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2.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140" windowWidth="19320" windowHeight="7185" firstSheet="6" activeTab="8"/>
  </bookViews>
  <sheets>
    <sheet name="2. NK TN" sheetId="61" state="hidden" r:id="rId1"/>
    <sheet name="2. NK KP" sheetId="56" state="hidden" r:id="rId2"/>
    <sheet name="DTKP" sheetId="57" state="hidden" r:id="rId3"/>
    <sheet name="Dia chat" sheetId="21" state="hidden" r:id="rId4"/>
    <sheet name="Thong tin" sheetId="20" state="hidden" r:id="rId5"/>
    <sheet name="Du lieu" sheetId="15" state="hidden" r:id="rId6"/>
    <sheet name="DT.NK" sheetId="41" r:id="rId7"/>
    <sheet name="1. Bia" sheetId="1" r:id="rId8"/>
    <sheet name="2. NK" sheetId="2" r:id="rId9"/>
    <sheet name="3. Dia Chat" sheetId="3" r:id="rId10"/>
    <sheet name="ĐT ĐC" sheetId="42" state="hidden" r:id="rId11"/>
    <sheet name="4. PTDBT" sheetId="14" r:id="rId12"/>
    <sheet name="ĐTBT" sheetId="43" state="hidden" r:id="rId13"/>
    <sheet name="5.BBLMBT2" sheetId="59" r:id="rId14"/>
    <sheet name="5.BBLMBT" sheetId="29" state="hidden" r:id="rId15"/>
    <sheet name="ĐTBBLMBT" sheetId="44" state="hidden" r:id="rId16"/>
    <sheet name="N ĐO BT" sheetId="54" state="hidden" r:id="rId17"/>
    <sheet name="6. BDBT" sheetId="10" r:id="rId18"/>
    <sheet name="Bien ban 2" sheetId="17" state="hidden" r:id="rId19"/>
    <sheet name="Bien ban" sheetId="19" state="hidden" r:id="rId20"/>
    <sheet name="7.BBKT-  TĐC" sheetId="37" r:id="rId21"/>
    <sheet name="8.BBCT" sheetId="34" r:id="rId22"/>
    <sheet name="9.BB- CKBT" sheetId="40" r:id="rId23"/>
    <sheet name="2" sheetId="46" state="hidden" r:id="rId24"/>
    <sheet name="3" sheetId="47" state="hidden" r:id="rId25"/>
    <sheet name="4" sheetId="48" state="hidden" r:id="rId26"/>
    <sheet name="5" sheetId="49" state="hidden" r:id="rId27"/>
    <sheet name="6" sheetId="50" state="hidden" r:id="rId28"/>
    <sheet name="7" sheetId="51" state="hidden" r:id="rId29"/>
    <sheet name="8" sheetId="52" state="hidden" r:id="rId30"/>
    <sheet name="9" sheetId="53" state="hidden" r:id="rId31"/>
    <sheet name="Sheet2" sheetId="55" state="hidden" r:id="rId32"/>
    <sheet name="Sheet1" sheetId="58" state="hidden" r:id="rId33"/>
    <sheet name="Sheet3" sheetId="62" state="hidden" r:id="rId34"/>
  </sheets>
  <externalReferences>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p">#N/A</definedName>
    <definedName name="_0">{"Thuxm2.xls","Sheet1"}</definedName>
    <definedName name="_1" localSheetId="1">#REF!</definedName>
    <definedName name="_1" localSheetId="0">#REF!</definedName>
    <definedName name="_1" localSheetId="13">#REF!</definedName>
    <definedName name="_1">#REF!</definedName>
    <definedName name="_1000A01">#N/A</definedName>
    <definedName name="_2" localSheetId="1">#REF!</definedName>
    <definedName name="_2" localSheetId="0">#REF!</definedName>
    <definedName name="_2" localSheetId="13">#REF!</definedName>
    <definedName name="_2">#REF!</definedName>
    <definedName name="_bac1" localSheetId="1">#REF!</definedName>
    <definedName name="_bac1" localSheetId="0">#REF!</definedName>
    <definedName name="_bac1" localSheetId="13">#REF!</definedName>
    <definedName name="_bac1">#REF!</definedName>
    <definedName name="_bac2" localSheetId="1">#REF!</definedName>
    <definedName name="_bac2" localSheetId="0">#REF!</definedName>
    <definedName name="_bac2" localSheetId="13">#REF!</definedName>
    <definedName name="_bac2">#REF!</definedName>
    <definedName name="_bac3" localSheetId="1">#REF!</definedName>
    <definedName name="_bac3" localSheetId="0">#REF!</definedName>
    <definedName name="_bac3" localSheetId="13">#REF!</definedName>
    <definedName name="_bac3">#REF!</definedName>
    <definedName name="_bac4" localSheetId="1">#REF!</definedName>
    <definedName name="_bac4" localSheetId="0">#REF!</definedName>
    <definedName name="_bac4" localSheetId="13">#REF!</definedName>
    <definedName name="_bac4">#REF!</definedName>
    <definedName name="_bac5" localSheetId="1">#REF!</definedName>
    <definedName name="_bac5" localSheetId="0">#REF!</definedName>
    <definedName name="_bac5" localSheetId="13">#REF!</definedName>
    <definedName name="_bac5">#REF!</definedName>
    <definedName name="_bac6" localSheetId="1">#REF!</definedName>
    <definedName name="_bac6" localSheetId="0">#REF!</definedName>
    <definedName name="_bac6" localSheetId="13">#REF!</definedName>
    <definedName name="_bac6">#REF!</definedName>
    <definedName name="_bac7" localSheetId="1">#REF!</definedName>
    <definedName name="_bac7" localSheetId="0">#REF!</definedName>
    <definedName name="_bac7" localSheetId="13">#REF!</definedName>
    <definedName name="_bac7">#REF!</definedName>
    <definedName name="_BCT8" localSheetId="1">'[1]BAO CAO TUAN'!#REF!</definedName>
    <definedName name="_BCT8" localSheetId="0">'[1]BAO CAO TUAN'!#REF!</definedName>
    <definedName name="_BCT8" localSheetId="13">'[1]BAO CAO TUAN'!#REF!</definedName>
    <definedName name="_BCT8">'[1]BAO CAO TUAN'!#REF!</definedName>
    <definedName name="_CON1" localSheetId="1">#REF!</definedName>
    <definedName name="_CON1" localSheetId="0">#REF!</definedName>
    <definedName name="_CON1" localSheetId="13">#REF!</definedName>
    <definedName name="_CON1">#REF!</definedName>
    <definedName name="_CON2" localSheetId="1">#REF!</definedName>
    <definedName name="_CON2" localSheetId="0">#REF!</definedName>
    <definedName name="_CON2" localSheetId="13">#REF!</definedName>
    <definedName name="_CON2">#REF!</definedName>
    <definedName name="_ddn400" localSheetId="1">#REF!</definedName>
    <definedName name="_ddn400" localSheetId="0">#REF!</definedName>
    <definedName name="_ddn400" localSheetId="13">#REF!</definedName>
    <definedName name="_ddn400">#REF!</definedName>
    <definedName name="_ddn600" localSheetId="1">#REF!</definedName>
    <definedName name="_ddn600" localSheetId="0">#REF!</definedName>
    <definedName name="_ddn600" localSheetId="13">#REF!</definedName>
    <definedName name="_ddn600">#REF!</definedName>
    <definedName name="_EXC1" localSheetId="1">#REF!</definedName>
    <definedName name="_EXC1" localSheetId="0">#REF!</definedName>
    <definedName name="_EXC1" localSheetId="13">#REF!</definedName>
    <definedName name="_EXC1">#REF!</definedName>
    <definedName name="_EXC2" localSheetId="1">#REF!</definedName>
    <definedName name="_EXC2" localSheetId="0">#REF!</definedName>
    <definedName name="_EXC2" localSheetId="13">#REF!</definedName>
    <definedName name="_EXC2">#REF!</definedName>
    <definedName name="_Fill" localSheetId="1" hidden="1">#REF!</definedName>
    <definedName name="_Fill" localSheetId="0" hidden="1">#REF!</definedName>
    <definedName name="_Fill" localSheetId="13" hidden="1">#REF!</definedName>
    <definedName name="_Fill" hidden="1">#REF!</definedName>
    <definedName name="_xlnm._FilterDatabase" localSheetId="6" hidden="1">DT.NK!$A$12:$BX$12</definedName>
    <definedName name="_xlnm._FilterDatabase" localSheetId="4" hidden="1">'Thong tin'!$A$2:$AC$2</definedName>
    <definedName name="_Key1" localSheetId="1" hidden="1">#REF!</definedName>
    <definedName name="_Key1" localSheetId="0" hidden="1">#REF!</definedName>
    <definedName name="_Key1" localSheetId="13" hidden="1">#REF!</definedName>
    <definedName name="_Key1" hidden="1">#REF!</definedName>
    <definedName name="_Key2" localSheetId="1" hidden="1">#REF!</definedName>
    <definedName name="_Key2" localSheetId="0" hidden="1">#REF!</definedName>
    <definedName name="_Key2" localSheetId="13" hidden="1">#REF!</definedName>
    <definedName name="_Key2" hidden="1">#REF!</definedName>
    <definedName name="_kl1" localSheetId="1">#REF!</definedName>
    <definedName name="_kl1" localSheetId="0">#REF!</definedName>
    <definedName name="_kl1" localSheetId="13">#REF!</definedName>
    <definedName name="_kl1">#REF!</definedName>
    <definedName name="_Km36" localSheetId="1">#REF!</definedName>
    <definedName name="_Km36" localSheetId="0">#REF!</definedName>
    <definedName name="_Km36" localSheetId="13">#REF!</definedName>
    <definedName name="_Km36">#REF!</definedName>
    <definedName name="_Knc36" localSheetId="1">#REF!</definedName>
    <definedName name="_Knc36" localSheetId="0">#REF!</definedName>
    <definedName name="_Knc36" localSheetId="13">#REF!</definedName>
    <definedName name="_Knc36">#REF!</definedName>
    <definedName name="_Knc57" localSheetId="1">#REF!</definedName>
    <definedName name="_Knc57" localSheetId="0">#REF!</definedName>
    <definedName name="_Knc57" localSheetId="13">#REF!</definedName>
    <definedName name="_Knc57">#REF!</definedName>
    <definedName name="_Kvl36" localSheetId="1">#REF!</definedName>
    <definedName name="_Kvl36" localSheetId="0">#REF!</definedName>
    <definedName name="_Kvl36" localSheetId="13">#REF!</definedName>
    <definedName name="_Kvl36">#REF!</definedName>
    <definedName name="_KHT9" localSheetId="1">'[1]BAO CAO TUAN'!#REF!</definedName>
    <definedName name="_KHT9" localSheetId="0">'[1]BAO CAO TUAN'!#REF!</definedName>
    <definedName name="_KHT9" localSheetId="13">'[1]BAO CAO TUAN'!#REF!</definedName>
    <definedName name="_KHT9">'[1]BAO CAO TUAN'!#REF!</definedName>
    <definedName name="_Lan1" localSheetId="19">{"Thuxm2.xls","Sheet1"}</definedName>
    <definedName name="_Lan1" localSheetId="18">{"Thuxm2.xls","Sheet1"}</definedName>
    <definedName name="_Lan1">{"Thuxm2.xls","Sheet1"}</definedName>
    <definedName name="_MAC12" localSheetId="1">#REF!</definedName>
    <definedName name="_MAC12" localSheetId="0">#REF!</definedName>
    <definedName name="_MAC12" localSheetId="13">#REF!</definedName>
    <definedName name="_MAC12">#REF!</definedName>
    <definedName name="_MAC46" localSheetId="1">#REF!</definedName>
    <definedName name="_MAC46" localSheetId="0">#REF!</definedName>
    <definedName name="_MAC46" localSheetId="13">#REF!</definedName>
    <definedName name="_MAC46">#REF!</definedName>
    <definedName name="_may1" localSheetId="1">#REF!</definedName>
    <definedName name="_may1" localSheetId="0">#REF!</definedName>
    <definedName name="_may1" localSheetId="13">#REF!</definedName>
    <definedName name="_may1">#REF!</definedName>
    <definedName name="_may10" localSheetId="1">#REF!</definedName>
    <definedName name="_may10" localSheetId="0">#REF!</definedName>
    <definedName name="_may10" localSheetId="13">#REF!</definedName>
    <definedName name="_may10">#REF!</definedName>
    <definedName name="_may100" localSheetId="1">#REF!</definedName>
    <definedName name="_may100" localSheetId="0">#REF!</definedName>
    <definedName name="_may100" localSheetId="13">#REF!</definedName>
    <definedName name="_may100">#REF!</definedName>
    <definedName name="_may101" localSheetId="1">#REF!</definedName>
    <definedName name="_may101" localSheetId="0">#REF!</definedName>
    <definedName name="_may101" localSheetId="13">#REF!</definedName>
    <definedName name="_may101">#REF!</definedName>
    <definedName name="_may102" localSheetId="1">#REF!</definedName>
    <definedName name="_may102" localSheetId="0">#REF!</definedName>
    <definedName name="_may102" localSheetId="13">#REF!</definedName>
    <definedName name="_may102">#REF!</definedName>
    <definedName name="_may103" localSheetId="1">#REF!</definedName>
    <definedName name="_may103" localSheetId="0">#REF!</definedName>
    <definedName name="_may103" localSheetId="13">#REF!</definedName>
    <definedName name="_may103">#REF!</definedName>
    <definedName name="_may104" localSheetId="1">#REF!</definedName>
    <definedName name="_may104" localSheetId="0">#REF!</definedName>
    <definedName name="_may104" localSheetId="13">#REF!</definedName>
    <definedName name="_may104">#REF!</definedName>
    <definedName name="_may105" localSheetId="1">#REF!</definedName>
    <definedName name="_may105" localSheetId="0">#REF!</definedName>
    <definedName name="_may105" localSheetId="13">#REF!</definedName>
    <definedName name="_may105">#REF!</definedName>
    <definedName name="_may106" localSheetId="1">#REF!</definedName>
    <definedName name="_may106" localSheetId="0">#REF!</definedName>
    <definedName name="_may106" localSheetId="13">#REF!</definedName>
    <definedName name="_may106">#REF!</definedName>
    <definedName name="_may107" localSheetId="1">#REF!</definedName>
    <definedName name="_may107" localSheetId="0">#REF!</definedName>
    <definedName name="_may107" localSheetId="13">#REF!</definedName>
    <definedName name="_may107">#REF!</definedName>
    <definedName name="_may108" localSheetId="1">#REF!</definedName>
    <definedName name="_may108" localSheetId="0">#REF!</definedName>
    <definedName name="_may108" localSheetId="13">#REF!</definedName>
    <definedName name="_may108">#REF!</definedName>
    <definedName name="_may109" localSheetId="1">#REF!</definedName>
    <definedName name="_may109" localSheetId="0">#REF!</definedName>
    <definedName name="_may109" localSheetId="13">#REF!</definedName>
    <definedName name="_may109">#REF!</definedName>
    <definedName name="_may11" localSheetId="1">#REF!</definedName>
    <definedName name="_may11" localSheetId="0">#REF!</definedName>
    <definedName name="_may11" localSheetId="13">#REF!</definedName>
    <definedName name="_may11">#REF!</definedName>
    <definedName name="_may110" localSheetId="1">#REF!</definedName>
    <definedName name="_may110" localSheetId="0">#REF!</definedName>
    <definedName name="_may110" localSheetId="13">#REF!</definedName>
    <definedName name="_may110">#REF!</definedName>
    <definedName name="_may111" localSheetId="1">#REF!</definedName>
    <definedName name="_may111" localSheetId="0">#REF!</definedName>
    <definedName name="_may111" localSheetId="13">#REF!</definedName>
    <definedName name="_may111">#REF!</definedName>
    <definedName name="_may112" localSheetId="1">#REF!</definedName>
    <definedName name="_may112" localSheetId="0">#REF!</definedName>
    <definedName name="_may112" localSheetId="13">#REF!</definedName>
    <definedName name="_may112">#REF!</definedName>
    <definedName name="_may113" localSheetId="1">#REF!</definedName>
    <definedName name="_may113" localSheetId="0">#REF!</definedName>
    <definedName name="_may113" localSheetId="13">#REF!</definedName>
    <definedName name="_may113">#REF!</definedName>
    <definedName name="_may114" localSheetId="1">#REF!</definedName>
    <definedName name="_may114" localSheetId="0">#REF!</definedName>
    <definedName name="_may114" localSheetId="13">#REF!</definedName>
    <definedName name="_may114">#REF!</definedName>
    <definedName name="_may115" localSheetId="1">#REF!</definedName>
    <definedName name="_may115" localSheetId="0">#REF!</definedName>
    <definedName name="_may115" localSheetId="13">#REF!</definedName>
    <definedName name="_may115">#REF!</definedName>
    <definedName name="_may116" localSheetId="1">#REF!</definedName>
    <definedName name="_may116" localSheetId="0">#REF!</definedName>
    <definedName name="_may116" localSheetId="13">#REF!</definedName>
    <definedName name="_may116">#REF!</definedName>
    <definedName name="_may117" localSheetId="1">#REF!</definedName>
    <definedName name="_may117" localSheetId="0">#REF!</definedName>
    <definedName name="_may117" localSheetId="13">#REF!</definedName>
    <definedName name="_may117">#REF!</definedName>
    <definedName name="_may118" localSheetId="1">#REF!</definedName>
    <definedName name="_may118" localSheetId="0">#REF!</definedName>
    <definedName name="_may118" localSheetId="13">#REF!</definedName>
    <definedName name="_may118">#REF!</definedName>
    <definedName name="_may119" localSheetId="1">#REF!</definedName>
    <definedName name="_may119" localSheetId="0">#REF!</definedName>
    <definedName name="_may119" localSheetId="13">#REF!</definedName>
    <definedName name="_may119">#REF!</definedName>
    <definedName name="_may12" localSheetId="1">#REF!</definedName>
    <definedName name="_may12" localSheetId="0">#REF!</definedName>
    <definedName name="_may12" localSheetId="13">#REF!</definedName>
    <definedName name="_may12">#REF!</definedName>
    <definedName name="_may120" localSheetId="1">#REF!</definedName>
    <definedName name="_may120" localSheetId="0">#REF!</definedName>
    <definedName name="_may120" localSheetId="13">#REF!</definedName>
    <definedName name="_may120">#REF!</definedName>
    <definedName name="_may121" localSheetId="1">#REF!</definedName>
    <definedName name="_may121" localSheetId="0">#REF!</definedName>
    <definedName name="_may121" localSheetId="13">#REF!</definedName>
    <definedName name="_may121">#REF!</definedName>
    <definedName name="_may122" localSheetId="1">#REF!</definedName>
    <definedName name="_may122" localSheetId="0">#REF!</definedName>
    <definedName name="_may122" localSheetId="13">#REF!</definedName>
    <definedName name="_may122">#REF!</definedName>
    <definedName name="_may123" localSheetId="1">#REF!</definedName>
    <definedName name="_may123" localSheetId="0">#REF!</definedName>
    <definedName name="_may123" localSheetId="13">#REF!</definedName>
    <definedName name="_may123">#REF!</definedName>
    <definedName name="_may124" localSheetId="1">#REF!</definedName>
    <definedName name="_may124" localSheetId="0">#REF!</definedName>
    <definedName name="_may124" localSheetId="13">#REF!</definedName>
    <definedName name="_may124">#REF!</definedName>
    <definedName name="_may125" localSheetId="1">#REF!</definedName>
    <definedName name="_may125" localSheetId="0">#REF!</definedName>
    <definedName name="_may125" localSheetId="13">#REF!</definedName>
    <definedName name="_may125">#REF!</definedName>
    <definedName name="_may126" localSheetId="1">#REF!</definedName>
    <definedName name="_may126" localSheetId="0">#REF!</definedName>
    <definedName name="_may126" localSheetId="13">#REF!</definedName>
    <definedName name="_may126">#REF!</definedName>
    <definedName name="_may127" localSheetId="1">#REF!</definedName>
    <definedName name="_may127" localSheetId="0">#REF!</definedName>
    <definedName name="_may127" localSheetId="13">#REF!</definedName>
    <definedName name="_may127">#REF!</definedName>
    <definedName name="_may128" localSheetId="1">#REF!</definedName>
    <definedName name="_may128" localSheetId="0">#REF!</definedName>
    <definedName name="_may128" localSheetId="13">#REF!</definedName>
    <definedName name="_may128">#REF!</definedName>
    <definedName name="_may129" localSheetId="1">#REF!</definedName>
    <definedName name="_may129" localSheetId="0">#REF!</definedName>
    <definedName name="_may129" localSheetId="13">#REF!</definedName>
    <definedName name="_may129">#REF!</definedName>
    <definedName name="_may13" localSheetId="1">#REF!</definedName>
    <definedName name="_may13" localSheetId="0">#REF!</definedName>
    <definedName name="_may13" localSheetId="13">#REF!</definedName>
    <definedName name="_may13">#REF!</definedName>
    <definedName name="_may130" localSheetId="1">#REF!</definedName>
    <definedName name="_may130" localSheetId="0">#REF!</definedName>
    <definedName name="_may130" localSheetId="13">#REF!</definedName>
    <definedName name="_may130">#REF!</definedName>
    <definedName name="_may131" localSheetId="1">#REF!</definedName>
    <definedName name="_may131" localSheetId="0">#REF!</definedName>
    <definedName name="_may131" localSheetId="13">#REF!</definedName>
    <definedName name="_may131">#REF!</definedName>
    <definedName name="_may132" localSheetId="1">#REF!</definedName>
    <definedName name="_may132" localSheetId="0">#REF!</definedName>
    <definedName name="_may132" localSheetId="13">#REF!</definedName>
    <definedName name="_may132">#REF!</definedName>
    <definedName name="_may133" localSheetId="1">#REF!</definedName>
    <definedName name="_may133" localSheetId="0">#REF!</definedName>
    <definedName name="_may133" localSheetId="13">#REF!</definedName>
    <definedName name="_may133">#REF!</definedName>
    <definedName name="_may134" localSheetId="1">#REF!</definedName>
    <definedName name="_may134" localSheetId="0">#REF!</definedName>
    <definedName name="_may134" localSheetId="13">#REF!</definedName>
    <definedName name="_may134">#REF!</definedName>
    <definedName name="_may135" localSheetId="1">#REF!</definedName>
    <definedName name="_may135" localSheetId="0">#REF!</definedName>
    <definedName name="_may135" localSheetId="13">#REF!</definedName>
    <definedName name="_may135">#REF!</definedName>
    <definedName name="_may136" localSheetId="1">#REF!</definedName>
    <definedName name="_may136" localSheetId="0">#REF!</definedName>
    <definedName name="_may136" localSheetId="13">#REF!</definedName>
    <definedName name="_may136">#REF!</definedName>
    <definedName name="_may137" localSheetId="1">#REF!</definedName>
    <definedName name="_may137" localSheetId="0">#REF!</definedName>
    <definedName name="_may137" localSheetId="13">#REF!</definedName>
    <definedName name="_may137">#REF!</definedName>
    <definedName name="_may138" localSheetId="1">#REF!</definedName>
    <definedName name="_may138" localSheetId="0">#REF!</definedName>
    <definedName name="_may138" localSheetId="13">#REF!</definedName>
    <definedName name="_may138">#REF!</definedName>
    <definedName name="_may139" localSheetId="1">#REF!</definedName>
    <definedName name="_may139" localSheetId="0">#REF!</definedName>
    <definedName name="_may139" localSheetId="13">#REF!</definedName>
    <definedName name="_may139">#REF!</definedName>
    <definedName name="_may14" localSheetId="1">#REF!</definedName>
    <definedName name="_may14" localSheetId="0">#REF!</definedName>
    <definedName name="_may14" localSheetId="13">#REF!</definedName>
    <definedName name="_may14">#REF!</definedName>
    <definedName name="_may140" localSheetId="1">#REF!</definedName>
    <definedName name="_may140" localSheetId="0">#REF!</definedName>
    <definedName name="_may140" localSheetId="13">#REF!</definedName>
    <definedName name="_may140">#REF!</definedName>
    <definedName name="_may141" localSheetId="1">#REF!</definedName>
    <definedName name="_may141" localSheetId="0">#REF!</definedName>
    <definedName name="_may141" localSheetId="13">#REF!</definedName>
    <definedName name="_may141">#REF!</definedName>
    <definedName name="_may142" localSheetId="1">#REF!</definedName>
    <definedName name="_may142" localSheetId="0">#REF!</definedName>
    <definedName name="_may142" localSheetId="13">#REF!</definedName>
    <definedName name="_may142">#REF!</definedName>
    <definedName name="_may143" localSheetId="1">#REF!</definedName>
    <definedName name="_may143" localSheetId="0">#REF!</definedName>
    <definedName name="_may143" localSheetId="13">#REF!</definedName>
    <definedName name="_may143">#REF!</definedName>
    <definedName name="_may144" localSheetId="1">#REF!</definedName>
    <definedName name="_may144" localSheetId="0">#REF!</definedName>
    <definedName name="_may144" localSheetId="13">#REF!</definedName>
    <definedName name="_may144">#REF!</definedName>
    <definedName name="_may145" localSheetId="1">#REF!</definedName>
    <definedName name="_may145" localSheetId="0">#REF!</definedName>
    <definedName name="_may145" localSheetId="13">#REF!</definedName>
    <definedName name="_may145">#REF!</definedName>
    <definedName name="_may146" localSheetId="1">#REF!</definedName>
    <definedName name="_may146" localSheetId="0">#REF!</definedName>
    <definedName name="_may146" localSheetId="13">#REF!</definedName>
    <definedName name="_may146">#REF!</definedName>
    <definedName name="_may147" localSheetId="1">#REF!</definedName>
    <definedName name="_may147" localSheetId="0">#REF!</definedName>
    <definedName name="_may147" localSheetId="13">#REF!</definedName>
    <definedName name="_may147">#REF!</definedName>
    <definedName name="_may148" localSheetId="1">#REF!</definedName>
    <definedName name="_may148" localSheetId="0">#REF!</definedName>
    <definedName name="_may148" localSheetId="13">#REF!</definedName>
    <definedName name="_may148">#REF!</definedName>
    <definedName name="_may149" localSheetId="1">#REF!</definedName>
    <definedName name="_may149" localSheetId="0">#REF!</definedName>
    <definedName name="_may149" localSheetId="13">#REF!</definedName>
    <definedName name="_may149">#REF!</definedName>
    <definedName name="_may15" localSheetId="1">#REF!</definedName>
    <definedName name="_may15" localSheetId="0">#REF!</definedName>
    <definedName name="_may15" localSheetId="13">#REF!</definedName>
    <definedName name="_may15">#REF!</definedName>
    <definedName name="_may150" localSheetId="1">#REF!</definedName>
    <definedName name="_may150" localSheetId="0">#REF!</definedName>
    <definedName name="_may150" localSheetId="13">#REF!</definedName>
    <definedName name="_may150">#REF!</definedName>
    <definedName name="_may151" localSheetId="1">#REF!</definedName>
    <definedName name="_may151" localSheetId="0">#REF!</definedName>
    <definedName name="_may151" localSheetId="13">#REF!</definedName>
    <definedName name="_may151">#REF!</definedName>
    <definedName name="_may152" localSheetId="1">#REF!</definedName>
    <definedName name="_may152" localSheetId="0">#REF!</definedName>
    <definedName name="_may152" localSheetId="13">#REF!</definedName>
    <definedName name="_may152">#REF!</definedName>
    <definedName name="_may153" localSheetId="1">#REF!</definedName>
    <definedName name="_may153" localSheetId="0">#REF!</definedName>
    <definedName name="_may153" localSheetId="13">#REF!</definedName>
    <definedName name="_may153">#REF!</definedName>
    <definedName name="_may154" localSheetId="1">#REF!</definedName>
    <definedName name="_may154" localSheetId="0">#REF!</definedName>
    <definedName name="_may154" localSheetId="13">#REF!</definedName>
    <definedName name="_may154">#REF!</definedName>
    <definedName name="_may155" localSheetId="1">#REF!</definedName>
    <definedName name="_may155" localSheetId="0">#REF!</definedName>
    <definedName name="_may155" localSheetId="13">#REF!</definedName>
    <definedName name="_may155">#REF!</definedName>
    <definedName name="_may156" localSheetId="1">#REF!</definedName>
    <definedName name="_may156" localSheetId="0">#REF!</definedName>
    <definedName name="_may156" localSheetId="13">#REF!</definedName>
    <definedName name="_may156">#REF!</definedName>
    <definedName name="_may157" localSheetId="1">#REF!</definedName>
    <definedName name="_may157" localSheetId="0">#REF!</definedName>
    <definedName name="_may157" localSheetId="13">#REF!</definedName>
    <definedName name="_may157">#REF!</definedName>
    <definedName name="_may158" localSheetId="1">#REF!</definedName>
    <definedName name="_may158" localSheetId="0">#REF!</definedName>
    <definedName name="_may158" localSheetId="13">#REF!</definedName>
    <definedName name="_may158">#REF!</definedName>
    <definedName name="_may159" localSheetId="1">#REF!</definedName>
    <definedName name="_may159" localSheetId="0">#REF!</definedName>
    <definedName name="_may159" localSheetId="13">#REF!</definedName>
    <definedName name="_may159">#REF!</definedName>
    <definedName name="_may16" localSheetId="1">#REF!</definedName>
    <definedName name="_may16" localSheetId="0">#REF!</definedName>
    <definedName name="_may16" localSheetId="13">#REF!</definedName>
    <definedName name="_may16">#REF!</definedName>
    <definedName name="_may160" localSheetId="1">#REF!</definedName>
    <definedName name="_may160" localSheetId="0">#REF!</definedName>
    <definedName name="_may160" localSheetId="13">#REF!</definedName>
    <definedName name="_may160">#REF!</definedName>
    <definedName name="_may161" localSheetId="1">#REF!</definedName>
    <definedName name="_may161" localSheetId="0">#REF!</definedName>
    <definedName name="_may161" localSheetId="13">#REF!</definedName>
    <definedName name="_may161">#REF!</definedName>
    <definedName name="_may162" localSheetId="1">#REF!</definedName>
    <definedName name="_may162" localSheetId="0">#REF!</definedName>
    <definedName name="_may162" localSheetId="13">#REF!</definedName>
    <definedName name="_may162">#REF!</definedName>
    <definedName name="_may163" localSheetId="1">#REF!</definedName>
    <definedName name="_may163" localSheetId="0">#REF!</definedName>
    <definedName name="_may163" localSheetId="13">#REF!</definedName>
    <definedName name="_may163">#REF!</definedName>
    <definedName name="_may164" localSheetId="1">#REF!</definedName>
    <definedName name="_may164" localSheetId="0">#REF!</definedName>
    <definedName name="_may164" localSheetId="13">#REF!</definedName>
    <definedName name="_may164">#REF!</definedName>
    <definedName name="_may165" localSheetId="1">#REF!</definedName>
    <definedName name="_may165" localSheetId="0">#REF!</definedName>
    <definedName name="_may165" localSheetId="13">#REF!</definedName>
    <definedName name="_may165">#REF!</definedName>
    <definedName name="_may166" localSheetId="1">#REF!</definedName>
    <definedName name="_may166" localSheetId="0">#REF!</definedName>
    <definedName name="_may166" localSheetId="13">#REF!</definedName>
    <definedName name="_may166">#REF!</definedName>
    <definedName name="_may167" localSheetId="1">#REF!</definedName>
    <definedName name="_may167" localSheetId="0">#REF!</definedName>
    <definedName name="_may167" localSheetId="13">#REF!</definedName>
    <definedName name="_may167">#REF!</definedName>
    <definedName name="_may168" localSheetId="1">#REF!</definedName>
    <definedName name="_may168" localSheetId="0">#REF!</definedName>
    <definedName name="_may168" localSheetId="13">#REF!</definedName>
    <definedName name="_may168">#REF!</definedName>
    <definedName name="_may169" localSheetId="1">#REF!</definedName>
    <definedName name="_may169" localSheetId="0">#REF!</definedName>
    <definedName name="_may169" localSheetId="13">#REF!</definedName>
    <definedName name="_may169">#REF!</definedName>
    <definedName name="_may17" localSheetId="1">#REF!</definedName>
    <definedName name="_may17" localSheetId="0">#REF!</definedName>
    <definedName name="_may17" localSheetId="13">#REF!</definedName>
    <definedName name="_may17">#REF!</definedName>
    <definedName name="_may170" localSheetId="1">#REF!</definedName>
    <definedName name="_may170" localSheetId="0">#REF!</definedName>
    <definedName name="_may170" localSheetId="13">#REF!</definedName>
    <definedName name="_may170">#REF!</definedName>
    <definedName name="_may171" localSheetId="1">#REF!</definedName>
    <definedName name="_may171" localSheetId="0">#REF!</definedName>
    <definedName name="_may171" localSheetId="13">#REF!</definedName>
    <definedName name="_may171">#REF!</definedName>
    <definedName name="_may172" localSheetId="1">#REF!</definedName>
    <definedName name="_may172" localSheetId="0">#REF!</definedName>
    <definedName name="_may172" localSheetId="13">#REF!</definedName>
    <definedName name="_may172">#REF!</definedName>
    <definedName name="_may173" localSheetId="1">#REF!</definedName>
    <definedName name="_may173" localSheetId="0">#REF!</definedName>
    <definedName name="_may173" localSheetId="13">#REF!</definedName>
    <definedName name="_may173">#REF!</definedName>
    <definedName name="_may174" localSheetId="1">#REF!</definedName>
    <definedName name="_may174" localSheetId="0">#REF!</definedName>
    <definedName name="_may174" localSheetId="13">#REF!</definedName>
    <definedName name="_may174">#REF!</definedName>
    <definedName name="_may175" localSheetId="1">#REF!</definedName>
    <definedName name="_may175" localSheetId="0">#REF!</definedName>
    <definedName name="_may175" localSheetId="13">#REF!</definedName>
    <definedName name="_may175">#REF!</definedName>
    <definedName name="_may176" localSheetId="1">#REF!</definedName>
    <definedName name="_may176" localSheetId="0">#REF!</definedName>
    <definedName name="_may176" localSheetId="13">#REF!</definedName>
    <definedName name="_may176">#REF!</definedName>
    <definedName name="_may177" localSheetId="1">#REF!</definedName>
    <definedName name="_may177" localSheetId="0">#REF!</definedName>
    <definedName name="_may177" localSheetId="13">#REF!</definedName>
    <definedName name="_may177">#REF!</definedName>
    <definedName name="_may178" localSheetId="1">#REF!</definedName>
    <definedName name="_may178" localSheetId="0">#REF!</definedName>
    <definedName name="_may178" localSheetId="13">#REF!</definedName>
    <definedName name="_may178">#REF!</definedName>
    <definedName name="_may179" localSheetId="1">#REF!</definedName>
    <definedName name="_may179" localSheetId="0">#REF!</definedName>
    <definedName name="_may179" localSheetId="13">#REF!</definedName>
    <definedName name="_may179">#REF!</definedName>
    <definedName name="_may18" localSheetId="1">#REF!</definedName>
    <definedName name="_may18" localSheetId="0">#REF!</definedName>
    <definedName name="_may18" localSheetId="13">#REF!</definedName>
    <definedName name="_may18">#REF!</definedName>
    <definedName name="_may180" localSheetId="1">#REF!</definedName>
    <definedName name="_may180" localSheetId="0">#REF!</definedName>
    <definedName name="_may180" localSheetId="13">#REF!</definedName>
    <definedName name="_may180">#REF!</definedName>
    <definedName name="_may181" localSheetId="1">#REF!</definedName>
    <definedName name="_may181" localSheetId="0">#REF!</definedName>
    <definedName name="_may181" localSheetId="13">#REF!</definedName>
    <definedName name="_may181">#REF!</definedName>
    <definedName name="_may182" localSheetId="1">#REF!</definedName>
    <definedName name="_may182" localSheetId="0">#REF!</definedName>
    <definedName name="_may182" localSheetId="13">#REF!</definedName>
    <definedName name="_may182">#REF!</definedName>
    <definedName name="_may183" localSheetId="1">#REF!</definedName>
    <definedName name="_may183" localSheetId="0">#REF!</definedName>
    <definedName name="_may183" localSheetId="13">#REF!</definedName>
    <definedName name="_may183">#REF!</definedName>
    <definedName name="_may184" localSheetId="1">#REF!</definedName>
    <definedName name="_may184" localSheetId="0">#REF!</definedName>
    <definedName name="_may184" localSheetId="13">#REF!</definedName>
    <definedName name="_may184">#REF!</definedName>
    <definedName name="_may185" localSheetId="1">#REF!</definedName>
    <definedName name="_may185" localSheetId="0">#REF!</definedName>
    <definedName name="_may185" localSheetId="13">#REF!</definedName>
    <definedName name="_may185">#REF!</definedName>
    <definedName name="_may186" localSheetId="1">#REF!</definedName>
    <definedName name="_may186" localSheetId="0">#REF!</definedName>
    <definedName name="_may186" localSheetId="13">#REF!</definedName>
    <definedName name="_may186">#REF!</definedName>
    <definedName name="_may187" localSheetId="1">#REF!</definedName>
    <definedName name="_may187" localSheetId="0">#REF!</definedName>
    <definedName name="_may187" localSheetId="13">#REF!</definedName>
    <definedName name="_may187">#REF!</definedName>
    <definedName name="_may188" localSheetId="1">#REF!</definedName>
    <definedName name="_may188" localSheetId="0">#REF!</definedName>
    <definedName name="_may188" localSheetId="13">#REF!</definedName>
    <definedName name="_may188">#REF!</definedName>
    <definedName name="_may189" localSheetId="1">#REF!</definedName>
    <definedName name="_may189" localSheetId="0">#REF!</definedName>
    <definedName name="_may189" localSheetId="13">#REF!</definedName>
    <definedName name="_may189">#REF!</definedName>
    <definedName name="_may19" localSheetId="1">#REF!</definedName>
    <definedName name="_may19" localSheetId="0">#REF!</definedName>
    <definedName name="_may19" localSheetId="13">#REF!</definedName>
    <definedName name="_may19">#REF!</definedName>
    <definedName name="_may190" localSheetId="1">#REF!</definedName>
    <definedName name="_may190" localSheetId="0">#REF!</definedName>
    <definedName name="_may190" localSheetId="13">#REF!</definedName>
    <definedName name="_may190">#REF!</definedName>
    <definedName name="_may191" localSheetId="1">#REF!</definedName>
    <definedName name="_may191" localSheetId="0">#REF!</definedName>
    <definedName name="_may191" localSheetId="13">#REF!</definedName>
    <definedName name="_may191">#REF!</definedName>
    <definedName name="_may192" localSheetId="1">#REF!</definedName>
    <definedName name="_may192" localSheetId="0">#REF!</definedName>
    <definedName name="_may192" localSheetId="13">#REF!</definedName>
    <definedName name="_may192">#REF!</definedName>
    <definedName name="_may193" localSheetId="1">#REF!</definedName>
    <definedName name="_may193" localSheetId="0">#REF!</definedName>
    <definedName name="_may193" localSheetId="13">#REF!</definedName>
    <definedName name="_may193">#REF!</definedName>
    <definedName name="_may194" localSheetId="1">#REF!</definedName>
    <definedName name="_may194" localSheetId="0">#REF!</definedName>
    <definedName name="_may194" localSheetId="13">#REF!</definedName>
    <definedName name="_may194">#REF!</definedName>
    <definedName name="_may195" localSheetId="1">#REF!</definedName>
    <definedName name="_may195" localSheetId="0">#REF!</definedName>
    <definedName name="_may195" localSheetId="13">#REF!</definedName>
    <definedName name="_may195">#REF!</definedName>
    <definedName name="_may196" localSheetId="1">#REF!</definedName>
    <definedName name="_may196" localSheetId="0">#REF!</definedName>
    <definedName name="_may196" localSheetId="13">#REF!</definedName>
    <definedName name="_may196">#REF!</definedName>
    <definedName name="_may197" localSheetId="1">#REF!</definedName>
    <definedName name="_may197" localSheetId="0">#REF!</definedName>
    <definedName name="_may197" localSheetId="13">#REF!</definedName>
    <definedName name="_may197">#REF!</definedName>
    <definedName name="_may198" localSheetId="1">#REF!</definedName>
    <definedName name="_may198" localSheetId="0">#REF!</definedName>
    <definedName name="_may198" localSheetId="13">#REF!</definedName>
    <definedName name="_may198">#REF!</definedName>
    <definedName name="_may199" localSheetId="1">#REF!</definedName>
    <definedName name="_may199" localSheetId="0">#REF!</definedName>
    <definedName name="_may199" localSheetId="13">#REF!</definedName>
    <definedName name="_may199">#REF!</definedName>
    <definedName name="_may2" localSheetId="1">#REF!</definedName>
    <definedName name="_may2" localSheetId="0">#REF!</definedName>
    <definedName name="_may2" localSheetId="13">#REF!</definedName>
    <definedName name="_may2">#REF!</definedName>
    <definedName name="_may20" localSheetId="1">#REF!</definedName>
    <definedName name="_may20" localSheetId="0">#REF!</definedName>
    <definedName name="_may20" localSheetId="13">#REF!</definedName>
    <definedName name="_may20">#REF!</definedName>
    <definedName name="_may200" localSheetId="1">#REF!</definedName>
    <definedName name="_may200" localSheetId="0">#REF!</definedName>
    <definedName name="_may200" localSheetId="13">#REF!</definedName>
    <definedName name="_may200">#REF!</definedName>
    <definedName name="_may201" localSheetId="1">#REF!</definedName>
    <definedName name="_may201" localSheetId="0">#REF!</definedName>
    <definedName name="_may201" localSheetId="13">#REF!</definedName>
    <definedName name="_may201">#REF!</definedName>
    <definedName name="_may202" localSheetId="1">#REF!</definedName>
    <definedName name="_may202" localSheetId="0">#REF!</definedName>
    <definedName name="_may202" localSheetId="13">#REF!</definedName>
    <definedName name="_may202">#REF!</definedName>
    <definedName name="_may203" localSheetId="1">#REF!</definedName>
    <definedName name="_may203" localSheetId="0">#REF!</definedName>
    <definedName name="_may203" localSheetId="13">#REF!</definedName>
    <definedName name="_may203">#REF!</definedName>
    <definedName name="_may204" localSheetId="1">#REF!</definedName>
    <definedName name="_may204" localSheetId="0">#REF!</definedName>
    <definedName name="_may204" localSheetId="13">#REF!</definedName>
    <definedName name="_may204">#REF!</definedName>
    <definedName name="_may205" localSheetId="1">#REF!</definedName>
    <definedName name="_may205" localSheetId="0">#REF!</definedName>
    <definedName name="_may205" localSheetId="13">#REF!</definedName>
    <definedName name="_may205">#REF!</definedName>
    <definedName name="_may206" localSheetId="1">#REF!</definedName>
    <definedName name="_may206" localSheetId="0">#REF!</definedName>
    <definedName name="_may206" localSheetId="13">#REF!</definedName>
    <definedName name="_may206">#REF!</definedName>
    <definedName name="_may207" localSheetId="1">#REF!</definedName>
    <definedName name="_may207" localSheetId="0">#REF!</definedName>
    <definedName name="_may207" localSheetId="13">#REF!</definedName>
    <definedName name="_may207">#REF!</definedName>
    <definedName name="_may208" localSheetId="1">#REF!</definedName>
    <definedName name="_may208" localSheetId="0">#REF!</definedName>
    <definedName name="_may208" localSheetId="13">#REF!</definedName>
    <definedName name="_may208">#REF!</definedName>
    <definedName name="_may209" localSheetId="1">#REF!</definedName>
    <definedName name="_may209" localSheetId="0">#REF!</definedName>
    <definedName name="_may209" localSheetId="13">#REF!</definedName>
    <definedName name="_may209">#REF!</definedName>
    <definedName name="_may21" localSheetId="1">#REF!</definedName>
    <definedName name="_may21" localSheetId="0">#REF!</definedName>
    <definedName name="_may21" localSheetId="13">#REF!</definedName>
    <definedName name="_may21">#REF!</definedName>
    <definedName name="_may210" localSheetId="1">#REF!</definedName>
    <definedName name="_may210" localSheetId="0">#REF!</definedName>
    <definedName name="_may210" localSheetId="13">#REF!</definedName>
    <definedName name="_may210">#REF!</definedName>
    <definedName name="_may211" localSheetId="1">#REF!</definedName>
    <definedName name="_may211" localSheetId="0">#REF!</definedName>
    <definedName name="_may211" localSheetId="13">#REF!</definedName>
    <definedName name="_may211">#REF!</definedName>
    <definedName name="_may212" localSheetId="1">#REF!</definedName>
    <definedName name="_may212" localSheetId="0">#REF!</definedName>
    <definedName name="_may212" localSheetId="13">#REF!</definedName>
    <definedName name="_may212">#REF!</definedName>
    <definedName name="_may213" localSheetId="1">#REF!</definedName>
    <definedName name="_may213" localSheetId="0">#REF!</definedName>
    <definedName name="_may213" localSheetId="13">#REF!</definedName>
    <definedName name="_may213">#REF!</definedName>
    <definedName name="_may214" localSheetId="1">#REF!</definedName>
    <definedName name="_may214" localSheetId="0">#REF!</definedName>
    <definedName name="_may214" localSheetId="13">#REF!</definedName>
    <definedName name="_may214">#REF!</definedName>
    <definedName name="_may215" localSheetId="1">#REF!</definedName>
    <definedName name="_may215" localSheetId="0">#REF!</definedName>
    <definedName name="_may215" localSheetId="13">#REF!</definedName>
    <definedName name="_may215">#REF!</definedName>
    <definedName name="_may216" localSheetId="1">#REF!</definedName>
    <definedName name="_may216" localSheetId="0">#REF!</definedName>
    <definedName name="_may216" localSheetId="13">#REF!</definedName>
    <definedName name="_may216">#REF!</definedName>
    <definedName name="_may217" localSheetId="1">#REF!</definedName>
    <definedName name="_may217" localSheetId="0">#REF!</definedName>
    <definedName name="_may217" localSheetId="13">#REF!</definedName>
    <definedName name="_may217">#REF!</definedName>
    <definedName name="_may218" localSheetId="1">#REF!</definedName>
    <definedName name="_may218" localSheetId="0">#REF!</definedName>
    <definedName name="_may218" localSheetId="13">#REF!</definedName>
    <definedName name="_may218">#REF!</definedName>
    <definedName name="_may219" localSheetId="1">#REF!</definedName>
    <definedName name="_may219" localSheetId="0">#REF!</definedName>
    <definedName name="_may219" localSheetId="13">#REF!</definedName>
    <definedName name="_may219">#REF!</definedName>
    <definedName name="_may22" localSheetId="1">#REF!</definedName>
    <definedName name="_may22" localSheetId="0">#REF!</definedName>
    <definedName name="_may22" localSheetId="13">#REF!</definedName>
    <definedName name="_may22">#REF!</definedName>
    <definedName name="_may220" localSheetId="1">#REF!</definedName>
    <definedName name="_may220" localSheetId="0">#REF!</definedName>
    <definedName name="_may220" localSheetId="13">#REF!</definedName>
    <definedName name="_may220">#REF!</definedName>
    <definedName name="_may221" localSheetId="1">#REF!</definedName>
    <definedName name="_may221" localSheetId="0">#REF!</definedName>
    <definedName name="_may221" localSheetId="13">#REF!</definedName>
    <definedName name="_may221">#REF!</definedName>
    <definedName name="_may222" localSheetId="1">#REF!</definedName>
    <definedName name="_may222" localSheetId="0">#REF!</definedName>
    <definedName name="_may222" localSheetId="13">#REF!</definedName>
    <definedName name="_may222">#REF!</definedName>
    <definedName name="_may223" localSheetId="1">#REF!</definedName>
    <definedName name="_may223" localSheetId="0">#REF!</definedName>
    <definedName name="_may223" localSheetId="13">#REF!</definedName>
    <definedName name="_may223">#REF!</definedName>
    <definedName name="_may224" localSheetId="1">#REF!</definedName>
    <definedName name="_may224" localSheetId="0">#REF!</definedName>
    <definedName name="_may224" localSheetId="13">#REF!</definedName>
    <definedName name="_may224">#REF!</definedName>
    <definedName name="_may225" localSheetId="1">#REF!</definedName>
    <definedName name="_may225" localSheetId="0">#REF!</definedName>
    <definedName name="_may225" localSheetId="13">#REF!</definedName>
    <definedName name="_may225">#REF!</definedName>
    <definedName name="_may226" localSheetId="1">#REF!</definedName>
    <definedName name="_may226" localSheetId="0">#REF!</definedName>
    <definedName name="_may226" localSheetId="13">#REF!</definedName>
    <definedName name="_may226">#REF!</definedName>
    <definedName name="_may227" localSheetId="1">#REF!</definedName>
    <definedName name="_may227" localSheetId="0">#REF!</definedName>
    <definedName name="_may227" localSheetId="13">#REF!</definedName>
    <definedName name="_may227">#REF!</definedName>
    <definedName name="_may228" localSheetId="1">#REF!</definedName>
    <definedName name="_may228" localSheetId="0">#REF!</definedName>
    <definedName name="_may228" localSheetId="13">#REF!</definedName>
    <definedName name="_may228">#REF!</definedName>
    <definedName name="_may229" localSheetId="1">#REF!</definedName>
    <definedName name="_may229" localSheetId="0">#REF!</definedName>
    <definedName name="_may229" localSheetId="13">#REF!</definedName>
    <definedName name="_may229">#REF!</definedName>
    <definedName name="_may23" localSheetId="1">#REF!</definedName>
    <definedName name="_may23" localSheetId="0">#REF!</definedName>
    <definedName name="_may23" localSheetId="13">#REF!</definedName>
    <definedName name="_may23">#REF!</definedName>
    <definedName name="_may230" localSheetId="1">#REF!</definedName>
    <definedName name="_may230" localSheetId="0">#REF!</definedName>
    <definedName name="_may230" localSheetId="13">#REF!</definedName>
    <definedName name="_may230">#REF!</definedName>
    <definedName name="_may231" localSheetId="1">#REF!</definedName>
    <definedName name="_may231" localSheetId="0">#REF!</definedName>
    <definedName name="_may231" localSheetId="13">#REF!</definedName>
    <definedName name="_may231">#REF!</definedName>
    <definedName name="_may232" localSheetId="1">#REF!</definedName>
    <definedName name="_may232" localSheetId="0">#REF!</definedName>
    <definedName name="_may232" localSheetId="13">#REF!</definedName>
    <definedName name="_may232">#REF!</definedName>
    <definedName name="_may233" localSheetId="1">#REF!</definedName>
    <definedName name="_may233" localSheetId="0">#REF!</definedName>
    <definedName name="_may233" localSheetId="13">#REF!</definedName>
    <definedName name="_may233">#REF!</definedName>
    <definedName name="_may234" localSheetId="1">#REF!</definedName>
    <definedName name="_may234" localSheetId="0">#REF!</definedName>
    <definedName name="_may234" localSheetId="13">#REF!</definedName>
    <definedName name="_may234">#REF!</definedName>
    <definedName name="_may235" localSheetId="1">#REF!</definedName>
    <definedName name="_may235" localSheetId="0">#REF!</definedName>
    <definedName name="_may235" localSheetId="13">#REF!</definedName>
    <definedName name="_may235">#REF!</definedName>
    <definedName name="_may236" localSheetId="1">#REF!</definedName>
    <definedName name="_may236" localSheetId="0">#REF!</definedName>
    <definedName name="_may236" localSheetId="13">#REF!</definedName>
    <definedName name="_may236">#REF!</definedName>
    <definedName name="_may237" localSheetId="1">#REF!</definedName>
    <definedName name="_may237" localSheetId="0">#REF!</definedName>
    <definedName name="_may237" localSheetId="13">#REF!</definedName>
    <definedName name="_may237">#REF!</definedName>
    <definedName name="_may238" localSheetId="1">#REF!</definedName>
    <definedName name="_may238" localSheetId="0">#REF!</definedName>
    <definedName name="_may238" localSheetId="13">#REF!</definedName>
    <definedName name="_may238">#REF!</definedName>
    <definedName name="_may239" localSheetId="1">#REF!</definedName>
    <definedName name="_may239" localSheetId="0">#REF!</definedName>
    <definedName name="_may239" localSheetId="13">#REF!</definedName>
    <definedName name="_may239">#REF!</definedName>
    <definedName name="_may24" localSheetId="1">#REF!</definedName>
    <definedName name="_may24" localSheetId="0">#REF!</definedName>
    <definedName name="_may24" localSheetId="13">#REF!</definedName>
    <definedName name="_may24">#REF!</definedName>
    <definedName name="_may240" localSheetId="1">#REF!</definedName>
    <definedName name="_may240" localSheetId="0">#REF!</definedName>
    <definedName name="_may240" localSheetId="13">#REF!</definedName>
    <definedName name="_may240">#REF!</definedName>
    <definedName name="_may241" localSheetId="1">#REF!</definedName>
    <definedName name="_may241" localSheetId="0">#REF!</definedName>
    <definedName name="_may241" localSheetId="13">#REF!</definedName>
    <definedName name="_may241">#REF!</definedName>
    <definedName name="_may242" localSheetId="1">#REF!</definedName>
    <definedName name="_may242" localSheetId="0">#REF!</definedName>
    <definedName name="_may242" localSheetId="13">#REF!</definedName>
    <definedName name="_may242">#REF!</definedName>
    <definedName name="_may243" localSheetId="1">#REF!</definedName>
    <definedName name="_may243" localSheetId="0">#REF!</definedName>
    <definedName name="_may243" localSheetId="13">#REF!</definedName>
    <definedName name="_may243">#REF!</definedName>
    <definedName name="_may244" localSheetId="1">#REF!</definedName>
    <definedName name="_may244" localSheetId="0">#REF!</definedName>
    <definedName name="_may244" localSheetId="13">#REF!</definedName>
    <definedName name="_may244">#REF!</definedName>
    <definedName name="_may245" localSheetId="1">#REF!</definedName>
    <definedName name="_may245" localSheetId="0">#REF!</definedName>
    <definedName name="_may245" localSheetId="13">#REF!</definedName>
    <definedName name="_may245">#REF!</definedName>
    <definedName name="_may246" localSheetId="1">#REF!</definedName>
    <definedName name="_may246" localSheetId="0">#REF!</definedName>
    <definedName name="_may246" localSheetId="13">#REF!</definedName>
    <definedName name="_may246">#REF!</definedName>
    <definedName name="_may247" localSheetId="1">#REF!</definedName>
    <definedName name="_may247" localSheetId="0">#REF!</definedName>
    <definedName name="_may247" localSheetId="13">#REF!</definedName>
    <definedName name="_may247">#REF!</definedName>
    <definedName name="_may248" localSheetId="1">#REF!</definedName>
    <definedName name="_may248" localSheetId="0">#REF!</definedName>
    <definedName name="_may248" localSheetId="13">#REF!</definedName>
    <definedName name="_may248">#REF!</definedName>
    <definedName name="_may249" localSheetId="1">#REF!</definedName>
    <definedName name="_may249" localSheetId="0">#REF!</definedName>
    <definedName name="_may249" localSheetId="13">#REF!</definedName>
    <definedName name="_may249">#REF!</definedName>
    <definedName name="_may25" localSheetId="1">#REF!</definedName>
    <definedName name="_may25" localSheetId="0">#REF!</definedName>
    <definedName name="_may25" localSheetId="13">#REF!</definedName>
    <definedName name="_may25">#REF!</definedName>
    <definedName name="_may250" localSheetId="1">#REF!</definedName>
    <definedName name="_may250" localSheetId="0">#REF!</definedName>
    <definedName name="_may250" localSheetId="13">#REF!</definedName>
    <definedName name="_may250">#REF!</definedName>
    <definedName name="_may251" localSheetId="1">#REF!</definedName>
    <definedName name="_may251" localSheetId="0">#REF!</definedName>
    <definedName name="_may251" localSheetId="13">#REF!</definedName>
    <definedName name="_may251">#REF!</definedName>
    <definedName name="_may252" localSheetId="1">#REF!</definedName>
    <definedName name="_may252" localSheetId="0">#REF!</definedName>
    <definedName name="_may252" localSheetId="13">#REF!</definedName>
    <definedName name="_may252">#REF!</definedName>
    <definedName name="_may253" localSheetId="1">#REF!</definedName>
    <definedName name="_may253" localSheetId="0">#REF!</definedName>
    <definedName name="_may253" localSheetId="13">#REF!</definedName>
    <definedName name="_may253">#REF!</definedName>
    <definedName name="_may254" localSheetId="1">#REF!</definedName>
    <definedName name="_may254" localSheetId="0">#REF!</definedName>
    <definedName name="_may254" localSheetId="13">#REF!</definedName>
    <definedName name="_may254">#REF!</definedName>
    <definedName name="_may255" localSheetId="1">#REF!</definedName>
    <definedName name="_may255" localSheetId="0">#REF!</definedName>
    <definedName name="_may255" localSheetId="13">#REF!</definedName>
    <definedName name="_may255">#REF!</definedName>
    <definedName name="_may256" localSheetId="1">#REF!</definedName>
    <definedName name="_may256" localSheetId="0">#REF!</definedName>
    <definedName name="_may256" localSheetId="13">#REF!</definedName>
    <definedName name="_may256">#REF!</definedName>
    <definedName name="_may257" localSheetId="1">#REF!</definedName>
    <definedName name="_may257" localSheetId="0">#REF!</definedName>
    <definedName name="_may257" localSheetId="13">#REF!</definedName>
    <definedName name="_may257">#REF!</definedName>
    <definedName name="_may258" localSheetId="1">#REF!</definedName>
    <definedName name="_may258" localSheetId="0">#REF!</definedName>
    <definedName name="_may258" localSheetId="13">#REF!</definedName>
    <definedName name="_may258">#REF!</definedName>
    <definedName name="_may259" localSheetId="1">#REF!</definedName>
    <definedName name="_may259" localSheetId="0">#REF!</definedName>
    <definedName name="_may259" localSheetId="13">#REF!</definedName>
    <definedName name="_may259">#REF!</definedName>
    <definedName name="_may26" localSheetId="1">#REF!</definedName>
    <definedName name="_may26" localSheetId="0">#REF!</definedName>
    <definedName name="_may26" localSheetId="13">#REF!</definedName>
    <definedName name="_may26">#REF!</definedName>
    <definedName name="_may260" localSheetId="1">#REF!</definedName>
    <definedName name="_may260" localSheetId="0">#REF!</definedName>
    <definedName name="_may260" localSheetId="13">#REF!</definedName>
    <definedName name="_may260">#REF!</definedName>
    <definedName name="_may261" localSheetId="1">#REF!</definedName>
    <definedName name="_may261" localSheetId="0">#REF!</definedName>
    <definedName name="_may261" localSheetId="13">#REF!</definedName>
    <definedName name="_may261">#REF!</definedName>
    <definedName name="_may262" localSheetId="1">#REF!</definedName>
    <definedName name="_may262" localSheetId="0">#REF!</definedName>
    <definedName name="_may262" localSheetId="13">#REF!</definedName>
    <definedName name="_may262">#REF!</definedName>
    <definedName name="_may263" localSheetId="1">#REF!</definedName>
    <definedName name="_may263" localSheetId="0">#REF!</definedName>
    <definedName name="_may263" localSheetId="13">#REF!</definedName>
    <definedName name="_may263">#REF!</definedName>
    <definedName name="_may264" localSheetId="1">#REF!</definedName>
    <definedName name="_may264" localSheetId="0">#REF!</definedName>
    <definedName name="_may264" localSheetId="13">#REF!</definedName>
    <definedName name="_may264">#REF!</definedName>
    <definedName name="_may265" localSheetId="1">#REF!</definedName>
    <definedName name="_may265" localSheetId="0">#REF!</definedName>
    <definedName name="_may265" localSheetId="13">#REF!</definedName>
    <definedName name="_may265">#REF!</definedName>
    <definedName name="_may266" localSheetId="1">#REF!</definedName>
    <definedName name="_may266" localSheetId="0">#REF!</definedName>
    <definedName name="_may266" localSheetId="13">#REF!</definedName>
    <definedName name="_may266">#REF!</definedName>
    <definedName name="_may267" localSheetId="1">#REF!</definedName>
    <definedName name="_may267" localSheetId="0">#REF!</definedName>
    <definedName name="_may267" localSheetId="13">#REF!</definedName>
    <definedName name="_may267">#REF!</definedName>
    <definedName name="_may268" localSheetId="1">#REF!</definedName>
    <definedName name="_may268" localSheetId="0">#REF!</definedName>
    <definedName name="_may268" localSheetId="13">#REF!</definedName>
    <definedName name="_may268">#REF!</definedName>
    <definedName name="_may27" localSheetId="1">#REF!</definedName>
    <definedName name="_may27" localSheetId="0">#REF!</definedName>
    <definedName name="_may27" localSheetId="13">#REF!</definedName>
    <definedName name="_may27">#REF!</definedName>
    <definedName name="_may270" localSheetId="1">#REF!</definedName>
    <definedName name="_may270" localSheetId="0">#REF!</definedName>
    <definedName name="_may270" localSheetId="13">#REF!</definedName>
    <definedName name="_may270">#REF!</definedName>
    <definedName name="_may271" localSheetId="1">#REF!</definedName>
    <definedName name="_may271" localSheetId="0">#REF!</definedName>
    <definedName name="_may271" localSheetId="13">#REF!</definedName>
    <definedName name="_may271">#REF!</definedName>
    <definedName name="_may272" localSheetId="1">#REF!</definedName>
    <definedName name="_may272" localSheetId="0">#REF!</definedName>
    <definedName name="_may272" localSheetId="13">#REF!</definedName>
    <definedName name="_may272">#REF!</definedName>
    <definedName name="_may273" localSheetId="1">#REF!</definedName>
    <definedName name="_may273" localSheetId="0">#REF!</definedName>
    <definedName name="_may273" localSheetId="13">#REF!</definedName>
    <definedName name="_may273">#REF!</definedName>
    <definedName name="_may274" localSheetId="1">#REF!</definedName>
    <definedName name="_may274" localSheetId="0">#REF!</definedName>
    <definedName name="_may274" localSheetId="13">#REF!</definedName>
    <definedName name="_may274">#REF!</definedName>
    <definedName name="_may275" localSheetId="1">#REF!</definedName>
    <definedName name="_may275" localSheetId="0">#REF!</definedName>
    <definedName name="_may275" localSheetId="13">#REF!</definedName>
    <definedName name="_may275">#REF!</definedName>
    <definedName name="_may276" localSheetId="1">#REF!</definedName>
    <definedName name="_may276" localSheetId="0">#REF!</definedName>
    <definedName name="_may276" localSheetId="13">#REF!</definedName>
    <definedName name="_may276">#REF!</definedName>
    <definedName name="_may277" localSheetId="1">#REF!</definedName>
    <definedName name="_may277" localSheetId="0">#REF!</definedName>
    <definedName name="_may277" localSheetId="13">#REF!</definedName>
    <definedName name="_may277">#REF!</definedName>
    <definedName name="_may278" localSheetId="1">#REF!</definedName>
    <definedName name="_may278" localSheetId="0">#REF!</definedName>
    <definedName name="_may278" localSheetId="13">#REF!</definedName>
    <definedName name="_may278">#REF!</definedName>
    <definedName name="_may279" localSheetId="1">#REF!</definedName>
    <definedName name="_may279" localSheetId="0">#REF!</definedName>
    <definedName name="_may279" localSheetId="13">#REF!</definedName>
    <definedName name="_may279">#REF!</definedName>
    <definedName name="_may28" localSheetId="1">#REF!</definedName>
    <definedName name="_may28" localSheetId="0">#REF!</definedName>
    <definedName name="_may28" localSheetId="13">#REF!</definedName>
    <definedName name="_may28">#REF!</definedName>
    <definedName name="_may280" localSheetId="1">#REF!</definedName>
    <definedName name="_may280" localSheetId="0">#REF!</definedName>
    <definedName name="_may280" localSheetId="13">#REF!</definedName>
    <definedName name="_may280">#REF!</definedName>
    <definedName name="_may281" localSheetId="1">#REF!</definedName>
    <definedName name="_may281" localSheetId="0">#REF!</definedName>
    <definedName name="_may281" localSheetId="13">#REF!</definedName>
    <definedName name="_may281">#REF!</definedName>
    <definedName name="_may282" localSheetId="1">#REF!</definedName>
    <definedName name="_may282" localSheetId="0">#REF!</definedName>
    <definedName name="_may282" localSheetId="13">#REF!</definedName>
    <definedName name="_may282">#REF!</definedName>
    <definedName name="_may283" localSheetId="1">#REF!</definedName>
    <definedName name="_may283" localSheetId="0">#REF!</definedName>
    <definedName name="_may283" localSheetId="13">#REF!</definedName>
    <definedName name="_may283">#REF!</definedName>
    <definedName name="_may284" localSheetId="1">#REF!</definedName>
    <definedName name="_may284" localSheetId="0">#REF!</definedName>
    <definedName name="_may284" localSheetId="13">#REF!</definedName>
    <definedName name="_may284">#REF!</definedName>
    <definedName name="_may285" localSheetId="1">#REF!</definedName>
    <definedName name="_may285" localSheetId="0">#REF!</definedName>
    <definedName name="_may285" localSheetId="13">#REF!</definedName>
    <definedName name="_may285">#REF!</definedName>
    <definedName name="_may286" localSheetId="1">#REF!</definedName>
    <definedName name="_may286" localSheetId="0">#REF!</definedName>
    <definedName name="_may286" localSheetId="13">#REF!</definedName>
    <definedName name="_may286">#REF!</definedName>
    <definedName name="_may287" localSheetId="1">#REF!</definedName>
    <definedName name="_may287" localSheetId="0">#REF!</definedName>
    <definedName name="_may287" localSheetId="13">#REF!</definedName>
    <definedName name="_may287">#REF!</definedName>
    <definedName name="_may288" localSheetId="1">#REF!</definedName>
    <definedName name="_may288" localSheetId="0">#REF!</definedName>
    <definedName name="_may288" localSheetId="13">#REF!</definedName>
    <definedName name="_may288">#REF!</definedName>
    <definedName name="_may289" localSheetId="1">#REF!</definedName>
    <definedName name="_may289" localSheetId="0">#REF!</definedName>
    <definedName name="_may289" localSheetId="13">#REF!</definedName>
    <definedName name="_may289">#REF!</definedName>
    <definedName name="_may29" localSheetId="1">#REF!</definedName>
    <definedName name="_may29" localSheetId="0">#REF!</definedName>
    <definedName name="_may29" localSheetId="13">#REF!</definedName>
    <definedName name="_may29">#REF!</definedName>
    <definedName name="_may290" localSheetId="1">#REF!</definedName>
    <definedName name="_may290" localSheetId="0">#REF!</definedName>
    <definedName name="_may290" localSheetId="13">#REF!</definedName>
    <definedName name="_may290">#REF!</definedName>
    <definedName name="_may291" localSheetId="1">#REF!</definedName>
    <definedName name="_may291" localSheetId="0">#REF!</definedName>
    <definedName name="_may291" localSheetId="13">#REF!</definedName>
    <definedName name="_may291">#REF!</definedName>
    <definedName name="_may292" localSheetId="1">#REF!</definedName>
    <definedName name="_may292" localSheetId="0">#REF!</definedName>
    <definedName name="_may292" localSheetId="13">#REF!</definedName>
    <definedName name="_may292">#REF!</definedName>
    <definedName name="_may293" localSheetId="1">#REF!</definedName>
    <definedName name="_may293" localSheetId="0">#REF!</definedName>
    <definedName name="_may293" localSheetId="13">#REF!</definedName>
    <definedName name="_may293">#REF!</definedName>
    <definedName name="_may294" localSheetId="1">#REF!</definedName>
    <definedName name="_may294" localSheetId="0">#REF!</definedName>
    <definedName name="_may294" localSheetId="13">#REF!</definedName>
    <definedName name="_may294">#REF!</definedName>
    <definedName name="_may295" localSheetId="1">#REF!</definedName>
    <definedName name="_may295" localSheetId="0">#REF!</definedName>
    <definedName name="_may295" localSheetId="13">#REF!</definedName>
    <definedName name="_may295">#REF!</definedName>
    <definedName name="_may296" localSheetId="1">#REF!</definedName>
    <definedName name="_may296" localSheetId="0">#REF!</definedName>
    <definedName name="_may296" localSheetId="13">#REF!</definedName>
    <definedName name="_may296">#REF!</definedName>
    <definedName name="_may297" localSheetId="1">#REF!</definedName>
    <definedName name="_may297" localSheetId="0">#REF!</definedName>
    <definedName name="_may297" localSheetId="13">#REF!</definedName>
    <definedName name="_may297">#REF!</definedName>
    <definedName name="_may298" localSheetId="1">#REF!</definedName>
    <definedName name="_may298" localSheetId="0">#REF!</definedName>
    <definedName name="_may298" localSheetId="13">#REF!</definedName>
    <definedName name="_may298">#REF!</definedName>
    <definedName name="_may299" localSheetId="1">#REF!</definedName>
    <definedName name="_may299" localSheetId="0">#REF!</definedName>
    <definedName name="_may299" localSheetId="13">#REF!</definedName>
    <definedName name="_may299">#REF!</definedName>
    <definedName name="_may3" localSheetId="1">#REF!</definedName>
    <definedName name="_may3" localSheetId="0">#REF!</definedName>
    <definedName name="_may3" localSheetId="13">#REF!</definedName>
    <definedName name="_may3">#REF!</definedName>
    <definedName name="_may30" localSheetId="1">#REF!</definedName>
    <definedName name="_may30" localSheetId="0">#REF!</definedName>
    <definedName name="_may30" localSheetId="13">#REF!</definedName>
    <definedName name="_may30">#REF!</definedName>
    <definedName name="_may300" localSheetId="1">#REF!</definedName>
    <definedName name="_may300" localSheetId="0">#REF!</definedName>
    <definedName name="_may300" localSheetId="13">#REF!</definedName>
    <definedName name="_may300">#REF!</definedName>
    <definedName name="_may301" localSheetId="1">#REF!</definedName>
    <definedName name="_may301" localSheetId="0">#REF!</definedName>
    <definedName name="_may301" localSheetId="13">#REF!</definedName>
    <definedName name="_may301">#REF!</definedName>
    <definedName name="_may302" localSheetId="1">#REF!</definedName>
    <definedName name="_may302" localSheetId="0">#REF!</definedName>
    <definedName name="_may302" localSheetId="13">#REF!</definedName>
    <definedName name="_may302">#REF!</definedName>
    <definedName name="_may303" localSheetId="1">#REF!</definedName>
    <definedName name="_may303" localSheetId="0">#REF!</definedName>
    <definedName name="_may303" localSheetId="13">#REF!</definedName>
    <definedName name="_may303">#REF!</definedName>
    <definedName name="_may304" localSheetId="1">#REF!</definedName>
    <definedName name="_may304" localSheetId="0">#REF!</definedName>
    <definedName name="_may304" localSheetId="13">#REF!</definedName>
    <definedName name="_may304">#REF!</definedName>
    <definedName name="_may305" localSheetId="1">#REF!</definedName>
    <definedName name="_may305" localSheetId="0">#REF!</definedName>
    <definedName name="_may305" localSheetId="13">#REF!</definedName>
    <definedName name="_may305">#REF!</definedName>
    <definedName name="_may306" localSheetId="1">#REF!</definedName>
    <definedName name="_may306" localSheetId="0">#REF!</definedName>
    <definedName name="_may306" localSheetId="13">#REF!</definedName>
    <definedName name="_may306">#REF!</definedName>
    <definedName name="_may307" localSheetId="1">#REF!</definedName>
    <definedName name="_may307" localSheetId="0">#REF!</definedName>
    <definedName name="_may307" localSheetId="13">#REF!</definedName>
    <definedName name="_may307">#REF!</definedName>
    <definedName name="_may308" localSheetId="1">#REF!</definedName>
    <definedName name="_may308" localSheetId="0">#REF!</definedName>
    <definedName name="_may308" localSheetId="13">#REF!</definedName>
    <definedName name="_may308">#REF!</definedName>
    <definedName name="_may309" localSheetId="1">#REF!</definedName>
    <definedName name="_may309" localSheetId="0">#REF!</definedName>
    <definedName name="_may309" localSheetId="13">#REF!</definedName>
    <definedName name="_may309">#REF!</definedName>
    <definedName name="_may31" localSheetId="1">#REF!</definedName>
    <definedName name="_may31" localSheetId="0">#REF!</definedName>
    <definedName name="_may31" localSheetId="13">#REF!</definedName>
    <definedName name="_may31">#REF!</definedName>
    <definedName name="_may310" localSheetId="1">#REF!</definedName>
    <definedName name="_may310" localSheetId="0">#REF!</definedName>
    <definedName name="_may310" localSheetId="13">#REF!</definedName>
    <definedName name="_may310">#REF!</definedName>
    <definedName name="_may311" localSheetId="1">#REF!</definedName>
    <definedName name="_may311" localSheetId="0">#REF!</definedName>
    <definedName name="_may311" localSheetId="13">#REF!</definedName>
    <definedName name="_may311">#REF!</definedName>
    <definedName name="_may312" localSheetId="1">#REF!</definedName>
    <definedName name="_may312" localSheetId="0">#REF!</definedName>
    <definedName name="_may312" localSheetId="13">#REF!</definedName>
    <definedName name="_may312">#REF!</definedName>
    <definedName name="_may313" localSheetId="1">#REF!</definedName>
    <definedName name="_may313" localSheetId="0">#REF!</definedName>
    <definedName name="_may313" localSheetId="13">#REF!</definedName>
    <definedName name="_may313">#REF!</definedName>
    <definedName name="_may314" localSheetId="1">#REF!</definedName>
    <definedName name="_may314" localSheetId="0">#REF!</definedName>
    <definedName name="_may314" localSheetId="13">#REF!</definedName>
    <definedName name="_may314">#REF!</definedName>
    <definedName name="_may315" localSheetId="1">#REF!</definedName>
    <definedName name="_may315" localSheetId="0">#REF!</definedName>
    <definedName name="_may315" localSheetId="13">#REF!</definedName>
    <definedName name="_may315">#REF!</definedName>
    <definedName name="_may316" localSheetId="1">#REF!</definedName>
    <definedName name="_may316" localSheetId="0">#REF!</definedName>
    <definedName name="_may316" localSheetId="13">#REF!</definedName>
    <definedName name="_may316">#REF!</definedName>
    <definedName name="_may317" localSheetId="1">#REF!</definedName>
    <definedName name="_may317" localSheetId="0">#REF!</definedName>
    <definedName name="_may317" localSheetId="13">#REF!</definedName>
    <definedName name="_may317">#REF!</definedName>
    <definedName name="_may318" localSheetId="1">#REF!</definedName>
    <definedName name="_may318" localSheetId="0">#REF!</definedName>
    <definedName name="_may318" localSheetId="13">#REF!</definedName>
    <definedName name="_may318">#REF!</definedName>
    <definedName name="_may319" localSheetId="1">#REF!</definedName>
    <definedName name="_may319" localSheetId="0">#REF!</definedName>
    <definedName name="_may319" localSheetId="13">#REF!</definedName>
    <definedName name="_may319">#REF!</definedName>
    <definedName name="_may32" localSheetId="1">#REF!</definedName>
    <definedName name="_may32" localSheetId="0">#REF!</definedName>
    <definedName name="_may32" localSheetId="13">#REF!</definedName>
    <definedName name="_may32">#REF!</definedName>
    <definedName name="_may320" localSheetId="1">#REF!</definedName>
    <definedName name="_may320" localSheetId="0">#REF!</definedName>
    <definedName name="_may320" localSheetId="13">#REF!</definedName>
    <definedName name="_may320">#REF!</definedName>
    <definedName name="_may321" localSheetId="1">#REF!</definedName>
    <definedName name="_may321" localSheetId="0">#REF!</definedName>
    <definedName name="_may321" localSheetId="13">#REF!</definedName>
    <definedName name="_may321">#REF!</definedName>
    <definedName name="_may322" localSheetId="1">#REF!</definedName>
    <definedName name="_may322" localSheetId="0">#REF!</definedName>
    <definedName name="_may322" localSheetId="13">#REF!</definedName>
    <definedName name="_may322">#REF!</definedName>
    <definedName name="_may323" localSheetId="1">#REF!</definedName>
    <definedName name="_may323" localSheetId="0">#REF!</definedName>
    <definedName name="_may323" localSheetId="13">#REF!</definedName>
    <definedName name="_may323">#REF!</definedName>
    <definedName name="_may324" localSheetId="1">#REF!</definedName>
    <definedName name="_may324" localSheetId="0">#REF!</definedName>
    <definedName name="_may324" localSheetId="13">#REF!</definedName>
    <definedName name="_may324">#REF!</definedName>
    <definedName name="_may325" localSheetId="1">#REF!</definedName>
    <definedName name="_may325" localSheetId="0">#REF!</definedName>
    <definedName name="_may325" localSheetId="13">#REF!</definedName>
    <definedName name="_may325">#REF!</definedName>
    <definedName name="_may326" localSheetId="1">#REF!</definedName>
    <definedName name="_may326" localSheetId="0">#REF!</definedName>
    <definedName name="_may326" localSheetId="13">#REF!</definedName>
    <definedName name="_may326">#REF!</definedName>
    <definedName name="_may327" localSheetId="1">#REF!</definedName>
    <definedName name="_may327" localSheetId="0">#REF!</definedName>
    <definedName name="_may327" localSheetId="13">#REF!</definedName>
    <definedName name="_may327">#REF!</definedName>
    <definedName name="_may328" localSheetId="1">#REF!</definedName>
    <definedName name="_may328" localSheetId="0">#REF!</definedName>
    <definedName name="_may328" localSheetId="13">#REF!</definedName>
    <definedName name="_may328">#REF!</definedName>
    <definedName name="_may329" localSheetId="1">#REF!</definedName>
    <definedName name="_may329" localSheetId="0">#REF!</definedName>
    <definedName name="_may329" localSheetId="13">#REF!</definedName>
    <definedName name="_may329">#REF!</definedName>
    <definedName name="_may33" localSheetId="1">#REF!</definedName>
    <definedName name="_may33" localSheetId="0">#REF!</definedName>
    <definedName name="_may33" localSheetId="13">#REF!</definedName>
    <definedName name="_may33">#REF!</definedName>
    <definedName name="_may330" localSheetId="1">#REF!</definedName>
    <definedName name="_may330" localSheetId="0">#REF!</definedName>
    <definedName name="_may330" localSheetId="13">#REF!</definedName>
    <definedName name="_may330">#REF!</definedName>
    <definedName name="_may331" localSheetId="1">#REF!</definedName>
    <definedName name="_may331" localSheetId="0">#REF!</definedName>
    <definedName name="_may331" localSheetId="13">#REF!</definedName>
    <definedName name="_may331">#REF!</definedName>
    <definedName name="_may332" localSheetId="1">#REF!</definedName>
    <definedName name="_may332" localSheetId="0">#REF!</definedName>
    <definedName name="_may332" localSheetId="13">#REF!</definedName>
    <definedName name="_may332">#REF!</definedName>
    <definedName name="_may333" localSheetId="1">#REF!</definedName>
    <definedName name="_may333" localSheetId="0">#REF!</definedName>
    <definedName name="_may333" localSheetId="13">#REF!</definedName>
    <definedName name="_may333">#REF!</definedName>
    <definedName name="_may334" localSheetId="1">#REF!</definedName>
    <definedName name="_may334" localSheetId="0">#REF!</definedName>
    <definedName name="_may334" localSheetId="13">#REF!</definedName>
    <definedName name="_may334">#REF!</definedName>
    <definedName name="_may335" localSheetId="1">#REF!</definedName>
    <definedName name="_may335" localSheetId="0">#REF!</definedName>
    <definedName name="_may335" localSheetId="13">#REF!</definedName>
    <definedName name="_may335">#REF!</definedName>
    <definedName name="_may336" localSheetId="1">#REF!</definedName>
    <definedName name="_may336" localSheetId="0">#REF!</definedName>
    <definedName name="_may336" localSheetId="13">#REF!</definedName>
    <definedName name="_may336">#REF!</definedName>
    <definedName name="_may337" localSheetId="1">#REF!</definedName>
    <definedName name="_may337" localSheetId="0">#REF!</definedName>
    <definedName name="_may337" localSheetId="13">#REF!</definedName>
    <definedName name="_may337">#REF!</definedName>
    <definedName name="_may338" localSheetId="1">#REF!</definedName>
    <definedName name="_may338" localSheetId="0">#REF!</definedName>
    <definedName name="_may338" localSheetId="13">#REF!</definedName>
    <definedName name="_may338">#REF!</definedName>
    <definedName name="_may339" localSheetId="1">#REF!</definedName>
    <definedName name="_may339" localSheetId="0">#REF!</definedName>
    <definedName name="_may339" localSheetId="13">#REF!</definedName>
    <definedName name="_may339">#REF!</definedName>
    <definedName name="_may34" localSheetId="1">#REF!</definedName>
    <definedName name="_may34" localSheetId="0">#REF!</definedName>
    <definedName name="_may34" localSheetId="13">#REF!</definedName>
    <definedName name="_may34">#REF!</definedName>
    <definedName name="_may340" localSheetId="1">#REF!</definedName>
    <definedName name="_may340" localSheetId="0">#REF!</definedName>
    <definedName name="_may340" localSheetId="13">#REF!</definedName>
    <definedName name="_may340">#REF!</definedName>
    <definedName name="_may341" localSheetId="1">#REF!</definedName>
    <definedName name="_may341" localSheetId="0">#REF!</definedName>
    <definedName name="_may341" localSheetId="13">#REF!</definedName>
    <definedName name="_may341">#REF!</definedName>
    <definedName name="_may342" localSheetId="1">#REF!</definedName>
    <definedName name="_may342" localSheetId="0">#REF!</definedName>
    <definedName name="_may342" localSheetId="13">#REF!</definedName>
    <definedName name="_may342">#REF!</definedName>
    <definedName name="_may343" localSheetId="1">#REF!</definedName>
    <definedName name="_may343" localSheetId="0">#REF!</definedName>
    <definedName name="_may343" localSheetId="13">#REF!</definedName>
    <definedName name="_may343">#REF!</definedName>
    <definedName name="_may344" localSheetId="1">#REF!</definedName>
    <definedName name="_may344" localSheetId="0">#REF!</definedName>
    <definedName name="_may344" localSheetId="13">#REF!</definedName>
    <definedName name="_may344">#REF!</definedName>
    <definedName name="_may345" localSheetId="1">#REF!</definedName>
    <definedName name="_may345" localSheetId="0">#REF!</definedName>
    <definedName name="_may345" localSheetId="13">#REF!</definedName>
    <definedName name="_may345">#REF!</definedName>
    <definedName name="_may346" localSheetId="1">#REF!</definedName>
    <definedName name="_may346" localSheetId="0">#REF!</definedName>
    <definedName name="_may346" localSheetId="13">#REF!</definedName>
    <definedName name="_may346">#REF!</definedName>
    <definedName name="_may347" localSheetId="1">#REF!</definedName>
    <definedName name="_may347" localSheetId="0">#REF!</definedName>
    <definedName name="_may347" localSheetId="13">#REF!</definedName>
    <definedName name="_may347">#REF!</definedName>
    <definedName name="_may348" localSheetId="1">#REF!</definedName>
    <definedName name="_may348" localSheetId="0">#REF!</definedName>
    <definedName name="_may348" localSheetId="13">#REF!</definedName>
    <definedName name="_may348">#REF!</definedName>
    <definedName name="_may349" localSheetId="1">#REF!</definedName>
    <definedName name="_may349" localSheetId="0">#REF!</definedName>
    <definedName name="_may349" localSheetId="13">#REF!</definedName>
    <definedName name="_may349">#REF!</definedName>
    <definedName name="_may35" localSheetId="1">#REF!</definedName>
    <definedName name="_may35" localSheetId="0">#REF!</definedName>
    <definedName name="_may35" localSheetId="13">#REF!</definedName>
    <definedName name="_may35">#REF!</definedName>
    <definedName name="_may350" localSheetId="1">#REF!</definedName>
    <definedName name="_may350" localSheetId="0">#REF!</definedName>
    <definedName name="_may350" localSheetId="13">#REF!</definedName>
    <definedName name="_may350">#REF!</definedName>
    <definedName name="_may351" localSheetId="1">#REF!</definedName>
    <definedName name="_may351" localSheetId="0">#REF!</definedName>
    <definedName name="_may351" localSheetId="13">#REF!</definedName>
    <definedName name="_may351">#REF!</definedName>
    <definedName name="_may352" localSheetId="1">#REF!</definedName>
    <definedName name="_may352" localSheetId="0">#REF!</definedName>
    <definedName name="_may352" localSheetId="13">#REF!</definedName>
    <definedName name="_may352">#REF!</definedName>
    <definedName name="_may353" localSheetId="1">#REF!</definedName>
    <definedName name="_may353" localSheetId="0">#REF!</definedName>
    <definedName name="_may353" localSheetId="13">#REF!</definedName>
    <definedName name="_may353">#REF!</definedName>
    <definedName name="_may354" localSheetId="1">#REF!</definedName>
    <definedName name="_may354" localSheetId="0">#REF!</definedName>
    <definedName name="_may354" localSheetId="13">#REF!</definedName>
    <definedName name="_may354">#REF!</definedName>
    <definedName name="_may355" localSheetId="1">#REF!</definedName>
    <definedName name="_may355" localSheetId="0">#REF!</definedName>
    <definedName name="_may355" localSheetId="13">#REF!</definedName>
    <definedName name="_may355">#REF!</definedName>
    <definedName name="_may356" localSheetId="1">#REF!</definedName>
    <definedName name="_may356" localSheetId="0">#REF!</definedName>
    <definedName name="_may356" localSheetId="13">#REF!</definedName>
    <definedName name="_may356">#REF!</definedName>
    <definedName name="_may357" localSheetId="1">#REF!</definedName>
    <definedName name="_may357" localSheetId="0">#REF!</definedName>
    <definedName name="_may357" localSheetId="13">#REF!</definedName>
    <definedName name="_may357">#REF!</definedName>
    <definedName name="_may358" localSheetId="1">#REF!</definedName>
    <definedName name="_may358" localSheetId="0">#REF!</definedName>
    <definedName name="_may358" localSheetId="13">#REF!</definedName>
    <definedName name="_may358">#REF!</definedName>
    <definedName name="_may359" localSheetId="1">#REF!</definedName>
    <definedName name="_may359" localSheetId="0">#REF!</definedName>
    <definedName name="_may359" localSheetId="13">#REF!</definedName>
    <definedName name="_may359">#REF!</definedName>
    <definedName name="_may36" localSheetId="1">#REF!</definedName>
    <definedName name="_may36" localSheetId="0">#REF!</definedName>
    <definedName name="_may36" localSheetId="13">#REF!</definedName>
    <definedName name="_may36">#REF!</definedName>
    <definedName name="_may360" localSheetId="1">#REF!</definedName>
    <definedName name="_may360" localSheetId="0">#REF!</definedName>
    <definedName name="_may360" localSheetId="13">#REF!</definedName>
    <definedName name="_may360">#REF!</definedName>
    <definedName name="_may361" localSheetId="1">#REF!</definedName>
    <definedName name="_may361" localSheetId="0">#REF!</definedName>
    <definedName name="_may361" localSheetId="13">#REF!</definedName>
    <definedName name="_may361">#REF!</definedName>
    <definedName name="_may362" localSheetId="1">#REF!</definedName>
    <definedName name="_may362" localSheetId="0">#REF!</definedName>
    <definedName name="_may362" localSheetId="13">#REF!</definedName>
    <definedName name="_may362">#REF!</definedName>
    <definedName name="_may363" localSheetId="1">#REF!</definedName>
    <definedName name="_may363" localSheetId="0">#REF!</definedName>
    <definedName name="_may363" localSheetId="13">#REF!</definedName>
    <definedName name="_may363">#REF!</definedName>
    <definedName name="_may364" localSheetId="1">#REF!</definedName>
    <definedName name="_may364" localSheetId="0">#REF!</definedName>
    <definedName name="_may364" localSheetId="13">#REF!</definedName>
    <definedName name="_may364">#REF!</definedName>
    <definedName name="_may365" localSheetId="1">#REF!</definedName>
    <definedName name="_may365" localSheetId="0">#REF!</definedName>
    <definedName name="_may365" localSheetId="13">#REF!</definedName>
    <definedName name="_may365">#REF!</definedName>
    <definedName name="_may366" localSheetId="1">#REF!</definedName>
    <definedName name="_may366" localSheetId="0">#REF!</definedName>
    <definedName name="_may366" localSheetId="13">#REF!</definedName>
    <definedName name="_may366">#REF!</definedName>
    <definedName name="_may367" localSheetId="1">#REF!</definedName>
    <definedName name="_may367" localSheetId="0">#REF!</definedName>
    <definedName name="_may367" localSheetId="13">#REF!</definedName>
    <definedName name="_may367">#REF!</definedName>
    <definedName name="_may368" localSheetId="1">#REF!</definedName>
    <definedName name="_may368" localSheetId="0">#REF!</definedName>
    <definedName name="_may368" localSheetId="13">#REF!</definedName>
    <definedName name="_may368">#REF!</definedName>
    <definedName name="_may369" localSheetId="1">#REF!</definedName>
    <definedName name="_may369" localSheetId="0">#REF!</definedName>
    <definedName name="_may369" localSheetId="13">#REF!</definedName>
    <definedName name="_may369">#REF!</definedName>
    <definedName name="_may37" localSheetId="1">#REF!</definedName>
    <definedName name="_may37" localSheetId="0">#REF!</definedName>
    <definedName name="_may37" localSheetId="13">#REF!</definedName>
    <definedName name="_may37">#REF!</definedName>
    <definedName name="_may370" localSheetId="1">#REF!</definedName>
    <definedName name="_may370" localSheetId="0">#REF!</definedName>
    <definedName name="_may370" localSheetId="13">#REF!</definedName>
    <definedName name="_may370">#REF!</definedName>
    <definedName name="_may371" localSheetId="1">#REF!</definedName>
    <definedName name="_may371" localSheetId="0">#REF!</definedName>
    <definedName name="_may371" localSheetId="13">#REF!</definedName>
    <definedName name="_may371">#REF!</definedName>
    <definedName name="_may372" localSheetId="1">#REF!</definedName>
    <definedName name="_may372" localSheetId="0">#REF!</definedName>
    <definedName name="_may372" localSheetId="13">#REF!</definedName>
    <definedName name="_may372">#REF!</definedName>
    <definedName name="_may373" localSheetId="1">#REF!</definedName>
    <definedName name="_may373" localSheetId="0">#REF!</definedName>
    <definedName name="_may373" localSheetId="13">#REF!</definedName>
    <definedName name="_may373">#REF!</definedName>
    <definedName name="_may374" localSheetId="1">#REF!</definedName>
    <definedName name="_may374" localSheetId="0">#REF!</definedName>
    <definedName name="_may374" localSheetId="13">#REF!</definedName>
    <definedName name="_may374">#REF!</definedName>
    <definedName name="_may375" localSheetId="1">#REF!</definedName>
    <definedName name="_may375" localSheetId="0">#REF!</definedName>
    <definedName name="_may375" localSheetId="13">#REF!</definedName>
    <definedName name="_may375">#REF!</definedName>
    <definedName name="_may376" localSheetId="1">#REF!</definedName>
    <definedName name="_may376" localSheetId="0">#REF!</definedName>
    <definedName name="_may376" localSheetId="13">#REF!</definedName>
    <definedName name="_may376">#REF!</definedName>
    <definedName name="_may377" localSheetId="1">#REF!</definedName>
    <definedName name="_may377" localSheetId="0">#REF!</definedName>
    <definedName name="_may377" localSheetId="13">#REF!</definedName>
    <definedName name="_may377">#REF!</definedName>
    <definedName name="_may378" localSheetId="1">#REF!</definedName>
    <definedName name="_may378" localSheetId="0">#REF!</definedName>
    <definedName name="_may378" localSheetId="13">#REF!</definedName>
    <definedName name="_may378">#REF!</definedName>
    <definedName name="_may379" localSheetId="1">#REF!</definedName>
    <definedName name="_may379" localSheetId="0">#REF!</definedName>
    <definedName name="_may379" localSheetId="13">#REF!</definedName>
    <definedName name="_may379">#REF!</definedName>
    <definedName name="_may38" localSheetId="1">#REF!</definedName>
    <definedName name="_may38" localSheetId="0">#REF!</definedName>
    <definedName name="_may38" localSheetId="13">#REF!</definedName>
    <definedName name="_may38">#REF!</definedName>
    <definedName name="_may380" localSheetId="1">#REF!</definedName>
    <definedName name="_may380" localSheetId="0">#REF!</definedName>
    <definedName name="_may380" localSheetId="13">#REF!</definedName>
    <definedName name="_may380">#REF!</definedName>
    <definedName name="_may381" localSheetId="1">#REF!</definedName>
    <definedName name="_may381" localSheetId="0">#REF!</definedName>
    <definedName name="_may381" localSheetId="13">#REF!</definedName>
    <definedName name="_may381">#REF!</definedName>
    <definedName name="_may382" localSheetId="1">#REF!</definedName>
    <definedName name="_may382" localSheetId="0">#REF!</definedName>
    <definedName name="_may382" localSheetId="13">#REF!</definedName>
    <definedName name="_may382">#REF!</definedName>
    <definedName name="_may383" localSheetId="1">#REF!</definedName>
    <definedName name="_may383" localSheetId="0">#REF!</definedName>
    <definedName name="_may383" localSheetId="13">#REF!</definedName>
    <definedName name="_may383">#REF!</definedName>
    <definedName name="_may384" localSheetId="1">#REF!</definedName>
    <definedName name="_may384" localSheetId="0">#REF!</definedName>
    <definedName name="_may384" localSheetId="13">#REF!</definedName>
    <definedName name="_may384">#REF!</definedName>
    <definedName name="_may385" localSheetId="1">#REF!</definedName>
    <definedName name="_may385" localSheetId="0">#REF!</definedName>
    <definedName name="_may385" localSheetId="13">#REF!</definedName>
    <definedName name="_may385">#REF!</definedName>
    <definedName name="_may386" localSheetId="1">#REF!</definedName>
    <definedName name="_may386" localSheetId="0">#REF!</definedName>
    <definedName name="_may386" localSheetId="13">#REF!</definedName>
    <definedName name="_may386">#REF!</definedName>
    <definedName name="_may387" localSheetId="1">#REF!</definedName>
    <definedName name="_may387" localSheetId="0">#REF!</definedName>
    <definedName name="_may387" localSheetId="13">#REF!</definedName>
    <definedName name="_may387">#REF!</definedName>
    <definedName name="_may388" localSheetId="1">#REF!</definedName>
    <definedName name="_may388" localSheetId="0">#REF!</definedName>
    <definedName name="_may388" localSheetId="13">#REF!</definedName>
    <definedName name="_may388">#REF!</definedName>
    <definedName name="_may389" localSheetId="1">#REF!</definedName>
    <definedName name="_may389" localSheetId="0">#REF!</definedName>
    <definedName name="_may389" localSheetId="13">#REF!</definedName>
    <definedName name="_may389">#REF!</definedName>
    <definedName name="_may39" localSheetId="1">#REF!</definedName>
    <definedName name="_may39" localSheetId="0">#REF!</definedName>
    <definedName name="_may39" localSheetId="13">#REF!</definedName>
    <definedName name="_may39">#REF!</definedName>
    <definedName name="_may390" localSheetId="1">#REF!</definedName>
    <definedName name="_may390" localSheetId="0">#REF!</definedName>
    <definedName name="_may390" localSheetId="13">#REF!</definedName>
    <definedName name="_may390">#REF!</definedName>
    <definedName name="_may391" localSheetId="1">#REF!</definedName>
    <definedName name="_may391" localSheetId="0">#REF!</definedName>
    <definedName name="_may391" localSheetId="13">#REF!</definedName>
    <definedName name="_may391">#REF!</definedName>
    <definedName name="_may392" localSheetId="1">#REF!</definedName>
    <definedName name="_may392" localSheetId="0">#REF!</definedName>
    <definedName name="_may392" localSheetId="13">#REF!</definedName>
    <definedName name="_may392">#REF!</definedName>
    <definedName name="_may393" localSheetId="1">#REF!</definedName>
    <definedName name="_may393" localSheetId="0">#REF!</definedName>
    <definedName name="_may393" localSheetId="13">#REF!</definedName>
    <definedName name="_may393">#REF!</definedName>
    <definedName name="_may394" localSheetId="1">#REF!</definedName>
    <definedName name="_may394" localSheetId="0">#REF!</definedName>
    <definedName name="_may394" localSheetId="13">#REF!</definedName>
    <definedName name="_may394">#REF!</definedName>
    <definedName name="_may395" localSheetId="1">#REF!</definedName>
    <definedName name="_may395" localSheetId="0">#REF!</definedName>
    <definedName name="_may395" localSheetId="13">#REF!</definedName>
    <definedName name="_may395">#REF!</definedName>
    <definedName name="_may396" localSheetId="1">#REF!</definedName>
    <definedName name="_may396" localSheetId="0">#REF!</definedName>
    <definedName name="_may396" localSheetId="13">#REF!</definedName>
    <definedName name="_may396">#REF!</definedName>
    <definedName name="_may397" localSheetId="1">#REF!</definedName>
    <definedName name="_may397" localSheetId="0">#REF!</definedName>
    <definedName name="_may397" localSheetId="13">#REF!</definedName>
    <definedName name="_may397">#REF!</definedName>
    <definedName name="_may398" localSheetId="1">#REF!</definedName>
    <definedName name="_may398" localSheetId="0">#REF!</definedName>
    <definedName name="_may398" localSheetId="13">#REF!</definedName>
    <definedName name="_may398">#REF!</definedName>
    <definedName name="_may399" localSheetId="1">#REF!</definedName>
    <definedName name="_may399" localSheetId="0">#REF!</definedName>
    <definedName name="_may399" localSheetId="13">#REF!</definedName>
    <definedName name="_may399">#REF!</definedName>
    <definedName name="_may4" localSheetId="1">#REF!</definedName>
    <definedName name="_may4" localSheetId="0">#REF!</definedName>
    <definedName name="_may4" localSheetId="13">#REF!</definedName>
    <definedName name="_may4">#REF!</definedName>
    <definedName name="_may40" localSheetId="1">#REF!</definedName>
    <definedName name="_may40" localSheetId="0">#REF!</definedName>
    <definedName name="_may40" localSheetId="13">#REF!</definedName>
    <definedName name="_may40">#REF!</definedName>
    <definedName name="_may400" localSheetId="1">#REF!</definedName>
    <definedName name="_may400" localSheetId="0">#REF!</definedName>
    <definedName name="_may400" localSheetId="13">#REF!</definedName>
    <definedName name="_may400">#REF!</definedName>
    <definedName name="_may401" localSheetId="1">#REF!</definedName>
    <definedName name="_may401" localSheetId="0">#REF!</definedName>
    <definedName name="_may401" localSheetId="13">#REF!</definedName>
    <definedName name="_may401">#REF!</definedName>
    <definedName name="_may402" localSheetId="1">#REF!</definedName>
    <definedName name="_may402" localSheetId="0">#REF!</definedName>
    <definedName name="_may402" localSheetId="13">#REF!</definedName>
    <definedName name="_may402">#REF!</definedName>
    <definedName name="_may403" localSheetId="1">#REF!</definedName>
    <definedName name="_may403" localSheetId="0">#REF!</definedName>
    <definedName name="_may403" localSheetId="13">#REF!</definedName>
    <definedName name="_may403">#REF!</definedName>
    <definedName name="_may404" localSheetId="1">#REF!</definedName>
    <definedName name="_may404" localSheetId="0">#REF!</definedName>
    <definedName name="_may404" localSheetId="13">#REF!</definedName>
    <definedName name="_may404">#REF!</definedName>
    <definedName name="_may405" localSheetId="1">#REF!</definedName>
    <definedName name="_may405" localSheetId="0">#REF!</definedName>
    <definedName name="_may405" localSheetId="13">#REF!</definedName>
    <definedName name="_may405">#REF!</definedName>
    <definedName name="_may406" localSheetId="1">#REF!</definedName>
    <definedName name="_may406" localSheetId="0">#REF!</definedName>
    <definedName name="_may406" localSheetId="13">#REF!</definedName>
    <definedName name="_may406">#REF!</definedName>
    <definedName name="_may407" localSheetId="1">#REF!</definedName>
    <definedName name="_may407" localSheetId="0">#REF!</definedName>
    <definedName name="_may407" localSheetId="13">#REF!</definedName>
    <definedName name="_may407">#REF!</definedName>
    <definedName name="_may408" localSheetId="1">#REF!</definedName>
    <definedName name="_may408" localSheetId="0">#REF!</definedName>
    <definedName name="_may408" localSheetId="13">#REF!</definedName>
    <definedName name="_may408">#REF!</definedName>
    <definedName name="_may409" localSheetId="1">#REF!</definedName>
    <definedName name="_may409" localSheetId="0">#REF!</definedName>
    <definedName name="_may409" localSheetId="13">#REF!</definedName>
    <definedName name="_may409">#REF!</definedName>
    <definedName name="_may41" localSheetId="1">#REF!</definedName>
    <definedName name="_may41" localSheetId="0">#REF!</definedName>
    <definedName name="_may41" localSheetId="13">#REF!</definedName>
    <definedName name="_may41">#REF!</definedName>
    <definedName name="_may410" localSheetId="1">#REF!</definedName>
    <definedName name="_may410" localSheetId="0">#REF!</definedName>
    <definedName name="_may410" localSheetId="13">#REF!</definedName>
    <definedName name="_may410">#REF!</definedName>
    <definedName name="_may411" localSheetId="1">#REF!</definedName>
    <definedName name="_may411" localSheetId="0">#REF!</definedName>
    <definedName name="_may411" localSheetId="13">#REF!</definedName>
    <definedName name="_may411">#REF!</definedName>
    <definedName name="_may412" localSheetId="1">#REF!</definedName>
    <definedName name="_may412" localSheetId="0">#REF!</definedName>
    <definedName name="_may412" localSheetId="13">#REF!</definedName>
    <definedName name="_may412">#REF!</definedName>
    <definedName name="_may413" localSheetId="1">#REF!</definedName>
    <definedName name="_may413" localSheetId="0">#REF!</definedName>
    <definedName name="_may413" localSheetId="13">#REF!</definedName>
    <definedName name="_may413">#REF!</definedName>
    <definedName name="_may414" localSheetId="1">#REF!</definedName>
    <definedName name="_may414" localSheetId="0">#REF!</definedName>
    <definedName name="_may414" localSheetId="13">#REF!</definedName>
    <definedName name="_may414">#REF!</definedName>
    <definedName name="_may415" localSheetId="1">#REF!</definedName>
    <definedName name="_may415" localSheetId="0">#REF!</definedName>
    <definedName name="_may415" localSheetId="13">#REF!</definedName>
    <definedName name="_may415">#REF!</definedName>
    <definedName name="_may416" localSheetId="1">#REF!</definedName>
    <definedName name="_may416" localSheetId="0">#REF!</definedName>
    <definedName name="_may416" localSheetId="13">#REF!</definedName>
    <definedName name="_may416">#REF!</definedName>
    <definedName name="_may417" localSheetId="1">#REF!</definedName>
    <definedName name="_may417" localSheetId="0">#REF!</definedName>
    <definedName name="_may417" localSheetId="13">#REF!</definedName>
    <definedName name="_may417">#REF!</definedName>
    <definedName name="_may418" localSheetId="1">#REF!</definedName>
    <definedName name="_may418" localSheetId="0">#REF!</definedName>
    <definedName name="_may418" localSheetId="13">#REF!</definedName>
    <definedName name="_may418">#REF!</definedName>
    <definedName name="_may419" localSheetId="1">#REF!</definedName>
    <definedName name="_may419" localSheetId="0">#REF!</definedName>
    <definedName name="_may419" localSheetId="13">#REF!</definedName>
    <definedName name="_may419">#REF!</definedName>
    <definedName name="_may42" localSheetId="1">#REF!</definedName>
    <definedName name="_may42" localSheetId="0">#REF!</definedName>
    <definedName name="_may42" localSheetId="13">#REF!</definedName>
    <definedName name="_may42">#REF!</definedName>
    <definedName name="_may420" localSheetId="1">#REF!</definedName>
    <definedName name="_may420" localSheetId="0">#REF!</definedName>
    <definedName name="_may420" localSheetId="13">#REF!</definedName>
    <definedName name="_may420">#REF!</definedName>
    <definedName name="_may421" localSheetId="1">#REF!</definedName>
    <definedName name="_may421" localSheetId="0">#REF!</definedName>
    <definedName name="_may421" localSheetId="13">#REF!</definedName>
    <definedName name="_may421">#REF!</definedName>
    <definedName name="_may422" localSheetId="1">#REF!</definedName>
    <definedName name="_may422" localSheetId="0">#REF!</definedName>
    <definedName name="_may422" localSheetId="13">#REF!</definedName>
    <definedName name="_may422">#REF!</definedName>
    <definedName name="_may423" localSheetId="1">#REF!</definedName>
    <definedName name="_may423" localSheetId="0">#REF!</definedName>
    <definedName name="_may423" localSheetId="13">#REF!</definedName>
    <definedName name="_may423">#REF!</definedName>
    <definedName name="_may424" localSheetId="1">#REF!</definedName>
    <definedName name="_may424" localSheetId="0">#REF!</definedName>
    <definedName name="_may424" localSheetId="13">#REF!</definedName>
    <definedName name="_may424">#REF!</definedName>
    <definedName name="_may425" localSheetId="1">#REF!</definedName>
    <definedName name="_may425" localSheetId="0">#REF!</definedName>
    <definedName name="_may425" localSheetId="13">#REF!</definedName>
    <definedName name="_may425">#REF!</definedName>
    <definedName name="_may426" localSheetId="1">#REF!</definedName>
    <definedName name="_may426" localSheetId="0">#REF!</definedName>
    <definedName name="_may426" localSheetId="13">#REF!</definedName>
    <definedName name="_may426">#REF!</definedName>
    <definedName name="_may427" localSheetId="1">#REF!</definedName>
    <definedName name="_may427" localSheetId="0">#REF!</definedName>
    <definedName name="_may427" localSheetId="13">#REF!</definedName>
    <definedName name="_may427">#REF!</definedName>
    <definedName name="_may428" localSheetId="1">#REF!</definedName>
    <definedName name="_may428" localSheetId="0">#REF!</definedName>
    <definedName name="_may428" localSheetId="13">#REF!</definedName>
    <definedName name="_may428">#REF!</definedName>
    <definedName name="_may429" localSheetId="1">#REF!</definedName>
    <definedName name="_may429" localSheetId="0">#REF!</definedName>
    <definedName name="_may429" localSheetId="13">#REF!</definedName>
    <definedName name="_may429">#REF!</definedName>
    <definedName name="_may43" localSheetId="1">#REF!</definedName>
    <definedName name="_may43" localSheetId="0">#REF!</definedName>
    <definedName name="_may43" localSheetId="13">#REF!</definedName>
    <definedName name="_may43">#REF!</definedName>
    <definedName name="_may430" localSheetId="1">#REF!</definedName>
    <definedName name="_may430" localSheetId="0">#REF!</definedName>
    <definedName name="_may430" localSheetId="13">#REF!</definedName>
    <definedName name="_may430">#REF!</definedName>
    <definedName name="_may431" localSheetId="1">#REF!</definedName>
    <definedName name="_may431" localSheetId="0">#REF!</definedName>
    <definedName name="_may431" localSheetId="13">#REF!</definedName>
    <definedName name="_may431">#REF!</definedName>
    <definedName name="_may432" localSheetId="1">#REF!</definedName>
    <definedName name="_may432" localSheetId="0">#REF!</definedName>
    <definedName name="_may432" localSheetId="13">#REF!</definedName>
    <definedName name="_may432">#REF!</definedName>
    <definedName name="_may433" localSheetId="1">#REF!</definedName>
    <definedName name="_may433" localSheetId="0">#REF!</definedName>
    <definedName name="_may433" localSheetId="13">#REF!</definedName>
    <definedName name="_may433">#REF!</definedName>
    <definedName name="_may434" localSheetId="1">#REF!</definedName>
    <definedName name="_may434" localSheetId="0">#REF!</definedName>
    <definedName name="_may434" localSheetId="13">#REF!</definedName>
    <definedName name="_may434">#REF!</definedName>
    <definedName name="_may435" localSheetId="1">#REF!</definedName>
    <definedName name="_may435" localSheetId="0">#REF!</definedName>
    <definedName name="_may435" localSheetId="13">#REF!</definedName>
    <definedName name="_may435">#REF!</definedName>
    <definedName name="_may436" localSheetId="1">#REF!</definedName>
    <definedName name="_may436" localSheetId="0">#REF!</definedName>
    <definedName name="_may436" localSheetId="13">#REF!</definedName>
    <definedName name="_may436">#REF!</definedName>
    <definedName name="_may437" localSheetId="1">#REF!</definedName>
    <definedName name="_may437" localSheetId="0">#REF!</definedName>
    <definedName name="_may437" localSheetId="13">#REF!</definedName>
    <definedName name="_may437">#REF!</definedName>
    <definedName name="_may438" localSheetId="1">#REF!</definedName>
    <definedName name="_may438" localSheetId="0">#REF!</definedName>
    <definedName name="_may438" localSheetId="13">#REF!</definedName>
    <definedName name="_may438">#REF!</definedName>
    <definedName name="_may439" localSheetId="1">#REF!</definedName>
    <definedName name="_may439" localSheetId="0">#REF!</definedName>
    <definedName name="_may439" localSheetId="13">#REF!</definedName>
    <definedName name="_may439">#REF!</definedName>
    <definedName name="_may44" localSheetId="1">#REF!</definedName>
    <definedName name="_may44" localSheetId="0">#REF!</definedName>
    <definedName name="_may44" localSheetId="13">#REF!</definedName>
    <definedName name="_may44">#REF!</definedName>
    <definedName name="_may440" localSheetId="1">#REF!</definedName>
    <definedName name="_may440" localSheetId="0">#REF!</definedName>
    <definedName name="_may440" localSheetId="13">#REF!</definedName>
    <definedName name="_may440">#REF!</definedName>
    <definedName name="_may441" localSheetId="1">#REF!</definedName>
    <definedName name="_may441" localSheetId="0">#REF!</definedName>
    <definedName name="_may441" localSheetId="13">#REF!</definedName>
    <definedName name="_may441">#REF!</definedName>
    <definedName name="_may442" localSheetId="1">#REF!</definedName>
    <definedName name="_may442" localSheetId="0">#REF!</definedName>
    <definedName name="_may442" localSheetId="13">#REF!</definedName>
    <definedName name="_may442">#REF!</definedName>
    <definedName name="_may443" localSheetId="1">#REF!</definedName>
    <definedName name="_may443" localSheetId="0">#REF!</definedName>
    <definedName name="_may443" localSheetId="13">#REF!</definedName>
    <definedName name="_may443">#REF!</definedName>
    <definedName name="_may444" localSheetId="1">#REF!</definedName>
    <definedName name="_may444" localSheetId="0">#REF!</definedName>
    <definedName name="_may444" localSheetId="13">#REF!</definedName>
    <definedName name="_may444">#REF!</definedName>
    <definedName name="_may445" localSheetId="1">#REF!</definedName>
    <definedName name="_may445" localSheetId="0">#REF!</definedName>
    <definedName name="_may445" localSheetId="13">#REF!</definedName>
    <definedName name="_may445">#REF!</definedName>
    <definedName name="_may446" localSheetId="1">#REF!</definedName>
    <definedName name="_may446" localSheetId="0">#REF!</definedName>
    <definedName name="_may446" localSheetId="13">#REF!</definedName>
    <definedName name="_may446">#REF!</definedName>
    <definedName name="_may447" localSheetId="1">#REF!</definedName>
    <definedName name="_may447" localSheetId="0">#REF!</definedName>
    <definedName name="_may447" localSheetId="13">#REF!</definedName>
    <definedName name="_may447">#REF!</definedName>
    <definedName name="_may448" localSheetId="1">#REF!</definedName>
    <definedName name="_may448" localSheetId="0">#REF!</definedName>
    <definedName name="_may448" localSheetId="13">#REF!</definedName>
    <definedName name="_may448">#REF!</definedName>
    <definedName name="_may449" localSheetId="1">#REF!</definedName>
    <definedName name="_may449" localSheetId="0">#REF!</definedName>
    <definedName name="_may449" localSheetId="13">#REF!</definedName>
    <definedName name="_may449">#REF!</definedName>
    <definedName name="_may45" localSheetId="1">#REF!</definedName>
    <definedName name="_may45" localSheetId="0">#REF!</definedName>
    <definedName name="_may45" localSheetId="13">#REF!</definedName>
    <definedName name="_may45">#REF!</definedName>
    <definedName name="_may450" localSheetId="1">#REF!</definedName>
    <definedName name="_may450" localSheetId="0">#REF!</definedName>
    <definedName name="_may450" localSheetId="13">#REF!</definedName>
    <definedName name="_may450">#REF!</definedName>
    <definedName name="_may451" localSheetId="1">#REF!</definedName>
    <definedName name="_may451" localSheetId="0">#REF!</definedName>
    <definedName name="_may451" localSheetId="13">#REF!</definedName>
    <definedName name="_may451">#REF!</definedName>
    <definedName name="_may452" localSheetId="1">#REF!</definedName>
    <definedName name="_may452" localSheetId="0">#REF!</definedName>
    <definedName name="_may452" localSheetId="13">#REF!</definedName>
    <definedName name="_may452">#REF!</definedName>
    <definedName name="_may453" localSheetId="1">#REF!</definedName>
    <definedName name="_may453" localSheetId="0">#REF!</definedName>
    <definedName name="_may453" localSheetId="13">#REF!</definedName>
    <definedName name="_may453">#REF!</definedName>
    <definedName name="_may454" localSheetId="1">#REF!</definedName>
    <definedName name="_may454" localSheetId="0">#REF!</definedName>
    <definedName name="_may454" localSheetId="13">#REF!</definedName>
    <definedName name="_may454">#REF!</definedName>
    <definedName name="_may455" localSheetId="1">#REF!</definedName>
    <definedName name="_may455" localSheetId="0">#REF!</definedName>
    <definedName name="_may455" localSheetId="13">#REF!</definedName>
    <definedName name="_may455">#REF!</definedName>
    <definedName name="_may456" localSheetId="1">#REF!</definedName>
    <definedName name="_may456" localSheetId="0">#REF!</definedName>
    <definedName name="_may456" localSheetId="13">#REF!</definedName>
    <definedName name="_may456">#REF!</definedName>
    <definedName name="_may457" localSheetId="1">#REF!</definedName>
    <definedName name="_may457" localSheetId="0">#REF!</definedName>
    <definedName name="_may457" localSheetId="13">#REF!</definedName>
    <definedName name="_may457">#REF!</definedName>
    <definedName name="_may458" localSheetId="1">#REF!</definedName>
    <definedName name="_may458" localSheetId="0">#REF!</definedName>
    <definedName name="_may458" localSheetId="13">#REF!</definedName>
    <definedName name="_may458">#REF!</definedName>
    <definedName name="_may459" localSheetId="1">#REF!</definedName>
    <definedName name="_may459" localSheetId="0">#REF!</definedName>
    <definedName name="_may459" localSheetId="13">#REF!</definedName>
    <definedName name="_may459">#REF!</definedName>
    <definedName name="_may46" localSheetId="1">#REF!</definedName>
    <definedName name="_may46" localSheetId="0">#REF!</definedName>
    <definedName name="_may46" localSheetId="13">#REF!</definedName>
    <definedName name="_may46">#REF!</definedName>
    <definedName name="_may460" localSheetId="1">#REF!</definedName>
    <definedName name="_may460" localSheetId="0">#REF!</definedName>
    <definedName name="_may460" localSheetId="13">#REF!</definedName>
    <definedName name="_may460">#REF!</definedName>
    <definedName name="_may461" localSheetId="1">#REF!</definedName>
    <definedName name="_may461" localSheetId="0">#REF!</definedName>
    <definedName name="_may461" localSheetId="13">#REF!</definedName>
    <definedName name="_may461">#REF!</definedName>
    <definedName name="_may462" localSheetId="1">#REF!</definedName>
    <definedName name="_may462" localSheetId="0">#REF!</definedName>
    <definedName name="_may462" localSheetId="13">#REF!</definedName>
    <definedName name="_may462">#REF!</definedName>
    <definedName name="_may463" localSheetId="1">#REF!</definedName>
    <definedName name="_may463" localSheetId="0">#REF!</definedName>
    <definedName name="_may463" localSheetId="13">#REF!</definedName>
    <definedName name="_may463">#REF!</definedName>
    <definedName name="_may464" localSheetId="1">#REF!</definedName>
    <definedName name="_may464" localSheetId="0">#REF!</definedName>
    <definedName name="_may464" localSheetId="13">#REF!</definedName>
    <definedName name="_may464">#REF!</definedName>
    <definedName name="_may465" localSheetId="1">#REF!</definedName>
    <definedName name="_may465" localSheetId="0">#REF!</definedName>
    <definedName name="_may465" localSheetId="13">#REF!</definedName>
    <definedName name="_may465">#REF!</definedName>
    <definedName name="_may466" localSheetId="1">#REF!</definedName>
    <definedName name="_may466" localSheetId="0">#REF!</definedName>
    <definedName name="_may466" localSheetId="13">#REF!</definedName>
    <definedName name="_may466">#REF!</definedName>
    <definedName name="_may467" localSheetId="1">#REF!</definedName>
    <definedName name="_may467" localSheetId="0">#REF!</definedName>
    <definedName name="_may467" localSheetId="13">#REF!</definedName>
    <definedName name="_may467">#REF!</definedName>
    <definedName name="_may468" localSheetId="1">#REF!</definedName>
    <definedName name="_may468" localSheetId="0">#REF!</definedName>
    <definedName name="_may468" localSheetId="13">#REF!</definedName>
    <definedName name="_may468">#REF!</definedName>
    <definedName name="_may469" localSheetId="1">#REF!</definedName>
    <definedName name="_may469" localSheetId="0">#REF!</definedName>
    <definedName name="_may469" localSheetId="13">#REF!</definedName>
    <definedName name="_may469">#REF!</definedName>
    <definedName name="_may47" localSheetId="1">#REF!</definedName>
    <definedName name="_may47" localSheetId="0">#REF!</definedName>
    <definedName name="_may47" localSheetId="13">#REF!</definedName>
    <definedName name="_may47">#REF!</definedName>
    <definedName name="_may470" localSheetId="1">#REF!</definedName>
    <definedName name="_may470" localSheetId="0">#REF!</definedName>
    <definedName name="_may470" localSheetId="13">#REF!</definedName>
    <definedName name="_may470">#REF!</definedName>
    <definedName name="_may471" localSheetId="1">#REF!</definedName>
    <definedName name="_may471" localSheetId="0">#REF!</definedName>
    <definedName name="_may471" localSheetId="13">#REF!</definedName>
    <definedName name="_may471">#REF!</definedName>
    <definedName name="_may472" localSheetId="1">#REF!</definedName>
    <definedName name="_may472" localSheetId="0">#REF!</definedName>
    <definedName name="_may472" localSheetId="13">#REF!</definedName>
    <definedName name="_may472">#REF!</definedName>
    <definedName name="_may473" localSheetId="1">#REF!</definedName>
    <definedName name="_may473" localSheetId="0">#REF!</definedName>
    <definedName name="_may473" localSheetId="13">#REF!</definedName>
    <definedName name="_may473">#REF!</definedName>
    <definedName name="_may474" localSheetId="1">#REF!</definedName>
    <definedName name="_may474" localSheetId="0">#REF!</definedName>
    <definedName name="_may474" localSheetId="13">#REF!</definedName>
    <definedName name="_may474">#REF!</definedName>
    <definedName name="_may475" localSheetId="1">#REF!</definedName>
    <definedName name="_may475" localSheetId="0">#REF!</definedName>
    <definedName name="_may475" localSheetId="13">#REF!</definedName>
    <definedName name="_may475">#REF!</definedName>
    <definedName name="_may476" localSheetId="1">#REF!</definedName>
    <definedName name="_may476" localSheetId="0">#REF!</definedName>
    <definedName name="_may476" localSheetId="13">#REF!</definedName>
    <definedName name="_may476">#REF!</definedName>
    <definedName name="_may477" localSheetId="1">#REF!</definedName>
    <definedName name="_may477" localSheetId="0">#REF!</definedName>
    <definedName name="_may477" localSheetId="13">#REF!</definedName>
    <definedName name="_may477">#REF!</definedName>
    <definedName name="_may478" localSheetId="1">#REF!</definedName>
    <definedName name="_may478" localSheetId="0">#REF!</definedName>
    <definedName name="_may478" localSheetId="13">#REF!</definedName>
    <definedName name="_may478">#REF!</definedName>
    <definedName name="_may479" localSheetId="1">#REF!</definedName>
    <definedName name="_may479" localSheetId="0">#REF!</definedName>
    <definedName name="_may479" localSheetId="13">#REF!</definedName>
    <definedName name="_may479">#REF!</definedName>
    <definedName name="_may48" localSheetId="1">#REF!</definedName>
    <definedName name="_may48" localSheetId="0">#REF!</definedName>
    <definedName name="_may48" localSheetId="13">#REF!</definedName>
    <definedName name="_may48">#REF!</definedName>
    <definedName name="_may480" localSheetId="1">#REF!</definedName>
    <definedName name="_may480" localSheetId="0">#REF!</definedName>
    <definedName name="_may480" localSheetId="13">#REF!</definedName>
    <definedName name="_may480">#REF!</definedName>
    <definedName name="_may481" localSheetId="1">#REF!</definedName>
    <definedName name="_may481" localSheetId="0">#REF!</definedName>
    <definedName name="_may481" localSheetId="13">#REF!</definedName>
    <definedName name="_may481">#REF!</definedName>
    <definedName name="_may482" localSheetId="1">#REF!</definedName>
    <definedName name="_may482" localSheetId="0">#REF!</definedName>
    <definedName name="_may482" localSheetId="13">#REF!</definedName>
    <definedName name="_may482">#REF!</definedName>
    <definedName name="_may483" localSheetId="1">#REF!</definedName>
    <definedName name="_may483" localSheetId="0">#REF!</definedName>
    <definedName name="_may483" localSheetId="13">#REF!</definedName>
    <definedName name="_may483">#REF!</definedName>
    <definedName name="_may484" localSheetId="1">#REF!</definedName>
    <definedName name="_may484" localSheetId="0">#REF!</definedName>
    <definedName name="_may484" localSheetId="13">#REF!</definedName>
    <definedName name="_may484">#REF!</definedName>
    <definedName name="_may485" localSheetId="1">#REF!</definedName>
    <definedName name="_may485" localSheetId="0">#REF!</definedName>
    <definedName name="_may485" localSheetId="13">#REF!</definedName>
    <definedName name="_may485">#REF!</definedName>
    <definedName name="_may486" localSheetId="1">#REF!</definedName>
    <definedName name="_may486" localSheetId="0">#REF!</definedName>
    <definedName name="_may486" localSheetId="13">#REF!</definedName>
    <definedName name="_may486">#REF!</definedName>
    <definedName name="_may487" localSheetId="1">#REF!</definedName>
    <definedName name="_may487" localSheetId="0">#REF!</definedName>
    <definedName name="_may487" localSheetId="13">#REF!</definedName>
    <definedName name="_may487">#REF!</definedName>
    <definedName name="_may488" localSheetId="1">#REF!</definedName>
    <definedName name="_may488" localSheetId="0">#REF!</definedName>
    <definedName name="_may488" localSheetId="13">#REF!</definedName>
    <definedName name="_may488">#REF!</definedName>
    <definedName name="_may489" localSheetId="1">#REF!</definedName>
    <definedName name="_may489" localSheetId="0">#REF!</definedName>
    <definedName name="_may489" localSheetId="13">#REF!</definedName>
    <definedName name="_may489">#REF!</definedName>
    <definedName name="_may49" localSheetId="1">#REF!</definedName>
    <definedName name="_may49" localSheetId="0">#REF!</definedName>
    <definedName name="_may49" localSheetId="13">#REF!</definedName>
    <definedName name="_may49">#REF!</definedName>
    <definedName name="_may490" localSheetId="1">#REF!</definedName>
    <definedName name="_may490" localSheetId="0">#REF!</definedName>
    <definedName name="_may490" localSheetId="13">#REF!</definedName>
    <definedName name="_may490">#REF!</definedName>
    <definedName name="_may491" localSheetId="1">#REF!</definedName>
    <definedName name="_may491" localSheetId="0">#REF!</definedName>
    <definedName name="_may491" localSheetId="13">#REF!</definedName>
    <definedName name="_may491">#REF!</definedName>
    <definedName name="_may492" localSheetId="1">#REF!</definedName>
    <definedName name="_may492" localSheetId="0">#REF!</definedName>
    <definedName name="_may492" localSheetId="13">#REF!</definedName>
    <definedName name="_may492">#REF!</definedName>
    <definedName name="_may493" localSheetId="1">#REF!</definedName>
    <definedName name="_may493" localSheetId="0">#REF!</definedName>
    <definedName name="_may493" localSheetId="13">#REF!</definedName>
    <definedName name="_may493">#REF!</definedName>
    <definedName name="_may494" localSheetId="1">#REF!</definedName>
    <definedName name="_may494" localSheetId="0">#REF!</definedName>
    <definedName name="_may494" localSheetId="13">#REF!</definedName>
    <definedName name="_may494">#REF!</definedName>
    <definedName name="_may495" localSheetId="1">#REF!</definedName>
    <definedName name="_may495" localSheetId="0">#REF!</definedName>
    <definedName name="_may495" localSheetId="13">#REF!</definedName>
    <definedName name="_may495">#REF!</definedName>
    <definedName name="_may496" localSheetId="1">#REF!</definedName>
    <definedName name="_may496" localSheetId="0">#REF!</definedName>
    <definedName name="_may496" localSheetId="13">#REF!</definedName>
    <definedName name="_may496">#REF!</definedName>
    <definedName name="_may497" localSheetId="1">#REF!</definedName>
    <definedName name="_may497" localSheetId="0">#REF!</definedName>
    <definedName name="_may497" localSheetId="13">#REF!</definedName>
    <definedName name="_may497">#REF!</definedName>
    <definedName name="_may498" localSheetId="1">#REF!</definedName>
    <definedName name="_may498" localSheetId="0">#REF!</definedName>
    <definedName name="_may498" localSheetId="13">#REF!</definedName>
    <definedName name="_may498">#REF!</definedName>
    <definedName name="_may499" localSheetId="1">#REF!</definedName>
    <definedName name="_may499" localSheetId="0">#REF!</definedName>
    <definedName name="_may499" localSheetId="13">#REF!</definedName>
    <definedName name="_may499">#REF!</definedName>
    <definedName name="_may5" localSheetId="1">#REF!</definedName>
    <definedName name="_may5" localSheetId="0">#REF!</definedName>
    <definedName name="_may5" localSheetId="13">#REF!</definedName>
    <definedName name="_may5">#REF!</definedName>
    <definedName name="_may50" localSheetId="1">#REF!</definedName>
    <definedName name="_may50" localSheetId="0">#REF!</definedName>
    <definedName name="_may50" localSheetId="13">#REF!</definedName>
    <definedName name="_may50">#REF!</definedName>
    <definedName name="_may500" localSheetId="1">#REF!</definedName>
    <definedName name="_may500" localSheetId="0">#REF!</definedName>
    <definedName name="_may500" localSheetId="13">#REF!</definedName>
    <definedName name="_may500">#REF!</definedName>
    <definedName name="_may501" localSheetId="1">#REF!</definedName>
    <definedName name="_may501" localSheetId="0">#REF!</definedName>
    <definedName name="_may501" localSheetId="13">#REF!</definedName>
    <definedName name="_may501">#REF!</definedName>
    <definedName name="_may502" localSheetId="1">#REF!</definedName>
    <definedName name="_may502" localSheetId="0">#REF!</definedName>
    <definedName name="_may502" localSheetId="13">#REF!</definedName>
    <definedName name="_may502">#REF!</definedName>
    <definedName name="_may503" localSheetId="1">#REF!</definedName>
    <definedName name="_may503" localSheetId="0">#REF!</definedName>
    <definedName name="_may503" localSheetId="13">#REF!</definedName>
    <definedName name="_may503">#REF!</definedName>
    <definedName name="_may504" localSheetId="1">#REF!</definedName>
    <definedName name="_may504" localSheetId="0">#REF!</definedName>
    <definedName name="_may504" localSheetId="13">#REF!</definedName>
    <definedName name="_may504">#REF!</definedName>
    <definedName name="_may505" localSheetId="1">#REF!</definedName>
    <definedName name="_may505" localSheetId="0">#REF!</definedName>
    <definedName name="_may505" localSheetId="13">#REF!</definedName>
    <definedName name="_may505">#REF!</definedName>
    <definedName name="_may506" localSheetId="1">#REF!</definedName>
    <definedName name="_may506" localSheetId="0">#REF!</definedName>
    <definedName name="_may506" localSheetId="13">#REF!</definedName>
    <definedName name="_may506">#REF!</definedName>
    <definedName name="_may507" localSheetId="1">#REF!</definedName>
    <definedName name="_may507" localSheetId="0">#REF!</definedName>
    <definedName name="_may507" localSheetId="13">#REF!</definedName>
    <definedName name="_may507">#REF!</definedName>
    <definedName name="_may508" localSheetId="1">#REF!</definedName>
    <definedName name="_may508" localSheetId="0">#REF!</definedName>
    <definedName name="_may508" localSheetId="13">#REF!</definedName>
    <definedName name="_may508">#REF!</definedName>
    <definedName name="_may509" localSheetId="1">#REF!</definedName>
    <definedName name="_may509" localSheetId="0">#REF!</definedName>
    <definedName name="_may509" localSheetId="13">#REF!</definedName>
    <definedName name="_may509">#REF!</definedName>
    <definedName name="_may51" localSheetId="1">#REF!</definedName>
    <definedName name="_may51" localSheetId="0">#REF!</definedName>
    <definedName name="_may51" localSheetId="13">#REF!</definedName>
    <definedName name="_may51">#REF!</definedName>
    <definedName name="_may510" localSheetId="1">#REF!</definedName>
    <definedName name="_may510" localSheetId="0">#REF!</definedName>
    <definedName name="_may510" localSheetId="13">#REF!</definedName>
    <definedName name="_may510">#REF!</definedName>
    <definedName name="_may511" localSheetId="1">#REF!</definedName>
    <definedName name="_may511" localSheetId="0">#REF!</definedName>
    <definedName name="_may511" localSheetId="13">#REF!</definedName>
    <definedName name="_may511">#REF!</definedName>
    <definedName name="_may512" localSheetId="1">#REF!</definedName>
    <definedName name="_may512" localSheetId="0">#REF!</definedName>
    <definedName name="_may512" localSheetId="13">#REF!</definedName>
    <definedName name="_may512">#REF!</definedName>
    <definedName name="_may513" localSheetId="1">#REF!</definedName>
    <definedName name="_may513" localSheetId="0">#REF!</definedName>
    <definedName name="_may513" localSheetId="13">#REF!</definedName>
    <definedName name="_may513">#REF!</definedName>
    <definedName name="_may514" localSheetId="1">#REF!</definedName>
    <definedName name="_may514" localSheetId="0">#REF!</definedName>
    <definedName name="_may514" localSheetId="13">#REF!</definedName>
    <definedName name="_may514">#REF!</definedName>
    <definedName name="_may515" localSheetId="1">#REF!</definedName>
    <definedName name="_may515" localSheetId="0">#REF!</definedName>
    <definedName name="_may515" localSheetId="13">#REF!</definedName>
    <definedName name="_may515">#REF!</definedName>
    <definedName name="_may516" localSheetId="1">#REF!</definedName>
    <definedName name="_may516" localSheetId="0">#REF!</definedName>
    <definedName name="_may516" localSheetId="13">#REF!</definedName>
    <definedName name="_may516">#REF!</definedName>
    <definedName name="_may517" localSheetId="1">#REF!</definedName>
    <definedName name="_may517" localSheetId="0">#REF!</definedName>
    <definedName name="_may517" localSheetId="13">#REF!</definedName>
    <definedName name="_may517">#REF!</definedName>
    <definedName name="_may518" localSheetId="1">#REF!</definedName>
    <definedName name="_may518" localSheetId="0">#REF!</definedName>
    <definedName name="_may518" localSheetId="13">#REF!</definedName>
    <definedName name="_may518">#REF!</definedName>
    <definedName name="_may519" localSheetId="1">#REF!</definedName>
    <definedName name="_may519" localSheetId="0">#REF!</definedName>
    <definedName name="_may519" localSheetId="13">#REF!</definedName>
    <definedName name="_may519">#REF!</definedName>
    <definedName name="_may52" localSheetId="1">#REF!</definedName>
    <definedName name="_may52" localSheetId="0">#REF!</definedName>
    <definedName name="_may52" localSheetId="13">#REF!</definedName>
    <definedName name="_may52">#REF!</definedName>
    <definedName name="_may520" localSheetId="1">#REF!</definedName>
    <definedName name="_may520" localSheetId="0">#REF!</definedName>
    <definedName name="_may520" localSheetId="13">#REF!</definedName>
    <definedName name="_may520">#REF!</definedName>
    <definedName name="_may521" localSheetId="1">#REF!</definedName>
    <definedName name="_may521" localSheetId="0">#REF!</definedName>
    <definedName name="_may521" localSheetId="13">#REF!</definedName>
    <definedName name="_may521">#REF!</definedName>
    <definedName name="_may522" localSheetId="1">#REF!</definedName>
    <definedName name="_may522" localSheetId="0">#REF!</definedName>
    <definedName name="_may522" localSheetId="13">#REF!</definedName>
    <definedName name="_may522">#REF!</definedName>
    <definedName name="_may523" localSheetId="1">#REF!</definedName>
    <definedName name="_may523" localSheetId="0">#REF!</definedName>
    <definedName name="_may523" localSheetId="13">#REF!</definedName>
    <definedName name="_may523">#REF!</definedName>
    <definedName name="_may524" localSheetId="1">#REF!</definedName>
    <definedName name="_may524" localSheetId="0">#REF!</definedName>
    <definedName name="_may524" localSheetId="13">#REF!</definedName>
    <definedName name="_may524">#REF!</definedName>
    <definedName name="_may525" localSheetId="1">#REF!</definedName>
    <definedName name="_may525" localSheetId="0">#REF!</definedName>
    <definedName name="_may525" localSheetId="13">#REF!</definedName>
    <definedName name="_may525">#REF!</definedName>
    <definedName name="_may526" localSheetId="1">#REF!</definedName>
    <definedName name="_may526" localSheetId="0">#REF!</definedName>
    <definedName name="_may526" localSheetId="13">#REF!</definedName>
    <definedName name="_may526">#REF!</definedName>
    <definedName name="_may527" localSheetId="1">#REF!</definedName>
    <definedName name="_may527" localSheetId="0">#REF!</definedName>
    <definedName name="_may527" localSheetId="13">#REF!</definedName>
    <definedName name="_may527">#REF!</definedName>
    <definedName name="_may528" localSheetId="1">#REF!</definedName>
    <definedName name="_may528" localSheetId="0">#REF!</definedName>
    <definedName name="_may528" localSheetId="13">#REF!</definedName>
    <definedName name="_may528">#REF!</definedName>
    <definedName name="_may529" localSheetId="1">#REF!</definedName>
    <definedName name="_may529" localSheetId="0">#REF!</definedName>
    <definedName name="_may529" localSheetId="13">#REF!</definedName>
    <definedName name="_may529">#REF!</definedName>
    <definedName name="_may53" localSheetId="1">#REF!</definedName>
    <definedName name="_may53" localSheetId="0">#REF!</definedName>
    <definedName name="_may53" localSheetId="13">#REF!</definedName>
    <definedName name="_may53">#REF!</definedName>
    <definedName name="_may530" localSheetId="1">#REF!</definedName>
    <definedName name="_may530" localSheetId="0">#REF!</definedName>
    <definedName name="_may530" localSheetId="13">#REF!</definedName>
    <definedName name="_may530">#REF!</definedName>
    <definedName name="_may531" localSheetId="1">#REF!</definedName>
    <definedName name="_may531" localSheetId="0">#REF!</definedName>
    <definedName name="_may531" localSheetId="13">#REF!</definedName>
    <definedName name="_may531">#REF!</definedName>
    <definedName name="_may532" localSheetId="1">#REF!</definedName>
    <definedName name="_may532" localSheetId="0">#REF!</definedName>
    <definedName name="_may532" localSheetId="13">#REF!</definedName>
    <definedName name="_may532">#REF!</definedName>
    <definedName name="_may533" localSheetId="1">#REF!</definedName>
    <definedName name="_may533" localSheetId="0">#REF!</definedName>
    <definedName name="_may533" localSheetId="13">#REF!</definedName>
    <definedName name="_may533">#REF!</definedName>
    <definedName name="_may534" localSheetId="1">#REF!</definedName>
    <definedName name="_may534" localSheetId="0">#REF!</definedName>
    <definedName name="_may534" localSheetId="13">#REF!</definedName>
    <definedName name="_may534">#REF!</definedName>
    <definedName name="_may535" localSheetId="1">#REF!</definedName>
    <definedName name="_may535" localSheetId="0">#REF!</definedName>
    <definedName name="_may535" localSheetId="13">#REF!</definedName>
    <definedName name="_may535">#REF!</definedName>
    <definedName name="_may536" localSheetId="1">#REF!</definedName>
    <definedName name="_may536" localSheetId="0">#REF!</definedName>
    <definedName name="_may536" localSheetId="13">#REF!</definedName>
    <definedName name="_may536">#REF!</definedName>
    <definedName name="_may537" localSheetId="1">#REF!</definedName>
    <definedName name="_may537" localSheetId="0">#REF!</definedName>
    <definedName name="_may537" localSheetId="13">#REF!</definedName>
    <definedName name="_may537">#REF!</definedName>
    <definedName name="_may538" localSheetId="1">#REF!</definedName>
    <definedName name="_may538" localSheetId="0">#REF!</definedName>
    <definedName name="_may538" localSheetId="13">#REF!</definedName>
    <definedName name="_may538">#REF!</definedName>
    <definedName name="_may539" localSheetId="1">#REF!</definedName>
    <definedName name="_may539" localSheetId="0">#REF!</definedName>
    <definedName name="_may539" localSheetId="13">#REF!</definedName>
    <definedName name="_may539">#REF!</definedName>
    <definedName name="_may54" localSheetId="1">#REF!</definedName>
    <definedName name="_may54" localSheetId="0">#REF!</definedName>
    <definedName name="_may54" localSheetId="13">#REF!</definedName>
    <definedName name="_may54">#REF!</definedName>
    <definedName name="_may540" localSheetId="1">#REF!</definedName>
    <definedName name="_may540" localSheetId="0">#REF!</definedName>
    <definedName name="_may540" localSheetId="13">#REF!</definedName>
    <definedName name="_may540">#REF!</definedName>
    <definedName name="_may541" localSheetId="1">#REF!</definedName>
    <definedName name="_may541" localSheetId="0">#REF!</definedName>
    <definedName name="_may541" localSheetId="13">#REF!</definedName>
    <definedName name="_may541">#REF!</definedName>
    <definedName name="_may542" localSheetId="1">#REF!</definedName>
    <definedName name="_may542" localSheetId="0">#REF!</definedName>
    <definedName name="_may542" localSheetId="13">#REF!</definedName>
    <definedName name="_may542">#REF!</definedName>
    <definedName name="_may543" localSheetId="1">#REF!</definedName>
    <definedName name="_may543" localSheetId="0">#REF!</definedName>
    <definedName name="_may543" localSheetId="13">#REF!</definedName>
    <definedName name="_may543">#REF!</definedName>
    <definedName name="_may544" localSheetId="1">#REF!</definedName>
    <definedName name="_may544" localSheetId="0">#REF!</definedName>
    <definedName name="_may544" localSheetId="13">#REF!</definedName>
    <definedName name="_may544">#REF!</definedName>
    <definedName name="_may545" localSheetId="1">#REF!</definedName>
    <definedName name="_may545" localSheetId="0">#REF!</definedName>
    <definedName name="_may545" localSheetId="13">#REF!</definedName>
    <definedName name="_may545">#REF!</definedName>
    <definedName name="_may546" localSheetId="1">#REF!</definedName>
    <definedName name="_may546" localSheetId="0">#REF!</definedName>
    <definedName name="_may546" localSheetId="13">#REF!</definedName>
    <definedName name="_may546">#REF!</definedName>
    <definedName name="_may547" localSheetId="1">#REF!</definedName>
    <definedName name="_may547" localSheetId="0">#REF!</definedName>
    <definedName name="_may547" localSheetId="13">#REF!</definedName>
    <definedName name="_may547">#REF!</definedName>
    <definedName name="_may548" localSheetId="1">#REF!</definedName>
    <definedName name="_may548" localSheetId="0">#REF!</definedName>
    <definedName name="_may548" localSheetId="13">#REF!</definedName>
    <definedName name="_may548">#REF!</definedName>
    <definedName name="_may549" localSheetId="1">#REF!</definedName>
    <definedName name="_may549" localSheetId="0">#REF!</definedName>
    <definedName name="_may549" localSheetId="13">#REF!</definedName>
    <definedName name="_may549">#REF!</definedName>
    <definedName name="_may55" localSheetId="1">#REF!</definedName>
    <definedName name="_may55" localSheetId="0">#REF!</definedName>
    <definedName name="_may55" localSheetId="13">#REF!</definedName>
    <definedName name="_may55">#REF!</definedName>
    <definedName name="_may550" localSheetId="1">#REF!</definedName>
    <definedName name="_may550" localSheetId="0">#REF!</definedName>
    <definedName name="_may550" localSheetId="13">#REF!</definedName>
    <definedName name="_may550">#REF!</definedName>
    <definedName name="_may551" localSheetId="1">#REF!</definedName>
    <definedName name="_may551" localSheetId="0">#REF!</definedName>
    <definedName name="_may551" localSheetId="13">#REF!</definedName>
    <definedName name="_may551">#REF!</definedName>
    <definedName name="_may552" localSheetId="1">#REF!</definedName>
    <definedName name="_may552" localSheetId="0">#REF!</definedName>
    <definedName name="_may552" localSheetId="13">#REF!</definedName>
    <definedName name="_may552">#REF!</definedName>
    <definedName name="_may553" localSheetId="1">#REF!</definedName>
    <definedName name="_may553" localSheetId="0">#REF!</definedName>
    <definedName name="_may553" localSheetId="13">#REF!</definedName>
    <definedName name="_may553">#REF!</definedName>
    <definedName name="_may554" localSheetId="1">#REF!</definedName>
    <definedName name="_may554" localSheetId="0">#REF!</definedName>
    <definedName name="_may554" localSheetId="13">#REF!</definedName>
    <definedName name="_may554">#REF!</definedName>
    <definedName name="_may555" localSheetId="1">#REF!</definedName>
    <definedName name="_may555" localSheetId="0">#REF!</definedName>
    <definedName name="_may555" localSheetId="13">#REF!</definedName>
    <definedName name="_may555">#REF!</definedName>
    <definedName name="_may556" localSheetId="1">#REF!</definedName>
    <definedName name="_may556" localSheetId="0">#REF!</definedName>
    <definedName name="_may556" localSheetId="13">#REF!</definedName>
    <definedName name="_may556">#REF!</definedName>
    <definedName name="_may557" localSheetId="1">#REF!</definedName>
    <definedName name="_may557" localSheetId="0">#REF!</definedName>
    <definedName name="_may557" localSheetId="13">#REF!</definedName>
    <definedName name="_may557">#REF!</definedName>
    <definedName name="_may558" localSheetId="1">#REF!</definedName>
    <definedName name="_may558" localSheetId="0">#REF!</definedName>
    <definedName name="_may558" localSheetId="13">#REF!</definedName>
    <definedName name="_may558">#REF!</definedName>
    <definedName name="_may559" localSheetId="1">#REF!</definedName>
    <definedName name="_may559" localSheetId="0">#REF!</definedName>
    <definedName name="_may559" localSheetId="13">#REF!</definedName>
    <definedName name="_may559">#REF!</definedName>
    <definedName name="_may56" localSheetId="1">#REF!</definedName>
    <definedName name="_may56" localSheetId="0">#REF!</definedName>
    <definedName name="_may56" localSheetId="13">#REF!</definedName>
    <definedName name="_may56">#REF!</definedName>
    <definedName name="_may560" localSheetId="1">#REF!</definedName>
    <definedName name="_may560" localSheetId="0">#REF!</definedName>
    <definedName name="_may560" localSheetId="13">#REF!</definedName>
    <definedName name="_may560">#REF!</definedName>
    <definedName name="_may561" localSheetId="1">#REF!</definedName>
    <definedName name="_may561" localSheetId="0">#REF!</definedName>
    <definedName name="_may561" localSheetId="13">#REF!</definedName>
    <definedName name="_may561">#REF!</definedName>
    <definedName name="_may562" localSheetId="1">#REF!</definedName>
    <definedName name="_may562" localSheetId="0">#REF!</definedName>
    <definedName name="_may562" localSheetId="13">#REF!</definedName>
    <definedName name="_may562">#REF!</definedName>
    <definedName name="_may563" localSheetId="1">#REF!</definedName>
    <definedName name="_may563" localSheetId="0">#REF!</definedName>
    <definedName name="_may563" localSheetId="13">#REF!</definedName>
    <definedName name="_may563">#REF!</definedName>
    <definedName name="_may564" localSheetId="1">#REF!</definedName>
    <definedName name="_may564" localSheetId="0">#REF!</definedName>
    <definedName name="_may564" localSheetId="13">#REF!</definedName>
    <definedName name="_may564">#REF!</definedName>
    <definedName name="_may565" localSheetId="1">#REF!</definedName>
    <definedName name="_may565" localSheetId="0">#REF!</definedName>
    <definedName name="_may565" localSheetId="13">#REF!</definedName>
    <definedName name="_may565">#REF!</definedName>
    <definedName name="_may57" localSheetId="1">#REF!</definedName>
    <definedName name="_may57" localSheetId="0">#REF!</definedName>
    <definedName name="_may57" localSheetId="13">#REF!</definedName>
    <definedName name="_may57">#REF!</definedName>
    <definedName name="_may58" localSheetId="1">#REF!</definedName>
    <definedName name="_may58" localSheetId="0">#REF!</definedName>
    <definedName name="_may58" localSheetId="13">#REF!</definedName>
    <definedName name="_may58">#REF!</definedName>
    <definedName name="_may59" localSheetId="1">#REF!</definedName>
    <definedName name="_may59" localSheetId="0">#REF!</definedName>
    <definedName name="_may59" localSheetId="13">#REF!</definedName>
    <definedName name="_may59">#REF!</definedName>
    <definedName name="_may6" localSheetId="1">#REF!</definedName>
    <definedName name="_may6" localSheetId="0">#REF!</definedName>
    <definedName name="_may6" localSheetId="13">#REF!</definedName>
    <definedName name="_may6">#REF!</definedName>
    <definedName name="_may60" localSheetId="1">#REF!</definedName>
    <definedName name="_may60" localSheetId="0">#REF!</definedName>
    <definedName name="_may60" localSheetId="13">#REF!</definedName>
    <definedName name="_may60">#REF!</definedName>
    <definedName name="_may61" localSheetId="1">#REF!</definedName>
    <definedName name="_may61" localSheetId="0">#REF!</definedName>
    <definedName name="_may61" localSheetId="13">#REF!</definedName>
    <definedName name="_may61">#REF!</definedName>
    <definedName name="_may62" localSheetId="1">#REF!</definedName>
    <definedName name="_may62" localSheetId="0">#REF!</definedName>
    <definedName name="_may62" localSheetId="13">#REF!</definedName>
    <definedName name="_may62">#REF!</definedName>
    <definedName name="_may63" localSheetId="1">#REF!</definedName>
    <definedName name="_may63" localSheetId="0">#REF!</definedName>
    <definedName name="_may63" localSheetId="13">#REF!</definedName>
    <definedName name="_may63">#REF!</definedName>
    <definedName name="_may64" localSheetId="1">#REF!</definedName>
    <definedName name="_may64" localSheetId="0">#REF!</definedName>
    <definedName name="_may64" localSheetId="13">#REF!</definedName>
    <definedName name="_may64">#REF!</definedName>
    <definedName name="_may65" localSheetId="1">#REF!</definedName>
    <definedName name="_may65" localSheetId="0">#REF!</definedName>
    <definedName name="_may65" localSheetId="13">#REF!</definedName>
    <definedName name="_may65">#REF!</definedName>
    <definedName name="_may66" localSheetId="1">#REF!</definedName>
    <definedName name="_may66" localSheetId="0">#REF!</definedName>
    <definedName name="_may66" localSheetId="13">#REF!</definedName>
    <definedName name="_may66">#REF!</definedName>
    <definedName name="_may67" localSheetId="1">#REF!</definedName>
    <definedName name="_may67" localSheetId="0">#REF!</definedName>
    <definedName name="_may67" localSheetId="13">#REF!</definedName>
    <definedName name="_may67">#REF!</definedName>
    <definedName name="_may68" localSheetId="1">#REF!</definedName>
    <definedName name="_may68" localSheetId="0">#REF!</definedName>
    <definedName name="_may68" localSheetId="13">#REF!</definedName>
    <definedName name="_may68">#REF!</definedName>
    <definedName name="_may69" localSheetId="1">#REF!</definedName>
    <definedName name="_may69" localSheetId="0">#REF!</definedName>
    <definedName name="_may69" localSheetId="13">#REF!</definedName>
    <definedName name="_may69">#REF!</definedName>
    <definedName name="_may7" localSheetId="1">#REF!</definedName>
    <definedName name="_may7" localSheetId="0">#REF!</definedName>
    <definedName name="_may7" localSheetId="13">#REF!</definedName>
    <definedName name="_may7">#REF!</definedName>
    <definedName name="_may70" localSheetId="1">#REF!</definedName>
    <definedName name="_may70" localSheetId="0">#REF!</definedName>
    <definedName name="_may70" localSheetId="13">#REF!</definedName>
    <definedName name="_may70">#REF!</definedName>
    <definedName name="_may71" localSheetId="1">#REF!</definedName>
    <definedName name="_may71" localSheetId="0">#REF!</definedName>
    <definedName name="_may71" localSheetId="13">#REF!</definedName>
    <definedName name="_may71">#REF!</definedName>
    <definedName name="_may72" localSheetId="1">#REF!</definedName>
    <definedName name="_may72" localSheetId="0">#REF!</definedName>
    <definedName name="_may72" localSheetId="13">#REF!</definedName>
    <definedName name="_may72">#REF!</definedName>
    <definedName name="_may73" localSheetId="1">#REF!</definedName>
    <definedName name="_may73" localSheetId="0">#REF!</definedName>
    <definedName name="_may73" localSheetId="13">#REF!</definedName>
    <definedName name="_may73">#REF!</definedName>
    <definedName name="_may74" localSheetId="1">#REF!</definedName>
    <definedName name="_may74" localSheetId="0">#REF!</definedName>
    <definedName name="_may74" localSheetId="13">#REF!</definedName>
    <definedName name="_may74">#REF!</definedName>
    <definedName name="_may75" localSheetId="1">#REF!</definedName>
    <definedName name="_may75" localSheetId="0">#REF!</definedName>
    <definedName name="_may75" localSheetId="13">#REF!</definedName>
    <definedName name="_may75">#REF!</definedName>
    <definedName name="_may76" localSheetId="1">#REF!</definedName>
    <definedName name="_may76" localSheetId="0">#REF!</definedName>
    <definedName name="_may76" localSheetId="13">#REF!</definedName>
    <definedName name="_may76">#REF!</definedName>
    <definedName name="_may77" localSheetId="1">#REF!</definedName>
    <definedName name="_may77" localSheetId="0">#REF!</definedName>
    <definedName name="_may77" localSheetId="13">#REF!</definedName>
    <definedName name="_may77">#REF!</definedName>
    <definedName name="_may78" localSheetId="1">#REF!</definedName>
    <definedName name="_may78" localSheetId="0">#REF!</definedName>
    <definedName name="_may78" localSheetId="13">#REF!</definedName>
    <definedName name="_may78">#REF!</definedName>
    <definedName name="_may79" localSheetId="1">#REF!</definedName>
    <definedName name="_may79" localSheetId="0">#REF!</definedName>
    <definedName name="_may79" localSheetId="13">#REF!</definedName>
    <definedName name="_may79">#REF!</definedName>
    <definedName name="_may8" localSheetId="1">#REF!</definedName>
    <definedName name="_may8" localSheetId="0">#REF!</definedName>
    <definedName name="_may8" localSheetId="13">#REF!</definedName>
    <definedName name="_may8">#REF!</definedName>
    <definedName name="_may80" localSheetId="1">#REF!</definedName>
    <definedName name="_may80" localSheetId="0">#REF!</definedName>
    <definedName name="_may80" localSheetId="13">#REF!</definedName>
    <definedName name="_may80">#REF!</definedName>
    <definedName name="_may81" localSheetId="1">#REF!</definedName>
    <definedName name="_may81" localSheetId="0">#REF!</definedName>
    <definedName name="_may81" localSheetId="13">#REF!</definedName>
    <definedName name="_may81">#REF!</definedName>
    <definedName name="_may82" localSheetId="1">#REF!</definedName>
    <definedName name="_may82" localSheetId="0">#REF!</definedName>
    <definedName name="_may82" localSheetId="13">#REF!</definedName>
    <definedName name="_may82">#REF!</definedName>
    <definedName name="_may83" localSheetId="1">#REF!</definedName>
    <definedName name="_may83" localSheetId="0">#REF!</definedName>
    <definedName name="_may83" localSheetId="13">#REF!</definedName>
    <definedName name="_may83">#REF!</definedName>
    <definedName name="_may84" localSheetId="1">#REF!</definedName>
    <definedName name="_may84" localSheetId="0">#REF!</definedName>
    <definedName name="_may84" localSheetId="13">#REF!</definedName>
    <definedName name="_may84">#REF!</definedName>
    <definedName name="_may85" localSheetId="1">#REF!</definedName>
    <definedName name="_may85" localSheetId="0">#REF!</definedName>
    <definedName name="_may85" localSheetId="13">#REF!</definedName>
    <definedName name="_may85">#REF!</definedName>
    <definedName name="_may86" localSheetId="1">#REF!</definedName>
    <definedName name="_may86" localSheetId="0">#REF!</definedName>
    <definedName name="_may86" localSheetId="13">#REF!</definedName>
    <definedName name="_may86">#REF!</definedName>
    <definedName name="_may87" localSheetId="1">#REF!</definedName>
    <definedName name="_may87" localSheetId="0">#REF!</definedName>
    <definedName name="_may87" localSheetId="13">#REF!</definedName>
    <definedName name="_may87">#REF!</definedName>
    <definedName name="_may88" localSheetId="1">#REF!</definedName>
    <definedName name="_may88" localSheetId="0">#REF!</definedName>
    <definedName name="_may88" localSheetId="13">#REF!</definedName>
    <definedName name="_may88">#REF!</definedName>
    <definedName name="_may89" localSheetId="1">#REF!</definedName>
    <definedName name="_may89" localSheetId="0">#REF!</definedName>
    <definedName name="_may89" localSheetId="13">#REF!</definedName>
    <definedName name="_may89">#REF!</definedName>
    <definedName name="_may9" localSheetId="1">#REF!</definedName>
    <definedName name="_may9" localSheetId="0">#REF!</definedName>
    <definedName name="_may9" localSheetId="13">#REF!</definedName>
    <definedName name="_may9">#REF!</definedName>
    <definedName name="_may90" localSheetId="1">#REF!</definedName>
    <definedName name="_may90" localSheetId="0">#REF!</definedName>
    <definedName name="_may90" localSheetId="13">#REF!</definedName>
    <definedName name="_may90">#REF!</definedName>
    <definedName name="_may91" localSheetId="1">#REF!</definedName>
    <definedName name="_may91" localSheetId="0">#REF!</definedName>
    <definedName name="_may91" localSheetId="13">#REF!</definedName>
    <definedName name="_may91">#REF!</definedName>
    <definedName name="_may92" localSheetId="1">#REF!</definedName>
    <definedName name="_may92" localSheetId="0">#REF!</definedName>
    <definedName name="_may92" localSheetId="13">#REF!</definedName>
    <definedName name="_may92">#REF!</definedName>
    <definedName name="_may93" localSheetId="1">#REF!</definedName>
    <definedName name="_may93" localSheetId="0">#REF!</definedName>
    <definedName name="_may93" localSheetId="13">#REF!</definedName>
    <definedName name="_may93">#REF!</definedName>
    <definedName name="_may94" localSheetId="1">#REF!</definedName>
    <definedName name="_may94" localSheetId="0">#REF!</definedName>
    <definedName name="_may94" localSheetId="13">#REF!</definedName>
    <definedName name="_may94">#REF!</definedName>
    <definedName name="_may95" localSheetId="1">#REF!</definedName>
    <definedName name="_may95" localSheetId="0">#REF!</definedName>
    <definedName name="_may95" localSheetId="13">#REF!</definedName>
    <definedName name="_may95">#REF!</definedName>
    <definedName name="_may96" localSheetId="1">#REF!</definedName>
    <definedName name="_may96" localSheetId="0">#REF!</definedName>
    <definedName name="_may96" localSheetId="13">#REF!</definedName>
    <definedName name="_may96">#REF!</definedName>
    <definedName name="_may97" localSheetId="1">#REF!</definedName>
    <definedName name="_may97" localSheetId="0">#REF!</definedName>
    <definedName name="_may97" localSheetId="13">#REF!</definedName>
    <definedName name="_may97">#REF!</definedName>
    <definedName name="_may98" localSheetId="1">#REF!</definedName>
    <definedName name="_may98" localSheetId="0">#REF!</definedName>
    <definedName name="_may98" localSheetId="13">#REF!</definedName>
    <definedName name="_may98">#REF!</definedName>
    <definedName name="_may99" localSheetId="1">#REF!</definedName>
    <definedName name="_may99" localSheetId="0">#REF!</definedName>
    <definedName name="_may99" localSheetId="13">#REF!</definedName>
    <definedName name="_may99">#REF!</definedName>
    <definedName name="_my269" localSheetId="1">#REF!</definedName>
    <definedName name="_my269" localSheetId="0">#REF!</definedName>
    <definedName name="_my269" localSheetId="13">#REF!</definedName>
    <definedName name="_my269">#REF!</definedName>
    <definedName name="_NCL100" localSheetId="1">#REF!</definedName>
    <definedName name="_NCL100" localSheetId="0">#REF!</definedName>
    <definedName name="_NCL100" localSheetId="13">#REF!</definedName>
    <definedName name="_NCL100">#REF!</definedName>
    <definedName name="_NCL200" localSheetId="1">#REF!</definedName>
    <definedName name="_NCL200" localSheetId="0">#REF!</definedName>
    <definedName name="_NCL200" localSheetId="13">#REF!</definedName>
    <definedName name="_NCL200">#REF!</definedName>
    <definedName name="_NCL250" localSheetId="1">#REF!</definedName>
    <definedName name="_NCL250" localSheetId="0">#REF!</definedName>
    <definedName name="_NCL250" localSheetId="13">#REF!</definedName>
    <definedName name="_NCL250">#REF!</definedName>
    <definedName name="_NET2" localSheetId="1">#REF!</definedName>
    <definedName name="_NET2" localSheetId="0">#REF!</definedName>
    <definedName name="_NET2" localSheetId="13">#REF!</definedName>
    <definedName name="_NET2">#REF!</definedName>
    <definedName name="_nin190" localSheetId="1">#REF!</definedName>
    <definedName name="_nin190" localSheetId="0">#REF!</definedName>
    <definedName name="_nin190" localSheetId="13">#REF!</definedName>
    <definedName name="_nin190">#REF!</definedName>
    <definedName name="_Order1" hidden="1">255</definedName>
    <definedName name="_Order2" hidden="1">255</definedName>
    <definedName name="_sc1" localSheetId="1">#REF!</definedName>
    <definedName name="_sc1" localSheetId="0">#REF!</definedName>
    <definedName name="_sc1" localSheetId="13">#REF!</definedName>
    <definedName name="_sc1">#REF!</definedName>
    <definedName name="_SC2" localSheetId="1">#REF!</definedName>
    <definedName name="_SC2" localSheetId="0">#REF!</definedName>
    <definedName name="_SC2" localSheetId="13">#REF!</definedName>
    <definedName name="_SC2">#REF!</definedName>
    <definedName name="_sc3" localSheetId="1">#REF!</definedName>
    <definedName name="_sc3" localSheetId="0">#REF!</definedName>
    <definedName name="_sc3" localSheetId="13">#REF!</definedName>
    <definedName name="_sc3">#REF!</definedName>
    <definedName name="_SN3" localSheetId="1">#REF!</definedName>
    <definedName name="_SN3" localSheetId="0">#REF!</definedName>
    <definedName name="_SN3" localSheetId="13">#REF!</definedName>
    <definedName name="_SN3">#REF!</definedName>
    <definedName name="_Sort" localSheetId="1" hidden="1">#REF!</definedName>
    <definedName name="_Sort" localSheetId="0" hidden="1">#REF!</definedName>
    <definedName name="_Sort" localSheetId="13" hidden="1">#REF!</definedName>
    <definedName name="_Sort" hidden="1">#REF!</definedName>
    <definedName name="_TEN1">[1]DATA!$B$3</definedName>
    <definedName name="_TEN10">[1]DATA!$B$12</definedName>
    <definedName name="_TEN11">[1]DATA!$B$13</definedName>
    <definedName name="_TEN2">[1]DATA!$B$4</definedName>
    <definedName name="_TEN3">[1]DATA!$B$5</definedName>
    <definedName name="_TEN4">[1]DATA!$B$6</definedName>
    <definedName name="_TEN5">[1]DATA!$B$7</definedName>
    <definedName name="_TEN6">[1]DATA!$B$8</definedName>
    <definedName name="_TEN7">[1]DATA!$B$9</definedName>
    <definedName name="_TEN8">[1]DATA!$B$10</definedName>
    <definedName name="_ten9">[1]DATA!$B$11</definedName>
    <definedName name="_TL1" localSheetId="1">#REF!</definedName>
    <definedName name="_TL1" localSheetId="0">#REF!</definedName>
    <definedName name="_TL1" localSheetId="13">#REF!</definedName>
    <definedName name="_TL1">#REF!</definedName>
    <definedName name="_TL2" localSheetId="1">#REF!</definedName>
    <definedName name="_TL2" localSheetId="0">#REF!</definedName>
    <definedName name="_TL2" localSheetId="13">#REF!</definedName>
    <definedName name="_TL2">#REF!</definedName>
    <definedName name="_TL3" localSheetId="1">#REF!</definedName>
    <definedName name="_TL3" localSheetId="0">#REF!</definedName>
    <definedName name="_TL3" localSheetId="13">#REF!</definedName>
    <definedName name="_TL3">#REF!</definedName>
    <definedName name="_TLA120" localSheetId="1">#REF!</definedName>
    <definedName name="_TLA120" localSheetId="0">#REF!</definedName>
    <definedName name="_TLA120" localSheetId="13">#REF!</definedName>
    <definedName name="_TLA120">#REF!</definedName>
    <definedName name="_TLA35" localSheetId="1">#REF!</definedName>
    <definedName name="_TLA35" localSheetId="0">#REF!</definedName>
    <definedName name="_TLA35" localSheetId="13">#REF!</definedName>
    <definedName name="_TLA35">#REF!</definedName>
    <definedName name="_TLA50" localSheetId="1">#REF!</definedName>
    <definedName name="_TLA50" localSheetId="0">#REF!</definedName>
    <definedName name="_TLA50" localSheetId="13">#REF!</definedName>
    <definedName name="_TLA50">#REF!</definedName>
    <definedName name="_TLA70" localSheetId="1">#REF!</definedName>
    <definedName name="_TLA70" localSheetId="0">#REF!</definedName>
    <definedName name="_TLA70" localSheetId="13">#REF!</definedName>
    <definedName name="_TLA70">#REF!</definedName>
    <definedName name="_TLA95" localSheetId="1">#REF!</definedName>
    <definedName name="_TLA95" localSheetId="0">#REF!</definedName>
    <definedName name="_TLA95" localSheetId="13">#REF!</definedName>
    <definedName name="_TLA95">#REF!</definedName>
    <definedName name="_tt3" localSheetId="19" hidden="1">{"'Sheet1'!$L$16"}</definedName>
    <definedName name="_tt3" localSheetId="18" hidden="1">{"'Sheet1'!$L$16"}</definedName>
    <definedName name="_tt3" hidden="1">{"'Sheet1'!$L$16"}</definedName>
    <definedName name="_tz593" localSheetId="1">#REF!</definedName>
    <definedName name="_tz593" localSheetId="0">#REF!</definedName>
    <definedName name="_tz593" localSheetId="13">#REF!</definedName>
    <definedName name="_tz593">#REF!</definedName>
    <definedName name="_tra100" localSheetId="1">#REF!</definedName>
    <definedName name="_tra100" localSheetId="0">#REF!</definedName>
    <definedName name="_tra100" localSheetId="13">#REF!</definedName>
    <definedName name="_tra100">#REF!</definedName>
    <definedName name="_tra102" localSheetId="1">#REF!</definedName>
    <definedName name="_tra102" localSheetId="0">#REF!</definedName>
    <definedName name="_tra102" localSheetId="13">#REF!</definedName>
    <definedName name="_tra102">#REF!</definedName>
    <definedName name="_tra104" localSheetId="1">#REF!</definedName>
    <definedName name="_tra104" localSheetId="0">#REF!</definedName>
    <definedName name="_tra104" localSheetId="13">#REF!</definedName>
    <definedName name="_tra104">#REF!</definedName>
    <definedName name="_tra106" localSheetId="1">#REF!</definedName>
    <definedName name="_tra106" localSheetId="0">#REF!</definedName>
    <definedName name="_tra106" localSheetId="13">#REF!</definedName>
    <definedName name="_tra106">#REF!</definedName>
    <definedName name="_tra108" localSheetId="1">#REF!</definedName>
    <definedName name="_tra108" localSheetId="0">#REF!</definedName>
    <definedName name="_tra108" localSheetId="13">#REF!</definedName>
    <definedName name="_tra108">#REF!</definedName>
    <definedName name="_tra110" localSheetId="1">#REF!</definedName>
    <definedName name="_tra110" localSheetId="0">#REF!</definedName>
    <definedName name="_tra110" localSheetId="13">#REF!</definedName>
    <definedName name="_tra110">#REF!</definedName>
    <definedName name="_tra112" localSheetId="1">#REF!</definedName>
    <definedName name="_tra112" localSheetId="0">#REF!</definedName>
    <definedName name="_tra112" localSheetId="13">#REF!</definedName>
    <definedName name="_tra112">#REF!</definedName>
    <definedName name="_tra114" localSheetId="1">#REF!</definedName>
    <definedName name="_tra114" localSheetId="0">#REF!</definedName>
    <definedName name="_tra114" localSheetId="13">#REF!</definedName>
    <definedName name="_tra114">#REF!</definedName>
    <definedName name="_tra116" localSheetId="1">#REF!</definedName>
    <definedName name="_tra116" localSheetId="0">#REF!</definedName>
    <definedName name="_tra116" localSheetId="13">#REF!</definedName>
    <definedName name="_tra116">#REF!</definedName>
    <definedName name="_tra118" localSheetId="1">#REF!</definedName>
    <definedName name="_tra118" localSheetId="0">#REF!</definedName>
    <definedName name="_tra118" localSheetId="13">#REF!</definedName>
    <definedName name="_tra118">#REF!</definedName>
    <definedName name="_tra120" localSheetId="1">#REF!</definedName>
    <definedName name="_tra120" localSheetId="0">#REF!</definedName>
    <definedName name="_tra120" localSheetId="13">#REF!</definedName>
    <definedName name="_tra120">#REF!</definedName>
    <definedName name="_tra122" localSheetId="1">#REF!</definedName>
    <definedName name="_tra122" localSheetId="0">#REF!</definedName>
    <definedName name="_tra122" localSheetId="13">#REF!</definedName>
    <definedName name="_tra122">#REF!</definedName>
    <definedName name="_tra124" localSheetId="1">#REF!</definedName>
    <definedName name="_tra124" localSheetId="0">#REF!</definedName>
    <definedName name="_tra124" localSheetId="13">#REF!</definedName>
    <definedName name="_tra124">#REF!</definedName>
    <definedName name="_tra126" localSheetId="1">#REF!</definedName>
    <definedName name="_tra126" localSheetId="0">#REF!</definedName>
    <definedName name="_tra126" localSheetId="13">#REF!</definedName>
    <definedName name="_tra126">#REF!</definedName>
    <definedName name="_tra128" localSheetId="1">#REF!</definedName>
    <definedName name="_tra128" localSheetId="0">#REF!</definedName>
    <definedName name="_tra128" localSheetId="13">#REF!</definedName>
    <definedName name="_tra128">#REF!</definedName>
    <definedName name="_tra130" localSheetId="1">#REF!</definedName>
    <definedName name="_tra130" localSheetId="0">#REF!</definedName>
    <definedName name="_tra130" localSheetId="13">#REF!</definedName>
    <definedName name="_tra130">#REF!</definedName>
    <definedName name="_tra132" localSheetId="1">#REF!</definedName>
    <definedName name="_tra132" localSheetId="0">#REF!</definedName>
    <definedName name="_tra132" localSheetId="13">#REF!</definedName>
    <definedName name="_tra132">#REF!</definedName>
    <definedName name="_tra134" localSheetId="1">#REF!</definedName>
    <definedName name="_tra134" localSheetId="0">#REF!</definedName>
    <definedName name="_tra134" localSheetId="13">#REF!</definedName>
    <definedName name="_tra134">#REF!</definedName>
    <definedName name="_tra136" localSheetId="1">#REF!</definedName>
    <definedName name="_tra136" localSheetId="0">#REF!</definedName>
    <definedName name="_tra136" localSheetId="13">#REF!</definedName>
    <definedName name="_tra136">#REF!</definedName>
    <definedName name="_tra138" localSheetId="1">#REF!</definedName>
    <definedName name="_tra138" localSheetId="0">#REF!</definedName>
    <definedName name="_tra138" localSheetId="13">#REF!</definedName>
    <definedName name="_tra138">#REF!</definedName>
    <definedName name="_tra140" localSheetId="1">#REF!</definedName>
    <definedName name="_tra140" localSheetId="0">#REF!</definedName>
    <definedName name="_tra140" localSheetId="13">#REF!</definedName>
    <definedName name="_tra140">#REF!</definedName>
    <definedName name="_tra70" localSheetId="1">#REF!</definedName>
    <definedName name="_tra70" localSheetId="0">#REF!</definedName>
    <definedName name="_tra70" localSheetId="13">#REF!</definedName>
    <definedName name="_tra70">#REF!</definedName>
    <definedName name="_tra72" localSheetId="1">#REF!</definedName>
    <definedName name="_tra72" localSheetId="0">#REF!</definedName>
    <definedName name="_tra72" localSheetId="13">#REF!</definedName>
    <definedName name="_tra72">#REF!</definedName>
    <definedName name="_tra74" localSheetId="1">#REF!</definedName>
    <definedName name="_tra74" localSheetId="0">#REF!</definedName>
    <definedName name="_tra74" localSheetId="13">#REF!</definedName>
    <definedName name="_tra74">#REF!</definedName>
    <definedName name="_tra76" localSheetId="1">#REF!</definedName>
    <definedName name="_tra76" localSheetId="0">#REF!</definedName>
    <definedName name="_tra76" localSheetId="13">#REF!</definedName>
    <definedName name="_tra76">#REF!</definedName>
    <definedName name="_tra78" localSheetId="1">#REF!</definedName>
    <definedName name="_tra78" localSheetId="0">#REF!</definedName>
    <definedName name="_tra78" localSheetId="13">#REF!</definedName>
    <definedName name="_tra78">#REF!</definedName>
    <definedName name="_tra80" localSheetId="1">#REF!</definedName>
    <definedName name="_tra80" localSheetId="0">#REF!</definedName>
    <definedName name="_tra80" localSheetId="13">#REF!</definedName>
    <definedName name="_tra80">#REF!</definedName>
    <definedName name="_tra82" localSheetId="1">#REF!</definedName>
    <definedName name="_tra82" localSheetId="0">#REF!</definedName>
    <definedName name="_tra82" localSheetId="13">#REF!</definedName>
    <definedName name="_tra82">#REF!</definedName>
    <definedName name="_tra84" localSheetId="1">#REF!</definedName>
    <definedName name="_tra84" localSheetId="0">#REF!</definedName>
    <definedName name="_tra84" localSheetId="13">#REF!</definedName>
    <definedName name="_tra84">#REF!</definedName>
    <definedName name="_tra86" localSheetId="1">#REF!</definedName>
    <definedName name="_tra86" localSheetId="0">#REF!</definedName>
    <definedName name="_tra86" localSheetId="13">#REF!</definedName>
    <definedName name="_tra86">#REF!</definedName>
    <definedName name="_tra88" localSheetId="1">#REF!</definedName>
    <definedName name="_tra88" localSheetId="0">#REF!</definedName>
    <definedName name="_tra88" localSheetId="13">#REF!</definedName>
    <definedName name="_tra88">#REF!</definedName>
    <definedName name="_tra90" localSheetId="1">#REF!</definedName>
    <definedName name="_tra90" localSheetId="0">#REF!</definedName>
    <definedName name="_tra90" localSheetId="13">#REF!</definedName>
    <definedName name="_tra90">#REF!</definedName>
    <definedName name="_tra92" localSheetId="1">#REF!</definedName>
    <definedName name="_tra92" localSheetId="0">#REF!</definedName>
    <definedName name="_tra92" localSheetId="13">#REF!</definedName>
    <definedName name="_tra92">#REF!</definedName>
    <definedName name="_tra94" localSheetId="1">#REF!</definedName>
    <definedName name="_tra94" localSheetId="0">#REF!</definedName>
    <definedName name="_tra94" localSheetId="13">#REF!</definedName>
    <definedName name="_tra94">#REF!</definedName>
    <definedName name="_tra96" localSheetId="1">#REF!</definedName>
    <definedName name="_tra96" localSheetId="0">#REF!</definedName>
    <definedName name="_tra96" localSheetId="13">#REF!</definedName>
    <definedName name="_tra96">#REF!</definedName>
    <definedName name="_tra98" localSheetId="1">#REF!</definedName>
    <definedName name="_tra98" localSheetId="0">#REF!</definedName>
    <definedName name="_tra98" localSheetId="13">#REF!</definedName>
    <definedName name="_tra98">#REF!</definedName>
    <definedName name="_vbt150" localSheetId="1">#REF!</definedName>
    <definedName name="_vbt150" localSheetId="0">#REF!</definedName>
    <definedName name="_vbt150" localSheetId="13">#REF!</definedName>
    <definedName name="_vbt150">#REF!</definedName>
    <definedName name="_vbt210" localSheetId="1">#REF!</definedName>
    <definedName name="_vbt210" localSheetId="0">#REF!</definedName>
    <definedName name="_vbt210" localSheetId="13">#REF!</definedName>
    <definedName name="_vbt210">#REF!</definedName>
    <definedName name="_vbt300" localSheetId="1">#REF!</definedName>
    <definedName name="_vbt300" localSheetId="0">#REF!</definedName>
    <definedName name="_vbt300" localSheetId="13">#REF!</definedName>
    <definedName name="_vbt300">#REF!</definedName>
    <definedName name="_vbt400" localSheetId="1">#REF!</definedName>
    <definedName name="_vbt400" localSheetId="0">#REF!</definedName>
    <definedName name="_vbt400" localSheetId="13">#REF!</definedName>
    <definedName name="_vbt400">#REF!</definedName>
    <definedName name="_VL100" localSheetId="1">#REF!</definedName>
    <definedName name="_VL100" localSheetId="0">#REF!</definedName>
    <definedName name="_VL100" localSheetId="13">#REF!</definedName>
    <definedName name="_VL100">#REF!</definedName>
    <definedName name="_VL200" localSheetId="1">#REF!</definedName>
    <definedName name="_VL200" localSheetId="0">#REF!</definedName>
    <definedName name="_VL200" localSheetId="13">#REF!</definedName>
    <definedName name="_VL200">#REF!</definedName>
    <definedName name="_VL250" localSheetId="1">#REF!</definedName>
    <definedName name="_VL250" localSheetId="0">#REF!</definedName>
    <definedName name="_VL250" localSheetId="13">#REF!</definedName>
    <definedName name="_VL250">#REF!</definedName>
    <definedName name="A" localSheetId="1">#REF!</definedName>
    <definedName name="A" localSheetId="0">#REF!</definedName>
    <definedName name="A" localSheetId="13">#REF!</definedName>
    <definedName name="A">#REF!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 localSheetId="1">#REF!</definedName>
    <definedName name="A120_" localSheetId="0">#REF!</definedName>
    <definedName name="A120_" localSheetId="13">#REF!</definedName>
    <definedName name="A120_">#REF!</definedName>
    <definedName name="a277Print_Titles" localSheetId="1">#REF!</definedName>
    <definedName name="a277Print_Titles" localSheetId="0">#REF!</definedName>
    <definedName name="a277Print_Titles" localSheetId="13">#REF!</definedName>
    <definedName name="a277Print_Titles">#REF!</definedName>
    <definedName name="A35_" localSheetId="1">#REF!</definedName>
    <definedName name="A35_" localSheetId="0">#REF!</definedName>
    <definedName name="A35_" localSheetId="13">#REF!</definedName>
    <definedName name="A35_">#REF!</definedName>
    <definedName name="A50_" localSheetId="1">#REF!</definedName>
    <definedName name="A50_" localSheetId="0">#REF!</definedName>
    <definedName name="A50_" localSheetId="13">#REF!</definedName>
    <definedName name="A50_">#REF!</definedName>
    <definedName name="A70_" localSheetId="1">#REF!</definedName>
    <definedName name="A70_" localSheetId="0">#REF!</definedName>
    <definedName name="A70_" localSheetId="13">#REF!</definedName>
    <definedName name="A70_">#REF!</definedName>
    <definedName name="A95_" localSheetId="1">#REF!</definedName>
    <definedName name="A95_" localSheetId="0">#REF!</definedName>
    <definedName name="A95_" localSheetId="13">#REF!</definedName>
    <definedName name="A95_">#REF!</definedName>
    <definedName name="AA" localSheetId="1">#REF!</definedName>
    <definedName name="AA" localSheetId="0">#REF!</definedName>
    <definedName name="AA" localSheetId="13">#REF!</definedName>
    <definedName name="AA">#REF!</definedName>
    <definedName name="AB" localSheetId="1">#REF!</definedName>
    <definedName name="AB" localSheetId="0">#REF!</definedName>
    <definedName name="AB" localSheetId="13">#REF!</definedName>
    <definedName name="AB">#REF!</definedName>
    <definedName name="AC120_" localSheetId="1">#REF!</definedName>
    <definedName name="AC120_" localSheetId="0">#REF!</definedName>
    <definedName name="AC120_" localSheetId="13">#REF!</definedName>
    <definedName name="AC120_">#REF!</definedName>
    <definedName name="AC35_" localSheetId="1">#REF!</definedName>
    <definedName name="AC35_" localSheetId="0">#REF!</definedName>
    <definedName name="AC35_" localSheetId="13">#REF!</definedName>
    <definedName name="AC35_">#REF!</definedName>
    <definedName name="AC50_" localSheetId="1">#REF!</definedName>
    <definedName name="AC50_" localSheetId="0">#REF!</definedName>
    <definedName name="AC50_" localSheetId="13">#REF!</definedName>
    <definedName name="AC50_">#REF!</definedName>
    <definedName name="AC70_" localSheetId="1">#REF!</definedName>
    <definedName name="AC70_" localSheetId="0">#REF!</definedName>
    <definedName name="AC70_" localSheetId="13">#REF!</definedName>
    <definedName name="AC70_">#REF!</definedName>
    <definedName name="AC95_" localSheetId="1">#REF!</definedName>
    <definedName name="AC95_" localSheetId="0">#REF!</definedName>
    <definedName name="AC95_" localSheetId="13">#REF!</definedName>
    <definedName name="AC95_">#REF!</definedName>
    <definedName name="AFDFD" localSheetId="19" hidden="1">{#N/A,#N/A,FALSE,"Chi tiÆt"}</definedName>
    <definedName name="AFDFD" localSheetId="18" hidden="1">{#N/A,#N/A,FALSE,"Chi tiÆt"}</definedName>
    <definedName name="AFDFD" hidden="1">{#N/A,#N/A,FALSE,"Chi tiÆt"}</definedName>
    <definedName name="ag15F80" localSheetId="1">#REF!</definedName>
    <definedName name="ag15F80" localSheetId="0">#REF!</definedName>
    <definedName name="ag15F80" localSheetId="13">#REF!</definedName>
    <definedName name="ag15F80">#REF!</definedName>
    <definedName name="aho" localSheetId="1">#REF!</definedName>
    <definedName name="aho" localSheetId="0">#REF!</definedName>
    <definedName name="aho" localSheetId="13">#REF!</definedName>
    <definedName name="aho">#REF!</definedName>
    <definedName name="All_Item" localSheetId="1">#REF!</definedName>
    <definedName name="All_Item" localSheetId="0">#REF!</definedName>
    <definedName name="All_Item" localSheetId="13">#REF!</definedName>
    <definedName name="All_Item">#REF!</definedName>
    <definedName name="ALPIN">#N/A</definedName>
    <definedName name="ALPJYOU">#N/A</definedName>
    <definedName name="ALPTOI">#N/A</definedName>
    <definedName name="ASP" localSheetId="1">#REF!</definedName>
    <definedName name="ASP" localSheetId="0">#REF!</definedName>
    <definedName name="ASP" localSheetId="13">#REF!</definedName>
    <definedName name="ASP">#REF!</definedName>
    <definedName name="AÙ" localSheetId="1">#REF!</definedName>
    <definedName name="AÙ" localSheetId="0">#REF!</definedName>
    <definedName name="AÙ" localSheetId="13">#REF!</definedName>
    <definedName name="AÙ">#REF!</definedName>
    <definedName name="bac2.1" localSheetId="1">#REF!</definedName>
    <definedName name="bac2.1" localSheetId="0">#REF!</definedName>
    <definedName name="bac2.1" localSheetId="13">#REF!</definedName>
    <definedName name="bac2.1">#REF!</definedName>
    <definedName name="bac2.2" localSheetId="1">#REF!</definedName>
    <definedName name="bac2.2" localSheetId="0">#REF!</definedName>
    <definedName name="bac2.2" localSheetId="13">#REF!</definedName>
    <definedName name="bac2.2">#REF!</definedName>
    <definedName name="bac2.3" localSheetId="1">#REF!</definedName>
    <definedName name="bac2.3" localSheetId="0">#REF!</definedName>
    <definedName name="bac2.3" localSheetId="13">#REF!</definedName>
    <definedName name="bac2.3">#REF!</definedName>
    <definedName name="bac2.4" localSheetId="1">#REF!</definedName>
    <definedName name="bac2.4" localSheetId="0">#REF!</definedName>
    <definedName name="bac2.4" localSheetId="13">#REF!</definedName>
    <definedName name="bac2.4">#REF!</definedName>
    <definedName name="bac2.5" localSheetId="1">#REF!</definedName>
    <definedName name="bac2.5" localSheetId="0">#REF!</definedName>
    <definedName name="bac2.5" localSheetId="13">#REF!</definedName>
    <definedName name="bac2.5">#REF!</definedName>
    <definedName name="bac2.6" localSheetId="1">#REF!</definedName>
    <definedName name="bac2.6" localSheetId="0">#REF!</definedName>
    <definedName name="bac2.6" localSheetId="13">#REF!</definedName>
    <definedName name="bac2.6">#REF!</definedName>
    <definedName name="bac2.7" localSheetId="1">#REF!</definedName>
    <definedName name="bac2.7" localSheetId="0">#REF!</definedName>
    <definedName name="bac2.7" localSheetId="13">#REF!</definedName>
    <definedName name="bac2.7">#REF!</definedName>
    <definedName name="bac2.8" localSheetId="1">#REF!</definedName>
    <definedName name="bac2.8" localSheetId="0">#REF!</definedName>
    <definedName name="bac2.8" localSheetId="13">#REF!</definedName>
    <definedName name="bac2.8">#REF!</definedName>
    <definedName name="bac2.9" localSheetId="1">#REF!</definedName>
    <definedName name="bac2.9" localSheetId="0">#REF!</definedName>
    <definedName name="bac2.9" localSheetId="13">#REF!</definedName>
    <definedName name="bac2.9">#REF!</definedName>
    <definedName name="bac3.1" localSheetId="1">#REF!</definedName>
    <definedName name="bac3.1" localSheetId="0">#REF!</definedName>
    <definedName name="bac3.1" localSheetId="13">#REF!</definedName>
    <definedName name="bac3.1">#REF!</definedName>
    <definedName name="bac3.2" localSheetId="1">#REF!</definedName>
    <definedName name="bac3.2" localSheetId="0">#REF!</definedName>
    <definedName name="bac3.2" localSheetId="13">#REF!</definedName>
    <definedName name="bac3.2">#REF!</definedName>
    <definedName name="bac3.3" localSheetId="1">#REF!</definedName>
    <definedName name="bac3.3" localSheetId="0">#REF!</definedName>
    <definedName name="bac3.3" localSheetId="13">#REF!</definedName>
    <definedName name="bac3.3">#REF!</definedName>
    <definedName name="bac3.4" localSheetId="1">#REF!</definedName>
    <definedName name="bac3.4" localSheetId="0">#REF!</definedName>
    <definedName name="bac3.4" localSheetId="13">#REF!</definedName>
    <definedName name="bac3.4">#REF!</definedName>
    <definedName name="bac3.5" localSheetId="1">#REF!</definedName>
    <definedName name="bac3.5" localSheetId="0">#REF!</definedName>
    <definedName name="bac3.5" localSheetId="13">#REF!</definedName>
    <definedName name="bac3.5">#REF!</definedName>
    <definedName name="bac3.6" localSheetId="1">#REF!</definedName>
    <definedName name="bac3.6" localSheetId="0">#REF!</definedName>
    <definedName name="bac3.6" localSheetId="13">#REF!</definedName>
    <definedName name="bac3.6">#REF!</definedName>
    <definedName name="bac3.7" localSheetId="1">#REF!</definedName>
    <definedName name="bac3.7" localSheetId="0">#REF!</definedName>
    <definedName name="bac3.7" localSheetId="13">#REF!</definedName>
    <definedName name="bac3.7">#REF!</definedName>
    <definedName name="bac3.8" localSheetId="1">#REF!</definedName>
    <definedName name="bac3.8" localSheetId="0">#REF!</definedName>
    <definedName name="bac3.8" localSheetId="13">#REF!</definedName>
    <definedName name="bac3.8">#REF!</definedName>
    <definedName name="bac3.9" localSheetId="1">#REF!</definedName>
    <definedName name="bac3.9" localSheetId="0">#REF!</definedName>
    <definedName name="bac3.9" localSheetId="13">#REF!</definedName>
    <definedName name="bac3.9">#REF!</definedName>
    <definedName name="bac4.1" localSheetId="1">#REF!</definedName>
    <definedName name="bac4.1" localSheetId="0">#REF!</definedName>
    <definedName name="bac4.1" localSheetId="13">#REF!</definedName>
    <definedName name="bac4.1">#REF!</definedName>
    <definedName name="bac4.2" localSheetId="1">#REF!</definedName>
    <definedName name="bac4.2" localSheetId="0">#REF!</definedName>
    <definedName name="bac4.2" localSheetId="13">#REF!</definedName>
    <definedName name="bac4.2">#REF!</definedName>
    <definedName name="bac4.3" localSheetId="1">#REF!</definedName>
    <definedName name="bac4.3" localSheetId="0">#REF!</definedName>
    <definedName name="bac4.3" localSheetId="13">#REF!</definedName>
    <definedName name="bac4.3">#REF!</definedName>
    <definedName name="bac4.4" localSheetId="1">#REF!</definedName>
    <definedName name="bac4.4" localSheetId="0">#REF!</definedName>
    <definedName name="bac4.4" localSheetId="13">#REF!</definedName>
    <definedName name="bac4.4">#REF!</definedName>
    <definedName name="bac4.5" localSheetId="1">#REF!</definedName>
    <definedName name="bac4.5" localSheetId="0">#REF!</definedName>
    <definedName name="bac4.5" localSheetId="13">#REF!</definedName>
    <definedName name="bac4.5">#REF!</definedName>
    <definedName name="bac4.6" localSheetId="1">#REF!</definedName>
    <definedName name="bac4.6" localSheetId="0">#REF!</definedName>
    <definedName name="bac4.6" localSheetId="13">#REF!</definedName>
    <definedName name="bac4.6">#REF!</definedName>
    <definedName name="bac4.7" localSheetId="1">#REF!</definedName>
    <definedName name="bac4.7" localSheetId="0">#REF!</definedName>
    <definedName name="bac4.7" localSheetId="13">#REF!</definedName>
    <definedName name="bac4.7">#REF!</definedName>
    <definedName name="bac4.8" localSheetId="1">#REF!</definedName>
    <definedName name="bac4.8" localSheetId="0">#REF!</definedName>
    <definedName name="bac4.8" localSheetId="13">#REF!</definedName>
    <definedName name="bac4.8">#REF!</definedName>
    <definedName name="bac4.9" localSheetId="1">#REF!</definedName>
    <definedName name="bac4.9" localSheetId="0">#REF!</definedName>
    <definedName name="bac4.9" localSheetId="13">#REF!</definedName>
    <definedName name="bac4.9">#REF!</definedName>
    <definedName name="BacKan" localSheetId="1">#REF!</definedName>
    <definedName name="BacKan" localSheetId="0">#REF!</definedName>
    <definedName name="BacKan" localSheetId="13">#REF!</definedName>
    <definedName name="BacKan">#REF!</definedName>
    <definedName name="Bang_cly" localSheetId="1">#REF!</definedName>
    <definedName name="Bang_cly" localSheetId="0">#REF!</definedName>
    <definedName name="Bang_cly" localSheetId="13">#REF!</definedName>
    <definedName name="Bang_cly">#REF!</definedName>
    <definedName name="Bang_CVC" localSheetId="1">#REF!</definedName>
    <definedName name="Bang_CVC" localSheetId="0">#REF!</definedName>
    <definedName name="Bang_CVC" localSheetId="13">#REF!</definedName>
    <definedName name="Bang_CVC">#REF!</definedName>
    <definedName name="bang_gia" localSheetId="1">#REF!</definedName>
    <definedName name="bang_gia" localSheetId="0">#REF!</definedName>
    <definedName name="bang_gia" localSheetId="13">#REF!</definedName>
    <definedName name="bang_gia">#REF!</definedName>
    <definedName name="Bang_travl" localSheetId="1">#REF!</definedName>
    <definedName name="Bang_travl" localSheetId="0">#REF!</definedName>
    <definedName name="Bang_travl" localSheetId="13">#REF!</definedName>
    <definedName name="Bang_travl">#REF!</definedName>
    <definedName name="BarData" localSheetId="1">#REF!</definedName>
    <definedName name="BarData" localSheetId="0">#REF!</definedName>
    <definedName name="BarData" localSheetId="13">#REF!</definedName>
    <definedName name="BarData">#REF!</definedName>
    <definedName name="BB" localSheetId="1">#REF!</definedName>
    <definedName name="BB" localSheetId="0">#REF!</definedName>
    <definedName name="BB" localSheetId="13">#REF!</definedName>
    <definedName name="BB">#REF!</definedName>
    <definedName name="bbntgd">'[1]BBNT-GĐ'!$A:$IV</definedName>
    <definedName name="bematbetong">'[1]BBNT BE MAT BETONG '!$A$11:$AS$125</definedName>
    <definedName name="bentonite" localSheetId="1">#REF!</definedName>
    <definedName name="bentonite" localSheetId="0">#REF!</definedName>
    <definedName name="bentonite" localSheetId="13">#REF!</definedName>
    <definedName name="bentonite">#REF!</definedName>
    <definedName name="betong">'[1]BBNT BETONG'!$A$20:$AQ$130</definedName>
    <definedName name="BF1_" localSheetId="1">#REF!</definedName>
    <definedName name="BF1_" localSheetId="0">#REF!</definedName>
    <definedName name="BF1_" localSheetId="13">#REF!</definedName>
    <definedName name="BF1_">#REF!</definedName>
    <definedName name="BF2_" localSheetId="1">#REF!</definedName>
    <definedName name="BF2_" localSheetId="0">#REF!</definedName>
    <definedName name="BF2_" localSheetId="13">#REF!</definedName>
    <definedName name="BF2_">#REF!</definedName>
    <definedName name="BF3_" localSheetId="1">#REF!</definedName>
    <definedName name="BF3_" localSheetId="0">#REF!</definedName>
    <definedName name="BF3_" localSheetId="13">#REF!</definedName>
    <definedName name="BF3_">#REF!</definedName>
    <definedName name="BFBS" localSheetId="1">#REF!</definedName>
    <definedName name="BFBS" localSheetId="0">#REF!</definedName>
    <definedName name="BFBS" localSheetId="13">#REF!</definedName>
    <definedName name="BFBS">#REF!</definedName>
    <definedName name="BFES" localSheetId="1">#REF!</definedName>
    <definedName name="BFES" localSheetId="0">#REF!</definedName>
    <definedName name="BFES" localSheetId="13">#REF!</definedName>
    <definedName name="BFES">#REF!</definedName>
    <definedName name="BFS" localSheetId="1">#REF!</definedName>
    <definedName name="BFS" localSheetId="0">#REF!</definedName>
    <definedName name="BFS" localSheetId="13">#REF!</definedName>
    <definedName name="BFS">#REF!</definedName>
    <definedName name="bia" localSheetId="1">#REF!</definedName>
    <definedName name="bia" localSheetId="0">#REF!</definedName>
    <definedName name="bia" localSheetId="13">#REF!</definedName>
    <definedName name="bia">#REF!</definedName>
    <definedName name="BOQ" localSheetId="1">#REF!</definedName>
    <definedName name="BOQ" localSheetId="0">#REF!</definedName>
    <definedName name="BOQ" localSheetId="13">#REF!</definedName>
    <definedName name="BOQ">#REF!</definedName>
    <definedName name="BT" localSheetId="1">#REF!</definedName>
    <definedName name="BT" localSheetId="0">#REF!</definedName>
    <definedName name="BT" localSheetId="13">#REF!</definedName>
    <definedName name="BT">#REF!</definedName>
    <definedName name="btcocnhoi" localSheetId="1">#REF!</definedName>
    <definedName name="btcocnhoi" localSheetId="0">#REF!</definedName>
    <definedName name="btcocnhoi" localSheetId="13">#REF!</definedName>
    <definedName name="btcocnhoi">#REF!</definedName>
    <definedName name="Bulongthepcoctiepdia" localSheetId="1">#REF!</definedName>
    <definedName name="Bulongthepcoctiepdia" localSheetId="0">#REF!</definedName>
    <definedName name="Bulongthepcoctiepdia" localSheetId="13">#REF!</definedName>
    <definedName name="Bulongthepcoctiepdia">#REF!</definedName>
    <definedName name="Bust">#N/A</definedName>
    <definedName name="BVCISUMMARY" localSheetId="1">#REF!</definedName>
    <definedName name="BVCISUMMARY" localSheetId="0">#REF!</definedName>
    <definedName name="BVCISUMMARY" localSheetId="13">#REF!</definedName>
    <definedName name="BVCISUMMARY">#REF!</definedName>
    <definedName name="C_" localSheetId="1">#REF!</definedName>
    <definedName name="C_" localSheetId="0">#REF!</definedName>
    <definedName name="C_" localSheetId="13">#REF!</definedName>
    <definedName name="C_">#REF!</definedName>
    <definedName name="Cachdienchuoi" localSheetId="1">#REF!</definedName>
    <definedName name="Cachdienchuoi" localSheetId="0">#REF!</definedName>
    <definedName name="Cachdienchuoi" localSheetId="13">#REF!</definedName>
    <definedName name="Cachdienchuoi">#REF!</definedName>
    <definedName name="Cachdiendung" localSheetId="1">#REF!</definedName>
    <definedName name="Cachdiendung" localSheetId="0">#REF!</definedName>
    <definedName name="Cachdiendung" localSheetId="13">#REF!</definedName>
    <definedName name="Cachdiendung">#REF!</definedName>
    <definedName name="Cachdienhaap" localSheetId="1">#REF!</definedName>
    <definedName name="Cachdienhaap" localSheetId="0">#REF!</definedName>
    <definedName name="Cachdienhaap" localSheetId="13">#REF!</definedName>
    <definedName name="Cachdienhaap">#REF!</definedName>
    <definedName name="camera">'[1]BBNT CAM'!$A:$IV</definedName>
    <definedName name="capthoatnuoc">'[1]BBNT NUOC'!$A:$IV</definedName>
    <definedName name="CAT">'[1]BBNT VL CAT'!$A$10:$AQ$52</definedName>
    <definedName name="catdaucoc">'[1]BBNT CDC'!$A:$IV</definedName>
    <definedName name="Category_All" localSheetId="1">#REF!</definedName>
    <definedName name="Category_All" localSheetId="0">#REF!</definedName>
    <definedName name="Category_All" localSheetId="13">#REF!</definedName>
    <definedName name="Category_All">#REF!</definedName>
    <definedName name="CATIN">#N/A</definedName>
    <definedName name="CATJYOU">#N/A</definedName>
    <definedName name="CATSYU">#N/A</definedName>
    <definedName name="CATREC">#N/A</definedName>
    <definedName name="CC" localSheetId="1">#REF!</definedName>
    <definedName name="CC" localSheetId="0">#REF!</definedName>
    <definedName name="CC" localSheetId="13">#REF!</definedName>
    <definedName name="CC">#REF!</definedName>
    <definedName name="CCS" localSheetId="1">#REF!</definedName>
    <definedName name="CCS" localSheetId="0">#REF!</definedName>
    <definedName name="CCS" localSheetId="13">#REF!</definedName>
    <definedName name="CCS">#REF!</definedName>
    <definedName name="CDD" localSheetId="1">#REF!</definedName>
    <definedName name="CDD" localSheetId="0">#REF!</definedName>
    <definedName name="CDD" localSheetId="13">#REF!</definedName>
    <definedName name="CDD">#REF!</definedName>
    <definedName name="cfk" localSheetId="1">#REF!</definedName>
    <definedName name="cfk" localSheetId="0">#REF!</definedName>
    <definedName name="cfk" localSheetId="13">#REF!</definedName>
    <definedName name="cfk">#REF!</definedName>
    <definedName name="CK" localSheetId="1">#REF!</definedName>
    <definedName name="CK" localSheetId="0">#REF!</definedName>
    <definedName name="CK" localSheetId="13">#REF!</definedName>
    <definedName name="CK">#REF!</definedName>
    <definedName name="CLVC3">0.1</definedName>
    <definedName name="CLVCTB" localSheetId="1">#REF!</definedName>
    <definedName name="CLVCTB" localSheetId="0">#REF!</definedName>
    <definedName name="CLVCTB" localSheetId="13">#REF!</definedName>
    <definedName name="CLVCTB">#REF!</definedName>
    <definedName name="CNC" localSheetId="1">#REF!</definedName>
    <definedName name="CNC" localSheetId="0">#REF!</definedName>
    <definedName name="CNC" localSheetId="13">#REF!</definedName>
    <definedName name="CNC">#REF!</definedName>
    <definedName name="CND" localSheetId="1">#REF!</definedName>
    <definedName name="CND" localSheetId="0">#REF!</definedName>
    <definedName name="CND" localSheetId="13">#REF!</definedName>
    <definedName name="CND">#REF!</definedName>
    <definedName name="CNG" localSheetId="1">#REF!</definedName>
    <definedName name="CNG" localSheetId="0">#REF!</definedName>
    <definedName name="CNG" localSheetId="13">#REF!</definedName>
    <definedName name="CNG">#REF!</definedName>
    <definedName name="Co" localSheetId="1">#REF!</definedName>
    <definedName name="Co" localSheetId="0">#REF!</definedName>
    <definedName name="Co" localSheetId="13">#REF!</definedName>
    <definedName name="Co">#REF!</definedName>
    <definedName name="Cocbetong" localSheetId="1">#REF!</definedName>
    <definedName name="Cocbetong" localSheetId="0">#REF!</definedName>
    <definedName name="Cocbetong" localSheetId="13">#REF!</definedName>
    <definedName name="Cocbetong">#REF!</definedName>
    <definedName name="cockhoannhoi">[2]Menu!$A$4:$AY$61</definedName>
    <definedName name="coctre">'[1]BBNT VL COC TRE'!$A$10:$AP$31</definedName>
    <definedName name="Cöï_ly_vaän_chuyeãn" localSheetId="1">#REF!</definedName>
    <definedName name="Cöï_ly_vaän_chuyeãn" localSheetId="0">#REF!</definedName>
    <definedName name="Cöï_ly_vaän_chuyeãn" localSheetId="13">#REF!</definedName>
    <definedName name="Cöï_ly_vaän_chuyeãn">#REF!</definedName>
    <definedName name="CÖÏ_LY_VAÄN_CHUYEÅN" localSheetId="1">#REF!</definedName>
    <definedName name="CÖÏ_LY_VAÄN_CHUYEÅN" localSheetId="0">#REF!</definedName>
    <definedName name="CÖÏ_LY_VAÄN_CHUYEÅN" localSheetId="13">#REF!</definedName>
    <definedName name="CÖÏ_LY_VAÄN_CHUYEÅN">#REF!</definedName>
    <definedName name="COMMON" localSheetId="1">#REF!</definedName>
    <definedName name="COMMON" localSheetId="0">#REF!</definedName>
    <definedName name="COMMON" localSheetId="13">#REF!</definedName>
    <definedName name="COMMON">#REF!</definedName>
    <definedName name="CON_EQP_COS" localSheetId="1">#REF!</definedName>
    <definedName name="CON_EQP_COS" localSheetId="0">#REF!</definedName>
    <definedName name="CON_EQP_COS" localSheetId="13">#REF!</definedName>
    <definedName name="CON_EQP_COS">#REF!</definedName>
    <definedName name="CON_EQP_COST" localSheetId="1">#REF!</definedName>
    <definedName name="CON_EQP_COST" localSheetId="0">#REF!</definedName>
    <definedName name="CON_EQP_COST" localSheetId="13">#REF!</definedName>
    <definedName name="CON_EQP_COST">#REF!</definedName>
    <definedName name="CONC25" localSheetId="1">#REF!</definedName>
    <definedName name="CONC25" localSheetId="0">#REF!</definedName>
    <definedName name="CONC25" localSheetId="13">#REF!</definedName>
    <definedName name="CONC25">#REF!</definedName>
    <definedName name="CONC30" localSheetId="1">#REF!</definedName>
    <definedName name="CONC30" localSheetId="0">#REF!</definedName>
    <definedName name="CONC30" localSheetId="13">#REF!</definedName>
    <definedName name="CONC30">#REF!</definedName>
    <definedName name="CONCS25" localSheetId="1">#REF!</definedName>
    <definedName name="CONCS25" localSheetId="0">#REF!</definedName>
    <definedName name="CONCS25" localSheetId="13">#REF!</definedName>
    <definedName name="CONCS25">#REF!</definedName>
    <definedName name="CONCS30" localSheetId="1">#REF!</definedName>
    <definedName name="CONCS30" localSheetId="0">#REF!</definedName>
    <definedName name="CONCS30" localSheetId="13">#REF!</definedName>
    <definedName name="CONCS30">#REF!</definedName>
    <definedName name="CONST_EQ" localSheetId="1">#REF!</definedName>
    <definedName name="CONST_EQ" localSheetId="0">#REF!</definedName>
    <definedName name="CONST_EQ" localSheetId="13">#REF!</definedName>
    <definedName name="CONST_EQ">#REF!</definedName>
    <definedName name="Continue">#N/A</definedName>
    <definedName name="Cong_HM_DTCT" localSheetId="1">#REF!</definedName>
    <definedName name="Cong_HM_DTCT" localSheetId="0">#REF!</definedName>
    <definedName name="Cong_HM_DTCT" localSheetId="13">#REF!</definedName>
    <definedName name="Cong_HM_DTCT">#REF!</definedName>
    <definedName name="Cong_M_DTCT" localSheetId="1">#REF!</definedName>
    <definedName name="Cong_M_DTCT" localSheetId="0">#REF!</definedName>
    <definedName name="Cong_M_DTCT" localSheetId="13">#REF!</definedName>
    <definedName name="Cong_M_DTCT">#REF!</definedName>
    <definedName name="Cong_NC_DTCT" localSheetId="1">#REF!</definedName>
    <definedName name="Cong_NC_DTCT" localSheetId="0">#REF!</definedName>
    <definedName name="Cong_NC_DTCT" localSheetId="13">#REF!</definedName>
    <definedName name="Cong_NC_DTCT">#REF!</definedName>
    <definedName name="Cong_VL_DTCT" localSheetId="1">#REF!</definedName>
    <definedName name="Cong_VL_DTCT" localSheetId="0">#REF!</definedName>
    <definedName name="Cong_VL_DTCT" localSheetId="13">#REF!</definedName>
    <definedName name="Cong_VL_DTCT">#REF!</definedName>
    <definedName name="congviec">[3]DATA!$D$108:$D$130</definedName>
    <definedName name="congviecson">'[1]BBNT CV SON'!$A:$IV</definedName>
    <definedName name="coppha">'[1]BBNT COPPHA'!$A$10:$AQ$123</definedName>
    <definedName name="COT" localSheetId="1">#REF!</definedName>
    <definedName name="COT" localSheetId="0">#REF!</definedName>
    <definedName name="COT" localSheetId="13">#REF!</definedName>
    <definedName name="COT">#REF!</definedName>
    <definedName name="CotBTtronVuong" localSheetId="1">#REF!</definedName>
    <definedName name="CotBTtronVuong" localSheetId="0">#REF!</definedName>
    <definedName name="CotBTtronVuong" localSheetId="13">#REF!</definedName>
    <definedName name="CotBTtronVuong">#REF!</definedName>
    <definedName name="cotthep">'[1]BBNT COT THEP'!$A$1:$AR$115</definedName>
    <definedName name="COVER" localSheetId="1">#REF!</definedName>
    <definedName name="COVER" localSheetId="0">#REF!</definedName>
    <definedName name="COVER" localSheetId="13">#REF!</definedName>
    <definedName name="COVER">#REF!</definedName>
    <definedName name="CPC" localSheetId="1">#REF!</definedName>
    <definedName name="CPC" localSheetId="0">#REF!</definedName>
    <definedName name="CPC" localSheetId="13">#REF!</definedName>
    <definedName name="CPC">#REF!</definedName>
    <definedName name="CPK" localSheetId="1">#REF!</definedName>
    <definedName name="CPK" localSheetId="0">#REF!</definedName>
    <definedName name="CPK" localSheetId="13">#REF!</definedName>
    <definedName name="CPK">#REF!</definedName>
    <definedName name="CPTB" localSheetId="1">#REF!</definedName>
    <definedName name="CPTB" localSheetId="0">#REF!</definedName>
    <definedName name="CPTB" localSheetId="13">#REF!</definedName>
    <definedName name="CPTB">#REF!</definedName>
    <definedName name="CPVC100" localSheetId="1">#REF!</definedName>
    <definedName name="CPVC100" localSheetId="0">#REF!</definedName>
    <definedName name="CPVC100" localSheetId="13">#REF!</definedName>
    <definedName name="CPVC100">#REF!</definedName>
    <definedName name="CRD" localSheetId="1">#REF!</definedName>
    <definedName name="CRD" localSheetId="0">#REF!</definedName>
    <definedName name="CRD" localSheetId="13">#REF!</definedName>
    <definedName name="CRD">#REF!</definedName>
    <definedName name="CRITINST" localSheetId="1">#REF!</definedName>
    <definedName name="CRITINST" localSheetId="0">#REF!</definedName>
    <definedName name="CRITINST" localSheetId="13">#REF!</definedName>
    <definedName name="CRITINST">#REF!</definedName>
    <definedName name="CRITPURC" localSheetId="1">#REF!</definedName>
    <definedName name="CRITPURC" localSheetId="0">#REF!</definedName>
    <definedName name="CRITPURC" localSheetId="13">#REF!</definedName>
    <definedName name="CRITPURC">#REF!</definedName>
    <definedName name="CRS" localSheetId="1">#REF!</definedName>
    <definedName name="CRS" localSheetId="0">#REF!</definedName>
    <definedName name="CRS" localSheetId="13">#REF!</definedName>
    <definedName name="CRS">#REF!</definedName>
    <definedName name="CS" localSheetId="1">#REF!</definedName>
    <definedName name="CS" localSheetId="0">#REF!</definedName>
    <definedName name="CS" localSheetId="13">#REF!</definedName>
    <definedName name="CS">#REF!</definedName>
    <definedName name="CS_10" localSheetId="1">#REF!</definedName>
    <definedName name="CS_10" localSheetId="0">#REF!</definedName>
    <definedName name="CS_10" localSheetId="13">#REF!</definedName>
    <definedName name="CS_10">#REF!</definedName>
    <definedName name="CS_100" localSheetId="1">#REF!</definedName>
    <definedName name="CS_100" localSheetId="0">#REF!</definedName>
    <definedName name="CS_100" localSheetId="13">#REF!</definedName>
    <definedName name="CS_100">#REF!</definedName>
    <definedName name="CS_10S" localSheetId="1">#REF!</definedName>
    <definedName name="CS_10S" localSheetId="0">#REF!</definedName>
    <definedName name="CS_10S" localSheetId="13">#REF!</definedName>
    <definedName name="CS_10S">#REF!</definedName>
    <definedName name="CS_120" localSheetId="1">#REF!</definedName>
    <definedName name="CS_120" localSheetId="0">#REF!</definedName>
    <definedName name="CS_120" localSheetId="13">#REF!</definedName>
    <definedName name="CS_120">#REF!</definedName>
    <definedName name="CS_140" localSheetId="1">#REF!</definedName>
    <definedName name="CS_140" localSheetId="0">#REF!</definedName>
    <definedName name="CS_140" localSheetId="13">#REF!</definedName>
    <definedName name="CS_140">#REF!</definedName>
    <definedName name="CS_160" localSheetId="1">#REF!</definedName>
    <definedName name="CS_160" localSheetId="0">#REF!</definedName>
    <definedName name="CS_160" localSheetId="13">#REF!</definedName>
    <definedName name="CS_160">#REF!</definedName>
    <definedName name="CS_20" localSheetId="1">#REF!</definedName>
    <definedName name="CS_20" localSheetId="0">#REF!</definedName>
    <definedName name="CS_20" localSheetId="13">#REF!</definedName>
    <definedName name="CS_20">#REF!</definedName>
    <definedName name="CS_30" localSheetId="1">#REF!</definedName>
    <definedName name="CS_30" localSheetId="0">#REF!</definedName>
    <definedName name="CS_30" localSheetId="13">#REF!</definedName>
    <definedName name="CS_30">#REF!</definedName>
    <definedName name="CS_40" localSheetId="1">#REF!</definedName>
    <definedName name="CS_40" localSheetId="0">#REF!</definedName>
    <definedName name="CS_40" localSheetId="13">#REF!</definedName>
    <definedName name="CS_40">#REF!</definedName>
    <definedName name="CS_40S" localSheetId="1">#REF!</definedName>
    <definedName name="CS_40S" localSheetId="0">#REF!</definedName>
    <definedName name="CS_40S" localSheetId="13">#REF!</definedName>
    <definedName name="CS_40S">#REF!</definedName>
    <definedName name="CS_5S" localSheetId="1">#REF!</definedName>
    <definedName name="CS_5S" localSheetId="0">#REF!</definedName>
    <definedName name="CS_5S" localSheetId="13">#REF!</definedName>
    <definedName name="CS_5S">#REF!</definedName>
    <definedName name="CS_60" localSheetId="1">#REF!</definedName>
    <definedName name="CS_60" localSheetId="0">#REF!</definedName>
    <definedName name="CS_60" localSheetId="13">#REF!</definedName>
    <definedName name="CS_60">#REF!</definedName>
    <definedName name="CS_80" localSheetId="1">#REF!</definedName>
    <definedName name="CS_80" localSheetId="0">#REF!</definedName>
    <definedName name="CS_80" localSheetId="13">#REF!</definedName>
    <definedName name="CS_80">#REF!</definedName>
    <definedName name="CS_80S" localSheetId="1">#REF!</definedName>
    <definedName name="CS_80S" localSheetId="0">#REF!</definedName>
    <definedName name="CS_80S" localSheetId="13">#REF!</definedName>
    <definedName name="CS_80S">#REF!</definedName>
    <definedName name="CS_STD" localSheetId="1">#REF!</definedName>
    <definedName name="CS_STD" localSheetId="0">#REF!</definedName>
    <definedName name="CS_STD" localSheetId="13">#REF!</definedName>
    <definedName name="CS_STD">#REF!</definedName>
    <definedName name="CS_XS" localSheetId="1">#REF!</definedName>
    <definedName name="CS_XS" localSheetId="0">#REF!</definedName>
    <definedName name="CS_XS" localSheetId="13">#REF!</definedName>
    <definedName name="CS_XS">#REF!</definedName>
    <definedName name="CS_XXS" localSheetId="1">#REF!</definedName>
    <definedName name="CS_XXS" localSheetId="0">#REF!</definedName>
    <definedName name="CS_XXS" localSheetId="13">#REF!</definedName>
    <definedName name="CS_XXS">#REF!</definedName>
    <definedName name="csd3p" localSheetId="1">#REF!</definedName>
    <definedName name="csd3p" localSheetId="0">#REF!</definedName>
    <definedName name="csd3p" localSheetId="13">#REF!</definedName>
    <definedName name="csd3p">#REF!</definedName>
    <definedName name="csddg1p" localSheetId="1">#REF!</definedName>
    <definedName name="csddg1p" localSheetId="0">#REF!</definedName>
    <definedName name="csddg1p" localSheetId="13">#REF!</definedName>
    <definedName name="csddg1p">#REF!</definedName>
    <definedName name="csddt1p" localSheetId="1">#REF!</definedName>
    <definedName name="csddt1p" localSheetId="0">#REF!</definedName>
    <definedName name="csddt1p" localSheetId="13">#REF!</definedName>
    <definedName name="csddt1p">#REF!</definedName>
    <definedName name="csht3p" localSheetId="1">#REF!</definedName>
    <definedName name="csht3p" localSheetId="0">#REF!</definedName>
    <definedName name="csht3p" localSheetId="13">#REF!</definedName>
    <definedName name="csht3p">#REF!</definedName>
    <definedName name="CT_KSTK" localSheetId="1">#REF!</definedName>
    <definedName name="CT_KSTK" localSheetId="0">#REF!</definedName>
    <definedName name="CT_KSTK" localSheetId="13">#REF!</definedName>
    <definedName name="CT_KSTK">#REF!</definedName>
    <definedName name="ctiep" localSheetId="1">#REF!</definedName>
    <definedName name="ctiep" localSheetId="0">#REF!</definedName>
    <definedName name="ctiep" localSheetId="13">#REF!</definedName>
    <definedName name="ctiep">#REF!</definedName>
    <definedName name="CU_LY" localSheetId="1">#REF!</definedName>
    <definedName name="CU_LY" localSheetId="0">#REF!</definedName>
    <definedName name="CU_LY" localSheetId="13">#REF!</definedName>
    <definedName name="CU_LY">#REF!</definedName>
    <definedName name="cuago" localSheetId="1">#REF!</definedName>
    <definedName name="cuago" localSheetId="0">#REF!</definedName>
    <definedName name="cuago" localSheetId="13">#REF!</definedName>
    <definedName name="cuago">#REF!</definedName>
    <definedName name="cuanhomkinh">'[1]BBNT CNK, CCC'!$A:$IV</definedName>
    <definedName name="cuoc_vc" localSheetId="1">#REF!</definedName>
    <definedName name="cuoc_vc" localSheetId="0">#REF!</definedName>
    <definedName name="cuoc_vc" localSheetId="13">#REF!</definedName>
    <definedName name="cuoc_vc">#REF!</definedName>
    <definedName name="CURRENCY" localSheetId="1">#REF!</definedName>
    <definedName name="CURRENCY" localSheetId="0">#REF!</definedName>
    <definedName name="CURRENCY" localSheetId="13">#REF!</definedName>
    <definedName name="CURRENCY">#REF!</definedName>
    <definedName name="cvcuago">'[1]BBNT CV CUA GO'!$A:$IV</definedName>
    <definedName name="cvdn">'[1]BBNT CVDN'!$A:$IV</definedName>
    <definedName name="cx" localSheetId="1">#REF!</definedName>
    <definedName name="cx" localSheetId="0">#REF!</definedName>
    <definedName name="cx" localSheetId="13">#REF!</definedName>
    <definedName name="cx">#REF!</definedName>
    <definedName name="CH" localSheetId="1">#REF!</definedName>
    <definedName name="CH" localSheetId="0">#REF!</definedName>
    <definedName name="CH" localSheetId="13">#REF!</definedName>
    <definedName name="CH">#REF!</definedName>
    <definedName name="chiyoko" localSheetId="1">#REF!</definedName>
    <definedName name="chiyoko" localSheetId="0">#REF!</definedName>
    <definedName name="chiyoko" localSheetId="13">#REF!</definedName>
    <definedName name="chiyoko">#REF!</definedName>
    <definedName name="chongtham">'[1]BBNT CHTHAM'!$A:$IV</definedName>
    <definedName name="chung">66</definedName>
    <definedName name="Chupdaucapcongotnong" localSheetId="1">#REF!</definedName>
    <definedName name="Chupdaucapcongotnong" localSheetId="0">#REF!</definedName>
    <definedName name="Chupdaucapcongotnong" localSheetId="13">#REF!</definedName>
    <definedName name="Chupdaucapcongotnong">#REF!</definedName>
    <definedName name="D_7101A_B" localSheetId="1">#REF!</definedName>
    <definedName name="D_7101A_B" localSheetId="0">#REF!</definedName>
    <definedName name="D_7101A_B" localSheetId="13">#REF!</definedName>
    <definedName name="D_7101A_B">#REF!</definedName>
    <definedName name="dam">78000</definedName>
    <definedName name="dapcat">'[1]BBNT DAP CAT'!$A$11:$AQ$31</definedName>
    <definedName name="DAT" localSheetId="1">#REF!</definedName>
    <definedName name="DAT" localSheetId="0">#REF!</definedName>
    <definedName name="DAT" localSheetId="13">#REF!</definedName>
    <definedName name="DAT">#REF!</definedName>
    <definedName name="data" localSheetId="1">#REF!</definedName>
    <definedName name="data" localSheetId="0">#REF!</definedName>
    <definedName name="data" localSheetId="13">#REF!</definedName>
    <definedName name="data">#REF!</definedName>
    <definedName name="Data11" localSheetId="1">#REF!</definedName>
    <definedName name="Data11" localSheetId="0">#REF!</definedName>
    <definedName name="Data11" localSheetId="13">#REF!</definedName>
    <definedName name="Data11">#REF!</definedName>
    <definedName name="Data41" localSheetId="1">#REF!</definedName>
    <definedName name="Data41" localSheetId="0">#REF!</definedName>
    <definedName name="Data41" localSheetId="13">#REF!</definedName>
    <definedName name="Data41">#REF!</definedName>
    <definedName name="_xlnm.Database" localSheetId="1">#REF!</definedName>
    <definedName name="_xlnm.Database" localSheetId="0">#REF!</definedName>
    <definedName name="_xlnm.Database" localSheetId="13">#REF!</definedName>
    <definedName name="_xlnm.Database">#REF!</definedName>
    <definedName name="Daucapcongotnong" localSheetId="1">#REF!</definedName>
    <definedName name="Daucapcongotnong" localSheetId="0">#REF!</definedName>
    <definedName name="Daucapcongotnong" localSheetId="13">#REF!</definedName>
    <definedName name="Daucapcongotnong">#REF!</definedName>
    <definedName name="Daucaplapdattrongvangoainha" localSheetId="1">#REF!</definedName>
    <definedName name="Daucaplapdattrongvangoainha" localSheetId="0">#REF!</definedName>
    <definedName name="Daucaplapdattrongvangoainha" localSheetId="13">#REF!</definedName>
    <definedName name="Daucaplapdattrongvangoainha">#REF!</definedName>
    <definedName name="DaucotdongcuaUc" localSheetId="1">#REF!</definedName>
    <definedName name="DaucotdongcuaUc" localSheetId="0">#REF!</definedName>
    <definedName name="DaucotdongcuaUc" localSheetId="13">#REF!</definedName>
    <definedName name="DaucotdongcuaUc">#REF!</definedName>
    <definedName name="Daucotdongnhom" localSheetId="1">#REF!</definedName>
    <definedName name="Daucotdongnhom" localSheetId="0">#REF!</definedName>
    <definedName name="Daucotdongnhom" localSheetId="13">#REF!</definedName>
    <definedName name="Daucotdongnhom">#REF!</definedName>
    <definedName name="Daunoinhomdong" localSheetId="1">#REF!</definedName>
    <definedName name="Daunoinhomdong" localSheetId="0">#REF!</definedName>
    <definedName name="Daunoinhomdong" localSheetId="13">#REF!</definedName>
    <definedName name="Daunoinhomdong">#REF!</definedName>
    <definedName name="DayCEV" localSheetId="1">#REF!</definedName>
    <definedName name="DayCEV" localSheetId="0">#REF!</definedName>
    <definedName name="DayCEV" localSheetId="13">#REF!</definedName>
    <definedName name="DayCEV">#REF!</definedName>
    <definedName name="DD" localSheetId="1">#REF!</definedName>
    <definedName name="DD" localSheetId="0">#REF!</definedName>
    <definedName name="DD" localSheetId="13">#REF!</definedName>
    <definedName name="DD">#REF!</definedName>
    <definedName name="den_bu" localSheetId="1">#REF!</definedName>
    <definedName name="den_bu" localSheetId="0">#REF!</definedName>
    <definedName name="den_bu" localSheetId="13">#REF!</definedName>
    <definedName name="den_bu">#REF!</definedName>
    <definedName name="denbu" localSheetId="1">#REF!</definedName>
    <definedName name="denbu" localSheetId="0">#REF!</definedName>
    <definedName name="denbu" localSheetId="13">#REF!</definedName>
    <definedName name="denbu">#REF!</definedName>
    <definedName name="df" localSheetId="1">#REF!</definedName>
    <definedName name="df" localSheetId="0">#REF!</definedName>
    <definedName name="df" localSheetId="13">#REF!</definedName>
    <definedName name="df">#REF!</definedName>
    <definedName name="dgbdII" localSheetId="1">#REF!</definedName>
    <definedName name="dgbdII" localSheetId="0">#REF!</definedName>
    <definedName name="dgbdII" localSheetId="13">#REF!</definedName>
    <definedName name="dgbdII">#REF!</definedName>
    <definedName name="DGCTI592" localSheetId="1">#REF!</definedName>
    <definedName name="DGCTI592" localSheetId="0">#REF!</definedName>
    <definedName name="DGCTI592" localSheetId="13">#REF!</definedName>
    <definedName name="DGCTI592">#REF!</definedName>
    <definedName name="dgnc" localSheetId="1">#REF!</definedName>
    <definedName name="dgnc" localSheetId="0">#REF!</definedName>
    <definedName name="dgnc" localSheetId="13">#REF!</definedName>
    <definedName name="dgnc">#REF!</definedName>
    <definedName name="dgqndn" localSheetId="1">#REF!</definedName>
    <definedName name="dgqndn" localSheetId="0">#REF!</definedName>
    <definedName name="dgqndn" localSheetId="13">#REF!</definedName>
    <definedName name="dgqndn">#REF!</definedName>
    <definedName name="DGTH" localSheetId="1">#REF!</definedName>
    <definedName name="DGTH" localSheetId="0">#REF!</definedName>
    <definedName name="DGTH" localSheetId="13">#REF!</definedName>
    <definedName name="DGTH">#REF!</definedName>
    <definedName name="dgvl" localSheetId="1">#REF!</definedName>
    <definedName name="dgvl" localSheetId="0">#REF!</definedName>
    <definedName name="dgvl" localSheetId="13">#REF!</definedName>
    <definedName name="dgvl">#REF!</definedName>
    <definedName name="diadiem">[1]DATA!$B$13</definedName>
    <definedName name="dien">'[1]BBNT VL DIEN'!$A$10:$AP$18</definedName>
    <definedName name="DienNuoc" localSheetId="1">#REF!</definedName>
    <definedName name="DienNuoc" localSheetId="0">#REF!</definedName>
    <definedName name="DienNuoc" localSheetId="13">#REF!</definedName>
    <definedName name="DienNuoc">#REF!</definedName>
    <definedName name="DIS" localSheetId="1">#REF!</definedName>
    <definedName name="DIS" localSheetId="0">#REF!</definedName>
    <definedName name="DIS" localSheetId="13">#REF!</definedName>
    <definedName name="DIS">#REF!</definedName>
    <definedName name="dm56bxd" localSheetId="1">#REF!</definedName>
    <definedName name="dm56bxd" localSheetId="0">#REF!</definedName>
    <definedName name="dm56bxd" localSheetId="13">#REF!</definedName>
    <definedName name="dm56bxd">#REF!</definedName>
    <definedName name="DMlapdatxa" localSheetId="1">#REF!</definedName>
    <definedName name="DMlapdatxa" localSheetId="0">#REF!</definedName>
    <definedName name="DMlapdatxa" localSheetId="13">#REF!</definedName>
    <definedName name="DMlapdatxa">#REF!</definedName>
    <definedName name="DN" localSheetId="1">#REF!</definedName>
    <definedName name="DN" localSheetId="0">#REF!</definedName>
    <definedName name="DN" localSheetId="13">#REF!</definedName>
    <definedName name="DN">#REF!</definedName>
    <definedName name="Document_array" localSheetId="19">{"Thuxm2.xls","Sheet1"}</definedName>
    <definedName name="Document_array" localSheetId="18">{"Thuxm2.xls","Sheet1"}</definedName>
    <definedName name="Document_array">{"Thuxm2.xls","Sheet1"}</definedName>
    <definedName name="Documents_array" localSheetId="1">#REF!</definedName>
    <definedName name="Documents_array" localSheetId="0">#REF!</definedName>
    <definedName name="Documents_array" localSheetId="13">#REF!</definedName>
    <definedName name="Documents_array">#REF!</definedName>
    <definedName name="dongcoctre">'[1]BBNT DONG COC TRE'!$A$9:$AQ$25</definedName>
    <definedName name="dongiavanchuyen" localSheetId="1">#REF!</definedName>
    <definedName name="dongiavanchuyen" localSheetId="0">#REF!</definedName>
    <definedName name="dongiavanchuyen" localSheetId="13">#REF!</definedName>
    <definedName name="dongiavanchuyen">#REF!</definedName>
    <definedName name="ds1pnc" localSheetId="1">#REF!</definedName>
    <definedName name="ds1pnc" localSheetId="0">#REF!</definedName>
    <definedName name="ds1pnc" localSheetId="13">#REF!</definedName>
    <definedName name="ds1pnc">#REF!</definedName>
    <definedName name="ds1pvl" localSheetId="1">#REF!</definedName>
    <definedName name="ds1pvl" localSheetId="0">#REF!</definedName>
    <definedName name="ds1pvl" localSheetId="13">#REF!</definedName>
    <definedName name="ds1pvl">#REF!</definedName>
    <definedName name="ds3pnc" localSheetId="1">#REF!</definedName>
    <definedName name="ds3pnc" localSheetId="0">#REF!</definedName>
    <definedName name="ds3pnc" localSheetId="13">#REF!</definedName>
    <definedName name="ds3pnc">#REF!</definedName>
    <definedName name="ds3pvl" localSheetId="1">#REF!</definedName>
    <definedName name="ds3pvl" localSheetId="0">#REF!</definedName>
    <definedName name="ds3pvl" localSheetId="13">#REF!</definedName>
    <definedName name="ds3pvl">#REF!</definedName>
    <definedName name="dsfsdfdsfdsfs" localSheetId="1">#REF!</definedName>
    <definedName name="dsfsdfdsfdsfs" localSheetId="0">#REF!</definedName>
    <definedName name="dsfsdfdsfdsfs" localSheetId="13">#REF!</definedName>
    <definedName name="dsfsdfdsfdsfs">#REF!</definedName>
    <definedName name="dsfsdfsdfsd" localSheetId="1">#REF!</definedName>
    <definedName name="dsfsdfsdfsd" localSheetId="0">#REF!</definedName>
    <definedName name="dsfsdfsdfsd" localSheetId="13">#REF!</definedName>
    <definedName name="dsfsdfsdfsd">#REF!</definedName>
    <definedName name="DSUMDATA" localSheetId="1">#REF!</definedName>
    <definedName name="DSUMDATA" localSheetId="0">#REF!</definedName>
    <definedName name="DSUMDATA" localSheetId="13">#REF!</definedName>
    <definedName name="DSUMDATA">#REF!</definedName>
    <definedName name="duoi" localSheetId="1">#REF!</definedName>
    <definedName name="duoi" localSheetId="0">#REF!</definedName>
    <definedName name="duoi" localSheetId="13">#REF!</definedName>
    <definedName name="duoi">#REF!</definedName>
    <definedName name="dvbt">[1]DATA!$B$17</definedName>
    <definedName name="dvbt2">[1]DATA!$B$20</definedName>
    <definedName name="DVGS">[1]DATA!$B$12</definedName>
    <definedName name="dvtc">[1]DATA!$D$5</definedName>
    <definedName name="dvtc1">[1]DATA!$D$6</definedName>
    <definedName name="dvtn">[1]DATA!$B$18</definedName>
    <definedName name="dw" localSheetId="1">#REF!</definedName>
    <definedName name="dw" localSheetId="0">#REF!</definedName>
    <definedName name="dw" localSheetId="13">#REF!</definedName>
    <definedName name="dw">#REF!</definedName>
    <definedName name="EF" localSheetId="1">#REF!</definedName>
    <definedName name="EF" localSheetId="0">#REF!</definedName>
    <definedName name="EF" localSheetId="13">#REF!</definedName>
    <definedName name="EF">#REF!</definedName>
    <definedName name="End_1" localSheetId="1">#REF!</definedName>
    <definedName name="End_1" localSheetId="0">#REF!</definedName>
    <definedName name="End_1" localSheetId="13">#REF!</definedName>
    <definedName name="End_1">#REF!</definedName>
    <definedName name="End_10" localSheetId="1">#REF!</definedName>
    <definedName name="End_10" localSheetId="0">#REF!</definedName>
    <definedName name="End_10" localSheetId="13">#REF!</definedName>
    <definedName name="End_10">#REF!</definedName>
    <definedName name="End_11" localSheetId="1">#REF!</definedName>
    <definedName name="End_11" localSheetId="0">#REF!</definedName>
    <definedName name="End_11" localSheetId="13">#REF!</definedName>
    <definedName name="End_11">#REF!</definedName>
    <definedName name="End_12" localSheetId="1">#REF!</definedName>
    <definedName name="End_12" localSheetId="0">#REF!</definedName>
    <definedName name="End_12" localSheetId="13">#REF!</definedName>
    <definedName name="End_12">#REF!</definedName>
    <definedName name="End_13" localSheetId="1">#REF!</definedName>
    <definedName name="End_13" localSheetId="0">#REF!</definedName>
    <definedName name="End_13" localSheetId="13">#REF!</definedName>
    <definedName name="End_13">#REF!</definedName>
    <definedName name="End_2" localSheetId="1">#REF!</definedName>
    <definedName name="End_2" localSheetId="0">#REF!</definedName>
    <definedName name="End_2" localSheetId="13">#REF!</definedName>
    <definedName name="End_2">#REF!</definedName>
    <definedName name="End_3" localSheetId="1">#REF!</definedName>
    <definedName name="End_3" localSheetId="0">#REF!</definedName>
    <definedName name="End_3" localSheetId="13">#REF!</definedName>
    <definedName name="End_3">#REF!</definedName>
    <definedName name="End_4" localSheetId="1">#REF!</definedName>
    <definedName name="End_4" localSheetId="0">#REF!</definedName>
    <definedName name="End_4" localSheetId="13">#REF!</definedName>
    <definedName name="End_4">#REF!</definedName>
    <definedName name="End_5" localSheetId="1">#REF!</definedName>
    <definedName name="End_5" localSheetId="0">#REF!</definedName>
    <definedName name="End_5" localSheetId="13">#REF!</definedName>
    <definedName name="End_5">#REF!</definedName>
    <definedName name="End_6" localSheetId="1">#REF!</definedName>
    <definedName name="End_6" localSheetId="0">#REF!</definedName>
    <definedName name="End_6" localSheetId="13">#REF!</definedName>
    <definedName name="End_6">#REF!</definedName>
    <definedName name="End_7" localSheetId="1">#REF!</definedName>
    <definedName name="End_7" localSheetId="0">#REF!</definedName>
    <definedName name="End_7" localSheetId="13">#REF!</definedName>
    <definedName name="End_7">#REF!</definedName>
    <definedName name="End_8" localSheetId="1">#REF!</definedName>
    <definedName name="End_8" localSheetId="0">#REF!</definedName>
    <definedName name="End_8" localSheetId="13">#REF!</definedName>
    <definedName name="End_8">#REF!</definedName>
    <definedName name="End_9" localSheetId="1">#REF!</definedName>
    <definedName name="End_9" localSheetId="0">#REF!</definedName>
    <definedName name="End_9" localSheetId="13">#REF!</definedName>
    <definedName name="End_9">#REF!</definedName>
    <definedName name="_xlnm.Extract" localSheetId="1">#REF!</definedName>
    <definedName name="_xlnm.Extract" localSheetId="0">#REF!</definedName>
    <definedName name="_xlnm.Extract" localSheetId="13">#REF!</definedName>
    <definedName name="_xlnm.Extract">#REF!</definedName>
    <definedName name="F" localSheetId="1">#REF!</definedName>
    <definedName name="F" localSheetId="0">#REF!</definedName>
    <definedName name="F" localSheetId="13">#REF!</definedName>
    <definedName name="F">#REF!</definedName>
    <definedName name="f92F56" localSheetId="1">#REF!</definedName>
    <definedName name="f92F56" localSheetId="0">#REF!</definedName>
    <definedName name="f92F56" localSheetId="13">#REF!</definedName>
    <definedName name="f92F56">#REF!</definedName>
    <definedName name="FACTOR" localSheetId="1">#REF!</definedName>
    <definedName name="FACTOR" localSheetId="0">#REF!</definedName>
    <definedName name="FACTOR" localSheetId="13">#REF!</definedName>
    <definedName name="FACTOR">#REF!</definedName>
    <definedName name="FAXNO" localSheetId="1">#REF!</definedName>
    <definedName name="FAXNO" localSheetId="0">#REF!</definedName>
    <definedName name="FAXNO" localSheetId="13">#REF!</definedName>
    <definedName name="FAXNO">#REF!</definedName>
    <definedName name="fdfsdfsdfs" localSheetId="1">#REF!</definedName>
    <definedName name="fdfsdfsdfs" localSheetId="0">#REF!</definedName>
    <definedName name="fdfsdfsdfs" localSheetId="13">#REF!</definedName>
    <definedName name="fdfsdfsdfs">#REF!</definedName>
    <definedName name="Fi" localSheetId="1">#REF!</definedName>
    <definedName name="Fi" localSheetId="0">#REF!</definedName>
    <definedName name="Fi" localSheetId="13">#REF!</definedName>
    <definedName name="Fi">#REF!</definedName>
    <definedName name="fs" localSheetId="1">#REF!</definedName>
    <definedName name="fs" localSheetId="0">#REF!</definedName>
    <definedName name="fs" localSheetId="13">#REF!</definedName>
    <definedName name="fs">#REF!</definedName>
    <definedName name="GACH">'[1]BBNT VL GACH'!$A$10:$AQ$37</definedName>
    <definedName name="GaicapbocCuXLPEPVCPVCloaiCEVV18den35kV" localSheetId="1">#REF!</definedName>
    <definedName name="GaicapbocCuXLPEPVCPVCloaiCEVV18den35kV" localSheetId="0">#REF!</definedName>
    <definedName name="GaicapbocCuXLPEPVCPVCloaiCEVV18den35kV" localSheetId="13">#REF!</definedName>
    <definedName name="GaicapbocCuXLPEPVCPVCloaiCEVV18den35kV">#REF!</definedName>
    <definedName name="gl3p" localSheetId="1">#REF!</definedName>
    <definedName name="gl3p" localSheetId="0">#REF!</definedName>
    <definedName name="gl3p" localSheetId="13">#REF!</definedName>
    <definedName name="gl3p">#REF!</definedName>
    <definedName name="gsdgdsg" localSheetId="1">[1]DATA!#REF!</definedName>
    <definedName name="gsdgdsg" localSheetId="0">[1]DATA!#REF!</definedName>
    <definedName name="gsdgdsg" localSheetId="13">[1]DATA!#REF!</definedName>
    <definedName name="gsdgdsg">[1]DATA!#REF!</definedName>
    <definedName name="gt" localSheetId="1">#REF!</definedName>
    <definedName name="gt" localSheetId="0">#REF!</definedName>
    <definedName name="gt" localSheetId="13">#REF!</definedName>
    <definedName name="gt">#REF!</definedName>
    <definedName name="GTXL" localSheetId="1">#REF!</definedName>
    <definedName name="GTXL" localSheetId="0">#REF!</definedName>
    <definedName name="GTXL" localSheetId="13">#REF!</definedName>
    <definedName name="GTXL">#REF!</definedName>
    <definedName name="Gi" localSheetId="1">#REF!</definedName>
    <definedName name="Gi" localSheetId="0">#REF!</definedName>
    <definedName name="Gi" localSheetId="13">#REF!</definedName>
    <definedName name="Gi">#REF!</definedName>
    <definedName name="gia" localSheetId="1">#REF!</definedName>
    <definedName name="gia" localSheetId="0">#REF!</definedName>
    <definedName name="gia" localSheetId="13">#REF!</definedName>
    <definedName name="gia">#REF!</definedName>
    <definedName name="gia_tien" localSheetId="1">#REF!</definedName>
    <definedName name="gia_tien" localSheetId="0">#REF!</definedName>
    <definedName name="gia_tien" localSheetId="13">#REF!</definedName>
    <definedName name="gia_tien">#REF!</definedName>
    <definedName name="gia_tien_BTN" localSheetId="1">#REF!</definedName>
    <definedName name="gia_tien_BTN" localSheetId="0">#REF!</definedName>
    <definedName name="gia_tien_BTN" localSheetId="13">#REF!</definedName>
    <definedName name="gia_tien_BTN">#REF!</definedName>
    <definedName name="GiacapAvanxoanLVABCXLPE" localSheetId="1">#REF!</definedName>
    <definedName name="GiacapAvanxoanLVABCXLPE" localSheetId="0">#REF!</definedName>
    <definedName name="GiacapAvanxoanLVABCXLPE" localSheetId="13">#REF!</definedName>
    <definedName name="GiacapAvanxoanLVABCXLPE">#REF!</definedName>
    <definedName name="GiacapbocCuXLPEPVCDSTAPVCloaiCEVVST" localSheetId="1">#REF!</definedName>
    <definedName name="GiacapbocCuXLPEPVCDSTAPVCloaiCEVVST" localSheetId="0">#REF!</definedName>
    <definedName name="GiacapbocCuXLPEPVCDSTAPVCloaiCEVVST" localSheetId="13">#REF!</definedName>
    <definedName name="GiacapbocCuXLPEPVCDSTAPVCloaiCEVVST">#REF!</definedName>
    <definedName name="GiacapbocCuXLPEPVCDSTPVCloaiCEVVST12den24kV" localSheetId="1">#REF!</definedName>
    <definedName name="GiacapbocCuXLPEPVCDSTPVCloaiCEVVST12den24kV" localSheetId="0">#REF!</definedName>
    <definedName name="GiacapbocCuXLPEPVCDSTPVCloaiCEVVST12den24kV" localSheetId="13">#REF!</definedName>
    <definedName name="GiacapbocCuXLPEPVCDSTPVCloaiCEVVST12den24kV">#REF!</definedName>
    <definedName name="GiacapbocCuXLPEPVCDSTPVCloaiCEVVST18den35kV" localSheetId="1">#REF!</definedName>
    <definedName name="GiacapbocCuXLPEPVCDSTPVCloaiCEVVST18den35kV" localSheetId="0">#REF!</definedName>
    <definedName name="GiacapbocCuXLPEPVCDSTPVCloaiCEVVST18den35kV" localSheetId="13">#REF!</definedName>
    <definedName name="GiacapbocCuXLPEPVCDSTPVCloaiCEVVST18den35kV">#REF!</definedName>
    <definedName name="GiacapbocCuXLPEPVCloaiCEV" localSheetId="1">#REF!</definedName>
    <definedName name="GiacapbocCuXLPEPVCloaiCEV" localSheetId="0">#REF!</definedName>
    <definedName name="GiacapbocCuXLPEPVCloaiCEV" localSheetId="13">#REF!</definedName>
    <definedName name="GiacapbocCuXLPEPVCloaiCEV">#REF!</definedName>
    <definedName name="GiacapbocCuXLPEPVCloaiCEV12den24kV" localSheetId="1">#REF!</definedName>
    <definedName name="GiacapbocCuXLPEPVCloaiCEV12den24kV" localSheetId="0">#REF!</definedName>
    <definedName name="GiacapbocCuXLPEPVCloaiCEV12den24kV" localSheetId="13">#REF!</definedName>
    <definedName name="GiacapbocCuXLPEPVCloaiCEV12den24kV">#REF!</definedName>
    <definedName name="GiacapbocCuXLPEPVCloaiCEV18den35kV" localSheetId="1">#REF!</definedName>
    <definedName name="GiacapbocCuXLPEPVCloaiCEV18den35kV" localSheetId="0">#REF!</definedName>
    <definedName name="GiacapbocCuXLPEPVCloaiCEV18den35kV" localSheetId="13">#REF!</definedName>
    <definedName name="GiacapbocCuXLPEPVCloaiCEV18den35kV">#REF!</definedName>
    <definedName name="GiacapbocCuXLPEPVCPVCloaiCEVV12den24kV" localSheetId="1">#REF!</definedName>
    <definedName name="GiacapbocCuXLPEPVCPVCloaiCEVV12den24kV" localSheetId="0">#REF!</definedName>
    <definedName name="GiacapbocCuXLPEPVCPVCloaiCEVV12den24kV" localSheetId="13">#REF!</definedName>
    <definedName name="GiacapbocCuXLPEPVCPVCloaiCEVV12den24kV">#REF!</definedName>
    <definedName name="GiacapbocCuXLPEPVCSWPVCloaiCEVVSW12den24kV" localSheetId="1">#REF!</definedName>
    <definedName name="GiacapbocCuXLPEPVCSWPVCloaiCEVVSW12den24kV" localSheetId="0">#REF!</definedName>
    <definedName name="GiacapbocCuXLPEPVCSWPVCloaiCEVVSW12den24kV" localSheetId="13">#REF!</definedName>
    <definedName name="GiacapbocCuXLPEPVCSWPVCloaiCEVVSW12den24kV">#REF!</definedName>
    <definedName name="GiacapbocCuXLPEPVCSWPVCloaiCEVVSW18den35kV" localSheetId="1">#REF!</definedName>
    <definedName name="GiacapbocCuXLPEPVCSWPVCloaiCEVVSW18den35kV" localSheetId="0">#REF!</definedName>
    <definedName name="GiacapbocCuXLPEPVCSWPVCloaiCEVVSW18den35kV" localSheetId="13">#REF!</definedName>
    <definedName name="GiacapbocCuXLPEPVCSWPVCloaiCEVVSW18den35kV">#REF!</definedName>
    <definedName name="GiadayACbocPVC" localSheetId="1">#REF!</definedName>
    <definedName name="GiadayACbocPVC" localSheetId="0">#REF!</definedName>
    <definedName name="GiadayACbocPVC" localSheetId="13">#REF!</definedName>
    <definedName name="GiadayACbocPVC">#REF!</definedName>
    <definedName name="GiadayAS" localSheetId="1">#REF!</definedName>
    <definedName name="GiadayAS" localSheetId="0">#REF!</definedName>
    <definedName name="GiadayAS" localSheetId="13">#REF!</definedName>
    <definedName name="GiadayAS">#REF!</definedName>
    <definedName name="GiadayAtran" localSheetId="1">#REF!</definedName>
    <definedName name="GiadayAtran" localSheetId="0">#REF!</definedName>
    <definedName name="GiadayAtran" localSheetId="13">#REF!</definedName>
    <definedName name="GiadayAtran">#REF!</definedName>
    <definedName name="GiadayAV" localSheetId="1">#REF!</definedName>
    <definedName name="GiadayAV" localSheetId="0">#REF!</definedName>
    <definedName name="GiadayAV" localSheetId="13">#REF!</definedName>
    <definedName name="GiadayAV">#REF!</definedName>
    <definedName name="GiadayAXLPE1kVlkyhieuAE" localSheetId="1">#REF!</definedName>
    <definedName name="GiadayAXLPE1kVlkyhieuAE" localSheetId="0">#REF!</definedName>
    <definedName name="GiadayAXLPE1kVlkyhieuAE" localSheetId="13">#REF!</definedName>
    <definedName name="GiadayAXLPE1kVlkyhieuAE">#REF!</definedName>
    <definedName name="GiadaycapCEV" localSheetId="1">#REF!</definedName>
    <definedName name="GiadaycapCEV" localSheetId="0">#REF!</definedName>
    <definedName name="GiadaycapCEV" localSheetId="13">#REF!</definedName>
    <definedName name="GiadaycapCEV">#REF!</definedName>
    <definedName name="GiadaycapCuPVC600V" localSheetId="1">#REF!</definedName>
    <definedName name="GiadaycapCuPVC600V" localSheetId="0">#REF!</definedName>
    <definedName name="GiadaycapCuPVC600V" localSheetId="13">#REF!</definedName>
    <definedName name="GiadaycapCuPVC600V">#REF!</definedName>
    <definedName name="GiadayCVV" localSheetId="1">#REF!</definedName>
    <definedName name="GiadayCVV" localSheetId="0">#REF!</definedName>
    <definedName name="GiadayCVV" localSheetId="13">#REF!</definedName>
    <definedName name="GiadayCVV">#REF!</definedName>
    <definedName name="GiadayMtran" localSheetId="1">#REF!</definedName>
    <definedName name="GiadayMtran" localSheetId="0">#REF!</definedName>
    <definedName name="GiadayMtran" localSheetId="13">#REF!</definedName>
    <definedName name="GiadayMtran">#REF!</definedName>
    <definedName name="Giado" localSheetId="1">#REF!</definedName>
    <definedName name="Giado" localSheetId="0">#REF!</definedName>
    <definedName name="Giado" localSheetId="13">#REF!</definedName>
    <definedName name="Giado">#REF!</definedName>
    <definedName name="giaongoai">'[1]BBNT-GIAONGOAI'!$A:$IV</definedName>
    <definedName name="Giasatthep" localSheetId="1">#REF!</definedName>
    <definedName name="Giasatthep" localSheetId="0">#REF!</definedName>
    <definedName name="Giasatthep" localSheetId="13">#REF!</definedName>
    <definedName name="Giasatthep">#REF!</definedName>
    <definedName name="Giavatlieukhac" localSheetId="1">#REF!</definedName>
    <definedName name="Giavatlieukhac" localSheetId="0">#REF!</definedName>
    <definedName name="Giavatlieukhac" localSheetId="13">#REF!</definedName>
    <definedName name="Giavatlieukhac">#REF!</definedName>
    <definedName name="h" localSheetId="19" hidden="1">{"'Sheet1'!$L$16"}</definedName>
    <definedName name="h" localSheetId="18" hidden="1">{"'Sheet1'!$L$16"}</definedName>
    <definedName name="h" hidden="1">{"'Sheet1'!$L$16"}</definedName>
    <definedName name="hangmuc" localSheetId="1">#REF!</definedName>
    <definedName name="hangmuc" localSheetId="0">#REF!</definedName>
    <definedName name="hangmuc" localSheetId="13">#REF!</definedName>
    <definedName name="hangmuc">#REF!</definedName>
    <definedName name="HCM" localSheetId="1">#REF!</definedName>
    <definedName name="HCM" localSheetId="0">#REF!</definedName>
    <definedName name="HCM" localSheetId="13">#REF!</definedName>
    <definedName name="HCM">#REF!</definedName>
    <definedName name="HDXD">[1]DATA!$B$14</definedName>
    <definedName name="Heä_soá_laép_xaø_H">1.7</definedName>
    <definedName name="heä_soá_sình_laày" localSheetId="1">#REF!</definedName>
    <definedName name="heä_soá_sình_laày" localSheetId="0">#REF!</definedName>
    <definedName name="heä_soá_sình_laày" localSheetId="13">#REF!</definedName>
    <definedName name="heä_soá_sình_laày">#REF!</definedName>
    <definedName name="Hello">#N/A</definedName>
    <definedName name="HF" localSheetId="1">#REF!</definedName>
    <definedName name="HF" localSheetId="0">#REF!</definedName>
    <definedName name="HF" localSheetId="13">#REF!</definedName>
    <definedName name="HF">#REF!</definedName>
    <definedName name="hhhh" localSheetId="1">#REF!</definedName>
    <definedName name="hhhh" localSheetId="0">#REF!</definedName>
    <definedName name="hhhh" localSheetId="13">#REF!</definedName>
    <definedName name="hhhh">#REF!</definedName>
    <definedName name="hien" localSheetId="1">#REF!</definedName>
    <definedName name="hien" localSheetId="0">#REF!</definedName>
    <definedName name="hien" localSheetId="13">#REF!</definedName>
    <definedName name="hien">#REF!</definedName>
    <definedName name="hoc">55000</definedName>
    <definedName name="HOME_MANP" localSheetId="1">#REF!</definedName>
    <definedName name="HOME_MANP" localSheetId="0">#REF!</definedName>
    <definedName name="HOME_MANP" localSheetId="13">#REF!</definedName>
    <definedName name="HOME_MANP">#REF!</definedName>
    <definedName name="HOMEOFFICE_COST" localSheetId="1">#REF!</definedName>
    <definedName name="HOMEOFFICE_COST" localSheetId="0">#REF!</definedName>
    <definedName name="HOMEOFFICE_COST" localSheetId="13">#REF!</definedName>
    <definedName name="HOMEOFFICE_COST">#REF!</definedName>
    <definedName name="Hopnoicap" localSheetId="1">#REF!</definedName>
    <definedName name="Hopnoicap" localSheetId="0">#REF!</definedName>
    <definedName name="Hopnoicap" localSheetId="13">#REF!</definedName>
    <definedName name="Hopnoicap">#REF!</definedName>
    <definedName name="HSCT3">0.1</definedName>
    <definedName name="hsdc1" localSheetId="1">#REF!</definedName>
    <definedName name="hsdc1" localSheetId="0">#REF!</definedName>
    <definedName name="hsdc1" localSheetId="13">#REF!</definedName>
    <definedName name="hsdc1">#REF!</definedName>
    <definedName name="HSDN">2.5</definedName>
    <definedName name="HSHH" localSheetId="1">#REF!</definedName>
    <definedName name="HSHH" localSheetId="0">#REF!</definedName>
    <definedName name="HSHH" localSheetId="13">#REF!</definedName>
    <definedName name="HSHH">#REF!</definedName>
    <definedName name="HSHHUT" localSheetId="1">#REF!</definedName>
    <definedName name="HSHHUT" localSheetId="0">#REF!</definedName>
    <definedName name="HSHHUT" localSheetId="13">#REF!</definedName>
    <definedName name="HSHHUT">#REF!</definedName>
    <definedName name="hsm">1.11</definedName>
    <definedName name="hsnc">1.75</definedName>
    <definedName name="HSSL" localSheetId="1">#REF!</definedName>
    <definedName name="HSSL" localSheetId="0">#REF!</definedName>
    <definedName name="HSSL" localSheetId="13">#REF!</definedName>
    <definedName name="HSSL">#REF!</definedName>
    <definedName name="HSVC1" localSheetId="1">#REF!</definedName>
    <definedName name="HSVC1" localSheetId="0">#REF!</definedName>
    <definedName name="HSVC1" localSheetId="13">#REF!</definedName>
    <definedName name="HSVC1">#REF!</definedName>
    <definedName name="HSVC2" localSheetId="1">#REF!</definedName>
    <definedName name="HSVC2" localSheetId="0">#REF!</definedName>
    <definedName name="HSVC2" localSheetId="13">#REF!</definedName>
    <definedName name="HSVC2">#REF!</definedName>
    <definedName name="HSVC3" localSheetId="1">#REF!</definedName>
    <definedName name="HSVC3" localSheetId="0">#REF!</definedName>
    <definedName name="HSVC3" localSheetId="13">#REF!</definedName>
    <definedName name="HSVC3">#REF!</definedName>
    <definedName name="HTML_CodePage" hidden="1">950</definedName>
    <definedName name="HTML_Control" localSheetId="19"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 localSheetId="1">#REF!</definedName>
    <definedName name="HTNC" localSheetId="0">#REF!</definedName>
    <definedName name="HTNC" localSheetId="13">#REF!</definedName>
    <definedName name="HTNC">#REF!</definedName>
    <definedName name="HTVL" localSheetId="1">#REF!</definedName>
    <definedName name="HTVL" localSheetId="0">#REF!</definedName>
    <definedName name="HTVL" localSheetId="13">#REF!</definedName>
    <definedName name="HTVL">#REF!</definedName>
    <definedName name="huy" localSheetId="19" hidden="1">{"'Sheet1'!$L$16"}</definedName>
    <definedName name="huy" localSheetId="18" hidden="1">{"'Sheet1'!$L$16"}</definedName>
    <definedName name="huy" hidden="1">{"'Sheet1'!$L$16"}</definedName>
    <definedName name="I" localSheetId="1">#REF!</definedName>
    <definedName name="I" localSheetId="0">#REF!</definedName>
    <definedName name="I" localSheetId="13">#REF!</definedName>
    <definedName name="I">#REF!</definedName>
    <definedName name="IDLAB_COST" localSheetId="1">#REF!</definedName>
    <definedName name="IDLAB_COST" localSheetId="0">#REF!</definedName>
    <definedName name="IDLAB_COST" localSheetId="13">#REF!</definedName>
    <definedName name="IDLAB_COST">#REF!</definedName>
    <definedName name="in" localSheetId="1">#REF!</definedName>
    <definedName name="in" localSheetId="0">#REF!</definedName>
    <definedName name="in" localSheetId="13">#REF!</definedName>
    <definedName name="in">#REF!</definedName>
    <definedName name="IND_LAB" localSheetId="1">#REF!</definedName>
    <definedName name="IND_LAB" localSheetId="0">#REF!</definedName>
    <definedName name="IND_LAB" localSheetId="13">#REF!</definedName>
    <definedName name="IND_LAB">#REF!</definedName>
    <definedName name="INDMANP" localSheetId="1">#REF!</definedName>
    <definedName name="INDMANP" localSheetId="0">#REF!</definedName>
    <definedName name="INDMANP" localSheetId="13">#REF!</definedName>
    <definedName name="INDMANP">#REF!</definedName>
    <definedName name="j" localSheetId="1">#REF!</definedName>
    <definedName name="j" localSheetId="0">#REF!</definedName>
    <definedName name="j" localSheetId="13">#REF!</definedName>
    <definedName name="j">#REF!</definedName>
    <definedName name="j356C8" localSheetId="1">#REF!</definedName>
    <definedName name="j356C8" localSheetId="0">#REF!</definedName>
    <definedName name="j356C8" localSheetId="13">#REF!</definedName>
    <definedName name="j356C8">#REF!</definedName>
    <definedName name="k" localSheetId="1">#REF!</definedName>
    <definedName name="k" localSheetId="0">#REF!</definedName>
    <definedName name="k" localSheetId="13">#REF!</definedName>
    <definedName name="k">#REF!</definedName>
    <definedName name="kaori" localSheetId="1">#REF!</definedName>
    <definedName name="kaori" localSheetId="0">#REF!</definedName>
    <definedName name="kaori" localSheetId="13">#REF!</definedName>
    <definedName name="kaori">#REF!</definedName>
    <definedName name="kazuyo" localSheetId="1">#REF!</definedName>
    <definedName name="kazuyo" localSheetId="0">#REF!</definedName>
    <definedName name="kazuyo" localSheetId="13">#REF!</definedName>
    <definedName name="kazuyo">#REF!</definedName>
    <definedName name="kcong" localSheetId="1">#REF!</definedName>
    <definedName name="kcong" localSheetId="0">#REF!</definedName>
    <definedName name="kcong" localSheetId="13">#REF!</definedName>
    <definedName name="kcong">#REF!</definedName>
    <definedName name="kcs">[1]DATA!$D$7</definedName>
    <definedName name="KeBve" localSheetId="1">#REF!</definedName>
    <definedName name="KeBve" localSheetId="0">#REF!</definedName>
    <definedName name="KeBve" localSheetId="13">#REF!</definedName>
    <definedName name="KeBve">#REF!</definedName>
    <definedName name="Kepcapcacloai" localSheetId="1">#REF!</definedName>
    <definedName name="Kepcapcacloai" localSheetId="0">#REF!</definedName>
    <definedName name="Kepcapcacloai" localSheetId="13">#REF!</definedName>
    <definedName name="Kepcapcacloai">#REF!</definedName>
    <definedName name="Kiem_tra_trung_ten" localSheetId="1">#REF!</definedName>
    <definedName name="Kiem_tra_trung_ten" localSheetId="0">#REF!</definedName>
    <definedName name="Kiem_tra_trung_ten" localSheetId="13">#REF!</definedName>
    <definedName name="Kiem_tra_trung_ten">#REF!</definedName>
    <definedName name="klg" localSheetId="1">#REF!</definedName>
    <definedName name="klg" localSheetId="0">#REF!</definedName>
    <definedName name="klg" localSheetId="13">#REF!</definedName>
    <definedName name="klg">#REF!</definedName>
    <definedName name="kp1ph" localSheetId="1">#REF!</definedName>
    <definedName name="kp1ph" localSheetId="0">#REF!</definedName>
    <definedName name="kp1ph" localSheetId="13">#REF!</definedName>
    <definedName name="kp1ph">#REF!</definedName>
    <definedName name="khac">2</definedName>
    <definedName name="Khanhdonnoitrunggiannoidieuchinh" localSheetId="1">#REF!</definedName>
    <definedName name="Khanhdonnoitrunggiannoidieuchinh" localSheetId="0">#REF!</definedName>
    <definedName name="Khanhdonnoitrunggiannoidieuchinh" localSheetId="13">#REF!</definedName>
    <definedName name="Khanhdonnoitrunggiannoidieuchinh">#REF!</definedName>
    <definedName name="khoancaythep">'[1]BBNT KCT'!$A:$IV</definedName>
    <definedName name="l" localSheetId="1">#REF!</definedName>
    <definedName name="l" localSheetId="0">#REF!</definedName>
    <definedName name="l" localSheetId="13">#REF!</definedName>
    <definedName name="l">#REF!</definedName>
    <definedName name="Lan" localSheetId="19">{"Thuxm2.xls","Sheet1"}</definedName>
    <definedName name="Lan" localSheetId="18">{"Thuxm2.xls","Sheet1"}</definedName>
    <definedName name="Lan">{"Thuxm2.xls","Sheet1"}</definedName>
    <definedName name="lancan">'[1]BBNT LC'!$A:$IV</definedName>
    <definedName name="langnen">'[1]BBNT LANG NEN'!$A:$IV</definedName>
    <definedName name="lapdien">'[1]BBNT DIEN'!$A$11:$AP$19</definedName>
    <definedName name="laymau">[3]DATA!$C$108:$C$130</definedName>
    <definedName name="ldchongtham">'[1]BBNT CHONG THAM'!$A$10:$AQ$30</definedName>
    <definedName name="Lmk" localSheetId="1">#REF!</definedName>
    <definedName name="Lmk" localSheetId="0">#REF!</definedName>
    <definedName name="Lmk" localSheetId="13">#REF!</definedName>
    <definedName name="Lmk">#REF!</definedName>
    <definedName name="LN" localSheetId="1">#REF!</definedName>
    <definedName name="LN" localSheetId="0">#REF!</definedName>
    <definedName name="LN" localSheetId="13">#REF!</definedName>
    <definedName name="LN">#REF!</definedName>
    <definedName name="m" localSheetId="1">#REF!</definedName>
    <definedName name="m" localSheetId="0">#REF!</definedName>
    <definedName name="m" localSheetId="13">#REF!</definedName>
    <definedName name="m">#REF!</definedName>
    <definedName name="M0.4" localSheetId="1">#REF!</definedName>
    <definedName name="M0.4" localSheetId="0">#REF!</definedName>
    <definedName name="M0.4" localSheetId="13">#REF!</definedName>
    <definedName name="M0.4">#REF!</definedName>
    <definedName name="M12ba3p" localSheetId="1">#REF!</definedName>
    <definedName name="M12ba3p" localSheetId="0">#REF!</definedName>
    <definedName name="M12ba3p" localSheetId="13">#REF!</definedName>
    <definedName name="M12ba3p">#REF!</definedName>
    <definedName name="M12bb1p" localSheetId="1">#REF!</definedName>
    <definedName name="M12bb1p" localSheetId="0">#REF!</definedName>
    <definedName name="M12bb1p" localSheetId="13">#REF!</definedName>
    <definedName name="M12bb1p">#REF!</definedName>
    <definedName name="M12cbnc" localSheetId="1">#REF!</definedName>
    <definedName name="M12cbnc" localSheetId="0">#REF!</definedName>
    <definedName name="M12cbnc" localSheetId="13">#REF!</definedName>
    <definedName name="M12cbnc">#REF!</definedName>
    <definedName name="M12cbvl" localSheetId="1">#REF!</definedName>
    <definedName name="M12cbvl" localSheetId="0">#REF!</definedName>
    <definedName name="M12cbvl" localSheetId="13">#REF!</definedName>
    <definedName name="M12cbvl">#REF!</definedName>
    <definedName name="M14bb1p" localSheetId="1">#REF!</definedName>
    <definedName name="M14bb1p" localSheetId="0">#REF!</definedName>
    <definedName name="M14bb1p" localSheetId="13">#REF!</definedName>
    <definedName name="M14bb1p">#REF!</definedName>
    <definedName name="m8aanc" localSheetId="1">#REF!</definedName>
    <definedName name="m8aanc" localSheetId="0">#REF!</definedName>
    <definedName name="m8aanc" localSheetId="13">#REF!</definedName>
    <definedName name="m8aanc">#REF!</definedName>
    <definedName name="m8aavl" localSheetId="1">#REF!</definedName>
    <definedName name="m8aavl" localSheetId="0">#REF!</definedName>
    <definedName name="m8aavl" localSheetId="13">#REF!</definedName>
    <definedName name="m8aavl">#REF!</definedName>
    <definedName name="Ma3pnc" localSheetId="1">#REF!</definedName>
    <definedName name="Ma3pnc" localSheetId="0">#REF!</definedName>
    <definedName name="Ma3pnc" localSheetId="13">#REF!</definedName>
    <definedName name="Ma3pnc">#REF!</definedName>
    <definedName name="Ma3pvl" localSheetId="1">#REF!</definedName>
    <definedName name="Ma3pvl" localSheetId="0">#REF!</definedName>
    <definedName name="Ma3pvl" localSheetId="13">#REF!</definedName>
    <definedName name="Ma3pvl">#REF!</definedName>
    <definedName name="Maa3pnc" localSheetId="1">#REF!</definedName>
    <definedName name="Maa3pnc" localSheetId="0">#REF!</definedName>
    <definedName name="Maa3pnc" localSheetId="13">#REF!</definedName>
    <definedName name="Maa3pnc">#REF!</definedName>
    <definedName name="Maa3pvl" localSheetId="1">#REF!</definedName>
    <definedName name="Maa3pvl" localSheetId="0">#REF!</definedName>
    <definedName name="Maa3pvl" localSheetId="13">#REF!</definedName>
    <definedName name="Maa3pvl">#REF!</definedName>
    <definedName name="MAJ_CON_EQP" localSheetId="1">#REF!</definedName>
    <definedName name="MAJ_CON_EQP" localSheetId="0">#REF!</definedName>
    <definedName name="MAJ_CON_EQP" localSheetId="13">#REF!</definedName>
    <definedName name="MAJ_CON_EQP">#REF!</definedName>
    <definedName name="masaru" localSheetId="1">#REF!</definedName>
    <definedName name="masaru" localSheetId="0">#REF!</definedName>
    <definedName name="masaru" localSheetId="13">#REF!</definedName>
    <definedName name="masaru">#REF!</definedName>
    <definedName name="may" localSheetId="1">#REF!</definedName>
    <definedName name="may" localSheetId="0">#REF!</definedName>
    <definedName name="may" localSheetId="13">#REF!</definedName>
    <definedName name="may">#REF!</definedName>
    <definedName name="may220." localSheetId="1">#REF!</definedName>
    <definedName name="may220." localSheetId="0">#REF!</definedName>
    <definedName name="may220." localSheetId="13">#REF!</definedName>
    <definedName name="may220.">#REF!</definedName>
    <definedName name="mayumi" localSheetId="1">#REF!</definedName>
    <definedName name="mayumi" localSheetId="0">#REF!</definedName>
    <definedName name="mayumi" localSheetId="13">#REF!</definedName>
    <definedName name="mayumi">#REF!</definedName>
    <definedName name="Mba1p" localSheetId="1">#REF!</definedName>
    <definedName name="Mba1p" localSheetId="0">#REF!</definedName>
    <definedName name="Mba1p" localSheetId="13">#REF!</definedName>
    <definedName name="Mba1p">#REF!</definedName>
    <definedName name="Mba3p" localSheetId="1">#REF!</definedName>
    <definedName name="Mba3p" localSheetId="0">#REF!</definedName>
    <definedName name="Mba3p" localSheetId="13">#REF!</definedName>
    <definedName name="Mba3p">#REF!</definedName>
    <definedName name="Mbb3p" localSheetId="1">#REF!</definedName>
    <definedName name="Mbb3p" localSheetId="0">#REF!</definedName>
    <definedName name="Mbb3p" localSheetId="13">#REF!</definedName>
    <definedName name="Mbb3p">#REF!</definedName>
    <definedName name="Mbn1p" localSheetId="1">#REF!</definedName>
    <definedName name="Mbn1p" localSheetId="0">#REF!</definedName>
    <definedName name="Mbn1p" localSheetId="13">#REF!</definedName>
    <definedName name="Mbn1p">#REF!</definedName>
    <definedName name="mc" localSheetId="1">#REF!</definedName>
    <definedName name="mc" localSheetId="0">#REF!</definedName>
    <definedName name="mc" localSheetId="13">#REF!</definedName>
    <definedName name="mc">#REF!</definedName>
    <definedName name="me" localSheetId="1">#REF!</definedName>
    <definedName name="me" localSheetId="0">#REF!</definedName>
    <definedName name="me" localSheetId="13">#REF!</definedName>
    <definedName name="me">#REF!</definedName>
    <definedName name="Menu">[4]Menu!$A$7:$AP$124</definedName>
    <definedName name="MG_A" localSheetId="1">#REF!</definedName>
    <definedName name="MG_A" localSheetId="0">#REF!</definedName>
    <definedName name="MG_A" localSheetId="13">#REF!</definedName>
    <definedName name="MG_A">#REF!</definedName>
    <definedName name="MN" localSheetId="1">#REF!</definedName>
    <definedName name="MN" localSheetId="0">#REF!</definedName>
    <definedName name="MN" localSheetId="13">#REF!</definedName>
    <definedName name="MN">#REF!</definedName>
    <definedName name="morita" localSheetId="1">#REF!</definedName>
    <definedName name="morita" localSheetId="0">#REF!</definedName>
    <definedName name="morita" localSheetId="13">#REF!</definedName>
    <definedName name="morita">#REF!</definedName>
    <definedName name="MTMAC12" localSheetId="1">#REF!</definedName>
    <definedName name="MTMAC12" localSheetId="0">#REF!</definedName>
    <definedName name="MTMAC12" localSheetId="13">#REF!</definedName>
    <definedName name="MTMAC12">#REF!</definedName>
    <definedName name="mtram" localSheetId="1">#REF!</definedName>
    <definedName name="mtram" localSheetId="0">#REF!</definedName>
    <definedName name="mtram" localSheetId="13">#REF!</definedName>
    <definedName name="mtram">#REF!</definedName>
    <definedName name="n" localSheetId="1">#REF!</definedName>
    <definedName name="n" localSheetId="0">#REF!</definedName>
    <definedName name="n" localSheetId="13">#REF!</definedName>
    <definedName name="n">#REF!</definedName>
    <definedName name="n1pig" localSheetId="1">#REF!</definedName>
    <definedName name="n1pig" localSheetId="0">#REF!</definedName>
    <definedName name="n1pig" localSheetId="13">#REF!</definedName>
    <definedName name="n1pig">#REF!</definedName>
    <definedName name="n1pind" localSheetId="1">#REF!</definedName>
    <definedName name="n1pind" localSheetId="0">#REF!</definedName>
    <definedName name="n1pind" localSheetId="13">#REF!</definedName>
    <definedName name="n1pind">#REF!</definedName>
    <definedName name="n1pint" localSheetId="1">#REF!</definedName>
    <definedName name="n1pint" localSheetId="0">#REF!</definedName>
    <definedName name="n1pint" localSheetId="13">#REF!</definedName>
    <definedName name="n1pint">#REF!</definedName>
    <definedName name="n1ping" localSheetId="1">#REF!</definedName>
    <definedName name="n1ping" localSheetId="0">#REF!</definedName>
    <definedName name="n1ping" localSheetId="13">#REF!</definedName>
    <definedName name="n1ping">#REF!</definedName>
    <definedName name="nc1p" localSheetId="1">#REF!</definedName>
    <definedName name="nc1p" localSheetId="0">#REF!</definedName>
    <definedName name="nc1p" localSheetId="13">#REF!</definedName>
    <definedName name="nc1p">#REF!</definedName>
    <definedName name="nc3p" localSheetId="1">#REF!</definedName>
    <definedName name="nc3p" localSheetId="0">#REF!</definedName>
    <definedName name="nc3p" localSheetId="13">#REF!</definedName>
    <definedName name="nc3p">#REF!</definedName>
    <definedName name="NCBD100" localSheetId="1">#REF!</definedName>
    <definedName name="NCBD100" localSheetId="0">#REF!</definedName>
    <definedName name="NCBD100" localSheetId="13">#REF!</definedName>
    <definedName name="NCBD100">#REF!</definedName>
    <definedName name="NCBD200" localSheetId="1">#REF!</definedName>
    <definedName name="NCBD200" localSheetId="0">#REF!</definedName>
    <definedName name="NCBD200" localSheetId="13">#REF!</definedName>
    <definedName name="NCBD200">#REF!</definedName>
    <definedName name="NCBD250" localSheetId="1">#REF!</definedName>
    <definedName name="NCBD250" localSheetId="0">#REF!</definedName>
    <definedName name="NCBD250" localSheetId="13">#REF!</definedName>
    <definedName name="NCBD250">#REF!</definedName>
    <definedName name="NCKT" localSheetId="1">#REF!</definedName>
    <definedName name="NCKT" localSheetId="0">#REF!</definedName>
    <definedName name="NCKT" localSheetId="13">#REF!</definedName>
    <definedName name="NCKT">#REF!</definedName>
    <definedName name="ncong" localSheetId="1">#REF!</definedName>
    <definedName name="ncong" localSheetId="0">#REF!</definedName>
    <definedName name="ncong" localSheetId="13">#REF!</definedName>
    <definedName name="ncong">#REF!</definedName>
    <definedName name="nctram" localSheetId="1">#REF!</definedName>
    <definedName name="nctram" localSheetId="0">#REF!</definedName>
    <definedName name="nctram" localSheetId="13">#REF!</definedName>
    <definedName name="nctram">#REF!</definedName>
    <definedName name="NCVC100" localSheetId="1">#REF!</definedName>
    <definedName name="NCVC100" localSheetId="0">#REF!</definedName>
    <definedName name="NCVC100" localSheetId="13">#REF!</definedName>
    <definedName name="NCVC100">#REF!</definedName>
    <definedName name="NCVC200" localSheetId="1">#REF!</definedName>
    <definedName name="NCVC200" localSheetId="0">#REF!</definedName>
    <definedName name="NCVC200" localSheetId="13">#REF!</definedName>
    <definedName name="NCVC200">#REF!</definedName>
    <definedName name="NCVC250" localSheetId="1">#REF!</definedName>
    <definedName name="NCVC250" localSheetId="0">#REF!</definedName>
    <definedName name="NCVC250" localSheetId="13">#REF!</definedName>
    <definedName name="NCVC250">#REF!</definedName>
    <definedName name="NCVC3P" localSheetId="1">#REF!</definedName>
    <definedName name="NCVC3P" localSheetId="0">#REF!</definedName>
    <definedName name="NCVC3P" localSheetId="13">#REF!</definedName>
    <definedName name="NCVC3P">#REF!</definedName>
    <definedName name="NET" localSheetId="1">#REF!</definedName>
    <definedName name="NET" localSheetId="0">#REF!</definedName>
    <definedName name="NET" localSheetId="13">#REF!</definedName>
    <definedName name="NET">#REF!</definedName>
    <definedName name="NET_1" localSheetId="1">#REF!</definedName>
    <definedName name="NET_1" localSheetId="0">#REF!</definedName>
    <definedName name="NET_1" localSheetId="13">#REF!</definedName>
    <definedName name="NET_1">#REF!</definedName>
    <definedName name="NET_ANA" localSheetId="1">#REF!</definedName>
    <definedName name="NET_ANA" localSheetId="0">#REF!</definedName>
    <definedName name="NET_ANA" localSheetId="13">#REF!</definedName>
    <definedName name="NET_ANA">#REF!</definedName>
    <definedName name="NET_ANA_1" localSheetId="1">#REF!</definedName>
    <definedName name="NET_ANA_1" localSheetId="0">#REF!</definedName>
    <definedName name="NET_ANA_1" localSheetId="13">#REF!</definedName>
    <definedName name="NET_ANA_1">#REF!</definedName>
    <definedName name="NET_ANA_2" localSheetId="1">#REF!</definedName>
    <definedName name="NET_ANA_2" localSheetId="0">#REF!</definedName>
    <definedName name="NET_ANA_2" localSheetId="13">#REF!</definedName>
    <definedName name="NET_ANA_2">#REF!</definedName>
    <definedName name="nig" localSheetId="1">#REF!</definedName>
    <definedName name="nig" localSheetId="0">#REF!</definedName>
    <definedName name="nig" localSheetId="13">#REF!</definedName>
    <definedName name="nig">#REF!</definedName>
    <definedName name="nig1p" localSheetId="1">#REF!</definedName>
    <definedName name="nig1p" localSheetId="0">#REF!</definedName>
    <definedName name="nig1p" localSheetId="13">#REF!</definedName>
    <definedName name="nig1p">#REF!</definedName>
    <definedName name="nig3p" localSheetId="1">#REF!</definedName>
    <definedName name="nig3p" localSheetId="0">#REF!</definedName>
    <definedName name="nig3p" localSheetId="13">#REF!</definedName>
    <definedName name="nig3p">#REF!</definedName>
    <definedName name="nignc1p" localSheetId="1">#REF!</definedName>
    <definedName name="nignc1p" localSheetId="0">#REF!</definedName>
    <definedName name="nignc1p" localSheetId="13">#REF!</definedName>
    <definedName name="nignc1p">#REF!</definedName>
    <definedName name="nigvl1p" localSheetId="1">#REF!</definedName>
    <definedName name="nigvl1p" localSheetId="0">#REF!</definedName>
    <definedName name="nigvl1p" localSheetId="13">#REF!</definedName>
    <definedName name="nigvl1p">#REF!</definedName>
    <definedName name="nin" localSheetId="1">#REF!</definedName>
    <definedName name="nin" localSheetId="0">#REF!</definedName>
    <definedName name="nin" localSheetId="13">#REF!</definedName>
    <definedName name="nin">#REF!</definedName>
    <definedName name="nin14nc3p" localSheetId="1">#REF!</definedName>
    <definedName name="nin14nc3p" localSheetId="0">#REF!</definedName>
    <definedName name="nin14nc3p" localSheetId="13">#REF!</definedName>
    <definedName name="nin14nc3p">#REF!</definedName>
    <definedName name="nin14vl3p" localSheetId="1">#REF!</definedName>
    <definedName name="nin14vl3p" localSheetId="0">#REF!</definedName>
    <definedName name="nin14vl3p" localSheetId="13">#REF!</definedName>
    <definedName name="nin14vl3p">#REF!</definedName>
    <definedName name="nin1903p" localSheetId="1">#REF!</definedName>
    <definedName name="nin1903p" localSheetId="0">#REF!</definedName>
    <definedName name="nin1903p" localSheetId="13">#REF!</definedName>
    <definedName name="nin1903p">#REF!</definedName>
    <definedName name="nin190nc3p" localSheetId="1">#REF!</definedName>
    <definedName name="nin190nc3p" localSheetId="0">#REF!</definedName>
    <definedName name="nin190nc3p" localSheetId="13">#REF!</definedName>
    <definedName name="nin190nc3p">#REF!</definedName>
    <definedName name="nin190vl3p" localSheetId="1">#REF!</definedName>
    <definedName name="nin190vl3p" localSheetId="0">#REF!</definedName>
    <definedName name="nin190vl3p" localSheetId="13">#REF!</definedName>
    <definedName name="nin190vl3p">#REF!</definedName>
    <definedName name="nin2903p" localSheetId="1">#REF!</definedName>
    <definedName name="nin2903p" localSheetId="0">#REF!</definedName>
    <definedName name="nin2903p" localSheetId="13">#REF!</definedName>
    <definedName name="nin2903p">#REF!</definedName>
    <definedName name="nin290nc3p" localSheetId="1">#REF!</definedName>
    <definedName name="nin290nc3p" localSheetId="0">#REF!</definedName>
    <definedName name="nin290nc3p" localSheetId="13">#REF!</definedName>
    <definedName name="nin290nc3p">#REF!</definedName>
    <definedName name="nin290vl3p" localSheetId="1">#REF!</definedName>
    <definedName name="nin290vl3p" localSheetId="0">#REF!</definedName>
    <definedName name="nin290vl3p" localSheetId="13">#REF!</definedName>
    <definedName name="nin290vl3p">#REF!</definedName>
    <definedName name="nin3p" localSheetId="1">#REF!</definedName>
    <definedName name="nin3p" localSheetId="0">#REF!</definedName>
    <definedName name="nin3p" localSheetId="13">#REF!</definedName>
    <definedName name="nin3p">#REF!</definedName>
    <definedName name="nind" localSheetId="1">#REF!</definedName>
    <definedName name="nind" localSheetId="0">#REF!</definedName>
    <definedName name="nind" localSheetId="13">#REF!</definedName>
    <definedName name="nind">#REF!</definedName>
    <definedName name="nind1p" localSheetId="1">#REF!</definedName>
    <definedName name="nind1p" localSheetId="0">#REF!</definedName>
    <definedName name="nind1p" localSheetId="13">#REF!</definedName>
    <definedName name="nind1p">#REF!</definedName>
    <definedName name="nind3p" localSheetId="1">#REF!</definedName>
    <definedName name="nind3p" localSheetId="0">#REF!</definedName>
    <definedName name="nind3p" localSheetId="13">#REF!</definedName>
    <definedName name="nind3p">#REF!</definedName>
    <definedName name="nindnc1p" localSheetId="1">#REF!</definedName>
    <definedName name="nindnc1p" localSheetId="0">#REF!</definedName>
    <definedName name="nindnc1p" localSheetId="13">#REF!</definedName>
    <definedName name="nindnc1p">#REF!</definedName>
    <definedName name="nindnc3p" localSheetId="1">#REF!</definedName>
    <definedName name="nindnc3p" localSheetId="0">#REF!</definedName>
    <definedName name="nindnc3p" localSheetId="13">#REF!</definedName>
    <definedName name="nindnc3p">#REF!</definedName>
    <definedName name="nindvl1p" localSheetId="1">#REF!</definedName>
    <definedName name="nindvl1p" localSheetId="0">#REF!</definedName>
    <definedName name="nindvl1p" localSheetId="13">#REF!</definedName>
    <definedName name="nindvl1p">#REF!</definedName>
    <definedName name="nindvl3p" localSheetId="1">#REF!</definedName>
    <definedName name="nindvl3p" localSheetId="0">#REF!</definedName>
    <definedName name="nindvl3p" localSheetId="13">#REF!</definedName>
    <definedName name="nindvl3p">#REF!</definedName>
    <definedName name="ninnc3p" localSheetId="1">#REF!</definedName>
    <definedName name="ninnc3p" localSheetId="0">#REF!</definedName>
    <definedName name="ninnc3p" localSheetId="13">#REF!</definedName>
    <definedName name="ninnc3p">#REF!</definedName>
    <definedName name="nint1p" localSheetId="1">#REF!</definedName>
    <definedName name="nint1p" localSheetId="0">#REF!</definedName>
    <definedName name="nint1p" localSheetId="13">#REF!</definedName>
    <definedName name="nint1p">#REF!</definedName>
    <definedName name="nintnc1p" localSheetId="1">#REF!</definedName>
    <definedName name="nintnc1p" localSheetId="0">#REF!</definedName>
    <definedName name="nintnc1p" localSheetId="13">#REF!</definedName>
    <definedName name="nintnc1p">#REF!</definedName>
    <definedName name="nintvl1p" localSheetId="1">#REF!</definedName>
    <definedName name="nintvl1p" localSheetId="0">#REF!</definedName>
    <definedName name="nintvl1p" localSheetId="13">#REF!</definedName>
    <definedName name="nintvl1p">#REF!</definedName>
    <definedName name="ninvl3p" localSheetId="1">#REF!</definedName>
    <definedName name="ninvl3p" localSheetId="0">#REF!</definedName>
    <definedName name="ninvl3p" localSheetId="13">#REF!</definedName>
    <definedName name="ninvl3p">#REF!</definedName>
    <definedName name="ning1p" localSheetId="1">#REF!</definedName>
    <definedName name="ning1p" localSheetId="0">#REF!</definedName>
    <definedName name="ning1p" localSheetId="13">#REF!</definedName>
    <definedName name="ning1p">#REF!</definedName>
    <definedName name="ningnc1p" localSheetId="1">#REF!</definedName>
    <definedName name="ningnc1p" localSheetId="0">#REF!</definedName>
    <definedName name="ningnc1p" localSheetId="13">#REF!</definedName>
    <definedName name="ningnc1p">#REF!</definedName>
    <definedName name="ningvl1p" localSheetId="1">#REF!</definedName>
    <definedName name="ningvl1p" localSheetId="0">#REF!</definedName>
    <definedName name="ningvl1p" localSheetId="13">#REF!</definedName>
    <definedName name="ningvl1p">#REF!</definedName>
    <definedName name="nl" localSheetId="1">#REF!</definedName>
    <definedName name="nl" localSheetId="0">#REF!</definedName>
    <definedName name="nl" localSheetId="13">#REF!</definedName>
    <definedName name="nl">#REF!</definedName>
    <definedName name="nl1p" localSheetId="1">#REF!</definedName>
    <definedName name="nl1p" localSheetId="0">#REF!</definedName>
    <definedName name="nl1p" localSheetId="13">#REF!</definedName>
    <definedName name="nl1p">#REF!</definedName>
    <definedName name="nl3p" localSheetId="1">#REF!</definedName>
    <definedName name="nl3p" localSheetId="0">#REF!</definedName>
    <definedName name="nl3p" localSheetId="13">#REF!</definedName>
    <definedName name="nl3p">#REF!</definedName>
    <definedName name="nlnc3p" localSheetId="1">#REF!</definedName>
    <definedName name="nlnc3p" localSheetId="0">#REF!</definedName>
    <definedName name="nlnc3p" localSheetId="13">#REF!</definedName>
    <definedName name="nlnc3p">#REF!</definedName>
    <definedName name="nlnc3pha" localSheetId="1">#REF!</definedName>
    <definedName name="nlnc3pha" localSheetId="0">#REF!</definedName>
    <definedName name="nlnc3pha" localSheetId="13">#REF!</definedName>
    <definedName name="nlnc3pha">#REF!</definedName>
    <definedName name="NLTK1p" localSheetId="1">#REF!</definedName>
    <definedName name="NLTK1p" localSheetId="0">#REF!</definedName>
    <definedName name="NLTK1p" localSheetId="13">#REF!</definedName>
    <definedName name="NLTK1p">#REF!</definedName>
    <definedName name="nlvl3p" localSheetId="1">#REF!</definedName>
    <definedName name="nlvl3p" localSheetId="0">#REF!</definedName>
    <definedName name="nlvl3p" localSheetId="13">#REF!</definedName>
    <definedName name="nlvl3p">#REF!</definedName>
    <definedName name="nn" localSheetId="1">#REF!</definedName>
    <definedName name="nn" localSheetId="0">#REF!</definedName>
    <definedName name="nn" localSheetId="13">#REF!</definedName>
    <definedName name="nn">#REF!</definedName>
    <definedName name="nn1p" localSheetId="1">#REF!</definedName>
    <definedName name="nn1p" localSheetId="0">#REF!</definedName>
    <definedName name="nn1p" localSheetId="13">#REF!</definedName>
    <definedName name="nn1p">#REF!</definedName>
    <definedName name="nn3p" localSheetId="1">#REF!</definedName>
    <definedName name="nn3p" localSheetId="0">#REF!</definedName>
    <definedName name="nn3p" localSheetId="13">#REF!</definedName>
    <definedName name="nn3p">#REF!</definedName>
    <definedName name="nnnc3p" localSheetId="1">#REF!</definedName>
    <definedName name="nnnc3p" localSheetId="0">#REF!</definedName>
    <definedName name="nnnc3p" localSheetId="13">#REF!</definedName>
    <definedName name="nnnc3p">#REF!</definedName>
    <definedName name="nnvl3p" localSheetId="1">#REF!</definedName>
    <definedName name="nnvl3p" localSheetId="0">#REF!</definedName>
    <definedName name="nnvl3p" localSheetId="13">#REF!</definedName>
    <definedName name="nnvl3p">#REF!</definedName>
    <definedName name="No" localSheetId="1">#REF!</definedName>
    <definedName name="No" localSheetId="0">#REF!</definedName>
    <definedName name="No" localSheetId="13">#REF!</definedName>
    <definedName name="No">#REF!</definedName>
    <definedName name="NT" localSheetId="1">#REF!</definedName>
    <definedName name="NT" localSheetId="0">#REF!</definedName>
    <definedName name="NT" localSheetId="13">#REF!</definedName>
    <definedName name="NT">#REF!</definedName>
    <definedName name="NH" localSheetId="1">#REF!</definedName>
    <definedName name="NH" localSheetId="0">#REF!</definedName>
    <definedName name="NH" localSheetId="13">#REF!</definedName>
    <definedName name="NH">#REF!</definedName>
    <definedName name="nhatky">'[1]NHẬT KÝ ÉP CỌC'!$A:$IV</definedName>
    <definedName name="nhn" localSheetId="1">#REF!</definedName>
    <definedName name="nhn" localSheetId="0">#REF!</definedName>
    <definedName name="nhn" localSheetId="13">#REF!</definedName>
    <definedName name="nhn">#REF!</definedName>
    <definedName name="NHot" localSheetId="1">#REF!</definedName>
    <definedName name="NHot" localSheetId="0">#REF!</definedName>
    <definedName name="NHot" localSheetId="13">#REF!</definedName>
    <definedName name="NHot">#REF!</definedName>
    <definedName name="odaki" localSheetId="1">#REF!</definedName>
    <definedName name="odaki" localSheetId="0">#REF!</definedName>
    <definedName name="odaki" localSheetId="13">#REF!</definedName>
    <definedName name="odaki">#REF!</definedName>
    <definedName name="Ongbaovecap" localSheetId="1">#REF!</definedName>
    <definedName name="Ongbaovecap" localSheetId="0">#REF!</definedName>
    <definedName name="Ongbaovecap" localSheetId="13">#REF!</definedName>
    <definedName name="Ongbaovecap">#REF!</definedName>
    <definedName name="Ongnoiday" localSheetId="1">#REF!</definedName>
    <definedName name="Ongnoiday" localSheetId="0">#REF!</definedName>
    <definedName name="Ongnoiday" localSheetId="13">#REF!</definedName>
    <definedName name="Ongnoiday">#REF!</definedName>
    <definedName name="Ongnoidaybulongtachongrungtabu" localSheetId="1">#REF!</definedName>
    <definedName name="Ongnoidaybulongtachongrungtabu" localSheetId="0">#REF!</definedName>
    <definedName name="Ongnoidaybulongtachongrungtabu" localSheetId="13">#REF!</definedName>
    <definedName name="Ongnoidaybulongtachongrungtabu">#REF!</definedName>
    <definedName name="OngPVC" localSheetId="1">#REF!</definedName>
    <definedName name="OngPVC" localSheetId="0">#REF!</definedName>
    <definedName name="OngPVC" localSheetId="13">#REF!</definedName>
    <definedName name="OngPVC">#REF!</definedName>
    <definedName name="oplat">'[1]BBNT OP LAT'!$A:$IV</definedName>
    <definedName name="P7b" localSheetId="1">#REF!</definedName>
    <definedName name="P7b" localSheetId="0">#REF!</definedName>
    <definedName name="P7b" localSheetId="13">#REF!</definedName>
    <definedName name="P7b">#REF!</definedName>
    <definedName name="PA" localSheetId="1">#REF!</definedName>
    <definedName name="PA" localSheetId="0">#REF!</definedName>
    <definedName name="PA" localSheetId="13">#REF!</definedName>
    <definedName name="PA">#REF!</definedName>
    <definedName name="PK" localSheetId="1">#REF!</definedName>
    <definedName name="PK" localSheetId="0">#REF!</definedName>
    <definedName name="PK" localSheetId="13">#REF!</definedName>
    <definedName name="PK">#REF!</definedName>
    <definedName name="PRICE" localSheetId="1">#REF!</definedName>
    <definedName name="PRICE" localSheetId="0">#REF!</definedName>
    <definedName name="PRICE" localSheetId="13">#REF!</definedName>
    <definedName name="PRICE">#REF!</definedName>
    <definedName name="PRICE1" localSheetId="1">#REF!</definedName>
    <definedName name="PRICE1" localSheetId="0">#REF!</definedName>
    <definedName name="PRICE1" localSheetId="13">#REF!</definedName>
    <definedName name="PRICE1">#REF!</definedName>
    <definedName name="Prin1" localSheetId="1">#REF!</definedName>
    <definedName name="Prin1" localSheetId="0">#REF!</definedName>
    <definedName name="Prin1" localSheetId="13">#REF!</definedName>
    <definedName name="Prin1">#REF!</definedName>
    <definedName name="Prin2" localSheetId="1">#REF!</definedName>
    <definedName name="Prin2" localSheetId="0">#REF!</definedName>
    <definedName name="Prin2" localSheetId="13">#REF!</definedName>
    <definedName name="Prin2">#REF!</definedName>
    <definedName name="_xlnm.Print_Area" localSheetId="7">'1. Bia'!$A$1:$M$27</definedName>
    <definedName name="_xlnm.Print_Area" localSheetId="23">'2'!$A$1:$M$59</definedName>
    <definedName name="_xlnm.Print_Area" localSheetId="8">'2. NK'!$A$1:$M$58</definedName>
    <definedName name="_xlnm.Print_Area" localSheetId="1">'2. NK KP'!$A$1:$M$65</definedName>
    <definedName name="_xlnm.Print_Area" localSheetId="0">'2. NK TN'!$A$1:$M$60</definedName>
    <definedName name="_xlnm.Print_Area" localSheetId="24">'3'!$A$1:$G$43</definedName>
    <definedName name="_xlnm.Print_Area" localSheetId="9">'3. Dia Chat'!$A$1:$G$46</definedName>
    <definedName name="_xlnm.Print_Area" localSheetId="25">'4'!$A$1:$P$26</definedName>
    <definedName name="_xlnm.Print_Area" localSheetId="11">'4. PTDBT'!$A$1:$P$27</definedName>
    <definedName name="_xlnm.Print_Area" localSheetId="26">'5'!$A$1:$G$36</definedName>
    <definedName name="_xlnm.Print_Area" localSheetId="14">'5.BBLMBT'!$A$1:$G$36</definedName>
    <definedName name="_xlnm.Print_Area" localSheetId="13">'5.BBLMBT2'!$A$1:$G$36</definedName>
    <definedName name="_xlnm.Print_Area" localSheetId="27">'6'!$A$1:$K$34</definedName>
    <definedName name="_xlnm.Print_Area" localSheetId="17">'6. BDBT'!$A$1:$K$34</definedName>
    <definedName name="_xlnm.Print_Area" localSheetId="28">'7'!$A$1:$J$177</definedName>
    <definedName name="_xlnm.Print_Area" localSheetId="20">'7.BBKT-  TĐC'!$A$1:$J$172</definedName>
    <definedName name="_xlnm.Print_Area" localSheetId="29">'8'!$A$1:$J$172</definedName>
    <definedName name="_xlnm.Print_Area" localSheetId="21">'8.BBCT'!$A$1:$J$174</definedName>
    <definedName name="_xlnm.Print_Area" localSheetId="30">'9'!$A$1:$J$170</definedName>
    <definedName name="_xlnm.Print_Area" localSheetId="22">'9.BB- CKBT'!$A$1:$J$170</definedName>
    <definedName name="_xlnm.Print_Area" localSheetId="19">'Bien ban'!$A$1:$J$505</definedName>
    <definedName name="_xlnm.Print_Area" localSheetId="18">'Bien ban 2'!$A$1:$N$1128</definedName>
    <definedName name="_xlnm.Print_Area" localSheetId="6">DT.NK!$A$1:$AZ$228</definedName>
    <definedName name="_xlnm.Print_Area" localSheetId="16">'N ĐO BT'!$A$1:$J$225</definedName>
    <definedName name="_xlnm.Print_Area" localSheetId="32">Sheet1!$A$1:$I$27</definedName>
    <definedName name="_xlnm.Print_Area" localSheetId="31">Sheet2!$A$1:$I$38</definedName>
    <definedName name="_xlnm.Print_Area">#REF!</definedName>
    <definedName name="PRINT_AREA_MI" localSheetId="1">#REF!</definedName>
    <definedName name="PRINT_AREA_MI" localSheetId="0">#REF!</definedName>
    <definedName name="PRINT_AREA_MI" localSheetId="13">#REF!</definedName>
    <definedName name="PRINT_AREA_MI">#REF!</definedName>
    <definedName name="_xlnm.Print_Titles" localSheetId="1">#REF!</definedName>
    <definedName name="_xlnm.Print_Titles" localSheetId="0">#REF!</definedName>
    <definedName name="_xlnm.Print_Titles" localSheetId="13">#REF!</definedName>
    <definedName name="_xlnm.Print_Titles" localSheetId="16">'N ĐO BT'!$9:$9</definedName>
    <definedName name="_xlnm.Print_Titles">#REF!</definedName>
    <definedName name="PRINT_TITLES_MI" localSheetId="1">#REF!</definedName>
    <definedName name="PRINT_TITLES_MI" localSheetId="0">#REF!</definedName>
    <definedName name="PRINT_TITLES_MI" localSheetId="13">#REF!</definedName>
    <definedName name="PRINT_TITLES_MI">#REF!</definedName>
    <definedName name="PRINTA" localSheetId="1">#REF!</definedName>
    <definedName name="PRINTA" localSheetId="0">#REF!</definedName>
    <definedName name="PRINTA" localSheetId="13">#REF!</definedName>
    <definedName name="PRINTA">#REF!</definedName>
    <definedName name="PRINTB" localSheetId="1">#REF!</definedName>
    <definedName name="PRINTB" localSheetId="0">#REF!</definedName>
    <definedName name="PRINTB" localSheetId="13">#REF!</definedName>
    <definedName name="PRINTB">#REF!</definedName>
    <definedName name="PRINTC" localSheetId="1">#REF!</definedName>
    <definedName name="PRINTC" localSheetId="0">#REF!</definedName>
    <definedName name="PRINTC" localSheetId="13">#REF!</definedName>
    <definedName name="PRINTC">#REF!</definedName>
    <definedName name="PROPOSAL" localSheetId="1">#REF!</definedName>
    <definedName name="PROPOSAL" localSheetId="0">#REF!</definedName>
    <definedName name="PROPOSAL" localSheetId="13">#REF!</definedName>
    <definedName name="PROPOSAL">#REF!</definedName>
    <definedName name="PT_Duong" localSheetId="1">#REF!</definedName>
    <definedName name="PT_Duong" localSheetId="0">#REF!</definedName>
    <definedName name="PT_Duong" localSheetId="13">#REF!</definedName>
    <definedName name="PT_Duong">#REF!</definedName>
    <definedName name="ptdg" localSheetId="1">#REF!</definedName>
    <definedName name="ptdg" localSheetId="0">#REF!</definedName>
    <definedName name="ptdg" localSheetId="13">#REF!</definedName>
    <definedName name="ptdg">#REF!</definedName>
    <definedName name="PTDG_cau" localSheetId="1">#REF!</definedName>
    <definedName name="PTDG_cau" localSheetId="0">#REF!</definedName>
    <definedName name="PTDG_cau" localSheetId="13">#REF!</definedName>
    <definedName name="PTDG_cau">#REF!</definedName>
    <definedName name="ptdg_cong" localSheetId="1">#REF!</definedName>
    <definedName name="ptdg_cong" localSheetId="0">#REF!</definedName>
    <definedName name="ptdg_cong" localSheetId="13">#REF!</definedName>
    <definedName name="ptdg_cong">#REF!</definedName>
    <definedName name="ptdg_duong" localSheetId="1">#REF!</definedName>
    <definedName name="ptdg_duong" localSheetId="0">#REF!</definedName>
    <definedName name="ptdg_duong" localSheetId="13">#REF!</definedName>
    <definedName name="ptdg_duong">#REF!</definedName>
    <definedName name="pycnt">[1]PYC!$A$7:$O$190</definedName>
    <definedName name="Pheuhopgang" localSheetId="1">#REF!</definedName>
    <definedName name="Pheuhopgang" localSheetId="0">#REF!</definedName>
    <definedName name="Pheuhopgang" localSheetId="13">#REF!</definedName>
    <definedName name="Pheuhopgang">#REF!</definedName>
    <definedName name="phu_luc_vua" localSheetId="1">#REF!</definedName>
    <definedName name="phu_luc_vua" localSheetId="0">#REF!</definedName>
    <definedName name="phu_luc_vua" localSheetId="13">#REF!</definedName>
    <definedName name="phu_luc_vua">#REF!</definedName>
    <definedName name="Phukienduongday" localSheetId="1">#REF!</definedName>
    <definedName name="Phukienduongday" localSheetId="0">#REF!</definedName>
    <definedName name="Phukienduongday" localSheetId="13">#REF!</definedName>
    <definedName name="Phukienduongday">#REF!</definedName>
    <definedName name="ra11p" localSheetId="1">#REF!</definedName>
    <definedName name="ra11p" localSheetId="0">#REF!</definedName>
    <definedName name="ra11p" localSheetId="13">#REF!</definedName>
    <definedName name="ra11p">#REF!</definedName>
    <definedName name="ra13p" localSheetId="1">#REF!</definedName>
    <definedName name="ra13p" localSheetId="0">#REF!</definedName>
    <definedName name="ra13p" localSheetId="13">#REF!</definedName>
    <definedName name="ra13p">#REF!</definedName>
    <definedName name="re">"evaluate(mid(E24;find("":"";e24)+1;10)"</definedName>
    <definedName name="RECOUT">#N/A</definedName>
    <definedName name="RED_RIVER_BRIDGE__THANH_TRI_BRIDGE__CONSTRUCTION_PROJECT" localSheetId="1">#REF!</definedName>
    <definedName name="RED_RIVER_BRIDGE__THANH_TRI_BRIDGE__CONSTRUCTION_PROJECT" localSheetId="0">#REF!</definedName>
    <definedName name="RED_RIVER_BRIDGE__THANH_TRI_BRIDGE__CONSTRUCTION_PROJECT" localSheetId="13">#REF!</definedName>
    <definedName name="RED_RIVER_BRIDGE__THANH_TRI_BRIDGE__CONSTRUCTION_PROJECT">#REF!</definedName>
    <definedName name="REO" localSheetId="1">#REF!</definedName>
    <definedName name="REO" localSheetId="0">#REF!</definedName>
    <definedName name="REO" localSheetId="13">#REF!</definedName>
    <definedName name="REO">#REF!</definedName>
    <definedName name="RFP003A" localSheetId="1">#REF!</definedName>
    <definedName name="RFP003A" localSheetId="0">#REF!</definedName>
    <definedName name="RFP003A" localSheetId="13">#REF!</definedName>
    <definedName name="RFP003A">#REF!</definedName>
    <definedName name="RFP003B" localSheetId="1">#REF!</definedName>
    <definedName name="RFP003B" localSheetId="0">#REF!</definedName>
    <definedName name="RFP003B" localSheetId="13">#REF!</definedName>
    <definedName name="RFP003B">#REF!</definedName>
    <definedName name="RFP003C" localSheetId="1">#REF!</definedName>
    <definedName name="RFP003C" localSheetId="0">#REF!</definedName>
    <definedName name="RFP003C" localSheetId="13">#REF!</definedName>
    <definedName name="RFP003C">#REF!</definedName>
    <definedName name="RFP003D" localSheetId="1">#REF!</definedName>
    <definedName name="RFP003D" localSheetId="0">#REF!</definedName>
    <definedName name="RFP003D" localSheetId="13">#REF!</definedName>
    <definedName name="RFP003D">#REF!</definedName>
    <definedName name="RFP003E" localSheetId="1">#REF!</definedName>
    <definedName name="RFP003E" localSheetId="0">#REF!</definedName>
    <definedName name="RFP003E" localSheetId="13">#REF!</definedName>
    <definedName name="RFP003E">#REF!</definedName>
    <definedName name="RFP003F" localSheetId="1">#REF!</definedName>
    <definedName name="RFP003F" localSheetId="0">#REF!</definedName>
    <definedName name="RFP003F" localSheetId="13">#REF!</definedName>
    <definedName name="RFP003F">#REF!</definedName>
    <definedName name="sadSa" localSheetId="19" hidden="1">{#N/A,#N/A,FALSE,"Chi tiÆt"}</definedName>
    <definedName name="sadSa" localSheetId="18" hidden="1">{#N/A,#N/A,FALSE,"Chi tiÆt"}</definedName>
    <definedName name="sadSa" hidden="1">{#N/A,#N/A,FALSE,"Chi tiÆt"}</definedName>
    <definedName name="SCH" localSheetId="1">#REF!</definedName>
    <definedName name="SCH" localSheetId="0">#REF!</definedName>
    <definedName name="SCH" localSheetId="13">#REF!</definedName>
    <definedName name="SCH">#REF!</definedName>
    <definedName name="sdfsdfsdfsd" localSheetId="1">#REF!</definedName>
    <definedName name="sdfsdfsdfsd" localSheetId="0">#REF!</definedName>
    <definedName name="sdfsdfsdfsd" localSheetId="13">#REF!</definedName>
    <definedName name="sdfsdfsdfsd">#REF!</definedName>
    <definedName name="SDMONG" localSheetId="1">#REF!</definedName>
    <definedName name="SDMONG" localSheetId="0">#REF!</definedName>
    <definedName name="SDMONG" localSheetId="13">#REF!</definedName>
    <definedName name="SDMONG">#REF!</definedName>
    <definedName name="Sheet1" localSheetId="1">#REF!</definedName>
    <definedName name="Sheet1" localSheetId="0">#REF!</definedName>
    <definedName name="Sheet1" localSheetId="13">#REF!</definedName>
    <definedName name="Sheet1">#REF!</definedName>
    <definedName name="SIZE" localSheetId="1">#REF!</definedName>
    <definedName name="SIZE" localSheetId="0">#REF!</definedName>
    <definedName name="SIZE" localSheetId="13">#REF!</definedName>
    <definedName name="SIZE">#REF!</definedName>
    <definedName name="SL_CRD" localSheetId="1">#REF!</definedName>
    <definedName name="SL_CRD" localSheetId="0">#REF!</definedName>
    <definedName name="SL_CRD" localSheetId="13">#REF!</definedName>
    <definedName name="SL_CRD">#REF!</definedName>
    <definedName name="SL_CRS" localSheetId="1">#REF!</definedName>
    <definedName name="SL_CRS" localSheetId="0">#REF!</definedName>
    <definedName name="SL_CRS" localSheetId="13">#REF!</definedName>
    <definedName name="SL_CRS">#REF!</definedName>
    <definedName name="SL_CS" localSheetId="1">#REF!</definedName>
    <definedName name="SL_CS" localSheetId="0">#REF!</definedName>
    <definedName name="SL_CS" localSheetId="13">#REF!</definedName>
    <definedName name="SL_CS">#REF!</definedName>
    <definedName name="SL_DD" localSheetId="1">#REF!</definedName>
    <definedName name="SL_DD" localSheetId="0">#REF!</definedName>
    <definedName name="SL_DD" localSheetId="13">#REF!</definedName>
    <definedName name="SL_DD">#REF!</definedName>
    <definedName name="soc3p" localSheetId="1">#REF!</definedName>
    <definedName name="soc3p" localSheetId="0">#REF!</definedName>
    <definedName name="soc3p" localSheetId="13">#REF!</definedName>
    <definedName name="soc3p">#REF!</definedName>
    <definedName name="SORT" localSheetId="1">#REF!</definedName>
    <definedName name="SORT" localSheetId="0">#REF!</definedName>
    <definedName name="SORT" localSheetId="13">#REF!</definedName>
    <definedName name="SORT">#REF!</definedName>
    <definedName name="SPEC" localSheetId="1">#REF!</definedName>
    <definedName name="SPEC" localSheetId="0">#REF!</definedName>
    <definedName name="SPEC" localSheetId="13">#REF!</definedName>
    <definedName name="SPEC">#REF!</definedName>
    <definedName name="SPECSUMMARY" localSheetId="1">#REF!</definedName>
    <definedName name="SPECSUMMARY" localSheetId="0">#REF!</definedName>
    <definedName name="SPECSUMMARY" localSheetId="13">#REF!</definedName>
    <definedName name="SPECSUMMARY">#REF!</definedName>
    <definedName name="SSTR" localSheetId="1">#REF!</definedName>
    <definedName name="SSTR" localSheetId="0">#REF!</definedName>
    <definedName name="SSTR" localSheetId="13">#REF!</definedName>
    <definedName name="SSTR">#REF!</definedName>
    <definedName name="Start_1" localSheetId="1">#REF!</definedName>
    <definedName name="Start_1" localSheetId="0">#REF!</definedName>
    <definedName name="Start_1" localSheetId="13">#REF!</definedName>
    <definedName name="Start_1">#REF!</definedName>
    <definedName name="Start_10" localSheetId="1">#REF!</definedName>
    <definedName name="Start_10" localSheetId="0">#REF!</definedName>
    <definedName name="Start_10" localSheetId="13">#REF!</definedName>
    <definedName name="Start_10">#REF!</definedName>
    <definedName name="Start_11" localSheetId="1">#REF!</definedName>
    <definedName name="Start_11" localSheetId="0">#REF!</definedName>
    <definedName name="Start_11" localSheetId="13">#REF!</definedName>
    <definedName name="Start_11">#REF!</definedName>
    <definedName name="Start_12" localSheetId="1">#REF!</definedName>
    <definedName name="Start_12" localSheetId="0">#REF!</definedName>
    <definedName name="Start_12" localSheetId="13">#REF!</definedName>
    <definedName name="Start_12">#REF!</definedName>
    <definedName name="Start_13" localSheetId="1">#REF!</definedName>
    <definedName name="Start_13" localSheetId="0">#REF!</definedName>
    <definedName name="Start_13" localSheetId="13">#REF!</definedName>
    <definedName name="Start_13">#REF!</definedName>
    <definedName name="Start_2" localSheetId="1">#REF!</definedName>
    <definedName name="Start_2" localSheetId="0">#REF!</definedName>
    <definedName name="Start_2" localSheetId="13">#REF!</definedName>
    <definedName name="Start_2">#REF!</definedName>
    <definedName name="Start_3" localSheetId="1">#REF!</definedName>
    <definedName name="Start_3" localSheetId="0">#REF!</definedName>
    <definedName name="Start_3" localSheetId="13">#REF!</definedName>
    <definedName name="Start_3">#REF!</definedName>
    <definedName name="Start_4" localSheetId="1">#REF!</definedName>
    <definedName name="Start_4" localSheetId="0">#REF!</definedName>
    <definedName name="Start_4" localSheetId="13">#REF!</definedName>
    <definedName name="Start_4">#REF!</definedName>
    <definedName name="Start_5" localSheetId="1">#REF!</definedName>
    <definedName name="Start_5" localSheetId="0">#REF!</definedName>
    <definedName name="Start_5" localSheetId="13">#REF!</definedName>
    <definedName name="Start_5">#REF!</definedName>
    <definedName name="Start_6" localSheetId="1">#REF!</definedName>
    <definedName name="Start_6" localSheetId="0">#REF!</definedName>
    <definedName name="Start_6" localSheetId="13">#REF!</definedName>
    <definedName name="Start_6">#REF!</definedName>
    <definedName name="Start_7" localSheetId="1">#REF!</definedName>
    <definedName name="Start_7" localSheetId="0">#REF!</definedName>
    <definedName name="Start_7" localSheetId="13">#REF!</definedName>
    <definedName name="Start_7">#REF!</definedName>
    <definedName name="Start_8" localSheetId="1">#REF!</definedName>
    <definedName name="Start_8" localSheetId="0">#REF!</definedName>
    <definedName name="Start_8" localSheetId="13">#REF!</definedName>
    <definedName name="Start_8">#REF!</definedName>
    <definedName name="Start_9" localSheetId="1">#REF!</definedName>
    <definedName name="Start_9" localSheetId="0">#REF!</definedName>
    <definedName name="Start_9" localSheetId="13">#REF!</definedName>
    <definedName name="Start_9">#REF!</definedName>
    <definedName name="SU" localSheetId="1">#REF!</definedName>
    <definedName name="SU" localSheetId="0">#REF!</definedName>
    <definedName name="SU" localSheetId="13">#REF!</definedName>
    <definedName name="SU">#REF!</definedName>
    <definedName name="SUMMARY" localSheetId="1">#REF!</definedName>
    <definedName name="SUMMARY" localSheetId="0">#REF!</definedName>
    <definedName name="SUMMARY" localSheetId="13">#REF!</definedName>
    <definedName name="SUMMARY">#REF!</definedName>
    <definedName name="t" localSheetId="1">#REF!</definedName>
    <definedName name="t" localSheetId="0">#REF!</definedName>
    <definedName name="t" localSheetId="13">#REF!</definedName>
    <definedName name="t">#REF!</definedName>
    <definedName name="t101p" localSheetId="1">#REF!</definedName>
    <definedName name="t101p" localSheetId="0">#REF!</definedName>
    <definedName name="t101p" localSheetId="13">#REF!</definedName>
    <definedName name="t101p">#REF!</definedName>
    <definedName name="t103p" localSheetId="1">#REF!</definedName>
    <definedName name="t103p" localSheetId="0">#REF!</definedName>
    <definedName name="t103p" localSheetId="13">#REF!</definedName>
    <definedName name="t103p">#REF!</definedName>
    <definedName name="t10nc1p" localSheetId="1">#REF!</definedName>
    <definedName name="t10nc1p" localSheetId="0">#REF!</definedName>
    <definedName name="t10nc1p" localSheetId="13">#REF!</definedName>
    <definedName name="t10nc1p">#REF!</definedName>
    <definedName name="t10vl1p" localSheetId="1">#REF!</definedName>
    <definedName name="t10vl1p" localSheetId="0">#REF!</definedName>
    <definedName name="t10vl1p" localSheetId="13">#REF!</definedName>
    <definedName name="t10vl1p">#REF!</definedName>
    <definedName name="t121p" localSheetId="1">#REF!</definedName>
    <definedName name="t121p" localSheetId="0">#REF!</definedName>
    <definedName name="t121p" localSheetId="13">#REF!</definedName>
    <definedName name="t121p">#REF!</definedName>
    <definedName name="t123p" localSheetId="1">#REF!</definedName>
    <definedName name="t123p" localSheetId="0">#REF!</definedName>
    <definedName name="t123p" localSheetId="13">#REF!</definedName>
    <definedName name="t123p">#REF!</definedName>
    <definedName name="t141p" localSheetId="1">#REF!</definedName>
    <definedName name="t141p" localSheetId="0">#REF!</definedName>
    <definedName name="t141p" localSheetId="13">#REF!</definedName>
    <definedName name="t141p">#REF!</definedName>
    <definedName name="t143p" localSheetId="1">#REF!</definedName>
    <definedName name="t143p" localSheetId="0">#REF!</definedName>
    <definedName name="t143p" localSheetId="13">#REF!</definedName>
    <definedName name="t143p">#REF!</definedName>
    <definedName name="t14nc3p" localSheetId="1">#REF!</definedName>
    <definedName name="t14nc3p" localSheetId="0">#REF!</definedName>
    <definedName name="t14nc3p" localSheetId="13">#REF!</definedName>
    <definedName name="t14nc3p">#REF!</definedName>
    <definedName name="t14vl3p" localSheetId="1">#REF!</definedName>
    <definedName name="t14vl3p" localSheetId="0">#REF!</definedName>
    <definedName name="t14vl3p" localSheetId="13">#REF!</definedName>
    <definedName name="t14vl3p">#REF!</definedName>
    <definedName name="tan" localSheetId="19" hidden="1">{"'Sheet1'!$L$16"}</definedName>
    <definedName name="tan" localSheetId="18" hidden="1">{"'Sheet1'!$L$16"}</definedName>
    <definedName name="tan" hidden="1">{"'Sheet1'!$L$16"}</definedName>
    <definedName name="Täng_kinh_phÏ_x_y_l_p" localSheetId="1">#REF!</definedName>
    <definedName name="Täng_kinh_phÏ_x_y_l_p" localSheetId="0">#REF!</definedName>
    <definedName name="Täng_kinh_phÏ_x_y_l_p" localSheetId="13">#REF!</definedName>
    <definedName name="Täng_kinh_phÏ_x_y_l_p">#REF!</definedName>
    <definedName name="TaxTV">10%</definedName>
    <definedName name="TaxXL">5%</definedName>
    <definedName name="TBA" localSheetId="1">#REF!</definedName>
    <definedName name="TBA" localSheetId="0">#REF!</definedName>
    <definedName name="TBA" localSheetId="13">#REF!</definedName>
    <definedName name="TBA">#REF!</definedName>
    <definedName name="tbtram" localSheetId="1">#REF!</definedName>
    <definedName name="tbtram" localSheetId="0">#REF!</definedName>
    <definedName name="tbtram" localSheetId="13">#REF!</definedName>
    <definedName name="tbtram">#REF!</definedName>
    <definedName name="TC" localSheetId="1">#REF!</definedName>
    <definedName name="TC" localSheetId="0">#REF!</definedName>
    <definedName name="TC" localSheetId="13">#REF!</definedName>
    <definedName name="TC">#REF!</definedName>
    <definedName name="TC_NHANH1" localSheetId="1">#REF!</definedName>
    <definedName name="TC_NHANH1" localSheetId="0">#REF!</definedName>
    <definedName name="TC_NHANH1" localSheetId="13">#REF!</definedName>
    <definedName name="TC_NHANH1">#REF!</definedName>
    <definedName name="TD" localSheetId="1">#REF!</definedName>
    <definedName name="TD" localSheetId="0">#REF!</definedName>
    <definedName name="TD" localSheetId="13">#REF!</definedName>
    <definedName name="TD">#REF!</definedName>
    <definedName name="td1p" localSheetId="1">#REF!</definedName>
    <definedName name="td1p" localSheetId="0">#REF!</definedName>
    <definedName name="td1p" localSheetId="13">#REF!</definedName>
    <definedName name="td1p">#REF!</definedName>
    <definedName name="td3p" localSheetId="1">#REF!</definedName>
    <definedName name="td3p" localSheetId="0">#REF!</definedName>
    <definedName name="td3p" localSheetId="13">#REF!</definedName>
    <definedName name="td3p">#REF!</definedName>
    <definedName name="tdnc1p" localSheetId="1">#REF!</definedName>
    <definedName name="tdnc1p" localSheetId="0">#REF!</definedName>
    <definedName name="tdnc1p" localSheetId="13">#REF!</definedName>
    <definedName name="tdnc1p">#REF!</definedName>
    <definedName name="TDT" localSheetId="1">#REF!</definedName>
    <definedName name="TDT" localSheetId="0">#REF!</definedName>
    <definedName name="TDT" localSheetId="13">#REF!</definedName>
    <definedName name="TDT">#REF!</definedName>
    <definedName name="tdtr2cnc" localSheetId="1">#REF!</definedName>
    <definedName name="tdtr2cnc" localSheetId="0">#REF!</definedName>
    <definedName name="tdtr2cnc" localSheetId="13">#REF!</definedName>
    <definedName name="tdtr2cnc">#REF!</definedName>
    <definedName name="tdtr2cvl" localSheetId="1">#REF!</definedName>
    <definedName name="tdtr2cvl" localSheetId="0">#REF!</definedName>
    <definedName name="tdtr2cvl" localSheetId="13">#REF!</definedName>
    <definedName name="tdtr2cvl">#REF!</definedName>
    <definedName name="tdvl1p" localSheetId="1">#REF!</definedName>
    <definedName name="tdvl1p" localSheetId="0">#REF!</definedName>
    <definedName name="tdvl1p" localSheetId="13">#REF!</definedName>
    <definedName name="tdvl1p">#REF!</definedName>
    <definedName name="TENC">[1]DATA!$B$47</definedName>
    <definedName name="TENC1">[1]DATA!$B$48</definedName>
    <definedName name="TENC2">[1]DATA!$B$49</definedName>
    <definedName name="TENC3">[1]DATA!$B$50</definedName>
    <definedName name="TENCBB1">[1]DATA!$B$77</definedName>
    <definedName name="TENCBB11">[1]DATA!$C$77</definedName>
    <definedName name="TENCBB2">[1]DATA!$B$78</definedName>
    <definedName name="TENCBB22">[1]DATA!$C$78</definedName>
    <definedName name="TENCBB3">[1]DATA!$B$79</definedName>
    <definedName name="TENCBB33">[1]DATA!$C$79</definedName>
    <definedName name="TENCBB4">[1]DATA!$B$80</definedName>
    <definedName name="TENCBB44">[1]DATA!$C$80</definedName>
    <definedName name="TENCBNT4">[1]DATA!$B$87</definedName>
    <definedName name="TENCBNT44">[1]DATA!$C$87</definedName>
    <definedName name="TENCBTV1">[1]DATA!$D$77</definedName>
    <definedName name="TENCBTV11">[1]DATA!$E$77</definedName>
    <definedName name="TENCBTV2">[1]DATA!$D$78</definedName>
    <definedName name="TENCBTV22">[1]DATA!$E$78</definedName>
    <definedName name="TENCBTV3">[1]DATA!$D$79</definedName>
    <definedName name="TENCBTV33">[1]DATA!$E$79</definedName>
    <definedName name="TENCBTV4">[1]DATA!$D$80</definedName>
    <definedName name="TENCBTV44">[1]DATA!$E$80</definedName>
    <definedName name="TENCBTV5">[1]DATA!$D$81</definedName>
    <definedName name="TENCBTV55">[1]DATA!$E$81</definedName>
    <definedName name="TENNT1">[1]DATA!$B$84</definedName>
    <definedName name="TENNT11">[1]DATA!$C$84</definedName>
    <definedName name="TENNT2">[1]DATA!$B$85</definedName>
    <definedName name="TENNT22">[1]DATA!$C$85</definedName>
    <definedName name="TENNT3">[1]DATA!$B$86</definedName>
    <definedName name="TENNT33">[3]DATA!$C$95</definedName>
    <definedName name="TENNT4">[1]DATA!$B$87</definedName>
    <definedName name="TENNT5">[1]DATA!$B$88</definedName>
    <definedName name="TENNT6">[1]DATA!$B$89</definedName>
    <definedName name="TENNT9">[1]DATA!$B$92</definedName>
    <definedName name="TENQ">[1]DATA!$B$55</definedName>
    <definedName name="TENQ1">[1]DATA!$B$56</definedName>
    <definedName name="TENQ11">[1]DATA!$D$56</definedName>
    <definedName name="TENQ12">[1]DATA!$D$57</definedName>
    <definedName name="TENQ13">[1]DATA!$D$58</definedName>
    <definedName name="TENQ2">[1]DATA!$B$59</definedName>
    <definedName name="TENQ21">[1]DATA!$D$59</definedName>
    <definedName name="TENQ22">[1]DATA!$D$60</definedName>
    <definedName name="TENQ3">[1]DATA!$B$61</definedName>
    <definedName name="TENQ31">[1]DATA!$D$61</definedName>
    <definedName name="TENQ32">[1]DATA!$D$62</definedName>
    <definedName name="TENQ4">[1]DATA!$B$63</definedName>
    <definedName name="TENQ5">[1]DATA!$B$64</definedName>
    <definedName name="TENQ51">[1]DATA!$D$64</definedName>
    <definedName name="TENQ52">[1]DATA!$D$65</definedName>
    <definedName name="TENQ53">[1]DATA!$D$66</definedName>
    <definedName name="TENQ54">[1]DATA!$D$67</definedName>
    <definedName name="TENQ55">[1]DATA!$D$68</definedName>
    <definedName name="TENQ56">[1]DATA!$D$69</definedName>
    <definedName name="TENQ57">[1]DATA!$D$70</definedName>
    <definedName name="TENQ58">[1]DATA!$D$71</definedName>
    <definedName name="TENQ59">[1]DATA!$D$72</definedName>
    <definedName name="TENT">[1]DATA!$D$47</definedName>
    <definedName name="TENT1">[1]DATA!$D$48</definedName>
    <definedName name="TENT2">[1]DATA!$D$49</definedName>
    <definedName name="TENT21">[1]DATA!$F$49</definedName>
    <definedName name="TENT22">[1]DATA!$F$50</definedName>
    <definedName name="TENT221">[1]DATA!$H$50</definedName>
    <definedName name="TENT222">[1]DATA!$H$51</definedName>
    <definedName name="TENT23">[1]DATA!$F$52</definedName>
    <definedName name="TENV">[1]DATA!$G$55</definedName>
    <definedName name="TENV1">[1]DATA!$G$56</definedName>
    <definedName name="TENV2">[1]DATA!$G$57</definedName>
    <definedName name="TENV3">[1]DATA!$G$58</definedName>
    <definedName name="TENV4">[1]DATA!$G$59</definedName>
    <definedName name="TENV5">[1]DATA!$G$60</definedName>
    <definedName name="TENH">[1]DATA!$B$23</definedName>
    <definedName name="TENH1">[1]DATA!$B$24</definedName>
    <definedName name="TENH2">[1]DATA!$B$25</definedName>
    <definedName name="TENH3">[1]DATA!$B$26</definedName>
    <definedName name="TENH4">[1]DATA!$B$27</definedName>
    <definedName name="TENH41">[1]DATA!$D$27</definedName>
    <definedName name="TENH411">[1]DATA!$D$28</definedName>
    <definedName name="TENH4111">[1]DATA!$F$28</definedName>
    <definedName name="TENH412">[1]DATA!$D$29</definedName>
    <definedName name="TENH4121">[1]DATA!$F$29</definedName>
    <definedName name="TENH413">[1]DATA!$D$30</definedName>
    <definedName name="TENH4131">[1]DATA!$F$30</definedName>
    <definedName name="TENH414">[1]DATA!$D$31</definedName>
    <definedName name="TENH415">[1]DATA!$D$32</definedName>
    <definedName name="TENH4151">[3]DATA!$F$25</definedName>
    <definedName name="TENH42">[1]DATA!$D$33</definedName>
    <definedName name="TENH421">[1]DATA!$D$34</definedName>
    <definedName name="TENH422">[1]DATA!$D$35</definedName>
    <definedName name="TENH4221">[1]DATA!$F$35</definedName>
    <definedName name="TENH423">[1]DATA!$D$36</definedName>
    <definedName name="TENH4230">[3]DATA!$F$41</definedName>
    <definedName name="TENH4231">[1]DATA!$F$36</definedName>
    <definedName name="TENH424">[1]DATA!$D$37</definedName>
    <definedName name="TENH4241">[1]DATA!$F$37</definedName>
    <definedName name="TENH425">[1]DATA!$D$38</definedName>
    <definedName name="TENH4251">[1]DATA!$F$38</definedName>
    <definedName name="TENH4252">[3]DATA!$F$43</definedName>
    <definedName name="TENH4262">[1]DATA!$F$40</definedName>
    <definedName name="TENH4263">[1]DATA!$F$41</definedName>
    <definedName name="TENH427">[1]DATA!$D$42</definedName>
    <definedName name="TENH428">[1]DATA!$D$43</definedName>
    <definedName name="TENH434">[3]DATA!$D$44</definedName>
    <definedName name="TENH436">[3]DATA!$D$32</definedName>
    <definedName name="Tien" localSheetId="1">#REF!</definedName>
    <definedName name="Tien" localSheetId="0">#REF!</definedName>
    <definedName name="Tien" localSheetId="13">#REF!</definedName>
    <definedName name="Tien">#REF!</definedName>
    <definedName name="TIENLUONG" localSheetId="1">#REF!</definedName>
    <definedName name="TIENLUONG" localSheetId="0">#REF!</definedName>
    <definedName name="TIENLUONG" localSheetId="13">#REF!</definedName>
    <definedName name="TIENLUONG">#REF!</definedName>
    <definedName name="Tim_lan_xuat_hien" localSheetId="1">#REF!</definedName>
    <definedName name="Tim_lan_xuat_hien" localSheetId="0">#REF!</definedName>
    <definedName name="Tim_lan_xuat_hien" localSheetId="13">#REF!</definedName>
    <definedName name="Tim_lan_xuat_hien">#REF!</definedName>
    <definedName name="tim_xuat_hien" localSheetId="1">#REF!</definedName>
    <definedName name="tim_xuat_hien" localSheetId="0">#REF!</definedName>
    <definedName name="tim_xuat_hien" localSheetId="13">#REF!</definedName>
    <definedName name="tim_xuat_hien">#REF!</definedName>
    <definedName name="TIT" localSheetId="1">#REF!</definedName>
    <definedName name="TIT" localSheetId="0">#REF!</definedName>
    <definedName name="TIT" localSheetId="13">#REF!</definedName>
    <definedName name="TIT">#REF!</definedName>
    <definedName name="TITAN" localSheetId="1">#REF!</definedName>
    <definedName name="TITAN" localSheetId="0">#REF!</definedName>
    <definedName name="TITAN" localSheetId="13">#REF!</definedName>
    <definedName name="TITAN">#REF!</definedName>
    <definedName name="TKP" localSheetId="1">#REF!</definedName>
    <definedName name="TKP" localSheetId="0">#REF!</definedName>
    <definedName name="TKP" localSheetId="13">#REF!</definedName>
    <definedName name="TKP">#REF!</definedName>
    <definedName name="TLAC120" localSheetId="1">#REF!</definedName>
    <definedName name="TLAC120" localSheetId="0">#REF!</definedName>
    <definedName name="TLAC120" localSheetId="13">#REF!</definedName>
    <definedName name="TLAC120">#REF!</definedName>
    <definedName name="TLAC35" localSheetId="1">#REF!</definedName>
    <definedName name="TLAC35" localSheetId="0">#REF!</definedName>
    <definedName name="TLAC35" localSheetId="13">#REF!</definedName>
    <definedName name="TLAC35">#REF!</definedName>
    <definedName name="TLAC50" localSheetId="1">#REF!</definedName>
    <definedName name="TLAC50" localSheetId="0">#REF!</definedName>
    <definedName name="TLAC50" localSheetId="13">#REF!</definedName>
    <definedName name="TLAC50">#REF!</definedName>
    <definedName name="TLAC70" localSheetId="1">#REF!</definedName>
    <definedName name="TLAC70" localSheetId="0">#REF!</definedName>
    <definedName name="TLAC70" localSheetId="13">#REF!</definedName>
    <definedName name="TLAC70">#REF!</definedName>
    <definedName name="TLAC95" localSheetId="1">#REF!</definedName>
    <definedName name="TLAC95" localSheetId="0">#REF!</definedName>
    <definedName name="TLAC95" localSheetId="13">#REF!</definedName>
    <definedName name="TLAC95">#REF!</definedName>
    <definedName name="tld" localSheetId="1">#REF!</definedName>
    <definedName name="tld" localSheetId="0">#REF!</definedName>
    <definedName name="tld" localSheetId="13">#REF!</definedName>
    <definedName name="tld">#REF!</definedName>
    <definedName name="Tle" localSheetId="1">#REF!</definedName>
    <definedName name="Tle" localSheetId="0">#REF!</definedName>
    <definedName name="Tle" localSheetId="13">#REF!</definedName>
    <definedName name="Tle">#REF!</definedName>
    <definedName name="tly" localSheetId="1">#REF!</definedName>
    <definedName name="tly" localSheetId="0">#REF!</definedName>
    <definedName name="tly" localSheetId="13">#REF!</definedName>
    <definedName name="tly">#REF!</definedName>
    <definedName name="Toanbo" localSheetId="1">#REF!</definedName>
    <definedName name="Toanbo" localSheetId="0">#REF!</definedName>
    <definedName name="Toanbo" localSheetId="13">#REF!</definedName>
    <definedName name="Toanbo">#REF!</definedName>
    <definedName name="Tong" localSheetId="1">#REF!</definedName>
    <definedName name="Tong" localSheetId="0">#REF!</definedName>
    <definedName name="Tong" localSheetId="13">#REF!</definedName>
    <definedName name="Tong">#REF!</definedName>
    <definedName name="TPLRP" localSheetId="1">#REF!</definedName>
    <definedName name="TPLRP" localSheetId="0">#REF!</definedName>
    <definedName name="TPLRP" localSheetId="13">#REF!</definedName>
    <definedName name="TPLRP">#REF!</definedName>
    <definedName name="ts" localSheetId="1">#REF!</definedName>
    <definedName name="ts" localSheetId="0">#REF!</definedName>
    <definedName name="ts" localSheetId="13">#REF!</definedName>
    <definedName name="ts">#REF!</definedName>
    <definedName name="tsI" localSheetId="1">#REF!</definedName>
    <definedName name="tsI" localSheetId="0">#REF!</definedName>
    <definedName name="tsI" localSheetId="13">#REF!</definedName>
    <definedName name="tsI">#REF!</definedName>
    <definedName name="TT_1P" localSheetId="1">#REF!</definedName>
    <definedName name="TT_1P" localSheetId="0">#REF!</definedName>
    <definedName name="TT_1P" localSheetId="13">#REF!</definedName>
    <definedName name="TT_1P">#REF!</definedName>
    <definedName name="TT_3p" localSheetId="1">#REF!</definedName>
    <definedName name="TT_3p" localSheetId="0">#REF!</definedName>
    <definedName name="TT_3p" localSheetId="13">#REF!</definedName>
    <definedName name="TT_3p">#REF!</definedName>
    <definedName name="TTLB1" localSheetId="1">#REF!</definedName>
    <definedName name="TTLB1" localSheetId="0">#REF!</definedName>
    <definedName name="TTLB1" localSheetId="13">#REF!</definedName>
    <definedName name="TTLB1">#REF!</definedName>
    <definedName name="TTLB2" localSheetId="1">#REF!</definedName>
    <definedName name="TTLB2" localSheetId="0">#REF!</definedName>
    <definedName name="TTLB2" localSheetId="13">#REF!</definedName>
    <definedName name="TTLB2">#REF!</definedName>
    <definedName name="TTLB3" localSheetId="1">#REF!</definedName>
    <definedName name="TTLB3" localSheetId="0">#REF!</definedName>
    <definedName name="TTLB3" localSheetId="13">#REF!</definedName>
    <definedName name="TTLB3">#REF!</definedName>
    <definedName name="tthi" localSheetId="1">#REF!</definedName>
    <definedName name="tthi" localSheetId="0">#REF!</definedName>
    <definedName name="tthi" localSheetId="13">#REF!</definedName>
    <definedName name="tthi">#REF!</definedName>
    <definedName name="ttronmk" localSheetId="1">#REF!</definedName>
    <definedName name="ttronmk" localSheetId="0">#REF!</definedName>
    <definedName name="ttronmk" localSheetId="13">#REF!</definedName>
    <definedName name="ttronmk">#REF!</definedName>
    <definedName name="tubep">'[1]BBNT TU BEP'!$A:$IV</definedName>
    <definedName name="tv75nc" localSheetId="1">#REF!</definedName>
    <definedName name="tv75nc" localSheetId="0">#REF!</definedName>
    <definedName name="tv75nc" localSheetId="13">#REF!</definedName>
    <definedName name="tv75nc">#REF!</definedName>
    <definedName name="tv75vl" localSheetId="1">#REF!</definedName>
    <definedName name="tv75vl" localSheetId="0">#REF!</definedName>
    <definedName name="tv75vl" localSheetId="13">#REF!</definedName>
    <definedName name="tv75vl">#REF!</definedName>
    <definedName name="ty_le" localSheetId="1">#REF!</definedName>
    <definedName name="ty_le" localSheetId="0">#REF!</definedName>
    <definedName name="ty_le" localSheetId="13">#REF!</definedName>
    <definedName name="ty_le">#REF!</definedName>
    <definedName name="ty_le_BTN" localSheetId="1">#REF!</definedName>
    <definedName name="ty_le_BTN" localSheetId="0">#REF!</definedName>
    <definedName name="ty_le_BTN" localSheetId="13">#REF!</definedName>
    <definedName name="ty_le_BTN">#REF!</definedName>
    <definedName name="Ty_le1" localSheetId="1">#REF!</definedName>
    <definedName name="Ty_le1" localSheetId="0">#REF!</definedName>
    <definedName name="Ty_le1" localSheetId="13">#REF!</definedName>
    <definedName name="Ty_le1">#REF!</definedName>
    <definedName name="TH.tinh" localSheetId="1">#REF!</definedName>
    <definedName name="TH.tinh" localSheetId="0">#REF!</definedName>
    <definedName name="TH.tinh" localSheetId="13">#REF!</definedName>
    <definedName name="TH.tinh">#REF!</definedName>
    <definedName name="thang10">[1]GACH!$L$24:$L$33</definedName>
    <definedName name="thang101">[1]GACH!$I$24:$I$33</definedName>
    <definedName name="thang11">[1]GACH!$L$34:$L$76</definedName>
    <definedName name="thang111">[1]GACH!$I$34:$I$76</definedName>
    <definedName name="thang9">[1]GACH!$L$13:$L$23</definedName>
    <definedName name="thang91">[1]GACH!$I$13:$I$23</definedName>
    <definedName name="Thautinh" localSheetId="1">#REF!</definedName>
    <definedName name="Thautinh" localSheetId="0">#REF!</definedName>
    <definedName name="Thautinh" localSheetId="13">#REF!</definedName>
    <definedName name="Thautinh">#REF!</definedName>
    <definedName name="thdt" localSheetId="1">#REF!</definedName>
    <definedName name="thdt" localSheetId="0">#REF!</definedName>
    <definedName name="thdt" localSheetId="13">#REF!</definedName>
    <definedName name="thdt">#REF!</definedName>
    <definedName name="THDT_HT_DAO_THUONG" localSheetId="1">#REF!</definedName>
    <definedName name="THDT_HT_DAO_THUONG" localSheetId="0">#REF!</definedName>
    <definedName name="THDT_HT_DAO_THUONG" localSheetId="13">#REF!</definedName>
    <definedName name="THDT_HT_DAO_THUONG">#REF!</definedName>
    <definedName name="THDT_HT_XOM_NOI" localSheetId="1">#REF!</definedName>
    <definedName name="THDT_HT_XOM_NOI" localSheetId="0">#REF!</definedName>
    <definedName name="THDT_HT_XOM_NOI" localSheetId="13">#REF!</definedName>
    <definedName name="THDT_HT_XOM_NOI">#REF!</definedName>
    <definedName name="THDT_NPP_XOM_NOI" localSheetId="1">#REF!</definedName>
    <definedName name="THDT_NPP_XOM_NOI" localSheetId="0">#REF!</definedName>
    <definedName name="THDT_NPP_XOM_NOI" localSheetId="13">#REF!</definedName>
    <definedName name="THDT_NPP_XOM_NOI">#REF!</definedName>
    <definedName name="THDT_TBA_XOM_NOI" localSheetId="1">#REF!</definedName>
    <definedName name="THDT_TBA_XOM_NOI" localSheetId="0">#REF!</definedName>
    <definedName name="THDT_TBA_XOM_NOI" localSheetId="13">#REF!</definedName>
    <definedName name="THDT_TBA_XOM_NOI">#REF!</definedName>
    <definedName name="thep">'[1]BBNT VLTHEP'!$A:$IV</definedName>
    <definedName name="ThepDinh" localSheetId="1">#REF!</definedName>
    <definedName name="ThepDinh" localSheetId="0">#REF!</definedName>
    <definedName name="ThepDinh" localSheetId="13">#REF!</definedName>
    <definedName name="ThepDinh">#REF!</definedName>
    <definedName name="THGO1pnc" localSheetId="1">#REF!</definedName>
    <definedName name="THGO1pnc" localSheetId="0">#REF!</definedName>
    <definedName name="THGO1pnc" localSheetId="13">#REF!</definedName>
    <definedName name="THGO1pnc">#REF!</definedName>
    <definedName name="thht" localSheetId="1">#REF!</definedName>
    <definedName name="thht" localSheetId="0">#REF!</definedName>
    <definedName name="thht" localSheetId="13">#REF!</definedName>
    <definedName name="thht">#REF!</definedName>
    <definedName name="THI" localSheetId="1">#REF!</definedName>
    <definedName name="THI" localSheetId="0">#REF!</definedName>
    <definedName name="THI" localSheetId="13">#REF!</definedName>
    <definedName name="THI">#REF!</definedName>
    <definedName name="thkp3" localSheetId="1">#REF!</definedName>
    <definedName name="thkp3" localSheetId="0">#REF!</definedName>
    <definedName name="thkp3" localSheetId="13">#REF!</definedName>
    <definedName name="thkp3">#REF!</definedName>
    <definedName name="thonggio">'[1]BBNT THONG GIO'!$A:$IV</definedName>
    <definedName name="thtt" localSheetId="1">#REF!</definedName>
    <definedName name="thtt" localSheetId="0">#REF!</definedName>
    <definedName name="thtt" localSheetId="13">#REF!</definedName>
    <definedName name="thtt">#REF!</definedName>
    <definedName name="thue">6</definedName>
    <definedName name="Tra_DM_su_dung" localSheetId="1">#REF!</definedName>
    <definedName name="Tra_DM_su_dung" localSheetId="0">#REF!</definedName>
    <definedName name="Tra_DM_su_dung" localSheetId="13">#REF!</definedName>
    <definedName name="Tra_DM_su_dung">#REF!</definedName>
    <definedName name="Tra_don_gia_KS" localSheetId="1">#REF!</definedName>
    <definedName name="Tra_don_gia_KS" localSheetId="0">#REF!</definedName>
    <definedName name="Tra_don_gia_KS" localSheetId="13">#REF!</definedName>
    <definedName name="Tra_don_gia_KS">#REF!</definedName>
    <definedName name="Tra_DTCT" localSheetId="1">#REF!</definedName>
    <definedName name="Tra_DTCT" localSheetId="0">#REF!</definedName>
    <definedName name="Tra_DTCT" localSheetId="13">#REF!</definedName>
    <definedName name="Tra_DTCT">#REF!</definedName>
    <definedName name="Tra_tim_hang_mucPT_trung" localSheetId="1">#REF!</definedName>
    <definedName name="Tra_tim_hang_mucPT_trung" localSheetId="0">#REF!</definedName>
    <definedName name="Tra_tim_hang_mucPT_trung" localSheetId="13">#REF!</definedName>
    <definedName name="Tra_tim_hang_mucPT_trung">#REF!</definedName>
    <definedName name="Tra_TL" localSheetId="1">#REF!</definedName>
    <definedName name="Tra_TL" localSheetId="0">#REF!</definedName>
    <definedName name="Tra_TL" localSheetId="13">#REF!</definedName>
    <definedName name="Tra_TL">#REF!</definedName>
    <definedName name="Tra_ty_le2" localSheetId="1">#REF!</definedName>
    <definedName name="Tra_ty_le2" localSheetId="0">#REF!</definedName>
    <definedName name="Tra_ty_le2" localSheetId="13">#REF!</definedName>
    <definedName name="Tra_ty_le2">#REF!</definedName>
    <definedName name="Tra_ty_le3" localSheetId="1">#REF!</definedName>
    <definedName name="Tra_ty_le3" localSheetId="0">#REF!</definedName>
    <definedName name="Tra_ty_le3" localSheetId="13">#REF!</definedName>
    <definedName name="Tra_ty_le3">#REF!</definedName>
    <definedName name="Tra_ty_le4" localSheetId="1">#REF!</definedName>
    <definedName name="Tra_ty_le4" localSheetId="0">#REF!</definedName>
    <definedName name="Tra_ty_le4" localSheetId="13">#REF!</definedName>
    <definedName name="Tra_ty_le4">#REF!</definedName>
    <definedName name="Tra_ty_le5" localSheetId="1">#REF!</definedName>
    <definedName name="Tra_ty_le5" localSheetId="0">#REF!</definedName>
    <definedName name="Tra_ty_le5" localSheetId="13">#REF!</definedName>
    <definedName name="Tra_ty_le5">#REF!</definedName>
    <definedName name="TRA_VAT_LIEU" localSheetId="1">#REF!</definedName>
    <definedName name="TRA_VAT_LIEU" localSheetId="0">#REF!</definedName>
    <definedName name="TRA_VAT_LIEU" localSheetId="13">#REF!</definedName>
    <definedName name="TRA_VAT_LIEU">#REF!</definedName>
    <definedName name="TRA_VL" localSheetId="1">#REF!</definedName>
    <definedName name="TRA_VL" localSheetId="0">#REF!</definedName>
    <definedName name="TRA_VL" localSheetId="13">#REF!</definedName>
    <definedName name="TRA_VL">#REF!</definedName>
    <definedName name="traA103" localSheetId="1">#REF!</definedName>
    <definedName name="traA103" localSheetId="0">#REF!</definedName>
    <definedName name="traA103" localSheetId="13">#REF!</definedName>
    <definedName name="traA103">#REF!</definedName>
    <definedName name="tracdac">'[1]BBNT TRAC DAC'!$A:$IV</definedName>
    <definedName name="tracdactx">'[1]BBNT TRAC DAC TX'!$A:$IV</definedName>
    <definedName name="TRADE2" localSheetId="1">#REF!</definedName>
    <definedName name="TRADE2" localSheetId="0">#REF!</definedName>
    <definedName name="TRADE2" localSheetId="13">#REF!</definedName>
    <definedName name="TRADE2">#REF!</definedName>
    <definedName name="tramatcong1" localSheetId="1">#REF!</definedName>
    <definedName name="tramatcong1" localSheetId="0">#REF!</definedName>
    <definedName name="tramatcong1" localSheetId="13">#REF!</definedName>
    <definedName name="tramatcong1">#REF!</definedName>
    <definedName name="tramatcong2" localSheetId="1">#REF!</definedName>
    <definedName name="tramatcong2" localSheetId="0">#REF!</definedName>
    <definedName name="tramatcong2" localSheetId="13">#REF!</definedName>
    <definedName name="tramatcong2">#REF!</definedName>
    <definedName name="tranthachcao">'[1]BBNT TTC'!$A:$IV</definedName>
    <definedName name="tranhietdo" localSheetId="1">#REF!</definedName>
    <definedName name="tranhietdo" localSheetId="0">#REF!</definedName>
    <definedName name="tranhietdo" localSheetId="13">#REF!</definedName>
    <definedName name="tranhietdo">#REF!</definedName>
    <definedName name="tratngoai">'[1]BBNT TRAT NGOAI'!$A$11:$AQ$32</definedName>
    <definedName name="trattrong">'[1]BBNT TRAT TRONG'!$A$11:$AQ$58</definedName>
    <definedName name="TRAVL" localSheetId="1">#REF!</definedName>
    <definedName name="TRAVL" localSheetId="0">#REF!</definedName>
    <definedName name="TRAVL" localSheetId="13">#REF!</definedName>
    <definedName name="TRAVL">#REF!</definedName>
    <definedName name="V.1" localSheetId="1">#REF!</definedName>
    <definedName name="V.1" localSheetId="0">#REF!</definedName>
    <definedName name="V.1" localSheetId="13">#REF!</definedName>
    <definedName name="V.1">#REF!</definedName>
    <definedName name="V.10" localSheetId="1">#REF!</definedName>
    <definedName name="V.10" localSheetId="0">#REF!</definedName>
    <definedName name="V.10" localSheetId="13">#REF!</definedName>
    <definedName name="V.10">#REF!</definedName>
    <definedName name="V.11" localSheetId="1">#REF!</definedName>
    <definedName name="V.11" localSheetId="0">#REF!</definedName>
    <definedName name="V.11" localSheetId="13">#REF!</definedName>
    <definedName name="V.11">#REF!</definedName>
    <definedName name="V.12" localSheetId="1">#REF!</definedName>
    <definedName name="V.12" localSheetId="0">#REF!</definedName>
    <definedName name="V.12" localSheetId="13">#REF!</definedName>
    <definedName name="V.12">#REF!</definedName>
    <definedName name="V.13" localSheetId="1">#REF!</definedName>
    <definedName name="V.13" localSheetId="0">#REF!</definedName>
    <definedName name="V.13" localSheetId="13">#REF!</definedName>
    <definedName name="V.13">#REF!</definedName>
    <definedName name="V.14" localSheetId="1">#REF!</definedName>
    <definedName name="V.14" localSheetId="0">#REF!</definedName>
    <definedName name="V.14" localSheetId="13">#REF!</definedName>
    <definedName name="V.14">#REF!</definedName>
    <definedName name="V.15" localSheetId="1">#REF!</definedName>
    <definedName name="V.15" localSheetId="0">#REF!</definedName>
    <definedName name="V.15" localSheetId="13">#REF!</definedName>
    <definedName name="V.15">#REF!</definedName>
    <definedName name="V.16" localSheetId="1">#REF!</definedName>
    <definedName name="V.16" localSheetId="0">#REF!</definedName>
    <definedName name="V.16" localSheetId="13">#REF!</definedName>
    <definedName name="V.16">#REF!</definedName>
    <definedName name="V.17" localSheetId="1">#REF!</definedName>
    <definedName name="V.17" localSheetId="0">#REF!</definedName>
    <definedName name="V.17" localSheetId="13">#REF!</definedName>
    <definedName name="V.17">#REF!</definedName>
    <definedName name="V.18" localSheetId="1">#REF!</definedName>
    <definedName name="V.18" localSheetId="0">#REF!</definedName>
    <definedName name="V.18" localSheetId="13">#REF!</definedName>
    <definedName name="V.18">#REF!</definedName>
    <definedName name="V.2" localSheetId="1">#REF!</definedName>
    <definedName name="V.2" localSheetId="0">#REF!</definedName>
    <definedName name="V.2" localSheetId="13">#REF!</definedName>
    <definedName name="V.2">#REF!</definedName>
    <definedName name="V.3" localSheetId="1">#REF!</definedName>
    <definedName name="V.3" localSheetId="0">#REF!</definedName>
    <definedName name="V.3" localSheetId="13">#REF!</definedName>
    <definedName name="V.3">#REF!</definedName>
    <definedName name="V.4" localSheetId="1">#REF!</definedName>
    <definedName name="V.4" localSheetId="0">#REF!</definedName>
    <definedName name="V.4" localSheetId="13">#REF!</definedName>
    <definedName name="V.4">#REF!</definedName>
    <definedName name="V.5" localSheetId="1">#REF!</definedName>
    <definedName name="V.5" localSheetId="0">#REF!</definedName>
    <definedName name="V.5" localSheetId="13">#REF!</definedName>
    <definedName name="V.5">#REF!</definedName>
    <definedName name="V.6" localSheetId="1">#REF!</definedName>
    <definedName name="V.6" localSheetId="0">#REF!</definedName>
    <definedName name="V.6" localSheetId="13">#REF!</definedName>
    <definedName name="V.6">#REF!</definedName>
    <definedName name="V.7" localSheetId="1">#REF!</definedName>
    <definedName name="V.7" localSheetId="0">#REF!</definedName>
    <definedName name="V.7" localSheetId="13">#REF!</definedName>
    <definedName name="V.7">#REF!</definedName>
    <definedName name="V.8" localSheetId="1">#REF!</definedName>
    <definedName name="V.8" localSheetId="0">#REF!</definedName>
    <definedName name="V.8" localSheetId="13">#REF!</definedName>
    <definedName name="V.8">#REF!</definedName>
    <definedName name="V.9" localSheetId="1">#REF!</definedName>
    <definedName name="V.9" localSheetId="0">#REF!</definedName>
    <definedName name="V.9" localSheetId="13">#REF!</definedName>
    <definedName name="V.9">#REF!</definedName>
    <definedName name="vanchuyen">'[1]BBNT VC'!$A:$IV</definedName>
    <definedName name="VARIINST" localSheetId="1">#REF!</definedName>
    <definedName name="VARIINST" localSheetId="0">#REF!</definedName>
    <definedName name="VARIINST" localSheetId="13">#REF!</definedName>
    <definedName name="VARIINST">#REF!</definedName>
    <definedName name="VARIPURC" localSheetId="1">#REF!</definedName>
    <definedName name="VARIPURC" localSheetId="0">#REF!</definedName>
    <definedName name="VARIPURC" localSheetId="13">#REF!</definedName>
    <definedName name="VARIPURC">#REF!</definedName>
    <definedName name="vat">5</definedName>
    <definedName name="VCTT" localSheetId="1">#REF!</definedName>
    <definedName name="VCTT" localSheetId="0">#REF!</definedName>
    <definedName name="VCTT" localSheetId="13">#REF!</definedName>
    <definedName name="VCTT">#REF!</definedName>
    <definedName name="VCHT" localSheetId="1">#REF!</definedName>
    <definedName name="VCHT" localSheetId="0">#REF!</definedName>
    <definedName name="VCHT" localSheetId="13">#REF!</definedName>
    <definedName name="VCHT">#REF!</definedName>
    <definedName name="vd3p" localSheetId="1">#REF!</definedName>
    <definedName name="vd3p" localSheetId="0">#REF!</definedName>
    <definedName name="vd3p" localSheetId="13">#REF!</definedName>
    <definedName name="vd3p">#REF!</definedName>
    <definedName name="vl1p" localSheetId="1">#REF!</definedName>
    <definedName name="vl1p" localSheetId="0">#REF!</definedName>
    <definedName name="vl1p" localSheetId="13">#REF!</definedName>
    <definedName name="vl1p">#REF!</definedName>
    <definedName name="vl3p" localSheetId="1">#REF!</definedName>
    <definedName name="vl3p" localSheetId="0">#REF!</definedName>
    <definedName name="vl3p" localSheetId="13">#REF!</definedName>
    <definedName name="vl3p">#REF!</definedName>
    <definedName name="vlcuago">'[1]BBNT VL GO'!$A:$IV</definedName>
    <definedName name="vlchongtham">'[1]BBNT VLCT'!$A:$IV</definedName>
    <definedName name="vlda">'[1]BBNT VL DA'!$A:$IV</definedName>
    <definedName name="vldiennhe">'[1]BBNT VL DN'!$A:$IV</definedName>
    <definedName name="vldn400" localSheetId="1">#REF!</definedName>
    <definedName name="vldn400" localSheetId="0">#REF!</definedName>
    <definedName name="vldn400" localSheetId="13">#REF!</definedName>
    <definedName name="vldn400">#REF!</definedName>
    <definedName name="vldn600" localSheetId="1">#REF!</definedName>
    <definedName name="vldn600" localSheetId="0">#REF!</definedName>
    <definedName name="vldn600" localSheetId="13">#REF!</definedName>
    <definedName name="vldn600">#REF!</definedName>
    <definedName name="VLIEU" localSheetId="1">#REF!</definedName>
    <definedName name="VLIEU" localSheetId="0">#REF!</definedName>
    <definedName name="VLIEU" localSheetId="13">#REF!</definedName>
    <definedName name="VLIEU">#REF!</definedName>
    <definedName name="vlnhomkinh">'[1]BBNT VL NK'!$A:$IV</definedName>
    <definedName name="vlonggio">'[1]BBNT VL ONG GIO'!$A:$IV</definedName>
    <definedName name="vlson">'[1]BBNT VL SON'!$A:$IV</definedName>
    <definedName name="vltram" localSheetId="1">#REF!</definedName>
    <definedName name="vltram" localSheetId="0">#REF!</definedName>
    <definedName name="vltram" localSheetId="13">#REF!</definedName>
    <definedName name="vltram">#REF!</definedName>
    <definedName name="VLxaydung" localSheetId="1">#REF!</definedName>
    <definedName name="VLxaydung" localSheetId="0">#REF!</definedName>
    <definedName name="VLxaydung" localSheetId="13">#REF!</definedName>
    <definedName name="VLxaydung">#REF!</definedName>
    <definedName name="vlximang">'[1]XI MANG'!$I$14:$I$128</definedName>
    <definedName name="Von.KL" localSheetId="1">#REF!</definedName>
    <definedName name="Von.KL" localSheetId="0">#REF!</definedName>
    <definedName name="Von.KL" localSheetId="13">#REF!</definedName>
    <definedName name="Von.KL">#REF!</definedName>
    <definedName name="vr3p" localSheetId="1">#REF!</definedName>
    <definedName name="vr3p" localSheetId="0">#REF!</definedName>
    <definedName name="vr3p" localSheetId="13">#REF!</definedName>
    <definedName name="vr3p">#REF!</definedName>
    <definedName name="vtu" localSheetId="1">#REF!</definedName>
    <definedName name="vtu" localSheetId="0">#REF!</definedName>
    <definedName name="vtu" localSheetId="13">#REF!</definedName>
    <definedName name="vtu">#REF!</definedName>
    <definedName name="Vu" localSheetId="1">#REF!</definedName>
    <definedName name="Vu" localSheetId="0">#REF!</definedName>
    <definedName name="Vu" localSheetId="13">#REF!</definedName>
    <definedName name="Vu">#REF!</definedName>
    <definedName name="VuaBT" localSheetId="1">#REF!</definedName>
    <definedName name="VuaBT" localSheetId="0">#REF!</definedName>
    <definedName name="VuaBT" localSheetId="13">#REF!</definedName>
    <definedName name="VuaBT">#REF!</definedName>
    <definedName name="vuaxaytuong">'[1]BBNT VL VUA'!$A:$IV</definedName>
    <definedName name="W" localSheetId="1">#REF!</definedName>
    <definedName name="W" localSheetId="0">#REF!</definedName>
    <definedName name="W" localSheetId="13">#REF!</definedName>
    <definedName name="W">#REF!</definedName>
    <definedName name="waterway" localSheetId="1">#REF!</definedName>
    <definedName name="waterway" localSheetId="0">#REF!</definedName>
    <definedName name="waterway" localSheetId="13">#REF!</definedName>
    <definedName name="waterway">#REF!</definedName>
    <definedName name="wrn.chi._.tiÆt." localSheetId="19" hidden="1">{#N/A,#N/A,FALSE,"Chi tiÆt"}</definedName>
    <definedName name="wrn.chi._.tiÆt." localSheetId="18" hidden="1">{#N/A,#N/A,FALSE,"Chi tiÆt"}</definedName>
    <definedName name="wrn.chi._.tiÆt." hidden="1">{#N/A,#N/A,FALSE,"Chi tiÆt"}</definedName>
    <definedName name="X" localSheetId="1">#REF!</definedName>
    <definedName name="X" localSheetId="0">#REF!</definedName>
    <definedName name="X" localSheetId="13">#REF!</definedName>
    <definedName name="X">#REF!</definedName>
    <definedName name="x1pind" localSheetId="1">#REF!</definedName>
    <definedName name="x1pind" localSheetId="0">#REF!</definedName>
    <definedName name="x1pind" localSheetId="13">#REF!</definedName>
    <definedName name="x1pind">#REF!</definedName>
    <definedName name="x1pint" localSheetId="1">#REF!</definedName>
    <definedName name="x1pint" localSheetId="0">#REF!</definedName>
    <definedName name="x1pint" localSheetId="13">#REF!</definedName>
    <definedName name="x1pint">#REF!</definedName>
    <definedName name="x1ping" localSheetId="1">#REF!</definedName>
    <definedName name="x1ping" localSheetId="0">#REF!</definedName>
    <definedName name="x1ping" localSheetId="13">#REF!</definedName>
    <definedName name="x1ping">#REF!</definedName>
    <definedName name="xaytrong">'[1]BBNT XAY TRONG'!$A$11:$AQ$66</definedName>
    <definedName name="XCCT">0.5</definedName>
    <definedName name="xfco" localSheetId="1">#REF!</definedName>
    <definedName name="xfco" localSheetId="0">#REF!</definedName>
    <definedName name="xfco" localSheetId="13">#REF!</definedName>
    <definedName name="xfco">#REF!</definedName>
    <definedName name="xfco3p" localSheetId="1">#REF!</definedName>
    <definedName name="xfco3p" localSheetId="0">#REF!</definedName>
    <definedName name="xfco3p" localSheetId="13">#REF!</definedName>
    <definedName name="xfco3p">#REF!</definedName>
    <definedName name="xfcotnc" localSheetId="1">#REF!</definedName>
    <definedName name="xfcotnc" localSheetId="0">#REF!</definedName>
    <definedName name="xfcotnc" localSheetId="13">#REF!</definedName>
    <definedName name="xfcotnc">#REF!</definedName>
    <definedName name="xfcotvl" localSheetId="1">#REF!</definedName>
    <definedName name="xfcotvl" localSheetId="0">#REF!</definedName>
    <definedName name="xfcotvl" localSheetId="13">#REF!</definedName>
    <definedName name="xfcotvl">#REF!</definedName>
    <definedName name="xh" localSheetId="1">#REF!</definedName>
    <definedName name="xh" localSheetId="0">#REF!</definedName>
    <definedName name="xh" localSheetId="13">#REF!</definedName>
    <definedName name="xh">#REF!</definedName>
    <definedName name="xhn" localSheetId="1">#REF!</definedName>
    <definedName name="xhn" localSheetId="0">#REF!</definedName>
    <definedName name="xhn" localSheetId="13">#REF!</definedName>
    <definedName name="xhn">#REF!</definedName>
    <definedName name="xig" localSheetId="1">#REF!</definedName>
    <definedName name="xig" localSheetId="0">#REF!</definedName>
    <definedName name="xig" localSheetId="13">#REF!</definedName>
    <definedName name="xig">#REF!</definedName>
    <definedName name="xig1" localSheetId="1">#REF!</definedName>
    <definedName name="xig1" localSheetId="0">#REF!</definedName>
    <definedName name="xig1" localSheetId="13">#REF!</definedName>
    <definedName name="xig1">#REF!</definedName>
    <definedName name="xig1p" localSheetId="1">#REF!</definedName>
    <definedName name="xig1p" localSheetId="0">#REF!</definedName>
    <definedName name="xig1p" localSheetId="13">#REF!</definedName>
    <definedName name="xig1p">#REF!</definedName>
    <definedName name="xig3p" localSheetId="1">#REF!</definedName>
    <definedName name="xig3p" localSheetId="0">#REF!</definedName>
    <definedName name="xig3p" localSheetId="13">#REF!</definedName>
    <definedName name="xig3p">#REF!</definedName>
    <definedName name="xignc3p" localSheetId="1">#REF!</definedName>
    <definedName name="xignc3p" localSheetId="0">#REF!</definedName>
    <definedName name="xignc3p" localSheetId="13">#REF!</definedName>
    <definedName name="xignc3p">#REF!</definedName>
    <definedName name="xigvl3p" localSheetId="1">#REF!</definedName>
    <definedName name="xigvl3p" localSheetId="0">#REF!</definedName>
    <definedName name="xigvl3p" localSheetId="13">#REF!</definedName>
    <definedName name="xigvl3p">#REF!</definedName>
    <definedName name="ximang">'[1]BBNT VL XI MANG'!$A$10:$AQ$48</definedName>
    <definedName name="xin" localSheetId="1">#REF!</definedName>
    <definedName name="xin" localSheetId="0">#REF!</definedName>
    <definedName name="xin" localSheetId="13">#REF!</definedName>
    <definedName name="xin">#REF!</definedName>
    <definedName name="xin190" localSheetId="1">#REF!</definedName>
    <definedName name="xin190" localSheetId="0">#REF!</definedName>
    <definedName name="xin190" localSheetId="13">#REF!</definedName>
    <definedName name="xin190">#REF!</definedName>
    <definedName name="xin1903p" localSheetId="1">#REF!</definedName>
    <definedName name="xin1903p" localSheetId="0">#REF!</definedName>
    <definedName name="xin1903p" localSheetId="13">#REF!</definedName>
    <definedName name="xin1903p">#REF!</definedName>
    <definedName name="xin2903p" localSheetId="1">#REF!</definedName>
    <definedName name="xin2903p" localSheetId="0">#REF!</definedName>
    <definedName name="xin2903p" localSheetId="13">#REF!</definedName>
    <definedName name="xin2903p">#REF!</definedName>
    <definedName name="xin290nc3p" localSheetId="1">#REF!</definedName>
    <definedName name="xin290nc3p" localSheetId="0">#REF!</definedName>
    <definedName name="xin290nc3p" localSheetId="13">#REF!</definedName>
    <definedName name="xin290nc3p">#REF!</definedName>
    <definedName name="xin290vl3p" localSheetId="1">#REF!</definedName>
    <definedName name="xin290vl3p" localSheetId="0">#REF!</definedName>
    <definedName name="xin290vl3p" localSheetId="13">#REF!</definedName>
    <definedName name="xin290vl3p">#REF!</definedName>
    <definedName name="xin3p" localSheetId="1">#REF!</definedName>
    <definedName name="xin3p" localSheetId="0">#REF!</definedName>
    <definedName name="xin3p" localSheetId="13">#REF!</definedName>
    <definedName name="xin3p">#REF!</definedName>
    <definedName name="xind" localSheetId="1">#REF!</definedName>
    <definedName name="xind" localSheetId="0">#REF!</definedName>
    <definedName name="xind" localSheetId="13">#REF!</definedName>
    <definedName name="xind">#REF!</definedName>
    <definedName name="xind1p" localSheetId="1">#REF!</definedName>
    <definedName name="xind1p" localSheetId="0">#REF!</definedName>
    <definedName name="xind1p" localSheetId="13">#REF!</definedName>
    <definedName name="xind1p">#REF!</definedName>
    <definedName name="xind3p" localSheetId="1">#REF!</definedName>
    <definedName name="xind3p" localSheetId="0">#REF!</definedName>
    <definedName name="xind3p" localSheetId="13">#REF!</definedName>
    <definedName name="xind3p">#REF!</definedName>
    <definedName name="xindnc1p" localSheetId="1">#REF!</definedName>
    <definedName name="xindnc1p" localSheetId="0">#REF!</definedName>
    <definedName name="xindnc1p" localSheetId="13">#REF!</definedName>
    <definedName name="xindnc1p">#REF!</definedName>
    <definedName name="xindvl1p" localSheetId="1">#REF!</definedName>
    <definedName name="xindvl1p" localSheetId="0">#REF!</definedName>
    <definedName name="xindvl1p" localSheetId="13">#REF!</definedName>
    <definedName name="xindvl1p">#REF!</definedName>
    <definedName name="xinnc3p" localSheetId="1">#REF!</definedName>
    <definedName name="xinnc3p" localSheetId="0">#REF!</definedName>
    <definedName name="xinnc3p" localSheetId="13">#REF!</definedName>
    <definedName name="xinnc3p">#REF!</definedName>
    <definedName name="xint1p" localSheetId="1">#REF!</definedName>
    <definedName name="xint1p" localSheetId="0">#REF!</definedName>
    <definedName name="xint1p" localSheetId="13">#REF!</definedName>
    <definedName name="xint1p">#REF!</definedName>
    <definedName name="xinvl3p" localSheetId="1">#REF!</definedName>
    <definedName name="xinvl3p" localSheetId="0">#REF!</definedName>
    <definedName name="xinvl3p" localSheetId="13">#REF!</definedName>
    <definedName name="xinvl3p">#REF!</definedName>
    <definedName name="xing1p" localSheetId="1">#REF!</definedName>
    <definedName name="xing1p" localSheetId="0">#REF!</definedName>
    <definedName name="xing1p" localSheetId="13">#REF!</definedName>
    <definedName name="xing1p">#REF!</definedName>
    <definedName name="xingnc1p" localSheetId="1">#REF!</definedName>
    <definedName name="xingnc1p" localSheetId="0">#REF!</definedName>
    <definedName name="xingnc1p" localSheetId="13">#REF!</definedName>
    <definedName name="xingnc1p">#REF!</definedName>
    <definedName name="xingvl1p" localSheetId="1">#REF!</definedName>
    <definedName name="xingvl1p" localSheetId="0">#REF!</definedName>
    <definedName name="xingvl1p" localSheetId="13">#REF!</definedName>
    <definedName name="xingvl1p">#REF!</definedName>
    <definedName name="xit" localSheetId="1">#REF!</definedName>
    <definedName name="xit" localSheetId="0">#REF!</definedName>
    <definedName name="xit" localSheetId="13">#REF!</definedName>
    <definedName name="xit">#REF!</definedName>
    <definedName name="xit1" localSheetId="1">#REF!</definedName>
    <definedName name="xit1" localSheetId="0">#REF!</definedName>
    <definedName name="xit1" localSheetId="13">#REF!</definedName>
    <definedName name="xit1">#REF!</definedName>
    <definedName name="xit1p" localSheetId="1">#REF!</definedName>
    <definedName name="xit1p" localSheetId="0">#REF!</definedName>
    <definedName name="xit1p" localSheetId="13">#REF!</definedName>
    <definedName name="xit1p">#REF!</definedName>
    <definedName name="xit2nc3p" localSheetId="1">#REF!</definedName>
    <definedName name="xit2nc3p" localSheetId="0">#REF!</definedName>
    <definedName name="xit2nc3p" localSheetId="13">#REF!</definedName>
    <definedName name="xit2nc3p">#REF!</definedName>
    <definedName name="xit2vl3p" localSheetId="1">#REF!</definedName>
    <definedName name="xit2vl3p" localSheetId="0">#REF!</definedName>
    <definedName name="xit2vl3p" localSheetId="13">#REF!</definedName>
    <definedName name="xit2vl3p">#REF!</definedName>
    <definedName name="xit3p" localSheetId="1">#REF!</definedName>
    <definedName name="xit3p" localSheetId="0">#REF!</definedName>
    <definedName name="xit3p" localSheetId="13">#REF!</definedName>
    <definedName name="xit3p">#REF!</definedName>
    <definedName name="xitnc3p" localSheetId="1">#REF!</definedName>
    <definedName name="xitnc3p" localSheetId="0">#REF!</definedName>
    <definedName name="xitnc3p" localSheetId="13">#REF!</definedName>
    <definedName name="xitnc3p">#REF!</definedName>
    <definedName name="xitvl3p" localSheetId="1">#REF!</definedName>
    <definedName name="xitvl3p" localSheetId="0">#REF!</definedName>
    <definedName name="xitvl3p" localSheetId="13">#REF!</definedName>
    <definedName name="xitvl3p">#REF!</definedName>
    <definedName name="XL" localSheetId="1">#REF!</definedName>
    <definedName name="XL" localSheetId="0">#REF!</definedName>
    <definedName name="XL" localSheetId="13">#REF!</definedName>
    <definedName name="XL">#REF!</definedName>
    <definedName name="xlc" localSheetId="1">#REF!</definedName>
    <definedName name="xlc" localSheetId="0">#REF!</definedName>
    <definedName name="xlc" localSheetId="13">#REF!</definedName>
    <definedName name="xlc">#REF!</definedName>
    <definedName name="xlk" localSheetId="1">#REF!</definedName>
    <definedName name="xlk" localSheetId="0">#REF!</definedName>
    <definedName name="xlk" localSheetId="13">#REF!</definedName>
    <definedName name="xlk">#REF!</definedName>
    <definedName name="XLxa" localSheetId="1">#REF!</definedName>
    <definedName name="XLxa" localSheetId="0">#REF!</definedName>
    <definedName name="XLxa" localSheetId="13">#REF!</definedName>
    <definedName name="XLxa">#REF!</definedName>
    <definedName name="xn" localSheetId="1">#REF!</definedName>
    <definedName name="xn" localSheetId="0">#REF!</definedName>
    <definedName name="xn" localSheetId="13">#REF!</definedName>
    <definedName name="xn">#REF!</definedName>
    <definedName name="xuatxu">'[1]XI MANG'!$K$14:$K$128</definedName>
    <definedName name="Z" localSheetId="1">#REF!</definedName>
    <definedName name="Z" localSheetId="0">#REF!</definedName>
    <definedName name="Z" localSheetId="13">#REF!</definedName>
    <definedName name="Z">#REF!</definedName>
    <definedName name="ZYX" localSheetId="1">#REF!</definedName>
    <definedName name="ZYX" localSheetId="0">#REF!</definedName>
    <definedName name="ZYX" localSheetId="13">#REF!</definedName>
    <definedName name="ZYX">#REF!</definedName>
    <definedName name="ZZZ" localSheetId="1">#REF!</definedName>
    <definedName name="ZZZ" localSheetId="0">#REF!</definedName>
    <definedName name="ZZZ" localSheetId="13">#REF!</definedName>
    <definedName name="ZZZ">#REF!</definedName>
    <definedName name="もりた" localSheetId="1">#REF!</definedName>
    <definedName name="もりた" localSheetId="0">#REF!</definedName>
    <definedName name="もりた" localSheetId="13">#REF!</definedName>
    <definedName name="もりた">#REF!</definedName>
    <definedName name="勝" localSheetId="1">#REF!</definedName>
    <definedName name="勝" localSheetId="0">#REF!</definedName>
    <definedName name="勝" localSheetId="13">#REF!</definedName>
    <definedName name="勝">#REF!</definedName>
    <definedName name="工事" localSheetId="1">#REF!</definedName>
    <definedName name="工事" localSheetId="0">#REF!</definedName>
    <definedName name="工事" localSheetId="13">#REF!</definedName>
    <definedName name="工事">#REF!</definedName>
    <definedName name="現法" localSheetId="1">#REF!</definedName>
    <definedName name="現法" localSheetId="0">#REF!</definedName>
    <definedName name="現法" localSheetId="13">#REF!</definedName>
    <definedName name="現法">#REF!</definedName>
    <definedName name="直轄" localSheetId="1">#REF!</definedName>
    <definedName name="直轄" localSheetId="0">#REF!</definedName>
    <definedName name="直轄" localSheetId="13">#REF!</definedName>
    <definedName name="直轄">#REF!</definedName>
  </definedNames>
  <calcPr calcId="144525"/>
</workbook>
</file>

<file path=xl/calcChain.xml><?xml version="1.0" encoding="utf-8"?>
<calcChain xmlns="http://schemas.openxmlformats.org/spreadsheetml/2006/main">
  <c r="E178" i="41" l="1"/>
  <c r="E180" i="41"/>
  <c r="E182" i="41"/>
  <c r="E166" i="41"/>
  <c r="E165" i="41"/>
  <c r="E164" i="41"/>
  <c r="E163" i="41"/>
  <c r="E162" i="41"/>
  <c r="E161" i="41"/>
  <c r="E160" i="41"/>
  <c r="E159" i="41"/>
  <c r="E158" i="41"/>
  <c r="E157" i="41"/>
  <c r="E156" i="41"/>
  <c r="E155" i="41"/>
  <c r="E154" i="41"/>
  <c r="E153" i="41"/>
  <c r="E152" i="41"/>
  <c r="E151" i="41"/>
  <c r="E150" i="41"/>
  <c r="E149" i="41"/>
  <c r="E148" i="41"/>
  <c r="E147" i="41"/>
  <c r="E146" i="41"/>
  <c r="E145" i="41"/>
  <c r="E144" i="41"/>
  <c r="E143" i="41"/>
  <c r="E142" i="41"/>
  <c r="E141" i="41"/>
  <c r="E140" i="41"/>
  <c r="E139" i="41"/>
  <c r="E138" i="41"/>
  <c r="E137" i="41"/>
  <c r="E136" i="41"/>
  <c r="E135" i="41"/>
  <c r="E134" i="41"/>
  <c r="E133" i="41"/>
  <c r="E132" i="41"/>
  <c r="E131" i="41"/>
  <c r="E130" i="41"/>
  <c r="E129" i="41"/>
  <c r="E128" i="41"/>
  <c r="E127" i="41"/>
  <c r="E126" i="41"/>
  <c r="E125" i="41"/>
  <c r="E124" i="41"/>
  <c r="E123" i="41"/>
  <c r="E122" i="41"/>
  <c r="E121" i="41"/>
  <c r="E120" i="41"/>
  <c r="E119" i="41"/>
  <c r="E118" i="41"/>
  <c r="E117" i="41"/>
  <c r="E116" i="41"/>
  <c r="E115" i="41"/>
  <c r="E114" i="41"/>
  <c r="E113" i="41"/>
  <c r="E112" i="41"/>
  <c r="E111" i="41"/>
  <c r="E110" i="41"/>
  <c r="E109" i="41"/>
  <c r="E108" i="41"/>
  <c r="E107" i="41"/>
  <c r="E106" i="41"/>
  <c r="E105" i="41"/>
  <c r="E104" i="41"/>
  <c r="E103" i="41"/>
  <c r="E102" i="41"/>
  <c r="E101" i="41"/>
  <c r="E100" i="41"/>
  <c r="E99" i="41"/>
  <c r="E98" i="41"/>
  <c r="E97" i="41"/>
  <c r="E96" i="41"/>
  <c r="E95" i="41"/>
  <c r="E94" i="41"/>
  <c r="E93" i="41"/>
  <c r="E92" i="41"/>
  <c r="E91" i="41"/>
  <c r="E90" i="41"/>
  <c r="E89" i="41"/>
  <c r="E88" i="41"/>
  <c r="E87" i="41"/>
  <c r="E86" i="41"/>
  <c r="E85" i="41"/>
  <c r="E84" i="41"/>
  <c r="E83" i="41"/>
  <c r="E82" i="41"/>
  <c r="E81" i="41"/>
  <c r="E80" i="41"/>
  <c r="E79" i="41"/>
  <c r="E78" i="41"/>
  <c r="E77" i="41"/>
  <c r="E76" i="41"/>
  <c r="E75" i="41"/>
  <c r="E74" i="41"/>
  <c r="E73" i="41"/>
  <c r="E72" i="41"/>
  <c r="E71" i="41"/>
  <c r="E70" i="41"/>
  <c r="E69" i="41"/>
  <c r="E68" i="41"/>
  <c r="E67" i="41"/>
  <c r="E66" i="41"/>
  <c r="E65" i="41"/>
  <c r="E64" i="41"/>
  <c r="E63" i="41"/>
  <c r="E62" i="41"/>
  <c r="E61" i="41"/>
  <c r="E60" i="41"/>
  <c r="E59" i="41"/>
  <c r="E58" i="41"/>
  <c r="A169" i="41"/>
  <c r="A170" i="41"/>
  <c r="A171" i="41"/>
  <c r="A172" i="41"/>
  <c r="A173" i="41"/>
  <c r="A174" i="41"/>
  <c r="A175" i="41"/>
  <c r="A176" i="41"/>
  <c r="A177" i="41"/>
  <c r="A178" i="41"/>
  <c r="A179" i="41"/>
  <c r="A180" i="41"/>
  <c r="A181" i="41"/>
  <c r="A182" i="41"/>
  <c r="A183" i="41"/>
  <c r="A184" i="41"/>
  <c r="A185" i="41"/>
  <c r="A186" i="41"/>
  <c r="A187" i="41"/>
  <c r="A188" i="41"/>
  <c r="A189" i="41"/>
  <c r="A190" i="41"/>
  <c r="A191" i="41"/>
  <c r="A192" i="41"/>
  <c r="A193" i="41"/>
  <c r="A194" i="41"/>
  <c r="A195" i="41"/>
  <c r="A196" i="41"/>
  <c r="A197" i="41"/>
  <c r="A198" i="41"/>
  <c r="A199" i="41"/>
  <c r="A200" i="41"/>
  <c r="A201" i="41"/>
  <c r="A202" i="41"/>
  <c r="A203" i="41"/>
  <c r="A204" i="41"/>
  <c r="A205" i="41"/>
  <c r="A206" i="41"/>
  <c r="A207" i="41"/>
  <c r="A208" i="41"/>
  <c r="A209" i="41"/>
  <c r="A210" i="41"/>
  <c r="A211" i="41"/>
  <c r="A212" i="41"/>
  <c r="A213" i="41"/>
  <c r="A214" i="41"/>
  <c r="A215" i="41"/>
  <c r="A216" i="41"/>
  <c r="A217" i="41"/>
  <c r="A218" i="41"/>
  <c r="A219" i="41"/>
  <c r="A220" i="41"/>
  <c r="A221" i="41"/>
  <c r="A222" i="41"/>
  <c r="A223" i="41"/>
  <c r="A224" i="41"/>
  <c r="A225" i="41"/>
  <c r="A226" i="41"/>
  <c r="A227" i="41"/>
  <c r="A228" i="41"/>
  <c r="R2" i="61" l="1"/>
  <c r="R15" i="61" s="1"/>
  <c r="E41" i="61" s="1"/>
  <c r="Q26" i="61"/>
  <c r="D9" i="61"/>
  <c r="A9" i="61"/>
  <c r="D8" i="61"/>
  <c r="A8" i="61"/>
  <c r="D7" i="61"/>
  <c r="A7" i="61"/>
  <c r="D5" i="61"/>
  <c r="A5" i="61"/>
  <c r="A1" i="61"/>
  <c r="R4" i="61" l="1"/>
  <c r="R13" i="61"/>
  <c r="C14" i="61" s="1"/>
  <c r="R14" i="61"/>
  <c r="C15" i="61" s="1"/>
  <c r="R3" i="61"/>
  <c r="R8" i="61"/>
  <c r="D10" i="61"/>
  <c r="R16" i="61"/>
  <c r="E42" i="61" s="1"/>
  <c r="R9" i="61"/>
  <c r="S21" i="61"/>
  <c r="J16" i="61" l="1"/>
  <c r="I15" i="61"/>
  <c r="F15" i="61" s="1"/>
  <c r="F16" i="61"/>
  <c r="S19" i="61" s="1"/>
  <c r="I35" i="61" s="1"/>
  <c r="D19" i="61"/>
  <c r="D20" i="61"/>
  <c r="F57" i="61"/>
  <c r="D48" i="61"/>
  <c r="I14" i="61"/>
  <c r="F14" i="61" s="1"/>
  <c r="F55" i="61"/>
  <c r="H20" i="61"/>
  <c r="R20" i="61"/>
  <c r="R19" i="61" s="1"/>
  <c r="C33" i="61" s="1"/>
  <c r="C35" i="61" s="1"/>
  <c r="H10" i="61"/>
  <c r="E43" i="61" s="1"/>
  <c r="I36" i="61"/>
  <c r="I37" i="61" s="1"/>
  <c r="D47" i="61"/>
  <c r="H23" i="61"/>
  <c r="H52" i="61"/>
  <c r="F11" i="61"/>
  <c r="H29" i="61"/>
  <c r="H19" i="61"/>
  <c r="H48" i="61"/>
  <c r="H47" i="61"/>
  <c r="H26" i="61"/>
  <c r="R22" i="61"/>
  <c r="C38" i="61" s="1"/>
  <c r="H27" i="61" l="1"/>
  <c r="H30" i="61"/>
  <c r="I43" i="61" s="1"/>
  <c r="H53" i="61"/>
  <c r="J57" i="61" s="1"/>
  <c r="H24" i="61"/>
  <c r="J55" i="61"/>
  <c r="C34" i="61"/>
  <c r="C36" i="61"/>
  <c r="C37" i="61" s="1"/>
  <c r="I41" i="61" l="1"/>
  <c r="I42" i="61" s="1"/>
  <c r="R18" i="61"/>
  <c r="S22" i="61" s="1"/>
  <c r="S23" i="61" s="1"/>
  <c r="K62" i="61"/>
  <c r="I38" i="61" l="1"/>
  <c r="T22" i="61"/>
  <c r="J38" i="61" s="1"/>
  <c r="S24" i="61"/>
  <c r="I39" i="61"/>
  <c r="T23" i="61"/>
  <c r="J39" i="61" s="1"/>
  <c r="R23" i="61"/>
  <c r="C39" i="61" s="1"/>
  <c r="E39" i="61" s="1"/>
  <c r="G39" i="61" s="1"/>
  <c r="I40" i="61" l="1"/>
  <c r="T24" i="61"/>
  <c r="J40" i="61" s="1"/>
  <c r="R24" i="61"/>
  <c r="C40" i="61" s="1"/>
  <c r="E40" i="61" s="1"/>
  <c r="G40" i="61" s="1"/>
  <c r="J11" i="61" l="1"/>
  <c r="E49" i="41"/>
  <c r="E47" i="41"/>
  <c r="E19" i="41"/>
  <c r="E21" i="41"/>
  <c r="E23" i="41"/>
  <c r="E25" i="41"/>
  <c r="E27" i="41"/>
  <c r="E29" i="41"/>
  <c r="E31" i="41"/>
  <c r="E33" i="41"/>
  <c r="E35" i="41"/>
  <c r="E37" i="41"/>
  <c r="E39" i="41"/>
  <c r="E41" i="41"/>
  <c r="E43" i="41"/>
  <c r="E17" i="41"/>
  <c r="D185" i="41"/>
  <c r="F185" i="41" s="1"/>
  <c r="G185" i="41" s="1"/>
  <c r="BA185" i="41"/>
  <c r="BJ185" i="41"/>
  <c r="M185" i="41" l="1"/>
  <c r="N185" i="41" s="1"/>
  <c r="T185" i="41" l="1"/>
  <c r="W185" i="41" l="1"/>
  <c r="Z185" i="41" l="1"/>
  <c r="AA185" i="41" s="1"/>
  <c r="AD185" i="41" l="1"/>
  <c r="AE185" i="41" s="1"/>
  <c r="AG185" i="41" l="1"/>
  <c r="AH185" i="41" s="1"/>
  <c r="A15" i="41"/>
  <c r="A16" i="41"/>
  <c r="A17" i="41"/>
  <c r="A18" i="41"/>
  <c r="A19" i="41"/>
  <c r="A20" i="41"/>
  <c r="A21" i="41"/>
  <c r="A22" i="41"/>
  <c r="A23" i="41"/>
  <c r="A24" i="41"/>
  <c r="A25" i="41"/>
  <c r="A26" i="41"/>
  <c r="A27" i="41"/>
  <c r="A28" i="41"/>
  <c r="A29" i="41"/>
  <c r="A30" i="41"/>
  <c r="A31" i="41"/>
  <c r="A32" i="41"/>
  <c r="A33" i="41"/>
  <c r="A34" i="41"/>
  <c r="A35" i="41"/>
  <c r="A36" i="41"/>
  <c r="A37" i="41"/>
  <c r="A38" i="41"/>
  <c r="A39" i="41"/>
  <c r="A40" i="41"/>
  <c r="A41" i="41"/>
  <c r="A42" i="41"/>
  <c r="A43" i="41"/>
  <c r="A44" i="41"/>
  <c r="A45" i="41"/>
  <c r="A46" i="41"/>
  <c r="A47" i="41"/>
  <c r="A48" i="41"/>
  <c r="A49" i="41"/>
  <c r="A50" i="41"/>
  <c r="A51" i="41"/>
  <c r="A52" i="41"/>
  <c r="A53" i="41"/>
  <c r="A54" i="41"/>
  <c r="A55" i="41"/>
  <c r="A56" i="41"/>
  <c r="A57" i="41"/>
  <c r="A58" i="41"/>
  <c r="A59" i="41"/>
  <c r="A60" i="41"/>
  <c r="A61" i="41"/>
  <c r="A62" i="41"/>
  <c r="A63" i="41"/>
  <c r="A64" i="41"/>
  <c r="A65" i="41"/>
  <c r="A66" i="41"/>
  <c r="A67" i="41"/>
  <c r="A68" i="41"/>
  <c r="A69" i="41"/>
  <c r="A70" i="41"/>
  <c r="A71" i="41"/>
  <c r="A72" i="41"/>
  <c r="A73" i="41"/>
  <c r="A74" i="41"/>
  <c r="A75" i="41"/>
  <c r="A76" i="41"/>
  <c r="A77" i="41"/>
  <c r="A78" i="41"/>
  <c r="A79" i="41"/>
  <c r="A80" i="41"/>
  <c r="A81" i="41"/>
  <c r="A82" i="41"/>
  <c r="A83" i="41"/>
  <c r="A84" i="41"/>
  <c r="A85" i="41"/>
  <c r="A86" i="41"/>
  <c r="A87" i="41"/>
  <c r="A88" i="41"/>
  <c r="A89" i="41"/>
  <c r="A90" i="41"/>
  <c r="A91" i="41"/>
  <c r="A92" i="41"/>
  <c r="A93" i="41"/>
  <c r="A94" i="41"/>
  <c r="A95" i="41"/>
  <c r="A96" i="41"/>
  <c r="A97" i="41"/>
  <c r="A98" i="41"/>
  <c r="A99" i="41"/>
  <c r="A100" i="41"/>
  <c r="A101" i="41"/>
  <c r="A102" i="41"/>
  <c r="A103" i="41"/>
  <c r="A104" i="41"/>
  <c r="A105" i="41"/>
  <c r="A106" i="41"/>
  <c r="A107" i="41"/>
  <c r="A108" i="41"/>
  <c r="A109" i="41"/>
  <c r="A110" i="41"/>
  <c r="A111" i="41"/>
  <c r="A112" i="41"/>
  <c r="A113" i="41"/>
  <c r="A114" i="41"/>
  <c r="A115" i="41"/>
  <c r="A116" i="41"/>
  <c r="A117" i="41"/>
  <c r="A118" i="41"/>
  <c r="A119" i="41"/>
  <c r="A120" i="41"/>
  <c r="A121" i="41"/>
  <c r="A122" i="41"/>
  <c r="A123" i="41"/>
  <c r="A124" i="41"/>
  <c r="A125" i="41"/>
  <c r="A126" i="41"/>
  <c r="A127" i="41"/>
  <c r="A128" i="41"/>
  <c r="A129" i="41"/>
  <c r="A130" i="41"/>
  <c r="A131" i="41"/>
  <c r="A132" i="41"/>
  <c r="A133" i="41"/>
  <c r="A134" i="41"/>
  <c r="A135" i="41"/>
  <c r="A136" i="41"/>
  <c r="A137" i="41"/>
  <c r="A138" i="41"/>
  <c r="A139" i="41"/>
  <c r="A140" i="41"/>
  <c r="A141" i="41"/>
  <c r="A142" i="41"/>
  <c r="A143" i="41"/>
  <c r="A144" i="41"/>
  <c r="A145" i="41"/>
  <c r="A146" i="41"/>
  <c r="A147" i="41"/>
  <c r="A148" i="41"/>
  <c r="A149" i="41"/>
  <c r="A150" i="41"/>
  <c r="A151" i="41"/>
  <c r="A152" i="41"/>
  <c r="A153" i="41"/>
  <c r="A154" i="41"/>
  <c r="A155" i="41"/>
  <c r="A156" i="41"/>
  <c r="A157" i="41"/>
  <c r="A158" i="41"/>
  <c r="A159" i="41"/>
  <c r="A160" i="41"/>
  <c r="A161" i="41"/>
  <c r="A162" i="41"/>
  <c r="A163" i="41"/>
  <c r="A164" i="41"/>
  <c r="A165" i="41"/>
  <c r="A166" i="41"/>
  <c r="A167" i="41"/>
  <c r="A168" i="41"/>
  <c r="BS212" i="41"/>
  <c r="AJ185" i="41" l="1"/>
  <c r="AK185" i="41" s="1"/>
  <c r="BA14" i="41"/>
  <c r="BA15" i="41"/>
  <c r="BA47" i="41"/>
  <c r="BA53" i="41"/>
  <c r="BA54" i="41"/>
  <c r="BA55" i="41"/>
  <c r="BA56" i="41"/>
  <c r="BA57" i="41"/>
  <c r="BA58" i="41"/>
  <c r="BA59" i="41"/>
  <c r="BA60" i="41"/>
  <c r="BA61" i="41"/>
  <c r="BA62" i="41"/>
  <c r="BA63" i="41"/>
  <c r="BA64" i="41"/>
  <c r="BA65" i="41"/>
  <c r="BA66" i="41"/>
  <c r="BA67" i="41"/>
  <c r="BA68" i="41"/>
  <c r="BA69" i="41"/>
  <c r="BA70" i="41"/>
  <c r="BA71" i="41"/>
  <c r="BA72" i="41"/>
  <c r="BA73" i="41"/>
  <c r="BA74" i="41"/>
  <c r="BA75" i="41"/>
  <c r="BA76" i="41"/>
  <c r="BA77" i="41"/>
  <c r="BA78" i="41"/>
  <c r="BA79" i="41"/>
  <c r="BA80" i="41"/>
  <c r="BA81" i="41"/>
  <c r="BA82" i="41"/>
  <c r="BA83" i="41"/>
  <c r="BA84" i="41"/>
  <c r="BA85" i="41"/>
  <c r="BA86" i="41"/>
  <c r="BA87" i="41"/>
  <c r="BA88" i="41"/>
  <c r="BA89" i="41"/>
  <c r="BA90" i="41"/>
  <c r="BA91" i="41"/>
  <c r="BA92" i="41"/>
  <c r="BA93" i="41"/>
  <c r="BA94" i="41"/>
  <c r="BA95" i="41"/>
  <c r="BA96" i="41"/>
  <c r="BA97" i="41"/>
  <c r="BA98" i="41"/>
  <c r="BA99" i="41"/>
  <c r="BA100" i="41"/>
  <c r="BA101" i="41"/>
  <c r="BA102" i="41"/>
  <c r="BA103" i="41"/>
  <c r="BA104" i="41"/>
  <c r="BA105" i="41"/>
  <c r="BA106" i="41"/>
  <c r="BA107" i="41"/>
  <c r="BA108" i="41"/>
  <c r="BA109" i="41"/>
  <c r="BA110" i="41"/>
  <c r="BA111" i="41"/>
  <c r="BA112" i="41"/>
  <c r="BA113" i="41"/>
  <c r="BA114" i="41"/>
  <c r="BA115" i="41"/>
  <c r="BA116" i="41"/>
  <c r="BA117" i="41"/>
  <c r="BA118" i="41"/>
  <c r="BA119" i="41"/>
  <c r="BA120" i="41"/>
  <c r="BA121" i="41"/>
  <c r="BA122" i="41"/>
  <c r="BA123" i="41"/>
  <c r="BA124" i="41"/>
  <c r="BA125" i="41"/>
  <c r="BA126" i="41"/>
  <c r="BA127" i="41"/>
  <c r="BA128" i="41"/>
  <c r="BA186" i="41"/>
  <c r="BA129" i="41"/>
  <c r="BA130" i="41"/>
  <c r="BA182" i="41"/>
  <c r="BA131" i="41"/>
  <c r="BA132" i="41"/>
  <c r="BA133" i="41"/>
  <c r="BA178" i="41"/>
  <c r="BA134" i="41"/>
  <c r="BA135" i="41"/>
  <c r="BA187" i="41"/>
  <c r="BA13" i="41"/>
  <c r="V21" i="43"/>
  <c r="W21" i="43"/>
  <c r="V41" i="43"/>
  <c r="W41" i="43"/>
  <c r="V61" i="43"/>
  <c r="W61" i="43"/>
  <c r="V81" i="43"/>
  <c r="W81" i="43"/>
  <c r="V101" i="43"/>
  <c r="W101" i="43"/>
  <c r="V121" i="43"/>
  <c r="W121" i="43"/>
  <c r="V141" i="43"/>
  <c r="W141" i="43"/>
  <c r="V161" i="43"/>
  <c r="W161" i="43"/>
  <c r="V181" i="43"/>
  <c r="W181" i="43"/>
  <c r="V201" i="43"/>
  <c r="W201" i="43"/>
  <c r="V221" i="43"/>
  <c r="W221" i="43"/>
  <c r="V241" i="43"/>
  <c r="W241" i="43"/>
  <c r="V261" i="43"/>
  <c r="W261" i="43"/>
  <c r="V281" i="43"/>
  <c r="W281" i="43"/>
  <c r="V301" i="43"/>
  <c r="W301" i="43"/>
  <c r="V321" i="43"/>
  <c r="W321" i="43"/>
  <c r="V341" i="43"/>
  <c r="W341" i="43"/>
  <c r="V361" i="43"/>
  <c r="W361" i="43"/>
  <c r="V381" i="43"/>
  <c r="W381" i="43"/>
  <c r="V401" i="43"/>
  <c r="W401" i="43"/>
  <c r="V421" i="43"/>
  <c r="W421" i="43"/>
  <c r="V441" i="43"/>
  <c r="W441" i="43"/>
  <c r="V461" i="43"/>
  <c r="W461" i="43"/>
  <c r="V481" i="43"/>
  <c r="W481" i="43"/>
  <c r="V501" i="43"/>
  <c r="W501" i="43"/>
  <c r="V521" i="43"/>
  <c r="W521" i="43"/>
  <c r="V541" i="43"/>
  <c r="W541" i="43"/>
  <c r="V561" i="43"/>
  <c r="W561" i="43"/>
  <c r="V581" i="43"/>
  <c r="W581" i="43"/>
  <c r="V601" i="43"/>
  <c r="W601" i="43"/>
  <c r="V621" i="43"/>
  <c r="W621" i="43"/>
  <c r="V641" i="43"/>
  <c r="W641" i="43"/>
  <c r="V661" i="43"/>
  <c r="W661" i="43"/>
  <c r="V681" i="43"/>
  <c r="W681" i="43"/>
  <c r="V701" i="43"/>
  <c r="W701" i="43"/>
  <c r="V721" i="43"/>
  <c r="W721" i="43"/>
  <c r="V741" i="43"/>
  <c r="W741" i="43"/>
  <c r="V761" i="43"/>
  <c r="W761" i="43"/>
  <c r="V781" i="43"/>
  <c r="W781" i="43"/>
  <c r="V801" i="43"/>
  <c r="W801" i="43"/>
  <c r="V821" i="43"/>
  <c r="W821" i="43"/>
  <c r="V841" i="43"/>
  <c r="W841" i="43"/>
  <c r="V861" i="43"/>
  <c r="W861" i="43"/>
  <c r="V881" i="43"/>
  <c r="W881" i="43"/>
  <c r="V901" i="43"/>
  <c r="W901" i="43"/>
  <c r="V921" i="43"/>
  <c r="W921" i="43"/>
  <c r="V941" i="43"/>
  <c r="W941" i="43"/>
  <c r="V961" i="43"/>
  <c r="W961" i="43"/>
  <c r="V981" i="43"/>
  <c r="W981" i="43"/>
  <c r="V1001" i="43"/>
  <c r="W1001" i="43"/>
  <c r="V1021" i="43"/>
  <c r="W1021" i="43"/>
  <c r="V1041" i="43"/>
  <c r="W1041" i="43"/>
  <c r="V1061" i="43"/>
  <c r="W1061" i="43"/>
  <c r="V1081" i="43"/>
  <c r="W1081" i="43"/>
  <c r="V1101" i="43"/>
  <c r="W1101" i="43"/>
  <c r="V1121" i="43"/>
  <c r="W1121" i="43"/>
  <c r="V1141" i="43"/>
  <c r="W1141" i="43"/>
  <c r="V1161" i="43"/>
  <c r="W1161" i="43"/>
  <c r="V1181" i="43"/>
  <c r="W1181" i="43"/>
  <c r="V1201" i="43"/>
  <c r="W1201" i="43"/>
  <c r="V1221" i="43"/>
  <c r="W1221" i="43"/>
  <c r="V1241" i="43"/>
  <c r="W1241" i="43"/>
  <c r="V1261" i="43"/>
  <c r="W1261" i="43"/>
  <c r="V1281" i="43"/>
  <c r="W1281" i="43"/>
  <c r="V1301" i="43"/>
  <c r="W1301" i="43"/>
  <c r="V1321" i="43"/>
  <c r="W1321" i="43"/>
  <c r="V1341" i="43"/>
  <c r="W1341" i="43"/>
  <c r="V1361" i="43"/>
  <c r="W1361" i="43"/>
  <c r="V1381" i="43"/>
  <c r="W1381" i="43"/>
  <c r="V1401" i="43"/>
  <c r="W1401" i="43"/>
  <c r="V1421" i="43"/>
  <c r="W1421" i="43"/>
  <c r="V1441" i="43"/>
  <c r="W1441" i="43"/>
  <c r="V1461" i="43"/>
  <c r="W1461" i="43"/>
  <c r="V1481" i="43"/>
  <c r="W1481" i="43"/>
  <c r="V1501" i="43"/>
  <c r="W1501" i="43"/>
  <c r="V1521" i="43"/>
  <c r="W1521" i="43"/>
  <c r="V1541" i="43"/>
  <c r="W1541" i="43"/>
  <c r="V1561" i="43"/>
  <c r="W1561" i="43"/>
  <c r="V1581" i="43"/>
  <c r="W1581" i="43"/>
  <c r="V1601" i="43"/>
  <c r="W1601" i="43"/>
  <c r="V1621" i="43"/>
  <c r="W1621" i="43"/>
  <c r="V1641" i="43"/>
  <c r="W1641" i="43"/>
  <c r="V1661" i="43"/>
  <c r="W1661" i="43"/>
  <c r="V1681" i="43"/>
  <c r="W1681" i="43"/>
  <c r="V1701" i="43"/>
  <c r="W1701" i="43"/>
  <c r="V1721" i="43"/>
  <c r="W1721" i="43"/>
  <c r="V1741" i="43"/>
  <c r="W1741" i="43"/>
  <c r="V1761" i="43"/>
  <c r="W1761" i="43"/>
  <c r="V1781" i="43"/>
  <c r="W1781" i="43"/>
  <c r="V1801" i="43"/>
  <c r="W1801" i="43"/>
  <c r="V1821" i="43"/>
  <c r="W1821" i="43"/>
  <c r="V1841" i="43"/>
  <c r="BA20" i="41" s="1"/>
  <c r="W1841" i="43"/>
  <c r="V1861" i="43"/>
  <c r="W1861" i="43"/>
  <c r="V1881" i="43"/>
  <c r="W1881" i="43"/>
  <c r="V1901" i="43"/>
  <c r="W1901" i="43"/>
  <c r="V1921" i="43"/>
  <c r="W1921" i="43"/>
  <c r="V1941" i="43"/>
  <c r="W1941" i="43"/>
  <c r="V1961" i="43"/>
  <c r="W1961" i="43"/>
  <c r="V1981" i="43"/>
  <c r="W1981" i="43"/>
  <c r="V2001" i="43"/>
  <c r="W2001" i="43"/>
  <c r="V2021" i="43"/>
  <c r="W2021" i="43"/>
  <c r="V2041" i="43"/>
  <c r="W2041" i="43"/>
  <c r="V2061" i="43"/>
  <c r="W2061" i="43"/>
  <c r="V2081" i="43"/>
  <c r="W2081" i="43"/>
  <c r="V2101" i="43"/>
  <c r="W2101" i="43"/>
  <c r="V2121" i="43"/>
  <c r="W2121" i="43"/>
  <c r="V2141" i="43"/>
  <c r="W2141" i="43"/>
  <c r="V2161" i="43"/>
  <c r="W2161" i="43"/>
  <c r="V2181" i="43"/>
  <c r="W2181" i="43"/>
  <c r="V2201" i="43"/>
  <c r="W2201" i="43"/>
  <c r="V2221" i="43"/>
  <c r="W2221" i="43"/>
  <c r="V2241" i="43"/>
  <c r="W2241" i="43"/>
  <c r="V2261" i="43"/>
  <c r="W2261" i="43"/>
  <c r="V2281" i="43"/>
  <c r="W2281" i="43"/>
  <c r="V2301" i="43"/>
  <c r="W2301" i="43"/>
  <c r="V2321" i="43"/>
  <c r="W2321" i="43"/>
  <c r="V2341" i="43"/>
  <c r="W2341" i="43"/>
  <c r="V2361" i="43"/>
  <c r="W2361" i="43"/>
  <c r="V2381" i="43"/>
  <c r="W2381" i="43"/>
  <c r="V2401" i="43"/>
  <c r="W2401" i="43"/>
  <c r="V2421" i="43"/>
  <c r="W2421" i="43"/>
  <c r="V2441" i="43"/>
  <c r="W2441" i="43"/>
  <c r="V2461" i="43"/>
  <c r="W2461" i="43"/>
  <c r="V2481" i="43"/>
  <c r="W2481" i="43"/>
  <c r="V2501" i="43"/>
  <c r="W2501" i="43"/>
  <c r="V2521" i="43"/>
  <c r="W2521" i="43"/>
  <c r="V2541" i="43"/>
  <c r="W2541" i="43"/>
  <c r="V2561" i="43"/>
  <c r="W2561" i="43"/>
  <c r="V2581" i="43"/>
  <c r="W2581" i="43"/>
  <c r="V2601" i="43"/>
  <c r="W2601" i="43"/>
  <c r="V2621" i="43"/>
  <c r="W2621" i="43"/>
  <c r="V2641" i="43"/>
  <c r="W2641" i="43"/>
  <c r="V2661" i="43"/>
  <c r="W2661" i="43"/>
  <c r="V2681" i="43"/>
  <c r="W2681" i="43"/>
  <c r="V2701" i="43"/>
  <c r="W2701" i="43"/>
  <c r="V2721" i="43"/>
  <c r="W2721" i="43"/>
  <c r="V2741" i="43"/>
  <c r="W2741" i="43"/>
  <c r="V2761" i="43"/>
  <c r="W2761" i="43"/>
  <c r="V2781" i="43"/>
  <c r="W2781" i="43"/>
  <c r="V2801" i="43"/>
  <c r="W2801" i="43"/>
  <c r="V2821" i="43"/>
  <c r="W2821" i="43"/>
  <c r="V2841" i="43"/>
  <c r="W2841" i="43"/>
  <c r="V2861" i="43"/>
  <c r="W2861" i="43"/>
  <c r="V2881" i="43"/>
  <c r="W2881" i="43"/>
  <c r="V2901" i="43"/>
  <c r="W2901" i="43"/>
  <c r="V2921" i="43"/>
  <c r="W2921" i="43"/>
  <c r="V2941" i="43"/>
  <c r="W2941" i="43"/>
  <c r="V2961" i="43"/>
  <c r="W2961" i="43"/>
  <c r="V2981" i="43"/>
  <c r="W2981" i="43"/>
  <c r="V3001" i="43"/>
  <c r="W3001" i="43"/>
  <c r="V3021" i="43"/>
  <c r="W3021" i="43"/>
  <c r="V3041" i="43"/>
  <c r="W3041" i="43"/>
  <c r="V3061" i="43"/>
  <c r="W3061" i="43"/>
  <c r="V3081" i="43"/>
  <c r="W3081" i="43"/>
  <c r="V3101" i="43"/>
  <c r="W3101" i="43"/>
  <c r="V3121" i="43"/>
  <c r="W3121" i="43"/>
  <c r="V3141" i="43"/>
  <c r="W3141" i="43"/>
  <c r="V3161" i="43"/>
  <c r="W3161" i="43"/>
  <c r="V3181" i="43"/>
  <c r="W3181" i="43"/>
  <c r="V3201" i="43"/>
  <c r="W3201" i="43"/>
  <c r="V3221" i="43"/>
  <c r="W3221" i="43"/>
  <c r="V3241" i="43"/>
  <c r="W3241" i="43"/>
  <c r="V3261" i="43"/>
  <c r="W3261" i="43"/>
  <c r="V3281" i="43"/>
  <c r="W3281" i="43"/>
  <c r="V3301" i="43"/>
  <c r="BA18" i="41" s="1"/>
  <c r="W3301" i="43"/>
  <c r="V3321" i="43"/>
  <c r="W3321" i="43"/>
  <c r="V3341" i="43"/>
  <c r="W3341" i="43"/>
  <c r="V3361" i="43"/>
  <c r="W3361" i="43"/>
  <c r="V3381" i="43"/>
  <c r="W3381" i="43"/>
  <c r="V3401" i="43"/>
  <c r="W3401" i="43"/>
  <c r="V3421" i="43"/>
  <c r="W3421" i="43"/>
  <c r="V3441" i="43"/>
  <c r="W3441" i="43"/>
  <c r="V3461" i="43"/>
  <c r="W3461" i="43"/>
  <c r="V3481" i="43"/>
  <c r="W3481" i="43"/>
  <c r="V3501" i="43"/>
  <c r="W3501" i="43"/>
  <c r="V3521" i="43"/>
  <c r="W3521" i="43"/>
  <c r="V3541" i="43"/>
  <c r="W3541" i="43"/>
  <c r="V3561" i="43"/>
  <c r="W3561" i="43"/>
  <c r="V3581" i="43"/>
  <c r="W3581" i="43"/>
  <c r="V3601" i="43"/>
  <c r="W3601" i="43"/>
  <c r="V3621" i="43"/>
  <c r="W3621" i="43"/>
  <c r="V3641" i="43"/>
  <c r="W3641" i="43"/>
  <c r="V3661" i="43"/>
  <c r="W3661" i="43"/>
  <c r="V3681" i="43"/>
  <c r="W3681" i="43"/>
  <c r="V3701" i="43"/>
  <c r="W3701" i="43"/>
  <c r="V3721" i="43"/>
  <c r="W3721" i="43"/>
  <c r="V3741" i="43"/>
  <c r="W3741" i="43"/>
  <c r="V3761" i="43"/>
  <c r="W3761" i="43"/>
  <c r="V3781" i="43"/>
  <c r="W3781" i="43"/>
  <c r="V3801" i="43"/>
  <c r="W3801" i="43"/>
  <c r="V3821" i="43"/>
  <c r="W3821" i="43"/>
  <c r="V3841" i="43"/>
  <c r="W3841" i="43"/>
  <c r="V3861" i="43"/>
  <c r="W3861" i="43"/>
  <c r="V3881" i="43"/>
  <c r="W3881" i="43"/>
  <c r="V3901" i="43"/>
  <c r="W3901" i="43"/>
  <c r="V3921" i="43"/>
  <c r="W3921" i="43"/>
  <c r="V3941" i="43"/>
  <c r="W3941" i="43"/>
  <c r="V3961" i="43"/>
  <c r="W3961" i="43"/>
  <c r="V3981" i="43"/>
  <c r="W3981" i="43"/>
  <c r="V4001" i="43"/>
  <c r="W4001" i="43"/>
  <c r="V4021" i="43"/>
  <c r="W4021" i="43"/>
  <c r="V4041" i="43"/>
  <c r="W4041" i="43"/>
  <c r="V4061" i="43"/>
  <c r="W4061" i="43"/>
  <c r="V4081" i="43"/>
  <c r="W4081" i="43"/>
  <c r="V4101" i="43"/>
  <c r="W4101" i="43"/>
  <c r="V4121" i="43"/>
  <c r="W4121" i="43"/>
  <c r="V4141" i="43"/>
  <c r="W4141" i="43"/>
  <c r="V4161" i="43"/>
  <c r="W4161" i="43"/>
  <c r="V4181" i="43"/>
  <c r="W4181" i="43"/>
  <c r="V4201" i="43"/>
  <c r="W4201" i="43"/>
  <c r="V4221" i="43"/>
  <c r="W4221" i="43"/>
  <c r="V4241" i="43"/>
  <c r="W4241" i="43"/>
  <c r="V4261" i="43"/>
  <c r="W4261" i="43"/>
  <c r="V4281" i="43"/>
  <c r="W4281" i="43"/>
  <c r="V4301" i="43"/>
  <c r="W4301" i="43"/>
  <c r="W1" i="43"/>
  <c r="V1" i="43"/>
  <c r="D13" i="41"/>
  <c r="F13" i="41" s="1"/>
  <c r="G13" i="41" s="1"/>
  <c r="M13" i="41" s="1"/>
  <c r="N13" i="41" s="1"/>
  <c r="T13" i="41" s="1"/>
  <c r="W13" i="41" s="1"/>
  <c r="Z13" i="41" s="1"/>
  <c r="AA13" i="41" s="1"/>
  <c r="AD13" i="41" s="1"/>
  <c r="AE13" i="41" s="1"/>
  <c r="AG13" i="41" s="1"/>
  <c r="D14" i="41"/>
  <c r="F14" i="41" s="1"/>
  <c r="G14" i="41" s="1"/>
  <c r="M14" i="41" s="1"/>
  <c r="N14" i="41" s="1"/>
  <c r="T14" i="41" s="1"/>
  <c r="W14" i="41" s="1"/>
  <c r="Z14" i="41" s="1"/>
  <c r="AA14" i="41" s="1"/>
  <c r="AD14" i="41" s="1"/>
  <c r="AE14" i="41" s="1"/>
  <c r="AG14" i="41" s="1"/>
  <c r="D15" i="41"/>
  <c r="F15" i="41" s="1"/>
  <c r="G15" i="41" s="1"/>
  <c r="M15" i="41" s="1"/>
  <c r="N15" i="41" s="1"/>
  <c r="T15" i="41" s="1"/>
  <c r="W15" i="41" s="1"/>
  <c r="Z15" i="41" s="1"/>
  <c r="AA15" i="41" s="1"/>
  <c r="AD15" i="41" s="1"/>
  <c r="AE15" i="41" s="1"/>
  <c r="AG15" i="41" s="1"/>
  <c r="D16" i="41"/>
  <c r="F16" i="41" s="1"/>
  <c r="G16" i="41" s="1"/>
  <c r="M16" i="41" s="1"/>
  <c r="N16" i="41" s="1"/>
  <c r="T16" i="41" s="1"/>
  <c r="W16" i="41" s="1"/>
  <c r="Z16" i="41" s="1"/>
  <c r="AA16" i="41" s="1"/>
  <c r="AD16" i="41" s="1"/>
  <c r="AE16" i="41" s="1"/>
  <c r="AG16" i="41" s="1"/>
  <c r="AH16" i="41" s="1"/>
  <c r="AJ16" i="41" s="1"/>
  <c r="AK16" i="41" s="1"/>
  <c r="AQ16" i="41" s="1"/>
  <c r="AR16" i="41" s="1"/>
  <c r="AU16" i="41" s="1"/>
  <c r="D17" i="41"/>
  <c r="F17" i="41" s="1"/>
  <c r="G17" i="41" s="1"/>
  <c r="M17" i="41" s="1"/>
  <c r="N17" i="41" s="1"/>
  <c r="T17" i="41" s="1"/>
  <c r="W17" i="41" s="1"/>
  <c r="Z17" i="41" s="1"/>
  <c r="AA17" i="41" s="1"/>
  <c r="AD17" i="41" s="1"/>
  <c r="AE17" i="41" s="1"/>
  <c r="AG17" i="41" s="1"/>
  <c r="AH17" i="41" s="1"/>
  <c r="AJ17" i="41" s="1"/>
  <c r="AK17" i="41" s="1"/>
  <c r="AQ17" i="41" s="1"/>
  <c r="AR17" i="41" s="1"/>
  <c r="AU17" i="41" s="1"/>
  <c r="D18" i="41"/>
  <c r="F18" i="41" s="1"/>
  <c r="G18" i="41" s="1"/>
  <c r="M18" i="41" s="1"/>
  <c r="N18" i="41" s="1"/>
  <c r="T18" i="41" s="1"/>
  <c r="W18" i="41" s="1"/>
  <c r="Z18" i="41" s="1"/>
  <c r="AA18" i="41" s="1"/>
  <c r="AD18" i="41" s="1"/>
  <c r="AE18" i="41" s="1"/>
  <c r="AG18" i="41" s="1"/>
  <c r="AH18" i="41" s="1"/>
  <c r="AJ18" i="41" s="1"/>
  <c r="AK18" i="41" s="1"/>
  <c r="AQ18" i="41" s="1"/>
  <c r="AR18" i="41" s="1"/>
  <c r="AU18" i="41" s="1"/>
  <c r="D19" i="41"/>
  <c r="F19" i="41" s="1"/>
  <c r="G19" i="41" s="1"/>
  <c r="M19" i="41" s="1"/>
  <c r="N19" i="41" s="1"/>
  <c r="T19" i="41" s="1"/>
  <c r="W19" i="41" s="1"/>
  <c r="Z19" i="41" s="1"/>
  <c r="AA19" i="41" s="1"/>
  <c r="AD19" i="41" s="1"/>
  <c r="AE19" i="41" s="1"/>
  <c r="AG19" i="41" s="1"/>
  <c r="AH19" i="41" s="1"/>
  <c r="AJ19" i="41" s="1"/>
  <c r="AK19" i="41" s="1"/>
  <c r="AQ19" i="41" s="1"/>
  <c r="AR19" i="41" s="1"/>
  <c r="AU19" i="41" s="1"/>
  <c r="D20" i="41"/>
  <c r="F20" i="41" s="1"/>
  <c r="G20" i="41" s="1"/>
  <c r="M20" i="41" s="1"/>
  <c r="N20" i="41" s="1"/>
  <c r="T20" i="41" s="1"/>
  <c r="W20" i="41" s="1"/>
  <c r="Z20" i="41" s="1"/>
  <c r="AA20" i="41" s="1"/>
  <c r="AD20" i="41" s="1"/>
  <c r="AE20" i="41" s="1"/>
  <c r="AG20" i="41" s="1"/>
  <c r="AH20" i="41" s="1"/>
  <c r="AJ20" i="41" s="1"/>
  <c r="AK20" i="41" s="1"/>
  <c r="AQ20" i="41" s="1"/>
  <c r="AR20" i="41" s="1"/>
  <c r="AU20" i="41" s="1"/>
  <c r="D21" i="41"/>
  <c r="F21" i="41" s="1"/>
  <c r="G21" i="41" s="1"/>
  <c r="M21" i="41" s="1"/>
  <c r="N21" i="41" s="1"/>
  <c r="T21" i="41" s="1"/>
  <c r="W21" i="41" s="1"/>
  <c r="Z21" i="41" s="1"/>
  <c r="AA21" i="41" s="1"/>
  <c r="AD21" i="41" s="1"/>
  <c r="AE21" i="41" s="1"/>
  <c r="AG21" i="41" s="1"/>
  <c r="AH21" i="41" s="1"/>
  <c r="AJ21" i="41" s="1"/>
  <c r="AK21" i="41" s="1"/>
  <c r="AQ21" i="41" s="1"/>
  <c r="AR21" i="41" s="1"/>
  <c r="AU21" i="41" s="1"/>
  <c r="D22" i="41"/>
  <c r="F22" i="41" s="1"/>
  <c r="G22" i="41" s="1"/>
  <c r="M22" i="41" s="1"/>
  <c r="N22" i="41" s="1"/>
  <c r="T22" i="41" s="1"/>
  <c r="W22" i="41" s="1"/>
  <c r="Z22" i="41" s="1"/>
  <c r="AA22" i="41" s="1"/>
  <c r="AD22" i="41" s="1"/>
  <c r="AE22" i="41" s="1"/>
  <c r="AG22" i="41" s="1"/>
  <c r="AH22" i="41" s="1"/>
  <c r="AJ22" i="41" s="1"/>
  <c r="AK22" i="41" s="1"/>
  <c r="AQ22" i="41" s="1"/>
  <c r="AR22" i="41" s="1"/>
  <c r="AU22" i="41" s="1"/>
  <c r="D23" i="41"/>
  <c r="F23" i="41" s="1"/>
  <c r="G23" i="41" s="1"/>
  <c r="M23" i="41" s="1"/>
  <c r="N23" i="41" s="1"/>
  <c r="T23" i="41" s="1"/>
  <c r="W23" i="41" s="1"/>
  <c r="Z23" i="41" s="1"/>
  <c r="AA23" i="41" s="1"/>
  <c r="AD23" i="41" s="1"/>
  <c r="AE23" i="41" s="1"/>
  <c r="AG23" i="41" s="1"/>
  <c r="AH23" i="41" s="1"/>
  <c r="AJ23" i="41" s="1"/>
  <c r="AK23" i="41" s="1"/>
  <c r="AQ23" i="41" s="1"/>
  <c r="AR23" i="41" s="1"/>
  <c r="AU23" i="41" s="1"/>
  <c r="D24" i="41"/>
  <c r="F24" i="41" s="1"/>
  <c r="G24" i="41" s="1"/>
  <c r="M24" i="41" s="1"/>
  <c r="N24" i="41" s="1"/>
  <c r="T24" i="41" s="1"/>
  <c r="W24" i="41" s="1"/>
  <c r="Z24" i="41" s="1"/>
  <c r="AA24" i="41" s="1"/>
  <c r="AD24" i="41" s="1"/>
  <c r="AE24" i="41" s="1"/>
  <c r="AG24" i="41" s="1"/>
  <c r="D25" i="41"/>
  <c r="F25" i="41" s="1"/>
  <c r="G25" i="41" s="1"/>
  <c r="M25" i="41" s="1"/>
  <c r="N25" i="41" s="1"/>
  <c r="T25" i="41" s="1"/>
  <c r="W25" i="41" s="1"/>
  <c r="Z25" i="41" s="1"/>
  <c r="AA25" i="41" s="1"/>
  <c r="AD25" i="41" s="1"/>
  <c r="AE25" i="41" s="1"/>
  <c r="AG25" i="41" s="1"/>
  <c r="AH25" i="41" s="1"/>
  <c r="AJ25" i="41" s="1"/>
  <c r="AK25" i="41" s="1"/>
  <c r="AQ25" i="41" s="1"/>
  <c r="AR25" i="41" s="1"/>
  <c r="AU25" i="41" s="1"/>
  <c r="D26" i="41"/>
  <c r="F26" i="41" s="1"/>
  <c r="G26" i="41" s="1"/>
  <c r="M26" i="41" s="1"/>
  <c r="N26" i="41" s="1"/>
  <c r="T26" i="41" s="1"/>
  <c r="W26" i="41" s="1"/>
  <c r="Z26" i="41" s="1"/>
  <c r="AA26" i="41" s="1"/>
  <c r="AD26" i="41" s="1"/>
  <c r="AE26" i="41" s="1"/>
  <c r="AG26" i="41" s="1"/>
  <c r="D27" i="41"/>
  <c r="F27" i="41" s="1"/>
  <c r="G27" i="41" s="1"/>
  <c r="M27" i="41" s="1"/>
  <c r="N27" i="41" s="1"/>
  <c r="T27" i="41" s="1"/>
  <c r="W27" i="41" s="1"/>
  <c r="Z27" i="41" s="1"/>
  <c r="AA27" i="41" s="1"/>
  <c r="AD27" i="41" s="1"/>
  <c r="AE27" i="41" s="1"/>
  <c r="AG27" i="41" s="1"/>
  <c r="AH27" i="41" s="1"/>
  <c r="AJ27" i="41" s="1"/>
  <c r="AK27" i="41" s="1"/>
  <c r="AQ27" i="41" s="1"/>
  <c r="AR27" i="41" s="1"/>
  <c r="AU27" i="41" s="1"/>
  <c r="D28" i="41"/>
  <c r="F28" i="41" s="1"/>
  <c r="G28" i="41" s="1"/>
  <c r="M28" i="41" s="1"/>
  <c r="N28" i="41" s="1"/>
  <c r="T28" i="41" s="1"/>
  <c r="W28" i="41" s="1"/>
  <c r="Z28" i="41" s="1"/>
  <c r="AA28" i="41" s="1"/>
  <c r="AD28" i="41" s="1"/>
  <c r="AE28" i="41" s="1"/>
  <c r="AG28" i="41" s="1"/>
  <c r="D29" i="41"/>
  <c r="F29" i="41" s="1"/>
  <c r="G29" i="41" s="1"/>
  <c r="M29" i="41" s="1"/>
  <c r="N29" i="41" s="1"/>
  <c r="T29" i="41" s="1"/>
  <c r="W29" i="41" s="1"/>
  <c r="Z29" i="41" s="1"/>
  <c r="AA29" i="41" s="1"/>
  <c r="AD29" i="41" s="1"/>
  <c r="AE29" i="41" s="1"/>
  <c r="AG29" i="41" s="1"/>
  <c r="D30" i="41"/>
  <c r="F30" i="41" s="1"/>
  <c r="G30" i="41" s="1"/>
  <c r="M30" i="41" s="1"/>
  <c r="N30" i="41" s="1"/>
  <c r="T30" i="41" s="1"/>
  <c r="W30" i="41" s="1"/>
  <c r="Z30" i="41" s="1"/>
  <c r="AA30" i="41" s="1"/>
  <c r="AD30" i="41" s="1"/>
  <c r="AE30" i="41" s="1"/>
  <c r="AG30" i="41" s="1"/>
  <c r="AH30" i="41" s="1"/>
  <c r="AJ30" i="41" s="1"/>
  <c r="AK30" i="41" s="1"/>
  <c r="AQ30" i="41" s="1"/>
  <c r="AR30" i="41" s="1"/>
  <c r="AU30" i="41" s="1"/>
  <c r="D31" i="41"/>
  <c r="F31" i="41" s="1"/>
  <c r="G31" i="41" s="1"/>
  <c r="M31" i="41" s="1"/>
  <c r="N31" i="41" s="1"/>
  <c r="T31" i="41" s="1"/>
  <c r="W31" i="41" s="1"/>
  <c r="Z31" i="41" s="1"/>
  <c r="AA31" i="41" s="1"/>
  <c r="AD31" i="41" s="1"/>
  <c r="AE31" i="41" s="1"/>
  <c r="AG31" i="41" s="1"/>
  <c r="D32" i="41"/>
  <c r="F32" i="41" s="1"/>
  <c r="G32" i="41" s="1"/>
  <c r="M32" i="41" s="1"/>
  <c r="N32" i="41" s="1"/>
  <c r="T32" i="41" s="1"/>
  <c r="W32" i="41" s="1"/>
  <c r="Z32" i="41" s="1"/>
  <c r="AA32" i="41" s="1"/>
  <c r="AD32" i="41" s="1"/>
  <c r="AE32" i="41" s="1"/>
  <c r="AG32" i="41" s="1"/>
  <c r="AH32" i="41" s="1"/>
  <c r="AJ32" i="41" s="1"/>
  <c r="AK32" i="41" s="1"/>
  <c r="AQ32" i="41" s="1"/>
  <c r="AR32" i="41" s="1"/>
  <c r="AU32" i="41" s="1"/>
  <c r="D33" i="41"/>
  <c r="F33" i="41" s="1"/>
  <c r="G33" i="41" s="1"/>
  <c r="M33" i="41" s="1"/>
  <c r="N33" i="41" s="1"/>
  <c r="T33" i="41" s="1"/>
  <c r="W33" i="41" s="1"/>
  <c r="Z33" i="41" s="1"/>
  <c r="AA33" i="41" s="1"/>
  <c r="AD33" i="41" s="1"/>
  <c r="AE33" i="41" s="1"/>
  <c r="AG33" i="41" s="1"/>
  <c r="AH33" i="41" s="1"/>
  <c r="AJ33" i="41" s="1"/>
  <c r="AK33" i="41" s="1"/>
  <c r="AQ33" i="41" s="1"/>
  <c r="AR33" i="41" s="1"/>
  <c r="AU33" i="41" s="1"/>
  <c r="D34" i="41"/>
  <c r="F34" i="41" s="1"/>
  <c r="G34" i="41" s="1"/>
  <c r="M34" i="41" s="1"/>
  <c r="N34" i="41" s="1"/>
  <c r="T34" i="41" s="1"/>
  <c r="W34" i="41" s="1"/>
  <c r="Z34" i="41" s="1"/>
  <c r="AA34" i="41" s="1"/>
  <c r="AD34" i="41" s="1"/>
  <c r="AE34" i="41" s="1"/>
  <c r="AG34" i="41" s="1"/>
  <c r="AH34" i="41" s="1"/>
  <c r="AJ34" i="41" s="1"/>
  <c r="AK34" i="41" s="1"/>
  <c r="AQ34" i="41" s="1"/>
  <c r="AR34" i="41" s="1"/>
  <c r="AU34" i="41" s="1"/>
  <c r="D35" i="41"/>
  <c r="F35" i="41" s="1"/>
  <c r="G35" i="41" s="1"/>
  <c r="M35" i="41" s="1"/>
  <c r="N35" i="41" s="1"/>
  <c r="T35" i="41" s="1"/>
  <c r="W35" i="41" s="1"/>
  <c r="Z35" i="41" s="1"/>
  <c r="AA35" i="41" s="1"/>
  <c r="AD35" i="41" s="1"/>
  <c r="AE35" i="41" s="1"/>
  <c r="AG35" i="41" s="1"/>
  <c r="D36" i="41"/>
  <c r="F36" i="41" s="1"/>
  <c r="G36" i="41" s="1"/>
  <c r="M36" i="41" s="1"/>
  <c r="N36" i="41" s="1"/>
  <c r="T36" i="41" s="1"/>
  <c r="W36" i="41" s="1"/>
  <c r="Z36" i="41" s="1"/>
  <c r="AA36" i="41" s="1"/>
  <c r="AD36" i="41" s="1"/>
  <c r="AE36" i="41" s="1"/>
  <c r="AG36" i="41" s="1"/>
  <c r="D37" i="41"/>
  <c r="F37" i="41" s="1"/>
  <c r="G37" i="41" s="1"/>
  <c r="M37" i="41" s="1"/>
  <c r="N37" i="41" s="1"/>
  <c r="T37" i="41" s="1"/>
  <c r="W37" i="41" s="1"/>
  <c r="Z37" i="41" s="1"/>
  <c r="AA37" i="41" s="1"/>
  <c r="AD37" i="41" s="1"/>
  <c r="AE37" i="41" s="1"/>
  <c r="AG37" i="41" s="1"/>
  <c r="AH37" i="41" s="1"/>
  <c r="AJ37" i="41" s="1"/>
  <c r="AK37" i="41" s="1"/>
  <c r="AQ37" i="41" s="1"/>
  <c r="AR37" i="41" s="1"/>
  <c r="AU37" i="41" s="1"/>
  <c r="D38" i="41"/>
  <c r="F38" i="41" s="1"/>
  <c r="G38" i="41" s="1"/>
  <c r="M38" i="41" s="1"/>
  <c r="N38" i="41" s="1"/>
  <c r="T38" i="41" s="1"/>
  <c r="W38" i="41" s="1"/>
  <c r="Z38" i="41" s="1"/>
  <c r="AA38" i="41" s="1"/>
  <c r="AD38" i="41" s="1"/>
  <c r="AE38" i="41" s="1"/>
  <c r="AG38" i="41" s="1"/>
  <c r="AH38" i="41" s="1"/>
  <c r="AJ38" i="41" s="1"/>
  <c r="AK38" i="41" s="1"/>
  <c r="AQ38" i="41" s="1"/>
  <c r="AR38" i="41" s="1"/>
  <c r="AU38" i="41" s="1"/>
  <c r="D39" i="41"/>
  <c r="F39" i="41" s="1"/>
  <c r="G39" i="41" s="1"/>
  <c r="M39" i="41" s="1"/>
  <c r="N39" i="41" s="1"/>
  <c r="T39" i="41" s="1"/>
  <c r="W39" i="41" s="1"/>
  <c r="Z39" i="41" s="1"/>
  <c r="AA39" i="41" s="1"/>
  <c r="AD39" i="41" s="1"/>
  <c r="AE39" i="41" s="1"/>
  <c r="AG39" i="41" s="1"/>
  <c r="D40" i="41"/>
  <c r="F40" i="41" s="1"/>
  <c r="G40" i="41" s="1"/>
  <c r="M40" i="41" s="1"/>
  <c r="N40" i="41" s="1"/>
  <c r="T40" i="41" s="1"/>
  <c r="W40" i="41" s="1"/>
  <c r="Z40" i="41" s="1"/>
  <c r="AA40" i="41" s="1"/>
  <c r="AD40" i="41" s="1"/>
  <c r="AE40" i="41" s="1"/>
  <c r="AG40" i="41" s="1"/>
  <c r="D41" i="41"/>
  <c r="F41" i="41" s="1"/>
  <c r="G41" i="41" s="1"/>
  <c r="M41" i="41" s="1"/>
  <c r="N41" i="41" s="1"/>
  <c r="T41" i="41" s="1"/>
  <c r="W41" i="41" s="1"/>
  <c r="Z41" i="41" s="1"/>
  <c r="AA41" i="41" s="1"/>
  <c r="AD41" i="41" s="1"/>
  <c r="AE41" i="41" s="1"/>
  <c r="AG41" i="41" s="1"/>
  <c r="AH41" i="41" s="1"/>
  <c r="AJ41" i="41" s="1"/>
  <c r="AK41" i="41" s="1"/>
  <c r="AQ41" i="41" s="1"/>
  <c r="AR41" i="41" s="1"/>
  <c r="AU41" i="41" s="1"/>
  <c r="D42" i="41"/>
  <c r="F42" i="41" s="1"/>
  <c r="G42" i="41" s="1"/>
  <c r="M42" i="41" s="1"/>
  <c r="N42" i="41" s="1"/>
  <c r="T42" i="41" s="1"/>
  <c r="W42" i="41" s="1"/>
  <c r="Z42" i="41" s="1"/>
  <c r="AA42" i="41" s="1"/>
  <c r="AD42" i="41" s="1"/>
  <c r="AE42" i="41" s="1"/>
  <c r="AG42" i="41" s="1"/>
  <c r="D43" i="41"/>
  <c r="F43" i="41" s="1"/>
  <c r="G43" i="41" s="1"/>
  <c r="M43" i="41" s="1"/>
  <c r="N43" i="41" s="1"/>
  <c r="T43" i="41" s="1"/>
  <c r="W43" i="41" s="1"/>
  <c r="Z43" i="41" s="1"/>
  <c r="AA43" i="41" s="1"/>
  <c r="AD43" i="41" s="1"/>
  <c r="AE43" i="41" s="1"/>
  <c r="AG43" i="41" s="1"/>
  <c r="D47" i="41"/>
  <c r="F47" i="41" s="1"/>
  <c r="G47" i="41" s="1"/>
  <c r="M47" i="41" s="1"/>
  <c r="N47" i="41" s="1"/>
  <c r="T47" i="41" s="1"/>
  <c r="W47" i="41" s="1"/>
  <c r="Z47" i="41" s="1"/>
  <c r="AA47" i="41" s="1"/>
  <c r="AD47" i="41" s="1"/>
  <c r="AE47" i="41" s="1"/>
  <c r="AG47" i="41" s="1"/>
  <c r="D48" i="41"/>
  <c r="F48" i="41" s="1"/>
  <c r="G48" i="41" s="1"/>
  <c r="M48" i="41" s="1"/>
  <c r="N48" i="41" s="1"/>
  <c r="T48" i="41" s="1"/>
  <c r="W48" i="41" s="1"/>
  <c r="Z48" i="41" s="1"/>
  <c r="AA48" i="41" s="1"/>
  <c r="AD48" i="41" s="1"/>
  <c r="AE48" i="41" s="1"/>
  <c r="AG48" i="41" s="1"/>
  <c r="D49" i="41"/>
  <c r="F49" i="41" s="1"/>
  <c r="G49" i="41" s="1"/>
  <c r="M49" i="41" s="1"/>
  <c r="N49" i="41" s="1"/>
  <c r="T49" i="41" s="1"/>
  <c r="W49" i="41" s="1"/>
  <c r="Z49" i="41" s="1"/>
  <c r="AA49" i="41" s="1"/>
  <c r="AD49" i="41" s="1"/>
  <c r="AE49" i="41" s="1"/>
  <c r="AG49" i="41" s="1"/>
  <c r="D53" i="41"/>
  <c r="F53" i="41" s="1"/>
  <c r="G53" i="41" s="1"/>
  <c r="M53" i="41" s="1"/>
  <c r="N53" i="41" s="1"/>
  <c r="T53" i="41" s="1"/>
  <c r="W53" i="41" s="1"/>
  <c r="Z53" i="41" s="1"/>
  <c r="AA53" i="41" s="1"/>
  <c r="AD53" i="41" s="1"/>
  <c r="AE53" i="41" s="1"/>
  <c r="AG53" i="41" s="1"/>
  <c r="D54" i="41"/>
  <c r="F54" i="41" s="1"/>
  <c r="G54" i="41" s="1"/>
  <c r="M54" i="41" s="1"/>
  <c r="N54" i="41" s="1"/>
  <c r="T54" i="41" s="1"/>
  <c r="W54" i="41" s="1"/>
  <c r="Z54" i="41" s="1"/>
  <c r="AA54" i="41" s="1"/>
  <c r="AD54" i="41" s="1"/>
  <c r="AE54" i="41" s="1"/>
  <c r="AG54" i="41" s="1"/>
  <c r="D55" i="41"/>
  <c r="F55" i="41" s="1"/>
  <c r="G55" i="41" s="1"/>
  <c r="M55" i="41" s="1"/>
  <c r="N55" i="41" s="1"/>
  <c r="T55" i="41" s="1"/>
  <c r="W55" i="41" s="1"/>
  <c r="Z55" i="41" s="1"/>
  <c r="AA55" i="41" s="1"/>
  <c r="AD55" i="41" s="1"/>
  <c r="AE55" i="41" s="1"/>
  <c r="AG55" i="41" s="1"/>
  <c r="D56" i="41"/>
  <c r="F56" i="41" s="1"/>
  <c r="G56" i="41" s="1"/>
  <c r="M56" i="41" s="1"/>
  <c r="N56" i="41" s="1"/>
  <c r="T56" i="41" s="1"/>
  <c r="W56" i="41" s="1"/>
  <c r="Z56" i="41" s="1"/>
  <c r="AA56" i="41" s="1"/>
  <c r="AD56" i="41" s="1"/>
  <c r="AE56" i="41" s="1"/>
  <c r="AG56" i="41" s="1"/>
  <c r="D57" i="41"/>
  <c r="F57" i="41" s="1"/>
  <c r="G57" i="41" s="1"/>
  <c r="M57" i="41" s="1"/>
  <c r="N57" i="41" s="1"/>
  <c r="T57" i="41" s="1"/>
  <c r="W57" i="41" s="1"/>
  <c r="Z57" i="41" s="1"/>
  <c r="AA57" i="41" s="1"/>
  <c r="AD57" i="41" s="1"/>
  <c r="AE57" i="41" s="1"/>
  <c r="AG57" i="41" s="1"/>
  <c r="D58" i="41"/>
  <c r="F58" i="41" s="1"/>
  <c r="G58" i="41" s="1"/>
  <c r="M58" i="41" s="1"/>
  <c r="N58" i="41" s="1"/>
  <c r="T58" i="41" s="1"/>
  <c r="W58" i="41" s="1"/>
  <c r="Z58" i="41" s="1"/>
  <c r="AA58" i="41" s="1"/>
  <c r="AD58" i="41" s="1"/>
  <c r="AE58" i="41" s="1"/>
  <c r="AG58" i="41" s="1"/>
  <c r="D59" i="41"/>
  <c r="F59" i="41" s="1"/>
  <c r="G59" i="41" s="1"/>
  <c r="M59" i="41" s="1"/>
  <c r="N59" i="41" s="1"/>
  <c r="T59" i="41" s="1"/>
  <c r="W59" i="41" s="1"/>
  <c r="Z59" i="41" s="1"/>
  <c r="AA59" i="41" s="1"/>
  <c r="AD59" i="41" s="1"/>
  <c r="AE59" i="41" s="1"/>
  <c r="AG59" i="41" s="1"/>
  <c r="D60" i="41"/>
  <c r="F60" i="41" s="1"/>
  <c r="G60" i="41" s="1"/>
  <c r="M60" i="41" s="1"/>
  <c r="N60" i="41" s="1"/>
  <c r="T60" i="41" s="1"/>
  <c r="W60" i="41" s="1"/>
  <c r="Z60" i="41" s="1"/>
  <c r="AA60" i="41" s="1"/>
  <c r="AD60" i="41" s="1"/>
  <c r="AE60" i="41" s="1"/>
  <c r="AG60" i="41" s="1"/>
  <c r="D61" i="41"/>
  <c r="F61" i="41" s="1"/>
  <c r="G61" i="41" s="1"/>
  <c r="M61" i="41" s="1"/>
  <c r="N61" i="41" s="1"/>
  <c r="T61" i="41" s="1"/>
  <c r="W61" i="41" s="1"/>
  <c r="Z61" i="41" s="1"/>
  <c r="AA61" i="41" s="1"/>
  <c r="AD61" i="41" s="1"/>
  <c r="AE61" i="41" s="1"/>
  <c r="AG61" i="41" s="1"/>
  <c r="D62" i="41"/>
  <c r="F62" i="41" s="1"/>
  <c r="G62" i="41" s="1"/>
  <c r="M62" i="41" s="1"/>
  <c r="N62" i="41" s="1"/>
  <c r="T62" i="41" s="1"/>
  <c r="W62" i="41" s="1"/>
  <c r="Z62" i="41" s="1"/>
  <c r="AA62" i="41" s="1"/>
  <c r="AD62" i="41" s="1"/>
  <c r="AE62" i="41" s="1"/>
  <c r="AG62" i="41" s="1"/>
  <c r="D63" i="41"/>
  <c r="F63" i="41" s="1"/>
  <c r="G63" i="41" s="1"/>
  <c r="M63" i="41" s="1"/>
  <c r="N63" i="41" s="1"/>
  <c r="T63" i="41" s="1"/>
  <c r="W63" i="41" s="1"/>
  <c r="Z63" i="41" s="1"/>
  <c r="AA63" i="41" s="1"/>
  <c r="AD63" i="41" s="1"/>
  <c r="AE63" i="41" s="1"/>
  <c r="AG63" i="41" s="1"/>
  <c r="D64" i="41"/>
  <c r="F64" i="41" s="1"/>
  <c r="G64" i="41" s="1"/>
  <c r="M64" i="41" s="1"/>
  <c r="N64" i="41" s="1"/>
  <c r="T64" i="41" s="1"/>
  <c r="W64" i="41" s="1"/>
  <c r="Z64" i="41" s="1"/>
  <c r="AA64" i="41" s="1"/>
  <c r="AD64" i="41" s="1"/>
  <c r="AE64" i="41" s="1"/>
  <c r="AG64" i="41" s="1"/>
  <c r="D65" i="41"/>
  <c r="F65" i="41" s="1"/>
  <c r="G65" i="41" s="1"/>
  <c r="M65" i="41" s="1"/>
  <c r="N65" i="41" s="1"/>
  <c r="T65" i="41" s="1"/>
  <c r="W65" i="41" s="1"/>
  <c r="Z65" i="41" s="1"/>
  <c r="AA65" i="41" s="1"/>
  <c r="AD65" i="41" s="1"/>
  <c r="AE65" i="41" s="1"/>
  <c r="AG65" i="41" s="1"/>
  <c r="D66" i="41"/>
  <c r="F66" i="41" s="1"/>
  <c r="G66" i="41" s="1"/>
  <c r="M66" i="41" s="1"/>
  <c r="N66" i="41" s="1"/>
  <c r="T66" i="41" s="1"/>
  <c r="W66" i="41" s="1"/>
  <c r="Z66" i="41" s="1"/>
  <c r="AA66" i="41" s="1"/>
  <c r="AD66" i="41" s="1"/>
  <c r="AE66" i="41" s="1"/>
  <c r="AG66" i="41" s="1"/>
  <c r="D67" i="41"/>
  <c r="F67" i="41" s="1"/>
  <c r="G67" i="41" s="1"/>
  <c r="M67" i="41" s="1"/>
  <c r="N67" i="41" s="1"/>
  <c r="T67" i="41" s="1"/>
  <c r="W67" i="41" s="1"/>
  <c r="Z67" i="41" s="1"/>
  <c r="AA67" i="41" s="1"/>
  <c r="AD67" i="41" s="1"/>
  <c r="AE67" i="41" s="1"/>
  <c r="AG67" i="41" s="1"/>
  <c r="D68" i="41"/>
  <c r="F68" i="41" s="1"/>
  <c r="G68" i="41" s="1"/>
  <c r="M68" i="41" s="1"/>
  <c r="N68" i="41" s="1"/>
  <c r="T68" i="41" s="1"/>
  <c r="W68" i="41" s="1"/>
  <c r="Z68" i="41" s="1"/>
  <c r="AA68" i="41" s="1"/>
  <c r="AD68" i="41" s="1"/>
  <c r="AE68" i="41" s="1"/>
  <c r="AG68" i="41" s="1"/>
  <c r="D69" i="41"/>
  <c r="F69" i="41" s="1"/>
  <c r="G69" i="41" s="1"/>
  <c r="M69" i="41" s="1"/>
  <c r="N69" i="41" s="1"/>
  <c r="T69" i="41" s="1"/>
  <c r="W69" i="41" s="1"/>
  <c r="Z69" i="41" s="1"/>
  <c r="AA69" i="41" s="1"/>
  <c r="AD69" i="41" s="1"/>
  <c r="AE69" i="41" s="1"/>
  <c r="AG69" i="41" s="1"/>
  <c r="D70" i="41"/>
  <c r="F70" i="41" s="1"/>
  <c r="G70" i="41" s="1"/>
  <c r="M70" i="41" s="1"/>
  <c r="N70" i="41" s="1"/>
  <c r="T70" i="41" s="1"/>
  <c r="W70" i="41" s="1"/>
  <c r="Z70" i="41" s="1"/>
  <c r="AA70" i="41" s="1"/>
  <c r="AD70" i="41" s="1"/>
  <c r="AE70" i="41" s="1"/>
  <c r="AG70" i="41" s="1"/>
  <c r="D71" i="41"/>
  <c r="F71" i="41" s="1"/>
  <c r="G71" i="41" s="1"/>
  <c r="M71" i="41" s="1"/>
  <c r="N71" i="41" s="1"/>
  <c r="T71" i="41" s="1"/>
  <c r="W71" i="41" s="1"/>
  <c r="Z71" i="41" s="1"/>
  <c r="AA71" i="41" s="1"/>
  <c r="AD71" i="41" s="1"/>
  <c r="AE71" i="41" s="1"/>
  <c r="AG71" i="41" s="1"/>
  <c r="D72" i="41"/>
  <c r="F72" i="41" s="1"/>
  <c r="G72" i="41" s="1"/>
  <c r="M72" i="41" s="1"/>
  <c r="N72" i="41" s="1"/>
  <c r="T72" i="41" s="1"/>
  <c r="W72" i="41" s="1"/>
  <c r="Z72" i="41" s="1"/>
  <c r="AA72" i="41" s="1"/>
  <c r="AD72" i="41" s="1"/>
  <c r="AE72" i="41" s="1"/>
  <c r="AG72" i="41" s="1"/>
  <c r="D73" i="41"/>
  <c r="F73" i="41" s="1"/>
  <c r="G73" i="41" s="1"/>
  <c r="M73" i="41" s="1"/>
  <c r="N73" i="41" s="1"/>
  <c r="T73" i="41" s="1"/>
  <c r="W73" i="41" s="1"/>
  <c r="Z73" i="41" s="1"/>
  <c r="AA73" i="41" s="1"/>
  <c r="AD73" i="41" s="1"/>
  <c r="AE73" i="41" s="1"/>
  <c r="AG73" i="41" s="1"/>
  <c r="D74" i="41"/>
  <c r="F74" i="41" s="1"/>
  <c r="G74" i="41" s="1"/>
  <c r="M74" i="41" s="1"/>
  <c r="N74" i="41" s="1"/>
  <c r="T74" i="41" s="1"/>
  <c r="W74" i="41" s="1"/>
  <c r="Z74" i="41" s="1"/>
  <c r="AA74" i="41" s="1"/>
  <c r="AD74" i="41" s="1"/>
  <c r="AE74" i="41" s="1"/>
  <c r="AG74" i="41" s="1"/>
  <c r="D75" i="41"/>
  <c r="F75" i="41" s="1"/>
  <c r="G75" i="41" s="1"/>
  <c r="M75" i="41" s="1"/>
  <c r="N75" i="41" s="1"/>
  <c r="T75" i="41" s="1"/>
  <c r="W75" i="41" s="1"/>
  <c r="Z75" i="41" s="1"/>
  <c r="AA75" i="41" s="1"/>
  <c r="AD75" i="41" s="1"/>
  <c r="AE75" i="41" s="1"/>
  <c r="AG75" i="41" s="1"/>
  <c r="D76" i="41"/>
  <c r="F76" i="41" s="1"/>
  <c r="G76" i="41" s="1"/>
  <c r="M76" i="41" s="1"/>
  <c r="N76" i="41" s="1"/>
  <c r="T76" i="41" s="1"/>
  <c r="W76" i="41" s="1"/>
  <c r="Z76" i="41" s="1"/>
  <c r="AA76" i="41" s="1"/>
  <c r="AD76" i="41" s="1"/>
  <c r="AE76" i="41" s="1"/>
  <c r="AG76" i="41" s="1"/>
  <c r="D77" i="41"/>
  <c r="F77" i="41" s="1"/>
  <c r="G77" i="41" s="1"/>
  <c r="M77" i="41" s="1"/>
  <c r="N77" i="41" s="1"/>
  <c r="T77" i="41" s="1"/>
  <c r="W77" i="41" s="1"/>
  <c r="Z77" i="41" s="1"/>
  <c r="AA77" i="41" s="1"/>
  <c r="AD77" i="41" s="1"/>
  <c r="AE77" i="41" s="1"/>
  <c r="AG77" i="41" s="1"/>
  <c r="D78" i="41"/>
  <c r="F78" i="41" s="1"/>
  <c r="G78" i="41" s="1"/>
  <c r="M78" i="41" s="1"/>
  <c r="N78" i="41" s="1"/>
  <c r="T78" i="41" s="1"/>
  <c r="W78" i="41" s="1"/>
  <c r="Z78" i="41" s="1"/>
  <c r="AA78" i="41" s="1"/>
  <c r="AD78" i="41" s="1"/>
  <c r="AE78" i="41" s="1"/>
  <c r="AG78" i="41" s="1"/>
  <c r="D79" i="41"/>
  <c r="F79" i="41" s="1"/>
  <c r="G79" i="41" s="1"/>
  <c r="M79" i="41" s="1"/>
  <c r="N79" i="41" s="1"/>
  <c r="T79" i="41" s="1"/>
  <c r="W79" i="41" s="1"/>
  <c r="Z79" i="41" s="1"/>
  <c r="AA79" i="41" s="1"/>
  <c r="AD79" i="41" s="1"/>
  <c r="AE79" i="41" s="1"/>
  <c r="AG79" i="41" s="1"/>
  <c r="D80" i="41"/>
  <c r="F80" i="41" s="1"/>
  <c r="G80" i="41" s="1"/>
  <c r="M80" i="41" s="1"/>
  <c r="N80" i="41" s="1"/>
  <c r="T80" i="41" s="1"/>
  <c r="W80" i="41" s="1"/>
  <c r="Z80" i="41" s="1"/>
  <c r="AA80" i="41" s="1"/>
  <c r="AD80" i="41" s="1"/>
  <c r="AE80" i="41" s="1"/>
  <c r="AG80" i="41" s="1"/>
  <c r="D81" i="41"/>
  <c r="F81" i="41" s="1"/>
  <c r="G81" i="41" s="1"/>
  <c r="M81" i="41" s="1"/>
  <c r="N81" i="41" s="1"/>
  <c r="T81" i="41" s="1"/>
  <c r="W81" i="41" s="1"/>
  <c r="Z81" i="41" s="1"/>
  <c r="AA81" i="41" s="1"/>
  <c r="AD81" i="41" s="1"/>
  <c r="AE81" i="41" s="1"/>
  <c r="AG81" i="41" s="1"/>
  <c r="D82" i="41"/>
  <c r="F82" i="41" s="1"/>
  <c r="G82" i="41" s="1"/>
  <c r="M82" i="41" s="1"/>
  <c r="N82" i="41" s="1"/>
  <c r="T82" i="41" s="1"/>
  <c r="W82" i="41" s="1"/>
  <c r="Z82" i="41" s="1"/>
  <c r="AA82" i="41" s="1"/>
  <c r="AD82" i="41" s="1"/>
  <c r="AE82" i="41" s="1"/>
  <c r="AG82" i="41" s="1"/>
  <c r="D83" i="41"/>
  <c r="F83" i="41" s="1"/>
  <c r="G83" i="41" s="1"/>
  <c r="M83" i="41" s="1"/>
  <c r="N83" i="41" s="1"/>
  <c r="T83" i="41" s="1"/>
  <c r="W83" i="41" s="1"/>
  <c r="Z83" i="41" s="1"/>
  <c r="AA83" i="41" s="1"/>
  <c r="AD83" i="41" s="1"/>
  <c r="AE83" i="41" s="1"/>
  <c r="AG83" i="41" s="1"/>
  <c r="D84" i="41"/>
  <c r="F84" i="41" s="1"/>
  <c r="G84" i="41" s="1"/>
  <c r="M84" i="41" s="1"/>
  <c r="N84" i="41" s="1"/>
  <c r="T84" i="41" s="1"/>
  <c r="W84" i="41" s="1"/>
  <c r="Z84" i="41" s="1"/>
  <c r="AA84" i="41" s="1"/>
  <c r="AD84" i="41" s="1"/>
  <c r="AE84" i="41" s="1"/>
  <c r="AG84" i="41" s="1"/>
  <c r="D85" i="41"/>
  <c r="F85" i="41" s="1"/>
  <c r="G85" i="41" s="1"/>
  <c r="M85" i="41" s="1"/>
  <c r="N85" i="41" s="1"/>
  <c r="T85" i="41" s="1"/>
  <c r="W85" i="41" s="1"/>
  <c r="Z85" i="41" s="1"/>
  <c r="AA85" i="41" s="1"/>
  <c r="AD85" i="41" s="1"/>
  <c r="AE85" i="41" s="1"/>
  <c r="AG85" i="41" s="1"/>
  <c r="D86" i="41"/>
  <c r="F86" i="41" s="1"/>
  <c r="G86" i="41" s="1"/>
  <c r="M86" i="41" s="1"/>
  <c r="N86" i="41" s="1"/>
  <c r="T86" i="41" s="1"/>
  <c r="W86" i="41" s="1"/>
  <c r="Z86" i="41" s="1"/>
  <c r="AA86" i="41" s="1"/>
  <c r="AD86" i="41" s="1"/>
  <c r="AE86" i="41" s="1"/>
  <c r="AG86" i="41" s="1"/>
  <c r="D87" i="41"/>
  <c r="F87" i="41" s="1"/>
  <c r="G87" i="41" s="1"/>
  <c r="M87" i="41" s="1"/>
  <c r="N87" i="41" s="1"/>
  <c r="T87" i="41" s="1"/>
  <c r="W87" i="41" s="1"/>
  <c r="Z87" i="41" s="1"/>
  <c r="AA87" i="41" s="1"/>
  <c r="AD87" i="41" s="1"/>
  <c r="AE87" i="41" s="1"/>
  <c r="AG87" i="41" s="1"/>
  <c r="D88" i="41"/>
  <c r="F88" i="41" s="1"/>
  <c r="G88" i="41" s="1"/>
  <c r="M88" i="41" s="1"/>
  <c r="N88" i="41" s="1"/>
  <c r="T88" i="41" s="1"/>
  <c r="W88" i="41" s="1"/>
  <c r="Z88" i="41" s="1"/>
  <c r="AA88" i="41" s="1"/>
  <c r="AD88" i="41" s="1"/>
  <c r="AE88" i="41" s="1"/>
  <c r="AG88" i="41" s="1"/>
  <c r="D89" i="41"/>
  <c r="F89" i="41" s="1"/>
  <c r="G89" i="41" s="1"/>
  <c r="M89" i="41" s="1"/>
  <c r="N89" i="41" s="1"/>
  <c r="T89" i="41" s="1"/>
  <c r="W89" i="41" s="1"/>
  <c r="Z89" i="41" s="1"/>
  <c r="AA89" i="41" s="1"/>
  <c r="AD89" i="41" s="1"/>
  <c r="AE89" i="41" s="1"/>
  <c r="AG89" i="41" s="1"/>
  <c r="D90" i="41"/>
  <c r="F90" i="41" s="1"/>
  <c r="G90" i="41" s="1"/>
  <c r="M90" i="41" s="1"/>
  <c r="N90" i="41" s="1"/>
  <c r="T90" i="41" s="1"/>
  <c r="W90" i="41" s="1"/>
  <c r="Z90" i="41" s="1"/>
  <c r="AA90" i="41" s="1"/>
  <c r="AD90" i="41" s="1"/>
  <c r="AE90" i="41" s="1"/>
  <c r="AG90" i="41" s="1"/>
  <c r="D91" i="41"/>
  <c r="F91" i="41" s="1"/>
  <c r="G91" i="41" s="1"/>
  <c r="M91" i="41" s="1"/>
  <c r="N91" i="41" s="1"/>
  <c r="T91" i="41" s="1"/>
  <c r="W91" i="41" s="1"/>
  <c r="Z91" i="41" s="1"/>
  <c r="AA91" i="41" s="1"/>
  <c r="AD91" i="41" s="1"/>
  <c r="AE91" i="41" s="1"/>
  <c r="AG91" i="41" s="1"/>
  <c r="D92" i="41"/>
  <c r="F92" i="41" s="1"/>
  <c r="G92" i="41" s="1"/>
  <c r="M92" i="41" s="1"/>
  <c r="N92" i="41" s="1"/>
  <c r="T92" i="41" s="1"/>
  <c r="W92" i="41" s="1"/>
  <c r="Z92" i="41" s="1"/>
  <c r="AA92" i="41" s="1"/>
  <c r="AD92" i="41" s="1"/>
  <c r="AE92" i="41" s="1"/>
  <c r="AG92" i="41" s="1"/>
  <c r="D93" i="41"/>
  <c r="F93" i="41" s="1"/>
  <c r="G93" i="41" s="1"/>
  <c r="M93" i="41" s="1"/>
  <c r="N93" i="41" s="1"/>
  <c r="T93" i="41" s="1"/>
  <c r="W93" i="41" s="1"/>
  <c r="Z93" i="41" s="1"/>
  <c r="AA93" i="41" s="1"/>
  <c r="AD93" i="41" s="1"/>
  <c r="AE93" i="41" s="1"/>
  <c r="AG93" i="41" s="1"/>
  <c r="D94" i="41"/>
  <c r="F94" i="41" s="1"/>
  <c r="G94" i="41" s="1"/>
  <c r="M94" i="41" s="1"/>
  <c r="N94" i="41" s="1"/>
  <c r="T94" i="41" s="1"/>
  <c r="W94" i="41" s="1"/>
  <c r="Z94" i="41" s="1"/>
  <c r="AA94" i="41" s="1"/>
  <c r="AD94" i="41" s="1"/>
  <c r="AE94" i="41" s="1"/>
  <c r="AG94" i="41" s="1"/>
  <c r="D95" i="41"/>
  <c r="F95" i="41" s="1"/>
  <c r="G95" i="41" s="1"/>
  <c r="M95" i="41" s="1"/>
  <c r="N95" i="41" s="1"/>
  <c r="T95" i="41" s="1"/>
  <c r="W95" i="41" s="1"/>
  <c r="Z95" i="41" s="1"/>
  <c r="AA95" i="41" s="1"/>
  <c r="AD95" i="41" s="1"/>
  <c r="AE95" i="41" s="1"/>
  <c r="AG95" i="41" s="1"/>
  <c r="D96" i="41"/>
  <c r="F96" i="41" s="1"/>
  <c r="G96" i="41" s="1"/>
  <c r="M96" i="41" s="1"/>
  <c r="N96" i="41" s="1"/>
  <c r="T96" i="41" s="1"/>
  <c r="W96" i="41" s="1"/>
  <c r="Z96" i="41" s="1"/>
  <c r="AA96" i="41" s="1"/>
  <c r="AD96" i="41" s="1"/>
  <c r="AE96" i="41" s="1"/>
  <c r="AG96" i="41" s="1"/>
  <c r="D97" i="41"/>
  <c r="F97" i="41" s="1"/>
  <c r="G97" i="41" s="1"/>
  <c r="M97" i="41" s="1"/>
  <c r="N97" i="41" s="1"/>
  <c r="T97" i="41" s="1"/>
  <c r="W97" i="41" s="1"/>
  <c r="Z97" i="41" s="1"/>
  <c r="AA97" i="41" s="1"/>
  <c r="AD97" i="41" s="1"/>
  <c r="AE97" i="41" s="1"/>
  <c r="AG97" i="41" s="1"/>
  <c r="D98" i="41"/>
  <c r="F98" i="41" s="1"/>
  <c r="G98" i="41" s="1"/>
  <c r="M98" i="41" s="1"/>
  <c r="N98" i="41" s="1"/>
  <c r="T98" i="41" s="1"/>
  <c r="W98" i="41" s="1"/>
  <c r="Z98" i="41" s="1"/>
  <c r="AA98" i="41" s="1"/>
  <c r="AD98" i="41" s="1"/>
  <c r="AE98" i="41" s="1"/>
  <c r="AG98" i="41" s="1"/>
  <c r="D99" i="41"/>
  <c r="F99" i="41" s="1"/>
  <c r="G99" i="41" s="1"/>
  <c r="M99" i="41" s="1"/>
  <c r="N99" i="41" s="1"/>
  <c r="T99" i="41" s="1"/>
  <c r="W99" i="41" s="1"/>
  <c r="Z99" i="41" s="1"/>
  <c r="AA99" i="41" s="1"/>
  <c r="AD99" i="41" s="1"/>
  <c r="AE99" i="41" s="1"/>
  <c r="AG99" i="41" s="1"/>
  <c r="D100" i="41"/>
  <c r="F100" i="41" s="1"/>
  <c r="G100" i="41" s="1"/>
  <c r="M100" i="41" s="1"/>
  <c r="N100" i="41" s="1"/>
  <c r="T100" i="41" s="1"/>
  <c r="W100" i="41" s="1"/>
  <c r="Z100" i="41" s="1"/>
  <c r="AA100" i="41" s="1"/>
  <c r="AD100" i="41" s="1"/>
  <c r="AE100" i="41" s="1"/>
  <c r="AG100" i="41" s="1"/>
  <c r="D101" i="41"/>
  <c r="F101" i="41" s="1"/>
  <c r="G101" i="41" s="1"/>
  <c r="M101" i="41" s="1"/>
  <c r="N101" i="41" s="1"/>
  <c r="T101" i="41" s="1"/>
  <c r="W101" i="41" s="1"/>
  <c r="Z101" i="41" s="1"/>
  <c r="AA101" i="41" s="1"/>
  <c r="AD101" i="41" s="1"/>
  <c r="AE101" i="41" s="1"/>
  <c r="AG101" i="41" s="1"/>
  <c r="D102" i="41"/>
  <c r="F102" i="41" s="1"/>
  <c r="G102" i="41" s="1"/>
  <c r="M102" i="41" s="1"/>
  <c r="N102" i="41" s="1"/>
  <c r="T102" i="41" s="1"/>
  <c r="W102" i="41" s="1"/>
  <c r="Z102" i="41" s="1"/>
  <c r="AA102" i="41" s="1"/>
  <c r="AD102" i="41" s="1"/>
  <c r="AE102" i="41" s="1"/>
  <c r="AG102" i="41" s="1"/>
  <c r="D103" i="41"/>
  <c r="F103" i="41" s="1"/>
  <c r="G103" i="41" s="1"/>
  <c r="M103" i="41" s="1"/>
  <c r="N103" i="41" s="1"/>
  <c r="T103" i="41" s="1"/>
  <c r="W103" i="41" s="1"/>
  <c r="Z103" i="41" s="1"/>
  <c r="AA103" i="41" s="1"/>
  <c r="AD103" i="41" s="1"/>
  <c r="AE103" i="41" s="1"/>
  <c r="AG103" i="41" s="1"/>
  <c r="D104" i="41"/>
  <c r="F104" i="41" s="1"/>
  <c r="G104" i="41" s="1"/>
  <c r="M104" i="41" s="1"/>
  <c r="N104" i="41" s="1"/>
  <c r="T104" i="41" s="1"/>
  <c r="W104" i="41" s="1"/>
  <c r="Z104" i="41" s="1"/>
  <c r="AA104" i="41" s="1"/>
  <c r="AD104" i="41" s="1"/>
  <c r="AE104" i="41" s="1"/>
  <c r="AG104" i="41" s="1"/>
  <c r="D105" i="41"/>
  <c r="F105" i="41" s="1"/>
  <c r="G105" i="41" s="1"/>
  <c r="M105" i="41" s="1"/>
  <c r="N105" i="41" s="1"/>
  <c r="T105" i="41" s="1"/>
  <c r="W105" i="41" s="1"/>
  <c r="Z105" i="41" s="1"/>
  <c r="AA105" i="41" s="1"/>
  <c r="AD105" i="41" s="1"/>
  <c r="AE105" i="41" s="1"/>
  <c r="AG105" i="41" s="1"/>
  <c r="D106" i="41"/>
  <c r="F106" i="41" s="1"/>
  <c r="G106" i="41" s="1"/>
  <c r="M106" i="41" s="1"/>
  <c r="N106" i="41" s="1"/>
  <c r="T106" i="41" s="1"/>
  <c r="W106" i="41" s="1"/>
  <c r="Z106" i="41" s="1"/>
  <c r="AA106" i="41" s="1"/>
  <c r="AD106" i="41" s="1"/>
  <c r="AE106" i="41" s="1"/>
  <c r="AG106" i="41" s="1"/>
  <c r="D107" i="41"/>
  <c r="F107" i="41" s="1"/>
  <c r="G107" i="41" s="1"/>
  <c r="M107" i="41" s="1"/>
  <c r="N107" i="41" s="1"/>
  <c r="T107" i="41" s="1"/>
  <c r="W107" i="41" s="1"/>
  <c r="Z107" i="41" s="1"/>
  <c r="AA107" i="41" s="1"/>
  <c r="AD107" i="41" s="1"/>
  <c r="AE107" i="41" s="1"/>
  <c r="AG107" i="41" s="1"/>
  <c r="D108" i="41"/>
  <c r="F108" i="41" s="1"/>
  <c r="G108" i="41" s="1"/>
  <c r="M108" i="41" s="1"/>
  <c r="N108" i="41" s="1"/>
  <c r="T108" i="41" s="1"/>
  <c r="W108" i="41" s="1"/>
  <c r="Z108" i="41" s="1"/>
  <c r="AA108" i="41" s="1"/>
  <c r="AD108" i="41" s="1"/>
  <c r="AE108" i="41" s="1"/>
  <c r="AG108" i="41" s="1"/>
  <c r="D109" i="41"/>
  <c r="F109" i="41" s="1"/>
  <c r="G109" i="41" s="1"/>
  <c r="M109" i="41" s="1"/>
  <c r="N109" i="41" s="1"/>
  <c r="T109" i="41" s="1"/>
  <c r="W109" i="41" s="1"/>
  <c r="Z109" i="41" s="1"/>
  <c r="AA109" i="41" s="1"/>
  <c r="AD109" i="41" s="1"/>
  <c r="AE109" i="41" s="1"/>
  <c r="AG109" i="41" s="1"/>
  <c r="D110" i="41"/>
  <c r="F110" i="41" s="1"/>
  <c r="G110" i="41" s="1"/>
  <c r="M110" i="41" s="1"/>
  <c r="N110" i="41" s="1"/>
  <c r="T110" i="41" s="1"/>
  <c r="W110" i="41" s="1"/>
  <c r="Z110" i="41" s="1"/>
  <c r="AA110" i="41" s="1"/>
  <c r="AD110" i="41" s="1"/>
  <c r="AE110" i="41" s="1"/>
  <c r="AG110" i="41" s="1"/>
  <c r="D111" i="41"/>
  <c r="F111" i="41" s="1"/>
  <c r="G111" i="41" s="1"/>
  <c r="M111" i="41" s="1"/>
  <c r="N111" i="41" s="1"/>
  <c r="T111" i="41" s="1"/>
  <c r="W111" i="41" s="1"/>
  <c r="Z111" i="41" s="1"/>
  <c r="AA111" i="41" s="1"/>
  <c r="AD111" i="41" s="1"/>
  <c r="AE111" i="41" s="1"/>
  <c r="AG111" i="41" s="1"/>
  <c r="D112" i="41"/>
  <c r="F112" i="41" s="1"/>
  <c r="G112" i="41" s="1"/>
  <c r="M112" i="41" s="1"/>
  <c r="N112" i="41" s="1"/>
  <c r="T112" i="41" s="1"/>
  <c r="W112" i="41" s="1"/>
  <c r="Z112" i="41" s="1"/>
  <c r="AA112" i="41" s="1"/>
  <c r="AD112" i="41" s="1"/>
  <c r="AE112" i="41" s="1"/>
  <c r="AG112" i="41" s="1"/>
  <c r="D113" i="41"/>
  <c r="F113" i="41" s="1"/>
  <c r="G113" i="41" s="1"/>
  <c r="M113" i="41" s="1"/>
  <c r="N113" i="41" s="1"/>
  <c r="T113" i="41" s="1"/>
  <c r="W113" i="41" s="1"/>
  <c r="Z113" i="41" s="1"/>
  <c r="AA113" i="41" s="1"/>
  <c r="AD113" i="41" s="1"/>
  <c r="AE113" i="41" s="1"/>
  <c r="AG113" i="41" s="1"/>
  <c r="D114" i="41"/>
  <c r="F114" i="41" s="1"/>
  <c r="G114" i="41" s="1"/>
  <c r="M114" i="41" s="1"/>
  <c r="N114" i="41" s="1"/>
  <c r="T114" i="41" s="1"/>
  <c r="W114" i="41" s="1"/>
  <c r="Z114" i="41" s="1"/>
  <c r="AA114" i="41" s="1"/>
  <c r="AD114" i="41" s="1"/>
  <c r="AE114" i="41" s="1"/>
  <c r="AG114" i="41" s="1"/>
  <c r="D115" i="41"/>
  <c r="F115" i="41" s="1"/>
  <c r="G115" i="41" s="1"/>
  <c r="M115" i="41" s="1"/>
  <c r="N115" i="41" s="1"/>
  <c r="T115" i="41" s="1"/>
  <c r="W115" i="41" s="1"/>
  <c r="Z115" i="41" s="1"/>
  <c r="AA115" i="41" s="1"/>
  <c r="AD115" i="41" s="1"/>
  <c r="AE115" i="41" s="1"/>
  <c r="AG115" i="41" s="1"/>
  <c r="D116" i="41"/>
  <c r="F116" i="41" s="1"/>
  <c r="G116" i="41" s="1"/>
  <c r="M116" i="41" s="1"/>
  <c r="N116" i="41" s="1"/>
  <c r="T116" i="41" s="1"/>
  <c r="W116" i="41" s="1"/>
  <c r="Z116" i="41" s="1"/>
  <c r="AA116" i="41" s="1"/>
  <c r="AD116" i="41" s="1"/>
  <c r="AE116" i="41" s="1"/>
  <c r="AG116" i="41" s="1"/>
  <c r="D117" i="41"/>
  <c r="F117" i="41" s="1"/>
  <c r="G117" i="41" s="1"/>
  <c r="M117" i="41" s="1"/>
  <c r="N117" i="41" s="1"/>
  <c r="T117" i="41" s="1"/>
  <c r="W117" i="41" s="1"/>
  <c r="Z117" i="41" s="1"/>
  <c r="AA117" i="41" s="1"/>
  <c r="AD117" i="41" s="1"/>
  <c r="AE117" i="41" s="1"/>
  <c r="AG117" i="41" s="1"/>
  <c r="D118" i="41"/>
  <c r="F118" i="41" s="1"/>
  <c r="G118" i="41" s="1"/>
  <c r="M118" i="41" s="1"/>
  <c r="N118" i="41" s="1"/>
  <c r="T118" i="41" s="1"/>
  <c r="W118" i="41" s="1"/>
  <c r="Z118" i="41" s="1"/>
  <c r="AA118" i="41" s="1"/>
  <c r="AD118" i="41" s="1"/>
  <c r="AE118" i="41" s="1"/>
  <c r="AG118" i="41" s="1"/>
  <c r="D119" i="41"/>
  <c r="F119" i="41" s="1"/>
  <c r="G119" i="41" s="1"/>
  <c r="M119" i="41" s="1"/>
  <c r="N119" i="41" s="1"/>
  <c r="T119" i="41" s="1"/>
  <c r="W119" i="41" s="1"/>
  <c r="Z119" i="41" s="1"/>
  <c r="AA119" i="41" s="1"/>
  <c r="AD119" i="41" s="1"/>
  <c r="AE119" i="41" s="1"/>
  <c r="AG119" i="41" s="1"/>
  <c r="D120" i="41"/>
  <c r="F120" i="41" s="1"/>
  <c r="G120" i="41" s="1"/>
  <c r="M120" i="41" s="1"/>
  <c r="N120" i="41" s="1"/>
  <c r="T120" i="41" s="1"/>
  <c r="W120" i="41" s="1"/>
  <c r="Z120" i="41" s="1"/>
  <c r="AA120" i="41" s="1"/>
  <c r="AD120" i="41" s="1"/>
  <c r="AE120" i="41" s="1"/>
  <c r="AG120" i="41" s="1"/>
  <c r="D121" i="41"/>
  <c r="F121" i="41" s="1"/>
  <c r="G121" i="41" s="1"/>
  <c r="M121" i="41" s="1"/>
  <c r="N121" i="41" s="1"/>
  <c r="T121" i="41" s="1"/>
  <c r="W121" i="41" s="1"/>
  <c r="Z121" i="41" s="1"/>
  <c r="AA121" i="41" s="1"/>
  <c r="AD121" i="41" s="1"/>
  <c r="AE121" i="41" s="1"/>
  <c r="AG121" i="41" s="1"/>
  <c r="D122" i="41"/>
  <c r="F122" i="41" s="1"/>
  <c r="G122" i="41" s="1"/>
  <c r="M122" i="41" s="1"/>
  <c r="N122" i="41" s="1"/>
  <c r="T122" i="41" s="1"/>
  <c r="W122" i="41" s="1"/>
  <c r="Z122" i="41" s="1"/>
  <c r="AA122" i="41" s="1"/>
  <c r="AD122" i="41" s="1"/>
  <c r="AE122" i="41" s="1"/>
  <c r="AG122" i="41" s="1"/>
  <c r="D123" i="41"/>
  <c r="F123" i="41" s="1"/>
  <c r="G123" i="41" s="1"/>
  <c r="M123" i="41" s="1"/>
  <c r="N123" i="41" s="1"/>
  <c r="T123" i="41" s="1"/>
  <c r="W123" i="41" s="1"/>
  <c r="Z123" i="41" s="1"/>
  <c r="AA123" i="41" s="1"/>
  <c r="AD123" i="41" s="1"/>
  <c r="AE123" i="41" s="1"/>
  <c r="AG123" i="41" s="1"/>
  <c r="D124" i="41"/>
  <c r="F124" i="41" s="1"/>
  <c r="G124" i="41" s="1"/>
  <c r="M124" i="41" s="1"/>
  <c r="N124" i="41" s="1"/>
  <c r="T124" i="41" s="1"/>
  <c r="W124" i="41" s="1"/>
  <c r="Z124" i="41" s="1"/>
  <c r="AA124" i="41" s="1"/>
  <c r="AD124" i="41" s="1"/>
  <c r="AE124" i="41" s="1"/>
  <c r="AG124" i="41" s="1"/>
  <c r="D125" i="41"/>
  <c r="F125" i="41" s="1"/>
  <c r="G125" i="41" s="1"/>
  <c r="M125" i="41" s="1"/>
  <c r="N125" i="41" s="1"/>
  <c r="T125" i="41" s="1"/>
  <c r="W125" i="41" s="1"/>
  <c r="Z125" i="41" s="1"/>
  <c r="AA125" i="41" s="1"/>
  <c r="AD125" i="41" s="1"/>
  <c r="AE125" i="41" s="1"/>
  <c r="AG125" i="41" s="1"/>
  <c r="D126" i="41"/>
  <c r="F126" i="41" s="1"/>
  <c r="G126" i="41" s="1"/>
  <c r="M126" i="41" s="1"/>
  <c r="N126" i="41" s="1"/>
  <c r="T126" i="41" s="1"/>
  <c r="W126" i="41" s="1"/>
  <c r="Z126" i="41" s="1"/>
  <c r="AA126" i="41" s="1"/>
  <c r="AD126" i="41" s="1"/>
  <c r="AE126" i="41" s="1"/>
  <c r="AG126" i="41" s="1"/>
  <c r="D127" i="41"/>
  <c r="F127" i="41" s="1"/>
  <c r="G127" i="41" s="1"/>
  <c r="M127" i="41" s="1"/>
  <c r="N127" i="41" s="1"/>
  <c r="T127" i="41" s="1"/>
  <c r="W127" i="41" s="1"/>
  <c r="Z127" i="41" s="1"/>
  <c r="AA127" i="41" s="1"/>
  <c r="AD127" i="41" s="1"/>
  <c r="AE127" i="41" s="1"/>
  <c r="AG127" i="41" s="1"/>
  <c r="D128" i="41"/>
  <c r="F128" i="41" s="1"/>
  <c r="G128" i="41" s="1"/>
  <c r="M128" i="41" s="1"/>
  <c r="N128" i="41" s="1"/>
  <c r="T128" i="41" s="1"/>
  <c r="W128" i="41" s="1"/>
  <c r="Z128" i="41" s="1"/>
  <c r="AA128" i="41" s="1"/>
  <c r="AD128" i="41" s="1"/>
  <c r="AE128" i="41" s="1"/>
  <c r="AG128" i="41" s="1"/>
  <c r="D186" i="41"/>
  <c r="F186" i="41" s="1"/>
  <c r="G186" i="41" s="1"/>
  <c r="M186" i="41" s="1"/>
  <c r="N186" i="41" s="1"/>
  <c r="T186" i="41" s="1"/>
  <c r="W186" i="41" s="1"/>
  <c r="Z186" i="41" s="1"/>
  <c r="AA186" i="41" s="1"/>
  <c r="AD186" i="41" s="1"/>
  <c r="AE186" i="41" s="1"/>
  <c r="AG186" i="41" s="1"/>
  <c r="D129" i="41"/>
  <c r="F129" i="41" s="1"/>
  <c r="G129" i="41" s="1"/>
  <c r="M129" i="41" s="1"/>
  <c r="N129" i="41" s="1"/>
  <c r="T129" i="41" s="1"/>
  <c r="W129" i="41" s="1"/>
  <c r="Z129" i="41" s="1"/>
  <c r="AA129" i="41" s="1"/>
  <c r="AD129" i="41" s="1"/>
  <c r="AE129" i="41" s="1"/>
  <c r="AG129" i="41" s="1"/>
  <c r="D130" i="41"/>
  <c r="F130" i="41" s="1"/>
  <c r="G130" i="41" s="1"/>
  <c r="M130" i="41" s="1"/>
  <c r="N130" i="41" s="1"/>
  <c r="T130" i="41" s="1"/>
  <c r="W130" i="41" s="1"/>
  <c r="Z130" i="41" s="1"/>
  <c r="AA130" i="41" s="1"/>
  <c r="AD130" i="41" s="1"/>
  <c r="AE130" i="41" s="1"/>
  <c r="AG130" i="41" s="1"/>
  <c r="D182" i="41"/>
  <c r="F182" i="41" s="1"/>
  <c r="G182" i="41" s="1"/>
  <c r="M182" i="41" s="1"/>
  <c r="N182" i="41" s="1"/>
  <c r="T182" i="41" s="1"/>
  <c r="W182" i="41" s="1"/>
  <c r="Z182" i="41" s="1"/>
  <c r="AA182" i="41" s="1"/>
  <c r="AD182" i="41" s="1"/>
  <c r="AE182" i="41" s="1"/>
  <c r="AG182" i="41" s="1"/>
  <c r="D131" i="41"/>
  <c r="F131" i="41" s="1"/>
  <c r="G131" i="41" s="1"/>
  <c r="M131" i="41" s="1"/>
  <c r="N131" i="41" s="1"/>
  <c r="T131" i="41" s="1"/>
  <c r="W131" i="41" s="1"/>
  <c r="Z131" i="41" s="1"/>
  <c r="AA131" i="41" s="1"/>
  <c r="AD131" i="41" s="1"/>
  <c r="AE131" i="41" s="1"/>
  <c r="AG131" i="41" s="1"/>
  <c r="D132" i="41"/>
  <c r="F132" i="41" s="1"/>
  <c r="G132" i="41" s="1"/>
  <c r="M132" i="41" s="1"/>
  <c r="N132" i="41" s="1"/>
  <c r="T132" i="41" s="1"/>
  <c r="W132" i="41" s="1"/>
  <c r="Z132" i="41" s="1"/>
  <c r="AA132" i="41" s="1"/>
  <c r="AD132" i="41" s="1"/>
  <c r="AE132" i="41" s="1"/>
  <c r="AG132" i="41" s="1"/>
  <c r="D133" i="41"/>
  <c r="F133" i="41" s="1"/>
  <c r="G133" i="41" s="1"/>
  <c r="M133" i="41" s="1"/>
  <c r="N133" i="41" s="1"/>
  <c r="T133" i="41" s="1"/>
  <c r="W133" i="41" s="1"/>
  <c r="Z133" i="41" s="1"/>
  <c r="AA133" i="41" s="1"/>
  <c r="AD133" i="41" s="1"/>
  <c r="AE133" i="41" s="1"/>
  <c r="AG133" i="41" s="1"/>
  <c r="D178" i="41"/>
  <c r="F178" i="41" s="1"/>
  <c r="G178" i="41" s="1"/>
  <c r="M178" i="41" s="1"/>
  <c r="N178" i="41" s="1"/>
  <c r="T178" i="41" s="1"/>
  <c r="W178" i="41" s="1"/>
  <c r="Z178" i="41" s="1"/>
  <c r="AA178" i="41" s="1"/>
  <c r="AD178" i="41" s="1"/>
  <c r="AE178" i="41" s="1"/>
  <c r="AG178" i="41" s="1"/>
  <c r="D134" i="41"/>
  <c r="F134" i="41" s="1"/>
  <c r="G134" i="41" s="1"/>
  <c r="M134" i="41" s="1"/>
  <c r="N134" i="41" s="1"/>
  <c r="T134" i="41" s="1"/>
  <c r="W134" i="41" s="1"/>
  <c r="Z134" i="41" s="1"/>
  <c r="AA134" i="41" s="1"/>
  <c r="AD134" i="41" s="1"/>
  <c r="AE134" i="41" s="1"/>
  <c r="AG134" i="41" s="1"/>
  <c r="D135" i="41"/>
  <c r="F135" i="41" s="1"/>
  <c r="G135" i="41" s="1"/>
  <c r="M135" i="41" s="1"/>
  <c r="N135" i="41" s="1"/>
  <c r="T135" i="41" s="1"/>
  <c r="W135" i="41" s="1"/>
  <c r="Z135" i="41" s="1"/>
  <c r="AA135" i="41" s="1"/>
  <c r="AD135" i="41" s="1"/>
  <c r="AE135" i="41" s="1"/>
  <c r="AG135" i="41" s="1"/>
  <c r="D187" i="41"/>
  <c r="F187" i="41" s="1"/>
  <c r="G187" i="41" s="1"/>
  <c r="M187" i="41" s="1"/>
  <c r="N187" i="41" s="1"/>
  <c r="T187" i="41" s="1"/>
  <c r="W187" i="41" s="1"/>
  <c r="Z187" i="41" s="1"/>
  <c r="AA187" i="41" s="1"/>
  <c r="AD187" i="41" s="1"/>
  <c r="AE187" i="41" s="1"/>
  <c r="AG187" i="41" s="1"/>
  <c r="D174" i="41"/>
  <c r="F174" i="41" s="1"/>
  <c r="G174" i="41" s="1"/>
  <c r="M174" i="41" s="1"/>
  <c r="N174" i="41" s="1"/>
  <c r="T174" i="41" s="1"/>
  <c r="W174" i="41" s="1"/>
  <c r="Z174" i="41" s="1"/>
  <c r="AA174" i="41" s="1"/>
  <c r="AD174" i="41" s="1"/>
  <c r="AE174" i="41" s="1"/>
  <c r="AG174" i="41" s="1"/>
  <c r="D136" i="41"/>
  <c r="F136" i="41" s="1"/>
  <c r="G136" i="41" s="1"/>
  <c r="M136" i="41" s="1"/>
  <c r="N136" i="41" s="1"/>
  <c r="T136" i="41" s="1"/>
  <c r="W136" i="41" s="1"/>
  <c r="Z136" i="41" s="1"/>
  <c r="AA136" i="41" s="1"/>
  <c r="AD136" i="41" s="1"/>
  <c r="AE136" i="41" s="1"/>
  <c r="AG136" i="41" s="1"/>
  <c r="D137" i="41"/>
  <c r="F137" i="41" s="1"/>
  <c r="G137" i="41" s="1"/>
  <c r="M137" i="41" s="1"/>
  <c r="N137" i="41" s="1"/>
  <c r="T137" i="41" s="1"/>
  <c r="W137" i="41" s="1"/>
  <c r="Z137" i="41" s="1"/>
  <c r="AA137" i="41" s="1"/>
  <c r="AD137" i="41" s="1"/>
  <c r="AE137" i="41" s="1"/>
  <c r="AG137" i="41" s="1"/>
  <c r="D177" i="41"/>
  <c r="F177" i="41" s="1"/>
  <c r="G177" i="41" s="1"/>
  <c r="M177" i="41" s="1"/>
  <c r="N177" i="41" s="1"/>
  <c r="T177" i="41" s="1"/>
  <c r="W177" i="41" s="1"/>
  <c r="Z177" i="41" s="1"/>
  <c r="AA177" i="41" s="1"/>
  <c r="AD177" i="41" s="1"/>
  <c r="AE177" i="41" s="1"/>
  <c r="AG177" i="41" s="1"/>
  <c r="D138" i="41"/>
  <c r="F138" i="41" s="1"/>
  <c r="G138" i="41" s="1"/>
  <c r="M138" i="41" s="1"/>
  <c r="N138" i="41" s="1"/>
  <c r="T138" i="41" s="1"/>
  <c r="W138" i="41" s="1"/>
  <c r="Z138" i="41" s="1"/>
  <c r="AA138" i="41" s="1"/>
  <c r="AD138" i="41" s="1"/>
  <c r="AE138" i="41" s="1"/>
  <c r="AG138" i="41" s="1"/>
  <c r="D139" i="41"/>
  <c r="F139" i="41" s="1"/>
  <c r="G139" i="41" s="1"/>
  <c r="M139" i="41" s="1"/>
  <c r="N139" i="41" s="1"/>
  <c r="T139" i="41" s="1"/>
  <c r="W139" i="41" s="1"/>
  <c r="Z139" i="41" s="1"/>
  <c r="AA139" i="41" s="1"/>
  <c r="AD139" i="41" s="1"/>
  <c r="AE139" i="41" s="1"/>
  <c r="AG139" i="41" s="1"/>
  <c r="D140" i="41"/>
  <c r="F140" i="41" s="1"/>
  <c r="G140" i="41" s="1"/>
  <c r="M140" i="41" s="1"/>
  <c r="N140" i="41" s="1"/>
  <c r="T140" i="41" s="1"/>
  <c r="W140" i="41" s="1"/>
  <c r="Z140" i="41" s="1"/>
  <c r="AA140" i="41" s="1"/>
  <c r="AD140" i="41" s="1"/>
  <c r="AE140" i="41" s="1"/>
  <c r="AG140" i="41" s="1"/>
  <c r="D179" i="41"/>
  <c r="F179" i="41" s="1"/>
  <c r="G179" i="41" s="1"/>
  <c r="M179" i="41" s="1"/>
  <c r="N179" i="41" s="1"/>
  <c r="T179" i="41" s="1"/>
  <c r="W179" i="41" s="1"/>
  <c r="Z179" i="41" s="1"/>
  <c r="AA179" i="41" s="1"/>
  <c r="AD179" i="41" s="1"/>
  <c r="AE179" i="41" s="1"/>
  <c r="AG179" i="41" s="1"/>
  <c r="D141" i="41"/>
  <c r="F141" i="41" s="1"/>
  <c r="G141" i="41" s="1"/>
  <c r="M141" i="41" s="1"/>
  <c r="N141" i="41" s="1"/>
  <c r="T141" i="41" s="1"/>
  <c r="W141" i="41" s="1"/>
  <c r="Z141" i="41" s="1"/>
  <c r="AA141" i="41" s="1"/>
  <c r="AD141" i="41" s="1"/>
  <c r="AE141" i="41" s="1"/>
  <c r="AG141" i="41" s="1"/>
  <c r="D142" i="41"/>
  <c r="F142" i="41" s="1"/>
  <c r="G142" i="41" s="1"/>
  <c r="M142" i="41" s="1"/>
  <c r="N142" i="41" s="1"/>
  <c r="T142" i="41" s="1"/>
  <c r="W142" i="41" s="1"/>
  <c r="Z142" i="41" s="1"/>
  <c r="AA142" i="41" s="1"/>
  <c r="AD142" i="41" s="1"/>
  <c r="AE142" i="41" s="1"/>
  <c r="AG142" i="41" s="1"/>
  <c r="D143" i="41"/>
  <c r="F143" i="41" s="1"/>
  <c r="G143" i="41" s="1"/>
  <c r="M143" i="41" s="1"/>
  <c r="N143" i="41" s="1"/>
  <c r="T143" i="41" s="1"/>
  <c r="W143" i="41" s="1"/>
  <c r="Z143" i="41" s="1"/>
  <c r="AA143" i="41" s="1"/>
  <c r="AD143" i="41" s="1"/>
  <c r="AE143" i="41" s="1"/>
  <c r="AG143" i="41" s="1"/>
  <c r="D188" i="41"/>
  <c r="F188" i="41" s="1"/>
  <c r="G188" i="41" s="1"/>
  <c r="M188" i="41" s="1"/>
  <c r="N188" i="41" s="1"/>
  <c r="T188" i="41" s="1"/>
  <c r="W188" i="41" s="1"/>
  <c r="Z188" i="41" s="1"/>
  <c r="AA188" i="41" s="1"/>
  <c r="AD188" i="41" s="1"/>
  <c r="AE188" i="41" s="1"/>
  <c r="AG188" i="41" s="1"/>
  <c r="D144" i="41"/>
  <c r="F144" i="41" s="1"/>
  <c r="G144" i="41" s="1"/>
  <c r="M144" i="41" s="1"/>
  <c r="N144" i="41" s="1"/>
  <c r="T144" i="41" s="1"/>
  <c r="W144" i="41" s="1"/>
  <c r="Z144" i="41" s="1"/>
  <c r="AA144" i="41" s="1"/>
  <c r="AD144" i="41" s="1"/>
  <c r="AE144" i="41" s="1"/>
  <c r="AG144" i="41" s="1"/>
  <c r="D145" i="41"/>
  <c r="F145" i="41" s="1"/>
  <c r="G145" i="41" s="1"/>
  <c r="M145" i="41" s="1"/>
  <c r="N145" i="41" s="1"/>
  <c r="T145" i="41" s="1"/>
  <c r="W145" i="41" s="1"/>
  <c r="Z145" i="41" s="1"/>
  <c r="AA145" i="41" s="1"/>
  <c r="AD145" i="41" s="1"/>
  <c r="AE145" i="41" s="1"/>
  <c r="AG145" i="41" s="1"/>
  <c r="D180" i="41"/>
  <c r="F180" i="41" s="1"/>
  <c r="G180" i="41" s="1"/>
  <c r="M180" i="41" s="1"/>
  <c r="N180" i="41" s="1"/>
  <c r="T180" i="41" s="1"/>
  <c r="W180" i="41" s="1"/>
  <c r="Z180" i="41" s="1"/>
  <c r="AA180" i="41" s="1"/>
  <c r="AD180" i="41" s="1"/>
  <c r="AE180" i="41" s="1"/>
  <c r="AG180" i="41" s="1"/>
  <c r="D146" i="41"/>
  <c r="F146" i="41" s="1"/>
  <c r="G146" i="41" s="1"/>
  <c r="M146" i="41" s="1"/>
  <c r="N146" i="41" s="1"/>
  <c r="T146" i="41" s="1"/>
  <c r="W146" i="41" s="1"/>
  <c r="Z146" i="41" s="1"/>
  <c r="AA146" i="41" s="1"/>
  <c r="AD146" i="41" s="1"/>
  <c r="AE146" i="41" s="1"/>
  <c r="AG146" i="41" s="1"/>
  <c r="D147" i="41"/>
  <c r="F147" i="41" s="1"/>
  <c r="G147" i="41" s="1"/>
  <c r="M147" i="41" s="1"/>
  <c r="N147" i="41" s="1"/>
  <c r="T147" i="41" s="1"/>
  <c r="W147" i="41" s="1"/>
  <c r="Z147" i="41" s="1"/>
  <c r="AA147" i="41" s="1"/>
  <c r="AD147" i="41" s="1"/>
  <c r="AE147" i="41" s="1"/>
  <c r="AG147" i="41" s="1"/>
  <c r="D148" i="41"/>
  <c r="F148" i="41" s="1"/>
  <c r="G148" i="41" s="1"/>
  <c r="M148" i="41" s="1"/>
  <c r="N148" i="41" s="1"/>
  <c r="T148" i="41" s="1"/>
  <c r="W148" i="41" s="1"/>
  <c r="Z148" i="41" s="1"/>
  <c r="AA148" i="41" s="1"/>
  <c r="AD148" i="41" s="1"/>
  <c r="AE148" i="41" s="1"/>
  <c r="AG148" i="41" s="1"/>
  <c r="D149" i="41"/>
  <c r="F149" i="41" s="1"/>
  <c r="G149" i="41" s="1"/>
  <c r="M149" i="41" s="1"/>
  <c r="N149" i="41" s="1"/>
  <c r="T149" i="41" s="1"/>
  <c r="W149" i="41" s="1"/>
  <c r="Z149" i="41" s="1"/>
  <c r="AA149" i="41" s="1"/>
  <c r="AD149" i="41" s="1"/>
  <c r="AE149" i="41" s="1"/>
  <c r="AG149" i="41" s="1"/>
  <c r="D171" i="41"/>
  <c r="F171" i="41" s="1"/>
  <c r="G171" i="41" s="1"/>
  <c r="M171" i="41" s="1"/>
  <c r="N171" i="41" s="1"/>
  <c r="T171" i="41" s="1"/>
  <c r="W171" i="41" s="1"/>
  <c r="Z171" i="41" s="1"/>
  <c r="AA171" i="41" s="1"/>
  <c r="AD171" i="41" s="1"/>
  <c r="AE171" i="41" s="1"/>
  <c r="AG171" i="41" s="1"/>
  <c r="D150" i="41"/>
  <c r="F150" i="41" s="1"/>
  <c r="G150" i="41" s="1"/>
  <c r="M150" i="41" s="1"/>
  <c r="N150" i="41" s="1"/>
  <c r="T150" i="41" s="1"/>
  <c r="W150" i="41" s="1"/>
  <c r="Z150" i="41" s="1"/>
  <c r="AA150" i="41" s="1"/>
  <c r="AD150" i="41" s="1"/>
  <c r="AE150" i="41" s="1"/>
  <c r="AG150" i="41" s="1"/>
  <c r="D184" i="41"/>
  <c r="F184" i="41" s="1"/>
  <c r="G184" i="41" s="1"/>
  <c r="M184" i="41" s="1"/>
  <c r="N184" i="41" s="1"/>
  <c r="T184" i="41" s="1"/>
  <c r="W184" i="41" s="1"/>
  <c r="Z184" i="41" s="1"/>
  <c r="AA184" i="41" s="1"/>
  <c r="AD184" i="41" s="1"/>
  <c r="AE184" i="41" s="1"/>
  <c r="AG184" i="41" s="1"/>
  <c r="D151" i="41"/>
  <c r="F151" i="41" s="1"/>
  <c r="G151" i="41" s="1"/>
  <c r="M151" i="41" s="1"/>
  <c r="N151" i="41" s="1"/>
  <c r="T151" i="41" s="1"/>
  <c r="W151" i="41" s="1"/>
  <c r="Z151" i="41" s="1"/>
  <c r="AA151" i="41" s="1"/>
  <c r="AD151" i="41" s="1"/>
  <c r="AE151" i="41" s="1"/>
  <c r="AG151" i="41" s="1"/>
  <c r="D152" i="41"/>
  <c r="F152" i="41" s="1"/>
  <c r="G152" i="41" s="1"/>
  <c r="M152" i="41" s="1"/>
  <c r="N152" i="41" s="1"/>
  <c r="T152" i="41" s="1"/>
  <c r="W152" i="41" s="1"/>
  <c r="Z152" i="41" s="1"/>
  <c r="AA152" i="41" s="1"/>
  <c r="AD152" i="41" s="1"/>
  <c r="AE152" i="41" s="1"/>
  <c r="AG152" i="41" s="1"/>
  <c r="D153" i="41"/>
  <c r="F153" i="41" s="1"/>
  <c r="G153" i="41" s="1"/>
  <c r="M153" i="41" s="1"/>
  <c r="N153" i="41" s="1"/>
  <c r="T153" i="41" s="1"/>
  <c r="W153" i="41" s="1"/>
  <c r="Z153" i="41" s="1"/>
  <c r="AA153" i="41" s="1"/>
  <c r="AD153" i="41" s="1"/>
  <c r="AE153" i="41" s="1"/>
  <c r="AG153" i="41" s="1"/>
  <c r="D154" i="41"/>
  <c r="F154" i="41" s="1"/>
  <c r="G154" i="41" s="1"/>
  <c r="M154" i="41" s="1"/>
  <c r="N154" i="41" s="1"/>
  <c r="T154" i="41" s="1"/>
  <c r="W154" i="41" s="1"/>
  <c r="Z154" i="41" s="1"/>
  <c r="AA154" i="41" s="1"/>
  <c r="AD154" i="41" s="1"/>
  <c r="AE154" i="41" s="1"/>
  <c r="AG154" i="41" s="1"/>
  <c r="D181" i="41"/>
  <c r="F181" i="41" s="1"/>
  <c r="G181" i="41" s="1"/>
  <c r="M181" i="41" s="1"/>
  <c r="N181" i="41" s="1"/>
  <c r="T181" i="41" s="1"/>
  <c r="W181" i="41" s="1"/>
  <c r="Z181" i="41" s="1"/>
  <c r="AA181" i="41" s="1"/>
  <c r="AD181" i="41" s="1"/>
  <c r="AE181" i="41" s="1"/>
  <c r="AG181" i="41" s="1"/>
  <c r="D189" i="41"/>
  <c r="F189" i="41" s="1"/>
  <c r="G189" i="41" s="1"/>
  <c r="M189" i="41" s="1"/>
  <c r="N189" i="41" s="1"/>
  <c r="T189" i="41" s="1"/>
  <c r="W189" i="41" s="1"/>
  <c r="Z189" i="41" s="1"/>
  <c r="AA189" i="41" s="1"/>
  <c r="AD189" i="41" s="1"/>
  <c r="AE189" i="41" s="1"/>
  <c r="AG189" i="41" s="1"/>
  <c r="D155" i="41"/>
  <c r="F155" i="41" s="1"/>
  <c r="G155" i="41" s="1"/>
  <c r="M155" i="41" s="1"/>
  <c r="N155" i="41" s="1"/>
  <c r="T155" i="41" s="1"/>
  <c r="W155" i="41" s="1"/>
  <c r="Z155" i="41" s="1"/>
  <c r="AA155" i="41" s="1"/>
  <c r="AD155" i="41" s="1"/>
  <c r="AE155" i="41" s="1"/>
  <c r="AG155" i="41" s="1"/>
  <c r="D169" i="41"/>
  <c r="F169" i="41" s="1"/>
  <c r="G169" i="41" s="1"/>
  <c r="M169" i="41" s="1"/>
  <c r="N169" i="41" s="1"/>
  <c r="T169" i="41" s="1"/>
  <c r="W169" i="41" s="1"/>
  <c r="Z169" i="41" s="1"/>
  <c r="AA169" i="41" s="1"/>
  <c r="AD169" i="41" s="1"/>
  <c r="AE169" i="41" s="1"/>
  <c r="AG169" i="41" s="1"/>
  <c r="D156" i="41"/>
  <c r="F156" i="41" s="1"/>
  <c r="G156" i="41" s="1"/>
  <c r="M156" i="41" s="1"/>
  <c r="N156" i="41" s="1"/>
  <c r="T156" i="41" s="1"/>
  <c r="W156" i="41" s="1"/>
  <c r="Z156" i="41" s="1"/>
  <c r="AA156" i="41" s="1"/>
  <c r="AD156" i="41" s="1"/>
  <c r="AE156" i="41" s="1"/>
  <c r="AG156" i="41" s="1"/>
  <c r="D157" i="41"/>
  <c r="F157" i="41" s="1"/>
  <c r="G157" i="41" s="1"/>
  <c r="M157" i="41" s="1"/>
  <c r="N157" i="41" s="1"/>
  <c r="T157" i="41" s="1"/>
  <c r="W157" i="41" s="1"/>
  <c r="Z157" i="41" s="1"/>
  <c r="AA157" i="41" s="1"/>
  <c r="AD157" i="41" s="1"/>
  <c r="AE157" i="41" s="1"/>
  <c r="AG157" i="41" s="1"/>
  <c r="D158" i="41"/>
  <c r="F158" i="41" s="1"/>
  <c r="G158" i="41" s="1"/>
  <c r="M158" i="41" s="1"/>
  <c r="N158" i="41" s="1"/>
  <c r="T158" i="41" s="1"/>
  <c r="W158" i="41" s="1"/>
  <c r="Z158" i="41" s="1"/>
  <c r="AA158" i="41" s="1"/>
  <c r="AD158" i="41" s="1"/>
  <c r="AE158" i="41" s="1"/>
  <c r="AG158" i="41" s="1"/>
  <c r="D159" i="41"/>
  <c r="F159" i="41" s="1"/>
  <c r="G159" i="41" s="1"/>
  <c r="M159" i="41" s="1"/>
  <c r="N159" i="41" s="1"/>
  <c r="T159" i="41" s="1"/>
  <c r="W159" i="41" s="1"/>
  <c r="Z159" i="41" s="1"/>
  <c r="AA159" i="41" s="1"/>
  <c r="AD159" i="41" s="1"/>
  <c r="AE159" i="41" s="1"/>
  <c r="AG159" i="41" s="1"/>
  <c r="D160" i="41"/>
  <c r="F160" i="41" s="1"/>
  <c r="G160" i="41" s="1"/>
  <c r="M160" i="41" s="1"/>
  <c r="N160" i="41" s="1"/>
  <c r="T160" i="41" s="1"/>
  <c r="W160" i="41" s="1"/>
  <c r="Z160" i="41" s="1"/>
  <c r="AA160" i="41" s="1"/>
  <c r="AD160" i="41" s="1"/>
  <c r="AE160" i="41" s="1"/>
  <c r="AG160" i="41" s="1"/>
  <c r="D172" i="41"/>
  <c r="F172" i="41" s="1"/>
  <c r="G172" i="41" s="1"/>
  <c r="M172" i="41" s="1"/>
  <c r="N172" i="41" s="1"/>
  <c r="T172" i="41" s="1"/>
  <c r="W172" i="41" s="1"/>
  <c r="Z172" i="41" s="1"/>
  <c r="AA172" i="41" s="1"/>
  <c r="AD172" i="41" s="1"/>
  <c r="AE172" i="41" s="1"/>
  <c r="AG172" i="41" s="1"/>
  <c r="D190" i="41"/>
  <c r="F190" i="41" s="1"/>
  <c r="G190" i="41" s="1"/>
  <c r="M190" i="41" s="1"/>
  <c r="N190" i="41" s="1"/>
  <c r="T190" i="41" s="1"/>
  <c r="W190" i="41" s="1"/>
  <c r="Z190" i="41" s="1"/>
  <c r="AA190" i="41" s="1"/>
  <c r="AD190" i="41" s="1"/>
  <c r="AE190" i="41" s="1"/>
  <c r="AG190" i="41" s="1"/>
  <c r="D183" i="41"/>
  <c r="F183" i="41" s="1"/>
  <c r="G183" i="41" s="1"/>
  <c r="M183" i="41" s="1"/>
  <c r="N183" i="41" s="1"/>
  <c r="T183" i="41" s="1"/>
  <c r="W183" i="41" s="1"/>
  <c r="Z183" i="41" s="1"/>
  <c r="AA183" i="41" s="1"/>
  <c r="AD183" i="41" s="1"/>
  <c r="AE183" i="41" s="1"/>
  <c r="AG183" i="41" s="1"/>
  <c r="D191" i="41"/>
  <c r="F191" i="41" s="1"/>
  <c r="G191" i="41" s="1"/>
  <c r="M191" i="41" s="1"/>
  <c r="N191" i="41" s="1"/>
  <c r="T191" i="41" s="1"/>
  <c r="W191" i="41" s="1"/>
  <c r="Z191" i="41" s="1"/>
  <c r="AA191" i="41" s="1"/>
  <c r="AD191" i="41" s="1"/>
  <c r="AE191" i="41" s="1"/>
  <c r="AG191" i="41" s="1"/>
  <c r="D192" i="41"/>
  <c r="F192" i="41" s="1"/>
  <c r="G192" i="41" s="1"/>
  <c r="M192" i="41" s="1"/>
  <c r="N192" i="41" s="1"/>
  <c r="T192" i="41" s="1"/>
  <c r="W192" i="41" s="1"/>
  <c r="Z192" i="41" s="1"/>
  <c r="AA192" i="41" s="1"/>
  <c r="AD192" i="41" s="1"/>
  <c r="AE192" i="41" s="1"/>
  <c r="AG192" i="41" s="1"/>
  <c r="D170" i="41"/>
  <c r="F170" i="41" s="1"/>
  <c r="G170" i="41" s="1"/>
  <c r="M170" i="41" s="1"/>
  <c r="N170" i="41" s="1"/>
  <c r="T170" i="41" s="1"/>
  <c r="W170" i="41" s="1"/>
  <c r="Z170" i="41" s="1"/>
  <c r="AA170" i="41" s="1"/>
  <c r="AD170" i="41" s="1"/>
  <c r="AE170" i="41" s="1"/>
  <c r="AG170" i="41" s="1"/>
  <c r="D161" i="41"/>
  <c r="F161" i="41" s="1"/>
  <c r="G161" i="41" s="1"/>
  <c r="M161" i="41" s="1"/>
  <c r="N161" i="41" s="1"/>
  <c r="T161" i="41" s="1"/>
  <c r="W161" i="41" s="1"/>
  <c r="Z161" i="41" s="1"/>
  <c r="AA161" i="41" s="1"/>
  <c r="AD161" i="41" s="1"/>
  <c r="AE161" i="41" s="1"/>
  <c r="AG161" i="41" s="1"/>
  <c r="D193" i="41"/>
  <c r="F193" i="41" s="1"/>
  <c r="G193" i="41" s="1"/>
  <c r="M193" i="41" s="1"/>
  <c r="N193" i="41" s="1"/>
  <c r="T193" i="41" s="1"/>
  <c r="W193" i="41" s="1"/>
  <c r="Z193" i="41" s="1"/>
  <c r="AA193" i="41" s="1"/>
  <c r="AD193" i="41" s="1"/>
  <c r="AE193" i="41" s="1"/>
  <c r="AG193" i="41" s="1"/>
  <c r="D162" i="41"/>
  <c r="F162" i="41" s="1"/>
  <c r="G162" i="41" s="1"/>
  <c r="M162" i="41" s="1"/>
  <c r="N162" i="41" s="1"/>
  <c r="T162" i="41" s="1"/>
  <c r="W162" i="41" s="1"/>
  <c r="Z162" i="41" s="1"/>
  <c r="AA162" i="41" s="1"/>
  <c r="AD162" i="41" s="1"/>
  <c r="AE162" i="41" s="1"/>
  <c r="AG162" i="41" s="1"/>
  <c r="D163" i="41"/>
  <c r="F163" i="41" s="1"/>
  <c r="G163" i="41" s="1"/>
  <c r="M163" i="41" s="1"/>
  <c r="N163" i="41" s="1"/>
  <c r="T163" i="41" s="1"/>
  <c r="W163" i="41" s="1"/>
  <c r="Z163" i="41" s="1"/>
  <c r="AA163" i="41" s="1"/>
  <c r="AD163" i="41" s="1"/>
  <c r="AE163" i="41" s="1"/>
  <c r="AG163" i="41" s="1"/>
  <c r="D173" i="41"/>
  <c r="F173" i="41" s="1"/>
  <c r="G173" i="41" s="1"/>
  <c r="M173" i="41" s="1"/>
  <c r="N173" i="41" s="1"/>
  <c r="T173" i="41" s="1"/>
  <c r="W173" i="41" s="1"/>
  <c r="Z173" i="41" s="1"/>
  <c r="AA173" i="41" s="1"/>
  <c r="AD173" i="41" s="1"/>
  <c r="AE173" i="41" s="1"/>
  <c r="AG173" i="41" s="1"/>
  <c r="D164" i="41"/>
  <c r="F164" i="41" s="1"/>
  <c r="G164" i="41" s="1"/>
  <c r="M164" i="41" s="1"/>
  <c r="N164" i="41" s="1"/>
  <c r="T164" i="41" s="1"/>
  <c r="W164" i="41" s="1"/>
  <c r="Z164" i="41" s="1"/>
  <c r="AA164" i="41" s="1"/>
  <c r="AD164" i="41" s="1"/>
  <c r="AE164" i="41" s="1"/>
  <c r="AG164" i="41" s="1"/>
  <c r="D176" i="41"/>
  <c r="F176" i="41" s="1"/>
  <c r="G176" i="41" s="1"/>
  <c r="M176" i="41" s="1"/>
  <c r="N176" i="41" s="1"/>
  <c r="T176" i="41" s="1"/>
  <c r="W176" i="41" s="1"/>
  <c r="Z176" i="41" s="1"/>
  <c r="AA176" i="41" s="1"/>
  <c r="AD176" i="41" s="1"/>
  <c r="AE176" i="41" s="1"/>
  <c r="AG176" i="41" s="1"/>
  <c r="D165" i="41"/>
  <c r="F165" i="41" s="1"/>
  <c r="G165" i="41" s="1"/>
  <c r="M165" i="41" s="1"/>
  <c r="N165" i="41" s="1"/>
  <c r="T165" i="41" s="1"/>
  <c r="W165" i="41" s="1"/>
  <c r="Z165" i="41" s="1"/>
  <c r="AA165" i="41" s="1"/>
  <c r="AD165" i="41" s="1"/>
  <c r="AE165" i="41" s="1"/>
  <c r="AG165" i="41" s="1"/>
  <c r="D175" i="41"/>
  <c r="F175" i="41" s="1"/>
  <c r="G175" i="41" s="1"/>
  <c r="M175" i="41" s="1"/>
  <c r="N175" i="41" s="1"/>
  <c r="T175" i="41" s="1"/>
  <c r="W175" i="41" s="1"/>
  <c r="Z175" i="41" s="1"/>
  <c r="AA175" i="41" s="1"/>
  <c r="AD175" i="41" s="1"/>
  <c r="AE175" i="41" s="1"/>
  <c r="AG175" i="41" s="1"/>
  <c r="D166" i="41"/>
  <c r="F166" i="41" s="1"/>
  <c r="G166" i="41" s="1"/>
  <c r="M166" i="41" s="1"/>
  <c r="N166" i="41" s="1"/>
  <c r="T166" i="41" s="1"/>
  <c r="W166" i="41" s="1"/>
  <c r="Z166" i="41" s="1"/>
  <c r="AA166" i="41" s="1"/>
  <c r="AD166" i="41" s="1"/>
  <c r="AE166" i="41" s="1"/>
  <c r="AG166" i="41" s="1"/>
  <c r="D194" i="41"/>
  <c r="F194" i="41" s="1"/>
  <c r="G194" i="41" s="1"/>
  <c r="M194" i="41" s="1"/>
  <c r="N194" i="41" s="1"/>
  <c r="T194" i="41" s="1"/>
  <c r="W194" i="41" s="1"/>
  <c r="Z194" i="41" s="1"/>
  <c r="AA194" i="41" s="1"/>
  <c r="AD194" i="41" s="1"/>
  <c r="AE194" i="41" s="1"/>
  <c r="AG194" i="41" s="1"/>
  <c r="D167" i="41"/>
  <c r="F167" i="41" s="1"/>
  <c r="G167" i="41" s="1"/>
  <c r="M167" i="41" s="1"/>
  <c r="N167" i="41" s="1"/>
  <c r="T167" i="41" s="1"/>
  <c r="W167" i="41" s="1"/>
  <c r="Z167" i="41" s="1"/>
  <c r="AA167" i="41" s="1"/>
  <c r="AD167" i="41" s="1"/>
  <c r="AE167" i="41" s="1"/>
  <c r="AG167" i="41" s="1"/>
  <c r="D195" i="41"/>
  <c r="F195" i="41" s="1"/>
  <c r="G195" i="41" s="1"/>
  <c r="M195" i="41" s="1"/>
  <c r="N195" i="41" s="1"/>
  <c r="T195" i="41" s="1"/>
  <c r="W195" i="41" s="1"/>
  <c r="Z195" i="41" s="1"/>
  <c r="AA195" i="41" s="1"/>
  <c r="AD195" i="41" s="1"/>
  <c r="AE195" i="41" s="1"/>
  <c r="AG195" i="41" s="1"/>
  <c r="D196" i="41"/>
  <c r="F196" i="41" s="1"/>
  <c r="G196" i="41" s="1"/>
  <c r="M196" i="41" s="1"/>
  <c r="N196" i="41" s="1"/>
  <c r="T196" i="41" s="1"/>
  <c r="W196" i="41" s="1"/>
  <c r="Z196" i="41" s="1"/>
  <c r="AA196" i="41" s="1"/>
  <c r="AD196" i="41" s="1"/>
  <c r="AE196" i="41" s="1"/>
  <c r="AG196" i="41" s="1"/>
  <c r="D197" i="41"/>
  <c r="F197" i="41" s="1"/>
  <c r="G197" i="41" s="1"/>
  <c r="M197" i="41" s="1"/>
  <c r="N197" i="41" s="1"/>
  <c r="T197" i="41" s="1"/>
  <c r="W197" i="41" s="1"/>
  <c r="Z197" i="41" s="1"/>
  <c r="AA197" i="41" s="1"/>
  <c r="AD197" i="41" s="1"/>
  <c r="AE197" i="41" s="1"/>
  <c r="AG197" i="41" s="1"/>
  <c r="D198" i="41"/>
  <c r="F198" i="41" s="1"/>
  <c r="G198" i="41" s="1"/>
  <c r="M198" i="41" s="1"/>
  <c r="N198" i="41" s="1"/>
  <c r="T198" i="41" s="1"/>
  <c r="W198" i="41" s="1"/>
  <c r="Z198" i="41" s="1"/>
  <c r="AA198" i="41" s="1"/>
  <c r="AD198" i="41" s="1"/>
  <c r="AE198" i="41" s="1"/>
  <c r="AG198" i="41" s="1"/>
  <c r="D199" i="41"/>
  <c r="F199" i="41" s="1"/>
  <c r="G199" i="41" s="1"/>
  <c r="M199" i="41" s="1"/>
  <c r="N199" i="41" s="1"/>
  <c r="T199" i="41" s="1"/>
  <c r="W199" i="41" s="1"/>
  <c r="Z199" i="41" s="1"/>
  <c r="AA199" i="41" s="1"/>
  <c r="AD199" i="41" s="1"/>
  <c r="AE199" i="41" s="1"/>
  <c r="AG199" i="41" s="1"/>
  <c r="D200" i="41"/>
  <c r="F200" i="41" s="1"/>
  <c r="G200" i="41" s="1"/>
  <c r="M200" i="41" s="1"/>
  <c r="N200" i="41" s="1"/>
  <c r="T200" i="41" s="1"/>
  <c r="W200" i="41" s="1"/>
  <c r="Z200" i="41" s="1"/>
  <c r="AA200" i="41" s="1"/>
  <c r="AD200" i="41" s="1"/>
  <c r="AE200" i="41" s="1"/>
  <c r="AG200" i="41" s="1"/>
  <c r="D201" i="41"/>
  <c r="F201" i="41" s="1"/>
  <c r="G201" i="41" s="1"/>
  <c r="M201" i="41" s="1"/>
  <c r="N201" i="41" s="1"/>
  <c r="T201" i="41" s="1"/>
  <c r="W201" i="41" s="1"/>
  <c r="Z201" i="41" s="1"/>
  <c r="AA201" i="41" s="1"/>
  <c r="AD201" i="41" s="1"/>
  <c r="AE201" i="41" s="1"/>
  <c r="AG201" i="41" s="1"/>
  <c r="D202" i="41"/>
  <c r="F202" i="41" s="1"/>
  <c r="G202" i="41" s="1"/>
  <c r="M202" i="41" s="1"/>
  <c r="N202" i="41" s="1"/>
  <c r="T202" i="41" s="1"/>
  <c r="W202" i="41" s="1"/>
  <c r="Z202" i="41" s="1"/>
  <c r="AA202" i="41" s="1"/>
  <c r="AD202" i="41" s="1"/>
  <c r="AE202" i="41" s="1"/>
  <c r="AG202" i="41" s="1"/>
  <c r="D203" i="41"/>
  <c r="F203" i="41" s="1"/>
  <c r="G203" i="41" s="1"/>
  <c r="M203" i="41" s="1"/>
  <c r="N203" i="41" s="1"/>
  <c r="T203" i="41" s="1"/>
  <c r="W203" i="41" s="1"/>
  <c r="Z203" i="41" s="1"/>
  <c r="AA203" i="41" s="1"/>
  <c r="AD203" i="41" s="1"/>
  <c r="AE203" i="41" s="1"/>
  <c r="AG203" i="41" s="1"/>
  <c r="D204" i="41"/>
  <c r="F204" i="41" s="1"/>
  <c r="G204" i="41" s="1"/>
  <c r="M204" i="41" s="1"/>
  <c r="N204" i="41" s="1"/>
  <c r="T204" i="41" s="1"/>
  <c r="W204" i="41" s="1"/>
  <c r="Z204" i="41" s="1"/>
  <c r="AA204" i="41" s="1"/>
  <c r="AD204" i="41" s="1"/>
  <c r="AE204" i="41" s="1"/>
  <c r="AG204" i="41" s="1"/>
  <c r="D205" i="41"/>
  <c r="F205" i="41" s="1"/>
  <c r="G205" i="41" s="1"/>
  <c r="M205" i="41" s="1"/>
  <c r="N205" i="41" s="1"/>
  <c r="T205" i="41" s="1"/>
  <c r="W205" i="41" s="1"/>
  <c r="Z205" i="41" s="1"/>
  <c r="AA205" i="41" s="1"/>
  <c r="AD205" i="41" s="1"/>
  <c r="AE205" i="41" s="1"/>
  <c r="AG205" i="41" s="1"/>
  <c r="D50" i="41"/>
  <c r="F50" i="41" s="1"/>
  <c r="G50" i="41" s="1"/>
  <c r="M50" i="41" s="1"/>
  <c r="N50" i="41" s="1"/>
  <c r="T50" i="41" s="1"/>
  <c r="W50" i="41" s="1"/>
  <c r="Z50" i="41" s="1"/>
  <c r="AA50" i="41" s="1"/>
  <c r="AD50" i="41" s="1"/>
  <c r="AE50" i="41" s="1"/>
  <c r="AG50" i="41" s="1"/>
  <c r="D206" i="41"/>
  <c r="F206" i="41" s="1"/>
  <c r="G206" i="41" s="1"/>
  <c r="M206" i="41" s="1"/>
  <c r="N206" i="41" s="1"/>
  <c r="T206" i="41" s="1"/>
  <c r="W206" i="41" s="1"/>
  <c r="Z206" i="41" s="1"/>
  <c r="AA206" i="41" s="1"/>
  <c r="AD206" i="41" s="1"/>
  <c r="AE206" i="41" s="1"/>
  <c r="AG206" i="41" s="1"/>
  <c r="D207" i="41"/>
  <c r="F207" i="41" s="1"/>
  <c r="G207" i="41" s="1"/>
  <c r="M207" i="41" s="1"/>
  <c r="N207" i="41" s="1"/>
  <c r="T207" i="41" s="1"/>
  <c r="W207" i="41" s="1"/>
  <c r="Z207" i="41" s="1"/>
  <c r="AA207" i="41" s="1"/>
  <c r="AD207" i="41" s="1"/>
  <c r="AE207" i="41" s="1"/>
  <c r="AG207" i="41" s="1"/>
  <c r="D208" i="41"/>
  <c r="F208" i="41" s="1"/>
  <c r="G208" i="41" s="1"/>
  <c r="M208" i="41" s="1"/>
  <c r="N208" i="41" s="1"/>
  <c r="T208" i="41" s="1"/>
  <c r="W208" i="41" s="1"/>
  <c r="Z208" i="41" s="1"/>
  <c r="AA208" i="41" s="1"/>
  <c r="AD208" i="41" s="1"/>
  <c r="AE208" i="41" s="1"/>
  <c r="AG208" i="41" s="1"/>
  <c r="D168" i="41"/>
  <c r="D209" i="41"/>
  <c r="F209" i="41" s="1"/>
  <c r="G209" i="41" s="1"/>
  <c r="M209" i="41" s="1"/>
  <c r="N209" i="41" s="1"/>
  <c r="T209" i="41" s="1"/>
  <c r="W209" i="41" s="1"/>
  <c r="Z209" i="41" s="1"/>
  <c r="AA209" i="41" s="1"/>
  <c r="AD209" i="41" s="1"/>
  <c r="AE209" i="41" s="1"/>
  <c r="AG209" i="41" s="1"/>
  <c r="D44" i="41"/>
  <c r="F44" i="41" s="1"/>
  <c r="G44" i="41" s="1"/>
  <c r="M44" i="41" s="1"/>
  <c r="N44" i="41" s="1"/>
  <c r="T44" i="41" s="1"/>
  <c r="W44" i="41" s="1"/>
  <c r="Z44" i="41" s="1"/>
  <c r="AA44" i="41" s="1"/>
  <c r="AD44" i="41" s="1"/>
  <c r="AE44" i="41" s="1"/>
  <c r="AG44" i="41" s="1"/>
  <c r="D210" i="41"/>
  <c r="F210" i="41" s="1"/>
  <c r="G210" i="41" s="1"/>
  <c r="M210" i="41" s="1"/>
  <c r="N210" i="41" s="1"/>
  <c r="T210" i="41" s="1"/>
  <c r="W210" i="41" s="1"/>
  <c r="Z210" i="41" s="1"/>
  <c r="AA210" i="41" s="1"/>
  <c r="AD210" i="41" s="1"/>
  <c r="AE210" i="41" s="1"/>
  <c r="AG210" i="41" s="1"/>
  <c r="D211" i="41"/>
  <c r="F211" i="41" s="1"/>
  <c r="G211" i="41" s="1"/>
  <c r="M211" i="41" s="1"/>
  <c r="N211" i="41" s="1"/>
  <c r="T211" i="41" s="1"/>
  <c r="W211" i="41" s="1"/>
  <c r="Z211" i="41" s="1"/>
  <c r="AA211" i="41" s="1"/>
  <c r="AD211" i="41" s="1"/>
  <c r="AE211" i="41" s="1"/>
  <c r="AG211" i="41" s="1"/>
  <c r="D212" i="41"/>
  <c r="F212" i="41" s="1"/>
  <c r="G212" i="41" s="1"/>
  <c r="M212" i="41" s="1"/>
  <c r="N212" i="41" s="1"/>
  <c r="T212" i="41" s="1"/>
  <c r="W212" i="41" s="1"/>
  <c r="Z212" i="41" s="1"/>
  <c r="AA212" i="41" s="1"/>
  <c r="AD212" i="41" s="1"/>
  <c r="AE212" i="41" s="1"/>
  <c r="AG212" i="41" s="1"/>
  <c r="D51" i="41"/>
  <c r="F51" i="41" s="1"/>
  <c r="G51" i="41" s="1"/>
  <c r="M51" i="41" s="1"/>
  <c r="N51" i="41" s="1"/>
  <c r="T51" i="41" s="1"/>
  <c r="W51" i="41" s="1"/>
  <c r="Z51" i="41" s="1"/>
  <c r="AA51" i="41" s="1"/>
  <c r="AD51" i="41" s="1"/>
  <c r="AE51" i="41" s="1"/>
  <c r="AG51" i="41" s="1"/>
  <c r="D213" i="41"/>
  <c r="F213" i="41" s="1"/>
  <c r="G213" i="41" s="1"/>
  <c r="M213" i="41" s="1"/>
  <c r="N213" i="41" s="1"/>
  <c r="T213" i="41" s="1"/>
  <c r="W213" i="41" s="1"/>
  <c r="Z213" i="41" s="1"/>
  <c r="AA213" i="41" s="1"/>
  <c r="AD213" i="41" s="1"/>
  <c r="AE213" i="41" s="1"/>
  <c r="AG213" i="41" s="1"/>
  <c r="D214" i="41"/>
  <c r="F214" i="41" s="1"/>
  <c r="G214" i="41" s="1"/>
  <c r="M214" i="41" s="1"/>
  <c r="N214" i="41" s="1"/>
  <c r="T214" i="41" s="1"/>
  <c r="W214" i="41" s="1"/>
  <c r="Z214" i="41" s="1"/>
  <c r="AA214" i="41" s="1"/>
  <c r="AD214" i="41" s="1"/>
  <c r="AE214" i="41" s="1"/>
  <c r="AG214" i="41" s="1"/>
  <c r="D215" i="41"/>
  <c r="F215" i="41" s="1"/>
  <c r="G215" i="41" s="1"/>
  <c r="M215" i="41" s="1"/>
  <c r="N215" i="41" s="1"/>
  <c r="T215" i="41" s="1"/>
  <c r="W215" i="41" s="1"/>
  <c r="Z215" i="41" s="1"/>
  <c r="AA215" i="41" s="1"/>
  <c r="AD215" i="41" s="1"/>
  <c r="AE215" i="41" s="1"/>
  <c r="AG215" i="41" s="1"/>
  <c r="AH215" i="41" s="1"/>
  <c r="AJ215" i="41" s="1"/>
  <c r="AK215" i="41" s="1"/>
  <c r="AQ215" i="41" s="1"/>
  <c r="AR215" i="41" s="1"/>
  <c r="AU215" i="41" s="1"/>
  <c r="D216" i="41"/>
  <c r="F216" i="41" s="1"/>
  <c r="G216" i="41" s="1"/>
  <c r="M216" i="41" s="1"/>
  <c r="N216" i="41" s="1"/>
  <c r="T216" i="41" s="1"/>
  <c r="W216" i="41" s="1"/>
  <c r="Z216" i="41" s="1"/>
  <c r="AA216" i="41" s="1"/>
  <c r="AD216" i="41" s="1"/>
  <c r="AE216" i="41" s="1"/>
  <c r="AG216" i="41" s="1"/>
  <c r="AH216" i="41" s="1"/>
  <c r="AJ216" i="41" s="1"/>
  <c r="AK216" i="41" s="1"/>
  <c r="AQ216" i="41" s="1"/>
  <c r="AR216" i="41" s="1"/>
  <c r="AU216" i="41" s="1"/>
  <c r="D217" i="41"/>
  <c r="F217" i="41" s="1"/>
  <c r="G217" i="41" s="1"/>
  <c r="M217" i="41" s="1"/>
  <c r="N217" i="41" s="1"/>
  <c r="T217" i="41" s="1"/>
  <c r="W217" i="41" s="1"/>
  <c r="Z217" i="41" s="1"/>
  <c r="AA217" i="41" s="1"/>
  <c r="AD217" i="41" s="1"/>
  <c r="AE217" i="41" s="1"/>
  <c r="AG217" i="41" s="1"/>
  <c r="AH217" i="41" s="1"/>
  <c r="AJ217" i="41" s="1"/>
  <c r="AK217" i="41" s="1"/>
  <c r="AQ217" i="41" s="1"/>
  <c r="AR217" i="41" s="1"/>
  <c r="AU217" i="41" s="1"/>
  <c r="D218" i="41"/>
  <c r="F218" i="41" s="1"/>
  <c r="G218" i="41" s="1"/>
  <c r="M218" i="41" s="1"/>
  <c r="N218" i="41" s="1"/>
  <c r="T218" i="41" s="1"/>
  <c r="W218" i="41" s="1"/>
  <c r="Z218" i="41" s="1"/>
  <c r="AA218" i="41" s="1"/>
  <c r="AD218" i="41" s="1"/>
  <c r="AE218" i="41" s="1"/>
  <c r="AG218" i="41" s="1"/>
  <c r="AH218" i="41" s="1"/>
  <c r="AJ218" i="41" s="1"/>
  <c r="AK218" i="41" s="1"/>
  <c r="AQ218" i="41" s="1"/>
  <c r="AR218" i="41" s="1"/>
  <c r="AU218" i="41" s="1"/>
  <c r="D45" i="41"/>
  <c r="F45" i="41" s="1"/>
  <c r="G45" i="41" s="1"/>
  <c r="M45" i="41" s="1"/>
  <c r="N45" i="41" s="1"/>
  <c r="T45" i="41" s="1"/>
  <c r="W45" i="41" s="1"/>
  <c r="Z45" i="41" s="1"/>
  <c r="AA45" i="41" s="1"/>
  <c r="AD45" i="41" s="1"/>
  <c r="AE45" i="41" s="1"/>
  <c r="AG45" i="41" s="1"/>
  <c r="AH45" i="41" s="1"/>
  <c r="AJ45" i="41" s="1"/>
  <c r="AK45" i="41" s="1"/>
  <c r="AQ45" i="41" s="1"/>
  <c r="AR45" i="41" s="1"/>
  <c r="AU45" i="41" s="1"/>
  <c r="D219" i="41"/>
  <c r="F219" i="41" s="1"/>
  <c r="G219" i="41" s="1"/>
  <c r="M219" i="41" s="1"/>
  <c r="N219" i="41" s="1"/>
  <c r="T219" i="41" s="1"/>
  <c r="W219" i="41" s="1"/>
  <c r="Z219" i="41" s="1"/>
  <c r="AA219" i="41" s="1"/>
  <c r="AD219" i="41" s="1"/>
  <c r="AE219" i="41" s="1"/>
  <c r="AG219" i="41" s="1"/>
  <c r="AH219" i="41" s="1"/>
  <c r="AJ219" i="41" s="1"/>
  <c r="AK219" i="41" s="1"/>
  <c r="AQ219" i="41" s="1"/>
  <c r="AR219" i="41" s="1"/>
  <c r="AU219" i="41" s="1"/>
  <c r="D220" i="41"/>
  <c r="F220" i="41" s="1"/>
  <c r="G220" i="41" s="1"/>
  <c r="M220" i="41" s="1"/>
  <c r="N220" i="41" s="1"/>
  <c r="T220" i="41" s="1"/>
  <c r="W220" i="41" s="1"/>
  <c r="Z220" i="41" s="1"/>
  <c r="AA220" i="41" s="1"/>
  <c r="AD220" i="41" s="1"/>
  <c r="AE220" i="41" s="1"/>
  <c r="AG220" i="41" s="1"/>
  <c r="AH220" i="41" s="1"/>
  <c r="AJ220" i="41" s="1"/>
  <c r="AK220" i="41" s="1"/>
  <c r="AQ220" i="41" s="1"/>
  <c r="AR220" i="41" s="1"/>
  <c r="AU220" i="41" s="1"/>
  <c r="D221" i="41"/>
  <c r="F221" i="41" s="1"/>
  <c r="G221" i="41" s="1"/>
  <c r="M221" i="41" s="1"/>
  <c r="N221" i="41" s="1"/>
  <c r="T221" i="41" s="1"/>
  <c r="W221" i="41" s="1"/>
  <c r="Z221" i="41" s="1"/>
  <c r="AA221" i="41" s="1"/>
  <c r="AD221" i="41" s="1"/>
  <c r="AE221" i="41" s="1"/>
  <c r="AG221" i="41" s="1"/>
  <c r="AH221" i="41" s="1"/>
  <c r="AJ221" i="41" s="1"/>
  <c r="AK221" i="41" s="1"/>
  <c r="AQ221" i="41" s="1"/>
  <c r="AR221" i="41" s="1"/>
  <c r="AU221" i="41" s="1"/>
  <c r="D222" i="41"/>
  <c r="F222" i="41" s="1"/>
  <c r="G222" i="41" s="1"/>
  <c r="M222" i="41" s="1"/>
  <c r="N222" i="41" s="1"/>
  <c r="T222" i="41" s="1"/>
  <c r="W222" i="41" s="1"/>
  <c r="Z222" i="41" s="1"/>
  <c r="AA222" i="41" s="1"/>
  <c r="AD222" i="41" s="1"/>
  <c r="AE222" i="41" s="1"/>
  <c r="AG222" i="41" s="1"/>
  <c r="AH222" i="41" s="1"/>
  <c r="AJ222" i="41" s="1"/>
  <c r="AK222" i="41" s="1"/>
  <c r="AQ222" i="41" s="1"/>
  <c r="AR222" i="41" s="1"/>
  <c r="AU222" i="41" s="1"/>
  <c r="D223" i="41"/>
  <c r="F223" i="41" s="1"/>
  <c r="G223" i="41" s="1"/>
  <c r="M223" i="41" s="1"/>
  <c r="N223" i="41" s="1"/>
  <c r="T223" i="41" s="1"/>
  <c r="W223" i="41" s="1"/>
  <c r="Z223" i="41" s="1"/>
  <c r="AA223" i="41" s="1"/>
  <c r="AD223" i="41" s="1"/>
  <c r="AE223" i="41" s="1"/>
  <c r="AG223" i="41" s="1"/>
  <c r="AH223" i="41" s="1"/>
  <c r="AJ223" i="41" s="1"/>
  <c r="AK223" i="41" s="1"/>
  <c r="AQ223" i="41" s="1"/>
  <c r="AR223" i="41" s="1"/>
  <c r="AU223" i="41" s="1"/>
  <c r="D224" i="41"/>
  <c r="F224" i="41" s="1"/>
  <c r="G224" i="41" s="1"/>
  <c r="M224" i="41" s="1"/>
  <c r="N224" i="41" s="1"/>
  <c r="T224" i="41" s="1"/>
  <c r="W224" i="41" s="1"/>
  <c r="Z224" i="41" s="1"/>
  <c r="AA224" i="41" s="1"/>
  <c r="AD224" i="41" s="1"/>
  <c r="AE224" i="41" s="1"/>
  <c r="AG224" i="41" s="1"/>
  <c r="AH224" i="41" s="1"/>
  <c r="AJ224" i="41" s="1"/>
  <c r="AK224" i="41" s="1"/>
  <c r="AQ224" i="41" s="1"/>
  <c r="AR224" i="41" s="1"/>
  <c r="AU224" i="41" s="1"/>
  <c r="D225" i="41"/>
  <c r="F225" i="41" s="1"/>
  <c r="G225" i="41" s="1"/>
  <c r="M225" i="41" s="1"/>
  <c r="N225" i="41" s="1"/>
  <c r="T225" i="41" s="1"/>
  <c r="W225" i="41" s="1"/>
  <c r="Z225" i="41" s="1"/>
  <c r="AA225" i="41" s="1"/>
  <c r="AD225" i="41" s="1"/>
  <c r="AE225" i="41" s="1"/>
  <c r="AG225" i="41" s="1"/>
  <c r="AH225" i="41" s="1"/>
  <c r="AJ225" i="41" s="1"/>
  <c r="AK225" i="41" s="1"/>
  <c r="AQ225" i="41" s="1"/>
  <c r="AR225" i="41" s="1"/>
  <c r="AU225" i="41" s="1"/>
  <c r="D226" i="41"/>
  <c r="F226" i="41" s="1"/>
  <c r="G226" i="41" s="1"/>
  <c r="M226" i="41" s="1"/>
  <c r="N226" i="41" s="1"/>
  <c r="T226" i="41" s="1"/>
  <c r="W226" i="41" s="1"/>
  <c r="Z226" i="41" s="1"/>
  <c r="AA226" i="41" s="1"/>
  <c r="AD226" i="41" s="1"/>
  <c r="AE226" i="41" s="1"/>
  <c r="AG226" i="41" s="1"/>
  <c r="AH226" i="41" s="1"/>
  <c r="AJ226" i="41" s="1"/>
  <c r="AK226" i="41" s="1"/>
  <c r="AQ226" i="41" s="1"/>
  <c r="AR226" i="41" s="1"/>
  <c r="AU226" i="41" s="1"/>
  <c r="D227" i="41"/>
  <c r="F227" i="41" s="1"/>
  <c r="G227" i="41" s="1"/>
  <c r="M227" i="41" s="1"/>
  <c r="N227" i="41" s="1"/>
  <c r="T227" i="41" s="1"/>
  <c r="W227" i="41" s="1"/>
  <c r="Z227" i="41" s="1"/>
  <c r="AA227" i="41" s="1"/>
  <c r="AD227" i="41" s="1"/>
  <c r="AE227" i="41" s="1"/>
  <c r="AG227" i="41" s="1"/>
  <c r="AH227" i="41" s="1"/>
  <c r="AJ227" i="41" s="1"/>
  <c r="AK227" i="41" s="1"/>
  <c r="AQ227" i="41" s="1"/>
  <c r="AR227" i="41" s="1"/>
  <c r="AU227" i="41" s="1"/>
  <c r="D228" i="41"/>
  <c r="F228" i="41" s="1"/>
  <c r="G228" i="41" s="1"/>
  <c r="M228" i="41" s="1"/>
  <c r="N228" i="41" s="1"/>
  <c r="T228" i="41" s="1"/>
  <c r="W228" i="41" s="1"/>
  <c r="Z228" i="41" s="1"/>
  <c r="AA228" i="41" s="1"/>
  <c r="AD228" i="41" s="1"/>
  <c r="AE228" i="41" s="1"/>
  <c r="AG228" i="41" s="1"/>
  <c r="AH228" i="41" s="1"/>
  <c r="AJ228" i="41" s="1"/>
  <c r="AK228" i="41" s="1"/>
  <c r="AQ228" i="41" s="1"/>
  <c r="AR228" i="41" s="1"/>
  <c r="AU228" i="41" s="1"/>
  <c r="D52" i="41"/>
  <c r="F52" i="41" s="1"/>
  <c r="G52" i="41" s="1"/>
  <c r="M52" i="41" s="1"/>
  <c r="N52" i="41" s="1"/>
  <c r="T52" i="41" s="1"/>
  <c r="W52" i="41" s="1"/>
  <c r="Z52" i="41" s="1"/>
  <c r="AA52" i="41" s="1"/>
  <c r="AD52" i="41" s="1"/>
  <c r="AE52" i="41" s="1"/>
  <c r="AG52" i="41" s="1"/>
  <c r="AH52" i="41" s="1"/>
  <c r="AJ52" i="41" s="1"/>
  <c r="AK52" i="41" s="1"/>
  <c r="AQ52" i="41" s="1"/>
  <c r="AR52" i="41" s="1"/>
  <c r="AU52" i="41" s="1"/>
  <c r="D46" i="41"/>
  <c r="F46" i="41" s="1"/>
  <c r="G46" i="41" s="1"/>
  <c r="M46" i="41" s="1"/>
  <c r="N46" i="41" s="1"/>
  <c r="T46" i="41" s="1"/>
  <c r="W46" i="41" s="1"/>
  <c r="Z46" i="41" s="1"/>
  <c r="AA46" i="41" s="1"/>
  <c r="AD46" i="41" s="1"/>
  <c r="AE46" i="41" s="1"/>
  <c r="AG46" i="41" s="1"/>
  <c r="AH46" i="41" s="1"/>
  <c r="AJ46" i="41" s="1"/>
  <c r="AK46" i="41" s="1"/>
  <c r="AQ46" i="41" s="1"/>
  <c r="AR46" i="41" s="1"/>
  <c r="AU46" i="41" s="1"/>
  <c r="F168" i="41" l="1"/>
  <c r="H11" i="61"/>
  <c r="AQ185" i="41"/>
  <c r="AR185" i="41" s="1"/>
  <c r="AW18" i="41"/>
  <c r="AW20" i="41"/>
  <c r="BA227" i="41"/>
  <c r="AW227" i="41" s="1"/>
  <c r="BA219" i="41"/>
  <c r="AW219" i="41" s="1"/>
  <c r="BA51" i="41"/>
  <c r="BA207" i="41"/>
  <c r="BA204" i="41"/>
  <c r="BA200" i="41"/>
  <c r="BA196" i="41"/>
  <c r="BA166" i="41"/>
  <c r="BA164" i="41"/>
  <c r="BA193" i="41"/>
  <c r="BA191" i="41"/>
  <c r="BA160" i="41"/>
  <c r="BA156" i="41"/>
  <c r="BA181" i="41"/>
  <c r="BA184" i="41"/>
  <c r="BA148" i="41"/>
  <c r="BA145" i="41"/>
  <c r="BA142" i="41"/>
  <c r="BA139" i="41"/>
  <c r="BA136" i="41"/>
  <c r="BA43" i="41"/>
  <c r="BA39" i="41"/>
  <c r="BA33" i="41"/>
  <c r="AW33" i="41" s="1"/>
  <c r="BA25" i="41"/>
  <c r="AW25" i="41" s="1"/>
  <c r="BA17" i="41"/>
  <c r="AW17" i="41" s="1"/>
  <c r="BA226" i="41"/>
  <c r="AW226" i="41" s="1"/>
  <c r="BA45" i="41"/>
  <c r="AW45" i="41" s="1"/>
  <c r="BA212" i="41"/>
  <c r="BA206" i="41"/>
  <c r="BA203" i="41"/>
  <c r="BA199" i="41"/>
  <c r="BA195" i="41"/>
  <c r="BA175" i="41"/>
  <c r="BA173" i="41"/>
  <c r="BA161" i="41"/>
  <c r="BA183" i="41"/>
  <c r="BA159" i="41"/>
  <c r="BA169" i="41"/>
  <c r="BA154" i="41"/>
  <c r="BA150" i="41"/>
  <c r="BA147" i="41"/>
  <c r="BA144" i="41"/>
  <c r="BA141" i="41"/>
  <c r="BA138" i="41"/>
  <c r="BA49" i="41"/>
  <c r="BA42" i="41"/>
  <c r="BA37" i="41"/>
  <c r="AW37" i="41" s="1"/>
  <c r="BA32" i="41"/>
  <c r="AW32" i="41" s="1"/>
  <c r="BA24" i="41"/>
  <c r="BA16" i="41"/>
  <c r="AW16" i="41" s="1"/>
  <c r="BA46" i="41"/>
  <c r="AW46" i="41" s="1"/>
  <c r="BA223" i="41"/>
  <c r="AW223" i="41" s="1"/>
  <c r="BA216" i="41"/>
  <c r="AW216" i="41" s="1"/>
  <c r="BA44" i="41"/>
  <c r="BA50" i="41"/>
  <c r="BA202" i="41"/>
  <c r="BA198" i="41"/>
  <c r="BA167" i="41"/>
  <c r="BA165" i="41"/>
  <c r="BA163" i="41"/>
  <c r="BA170" i="41"/>
  <c r="BA190" i="41"/>
  <c r="BA158" i="41"/>
  <c r="BA155" i="41"/>
  <c r="BA153" i="41"/>
  <c r="BA171" i="41"/>
  <c r="BA146" i="41"/>
  <c r="BA188" i="41"/>
  <c r="BA179" i="41"/>
  <c r="BA177" i="41"/>
  <c r="BA48" i="41"/>
  <c r="BA41" i="41"/>
  <c r="AW41" i="41" s="1"/>
  <c r="BA36" i="41"/>
  <c r="BA29" i="41"/>
  <c r="BA21" i="41"/>
  <c r="AW21" i="41" s="1"/>
  <c r="BA52" i="41"/>
  <c r="AW52" i="41" s="1"/>
  <c r="BA222" i="41"/>
  <c r="AW222" i="41" s="1"/>
  <c r="BA215" i="41"/>
  <c r="AW215" i="41" s="1"/>
  <c r="BA209" i="41"/>
  <c r="BA205" i="41"/>
  <c r="BA201" i="41"/>
  <c r="BA197" i="41"/>
  <c r="BA194" i="41"/>
  <c r="BA176" i="41"/>
  <c r="BA162" i="41"/>
  <c r="BA192" i="41"/>
  <c r="BA172" i="41"/>
  <c r="BA157" i="41"/>
  <c r="BA189" i="41"/>
  <c r="BA151" i="41"/>
  <c r="BA149" i="41"/>
  <c r="BA180" i="41"/>
  <c r="BA143" i="41"/>
  <c r="BA140" i="41"/>
  <c r="BA137" i="41"/>
  <c r="BA40" i="41"/>
  <c r="BA35" i="41"/>
  <c r="BA28" i="41"/>
  <c r="BA225" i="41"/>
  <c r="AW225" i="41" s="1"/>
  <c r="BA221" i="41"/>
  <c r="AW221" i="41" s="1"/>
  <c r="BA218" i="41"/>
  <c r="AW218" i="41" s="1"/>
  <c r="BA214" i="41"/>
  <c r="BA211" i="41"/>
  <c r="BA168" i="41"/>
  <c r="BA174" i="41"/>
  <c r="BA31" i="41"/>
  <c r="BA27" i="41"/>
  <c r="AW27" i="41" s="1"/>
  <c r="BA23" i="41"/>
  <c r="AW23" i="41" s="1"/>
  <c r="BA19" i="41"/>
  <c r="AW19" i="41" s="1"/>
  <c r="BA228" i="41"/>
  <c r="AW228" i="41" s="1"/>
  <c r="BA224" i="41"/>
  <c r="AW224" i="41" s="1"/>
  <c r="BA220" i="41"/>
  <c r="AW220" i="41" s="1"/>
  <c r="BA217" i="41"/>
  <c r="AW217" i="41" s="1"/>
  <c r="BA213" i="41"/>
  <c r="BA210" i="41"/>
  <c r="BA208" i="41"/>
  <c r="BA152" i="41"/>
  <c r="BA38" i="41"/>
  <c r="AW38" i="41" s="1"/>
  <c r="BA34" i="41"/>
  <c r="AW34" i="41" s="1"/>
  <c r="BA30" i="41"/>
  <c r="AW30" i="41" s="1"/>
  <c r="BA26" i="41"/>
  <c r="BA22" i="41"/>
  <c r="AW22" i="41" s="1"/>
  <c r="G168" i="41" l="1"/>
  <c r="F13" i="61"/>
  <c r="AU185" i="41"/>
  <c r="AS185" i="41"/>
  <c r="AL45" i="41"/>
  <c r="AV224" i="41"/>
  <c r="AL46" i="41"/>
  <c r="AX16" i="41"/>
  <c r="AX17" i="41"/>
  <c r="AX18" i="41"/>
  <c r="AX19" i="41"/>
  <c r="AX20" i="41"/>
  <c r="AX21" i="41"/>
  <c r="AX22" i="41"/>
  <c r="AX23" i="41"/>
  <c r="AX25" i="41"/>
  <c r="AX27" i="41"/>
  <c r="AX30" i="41"/>
  <c r="AX32" i="41"/>
  <c r="AX33" i="41"/>
  <c r="AX34" i="41"/>
  <c r="AX37" i="41"/>
  <c r="AX38" i="41"/>
  <c r="AX41" i="41"/>
  <c r="AX215" i="41"/>
  <c r="AX218" i="41"/>
  <c r="AX220" i="41"/>
  <c r="AX223" i="41"/>
  <c r="AX226" i="41"/>
  <c r="AX52" i="41"/>
  <c r="AV16" i="41"/>
  <c r="AV17" i="41"/>
  <c r="AV18" i="41"/>
  <c r="AV19" i="41"/>
  <c r="AV20" i="41"/>
  <c r="AV21" i="41"/>
  <c r="AV22" i="41"/>
  <c r="AV23" i="41"/>
  <c r="AV25" i="41"/>
  <c r="AV27" i="41"/>
  <c r="AV30" i="41"/>
  <c r="AV32" i="41"/>
  <c r="AV33" i="41"/>
  <c r="AV34" i="41"/>
  <c r="AV37" i="41"/>
  <c r="AV38" i="41"/>
  <c r="AV41" i="41"/>
  <c r="AV215" i="41"/>
  <c r="AV218" i="41"/>
  <c r="AV220" i="41"/>
  <c r="AV223" i="41"/>
  <c r="AV226" i="41"/>
  <c r="AV52" i="41"/>
  <c r="AS16" i="41"/>
  <c r="AS17" i="41"/>
  <c r="AS18" i="41"/>
  <c r="AS19" i="41"/>
  <c r="AS20" i="41"/>
  <c r="AS21" i="41"/>
  <c r="AS22" i="41"/>
  <c r="AS23" i="41"/>
  <c r="AS25" i="41"/>
  <c r="AS27" i="41"/>
  <c r="AS30" i="41"/>
  <c r="AS32" i="41"/>
  <c r="AS33" i="41"/>
  <c r="AS34" i="41"/>
  <c r="AS37" i="41"/>
  <c r="AS38" i="41"/>
  <c r="AS41" i="41"/>
  <c r="AS215" i="41"/>
  <c r="AS218" i="41"/>
  <c r="AS220" i="41"/>
  <c r="AS223" i="41"/>
  <c r="AS226" i="41"/>
  <c r="AS52" i="41"/>
  <c r="AL16" i="41"/>
  <c r="AL17" i="41"/>
  <c r="AL18" i="41"/>
  <c r="AL19" i="41"/>
  <c r="AL20" i="41"/>
  <c r="AL21" i="41"/>
  <c r="AL22" i="41"/>
  <c r="AL23" i="41"/>
  <c r="AL25" i="41"/>
  <c r="AL27" i="41"/>
  <c r="AL30" i="41"/>
  <c r="AL32" i="41"/>
  <c r="AL33" i="41"/>
  <c r="AL34" i="41"/>
  <c r="AL37" i="41"/>
  <c r="AL38" i="41"/>
  <c r="AL41" i="41"/>
  <c r="AL215" i="41"/>
  <c r="AL218" i="41"/>
  <c r="AL220" i="41"/>
  <c r="AL223" i="41"/>
  <c r="AL226" i="41"/>
  <c r="AL52" i="41"/>
  <c r="AI16" i="41"/>
  <c r="AI17" i="41"/>
  <c r="AI18" i="41"/>
  <c r="AI19" i="41"/>
  <c r="AI20" i="41"/>
  <c r="AI21" i="41"/>
  <c r="AI22" i="41"/>
  <c r="AI23" i="41"/>
  <c r="AI25" i="41"/>
  <c r="AI27" i="41"/>
  <c r="AI30" i="41"/>
  <c r="AI32" i="41"/>
  <c r="AI33" i="41"/>
  <c r="AI34" i="41"/>
  <c r="AI37" i="41"/>
  <c r="AI38" i="41"/>
  <c r="AI41" i="41"/>
  <c r="AI215" i="41"/>
  <c r="AI218" i="41"/>
  <c r="AI220" i="41"/>
  <c r="AI223" i="41"/>
  <c r="AI226" i="41"/>
  <c r="AI52" i="41"/>
  <c r="AF16" i="41"/>
  <c r="AF17" i="41"/>
  <c r="AF18" i="41"/>
  <c r="AF19" i="41"/>
  <c r="AF20" i="41"/>
  <c r="AF21" i="41"/>
  <c r="AF22" i="41"/>
  <c r="AF23" i="41"/>
  <c r="AF25" i="41"/>
  <c r="AF27" i="41"/>
  <c r="AF30" i="41"/>
  <c r="AF32" i="41"/>
  <c r="AF33" i="41"/>
  <c r="AF34" i="41"/>
  <c r="AF37" i="41"/>
  <c r="AF38" i="41"/>
  <c r="AF41" i="41"/>
  <c r="AF215" i="41"/>
  <c r="AF218" i="41"/>
  <c r="AF220" i="41"/>
  <c r="AF223" i="41"/>
  <c r="AF226" i="41"/>
  <c r="AF52" i="41"/>
  <c r="AB16" i="41"/>
  <c r="AB17" i="41"/>
  <c r="AB18" i="41"/>
  <c r="AB19" i="41"/>
  <c r="AB20" i="41"/>
  <c r="AB21" i="41"/>
  <c r="AB22" i="41"/>
  <c r="AB23" i="41"/>
  <c r="AB25" i="41"/>
  <c r="AB27" i="41"/>
  <c r="AB30" i="41"/>
  <c r="AB32" i="41"/>
  <c r="AB33" i="41"/>
  <c r="AB34" i="41"/>
  <c r="AB37" i="41"/>
  <c r="AB38" i="41"/>
  <c r="AB41" i="41"/>
  <c r="AB215" i="41"/>
  <c r="AB218" i="41"/>
  <c r="AB220" i="41"/>
  <c r="AB223" i="41"/>
  <c r="AB226" i="41"/>
  <c r="AB52" i="41"/>
  <c r="X16" i="41"/>
  <c r="X17" i="41"/>
  <c r="X18" i="41"/>
  <c r="X19" i="41"/>
  <c r="X20" i="41"/>
  <c r="X21" i="41"/>
  <c r="X22" i="41"/>
  <c r="X23" i="41"/>
  <c r="X25" i="41"/>
  <c r="X27" i="41"/>
  <c r="X30" i="41"/>
  <c r="X32" i="41"/>
  <c r="X33" i="41"/>
  <c r="X34" i="41"/>
  <c r="X37" i="41"/>
  <c r="X38" i="41"/>
  <c r="X41" i="41"/>
  <c r="X215" i="41"/>
  <c r="X218" i="41"/>
  <c r="X220" i="41"/>
  <c r="X223" i="41"/>
  <c r="X226" i="41"/>
  <c r="X52" i="41"/>
  <c r="U16" i="41"/>
  <c r="U17" i="41"/>
  <c r="U18" i="41"/>
  <c r="U19" i="41"/>
  <c r="U20" i="41"/>
  <c r="U21" i="41"/>
  <c r="U22" i="41"/>
  <c r="U23" i="41"/>
  <c r="U25" i="41"/>
  <c r="U27" i="41"/>
  <c r="U30" i="41"/>
  <c r="U32" i="41"/>
  <c r="U33" i="41"/>
  <c r="U34" i="41"/>
  <c r="U37" i="41"/>
  <c r="U38" i="41"/>
  <c r="U41" i="41"/>
  <c r="U215" i="41"/>
  <c r="U218" i="41"/>
  <c r="U220" i="41"/>
  <c r="U223" i="41"/>
  <c r="U226" i="41"/>
  <c r="U52" i="41"/>
  <c r="O16" i="41"/>
  <c r="O17" i="41"/>
  <c r="O18" i="41"/>
  <c r="O19" i="41"/>
  <c r="O20" i="41"/>
  <c r="O21" i="41"/>
  <c r="O22" i="41"/>
  <c r="O23" i="41"/>
  <c r="O25" i="41"/>
  <c r="O27" i="41"/>
  <c r="O30" i="41"/>
  <c r="O32" i="41"/>
  <c r="O33" i="41"/>
  <c r="O34" i="41"/>
  <c r="O37" i="41"/>
  <c r="O38" i="41"/>
  <c r="O41" i="41"/>
  <c r="O215" i="41"/>
  <c r="O218" i="41"/>
  <c r="O220" i="41"/>
  <c r="O223" i="41"/>
  <c r="O226" i="41"/>
  <c r="O52" i="41"/>
  <c r="H16" i="41"/>
  <c r="H17" i="41"/>
  <c r="H18" i="41"/>
  <c r="H19" i="41"/>
  <c r="H20" i="41"/>
  <c r="H21" i="41"/>
  <c r="H22" i="41"/>
  <c r="H23" i="41"/>
  <c r="H25" i="41"/>
  <c r="H27" i="41"/>
  <c r="H30" i="41"/>
  <c r="H32" i="41"/>
  <c r="H33" i="41"/>
  <c r="H34" i="41"/>
  <c r="H37" i="41"/>
  <c r="H38" i="41"/>
  <c r="H41" i="41"/>
  <c r="H215" i="41"/>
  <c r="H218" i="41"/>
  <c r="H220" i="41"/>
  <c r="H223" i="41"/>
  <c r="H226" i="41"/>
  <c r="H52" i="41"/>
  <c r="BJ47" i="41"/>
  <c r="AH47" i="41" s="1"/>
  <c r="AJ47" i="41" s="1"/>
  <c r="AK47" i="41" s="1"/>
  <c r="AQ47" i="41" s="1"/>
  <c r="AR47" i="41" s="1"/>
  <c r="AU47" i="41" s="1"/>
  <c r="AW47" i="41" s="1"/>
  <c r="H47" i="41"/>
  <c r="A14" i="41"/>
  <c r="M168" i="41" l="1"/>
  <c r="H13" i="61"/>
  <c r="H185" i="41"/>
  <c r="O185" i="41"/>
  <c r="U185" i="41"/>
  <c r="X185" i="41"/>
  <c r="AB185" i="41"/>
  <c r="AF185" i="41"/>
  <c r="AI185" i="41"/>
  <c r="AL185" i="41"/>
  <c r="AV185" i="41"/>
  <c r="AW185" i="41"/>
  <c r="AX185" i="41" s="1"/>
  <c r="BI185" i="41" s="1"/>
  <c r="AF221" i="41"/>
  <c r="AI221" i="41"/>
  <c r="AL221" i="41"/>
  <c r="AS221" i="41"/>
  <c r="AV221" i="41"/>
  <c r="AX221" i="41"/>
  <c r="AB216" i="41"/>
  <c r="AF227" i="41"/>
  <c r="H221" i="41"/>
  <c r="O221" i="41"/>
  <c r="U221" i="41"/>
  <c r="X221" i="41"/>
  <c r="AB221" i="41"/>
  <c r="O45" i="41"/>
  <c r="AS216" i="41"/>
  <c r="AV45" i="41"/>
  <c r="U227" i="41"/>
  <c r="U45" i="41"/>
  <c r="AF216" i="41"/>
  <c r="AL227" i="41"/>
  <c r="AV216" i="41"/>
  <c r="AX227" i="41"/>
  <c r="AX219" i="41"/>
  <c r="AX45" i="41"/>
  <c r="H216" i="41"/>
  <c r="O216" i="41"/>
  <c r="AI46" i="41"/>
  <c r="AL216" i="41"/>
  <c r="X216" i="41"/>
  <c r="AV46" i="41"/>
  <c r="U46" i="41"/>
  <c r="AF45" i="41"/>
  <c r="AI227" i="41"/>
  <c r="AX46" i="41"/>
  <c r="O46" i="41"/>
  <c r="O227" i="41"/>
  <c r="X227" i="41"/>
  <c r="AF46" i="41"/>
  <c r="AI45" i="41"/>
  <c r="AV227" i="41"/>
  <c r="H227" i="41"/>
  <c r="AB227" i="41"/>
  <c r="AS227" i="41"/>
  <c r="H224" i="41"/>
  <c r="U216" i="41"/>
  <c r="X224" i="41"/>
  <c r="AB224" i="41"/>
  <c r="AI216" i="41"/>
  <c r="AL224" i="41"/>
  <c r="AS224" i="41"/>
  <c r="AX216" i="41"/>
  <c r="AX225" i="41"/>
  <c r="AL222" i="41"/>
  <c r="X222" i="41"/>
  <c r="AS222" i="41"/>
  <c r="AB222" i="41"/>
  <c r="H222" i="41"/>
  <c r="AV222" i="41"/>
  <c r="AF222" i="41"/>
  <c r="U222" i="41"/>
  <c r="O222" i="41"/>
  <c r="AX222" i="41"/>
  <c r="AI222" i="41"/>
  <c r="AV228" i="41"/>
  <c r="AF228" i="41"/>
  <c r="O228" i="41"/>
  <c r="AX228" i="41"/>
  <c r="AI228" i="41"/>
  <c r="U228" i="41"/>
  <c r="AL228" i="41"/>
  <c r="H228" i="41"/>
  <c r="X228" i="41"/>
  <c r="AS228" i="41"/>
  <c r="AB228" i="41"/>
  <c r="AV217" i="41"/>
  <c r="AF217" i="41"/>
  <c r="O217" i="41"/>
  <c r="AI217" i="41"/>
  <c r="U217" i="41"/>
  <c r="AS217" i="41"/>
  <c r="AB217" i="41"/>
  <c r="AX217" i="41"/>
  <c r="AL217" i="41"/>
  <c r="X217" i="41"/>
  <c r="H217" i="41"/>
  <c r="H46" i="41"/>
  <c r="H45" i="41"/>
  <c r="U224" i="41"/>
  <c r="AB46" i="41"/>
  <c r="AB45" i="41"/>
  <c r="AI224" i="41"/>
  <c r="AS46" i="41"/>
  <c r="AS45" i="41"/>
  <c r="AX224" i="41"/>
  <c r="O224" i="41"/>
  <c r="X46" i="41"/>
  <c r="X45" i="41"/>
  <c r="AF224" i="41"/>
  <c r="O47" i="41"/>
  <c r="AJ219" i="44"/>
  <c r="Q219" i="44"/>
  <c r="P219" i="44"/>
  <c r="O219" i="44"/>
  <c r="N219" i="44"/>
  <c r="M219" i="44"/>
  <c r="L219" i="44"/>
  <c r="K219" i="44"/>
  <c r="J219" i="44"/>
  <c r="I219" i="44"/>
  <c r="H219" i="44"/>
  <c r="G219" i="44"/>
  <c r="F219" i="44"/>
  <c r="E219" i="44"/>
  <c r="D219" i="44"/>
  <c r="C219" i="44"/>
  <c r="A219" i="44"/>
  <c r="AJ218" i="44"/>
  <c r="Q218" i="44"/>
  <c r="P218" i="44"/>
  <c r="O218" i="44"/>
  <c r="N218" i="44"/>
  <c r="M218" i="44"/>
  <c r="L218" i="44"/>
  <c r="K218" i="44"/>
  <c r="J218" i="44"/>
  <c r="I218" i="44"/>
  <c r="H218" i="44"/>
  <c r="G218" i="44"/>
  <c r="F218" i="44"/>
  <c r="E218" i="44"/>
  <c r="D218" i="44"/>
  <c r="C218" i="44"/>
  <c r="A218" i="44"/>
  <c r="AJ217" i="44"/>
  <c r="Q217" i="44"/>
  <c r="P217" i="44"/>
  <c r="O217" i="44"/>
  <c r="N217" i="44"/>
  <c r="M217" i="44"/>
  <c r="L217" i="44"/>
  <c r="K217" i="44"/>
  <c r="J217" i="44"/>
  <c r="I217" i="44"/>
  <c r="H217" i="44"/>
  <c r="G217" i="44"/>
  <c r="F217" i="44"/>
  <c r="E217" i="44"/>
  <c r="D217" i="44"/>
  <c r="C217" i="44"/>
  <c r="A217" i="44"/>
  <c r="AJ216" i="44"/>
  <c r="Q216" i="44"/>
  <c r="P216" i="44"/>
  <c r="O216" i="44"/>
  <c r="N216" i="44"/>
  <c r="M216" i="44"/>
  <c r="L216" i="44"/>
  <c r="K216" i="44"/>
  <c r="J216" i="44"/>
  <c r="I216" i="44"/>
  <c r="H216" i="44"/>
  <c r="G216" i="44"/>
  <c r="F216" i="44"/>
  <c r="E216" i="44"/>
  <c r="D216" i="44"/>
  <c r="C216" i="44"/>
  <c r="A216" i="44"/>
  <c r="AJ215" i="44"/>
  <c r="Q215" i="44"/>
  <c r="P215" i="44"/>
  <c r="O215" i="44"/>
  <c r="N215" i="44"/>
  <c r="M215" i="44"/>
  <c r="L215" i="44"/>
  <c r="K215" i="44"/>
  <c r="J215" i="44"/>
  <c r="I215" i="44"/>
  <c r="H215" i="44"/>
  <c r="G215" i="44"/>
  <c r="F215" i="44"/>
  <c r="E215" i="44"/>
  <c r="D215" i="44"/>
  <c r="C215" i="44"/>
  <c r="A215" i="44"/>
  <c r="AJ214" i="44"/>
  <c r="Q214" i="44"/>
  <c r="P214" i="44"/>
  <c r="O214" i="44"/>
  <c r="N214" i="44"/>
  <c r="M214" i="44"/>
  <c r="L214" i="44"/>
  <c r="K214" i="44"/>
  <c r="J214" i="44"/>
  <c r="I214" i="44"/>
  <c r="H214" i="44"/>
  <c r="G214" i="44"/>
  <c r="F214" i="44"/>
  <c r="E214" i="44"/>
  <c r="D214" i="44"/>
  <c r="C214" i="44"/>
  <c r="A214" i="44"/>
  <c r="AJ213" i="44"/>
  <c r="Q213" i="44"/>
  <c r="P213" i="44"/>
  <c r="O213" i="44"/>
  <c r="N213" i="44"/>
  <c r="M213" i="44"/>
  <c r="L213" i="44"/>
  <c r="K213" i="44"/>
  <c r="J213" i="44"/>
  <c r="I213" i="44"/>
  <c r="H213" i="44"/>
  <c r="G213" i="44"/>
  <c r="F213" i="44"/>
  <c r="E213" i="44"/>
  <c r="D213" i="44"/>
  <c r="C213" i="44"/>
  <c r="A213" i="44"/>
  <c r="AJ212" i="44"/>
  <c r="Q212" i="44"/>
  <c r="P212" i="44"/>
  <c r="O212" i="44"/>
  <c r="N212" i="44"/>
  <c r="M212" i="44"/>
  <c r="L212" i="44"/>
  <c r="K212" i="44"/>
  <c r="J212" i="44"/>
  <c r="I212" i="44"/>
  <c r="H212" i="44"/>
  <c r="G212" i="44"/>
  <c r="F212" i="44"/>
  <c r="E212" i="44"/>
  <c r="D212" i="44"/>
  <c r="C212" i="44"/>
  <c r="A212" i="44"/>
  <c r="AJ211" i="44"/>
  <c r="Q211" i="44"/>
  <c r="P211" i="44"/>
  <c r="O211" i="44"/>
  <c r="N211" i="44"/>
  <c r="M211" i="44"/>
  <c r="L211" i="44"/>
  <c r="K211" i="44"/>
  <c r="J211" i="44"/>
  <c r="I211" i="44"/>
  <c r="H211" i="44"/>
  <c r="G211" i="44"/>
  <c r="F211" i="44"/>
  <c r="E211" i="44"/>
  <c r="D211" i="44"/>
  <c r="C211" i="44"/>
  <c r="A211" i="44"/>
  <c r="AJ210" i="44"/>
  <c r="Q210" i="44"/>
  <c r="P210" i="44"/>
  <c r="O210" i="44"/>
  <c r="N210" i="44"/>
  <c r="M210" i="44"/>
  <c r="L210" i="44"/>
  <c r="K210" i="44"/>
  <c r="J210" i="44"/>
  <c r="I210" i="44"/>
  <c r="H210" i="44"/>
  <c r="G210" i="44"/>
  <c r="F210" i="44"/>
  <c r="E210" i="44"/>
  <c r="D210" i="44"/>
  <c r="C210" i="44"/>
  <c r="A210" i="44"/>
  <c r="AJ209" i="44"/>
  <c r="Q209" i="44"/>
  <c r="P209" i="44"/>
  <c r="O209" i="44"/>
  <c r="N209" i="44"/>
  <c r="M209" i="44"/>
  <c r="L209" i="44"/>
  <c r="K209" i="44"/>
  <c r="J209" i="44"/>
  <c r="I209" i="44"/>
  <c r="H209" i="44"/>
  <c r="G209" i="44"/>
  <c r="F209" i="44"/>
  <c r="E209" i="44"/>
  <c r="D209" i="44"/>
  <c r="C209" i="44"/>
  <c r="A209" i="44"/>
  <c r="AJ208" i="44"/>
  <c r="Q208" i="44"/>
  <c r="P208" i="44"/>
  <c r="O208" i="44"/>
  <c r="N208" i="44"/>
  <c r="M208" i="44"/>
  <c r="L208" i="44"/>
  <c r="K208" i="44"/>
  <c r="J208" i="44"/>
  <c r="I208" i="44"/>
  <c r="H208" i="44"/>
  <c r="G208" i="44"/>
  <c r="F208" i="44"/>
  <c r="E208" i="44"/>
  <c r="D208" i="44"/>
  <c r="C208" i="44"/>
  <c r="A208" i="44"/>
  <c r="AJ207" i="44"/>
  <c r="Q207" i="44"/>
  <c r="P207" i="44"/>
  <c r="O207" i="44"/>
  <c r="N207" i="44"/>
  <c r="M207" i="44"/>
  <c r="L207" i="44"/>
  <c r="K207" i="44"/>
  <c r="J207" i="44"/>
  <c r="I207" i="44"/>
  <c r="H207" i="44"/>
  <c r="G207" i="44"/>
  <c r="F207" i="44"/>
  <c r="E207" i="44"/>
  <c r="D207" i="44"/>
  <c r="C207" i="44"/>
  <c r="A207" i="44"/>
  <c r="AJ206" i="44"/>
  <c r="Q206" i="44"/>
  <c r="P206" i="44"/>
  <c r="O206" i="44"/>
  <c r="N206" i="44"/>
  <c r="M206" i="44"/>
  <c r="L206" i="44"/>
  <c r="K206" i="44"/>
  <c r="J206" i="44"/>
  <c r="I206" i="44"/>
  <c r="H206" i="44"/>
  <c r="G206" i="44"/>
  <c r="F206" i="44"/>
  <c r="E206" i="44"/>
  <c r="D206" i="44"/>
  <c r="C206" i="44"/>
  <c r="A206" i="44"/>
  <c r="AJ205" i="44"/>
  <c r="Q205" i="44"/>
  <c r="P205" i="44"/>
  <c r="O205" i="44"/>
  <c r="N205" i="44"/>
  <c r="M205" i="44"/>
  <c r="L205" i="44"/>
  <c r="K205" i="44"/>
  <c r="J205" i="44"/>
  <c r="I205" i="44"/>
  <c r="H205" i="44"/>
  <c r="G205" i="44"/>
  <c r="F205" i="44"/>
  <c r="E205" i="44"/>
  <c r="D205" i="44"/>
  <c r="C205" i="44"/>
  <c r="A205" i="44"/>
  <c r="AJ204" i="44"/>
  <c r="Q204" i="44"/>
  <c r="P204" i="44"/>
  <c r="O204" i="44"/>
  <c r="N204" i="44"/>
  <c r="M204" i="44"/>
  <c r="L204" i="44"/>
  <c r="K204" i="44"/>
  <c r="J204" i="44"/>
  <c r="I204" i="44"/>
  <c r="H204" i="44"/>
  <c r="G204" i="44"/>
  <c r="F204" i="44"/>
  <c r="E204" i="44"/>
  <c r="D204" i="44"/>
  <c r="C204" i="44"/>
  <c r="A204" i="44"/>
  <c r="AJ203" i="44"/>
  <c r="Q203" i="44"/>
  <c r="P203" i="44"/>
  <c r="O203" i="44"/>
  <c r="N203" i="44"/>
  <c r="M203" i="44"/>
  <c r="L203" i="44"/>
  <c r="K203" i="44"/>
  <c r="J203" i="44"/>
  <c r="I203" i="44"/>
  <c r="H203" i="44"/>
  <c r="G203" i="44"/>
  <c r="F203" i="44"/>
  <c r="E203" i="44"/>
  <c r="D203" i="44"/>
  <c r="C203" i="44"/>
  <c r="A203" i="44"/>
  <c r="Q202" i="44"/>
  <c r="P202" i="44"/>
  <c r="O202" i="44"/>
  <c r="N202" i="44"/>
  <c r="M202" i="44"/>
  <c r="L202" i="44"/>
  <c r="K202" i="44"/>
  <c r="J202" i="44"/>
  <c r="I202" i="44"/>
  <c r="H202" i="44"/>
  <c r="G202" i="44"/>
  <c r="F202" i="44"/>
  <c r="E202" i="44"/>
  <c r="D202" i="44"/>
  <c r="C202" i="44"/>
  <c r="A202" i="44"/>
  <c r="AJ201" i="44"/>
  <c r="Q201" i="44"/>
  <c r="P201" i="44"/>
  <c r="O201" i="44"/>
  <c r="N201" i="44"/>
  <c r="M201" i="44"/>
  <c r="L201" i="44"/>
  <c r="K201" i="44"/>
  <c r="J201" i="44"/>
  <c r="I201" i="44"/>
  <c r="H201" i="44"/>
  <c r="G201" i="44"/>
  <c r="F201" i="44"/>
  <c r="E201" i="44"/>
  <c r="D201" i="44"/>
  <c r="C201" i="44"/>
  <c r="A201" i="44"/>
  <c r="AJ200" i="44"/>
  <c r="Q200" i="44"/>
  <c r="P200" i="44"/>
  <c r="O200" i="44"/>
  <c r="N200" i="44"/>
  <c r="M200" i="44"/>
  <c r="L200" i="44"/>
  <c r="K200" i="44"/>
  <c r="J200" i="44"/>
  <c r="I200" i="44"/>
  <c r="H200" i="44"/>
  <c r="G200" i="44"/>
  <c r="F200" i="44"/>
  <c r="E200" i="44"/>
  <c r="D200" i="44"/>
  <c r="C200" i="44"/>
  <c r="A200" i="44"/>
  <c r="AJ199" i="44"/>
  <c r="Q199" i="44"/>
  <c r="P199" i="44"/>
  <c r="O199" i="44"/>
  <c r="N199" i="44"/>
  <c r="M199" i="44"/>
  <c r="L199" i="44"/>
  <c r="K199" i="44"/>
  <c r="J199" i="44"/>
  <c r="I199" i="44"/>
  <c r="H199" i="44"/>
  <c r="G199" i="44"/>
  <c r="F199" i="44"/>
  <c r="E199" i="44"/>
  <c r="D199" i="44"/>
  <c r="C199" i="44"/>
  <c r="A199" i="44"/>
  <c r="AJ198" i="44"/>
  <c r="Q198" i="44"/>
  <c r="P198" i="44"/>
  <c r="O198" i="44"/>
  <c r="N198" i="44"/>
  <c r="M198" i="44"/>
  <c r="L198" i="44"/>
  <c r="K198" i="44"/>
  <c r="J198" i="44"/>
  <c r="I198" i="44"/>
  <c r="H198" i="44"/>
  <c r="G198" i="44"/>
  <c r="F198" i="44"/>
  <c r="E198" i="44"/>
  <c r="D198" i="44"/>
  <c r="C198" i="44"/>
  <c r="A198" i="44"/>
  <c r="AJ197" i="44"/>
  <c r="Q197" i="44"/>
  <c r="P197" i="44"/>
  <c r="O197" i="44"/>
  <c r="N197" i="44"/>
  <c r="M197" i="44"/>
  <c r="L197" i="44"/>
  <c r="K197" i="44"/>
  <c r="J197" i="44"/>
  <c r="I197" i="44"/>
  <c r="H197" i="44"/>
  <c r="G197" i="44"/>
  <c r="F197" i="44"/>
  <c r="E197" i="44"/>
  <c r="D197" i="44"/>
  <c r="C197" i="44"/>
  <c r="A197" i="44"/>
  <c r="AJ196" i="44"/>
  <c r="Q196" i="44"/>
  <c r="P196" i="44"/>
  <c r="O196" i="44"/>
  <c r="N196" i="44"/>
  <c r="M196" i="44"/>
  <c r="L196" i="44"/>
  <c r="K196" i="44"/>
  <c r="J196" i="44"/>
  <c r="I196" i="44"/>
  <c r="H196" i="44"/>
  <c r="G196" i="44"/>
  <c r="F196" i="44"/>
  <c r="E196" i="44"/>
  <c r="D196" i="44"/>
  <c r="C196" i="44"/>
  <c r="A196" i="44"/>
  <c r="AJ195" i="44"/>
  <c r="Q195" i="44"/>
  <c r="P195" i="44"/>
  <c r="O195" i="44"/>
  <c r="N195" i="44"/>
  <c r="M195" i="44"/>
  <c r="L195" i="44"/>
  <c r="K195" i="44"/>
  <c r="J195" i="44"/>
  <c r="I195" i="44"/>
  <c r="H195" i="44"/>
  <c r="G195" i="44"/>
  <c r="F195" i="44"/>
  <c r="E195" i="44"/>
  <c r="D195" i="44"/>
  <c r="C195" i="44"/>
  <c r="A195" i="44"/>
  <c r="AJ194" i="44"/>
  <c r="Q194" i="44"/>
  <c r="P194" i="44"/>
  <c r="O194" i="44"/>
  <c r="N194" i="44"/>
  <c r="M194" i="44"/>
  <c r="L194" i="44"/>
  <c r="K194" i="44"/>
  <c r="J194" i="44"/>
  <c r="I194" i="44"/>
  <c r="H194" i="44"/>
  <c r="G194" i="44"/>
  <c r="F194" i="44"/>
  <c r="E194" i="44"/>
  <c r="D194" i="44"/>
  <c r="C194" i="44"/>
  <c r="A194" i="44"/>
  <c r="AJ193" i="44"/>
  <c r="Q193" i="44"/>
  <c r="P193" i="44"/>
  <c r="O193" i="44"/>
  <c r="N193" i="44"/>
  <c r="M193" i="44"/>
  <c r="L193" i="44"/>
  <c r="K193" i="44"/>
  <c r="J193" i="44"/>
  <c r="I193" i="44"/>
  <c r="H193" i="44"/>
  <c r="G193" i="44"/>
  <c r="F193" i="44"/>
  <c r="E193" i="44"/>
  <c r="D193" i="44"/>
  <c r="C193" i="44"/>
  <c r="A193" i="44"/>
  <c r="AJ192" i="44"/>
  <c r="Q192" i="44"/>
  <c r="P192" i="44"/>
  <c r="O192" i="44"/>
  <c r="N192" i="44"/>
  <c r="M192" i="44"/>
  <c r="L192" i="44"/>
  <c r="K192" i="44"/>
  <c r="J192" i="44"/>
  <c r="I192" i="44"/>
  <c r="H192" i="44"/>
  <c r="G192" i="44"/>
  <c r="F192" i="44"/>
  <c r="E192" i="44"/>
  <c r="D192" i="44"/>
  <c r="C192" i="44"/>
  <c r="A192" i="44"/>
  <c r="AJ191" i="44"/>
  <c r="Q191" i="44"/>
  <c r="P191" i="44"/>
  <c r="O191" i="44"/>
  <c r="N191" i="44"/>
  <c r="M191" i="44"/>
  <c r="L191" i="44"/>
  <c r="K191" i="44"/>
  <c r="J191" i="44"/>
  <c r="I191" i="44"/>
  <c r="H191" i="44"/>
  <c r="G191" i="44"/>
  <c r="F191" i="44"/>
  <c r="E191" i="44"/>
  <c r="D191" i="44"/>
  <c r="C191" i="44"/>
  <c r="A191" i="44"/>
  <c r="AJ190" i="44"/>
  <c r="Q190" i="44"/>
  <c r="P190" i="44"/>
  <c r="O190" i="44"/>
  <c r="N190" i="44"/>
  <c r="M190" i="44"/>
  <c r="L190" i="44"/>
  <c r="K190" i="44"/>
  <c r="J190" i="44"/>
  <c r="I190" i="44"/>
  <c r="H190" i="44"/>
  <c r="G190" i="44"/>
  <c r="F190" i="44"/>
  <c r="E190" i="44"/>
  <c r="D190" i="44"/>
  <c r="C190" i="44"/>
  <c r="A190" i="44"/>
  <c r="AJ189" i="44"/>
  <c r="Q189" i="44"/>
  <c r="P189" i="44"/>
  <c r="O189" i="44"/>
  <c r="N189" i="44"/>
  <c r="M189" i="44"/>
  <c r="L189" i="44"/>
  <c r="K189" i="44"/>
  <c r="J189" i="44"/>
  <c r="I189" i="44"/>
  <c r="H189" i="44"/>
  <c r="G189" i="44"/>
  <c r="F189" i="44"/>
  <c r="E189" i="44"/>
  <c r="D189" i="44"/>
  <c r="C189" i="44"/>
  <c r="A189" i="44"/>
  <c r="AJ188" i="44"/>
  <c r="Q188" i="44"/>
  <c r="P188" i="44"/>
  <c r="O188" i="44"/>
  <c r="N188" i="44"/>
  <c r="M188" i="44"/>
  <c r="L188" i="44"/>
  <c r="K188" i="44"/>
  <c r="J188" i="44"/>
  <c r="I188" i="44"/>
  <c r="H188" i="44"/>
  <c r="G188" i="44"/>
  <c r="F188" i="44"/>
  <c r="E188" i="44"/>
  <c r="D188" i="44"/>
  <c r="C188" i="44"/>
  <c r="A188" i="44"/>
  <c r="AJ187" i="44"/>
  <c r="Q187" i="44"/>
  <c r="P187" i="44"/>
  <c r="O187" i="44"/>
  <c r="N187" i="44"/>
  <c r="M187" i="44"/>
  <c r="L187" i="44"/>
  <c r="K187" i="44"/>
  <c r="J187" i="44"/>
  <c r="I187" i="44"/>
  <c r="H187" i="44"/>
  <c r="G187" i="44"/>
  <c r="F187" i="44"/>
  <c r="E187" i="44"/>
  <c r="D187" i="44"/>
  <c r="C187" i="44"/>
  <c r="A187" i="44"/>
  <c r="AJ186" i="44"/>
  <c r="Q186" i="44"/>
  <c r="P186" i="44"/>
  <c r="O186" i="44"/>
  <c r="N186" i="44"/>
  <c r="M186" i="44"/>
  <c r="L186" i="44"/>
  <c r="K186" i="44"/>
  <c r="J186" i="44"/>
  <c r="I186" i="44"/>
  <c r="H186" i="44"/>
  <c r="G186" i="44"/>
  <c r="F186" i="44"/>
  <c r="E186" i="44"/>
  <c r="D186" i="44"/>
  <c r="C186" i="44"/>
  <c r="A186" i="44"/>
  <c r="D4320" i="43"/>
  <c r="D4319" i="43"/>
  <c r="D4318" i="43"/>
  <c r="D4317" i="43"/>
  <c r="D4316" i="43"/>
  <c r="D4315" i="43"/>
  <c r="D4314" i="43"/>
  <c r="D4313" i="43"/>
  <c r="D4312" i="43"/>
  <c r="D4311" i="43"/>
  <c r="D4310" i="43"/>
  <c r="D4309" i="43"/>
  <c r="D4308" i="43"/>
  <c r="D4307" i="43"/>
  <c r="N4306" i="43"/>
  <c r="D4306" i="43"/>
  <c r="D4305" i="43"/>
  <c r="U4304" i="43"/>
  <c r="O4305" i="43" s="1"/>
  <c r="P4305" i="43" s="1"/>
  <c r="U4303" i="43"/>
  <c r="T4301" i="43"/>
  <c r="D4300" i="43"/>
  <c r="D4299" i="43"/>
  <c r="D4298" i="43"/>
  <c r="D4297" i="43"/>
  <c r="D4296" i="43"/>
  <c r="D4295" i="43"/>
  <c r="D4294" i="43"/>
  <c r="D4293" i="43"/>
  <c r="D4292" i="43"/>
  <c r="D4291" i="43"/>
  <c r="D4290" i="43"/>
  <c r="D4289" i="43"/>
  <c r="D4288" i="43"/>
  <c r="D4287" i="43"/>
  <c r="N4286" i="43"/>
  <c r="D4286" i="43"/>
  <c r="D4285" i="43"/>
  <c r="U4284" i="43"/>
  <c r="O4285" i="43" s="1"/>
  <c r="U4283" i="43"/>
  <c r="T4281" i="43"/>
  <c r="D4280" i="43"/>
  <c r="D4279" i="43"/>
  <c r="D4278" i="43"/>
  <c r="D4277" i="43"/>
  <c r="D4276" i="43"/>
  <c r="D4275" i="43"/>
  <c r="D4274" i="43"/>
  <c r="D4273" i="43"/>
  <c r="D4272" i="43"/>
  <c r="D4271" i="43"/>
  <c r="D4270" i="43"/>
  <c r="D4269" i="43"/>
  <c r="D4268" i="43"/>
  <c r="D4267" i="43"/>
  <c r="N4266" i="43"/>
  <c r="D4266" i="43"/>
  <c r="D4265" i="43"/>
  <c r="U4264" i="43"/>
  <c r="O4265" i="43" s="1"/>
  <c r="U4263" i="43"/>
  <c r="T4261" i="43"/>
  <c r="D4260" i="43"/>
  <c r="D4259" i="43"/>
  <c r="D4258" i="43"/>
  <c r="D4257" i="43"/>
  <c r="D4256" i="43"/>
  <c r="D4255" i="43"/>
  <c r="D4254" i="43"/>
  <c r="D4253" i="43"/>
  <c r="D4252" i="43"/>
  <c r="D4251" i="43"/>
  <c r="D4250" i="43"/>
  <c r="D4249" i="43"/>
  <c r="D4248" i="43"/>
  <c r="D4247" i="43"/>
  <c r="N4246" i="43"/>
  <c r="D4246" i="43"/>
  <c r="D4245" i="43"/>
  <c r="U4244" i="43"/>
  <c r="O4245" i="43" s="1"/>
  <c r="U4243" i="43"/>
  <c r="T4241" i="43"/>
  <c r="D4240" i="43"/>
  <c r="D4239" i="43"/>
  <c r="D4238" i="43"/>
  <c r="D4237" i="43"/>
  <c r="D4236" i="43"/>
  <c r="D4235" i="43"/>
  <c r="D4234" i="43"/>
  <c r="D4233" i="43"/>
  <c r="D4232" i="43"/>
  <c r="D4231" i="43"/>
  <c r="D4230" i="43"/>
  <c r="D4229" i="43"/>
  <c r="D4228" i="43"/>
  <c r="D4227" i="43"/>
  <c r="N4226" i="43"/>
  <c r="D4226" i="43"/>
  <c r="D4225" i="43"/>
  <c r="U4224" i="43"/>
  <c r="O4225" i="43" s="1"/>
  <c r="P4225" i="43" s="1"/>
  <c r="U4223" i="43"/>
  <c r="T4221" i="43"/>
  <c r="D4220" i="43"/>
  <c r="D4219" i="43"/>
  <c r="D4218" i="43"/>
  <c r="D4217" i="43"/>
  <c r="D4216" i="43"/>
  <c r="D4215" i="43"/>
  <c r="D4214" i="43"/>
  <c r="D4213" i="43"/>
  <c r="D4212" i="43"/>
  <c r="D4211" i="43"/>
  <c r="D4210" i="43"/>
  <c r="D4209" i="43"/>
  <c r="D4208" i="43"/>
  <c r="D4207" i="43"/>
  <c r="N4206" i="43"/>
  <c r="D4206" i="43"/>
  <c r="D4205" i="43"/>
  <c r="U4204" i="43"/>
  <c r="O4205" i="43" s="1"/>
  <c r="U4203" i="43"/>
  <c r="T4201" i="43"/>
  <c r="D4200" i="43"/>
  <c r="D4199" i="43"/>
  <c r="D4198" i="43"/>
  <c r="D4197" i="43"/>
  <c r="D4196" i="43"/>
  <c r="D4195" i="43"/>
  <c r="D4194" i="43"/>
  <c r="D4193" i="43"/>
  <c r="D4192" i="43"/>
  <c r="D4191" i="43"/>
  <c r="D4190" i="43"/>
  <c r="D4189" i="43"/>
  <c r="D4188" i="43"/>
  <c r="D4187" i="43"/>
  <c r="N4186" i="43"/>
  <c r="D4186" i="43"/>
  <c r="D4185" i="43"/>
  <c r="U4184" i="43"/>
  <c r="O4185" i="43" s="1"/>
  <c r="U4183" i="43"/>
  <c r="T4181" i="43"/>
  <c r="D4180" i="43"/>
  <c r="D4179" i="43"/>
  <c r="D4178" i="43"/>
  <c r="D4177" i="43"/>
  <c r="D4176" i="43"/>
  <c r="D4175" i="43"/>
  <c r="D4174" i="43"/>
  <c r="D4173" i="43"/>
  <c r="D4172" i="43"/>
  <c r="D4171" i="43"/>
  <c r="D4170" i="43"/>
  <c r="D4169" i="43"/>
  <c r="D4168" i="43"/>
  <c r="D4167" i="43"/>
  <c r="N4166" i="43"/>
  <c r="D4166" i="43"/>
  <c r="D4165" i="43"/>
  <c r="U4164" i="43"/>
  <c r="O4165" i="43" s="1"/>
  <c r="U4163" i="43"/>
  <c r="T4161" i="43"/>
  <c r="D4160" i="43"/>
  <c r="D4159" i="43"/>
  <c r="D4158" i="43"/>
  <c r="D4157" i="43"/>
  <c r="D4156" i="43"/>
  <c r="D4155" i="43"/>
  <c r="D4154" i="43"/>
  <c r="D4153" i="43"/>
  <c r="D4152" i="43"/>
  <c r="D4151" i="43"/>
  <c r="D4150" i="43"/>
  <c r="D4149" i="43"/>
  <c r="D4148" i="43"/>
  <c r="D4147" i="43"/>
  <c r="N4146" i="43"/>
  <c r="D4146" i="43"/>
  <c r="D4145" i="43"/>
  <c r="U4144" i="43"/>
  <c r="O4145" i="43" s="1"/>
  <c r="P4145" i="43" s="1"/>
  <c r="U4143" i="43"/>
  <c r="T4141" i="43"/>
  <c r="D4140" i="43"/>
  <c r="D4139" i="43"/>
  <c r="D4138" i="43"/>
  <c r="D4137" i="43"/>
  <c r="D4136" i="43"/>
  <c r="D4135" i="43"/>
  <c r="D4134" i="43"/>
  <c r="D4133" i="43"/>
  <c r="D4132" i="43"/>
  <c r="D4131" i="43"/>
  <c r="D4130" i="43"/>
  <c r="D4129" i="43"/>
  <c r="D4128" i="43"/>
  <c r="D4127" i="43"/>
  <c r="N4126" i="43"/>
  <c r="D4126" i="43"/>
  <c r="D4125" i="43"/>
  <c r="U4124" i="43"/>
  <c r="O4125" i="43" s="1"/>
  <c r="U4123" i="43"/>
  <c r="T4121" i="43"/>
  <c r="D4120" i="43"/>
  <c r="D4119" i="43"/>
  <c r="D4118" i="43"/>
  <c r="D4117" i="43"/>
  <c r="D4116" i="43"/>
  <c r="D4115" i="43"/>
  <c r="D4114" i="43"/>
  <c r="D4113" i="43"/>
  <c r="D4112" i="43"/>
  <c r="D4111" i="43"/>
  <c r="D4110" i="43"/>
  <c r="D4109" i="43"/>
  <c r="D4108" i="43"/>
  <c r="D4107" i="43"/>
  <c r="N4106" i="43"/>
  <c r="D4106" i="43"/>
  <c r="D4105" i="43"/>
  <c r="U4104" i="43"/>
  <c r="O4105" i="43" s="1"/>
  <c r="U4103" i="43"/>
  <c r="T4101" i="43"/>
  <c r="D4100" i="43"/>
  <c r="D4099" i="43"/>
  <c r="D4098" i="43"/>
  <c r="D4097" i="43"/>
  <c r="D4096" i="43"/>
  <c r="D4095" i="43"/>
  <c r="D4094" i="43"/>
  <c r="D4093" i="43"/>
  <c r="D4092" i="43"/>
  <c r="D4091" i="43"/>
  <c r="D4090" i="43"/>
  <c r="D4089" i="43"/>
  <c r="D4088" i="43"/>
  <c r="D4087" i="43"/>
  <c r="N4086" i="43"/>
  <c r="D4086" i="43"/>
  <c r="D4085" i="43"/>
  <c r="U4084" i="43"/>
  <c r="O4085" i="43" s="1"/>
  <c r="U4083" i="43"/>
  <c r="T4081" i="43"/>
  <c r="D4080" i="43"/>
  <c r="D4079" i="43"/>
  <c r="D4078" i="43"/>
  <c r="D4077" i="43"/>
  <c r="D4076" i="43"/>
  <c r="D4075" i="43"/>
  <c r="D4074" i="43"/>
  <c r="D4073" i="43"/>
  <c r="D4072" i="43"/>
  <c r="D4071" i="43"/>
  <c r="D4070" i="43"/>
  <c r="D4069" i="43"/>
  <c r="D4068" i="43"/>
  <c r="N4067" i="43"/>
  <c r="D4067" i="43"/>
  <c r="N4066" i="43"/>
  <c r="D4066" i="43"/>
  <c r="D4065" i="43"/>
  <c r="U4064" i="43"/>
  <c r="O4065" i="43" s="1"/>
  <c r="U4063" i="43"/>
  <c r="T4061" i="43"/>
  <c r="D4060" i="43"/>
  <c r="D4059" i="43"/>
  <c r="D4058" i="43"/>
  <c r="D4057" i="43"/>
  <c r="D4056" i="43"/>
  <c r="D4055" i="43"/>
  <c r="D4054" i="43"/>
  <c r="D4053" i="43"/>
  <c r="D4052" i="43"/>
  <c r="D4051" i="43"/>
  <c r="D4050" i="43"/>
  <c r="D4049" i="43"/>
  <c r="D4048" i="43"/>
  <c r="N4047" i="43"/>
  <c r="D4047" i="43"/>
  <c r="N4046" i="43"/>
  <c r="D4046" i="43"/>
  <c r="D4045" i="43"/>
  <c r="U4044" i="43"/>
  <c r="O4045" i="43" s="1"/>
  <c r="P4045" i="43" s="1"/>
  <c r="U4043" i="43"/>
  <c r="T4041" i="43"/>
  <c r="D4040" i="43"/>
  <c r="D4039" i="43"/>
  <c r="D4038" i="43"/>
  <c r="D4037" i="43"/>
  <c r="D4036" i="43"/>
  <c r="D4035" i="43"/>
  <c r="D4034" i="43"/>
  <c r="D4033" i="43"/>
  <c r="D4032" i="43"/>
  <c r="D4031" i="43"/>
  <c r="D4030" i="43"/>
  <c r="D4029" i="43"/>
  <c r="D4028" i="43"/>
  <c r="N4027" i="43"/>
  <c r="D4027" i="43"/>
  <c r="N4026" i="43"/>
  <c r="D4026" i="43"/>
  <c r="D4025" i="43"/>
  <c r="U4024" i="43"/>
  <c r="O4025" i="43" s="1"/>
  <c r="U4023" i="43"/>
  <c r="T4021" i="43"/>
  <c r="D4020" i="43"/>
  <c r="D4019" i="43"/>
  <c r="D4018" i="43"/>
  <c r="D4017" i="43"/>
  <c r="D4016" i="43"/>
  <c r="D4015" i="43"/>
  <c r="D4014" i="43"/>
  <c r="D4013" i="43"/>
  <c r="D4012" i="43"/>
  <c r="D4011" i="43"/>
  <c r="D4010" i="43"/>
  <c r="D4009" i="43"/>
  <c r="D4008" i="43"/>
  <c r="N4007" i="43"/>
  <c r="D4007" i="43"/>
  <c r="N4006" i="43"/>
  <c r="D4006" i="43"/>
  <c r="D4005" i="43"/>
  <c r="U4004" i="43"/>
  <c r="O4005" i="43" s="1"/>
  <c r="U4003" i="43"/>
  <c r="T4001" i="43"/>
  <c r="D4000" i="43"/>
  <c r="D3999" i="43"/>
  <c r="D3998" i="43"/>
  <c r="D3997" i="43"/>
  <c r="D3996" i="43"/>
  <c r="D3995" i="43"/>
  <c r="D3994" i="43"/>
  <c r="D3993" i="43"/>
  <c r="D3992" i="43"/>
  <c r="D3991" i="43"/>
  <c r="D3990" i="43"/>
  <c r="D3989" i="43"/>
  <c r="D3988" i="43"/>
  <c r="N3987" i="43"/>
  <c r="D3987" i="43"/>
  <c r="N3986" i="43"/>
  <c r="D3986" i="43"/>
  <c r="D3985" i="43"/>
  <c r="U3984" i="43"/>
  <c r="O3985" i="43" s="1"/>
  <c r="P3985" i="43" s="1"/>
  <c r="U3983" i="43"/>
  <c r="T3981" i="43"/>
  <c r="D3980" i="43"/>
  <c r="D3979" i="43"/>
  <c r="D3978" i="43"/>
  <c r="D3977" i="43"/>
  <c r="D3976" i="43"/>
  <c r="D3975" i="43"/>
  <c r="D3974" i="43"/>
  <c r="D3973" i="43"/>
  <c r="D3972" i="43"/>
  <c r="D3971" i="43"/>
  <c r="D3970" i="43"/>
  <c r="D3969" i="43"/>
  <c r="D3968" i="43"/>
  <c r="N3967" i="43"/>
  <c r="D3967" i="43"/>
  <c r="N3966" i="43"/>
  <c r="D3966" i="43"/>
  <c r="D3965" i="43"/>
  <c r="U3964" i="43"/>
  <c r="O3965" i="43" s="1"/>
  <c r="P3965" i="43" s="1"/>
  <c r="U3963" i="43"/>
  <c r="T3961" i="43"/>
  <c r="D3960" i="43"/>
  <c r="D3959" i="43"/>
  <c r="D3958" i="43"/>
  <c r="D3957" i="43"/>
  <c r="D3956" i="43"/>
  <c r="D3955" i="43"/>
  <c r="D3954" i="43"/>
  <c r="D3953" i="43"/>
  <c r="D3952" i="43"/>
  <c r="D3951" i="43"/>
  <c r="D3950" i="43"/>
  <c r="D3949" i="43"/>
  <c r="D3948" i="43"/>
  <c r="N3947" i="43"/>
  <c r="D3947" i="43"/>
  <c r="N3946" i="43"/>
  <c r="D3946" i="43"/>
  <c r="D3945" i="43"/>
  <c r="U3944" i="43"/>
  <c r="O3945" i="43" s="1"/>
  <c r="P3945" i="43" s="1"/>
  <c r="U3943" i="43"/>
  <c r="T3941" i="43"/>
  <c r="D3940" i="43"/>
  <c r="D3939" i="43"/>
  <c r="D3938" i="43"/>
  <c r="D3937" i="43"/>
  <c r="D3936" i="43"/>
  <c r="D3935" i="43"/>
  <c r="D3934" i="43"/>
  <c r="D3933" i="43"/>
  <c r="D3932" i="43"/>
  <c r="D3931" i="43"/>
  <c r="D3930" i="43"/>
  <c r="D3929" i="43"/>
  <c r="D3928" i="43"/>
  <c r="N3927" i="43"/>
  <c r="D3927" i="43"/>
  <c r="N3926" i="43"/>
  <c r="D3926" i="43"/>
  <c r="D3925" i="43"/>
  <c r="U3924" i="43"/>
  <c r="O3925" i="43" s="1"/>
  <c r="P3925" i="43" s="1"/>
  <c r="U3923" i="43"/>
  <c r="T3921" i="43"/>
  <c r="D3920" i="43"/>
  <c r="D3919" i="43"/>
  <c r="D3918" i="43"/>
  <c r="D3917" i="43"/>
  <c r="D3916" i="43"/>
  <c r="D3915" i="43"/>
  <c r="D3914" i="43"/>
  <c r="D3913" i="43"/>
  <c r="D3912" i="43"/>
  <c r="D3911" i="43"/>
  <c r="D3910" i="43"/>
  <c r="D3909" i="43"/>
  <c r="D3908" i="43"/>
  <c r="N3907" i="43"/>
  <c r="D3907" i="43"/>
  <c r="N3906" i="43"/>
  <c r="D3906" i="43"/>
  <c r="D3905" i="43"/>
  <c r="U3904" i="43"/>
  <c r="O3905" i="43" s="1"/>
  <c r="P3905" i="43" s="1"/>
  <c r="U3903" i="43"/>
  <c r="T3901" i="43"/>
  <c r="D3900" i="43"/>
  <c r="D3899" i="43"/>
  <c r="D3898" i="43"/>
  <c r="D3897" i="43"/>
  <c r="D3896" i="43"/>
  <c r="D3895" i="43"/>
  <c r="D3894" i="43"/>
  <c r="D3893" i="43"/>
  <c r="D3892" i="43"/>
  <c r="D3891" i="43"/>
  <c r="D3890" i="43"/>
  <c r="D3889" i="43"/>
  <c r="D3888" i="43"/>
  <c r="N3887" i="43"/>
  <c r="D3887" i="43"/>
  <c r="N3886" i="43"/>
  <c r="D3886" i="43"/>
  <c r="D3885" i="43"/>
  <c r="U3884" i="43"/>
  <c r="O3885" i="43" s="1"/>
  <c r="U3883" i="43"/>
  <c r="T3881" i="43"/>
  <c r="D3880" i="43"/>
  <c r="D3879" i="43"/>
  <c r="D3878" i="43"/>
  <c r="D3877" i="43"/>
  <c r="D3876" i="43"/>
  <c r="D3875" i="43"/>
  <c r="D3874" i="43"/>
  <c r="D3873" i="43"/>
  <c r="D3872" i="43"/>
  <c r="D3871" i="43"/>
  <c r="D3870" i="43"/>
  <c r="D3869" i="43"/>
  <c r="D3868" i="43"/>
  <c r="N3867" i="43"/>
  <c r="D3867" i="43"/>
  <c r="N3866" i="43"/>
  <c r="D3866" i="43"/>
  <c r="D3865" i="43"/>
  <c r="U3864" i="43"/>
  <c r="O3865" i="43" s="1"/>
  <c r="P3865" i="43" s="1"/>
  <c r="U3863" i="43"/>
  <c r="T3861" i="43"/>
  <c r="D3860" i="43"/>
  <c r="D3859" i="43"/>
  <c r="D3858" i="43"/>
  <c r="D3857" i="43"/>
  <c r="D3856" i="43"/>
  <c r="D3855" i="43"/>
  <c r="D3854" i="43"/>
  <c r="D3853" i="43"/>
  <c r="D3852" i="43"/>
  <c r="D3851" i="43"/>
  <c r="D3850" i="43"/>
  <c r="D3849" i="43"/>
  <c r="D3848" i="43"/>
  <c r="N3847" i="43"/>
  <c r="D3847" i="43"/>
  <c r="N3846" i="43"/>
  <c r="D3846" i="43"/>
  <c r="D3845" i="43"/>
  <c r="U3844" i="43"/>
  <c r="O3845" i="43" s="1"/>
  <c r="U3843" i="43"/>
  <c r="T3841" i="43"/>
  <c r="D3840" i="43"/>
  <c r="D3839" i="43"/>
  <c r="D3838" i="43"/>
  <c r="D3837" i="43"/>
  <c r="D3836" i="43"/>
  <c r="D3835" i="43"/>
  <c r="D3834" i="43"/>
  <c r="D3833" i="43"/>
  <c r="D3832" i="43"/>
  <c r="D3831" i="43"/>
  <c r="D3830" i="43"/>
  <c r="D3829" i="43"/>
  <c r="D3828" i="43"/>
  <c r="N3827" i="43"/>
  <c r="D3827" i="43"/>
  <c r="N3826" i="43"/>
  <c r="D3826" i="43"/>
  <c r="D3825" i="43"/>
  <c r="U3824" i="43"/>
  <c r="O3825" i="43" s="1"/>
  <c r="P3825" i="43" s="1"/>
  <c r="U3823" i="43"/>
  <c r="T3821" i="43"/>
  <c r="D3820" i="43"/>
  <c r="D3819" i="43"/>
  <c r="D3818" i="43"/>
  <c r="D3817" i="43"/>
  <c r="D3816" i="43"/>
  <c r="D3815" i="43"/>
  <c r="D3814" i="43"/>
  <c r="D3813" i="43"/>
  <c r="D3812" i="43"/>
  <c r="D3811" i="43"/>
  <c r="D3810" i="43"/>
  <c r="D3809" i="43"/>
  <c r="D3808" i="43"/>
  <c r="N3807" i="43"/>
  <c r="D3807" i="43"/>
  <c r="N3806" i="43"/>
  <c r="D3806" i="43"/>
  <c r="D3805" i="43"/>
  <c r="U3804" i="43"/>
  <c r="O3805" i="43" s="1"/>
  <c r="P3805" i="43" s="1"/>
  <c r="U3803" i="43"/>
  <c r="T3801" i="43"/>
  <c r="D3800" i="43"/>
  <c r="D3799" i="43"/>
  <c r="D3798" i="43"/>
  <c r="D3797" i="43"/>
  <c r="D3796" i="43"/>
  <c r="D3795" i="43"/>
  <c r="D3794" i="43"/>
  <c r="D3793" i="43"/>
  <c r="D3792" i="43"/>
  <c r="D3791" i="43"/>
  <c r="D3790" i="43"/>
  <c r="D3789" i="43"/>
  <c r="D3788" i="43"/>
  <c r="N3787" i="43"/>
  <c r="D3787" i="43"/>
  <c r="N3786" i="43"/>
  <c r="D3786" i="43"/>
  <c r="D3785" i="43"/>
  <c r="U3784" i="43"/>
  <c r="O3785" i="43" s="1"/>
  <c r="P3785" i="43" s="1"/>
  <c r="U3783" i="43"/>
  <c r="T3781" i="43"/>
  <c r="D3780" i="43"/>
  <c r="D3779" i="43"/>
  <c r="D3778" i="43"/>
  <c r="D3777" i="43"/>
  <c r="D3776" i="43"/>
  <c r="D3775" i="43"/>
  <c r="D3774" i="43"/>
  <c r="D3773" i="43"/>
  <c r="D3772" i="43"/>
  <c r="D3771" i="43"/>
  <c r="D3770" i="43"/>
  <c r="D3769" i="43"/>
  <c r="D3768" i="43"/>
  <c r="N3767" i="43"/>
  <c r="D3767" i="43"/>
  <c r="N3766" i="43"/>
  <c r="D3766" i="43"/>
  <c r="D3765" i="43"/>
  <c r="U3764" i="43"/>
  <c r="O3765" i="43" s="1"/>
  <c r="O3766" i="43" s="1"/>
  <c r="U3763" i="43"/>
  <c r="T3761" i="43"/>
  <c r="D3760" i="43"/>
  <c r="D3759" i="43"/>
  <c r="D3758" i="43"/>
  <c r="D3757" i="43"/>
  <c r="D3756" i="43"/>
  <c r="D3755" i="43"/>
  <c r="D3754" i="43"/>
  <c r="D3753" i="43"/>
  <c r="D3752" i="43"/>
  <c r="D3751" i="43"/>
  <c r="D3750" i="43"/>
  <c r="D3749" i="43"/>
  <c r="D3748" i="43"/>
  <c r="N3747" i="43"/>
  <c r="D3747" i="43"/>
  <c r="N3746" i="43"/>
  <c r="D3746" i="43"/>
  <c r="D3745" i="43"/>
  <c r="U3744" i="43"/>
  <c r="O3745" i="43" s="1"/>
  <c r="P3745" i="43" s="1"/>
  <c r="U3743" i="43"/>
  <c r="T3741" i="43"/>
  <c r="D3740" i="43"/>
  <c r="D3739" i="43"/>
  <c r="D3738" i="43"/>
  <c r="D3737" i="43"/>
  <c r="D3736" i="43"/>
  <c r="D3735" i="43"/>
  <c r="D3734" i="43"/>
  <c r="D3733" i="43"/>
  <c r="D3732" i="43"/>
  <c r="D3731" i="43"/>
  <c r="D3730" i="43"/>
  <c r="D3729" i="43"/>
  <c r="N3728" i="43"/>
  <c r="D3728" i="43"/>
  <c r="N3727" i="43"/>
  <c r="D3727" i="43"/>
  <c r="N3726" i="43"/>
  <c r="D3726" i="43"/>
  <c r="D3725" i="43"/>
  <c r="U3724" i="43"/>
  <c r="O3725" i="43" s="1"/>
  <c r="P3725" i="43" s="1"/>
  <c r="U3723" i="43"/>
  <c r="T3721" i="43"/>
  <c r="D3720" i="43"/>
  <c r="D3719" i="43"/>
  <c r="D3718" i="43"/>
  <c r="D3717" i="43"/>
  <c r="D3716" i="43"/>
  <c r="D3715" i="43"/>
  <c r="D3714" i="43"/>
  <c r="D3713" i="43"/>
  <c r="D3712" i="43"/>
  <c r="D3711" i="43"/>
  <c r="N3710" i="43"/>
  <c r="D3710" i="43"/>
  <c r="N3709" i="43"/>
  <c r="D3709" i="43"/>
  <c r="N3708" i="43"/>
  <c r="D3708" i="43"/>
  <c r="N3707" i="43"/>
  <c r="D3707" i="43"/>
  <c r="N3706" i="43"/>
  <c r="D3706" i="43"/>
  <c r="D3705" i="43"/>
  <c r="U3704" i="43"/>
  <c r="O3705" i="43" s="1"/>
  <c r="P3705" i="43" s="1"/>
  <c r="U3703" i="43"/>
  <c r="T3701" i="43"/>
  <c r="D3700" i="43"/>
  <c r="D3699" i="43"/>
  <c r="D3698" i="43"/>
  <c r="D3697" i="43"/>
  <c r="D3696" i="43"/>
  <c r="D3695" i="43"/>
  <c r="D3694" i="43"/>
  <c r="D3693" i="43"/>
  <c r="D3692" i="43"/>
  <c r="D3691" i="43"/>
  <c r="D3690" i="43"/>
  <c r="D3689" i="43"/>
  <c r="D3688" i="43"/>
  <c r="D3687" i="43"/>
  <c r="N3686" i="43"/>
  <c r="D3686" i="43"/>
  <c r="D3685" i="43"/>
  <c r="U3684" i="43"/>
  <c r="O3685" i="43" s="1"/>
  <c r="U3683" i="43"/>
  <c r="T3681" i="43"/>
  <c r="D3680" i="43"/>
  <c r="D3679" i="43"/>
  <c r="D3678" i="43"/>
  <c r="D3677" i="43"/>
  <c r="D3676" i="43"/>
  <c r="D3675" i="43"/>
  <c r="D3674" i="43"/>
  <c r="D3673" i="43"/>
  <c r="D3672" i="43"/>
  <c r="D3671" i="43"/>
  <c r="D3670" i="43"/>
  <c r="D3669" i="43"/>
  <c r="D3668" i="43"/>
  <c r="N3667" i="43"/>
  <c r="D3667" i="43"/>
  <c r="N3666" i="43"/>
  <c r="D3666" i="43"/>
  <c r="O3665" i="43"/>
  <c r="P3665" i="43" s="1"/>
  <c r="D3665" i="43"/>
  <c r="U3664" i="43"/>
  <c r="U3663" i="43"/>
  <c r="T3661" i="43"/>
  <c r="D3660" i="43"/>
  <c r="D3659" i="43"/>
  <c r="D3658" i="43"/>
  <c r="D3657" i="43"/>
  <c r="D3656" i="43"/>
  <c r="D3655" i="43"/>
  <c r="D3654" i="43"/>
  <c r="D3653" i="43"/>
  <c r="D3652" i="43"/>
  <c r="D3651" i="43"/>
  <c r="D3650" i="43"/>
  <c r="D3649" i="43"/>
  <c r="N3648" i="43"/>
  <c r="D3648" i="43"/>
  <c r="N3647" i="43"/>
  <c r="D3647" i="43"/>
  <c r="N3646" i="43"/>
  <c r="D3646" i="43"/>
  <c r="D3645" i="43"/>
  <c r="U3644" i="43"/>
  <c r="O3645" i="43" s="1"/>
  <c r="U3643" i="43"/>
  <c r="T3641" i="43"/>
  <c r="A185" i="42"/>
  <c r="A186" i="42"/>
  <c r="A187" i="42"/>
  <c r="A188" i="42"/>
  <c r="A189" i="42"/>
  <c r="A190" i="42"/>
  <c r="A191" i="42"/>
  <c r="A192" i="42"/>
  <c r="A193" i="42"/>
  <c r="A194" i="42"/>
  <c r="A195" i="42"/>
  <c r="A196" i="42"/>
  <c r="A197" i="42"/>
  <c r="A198" i="42"/>
  <c r="A199" i="42"/>
  <c r="A200" i="42"/>
  <c r="A201" i="42"/>
  <c r="A202" i="42"/>
  <c r="A203" i="42"/>
  <c r="A204" i="42"/>
  <c r="A205" i="42"/>
  <c r="A206" i="42"/>
  <c r="A207" i="42"/>
  <c r="A208" i="42"/>
  <c r="A209" i="42"/>
  <c r="A210" i="42"/>
  <c r="A211" i="42"/>
  <c r="A212" i="42"/>
  <c r="A213" i="42"/>
  <c r="A214" i="42"/>
  <c r="A215" i="42"/>
  <c r="A216" i="42"/>
  <c r="A217" i="42"/>
  <c r="A218" i="42"/>
  <c r="O4086" i="43" l="1"/>
  <c r="Q4086" i="43" s="1"/>
  <c r="N168" i="41"/>
  <c r="F18" i="61"/>
  <c r="AI219" i="41"/>
  <c r="U219" i="41"/>
  <c r="AL219" i="41"/>
  <c r="X219" i="41"/>
  <c r="AS219" i="41"/>
  <c r="H219" i="41"/>
  <c r="AV219" i="41"/>
  <c r="AF219" i="41"/>
  <c r="O219" i="41"/>
  <c r="O3886" i="43"/>
  <c r="Q3886" i="43" s="1"/>
  <c r="O4006" i="43"/>
  <c r="O4007" i="43" s="1"/>
  <c r="Q4007" i="43" s="1"/>
  <c r="O3846" i="43"/>
  <c r="O4066" i="43"/>
  <c r="O4067" i="43" s="1"/>
  <c r="Q4067" i="43" s="1"/>
  <c r="O4246" i="43"/>
  <c r="Q4246" i="43" s="1"/>
  <c r="O4166" i="43"/>
  <c r="Q4166" i="43" s="1"/>
  <c r="O3646" i="43"/>
  <c r="O3647" i="43" s="1"/>
  <c r="O3648" i="43" s="1"/>
  <c r="O4026" i="43"/>
  <c r="O4027" i="43" s="1"/>
  <c r="Q4027" i="43" s="1"/>
  <c r="O3666" i="43"/>
  <c r="O4206" i="43"/>
  <c r="Q4206" i="43" s="1"/>
  <c r="O4286" i="43"/>
  <c r="Q4286" i="43" s="1"/>
  <c r="O3706" i="43"/>
  <c r="O3707" i="43" s="1"/>
  <c r="O4126" i="43"/>
  <c r="Q4126" i="43" s="1"/>
  <c r="P4205" i="43"/>
  <c r="O4226" i="43"/>
  <c r="Q4226" i="43" s="1"/>
  <c r="AB219" i="41"/>
  <c r="AV225" i="41"/>
  <c r="AS225" i="41"/>
  <c r="AL225" i="41"/>
  <c r="X225" i="41"/>
  <c r="AB225" i="41"/>
  <c r="AF225" i="41"/>
  <c r="U225" i="41"/>
  <c r="H225" i="41"/>
  <c r="O225" i="41"/>
  <c r="AI225" i="41"/>
  <c r="U47" i="41"/>
  <c r="P3685" i="43"/>
  <c r="O3686" i="43"/>
  <c r="Q3686" i="43" s="1"/>
  <c r="Q3666" i="43"/>
  <c r="O3667" i="43"/>
  <c r="O3887" i="43"/>
  <c r="Q3887" i="43" s="1"/>
  <c r="P3645" i="43"/>
  <c r="Q4066" i="43"/>
  <c r="P4125" i="43"/>
  <c r="P4285" i="43"/>
  <c r="P4105" i="43"/>
  <c r="O4106" i="43"/>
  <c r="Q4106" i="43" s="1"/>
  <c r="O4146" i="43"/>
  <c r="Q4146" i="43" s="1"/>
  <c r="P4265" i="43"/>
  <c r="O4266" i="43"/>
  <c r="Q4266" i="43" s="1"/>
  <c r="O4306" i="43"/>
  <c r="Q4306" i="43" s="1"/>
  <c r="O3767" i="43"/>
  <c r="Q3767" i="43" s="1"/>
  <c r="Q3766" i="43"/>
  <c r="O3847" i="43"/>
  <c r="Q3847" i="43" s="1"/>
  <c r="Q3846" i="43"/>
  <c r="Q4006" i="43"/>
  <c r="P4185" i="43"/>
  <c r="O4186" i="43"/>
  <c r="Q4186" i="43" s="1"/>
  <c r="O3746" i="43"/>
  <c r="O3786" i="43"/>
  <c r="O3806" i="43"/>
  <c r="O3826" i="43"/>
  <c r="O3866" i="43"/>
  <c r="O3906" i="43"/>
  <c r="O3926" i="43"/>
  <c r="O3966" i="43"/>
  <c r="O3986" i="43"/>
  <c r="O4046" i="43"/>
  <c r="O3726" i="43"/>
  <c r="P3765" i="43"/>
  <c r="P3845" i="43"/>
  <c r="P3885" i="43"/>
  <c r="P4005" i="43"/>
  <c r="P4025" i="43"/>
  <c r="P4065" i="43"/>
  <c r="P4085" i="43"/>
  <c r="P4165" i="43"/>
  <c r="P4245" i="43"/>
  <c r="O3946" i="43"/>
  <c r="T168" i="41" l="1"/>
  <c r="H18" i="61"/>
  <c r="Q3646" i="43"/>
  <c r="Q4026" i="43"/>
  <c r="Q3706" i="43"/>
  <c r="X47" i="41"/>
  <c r="Q3866" i="43"/>
  <c r="O3867" i="43"/>
  <c r="Q3867" i="43" s="1"/>
  <c r="Q3746" i="43"/>
  <c r="O3747" i="43"/>
  <c r="Q3747" i="43" s="1"/>
  <c r="Q3966" i="43"/>
  <c r="O3967" i="43"/>
  <c r="Q3967" i="43" s="1"/>
  <c r="Q3726" i="43"/>
  <c r="O3727" i="43"/>
  <c r="Q3926" i="43"/>
  <c r="O3927" i="43"/>
  <c r="Q3927" i="43" s="1"/>
  <c r="Q3806" i="43"/>
  <c r="O3807" i="43"/>
  <c r="Q3807" i="43" s="1"/>
  <c r="Q3946" i="43"/>
  <c r="O3947" i="43"/>
  <c r="Q3947" i="43" s="1"/>
  <c r="Q3986" i="43"/>
  <c r="O3987" i="43"/>
  <c r="Q3987" i="43" s="1"/>
  <c r="O3708" i="43"/>
  <c r="Q3707" i="43"/>
  <c r="Q3826" i="43"/>
  <c r="O3827" i="43"/>
  <c r="Q3827" i="43" s="1"/>
  <c r="Q4046" i="43"/>
  <c r="O4047" i="43"/>
  <c r="Q4047" i="43" s="1"/>
  <c r="Q3906" i="43"/>
  <c r="O3907" i="43"/>
  <c r="Q3907" i="43" s="1"/>
  <c r="Q3786" i="43"/>
  <c r="O3787" i="43"/>
  <c r="Q3787" i="43" s="1"/>
  <c r="W168" i="41" l="1"/>
  <c r="H22" i="61"/>
  <c r="AB47" i="41"/>
  <c r="Q3727" i="43"/>
  <c r="O3728" i="43"/>
  <c r="Q3728" i="43" s="1"/>
  <c r="O3709" i="43"/>
  <c r="Q3708" i="43"/>
  <c r="Z168" i="41" l="1"/>
  <c r="H25" i="61"/>
  <c r="AF47" i="41"/>
  <c r="O3710" i="43"/>
  <c r="Q3710" i="43" s="1"/>
  <c r="Q3709" i="43"/>
  <c r="AA168" i="41" l="1"/>
  <c r="F28" i="61"/>
  <c r="AI47" i="41"/>
  <c r="BG183" i="41"/>
  <c r="BG191" i="41"/>
  <c r="BG192" i="41"/>
  <c r="BG170" i="41"/>
  <c r="BG161" i="41"/>
  <c r="BG193" i="41"/>
  <c r="BG162" i="41"/>
  <c r="BG163" i="41"/>
  <c r="BG173" i="41"/>
  <c r="BG164" i="41"/>
  <c r="BG176" i="41"/>
  <c r="BG165" i="41"/>
  <c r="BG175" i="41"/>
  <c r="BG166" i="41"/>
  <c r="BG194" i="41"/>
  <c r="BG167" i="41"/>
  <c r="BG195" i="41"/>
  <c r="BG43" i="41"/>
  <c r="BG196" i="41"/>
  <c r="BG197" i="41"/>
  <c r="BG40" i="41"/>
  <c r="BG198" i="41"/>
  <c r="BG199" i="41"/>
  <c r="BG39" i="41"/>
  <c r="BG200" i="41"/>
  <c r="BG201" i="41"/>
  <c r="BG202" i="41"/>
  <c r="BG203" i="41"/>
  <c r="BG48" i="41"/>
  <c r="BG36" i="41"/>
  <c r="BG204" i="41"/>
  <c r="BG205" i="41"/>
  <c r="BG35" i="41"/>
  <c r="BG49" i="41"/>
  <c r="BG50" i="41"/>
  <c r="BG42" i="41"/>
  <c r="BG206" i="41"/>
  <c r="BG207" i="41"/>
  <c r="BG26" i="41"/>
  <c r="BG24" i="41"/>
  <c r="BG208" i="41"/>
  <c r="BG29" i="41"/>
  <c r="BG168" i="41"/>
  <c r="BG209" i="41"/>
  <c r="BG44" i="41"/>
  <c r="BG210" i="41"/>
  <c r="BG211" i="41"/>
  <c r="BG31" i="41"/>
  <c r="BG212" i="41"/>
  <c r="BG28" i="41"/>
  <c r="BG51" i="41"/>
  <c r="BG213" i="41"/>
  <c r="BG214" i="41"/>
  <c r="BG190" i="41"/>
  <c r="BJ13" i="41"/>
  <c r="AH13" i="41" s="1"/>
  <c r="AJ13" i="41" s="1"/>
  <c r="AK13" i="41" s="1"/>
  <c r="AQ13" i="41" s="1"/>
  <c r="AR13" i="41" s="1"/>
  <c r="AU13" i="41" s="1"/>
  <c r="AW13" i="41" s="1"/>
  <c r="BJ14" i="41"/>
  <c r="AH14" i="41" s="1"/>
  <c r="AJ14" i="41" s="1"/>
  <c r="AK14" i="41" s="1"/>
  <c r="AQ14" i="41" s="1"/>
  <c r="AR14" i="41" s="1"/>
  <c r="AU14" i="41" s="1"/>
  <c r="AW14" i="41" s="1"/>
  <c r="BJ15" i="41"/>
  <c r="AH15" i="41" s="1"/>
  <c r="AJ15" i="41" s="1"/>
  <c r="AK15" i="41" s="1"/>
  <c r="AQ15" i="41" s="1"/>
  <c r="AR15" i="41" s="1"/>
  <c r="AU15" i="41" s="1"/>
  <c r="AW15" i="41" s="1"/>
  <c r="BJ53" i="41"/>
  <c r="AH53" i="41" s="1"/>
  <c r="AJ53" i="41" s="1"/>
  <c r="AK53" i="41" s="1"/>
  <c r="AQ53" i="41" s="1"/>
  <c r="AR53" i="41" s="1"/>
  <c r="AU53" i="41" s="1"/>
  <c r="AW53" i="41" s="1"/>
  <c r="BJ54" i="41"/>
  <c r="AH54" i="41" s="1"/>
  <c r="AJ54" i="41" s="1"/>
  <c r="AK54" i="41" s="1"/>
  <c r="AQ54" i="41" s="1"/>
  <c r="AR54" i="41" s="1"/>
  <c r="AU54" i="41" s="1"/>
  <c r="AW54" i="41" s="1"/>
  <c r="BJ55" i="41"/>
  <c r="AH55" i="41" s="1"/>
  <c r="AJ55" i="41" s="1"/>
  <c r="AK55" i="41" s="1"/>
  <c r="AQ55" i="41" s="1"/>
  <c r="AR55" i="41" s="1"/>
  <c r="AU55" i="41" s="1"/>
  <c r="AW55" i="41" s="1"/>
  <c r="BJ56" i="41"/>
  <c r="AH56" i="41" s="1"/>
  <c r="AJ56" i="41" s="1"/>
  <c r="AK56" i="41" s="1"/>
  <c r="AQ56" i="41" s="1"/>
  <c r="AR56" i="41" s="1"/>
  <c r="AU56" i="41" s="1"/>
  <c r="AW56" i="41" s="1"/>
  <c r="BJ57" i="41"/>
  <c r="AH57" i="41" s="1"/>
  <c r="AJ57" i="41" s="1"/>
  <c r="AK57" i="41" s="1"/>
  <c r="AQ57" i="41" s="1"/>
  <c r="AR57" i="41" s="1"/>
  <c r="AU57" i="41" s="1"/>
  <c r="AW57" i="41" s="1"/>
  <c r="BJ58" i="41"/>
  <c r="AH58" i="41" s="1"/>
  <c r="AJ58" i="41" s="1"/>
  <c r="AK58" i="41" s="1"/>
  <c r="AQ58" i="41" s="1"/>
  <c r="AR58" i="41" s="1"/>
  <c r="AU58" i="41" s="1"/>
  <c r="AW58" i="41" s="1"/>
  <c r="BJ59" i="41"/>
  <c r="AH59" i="41" s="1"/>
  <c r="AJ59" i="41" s="1"/>
  <c r="AK59" i="41" s="1"/>
  <c r="AQ59" i="41" s="1"/>
  <c r="AR59" i="41" s="1"/>
  <c r="AU59" i="41" s="1"/>
  <c r="AW59" i="41" s="1"/>
  <c r="BJ60" i="41"/>
  <c r="AH60" i="41" s="1"/>
  <c r="AJ60" i="41" s="1"/>
  <c r="AK60" i="41" s="1"/>
  <c r="AQ60" i="41" s="1"/>
  <c r="AR60" i="41" s="1"/>
  <c r="AU60" i="41" s="1"/>
  <c r="AW60" i="41" s="1"/>
  <c r="BJ61" i="41"/>
  <c r="AH61" i="41" s="1"/>
  <c r="AJ61" i="41" s="1"/>
  <c r="AK61" i="41" s="1"/>
  <c r="AQ61" i="41" s="1"/>
  <c r="AR61" i="41" s="1"/>
  <c r="AU61" i="41" s="1"/>
  <c r="AW61" i="41" s="1"/>
  <c r="BJ62" i="41"/>
  <c r="AH62" i="41" s="1"/>
  <c r="AJ62" i="41" s="1"/>
  <c r="AK62" i="41" s="1"/>
  <c r="AQ62" i="41" s="1"/>
  <c r="AR62" i="41" s="1"/>
  <c r="AU62" i="41" s="1"/>
  <c r="AW62" i="41" s="1"/>
  <c r="BJ63" i="41"/>
  <c r="AH63" i="41" s="1"/>
  <c r="AJ63" i="41" s="1"/>
  <c r="AK63" i="41" s="1"/>
  <c r="AQ63" i="41" s="1"/>
  <c r="AR63" i="41" s="1"/>
  <c r="AU63" i="41" s="1"/>
  <c r="AW63" i="41" s="1"/>
  <c r="BJ64" i="41"/>
  <c r="AH64" i="41" s="1"/>
  <c r="AJ64" i="41" s="1"/>
  <c r="AK64" i="41" s="1"/>
  <c r="AQ64" i="41" s="1"/>
  <c r="AR64" i="41" s="1"/>
  <c r="AU64" i="41" s="1"/>
  <c r="AW64" i="41" s="1"/>
  <c r="BJ65" i="41"/>
  <c r="AH65" i="41" s="1"/>
  <c r="AJ65" i="41" s="1"/>
  <c r="AK65" i="41" s="1"/>
  <c r="AQ65" i="41" s="1"/>
  <c r="AR65" i="41" s="1"/>
  <c r="AU65" i="41" s="1"/>
  <c r="AW65" i="41" s="1"/>
  <c r="BJ66" i="41"/>
  <c r="AH66" i="41" s="1"/>
  <c r="AJ66" i="41" s="1"/>
  <c r="AK66" i="41" s="1"/>
  <c r="AQ66" i="41" s="1"/>
  <c r="AR66" i="41" s="1"/>
  <c r="AU66" i="41" s="1"/>
  <c r="AW66" i="41" s="1"/>
  <c r="BJ67" i="41"/>
  <c r="AH67" i="41" s="1"/>
  <c r="AJ67" i="41" s="1"/>
  <c r="AK67" i="41" s="1"/>
  <c r="AQ67" i="41" s="1"/>
  <c r="AR67" i="41" s="1"/>
  <c r="AU67" i="41" s="1"/>
  <c r="AW67" i="41" s="1"/>
  <c r="BJ68" i="41"/>
  <c r="AH68" i="41" s="1"/>
  <c r="AJ68" i="41" s="1"/>
  <c r="AK68" i="41" s="1"/>
  <c r="AQ68" i="41" s="1"/>
  <c r="AR68" i="41" s="1"/>
  <c r="AU68" i="41" s="1"/>
  <c r="AW68" i="41" s="1"/>
  <c r="BJ69" i="41"/>
  <c r="AH69" i="41" s="1"/>
  <c r="AJ69" i="41" s="1"/>
  <c r="AK69" i="41" s="1"/>
  <c r="AQ69" i="41" s="1"/>
  <c r="AR69" i="41" s="1"/>
  <c r="AU69" i="41" s="1"/>
  <c r="AW69" i="41" s="1"/>
  <c r="BJ70" i="41"/>
  <c r="AH70" i="41" s="1"/>
  <c r="AJ70" i="41" s="1"/>
  <c r="AK70" i="41" s="1"/>
  <c r="AQ70" i="41" s="1"/>
  <c r="AR70" i="41" s="1"/>
  <c r="AU70" i="41" s="1"/>
  <c r="AW70" i="41" s="1"/>
  <c r="BJ71" i="41"/>
  <c r="AH71" i="41" s="1"/>
  <c r="AJ71" i="41" s="1"/>
  <c r="AK71" i="41" s="1"/>
  <c r="AQ71" i="41" s="1"/>
  <c r="AR71" i="41" s="1"/>
  <c r="AU71" i="41" s="1"/>
  <c r="AW71" i="41" s="1"/>
  <c r="BJ72" i="41"/>
  <c r="AH72" i="41" s="1"/>
  <c r="AJ72" i="41" s="1"/>
  <c r="AK72" i="41" s="1"/>
  <c r="AQ72" i="41" s="1"/>
  <c r="AR72" i="41" s="1"/>
  <c r="AU72" i="41" s="1"/>
  <c r="AW72" i="41" s="1"/>
  <c r="BJ73" i="41"/>
  <c r="AH73" i="41" s="1"/>
  <c r="AJ73" i="41" s="1"/>
  <c r="AK73" i="41" s="1"/>
  <c r="AQ73" i="41" s="1"/>
  <c r="AR73" i="41" s="1"/>
  <c r="AU73" i="41" s="1"/>
  <c r="AW73" i="41" s="1"/>
  <c r="BJ74" i="41"/>
  <c r="AH74" i="41" s="1"/>
  <c r="AJ74" i="41" s="1"/>
  <c r="AK74" i="41" s="1"/>
  <c r="AQ74" i="41" s="1"/>
  <c r="AR74" i="41" s="1"/>
  <c r="AU74" i="41" s="1"/>
  <c r="AW74" i="41" s="1"/>
  <c r="BJ75" i="41"/>
  <c r="AH75" i="41" s="1"/>
  <c r="AJ75" i="41" s="1"/>
  <c r="AK75" i="41" s="1"/>
  <c r="AQ75" i="41" s="1"/>
  <c r="AR75" i="41" s="1"/>
  <c r="AU75" i="41" s="1"/>
  <c r="AW75" i="41" s="1"/>
  <c r="BJ76" i="41"/>
  <c r="AH76" i="41" s="1"/>
  <c r="AJ76" i="41" s="1"/>
  <c r="AK76" i="41" s="1"/>
  <c r="AQ76" i="41" s="1"/>
  <c r="AR76" i="41" s="1"/>
  <c r="AU76" i="41" s="1"/>
  <c r="AW76" i="41" s="1"/>
  <c r="BJ77" i="41"/>
  <c r="AH77" i="41" s="1"/>
  <c r="AJ77" i="41" s="1"/>
  <c r="AK77" i="41" s="1"/>
  <c r="AQ77" i="41" s="1"/>
  <c r="AR77" i="41" s="1"/>
  <c r="AU77" i="41" s="1"/>
  <c r="AW77" i="41" s="1"/>
  <c r="BJ78" i="41"/>
  <c r="AH78" i="41" s="1"/>
  <c r="AJ78" i="41" s="1"/>
  <c r="AK78" i="41" s="1"/>
  <c r="AQ78" i="41" s="1"/>
  <c r="AR78" i="41" s="1"/>
  <c r="AU78" i="41" s="1"/>
  <c r="AW78" i="41" s="1"/>
  <c r="BJ79" i="41"/>
  <c r="AH79" i="41" s="1"/>
  <c r="AJ79" i="41" s="1"/>
  <c r="AK79" i="41" s="1"/>
  <c r="AQ79" i="41" s="1"/>
  <c r="AR79" i="41" s="1"/>
  <c r="AU79" i="41" s="1"/>
  <c r="AW79" i="41" s="1"/>
  <c r="BJ80" i="41"/>
  <c r="AH80" i="41" s="1"/>
  <c r="AJ80" i="41" s="1"/>
  <c r="AK80" i="41" s="1"/>
  <c r="AQ80" i="41" s="1"/>
  <c r="AR80" i="41" s="1"/>
  <c r="AU80" i="41" s="1"/>
  <c r="AW80" i="41" s="1"/>
  <c r="BJ81" i="41"/>
  <c r="AH81" i="41" s="1"/>
  <c r="AJ81" i="41" s="1"/>
  <c r="AK81" i="41" s="1"/>
  <c r="AQ81" i="41" s="1"/>
  <c r="AR81" i="41" s="1"/>
  <c r="AU81" i="41" s="1"/>
  <c r="AW81" i="41" s="1"/>
  <c r="BJ82" i="41"/>
  <c r="AH82" i="41" s="1"/>
  <c r="AJ82" i="41" s="1"/>
  <c r="AK82" i="41" s="1"/>
  <c r="AQ82" i="41" s="1"/>
  <c r="AR82" i="41" s="1"/>
  <c r="AU82" i="41" s="1"/>
  <c r="AW82" i="41" s="1"/>
  <c r="BJ83" i="41"/>
  <c r="AH83" i="41" s="1"/>
  <c r="AJ83" i="41" s="1"/>
  <c r="AK83" i="41" s="1"/>
  <c r="AQ83" i="41" s="1"/>
  <c r="AR83" i="41" s="1"/>
  <c r="AU83" i="41" s="1"/>
  <c r="AW83" i="41" s="1"/>
  <c r="BJ84" i="41"/>
  <c r="AH84" i="41" s="1"/>
  <c r="AJ84" i="41" s="1"/>
  <c r="AK84" i="41" s="1"/>
  <c r="AQ84" i="41" s="1"/>
  <c r="AR84" i="41" s="1"/>
  <c r="AU84" i="41" s="1"/>
  <c r="AW84" i="41" s="1"/>
  <c r="BJ85" i="41"/>
  <c r="AH85" i="41" s="1"/>
  <c r="AJ85" i="41" s="1"/>
  <c r="AK85" i="41" s="1"/>
  <c r="AQ85" i="41" s="1"/>
  <c r="AR85" i="41" s="1"/>
  <c r="AU85" i="41" s="1"/>
  <c r="AW85" i="41" s="1"/>
  <c r="BJ86" i="41"/>
  <c r="AH86" i="41" s="1"/>
  <c r="AJ86" i="41" s="1"/>
  <c r="AK86" i="41" s="1"/>
  <c r="AQ86" i="41" s="1"/>
  <c r="AR86" i="41" s="1"/>
  <c r="AU86" i="41" s="1"/>
  <c r="AW86" i="41" s="1"/>
  <c r="BJ87" i="41"/>
  <c r="AH87" i="41" s="1"/>
  <c r="AJ87" i="41" s="1"/>
  <c r="AK87" i="41" s="1"/>
  <c r="AQ87" i="41" s="1"/>
  <c r="AR87" i="41" s="1"/>
  <c r="AU87" i="41" s="1"/>
  <c r="AW87" i="41" s="1"/>
  <c r="BJ88" i="41"/>
  <c r="AH88" i="41" s="1"/>
  <c r="AJ88" i="41" s="1"/>
  <c r="AK88" i="41" s="1"/>
  <c r="AQ88" i="41" s="1"/>
  <c r="AR88" i="41" s="1"/>
  <c r="AU88" i="41" s="1"/>
  <c r="AW88" i="41" s="1"/>
  <c r="BJ89" i="41"/>
  <c r="AH89" i="41" s="1"/>
  <c r="AJ89" i="41" s="1"/>
  <c r="AK89" i="41" s="1"/>
  <c r="AQ89" i="41" s="1"/>
  <c r="AR89" i="41" s="1"/>
  <c r="AU89" i="41" s="1"/>
  <c r="AW89" i="41" s="1"/>
  <c r="BJ90" i="41"/>
  <c r="AH90" i="41" s="1"/>
  <c r="AJ90" i="41" s="1"/>
  <c r="AK90" i="41" s="1"/>
  <c r="AQ90" i="41" s="1"/>
  <c r="AR90" i="41" s="1"/>
  <c r="AU90" i="41" s="1"/>
  <c r="AW90" i="41" s="1"/>
  <c r="BJ91" i="41"/>
  <c r="AH91" i="41" s="1"/>
  <c r="AJ91" i="41" s="1"/>
  <c r="AK91" i="41" s="1"/>
  <c r="AQ91" i="41" s="1"/>
  <c r="AR91" i="41" s="1"/>
  <c r="AU91" i="41" s="1"/>
  <c r="AW91" i="41" s="1"/>
  <c r="BJ92" i="41"/>
  <c r="AH92" i="41" s="1"/>
  <c r="AJ92" i="41" s="1"/>
  <c r="AK92" i="41" s="1"/>
  <c r="AQ92" i="41" s="1"/>
  <c r="AR92" i="41" s="1"/>
  <c r="AU92" i="41" s="1"/>
  <c r="AW92" i="41" s="1"/>
  <c r="BJ93" i="41"/>
  <c r="AH93" i="41" s="1"/>
  <c r="AJ93" i="41" s="1"/>
  <c r="AK93" i="41" s="1"/>
  <c r="AQ93" i="41" s="1"/>
  <c r="AR93" i="41" s="1"/>
  <c r="AU93" i="41" s="1"/>
  <c r="AW93" i="41" s="1"/>
  <c r="BJ94" i="41"/>
  <c r="AH94" i="41" s="1"/>
  <c r="AJ94" i="41" s="1"/>
  <c r="AK94" i="41" s="1"/>
  <c r="AQ94" i="41" s="1"/>
  <c r="AR94" i="41" s="1"/>
  <c r="AU94" i="41" s="1"/>
  <c r="AW94" i="41" s="1"/>
  <c r="BJ95" i="41"/>
  <c r="AH95" i="41" s="1"/>
  <c r="AJ95" i="41" s="1"/>
  <c r="AK95" i="41" s="1"/>
  <c r="AQ95" i="41" s="1"/>
  <c r="AR95" i="41" s="1"/>
  <c r="AU95" i="41" s="1"/>
  <c r="AW95" i="41" s="1"/>
  <c r="BJ96" i="41"/>
  <c r="AH96" i="41" s="1"/>
  <c r="AJ96" i="41" s="1"/>
  <c r="AK96" i="41" s="1"/>
  <c r="AQ96" i="41" s="1"/>
  <c r="AR96" i="41" s="1"/>
  <c r="AU96" i="41" s="1"/>
  <c r="AW96" i="41" s="1"/>
  <c r="BJ97" i="41"/>
  <c r="AH97" i="41" s="1"/>
  <c r="AJ97" i="41" s="1"/>
  <c r="AK97" i="41" s="1"/>
  <c r="AQ97" i="41" s="1"/>
  <c r="AR97" i="41" s="1"/>
  <c r="AU97" i="41" s="1"/>
  <c r="AW97" i="41" s="1"/>
  <c r="BJ98" i="41"/>
  <c r="AH98" i="41" s="1"/>
  <c r="AJ98" i="41" s="1"/>
  <c r="AK98" i="41" s="1"/>
  <c r="AQ98" i="41" s="1"/>
  <c r="AR98" i="41" s="1"/>
  <c r="AU98" i="41" s="1"/>
  <c r="AW98" i="41" s="1"/>
  <c r="BJ99" i="41"/>
  <c r="AH99" i="41" s="1"/>
  <c r="AJ99" i="41" s="1"/>
  <c r="AK99" i="41" s="1"/>
  <c r="AQ99" i="41" s="1"/>
  <c r="AR99" i="41" s="1"/>
  <c r="AU99" i="41" s="1"/>
  <c r="AW99" i="41" s="1"/>
  <c r="BJ100" i="41"/>
  <c r="AH100" i="41" s="1"/>
  <c r="AJ100" i="41" s="1"/>
  <c r="AK100" i="41" s="1"/>
  <c r="AQ100" i="41" s="1"/>
  <c r="AR100" i="41" s="1"/>
  <c r="AU100" i="41" s="1"/>
  <c r="AW100" i="41" s="1"/>
  <c r="BJ101" i="41"/>
  <c r="AH101" i="41" s="1"/>
  <c r="AJ101" i="41" s="1"/>
  <c r="AK101" i="41" s="1"/>
  <c r="AQ101" i="41" s="1"/>
  <c r="AR101" i="41" s="1"/>
  <c r="AU101" i="41" s="1"/>
  <c r="AW101" i="41" s="1"/>
  <c r="BJ102" i="41"/>
  <c r="AH102" i="41" s="1"/>
  <c r="AJ102" i="41" s="1"/>
  <c r="AK102" i="41" s="1"/>
  <c r="AQ102" i="41" s="1"/>
  <c r="AR102" i="41" s="1"/>
  <c r="AU102" i="41" s="1"/>
  <c r="AW102" i="41" s="1"/>
  <c r="BJ103" i="41"/>
  <c r="AH103" i="41" s="1"/>
  <c r="AJ103" i="41" s="1"/>
  <c r="AK103" i="41" s="1"/>
  <c r="AQ103" i="41" s="1"/>
  <c r="AR103" i="41" s="1"/>
  <c r="AU103" i="41" s="1"/>
  <c r="AW103" i="41" s="1"/>
  <c r="BJ104" i="41"/>
  <c r="AH104" i="41" s="1"/>
  <c r="AJ104" i="41" s="1"/>
  <c r="AK104" i="41" s="1"/>
  <c r="AQ104" i="41" s="1"/>
  <c r="AR104" i="41" s="1"/>
  <c r="AU104" i="41" s="1"/>
  <c r="AW104" i="41" s="1"/>
  <c r="BJ105" i="41"/>
  <c r="AH105" i="41" s="1"/>
  <c r="AJ105" i="41" s="1"/>
  <c r="AK105" i="41" s="1"/>
  <c r="AQ105" i="41" s="1"/>
  <c r="AR105" i="41" s="1"/>
  <c r="AU105" i="41" s="1"/>
  <c r="AW105" i="41" s="1"/>
  <c r="BJ106" i="41"/>
  <c r="AH106" i="41" s="1"/>
  <c r="AJ106" i="41" s="1"/>
  <c r="AK106" i="41" s="1"/>
  <c r="AQ106" i="41" s="1"/>
  <c r="AR106" i="41" s="1"/>
  <c r="AU106" i="41" s="1"/>
  <c r="AW106" i="41" s="1"/>
  <c r="BJ107" i="41"/>
  <c r="AH107" i="41" s="1"/>
  <c r="AJ107" i="41" s="1"/>
  <c r="AK107" i="41" s="1"/>
  <c r="AQ107" i="41" s="1"/>
  <c r="AR107" i="41" s="1"/>
  <c r="AU107" i="41" s="1"/>
  <c r="AW107" i="41" s="1"/>
  <c r="BJ108" i="41"/>
  <c r="AH108" i="41" s="1"/>
  <c r="AJ108" i="41" s="1"/>
  <c r="AK108" i="41" s="1"/>
  <c r="AQ108" i="41" s="1"/>
  <c r="AR108" i="41" s="1"/>
  <c r="AU108" i="41" s="1"/>
  <c r="AW108" i="41" s="1"/>
  <c r="BJ109" i="41"/>
  <c r="AH109" i="41" s="1"/>
  <c r="AJ109" i="41" s="1"/>
  <c r="AK109" i="41" s="1"/>
  <c r="AQ109" i="41" s="1"/>
  <c r="AR109" i="41" s="1"/>
  <c r="AU109" i="41" s="1"/>
  <c r="AW109" i="41" s="1"/>
  <c r="BJ110" i="41"/>
  <c r="AH110" i="41" s="1"/>
  <c r="AJ110" i="41" s="1"/>
  <c r="AK110" i="41" s="1"/>
  <c r="AQ110" i="41" s="1"/>
  <c r="AR110" i="41" s="1"/>
  <c r="AU110" i="41" s="1"/>
  <c r="AW110" i="41" s="1"/>
  <c r="BJ111" i="41"/>
  <c r="AH111" i="41" s="1"/>
  <c r="AJ111" i="41" s="1"/>
  <c r="AK111" i="41" s="1"/>
  <c r="AQ111" i="41" s="1"/>
  <c r="AR111" i="41" s="1"/>
  <c r="AU111" i="41" s="1"/>
  <c r="AW111" i="41" s="1"/>
  <c r="BJ112" i="41"/>
  <c r="AH112" i="41" s="1"/>
  <c r="AJ112" i="41" s="1"/>
  <c r="AK112" i="41" s="1"/>
  <c r="AQ112" i="41" s="1"/>
  <c r="AR112" i="41" s="1"/>
  <c r="AU112" i="41" s="1"/>
  <c r="AW112" i="41" s="1"/>
  <c r="BJ113" i="41"/>
  <c r="AH113" i="41" s="1"/>
  <c r="AJ113" i="41" s="1"/>
  <c r="AK113" i="41" s="1"/>
  <c r="AQ113" i="41" s="1"/>
  <c r="AR113" i="41" s="1"/>
  <c r="AU113" i="41" s="1"/>
  <c r="AW113" i="41" s="1"/>
  <c r="BJ114" i="41"/>
  <c r="AH114" i="41" s="1"/>
  <c r="AJ114" i="41" s="1"/>
  <c r="AK114" i="41" s="1"/>
  <c r="AQ114" i="41" s="1"/>
  <c r="AR114" i="41" s="1"/>
  <c r="AU114" i="41" s="1"/>
  <c r="AW114" i="41" s="1"/>
  <c r="BJ115" i="41"/>
  <c r="AH115" i="41" s="1"/>
  <c r="AJ115" i="41" s="1"/>
  <c r="AK115" i="41" s="1"/>
  <c r="AQ115" i="41" s="1"/>
  <c r="AR115" i="41" s="1"/>
  <c r="AU115" i="41" s="1"/>
  <c r="AW115" i="41" s="1"/>
  <c r="BJ116" i="41"/>
  <c r="AH116" i="41" s="1"/>
  <c r="AJ116" i="41" s="1"/>
  <c r="AK116" i="41" s="1"/>
  <c r="AQ116" i="41" s="1"/>
  <c r="AR116" i="41" s="1"/>
  <c r="AU116" i="41" s="1"/>
  <c r="AW116" i="41" s="1"/>
  <c r="BJ117" i="41"/>
  <c r="AH117" i="41" s="1"/>
  <c r="AJ117" i="41" s="1"/>
  <c r="AK117" i="41" s="1"/>
  <c r="AQ117" i="41" s="1"/>
  <c r="AR117" i="41" s="1"/>
  <c r="AU117" i="41" s="1"/>
  <c r="AW117" i="41" s="1"/>
  <c r="BJ118" i="41"/>
  <c r="AH118" i="41" s="1"/>
  <c r="AJ118" i="41" s="1"/>
  <c r="AK118" i="41" s="1"/>
  <c r="AQ118" i="41" s="1"/>
  <c r="AR118" i="41" s="1"/>
  <c r="AU118" i="41" s="1"/>
  <c r="AW118" i="41" s="1"/>
  <c r="BJ119" i="41"/>
  <c r="AH119" i="41" s="1"/>
  <c r="AJ119" i="41" s="1"/>
  <c r="AK119" i="41" s="1"/>
  <c r="AQ119" i="41" s="1"/>
  <c r="AR119" i="41" s="1"/>
  <c r="AU119" i="41" s="1"/>
  <c r="AW119" i="41" s="1"/>
  <c r="BJ120" i="41"/>
  <c r="AH120" i="41" s="1"/>
  <c r="AJ120" i="41" s="1"/>
  <c r="AK120" i="41" s="1"/>
  <c r="AQ120" i="41" s="1"/>
  <c r="AR120" i="41" s="1"/>
  <c r="AU120" i="41" s="1"/>
  <c r="AW120" i="41" s="1"/>
  <c r="BJ121" i="41"/>
  <c r="AH121" i="41" s="1"/>
  <c r="AJ121" i="41" s="1"/>
  <c r="AK121" i="41" s="1"/>
  <c r="AQ121" i="41" s="1"/>
  <c r="AR121" i="41" s="1"/>
  <c r="AU121" i="41" s="1"/>
  <c r="AW121" i="41" s="1"/>
  <c r="BJ122" i="41"/>
  <c r="AH122" i="41" s="1"/>
  <c r="AJ122" i="41" s="1"/>
  <c r="AK122" i="41" s="1"/>
  <c r="AQ122" i="41" s="1"/>
  <c r="AR122" i="41" s="1"/>
  <c r="AU122" i="41" s="1"/>
  <c r="AW122" i="41" s="1"/>
  <c r="BJ123" i="41"/>
  <c r="AH123" i="41" s="1"/>
  <c r="AJ123" i="41" s="1"/>
  <c r="AK123" i="41" s="1"/>
  <c r="AQ123" i="41" s="1"/>
  <c r="AR123" i="41" s="1"/>
  <c r="AU123" i="41" s="1"/>
  <c r="AW123" i="41" s="1"/>
  <c r="BJ124" i="41"/>
  <c r="AH124" i="41" s="1"/>
  <c r="AJ124" i="41" s="1"/>
  <c r="AK124" i="41" s="1"/>
  <c r="AQ124" i="41" s="1"/>
  <c r="AR124" i="41" s="1"/>
  <c r="AU124" i="41" s="1"/>
  <c r="AW124" i="41" s="1"/>
  <c r="BJ125" i="41"/>
  <c r="AH125" i="41" s="1"/>
  <c r="AJ125" i="41" s="1"/>
  <c r="AK125" i="41" s="1"/>
  <c r="AQ125" i="41" s="1"/>
  <c r="AR125" i="41" s="1"/>
  <c r="AU125" i="41" s="1"/>
  <c r="AW125" i="41" s="1"/>
  <c r="BJ126" i="41"/>
  <c r="AH126" i="41" s="1"/>
  <c r="AJ126" i="41" s="1"/>
  <c r="AK126" i="41" s="1"/>
  <c r="AQ126" i="41" s="1"/>
  <c r="AR126" i="41" s="1"/>
  <c r="AU126" i="41" s="1"/>
  <c r="AW126" i="41" s="1"/>
  <c r="BJ127" i="41"/>
  <c r="AH127" i="41" s="1"/>
  <c r="AJ127" i="41" s="1"/>
  <c r="AK127" i="41" s="1"/>
  <c r="AQ127" i="41" s="1"/>
  <c r="AR127" i="41" s="1"/>
  <c r="AU127" i="41" s="1"/>
  <c r="AW127" i="41" s="1"/>
  <c r="BJ128" i="41"/>
  <c r="AH128" i="41" s="1"/>
  <c r="AJ128" i="41" s="1"/>
  <c r="AK128" i="41" s="1"/>
  <c r="AQ128" i="41" s="1"/>
  <c r="AR128" i="41" s="1"/>
  <c r="AU128" i="41" s="1"/>
  <c r="AW128" i="41" s="1"/>
  <c r="BJ186" i="41"/>
  <c r="AH186" i="41" s="1"/>
  <c r="AJ186" i="41" s="1"/>
  <c r="AK186" i="41" s="1"/>
  <c r="AQ186" i="41" s="1"/>
  <c r="AR186" i="41" s="1"/>
  <c r="AU186" i="41" s="1"/>
  <c r="AW186" i="41" s="1"/>
  <c r="BJ129" i="41"/>
  <c r="AH129" i="41" s="1"/>
  <c r="AJ129" i="41" s="1"/>
  <c r="AK129" i="41" s="1"/>
  <c r="AQ129" i="41" s="1"/>
  <c r="AR129" i="41" s="1"/>
  <c r="AU129" i="41" s="1"/>
  <c r="AW129" i="41" s="1"/>
  <c r="BJ130" i="41"/>
  <c r="AH130" i="41" s="1"/>
  <c r="AJ130" i="41" s="1"/>
  <c r="AK130" i="41" s="1"/>
  <c r="AQ130" i="41" s="1"/>
  <c r="AR130" i="41" s="1"/>
  <c r="AU130" i="41" s="1"/>
  <c r="AW130" i="41" s="1"/>
  <c r="BJ182" i="41"/>
  <c r="AH182" i="41" s="1"/>
  <c r="AJ182" i="41" s="1"/>
  <c r="AK182" i="41" s="1"/>
  <c r="AQ182" i="41" s="1"/>
  <c r="AR182" i="41" s="1"/>
  <c r="AU182" i="41" s="1"/>
  <c r="AW182" i="41" s="1"/>
  <c r="BJ131" i="41"/>
  <c r="AH131" i="41" s="1"/>
  <c r="AJ131" i="41" s="1"/>
  <c r="AK131" i="41" s="1"/>
  <c r="AQ131" i="41" s="1"/>
  <c r="AR131" i="41" s="1"/>
  <c r="AU131" i="41" s="1"/>
  <c r="AW131" i="41" s="1"/>
  <c r="BJ132" i="41"/>
  <c r="AH132" i="41" s="1"/>
  <c r="AJ132" i="41" s="1"/>
  <c r="AK132" i="41" s="1"/>
  <c r="AQ132" i="41" s="1"/>
  <c r="AR132" i="41" s="1"/>
  <c r="AU132" i="41" s="1"/>
  <c r="AW132" i="41" s="1"/>
  <c r="BJ133" i="41"/>
  <c r="AH133" i="41" s="1"/>
  <c r="AJ133" i="41" s="1"/>
  <c r="AK133" i="41" s="1"/>
  <c r="AQ133" i="41" s="1"/>
  <c r="AR133" i="41" s="1"/>
  <c r="AU133" i="41" s="1"/>
  <c r="AW133" i="41" s="1"/>
  <c r="BJ178" i="41"/>
  <c r="AH178" i="41" s="1"/>
  <c r="AJ178" i="41" s="1"/>
  <c r="AK178" i="41" s="1"/>
  <c r="AQ178" i="41" s="1"/>
  <c r="AR178" i="41" s="1"/>
  <c r="AU178" i="41" s="1"/>
  <c r="AW178" i="41" s="1"/>
  <c r="BJ134" i="41"/>
  <c r="AH134" i="41" s="1"/>
  <c r="AJ134" i="41" s="1"/>
  <c r="AK134" i="41" s="1"/>
  <c r="AQ134" i="41" s="1"/>
  <c r="AR134" i="41" s="1"/>
  <c r="AU134" i="41" s="1"/>
  <c r="AW134" i="41" s="1"/>
  <c r="BJ135" i="41"/>
  <c r="AH135" i="41" s="1"/>
  <c r="AJ135" i="41" s="1"/>
  <c r="AK135" i="41" s="1"/>
  <c r="AQ135" i="41" s="1"/>
  <c r="AR135" i="41" s="1"/>
  <c r="AU135" i="41" s="1"/>
  <c r="AW135" i="41" s="1"/>
  <c r="BJ187" i="41"/>
  <c r="AH187" i="41" s="1"/>
  <c r="AJ187" i="41" s="1"/>
  <c r="AK187" i="41" s="1"/>
  <c r="AQ187" i="41" s="1"/>
  <c r="AR187" i="41" s="1"/>
  <c r="AU187" i="41" s="1"/>
  <c r="AW187" i="41" s="1"/>
  <c r="BJ174" i="41"/>
  <c r="AH174" i="41" s="1"/>
  <c r="AJ174" i="41" s="1"/>
  <c r="AK174" i="41" s="1"/>
  <c r="AQ174" i="41" s="1"/>
  <c r="AR174" i="41" s="1"/>
  <c r="AU174" i="41" s="1"/>
  <c r="AW174" i="41" s="1"/>
  <c r="BJ136" i="41"/>
  <c r="AH136" i="41" s="1"/>
  <c r="AJ136" i="41" s="1"/>
  <c r="AK136" i="41" s="1"/>
  <c r="AQ136" i="41" s="1"/>
  <c r="AR136" i="41" s="1"/>
  <c r="AU136" i="41" s="1"/>
  <c r="AW136" i="41" s="1"/>
  <c r="BJ137" i="41"/>
  <c r="AH137" i="41" s="1"/>
  <c r="AJ137" i="41" s="1"/>
  <c r="AK137" i="41" s="1"/>
  <c r="AQ137" i="41" s="1"/>
  <c r="AR137" i="41" s="1"/>
  <c r="AU137" i="41" s="1"/>
  <c r="AW137" i="41" s="1"/>
  <c r="BJ177" i="41"/>
  <c r="AH177" i="41" s="1"/>
  <c r="AJ177" i="41" s="1"/>
  <c r="AK177" i="41" s="1"/>
  <c r="AQ177" i="41" s="1"/>
  <c r="AR177" i="41" s="1"/>
  <c r="AU177" i="41" s="1"/>
  <c r="AW177" i="41" s="1"/>
  <c r="BJ138" i="41"/>
  <c r="AH138" i="41" s="1"/>
  <c r="AJ138" i="41" s="1"/>
  <c r="AK138" i="41" s="1"/>
  <c r="AQ138" i="41" s="1"/>
  <c r="AR138" i="41" s="1"/>
  <c r="AU138" i="41" s="1"/>
  <c r="AW138" i="41" s="1"/>
  <c r="BJ139" i="41"/>
  <c r="AH139" i="41" s="1"/>
  <c r="AJ139" i="41" s="1"/>
  <c r="AK139" i="41" s="1"/>
  <c r="AQ139" i="41" s="1"/>
  <c r="AR139" i="41" s="1"/>
  <c r="AU139" i="41" s="1"/>
  <c r="AW139" i="41" s="1"/>
  <c r="BJ140" i="41"/>
  <c r="AH140" i="41" s="1"/>
  <c r="AJ140" i="41" s="1"/>
  <c r="AK140" i="41" s="1"/>
  <c r="AQ140" i="41" s="1"/>
  <c r="AR140" i="41" s="1"/>
  <c r="AU140" i="41" s="1"/>
  <c r="AW140" i="41" s="1"/>
  <c r="BJ179" i="41"/>
  <c r="AH179" i="41" s="1"/>
  <c r="AJ179" i="41" s="1"/>
  <c r="AK179" i="41" s="1"/>
  <c r="AQ179" i="41" s="1"/>
  <c r="AR179" i="41" s="1"/>
  <c r="AU179" i="41" s="1"/>
  <c r="AW179" i="41" s="1"/>
  <c r="BJ141" i="41"/>
  <c r="AH141" i="41" s="1"/>
  <c r="AJ141" i="41" s="1"/>
  <c r="AK141" i="41" s="1"/>
  <c r="AQ141" i="41" s="1"/>
  <c r="AR141" i="41" s="1"/>
  <c r="AU141" i="41" s="1"/>
  <c r="AW141" i="41" s="1"/>
  <c r="BJ142" i="41"/>
  <c r="AH142" i="41" s="1"/>
  <c r="AJ142" i="41" s="1"/>
  <c r="AK142" i="41" s="1"/>
  <c r="AQ142" i="41" s="1"/>
  <c r="AR142" i="41" s="1"/>
  <c r="AU142" i="41" s="1"/>
  <c r="AW142" i="41" s="1"/>
  <c r="BJ143" i="41"/>
  <c r="AH143" i="41" s="1"/>
  <c r="AJ143" i="41" s="1"/>
  <c r="AK143" i="41" s="1"/>
  <c r="AQ143" i="41" s="1"/>
  <c r="AR143" i="41" s="1"/>
  <c r="AU143" i="41" s="1"/>
  <c r="AW143" i="41" s="1"/>
  <c r="BJ188" i="41"/>
  <c r="AH188" i="41" s="1"/>
  <c r="AJ188" i="41" s="1"/>
  <c r="AK188" i="41" s="1"/>
  <c r="AQ188" i="41" s="1"/>
  <c r="AR188" i="41" s="1"/>
  <c r="AU188" i="41" s="1"/>
  <c r="AW188" i="41" s="1"/>
  <c r="BJ144" i="41"/>
  <c r="AH144" i="41" s="1"/>
  <c r="AJ144" i="41" s="1"/>
  <c r="AK144" i="41" s="1"/>
  <c r="AQ144" i="41" s="1"/>
  <c r="AR144" i="41" s="1"/>
  <c r="AU144" i="41" s="1"/>
  <c r="AW144" i="41" s="1"/>
  <c r="BJ145" i="41"/>
  <c r="AH145" i="41" s="1"/>
  <c r="AJ145" i="41" s="1"/>
  <c r="AK145" i="41" s="1"/>
  <c r="AQ145" i="41" s="1"/>
  <c r="AR145" i="41" s="1"/>
  <c r="AU145" i="41" s="1"/>
  <c r="AW145" i="41" s="1"/>
  <c r="BJ180" i="41"/>
  <c r="AH180" i="41" s="1"/>
  <c r="AJ180" i="41" s="1"/>
  <c r="AK180" i="41" s="1"/>
  <c r="AQ180" i="41" s="1"/>
  <c r="AR180" i="41" s="1"/>
  <c r="AU180" i="41" s="1"/>
  <c r="AW180" i="41" s="1"/>
  <c r="BJ146" i="41"/>
  <c r="AH146" i="41" s="1"/>
  <c r="AJ146" i="41" s="1"/>
  <c r="AK146" i="41" s="1"/>
  <c r="AQ146" i="41" s="1"/>
  <c r="AR146" i="41" s="1"/>
  <c r="AU146" i="41" s="1"/>
  <c r="AW146" i="41" s="1"/>
  <c r="BJ147" i="41"/>
  <c r="AH147" i="41" s="1"/>
  <c r="AJ147" i="41" s="1"/>
  <c r="AK147" i="41" s="1"/>
  <c r="AQ147" i="41" s="1"/>
  <c r="AR147" i="41" s="1"/>
  <c r="AU147" i="41" s="1"/>
  <c r="AW147" i="41" s="1"/>
  <c r="BJ148" i="41"/>
  <c r="AH148" i="41" s="1"/>
  <c r="AJ148" i="41" s="1"/>
  <c r="AK148" i="41" s="1"/>
  <c r="AQ148" i="41" s="1"/>
  <c r="AR148" i="41" s="1"/>
  <c r="AU148" i="41" s="1"/>
  <c r="AW148" i="41" s="1"/>
  <c r="BJ149" i="41"/>
  <c r="AH149" i="41" s="1"/>
  <c r="AJ149" i="41" s="1"/>
  <c r="AK149" i="41" s="1"/>
  <c r="AQ149" i="41" s="1"/>
  <c r="AR149" i="41" s="1"/>
  <c r="AU149" i="41" s="1"/>
  <c r="AW149" i="41" s="1"/>
  <c r="BJ171" i="41"/>
  <c r="AH171" i="41" s="1"/>
  <c r="AJ171" i="41" s="1"/>
  <c r="AK171" i="41" s="1"/>
  <c r="AQ171" i="41" s="1"/>
  <c r="AR171" i="41" s="1"/>
  <c r="AU171" i="41" s="1"/>
  <c r="AW171" i="41" s="1"/>
  <c r="BJ150" i="41"/>
  <c r="AH150" i="41" s="1"/>
  <c r="AJ150" i="41" s="1"/>
  <c r="AK150" i="41" s="1"/>
  <c r="AQ150" i="41" s="1"/>
  <c r="AR150" i="41" s="1"/>
  <c r="AU150" i="41" s="1"/>
  <c r="AW150" i="41" s="1"/>
  <c r="BJ184" i="41"/>
  <c r="AH184" i="41" s="1"/>
  <c r="AJ184" i="41" s="1"/>
  <c r="AK184" i="41" s="1"/>
  <c r="AQ184" i="41" s="1"/>
  <c r="AR184" i="41" s="1"/>
  <c r="AU184" i="41" s="1"/>
  <c r="AW184" i="41" s="1"/>
  <c r="BJ151" i="41"/>
  <c r="AH151" i="41" s="1"/>
  <c r="AJ151" i="41" s="1"/>
  <c r="AK151" i="41" s="1"/>
  <c r="AQ151" i="41" s="1"/>
  <c r="AR151" i="41" s="1"/>
  <c r="AU151" i="41" s="1"/>
  <c r="AW151" i="41" s="1"/>
  <c r="BJ152" i="41"/>
  <c r="AH152" i="41" s="1"/>
  <c r="AJ152" i="41" s="1"/>
  <c r="AK152" i="41" s="1"/>
  <c r="AQ152" i="41" s="1"/>
  <c r="AR152" i="41" s="1"/>
  <c r="AU152" i="41" s="1"/>
  <c r="AW152" i="41" s="1"/>
  <c r="BJ153" i="41"/>
  <c r="AH153" i="41" s="1"/>
  <c r="AJ153" i="41" s="1"/>
  <c r="AK153" i="41" s="1"/>
  <c r="AQ153" i="41" s="1"/>
  <c r="AR153" i="41" s="1"/>
  <c r="AU153" i="41" s="1"/>
  <c r="AW153" i="41" s="1"/>
  <c r="BJ154" i="41"/>
  <c r="AH154" i="41" s="1"/>
  <c r="AJ154" i="41" s="1"/>
  <c r="AK154" i="41" s="1"/>
  <c r="AQ154" i="41" s="1"/>
  <c r="AR154" i="41" s="1"/>
  <c r="AU154" i="41" s="1"/>
  <c r="AW154" i="41" s="1"/>
  <c r="BJ181" i="41"/>
  <c r="AH181" i="41" s="1"/>
  <c r="AJ181" i="41" s="1"/>
  <c r="AK181" i="41" s="1"/>
  <c r="AQ181" i="41" s="1"/>
  <c r="AR181" i="41" s="1"/>
  <c r="AU181" i="41" s="1"/>
  <c r="AW181" i="41" s="1"/>
  <c r="BJ189" i="41"/>
  <c r="AH189" i="41" s="1"/>
  <c r="AJ189" i="41" s="1"/>
  <c r="AK189" i="41" s="1"/>
  <c r="AQ189" i="41" s="1"/>
  <c r="AR189" i="41" s="1"/>
  <c r="AU189" i="41" s="1"/>
  <c r="AW189" i="41" s="1"/>
  <c r="BJ155" i="41"/>
  <c r="AH155" i="41" s="1"/>
  <c r="AJ155" i="41" s="1"/>
  <c r="AK155" i="41" s="1"/>
  <c r="AQ155" i="41" s="1"/>
  <c r="AR155" i="41" s="1"/>
  <c r="AU155" i="41" s="1"/>
  <c r="AW155" i="41" s="1"/>
  <c r="BJ169" i="41"/>
  <c r="AH169" i="41" s="1"/>
  <c r="AJ169" i="41" s="1"/>
  <c r="AK169" i="41" s="1"/>
  <c r="AQ169" i="41" s="1"/>
  <c r="AR169" i="41" s="1"/>
  <c r="AU169" i="41" s="1"/>
  <c r="AW169" i="41" s="1"/>
  <c r="BJ156" i="41"/>
  <c r="AH156" i="41" s="1"/>
  <c r="AJ156" i="41" s="1"/>
  <c r="AK156" i="41" s="1"/>
  <c r="AQ156" i="41" s="1"/>
  <c r="AR156" i="41" s="1"/>
  <c r="AU156" i="41" s="1"/>
  <c r="AW156" i="41" s="1"/>
  <c r="BJ157" i="41"/>
  <c r="AH157" i="41" s="1"/>
  <c r="AJ157" i="41" s="1"/>
  <c r="AK157" i="41" s="1"/>
  <c r="AQ157" i="41" s="1"/>
  <c r="AR157" i="41" s="1"/>
  <c r="AU157" i="41" s="1"/>
  <c r="AW157" i="41" s="1"/>
  <c r="BJ158" i="41"/>
  <c r="AH158" i="41" s="1"/>
  <c r="AJ158" i="41" s="1"/>
  <c r="AK158" i="41" s="1"/>
  <c r="AQ158" i="41" s="1"/>
  <c r="AR158" i="41" s="1"/>
  <c r="AU158" i="41" s="1"/>
  <c r="AW158" i="41" s="1"/>
  <c r="BJ159" i="41"/>
  <c r="AH159" i="41" s="1"/>
  <c r="AJ159" i="41" s="1"/>
  <c r="AK159" i="41" s="1"/>
  <c r="AQ159" i="41" s="1"/>
  <c r="AR159" i="41" s="1"/>
  <c r="AU159" i="41" s="1"/>
  <c r="AW159" i="41" s="1"/>
  <c r="BJ160" i="41"/>
  <c r="AH160" i="41" s="1"/>
  <c r="AJ160" i="41" s="1"/>
  <c r="AK160" i="41" s="1"/>
  <c r="AQ160" i="41" s="1"/>
  <c r="AR160" i="41" s="1"/>
  <c r="AU160" i="41" s="1"/>
  <c r="AW160" i="41" s="1"/>
  <c r="BJ172" i="41"/>
  <c r="AH172" i="41" s="1"/>
  <c r="AJ172" i="41" s="1"/>
  <c r="AK172" i="41" s="1"/>
  <c r="AQ172" i="41" s="1"/>
  <c r="AR172" i="41" s="1"/>
  <c r="AU172" i="41" s="1"/>
  <c r="AW172" i="41" s="1"/>
  <c r="BJ190" i="41"/>
  <c r="AH190" i="41" s="1"/>
  <c r="AJ190" i="41" s="1"/>
  <c r="AK190" i="41" s="1"/>
  <c r="AQ190" i="41" s="1"/>
  <c r="AR190" i="41" s="1"/>
  <c r="AU190" i="41" s="1"/>
  <c r="AW190" i="41" s="1"/>
  <c r="BJ183" i="41"/>
  <c r="AH183" i="41" s="1"/>
  <c r="AJ183" i="41" s="1"/>
  <c r="AK183" i="41" s="1"/>
  <c r="AQ183" i="41" s="1"/>
  <c r="AR183" i="41" s="1"/>
  <c r="AU183" i="41" s="1"/>
  <c r="AW183" i="41" s="1"/>
  <c r="BJ191" i="41"/>
  <c r="AH191" i="41" s="1"/>
  <c r="AJ191" i="41" s="1"/>
  <c r="AK191" i="41" s="1"/>
  <c r="AQ191" i="41" s="1"/>
  <c r="AR191" i="41" s="1"/>
  <c r="AU191" i="41" s="1"/>
  <c r="AW191" i="41" s="1"/>
  <c r="BJ192" i="41"/>
  <c r="AH192" i="41" s="1"/>
  <c r="AJ192" i="41" s="1"/>
  <c r="AK192" i="41" s="1"/>
  <c r="AQ192" i="41" s="1"/>
  <c r="AR192" i="41" s="1"/>
  <c r="AU192" i="41" s="1"/>
  <c r="AW192" i="41" s="1"/>
  <c r="BJ170" i="41"/>
  <c r="AH170" i="41" s="1"/>
  <c r="AJ170" i="41" s="1"/>
  <c r="AK170" i="41" s="1"/>
  <c r="AQ170" i="41" s="1"/>
  <c r="AR170" i="41" s="1"/>
  <c r="AU170" i="41" s="1"/>
  <c r="AW170" i="41" s="1"/>
  <c r="BJ161" i="41"/>
  <c r="AH161" i="41" s="1"/>
  <c r="AJ161" i="41" s="1"/>
  <c r="AK161" i="41" s="1"/>
  <c r="AQ161" i="41" s="1"/>
  <c r="AR161" i="41" s="1"/>
  <c r="AU161" i="41" s="1"/>
  <c r="AW161" i="41" s="1"/>
  <c r="BJ193" i="41"/>
  <c r="AH193" i="41" s="1"/>
  <c r="BJ162" i="41"/>
  <c r="AH162" i="41" s="1"/>
  <c r="AJ162" i="41" s="1"/>
  <c r="AK162" i="41" s="1"/>
  <c r="AQ162" i="41" s="1"/>
  <c r="AR162" i="41" s="1"/>
  <c r="AU162" i="41" s="1"/>
  <c r="AW162" i="41" s="1"/>
  <c r="BJ163" i="41"/>
  <c r="AH163" i="41" s="1"/>
  <c r="AJ163" i="41" s="1"/>
  <c r="AK163" i="41" s="1"/>
  <c r="AQ163" i="41" s="1"/>
  <c r="AR163" i="41" s="1"/>
  <c r="AU163" i="41" s="1"/>
  <c r="AW163" i="41" s="1"/>
  <c r="BJ173" i="41"/>
  <c r="AH173" i="41" s="1"/>
  <c r="AJ173" i="41" s="1"/>
  <c r="AK173" i="41" s="1"/>
  <c r="AQ173" i="41" s="1"/>
  <c r="AR173" i="41" s="1"/>
  <c r="AU173" i="41" s="1"/>
  <c r="AW173" i="41" s="1"/>
  <c r="BJ164" i="41"/>
  <c r="AH164" i="41" s="1"/>
  <c r="AJ164" i="41" s="1"/>
  <c r="AK164" i="41" s="1"/>
  <c r="AQ164" i="41" s="1"/>
  <c r="AR164" i="41" s="1"/>
  <c r="AU164" i="41" s="1"/>
  <c r="AW164" i="41" s="1"/>
  <c r="BJ176" i="41"/>
  <c r="AH176" i="41" s="1"/>
  <c r="AJ176" i="41" s="1"/>
  <c r="AK176" i="41" s="1"/>
  <c r="AQ176" i="41" s="1"/>
  <c r="AR176" i="41" s="1"/>
  <c r="AU176" i="41" s="1"/>
  <c r="AW176" i="41" s="1"/>
  <c r="BJ165" i="41"/>
  <c r="AH165" i="41" s="1"/>
  <c r="AJ165" i="41" s="1"/>
  <c r="AK165" i="41" s="1"/>
  <c r="AQ165" i="41" s="1"/>
  <c r="AR165" i="41" s="1"/>
  <c r="AU165" i="41" s="1"/>
  <c r="AW165" i="41" s="1"/>
  <c r="BJ175" i="41"/>
  <c r="AH175" i="41" s="1"/>
  <c r="AJ175" i="41" s="1"/>
  <c r="AK175" i="41" s="1"/>
  <c r="AQ175" i="41" s="1"/>
  <c r="AR175" i="41" s="1"/>
  <c r="AU175" i="41" s="1"/>
  <c r="AW175" i="41" s="1"/>
  <c r="BJ166" i="41"/>
  <c r="AH166" i="41" s="1"/>
  <c r="AJ166" i="41" s="1"/>
  <c r="AK166" i="41" s="1"/>
  <c r="AQ166" i="41" s="1"/>
  <c r="AR166" i="41" s="1"/>
  <c r="AU166" i="41" s="1"/>
  <c r="AW166" i="41" s="1"/>
  <c r="BJ194" i="41"/>
  <c r="AH194" i="41" s="1"/>
  <c r="AJ194" i="41" s="1"/>
  <c r="AK194" i="41" s="1"/>
  <c r="AQ194" i="41" s="1"/>
  <c r="AR194" i="41" s="1"/>
  <c r="AU194" i="41" s="1"/>
  <c r="AW194" i="41" s="1"/>
  <c r="BJ167" i="41"/>
  <c r="AH167" i="41" s="1"/>
  <c r="AJ167" i="41" s="1"/>
  <c r="AK167" i="41" s="1"/>
  <c r="AQ167" i="41" s="1"/>
  <c r="AR167" i="41" s="1"/>
  <c r="AU167" i="41" s="1"/>
  <c r="AW167" i="41" s="1"/>
  <c r="BJ195" i="41"/>
  <c r="AH195" i="41" s="1"/>
  <c r="AJ195" i="41" s="1"/>
  <c r="AK195" i="41" s="1"/>
  <c r="AQ195" i="41" s="1"/>
  <c r="AR195" i="41" s="1"/>
  <c r="AU195" i="41" s="1"/>
  <c r="AW195" i="41" s="1"/>
  <c r="BJ43" i="41"/>
  <c r="AH43" i="41" s="1"/>
  <c r="AJ43" i="41" s="1"/>
  <c r="AK43" i="41" s="1"/>
  <c r="AQ43" i="41" s="1"/>
  <c r="AR43" i="41" s="1"/>
  <c r="AU43" i="41" s="1"/>
  <c r="AW43" i="41" s="1"/>
  <c r="BJ196" i="41"/>
  <c r="AH196" i="41" s="1"/>
  <c r="AJ196" i="41" s="1"/>
  <c r="AK196" i="41" s="1"/>
  <c r="AQ196" i="41" s="1"/>
  <c r="AR196" i="41" s="1"/>
  <c r="AU196" i="41" s="1"/>
  <c r="AW196" i="41" s="1"/>
  <c r="BJ197" i="41"/>
  <c r="AH197" i="41" s="1"/>
  <c r="AJ197" i="41" s="1"/>
  <c r="AK197" i="41" s="1"/>
  <c r="AQ197" i="41" s="1"/>
  <c r="AR197" i="41" s="1"/>
  <c r="AU197" i="41" s="1"/>
  <c r="AW197" i="41" s="1"/>
  <c r="BJ40" i="41"/>
  <c r="AH40" i="41" s="1"/>
  <c r="AJ40" i="41" s="1"/>
  <c r="AK40" i="41" s="1"/>
  <c r="AQ40" i="41" s="1"/>
  <c r="AR40" i="41" s="1"/>
  <c r="AU40" i="41" s="1"/>
  <c r="AW40" i="41" s="1"/>
  <c r="BJ198" i="41"/>
  <c r="AH198" i="41" s="1"/>
  <c r="AJ198" i="41" s="1"/>
  <c r="AK198" i="41" s="1"/>
  <c r="AQ198" i="41" s="1"/>
  <c r="AR198" i="41" s="1"/>
  <c r="AU198" i="41" s="1"/>
  <c r="AW198" i="41" s="1"/>
  <c r="BJ199" i="41"/>
  <c r="AH199" i="41" s="1"/>
  <c r="AJ199" i="41" s="1"/>
  <c r="AK199" i="41" s="1"/>
  <c r="AQ199" i="41" s="1"/>
  <c r="AR199" i="41" s="1"/>
  <c r="AU199" i="41" s="1"/>
  <c r="AW199" i="41" s="1"/>
  <c r="BJ39" i="41"/>
  <c r="AH39" i="41" s="1"/>
  <c r="AJ39" i="41" s="1"/>
  <c r="AK39" i="41" s="1"/>
  <c r="AQ39" i="41" s="1"/>
  <c r="AR39" i="41" s="1"/>
  <c r="AU39" i="41" s="1"/>
  <c r="AW39" i="41" s="1"/>
  <c r="BJ200" i="41"/>
  <c r="AH200" i="41" s="1"/>
  <c r="AJ200" i="41" s="1"/>
  <c r="AK200" i="41" s="1"/>
  <c r="AQ200" i="41" s="1"/>
  <c r="AR200" i="41" s="1"/>
  <c r="AU200" i="41" s="1"/>
  <c r="AW200" i="41" s="1"/>
  <c r="BJ201" i="41"/>
  <c r="AH201" i="41" s="1"/>
  <c r="AJ201" i="41" s="1"/>
  <c r="AK201" i="41" s="1"/>
  <c r="AQ201" i="41" s="1"/>
  <c r="AR201" i="41" s="1"/>
  <c r="AU201" i="41" s="1"/>
  <c r="AW201" i="41" s="1"/>
  <c r="BJ202" i="41"/>
  <c r="AH202" i="41" s="1"/>
  <c r="AJ202" i="41" s="1"/>
  <c r="AK202" i="41" s="1"/>
  <c r="AQ202" i="41" s="1"/>
  <c r="AR202" i="41" s="1"/>
  <c r="AU202" i="41" s="1"/>
  <c r="AW202" i="41" s="1"/>
  <c r="BJ203" i="41"/>
  <c r="AH203" i="41" s="1"/>
  <c r="AJ203" i="41" s="1"/>
  <c r="AK203" i="41" s="1"/>
  <c r="AQ203" i="41" s="1"/>
  <c r="AR203" i="41" s="1"/>
  <c r="AU203" i="41" s="1"/>
  <c r="AW203" i="41" s="1"/>
  <c r="BJ48" i="41"/>
  <c r="AH48" i="41" s="1"/>
  <c r="AJ48" i="41" s="1"/>
  <c r="AK48" i="41" s="1"/>
  <c r="AQ48" i="41" s="1"/>
  <c r="AR48" i="41" s="1"/>
  <c r="AU48" i="41" s="1"/>
  <c r="AW48" i="41" s="1"/>
  <c r="BJ36" i="41"/>
  <c r="AH36" i="41" s="1"/>
  <c r="AJ36" i="41" s="1"/>
  <c r="AK36" i="41" s="1"/>
  <c r="AQ36" i="41" s="1"/>
  <c r="AR36" i="41" s="1"/>
  <c r="AU36" i="41" s="1"/>
  <c r="AW36" i="41" s="1"/>
  <c r="BJ204" i="41"/>
  <c r="AH204" i="41" s="1"/>
  <c r="AJ204" i="41" s="1"/>
  <c r="AK204" i="41" s="1"/>
  <c r="AQ204" i="41" s="1"/>
  <c r="AR204" i="41" s="1"/>
  <c r="AU204" i="41" s="1"/>
  <c r="AW204" i="41" s="1"/>
  <c r="BJ205" i="41"/>
  <c r="AH205" i="41" s="1"/>
  <c r="AJ205" i="41" s="1"/>
  <c r="AK205" i="41" s="1"/>
  <c r="AQ205" i="41" s="1"/>
  <c r="AR205" i="41" s="1"/>
  <c r="AU205" i="41" s="1"/>
  <c r="AW205" i="41" s="1"/>
  <c r="BJ35" i="41"/>
  <c r="AH35" i="41" s="1"/>
  <c r="AJ35" i="41" s="1"/>
  <c r="AK35" i="41" s="1"/>
  <c r="AQ35" i="41" s="1"/>
  <c r="AR35" i="41" s="1"/>
  <c r="AU35" i="41" s="1"/>
  <c r="AW35" i="41" s="1"/>
  <c r="BJ49" i="41"/>
  <c r="AH49" i="41" s="1"/>
  <c r="AJ49" i="41" s="1"/>
  <c r="AK49" i="41" s="1"/>
  <c r="AQ49" i="41" s="1"/>
  <c r="AR49" i="41" s="1"/>
  <c r="AU49" i="41" s="1"/>
  <c r="AW49" i="41" s="1"/>
  <c r="BJ50" i="41"/>
  <c r="AH50" i="41" s="1"/>
  <c r="AJ50" i="41" s="1"/>
  <c r="AK50" i="41" s="1"/>
  <c r="AQ50" i="41" s="1"/>
  <c r="AR50" i="41" s="1"/>
  <c r="AU50" i="41" s="1"/>
  <c r="AW50" i="41" s="1"/>
  <c r="BJ42" i="41"/>
  <c r="AH42" i="41" s="1"/>
  <c r="AJ42" i="41" s="1"/>
  <c r="AK42" i="41" s="1"/>
  <c r="AQ42" i="41" s="1"/>
  <c r="AR42" i="41" s="1"/>
  <c r="AU42" i="41" s="1"/>
  <c r="AW42" i="41" s="1"/>
  <c r="BJ206" i="41"/>
  <c r="AH206" i="41" s="1"/>
  <c r="AJ206" i="41" s="1"/>
  <c r="AK206" i="41" s="1"/>
  <c r="AQ206" i="41" s="1"/>
  <c r="AR206" i="41" s="1"/>
  <c r="AU206" i="41" s="1"/>
  <c r="AW206" i="41" s="1"/>
  <c r="BJ207" i="41"/>
  <c r="AH207" i="41" s="1"/>
  <c r="AJ207" i="41" s="1"/>
  <c r="AK207" i="41" s="1"/>
  <c r="AQ207" i="41" s="1"/>
  <c r="AR207" i="41" s="1"/>
  <c r="AU207" i="41" s="1"/>
  <c r="AW207" i="41" s="1"/>
  <c r="BJ26" i="41"/>
  <c r="AH26" i="41" s="1"/>
  <c r="AJ26" i="41" s="1"/>
  <c r="AK26" i="41" s="1"/>
  <c r="AQ26" i="41" s="1"/>
  <c r="AR26" i="41" s="1"/>
  <c r="AU26" i="41" s="1"/>
  <c r="AW26" i="41" s="1"/>
  <c r="BJ24" i="41"/>
  <c r="AH24" i="41" s="1"/>
  <c r="AJ24" i="41" s="1"/>
  <c r="AK24" i="41" s="1"/>
  <c r="AQ24" i="41" s="1"/>
  <c r="AR24" i="41" s="1"/>
  <c r="AU24" i="41" s="1"/>
  <c r="AW24" i="41" s="1"/>
  <c r="BJ208" i="41"/>
  <c r="AH208" i="41" s="1"/>
  <c r="AJ208" i="41" s="1"/>
  <c r="AK208" i="41" s="1"/>
  <c r="AQ208" i="41" s="1"/>
  <c r="AR208" i="41" s="1"/>
  <c r="AU208" i="41" s="1"/>
  <c r="AW208" i="41" s="1"/>
  <c r="BJ29" i="41"/>
  <c r="AH29" i="41" s="1"/>
  <c r="AJ29" i="41" s="1"/>
  <c r="AK29" i="41" s="1"/>
  <c r="AQ29" i="41" s="1"/>
  <c r="AR29" i="41" s="1"/>
  <c r="AU29" i="41" s="1"/>
  <c r="AW29" i="41" s="1"/>
  <c r="BJ168" i="41"/>
  <c r="BJ209" i="41"/>
  <c r="AH209" i="41" s="1"/>
  <c r="AJ209" i="41" s="1"/>
  <c r="AK209" i="41" s="1"/>
  <c r="AQ209" i="41" s="1"/>
  <c r="AR209" i="41" s="1"/>
  <c r="AU209" i="41" s="1"/>
  <c r="AW209" i="41" s="1"/>
  <c r="BJ44" i="41"/>
  <c r="AH44" i="41" s="1"/>
  <c r="AJ44" i="41" s="1"/>
  <c r="AK44" i="41" s="1"/>
  <c r="AQ44" i="41" s="1"/>
  <c r="AR44" i="41" s="1"/>
  <c r="AU44" i="41" s="1"/>
  <c r="AW44" i="41" s="1"/>
  <c r="BJ210" i="41"/>
  <c r="AH210" i="41" s="1"/>
  <c r="AJ210" i="41" s="1"/>
  <c r="AK210" i="41" s="1"/>
  <c r="AQ210" i="41" s="1"/>
  <c r="AR210" i="41" s="1"/>
  <c r="AU210" i="41" s="1"/>
  <c r="AW210" i="41" s="1"/>
  <c r="BJ211" i="41"/>
  <c r="AH211" i="41" s="1"/>
  <c r="AJ211" i="41" s="1"/>
  <c r="AK211" i="41" s="1"/>
  <c r="AQ211" i="41" s="1"/>
  <c r="AR211" i="41" s="1"/>
  <c r="AU211" i="41" s="1"/>
  <c r="AW211" i="41" s="1"/>
  <c r="BJ31" i="41"/>
  <c r="AH31" i="41" s="1"/>
  <c r="AJ31" i="41" s="1"/>
  <c r="AK31" i="41" s="1"/>
  <c r="AQ31" i="41" s="1"/>
  <c r="AR31" i="41" s="1"/>
  <c r="AU31" i="41" s="1"/>
  <c r="AW31" i="41" s="1"/>
  <c r="BJ212" i="41"/>
  <c r="AH212" i="41" s="1"/>
  <c r="AJ212" i="41" s="1"/>
  <c r="AK212" i="41" s="1"/>
  <c r="AQ212" i="41" s="1"/>
  <c r="AR212" i="41" s="1"/>
  <c r="AU212" i="41" s="1"/>
  <c r="AW212" i="41" s="1"/>
  <c r="BJ28" i="41"/>
  <c r="AH28" i="41" s="1"/>
  <c r="AJ28" i="41" s="1"/>
  <c r="AK28" i="41" s="1"/>
  <c r="AQ28" i="41" s="1"/>
  <c r="AR28" i="41" s="1"/>
  <c r="AU28" i="41" s="1"/>
  <c r="AW28" i="41" s="1"/>
  <c r="BJ51" i="41"/>
  <c r="AH51" i="41" s="1"/>
  <c r="AJ51" i="41" s="1"/>
  <c r="AK51" i="41" s="1"/>
  <c r="AQ51" i="41" s="1"/>
  <c r="AR51" i="41" s="1"/>
  <c r="AU51" i="41" s="1"/>
  <c r="AW51" i="41" s="1"/>
  <c r="BJ213" i="41"/>
  <c r="AH213" i="41" s="1"/>
  <c r="AJ213" i="41" s="1"/>
  <c r="AK213" i="41" s="1"/>
  <c r="AQ213" i="41" s="1"/>
  <c r="AR213" i="41" s="1"/>
  <c r="AU213" i="41" s="1"/>
  <c r="AW213" i="41" s="1"/>
  <c r="BJ214" i="41"/>
  <c r="AH214" i="41" s="1"/>
  <c r="AJ214" i="41" s="1"/>
  <c r="AK214" i="41" s="1"/>
  <c r="AQ214" i="41" s="1"/>
  <c r="AR214" i="41" s="1"/>
  <c r="AU214" i="41" s="1"/>
  <c r="AW214" i="41" s="1"/>
  <c r="H183" i="41"/>
  <c r="H191" i="41"/>
  <c r="H192" i="41"/>
  <c r="H170" i="41"/>
  <c r="H161" i="41"/>
  <c r="H193" i="41"/>
  <c r="H162" i="41"/>
  <c r="H163" i="41"/>
  <c r="H173" i="41"/>
  <c r="H164" i="41"/>
  <c r="H176" i="41"/>
  <c r="H165" i="41"/>
  <c r="H175" i="41"/>
  <c r="H166" i="41"/>
  <c r="H194" i="41"/>
  <c r="H167" i="41"/>
  <c r="H195" i="41"/>
  <c r="H43" i="41"/>
  <c r="H196" i="41"/>
  <c r="H197" i="41"/>
  <c r="H40" i="41"/>
  <c r="H198" i="41"/>
  <c r="H199" i="41"/>
  <c r="H39" i="41"/>
  <c r="H200" i="41"/>
  <c r="H201" i="41"/>
  <c r="H202" i="41"/>
  <c r="H203" i="41"/>
  <c r="H48" i="41"/>
  <c r="H36" i="41"/>
  <c r="H204" i="41"/>
  <c r="H205" i="41"/>
  <c r="H35" i="41"/>
  <c r="H49" i="41"/>
  <c r="H50" i="41"/>
  <c r="H42" i="41"/>
  <c r="H206" i="41"/>
  <c r="H207" i="41"/>
  <c r="H26" i="41"/>
  <c r="H24" i="41"/>
  <c r="H208" i="41"/>
  <c r="H29" i="41"/>
  <c r="H168" i="41"/>
  <c r="J13" i="61" s="1"/>
  <c r="H209" i="41"/>
  <c r="H44" i="41"/>
  <c r="H210" i="41"/>
  <c r="H211" i="41"/>
  <c r="H31" i="41"/>
  <c r="H212" i="41"/>
  <c r="H28" i="41"/>
  <c r="H51" i="41"/>
  <c r="H213" i="41"/>
  <c r="H214" i="41"/>
  <c r="AD168" i="41" l="1"/>
  <c r="H28" i="61"/>
  <c r="AJ193" i="41"/>
  <c r="H157" i="41"/>
  <c r="H152" i="41"/>
  <c r="H146" i="41"/>
  <c r="H179" i="41"/>
  <c r="H124" i="41"/>
  <c r="H108" i="41"/>
  <c r="H72" i="41"/>
  <c r="H64" i="41"/>
  <c r="H15" i="41"/>
  <c r="O160" i="41"/>
  <c r="H160" i="41"/>
  <c r="H181" i="41"/>
  <c r="H149" i="41"/>
  <c r="H143" i="41"/>
  <c r="H137" i="41"/>
  <c r="H115" i="41"/>
  <c r="H172" i="41"/>
  <c r="O159" i="41"/>
  <c r="H159" i="41"/>
  <c r="H169" i="41"/>
  <c r="H154" i="41"/>
  <c r="H184" i="41"/>
  <c r="H148" i="41"/>
  <c r="H145" i="41"/>
  <c r="H142" i="41"/>
  <c r="H131" i="41"/>
  <c r="H118" i="41"/>
  <c r="H102" i="41"/>
  <c r="H98" i="41"/>
  <c r="H82" i="41"/>
  <c r="H66" i="41"/>
  <c r="H62" i="41"/>
  <c r="H189" i="41"/>
  <c r="H171" i="41"/>
  <c r="H188" i="41"/>
  <c r="H177" i="41"/>
  <c r="H127" i="41"/>
  <c r="H92" i="41"/>
  <c r="H76" i="41"/>
  <c r="H56" i="41"/>
  <c r="O190" i="41"/>
  <c r="H190" i="41"/>
  <c r="H156" i="41"/>
  <c r="H151" i="41"/>
  <c r="H180" i="41"/>
  <c r="H129" i="41"/>
  <c r="H111" i="41"/>
  <c r="H95" i="41"/>
  <c r="H79" i="41"/>
  <c r="H59" i="41"/>
  <c r="H14" i="41"/>
  <c r="H158" i="41"/>
  <c r="H155" i="41"/>
  <c r="H153" i="41"/>
  <c r="H150" i="41"/>
  <c r="H147" i="41"/>
  <c r="H144" i="41"/>
  <c r="H141" i="41"/>
  <c r="H174" i="41"/>
  <c r="H178" i="41"/>
  <c r="H121" i="41"/>
  <c r="H105" i="41"/>
  <c r="H89" i="41"/>
  <c r="H85" i="41"/>
  <c r="H69" i="41"/>
  <c r="H53" i="41"/>
  <c r="AL47" i="41"/>
  <c r="O164" i="41"/>
  <c r="O35" i="41"/>
  <c r="O200" i="41"/>
  <c r="O195" i="41"/>
  <c r="O173" i="41"/>
  <c r="O206" i="41"/>
  <c r="O211" i="41"/>
  <c r="O161" i="41"/>
  <c r="O28" i="41"/>
  <c r="O49" i="41"/>
  <c r="O198" i="41"/>
  <c r="O42" i="41"/>
  <c r="O203" i="41"/>
  <c r="O163" i="41"/>
  <c r="O193" i="41"/>
  <c r="O168" i="41"/>
  <c r="J18" i="61" s="1"/>
  <c r="O202" i="41"/>
  <c r="O50" i="41"/>
  <c r="O162" i="41"/>
  <c r="O209" i="41"/>
  <c r="O175" i="41"/>
  <c r="O31" i="41"/>
  <c r="O48" i="41"/>
  <c r="O197" i="41"/>
  <c r="O210" i="41"/>
  <c r="O213" i="41"/>
  <c r="O205" i="41"/>
  <c r="O39" i="41"/>
  <c r="O167" i="41"/>
  <c r="O170" i="41"/>
  <c r="O212" i="41"/>
  <c r="O208" i="41"/>
  <c r="O204" i="41"/>
  <c r="O36" i="41"/>
  <c r="O43" i="41"/>
  <c r="O196" i="41"/>
  <c r="O51" i="41"/>
  <c r="O26" i="41"/>
  <c r="O199" i="41"/>
  <c r="O194" i="41"/>
  <c r="O24" i="41"/>
  <c r="O165" i="41"/>
  <c r="O166" i="41"/>
  <c r="O207" i="41"/>
  <c r="O176" i="41"/>
  <c r="O44" i="41"/>
  <c r="O29" i="41"/>
  <c r="O40" i="41"/>
  <c r="H140" i="41"/>
  <c r="H187" i="41"/>
  <c r="H133" i="41"/>
  <c r="H182" i="41"/>
  <c r="H186" i="41"/>
  <c r="H123" i="41"/>
  <c r="H120" i="41"/>
  <c r="H117" i="41"/>
  <c r="H114" i="41"/>
  <c r="H110" i="41"/>
  <c r="H107" i="41"/>
  <c r="H104" i="41"/>
  <c r="H101" i="41"/>
  <c r="H97" i="41"/>
  <c r="H94" i="41"/>
  <c r="H91" i="41"/>
  <c r="H88" i="41"/>
  <c r="H84" i="41"/>
  <c r="H81" i="41"/>
  <c r="H78" i="41"/>
  <c r="H75" i="41"/>
  <c r="H71" i="41"/>
  <c r="H68" i="41"/>
  <c r="H65" i="41"/>
  <c r="H61" i="41"/>
  <c r="H58" i="41"/>
  <c r="H55" i="41"/>
  <c r="R7" i="58"/>
  <c r="K21" i="59"/>
  <c r="A15" i="59"/>
  <c r="B9" i="59"/>
  <c r="AJ185" i="44"/>
  <c r="Q185" i="44"/>
  <c r="P185" i="44"/>
  <c r="O185" i="44"/>
  <c r="N185" i="44"/>
  <c r="M185" i="44"/>
  <c r="L185" i="44"/>
  <c r="K185" i="44"/>
  <c r="J185" i="44"/>
  <c r="I185" i="44"/>
  <c r="H185" i="44"/>
  <c r="G185" i="44"/>
  <c r="F185" i="44"/>
  <c r="E185" i="44"/>
  <c r="D185" i="44"/>
  <c r="C185" i="44"/>
  <c r="A185" i="44"/>
  <c r="AJ184" i="44"/>
  <c r="Q184" i="44"/>
  <c r="P184" i="44"/>
  <c r="O184" i="44"/>
  <c r="N184" i="44"/>
  <c r="M184" i="44"/>
  <c r="L184" i="44"/>
  <c r="K184" i="44"/>
  <c r="J184" i="44"/>
  <c r="I184" i="44"/>
  <c r="H184" i="44"/>
  <c r="G184" i="44"/>
  <c r="F184" i="44"/>
  <c r="E184" i="44"/>
  <c r="D184" i="44"/>
  <c r="C184" i="44"/>
  <c r="A184" i="44"/>
  <c r="AJ183" i="44"/>
  <c r="Q183" i="44"/>
  <c r="P183" i="44"/>
  <c r="O183" i="44"/>
  <c r="N183" i="44"/>
  <c r="M183" i="44"/>
  <c r="L183" i="44"/>
  <c r="K183" i="44"/>
  <c r="J183" i="44"/>
  <c r="I183" i="44"/>
  <c r="H183" i="44"/>
  <c r="G183" i="44"/>
  <c r="F183" i="44"/>
  <c r="E183" i="44"/>
  <c r="D183" i="44"/>
  <c r="C183" i="44"/>
  <c r="A183" i="44"/>
  <c r="AJ182" i="44"/>
  <c r="Q182" i="44"/>
  <c r="P182" i="44"/>
  <c r="O182" i="44"/>
  <c r="N182" i="44"/>
  <c r="M182" i="44"/>
  <c r="L182" i="44"/>
  <c r="K182" i="44"/>
  <c r="J182" i="44"/>
  <c r="I182" i="44"/>
  <c r="H182" i="44"/>
  <c r="G182" i="44"/>
  <c r="F182" i="44"/>
  <c r="E182" i="44"/>
  <c r="D182" i="44"/>
  <c r="C182" i="44"/>
  <c r="A182" i="44"/>
  <c r="AJ181" i="44"/>
  <c r="Q181" i="44"/>
  <c r="P181" i="44"/>
  <c r="O181" i="44"/>
  <c r="N181" i="44"/>
  <c r="M181" i="44"/>
  <c r="L181" i="44"/>
  <c r="K181" i="44"/>
  <c r="J181" i="44"/>
  <c r="I181" i="44"/>
  <c r="H181" i="44"/>
  <c r="G181" i="44"/>
  <c r="F181" i="44"/>
  <c r="E181" i="44"/>
  <c r="D181" i="44"/>
  <c r="C181" i="44"/>
  <c r="A181" i="44"/>
  <c r="AJ180" i="44"/>
  <c r="Q180" i="44"/>
  <c r="P180" i="44"/>
  <c r="O180" i="44"/>
  <c r="N180" i="44"/>
  <c r="M180" i="44"/>
  <c r="L180" i="44"/>
  <c r="K180" i="44"/>
  <c r="J180" i="44"/>
  <c r="I180" i="44"/>
  <c r="H180" i="44"/>
  <c r="G180" i="44"/>
  <c r="F180" i="44"/>
  <c r="E180" i="44"/>
  <c r="D180" i="44"/>
  <c r="C180" i="44"/>
  <c r="A180" i="44"/>
  <c r="AJ179" i="44"/>
  <c r="Q179" i="44"/>
  <c r="P179" i="44"/>
  <c r="O179" i="44"/>
  <c r="N179" i="44"/>
  <c r="M179" i="44"/>
  <c r="L179" i="44"/>
  <c r="K179" i="44"/>
  <c r="J179" i="44"/>
  <c r="I179" i="44"/>
  <c r="H179" i="44"/>
  <c r="G179" i="44"/>
  <c r="F179" i="44"/>
  <c r="E179" i="44"/>
  <c r="D179" i="44"/>
  <c r="C179" i="44"/>
  <c r="A179" i="44"/>
  <c r="AJ178" i="44"/>
  <c r="Q178" i="44"/>
  <c r="P178" i="44"/>
  <c r="O178" i="44"/>
  <c r="N178" i="44"/>
  <c r="M178" i="44"/>
  <c r="L178" i="44"/>
  <c r="K178" i="44"/>
  <c r="J178" i="44"/>
  <c r="I178" i="44"/>
  <c r="H178" i="44"/>
  <c r="G178" i="44"/>
  <c r="F178" i="44"/>
  <c r="E178" i="44"/>
  <c r="D178" i="44"/>
  <c r="C178" i="44"/>
  <c r="A178" i="44"/>
  <c r="AJ177" i="44"/>
  <c r="Q177" i="44"/>
  <c r="P177" i="44"/>
  <c r="O177" i="44"/>
  <c r="N177" i="44"/>
  <c r="M177" i="44"/>
  <c r="L177" i="44"/>
  <c r="K177" i="44"/>
  <c r="J177" i="44"/>
  <c r="I177" i="44"/>
  <c r="H177" i="44"/>
  <c r="G177" i="44"/>
  <c r="F177" i="44"/>
  <c r="E177" i="44"/>
  <c r="D177" i="44"/>
  <c r="C177" i="44"/>
  <c r="A177" i="44"/>
  <c r="AJ176" i="44"/>
  <c r="Q176" i="44"/>
  <c r="P176" i="44"/>
  <c r="O176" i="44"/>
  <c r="N176" i="44"/>
  <c r="M176" i="44"/>
  <c r="L176" i="44"/>
  <c r="K176" i="44"/>
  <c r="J176" i="44"/>
  <c r="I176" i="44"/>
  <c r="H176" i="44"/>
  <c r="G176" i="44"/>
  <c r="F176" i="44"/>
  <c r="E176" i="44"/>
  <c r="D176" i="44"/>
  <c r="C176" i="44"/>
  <c r="A176" i="44"/>
  <c r="AJ175" i="44"/>
  <c r="Q175" i="44"/>
  <c r="P175" i="44"/>
  <c r="O175" i="44"/>
  <c r="N175" i="44"/>
  <c r="M175" i="44"/>
  <c r="L175" i="44"/>
  <c r="K175" i="44"/>
  <c r="J175" i="44"/>
  <c r="I175" i="44"/>
  <c r="H175" i="44"/>
  <c r="G175" i="44"/>
  <c r="F175" i="44"/>
  <c r="E175" i="44"/>
  <c r="D175" i="44"/>
  <c r="C175" i="44"/>
  <c r="A175" i="44"/>
  <c r="AJ174" i="44"/>
  <c r="Q174" i="44"/>
  <c r="P174" i="44"/>
  <c r="O174" i="44"/>
  <c r="N174" i="44"/>
  <c r="M174" i="44"/>
  <c r="L174" i="44"/>
  <c r="K174" i="44"/>
  <c r="J174" i="44"/>
  <c r="I174" i="44"/>
  <c r="H174" i="44"/>
  <c r="G174" i="44"/>
  <c r="F174" i="44"/>
  <c r="E174" i="44"/>
  <c r="D174" i="44"/>
  <c r="C174" i="44"/>
  <c r="A174" i="44"/>
  <c r="AJ173" i="44"/>
  <c r="Q173" i="44"/>
  <c r="P173" i="44"/>
  <c r="O173" i="44"/>
  <c r="N173" i="44"/>
  <c r="M173" i="44"/>
  <c r="L173" i="44"/>
  <c r="K173" i="44"/>
  <c r="J173" i="44"/>
  <c r="I173" i="44"/>
  <c r="H173" i="44"/>
  <c r="G173" i="44"/>
  <c r="F173" i="44"/>
  <c r="E173" i="44"/>
  <c r="D173" i="44"/>
  <c r="C173" i="44"/>
  <c r="A173" i="44"/>
  <c r="AJ172" i="44"/>
  <c r="Q172" i="44"/>
  <c r="P172" i="44"/>
  <c r="O172" i="44"/>
  <c r="N172" i="44"/>
  <c r="M172" i="44"/>
  <c r="L172" i="44"/>
  <c r="K172" i="44"/>
  <c r="J172" i="44"/>
  <c r="I172" i="44"/>
  <c r="H172" i="44"/>
  <c r="G172" i="44"/>
  <c r="F172" i="44"/>
  <c r="E172" i="44"/>
  <c r="D172" i="44"/>
  <c r="C172" i="44"/>
  <c r="A172" i="44"/>
  <c r="AJ171" i="44"/>
  <c r="Q171" i="44"/>
  <c r="P171" i="44"/>
  <c r="O171" i="44"/>
  <c r="N171" i="44"/>
  <c r="M171" i="44"/>
  <c r="L171" i="44"/>
  <c r="K171" i="44"/>
  <c r="J171" i="44"/>
  <c r="I171" i="44"/>
  <c r="H171" i="44"/>
  <c r="G171" i="44"/>
  <c r="F171" i="44"/>
  <c r="E171" i="44"/>
  <c r="D171" i="44"/>
  <c r="C171" i="44"/>
  <c r="A171" i="44"/>
  <c r="AJ170" i="44"/>
  <c r="Q170" i="44"/>
  <c r="P170" i="44"/>
  <c r="O170" i="44"/>
  <c r="N170" i="44"/>
  <c r="M170" i="44"/>
  <c r="L170" i="44"/>
  <c r="K170" i="44"/>
  <c r="J170" i="44"/>
  <c r="I170" i="44"/>
  <c r="H170" i="44"/>
  <c r="G170" i="44"/>
  <c r="F170" i="44"/>
  <c r="E170" i="44"/>
  <c r="D170" i="44"/>
  <c r="C170" i="44"/>
  <c r="A170" i="44"/>
  <c r="D3640" i="43"/>
  <c r="D3639" i="43"/>
  <c r="D3638" i="43"/>
  <c r="D3637" i="43"/>
  <c r="D3636" i="43"/>
  <c r="D3635" i="43"/>
  <c r="D3634" i="43"/>
  <c r="D3633" i="43"/>
  <c r="D3632" i="43"/>
  <c r="D3631" i="43"/>
  <c r="D3630" i="43"/>
  <c r="D3629" i="43"/>
  <c r="D3628" i="43"/>
  <c r="D3627" i="43"/>
  <c r="N3626" i="43"/>
  <c r="D3626" i="43"/>
  <c r="D3625" i="43"/>
  <c r="U3624" i="43"/>
  <c r="O3625" i="43" s="1"/>
  <c r="P3625" i="43" s="1"/>
  <c r="U3623" i="43"/>
  <c r="T3621" i="43"/>
  <c r="D3620" i="43"/>
  <c r="D3619" i="43"/>
  <c r="D3618" i="43"/>
  <c r="D3617" i="43"/>
  <c r="D3616" i="43"/>
  <c r="D3615" i="43"/>
  <c r="D3614" i="43"/>
  <c r="D3613" i="43"/>
  <c r="D3612" i="43"/>
  <c r="D3611" i="43"/>
  <c r="D3610" i="43"/>
  <c r="D3609" i="43"/>
  <c r="D3608" i="43"/>
  <c r="N3607" i="43"/>
  <c r="D3607" i="43"/>
  <c r="N3606" i="43"/>
  <c r="D3606" i="43"/>
  <c r="D3605" i="43"/>
  <c r="U3604" i="43"/>
  <c r="O3605" i="43" s="1"/>
  <c r="P3605" i="43" s="1"/>
  <c r="U3603" i="43"/>
  <c r="T3601" i="43"/>
  <c r="D3600" i="43"/>
  <c r="D3599" i="43"/>
  <c r="D3598" i="43"/>
  <c r="D3597" i="43"/>
  <c r="D3596" i="43"/>
  <c r="D3595" i="43"/>
  <c r="D3594" i="43"/>
  <c r="D3593" i="43"/>
  <c r="D3592" i="43"/>
  <c r="D3591" i="43"/>
  <c r="D3590" i="43"/>
  <c r="D3589" i="43"/>
  <c r="D3588" i="43"/>
  <c r="N3587" i="43"/>
  <c r="D3587" i="43"/>
  <c r="N3586" i="43"/>
  <c r="D3586" i="43"/>
  <c r="D3585" i="43"/>
  <c r="U3584" i="43"/>
  <c r="O3585" i="43" s="1"/>
  <c r="P3585" i="43" s="1"/>
  <c r="U3583" i="43"/>
  <c r="T3581" i="43"/>
  <c r="D3580" i="43"/>
  <c r="D3579" i="43"/>
  <c r="D3578" i="43"/>
  <c r="D3577" i="43"/>
  <c r="D3576" i="43"/>
  <c r="D3575" i="43"/>
  <c r="D3574" i="43"/>
  <c r="D3573" i="43"/>
  <c r="D3572" i="43"/>
  <c r="D3571" i="43"/>
  <c r="D3570" i="43"/>
  <c r="D3569" i="43"/>
  <c r="D3568" i="43"/>
  <c r="N3567" i="43"/>
  <c r="D3567" i="43"/>
  <c r="N3566" i="43"/>
  <c r="D3566" i="43"/>
  <c r="D3565" i="43"/>
  <c r="U3564" i="43"/>
  <c r="O3565" i="43" s="1"/>
  <c r="P3565" i="43" s="1"/>
  <c r="U3563" i="43"/>
  <c r="T3561" i="43"/>
  <c r="D3560" i="43"/>
  <c r="D3559" i="43"/>
  <c r="D3558" i="43"/>
  <c r="D3557" i="43"/>
  <c r="D3556" i="43"/>
  <c r="D3555" i="43"/>
  <c r="D3554" i="43"/>
  <c r="D3553" i="43"/>
  <c r="D3552" i="43"/>
  <c r="D3551" i="43"/>
  <c r="D3550" i="43"/>
  <c r="D3549" i="43"/>
  <c r="D3548" i="43"/>
  <c r="N3547" i="43"/>
  <c r="D3547" i="43"/>
  <c r="N3546" i="43"/>
  <c r="D3546" i="43"/>
  <c r="D3545" i="43"/>
  <c r="U3544" i="43"/>
  <c r="O3545" i="43" s="1"/>
  <c r="P3545" i="43" s="1"/>
  <c r="U3543" i="43"/>
  <c r="T3541" i="43"/>
  <c r="D3540" i="43"/>
  <c r="D3539" i="43"/>
  <c r="D3538" i="43"/>
  <c r="D3537" i="43"/>
  <c r="D3536" i="43"/>
  <c r="D3535" i="43"/>
  <c r="D3534" i="43"/>
  <c r="D3533" i="43"/>
  <c r="D3532" i="43"/>
  <c r="D3531" i="43"/>
  <c r="D3530" i="43"/>
  <c r="D3529" i="43"/>
  <c r="D3528" i="43"/>
  <c r="N3527" i="43"/>
  <c r="D3527" i="43"/>
  <c r="N3526" i="43"/>
  <c r="D3526" i="43"/>
  <c r="D3525" i="43"/>
  <c r="U3524" i="43"/>
  <c r="O3525" i="43" s="1"/>
  <c r="P3525" i="43" s="1"/>
  <c r="U3523" i="43"/>
  <c r="T3521" i="43"/>
  <c r="D3520" i="43"/>
  <c r="D3519" i="43"/>
  <c r="D3518" i="43"/>
  <c r="D3517" i="43"/>
  <c r="D3516" i="43"/>
  <c r="D3515" i="43"/>
  <c r="D3514" i="43"/>
  <c r="D3513" i="43"/>
  <c r="D3512" i="43"/>
  <c r="D3511" i="43"/>
  <c r="D3510" i="43"/>
  <c r="D3509" i="43"/>
  <c r="D3508" i="43"/>
  <c r="N3507" i="43"/>
  <c r="D3507" i="43"/>
  <c r="N3506" i="43"/>
  <c r="D3506" i="43"/>
  <c r="D3505" i="43"/>
  <c r="U3504" i="43"/>
  <c r="O3505" i="43" s="1"/>
  <c r="P3505" i="43" s="1"/>
  <c r="U3503" i="43"/>
  <c r="T3501" i="43"/>
  <c r="D3500" i="43"/>
  <c r="D3499" i="43"/>
  <c r="D3498" i="43"/>
  <c r="D3497" i="43"/>
  <c r="D3496" i="43"/>
  <c r="D3495" i="43"/>
  <c r="D3494" i="43"/>
  <c r="D3493" i="43"/>
  <c r="D3492" i="43"/>
  <c r="D3491" i="43"/>
  <c r="D3490" i="43"/>
  <c r="D3489" i="43"/>
  <c r="D3488" i="43"/>
  <c r="N3487" i="43"/>
  <c r="D3487" i="43"/>
  <c r="N3486" i="43"/>
  <c r="D3486" i="43"/>
  <c r="D3485" i="43"/>
  <c r="U3484" i="43"/>
  <c r="O3485" i="43" s="1"/>
  <c r="O3486" i="43" s="1"/>
  <c r="U3483" i="43"/>
  <c r="T3481" i="43"/>
  <c r="D3480" i="43"/>
  <c r="D3479" i="43"/>
  <c r="D3478" i="43"/>
  <c r="D3477" i="43"/>
  <c r="D3476" i="43"/>
  <c r="D3475" i="43"/>
  <c r="D3474" i="43"/>
  <c r="D3473" i="43"/>
  <c r="D3472" i="43"/>
  <c r="D3471" i="43"/>
  <c r="D3470" i="43"/>
  <c r="D3469" i="43"/>
  <c r="D3468" i="43"/>
  <c r="N3467" i="43"/>
  <c r="D3467" i="43"/>
  <c r="N3466" i="43"/>
  <c r="D3466" i="43"/>
  <c r="D3465" i="43"/>
  <c r="U3464" i="43"/>
  <c r="O3465" i="43" s="1"/>
  <c r="U3463" i="43"/>
  <c r="T3461" i="43"/>
  <c r="D3460" i="43"/>
  <c r="D3459" i="43"/>
  <c r="D3458" i="43"/>
  <c r="D3457" i="43"/>
  <c r="D3456" i="43"/>
  <c r="D3455" i="43"/>
  <c r="D3454" i="43"/>
  <c r="D3453" i="43"/>
  <c r="D3452" i="43"/>
  <c r="D3451" i="43"/>
  <c r="D3450" i="43"/>
  <c r="D3449" i="43"/>
  <c r="D3448" i="43"/>
  <c r="N3447" i="43"/>
  <c r="D3447" i="43"/>
  <c r="N3446" i="43"/>
  <c r="D3446" i="43"/>
  <c r="D3445" i="43"/>
  <c r="U3444" i="43"/>
  <c r="O3445" i="43" s="1"/>
  <c r="P3445" i="43" s="1"/>
  <c r="U3443" i="43"/>
  <c r="T3441" i="43"/>
  <c r="D3440" i="43"/>
  <c r="D3439" i="43"/>
  <c r="D3438" i="43"/>
  <c r="D3437" i="43"/>
  <c r="D3436" i="43"/>
  <c r="D3435" i="43"/>
  <c r="D3434" i="43"/>
  <c r="D3433" i="43"/>
  <c r="D3432" i="43"/>
  <c r="D3431" i="43"/>
  <c r="D3430" i="43"/>
  <c r="D3429" i="43"/>
  <c r="D3428" i="43"/>
  <c r="N3427" i="43"/>
  <c r="D3427" i="43"/>
  <c r="N3426" i="43"/>
  <c r="D3426" i="43"/>
  <c r="D3425" i="43"/>
  <c r="U3424" i="43"/>
  <c r="O3425" i="43" s="1"/>
  <c r="P3425" i="43" s="1"/>
  <c r="U3423" i="43"/>
  <c r="T3421" i="43"/>
  <c r="D3420" i="43"/>
  <c r="D3419" i="43"/>
  <c r="D3418" i="43"/>
  <c r="D3417" i="43"/>
  <c r="D3416" i="43"/>
  <c r="D3415" i="43"/>
  <c r="D3414" i="43"/>
  <c r="D3413" i="43"/>
  <c r="D3412" i="43"/>
  <c r="D3411" i="43"/>
  <c r="D3410" i="43"/>
  <c r="D3409" i="43"/>
  <c r="D3408" i="43"/>
  <c r="N3407" i="43"/>
  <c r="D3407" i="43"/>
  <c r="N3406" i="43"/>
  <c r="D3406" i="43"/>
  <c r="D3405" i="43"/>
  <c r="U3404" i="43"/>
  <c r="O3405" i="43" s="1"/>
  <c r="P3405" i="43" s="1"/>
  <c r="U3403" i="43"/>
  <c r="T3401" i="43"/>
  <c r="D3400" i="43"/>
  <c r="D3399" i="43"/>
  <c r="D3398" i="43"/>
  <c r="D3397" i="43"/>
  <c r="D3396" i="43"/>
  <c r="D3395" i="43"/>
  <c r="D3394" i="43"/>
  <c r="D3393" i="43"/>
  <c r="D3392" i="43"/>
  <c r="D3391" i="43"/>
  <c r="D3390" i="43"/>
  <c r="D3389" i="43"/>
  <c r="D3388" i="43"/>
  <c r="N3387" i="43"/>
  <c r="D3387" i="43"/>
  <c r="N3386" i="43"/>
  <c r="D3386" i="43"/>
  <c r="D3385" i="43"/>
  <c r="U3384" i="43"/>
  <c r="O3385" i="43" s="1"/>
  <c r="U3383" i="43"/>
  <c r="T3381" i="43"/>
  <c r="D3380" i="43"/>
  <c r="D3379" i="43"/>
  <c r="D3378" i="43"/>
  <c r="D3377" i="43"/>
  <c r="D3376" i="43"/>
  <c r="D3375" i="43"/>
  <c r="D3374" i="43"/>
  <c r="D3373" i="43"/>
  <c r="D3372" i="43"/>
  <c r="D3371" i="43"/>
  <c r="D3370" i="43"/>
  <c r="D3369" i="43"/>
  <c r="D3368" i="43"/>
  <c r="N3367" i="43"/>
  <c r="D3367" i="43"/>
  <c r="N3366" i="43"/>
  <c r="D3366" i="43"/>
  <c r="D3365" i="43"/>
  <c r="U3364" i="43"/>
  <c r="O3365" i="43" s="1"/>
  <c r="P3365" i="43" s="1"/>
  <c r="U3363" i="43"/>
  <c r="T3361" i="43"/>
  <c r="D3360" i="43"/>
  <c r="D3359" i="43"/>
  <c r="D3358" i="43"/>
  <c r="D3357" i="43"/>
  <c r="D3356" i="43"/>
  <c r="D3355" i="43"/>
  <c r="D3354" i="43"/>
  <c r="D3353" i="43"/>
  <c r="D3352" i="43"/>
  <c r="D3351" i="43"/>
  <c r="D3350" i="43"/>
  <c r="D3349" i="43"/>
  <c r="D3348" i="43"/>
  <c r="N3347" i="43"/>
  <c r="D3347" i="43"/>
  <c r="N3346" i="43"/>
  <c r="D3346" i="43"/>
  <c r="D3345" i="43"/>
  <c r="U3344" i="43"/>
  <c r="O3345" i="43" s="1"/>
  <c r="U3343" i="43"/>
  <c r="T3341" i="43"/>
  <c r="D3340" i="43"/>
  <c r="D3339" i="43"/>
  <c r="D3338" i="43"/>
  <c r="D3337" i="43"/>
  <c r="D3336" i="43"/>
  <c r="D3335" i="43"/>
  <c r="D3334" i="43"/>
  <c r="D3333" i="43"/>
  <c r="D3332" i="43"/>
  <c r="D3331" i="43"/>
  <c r="D3330" i="43"/>
  <c r="D3329" i="43"/>
  <c r="D3328" i="43"/>
  <c r="N3327" i="43"/>
  <c r="D3327" i="43"/>
  <c r="N3326" i="43"/>
  <c r="D3326" i="43"/>
  <c r="D3325" i="43"/>
  <c r="U3324" i="43"/>
  <c r="O3325" i="43" s="1"/>
  <c r="P3325" i="43" s="1"/>
  <c r="U3323" i="43"/>
  <c r="T3321" i="43"/>
  <c r="A184" i="42"/>
  <c r="A183" i="42"/>
  <c r="A182" i="42"/>
  <c r="A181" i="42"/>
  <c r="A180" i="42"/>
  <c r="A179" i="42"/>
  <c r="A178" i="42"/>
  <c r="A177" i="42"/>
  <c r="A176" i="42"/>
  <c r="A175" i="42"/>
  <c r="A174" i="42"/>
  <c r="A173" i="42"/>
  <c r="A172" i="42"/>
  <c r="A171" i="42"/>
  <c r="A170" i="42"/>
  <c r="A169" i="42"/>
  <c r="AE168" i="41" l="1"/>
  <c r="F31" i="61"/>
  <c r="AK193" i="41"/>
  <c r="U190" i="41"/>
  <c r="H77" i="41"/>
  <c r="H63" i="41"/>
  <c r="H103" i="41"/>
  <c r="H57" i="41"/>
  <c r="H109" i="41"/>
  <c r="H128" i="41"/>
  <c r="H70" i="41"/>
  <c r="H90" i="41"/>
  <c r="H116" i="41"/>
  <c r="H96" i="41"/>
  <c r="H83" i="41"/>
  <c r="H122" i="41"/>
  <c r="H136" i="41"/>
  <c r="H132" i="41"/>
  <c r="H73" i="41"/>
  <c r="H113" i="41"/>
  <c r="H138" i="41"/>
  <c r="H135" i="41"/>
  <c r="H112" i="41"/>
  <c r="H54" i="41"/>
  <c r="H86" i="41"/>
  <c r="H126" i="41"/>
  <c r="H80" i="41"/>
  <c r="H100" i="41"/>
  <c r="H130" i="41"/>
  <c r="O191" i="41"/>
  <c r="U214" i="41"/>
  <c r="O214" i="41"/>
  <c r="O183" i="41"/>
  <c r="H93" i="41"/>
  <c r="H125" i="41"/>
  <c r="H87" i="41"/>
  <c r="H119" i="41"/>
  <c r="H60" i="41"/>
  <c r="H74" i="41"/>
  <c r="H106" i="41"/>
  <c r="H134" i="41"/>
  <c r="H139" i="41"/>
  <c r="H67" i="41"/>
  <c r="H99" i="41"/>
  <c r="O192" i="41"/>
  <c r="U201" i="41"/>
  <c r="O201" i="41"/>
  <c r="O172" i="41"/>
  <c r="AS47" i="41"/>
  <c r="U161" i="41"/>
  <c r="U211" i="41"/>
  <c r="U195" i="41"/>
  <c r="U29" i="41"/>
  <c r="U176" i="41"/>
  <c r="U165" i="41"/>
  <c r="U194" i="41"/>
  <c r="U196" i="41"/>
  <c r="U208" i="41"/>
  <c r="U163" i="41"/>
  <c r="U49" i="41"/>
  <c r="U26" i="41"/>
  <c r="U36" i="41"/>
  <c r="U212" i="41"/>
  <c r="U167" i="41"/>
  <c r="U205" i="41"/>
  <c r="U210" i="41"/>
  <c r="U48" i="41"/>
  <c r="U175" i="41"/>
  <c r="U162" i="41"/>
  <c r="U168" i="41"/>
  <c r="J22" i="61" s="1"/>
  <c r="U44" i="41"/>
  <c r="U166" i="41"/>
  <c r="U24" i="41"/>
  <c r="U51" i="41"/>
  <c r="U197" i="41"/>
  <c r="U31" i="41"/>
  <c r="U209" i="41"/>
  <c r="U50" i="41"/>
  <c r="U193" i="41"/>
  <c r="U203" i="41"/>
  <c r="U198" i="41"/>
  <c r="U28" i="41"/>
  <c r="U42" i="41"/>
  <c r="U40" i="41"/>
  <c r="U207" i="41"/>
  <c r="U199" i="41"/>
  <c r="U43" i="41"/>
  <c r="U204" i="41"/>
  <c r="U170" i="41"/>
  <c r="U39" i="41"/>
  <c r="U213" i="41"/>
  <c r="U202" i="41"/>
  <c r="X190" i="41"/>
  <c r="O3346" i="43"/>
  <c r="O3347" i="43" s="1"/>
  <c r="Q3347" i="43" s="1"/>
  <c r="O3386" i="43"/>
  <c r="O3387" i="43" s="1"/>
  <c r="Q3387" i="43" s="1"/>
  <c r="O3466" i="43"/>
  <c r="O3467" i="43" s="1"/>
  <c r="Q3467" i="43" s="1"/>
  <c r="Q3486" i="43"/>
  <c r="O3487" i="43"/>
  <c r="Q3487" i="43" s="1"/>
  <c r="Q3346" i="43"/>
  <c r="O3366" i="43"/>
  <c r="O3426" i="43"/>
  <c r="O3506" i="43"/>
  <c r="O3526" i="43"/>
  <c r="O3566" i="43"/>
  <c r="O3586" i="43"/>
  <c r="O3626" i="43"/>
  <c r="Q3626" i="43" s="1"/>
  <c r="P3345" i="43"/>
  <c r="P3385" i="43"/>
  <c r="P3465" i="43"/>
  <c r="P3485" i="43"/>
  <c r="O3326" i="43"/>
  <c r="O3406" i="43"/>
  <c r="O3446" i="43"/>
  <c r="O3546" i="43"/>
  <c r="O3606" i="43"/>
  <c r="AG168" i="41" l="1"/>
  <c r="H31" i="61"/>
  <c r="AQ193" i="41"/>
  <c r="Q3466" i="43"/>
  <c r="X201" i="41"/>
  <c r="X214" i="41"/>
  <c r="X161" i="41"/>
  <c r="X164" i="41"/>
  <c r="U164" i="41"/>
  <c r="U183" i="41"/>
  <c r="U191" i="41"/>
  <c r="X35" i="41"/>
  <c r="U35" i="41"/>
  <c r="X206" i="41"/>
  <c r="U206" i="41"/>
  <c r="X173" i="41"/>
  <c r="U173" i="41"/>
  <c r="X200" i="41"/>
  <c r="U200" i="41"/>
  <c r="X172" i="41"/>
  <c r="U172" i="41"/>
  <c r="U192" i="41"/>
  <c r="AV47" i="41"/>
  <c r="X211" i="41"/>
  <c r="X195" i="41"/>
  <c r="X42" i="41"/>
  <c r="X203" i="41"/>
  <c r="X31" i="41"/>
  <c r="X51" i="41"/>
  <c r="X39" i="41"/>
  <c r="X167" i="41"/>
  <c r="X26" i="41"/>
  <c r="X208" i="41"/>
  <c r="X196" i="41"/>
  <c r="X198" i="41"/>
  <c r="X193" i="41"/>
  <c r="X209" i="41"/>
  <c r="X197" i="41"/>
  <c r="X24" i="41"/>
  <c r="X44" i="41"/>
  <c r="X28" i="41"/>
  <c r="X50" i="41"/>
  <c r="X166" i="41"/>
  <c r="X204" i="41"/>
  <c r="X199" i="41"/>
  <c r="X162" i="41"/>
  <c r="X210" i="41"/>
  <c r="X36" i="41"/>
  <c r="X49" i="41"/>
  <c r="X165" i="41"/>
  <c r="X202" i="41"/>
  <c r="X213" i="41"/>
  <c r="X170" i="41"/>
  <c r="X43" i="41"/>
  <c r="X207" i="41"/>
  <c r="X40" i="41"/>
  <c r="X168" i="41"/>
  <c r="J25" i="61" s="1"/>
  <c r="X175" i="41"/>
  <c r="X48" i="41"/>
  <c r="X205" i="41"/>
  <c r="X212" i="41"/>
  <c r="X163" i="41"/>
  <c r="X194" i="41"/>
  <c r="X176" i="41"/>
  <c r="X29" i="41"/>
  <c r="AB190" i="41"/>
  <c r="Q3386" i="43"/>
  <c r="Q3606" i="43"/>
  <c r="O3607" i="43"/>
  <c r="Q3607" i="43" s="1"/>
  <c r="Q3526" i="43"/>
  <c r="O3527" i="43"/>
  <c r="Q3527" i="43" s="1"/>
  <c r="Q3586" i="43"/>
  <c r="O3587" i="43"/>
  <c r="Q3587" i="43" s="1"/>
  <c r="Q3426" i="43"/>
  <c r="O3427" i="43"/>
  <c r="Q3427" i="43" s="1"/>
  <c r="Q3326" i="43"/>
  <c r="O3327" i="43"/>
  <c r="Q3327" i="43" s="1"/>
  <c r="Q3546" i="43"/>
  <c r="O3547" i="43"/>
  <c r="Q3547" i="43" s="1"/>
  <c r="Q3506" i="43"/>
  <c r="O3507" i="43"/>
  <c r="Q3507" i="43" s="1"/>
  <c r="Q3446" i="43"/>
  <c r="O3447" i="43"/>
  <c r="Q3447" i="43" s="1"/>
  <c r="Q3406" i="43"/>
  <c r="O3407" i="43"/>
  <c r="Q3407" i="43" s="1"/>
  <c r="Q3566" i="43"/>
  <c r="O3567" i="43"/>
  <c r="Q3567" i="43" s="1"/>
  <c r="Q3366" i="43"/>
  <c r="O3367" i="43"/>
  <c r="Q3367" i="43" s="1"/>
  <c r="F44" i="61" l="1"/>
  <c r="AH168" i="41"/>
  <c r="AR193" i="41"/>
  <c r="AB161" i="41"/>
  <c r="AB214" i="41"/>
  <c r="AB201" i="41"/>
  <c r="AB206" i="41"/>
  <c r="AB164" i="41"/>
  <c r="AB200" i="41"/>
  <c r="AB195" i="41"/>
  <c r="AB35" i="41"/>
  <c r="X183" i="41"/>
  <c r="AB211" i="41"/>
  <c r="AB173" i="41"/>
  <c r="X192" i="41"/>
  <c r="X191" i="41"/>
  <c r="AB194" i="41"/>
  <c r="AB212" i="41"/>
  <c r="AB168" i="41"/>
  <c r="J28" i="61" s="1"/>
  <c r="AB170" i="41"/>
  <c r="AB49" i="41"/>
  <c r="AB210" i="41"/>
  <c r="AB166" i="41"/>
  <c r="AB50" i="41"/>
  <c r="AB209" i="41"/>
  <c r="AB198" i="41"/>
  <c r="AB208" i="41"/>
  <c r="AB167" i="41"/>
  <c r="AB39" i="41"/>
  <c r="AB31" i="41"/>
  <c r="AB42" i="41"/>
  <c r="AB176" i="41"/>
  <c r="AF161" i="41"/>
  <c r="AB205" i="41"/>
  <c r="AB175" i="41"/>
  <c r="AB40" i="41"/>
  <c r="AB43" i="41"/>
  <c r="AB213" i="41"/>
  <c r="AB165" i="41"/>
  <c r="AB36" i="41"/>
  <c r="AB162" i="41"/>
  <c r="AB204" i="41"/>
  <c r="AB28" i="41"/>
  <c r="AB44" i="41"/>
  <c r="AB24" i="41"/>
  <c r="AB197" i="41"/>
  <c r="AB193" i="41"/>
  <c r="AB29" i="41"/>
  <c r="AB163" i="41"/>
  <c r="AB48" i="41"/>
  <c r="AB207" i="41"/>
  <c r="AB202" i="41"/>
  <c r="AB199" i="41"/>
  <c r="AB196" i="41"/>
  <c r="AB26" i="41"/>
  <c r="AB51" i="41"/>
  <c r="AB203" i="41"/>
  <c r="AF190" i="41"/>
  <c r="AJ168" i="41" l="1"/>
  <c r="H44" i="61"/>
  <c r="AU193" i="41"/>
  <c r="AF214" i="41"/>
  <c r="AF201" i="41"/>
  <c r="AF164" i="41"/>
  <c r="AF195" i="41"/>
  <c r="AF206" i="41"/>
  <c r="AF200" i="41"/>
  <c r="AF35" i="41"/>
  <c r="AF211" i="41"/>
  <c r="AF173" i="41"/>
  <c r="AB191" i="41"/>
  <c r="AX47" i="41"/>
  <c r="BI47" i="41" s="1"/>
  <c r="AB192" i="41"/>
  <c r="AB183" i="41"/>
  <c r="AI161" i="41"/>
  <c r="AF26" i="41"/>
  <c r="AF207" i="41"/>
  <c r="AF163" i="41"/>
  <c r="AF197" i="41"/>
  <c r="AF44" i="41"/>
  <c r="AF204" i="41"/>
  <c r="AF213" i="41"/>
  <c r="AF39" i="41"/>
  <c r="AF198" i="41"/>
  <c r="AF166" i="41"/>
  <c r="AF210" i="41"/>
  <c r="AF212" i="41"/>
  <c r="AI214" i="41"/>
  <c r="AF51" i="41"/>
  <c r="AF199" i="41"/>
  <c r="AF36" i="41"/>
  <c r="AF40" i="41"/>
  <c r="AF205" i="41"/>
  <c r="AF42" i="41"/>
  <c r="AF208" i="41"/>
  <c r="AF170" i="41"/>
  <c r="AF203" i="41"/>
  <c r="AF196" i="41"/>
  <c r="AF202" i="41"/>
  <c r="AF48" i="41"/>
  <c r="AF29" i="41"/>
  <c r="AF193" i="41"/>
  <c r="AF24" i="41"/>
  <c r="AF28" i="41"/>
  <c r="AF162" i="41"/>
  <c r="AF165" i="41"/>
  <c r="AF43" i="41"/>
  <c r="AF175" i="41"/>
  <c r="AF176" i="41"/>
  <c r="AF31" i="41"/>
  <c r="AF167" i="41"/>
  <c r="AF209" i="41"/>
  <c r="AF50" i="41"/>
  <c r="AF49" i="41"/>
  <c r="AF168" i="41"/>
  <c r="J31" i="61" s="1"/>
  <c r="AF194" i="41"/>
  <c r="AI190" i="41"/>
  <c r="R2" i="56"/>
  <c r="AK168" i="41" l="1"/>
  <c r="F46" i="61"/>
  <c r="AW193" i="41"/>
  <c r="AI201" i="41"/>
  <c r="AI211" i="41"/>
  <c r="AI164" i="41"/>
  <c r="AI195" i="41"/>
  <c r="AI173" i="41"/>
  <c r="AI200" i="41"/>
  <c r="AI206" i="41"/>
  <c r="AI35" i="41"/>
  <c r="AF191" i="41"/>
  <c r="AF192" i="41"/>
  <c r="AF183" i="41"/>
  <c r="AI165" i="41"/>
  <c r="AI196" i="41"/>
  <c r="AL201" i="41"/>
  <c r="AI40" i="41"/>
  <c r="AI199" i="41"/>
  <c r="AI204" i="41"/>
  <c r="AI197" i="41"/>
  <c r="AI49" i="41"/>
  <c r="AI31" i="41"/>
  <c r="AI28" i="41"/>
  <c r="AI193" i="41"/>
  <c r="AI166" i="41"/>
  <c r="AI207" i="41"/>
  <c r="AL161" i="41"/>
  <c r="AI168" i="41"/>
  <c r="AI50" i="41"/>
  <c r="AI176" i="41"/>
  <c r="AI162" i="41"/>
  <c r="AI24" i="41"/>
  <c r="AI202" i="41"/>
  <c r="AL164" i="41"/>
  <c r="AI170" i="41"/>
  <c r="AI208" i="41"/>
  <c r="AI51" i="41"/>
  <c r="AL214" i="41"/>
  <c r="AI213" i="41"/>
  <c r="AI44" i="41"/>
  <c r="AI163" i="41"/>
  <c r="AI194" i="41"/>
  <c r="AI209" i="41"/>
  <c r="AI175" i="41"/>
  <c r="AI48" i="41"/>
  <c r="AI203" i="41"/>
  <c r="AI42" i="41"/>
  <c r="AI212" i="41"/>
  <c r="AI39" i="41"/>
  <c r="AI26" i="41"/>
  <c r="AI167" i="41"/>
  <c r="AI43" i="41"/>
  <c r="AI29" i="41"/>
  <c r="AI205" i="41"/>
  <c r="AI36" i="41"/>
  <c r="AI210" i="41"/>
  <c r="AI198" i="41"/>
  <c r="AL190" i="41"/>
  <c r="O81" i="41"/>
  <c r="O97" i="41"/>
  <c r="O105" i="41"/>
  <c r="O118" i="41"/>
  <c r="O150" i="41"/>
  <c r="O55" i="41"/>
  <c r="O59" i="41"/>
  <c r="O83" i="41"/>
  <c r="O91" i="41"/>
  <c r="O99" i="41"/>
  <c r="O115" i="41"/>
  <c r="O123" i="41"/>
  <c r="O129" i="41"/>
  <c r="O182" i="41"/>
  <c r="O132" i="41"/>
  <c r="O135" i="41"/>
  <c r="O140" i="41"/>
  <c r="O141" i="41"/>
  <c r="O143" i="41"/>
  <c r="O149" i="41"/>
  <c r="O151" i="41"/>
  <c r="O153" i="41"/>
  <c r="O181" i="41"/>
  <c r="O155" i="41"/>
  <c r="O156" i="41"/>
  <c r="O158" i="41"/>
  <c r="BM131" i="41"/>
  <c r="BM130" i="41"/>
  <c r="BO171" i="41"/>
  <c r="J44" i="61" l="1"/>
  <c r="AQ168" i="41"/>
  <c r="H46" i="61"/>
  <c r="AL195" i="41"/>
  <c r="AL211" i="41"/>
  <c r="AL206" i="41"/>
  <c r="AL200" i="41"/>
  <c r="AL173" i="41"/>
  <c r="AL35" i="41"/>
  <c r="U103" i="41"/>
  <c r="O103" i="41"/>
  <c r="AI192" i="41"/>
  <c r="U119" i="41"/>
  <c r="O119" i="41"/>
  <c r="AI183" i="41"/>
  <c r="AI191" i="41"/>
  <c r="U67" i="41"/>
  <c r="O67" i="41"/>
  <c r="U87" i="41"/>
  <c r="O87" i="41"/>
  <c r="AL29" i="41"/>
  <c r="AL39" i="41"/>
  <c r="AL209" i="41"/>
  <c r="AL44" i="41"/>
  <c r="AL24" i="41"/>
  <c r="AL176" i="41"/>
  <c r="AL207" i="41"/>
  <c r="AL28" i="41"/>
  <c r="AS195" i="41"/>
  <c r="AS35" i="41"/>
  <c r="AS206" i="41"/>
  <c r="AL208" i="41"/>
  <c r="AS164" i="41"/>
  <c r="AL168" i="41"/>
  <c r="AL204" i="41"/>
  <c r="AL196" i="41"/>
  <c r="AL210" i="41"/>
  <c r="AL205" i="41"/>
  <c r="AL43" i="41"/>
  <c r="AL203" i="41"/>
  <c r="AL175" i="41"/>
  <c r="AL170" i="41"/>
  <c r="AL166" i="41"/>
  <c r="AL193" i="41"/>
  <c r="J46" i="61" s="1"/>
  <c r="AL31" i="41"/>
  <c r="AL165" i="41"/>
  <c r="AL198" i="41"/>
  <c r="AL36" i="41"/>
  <c r="AL167" i="41"/>
  <c r="AL48" i="41"/>
  <c r="AL49" i="41"/>
  <c r="AL40" i="41"/>
  <c r="AL42" i="41"/>
  <c r="AS214" i="41"/>
  <c r="AL26" i="41"/>
  <c r="AL212" i="41"/>
  <c r="AL194" i="41"/>
  <c r="AL163" i="41"/>
  <c r="AL213" i="41"/>
  <c r="AL51" i="41"/>
  <c r="AL202" i="41"/>
  <c r="AL162" i="41"/>
  <c r="AL50" i="41"/>
  <c r="AS161" i="41"/>
  <c r="AL197" i="41"/>
  <c r="AL199" i="41"/>
  <c r="AS201" i="41"/>
  <c r="AS190" i="41"/>
  <c r="O177" i="41"/>
  <c r="O147" i="41"/>
  <c r="O174" i="41"/>
  <c r="O113" i="41"/>
  <c r="O104" i="41"/>
  <c r="O93" i="41"/>
  <c r="O189" i="41"/>
  <c r="O187" i="41"/>
  <c r="O125" i="41"/>
  <c r="O112" i="41"/>
  <c r="O102" i="41"/>
  <c r="O89" i="41"/>
  <c r="O77" i="41"/>
  <c r="O65" i="41"/>
  <c r="O157" i="41"/>
  <c r="O152" i="41"/>
  <c r="O108" i="41"/>
  <c r="O100" i="41"/>
  <c r="O76" i="41"/>
  <c r="O57" i="41"/>
  <c r="O180" i="41"/>
  <c r="O137" i="41"/>
  <c r="O107" i="41"/>
  <c r="O71" i="41"/>
  <c r="O169" i="41"/>
  <c r="O184" i="41"/>
  <c r="O148" i="41"/>
  <c r="O145" i="41"/>
  <c r="O139" i="41"/>
  <c r="O136" i="41"/>
  <c r="O134" i="41"/>
  <c r="O186" i="41"/>
  <c r="O126" i="41"/>
  <c r="O122" i="41"/>
  <c r="O114" i="41"/>
  <c r="O110" i="41"/>
  <c r="O106" i="41"/>
  <c r="O98" i="41"/>
  <c r="O94" i="41"/>
  <c r="O90" i="41"/>
  <c r="O82" i="41"/>
  <c r="O74" i="41"/>
  <c r="O66" i="41"/>
  <c r="O62" i="41"/>
  <c r="O111" i="41"/>
  <c r="O86" i="41"/>
  <c r="O75" i="41"/>
  <c r="O70" i="41"/>
  <c r="O63" i="41"/>
  <c r="O117" i="41"/>
  <c r="O85" i="41"/>
  <c r="O154" i="41"/>
  <c r="O128" i="41"/>
  <c r="O79" i="41"/>
  <c r="O73" i="41"/>
  <c r="O95" i="41"/>
  <c r="O142" i="41"/>
  <c r="O131" i="41"/>
  <c r="O171" i="41"/>
  <c r="O127" i="41"/>
  <c r="O96" i="41"/>
  <c r="O64" i="41"/>
  <c r="U155" i="41"/>
  <c r="U153" i="41"/>
  <c r="U141" i="41"/>
  <c r="U182" i="41"/>
  <c r="U159" i="41"/>
  <c r="U158" i="41"/>
  <c r="U150" i="41"/>
  <c r="U181" i="41"/>
  <c r="U118" i="41"/>
  <c r="U105" i="41"/>
  <c r="U156" i="41"/>
  <c r="U151" i="41"/>
  <c r="U149" i="41"/>
  <c r="U143" i="41"/>
  <c r="U140" i="41"/>
  <c r="U135" i="41"/>
  <c r="U132" i="41"/>
  <c r="U129" i="41"/>
  <c r="U123" i="41"/>
  <c r="U115" i="41"/>
  <c r="U99" i="41"/>
  <c r="U91" i="41"/>
  <c r="U83" i="41"/>
  <c r="U59" i="41"/>
  <c r="U55" i="41"/>
  <c r="U97" i="41"/>
  <c r="U81" i="41"/>
  <c r="H13" i="41"/>
  <c r="AR168" i="41" l="1"/>
  <c r="F51" i="61"/>
  <c r="AS200" i="41"/>
  <c r="AS211" i="41"/>
  <c r="AS173" i="41"/>
  <c r="X103" i="41"/>
  <c r="X87" i="41"/>
  <c r="U120" i="41"/>
  <c r="O120" i="41"/>
  <c r="U146" i="41"/>
  <c r="O146" i="41"/>
  <c r="U144" i="41"/>
  <c r="O144" i="41"/>
  <c r="AL192" i="41"/>
  <c r="U88" i="41"/>
  <c r="O88" i="41"/>
  <c r="U124" i="41"/>
  <c r="O124" i="41"/>
  <c r="U109" i="41"/>
  <c r="O109" i="41"/>
  <c r="U58" i="41"/>
  <c r="O58" i="41"/>
  <c r="U78" i="41"/>
  <c r="O78" i="41"/>
  <c r="U84" i="41"/>
  <c r="O84" i="41"/>
  <c r="U179" i="41"/>
  <c r="O179" i="41"/>
  <c r="U15" i="41"/>
  <c r="O15" i="41"/>
  <c r="U92" i="41"/>
  <c r="O92" i="41"/>
  <c r="U61" i="41"/>
  <c r="O61" i="41"/>
  <c r="U121" i="41"/>
  <c r="O121" i="41"/>
  <c r="U53" i="41"/>
  <c r="O53" i="41"/>
  <c r="U68" i="41"/>
  <c r="O68" i="41"/>
  <c r="U72" i="41"/>
  <c r="O72" i="41"/>
  <c r="U138" i="41"/>
  <c r="O138" i="41"/>
  <c r="U178" i="41"/>
  <c r="O178" i="41"/>
  <c r="AL183" i="41"/>
  <c r="U101" i="41"/>
  <c r="O101" i="41"/>
  <c r="U60" i="41"/>
  <c r="O60" i="41"/>
  <c r="U188" i="41"/>
  <c r="O188" i="41"/>
  <c r="U69" i="41"/>
  <c r="O69" i="41"/>
  <c r="U56" i="41"/>
  <c r="O56" i="41"/>
  <c r="U133" i="41"/>
  <c r="O133" i="41"/>
  <c r="U80" i="41"/>
  <c r="O80" i="41"/>
  <c r="U130" i="41"/>
  <c r="O130" i="41"/>
  <c r="U116" i="41"/>
  <c r="O116" i="41"/>
  <c r="AL191" i="41"/>
  <c r="U177" i="41"/>
  <c r="U65" i="41"/>
  <c r="U89" i="41"/>
  <c r="U110" i="41"/>
  <c r="U62" i="41"/>
  <c r="U57" i="41"/>
  <c r="AS197" i="41"/>
  <c r="AS42" i="41"/>
  <c r="AS50" i="41"/>
  <c r="AS213" i="41"/>
  <c r="AS212" i="41"/>
  <c r="AS49" i="41"/>
  <c r="AS167" i="41"/>
  <c r="AS198" i="41"/>
  <c r="AS31" i="41"/>
  <c r="AS166" i="41"/>
  <c r="AS175" i="41"/>
  <c r="AS43" i="41"/>
  <c r="AS210" i="41"/>
  <c r="AS168" i="41"/>
  <c r="AS208" i="41"/>
  <c r="AS28" i="41"/>
  <c r="AS176" i="41"/>
  <c r="AS44" i="41"/>
  <c r="AS39" i="41"/>
  <c r="U112" i="41"/>
  <c r="U171" i="41"/>
  <c r="AV161" i="41"/>
  <c r="AS26" i="41"/>
  <c r="AV206" i="41"/>
  <c r="AV214" i="41"/>
  <c r="AS204" i="41"/>
  <c r="AV201" i="41"/>
  <c r="AS202" i="41"/>
  <c r="AS194" i="41"/>
  <c r="AV35" i="41"/>
  <c r="AS199" i="41"/>
  <c r="AS162" i="41"/>
  <c r="AS51" i="41"/>
  <c r="AS163" i="41"/>
  <c r="AV200" i="41"/>
  <c r="AS40" i="41"/>
  <c r="AS48" i="41"/>
  <c r="AS36" i="41"/>
  <c r="AS165" i="41"/>
  <c r="AS193" i="41"/>
  <c r="AS170" i="41"/>
  <c r="AS203" i="41"/>
  <c r="AS205" i="41"/>
  <c r="AS196" i="41"/>
  <c r="AV164" i="41"/>
  <c r="AV195" i="41"/>
  <c r="AS207" i="41"/>
  <c r="AS24" i="41"/>
  <c r="AS209" i="41"/>
  <c r="AS29" i="41"/>
  <c r="U71" i="41"/>
  <c r="U108" i="41"/>
  <c r="U93" i="41"/>
  <c r="U189" i="41"/>
  <c r="U86" i="41"/>
  <c r="AV190" i="41"/>
  <c r="U152" i="41"/>
  <c r="U160" i="41"/>
  <c r="U100" i="41"/>
  <c r="U75" i="41"/>
  <c r="U125" i="41"/>
  <c r="U102" i="41"/>
  <c r="U157" i="41"/>
  <c r="U122" i="41"/>
  <c r="U104" i="41"/>
  <c r="U96" i="41"/>
  <c r="U154" i="41"/>
  <c r="U142" i="41"/>
  <c r="AB172" i="41"/>
  <c r="U82" i="41"/>
  <c r="U85" i="41"/>
  <c r="O14" i="41"/>
  <c r="U127" i="41"/>
  <c r="U94" i="41"/>
  <c r="U139" i="41"/>
  <c r="U169" i="41"/>
  <c r="O54" i="41"/>
  <c r="U63" i="41"/>
  <c r="U107" i="41"/>
  <c r="U114" i="41"/>
  <c r="U74" i="41"/>
  <c r="U134" i="41"/>
  <c r="U131" i="41"/>
  <c r="C169" i="44"/>
  <c r="D169" i="44"/>
  <c r="E169" i="44"/>
  <c r="F169" i="44"/>
  <c r="G169" i="44"/>
  <c r="H169" i="44"/>
  <c r="I169" i="44"/>
  <c r="J169" i="44"/>
  <c r="K169" i="44"/>
  <c r="L169" i="44"/>
  <c r="M169" i="44"/>
  <c r="N169" i="44"/>
  <c r="O169" i="44"/>
  <c r="P169" i="44"/>
  <c r="Q169" i="44"/>
  <c r="D3320" i="43"/>
  <c r="D3319" i="43"/>
  <c r="D3318" i="43"/>
  <c r="D3317" i="43"/>
  <c r="D3316" i="43"/>
  <c r="D3315" i="43"/>
  <c r="D3314" i="43"/>
  <c r="D3313" i="43"/>
  <c r="D3312" i="43"/>
  <c r="D3311" i="43"/>
  <c r="D3310" i="43"/>
  <c r="D3309" i="43"/>
  <c r="D3308" i="43"/>
  <c r="N3307" i="43"/>
  <c r="D3307" i="43"/>
  <c r="N3306" i="43"/>
  <c r="D3306" i="43"/>
  <c r="D3305" i="43"/>
  <c r="U3303" i="43"/>
  <c r="T3301" i="43"/>
  <c r="J51" i="61" l="1"/>
  <c r="AU168" i="41"/>
  <c r="AV168" i="41" s="1"/>
  <c r="H51" i="61"/>
  <c r="AV173" i="41"/>
  <c r="AV211" i="41"/>
  <c r="X124" i="41"/>
  <c r="X119" i="41"/>
  <c r="X138" i="41"/>
  <c r="X58" i="41"/>
  <c r="X121" i="41"/>
  <c r="X62" i="41"/>
  <c r="X15" i="41"/>
  <c r="X88" i="41"/>
  <c r="X130" i="41"/>
  <c r="X143" i="41"/>
  <c r="X182" i="41"/>
  <c r="U137" i="41"/>
  <c r="U136" i="41"/>
  <c r="X188" i="41"/>
  <c r="X59" i="41"/>
  <c r="X155" i="41"/>
  <c r="X132" i="41"/>
  <c r="X97" i="41"/>
  <c r="X129" i="41"/>
  <c r="U77" i="41"/>
  <c r="U186" i="41"/>
  <c r="U95" i="41"/>
  <c r="U90" i="41"/>
  <c r="X135" i="41"/>
  <c r="X151" i="41"/>
  <c r="X181" i="41"/>
  <c r="X92" i="41"/>
  <c r="X83" i="41"/>
  <c r="X118" i="41"/>
  <c r="X105" i="41"/>
  <c r="X115" i="41"/>
  <c r="X153" i="41"/>
  <c r="X91" i="41"/>
  <c r="X81" i="41"/>
  <c r="U79" i="41"/>
  <c r="U147" i="41"/>
  <c r="U187" i="41"/>
  <c r="U113" i="41"/>
  <c r="AS192" i="41"/>
  <c r="X99" i="41"/>
  <c r="X159" i="41"/>
  <c r="U148" i="41"/>
  <c r="U128" i="41"/>
  <c r="U106" i="41"/>
  <c r="U98" i="41"/>
  <c r="U145" i="41"/>
  <c r="U70" i="41"/>
  <c r="X149" i="41"/>
  <c r="U117" i="41"/>
  <c r="U111" i="41"/>
  <c r="U64" i="41"/>
  <c r="AS183" i="41"/>
  <c r="X123" i="41"/>
  <c r="X140" i="41"/>
  <c r="X55" i="41"/>
  <c r="X156" i="41"/>
  <c r="X141" i="41"/>
  <c r="X150" i="41"/>
  <c r="X158" i="41"/>
  <c r="U73" i="41"/>
  <c r="U126" i="41"/>
  <c r="U76" i="41"/>
  <c r="U184" i="41"/>
  <c r="U180" i="41"/>
  <c r="U174" i="41"/>
  <c r="U66" i="41"/>
  <c r="AS191" i="41"/>
  <c r="X67" i="41"/>
  <c r="AV203" i="41"/>
  <c r="AV193" i="41"/>
  <c r="AV36" i="41"/>
  <c r="AV194" i="41"/>
  <c r="AV26" i="41"/>
  <c r="AV208" i="41"/>
  <c r="AV210" i="41"/>
  <c r="AV31" i="41"/>
  <c r="AV167" i="41"/>
  <c r="AV212" i="41"/>
  <c r="AV209" i="41"/>
  <c r="AV207" i="41"/>
  <c r="AV196" i="41"/>
  <c r="AV40" i="41"/>
  <c r="AV163" i="41"/>
  <c r="AV162" i="41"/>
  <c r="AV43" i="41"/>
  <c r="U14" i="41"/>
  <c r="AV24" i="41"/>
  <c r="AV170" i="41"/>
  <c r="AV48" i="41"/>
  <c r="AV51" i="41"/>
  <c r="AV202" i="41"/>
  <c r="AV204" i="41"/>
  <c r="AV44" i="41"/>
  <c r="AV28" i="41"/>
  <c r="AV166" i="41"/>
  <c r="AV198" i="41"/>
  <c r="AV49" i="41"/>
  <c r="AV213" i="41"/>
  <c r="AV197" i="41"/>
  <c r="AV29" i="41"/>
  <c r="AV205" i="41"/>
  <c r="AV165" i="41"/>
  <c r="AV199" i="41"/>
  <c r="AV39" i="41"/>
  <c r="AV176" i="41"/>
  <c r="AV175" i="41"/>
  <c r="AV50" i="41"/>
  <c r="U3264" i="43"/>
  <c r="O3265" i="43" s="1"/>
  <c r="AV42" i="41"/>
  <c r="U3304" i="43"/>
  <c r="O3305" i="43" s="1"/>
  <c r="O3306" i="43" s="1"/>
  <c r="X127" i="41"/>
  <c r="X142" i="41"/>
  <c r="X152" i="41"/>
  <c r="X169" i="41"/>
  <c r="X75" i="41"/>
  <c r="X102" i="41"/>
  <c r="X94" i="41"/>
  <c r="X114" i="41"/>
  <c r="X134" i="41"/>
  <c r="X96" i="41"/>
  <c r="X82" i="41"/>
  <c r="X107" i="41"/>
  <c r="X139" i="41"/>
  <c r="X63" i="41"/>
  <c r="U54" i="41"/>
  <c r="O13" i="41"/>
  <c r="C168" i="44"/>
  <c r="D168" i="44"/>
  <c r="E168" i="44"/>
  <c r="F168" i="44"/>
  <c r="G168" i="44"/>
  <c r="H168" i="44"/>
  <c r="I168" i="44"/>
  <c r="J168" i="44"/>
  <c r="K168" i="44"/>
  <c r="L168" i="44"/>
  <c r="M168" i="44"/>
  <c r="N168" i="44"/>
  <c r="O168" i="44"/>
  <c r="P168" i="44"/>
  <c r="Q168" i="44"/>
  <c r="D3300" i="43"/>
  <c r="D3299" i="43"/>
  <c r="D3298" i="43"/>
  <c r="D3297" i="43"/>
  <c r="D3296" i="43"/>
  <c r="D3295" i="43"/>
  <c r="D3294" i="43"/>
  <c r="D3293" i="43"/>
  <c r="D3292" i="43"/>
  <c r="D3291" i="43"/>
  <c r="D3290" i="43"/>
  <c r="D3289" i="43"/>
  <c r="D3288" i="43"/>
  <c r="N3287" i="43"/>
  <c r="D3287" i="43"/>
  <c r="N3286" i="43"/>
  <c r="D3286" i="43"/>
  <c r="D3285" i="43"/>
  <c r="U3284" i="43"/>
  <c r="O3285" i="43" s="1"/>
  <c r="U3283" i="43"/>
  <c r="T3281" i="43"/>
  <c r="C167" i="44"/>
  <c r="D167" i="44"/>
  <c r="E167" i="44"/>
  <c r="F167" i="44"/>
  <c r="G167" i="44"/>
  <c r="H167" i="44"/>
  <c r="I167" i="44"/>
  <c r="J167" i="44"/>
  <c r="K167" i="44"/>
  <c r="L167" i="44"/>
  <c r="M167" i="44"/>
  <c r="N167" i="44"/>
  <c r="O167" i="44"/>
  <c r="P167" i="44"/>
  <c r="Q167" i="44"/>
  <c r="N3268" i="43"/>
  <c r="N3269" i="43"/>
  <c r="D3280" i="43"/>
  <c r="D3279" i="43"/>
  <c r="D3278" i="43"/>
  <c r="D3277" i="43"/>
  <c r="D3276" i="43"/>
  <c r="D3275" i="43"/>
  <c r="D3274" i="43"/>
  <c r="D3273" i="43"/>
  <c r="D3272" i="43"/>
  <c r="D3271" i="43"/>
  <c r="D3270" i="43"/>
  <c r="D3269" i="43"/>
  <c r="D3268" i="43"/>
  <c r="N3267" i="43"/>
  <c r="D3267" i="43"/>
  <c r="N3266" i="43"/>
  <c r="D3266" i="43"/>
  <c r="D3265" i="43"/>
  <c r="U3263" i="43"/>
  <c r="T3261" i="43"/>
  <c r="C166" i="44"/>
  <c r="D166" i="44"/>
  <c r="E166" i="44"/>
  <c r="F166" i="44"/>
  <c r="G166" i="44"/>
  <c r="H166" i="44"/>
  <c r="I166" i="44"/>
  <c r="J166" i="44"/>
  <c r="K166" i="44"/>
  <c r="L166" i="44"/>
  <c r="M166" i="44"/>
  <c r="N166" i="44"/>
  <c r="O166" i="44"/>
  <c r="P166" i="44"/>
  <c r="Q166" i="44"/>
  <c r="D3260" i="43"/>
  <c r="D3259" i="43"/>
  <c r="D3258" i="43"/>
  <c r="D3257" i="43"/>
  <c r="D3256" i="43"/>
  <c r="D3255" i="43"/>
  <c r="D3254" i="43"/>
  <c r="D3253" i="43"/>
  <c r="D3252" i="43"/>
  <c r="D3251" i="43"/>
  <c r="D3250" i="43"/>
  <c r="D3249" i="43"/>
  <c r="D3248" i="43"/>
  <c r="N3247" i="43"/>
  <c r="D3247" i="43"/>
  <c r="N3246" i="43"/>
  <c r="D3246" i="43"/>
  <c r="D3245" i="43"/>
  <c r="U3244" i="43"/>
  <c r="O3245" i="43" s="1"/>
  <c r="U3243" i="43"/>
  <c r="T3241" i="43"/>
  <c r="G54" i="61" l="1"/>
  <c r="AW168" i="41"/>
  <c r="I54" i="61" s="1"/>
  <c r="F54" i="61"/>
  <c r="AX211" i="41"/>
  <c r="BE211" i="41" s="1"/>
  <c r="X68" i="41"/>
  <c r="X116" i="41"/>
  <c r="X56" i="41"/>
  <c r="X101" i="41"/>
  <c r="X84" i="41"/>
  <c r="X80" i="41"/>
  <c r="X53" i="41"/>
  <c r="X146" i="41"/>
  <c r="X178" i="41"/>
  <c r="AB67" i="41"/>
  <c r="AB87" i="41"/>
  <c r="AB154" i="41"/>
  <c r="X154" i="41"/>
  <c r="X89" i="41"/>
  <c r="X66" i="41"/>
  <c r="X76" i="41"/>
  <c r="X73" i="41"/>
  <c r="X60" i="41"/>
  <c r="X69" i="41"/>
  <c r="X133" i="41"/>
  <c r="X77" i="41"/>
  <c r="X137" i="41"/>
  <c r="X108" i="41"/>
  <c r="X131" i="41"/>
  <c r="X74" i="41"/>
  <c r="X86" i="41"/>
  <c r="X177" i="41"/>
  <c r="AV191" i="41"/>
  <c r="X78" i="41"/>
  <c r="X179" i="41"/>
  <c r="X111" i="41"/>
  <c r="X72" i="41"/>
  <c r="X145" i="41"/>
  <c r="X106" i="41"/>
  <c r="X148" i="41"/>
  <c r="X113" i="41"/>
  <c r="X147" i="41"/>
  <c r="X109" i="41"/>
  <c r="AB103" i="41"/>
  <c r="X122" i="41"/>
  <c r="X125" i="41"/>
  <c r="X85" i="41"/>
  <c r="AX200" i="41"/>
  <c r="BE200" i="41" s="1"/>
  <c r="AX195" i="41"/>
  <c r="BE195" i="41" s="1"/>
  <c r="AX206" i="41"/>
  <c r="BE206" i="41" s="1"/>
  <c r="X189" i="41"/>
  <c r="AX214" i="41"/>
  <c r="BE214" i="41" s="1"/>
  <c r="X93" i="41"/>
  <c r="X57" i="41"/>
  <c r="X120" i="41"/>
  <c r="X64" i="41"/>
  <c r="X117" i="41"/>
  <c r="X70" i="41"/>
  <c r="X98" i="41"/>
  <c r="X128" i="41"/>
  <c r="X187" i="41"/>
  <c r="X79" i="41"/>
  <c r="AF172" i="41"/>
  <c r="X157" i="41"/>
  <c r="X104" i="41"/>
  <c r="X112" i="41"/>
  <c r="AX201" i="41"/>
  <c r="BE201" i="41" s="1"/>
  <c r="X110" i="41"/>
  <c r="X180" i="41"/>
  <c r="X144" i="41"/>
  <c r="AV183" i="41"/>
  <c r="X61" i="41"/>
  <c r="X95" i="41"/>
  <c r="X160" i="41"/>
  <c r="AX190" i="41"/>
  <c r="BE190" i="41" s="1"/>
  <c r="BH190" i="41" s="1"/>
  <c r="AB119" i="41"/>
  <c r="AX173" i="41"/>
  <c r="BE173" i="41" s="1"/>
  <c r="BH173" i="41" s="1"/>
  <c r="AX161" i="41"/>
  <c r="BE161" i="41" s="1"/>
  <c r="BH161" i="41" s="1"/>
  <c r="AX35" i="41"/>
  <c r="BE35" i="41" s="1"/>
  <c r="X71" i="41"/>
  <c r="AX164" i="41"/>
  <c r="BE164" i="41" s="1"/>
  <c r="BH164" i="41" s="1"/>
  <c r="X171" i="41"/>
  <c r="X100" i="41"/>
  <c r="X65" i="41"/>
  <c r="X174" i="41"/>
  <c r="X184" i="41"/>
  <c r="X126" i="41"/>
  <c r="AV192" i="41"/>
  <c r="X90" i="41"/>
  <c r="X186" i="41"/>
  <c r="X136" i="41"/>
  <c r="P3305" i="43"/>
  <c r="AB102" i="41"/>
  <c r="U13" i="41"/>
  <c r="O3307" i="43"/>
  <c r="Q3307" i="43" s="1"/>
  <c r="Q3306" i="43"/>
  <c r="O3286" i="43"/>
  <c r="P3285" i="43"/>
  <c r="O3266" i="43"/>
  <c r="P3265" i="43"/>
  <c r="P3245" i="43"/>
  <c r="O3246" i="43"/>
  <c r="O174" i="54"/>
  <c r="N174" i="54" s="1"/>
  <c r="O175" i="54"/>
  <c r="N175" i="54" s="1"/>
  <c r="O176" i="54"/>
  <c r="N176" i="54" s="1"/>
  <c r="O177" i="54"/>
  <c r="N177" i="54" s="1"/>
  <c r="O178" i="54"/>
  <c r="N178" i="54" s="1"/>
  <c r="O179" i="54"/>
  <c r="N179" i="54" s="1"/>
  <c r="AB62" i="41" l="1"/>
  <c r="BH195" i="41"/>
  <c r="BF195" i="41"/>
  <c r="BF206" i="41"/>
  <c r="BH206" i="41"/>
  <c r="BH214" i="41"/>
  <c r="BF214" i="41"/>
  <c r="AB186" i="41"/>
  <c r="AB184" i="41"/>
  <c r="AB65" i="41"/>
  <c r="BH35" i="41"/>
  <c r="BF35" i="41"/>
  <c r="BF201" i="41"/>
  <c r="BH201" i="41"/>
  <c r="AB157" i="41"/>
  <c r="AB79" i="41"/>
  <c r="AB57" i="41"/>
  <c r="BH211" i="41"/>
  <c r="BF211" i="41"/>
  <c r="BH200" i="41"/>
  <c r="BF200" i="41"/>
  <c r="AB125" i="41"/>
  <c r="AB147" i="41"/>
  <c r="AB148" i="41"/>
  <c r="AB145" i="41"/>
  <c r="AB111" i="41"/>
  <c r="AB177" i="41"/>
  <c r="AB69" i="41"/>
  <c r="AB66" i="41"/>
  <c r="AB76" i="41"/>
  <c r="AB110" i="41"/>
  <c r="AB92" i="41"/>
  <c r="AB64" i="41"/>
  <c r="AB171" i="41"/>
  <c r="AB60" i="41"/>
  <c r="AB187" i="41"/>
  <c r="AB95" i="41"/>
  <c r="AB108" i="41"/>
  <c r="AB180" i="41"/>
  <c r="AB139" i="41"/>
  <c r="AB169" i="41"/>
  <c r="AB75" i="41"/>
  <c r="AX167" i="41"/>
  <c r="BE167" i="41" s="1"/>
  <c r="BH167" i="41" s="1"/>
  <c r="AX39" i="41"/>
  <c r="BE39" i="41" s="1"/>
  <c r="AX168" i="41"/>
  <c r="BE168" i="41" s="1"/>
  <c r="AX209" i="41"/>
  <c r="BE209" i="41" s="1"/>
  <c r="AX208" i="41"/>
  <c r="BE208" i="41" s="1"/>
  <c r="AX28" i="41"/>
  <c r="BE28" i="41" s="1"/>
  <c r="AB58" i="41"/>
  <c r="AB112" i="41"/>
  <c r="AB178" i="41"/>
  <c r="AB68" i="41"/>
  <c r="AB179" i="41"/>
  <c r="AB137" i="41"/>
  <c r="AB77" i="41"/>
  <c r="AB118" i="41"/>
  <c r="AB89" i="41"/>
  <c r="AB136" i="41"/>
  <c r="AB98" i="41"/>
  <c r="X54" i="41"/>
  <c r="AB134" i="41"/>
  <c r="AB94" i="41"/>
  <c r="AB63" i="41"/>
  <c r="AX205" i="41"/>
  <c r="BE205" i="41" s="1"/>
  <c r="AX198" i="41"/>
  <c r="BE198" i="41" s="1"/>
  <c r="AX199" i="41"/>
  <c r="BE199" i="41" s="1"/>
  <c r="AX48" i="41"/>
  <c r="BE48" i="41" s="1"/>
  <c r="AB70" i="41"/>
  <c r="AF103" i="41"/>
  <c r="AB78" i="41"/>
  <c r="AF87" i="41"/>
  <c r="AB56" i="41"/>
  <c r="AB55" i="41"/>
  <c r="AB84" i="41"/>
  <c r="AB188" i="41"/>
  <c r="AB159" i="41"/>
  <c r="AB100" i="41"/>
  <c r="AB132" i="41"/>
  <c r="AB138" i="41"/>
  <c r="AB61" i="41"/>
  <c r="AB121" i="41"/>
  <c r="AB113" i="41"/>
  <c r="AB150" i="41"/>
  <c r="AB88" i="41"/>
  <c r="AB181" i="41"/>
  <c r="AB130" i="41"/>
  <c r="AB105" i="41"/>
  <c r="AB117" i="41"/>
  <c r="AB158" i="41"/>
  <c r="AB122" i="41"/>
  <c r="AB133" i="41"/>
  <c r="AB99" i="41"/>
  <c r="AB127" i="41"/>
  <c r="AB96" i="41"/>
  <c r="AX203" i="41"/>
  <c r="BE203" i="41" s="1"/>
  <c r="AX26" i="41"/>
  <c r="BE26" i="41" s="1"/>
  <c r="AX196" i="41"/>
  <c r="BE196" i="41" s="1"/>
  <c r="AX197" i="41"/>
  <c r="BE197" i="41" s="1"/>
  <c r="AX42" i="41"/>
  <c r="BE42" i="41" s="1"/>
  <c r="BF42" i="41" s="1"/>
  <c r="AX213" i="41"/>
  <c r="BE213" i="41" s="1"/>
  <c r="AX162" i="41"/>
  <c r="BE162" i="41" s="1"/>
  <c r="BH162" i="41" s="1"/>
  <c r="AX176" i="41"/>
  <c r="BE176" i="41" s="1"/>
  <c r="BH176" i="41" s="1"/>
  <c r="AX49" i="41"/>
  <c r="BE49" i="41" s="1"/>
  <c r="AX191" i="41"/>
  <c r="BE191" i="41" s="1"/>
  <c r="BH191" i="41" s="1"/>
  <c r="AB53" i="41"/>
  <c r="AB123" i="41"/>
  <c r="AB93" i="41"/>
  <c r="AB141" i="41"/>
  <c r="AB109" i="41"/>
  <c r="AB189" i="41"/>
  <c r="AB135" i="41"/>
  <c r="AB143" i="41"/>
  <c r="AB15" i="41"/>
  <c r="AB174" i="41"/>
  <c r="AB74" i="41"/>
  <c r="AB83" i="41"/>
  <c r="AB106" i="41"/>
  <c r="AB71" i="41"/>
  <c r="AB142" i="41"/>
  <c r="AB114" i="41"/>
  <c r="AX43" i="41"/>
  <c r="BE43" i="41" s="1"/>
  <c r="AX202" i="41"/>
  <c r="BE202" i="41" s="1"/>
  <c r="AX194" i="41"/>
  <c r="BE194" i="41" s="1"/>
  <c r="BH194" i="41" s="1"/>
  <c r="AX165" i="41"/>
  <c r="BE165" i="41" s="1"/>
  <c r="BH165" i="41" s="1"/>
  <c r="AX24" i="41"/>
  <c r="BE24" i="41" s="1"/>
  <c r="AX183" i="41"/>
  <c r="BE183" i="41" s="1"/>
  <c r="BH183" i="41" s="1"/>
  <c r="AB59" i="41"/>
  <c r="AB115" i="41"/>
  <c r="AB155" i="41"/>
  <c r="AB85" i="41"/>
  <c r="AB90" i="41"/>
  <c r="AB104" i="41"/>
  <c r="AB140" i="41"/>
  <c r="AB182" i="41"/>
  <c r="AB128" i="41"/>
  <c r="AB131" i="41"/>
  <c r="AB81" i="41"/>
  <c r="AB73" i="41"/>
  <c r="AX207" i="41"/>
  <c r="BE207" i="41" s="1"/>
  <c r="AX204" i="41"/>
  <c r="BE204" i="41" s="1"/>
  <c r="AX175" i="41"/>
  <c r="BE175" i="41" s="1"/>
  <c r="BH175" i="41" s="1"/>
  <c r="AX40" i="41"/>
  <c r="BE40" i="41" s="1"/>
  <c r="AX31" i="41"/>
  <c r="BE31" i="41" s="1"/>
  <c r="BF31" i="41" s="1"/>
  <c r="AX166" i="41"/>
  <c r="BE166" i="41" s="1"/>
  <c r="BH166" i="41" s="1"/>
  <c r="AF62" i="41"/>
  <c r="AB101" i="41"/>
  <c r="AB80" i="41"/>
  <c r="AB97" i="41"/>
  <c r="AB129" i="41"/>
  <c r="AB149" i="41"/>
  <c r="AB153" i="41"/>
  <c r="AB160" i="41"/>
  <c r="AB116" i="41"/>
  <c r="AB144" i="41"/>
  <c r="AB91" i="41"/>
  <c r="AB151" i="41"/>
  <c r="AB146" i="41"/>
  <c r="AB156" i="41"/>
  <c r="AB126" i="41"/>
  <c r="AB124" i="41"/>
  <c r="AB120" i="41"/>
  <c r="AB72" i="41"/>
  <c r="AB152" i="41"/>
  <c r="AB82" i="41"/>
  <c r="AB107" i="41"/>
  <c r="AX36" i="41"/>
  <c r="BE36" i="41" s="1"/>
  <c r="AX210" i="41"/>
  <c r="BE210" i="41" s="1"/>
  <c r="AX163" i="41"/>
  <c r="BE163" i="41" s="1"/>
  <c r="BH163" i="41" s="1"/>
  <c r="AX51" i="41"/>
  <c r="BE51" i="41" s="1"/>
  <c r="AX44" i="41"/>
  <c r="BE44" i="41" s="1"/>
  <c r="AX193" i="41"/>
  <c r="AX212" i="41"/>
  <c r="BE212" i="41" s="1"/>
  <c r="AX170" i="41"/>
  <c r="BE170" i="41" s="1"/>
  <c r="BH170" i="41" s="1"/>
  <c r="AX50" i="41"/>
  <c r="BE50" i="41" s="1"/>
  <c r="AX29" i="41"/>
  <c r="BE29" i="41" s="1"/>
  <c r="AX192" i="41"/>
  <c r="BE192" i="41" s="1"/>
  <c r="BH192" i="41" s="1"/>
  <c r="X14" i="41"/>
  <c r="AF119" i="41"/>
  <c r="AL172" i="41"/>
  <c r="AI172" i="41"/>
  <c r="AB86" i="41"/>
  <c r="AF67" i="41"/>
  <c r="X13" i="41"/>
  <c r="O3287" i="43"/>
  <c r="Q3286" i="43"/>
  <c r="O3267" i="43"/>
  <c r="Q3266" i="43"/>
  <c r="Q3246" i="43"/>
  <c r="O3247" i="43"/>
  <c r="Q3247" i="43" s="1"/>
  <c r="C165" i="44"/>
  <c r="D165" i="44"/>
  <c r="E165" i="44"/>
  <c r="F165" i="44"/>
  <c r="G165" i="44"/>
  <c r="H165" i="44"/>
  <c r="I165" i="44"/>
  <c r="J165" i="44"/>
  <c r="K165" i="44"/>
  <c r="L165" i="44"/>
  <c r="M165" i="44"/>
  <c r="N165" i="44"/>
  <c r="O165" i="44"/>
  <c r="P165" i="44"/>
  <c r="Q165" i="44"/>
  <c r="D3240" i="43"/>
  <c r="D3239" i="43"/>
  <c r="D3238" i="43"/>
  <c r="D3237" i="43"/>
  <c r="D3236" i="43"/>
  <c r="D3235" i="43"/>
  <c r="D3234" i="43"/>
  <c r="D3233" i="43"/>
  <c r="D3232" i="43"/>
  <c r="D3231" i="43"/>
  <c r="D3230" i="43"/>
  <c r="D3229" i="43"/>
  <c r="D3228" i="43"/>
  <c r="N3227" i="43"/>
  <c r="D3227" i="43"/>
  <c r="N3226" i="43"/>
  <c r="D3226" i="43"/>
  <c r="D3225" i="43"/>
  <c r="U3224" i="43"/>
  <c r="O3225" i="43" s="1"/>
  <c r="U3223" i="43"/>
  <c r="T3221" i="43"/>
  <c r="Q164" i="44"/>
  <c r="P164" i="44"/>
  <c r="O164" i="44"/>
  <c r="N164" i="44"/>
  <c r="M164" i="44"/>
  <c r="L164" i="44"/>
  <c r="K164" i="44"/>
  <c r="J164" i="44"/>
  <c r="I164" i="44"/>
  <c r="H164" i="44"/>
  <c r="G164" i="44"/>
  <c r="F164" i="44"/>
  <c r="E164" i="44"/>
  <c r="D164" i="44"/>
  <c r="C164" i="44"/>
  <c r="D3220" i="43"/>
  <c r="D3219" i="43"/>
  <c r="D3218" i="43"/>
  <c r="D3217" i="43"/>
  <c r="D3216" i="43"/>
  <c r="D3215" i="43"/>
  <c r="D3214" i="43"/>
  <c r="D3213" i="43"/>
  <c r="D3212" i="43"/>
  <c r="D3211" i="43"/>
  <c r="D3210" i="43"/>
  <c r="D3209" i="43"/>
  <c r="D3208" i="43"/>
  <c r="N3207" i="43"/>
  <c r="D3207" i="43"/>
  <c r="N3206" i="43"/>
  <c r="D3206" i="43"/>
  <c r="D3205" i="43"/>
  <c r="U3204" i="43"/>
  <c r="O3205" i="43" s="1"/>
  <c r="U3203" i="43"/>
  <c r="T3201" i="43"/>
  <c r="Q163" i="44"/>
  <c r="P163" i="44"/>
  <c r="O163" i="44"/>
  <c r="N163" i="44"/>
  <c r="M163" i="44"/>
  <c r="L163" i="44"/>
  <c r="K163" i="44"/>
  <c r="J163" i="44"/>
  <c r="I163" i="44"/>
  <c r="H163" i="44"/>
  <c r="G163" i="44"/>
  <c r="F163" i="44"/>
  <c r="E163" i="44"/>
  <c r="D163" i="44"/>
  <c r="C163" i="44"/>
  <c r="N3189" i="43"/>
  <c r="N3190" i="43"/>
  <c r="N3191" i="43"/>
  <c r="D3200" i="43"/>
  <c r="D3199" i="43"/>
  <c r="D3198" i="43"/>
  <c r="D3197" i="43"/>
  <c r="D3196" i="43"/>
  <c r="D3195" i="43"/>
  <c r="D3194" i="43"/>
  <c r="D3193" i="43"/>
  <c r="D3192" i="43"/>
  <c r="D3191" i="43"/>
  <c r="D3190" i="43"/>
  <c r="D3189" i="43"/>
  <c r="N3188" i="43"/>
  <c r="D3188" i="43"/>
  <c r="N3187" i="43"/>
  <c r="D3187" i="43"/>
  <c r="N3186" i="43"/>
  <c r="D3186" i="43"/>
  <c r="D3185" i="43"/>
  <c r="U3184" i="43"/>
  <c r="O3185" i="43" s="1"/>
  <c r="U3183" i="43"/>
  <c r="T3181" i="43"/>
  <c r="Q162" i="44"/>
  <c r="P162" i="44"/>
  <c r="O162" i="44"/>
  <c r="N162" i="44"/>
  <c r="M162" i="44"/>
  <c r="L162" i="44"/>
  <c r="K162" i="44"/>
  <c r="J162" i="44"/>
  <c r="I162" i="44"/>
  <c r="H162" i="44"/>
  <c r="G162" i="44"/>
  <c r="F162" i="44"/>
  <c r="E162" i="44"/>
  <c r="D162" i="44"/>
  <c r="C162" i="44"/>
  <c r="N3168" i="43"/>
  <c r="D3180" i="43"/>
  <c r="D3179" i="43"/>
  <c r="D3178" i="43"/>
  <c r="D3177" i="43"/>
  <c r="D3176" i="43"/>
  <c r="D3175" i="43"/>
  <c r="D3174" i="43"/>
  <c r="D3173" i="43"/>
  <c r="D3172" i="43"/>
  <c r="D3171" i="43"/>
  <c r="D3170" i="43"/>
  <c r="D3169" i="43"/>
  <c r="D3168" i="43"/>
  <c r="N3167" i="43"/>
  <c r="D3167" i="43"/>
  <c r="N3166" i="43"/>
  <c r="D3166" i="43"/>
  <c r="D3165" i="43"/>
  <c r="U3164" i="43"/>
  <c r="O3165" i="43" s="1"/>
  <c r="U3163" i="43"/>
  <c r="T3161" i="43"/>
  <c r="BE193" i="41" l="1"/>
  <c r="BH193" i="41" s="1"/>
  <c r="J54" i="61"/>
  <c r="BF208" i="41"/>
  <c r="BH208" i="41"/>
  <c r="BF51" i="41"/>
  <c r="BH51" i="41"/>
  <c r="BF207" i="41"/>
  <c r="BH207" i="41"/>
  <c r="BF196" i="41"/>
  <c r="BH196" i="41"/>
  <c r="BH29" i="41"/>
  <c r="BF29" i="41"/>
  <c r="BF49" i="41"/>
  <c r="BH49" i="41"/>
  <c r="BF48" i="41"/>
  <c r="BH48" i="41"/>
  <c r="BF210" i="41"/>
  <c r="BH210" i="41"/>
  <c r="BF24" i="41"/>
  <c r="BH24" i="41"/>
  <c r="BH203" i="41"/>
  <c r="BF203" i="41"/>
  <c r="BF43" i="41"/>
  <c r="BH43" i="41"/>
  <c r="BF198" i="41"/>
  <c r="BH198" i="41"/>
  <c r="BF168" i="41"/>
  <c r="BH168" i="41"/>
  <c r="BH42" i="41"/>
  <c r="BH31" i="41"/>
  <c r="BH212" i="41"/>
  <c r="BF212" i="41"/>
  <c r="BH213" i="41"/>
  <c r="BF213" i="41"/>
  <c r="BH205" i="41"/>
  <c r="BF205" i="41"/>
  <c r="AB54" i="41"/>
  <c r="BF50" i="41"/>
  <c r="BH50" i="41"/>
  <c r="BH36" i="41"/>
  <c r="BF36" i="41"/>
  <c r="BF199" i="41"/>
  <c r="BH199" i="41"/>
  <c r="BF39" i="41"/>
  <c r="BH39" i="41"/>
  <c r="BH204" i="41"/>
  <c r="BF204" i="41"/>
  <c r="BH26" i="41"/>
  <c r="BF26" i="41"/>
  <c r="BH209" i="41"/>
  <c r="BF209" i="41"/>
  <c r="BH44" i="41"/>
  <c r="BF44" i="41"/>
  <c r="BH40" i="41"/>
  <c r="BF40" i="41"/>
  <c r="BF202" i="41"/>
  <c r="BH202" i="41"/>
  <c r="BH197" i="41"/>
  <c r="BF197" i="41"/>
  <c r="BF28" i="41"/>
  <c r="BH28" i="41"/>
  <c r="AF102" i="41"/>
  <c r="AF86" i="41"/>
  <c r="AF82" i="41"/>
  <c r="AF124" i="41"/>
  <c r="AF151" i="41"/>
  <c r="AF144" i="41"/>
  <c r="AF149" i="41"/>
  <c r="AF101" i="41"/>
  <c r="AF73" i="41"/>
  <c r="AF182" i="41"/>
  <c r="AF85" i="41"/>
  <c r="AF71" i="41"/>
  <c r="AF174" i="41"/>
  <c r="AF189" i="41"/>
  <c r="AF123" i="41"/>
  <c r="AF96" i="41"/>
  <c r="AF122" i="41"/>
  <c r="AF117" i="41"/>
  <c r="AF88" i="41"/>
  <c r="AF113" i="41"/>
  <c r="AF132" i="41"/>
  <c r="AF84" i="41"/>
  <c r="AF56" i="41"/>
  <c r="AF70" i="41"/>
  <c r="AF136" i="41"/>
  <c r="AF118" i="41"/>
  <c r="AF137" i="41"/>
  <c r="AF68" i="41"/>
  <c r="AF112" i="41"/>
  <c r="AF75" i="41"/>
  <c r="AF139" i="41"/>
  <c r="AF108" i="41"/>
  <c r="AF60" i="41"/>
  <c r="AF64" i="41"/>
  <c r="AF110" i="41"/>
  <c r="AF66" i="41"/>
  <c r="AF177" i="41"/>
  <c r="AF145" i="41"/>
  <c r="AF147" i="41"/>
  <c r="AF157" i="41"/>
  <c r="AF184" i="41"/>
  <c r="AI119" i="41"/>
  <c r="AL119" i="41"/>
  <c r="AF72" i="41"/>
  <c r="AF156" i="41"/>
  <c r="AF160" i="41"/>
  <c r="AF97" i="41"/>
  <c r="AF131" i="41"/>
  <c r="AF104" i="41"/>
  <c r="AF115" i="41"/>
  <c r="AF114" i="41"/>
  <c r="AF83" i="41"/>
  <c r="AF143" i="41"/>
  <c r="AF141" i="41"/>
  <c r="AF99" i="41"/>
  <c r="AF130" i="41"/>
  <c r="AF61" i="41"/>
  <c r="AF159" i="41"/>
  <c r="AF78" i="41"/>
  <c r="AF94" i="41"/>
  <c r="AF57" i="41"/>
  <c r="AI154" i="41"/>
  <c r="AF154" i="41"/>
  <c r="AI67" i="41"/>
  <c r="AL67" i="41"/>
  <c r="AB14" i="41"/>
  <c r="AF107" i="41"/>
  <c r="AF152" i="41"/>
  <c r="AF120" i="41"/>
  <c r="AF126" i="41"/>
  <c r="AF146" i="41"/>
  <c r="AF91" i="41"/>
  <c r="AF116" i="41"/>
  <c r="AF153" i="41"/>
  <c r="AF129" i="41"/>
  <c r="AF80" i="41"/>
  <c r="AI62" i="41"/>
  <c r="AL62" i="41"/>
  <c r="AF81" i="41"/>
  <c r="AF128" i="41"/>
  <c r="AF140" i="41"/>
  <c r="AF90" i="41"/>
  <c r="AF155" i="41"/>
  <c r="AF59" i="41"/>
  <c r="AF142" i="41"/>
  <c r="AF106" i="41"/>
  <c r="AF74" i="41"/>
  <c r="AF15" i="41"/>
  <c r="AF135" i="41"/>
  <c r="AF109" i="41"/>
  <c r="AF93" i="41"/>
  <c r="AF53" i="41"/>
  <c r="AF127" i="41"/>
  <c r="AF133" i="41"/>
  <c r="AF158" i="41"/>
  <c r="AF105" i="41"/>
  <c r="AF181" i="41"/>
  <c r="AF150" i="41"/>
  <c r="AF121" i="41"/>
  <c r="AF138" i="41"/>
  <c r="AF100" i="41"/>
  <c r="AF188" i="41"/>
  <c r="AF55" i="41"/>
  <c r="AI87" i="41"/>
  <c r="AL87" i="41"/>
  <c r="AI103" i="41"/>
  <c r="AL103" i="41"/>
  <c r="AF63" i="41"/>
  <c r="AF134" i="41"/>
  <c r="AF98" i="41"/>
  <c r="AF89" i="41"/>
  <c r="AF77" i="41"/>
  <c r="AF179" i="41"/>
  <c r="AF178" i="41"/>
  <c r="AF58" i="41"/>
  <c r="AF169" i="41"/>
  <c r="AF180" i="41"/>
  <c r="AF95" i="41"/>
  <c r="AF187" i="41"/>
  <c r="AF171" i="41"/>
  <c r="AF92" i="41"/>
  <c r="AF76" i="41"/>
  <c r="AF69" i="41"/>
  <c r="AF111" i="41"/>
  <c r="AF148" i="41"/>
  <c r="AF125" i="41"/>
  <c r="AF79" i="41"/>
  <c r="AF65" i="41"/>
  <c r="AF186" i="41"/>
  <c r="Q3287" i="43"/>
  <c r="Q3267" i="43"/>
  <c r="O3268" i="43"/>
  <c r="O3226" i="43"/>
  <c r="P3225" i="43"/>
  <c r="P3205" i="43"/>
  <c r="O3206" i="43"/>
  <c r="O3186" i="43"/>
  <c r="P3185" i="43"/>
  <c r="O3166" i="43"/>
  <c r="P3165" i="43"/>
  <c r="R28" i="58"/>
  <c r="R29" i="58"/>
  <c r="R30" i="58"/>
  <c r="R31" i="58"/>
  <c r="R32" i="58"/>
  <c r="R33" i="58"/>
  <c r="R34" i="58"/>
  <c r="R35" i="58"/>
  <c r="R36" i="58"/>
  <c r="R37" i="58"/>
  <c r="R38" i="58"/>
  <c r="R39" i="58"/>
  <c r="R40" i="58"/>
  <c r="R41" i="58"/>
  <c r="R42" i="58"/>
  <c r="R43" i="58"/>
  <c r="R44" i="58"/>
  <c r="R45" i="58"/>
  <c r="R46" i="58"/>
  <c r="R47" i="58"/>
  <c r="R48" i="58"/>
  <c r="R49" i="58"/>
  <c r="R50" i="58"/>
  <c r="R51" i="58"/>
  <c r="R52" i="58"/>
  <c r="R53" i="58"/>
  <c r="R27" i="58"/>
  <c r="R13" i="58"/>
  <c r="R14" i="58"/>
  <c r="R15" i="58"/>
  <c r="R16" i="58"/>
  <c r="R17" i="58"/>
  <c r="R18" i="58"/>
  <c r="R19" i="58"/>
  <c r="R20" i="58"/>
  <c r="R21" i="58"/>
  <c r="R22" i="58"/>
  <c r="R23" i="58"/>
  <c r="R24" i="58"/>
  <c r="R25" i="58"/>
  <c r="R12" i="58"/>
  <c r="AS67" i="41" l="1"/>
  <c r="AS119" i="41"/>
  <c r="AS87" i="41"/>
  <c r="AS62" i="41"/>
  <c r="AS103" i="41"/>
  <c r="AI186" i="41"/>
  <c r="AL186" i="41"/>
  <c r="AI148" i="41"/>
  <c r="AL148" i="41"/>
  <c r="AI187" i="41"/>
  <c r="AL187" i="41"/>
  <c r="AI58" i="41"/>
  <c r="AL58" i="41"/>
  <c r="AI179" i="41"/>
  <c r="AL179" i="41"/>
  <c r="AI134" i="41"/>
  <c r="AL134" i="41"/>
  <c r="AI100" i="41"/>
  <c r="AL100" i="41"/>
  <c r="AI158" i="41"/>
  <c r="AL158" i="41"/>
  <c r="AI93" i="41"/>
  <c r="AL93" i="41"/>
  <c r="AI74" i="41"/>
  <c r="AL74" i="41"/>
  <c r="AI142" i="41"/>
  <c r="AL142" i="41"/>
  <c r="AI140" i="41"/>
  <c r="AL140" i="41"/>
  <c r="AI81" i="41"/>
  <c r="AL81" i="41"/>
  <c r="AI80" i="41"/>
  <c r="AL80" i="41"/>
  <c r="AI153" i="41"/>
  <c r="AL153" i="41"/>
  <c r="AI91" i="41"/>
  <c r="AL91" i="41"/>
  <c r="AI126" i="41"/>
  <c r="AL126" i="41"/>
  <c r="AI152" i="41"/>
  <c r="AL152" i="41"/>
  <c r="AF14" i="41"/>
  <c r="AL94" i="41"/>
  <c r="AI94" i="41"/>
  <c r="AI159" i="41"/>
  <c r="AL159" i="41"/>
  <c r="AI130" i="41"/>
  <c r="AL130" i="41"/>
  <c r="AI141" i="41"/>
  <c r="AL141" i="41"/>
  <c r="AI83" i="41"/>
  <c r="AL83" i="41"/>
  <c r="AI115" i="41"/>
  <c r="AL115" i="41"/>
  <c r="AI131" i="41"/>
  <c r="AL131" i="41"/>
  <c r="AI160" i="41"/>
  <c r="AL160" i="41"/>
  <c r="AI72" i="41"/>
  <c r="AL72" i="41"/>
  <c r="AI184" i="41"/>
  <c r="AL184" i="41"/>
  <c r="AI147" i="41"/>
  <c r="AL147" i="41"/>
  <c r="AI177" i="41"/>
  <c r="AL177" i="41"/>
  <c r="AI110" i="41"/>
  <c r="AL110" i="41"/>
  <c r="AI60" i="41"/>
  <c r="AL60" i="41"/>
  <c r="AI108" i="41"/>
  <c r="AL108" i="41"/>
  <c r="AI75" i="41"/>
  <c r="AL75" i="41"/>
  <c r="AI68" i="41"/>
  <c r="AL68" i="41"/>
  <c r="AI118" i="41"/>
  <c r="AL118" i="41"/>
  <c r="AI70" i="41"/>
  <c r="AI84" i="41"/>
  <c r="AL84" i="41"/>
  <c r="AI113" i="41"/>
  <c r="AL113" i="41"/>
  <c r="AI117" i="41"/>
  <c r="AL117" i="41"/>
  <c r="AI96" i="41"/>
  <c r="AL96" i="41"/>
  <c r="AI189" i="41"/>
  <c r="AL189" i="41"/>
  <c r="AI71" i="41"/>
  <c r="AL71" i="41"/>
  <c r="AI182" i="41"/>
  <c r="AL182" i="41"/>
  <c r="AI101" i="41"/>
  <c r="AL101" i="41"/>
  <c r="AI144" i="41"/>
  <c r="AL144" i="41"/>
  <c r="AI124" i="41"/>
  <c r="AL124" i="41"/>
  <c r="AI86" i="41"/>
  <c r="AF54" i="41"/>
  <c r="AS172" i="41"/>
  <c r="AI79" i="41"/>
  <c r="AL79" i="41"/>
  <c r="AI69" i="41"/>
  <c r="AL69" i="41"/>
  <c r="AI92" i="41"/>
  <c r="AL92" i="41"/>
  <c r="AI180" i="41"/>
  <c r="AL180" i="41"/>
  <c r="AI89" i="41"/>
  <c r="AL89" i="41"/>
  <c r="AI55" i="41"/>
  <c r="AL55" i="41"/>
  <c r="AI121" i="41"/>
  <c r="AL121" i="41"/>
  <c r="AI181" i="41"/>
  <c r="AL181" i="41"/>
  <c r="AI127" i="41"/>
  <c r="AL127" i="41"/>
  <c r="AI135" i="41"/>
  <c r="AL135" i="41"/>
  <c r="AI155" i="41"/>
  <c r="AL155" i="41"/>
  <c r="AL154" i="41"/>
  <c r="AI65" i="41"/>
  <c r="AL65" i="41"/>
  <c r="AI125" i="41"/>
  <c r="AL125" i="41"/>
  <c r="AI111" i="41"/>
  <c r="AL111" i="41"/>
  <c r="AI76" i="41"/>
  <c r="AL76" i="41"/>
  <c r="AI171" i="41"/>
  <c r="AL171" i="41"/>
  <c r="AI95" i="41"/>
  <c r="AL95" i="41"/>
  <c r="AI169" i="41"/>
  <c r="AL169" i="41"/>
  <c r="AI178" i="41"/>
  <c r="AL178" i="41"/>
  <c r="AI77" i="41"/>
  <c r="AL77" i="41"/>
  <c r="AI98" i="41"/>
  <c r="AL98" i="41"/>
  <c r="AI63" i="41"/>
  <c r="AL63" i="41"/>
  <c r="AI188" i="41"/>
  <c r="AL188" i="41"/>
  <c r="AI138" i="41"/>
  <c r="AL138" i="41"/>
  <c r="AI150" i="41"/>
  <c r="AL150" i="41"/>
  <c r="AI105" i="41"/>
  <c r="AL105" i="41"/>
  <c r="AI133" i="41"/>
  <c r="AL133" i="41"/>
  <c r="AI53" i="41"/>
  <c r="AL53" i="41"/>
  <c r="AI109" i="41"/>
  <c r="AL109" i="41"/>
  <c r="AI15" i="41"/>
  <c r="AL15" i="41"/>
  <c r="AI106" i="41"/>
  <c r="AL106" i="41"/>
  <c r="AI59" i="41"/>
  <c r="AL59" i="41"/>
  <c r="AI90" i="41"/>
  <c r="AL90" i="41"/>
  <c r="AI128" i="41"/>
  <c r="AL128" i="41"/>
  <c r="AI129" i="41"/>
  <c r="AL129" i="41"/>
  <c r="AI116" i="41"/>
  <c r="AL116" i="41"/>
  <c r="AI146" i="41"/>
  <c r="AL146" i="41"/>
  <c r="AI120" i="41"/>
  <c r="AL120" i="41"/>
  <c r="AI107" i="41"/>
  <c r="AL107" i="41"/>
  <c r="AI57" i="41"/>
  <c r="AL57" i="41"/>
  <c r="AI78" i="41"/>
  <c r="AI61" i="41"/>
  <c r="AL61" i="41"/>
  <c r="AI99" i="41"/>
  <c r="AL99" i="41"/>
  <c r="AI143" i="41"/>
  <c r="AL143" i="41"/>
  <c r="AI114" i="41"/>
  <c r="AL114" i="41"/>
  <c r="AI104" i="41"/>
  <c r="AL104" i="41"/>
  <c r="AI97" i="41"/>
  <c r="AL97" i="41"/>
  <c r="AI156" i="41"/>
  <c r="AL156" i="41"/>
  <c r="AI157" i="41"/>
  <c r="AL157" i="41"/>
  <c r="AI145" i="41"/>
  <c r="AL145" i="41"/>
  <c r="AI66" i="41"/>
  <c r="AL66" i="41"/>
  <c r="AI64" i="41"/>
  <c r="AL64" i="41"/>
  <c r="AI139" i="41"/>
  <c r="AL139" i="41"/>
  <c r="AI112" i="41"/>
  <c r="AL112" i="41"/>
  <c r="AI137" i="41"/>
  <c r="AL137" i="41"/>
  <c r="AI136" i="41"/>
  <c r="AL136" i="41"/>
  <c r="AI56" i="41"/>
  <c r="AL56" i="41"/>
  <c r="AI132" i="41"/>
  <c r="AL132" i="41"/>
  <c r="AI88" i="41"/>
  <c r="AL88" i="41"/>
  <c r="AI122" i="41"/>
  <c r="AL122" i="41"/>
  <c r="AI123" i="41"/>
  <c r="AL123" i="41"/>
  <c r="AI174" i="41"/>
  <c r="AL174" i="41"/>
  <c r="AI85" i="41"/>
  <c r="AL85" i="41"/>
  <c r="AI73" i="41"/>
  <c r="AL73" i="41"/>
  <c r="AI149" i="41"/>
  <c r="AL149" i="41"/>
  <c r="AI151" i="41"/>
  <c r="AL151" i="41"/>
  <c r="AI82" i="41"/>
  <c r="AL82" i="41"/>
  <c r="AI102" i="41"/>
  <c r="AS152" i="41"/>
  <c r="AB13" i="41"/>
  <c r="AF13" i="41"/>
  <c r="AS89" i="41"/>
  <c r="AV67" i="41"/>
  <c r="AS148" i="41"/>
  <c r="AS134" i="41"/>
  <c r="AS158" i="41"/>
  <c r="AS74" i="41"/>
  <c r="AS79" i="41"/>
  <c r="AS127" i="41"/>
  <c r="AS83" i="41"/>
  <c r="AS155" i="41"/>
  <c r="AS58" i="41"/>
  <c r="AS92" i="41"/>
  <c r="AS140" i="41"/>
  <c r="AS115" i="41"/>
  <c r="AS91" i="41"/>
  <c r="AS121" i="41"/>
  <c r="Q3268" i="43"/>
  <c r="O3269" i="43"/>
  <c r="Q3269" i="43" s="1"/>
  <c r="O3227" i="43"/>
  <c r="Q3227" i="43" s="1"/>
  <c r="Q3226" i="43"/>
  <c r="Q3206" i="43"/>
  <c r="O3207" i="43"/>
  <c r="O3187" i="43"/>
  <c r="Q3186" i="43"/>
  <c r="O3167" i="43"/>
  <c r="Q3166" i="43"/>
  <c r="F20" i="58"/>
  <c r="E20" i="58"/>
  <c r="D20" i="58"/>
  <c r="F19" i="58"/>
  <c r="E19" i="58"/>
  <c r="D19" i="58"/>
  <c r="F18" i="58"/>
  <c r="E18" i="58"/>
  <c r="D18" i="58"/>
  <c r="F17" i="58"/>
  <c r="E17" i="58"/>
  <c r="D17" i="58"/>
  <c r="F16" i="58"/>
  <c r="E16" i="58"/>
  <c r="D16" i="58"/>
  <c r="F15" i="58"/>
  <c r="E15" i="58"/>
  <c r="D15" i="58"/>
  <c r="F14" i="58"/>
  <c r="E14" i="58"/>
  <c r="D14" i="58"/>
  <c r="F13" i="58"/>
  <c r="E13" i="58"/>
  <c r="D13" i="58"/>
  <c r="F12" i="58"/>
  <c r="E12" i="58"/>
  <c r="D12" i="58"/>
  <c r="F11" i="58"/>
  <c r="E11" i="58"/>
  <c r="D11" i="58"/>
  <c r="F10" i="58"/>
  <c r="E10" i="58"/>
  <c r="D10" i="58"/>
  <c r="F9" i="58"/>
  <c r="E9" i="58"/>
  <c r="D9" i="58"/>
  <c r="F8" i="58"/>
  <c r="E8" i="58"/>
  <c r="D8" i="58"/>
  <c r="F7" i="58"/>
  <c r="E7" i="58"/>
  <c r="D7" i="58"/>
  <c r="F5" i="58"/>
  <c r="E5" i="58"/>
  <c r="D5" i="58"/>
  <c r="AS71" i="41" l="1"/>
  <c r="AS76" i="41"/>
  <c r="AS96" i="41"/>
  <c r="AS80" i="41"/>
  <c r="AV103" i="41"/>
  <c r="AS72" i="41"/>
  <c r="AS101" i="41"/>
  <c r="AS131" i="41"/>
  <c r="AS124" i="41"/>
  <c r="AS147" i="41"/>
  <c r="AS110" i="41"/>
  <c r="AS108" i="41"/>
  <c r="AS68" i="41"/>
  <c r="AS130" i="41"/>
  <c r="AS113" i="41"/>
  <c r="AS132" i="41"/>
  <c r="AS186" i="41"/>
  <c r="AS112" i="41"/>
  <c r="AS150" i="41"/>
  <c r="AS188" i="41"/>
  <c r="AS98" i="41"/>
  <c r="AS151" i="41"/>
  <c r="AS179" i="41"/>
  <c r="AS100" i="41"/>
  <c r="AS160" i="41"/>
  <c r="AS189" i="41"/>
  <c r="AS75" i="41"/>
  <c r="AS159" i="41"/>
  <c r="AS61" i="41"/>
  <c r="AS90" i="41"/>
  <c r="AS125" i="41"/>
  <c r="AS129" i="41"/>
  <c r="AS109" i="41"/>
  <c r="AV119" i="41"/>
  <c r="AS85" i="41"/>
  <c r="AS116" i="41"/>
  <c r="AS97" i="41"/>
  <c r="AS114" i="41"/>
  <c r="AS174" i="41"/>
  <c r="AS154" i="41"/>
  <c r="AS95" i="41"/>
  <c r="AS146" i="41"/>
  <c r="AS181" i="41"/>
  <c r="AS66" i="41"/>
  <c r="AS178" i="41"/>
  <c r="AS187" i="41"/>
  <c r="AS133" i="41"/>
  <c r="AV87" i="41"/>
  <c r="AS88" i="41"/>
  <c r="AV62" i="41"/>
  <c r="AS106" i="41"/>
  <c r="AS157" i="41"/>
  <c r="AS182" i="41"/>
  <c r="AS55" i="41"/>
  <c r="AS122" i="41"/>
  <c r="AI54" i="41"/>
  <c r="AL54" i="41"/>
  <c r="AS82" i="41"/>
  <c r="AS156" i="41"/>
  <c r="AS171" i="41"/>
  <c r="AS64" i="41"/>
  <c r="AL86" i="41"/>
  <c r="AS169" i="41"/>
  <c r="AS143" i="41"/>
  <c r="AS63" i="41"/>
  <c r="AS111" i="41"/>
  <c r="AS142" i="41"/>
  <c r="AS141" i="41"/>
  <c r="AS81" i="41"/>
  <c r="AS149" i="41"/>
  <c r="AS69" i="41"/>
  <c r="AS105" i="41"/>
  <c r="AS104" i="41"/>
  <c r="AS53" i="41"/>
  <c r="AL78" i="41"/>
  <c r="AX172" i="41"/>
  <c r="BI172" i="41" s="1"/>
  <c r="AV172" i="41"/>
  <c r="AI14" i="41"/>
  <c r="AS56" i="41"/>
  <c r="AS138" i="41"/>
  <c r="AS139" i="41"/>
  <c r="AS65" i="41"/>
  <c r="AS59" i="41"/>
  <c r="AS84" i="41"/>
  <c r="AS117" i="41"/>
  <c r="AS60" i="41"/>
  <c r="AS144" i="41"/>
  <c r="AS153" i="41"/>
  <c r="AS177" i="41"/>
  <c r="AS126" i="41"/>
  <c r="AS137" i="41"/>
  <c r="AS145" i="41"/>
  <c r="AS77" i="41"/>
  <c r="AS135" i="41"/>
  <c r="AS93" i="41"/>
  <c r="AS118" i="41"/>
  <c r="AS128" i="41"/>
  <c r="AS57" i="41"/>
  <c r="AS123" i="41"/>
  <c r="AL102" i="41"/>
  <c r="AL70" i="41"/>
  <c r="AV154" i="41"/>
  <c r="AS120" i="41"/>
  <c r="AS184" i="41"/>
  <c r="AS73" i="41"/>
  <c r="AS180" i="41"/>
  <c r="AS15" i="41"/>
  <c r="AS136" i="41"/>
  <c r="AV121" i="41"/>
  <c r="AV147" i="41"/>
  <c r="AV101" i="41"/>
  <c r="AV92" i="41"/>
  <c r="AV134" i="41"/>
  <c r="AV148" i="41"/>
  <c r="AV113" i="41"/>
  <c r="AV115" i="41"/>
  <c r="AV58" i="41"/>
  <c r="AI13" i="41"/>
  <c r="AV71" i="41"/>
  <c r="AV91" i="41"/>
  <c r="AV124" i="41"/>
  <c r="AV96" i="41"/>
  <c r="AV155" i="41"/>
  <c r="AV127" i="41"/>
  <c r="AV79" i="41"/>
  <c r="AV74" i="41"/>
  <c r="AV158" i="41"/>
  <c r="AV152" i="41"/>
  <c r="AV89" i="41"/>
  <c r="AV140" i="41"/>
  <c r="AV83" i="41"/>
  <c r="Q3207" i="43"/>
  <c r="O3188" i="43"/>
  <c r="Q3187" i="43"/>
  <c r="Q3167" i="43"/>
  <c r="O3168" i="43"/>
  <c r="Q3168" i="43" s="1"/>
  <c r="G7" i="58"/>
  <c r="H7" i="58" s="1"/>
  <c r="G9" i="58"/>
  <c r="H9" i="58" s="1"/>
  <c r="G11" i="58"/>
  <c r="H11" i="58" s="1"/>
  <c r="G13" i="58"/>
  <c r="H13" i="58" s="1"/>
  <c r="G15" i="58"/>
  <c r="H15" i="58" s="1"/>
  <c r="G17" i="58"/>
  <c r="H17" i="58" s="1"/>
  <c r="G19" i="58"/>
  <c r="H19" i="58" s="1"/>
  <c r="G8" i="58"/>
  <c r="H8" i="58" s="1"/>
  <c r="G10" i="58"/>
  <c r="H10" i="58" s="1"/>
  <c r="G12" i="58"/>
  <c r="H12" i="58" s="1"/>
  <c r="G14" i="58"/>
  <c r="H14" i="58" s="1"/>
  <c r="G16" i="58"/>
  <c r="H16" i="58" s="1"/>
  <c r="G18" i="58"/>
  <c r="H18" i="58" s="1"/>
  <c r="G20" i="58"/>
  <c r="H20" i="58" s="1"/>
  <c r="G5" i="58"/>
  <c r="H5" i="58" s="1"/>
  <c r="Q161" i="44"/>
  <c r="P161" i="44"/>
  <c r="O161" i="44"/>
  <c r="N161" i="44"/>
  <c r="M161" i="44"/>
  <c r="L161" i="44"/>
  <c r="K161" i="44"/>
  <c r="J161" i="44"/>
  <c r="I161" i="44"/>
  <c r="H161" i="44"/>
  <c r="G161" i="44"/>
  <c r="F161" i="44"/>
  <c r="E161" i="44"/>
  <c r="D161" i="44"/>
  <c r="C161" i="44"/>
  <c r="D3160" i="43"/>
  <c r="D3159" i="43"/>
  <c r="D3158" i="43"/>
  <c r="D3157" i="43"/>
  <c r="D3156" i="43"/>
  <c r="D3155" i="43"/>
  <c r="D3154" i="43"/>
  <c r="D3153" i="43"/>
  <c r="D3152" i="43"/>
  <c r="D3151" i="43"/>
  <c r="D3150" i="43"/>
  <c r="D3149" i="43"/>
  <c r="D3148" i="43"/>
  <c r="N3147" i="43"/>
  <c r="D3147" i="43"/>
  <c r="N3146" i="43"/>
  <c r="D3146" i="43"/>
  <c r="D3145" i="43"/>
  <c r="U3144" i="43"/>
  <c r="O3145" i="43" s="1"/>
  <c r="U3143" i="43"/>
  <c r="T3141" i="43"/>
  <c r="Q160" i="44"/>
  <c r="P160" i="44"/>
  <c r="O160" i="44"/>
  <c r="N160" i="44"/>
  <c r="M160" i="44"/>
  <c r="L160" i="44"/>
  <c r="K160" i="44"/>
  <c r="J160" i="44"/>
  <c r="I160" i="44"/>
  <c r="H160" i="44"/>
  <c r="G160" i="44"/>
  <c r="F160" i="44"/>
  <c r="E160" i="44"/>
  <c r="D160" i="44"/>
  <c r="C160" i="44"/>
  <c r="N3129" i="43"/>
  <c r="N3130" i="43"/>
  <c r="D3140" i="43"/>
  <c r="D3139" i="43"/>
  <c r="D3138" i="43"/>
  <c r="D3137" i="43"/>
  <c r="D3136" i="43"/>
  <c r="D3135" i="43"/>
  <c r="D3134" i="43"/>
  <c r="D3133" i="43"/>
  <c r="D3132" i="43"/>
  <c r="D3131" i="43"/>
  <c r="D3130" i="43"/>
  <c r="D3129" i="43"/>
  <c r="N3128" i="43"/>
  <c r="D3128" i="43"/>
  <c r="N3127" i="43"/>
  <c r="D3127" i="43"/>
  <c r="N3126" i="43"/>
  <c r="D3126" i="43"/>
  <c r="D3125" i="43"/>
  <c r="U3124" i="43"/>
  <c r="O3125" i="43" s="1"/>
  <c r="U3123" i="43"/>
  <c r="T3121" i="43"/>
  <c r="C159" i="44"/>
  <c r="D159" i="44"/>
  <c r="E159" i="44"/>
  <c r="F159" i="44"/>
  <c r="G159" i="44"/>
  <c r="H159" i="44"/>
  <c r="I159" i="44"/>
  <c r="J159" i="44"/>
  <c r="K159" i="44"/>
  <c r="L159" i="44"/>
  <c r="M159" i="44"/>
  <c r="N159" i="44"/>
  <c r="O159" i="44"/>
  <c r="P159" i="44"/>
  <c r="Q159" i="44"/>
  <c r="D3120" i="43"/>
  <c r="D3119" i="43"/>
  <c r="D3118" i="43"/>
  <c r="D3117" i="43"/>
  <c r="D3116" i="43"/>
  <c r="D3115" i="43"/>
  <c r="D3114" i="43"/>
  <c r="D3113" i="43"/>
  <c r="D3112" i="43"/>
  <c r="D3111" i="43"/>
  <c r="D3110" i="43"/>
  <c r="D3109" i="43"/>
  <c r="N3108" i="43"/>
  <c r="D3108" i="43"/>
  <c r="N3107" i="43"/>
  <c r="D3107" i="43"/>
  <c r="N3106" i="43"/>
  <c r="D3106" i="43"/>
  <c r="D3105" i="43"/>
  <c r="U3104" i="43"/>
  <c r="O3105" i="43" s="1"/>
  <c r="P3105" i="43" s="1"/>
  <c r="U3103" i="43"/>
  <c r="T3101" i="43"/>
  <c r="Q158" i="44"/>
  <c r="P158" i="44"/>
  <c r="O158" i="44"/>
  <c r="N158" i="44"/>
  <c r="M158" i="44"/>
  <c r="L158" i="44"/>
  <c r="K158" i="44"/>
  <c r="J158" i="44"/>
  <c r="I158" i="44"/>
  <c r="H158" i="44"/>
  <c r="G158" i="44"/>
  <c r="F158" i="44"/>
  <c r="E158" i="44"/>
  <c r="D158" i="44"/>
  <c r="C158" i="44"/>
  <c r="D3100" i="43"/>
  <c r="D3099" i="43"/>
  <c r="D3098" i="43"/>
  <c r="D3097" i="43"/>
  <c r="D3096" i="43"/>
  <c r="D3095" i="43"/>
  <c r="D3094" i="43"/>
  <c r="D3093" i="43"/>
  <c r="D3092" i="43"/>
  <c r="D3091" i="43"/>
  <c r="D3090" i="43"/>
  <c r="N3089" i="43"/>
  <c r="D3089" i="43"/>
  <c r="N3088" i="43"/>
  <c r="D3088" i="43"/>
  <c r="N3087" i="43"/>
  <c r="D3087" i="43"/>
  <c r="N3086" i="43"/>
  <c r="D3086" i="43"/>
  <c r="D3085" i="43"/>
  <c r="U3084" i="43"/>
  <c r="O3085" i="43" s="1"/>
  <c r="U3083" i="43"/>
  <c r="T3081" i="43"/>
  <c r="Q19" i="44"/>
  <c r="AV80" i="41" l="1"/>
  <c r="AV132" i="41"/>
  <c r="AV131" i="41"/>
  <c r="AV130" i="41"/>
  <c r="AV68" i="41"/>
  <c r="AV72" i="41"/>
  <c r="AV76" i="41"/>
  <c r="AV110" i="41"/>
  <c r="AV108" i="41"/>
  <c r="AV63" i="41"/>
  <c r="AV61" i="41"/>
  <c r="AV64" i="41"/>
  <c r="AV186" i="41"/>
  <c r="AV111" i="41"/>
  <c r="AV112" i="41"/>
  <c r="AV75" i="41"/>
  <c r="AV117" i="41"/>
  <c r="AV106" i="41"/>
  <c r="AV82" i="41"/>
  <c r="AV151" i="41"/>
  <c r="AV153" i="41"/>
  <c r="AV150" i="41"/>
  <c r="AV84" i="41"/>
  <c r="AV159" i="41"/>
  <c r="AV188" i="41"/>
  <c r="AV118" i="41"/>
  <c r="AV149" i="41"/>
  <c r="AV53" i="41"/>
  <c r="AV157" i="41"/>
  <c r="AV145" i="41"/>
  <c r="AV116" i="41"/>
  <c r="AV66" i="41"/>
  <c r="AV138" i="41"/>
  <c r="AV171" i="41"/>
  <c r="AV98" i="41"/>
  <c r="AV179" i="41"/>
  <c r="AV129" i="41"/>
  <c r="AV100" i="41"/>
  <c r="AX62" i="41"/>
  <c r="BI62" i="41" s="1"/>
  <c r="AV178" i="41"/>
  <c r="AV95" i="41"/>
  <c r="AV65" i="41"/>
  <c r="AV187" i="41"/>
  <c r="AV90" i="41"/>
  <c r="AV126" i="41"/>
  <c r="AV105" i="41"/>
  <c r="AV160" i="41"/>
  <c r="AV55" i="41"/>
  <c r="AV133" i="41"/>
  <c r="AX119" i="41"/>
  <c r="BI119" i="41" s="1"/>
  <c r="AV122" i="41"/>
  <c r="AV189" i="41"/>
  <c r="AV146" i="41"/>
  <c r="AV114" i="41"/>
  <c r="AV128" i="41"/>
  <c r="AV69" i="41"/>
  <c r="AV109" i="41"/>
  <c r="AV77" i="41"/>
  <c r="AV97" i="41"/>
  <c r="AV139" i="41"/>
  <c r="AV123" i="41"/>
  <c r="AV144" i="41"/>
  <c r="AV125" i="41"/>
  <c r="AV88" i="41"/>
  <c r="AV177" i="41"/>
  <c r="AV142" i="41"/>
  <c r="AV182" i="41"/>
  <c r="AV85" i="41"/>
  <c r="AV174" i="41"/>
  <c r="AV181" i="41"/>
  <c r="AV169" i="41"/>
  <c r="AS70" i="41"/>
  <c r="AV93" i="41"/>
  <c r="AX87" i="41"/>
  <c r="BI87" i="41" s="1"/>
  <c r="AX103" i="41"/>
  <c r="BI103" i="41" s="1"/>
  <c r="AV137" i="41"/>
  <c r="AV141" i="41"/>
  <c r="AV143" i="41"/>
  <c r="AV56" i="41"/>
  <c r="AS102" i="41"/>
  <c r="AV59" i="41"/>
  <c r="AV156" i="41"/>
  <c r="AL14" i="41"/>
  <c r="AS78" i="41"/>
  <c r="AS94" i="41"/>
  <c r="AV57" i="41"/>
  <c r="AV104" i="41"/>
  <c r="AV135" i="41"/>
  <c r="AV81" i="41"/>
  <c r="AX67" i="41"/>
  <c r="BI67" i="41" s="1"/>
  <c r="AV60" i="41"/>
  <c r="AV107" i="41"/>
  <c r="AS107" i="41"/>
  <c r="AV99" i="41"/>
  <c r="AS99" i="41"/>
  <c r="AS86" i="41"/>
  <c r="AV120" i="41"/>
  <c r="AV184" i="41"/>
  <c r="AV73" i="41"/>
  <c r="AV15" i="41"/>
  <c r="AV136" i="41"/>
  <c r="AS54" i="41"/>
  <c r="AL13" i="41"/>
  <c r="Q3188" i="43"/>
  <c r="O3189" i="43"/>
  <c r="O3146" i="43"/>
  <c r="P3145" i="43"/>
  <c r="P3125" i="43"/>
  <c r="O3126" i="43"/>
  <c r="O3106" i="43"/>
  <c r="P3085" i="43"/>
  <c r="O3086" i="43"/>
  <c r="Q157" i="44"/>
  <c r="P157" i="44"/>
  <c r="O157" i="44"/>
  <c r="N157" i="44"/>
  <c r="M157" i="44"/>
  <c r="L157" i="44"/>
  <c r="K157" i="44"/>
  <c r="J157" i="44"/>
  <c r="I157" i="44"/>
  <c r="H157" i="44"/>
  <c r="G157" i="44"/>
  <c r="F157" i="44"/>
  <c r="E157" i="44"/>
  <c r="D157" i="44"/>
  <c r="C157" i="44"/>
  <c r="N3069" i="43"/>
  <c r="N3070" i="43"/>
  <c r="D3080" i="43"/>
  <c r="D3079" i="43"/>
  <c r="D3078" i="43"/>
  <c r="D3077" i="43"/>
  <c r="D3076" i="43"/>
  <c r="D3075" i="43"/>
  <c r="D3074" i="43"/>
  <c r="D3073" i="43"/>
  <c r="D3072" i="43"/>
  <c r="D3071" i="43"/>
  <c r="D3070" i="43"/>
  <c r="D3069" i="43"/>
  <c r="N3068" i="43"/>
  <c r="D3068" i="43"/>
  <c r="N3067" i="43"/>
  <c r="D3067" i="43"/>
  <c r="N3066" i="43"/>
  <c r="D3066" i="43"/>
  <c r="D3065" i="43"/>
  <c r="U3064" i="43"/>
  <c r="O3065" i="43" s="1"/>
  <c r="U3063" i="43"/>
  <c r="T3061" i="43"/>
  <c r="Q156" i="44"/>
  <c r="P156" i="44"/>
  <c r="O156" i="44"/>
  <c r="N156" i="44"/>
  <c r="M156" i="44"/>
  <c r="L156" i="44"/>
  <c r="K156" i="44"/>
  <c r="J156" i="44"/>
  <c r="I156" i="44"/>
  <c r="H156" i="44"/>
  <c r="G156" i="44"/>
  <c r="F156" i="44"/>
  <c r="E156" i="44"/>
  <c r="D156" i="44"/>
  <c r="C156" i="44"/>
  <c r="D3060" i="43"/>
  <c r="D3059" i="43"/>
  <c r="D3058" i="43"/>
  <c r="D3057" i="43"/>
  <c r="D3056" i="43"/>
  <c r="D3055" i="43"/>
  <c r="D3054" i="43"/>
  <c r="D3053" i="43"/>
  <c r="D3052" i="43"/>
  <c r="D3051" i="43"/>
  <c r="D3050" i="43"/>
  <c r="D3049" i="43"/>
  <c r="N3048" i="43"/>
  <c r="D3048" i="43"/>
  <c r="N3047" i="43"/>
  <c r="D3047" i="43"/>
  <c r="N3046" i="43"/>
  <c r="D3046" i="43"/>
  <c r="D3045" i="43"/>
  <c r="U3044" i="43"/>
  <c r="O3045" i="43" s="1"/>
  <c r="U3043" i="43"/>
  <c r="T3041" i="43"/>
  <c r="AX132" i="41" l="1"/>
  <c r="BI132" i="41" s="1"/>
  <c r="AX130" i="41"/>
  <c r="BI130" i="41" s="1"/>
  <c r="AX186" i="41"/>
  <c r="BI186" i="41" s="1"/>
  <c r="AX63" i="41"/>
  <c r="BI63" i="41" s="1"/>
  <c r="AX61" i="41"/>
  <c r="BI61" i="41" s="1"/>
  <c r="AX159" i="41"/>
  <c r="BI159" i="41" s="1"/>
  <c r="AX138" i="41"/>
  <c r="BI138" i="41" s="1"/>
  <c r="AX98" i="41"/>
  <c r="BI98" i="41" s="1"/>
  <c r="AX64" i="41"/>
  <c r="BI64" i="41" s="1"/>
  <c r="AX189" i="41"/>
  <c r="BI189" i="41" s="1"/>
  <c r="AX153" i="41"/>
  <c r="BI153" i="41" s="1"/>
  <c r="AX55" i="41"/>
  <c r="BI55" i="41" s="1"/>
  <c r="AX99" i="41"/>
  <c r="BI99" i="41" s="1"/>
  <c r="AX53" i="41"/>
  <c r="BI53" i="41" s="1"/>
  <c r="AX75" i="41"/>
  <c r="BI75" i="41" s="1"/>
  <c r="AX169" i="41"/>
  <c r="BI169" i="41" s="1"/>
  <c r="AX111" i="41"/>
  <c r="BI111" i="41" s="1"/>
  <c r="AX112" i="41"/>
  <c r="BI112" i="41" s="1"/>
  <c r="AX106" i="41"/>
  <c r="BI106" i="41" s="1"/>
  <c r="AX149" i="41"/>
  <c r="BI149" i="41" s="1"/>
  <c r="AX84" i="41"/>
  <c r="BI84" i="41" s="1"/>
  <c r="AX100" i="41"/>
  <c r="BI100" i="41" s="1"/>
  <c r="AX117" i="41"/>
  <c r="BI117" i="41" s="1"/>
  <c r="AX69" i="41"/>
  <c r="BI69" i="41" s="1"/>
  <c r="AX82" i="41"/>
  <c r="BI82" i="41" s="1"/>
  <c r="AX178" i="41"/>
  <c r="BI178" i="41" s="1"/>
  <c r="AX116" i="41"/>
  <c r="BI116" i="41" s="1"/>
  <c r="AX90" i="41"/>
  <c r="BI90" i="41" s="1"/>
  <c r="AX137" i="41"/>
  <c r="BI137" i="41" s="1"/>
  <c r="AX151" i="41"/>
  <c r="BI151" i="41" s="1"/>
  <c r="AX150" i="41"/>
  <c r="BI150" i="41" s="1"/>
  <c r="AX160" i="41"/>
  <c r="BI160" i="41" s="1"/>
  <c r="AX118" i="41"/>
  <c r="BI118" i="41" s="1"/>
  <c r="AX66" i="41"/>
  <c r="BI66" i="41" s="1"/>
  <c r="AX187" i="41"/>
  <c r="BI187" i="41" s="1"/>
  <c r="AX95" i="41"/>
  <c r="BI95" i="41" s="1"/>
  <c r="AX145" i="41"/>
  <c r="BI145" i="41" s="1"/>
  <c r="AX88" i="41"/>
  <c r="BI88" i="41" s="1"/>
  <c r="AX65" i="41"/>
  <c r="BI65" i="41" s="1"/>
  <c r="AX179" i="41"/>
  <c r="BI179" i="41" s="1"/>
  <c r="AX177" i="41"/>
  <c r="BI177" i="41" s="1"/>
  <c r="AX188" i="41"/>
  <c r="BI188" i="41" s="1"/>
  <c r="AX123" i="41"/>
  <c r="BI123" i="41" s="1"/>
  <c r="AX126" i="41"/>
  <c r="BI126" i="41" s="1"/>
  <c r="AX171" i="41"/>
  <c r="BI171" i="41" s="1"/>
  <c r="AX157" i="41"/>
  <c r="BI157" i="41" s="1"/>
  <c r="AX146" i="41"/>
  <c r="BI146" i="41" s="1"/>
  <c r="AX109" i="41"/>
  <c r="BI109" i="41" s="1"/>
  <c r="AX85" i="41"/>
  <c r="BI85" i="41" s="1"/>
  <c r="AX139" i="41"/>
  <c r="BI139" i="41" s="1"/>
  <c r="AX129" i="41"/>
  <c r="BI129" i="41" s="1"/>
  <c r="AX133" i="41"/>
  <c r="BI133" i="41" s="1"/>
  <c r="AX104" i="41"/>
  <c r="BI104" i="41" s="1"/>
  <c r="AX56" i="41"/>
  <c r="BI56" i="41" s="1"/>
  <c r="AX105" i="41"/>
  <c r="BI105" i="41" s="1"/>
  <c r="AX97" i="41"/>
  <c r="BI97" i="41" s="1"/>
  <c r="AX128" i="41"/>
  <c r="BI128" i="41" s="1"/>
  <c r="AX181" i="41"/>
  <c r="BI181" i="41" s="1"/>
  <c r="AX182" i="41"/>
  <c r="BI182" i="41" s="1"/>
  <c r="AX135" i="41"/>
  <c r="BI135" i="41" s="1"/>
  <c r="AX156" i="41"/>
  <c r="BI156" i="41" s="1"/>
  <c r="AX125" i="41"/>
  <c r="BI125" i="41" s="1"/>
  <c r="AX122" i="41"/>
  <c r="BI122" i="41" s="1"/>
  <c r="AX114" i="41"/>
  <c r="BI114" i="41" s="1"/>
  <c r="AX174" i="41"/>
  <c r="BI174" i="41" s="1"/>
  <c r="AX60" i="41"/>
  <c r="BI60" i="41" s="1"/>
  <c r="AX144" i="41"/>
  <c r="BI144" i="41" s="1"/>
  <c r="AX142" i="41"/>
  <c r="BI142" i="41" s="1"/>
  <c r="AX77" i="41"/>
  <c r="BI77" i="41" s="1"/>
  <c r="AX107" i="41"/>
  <c r="BI107" i="41" s="1"/>
  <c r="AX93" i="41"/>
  <c r="BI93" i="41" s="1"/>
  <c r="AX113" i="41"/>
  <c r="BI113" i="41" s="1"/>
  <c r="AX134" i="41"/>
  <c r="BI134" i="41" s="1"/>
  <c r="AX131" i="41"/>
  <c r="BI131" i="41" s="1"/>
  <c r="AX158" i="41"/>
  <c r="BI158" i="41" s="1"/>
  <c r="AX68" i="41"/>
  <c r="BI68" i="41" s="1"/>
  <c r="AX92" i="41"/>
  <c r="BI92" i="41" s="1"/>
  <c r="AX155" i="41"/>
  <c r="BI155" i="41" s="1"/>
  <c r="AX79" i="41"/>
  <c r="BI79" i="41" s="1"/>
  <c r="AX83" i="41"/>
  <c r="BI83" i="41" s="1"/>
  <c r="AX58" i="41"/>
  <c r="BI58" i="41" s="1"/>
  <c r="AX148" i="41"/>
  <c r="BI148" i="41" s="1"/>
  <c r="AX124" i="41"/>
  <c r="BI124" i="41" s="1"/>
  <c r="AX96" i="41"/>
  <c r="BI96" i="41" s="1"/>
  <c r="AX154" i="41"/>
  <c r="BI154" i="41" s="1"/>
  <c r="AS14" i="41"/>
  <c r="AV102" i="41"/>
  <c r="AX101" i="41"/>
  <c r="BI101" i="41" s="1"/>
  <c r="AX71" i="41"/>
  <c r="BI71" i="41" s="1"/>
  <c r="AX89" i="41"/>
  <c r="BI89" i="41" s="1"/>
  <c r="AX147" i="41"/>
  <c r="BI147" i="41" s="1"/>
  <c r="AX74" i="41"/>
  <c r="BI74" i="41" s="1"/>
  <c r="AV86" i="41"/>
  <c r="AV94" i="41"/>
  <c r="AV70" i="41"/>
  <c r="AX127" i="41"/>
  <c r="BI127" i="41" s="1"/>
  <c r="AX140" i="41"/>
  <c r="BI140" i="41" s="1"/>
  <c r="AX110" i="41"/>
  <c r="BI110" i="41" s="1"/>
  <c r="AX152" i="41"/>
  <c r="BI152" i="41" s="1"/>
  <c r="AV180" i="41"/>
  <c r="AX91" i="41"/>
  <c r="BI91" i="41" s="1"/>
  <c r="AX76" i="41"/>
  <c r="BI76" i="41" s="1"/>
  <c r="AX80" i="41"/>
  <c r="BI80" i="41" s="1"/>
  <c r="AX121" i="41"/>
  <c r="BI121" i="41" s="1"/>
  <c r="AX115" i="41"/>
  <c r="BI115" i="41" s="1"/>
  <c r="AX108" i="41"/>
  <c r="BI108" i="41" s="1"/>
  <c r="AX72" i="41"/>
  <c r="BI72" i="41" s="1"/>
  <c r="AV78" i="41"/>
  <c r="AV54" i="41"/>
  <c r="AS13" i="41"/>
  <c r="Q3189" i="43"/>
  <c r="O3190" i="43"/>
  <c r="O3147" i="43"/>
  <c r="Q3146" i="43"/>
  <c r="Q3126" i="43"/>
  <c r="O3127" i="43"/>
  <c r="Q3106" i="43"/>
  <c r="O3107" i="43"/>
  <c r="Q3086" i="43"/>
  <c r="O3087" i="43"/>
  <c r="P3065" i="43"/>
  <c r="O3066" i="43"/>
  <c r="P3045" i="43"/>
  <c r="O3046" i="43"/>
  <c r="Q155" i="44"/>
  <c r="P155" i="44"/>
  <c r="O155" i="44"/>
  <c r="N155" i="44"/>
  <c r="M155" i="44"/>
  <c r="L155" i="44"/>
  <c r="K155" i="44"/>
  <c r="J155" i="44"/>
  <c r="I155" i="44"/>
  <c r="H155" i="44"/>
  <c r="G155" i="44"/>
  <c r="F155" i="44"/>
  <c r="E155" i="44"/>
  <c r="D155" i="44"/>
  <c r="C155" i="44"/>
  <c r="D3040" i="43"/>
  <c r="D3039" i="43"/>
  <c r="D3038" i="43"/>
  <c r="D3037" i="43"/>
  <c r="D3036" i="43"/>
  <c r="D3035" i="43"/>
  <c r="D3034" i="43"/>
  <c r="D3033" i="43"/>
  <c r="D3032" i="43"/>
  <c r="D3031" i="43"/>
  <c r="D3030" i="43"/>
  <c r="D3029" i="43"/>
  <c r="N3028" i="43"/>
  <c r="D3028" i="43"/>
  <c r="N3027" i="43"/>
  <c r="D3027" i="43"/>
  <c r="N3026" i="43"/>
  <c r="D3026" i="43"/>
  <c r="D3025" i="43"/>
  <c r="U3024" i="43"/>
  <c r="O3025" i="43" s="1"/>
  <c r="U3023" i="43"/>
  <c r="T3021" i="43"/>
  <c r="AX120" i="41" l="1"/>
  <c r="BI120" i="41" s="1"/>
  <c r="AV14" i="41"/>
  <c r="AX73" i="41"/>
  <c r="BI73" i="41" s="1"/>
  <c r="AX78" i="41"/>
  <c r="BI78" i="41" s="1"/>
  <c r="AX143" i="41"/>
  <c r="BI143" i="41" s="1"/>
  <c r="AX70" i="41"/>
  <c r="BI70" i="41" s="1"/>
  <c r="AX86" i="41"/>
  <c r="BI86" i="41" s="1"/>
  <c r="AX141" i="41"/>
  <c r="BI141" i="41" s="1"/>
  <c r="AX15" i="41"/>
  <c r="BI15" i="41" s="1"/>
  <c r="AX81" i="41"/>
  <c r="BI81" i="41" s="1"/>
  <c r="AX57" i="41"/>
  <c r="BI57" i="41" s="1"/>
  <c r="AX102" i="41"/>
  <c r="BI102" i="41" s="1"/>
  <c r="AX136" i="41"/>
  <c r="BI136" i="41" s="1"/>
  <c r="AX180" i="41"/>
  <c r="BI180" i="41" s="1"/>
  <c r="AX184" i="41"/>
  <c r="BI184" i="41" s="1"/>
  <c r="AX94" i="41"/>
  <c r="BI94" i="41" s="1"/>
  <c r="AX59" i="41"/>
  <c r="BI59" i="41" s="1"/>
  <c r="AX13" i="41"/>
  <c r="BI13" i="41" s="1"/>
  <c r="AV13" i="41"/>
  <c r="Q3190" i="43"/>
  <c r="O3191" i="43"/>
  <c r="Q3191" i="43" s="1"/>
  <c r="Q3147" i="43"/>
  <c r="Q3127" i="43"/>
  <c r="O3128" i="43"/>
  <c r="Q3107" i="43"/>
  <c r="O3108" i="43"/>
  <c r="Q3087" i="43"/>
  <c r="O3088" i="43"/>
  <c r="Q3066" i="43"/>
  <c r="O3067" i="43"/>
  <c r="Q3046" i="43"/>
  <c r="O3047" i="43"/>
  <c r="P3025" i="43"/>
  <c r="O3026" i="43"/>
  <c r="Q154" i="44"/>
  <c r="P154" i="44"/>
  <c r="O154" i="44"/>
  <c r="N154" i="44"/>
  <c r="M154" i="44"/>
  <c r="L154" i="44"/>
  <c r="K154" i="44"/>
  <c r="J154" i="44"/>
  <c r="I154" i="44"/>
  <c r="H154" i="44"/>
  <c r="G154" i="44"/>
  <c r="F154" i="44"/>
  <c r="E154" i="44"/>
  <c r="D154" i="44"/>
  <c r="C154" i="44"/>
  <c r="D3020" i="43"/>
  <c r="D3019" i="43"/>
  <c r="D3018" i="43"/>
  <c r="D3017" i="43"/>
  <c r="D3016" i="43"/>
  <c r="D3015" i="43"/>
  <c r="D3014" i="43"/>
  <c r="D3013" i="43"/>
  <c r="D3012" i="43"/>
  <c r="D3011" i="43"/>
  <c r="D3010" i="43"/>
  <c r="D3009" i="43"/>
  <c r="N3008" i="43"/>
  <c r="D3008" i="43"/>
  <c r="N3007" i="43"/>
  <c r="D3007" i="43"/>
  <c r="N3006" i="43"/>
  <c r="D3006" i="43"/>
  <c r="D3005" i="43"/>
  <c r="U3004" i="43"/>
  <c r="O3005" i="43" s="1"/>
  <c r="U3003" i="43"/>
  <c r="T3001" i="43"/>
  <c r="C150" i="44"/>
  <c r="D150" i="44"/>
  <c r="E150" i="44"/>
  <c r="F150" i="44"/>
  <c r="G150" i="44"/>
  <c r="H150" i="44"/>
  <c r="I150" i="44"/>
  <c r="J150" i="44"/>
  <c r="K150" i="44"/>
  <c r="L150" i="44"/>
  <c r="M150" i="44"/>
  <c r="N150" i="44"/>
  <c r="O150" i="44"/>
  <c r="P150" i="44"/>
  <c r="Q150" i="44"/>
  <c r="AX54" i="41" l="1"/>
  <c r="BI54" i="41" s="1"/>
  <c r="AX14" i="41"/>
  <c r="BI14" i="41" s="1"/>
  <c r="Q3128" i="43"/>
  <c r="O3129" i="43"/>
  <c r="O3130" i="43" s="1"/>
  <c r="Q3108" i="43"/>
  <c r="Q3088" i="43"/>
  <c r="O3089" i="43"/>
  <c r="Q3067" i="43"/>
  <c r="O3068" i="43"/>
  <c r="Q3047" i="43"/>
  <c r="O3048" i="43"/>
  <c r="Q3048" i="43" s="1"/>
  <c r="Q3026" i="43"/>
  <c r="O3027" i="43"/>
  <c r="O3006" i="43"/>
  <c r="P3005" i="43"/>
  <c r="Q3089" i="43" l="1"/>
  <c r="Q3068" i="43"/>
  <c r="O3069" i="43"/>
  <c r="Q3027" i="43"/>
  <c r="O3028" i="43"/>
  <c r="Q3028" i="43" s="1"/>
  <c r="O3007" i="43"/>
  <c r="Q3006" i="43"/>
  <c r="Q153" i="44"/>
  <c r="P153" i="44"/>
  <c r="O153" i="44"/>
  <c r="N153" i="44"/>
  <c r="M153" i="44"/>
  <c r="L153" i="44"/>
  <c r="K153" i="44"/>
  <c r="J153" i="44"/>
  <c r="I153" i="44"/>
  <c r="H153" i="44"/>
  <c r="G153" i="44"/>
  <c r="F153" i="44"/>
  <c r="E153" i="44"/>
  <c r="D153" i="44"/>
  <c r="C153" i="44"/>
  <c r="D3000" i="43"/>
  <c r="D2999" i="43"/>
  <c r="D2998" i="43"/>
  <c r="D2997" i="43"/>
  <c r="D2996" i="43"/>
  <c r="D2995" i="43"/>
  <c r="D2994" i="43"/>
  <c r="D2993" i="43"/>
  <c r="D2992" i="43"/>
  <c r="D2991" i="43"/>
  <c r="N2990" i="43"/>
  <c r="D2990" i="43"/>
  <c r="N2989" i="43"/>
  <c r="D2989" i="43"/>
  <c r="N2988" i="43"/>
  <c r="D2988" i="43"/>
  <c r="N2987" i="43"/>
  <c r="D2987" i="43"/>
  <c r="N2986" i="43"/>
  <c r="D2986" i="43"/>
  <c r="D2985" i="43"/>
  <c r="U2984" i="43"/>
  <c r="O2985" i="43" s="1"/>
  <c r="U2983" i="43"/>
  <c r="T2981" i="43"/>
  <c r="Q3069" i="43" l="1"/>
  <c r="O3070" i="43"/>
  <c r="Q3070" i="43" s="1"/>
  <c r="O3008" i="43"/>
  <c r="Q3007" i="43"/>
  <c r="O2986" i="43"/>
  <c r="P2985" i="43"/>
  <c r="Q3008" i="43" l="1"/>
  <c r="O2987" i="43"/>
  <c r="Q2986" i="43"/>
  <c r="Q152" i="44"/>
  <c r="P152" i="44"/>
  <c r="O152" i="44"/>
  <c r="N152" i="44"/>
  <c r="M152" i="44"/>
  <c r="L152" i="44"/>
  <c r="K152" i="44"/>
  <c r="J152" i="44"/>
  <c r="I152" i="44"/>
  <c r="H152" i="44"/>
  <c r="G152" i="44"/>
  <c r="F152" i="44"/>
  <c r="E152" i="44"/>
  <c r="D152" i="44"/>
  <c r="C152" i="44"/>
  <c r="N2970" i="43"/>
  <c r="D2980" i="43"/>
  <c r="D2979" i="43"/>
  <c r="D2978" i="43"/>
  <c r="D2977" i="43"/>
  <c r="D2976" i="43"/>
  <c r="D2975" i="43"/>
  <c r="D2974" i="43"/>
  <c r="D2973" i="43"/>
  <c r="D2972" i="43"/>
  <c r="D2971" i="43"/>
  <c r="D2970" i="43"/>
  <c r="N2969" i="43"/>
  <c r="D2969" i="43"/>
  <c r="N2968" i="43"/>
  <c r="D2968" i="43"/>
  <c r="N2967" i="43"/>
  <c r="D2967" i="43"/>
  <c r="N2966" i="43"/>
  <c r="D2966" i="43"/>
  <c r="D2965" i="43"/>
  <c r="U2964" i="43"/>
  <c r="O2965" i="43" s="1"/>
  <c r="U2963" i="43"/>
  <c r="T2961" i="43"/>
  <c r="Q151" i="44"/>
  <c r="P151" i="44"/>
  <c r="O151" i="44"/>
  <c r="N151" i="44"/>
  <c r="M151" i="44"/>
  <c r="L151" i="44"/>
  <c r="K151" i="44"/>
  <c r="J151" i="44"/>
  <c r="I151" i="44"/>
  <c r="H151" i="44"/>
  <c r="G151" i="44"/>
  <c r="F151" i="44"/>
  <c r="E151" i="44"/>
  <c r="D151" i="44"/>
  <c r="C151" i="44"/>
  <c r="D2960" i="43"/>
  <c r="D2959" i="43"/>
  <c r="D2958" i="43"/>
  <c r="D2957" i="43"/>
  <c r="D2956" i="43"/>
  <c r="D2955" i="43"/>
  <c r="D2954" i="43"/>
  <c r="D2953" i="43"/>
  <c r="D2952" i="43"/>
  <c r="D2951" i="43"/>
  <c r="D2950" i="43"/>
  <c r="N2949" i="43"/>
  <c r="D2949" i="43"/>
  <c r="N2948" i="43"/>
  <c r="D2948" i="43"/>
  <c r="N2947" i="43"/>
  <c r="D2947" i="43"/>
  <c r="N2946" i="43"/>
  <c r="D2946" i="43"/>
  <c r="D2945" i="43"/>
  <c r="U2944" i="43"/>
  <c r="O2945" i="43" s="1"/>
  <c r="U2943" i="43"/>
  <c r="T2941" i="43"/>
  <c r="D2940" i="43"/>
  <c r="D2939" i="43"/>
  <c r="D2938" i="43"/>
  <c r="D2937" i="43"/>
  <c r="D2936" i="43"/>
  <c r="D2935" i="43"/>
  <c r="D2934" i="43"/>
  <c r="D2933" i="43"/>
  <c r="D2932" i="43"/>
  <c r="D2931" i="43"/>
  <c r="D2930" i="43"/>
  <c r="D2929" i="43"/>
  <c r="N2928" i="43"/>
  <c r="D2928" i="43"/>
  <c r="N2927" i="43"/>
  <c r="D2927" i="43"/>
  <c r="N2926" i="43"/>
  <c r="D2926" i="43"/>
  <c r="D2925" i="43"/>
  <c r="U2924" i="43"/>
  <c r="O2925" i="43" s="1"/>
  <c r="U2923" i="43"/>
  <c r="T2921" i="43"/>
  <c r="C149" i="44"/>
  <c r="D149" i="44"/>
  <c r="E149" i="44"/>
  <c r="F149" i="44"/>
  <c r="G149" i="44"/>
  <c r="H149" i="44"/>
  <c r="I149" i="44"/>
  <c r="J149" i="44"/>
  <c r="K149" i="44"/>
  <c r="L149" i="44"/>
  <c r="M149" i="44"/>
  <c r="N149" i="44"/>
  <c r="O149" i="44"/>
  <c r="P149" i="44"/>
  <c r="Q149" i="44"/>
  <c r="D2920" i="43"/>
  <c r="D2919" i="43"/>
  <c r="D2918" i="43"/>
  <c r="D2917" i="43"/>
  <c r="D2916" i="43"/>
  <c r="D2915" i="43"/>
  <c r="D2914" i="43"/>
  <c r="D2913" i="43"/>
  <c r="D2912" i="43"/>
  <c r="D2911" i="43"/>
  <c r="D2910" i="43"/>
  <c r="N2909" i="43"/>
  <c r="D2909" i="43"/>
  <c r="N2908" i="43"/>
  <c r="D2908" i="43"/>
  <c r="N2907" i="43"/>
  <c r="D2907" i="43"/>
  <c r="N2906" i="43"/>
  <c r="D2906" i="43"/>
  <c r="D2905" i="43"/>
  <c r="U2904" i="43"/>
  <c r="O2905" i="43" s="1"/>
  <c r="U2903" i="43"/>
  <c r="T2901" i="43"/>
  <c r="Q148" i="44"/>
  <c r="P148" i="44"/>
  <c r="O148" i="44"/>
  <c r="N148" i="44"/>
  <c r="M148" i="44"/>
  <c r="L148" i="44"/>
  <c r="K148" i="44"/>
  <c r="J148" i="44"/>
  <c r="I148" i="44"/>
  <c r="H148" i="44"/>
  <c r="G148" i="44"/>
  <c r="F148" i="44"/>
  <c r="E148" i="44"/>
  <c r="D148" i="44"/>
  <c r="C148" i="44"/>
  <c r="D2900" i="43"/>
  <c r="D2899" i="43"/>
  <c r="D2898" i="43"/>
  <c r="D2897" i="43"/>
  <c r="D2896" i="43"/>
  <c r="D2895" i="43"/>
  <c r="D2894" i="43"/>
  <c r="D2893" i="43"/>
  <c r="D2892" i="43"/>
  <c r="D2891" i="43"/>
  <c r="D2890" i="43"/>
  <c r="N2889" i="43"/>
  <c r="D2889" i="43"/>
  <c r="N2888" i="43"/>
  <c r="D2888" i="43"/>
  <c r="N2887" i="43"/>
  <c r="D2887" i="43"/>
  <c r="N2886" i="43"/>
  <c r="D2886" i="43"/>
  <c r="D2885" i="43"/>
  <c r="U2884" i="43"/>
  <c r="O2885" i="43" s="1"/>
  <c r="U2883" i="43"/>
  <c r="T2881" i="43"/>
  <c r="Q147" i="44"/>
  <c r="P147" i="44"/>
  <c r="O147" i="44"/>
  <c r="N147" i="44"/>
  <c r="M147" i="44"/>
  <c r="L147" i="44"/>
  <c r="K147" i="44"/>
  <c r="J147" i="44"/>
  <c r="I147" i="44"/>
  <c r="G147" i="44"/>
  <c r="H147" i="44"/>
  <c r="C147" i="44"/>
  <c r="D147" i="44"/>
  <c r="E147" i="44"/>
  <c r="F147" i="44"/>
  <c r="D2880" i="43"/>
  <c r="D2879" i="43"/>
  <c r="D2878" i="43"/>
  <c r="D2877" i="43"/>
  <c r="D2876" i="43"/>
  <c r="D2875" i="43"/>
  <c r="D2874" i="43"/>
  <c r="D2873" i="43"/>
  <c r="D2872" i="43"/>
  <c r="D2871" i="43"/>
  <c r="D2870" i="43"/>
  <c r="N2869" i="43"/>
  <c r="D2869" i="43"/>
  <c r="N2868" i="43"/>
  <c r="D2868" i="43"/>
  <c r="N2867" i="43"/>
  <c r="D2867" i="43"/>
  <c r="N2866" i="43"/>
  <c r="D2866" i="43"/>
  <c r="D2865" i="43"/>
  <c r="U2864" i="43"/>
  <c r="O2865" i="43" s="1"/>
  <c r="U2863" i="43"/>
  <c r="T2861" i="43"/>
  <c r="O2988" i="43" l="1"/>
  <c r="Q2987" i="43"/>
  <c r="O2966" i="43"/>
  <c r="P2965" i="43"/>
  <c r="O2946" i="43"/>
  <c r="P2945" i="43"/>
  <c r="O2926" i="43"/>
  <c r="P2925" i="43"/>
  <c r="O2906" i="43"/>
  <c r="P2905" i="43"/>
  <c r="O2886" i="43"/>
  <c r="P2885" i="43"/>
  <c r="P2865" i="43"/>
  <c r="O2866" i="43"/>
  <c r="O2989" i="43" l="1"/>
  <c r="Q2988" i="43"/>
  <c r="O2967" i="43"/>
  <c r="Q2966" i="43"/>
  <c r="O2947" i="43"/>
  <c r="Q2946" i="43"/>
  <c r="O2927" i="43"/>
  <c r="Q2926" i="43"/>
  <c r="O2907" i="43"/>
  <c r="Q2906" i="43"/>
  <c r="O2887" i="43"/>
  <c r="Q2886" i="43"/>
  <c r="Q2866" i="43"/>
  <c r="O2867" i="43"/>
  <c r="O2990" i="43" l="1"/>
  <c r="Q2990" i="43" s="1"/>
  <c r="Q2989" i="43"/>
  <c r="O2968" i="43"/>
  <c r="Q2967" i="43"/>
  <c r="O2948" i="43"/>
  <c r="Q2947" i="43"/>
  <c r="O2928" i="43"/>
  <c r="Q2927" i="43"/>
  <c r="O2908" i="43"/>
  <c r="Q2907" i="43"/>
  <c r="O2888" i="43"/>
  <c r="Q2887" i="43"/>
  <c r="Q2867" i="43"/>
  <c r="O2868" i="43"/>
  <c r="N146" i="44"/>
  <c r="M146" i="44"/>
  <c r="L146" i="44"/>
  <c r="K146" i="44"/>
  <c r="N145" i="44"/>
  <c r="M145" i="44"/>
  <c r="L145" i="44"/>
  <c r="K145" i="44"/>
  <c r="C146" i="44"/>
  <c r="D146" i="44"/>
  <c r="E146" i="44"/>
  <c r="F146" i="44"/>
  <c r="G146" i="44"/>
  <c r="H146" i="44"/>
  <c r="I146" i="44"/>
  <c r="J146" i="44"/>
  <c r="O146" i="44"/>
  <c r="P146" i="44"/>
  <c r="Q146" i="44"/>
  <c r="N2851" i="43"/>
  <c r="N2852" i="43"/>
  <c r="D2860" i="43"/>
  <c r="D2859" i="43"/>
  <c r="D2858" i="43"/>
  <c r="D2857" i="43"/>
  <c r="D2856" i="43"/>
  <c r="D2855" i="43"/>
  <c r="D2854" i="43"/>
  <c r="D2853" i="43"/>
  <c r="D2852" i="43"/>
  <c r="D2851" i="43"/>
  <c r="N2850" i="43"/>
  <c r="D2850" i="43"/>
  <c r="N2849" i="43"/>
  <c r="D2849" i="43"/>
  <c r="N2848" i="43"/>
  <c r="D2848" i="43"/>
  <c r="N2847" i="43"/>
  <c r="D2847" i="43"/>
  <c r="N2846" i="43"/>
  <c r="D2846" i="43"/>
  <c r="D2845" i="43"/>
  <c r="U2844" i="43"/>
  <c r="O2845" i="43" s="1"/>
  <c r="U2843" i="43"/>
  <c r="T2841" i="43"/>
  <c r="O2969" i="43" l="1"/>
  <c r="Q2968" i="43"/>
  <c r="O2949" i="43"/>
  <c r="Q2949" i="43" s="1"/>
  <c r="Q2948" i="43"/>
  <c r="Q2928" i="43"/>
  <c r="O2909" i="43"/>
  <c r="Q2909" i="43" s="1"/>
  <c r="Q2908" i="43"/>
  <c r="O2889" i="43"/>
  <c r="Q2889" i="43" s="1"/>
  <c r="Q2888" i="43"/>
  <c r="Q2868" i="43"/>
  <c r="O2869" i="43"/>
  <c r="O2846" i="43"/>
  <c r="P2845" i="43"/>
  <c r="C145" i="44"/>
  <c r="D145" i="44"/>
  <c r="E145" i="44"/>
  <c r="F145" i="44"/>
  <c r="G145" i="44"/>
  <c r="H145" i="44"/>
  <c r="I145" i="44"/>
  <c r="J145" i="44"/>
  <c r="O145" i="44"/>
  <c r="P145" i="44"/>
  <c r="Q145" i="44"/>
  <c r="D2840" i="43"/>
  <c r="D2839" i="43"/>
  <c r="D2838" i="43"/>
  <c r="D2837" i="43"/>
  <c r="D2836" i="43"/>
  <c r="D2835" i="43"/>
  <c r="D2834" i="43"/>
  <c r="D2833" i="43"/>
  <c r="D2832" i="43"/>
  <c r="D2831" i="43"/>
  <c r="N2830" i="43"/>
  <c r="D2830" i="43"/>
  <c r="N2829" i="43"/>
  <c r="D2829" i="43"/>
  <c r="N2828" i="43"/>
  <c r="D2828" i="43"/>
  <c r="N2827" i="43"/>
  <c r="D2827" i="43"/>
  <c r="N2826" i="43"/>
  <c r="D2826" i="43"/>
  <c r="D2825" i="43"/>
  <c r="U2824" i="43"/>
  <c r="O2825" i="43" s="1"/>
  <c r="U2823" i="43"/>
  <c r="T2821" i="43"/>
  <c r="Q2969" i="43" l="1"/>
  <c r="O2970" i="43"/>
  <c r="Q2970" i="43" s="1"/>
  <c r="Q2869" i="43"/>
  <c r="O2847" i="43"/>
  <c r="Q2846" i="43"/>
  <c r="O2826" i="43"/>
  <c r="P2825" i="43"/>
  <c r="O2848" i="43" l="1"/>
  <c r="Q2847" i="43"/>
  <c r="O2827" i="43"/>
  <c r="Q2826" i="43"/>
  <c r="K144" i="44"/>
  <c r="L144" i="44"/>
  <c r="M144" i="44"/>
  <c r="N144" i="44"/>
  <c r="O144" i="44"/>
  <c r="P144" i="44"/>
  <c r="Q144" i="44"/>
  <c r="J144" i="44"/>
  <c r="I144" i="44"/>
  <c r="H144" i="44"/>
  <c r="G144" i="44"/>
  <c r="F144" i="44"/>
  <c r="E144" i="44"/>
  <c r="D144" i="44"/>
  <c r="C144" i="44"/>
  <c r="N2809" i="43"/>
  <c r="N2810" i="43"/>
  <c r="D2820" i="43"/>
  <c r="D2819" i="43"/>
  <c r="D2818" i="43"/>
  <c r="D2817" i="43"/>
  <c r="D2816" i="43"/>
  <c r="D2815" i="43"/>
  <c r="D2814" i="43"/>
  <c r="D2813" i="43"/>
  <c r="D2812" i="43"/>
  <c r="D2811" i="43"/>
  <c r="D2810" i="43"/>
  <c r="D2809" i="43"/>
  <c r="N2808" i="43"/>
  <c r="D2808" i="43"/>
  <c r="N2807" i="43"/>
  <c r="D2807" i="43"/>
  <c r="N2806" i="43"/>
  <c r="D2806" i="43"/>
  <c r="D2805" i="43"/>
  <c r="U2804" i="43"/>
  <c r="O2805" i="43" s="1"/>
  <c r="U2803" i="43"/>
  <c r="T2801" i="43"/>
  <c r="Q143" i="44"/>
  <c r="P143" i="44"/>
  <c r="O143" i="44"/>
  <c r="N143" i="44"/>
  <c r="M143" i="44"/>
  <c r="L143" i="44"/>
  <c r="K143" i="44"/>
  <c r="J143" i="44"/>
  <c r="I143" i="44"/>
  <c r="H143" i="44"/>
  <c r="G143" i="44"/>
  <c r="F143" i="44"/>
  <c r="E143" i="44"/>
  <c r="D143" i="44"/>
  <c r="C143" i="44"/>
  <c r="D2800" i="43"/>
  <c r="D2799" i="43"/>
  <c r="D2798" i="43"/>
  <c r="D2797" i="43"/>
  <c r="D2796" i="43"/>
  <c r="D2795" i="43"/>
  <c r="D2794" i="43"/>
  <c r="D2793" i="43"/>
  <c r="D2792" i="43"/>
  <c r="D2791" i="43"/>
  <c r="D2790" i="43"/>
  <c r="D2789" i="43"/>
  <c r="N2788" i="43"/>
  <c r="D2788" i="43"/>
  <c r="N2787" i="43"/>
  <c r="D2787" i="43"/>
  <c r="N2786" i="43"/>
  <c r="D2786" i="43"/>
  <c r="D2785" i="43"/>
  <c r="U2784" i="43"/>
  <c r="O2785" i="43" s="1"/>
  <c r="U2783" i="43"/>
  <c r="T2781" i="43"/>
  <c r="C142" i="44"/>
  <c r="D142" i="44"/>
  <c r="E142" i="44"/>
  <c r="F142" i="44"/>
  <c r="G142" i="44"/>
  <c r="H142" i="44"/>
  <c r="I142" i="44"/>
  <c r="J142" i="44"/>
  <c r="K142" i="44"/>
  <c r="L142" i="44"/>
  <c r="M142" i="44"/>
  <c r="N142" i="44"/>
  <c r="O142" i="44"/>
  <c r="P142" i="44"/>
  <c r="Q142" i="44"/>
  <c r="N2769" i="43"/>
  <c r="N2770" i="43"/>
  <c r="D2780" i="43"/>
  <c r="D2779" i="43"/>
  <c r="D2778" i="43"/>
  <c r="D2777" i="43"/>
  <c r="D2776" i="43"/>
  <c r="D2775" i="43"/>
  <c r="D2774" i="43"/>
  <c r="D2773" i="43"/>
  <c r="D2772" i="43"/>
  <c r="D2771" i="43"/>
  <c r="D2770" i="43"/>
  <c r="D2769" i="43"/>
  <c r="N2768" i="43"/>
  <c r="D2768" i="43"/>
  <c r="N2767" i="43"/>
  <c r="D2767" i="43"/>
  <c r="N2766" i="43"/>
  <c r="D2766" i="43"/>
  <c r="D2765" i="43"/>
  <c r="U2764" i="43"/>
  <c r="O2765" i="43" s="1"/>
  <c r="U2763" i="43"/>
  <c r="T2761" i="43"/>
  <c r="Q141" i="44"/>
  <c r="P141" i="44"/>
  <c r="O141" i="44"/>
  <c r="N141" i="44"/>
  <c r="M141" i="44"/>
  <c r="L141" i="44"/>
  <c r="K141" i="44"/>
  <c r="J141" i="44"/>
  <c r="I141" i="44"/>
  <c r="H141" i="44"/>
  <c r="G141" i="44"/>
  <c r="F141" i="44"/>
  <c r="E141" i="44"/>
  <c r="D141" i="44"/>
  <c r="C141" i="44"/>
  <c r="D2760" i="43"/>
  <c r="D2759" i="43"/>
  <c r="D2758" i="43"/>
  <c r="D2757" i="43"/>
  <c r="D2756" i="43"/>
  <c r="D2755" i="43"/>
  <c r="D2754" i="43"/>
  <c r="D2753" i="43"/>
  <c r="D2752" i="43"/>
  <c r="D2751" i="43"/>
  <c r="D2750" i="43"/>
  <c r="D2749" i="43"/>
  <c r="N2748" i="43"/>
  <c r="D2748" i="43"/>
  <c r="N2747" i="43"/>
  <c r="D2747" i="43"/>
  <c r="N2746" i="43"/>
  <c r="D2746" i="43"/>
  <c r="D2745" i="43"/>
  <c r="U2744" i="43"/>
  <c r="O2745" i="43" s="1"/>
  <c r="U2743" i="43"/>
  <c r="T2741" i="43"/>
  <c r="O2849" i="43" l="1"/>
  <c r="Q2848" i="43"/>
  <c r="O2828" i="43"/>
  <c r="Q2827" i="43"/>
  <c r="P2805" i="43"/>
  <c r="O2806" i="43"/>
  <c r="O2786" i="43"/>
  <c r="P2785" i="43"/>
  <c r="P2765" i="43"/>
  <c r="O2766" i="43"/>
  <c r="O2746" i="43"/>
  <c r="P2745" i="43"/>
  <c r="O2850" i="43" l="1"/>
  <c r="Q2849" i="43"/>
  <c r="O2829" i="43"/>
  <c r="Q2828" i="43"/>
  <c r="Q2806" i="43"/>
  <c r="O2807" i="43"/>
  <c r="O2787" i="43"/>
  <c r="Q2786" i="43"/>
  <c r="Q2766" i="43"/>
  <c r="O2767" i="43"/>
  <c r="O2747" i="43"/>
  <c r="Q2746" i="43"/>
  <c r="Q140" i="44"/>
  <c r="P140" i="44"/>
  <c r="O140" i="44"/>
  <c r="N140" i="44"/>
  <c r="M140" i="44"/>
  <c r="L140" i="44"/>
  <c r="K140" i="44"/>
  <c r="J140" i="44"/>
  <c r="I140" i="44"/>
  <c r="H140" i="44"/>
  <c r="G140" i="44"/>
  <c r="F140" i="44"/>
  <c r="E140" i="44"/>
  <c r="D140" i="44"/>
  <c r="C140" i="44"/>
  <c r="Q2850" i="43" l="1"/>
  <c r="O2851" i="43"/>
  <c r="O2830" i="43"/>
  <c r="Q2830" i="43" s="1"/>
  <c r="Q2829" i="43"/>
  <c r="Q2807" i="43"/>
  <c r="O2808" i="43"/>
  <c r="O2788" i="43"/>
  <c r="Q2787" i="43"/>
  <c r="Q2767" i="43"/>
  <c r="O2768" i="43"/>
  <c r="O2748" i="43"/>
  <c r="Q2747" i="43"/>
  <c r="D2740" i="43"/>
  <c r="D2739" i="43"/>
  <c r="D2738" i="43"/>
  <c r="D2737" i="43"/>
  <c r="D2736" i="43"/>
  <c r="D2735" i="43"/>
  <c r="D2734" i="43"/>
  <c r="D2733" i="43"/>
  <c r="D2732" i="43"/>
  <c r="D2731" i="43"/>
  <c r="D2730" i="43"/>
  <c r="N2729" i="43"/>
  <c r="D2729" i="43"/>
  <c r="N2728" i="43"/>
  <c r="D2728" i="43"/>
  <c r="N2727" i="43"/>
  <c r="D2727" i="43"/>
  <c r="N2726" i="43"/>
  <c r="D2726" i="43"/>
  <c r="D2725" i="43"/>
  <c r="U2724" i="43"/>
  <c r="O2725" i="43" s="1"/>
  <c r="U2723" i="43"/>
  <c r="T2721" i="43"/>
  <c r="Q139" i="44"/>
  <c r="P139" i="44"/>
  <c r="O139" i="44"/>
  <c r="N139" i="44"/>
  <c r="M139" i="44"/>
  <c r="L139" i="44"/>
  <c r="K139" i="44"/>
  <c r="J139" i="44"/>
  <c r="I139" i="44"/>
  <c r="H139" i="44"/>
  <c r="G139" i="44"/>
  <c r="C139" i="44"/>
  <c r="D139" i="44"/>
  <c r="E139" i="44"/>
  <c r="F139" i="44"/>
  <c r="Q2851" i="43" l="1"/>
  <c r="O2852" i="43"/>
  <c r="Q2852" i="43" s="1"/>
  <c r="Q2808" i="43"/>
  <c r="O2809" i="43"/>
  <c r="Q2788" i="43"/>
  <c r="Q2768" i="43"/>
  <c r="O2769" i="43"/>
  <c r="Q2748" i="43"/>
  <c r="O2726" i="43"/>
  <c r="P2725" i="43"/>
  <c r="N2708" i="43"/>
  <c r="N2709" i="43"/>
  <c r="N2710" i="43"/>
  <c r="D2720" i="43"/>
  <c r="D2719" i="43"/>
  <c r="D2718" i="43"/>
  <c r="D2717" i="43"/>
  <c r="D2716" i="43"/>
  <c r="D2715" i="43"/>
  <c r="D2714" i="43"/>
  <c r="D2713" i="43"/>
  <c r="D2712" i="43"/>
  <c r="D2711" i="43"/>
  <c r="D2710" i="43"/>
  <c r="D2709" i="43"/>
  <c r="D2708" i="43"/>
  <c r="N2707" i="43"/>
  <c r="D2707" i="43"/>
  <c r="N2706" i="43"/>
  <c r="D2706" i="43"/>
  <c r="D2705" i="43"/>
  <c r="U2704" i="43"/>
  <c r="O2705" i="43" s="1"/>
  <c r="U2703" i="43"/>
  <c r="T2701" i="43"/>
  <c r="C138" i="44"/>
  <c r="D138" i="44"/>
  <c r="E138" i="44"/>
  <c r="F138" i="44"/>
  <c r="G138" i="44"/>
  <c r="H138" i="44"/>
  <c r="I138" i="44"/>
  <c r="J138" i="44"/>
  <c r="K138" i="44"/>
  <c r="L138" i="44"/>
  <c r="M138" i="44"/>
  <c r="N138" i="44"/>
  <c r="O138" i="44"/>
  <c r="P138" i="44"/>
  <c r="Q138" i="44"/>
  <c r="D2700" i="43"/>
  <c r="D2699" i="43"/>
  <c r="D2698" i="43"/>
  <c r="D2697" i="43"/>
  <c r="D2696" i="43"/>
  <c r="D2695" i="43"/>
  <c r="D2694" i="43"/>
  <c r="D2693" i="43"/>
  <c r="D2692" i="43"/>
  <c r="D2691" i="43"/>
  <c r="D2690" i="43"/>
  <c r="D2689" i="43"/>
  <c r="D2688" i="43"/>
  <c r="N2687" i="43"/>
  <c r="D2687" i="43"/>
  <c r="N2686" i="43"/>
  <c r="D2686" i="43"/>
  <c r="D2685" i="43"/>
  <c r="U2684" i="43"/>
  <c r="O2685" i="43" s="1"/>
  <c r="U2683" i="43"/>
  <c r="T2681" i="43"/>
  <c r="Q2809" i="43" l="1"/>
  <c r="O2810" i="43"/>
  <c r="Q2810" i="43" s="1"/>
  <c r="Q2769" i="43"/>
  <c r="O2770" i="43"/>
  <c r="Q2770" i="43" s="1"/>
  <c r="O2727" i="43"/>
  <c r="Q2726" i="43"/>
  <c r="O2706" i="43"/>
  <c r="P2705" i="43"/>
  <c r="O2686" i="43"/>
  <c r="P2685" i="43"/>
  <c r="H56" i="56"/>
  <c r="E56" i="56"/>
  <c r="C137" i="44"/>
  <c r="D137" i="44"/>
  <c r="E137" i="44"/>
  <c r="F137" i="44"/>
  <c r="G137" i="44"/>
  <c r="H137" i="44"/>
  <c r="I137" i="44"/>
  <c r="J137" i="44"/>
  <c r="K137" i="44"/>
  <c r="L137" i="44"/>
  <c r="M137" i="44"/>
  <c r="N137" i="44"/>
  <c r="O137" i="44"/>
  <c r="P137" i="44"/>
  <c r="Q137" i="44"/>
  <c r="N2669" i="43"/>
  <c r="N2670" i="43"/>
  <c r="N2671" i="43"/>
  <c r="D2680" i="43"/>
  <c r="D2679" i="43"/>
  <c r="D2678" i="43"/>
  <c r="D2677" i="43"/>
  <c r="D2676" i="43"/>
  <c r="D2675" i="43"/>
  <c r="D2674" i="43"/>
  <c r="D2673" i="43"/>
  <c r="D2672" i="43"/>
  <c r="D2671" i="43"/>
  <c r="D2670" i="43"/>
  <c r="D2669" i="43"/>
  <c r="N2668" i="43"/>
  <c r="D2668" i="43"/>
  <c r="N2667" i="43"/>
  <c r="D2667" i="43"/>
  <c r="N2666" i="43"/>
  <c r="D2666" i="43"/>
  <c r="D2665" i="43"/>
  <c r="U2664" i="43"/>
  <c r="O2665" i="43" s="1"/>
  <c r="U2663" i="43"/>
  <c r="T2661" i="43"/>
  <c r="C136" i="44"/>
  <c r="D136" i="44"/>
  <c r="E136" i="44"/>
  <c r="F136" i="44"/>
  <c r="G136" i="44"/>
  <c r="H136" i="44"/>
  <c r="I136" i="44"/>
  <c r="J136" i="44"/>
  <c r="K136" i="44"/>
  <c r="L136" i="44"/>
  <c r="M136" i="44"/>
  <c r="N136" i="44"/>
  <c r="O136" i="44"/>
  <c r="P136" i="44"/>
  <c r="Q136" i="44"/>
  <c r="D2660" i="43"/>
  <c r="D2659" i="43"/>
  <c r="D2658" i="43"/>
  <c r="D2657" i="43"/>
  <c r="D2656" i="43"/>
  <c r="D2655" i="43"/>
  <c r="D2654" i="43"/>
  <c r="D2653" i="43"/>
  <c r="D2652" i="43"/>
  <c r="D2651" i="43"/>
  <c r="D2650" i="43"/>
  <c r="D2649" i="43"/>
  <c r="N2648" i="43"/>
  <c r="D2648" i="43"/>
  <c r="N2647" i="43"/>
  <c r="D2647" i="43"/>
  <c r="N2646" i="43"/>
  <c r="D2646" i="43"/>
  <c r="D2645" i="43"/>
  <c r="U2644" i="43"/>
  <c r="O2645" i="43" s="1"/>
  <c r="P2645" i="43" s="1"/>
  <c r="U2643" i="43"/>
  <c r="T2641" i="43"/>
  <c r="Q135" i="44"/>
  <c r="P135" i="44"/>
  <c r="O135" i="44"/>
  <c r="N135" i="44"/>
  <c r="M135" i="44"/>
  <c r="L135" i="44"/>
  <c r="K135" i="44"/>
  <c r="J135" i="44"/>
  <c r="I135" i="44"/>
  <c r="H135" i="44"/>
  <c r="G135" i="44"/>
  <c r="F135" i="44"/>
  <c r="E135" i="44"/>
  <c r="D135" i="44"/>
  <c r="C135" i="44"/>
  <c r="N2628" i="43"/>
  <c r="D2640" i="43"/>
  <c r="D2639" i="43"/>
  <c r="D2638" i="43"/>
  <c r="D2637" i="43"/>
  <c r="D2636" i="43"/>
  <c r="D2635" i="43"/>
  <c r="D2634" i="43"/>
  <c r="D2633" i="43"/>
  <c r="D2632" i="43"/>
  <c r="D2631" i="43"/>
  <c r="D2630" i="43"/>
  <c r="D2629" i="43"/>
  <c r="D2628" i="43"/>
  <c r="N2627" i="43"/>
  <c r="D2627" i="43"/>
  <c r="N2626" i="43"/>
  <c r="D2626" i="43"/>
  <c r="D2625" i="43"/>
  <c r="U2624" i="43"/>
  <c r="O2625" i="43" s="1"/>
  <c r="U2623" i="43"/>
  <c r="T2621" i="43"/>
  <c r="Q134" i="44"/>
  <c r="P134" i="44"/>
  <c r="O134" i="44"/>
  <c r="N134" i="44"/>
  <c r="M134" i="44"/>
  <c r="L134" i="44"/>
  <c r="K134" i="44"/>
  <c r="J134" i="44"/>
  <c r="I134" i="44"/>
  <c r="H134" i="44"/>
  <c r="G134" i="44"/>
  <c r="F134" i="44"/>
  <c r="E134" i="44"/>
  <c r="D134" i="44"/>
  <c r="C134" i="44"/>
  <c r="D2620" i="43"/>
  <c r="D2619" i="43"/>
  <c r="D2618" i="43"/>
  <c r="D2617" i="43"/>
  <c r="D2616" i="43"/>
  <c r="D2615" i="43"/>
  <c r="D2614" i="43"/>
  <c r="D2613" i="43"/>
  <c r="D2612" i="43"/>
  <c r="D2611" i="43"/>
  <c r="D2610" i="43"/>
  <c r="D2609" i="43"/>
  <c r="D2608" i="43"/>
  <c r="N2607" i="43"/>
  <c r="D2607" i="43"/>
  <c r="N2606" i="43"/>
  <c r="D2606" i="43"/>
  <c r="D2605" i="43"/>
  <c r="U2604" i="43"/>
  <c r="O2605" i="43" s="1"/>
  <c r="U2603" i="43"/>
  <c r="T2601" i="43"/>
  <c r="O2728" i="43" l="1"/>
  <c r="Q2727" i="43"/>
  <c r="O2707" i="43"/>
  <c r="O2708" i="43" s="1"/>
  <c r="O2709" i="43" s="1"/>
  <c r="O2710" i="43" s="1"/>
  <c r="Q2706" i="43"/>
  <c r="O2687" i="43"/>
  <c r="Q2686" i="43"/>
  <c r="P2665" i="43"/>
  <c r="O2666" i="43"/>
  <c r="O2646" i="43"/>
  <c r="P2625" i="43"/>
  <c r="O2626" i="43"/>
  <c r="P2605" i="43"/>
  <c r="O2606" i="43"/>
  <c r="O2729" i="43" l="1"/>
  <c r="Q2728" i="43"/>
  <c r="Q2707" i="43"/>
  <c r="Q2687" i="43"/>
  <c r="Q2666" i="43"/>
  <c r="O2667" i="43"/>
  <c r="Q2646" i="43"/>
  <c r="O2647" i="43"/>
  <c r="Q2626" i="43"/>
  <c r="O2627" i="43"/>
  <c r="Q2606" i="43"/>
  <c r="O2607" i="43"/>
  <c r="C33" i="56"/>
  <c r="Q26" i="56"/>
  <c r="R14" i="56"/>
  <c r="C15" i="56" s="1"/>
  <c r="R13" i="56"/>
  <c r="C14" i="56" s="1"/>
  <c r="D10" i="56"/>
  <c r="R9" i="56"/>
  <c r="D9" i="56"/>
  <c r="A9" i="56"/>
  <c r="R8" i="56"/>
  <c r="D8" i="56"/>
  <c r="A8" i="56"/>
  <c r="D7" i="56"/>
  <c r="D5" i="56"/>
  <c r="R4" i="56"/>
  <c r="R3" i="56"/>
  <c r="S20" i="56" s="1"/>
  <c r="A1" i="56"/>
  <c r="C133" i="44"/>
  <c r="D133" i="44"/>
  <c r="E133" i="44"/>
  <c r="F133" i="44"/>
  <c r="G133" i="44"/>
  <c r="H133" i="44"/>
  <c r="I133" i="44"/>
  <c r="J133" i="44"/>
  <c r="K133" i="44"/>
  <c r="L133" i="44"/>
  <c r="M133" i="44"/>
  <c r="N133" i="44"/>
  <c r="O133" i="44"/>
  <c r="P133" i="44"/>
  <c r="Q133" i="44"/>
  <c r="D2600" i="43"/>
  <c r="D2599" i="43"/>
  <c r="D2598" i="43"/>
  <c r="D2597" i="43"/>
  <c r="D2596" i="43"/>
  <c r="D2595" i="43"/>
  <c r="D2594" i="43"/>
  <c r="D2593" i="43"/>
  <c r="D2592" i="43"/>
  <c r="D2591" i="43"/>
  <c r="D2590" i="43"/>
  <c r="D2589" i="43"/>
  <c r="N2588" i="43"/>
  <c r="D2588" i="43"/>
  <c r="N2587" i="43"/>
  <c r="D2587" i="43"/>
  <c r="N2586" i="43"/>
  <c r="D2586" i="43"/>
  <c r="D2585" i="43"/>
  <c r="U2584" i="43"/>
  <c r="O2585" i="43" s="1"/>
  <c r="U2583" i="43"/>
  <c r="T2581" i="43"/>
  <c r="C132" i="44"/>
  <c r="D132" i="44"/>
  <c r="E132" i="44"/>
  <c r="F132" i="44"/>
  <c r="G132" i="44"/>
  <c r="H132" i="44"/>
  <c r="I132" i="44"/>
  <c r="J132" i="44"/>
  <c r="K132" i="44"/>
  <c r="L132" i="44"/>
  <c r="M132" i="44"/>
  <c r="N132" i="44"/>
  <c r="O132" i="44"/>
  <c r="P132" i="44"/>
  <c r="Q132" i="44"/>
  <c r="D2580" i="43"/>
  <c r="D2579" i="43"/>
  <c r="D2578" i="43"/>
  <c r="D2577" i="43"/>
  <c r="D2576" i="43"/>
  <c r="D2575" i="43"/>
  <c r="D2574" i="43"/>
  <c r="D2573" i="43"/>
  <c r="D2572" i="43"/>
  <c r="D2571" i="43"/>
  <c r="D2570" i="43"/>
  <c r="D2569" i="43"/>
  <c r="N2568" i="43"/>
  <c r="D2568" i="43"/>
  <c r="N2567" i="43"/>
  <c r="D2567" i="43"/>
  <c r="N2566" i="43"/>
  <c r="D2566" i="43"/>
  <c r="D2565" i="43"/>
  <c r="U2564" i="43"/>
  <c r="O2565" i="43" s="1"/>
  <c r="U2563" i="43"/>
  <c r="T2561" i="43"/>
  <c r="H131" i="44"/>
  <c r="G131" i="44"/>
  <c r="Q131" i="44"/>
  <c r="P131" i="44"/>
  <c r="O131" i="44"/>
  <c r="N131" i="44"/>
  <c r="M131" i="44"/>
  <c r="L131" i="44"/>
  <c r="K131" i="44"/>
  <c r="J131" i="44"/>
  <c r="I131" i="44"/>
  <c r="C131" i="44"/>
  <c r="D131" i="44"/>
  <c r="E131" i="44"/>
  <c r="F131" i="44"/>
  <c r="D2560" i="43"/>
  <c r="D2559" i="43"/>
  <c r="D2558" i="43"/>
  <c r="D2557" i="43"/>
  <c r="D2556" i="43"/>
  <c r="D2555" i="43"/>
  <c r="D2554" i="43"/>
  <c r="D2553" i="43"/>
  <c r="D2552" i="43"/>
  <c r="D2551" i="43"/>
  <c r="D2550" i="43"/>
  <c r="D2549" i="43"/>
  <c r="N2548" i="43"/>
  <c r="D2548" i="43"/>
  <c r="N2547" i="43"/>
  <c r="D2547" i="43"/>
  <c r="N2546" i="43"/>
  <c r="D2546" i="43"/>
  <c r="D2545" i="43"/>
  <c r="U2544" i="43"/>
  <c r="O2545" i="43" s="1"/>
  <c r="U2543" i="43"/>
  <c r="T2541" i="43"/>
  <c r="C130" i="44"/>
  <c r="D130" i="44"/>
  <c r="E130" i="44"/>
  <c r="F130" i="44"/>
  <c r="G130" i="44"/>
  <c r="H130" i="44"/>
  <c r="I130" i="44"/>
  <c r="J130" i="44"/>
  <c r="K130" i="44"/>
  <c r="L130" i="44"/>
  <c r="M130" i="44"/>
  <c r="N130" i="44"/>
  <c r="O130" i="44"/>
  <c r="P130" i="44"/>
  <c r="Q130" i="44"/>
  <c r="D2540" i="43"/>
  <c r="D2539" i="43"/>
  <c r="D2538" i="43"/>
  <c r="D2537" i="43"/>
  <c r="D2536" i="43"/>
  <c r="D2535" i="43"/>
  <c r="D2534" i="43"/>
  <c r="D2533" i="43"/>
  <c r="D2532" i="43"/>
  <c r="D2531" i="43"/>
  <c r="D2530" i="43"/>
  <c r="D2529" i="43"/>
  <c r="N2528" i="43"/>
  <c r="D2528" i="43"/>
  <c r="N2527" i="43"/>
  <c r="D2527" i="43"/>
  <c r="N2526" i="43"/>
  <c r="D2526" i="43"/>
  <c r="D2525" i="43"/>
  <c r="U2524" i="43"/>
  <c r="O2525" i="43" s="1"/>
  <c r="U2523" i="43"/>
  <c r="T2521" i="43"/>
  <c r="O129" i="44"/>
  <c r="P129" i="44"/>
  <c r="Q129" i="44"/>
  <c r="M129" i="44"/>
  <c r="N129" i="44"/>
  <c r="L129" i="44"/>
  <c r="K129" i="44"/>
  <c r="J129" i="44"/>
  <c r="I129" i="44"/>
  <c r="H129" i="44"/>
  <c r="G129" i="44"/>
  <c r="C129" i="44"/>
  <c r="D129" i="44"/>
  <c r="E129" i="44"/>
  <c r="F129" i="44"/>
  <c r="N2509" i="43"/>
  <c r="D2520" i="43"/>
  <c r="D2519" i="43"/>
  <c r="D2518" i="43"/>
  <c r="D2517" i="43"/>
  <c r="D2516" i="43"/>
  <c r="D2515" i="43"/>
  <c r="D2514" i="43"/>
  <c r="D2513" i="43"/>
  <c r="D2512" i="43"/>
  <c r="D2511" i="43"/>
  <c r="D2510" i="43"/>
  <c r="D2509" i="43"/>
  <c r="N2508" i="43"/>
  <c r="D2508" i="43"/>
  <c r="N2507" i="43"/>
  <c r="D2507" i="43"/>
  <c r="N2506" i="43"/>
  <c r="D2506" i="43"/>
  <c r="D2505" i="43"/>
  <c r="U2504" i="43"/>
  <c r="O2505" i="43" s="1"/>
  <c r="U2503" i="43"/>
  <c r="T2501" i="43"/>
  <c r="D63" i="56" l="1"/>
  <c r="E63" i="56"/>
  <c r="E61" i="56"/>
  <c r="D60" i="56"/>
  <c r="J59" i="56"/>
  <c r="I56" i="56"/>
  <c r="D62" i="56"/>
  <c r="F62" i="56"/>
  <c r="C63" i="56"/>
  <c r="F60" i="56"/>
  <c r="J57" i="56"/>
  <c r="G56" i="56"/>
  <c r="D61" i="56"/>
  <c r="E62" i="56"/>
  <c r="C62" i="56"/>
  <c r="E60" i="56"/>
  <c r="F57" i="56"/>
  <c r="F56" i="56"/>
  <c r="F63" i="56"/>
  <c r="F61" i="56"/>
  <c r="C61" i="56"/>
  <c r="C60" i="56"/>
  <c r="J56" i="56"/>
  <c r="Q2729" i="43"/>
  <c r="Q2708" i="43"/>
  <c r="F53" i="56"/>
  <c r="Q2667" i="43"/>
  <c r="O2668" i="43"/>
  <c r="Q2647" i="43"/>
  <c r="O2648" i="43"/>
  <c r="Q2648" i="43" s="1"/>
  <c r="Q2627" i="43"/>
  <c r="O2628" i="43"/>
  <c r="Q2628" i="43" s="1"/>
  <c r="Q2607" i="43"/>
  <c r="R22" i="56"/>
  <c r="C36" i="56" s="1"/>
  <c r="I14" i="56"/>
  <c r="F14" i="56" s="1"/>
  <c r="H28" i="56"/>
  <c r="H44" i="56"/>
  <c r="H11" i="56"/>
  <c r="D20" i="56"/>
  <c r="F31" i="56"/>
  <c r="D46" i="56"/>
  <c r="J13" i="56"/>
  <c r="I15" i="56"/>
  <c r="F15" i="56" s="1"/>
  <c r="H26" i="56"/>
  <c r="J49" i="56"/>
  <c r="F42" i="56"/>
  <c r="G52" i="56"/>
  <c r="I34" i="56"/>
  <c r="I35" i="56" s="1"/>
  <c r="S21" i="56"/>
  <c r="J11" i="56"/>
  <c r="H10" i="56"/>
  <c r="E41" i="56" s="1"/>
  <c r="F13" i="56"/>
  <c r="F16" i="56"/>
  <c r="S19" i="56" s="1"/>
  <c r="I33" i="56" s="1"/>
  <c r="H18" i="56"/>
  <c r="H19" i="56"/>
  <c r="R20" i="56"/>
  <c r="C34" i="56" s="1"/>
  <c r="J22" i="56"/>
  <c r="H23" i="56"/>
  <c r="H25" i="56"/>
  <c r="H29" i="56"/>
  <c r="J31" i="56"/>
  <c r="J42" i="56"/>
  <c r="D45" i="56"/>
  <c r="F49" i="56"/>
  <c r="J52" i="56"/>
  <c r="F18" i="56"/>
  <c r="D19" i="56"/>
  <c r="H20" i="56"/>
  <c r="H22" i="56"/>
  <c r="J28" i="56"/>
  <c r="H31" i="56"/>
  <c r="H42" i="56"/>
  <c r="J44" i="56"/>
  <c r="H46" i="56"/>
  <c r="H50" i="56"/>
  <c r="I52" i="56"/>
  <c r="F55" i="56"/>
  <c r="F11" i="56"/>
  <c r="H13" i="56"/>
  <c r="J16" i="56"/>
  <c r="J18" i="56"/>
  <c r="J25" i="56"/>
  <c r="F28" i="56"/>
  <c r="F44" i="56"/>
  <c r="H45" i="56"/>
  <c r="H49" i="56"/>
  <c r="F52" i="56"/>
  <c r="P2585" i="43"/>
  <c r="O2586" i="43"/>
  <c r="P2565" i="43"/>
  <c r="O2566" i="43"/>
  <c r="P2545" i="43"/>
  <c r="O2546" i="43"/>
  <c r="O2526" i="43"/>
  <c r="P2525" i="43"/>
  <c r="P2505" i="43"/>
  <c r="O2506" i="43"/>
  <c r="C35" i="56" l="1"/>
  <c r="Q2709" i="43"/>
  <c r="Q2710" i="43"/>
  <c r="Q2668" i="43"/>
  <c r="O2669" i="43"/>
  <c r="H27" i="56"/>
  <c r="H51" i="56"/>
  <c r="H30" i="56"/>
  <c r="H24" i="56"/>
  <c r="J53" i="56"/>
  <c r="Q2586" i="43"/>
  <c r="O2587" i="43"/>
  <c r="Q2566" i="43"/>
  <c r="O2567" i="43"/>
  <c r="Q2546" i="43"/>
  <c r="O2547" i="43"/>
  <c r="O2527" i="43"/>
  <c r="Q2526" i="43"/>
  <c r="Q2506" i="43"/>
  <c r="O2507" i="43"/>
  <c r="Q2669" i="43" l="1"/>
  <c r="O2670" i="43"/>
  <c r="R18" i="56"/>
  <c r="S22" i="56" s="1"/>
  <c r="I41" i="56"/>
  <c r="J55" i="56"/>
  <c r="K67" i="56"/>
  <c r="Q2587" i="43"/>
  <c r="O2588" i="43"/>
  <c r="Q2588" i="43" s="1"/>
  <c r="Q2567" i="43"/>
  <c r="O2568" i="43"/>
  <c r="Q2568" i="43" s="1"/>
  <c r="Q2547" i="43"/>
  <c r="O2548" i="43"/>
  <c r="Q2548" i="43" s="1"/>
  <c r="O2528" i="43"/>
  <c r="Q2527" i="43"/>
  <c r="Q2507" i="43"/>
  <c r="O2508" i="43"/>
  <c r="O2509" i="43" s="1"/>
  <c r="O2671" i="43" l="1"/>
  <c r="Q2671" i="43" s="1"/>
  <c r="Q2670" i="43"/>
  <c r="T22" i="56"/>
  <c r="J36" i="56" s="1"/>
  <c r="I36" i="56"/>
  <c r="S23" i="56"/>
  <c r="Q2528" i="43"/>
  <c r="Q2508" i="43"/>
  <c r="Q2509" i="43"/>
  <c r="I37" i="56" l="1"/>
  <c r="R23" i="56"/>
  <c r="C37" i="56" s="1"/>
  <c r="E37" i="56" s="1"/>
  <c r="G37" i="56" s="1"/>
  <c r="T23" i="56"/>
  <c r="J37" i="56" s="1"/>
  <c r="S24" i="56"/>
  <c r="R24" i="56" l="1"/>
  <c r="C38" i="56" s="1"/>
  <c r="E38" i="56" s="1"/>
  <c r="G38" i="56" s="1"/>
  <c r="T24" i="56"/>
  <c r="J38" i="56" s="1"/>
  <c r="I38" i="56"/>
  <c r="K99" i="54" l="1"/>
  <c r="E30" i="55"/>
  <c r="F30" i="55"/>
  <c r="E31" i="55"/>
  <c r="F31" i="55"/>
  <c r="E32" i="55"/>
  <c r="F32" i="55"/>
  <c r="E33" i="55"/>
  <c r="F33" i="55"/>
  <c r="D30" i="55"/>
  <c r="D31" i="55"/>
  <c r="D32" i="55"/>
  <c r="D33" i="55"/>
  <c r="Q128" i="44"/>
  <c r="P128" i="44"/>
  <c r="O128" i="44"/>
  <c r="N128" i="44"/>
  <c r="M128" i="44"/>
  <c r="L128" i="44"/>
  <c r="K128" i="44"/>
  <c r="C128" i="44"/>
  <c r="D128" i="44"/>
  <c r="E128" i="44"/>
  <c r="F128" i="44"/>
  <c r="G128" i="44"/>
  <c r="H128" i="44"/>
  <c r="I128" i="44"/>
  <c r="J128" i="44"/>
  <c r="D2500" i="43"/>
  <c r="D2499" i="43"/>
  <c r="D2498" i="43"/>
  <c r="D2497" i="43"/>
  <c r="D2496" i="43"/>
  <c r="D2495" i="43"/>
  <c r="D2494" i="43"/>
  <c r="D2493" i="43"/>
  <c r="D2492" i="43"/>
  <c r="D2491" i="43"/>
  <c r="D2490" i="43"/>
  <c r="D2489" i="43"/>
  <c r="N2488" i="43"/>
  <c r="D2488" i="43"/>
  <c r="N2487" i="43"/>
  <c r="D2487" i="43"/>
  <c r="N2486" i="43"/>
  <c r="D2486" i="43"/>
  <c r="D2485" i="43"/>
  <c r="U2484" i="43"/>
  <c r="O2485" i="43" s="1"/>
  <c r="P2485" i="43" s="1"/>
  <c r="U2483" i="43"/>
  <c r="T2481" i="43"/>
  <c r="C127" i="44"/>
  <c r="D127" i="44"/>
  <c r="E127" i="44"/>
  <c r="F127" i="44"/>
  <c r="G127" i="44"/>
  <c r="H127" i="44"/>
  <c r="I127" i="44"/>
  <c r="J127" i="44"/>
  <c r="K127" i="44"/>
  <c r="L127" i="44"/>
  <c r="M127" i="44"/>
  <c r="N127" i="44"/>
  <c r="O127" i="44"/>
  <c r="P127" i="44"/>
  <c r="Q127" i="44"/>
  <c r="N2468" i="43"/>
  <c r="D2480" i="43"/>
  <c r="D2479" i="43"/>
  <c r="D2478" i="43"/>
  <c r="D2477" i="43"/>
  <c r="D2476" i="43"/>
  <c r="D2475" i="43"/>
  <c r="D2474" i="43"/>
  <c r="D2473" i="43"/>
  <c r="D2472" i="43"/>
  <c r="D2471" i="43"/>
  <c r="D2470" i="43"/>
  <c r="D2469" i="43"/>
  <c r="D2468" i="43"/>
  <c r="N2467" i="43"/>
  <c r="D2467" i="43"/>
  <c r="N2466" i="43"/>
  <c r="D2466" i="43"/>
  <c r="D2465" i="43"/>
  <c r="U2464" i="43"/>
  <c r="O2465" i="43" s="1"/>
  <c r="P2465" i="43" s="1"/>
  <c r="U2463" i="43"/>
  <c r="T2461" i="43"/>
  <c r="J215" i="20"/>
  <c r="J216" i="20"/>
  <c r="J217" i="20"/>
  <c r="J218" i="20"/>
  <c r="K215" i="20"/>
  <c r="L215" i="20" s="1"/>
  <c r="K216" i="20"/>
  <c r="L216" i="20" s="1"/>
  <c r="K217" i="20"/>
  <c r="L217" i="20" s="1"/>
  <c r="K218" i="20"/>
  <c r="L218" i="20" s="1"/>
  <c r="G215" i="20"/>
  <c r="G216" i="20"/>
  <c r="G217" i="20"/>
  <c r="G218" i="20"/>
  <c r="C126" i="44"/>
  <c r="D126" i="44"/>
  <c r="E126" i="44"/>
  <c r="F126" i="44"/>
  <c r="G126" i="44"/>
  <c r="H126" i="44"/>
  <c r="I126" i="44"/>
  <c r="J126" i="44"/>
  <c r="K126" i="44"/>
  <c r="L126" i="44"/>
  <c r="M126" i="44"/>
  <c r="N126" i="44"/>
  <c r="O126" i="44"/>
  <c r="P126" i="44"/>
  <c r="Q126" i="44"/>
  <c r="D2460" i="43"/>
  <c r="D2459" i="43"/>
  <c r="D2458" i="43"/>
  <c r="D2457" i="43"/>
  <c r="D2456" i="43"/>
  <c r="D2455" i="43"/>
  <c r="D2454" i="43"/>
  <c r="D2453" i="43"/>
  <c r="D2452" i="43"/>
  <c r="D2451" i="43"/>
  <c r="D2450" i="43"/>
  <c r="D2449" i="43"/>
  <c r="D2448" i="43"/>
  <c r="N2447" i="43"/>
  <c r="D2447" i="43"/>
  <c r="N2446" i="43"/>
  <c r="D2446" i="43"/>
  <c r="D2445" i="43"/>
  <c r="U2444" i="43"/>
  <c r="O2445" i="43" s="1"/>
  <c r="U2443" i="43"/>
  <c r="T2441" i="43"/>
  <c r="Q125" i="44"/>
  <c r="P125" i="44"/>
  <c r="O125" i="44"/>
  <c r="N125" i="44"/>
  <c r="M125" i="44"/>
  <c r="L125" i="44"/>
  <c r="K125" i="44"/>
  <c r="J125" i="44"/>
  <c r="I125" i="44"/>
  <c r="H125" i="44"/>
  <c r="G125" i="44"/>
  <c r="F125" i="44"/>
  <c r="E125" i="44"/>
  <c r="D125" i="44"/>
  <c r="C125" i="44"/>
  <c r="D2440" i="43"/>
  <c r="D2439" i="43"/>
  <c r="D2438" i="43"/>
  <c r="D2437" i="43"/>
  <c r="D2436" i="43"/>
  <c r="D2435" i="43"/>
  <c r="D2434" i="43"/>
  <c r="D2433" i="43"/>
  <c r="D2432" i="43"/>
  <c r="D2431" i="43"/>
  <c r="D2430" i="43"/>
  <c r="N2429" i="43"/>
  <c r="D2429" i="43"/>
  <c r="N2428" i="43"/>
  <c r="D2428" i="43"/>
  <c r="N2427" i="43"/>
  <c r="D2427" i="43"/>
  <c r="N2426" i="43"/>
  <c r="D2426" i="43"/>
  <c r="D2425" i="43"/>
  <c r="U2424" i="43"/>
  <c r="O2425" i="43" s="1"/>
  <c r="U2423" i="43"/>
  <c r="T2421" i="43"/>
  <c r="Q124" i="44"/>
  <c r="P124" i="44"/>
  <c r="O124" i="44"/>
  <c r="N124" i="44"/>
  <c r="M124" i="44"/>
  <c r="L124" i="44"/>
  <c r="K124" i="44"/>
  <c r="J124" i="44"/>
  <c r="I124" i="44"/>
  <c r="H124" i="44"/>
  <c r="G124" i="44"/>
  <c r="C124" i="44"/>
  <c r="D124" i="44"/>
  <c r="E124" i="44"/>
  <c r="F124" i="44"/>
  <c r="N2407" i="43"/>
  <c r="N2408" i="43"/>
  <c r="N2409" i="43"/>
  <c r="D2420" i="43"/>
  <c r="D2419" i="43"/>
  <c r="D2418" i="43"/>
  <c r="D2417" i="43"/>
  <c r="D2416" i="43"/>
  <c r="D2415" i="43"/>
  <c r="D2414" i="43"/>
  <c r="D2413" i="43"/>
  <c r="D2412" i="43"/>
  <c r="D2411" i="43"/>
  <c r="D2410" i="43"/>
  <c r="D2409" i="43"/>
  <c r="D2408" i="43"/>
  <c r="D2407" i="43"/>
  <c r="N2406" i="43"/>
  <c r="D2406" i="43"/>
  <c r="D2405" i="43"/>
  <c r="U2404" i="43"/>
  <c r="O2405" i="43" s="1"/>
  <c r="U2403" i="43"/>
  <c r="T2401" i="43"/>
  <c r="D29" i="55"/>
  <c r="E29" i="55"/>
  <c r="F29" i="55"/>
  <c r="C123" i="44"/>
  <c r="D123" i="44"/>
  <c r="E123" i="44"/>
  <c r="F123" i="44"/>
  <c r="G123" i="44"/>
  <c r="H123" i="44"/>
  <c r="I123" i="44"/>
  <c r="J123" i="44"/>
  <c r="K123" i="44"/>
  <c r="L123" i="44"/>
  <c r="M123" i="44"/>
  <c r="N123" i="44"/>
  <c r="O123" i="44"/>
  <c r="P123" i="44"/>
  <c r="Q123" i="44"/>
  <c r="D2400" i="43"/>
  <c r="D2399" i="43"/>
  <c r="D2398" i="43"/>
  <c r="D2397" i="43"/>
  <c r="D2396" i="43"/>
  <c r="D2395" i="43"/>
  <c r="D2394" i="43"/>
  <c r="D2393" i="43"/>
  <c r="D2392" i="43"/>
  <c r="D2391" i="43"/>
  <c r="D2390" i="43"/>
  <c r="D2389" i="43"/>
  <c r="D2388" i="43"/>
  <c r="D2387" i="43"/>
  <c r="N2386" i="43"/>
  <c r="D2386" i="43"/>
  <c r="D2385" i="43"/>
  <c r="U2384" i="43"/>
  <c r="O2385" i="43" s="1"/>
  <c r="U2383" i="43"/>
  <c r="T2381" i="43"/>
  <c r="Q122" i="44"/>
  <c r="P122" i="44"/>
  <c r="O122" i="44"/>
  <c r="N122" i="44"/>
  <c r="M122" i="44"/>
  <c r="L122" i="44"/>
  <c r="K122" i="44"/>
  <c r="J122" i="44"/>
  <c r="I122" i="44"/>
  <c r="H122" i="44"/>
  <c r="G122" i="44"/>
  <c r="F122" i="44"/>
  <c r="E122" i="44"/>
  <c r="D122" i="44"/>
  <c r="C122" i="44"/>
  <c r="D2380" i="43"/>
  <c r="D2379" i="43"/>
  <c r="D2378" i="43"/>
  <c r="D2377" i="43"/>
  <c r="D2376" i="43"/>
  <c r="D2375" i="43"/>
  <c r="D2374" i="43"/>
  <c r="D2373" i="43"/>
  <c r="D2372" i="43"/>
  <c r="D2371" i="43"/>
  <c r="D2370" i="43"/>
  <c r="D2369" i="43"/>
  <c r="D2368" i="43"/>
  <c r="N2367" i="43"/>
  <c r="D2367" i="43"/>
  <c r="N2366" i="43"/>
  <c r="D2366" i="43"/>
  <c r="D2365" i="43"/>
  <c r="U2364" i="43"/>
  <c r="O2365" i="43" s="1"/>
  <c r="U2363" i="43"/>
  <c r="T2361" i="43"/>
  <c r="Q121" i="44"/>
  <c r="P121" i="44"/>
  <c r="O121" i="44"/>
  <c r="N121" i="44"/>
  <c r="M121" i="44"/>
  <c r="L121" i="44"/>
  <c r="K121" i="44"/>
  <c r="J121" i="44"/>
  <c r="I121" i="44"/>
  <c r="H121" i="44"/>
  <c r="G121" i="44"/>
  <c r="C121" i="44"/>
  <c r="D121" i="44"/>
  <c r="E121" i="44"/>
  <c r="F121" i="44"/>
  <c r="D2360" i="43"/>
  <c r="D2359" i="43"/>
  <c r="D2358" i="43"/>
  <c r="D2357" i="43"/>
  <c r="D2356" i="43"/>
  <c r="D2355" i="43"/>
  <c r="D2354" i="43"/>
  <c r="D2353" i="43"/>
  <c r="D2352" i="43"/>
  <c r="D2351" i="43"/>
  <c r="D2350" i="43"/>
  <c r="D2349" i="43"/>
  <c r="N2348" i="43"/>
  <c r="D2348" i="43"/>
  <c r="N2347" i="43"/>
  <c r="D2347" i="43"/>
  <c r="N2346" i="43"/>
  <c r="D2346" i="43"/>
  <c r="D2345" i="43"/>
  <c r="U2344" i="43"/>
  <c r="O2345" i="43" s="1"/>
  <c r="P2345" i="43" s="1"/>
  <c r="U2343" i="43"/>
  <c r="T2341" i="43"/>
  <c r="C120" i="44"/>
  <c r="D120" i="44"/>
  <c r="E120" i="44"/>
  <c r="F120" i="44"/>
  <c r="G120" i="44"/>
  <c r="H120" i="44"/>
  <c r="I120" i="44"/>
  <c r="J120" i="44"/>
  <c r="K120" i="44"/>
  <c r="L120" i="44"/>
  <c r="M120" i="44"/>
  <c r="N120" i="44"/>
  <c r="O120" i="44"/>
  <c r="P120" i="44"/>
  <c r="Q120" i="44"/>
  <c r="N2328" i="43"/>
  <c r="N2329" i="43"/>
  <c r="N2330" i="43"/>
  <c r="N2331" i="43"/>
  <c r="D2340" i="43"/>
  <c r="D2339" i="43"/>
  <c r="D2338" i="43"/>
  <c r="D2337" i="43"/>
  <c r="D2336" i="43"/>
  <c r="D2335" i="43"/>
  <c r="D2334" i="43"/>
  <c r="D2333" i="43"/>
  <c r="D2332" i="43"/>
  <c r="D2331" i="43"/>
  <c r="D2330" i="43"/>
  <c r="D2329" i="43"/>
  <c r="D2328" i="43"/>
  <c r="N2327" i="43"/>
  <c r="D2327" i="43"/>
  <c r="N2326" i="43"/>
  <c r="D2326" i="43"/>
  <c r="D2325" i="43"/>
  <c r="U2324" i="43"/>
  <c r="O2325" i="43" s="1"/>
  <c r="P2325" i="43" s="1"/>
  <c r="U2323" i="43"/>
  <c r="T2321" i="43"/>
  <c r="C119" i="44"/>
  <c r="D119" i="44"/>
  <c r="E119" i="44"/>
  <c r="F119" i="44"/>
  <c r="G119" i="44"/>
  <c r="H119" i="44"/>
  <c r="I119" i="44"/>
  <c r="J119" i="44"/>
  <c r="K119" i="44"/>
  <c r="L119" i="44"/>
  <c r="M119" i="44"/>
  <c r="N119" i="44"/>
  <c r="O119" i="44"/>
  <c r="P119" i="44"/>
  <c r="Q119" i="44"/>
  <c r="D2320" i="43"/>
  <c r="D2319" i="43"/>
  <c r="D2318" i="43"/>
  <c r="D2317" i="43"/>
  <c r="D2316" i="43"/>
  <c r="D2315" i="43"/>
  <c r="D2314" i="43"/>
  <c r="D2313" i="43"/>
  <c r="D2312" i="43"/>
  <c r="D2311" i="43"/>
  <c r="D2310" i="43"/>
  <c r="D2309" i="43"/>
  <c r="D2308" i="43"/>
  <c r="N2307" i="43"/>
  <c r="D2307" i="43"/>
  <c r="N2306" i="43"/>
  <c r="D2306" i="43"/>
  <c r="D2305" i="43"/>
  <c r="U2304" i="43"/>
  <c r="O2305" i="43" s="1"/>
  <c r="U2303" i="43"/>
  <c r="T2301" i="43"/>
  <c r="C118" i="44"/>
  <c r="D118" i="44"/>
  <c r="E118" i="44"/>
  <c r="F118" i="44"/>
  <c r="G118" i="44"/>
  <c r="H118" i="44"/>
  <c r="I118" i="44"/>
  <c r="J118" i="44"/>
  <c r="K118" i="44"/>
  <c r="L118" i="44"/>
  <c r="M118" i="44"/>
  <c r="N118" i="44"/>
  <c r="O118" i="44"/>
  <c r="P118" i="44"/>
  <c r="Q118" i="44"/>
  <c r="N2289" i="43"/>
  <c r="N2290" i="43"/>
  <c r="N2291" i="43"/>
  <c r="N2292" i="43"/>
  <c r="D2300" i="43"/>
  <c r="D2299" i="43"/>
  <c r="D2298" i="43"/>
  <c r="D2297" i="43"/>
  <c r="D2296" i="43"/>
  <c r="D2295" i="43"/>
  <c r="D2294" i="43"/>
  <c r="D2293" i="43"/>
  <c r="D2292" i="43"/>
  <c r="D2291" i="43"/>
  <c r="D2290" i="43"/>
  <c r="D2289" i="43"/>
  <c r="N2288" i="43"/>
  <c r="D2288" i="43"/>
  <c r="N2287" i="43"/>
  <c r="D2287" i="43"/>
  <c r="N2286" i="43"/>
  <c r="D2286" i="43"/>
  <c r="D2285" i="43"/>
  <c r="U2284" i="43"/>
  <c r="O2285" i="43" s="1"/>
  <c r="U2283" i="43"/>
  <c r="T2281" i="43"/>
  <c r="D14" i="55"/>
  <c r="D15" i="55"/>
  <c r="D16" i="55"/>
  <c r="D17" i="55"/>
  <c r="D18" i="55"/>
  <c r="D19" i="55"/>
  <c r="D20" i="55"/>
  <c r="D21" i="55"/>
  <c r="D22" i="55"/>
  <c r="D23" i="55"/>
  <c r="D24" i="55"/>
  <c r="D25" i="55"/>
  <c r="D26" i="55"/>
  <c r="D27" i="55"/>
  <c r="D28" i="55"/>
  <c r="D13" i="55"/>
  <c r="D6" i="55"/>
  <c r="D7" i="55"/>
  <c r="D8" i="55"/>
  <c r="D9" i="55"/>
  <c r="D10" i="55"/>
  <c r="D5" i="55"/>
  <c r="E14" i="55"/>
  <c r="F14" i="55"/>
  <c r="E15" i="55"/>
  <c r="F15" i="55"/>
  <c r="E16" i="55"/>
  <c r="F16" i="55"/>
  <c r="E17" i="55"/>
  <c r="F17" i="55"/>
  <c r="E18" i="55"/>
  <c r="F18" i="55"/>
  <c r="E19" i="55"/>
  <c r="F19" i="55"/>
  <c r="E20" i="55"/>
  <c r="F20" i="55"/>
  <c r="E21" i="55"/>
  <c r="F21" i="55"/>
  <c r="E22" i="55"/>
  <c r="F22" i="55"/>
  <c r="E23" i="55"/>
  <c r="F23" i="55"/>
  <c r="E24" i="55"/>
  <c r="F24" i="55"/>
  <c r="E25" i="55"/>
  <c r="F25" i="55"/>
  <c r="E26" i="55"/>
  <c r="F26" i="55"/>
  <c r="E27" i="55"/>
  <c r="F27" i="55"/>
  <c r="E28" i="55"/>
  <c r="F28" i="55"/>
  <c r="F13" i="55"/>
  <c r="E13" i="55"/>
  <c r="E6" i="55"/>
  <c r="F6" i="55"/>
  <c r="E7" i="55"/>
  <c r="F7" i="55"/>
  <c r="E8" i="55"/>
  <c r="F8" i="55"/>
  <c r="E9" i="55"/>
  <c r="F9" i="55"/>
  <c r="E10" i="55"/>
  <c r="F10" i="55"/>
  <c r="F5" i="55"/>
  <c r="E5" i="55"/>
  <c r="H117" i="44"/>
  <c r="G117" i="44"/>
  <c r="J117" i="44"/>
  <c r="I117" i="44"/>
  <c r="K117" i="44"/>
  <c r="L117" i="44"/>
  <c r="M117" i="44"/>
  <c r="N117" i="44"/>
  <c r="O117" i="44"/>
  <c r="P117" i="44"/>
  <c r="Q117" i="44"/>
  <c r="C117" i="44"/>
  <c r="D117" i="44"/>
  <c r="E117" i="44"/>
  <c r="F117" i="44"/>
  <c r="D2280" i="43"/>
  <c r="D2279" i="43"/>
  <c r="D2278" i="43"/>
  <c r="D2277" i="43"/>
  <c r="D2276" i="43"/>
  <c r="D2275" i="43"/>
  <c r="D2274" i="43"/>
  <c r="D2273" i="43"/>
  <c r="D2272" i="43"/>
  <c r="D2271" i="43"/>
  <c r="D2270" i="43"/>
  <c r="D2269" i="43"/>
  <c r="N2268" i="43"/>
  <c r="D2268" i="43"/>
  <c r="N2267" i="43"/>
  <c r="D2267" i="43"/>
  <c r="N2266" i="43"/>
  <c r="D2266" i="43"/>
  <c r="D2265" i="43"/>
  <c r="U2264" i="43"/>
  <c r="O2265" i="43" s="1"/>
  <c r="U2263" i="43"/>
  <c r="T2261" i="43"/>
  <c r="C116" i="44"/>
  <c r="D116" i="44"/>
  <c r="E116" i="44"/>
  <c r="F116" i="44"/>
  <c r="G116" i="44"/>
  <c r="H116" i="44"/>
  <c r="I116" i="44"/>
  <c r="J116" i="44"/>
  <c r="K116" i="44"/>
  <c r="L116" i="44"/>
  <c r="M116" i="44"/>
  <c r="N116" i="44"/>
  <c r="O116" i="44"/>
  <c r="P116" i="44"/>
  <c r="Q116" i="44"/>
  <c r="N2247" i="43"/>
  <c r="N2248" i="43"/>
  <c r="N2249" i="43"/>
  <c r="D2260" i="43"/>
  <c r="D2259" i="43"/>
  <c r="D2258" i="43"/>
  <c r="D2257" i="43"/>
  <c r="D2256" i="43"/>
  <c r="D2255" i="43"/>
  <c r="D2254" i="43"/>
  <c r="D2253" i="43"/>
  <c r="D2252" i="43"/>
  <c r="D2251" i="43"/>
  <c r="D2250" i="43"/>
  <c r="D2249" i="43"/>
  <c r="D2248" i="43"/>
  <c r="D2247" i="43"/>
  <c r="N2246" i="43"/>
  <c r="D2246" i="43"/>
  <c r="D2245" i="43"/>
  <c r="U2244" i="43"/>
  <c r="O2245" i="43" s="1"/>
  <c r="P2245" i="43" s="1"/>
  <c r="U2243" i="43"/>
  <c r="T2241" i="43"/>
  <c r="C115" i="44"/>
  <c r="D115" i="44"/>
  <c r="E115" i="44"/>
  <c r="F115" i="44"/>
  <c r="G115" i="44"/>
  <c r="H115" i="44"/>
  <c r="I115" i="44"/>
  <c r="J115" i="44"/>
  <c r="K115" i="44"/>
  <c r="L115" i="44"/>
  <c r="M115" i="44"/>
  <c r="N115" i="44"/>
  <c r="O115" i="44"/>
  <c r="P115" i="44"/>
  <c r="Q115" i="44"/>
  <c r="D2240" i="43"/>
  <c r="D2239" i="43"/>
  <c r="D2238" i="43"/>
  <c r="D2237" i="43"/>
  <c r="D2236" i="43"/>
  <c r="D2235" i="43"/>
  <c r="D2234" i="43"/>
  <c r="D2233" i="43"/>
  <c r="D2232" i="43"/>
  <c r="D2231" i="43"/>
  <c r="D2230" i="43"/>
  <c r="D2229" i="43"/>
  <c r="D2228" i="43"/>
  <c r="D2227" i="43"/>
  <c r="N2226" i="43"/>
  <c r="D2226" i="43"/>
  <c r="D2225" i="43"/>
  <c r="U2224" i="43"/>
  <c r="O2225" i="43" s="1"/>
  <c r="U2223" i="43"/>
  <c r="T2221" i="43"/>
  <c r="AJ61" i="44"/>
  <c r="AJ62" i="44"/>
  <c r="AJ63" i="44"/>
  <c r="AJ64" i="44"/>
  <c r="AJ65" i="44"/>
  <c r="AJ66" i="44"/>
  <c r="AJ67" i="44"/>
  <c r="AJ68" i="44"/>
  <c r="AJ69" i="44"/>
  <c r="AJ70" i="44"/>
  <c r="AJ71" i="44"/>
  <c r="AJ72" i="44"/>
  <c r="AJ73" i="44"/>
  <c r="AJ74" i="44"/>
  <c r="AJ75" i="44"/>
  <c r="AJ76" i="44"/>
  <c r="AJ77" i="44"/>
  <c r="AJ78" i="44"/>
  <c r="AJ79" i="44"/>
  <c r="AJ80" i="44"/>
  <c r="AJ81" i="44"/>
  <c r="AJ82" i="44"/>
  <c r="AJ83" i="44"/>
  <c r="AJ84" i="44"/>
  <c r="AJ85" i="44"/>
  <c r="AJ86" i="44"/>
  <c r="AJ87" i="44"/>
  <c r="AJ88" i="44"/>
  <c r="AJ89" i="44"/>
  <c r="AJ90" i="44"/>
  <c r="AJ91" i="44"/>
  <c r="AJ92" i="44"/>
  <c r="AJ93" i="44"/>
  <c r="AJ94" i="44"/>
  <c r="AJ95" i="44"/>
  <c r="AJ96" i="44"/>
  <c r="AJ97" i="44"/>
  <c r="AJ98" i="44"/>
  <c r="AJ99" i="44"/>
  <c r="AJ100" i="44"/>
  <c r="AJ101" i="44"/>
  <c r="AJ102" i="44"/>
  <c r="AJ103" i="44"/>
  <c r="AJ104" i="44"/>
  <c r="AJ105" i="44"/>
  <c r="AJ106" i="44"/>
  <c r="AJ107" i="44"/>
  <c r="AJ108" i="44"/>
  <c r="AJ109" i="44"/>
  <c r="AJ110" i="44"/>
  <c r="AJ111" i="44"/>
  <c r="AJ112" i="44"/>
  <c r="AJ113" i="44"/>
  <c r="AJ114" i="44"/>
  <c r="AJ115" i="44"/>
  <c r="AJ116" i="44"/>
  <c r="AJ117" i="44"/>
  <c r="AJ118" i="44"/>
  <c r="AJ119" i="44"/>
  <c r="AJ120" i="44"/>
  <c r="AJ121" i="44"/>
  <c r="AJ122" i="44"/>
  <c r="AJ123" i="44"/>
  <c r="AJ124" i="44"/>
  <c r="AJ125" i="44"/>
  <c r="AJ126" i="44"/>
  <c r="AJ127" i="44"/>
  <c r="AJ128" i="44"/>
  <c r="AJ129" i="44"/>
  <c r="AJ130" i="44"/>
  <c r="AJ131" i="44"/>
  <c r="AJ132" i="44"/>
  <c r="AJ133" i="44"/>
  <c r="AJ134" i="44"/>
  <c r="AJ135" i="44"/>
  <c r="AJ136" i="44"/>
  <c r="AJ137" i="44"/>
  <c r="AJ138" i="44"/>
  <c r="AJ139" i="44"/>
  <c r="AJ140" i="44"/>
  <c r="AJ141" i="44"/>
  <c r="AJ142" i="44"/>
  <c r="AJ143" i="44"/>
  <c r="AJ144" i="44"/>
  <c r="AJ145" i="44"/>
  <c r="AJ146" i="44"/>
  <c r="AJ147" i="44"/>
  <c r="AJ148" i="44"/>
  <c r="AJ149" i="44"/>
  <c r="AJ150" i="44"/>
  <c r="AJ151" i="44"/>
  <c r="AJ152" i="44"/>
  <c r="AJ153" i="44"/>
  <c r="AJ154" i="44"/>
  <c r="AJ155" i="44"/>
  <c r="AJ156" i="44"/>
  <c r="AJ157" i="44"/>
  <c r="AJ158" i="44"/>
  <c r="AJ159" i="44"/>
  <c r="AJ160" i="44"/>
  <c r="AJ161" i="44"/>
  <c r="AJ162" i="44"/>
  <c r="AJ163" i="44"/>
  <c r="AJ164" i="44"/>
  <c r="AJ165" i="44"/>
  <c r="AJ166" i="44"/>
  <c r="AJ167" i="44"/>
  <c r="AJ168" i="44"/>
  <c r="AJ169" i="44"/>
  <c r="AJ220" i="44"/>
  <c r="AJ60" i="44"/>
  <c r="Q114" i="44"/>
  <c r="P114" i="44"/>
  <c r="O114" i="44"/>
  <c r="N114" i="44"/>
  <c r="M114" i="44"/>
  <c r="L114" i="44"/>
  <c r="K114" i="44"/>
  <c r="J114" i="44"/>
  <c r="I114" i="44"/>
  <c r="H114" i="44"/>
  <c r="G114" i="44"/>
  <c r="F114" i="44"/>
  <c r="E114" i="44"/>
  <c r="D114" i="44"/>
  <c r="C114" i="44"/>
  <c r="N2209" i="43"/>
  <c r="N2210" i="43"/>
  <c r="D2220" i="43"/>
  <c r="D2219" i="43"/>
  <c r="D2218" i="43"/>
  <c r="D2217" i="43"/>
  <c r="D2216" i="43"/>
  <c r="D2215" i="43"/>
  <c r="D2214" i="43"/>
  <c r="D2213" i="43"/>
  <c r="D2212" i="43"/>
  <c r="D2211" i="43"/>
  <c r="D2210" i="43"/>
  <c r="D2209" i="43"/>
  <c r="N2208" i="43"/>
  <c r="D2208" i="43"/>
  <c r="N2207" i="43"/>
  <c r="D2207" i="43"/>
  <c r="N2206" i="43"/>
  <c r="D2206" i="43"/>
  <c r="D2205" i="43"/>
  <c r="U2204" i="43"/>
  <c r="O2205" i="43" s="1"/>
  <c r="U2203" i="43"/>
  <c r="T2201" i="43"/>
  <c r="Q113" i="44"/>
  <c r="P113" i="44"/>
  <c r="O113" i="44"/>
  <c r="N113" i="44"/>
  <c r="M113" i="44"/>
  <c r="L113" i="44"/>
  <c r="K113" i="44"/>
  <c r="J113" i="44"/>
  <c r="I113" i="44"/>
  <c r="H113" i="44"/>
  <c r="G113" i="44"/>
  <c r="F113" i="44"/>
  <c r="E113" i="44"/>
  <c r="D113" i="44"/>
  <c r="C113" i="44"/>
  <c r="N2188" i="43"/>
  <c r="N2187" i="43"/>
  <c r="D2200" i="43"/>
  <c r="D2199" i="43"/>
  <c r="D2198" i="43"/>
  <c r="D2197" i="43"/>
  <c r="D2196" i="43"/>
  <c r="D2195" i="43"/>
  <c r="D2194" i="43"/>
  <c r="D2193" i="43"/>
  <c r="D2192" i="43"/>
  <c r="D2191" i="43"/>
  <c r="D2190" i="43"/>
  <c r="D2189" i="43"/>
  <c r="D2188" i="43"/>
  <c r="D2187" i="43"/>
  <c r="N2186" i="43"/>
  <c r="D2186" i="43"/>
  <c r="D2185" i="43"/>
  <c r="U2184" i="43"/>
  <c r="O2185" i="43" s="1"/>
  <c r="U2183" i="43"/>
  <c r="T2181" i="43"/>
  <c r="E112" i="44"/>
  <c r="Q112" i="44"/>
  <c r="P112" i="44"/>
  <c r="O112" i="44"/>
  <c r="N112" i="44"/>
  <c r="M112" i="44"/>
  <c r="L112" i="44"/>
  <c r="K112" i="44"/>
  <c r="J112" i="44"/>
  <c r="I112" i="44"/>
  <c r="H112" i="44"/>
  <c r="G112" i="44"/>
  <c r="F112" i="44"/>
  <c r="D112" i="44"/>
  <c r="C112" i="44"/>
  <c r="D2180" i="43"/>
  <c r="D2179" i="43"/>
  <c r="D2178" i="43"/>
  <c r="D2177" i="43"/>
  <c r="D2176" i="43"/>
  <c r="D2175" i="43"/>
  <c r="D2174" i="43"/>
  <c r="D2173" i="43"/>
  <c r="D2172" i="43"/>
  <c r="D2171" i="43"/>
  <c r="D2170" i="43"/>
  <c r="D2169" i="43"/>
  <c r="D2168" i="43"/>
  <c r="N2167" i="43"/>
  <c r="D2167" i="43"/>
  <c r="N2166" i="43"/>
  <c r="D2166" i="43"/>
  <c r="D2165" i="43"/>
  <c r="U2164" i="43"/>
  <c r="O2165" i="43" s="1"/>
  <c r="U2163" i="43"/>
  <c r="T2161" i="43"/>
  <c r="O111" i="44"/>
  <c r="N111" i="44"/>
  <c r="M111" i="44"/>
  <c r="P111" i="44"/>
  <c r="Q111" i="44"/>
  <c r="C111" i="44"/>
  <c r="D111" i="44"/>
  <c r="E111" i="44"/>
  <c r="F111" i="44"/>
  <c r="G111" i="44"/>
  <c r="H111" i="44"/>
  <c r="I111" i="44"/>
  <c r="J111" i="44"/>
  <c r="K111" i="44"/>
  <c r="L111" i="44"/>
  <c r="D2160" i="43"/>
  <c r="D2159" i="43"/>
  <c r="D2158" i="43"/>
  <c r="D2157" i="43"/>
  <c r="D2156" i="43"/>
  <c r="D2155" i="43"/>
  <c r="D2154" i="43"/>
  <c r="D2153" i="43"/>
  <c r="D2152" i="43"/>
  <c r="D2151" i="43"/>
  <c r="D2150" i="43"/>
  <c r="D2149" i="43"/>
  <c r="N2148" i="43"/>
  <c r="D2148" i="43"/>
  <c r="N2147" i="43"/>
  <c r="D2147" i="43"/>
  <c r="N2146" i="43"/>
  <c r="D2146" i="43"/>
  <c r="D2145" i="43"/>
  <c r="U2144" i="43"/>
  <c r="O2145" i="43" s="1"/>
  <c r="P2145" i="43" s="1"/>
  <c r="U2143" i="43"/>
  <c r="T2141" i="43"/>
  <c r="O110" i="44"/>
  <c r="P110" i="44"/>
  <c r="Q110" i="44"/>
  <c r="L110" i="44"/>
  <c r="K110" i="44"/>
  <c r="N110" i="44"/>
  <c r="M110" i="44"/>
  <c r="I110" i="44"/>
  <c r="J110" i="44"/>
  <c r="G110" i="44"/>
  <c r="H110" i="44"/>
  <c r="D110" i="44"/>
  <c r="C110" i="44"/>
  <c r="F110" i="44"/>
  <c r="E110" i="44"/>
  <c r="D2140" i="43"/>
  <c r="D2139" i="43"/>
  <c r="D2138" i="43"/>
  <c r="D2137" i="43"/>
  <c r="D2136" i="43"/>
  <c r="D2135" i="43"/>
  <c r="D2134" i="43"/>
  <c r="D2133" i="43"/>
  <c r="D2132" i="43"/>
  <c r="D2131" i="43"/>
  <c r="D2130" i="43"/>
  <c r="N2129" i="43"/>
  <c r="D2129" i="43"/>
  <c r="N2128" i="43"/>
  <c r="D2128" i="43"/>
  <c r="N2127" i="43"/>
  <c r="D2127" i="43"/>
  <c r="N2126" i="43"/>
  <c r="D2126" i="43"/>
  <c r="D2125" i="43"/>
  <c r="U2124" i="43"/>
  <c r="O2125" i="43" s="1"/>
  <c r="U2123" i="43"/>
  <c r="T2121" i="43"/>
  <c r="G109" i="44"/>
  <c r="H109" i="44"/>
  <c r="I109" i="44"/>
  <c r="J109" i="44"/>
  <c r="K109" i="44"/>
  <c r="L109" i="44"/>
  <c r="M109" i="44"/>
  <c r="N109" i="44"/>
  <c r="O109" i="44"/>
  <c r="P109" i="44"/>
  <c r="Q109" i="44"/>
  <c r="C109" i="44"/>
  <c r="D109" i="44"/>
  <c r="E109" i="44"/>
  <c r="F109" i="44"/>
  <c r="N2109" i="43"/>
  <c r="D2120" i="43"/>
  <c r="D2119" i="43"/>
  <c r="D2118" i="43"/>
  <c r="D2117" i="43"/>
  <c r="D2116" i="43"/>
  <c r="D2115" i="43"/>
  <c r="D2114" i="43"/>
  <c r="D2113" i="43"/>
  <c r="D2112" i="43"/>
  <c r="D2111" i="43"/>
  <c r="D2110" i="43"/>
  <c r="D2109" i="43"/>
  <c r="N2108" i="43"/>
  <c r="D2108" i="43"/>
  <c r="N2107" i="43"/>
  <c r="D2107" i="43"/>
  <c r="N2106" i="43"/>
  <c r="D2106" i="43"/>
  <c r="D2105" i="43"/>
  <c r="U2104" i="43"/>
  <c r="O2105" i="43" s="1"/>
  <c r="P2105" i="43" s="1"/>
  <c r="U2103" i="43"/>
  <c r="T2101" i="43"/>
  <c r="J108" i="44"/>
  <c r="I108" i="44"/>
  <c r="C108" i="44"/>
  <c r="D108" i="44"/>
  <c r="E108" i="44"/>
  <c r="F108" i="44"/>
  <c r="G108" i="44"/>
  <c r="H108" i="44"/>
  <c r="K108" i="44"/>
  <c r="L108" i="44"/>
  <c r="M108" i="44"/>
  <c r="N108" i="44"/>
  <c r="O108" i="44"/>
  <c r="P108" i="44"/>
  <c r="Q108" i="44"/>
  <c r="D2100" i="43"/>
  <c r="D2099" i="43"/>
  <c r="D2098" i="43"/>
  <c r="D2097" i="43"/>
  <c r="D2096" i="43"/>
  <c r="D2095" i="43"/>
  <c r="D2094" i="43"/>
  <c r="D2093" i="43"/>
  <c r="D2092" i="43"/>
  <c r="D2091" i="43"/>
  <c r="D2090" i="43"/>
  <c r="D2089" i="43"/>
  <c r="N2088" i="43"/>
  <c r="D2088" i="43"/>
  <c r="N2087" i="43"/>
  <c r="D2087" i="43"/>
  <c r="N2086" i="43"/>
  <c r="D2086" i="43"/>
  <c r="D2085" i="43"/>
  <c r="U2084" i="43"/>
  <c r="O2085" i="43" s="1"/>
  <c r="U2083" i="43"/>
  <c r="T2081" i="43"/>
  <c r="C107" i="44"/>
  <c r="D107" i="44"/>
  <c r="E107" i="44"/>
  <c r="F107" i="44"/>
  <c r="G107" i="44"/>
  <c r="H107" i="44"/>
  <c r="I107" i="44"/>
  <c r="J107" i="44"/>
  <c r="K107" i="44"/>
  <c r="L107" i="44"/>
  <c r="M107" i="44"/>
  <c r="N107" i="44"/>
  <c r="O107" i="44"/>
  <c r="P107" i="44"/>
  <c r="Q107" i="44"/>
  <c r="D2080" i="43"/>
  <c r="D2079" i="43"/>
  <c r="D2078" i="43"/>
  <c r="D2077" i="43"/>
  <c r="D2076" i="43"/>
  <c r="D2075" i="43"/>
  <c r="D2074" i="43"/>
  <c r="D2073" i="43"/>
  <c r="D2072" i="43"/>
  <c r="D2071" i="43"/>
  <c r="D2070" i="43"/>
  <c r="D2069" i="43"/>
  <c r="N2068" i="43"/>
  <c r="D2068" i="43"/>
  <c r="N2067" i="43"/>
  <c r="D2067" i="43"/>
  <c r="N2066" i="43"/>
  <c r="D2066" i="43"/>
  <c r="D2065" i="43"/>
  <c r="U2064" i="43"/>
  <c r="O2065" i="43" s="1"/>
  <c r="U2063" i="43"/>
  <c r="T2061" i="43"/>
  <c r="C106" i="44"/>
  <c r="D106" i="44"/>
  <c r="E106" i="44"/>
  <c r="F106" i="44"/>
  <c r="G106" i="44"/>
  <c r="H106" i="44"/>
  <c r="I106" i="44"/>
  <c r="J106" i="44"/>
  <c r="K106" i="44"/>
  <c r="L106" i="44"/>
  <c r="M106" i="44"/>
  <c r="N106" i="44"/>
  <c r="O106" i="44"/>
  <c r="P106" i="44"/>
  <c r="Q106" i="44"/>
  <c r="N2049" i="43"/>
  <c r="D2060" i="43"/>
  <c r="D2059" i="43"/>
  <c r="D2058" i="43"/>
  <c r="D2057" i="43"/>
  <c r="D2056" i="43"/>
  <c r="D2055" i="43"/>
  <c r="D2054" i="43"/>
  <c r="D2053" i="43"/>
  <c r="D2052" i="43"/>
  <c r="D2051" i="43"/>
  <c r="D2050" i="43"/>
  <c r="D2049" i="43"/>
  <c r="N2048" i="43"/>
  <c r="D2048" i="43"/>
  <c r="N2047" i="43"/>
  <c r="D2047" i="43"/>
  <c r="N2046" i="43"/>
  <c r="D2046" i="43"/>
  <c r="D2045" i="43"/>
  <c r="U2044" i="43"/>
  <c r="O2045" i="43" s="1"/>
  <c r="U2043" i="43"/>
  <c r="T2041" i="43"/>
  <c r="Q105" i="44"/>
  <c r="P105" i="44"/>
  <c r="O105" i="44"/>
  <c r="N105" i="44"/>
  <c r="M105" i="44"/>
  <c r="L105" i="44"/>
  <c r="K105" i="44"/>
  <c r="J105" i="44"/>
  <c r="I105" i="44"/>
  <c r="H105" i="44"/>
  <c r="G105" i="44"/>
  <c r="C105" i="44"/>
  <c r="D105" i="44"/>
  <c r="E105" i="44"/>
  <c r="F105" i="44"/>
  <c r="D2040" i="43"/>
  <c r="D2039" i="43"/>
  <c r="D2038" i="43"/>
  <c r="D2037" i="43"/>
  <c r="D2036" i="43"/>
  <c r="D2035" i="43"/>
  <c r="D2034" i="43"/>
  <c r="D2033" i="43"/>
  <c r="D2032" i="43"/>
  <c r="D2031" i="43"/>
  <c r="D2030" i="43"/>
  <c r="D2029" i="43"/>
  <c r="N2028" i="43"/>
  <c r="D2028" i="43"/>
  <c r="N2027" i="43"/>
  <c r="D2027" i="43"/>
  <c r="N2026" i="43"/>
  <c r="D2026" i="43"/>
  <c r="D2025" i="43"/>
  <c r="U2024" i="43"/>
  <c r="O2025" i="43" s="1"/>
  <c r="P2025" i="43" s="1"/>
  <c r="U2023" i="43"/>
  <c r="T2021" i="43"/>
  <c r="Q104" i="44"/>
  <c r="P104" i="44"/>
  <c r="O104" i="44"/>
  <c r="N104" i="44"/>
  <c r="M104" i="44"/>
  <c r="L104" i="44"/>
  <c r="K104" i="44"/>
  <c r="C104" i="44"/>
  <c r="D104" i="44"/>
  <c r="E104" i="44"/>
  <c r="F104" i="44"/>
  <c r="G104" i="44"/>
  <c r="H104" i="44"/>
  <c r="I104" i="44"/>
  <c r="J104" i="44"/>
  <c r="D2020" i="43"/>
  <c r="D2019" i="43"/>
  <c r="D2018" i="43"/>
  <c r="D2017" i="43"/>
  <c r="D2016" i="43"/>
  <c r="D2015" i="43"/>
  <c r="D2014" i="43"/>
  <c r="D2013" i="43"/>
  <c r="D2012" i="43"/>
  <c r="D2011" i="43"/>
  <c r="D2010" i="43"/>
  <c r="D2009" i="43"/>
  <c r="N2008" i="43"/>
  <c r="D2008" i="43"/>
  <c r="N2007" i="43"/>
  <c r="D2007" i="43"/>
  <c r="N2006" i="43"/>
  <c r="D2006" i="43"/>
  <c r="D2005" i="43"/>
  <c r="U2004" i="43"/>
  <c r="O2005" i="43" s="1"/>
  <c r="U2003" i="43"/>
  <c r="T2001" i="43"/>
  <c r="O103" i="44"/>
  <c r="P103" i="44"/>
  <c r="Q103" i="44"/>
  <c r="N103" i="44"/>
  <c r="M103" i="44"/>
  <c r="L103" i="44"/>
  <c r="K103" i="44"/>
  <c r="C103" i="44"/>
  <c r="D103" i="44"/>
  <c r="E103" i="44"/>
  <c r="F103" i="44"/>
  <c r="G103" i="44"/>
  <c r="H103" i="44"/>
  <c r="I103" i="44"/>
  <c r="J103" i="44"/>
  <c r="D2000" i="43"/>
  <c r="D1999" i="43"/>
  <c r="D1998" i="43"/>
  <c r="D1997" i="43"/>
  <c r="D1996" i="43"/>
  <c r="D1995" i="43"/>
  <c r="D1994" i="43"/>
  <c r="D1993" i="43"/>
  <c r="D1992" i="43"/>
  <c r="D1991" i="43"/>
  <c r="D1990" i="43"/>
  <c r="N1989" i="43"/>
  <c r="D1989" i="43"/>
  <c r="N1988" i="43"/>
  <c r="D1988" i="43"/>
  <c r="N1987" i="43"/>
  <c r="D1987" i="43"/>
  <c r="N1986" i="43"/>
  <c r="D1986" i="43"/>
  <c r="D1985" i="43"/>
  <c r="U1984" i="43"/>
  <c r="O1985" i="43" s="1"/>
  <c r="U1983" i="43"/>
  <c r="T1981" i="43"/>
  <c r="C102" i="44"/>
  <c r="D102" i="44"/>
  <c r="E102" i="44"/>
  <c r="F102" i="44"/>
  <c r="G102" i="44"/>
  <c r="H102" i="44"/>
  <c r="I102" i="44"/>
  <c r="J102" i="44"/>
  <c r="K102" i="44"/>
  <c r="L102" i="44"/>
  <c r="M102" i="44"/>
  <c r="N102" i="44"/>
  <c r="O102" i="44"/>
  <c r="P102" i="44"/>
  <c r="Q102" i="44"/>
  <c r="N1970" i="43"/>
  <c r="D1980" i="43"/>
  <c r="D1979" i="43"/>
  <c r="D1978" i="43"/>
  <c r="D1977" i="43"/>
  <c r="D1976" i="43"/>
  <c r="D1975" i="43"/>
  <c r="D1974" i="43"/>
  <c r="D1973" i="43"/>
  <c r="D1972" i="43"/>
  <c r="D1971" i="43"/>
  <c r="D1970" i="43"/>
  <c r="N1969" i="43"/>
  <c r="D1969" i="43"/>
  <c r="N1968" i="43"/>
  <c r="D1968" i="43"/>
  <c r="N1967" i="43"/>
  <c r="D1967" i="43"/>
  <c r="N1966" i="43"/>
  <c r="D1966" i="43"/>
  <c r="D1965" i="43"/>
  <c r="U1964" i="43"/>
  <c r="O1965" i="43" s="1"/>
  <c r="P1965" i="43" s="1"/>
  <c r="U1963" i="43"/>
  <c r="T1961" i="43"/>
  <c r="C101" i="44"/>
  <c r="D101" i="44"/>
  <c r="E101" i="44"/>
  <c r="F101" i="44"/>
  <c r="G101" i="44"/>
  <c r="H101" i="44"/>
  <c r="I101" i="44"/>
  <c r="J101" i="44"/>
  <c r="K101" i="44"/>
  <c r="L101" i="44"/>
  <c r="M101" i="44"/>
  <c r="N101" i="44"/>
  <c r="O101" i="44"/>
  <c r="P101" i="44"/>
  <c r="Q101" i="44"/>
  <c r="N1949" i="43"/>
  <c r="D1960" i="43"/>
  <c r="D1959" i="43"/>
  <c r="D1958" i="43"/>
  <c r="D1957" i="43"/>
  <c r="D1956" i="43"/>
  <c r="D1955" i="43"/>
  <c r="D1954" i="43"/>
  <c r="D1953" i="43"/>
  <c r="D1952" i="43"/>
  <c r="D1951" i="43"/>
  <c r="D1950" i="43"/>
  <c r="D1949" i="43"/>
  <c r="N1948" i="43"/>
  <c r="D1948" i="43"/>
  <c r="N1947" i="43"/>
  <c r="D1947" i="43"/>
  <c r="N1946" i="43"/>
  <c r="D1946" i="43"/>
  <c r="D1945" i="43"/>
  <c r="U1944" i="43"/>
  <c r="O1945" i="43" s="1"/>
  <c r="U1943" i="43"/>
  <c r="T1941" i="43"/>
  <c r="C100" i="44"/>
  <c r="D100" i="44"/>
  <c r="E100" i="44"/>
  <c r="F100" i="44"/>
  <c r="G100" i="44"/>
  <c r="H100" i="44"/>
  <c r="I100" i="44"/>
  <c r="J100" i="44"/>
  <c r="K100" i="44"/>
  <c r="L100" i="44"/>
  <c r="M100" i="44"/>
  <c r="N100" i="44"/>
  <c r="O100" i="44"/>
  <c r="P100" i="44"/>
  <c r="Q100" i="44"/>
  <c r="D1940" i="43"/>
  <c r="D1939" i="43"/>
  <c r="D1938" i="43"/>
  <c r="D1937" i="43"/>
  <c r="D1936" i="43"/>
  <c r="D1935" i="43"/>
  <c r="D1934" i="43"/>
  <c r="D1933" i="43"/>
  <c r="D1932" i="43"/>
  <c r="D1931" i="43"/>
  <c r="D1930" i="43"/>
  <c r="D1929" i="43"/>
  <c r="N1928" i="43"/>
  <c r="D1928" i="43"/>
  <c r="N1927" i="43"/>
  <c r="D1927" i="43"/>
  <c r="N1926" i="43"/>
  <c r="D1926" i="43"/>
  <c r="D1925" i="43"/>
  <c r="U1924" i="43"/>
  <c r="O1925" i="43" s="1"/>
  <c r="P1925" i="43" s="1"/>
  <c r="U1923" i="43"/>
  <c r="T1921" i="43"/>
  <c r="Q99" i="44"/>
  <c r="P99" i="44"/>
  <c r="O99" i="44"/>
  <c r="N99" i="44"/>
  <c r="M99" i="44"/>
  <c r="L99" i="44"/>
  <c r="K99" i="44"/>
  <c r="J99" i="44"/>
  <c r="I99" i="44"/>
  <c r="H99" i="44"/>
  <c r="G99" i="44"/>
  <c r="F99" i="44"/>
  <c r="E99" i="44"/>
  <c r="D99" i="44"/>
  <c r="C99" i="44"/>
  <c r="N1909" i="43"/>
  <c r="D1920" i="43"/>
  <c r="D1919" i="43"/>
  <c r="D1918" i="43"/>
  <c r="D1917" i="43"/>
  <c r="D1916" i="43"/>
  <c r="D1915" i="43"/>
  <c r="D1914" i="43"/>
  <c r="D1913" i="43"/>
  <c r="D1912" i="43"/>
  <c r="D1911" i="43"/>
  <c r="D1910" i="43"/>
  <c r="D1909" i="43"/>
  <c r="N1908" i="43"/>
  <c r="D1908" i="43"/>
  <c r="N1907" i="43"/>
  <c r="D1907" i="43"/>
  <c r="N1906" i="43"/>
  <c r="D1906" i="43"/>
  <c r="D1905" i="43"/>
  <c r="U1904" i="43"/>
  <c r="O1905" i="43" s="1"/>
  <c r="P1905" i="43" s="1"/>
  <c r="U1903" i="43"/>
  <c r="T1901" i="43"/>
  <c r="O98" i="44"/>
  <c r="P98" i="44"/>
  <c r="Q98" i="44"/>
  <c r="N98" i="44"/>
  <c r="M98" i="44"/>
  <c r="L98" i="44"/>
  <c r="K98" i="44"/>
  <c r="J98" i="44"/>
  <c r="I98" i="44"/>
  <c r="H98" i="44"/>
  <c r="G98" i="44"/>
  <c r="C98" i="44"/>
  <c r="D98" i="44"/>
  <c r="E98" i="44"/>
  <c r="F98" i="44"/>
  <c r="D1900" i="43"/>
  <c r="D1899" i="43"/>
  <c r="D1898" i="43"/>
  <c r="D1897" i="43"/>
  <c r="D1896" i="43"/>
  <c r="D1895" i="43"/>
  <c r="D1894" i="43"/>
  <c r="D1893" i="43"/>
  <c r="D1892" i="43"/>
  <c r="D1891" i="43"/>
  <c r="D1890" i="43"/>
  <c r="D1889" i="43"/>
  <c r="N1888" i="43"/>
  <c r="D1888" i="43"/>
  <c r="N1887" i="43"/>
  <c r="D1887" i="43"/>
  <c r="N1886" i="43"/>
  <c r="D1886" i="43"/>
  <c r="D1885" i="43"/>
  <c r="U1884" i="43"/>
  <c r="O1885" i="43" s="1"/>
  <c r="U1883" i="43"/>
  <c r="T1881" i="43"/>
  <c r="C97" i="44"/>
  <c r="D97" i="44"/>
  <c r="E97" i="44"/>
  <c r="F97" i="44"/>
  <c r="G97" i="44"/>
  <c r="H97" i="44"/>
  <c r="I97" i="44"/>
  <c r="J97" i="44"/>
  <c r="K97" i="44"/>
  <c r="L97" i="44"/>
  <c r="M97" i="44"/>
  <c r="N97" i="44"/>
  <c r="O97" i="44"/>
  <c r="P97" i="44"/>
  <c r="Q97" i="44"/>
  <c r="D1880" i="43"/>
  <c r="D1879" i="43"/>
  <c r="D1878" i="43"/>
  <c r="D1877" i="43"/>
  <c r="D1876" i="43"/>
  <c r="D1875" i="43"/>
  <c r="D1874" i="43"/>
  <c r="D1873" i="43"/>
  <c r="D1872" i="43"/>
  <c r="D1871" i="43"/>
  <c r="D1870" i="43"/>
  <c r="D1869" i="43"/>
  <c r="N1868" i="43"/>
  <c r="D1868" i="43"/>
  <c r="N1867" i="43"/>
  <c r="D1867" i="43"/>
  <c r="N1866" i="43"/>
  <c r="D1866" i="43"/>
  <c r="D1865" i="43"/>
  <c r="U1864" i="43"/>
  <c r="O1865" i="43" s="1"/>
  <c r="U1863" i="43"/>
  <c r="T1861" i="43"/>
  <c r="C96" i="44"/>
  <c r="D96" i="44"/>
  <c r="E96" i="44"/>
  <c r="F96" i="44"/>
  <c r="G96" i="44"/>
  <c r="H96" i="44"/>
  <c r="I96" i="44"/>
  <c r="J96" i="44"/>
  <c r="K96" i="44"/>
  <c r="L96" i="44"/>
  <c r="M96" i="44"/>
  <c r="N96" i="44"/>
  <c r="O96" i="44"/>
  <c r="P96" i="44"/>
  <c r="Q96" i="44"/>
  <c r="D1860" i="43"/>
  <c r="D1859" i="43"/>
  <c r="D1858" i="43"/>
  <c r="D1857" i="43"/>
  <c r="D1856" i="43"/>
  <c r="D1855" i="43"/>
  <c r="D1854" i="43"/>
  <c r="D1853" i="43"/>
  <c r="D1852" i="43"/>
  <c r="D1851" i="43"/>
  <c r="D1850" i="43"/>
  <c r="D1849" i="43"/>
  <c r="N1848" i="43"/>
  <c r="D1848" i="43"/>
  <c r="N1847" i="43"/>
  <c r="D1847" i="43"/>
  <c r="N1846" i="43"/>
  <c r="D1846" i="43"/>
  <c r="D1845" i="43"/>
  <c r="U1844" i="43"/>
  <c r="O1845" i="43" s="1"/>
  <c r="U1843" i="43"/>
  <c r="T1841" i="43"/>
  <c r="C95" i="44"/>
  <c r="D95" i="44"/>
  <c r="E95" i="44"/>
  <c r="F95" i="44"/>
  <c r="G95" i="44"/>
  <c r="H95" i="44"/>
  <c r="I95" i="44"/>
  <c r="J95" i="44"/>
  <c r="K95" i="44"/>
  <c r="L95" i="44"/>
  <c r="M95" i="44"/>
  <c r="N95" i="44"/>
  <c r="O95" i="44"/>
  <c r="P95" i="44"/>
  <c r="Q95" i="44"/>
  <c r="N1828" i="43"/>
  <c r="N1829" i="43"/>
  <c r="D1840" i="43"/>
  <c r="D1839" i="43"/>
  <c r="D1838" i="43"/>
  <c r="D1837" i="43"/>
  <c r="D1836" i="43"/>
  <c r="D1835" i="43"/>
  <c r="D1834" i="43"/>
  <c r="D1833" i="43"/>
  <c r="D1832" i="43"/>
  <c r="D1831" i="43"/>
  <c r="D1830" i="43"/>
  <c r="D1829" i="43"/>
  <c r="D1828" i="43"/>
  <c r="N1827" i="43"/>
  <c r="D1827" i="43"/>
  <c r="N1826" i="43"/>
  <c r="D1826" i="43"/>
  <c r="D1825" i="43"/>
  <c r="U1824" i="43"/>
  <c r="O1825" i="43" s="1"/>
  <c r="U1823" i="43"/>
  <c r="T1821" i="43"/>
  <c r="C94" i="44"/>
  <c r="D94" i="44"/>
  <c r="E94" i="44"/>
  <c r="F94" i="44"/>
  <c r="G94" i="44"/>
  <c r="H94" i="44"/>
  <c r="I94" i="44"/>
  <c r="J94" i="44"/>
  <c r="K94" i="44"/>
  <c r="L94" i="44"/>
  <c r="M94" i="44"/>
  <c r="N94" i="44"/>
  <c r="O94" i="44"/>
  <c r="P94" i="44"/>
  <c r="Q94" i="44"/>
  <c r="D1820" i="43"/>
  <c r="D1819" i="43"/>
  <c r="D1818" i="43"/>
  <c r="D1817" i="43"/>
  <c r="D1816" i="43"/>
  <c r="D1815" i="43"/>
  <c r="D1814" i="43"/>
  <c r="D1813" i="43"/>
  <c r="D1812" i="43"/>
  <c r="D1811" i="43"/>
  <c r="D1810" i="43"/>
  <c r="D1809" i="43"/>
  <c r="D1808" i="43"/>
  <c r="N1807" i="43"/>
  <c r="D1807" i="43"/>
  <c r="N1806" i="43"/>
  <c r="D1806" i="43"/>
  <c r="D1805" i="43"/>
  <c r="U1804" i="43"/>
  <c r="O1805" i="43" s="1"/>
  <c r="U1803" i="43"/>
  <c r="T1801" i="43"/>
  <c r="Q93" i="44"/>
  <c r="P93" i="44"/>
  <c r="O93" i="44"/>
  <c r="N93" i="44"/>
  <c r="M93" i="44"/>
  <c r="L93" i="44"/>
  <c r="K93" i="44"/>
  <c r="J93" i="44"/>
  <c r="I93" i="44"/>
  <c r="H93" i="44"/>
  <c r="G93" i="44"/>
  <c r="F93" i="44"/>
  <c r="E93" i="44"/>
  <c r="D93" i="44"/>
  <c r="C93" i="44"/>
  <c r="N1790" i="43"/>
  <c r="D1800" i="43"/>
  <c r="D1799" i="43"/>
  <c r="D1798" i="43"/>
  <c r="D1797" i="43"/>
  <c r="D1796" i="43"/>
  <c r="D1795" i="43"/>
  <c r="D1794" i="43"/>
  <c r="D1793" i="43"/>
  <c r="D1792" i="43"/>
  <c r="D1791" i="43"/>
  <c r="D1790" i="43"/>
  <c r="N1789" i="43"/>
  <c r="D1789" i="43"/>
  <c r="N1788" i="43"/>
  <c r="D1788" i="43"/>
  <c r="N1787" i="43"/>
  <c r="D1787" i="43"/>
  <c r="N1786" i="43"/>
  <c r="D1786" i="43"/>
  <c r="D1785" i="43"/>
  <c r="U1784" i="43"/>
  <c r="O1785" i="43" s="1"/>
  <c r="U1783" i="43"/>
  <c r="T1781" i="43"/>
  <c r="P92" i="44"/>
  <c r="O92" i="44"/>
  <c r="Q92" i="44"/>
  <c r="N92" i="44"/>
  <c r="M92" i="44"/>
  <c r="L92" i="44"/>
  <c r="K92" i="44"/>
  <c r="C92" i="44"/>
  <c r="D92" i="44"/>
  <c r="E92" i="44"/>
  <c r="F92" i="44"/>
  <c r="G92" i="44"/>
  <c r="H92" i="44"/>
  <c r="I92" i="44"/>
  <c r="J92" i="44"/>
  <c r="D1780" i="43"/>
  <c r="D1779" i="43"/>
  <c r="D1778" i="43"/>
  <c r="D1777" i="43"/>
  <c r="D1776" i="43"/>
  <c r="D1775" i="43"/>
  <c r="D1774" i="43"/>
  <c r="D1773" i="43"/>
  <c r="D1772" i="43"/>
  <c r="D1771" i="43"/>
  <c r="D1770" i="43"/>
  <c r="N1769" i="43"/>
  <c r="D1769" i="43"/>
  <c r="N1768" i="43"/>
  <c r="D1768" i="43"/>
  <c r="N1767" i="43"/>
  <c r="D1767" i="43"/>
  <c r="N1766" i="43"/>
  <c r="D1766" i="43"/>
  <c r="D1765" i="43"/>
  <c r="U1764" i="43"/>
  <c r="O1765" i="43" s="1"/>
  <c r="P1765" i="43" s="1"/>
  <c r="U1763" i="43"/>
  <c r="T1761" i="43"/>
  <c r="C91" i="44"/>
  <c r="D91" i="44"/>
  <c r="E91" i="44"/>
  <c r="F91" i="44"/>
  <c r="G91" i="44"/>
  <c r="H91" i="44"/>
  <c r="I91" i="44"/>
  <c r="J91" i="44"/>
  <c r="K91" i="44"/>
  <c r="L91" i="44"/>
  <c r="M91" i="44"/>
  <c r="N91" i="44"/>
  <c r="O91" i="44"/>
  <c r="P91" i="44"/>
  <c r="Q91" i="44"/>
  <c r="D1740" i="43"/>
  <c r="D1739" i="43"/>
  <c r="D1738" i="43"/>
  <c r="D1737" i="43"/>
  <c r="D1736" i="43"/>
  <c r="D1735" i="43"/>
  <c r="D1734" i="43"/>
  <c r="D1733" i="43"/>
  <c r="D1732" i="43"/>
  <c r="D1731" i="43"/>
  <c r="D1730" i="43"/>
  <c r="N1729" i="43"/>
  <c r="D1729" i="43"/>
  <c r="N1728" i="43"/>
  <c r="D1728" i="43"/>
  <c r="N1727" i="43"/>
  <c r="D1727" i="43"/>
  <c r="N1726" i="43"/>
  <c r="D1726" i="43"/>
  <c r="D1725" i="43"/>
  <c r="U1724" i="43"/>
  <c r="O1725" i="43" s="1"/>
  <c r="U1723" i="43"/>
  <c r="T1721" i="43"/>
  <c r="A89" i="42"/>
  <c r="A90" i="42"/>
  <c r="A91" i="42"/>
  <c r="A92" i="42"/>
  <c r="A93" i="42"/>
  <c r="A94" i="42"/>
  <c r="A95" i="42"/>
  <c r="A96" i="42"/>
  <c r="R14" i="2"/>
  <c r="C15" i="2" s="1"/>
  <c r="R13" i="2"/>
  <c r="C14" i="2" s="1"/>
  <c r="B48" i="19" s="1"/>
  <c r="B148" i="19" s="1"/>
  <c r="R9" i="2"/>
  <c r="R8" i="2"/>
  <c r="R4" i="2"/>
  <c r="Q90" i="44"/>
  <c r="P90" i="44"/>
  <c r="O90" i="44"/>
  <c r="N90" i="44"/>
  <c r="M90" i="44"/>
  <c r="L90" i="44"/>
  <c r="K90" i="44"/>
  <c r="J90" i="44"/>
  <c r="I90" i="44"/>
  <c r="H90" i="44"/>
  <c r="G90" i="44"/>
  <c r="F90" i="44"/>
  <c r="E90" i="44"/>
  <c r="D90" i="44"/>
  <c r="C90" i="44"/>
  <c r="N1750" i="43"/>
  <c r="D1760" i="43"/>
  <c r="D1759" i="43"/>
  <c r="D1758" i="43"/>
  <c r="D1757" i="43"/>
  <c r="D1756" i="43"/>
  <c r="D1755" i="43"/>
  <c r="D1754" i="43"/>
  <c r="D1753" i="43"/>
  <c r="D1752" i="43"/>
  <c r="D1751" i="43"/>
  <c r="D1750" i="43"/>
  <c r="N1749" i="43"/>
  <c r="D1749" i="43"/>
  <c r="N1748" i="43"/>
  <c r="D1748" i="43"/>
  <c r="N1747" i="43"/>
  <c r="D1747" i="43"/>
  <c r="N1746" i="43"/>
  <c r="D1746" i="43"/>
  <c r="D1745" i="43"/>
  <c r="U1744" i="43"/>
  <c r="O1745" i="43" s="1"/>
  <c r="P1745" i="43" s="1"/>
  <c r="T1741" i="43"/>
  <c r="P89" i="44"/>
  <c r="O89" i="44"/>
  <c r="Q89" i="44"/>
  <c r="N89" i="44"/>
  <c r="M89" i="44"/>
  <c r="L89" i="44"/>
  <c r="K89" i="44"/>
  <c r="C89" i="44"/>
  <c r="D89" i="44"/>
  <c r="E89" i="44"/>
  <c r="F89" i="44"/>
  <c r="G89" i="44"/>
  <c r="H89" i="44"/>
  <c r="I89" i="44"/>
  <c r="J89" i="44"/>
  <c r="D1720" i="43"/>
  <c r="D1719" i="43"/>
  <c r="D1718" i="43"/>
  <c r="D1717" i="43"/>
  <c r="D1716" i="43"/>
  <c r="D1715" i="43"/>
  <c r="D1714" i="43"/>
  <c r="D1713" i="43"/>
  <c r="D1712" i="43"/>
  <c r="D1711" i="43"/>
  <c r="D1710" i="43"/>
  <c r="D1709" i="43"/>
  <c r="D1708" i="43"/>
  <c r="D1707" i="43"/>
  <c r="N1706" i="43"/>
  <c r="D1706" i="43"/>
  <c r="D1705" i="43"/>
  <c r="U1704" i="43"/>
  <c r="O1705" i="43" s="1"/>
  <c r="T1701" i="43"/>
  <c r="AJ5" i="44"/>
  <c r="AJ6" i="44"/>
  <c r="AJ7" i="44"/>
  <c r="AJ8" i="44"/>
  <c r="AJ9" i="44"/>
  <c r="AJ10" i="44"/>
  <c r="AJ11" i="44"/>
  <c r="AJ12" i="44"/>
  <c r="AJ13" i="44"/>
  <c r="AJ14" i="44"/>
  <c r="AJ15" i="44"/>
  <c r="AJ16" i="44"/>
  <c r="AJ17" i="44"/>
  <c r="AJ18" i="44"/>
  <c r="AJ19" i="44"/>
  <c r="AJ20" i="44"/>
  <c r="AJ21" i="44"/>
  <c r="AJ22" i="44"/>
  <c r="AJ23" i="44"/>
  <c r="AJ24" i="44"/>
  <c r="AJ25" i="44"/>
  <c r="AJ26" i="44"/>
  <c r="AJ27" i="44"/>
  <c r="AJ28" i="44"/>
  <c r="AJ29" i="44"/>
  <c r="AJ30" i="44"/>
  <c r="AJ31" i="44"/>
  <c r="AJ32" i="44"/>
  <c r="AJ33" i="44"/>
  <c r="AJ34" i="44"/>
  <c r="AJ35" i="44"/>
  <c r="AJ36" i="44"/>
  <c r="AJ37" i="44"/>
  <c r="AJ38" i="44"/>
  <c r="AJ39" i="44"/>
  <c r="AJ40" i="44"/>
  <c r="AJ41" i="44"/>
  <c r="AJ42" i="44"/>
  <c r="AJ43" i="44"/>
  <c r="AJ44" i="44"/>
  <c r="AJ45" i="44"/>
  <c r="AJ46" i="44"/>
  <c r="AJ47" i="44"/>
  <c r="AJ48" i="44"/>
  <c r="AJ49" i="44"/>
  <c r="AJ50" i="44"/>
  <c r="AJ51" i="44"/>
  <c r="AJ52" i="44"/>
  <c r="AJ53" i="44"/>
  <c r="AJ54" i="44"/>
  <c r="AJ55" i="44"/>
  <c r="AJ56" i="44"/>
  <c r="AJ57" i="44"/>
  <c r="AJ58" i="44"/>
  <c r="AJ59" i="44"/>
  <c r="C88" i="44"/>
  <c r="D88" i="44"/>
  <c r="E88" i="44"/>
  <c r="F88" i="44"/>
  <c r="G88" i="44"/>
  <c r="H88" i="44"/>
  <c r="I88" i="44"/>
  <c r="J88" i="44"/>
  <c r="K88" i="44"/>
  <c r="L88" i="44"/>
  <c r="M88" i="44"/>
  <c r="N88" i="44"/>
  <c r="O88" i="44"/>
  <c r="P88" i="44"/>
  <c r="Q88" i="44"/>
  <c r="D1700" i="43"/>
  <c r="D1699" i="43"/>
  <c r="D1698" i="43"/>
  <c r="D1697" i="43"/>
  <c r="D1696" i="43"/>
  <c r="D1695" i="43"/>
  <c r="D1694" i="43"/>
  <c r="D1693" i="43"/>
  <c r="D1692" i="43"/>
  <c r="D1691" i="43"/>
  <c r="D1690" i="43"/>
  <c r="N1689" i="43"/>
  <c r="D1689" i="43"/>
  <c r="N1688" i="43"/>
  <c r="D1688" i="43"/>
  <c r="N1687" i="43"/>
  <c r="D1687" i="43"/>
  <c r="N1686" i="43"/>
  <c r="D1686" i="43"/>
  <c r="D1685" i="43"/>
  <c r="U1684" i="43"/>
  <c r="O1685" i="43" s="1"/>
  <c r="P1685" i="43" s="1"/>
  <c r="T1681" i="43"/>
  <c r="C87" i="44"/>
  <c r="D87" i="44"/>
  <c r="E87" i="44"/>
  <c r="F87" i="44"/>
  <c r="G87" i="44"/>
  <c r="H87" i="44"/>
  <c r="I87" i="44"/>
  <c r="J87" i="44"/>
  <c r="K87" i="44"/>
  <c r="L87" i="44"/>
  <c r="M87" i="44"/>
  <c r="N87" i="44"/>
  <c r="O87" i="44"/>
  <c r="P87" i="44"/>
  <c r="Q87" i="44"/>
  <c r="D1680" i="43"/>
  <c r="D1679" i="43"/>
  <c r="D1678" i="43"/>
  <c r="D1677" i="43"/>
  <c r="D1676" i="43"/>
  <c r="D1675" i="43"/>
  <c r="D1674" i="43"/>
  <c r="D1673" i="43"/>
  <c r="D1672" i="43"/>
  <c r="D1671" i="43"/>
  <c r="D1670" i="43"/>
  <c r="N1669" i="43"/>
  <c r="D1669" i="43"/>
  <c r="N1668" i="43"/>
  <c r="D1668" i="43"/>
  <c r="N1667" i="43"/>
  <c r="D1667" i="43"/>
  <c r="N1666" i="43"/>
  <c r="D1666" i="43"/>
  <c r="D1665" i="43"/>
  <c r="U1664" i="43"/>
  <c r="O1665" i="43" s="1"/>
  <c r="P1665" i="43" s="1"/>
  <c r="T1661" i="43"/>
  <c r="Q86" i="44"/>
  <c r="P86" i="44"/>
  <c r="O86" i="44"/>
  <c r="N86" i="44"/>
  <c r="M86" i="44"/>
  <c r="L86" i="44"/>
  <c r="K86" i="44"/>
  <c r="C86" i="44"/>
  <c r="D86" i="44"/>
  <c r="E86" i="44"/>
  <c r="F86" i="44"/>
  <c r="G86" i="44"/>
  <c r="H86" i="44"/>
  <c r="I86" i="44"/>
  <c r="J86" i="44"/>
  <c r="D1660" i="43"/>
  <c r="D1659" i="43"/>
  <c r="D1658" i="43"/>
  <c r="D1657" i="43"/>
  <c r="D1656" i="43"/>
  <c r="D1655" i="43"/>
  <c r="D1654" i="43"/>
  <c r="D1653" i="43"/>
  <c r="D1652" i="43"/>
  <c r="D1651" i="43"/>
  <c r="D1650" i="43"/>
  <c r="N1649" i="43"/>
  <c r="D1649" i="43"/>
  <c r="N1648" i="43"/>
  <c r="D1648" i="43"/>
  <c r="N1647" i="43"/>
  <c r="D1647" i="43"/>
  <c r="N1646" i="43"/>
  <c r="D1646" i="43"/>
  <c r="D1645" i="43"/>
  <c r="U1644" i="43"/>
  <c r="O1645" i="43" s="1"/>
  <c r="P1645" i="43" s="1"/>
  <c r="T1641" i="43"/>
  <c r="O14" i="44"/>
  <c r="O15" i="44"/>
  <c r="O16" i="44"/>
  <c r="O12" i="44"/>
  <c r="O13" i="44"/>
  <c r="O6" i="44"/>
  <c r="O7" i="44"/>
  <c r="O8" i="44"/>
  <c r="O9" i="44"/>
  <c r="O10" i="44"/>
  <c r="O5" i="44"/>
  <c r="P4" i="44"/>
  <c r="O4" i="44"/>
  <c r="AJ4" i="44"/>
  <c r="O85" i="44"/>
  <c r="P85" i="44"/>
  <c r="Q85" i="44"/>
  <c r="N85" i="44"/>
  <c r="M85" i="44"/>
  <c r="L85" i="44"/>
  <c r="K85" i="44"/>
  <c r="C85" i="44"/>
  <c r="D85" i="44"/>
  <c r="E85" i="44"/>
  <c r="F85" i="44"/>
  <c r="G85" i="44"/>
  <c r="H85" i="44"/>
  <c r="I85" i="44"/>
  <c r="J85" i="44"/>
  <c r="N1628" i="43"/>
  <c r="N1629" i="43"/>
  <c r="D1640" i="43"/>
  <c r="D1639" i="43"/>
  <c r="D1638" i="43"/>
  <c r="D1637" i="43"/>
  <c r="D1636" i="43"/>
  <c r="D1635" i="43"/>
  <c r="D1634" i="43"/>
  <c r="D1633" i="43"/>
  <c r="D1632" i="43"/>
  <c r="D1631" i="43"/>
  <c r="D1630" i="43"/>
  <c r="D1629" i="43"/>
  <c r="D1628" i="43"/>
  <c r="N1627" i="43"/>
  <c r="D1627" i="43"/>
  <c r="N1626" i="43"/>
  <c r="D1626" i="43"/>
  <c r="D1625" i="43"/>
  <c r="U1624" i="43"/>
  <c r="O1625" i="43" s="1"/>
  <c r="T1621" i="43"/>
  <c r="C84" i="44"/>
  <c r="D84" i="44"/>
  <c r="E84" i="44"/>
  <c r="F84" i="44"/>
  <c r="G84" i="44"/>
  <c r="H84" i="44"/>
  <c r="I84" i="44"/>
  <c r="J84" i="44"/>
  <c r="K84" i="44"/>
  <c r="L84" i="44"/>
  <c r="M84" i="44"/>
  <c r="N84" i="44"/>
  <c r="O84" i="44"/>
  <c r="P84" i="44"/>
  <c r="Q84" i="44"/>
  <c r="D1620" i="43"/>
  <c r="D1619" i="43"/>
  <c r="D1618" i="43"/>
  <c r="D1617" i="43"/>
  <c r="D1616" i="43"/>
  <c r="D1615" i="43"/>
  <c r="D1614" i="43"/>
  <c r="D1613" i="43"/>
  <c r="D1612" i="43"/>
  <c r="D1611" i="43"/>
  <c r="D1610" i="43"/>
  <c r="D1609" i="43"/>
  <c r="D1608" i="43"/>
  <c r="N1607" i="43"/>
  <c r="D1607" i="43"/>
  <c r="N1606" i="43"/>
  <c r="D1606" i="43"/>
  <c r="D1605" i="43"/>
  <c r="U1604" i="43"/>
  <c r="O1605" i="43" s="1"/>
  <c r="P1605" i="43" s="1"/>
  <c r="T1601" i="43"/>
  <c r="H83" i="44"/>
  <c r="G83" i="44"/>
  <c r="Q83" i="44"/>
  <c r="P83" i="44"/>
  <c r="O83" i="44"/>
  <c r="N83" i="44"/>
  <c r="M83" i="44"/>
  <c r="L83" i="44"/>
  <c r="K83" i="44"/>
  <c r="J83" i="44"/>
  <c r="I83" i="44"/>
  <c r="C83" i="44"/>
  <c r="D83" i="44"/>
  <c r="E83" i="44"/>
  <c r="F83" i="44"/>
  <c r="D1600" i="43"/>
  <c r="D1599" i="43"/>
  <c r="D1598" i="43"/>
  <c r="D1597" i="43"/>
  <c r="D1596" i="43"/>
  <c r="D1595" i="43"/>
  <c r="D1594" i="43"/>
  <c r="D1593" i="43"/>
  <c r="D1592" i="43"/>
  <c r="D1591" i="43"/>
  <c r="D1590" i="43"/>
  <c r="N1589" i="43"/>
  <c r="D1589" i="43"/>
  <c r="N1588" i="43"/>
  <c r="D1588" i="43"/>
  <c r="N1587" i="43"/>
  <c r="D1587" i="43"/>
  <c r="N1586" i="43"/>
  <c r="D1586" i="43"/>
  <c r="D1585" i="43"/>
  <c r="U1584" i="43"/>
  <c r="O1585" i="43" s="1"/>
  <c r="T1581" i="43"/>
  <c r="Q82" i="44"/>
  <c r="P82" i="44"/>
  <c r="O82" i="44"/>
  <c r="N82" i="44"/>
  <c r="M82" i="44"/>
  <c r="L82" i="44"/>
  <c r="K82" i="44"/>
  <c r="G82" i="44"/>
  <c r="H82" i="44"/>
  <c r="I82" i="44"/>
  <c r="J82" i="44"/>
  <c r="E82" i="44"/>
  <c r="F82" i="44"/>
  <c r="D82" i="44"/>
  <c r="C82" i="44"/>
  <c r="D1580" i="43"/>
  <c r="D1579" i="43"/>
  <c r="D1578" i="43"/>
  <c r="D1577" i="43"/>
  <c r="D1576" i="43"/>
  <c r="D1575" i="43"/>
  <c r="D1574" i="43"/>
  <c r="D1573" i="43"/>
  <c r="D1572" i="43"/>
  <c r="D1571" i="43"/>
  <c r="D1570" i="43"/>
  <c r="N1569" i="43"/>
  <c r="D1569" i="43"/>
  <c r="N1568" i="43"/>
  <c r="D1568" i="43"/>
  <c r="N1567" i="43"/>
  <c r="D1567" i="43"/>
  <c r="N1566" i="43"/>
  <c r="D1566" i="43"/>
  <c r="D1565" i="43"/>
  <c r="U1564" i="43"/>
  <c r="O1565" i="43" s="1"/>
  <c r="P1565" i="43" s="1"/>
  <c r="T1561" i="43"/>
  <c r="M81" i="44"/>
  <c r="N81" i="44"/>
  <c r="L81" i="44"/>
  <c r="K81" i="44"/>
  <c r="K80" i="44"/>
  <c r="K79" i="44"/>
  <c r="K78" i="44"/>
  <c r="O81" i="44"/>
  <c r="P81" i="44"/>
  <c r="Q81" i="44"/>
  <c r="C81" i="44"/>
  <c r="D81" i="44"/>
  <c r="E81" i="44"/>
  <c r="F81" i="44"/>
  <c r="G81" i="44"/>
  <c r="H81" i="44"/>
  <c r="I81" i="44"/>
  <c r="J81" i="44"/>
  <c r="H80" i="44"/>
  <c r="N1549" i="43"/>
  <c r="D1560" i="43"/>
  <c r="D1559" i="43"/>
  <c r="D1558" i="43"/>
  <c r="D1557" i="43"/>
  <c r="D1556" i="43"/>
  <c r="D1555" i="43"/>
  <c r="D1554" i="43"/>
  <c r="D1553" i="43"/>
  <c r="D1552" i="43"/>
  <c r="D1551" i="43"/>
  <c r="D1550" i="43"/>
  <c r="D1549" i="43"/>
  <c r="N1548" i="43"/>
  <c r="D1548" i="43"/>
  <c r="N1547" i="43"/>
  <c r="D1547" i="43"/>
  <c r="N1546" i="43"/>
  <c r="D1546" i="43"/>
  <c r="D1545" i="43"/>
  <c r="U1544" i="43"/>
  <c r="O1545" i="43" s="1"/>
  <c r="P1545" i="43" s="1"/>
  <c r="T1541" i="43"/>
  <c r="P80" i="44"/>
  <c r="O80" i="44"/>
  <c r="Q80" i="44"/>
  <c r="N80" i="44"/>
  <c r="M80" i="44"/>
  <c r="L80" i="44"/>
  <c r="J80" i="44"/>
  <c r="I80" i="44"/>
  <c r="G80" i="44"/>
  <c r="F80" i="44"/>
  <c r="E80" i="44"/>
  <c r="D80" i="44"/>
  <c r="C80" i="44"/>
  <c r="N1528" i="43"/>
  <c r="D1540" i="43"/>
  <c r="D1539" i="43"/>
  <c r="D1538" i="43"/>
  <c r="D1537" i="43"/>
  <c r="D1536" i="43"/>
  <c r="D1535" i="43"/>
  <c r="D1534" i="43"/>
  <c r="D1533" i="43"/>
  <c r="D1532" i="43"/>
  <c r="D1531" i="43"/>
  <c r="D1530" i="43"/>
  <c r="D1529" i="43"/>
  <c r="D1528" i="43"/>
  <c r="N1527" i="43"/>
  <c r="D1527" i="43"/>
  <c r="N1526" i="43"/>
  <c r="D1526" i="43"/>
  <c r="D1525" i="43"/>
  <c r="U1524" i="43"/>
  <c r="O1525" i="43" s="1"/>
  <c r="P1525" i="43" s="1"/>
  <c r="T1521" i="43"/>
  <c r="P79" i="44"/>
  <c r="O79" i="44"/>
  <c r="Q79" i="44"/>
  <c r="C79" i="44"/>
  <c r="D79" i="44"/>
  <c r="E79" i="44"/>
  <c r="F79" i="44"/>
  <c r="G79" i="44"/>
  <c r="H79" i="44"/>
  <c r="I79" i="44"/>
  <c r="J79" i="44"/>
  <c r="L79" i="44"/>
  <c r="M79" i="44"/>
  <c r="N79" i="44"/>
  <c r="D1520" i="43"/>
  <c r="D1519" i="43"/>
  <c r="D1518" i="43"/>
  <c r="D1517" i="43"/>
  <c r="D1516" i="43"/>
  <c r="D1515" i="43"/>
  <c r="D1514" i="43"/>
  <c r="D1513" i="43"/>
  <c r="D1512" i="43"/>
  <c r="D1511" i="43"/>
  <c r="D1510" i="43"/>
  <c r="D1509" i="43"/>
  <c r="D1508" i="43"/>
  <c r="N1507" i="43"/>
  <c r="D1507" i="43"/>
  <c r="N1506" i="43"/>
  <c r="D1506" i="43"/>
  <c r="D1505" i="43"/>
  <c r="U1504" i="43"/>
  <c r="O1505" i="43" s="1"/>
  <c r="U1503" i="43"/>
  <c r="T1501" i="43"/>
  <c r="P78" i="44"/>
  <c r="O78" i="44"/>
  <c r="Q78" i="44"/>
  <c r="L78" i="44"/>
  <c r="M78" i="44"/>
  <c r="N78" i="44"/>
  <c r="I78" i="44"/>
  <c r="J78" i="44"/>
  <c r="H78" i="44"/>
  <c r="G78" i="44"/>
  <c r="C78" i="44"/>
  <c r="D78" i="44"/>
  <c r="E78" i="44"/>
  <c r="F78" i="44"/>
  <c r="N1490" i="43"/>
  <c r="N1491" i="43"/>
  <c r="N1492" i="43"/>
  <c r="D1500" i="43"/>
  <c r="D1499" i="43"/>
  <c r="D1498" i="43"/>
  <c r="D1497" i="43"/>
  <c r="D1496" i="43"/>
  <c r="D1495" i="43"/>
  <c r="D1494" i="43"/>
  <c r="D1493" i="43"/>
  <c r="D1492" i="43"/>
  <c r="D1491" i="43"/>
  <c r="D1490" i="43"/>
  <c r="N1489" i="43"/>
  <c r="D1489" i="43"/>
  <c r="N1488" i="43"/>
  <c r="D1488" i="43"/>
  <c r="N1487" i="43"/>
  <c r="D1487" i="43"/>
  <c r="N1486" i="43"/>
  <c r="D1486" i="43"/>
  <c r="D1485" i="43"/>
  <c r="U1484" i="43"/>
  <c r="O1485" i="43" s="1"/>
  <c r="P1485" i="43" s="1"/>
  <c r="T1481" i="43"/>
  <c r="B150" i="34"/>
  <c r="B37" i="37" s="1"/>
  <c r="B150" i="37" s="1"/>
  <c r="B35" i="40"/>
  <c r="B148" i="40" s="1"/>
  <c r="B34" i="51"/>
  <c r="B153" i="51"/>
  <c r="B37" i="52" s="1"/>
  <c r="B150" i="52" s="1"/>
  <c r="B35" i="53" s="1"/>
  <c r="B148" i="53" s="1"/>
  <c r="A137" i="34"/>
  <c r="A22" i="37"/>
  <c r="A135" i="37"/>
  <c r="A21" i="40"/>
  <c r="Q77" i="44"/>
  <c r="M77" i="44"/>
  <c r="N77" i="44"/>
  <c r="O77" i="44"/>
  <c r="P77" i="44"/>
  <c r="L77" i="44"/>
  <c r="K77" i="44"/>
  <c r="C77" i="44"/>
  <c r="D77" i="44"/>
  <c r="E77" i="44"/>
  <c r="F77" i="44"/>
  <c r="G77" i="44"/>
  <c r="H77" i="44"/>
  <c r="I77" i="44"/>
  <c r="J77" i="44"/>
  <c r="D1480" i="43"/>
  <c r="D1479" i="43"/>
  <c r="D1478" i="43"/>
  <c r="D1477" i="43"/>
  <c r="D1476" i="43"/>
  <c r="D1475" i="43"/>
  <c r="D1474" i="43"/>
  <c r="D1473" i="43"/>
  <c r="D1472" i="43"/>
  <c r="D1471" i="43"/>
  <c r="D1470" i="43"/>
  <c r="N1469" i="43"/>
  <c r="D1469" i="43"/>
  <c r="N1468" i="43"/>
  <c r="D1468" i="43"/>
  <c r="N1467" i="43"/>
  <c r="D1467" i="43"/>
  <c r="N1466" i="43"/>
  <c r="D1466" i="43"/>
  <c r="D1465" i="43"/>
  <c r="U1464" i="43"/>
  <c r="O1465" i="43" s="1"/>
  <c r="P1465" i="43" s="1"/>
  <c r="T1461" i="43"/>
  <c r="C76" i="44"/>
  <c r="D76" i="44"/>
  <c r="E76" i="44"/>
  <c r="F76" i="44"/>
  <c r="G76" i="44"/>
  <c r="H76" i="44"/>
  <c r="I76" i="44"/>
  <c r="J76" i="44"/>
  <c r="K76" i="44"/>
  <c r="L76" i="44"/>
  <c r="M76" i="44"/>
  <c r="N76" i="44"/>
  <c r="O76" i="44"/>
  <c r="P76" i="44"/>
  <c r="Q76" i="44"/>
  <c r="N1448" i="43"/>
  <c r="N1449" i="43"/>
  <c r="D1460" i="43"/>
  <c r="D1459" i="43"/>
  <c r="D1458" i="43"/>
  <c r="D1457" i="43"/>
  <c r="D1456" i="43"/>
  <c r="D1455" i="43"/>
  <c r="D1454" i="43"/>
  <c r="D1453" i="43"/>
  <c r="D1452" i="43"/>
  <c r="D1451" i="43"/>
  <c r="D1450" i="43"/>
  <c r="D1449" i="43"/>
  <c r="D1448" i="43"/>
  <c r="N1447" i="43"/>
  <c r="D1447" i="43"/>
  <c r="N1446" i="43"/>
  <c r="D1446" i="43"/>
  <c r="D1445" i="43"/>
  <c r="U1444" i="43"/>
  <c r="O1445" i="43" s="1"/>
  <c r="T1441" i="43"/>
  <c r="Q75" i="44"/>
  <c r="P75" i="44"/>
  <c r="O75" i="44"/>
  <c r="N75" i="44"/>
  <c r="M75" i="44"/>
  <c r="L75" i="44"/>
  <c r="K75" i="44"/>
  <c r="J75" i="44"/>
  <c r="I75" i="44"/>
  <c r="H75" i="44"/>
  <c r="G75" i="44"/>
  <c r="F75" i="44"/>
  <c r="E75" i="44"/>
  <c r="D75" i="44"/>
  <c r="C75" i="44"/>
  <c r="D1440" i="43"/>
  <c r="D1439" i="43"/>
  <c r="D1438" i="43"/>
  <c r="D1437" i="43"/>
  <c r="D1436" i="43"/>
  <c r="D1435" i="43"/>
  <c r="D1434" i="43"/>
  <c r="D1433" i="43"/>
  <c r="D1432" i="43"/>
  <c r="D1431" i="43"/>
  <c r="D1430" i="43"/>
  <c r="D1429" i="43"/>
  <c r="D1428" i="43"/>
  <c r="N1427" i="43"/>
  <c r="D1427" i="43"/>
  <c r="N1426" i="43"/>
  <c r="D1426" i="43"/>
  <c r="D1425" i="43"/>
  <c r="U1424" i="43"/>
  <c r="O1425" i="43" s="1"/>
  <c r="T1421" i="43"/>
  <c r="Q74" i="44"/>
  <c r="P74" i="44"/>
  <c r="O74" i="44"/>
  <c r="N74" i="44"/>
  <c r="M74" i="44"/>
  <c r="L74" i="44"/>
  <c r="K74" i="44"/>
  <c r="J74" i="44"/>
  <c r="I74" i="44"/>
  <c r="H74" i="44"/>
  <c r="G74" i="44"/>
  <c r="F74" i="44"/>
  <c r="E74" i="44"/>
  <c r="D74" i="44"/>
  <c r="C74" i="44"/>
  <c r="D1420" i="43"/>
  <c r="D1419" i="43"/>
  <c r="D1418" i="43"/>
  <c r="D1417" i="43"/>
  <c r="D1416" i="43"/>
  <c r="D1415" i="43"/>
  <c r="D1414" i="43"/>
  <c r="D1413" i="43"/>
  <c r="D1412" i="43"/>
  <c r="D1411" i="43"/>
  <c r="D1410" i="43"/>
  <c r="D1409" i="43"/>
  <c r="N1408" i="43"/>
  <c r="D1408" i="43"/>
  <c r="N1407" i="43"/>
  <c r="D1407" i="43"/>
  <c r="N1406" i="43"/>
  <c r="D1406" i="43"/>
  <c r="D1405" i="43"/>
  <c r="U1404" i="43"/>
  <c r="O1405" i="43" s="1"/>
  <c r="T1401" i="43"/>
  <c r="C73" i="44"/>
  <c r="D73" i="44"/>
  <c r="E73" i="44"/>
  <c r="F73" i="44"/>
  <c r="G73" i="44"/>
  <c r="H73" i="44"/>
  <c r="I73" i="44"/>
  <c r="J73" i="44"/>
  <c r="K73" i="44"/>
  <c r="L73" i="44"/>
  <c r="M73" i="44"/>
  <c r="N73" i="44"/>
  <c r="Q73" i="44"/>
  <c r="D1400" i="43"/>
  <c r="D1399" i="43"/>
  <c r="D1398" i="43"/>
  <c r="D1397" i="43"/>
  <c r="D1396" i="43"/>
  <c r="D1395" i="43"/>
  <c r="D1394" i="43"/>
  <c r="D1393" i="43"/>
  <c r="D1392" i="43"/>
  <c r="D1391" i="43"/>
  <c r="D1390" i="43"/>
  <c r="D1389" i="43"/>
  <c r="N1388" i="43"/>
  <c r="D1388" i="43"/>
  <c r="N1387" i="43"/>
  <c r="D1387" i="43"/>
  <c r="N1386" i="43"/>
  <c r="D1386" i="43"/>
  <c r="D1385" i="43"/>
  <c r="U1384" i="43"/>
  <c r="O1385" i="43" s="1"/>
  <c r="P1385" i="43" s="1"/>
  <c r="T1381" i="43"/>
  <c r="A57" i="42"/>
  <c r="A58" i="42"/>
  <c r="A59" i="42"/>
  <c r="A60" i="42"/>
  <c r="A61" i="42"/>
  <c r="C72" i="44"/>
  <c r="D72" i="44"/>
  <c r="E72" i="44"/>
  <c r="F72" i="44"/>
  <c r="G72" i="44"/>
  <c r="H72" i="44"/>
  <c r="I72" i="44"/>
  <c r="J72" i="44"/>
  <c r="Q72" i="44"/>
  <c r="N72" i="44"/>
  <c r="M72" i="44"/>
  <c r="L72" i="44"/>
  <c r="K72" i="44"/>
  <c r="N1368" i="43"/>
  <c r="N1369" i="43"/>
  <c r="D1380" i="43"/>
  <c r="D1379" i="43"/>
  <c r="D1378" i="43"/>
  <c r="D1377" i="43"/>
  <c r="D1376" i="43"/>
  <c r="D1375" i="43"/>
  <c r="D1374" i="43"/>
  <c r="D1373" i="43"/>
  <c r="D1372" i="43"/>
  <c r="D1371" i="43"/>
  <c r="D1370" i="43"/>
  <c r="D1369" i="43"/>
  <c r="D1368" i="43"/>
  <c r="N1367" i="43"/>
  <c r="D1367" i="43"/>
  <c r="N1366" i="43"/>
  <c r="D1366" i="43"/>
  <c r="D1365" i="43"/>
  <c r="U1364" i="43"/>
  <c r="O1365" i="43" s="1"/>
  <c r="P1365" i="43" s="1"/>
  <c r="U1363" i="43"/>
  <c r="T1361" i="43"/>
  <c r="Q71" i="44"/>
  <c r="P71" i="44"/>
  <c r="O71" i="44"/>
  <c r="N71" i="44"/>
  <c r="M71" i="44"/>
  <c r="L71" i="44"/>
  <c r="K71" i="44"/>
  <c r="J71" i="44"/>
  <c r="I71" i="44"/>
  <c r="H71" i="44"/>
  <c r="G71" i="44"/>
  <c r="F71" i="44"/>
  <c r="E71" i="44"/>
  <c r="D71" i="44"/>
  <c r="C71" i="44"/>
  <c r="D1360" i="43"/>
  <c r="D1359" i="43"/>
  <c r="D1358" i="43"/>
  <c r="D1357" i="43"/>
  <c r="D1356" i="43"/>
  <c r="D1355" i="43"/>
  <c r="D1354" i="43"/>
  <c r="D1353" i="43"/>
  <c r="D1352" i="43"/>
  <c r="D1351" i="43"/>
  <c r="D1350" i="43"/>
  <c r="D1349" i="43"/>
  <c r="D1348" i="43"/>
  <c r="N1347" i="43"/>
  <c r="D1347" i="43"/>
  <c r="N1346" i="43"/>
  <c r="D1346" i="43"/>
  <c r="D1345" i="43"/>
  <c r="U1344" i="43"/>
  <c r="O1345" i="43" s="1"/>
  <c r="P1345" i="43" s="1"/>
  <c r="T1341" i="43"/>
  <c r="Q70" i="44"/>
  <c r="N70" i="44"/>
  <c r="M70" i="44"/>
  <c r="L70" i="44"/>
  <c r="K70" i="44"/>
  <c r="C70" i="44"/>
  <c r="D70" i="44"/>
  <c r="E70" i="44"/>
  <c r="F70" i="44"/>
  <c r="G70" i="44"/>
  <c r="H70" i="44"/>
  <c r="I70" i="44"/>
  <c r="J70" i="44"/>
  <c r="N1328" i="43"/>
  <c r="N1329" i="43"/>
  <c r="D1340" i="43"/>
  <c r="D1339" i="43"/>
  <c r="D1338" i="43"/>
  <c r="D1337" i="43"/>
  <c r="D1336" i="43"/>
  <c r="D1335" i="43"/>
  <c r="D1334" i="43"/>
  <c r="D1333" i="43"/>
  <c r="D1332" i="43"/>
  <c r="D1331" i="43"/>
  <c r="D1330" i="43"/>
  <c r="D1329" i="43"/>
  <c r="D1328" i="43"/>
  <c r="N1327" i="43"/>
  <c r="D1327" i="43"/>
  <c r="N1326" i="43"/>
  <c r="D1326" i="43"/>
  <c r="D1325" i="43"/>
  <c r="U1324" i="43"/>
  <c r="O1325" i="43" s="1"/>
  <c r="P1325" i="43" s="1"/>
  <c r="T1321" i="43"/>
  <c r="C69" i="44"/>
  <c r="D69" i="44"/>
  <c r="E69" i="44"/>
  <c r="F69" i="44"/>
  <c r="G69" i="44"/>
  <c r="H69" i="44"/>
  <c r="I69" i="44"/>
  <c r="J69" i="44"/>
  <c r="K69" i="44"/>
  <c r="L69" i="44"/>
  <c r="M69" i="44"/>
  <c r="N69" i="44"/>
  <c r="O69" i="44"/>
  <c r="P69" i="44"/>
  <c r="Q69" i="44"/>
  <c r="D1320" i="43"/>
  <c r="D1319" i="43"/>
  <c r="D1318" i="43"/>
  <c r="D1317" i="43"/>
  <c r="D1316" i="43"/>
  <c r="D1315" i="43"/>
  <c r="D1314" i="43"/>
  <c r="D1313" i="43"/>
  <c r="D1312" i="43"/>
  <c r="D1311" i="43"/>
  <c r="D1310" i="43"/>
  <c r="D1309" i="43"/>
  <c r="D1308" i="43"/>
  <c r="N1307" i="43"/>
  <c r="D1307" i="43"/>
  <c r="N1306" i="43"/>
  <c r="D1306" i="43"/>
  <c r="D1305" i="43"/>
  <c r="U1304" i="43"/>
  <c r="O1305" i="43" s="1"/>
  <c r="U1303" i="43"/>
  <c r="T1301" i="43"/>
  <c r="C68" i="44"/>
  <c r="D68" i="44"/>
  <c r="E68" i="44"/>
  <c r="F68" i="44"/>
  <c r="G68" i="44"/>
  <c r="H68" i="44"/>
  <c r="I68" i="44"/>
  <c r="J68" i="44"/>
  <c r="K68" i="44"/>
  <c r="L68" i="44"/>
  <c r="M68" i="44"/>
  <c r="N68" i="44"/>
  <c r="O68" i="44"/>
  <c r="P68" i="44"/>
  <c r="Q68" i="44"/>
  <c r="N1289" i="43"/>
  <c r="D1300" i="43"/>
  <c r="D1299" i="43"/>
  <c r="D1298" i="43"/>
  <c r="D1297" i="43"/>
  <c r="D1296" i="43"/>
  <c r="D1295" i="43"/>
  <c r="D1294" i="43"/>
  <c r="D1293" i="43"/>
  <c r="D1292" i="43"/>
  <c r="D1291" i="43"/>
  <c r="D1290" i="43"/>
  <c r="D1289" i="43"/>
  <c r="N1288" i="43"/>
  <c r="D1288" i="43"/>
  <c r="N1287" i="43"/>
  <c r="D1287" i="43"/>
  <c r="N1286" i="43"/>
  <c r="D1286" i="43"/>
  <c r="D1285" i="43"/>
  <c r="U1284" i="43"/>
  <c r="O1285" i="43" s="1"/>
  <c r="U1283" i="43"/>
  <c r="T1281" i="43"/>
  <c r="C67" i="44"/>
  <c r="D67" i="44"/>
  <c r="E67" i="44"/>
  <c r="F67" i="44"/>
  <c r="G67" i="44"/>
  <c r="H67" i="44"/>
  <c r="I67" i="44"/>
  <c r="J67" i="44"/>
  <c r="K67" i="44"/>
  <c r="L67" i="44"/>
  <c r="M67" i="44"/>
  <c r="N67" i="44"/>
  <c r="O67" i="44"/>
  <c r="P67" i="44"/>
  <c r="Q67" i="44"/>
  <c r="D1280" i="43"/>
  <c r="D1279" i="43"/>
  <c r="D1278" i="43"/>
  <c r="D1277" i="43"/>
  <c r="D1276" i="43"/>
  <c r="D1275" i="43"/>
  <c r="D1274" i="43"/>
  <c r="D1273" i="43"/>
  <c r="D1272" i="43"/>
  <c r="D1271" i="43"/>
  <c r="D1270" i="43"/>
  <c r="D1269" i="43"/>
  <c r="N1268" i="43"/>
  <c r="D1268" i="43"/>
  <c r="N1267" i="43"/>
  <c r="D1267" i="43"/>
  <c r="N1266" i="43"/>
  <c r="D1266" i="43"/>
  <c r="D1265" i="43"/>
  <c r="U1264" i="43"/>
  <c r="O1265" i="43" s="1"/>
  <c r="U1263" i="43"/>
  <c r="T1261" i="43"/>
  <c r="P66" i="44"/>
  <c r="O66" i="44"/>
  <c r="N66" i="44"/>
  <c r="M66" i="44"/>
  <c r="L66" i="44"/>
  <c r="K66" i="44"/>
  <c r="C66" i="44"/>
  <c r="D66" i="44"/>
  <c r="E66" i="44"/>
  <c r="F66" i="44"/>
  <c r="G66" i="44"/>
  <c r="H66" i="44"/>
  <c r="I66" i="44"/>
  <c r="J66" i="44"/>
  <c r="Q66" i="44"/>
  <c r="N1248" i="43"/>
  <c r="N1249" i="43"/>
  <c r="N1250" i="43"/>
  <c r="D1260" i="43"/>
  <c r="D1259" i="43"/>
  <c r="D1258" i="43"/>
  <c r="D1257" i="43"/>
  <c r="D1256" i="43"/>
  <c r="D1255" i="43"/>
  <c r="D1254" i="43"/>
  <c r="D1253" i="43"/>
  <c r="D1252" i="43"/>
  <c r="D1251" i="43"/>
  <c r="D1250" i="43"/>
  <c r="D1249" i="43"/>
  <c r="D1248" i="43"/>
  <c r="N1247" i="43"/>
  <c r="D1247" i="43"/>
  <c r="N1246" i="43"/>
  <c r="D1246" i="43"/>
  <c r="D1245" i="43"/>
  <c r="U1244" i="43"/>
  <c r="O1245" i="43" s="1"/>
  <c r="T1241" i="43"/>
  <c r="N65" i="44"/>
  <c r="M65" i="44"/>
  <c r="L65" i="44"/>
  <c r="K65" i="44"/>
  <c r="J65" i="44"/>
  <c r="I65" i="44"/>
  <c r="H65" i="44"/>
  <c r="G65" i="44"/>
  <c r="F65" i="44"/>
  <c r="E65" i="44"/>
  <c r="D65" i="44"/>
  <c r="C65" i="44"/>
  <c r="Q65" i="44"/>
  <c r="D1240" i="43"/>
  <c r="D1239" i="43"/>
  <c r="D1238" i="43"/>
  <c r="D1237" i="43"/>
  <c r="D1236" i="43"/>
  <c r="D1235" i="43"/>
  <c r="D1234" i="43"/>
  <c r="D1233" i="43"/>
  <c r="D1232" i="43"/>
  <c r="D1231" i="43"/>
  <c r="D1230" i="43"/>
  <c r="D1229" i="43"/>
  <c r="D1228" i="43"/>
  <c r="N1227" i="43"/>
  <c r="D1227" i="43"/>
  <c r="N1226" i="43"/>
  <c r="D1226" i="43"/>
  <c r="D1225" i="43"/>
  <c r="U1224" i="43"/>
  <c r="O1225" i="43" s="1"/>
  <c r="T1221" i="43"/>
  <c r="C64" i="44"/>
  <c r="D64" i="44"/>
  <c r="E64" i="44"/>
  <c r="F64" i="44"/>
  <c r="G64" i="44"/>
  <c r="H64" i="44"/>
  <c r="I64" i="44"/>
  <c r="J64" i="44"/>
  <c r="K64" i="44"/>
  <c r="L64" i="44"/>
  <c r="M64" i="44"/>
  <c r="N64" i="44"/>
  <c r="O64" i="44"/>
  <c r="P64" i="44"/>
  <c r="Q64" i="44"/>
  <c r="N1208" i="43"/>
  <c r="N1209" i="43"/>
  <c r="N1210" i="43"/>
  <c r="D1220" i="43"/>
  <c r="D1219" i="43"/>
  <c r="D1218" i="43"/>
  <c r="D1217" i="43"/>
  <c r="D1216" i="43"/>
  <c r="D1215" i="43"/>
  <c r="D1214" i="43"/>
  <c r="D1213" i="43"/>
  <c r="D1212" i="43"/>
  <c r="D1211" i="43"/>
  <c r="D1210" i="43"/>
  <c r="D1209" i="43"/>
  <c r="D1208" i="43"/>
  <c r="N1207" i="43"/>
  <c r="D1207" i="43"/>
  <c r="N1206" i="43"/>
  <c r="D1206" i="43"/>
  <c r="D1205" i="43"/>
  <c r="U1204" i="43"/>
  <c r="O1205" i="43" s="1"/>
  <c r="T1201" i="43"/>
  <c r="C63" i="44"/>
  <c r="D63" i="44"/>
  <c r="E63" i="44"/>
  <c r="F63" i="44"/>
  <c r="G63" i="44"/>
  <c r="H63" i="44"/>
  <c r="I63" i="44"/>
  <c r="J63" i="44"/>
  <c r="K63" i="44"/>
  <c r="L63" i="44"/>
  <c r="M63" i="44"/>
  <c r="N63" i="44"/>
  <c r="O63" i="44"/>
  <c r="P63" i="44"/>
  <c r="Q63" i="44"/>
  <c r="D1200" i="43"/>
  <c r="D1199" i="43"/>
  <c r="D1198" i="43"/>
  <c r="D1197" i="43"/>
  <c r="D1196" i="43"/>
  <c r="D1195" i="43"/>
  <c r="D1194" i="43"/>
  <c r="D1193" i="43"/>
  <c r="D1192" i="43"/>
  <c r="D1191" i="43"/>
  <c r="D1190" i="43"/>
  <c r="D1189" i="43"/>
  <c r="D1188" i="43"/>
  <c r="N1187" i="43"/>
  <c r="D1187" i="43"/>
  <c r="N1186" i="43"/>
  <c r="D1186" i="43"/>
  <c r="D1185" i="43"/>
  <c r="U1184" i="43"/>
  <c r="O1185" i="43" s="1"/>
  <c r="T1181" i="43"/>
  <c r="C62" i="44"/>
  <c r="D62" i="44"/>
  <c r="E62" i="44"/>
  <c r="F62" i="44"/>
  <c r="G62" i="44"/>
  <c r="H62" i="44"/>
  <c r="I62" i="44"/>
  <c r="J62" i="44"/>
  <c r="K62" i="44"/>
  <c r="L62" i="44"/>
  <c r="M62" i="44"/>
  <c r="N62" i="44"/>
  <c r="O62" i="44"/>
  <c r="P62" i="44"/>
  <c r="Q62" i="44"/>
  <c r="N1168" i="43"/>
  <c r="N1169" i="43"/>
  <c r="D1180" i="43"/>
  <c r="D1179" i="43"/>
  <c r="D1178" i="43"/>
  <c r="D1177" i="43"/>
  <c r="D1176" i="43"/>
  <c r="D1175" i="43"/>
  <c r="D1174" i="43"/>
  <c r="D1173" i="43"/>
  <c r="D1172" i="43"/>
  <c r="D1171" i="43"/>
  <c r="D1170" i="43"/>
  <c r="D1169" i="43"/>
  <c r="D1168" i="43"/>
  <c r="N1167" i="43"/>
  <c r="D1167" i="43"/>
  <c r="N1166" i="43"/>
  <c r="D1166" i="43"/>
  <c r="D1165" i="43"/>
  <c r="U1164" i="43"/>
  <c r="O1165" i="43" s="1"/>
  <c r="P1165" i="43" s="1"/>
  <c r="T1161" i="43"/>
  <c r="Q61" i="44"/>
  <c r="C61" i="44"/>
  <c r="D61" i="44"/>
  <c r="E61" i="44"/>
  <c r="F61" i="44"/>
  <c r="G61" i="44"/>
  <c r="H61" i="44"/>
  <c r="I61" i="44"/>
  <c r="J61" i="44"/>
  <c r="K61" i="44"/>
  <c r="L61" i="44"/>
  <c r="M61" i="44"/>
  <c r="N61" i="44"/>
  <c r="O61" i="44"/>
  <c r="P61" i="44"/>
  <c r="D1160" i="43"/>
  <c r="D1159" i="43"/>
  <c r="D1158" i="43"/>
  <c r="D1157" i="43"/>
  <c r="D1156" i="43"/>
  <c r="D1155" i="43"/>
  <c r="D1154" i="43"/>
  <c r="D1153" i="43"/>
  <c r="D1152" i="43"/>
  <c r="D1151" i="43"/>
  <c r="D1150" i="43"/>
  <c r="D1149" i="43"/>
  <c r="D1148" i="43"/>
  <c r="N1147" i="43"/>
  <c r="D1147" i="43"/>
  <c r="N1146" i="43"/>
  <c r="D1146" i="43"/>
  <c r="D1145" i="43"/>
  <c r="U1144" i="43"/>
  <c r="O1145" i="43" s="1"/>
  <c r="P1145" i="43" s="1"/>
  <c r="T1141" i="43"/>
  <c r="P60" i="44"/>
  <c r="O60" i="44"/>
  <c r="N60" i="44"/>
  <c r="M60" i="44"/>
  <c r="L60" i="44"/>
  <c r="K60" i="44"/>
  <c r="J60" i="44"/>
  <c r="I60" i="44"/>
  <c r="H60" i="44"/>
  <c r="G60" i="44"/>
  <c r="F60" i="44"/>
  <c r="E60" i="44"/>
  <c r="D60" i="44"/>
  <c r="C60" i="44"/>
  <c r="Q60" i="44"/>
  <c r="D1140" i="43"/>
  <c r="D1139" i="43"/>
  <c r="D1138" i="43"/>
  <c r="D1137" i="43"/>
  <c r="D1136" i="43"/>
  <c r="D1135" i="43"/>
  <c r="D1134" i="43"/>
  <c r="D1133" i="43"/>
  <c r="D1132" i="43"/>
  <c r="D1131" i="43"/>
  <c r="D1130" i="43"/>
  <c r="D1129" i="43"/>
  <c r="N1128" i="43"/>
  <c r="D1128" i="43"/>
  <c r="N1127" i="43"/>
  <c r="D1127" i="43"/>
  <c r="N1126" i="43"/>
  <c r="D1126" i="43"/>
  <c r="D1125" i="43"/>
  <c r="U1124" i="43"/>
  <c r="O1125" i="43" s="1"/>
  <c r="P1125" i="43" s="1"/>
  <c r="T1121" i="43"/>
  <c r="Q59" i="44"/>
  <c r="N59" i="44"/>
  <c r="M59" i="44"/>
  <c r="L59" i="44"/>
  <c r="K59" i="44"/>
  <c r="J59" i="44"/>
  <c r="I59" i="44"/>
  <c r="H59" i="44"/>
  <c r="G59" i="44"/>
  <c r="F59" i="44"/>
  <c r="E59" i="44"/>
  <c r="D59" i="44"/>
  <c r="C59" i="44"/>
  <c r="D1120" i="43"/>
  <c r="D1119" i="43"/>
  <c r="D1118" i="43"/>
  <c r="D1117" i="43"/>
  <c r="D1116" i="43"/>
  <c r="D1115" i="43"/>
  <c r="D1114" i="43"/>
  <c r="D1113" i="43"/>
  <c r="D1112" i="43"/>
  <c r="D1111" i="43"/>
  <c r="D1110" i="43"/>
  <c r="D1109" i="43"/>
  <c r="N1108" i="43"/>
  <c r="D1108" i="43"/>
  <c r="N1107" i="43"/>
  <c r="D1107" i="43"/>
  <c r="N1106" i="43"/>
  <c r="D1106" i="43"/>
  <c r="D1105" i="43"/>
  <c r="U1104" i="43"/>
  <c r="O1105" i="43" s="1"/>
  <c r="T1101" i="43"/>
  <c r="P58" i="44"/>
  <c r="O58" i="44"/>
  <c r="N58" i="44"/>
  <c r="M58" i="44"/>
  <c r="L58" i="44"/>
  <c r="K58" i="44"/>
  <c r="C58" i="44"/>
  <c r="D58" i="44"/>
  <c r="E58" i="44"/>
  <c r="F58" i="44"/>
  <c r="G58" i="44"/>
  <c r="H58" i="44"/>
  <c r="I58" i="44"/>
  <c r="J58" i="44"/>
  <c r="Q58" i="44"/>
  <c r="D1100" i="43"/>
  <c r="D1099" i="43"/>
  <c r="D1098" i="43"/>
  <c r="D1097" i="43"/>
  <c r="D1096" i="43"/>
  <c r="D1095" i="43"/>
  <c r="D1094" i="43"/>
  <c r="D1093" i="43"/>
  <c r="D1092" i="43"/>
  <c r="D1091" i="43"/>
  <c r="D1090" i="43"/>
  <c r="D1089" i="43"/>
  <c r="N1088" i="43"/>
  <c r="D1088" i="43"/>
  <c r="N1087" i="43"/>
  <c r="D1087" i="43"/>
  <c r="N1086" i="43"/>
  <c r="D1086" i="43"/>
  <c r="D1085" i="43"/>
  <c r="U1084" i="43"/>
  <c r="O1085" i="43" s="1"/>
  <c r="P1085" i="43" s="1"/>
  <c r="T1081" i="43"/>
  <c r="C57" i="44"/>
  <c r="D57" i="44"/>
  <c r="E57" i="44"/>
  <c r="F57" i="44"/>
  <c r="G57" i="44"/>
  <c r="H57" i="44"/>
  <c r="I57" i="44"/>
  <c r="J57" i="44"/>
  <c r="K57" i="44"/>
  <c r="L57" i="44"/>
  <c r="M57" i="44"/>
  <c r="N57" i="44"/>
  <c r="Q57" i="44"/>
  <c r="N1068" i="43"/>
  <c r="N1069" i="43"/>
  <c r="D1080" i="43"/>
  <c r="D1079" i="43"/>
  <c r="D1078" i="43"/>
  <c r="D1077" i="43"/>
  <c r="D1076" i="43"/>
  <c r="D1075" i="43"/>
  <c r="D1074" i="43"/>
  <c r="D1073" i="43"/>
  <c r="D1072" i="43"/>
  <c r="D1071" i="43"/>
  <c r="D1070" i="43"/>
  <c r="D1069" i="43"/>
  <c r="D1068" i="43"/>
  <c r="N1067" i="43"/>
  <c r="D1067" i="43"/>
  <c r="N1066" i="43"/>
  <c r="D1066" i="43"/>
  <c r="D1065" i="43"/>
  <c r="U1064" i="43"/>
  <c r="O1065" i="43" s="1"/>
  <c r="P1065" i="43" s="1"/>
  <c r="T1061" i="43"/>
  <c r="C56" i="44"/>
  <c r="D56" i="44"/>
  <c r="E56" i="44"/>
  <c r="F56" i="44"/>
  <c r="G56" i="44"/>
  <c r="H56" i="44"/>
  <c r="I56" i="44"/>
  <c r="J56" i="44"/>
  <c r="K56" i="44"/>
  <c r="L56" i="44"/>
  <c r="M56" i="44"/>
  <c r="N56" i="44"/>
  <c r="Q56" i="44"/>
  <c r="D1060" i="43"/>
  <c r="D1059" i="43"/>
  <c r="D1058" i="43"/>
  <c r="D1057" i="43"/>
  <c r="D1056" i="43"/>
  <c r="D1055" i="43"/>
  <c r="D1054" i="43"/>
  <c r="D1053" i="43"/>
  <c r="D1052" i="43"/>
  <c r="D1051" i="43"/>
  <c r="D1050" i="43"/>
  <c r="D1049" i="43"/>
  <c r="D1048" i="43"/>
  <c r="N1047" i="43"/>
  <c r="D1047" i="43"/>
  <c r="N1046" i="43"/>
  <c r="D1046" i="43"/>
  <c r="D1045" i="43"/>
  <c r="U1044" i="43"/>
  <c r="O1045" i="43" s="1"/>
  <c r="T1041" i="43"/>
  <c r="C55" i="44"/>
  <c r="D55" i="44"/>
  <c r="E55" i="44"/>
  <c r="F55" i="44"/>
  <c r="G55" i="44"/>
  <c r="H55" i="44"/>
  <c r="I55" i="44"/>
  <c r="J55" i="44"/>
  <c r="K55" i="44"/>
  <c r="L55" i="44"/>
  <c r="M55" i="44"/>
  <c r="N55" i="44"/>
  <c r="Q55" i="44"/>
  <c r="D1040" i="43"/>
  <c r="D1039" i="43"/>
  <c r="D1038" i="43"/>
  <c r="D1037" i="43"/>
  <c r="D1036" i="43"/>
  <c r="D1035" i="43"/>
  <c r="D1034" i="43"/>
  <c r="D1033" i="43"/>
  <c r="D1032" i="43"/>
  <c r="D1031" i="43"/>
  <c r="D1030" i="43"/>
  <c r="D1029" i="43"/>
  <c r="N1028" i="43"/>
  <c r="D1028" i="43"/>
  <c r="N1027" i="43"/>
  <c r="D1027" i="43"/>
  <c r="N1026" i="43"/>
  <c r="D1026" i="43"/>
  <c r="D1025" i="43"/>
  <c r="U1024" i="43"/>
  <c r="O1025" i="43" s="1"/>
  <c r="P1025" i="43" s="1"/>
  <c r="T1021" i="43"/>
  <c r="N54" i="44"/>
  <c r="M54" i="44"/>
  <c r="L54" i="44"/>
  <c r="K54" i="44"/>
  <c r="J54" i="44"/>
  <c r="I54" i="44"/>
  <c r="H54" i="44"/>
  <c r="G54" i="44"/>
  <c r="F54" i="44"/>
  <c r="E54" i="44"/>
  <c r="D54" i="44"/>
  <c r="C54" i="44"/>
  <c r="Q54" i="44"/>
  <c r="N1009" i="43"/>
  <c r="D1020" i="43"/>
  <c r="D1019" i="43"/>
  <c r="D1018" i="43"/>
  <c r="D1017" i="43"/>
  <c r="D1016" i="43"/>
  <c r="D1015" i="43"/>
  <c r="D1014" i="43"/>
  <c r="D1013" i="43"/>
  <c r="D1012" i="43"/>
  <c r="D1011" i="43"/>
  <c r="D1010" i="43"/>
  <c r="D1009" i="43"/>
  <c r="N1008" i="43"/>
  <c r="D1008" i="43"/>
  <c r="N1007" i="43"/>
  <c r="D1007" i="43"/>
  <c r="N1006" i="43"/>
  <c r="D1006" i="43"/>
  <c r="D1005" i="43"/>
  <c r="U1004" i="43"/>
  <c r="O1005" i="43" s="1"/>
  <c r="T1001" i="43"/>
  <c r="P53" i="44"/>
  <c r="O53" i="44"/>
  <c r="N53" i="44"/>
  <c r="M53" i="44"/>
  <c r="L53" i="44"/>
  <c r="K53" i="44"/>
  <c r="J53" i="44"/>
  <c r="I53" i="44"/>
  <c r="H53" i="44"/>
  <c r="G53" i="44"/>
  <c r="F53" i="44"/>
  <c r="E53" i="44"/>
  <c r="D53" i="44"/>
  <c r="C53" i="44"/>
  <c r="Q53" i="44"/>
  <c r="D1000" i="43"/>
  <c r="D999" i="43"/>
  <c r="D998" i="43"/>
  <c r="D997" i="43"/>
  <c r="D996" i="43"/>
  <c r="D995" i="43"/>
  <c r="D994" i="43"/>
  <c r="D993" i="43"/>
  <c r="D992" i="43"/>
  <c r="D991" i="43"/>
  <c r="D990" i="43"/>
  <c r="D989" i="43"/>
  <c r="N988" i="43"/>
  <c r="D988" i="43"/>
  <c r="N987" i="43"/>
  <c r="D987" i="43"/>
  <c r="N986" i="43"/>
  <c r="D986" i="43"/>
  <c r="D985" i="43"/>
  <c r="U984" i="43"/>
  <c r="O985" i="43" s="1"/>
  <c r="T981" i="43"/>
  <c r="Q52" i="44"/>
  <c r="P52" i="44"/>
  <c r="O52" i="44"/>
  <c r="N52" i="44"/>
  <c r="M52" i="44"/>
  <c r="L52" i="44"/>
  <c r="K52" i="44"/>
  <c r="I52" i="44"/>
  <c r="J52" i="44"/>
  <c r="H52" i="44"/>
  <c r="G52" i="44" s="1"/>
  <c r="C52" i="44"/>
  <c r="D52" i="44"/>
  <c r="E52" i="44"/>
  <c r="F52" i="44"/>
  <c r="N968" i="43"/>
  <c r="N969" i="43"/>
  <c r="D980" i="43"/>
  <c r="D979" i="43"/>
  <c r="D978" i="43"/>
  <c r="D977" i="43"/>
  <c r="D976" i="43"/>
  <c r="D975" i="43"/>
  <c r="D974" i="43"/>
  <c r="D973" i="43"/>
  <c r="D972" i="43"/>
  <c r="D971" i="43"/>
  <c r="D970" i="43"/>
  <c r="D969" i="43"/>
  <c r="D968" i="43"/>
  <c r="N967" i="43"/>
  <c r="D967" i="43"/>
  <c r="N966" i="43"/>
  <c r="D966" i="43"/>
  <c r="D965" i="43"/>
  <c r="U964" i="43"/>
  <c r="O965" i="43" s="1"/>
  <c r="U963" i="43"/>
  <c r="T961" i="43"/>
  <c r="Q51" i="44"/>
  <c r="P51" i="44"/>
  <c r="O51" i="44"/>
  <c r="N51" i="44"/>
  <c r="M51" i="44"/>
  <c r="L51" i="44"/>
  <c r="K51" i="44"/>
  <c r="J51" i="44"/>
  <c r="I51" i="44"/>
  <c r="H51" i="44"/>
  <c r="G51" i="44"/>
  <c r="F51" i="44"/>
  <c r="E51" i="44"/>
  <c r="D51" i="44"/>
  <c r="C51" i="44"/>
  <c r="D960" i="43"/>
  <c r="D959" i="43"/>
  <c r="D958" i="43"/>
  <c r="D957" i="43"/>
  <c r="D956" i="43"/>
  <c r="D955" i="43"/>
  <c r="D954" i="43"/>
  <c r="D953" i="43"/>
  <c r="D952" i="43"/>
  <c r="D951" i="43"/>
  <c r="D950" i="43"/>
  <c r="D949" i="43"/>
  <c r="D948" i="43"/>
  <c r="N947" i="43"/>
  <c r="D947" i="43"/>
  <c r="N946" i="43"/>
  <c r="D946" i="43"/>
  <c r="D945" i="43"/>
  <c r="U944" i="43"/>
  <c r="O945" i="43" s="1"/>
  <c r="T941" i="43"/>
  <c r="Q50" i="44"/>
  <c r="P50" i="44"/>
  <c r="O50" i="44"/>
  <c r="N50" i="44"/>
  <c r="M50" i="44"/>
  <c r="L50" i="44"/>
  <c r="K50" i="44"/>
  <c r="C50" i="44"/>
  <c r="D50" i="44"/>
  <c r="E50" i="44"/>
  <c r="F50" i="44"/>
  <c r="G50" i="44"/>
  <c r="H50" i="44"/>
  <c r="I50" i="44"/>
  <c r="J50" i="44"/>
  <c r="N928" i="43"/>
  <c r="N929" i="43"/>
  <c r="N930" i="43"/>
  <c r="N931" i="43"/>
  <c r="N932" i="43"/>
  <c r="D940" i="43"/>
  <c r="D939" i="43"/>
  <c r="D938" i="43"/>
  <c r="D937" i="43"/>
  <c r="D936" i="43"/>
  <c r="D935" i="43"/>
  <c r="D934" i="43"/>
  <c r="D933" i="43"/>
  <c r="D932" i="43"/>
  <c r="D931" i="43"/>
  <c r="D930" i="43"/>
  <c r="D929" i="43"/>
  <c r="D928" i="43"/>
  <c r="N927" i="43"/>
  <c r="D927" i="43"/>
  <c r="N926" i="43"/>
  <c r="D926" i="43"/>
  <c r="D925" i="43"/>
  <c r="U924" i="43"/>
  <c r="O925" i="43" s="1"/>
  <c r="T921" i="43"/>
  <c r="C49" i="44"/>
  <c r="D49" i="44"/>
  <c r="E49" i="44"/>
  <c r="F49" i="44"/>
  <c r="G49" i="44"/>
  <c r="H49" i="44"/>
  <c r="I49" i="44"/>
  <c r="J49" i="44"/>
  <c r="K49" i="44"/>
  <c r="L49" i="44"/>
  <c r="M49" i="44"/>
  <c r="N49" i="44"/>
  <c r="O49" i="44"/>
  <c r="P49" i="44"/>
  <c r="Q49" i="44"/>
  <c r="D920" i="43"/>
  <c r="D919" i="43"/>
  <c r="D918" i="43"/>
  <c r="D917" i="43"/>
  <c r="D916" i="43"/>
  <c r="D915" i="43"/>
  <c r="D914" i="43"/>
  <c r="D913" i="43"/>
  <c r="D912" i="43"/>
  <c r="D911" i="43"/>
  <c r="D910" i="43"/>
  <c r="D909" i="43"/>
  <c r="D908" i="43"/>
  <c r="N907" i="43"/>
  <c r="D907" i="43"/>
  <c r="N906" i="43"/>
  <c r="D906" i="43"/>
  <c r="D905" i="43"/>
  <c r="U904" i="43"/>
  <c r="O905" i="43" s="1"/>
  <c r="T901" i="43"/>
  <c r="C48" i="44"/>
  <c r="D48" i="44"/>
  <c r="E48" i="44"/>
  <c r="F48" i="44"/>
  <c r="G48" i="44"/>
  <c r="H48" i="44"/>
  <c r="I48" i="44"/>
  <c r="J48" i="44"/>
  <c r="K48" i="44"/>
  <c r="L48" i="44"/>
  <c r="M48" i="44"/>
  <c r="N48" i="44"/>
  <c r="O48" i="44"/>
  <c r="P48" i="44"/>
  <c r="Q48" i="44"/>
  <c r="D900" i="43"/>
  <c r="D899" i="43"/>
  <c r="D898" i="43"/>
  <c r="D897" i="43"/>
  <c r="D896" i="43"/>
  <c r="D895" i="43"/>
  <c r="D894" i="43"/>
  <c r="D893" i="43"/>
  <c r="D892" i="43"/>
  <c r="D891" i="43"/>
  <c r="D890" i="43"/>
  <c r="D889" i="43"/>
  <c r="N888" i="43"/>
  <c r="D888" i="43"/>
  <c r="N887" i="43"/>
  <c r="D887" i="43"/>
  <c r="N886" i="43"/>
  <c r="D886" i="43"/>
  <c r="D885" i="43"/>
  <c r="U884" i="43"/>
  <c r="O885" i="43" s="1"/>
  <c r="T881" i="43"/>
  <c r="Q47" i="44"/>
  <c r="P47" i="44"/>
  <c r="O47" i="44"/>
  <c r="N47" i="44"/>
  <c r="M47" i="44"/>
  <c r="L47" i="44"/>
  <c r="K47" i="44"/>
  <c r="J47" i="44"/>
  <c r="I47" i="44"/>
  <c r="H47" i="44"/>
  <c r="G47" i="44"/>
  <c r="F47" i="44"/>
  <c r="E47" i="44"/>
  <c r="D47" i="44"/>
  <c r="C47" i="44"/>
  <c r="D880" i="43"/>
  <c r="D879" i="43"/>
  <c r="D878" i="43"/>
  <c r="D877" i="43"/>
  <c r="D876" i="43"/>
  <c r="D875" i="43"/>
  <c r="D874" i="43"/>
  <c r="D873" i="43"/>
  <c r="D872" i="43"/>
  <c r="D871" i="43"/>
  <c r="D870" i="43"/>
  <c r="D869" i="43"/>
  <c r="N868" i="43"/>
  <c r="D868" i="43"/>
  <c r="N867" i="43"/>
  <c r="D867" i="43"/>
  <c r="N866" i="43"/>
  <c r="D866" i="43"/>
  <c r="D865" i="43"/>
  <c r="U864" i="43"/>
  <c r="O865" i="43" s="1"/>
  <c r="U863" i="43"/>
  <c r="T861" i="43"/>
  <c r="N46" i="44"/>
  <c r="M46" i="44"/>
  <c r="L46" i="44"/>
  <c r="K46" i="44"/>
  <c r="J46" i="44"/>
  <c r="I46" i="44"/>
  <c r="H46" i="44"/>
  <c r="G46" i="44"/>
  <c r="F46" i="44"/>
  <c r="E46" i="44"/>
  <c r="D46" i="44"/>
  <c r="C46" i="44"/>
  <c r="Q46" i="44"/>
  <c r="N849" i="43"/>
  <c r="D860" i="43"/>
  <c r="D859" i="43"/>
  <c r="D858" i="43"/>
  <c r="D857" i="43"/>
  <c r="D856" i="43"/>
  <c r="D855" i="43"/>
  <c r="D854" i="43"/>
  <c r="D853" i="43"/>
  <c r="D852" i="43"/>
  <c r="D851" i="43"/>
  <c r="D850" i="43"/>
  <c r="D849" i="43"/>
  <c r="N848" i="43"/>
  <c r="D848" i="43"/>
  <c r="N847" i="43"/>
  <c r="D847" i="43"/>
  <c r="N846" i="43"/>
  <c r="D846" i="43"/>
  <c r="D845" i="43"/>
  <c r="U844" i="43"/>
  <c r="O845" i="43" s="1"/>
  <c r="P845" i="43" s="1"/>
  <c r="T841" i="43"/>
  <c r="C45" i="44"/>
  <c r="D45" i="44"/>
  <c r="E45" i="44"/>
  <c r="F45" i="44"/>
  <c r="G45" i="44"/>
  <c r="H45" i="44"/>
  <c r="I45" i="44"/>
  <c r="J45" i="44"/>
  <c r="K45" i="44"/>
  <c r="L45" i="44"/>
  <c r="M45" i="44"/>
  <c r="N45" i="44"/>
  <c r="O45" i="44"/>
  <c r="P45" i="44"/>
  <c r="Q45" i="44"/>
  <c r="N828" i="43"/>
  <c r="D840" i="43"/>
  <c r="D839" i="43"/>
  <c r="D838" i="43"/>
  <c r="D837" i="43"/>
  <c r="D836" i="43"/>
  <c r="D835" i="43"/>
  <c r="D834" i="43"/>
  <c r="D833" i="43"/>
  <c r="D832" i="43"/>
  <c r="D831" i="43"/>
  <c r="D830" i="43"/>
  <c r="D829" i="43"/>
  <c r="D828" i="43"/>
  <c r="N827" i="43"/>
  <c r="D827" i="43"/>
  <c r="N826" i="43"/>
  <c r="D826" i="43"/>
  <c r="D825" i="43"/>
  <c r="U824" i="43"/>
  <c r="O825" i="43" s="1"/>
  <c r="P825" i="43" s="1"/>
  <c r="T821" i="43"/>
  <c r="Q44" i="44"/>
  <c r="C44" i="44"/>
  <c r="D44" i="44"/>
  <c r="E44" i="44"/>
  <c r="F44" i="44"/>
  <c r="G44" i="44"/>
  <c r="H44" i="44"/>
  <c r="I44" i="44"/>
  <c r="J44" i="44"/>
  <c r="K44" i="44"/>
  <c r="L44" i="44"/>
  <c r="M44" i="44"/>
  <c r="N44" i="44"/>
  <c r="O44" i="44"/>
  <c r="P44" i="44"/>
  <c r="D820" i="43"/>
  <c r="D819" i="43"/>
  <c r="D818" i="43"/>
  <c r="D817" i="43"/>
  <c r="D816" i="43"/>
  <c r="D815" i="43"/>
  <c r="D814" i="43"/>
  <c r="D813" i="43"/>
  <c r="D812" i="43"/>
  <c r="D811" i="43"/>
  <c r="D810" i="43"/>
  <c r="D809" i="43"/>
  <c r="D808" i="43"/>
  <c r="N807" i="43"/>
  <c r="D807" i="43"/>
  <c r="N806" i="43"/>
  <c r="D806" i="43"/>
  <c r="D805" i="43"/>
  <c r="U804" i="43"/>
  <c r="O805" i="43" s="1"/>
  <c r="T801" i="43"/>
  <c r="Q43" i="44"/>
  <c r="P43" i="44"/>
  <c r="O43" i="44"/>
  <c r="N43" i="44"/>
  <c r="M43" i="44"/>
  <c r="L43" i="44"/>
  <c r="K43" i="44"/>
  <c r="J43" i="44"/>
  <c r="I43" i="44"/>
  <c r="H43" i="44"/>
  <c r="G43" i="44"/>
  <c r="F43" i="44"/>
  <c r="E43" i="44"/>
  <c r="D43" i="44"/>
  <c r="C43" i="44"/>
  <c r="D800" i="43"/>
  <c r="D799" i="43"/>
  <c r="D798" i="43"/>
  <c r="D797" i="43"/>
  <c r="D796" i="43"/>
  <c r="D795" i="43"/>
  <c r="D794" i="43"/>
  <c r="D793" i="43"/>
  <c r="D792" i="43"/>
  <c r="D791" i="43"/>
  <c r="D790" i="43"/>
  <c r="D789" i="43"/>
  <c r="D788" i="43"/>
  <c r="N787" i="43"/>
  <c r="D787" i="43"/>
  <c r="N786" i="43"/>
  <c r="D786" i="43"/>
  <c r="D785" i="43"/>
  <c r="U784" i="43"/>
  <c r="O785" i="43" s="1"/>
  <c r="T781" i="43"/>
  <c r="G42" i="44"/>
  <c r="H42" i="44"/>
  <c r="C42" i="44"/>
  <c r="D42" i="44"/>
  <c r="E42" i="44"/>
  <c r="F42" i="44"/>
  <c r="I42" i="44"/>
  <c r="J42" i="44"/>
  <c r="K42" i="44"/>
  <c r="L42" i="44"/>
  <c r="M42" i="44"/>
  <c r="N42" i="44"/>
  <c r="O42" i="44"/>
  <c r="P42" i="44"/>
  <c r="Q42" i="44"/>
  <c r="D780" i="43"/>
  <c r="D779" i="43"/>
  <c r="D778" i="43"/>
  <c r="D777" i="43"/>
  <c r="D776" i="43"/>
  <c r="D775" i="43"/>
  <c r="D774" i="43"/>
  <c r="D773" i="43"/>
  <c r="D772" i="43"/>
  <c r="D771" i="43"/>
  <c r="D770" i="43"/>
  <c r="D769" i="43"/>
  <c r="N768" i="43"/>
  <c r="D768" i="43"/>
  <c r="N767" i="43"/>
  <c r="D767" i="43"/>
  <c r="N766" i="43"/>
  <c r="D766" i="43"/>
  <c r="D765" i="43"/>
  <c r="U764" i="43"/>
  <c r="O765" i="43" s="1"/>
  <c r="T761" i="43"/>
  <c r="Q41" i="44"/>
  <c r="P41" i="44"/>
  <c r="O41" i="44"/>
  <c r="N41" i="44"/>
  <c r="M41" i="44"/>
  <c r="L41" i="44"/>
  <c r="K41" i="44"/>
  <c r="J41" i="44"/>
  <c r="I41" i="44"/>
  <c r="H41" i="44"/>
  <c r="G41" i="44"/>
  <c r="C41" i="44"/>
  <c r="D41" i="44"/>
  <c r="E41" i="44"/>
  <c r="F41" i="44"/>
  <c r="N750" i="43"/>
  <c r="D760" i="43"/>
  <c r="D759" i="43"/>
  <c r="D758" i="43"/>
  <c r="D757" i="43"/>
  <c r="D756" i="43"/>
  <c r="D755" i="43"/>
  <c r="D754" i="43"/>
  <c r="D753" i="43"/>
  <c r="D752" i="43"/>
  <c r="D751" i="43"/>
  <c r="D750" i="43"/>
  <c r="N749" i="43"/>
  <c r="D749" i="43"/>
  <c r="N748" i="43"/>
  <c r="D748" i="43"/>
  <c r="N747" i="43"/>
  <c r="D747" i="43"/>
  <c r="N746" i="43"/>
  <c r="D746" i="43"/>
  <c r="D745" i="43"/>
  <c r="U744" i="43"/>
  <c r="O745" i="43" s="1"/>
  <c r="T741" i="43"/>
  <c r="Q22" i="44"/>
  <c r="K40" i="44"/>
  <c r="L40" i="44"/>
  <c r="M40" i="44"/>
  <c r="N40" i="44"/>
  <c r="O40" i="44"/>
  <c r="P40" i="44"/>
  <c r="Q40" i="44"/>
  <c r="J40" i="44"/>
  <c r="I40" i="44"/>
  <c r="H40" i="44"/>
  <c r="G40" i="44"/>
  <c r="F40" i="44"/>
  <c r="E40" i="44"/>
  <c r="D40" i="44"/>
  <c r="C40" i="44"/>
  <c r="N729" i="43"/>
  <c r="D740" i="43"/>
  <c r="D739" i="43"/>
  <c r="D738" i="43"/>
  <c r="D737" i="43"/>
  <c r="D736" i="43"/>
  <c r="D735" i="43"/>
  <c r="D734" i="43"/>
  <c r="D733" i="43"/>
  <c r="D732" i="43"/>
  <c r="D731" i="43"/>
  <c r="D730" i="43"/>
  <c r="D729" i="43"/>
  <c r="N728" i="43"/>
  <c r="D728" i="43"/>
  <c r="N727" i="43"/>
  <c r="D727" i="43"/>
  <c r="N726" i="43"/>
  <c r="D726" i="43"/>
  <c r="D725" i="43"/>
  <c r="U724" i="43"/>
  <c r="O725" i="43" s="1"/>
  <c r="P725" i="43" s="1"/>
  <c r="T721" i="43"/>
  <c r="C39" i="44"/>
  <c r="D39" i="44"/>
  <c r="E39" i="44"/>
  <c r="F39" i="44"/>
  <c r="G39" i="44"/>
  <c r="H39" i="44"/>
  <c r="I39" i="44"/>
  <c r="J39" i="44"/>
  <c r="K39" i="44"/>
  <c r="L39" i="44"/>
  <c r="M39" i="44"/>
  <c r="N39" i="44"/>
  <c r="O39" i="44"/>
  <c r="P39" i="44"/>
  <c r="Q39" i="44"/>
  <c r="D720" i="43"/>
  <c r="D719" i="43"/>
  <c r="D718" i="43"/>
  <c r="D717" i="43"/>
  <c r="D716" i="43"/>
  <c r="D715" i="43"/>
  <c r="D714" i="43"/>
  <c r="D713" i="43"/>
  <c r="D712" i="43"/>
  <c r="D711" i="43"/>
  <c r="D710" i="43"/>
  <c r="D709" i="43"/>
  <c r="N708" i="43"/>
  <c r="D708" i="43"/>
  <c r="N707" i="43"/>
  <c r="D707" i="43"/>
  <c r="N706" i="43"/>
  <c r="D706" i="43"/>
  <c r="D705" i="43"/>
  <c r="U704" i="43"/>
  <c r="O705" i="43" s="1"/>
  <c r="T701" i="43"/>
  <c r="Q38" i="44"/>
  <c r="C38" i="44"/>
  <c r="D38" i="44"/>
  <c r="E38" i="44"/>
  <c r="F38" i="44"/>
  <c r="G38" i="44"/>
  <c r="H38" i="44"/>
  <c r="I38" i="44"/>
  <c r="J38" i="44"/>
  <c r="K38" i="44"/>
  <c r="L38" i="44"/>
  <c r="M38" i="44"/>
  <c r="N38" i="44"/>
  <c r="O38" i="44"/>
  <c r="P38" i="44"/>
  <c r="N688" i="43"/>
  <c r="N689" i="43"/>
  <c r="D700" i="43"/>
  <c r="D699" i="43"/>
  <c r="D698" i="43"/>
  <c r="D697" i="43"/>
  <c r="D696" i="43"/>
  <c r="D695" i="43"/>
  <c r="D694" i="43"/>
  <c r="D693" i="43"/>
  <c r="D692" i="43"/>
  <c r="D691" i="43"/>
  <c r="D690" i="43"/>
  <c r="D689" i="43"/>
  <c r="D688" i="43"/>
  <c r="N687" i="43"/>
  <c r="D687" i="43"/>
  <c r="N686" i="43"/>
  <c r="D686" i="43"/>
  <c r="D685" i="43"/>
  <c r="U684" i="43"/>
  <c r="O685" i="43" s="1"/>
  <c r="P685" i="43" s="1"/>
  <c r="T681" i="43"/>
  <c r="Q37" i="44"/>
  <c r="P37" i="44"/>
  <c r="O37" i="44"/>
  <c r="N37" i="44"/>
  <c r="M37" i="44"/>
  <c r="L37" i="44"/>
  <c r="K37" i="44"/>
  <c r="J37" i="44"/>
  <c r="I37" i="44"/>
  <c r="H37" i="44"/>
  <c r="G37" i="44"/>
  <c r="F37" i="44"/>
  <c r="E37" i="44"/>
  <c r="D37" i="44"/>
  <c r="C37" i="44"/>
  <c r="D680" i="43"/>
  <c r="D679" i="43"/>
  <c r="D678" i="43"/>
  <c r="D677" i="43"/>
  <c r="D676" i="43"/>
  <c r="D675" i="43"/>
  <c r="D674" i="43"/>
  <c r="D673" i="43"/>
  <c r="D672" i="43"/>
  <c r="D671" i="43"/>
  <c r="D670" i="43"/>
  <c r="D669" i="43"/>
  <c r="D668" i="43"/>
  <c r="N667" i="43"/>
  <c r="D667" i="43"/>
  <c r="N666" i="43"/>
  <c r="D666" i="43"/>
  <c r="D665" i="43"/>
  <c r="U664" i="43"/>
  <c r="O665" i="43" s="1"/>
  <c r="T661" i="43"/>
  <c r="Q36" i="44"/>
  <c r="P36" i="44"/>
  <c r="O36" i="44"/>
  <c r="N36" i="44"/>
  <c r="M36" i="44"/>
  <c r="L36" i="44"/>
  <c r="K36" i="44"/>
  <c r="J36" i="44"/>
  <c r="I36" i="44"/>
  <c r="H36" i="44"/>
  <c r="G36" i="44"/>
  <c r="F36" i="44"/>
  <c r="E36" i="44"/>
  <c r="D36" i="44"/>
  <c r="C36" i="44"/>
  <c r="D660" i="43"/>
  <c r="D659" i="43"/>
  <c r="D658" i="43"/>
  <c r="D657" i="43"/>
  <c r="D656" i="43"/>
  <c r="D655" i="43"/>
  <c r="D654" i="43"/>
  <c r="D653" i="43"/>
  <c r="D652" i="43"/>
  <c r="D651" i="43"/>
  <c r="D650" i="43"/>
  <c r="N649" i="43"/>
  <c r="D649" i="43"/>
  <c r="N648" i="43"/>
  <c r="D648" i="43"/>
  <c r="N647" i="43"/>
  <c r="D647" i="43"/>
  <c r="N646" i="43"/>
  <c r="D646" i="43"/>
  <c r="D645" i="43"/>
  <c r="U644" i="43"/>
  <c r="O645" i="43" s="1"/>
  <c r="U643" i="43"/>
  <c r="T641" i="43"/>
  <c r="C35" i="44"/>
  <c r="D35" i="44"/>
  <c r="E35" i="44"/>
  <c r="F35" i="44"/>
  <c r="G35" i="44"/>
  <c r="H35" i="44"/>
  <c r="I35" i="44"/>
  <c r="J35" i="44"/>
  <c r="K35" i="44"/>
  <c r="L35" i="44"/>
  <c r="M35" i="44"/>
  <c r="N35" i="44"/>
  <c r="O35" i="44"/>
  <c r="P35" i="44"/>
  <c r="Q35" i="44"/>
  <c r="N630" i="43"/>
  <c r="N631" i="43"/>
  <c r="N632" i="43"/>
  <c r="D640" i="43"/>
  <c r="D639" i="43"/>
  <c r="D638" i="43"/>
  <c r="D637" i="43"/>
  <c r="D636" i="43"/>
  <c r="D635" i="43"/>
  <c r="D634" i="43"/>
  <c r="D633" i="43"/>
  <c r="D632" i="43"/>
  <c r="D631" i="43"/>
  <c r="D630" i="43"/>
  <c r="N629" i="43"/>
  <c r="D629" i="43"/>
  <c r="N628" i="43"/>
  <c r="D628" i="43"/>
  <c r="N627" i="43"/>
  <c r="D627" i="43"/>
  <c r="N626" i="43"/>
  <c r="D626" i="43"/>
  <c r="D625" i="43"/>
  <c r="U624" i="43"/>
  <c r="O625" i="43" s="1"/>
  <c r="T621" i="43"/>
  <c r="Q34" i="44"/>
  <c r="P34" i="44"/>
  <c r="O34" i="44"/>
  <c r="N34" i="44"/>
  <c r="M34" i="44"/>
  <c r="L34" i="44"/>
  <c r="K34" i="44"/>
  <c r="C34" i="44"/>
  <c r="D34" i="44"/>
  <c r="E34" i="44"/>
  <c r="F34" i="44"/>
  <c r="G34" i="44"/>
  <c r="H34" i="44"/>
  <c r="I34" i="44"/>
  <c r="J34" i="44"/>
  <c r="D620" i="43"/>
  <c r="D619" i="43"/>
  <c r="D618" i="43"/>
  <c r="D617" i="43"/>
  <c r="D616" i="43"/>
  <c r="D615" i="43"/>
  <c r="D614" i="43"/>
  <c r="D613" i="43"/>
  <c r="D612" i="43"/>
  <c r="D611" i="43"/>
  <c r="D610" i="43"/>
  <c r="N609" i="43"/>
  <c r="D609" i="43"/>
  <c r="N608" i="43"/>
  <c r="D608" i="43"/>
  <c r="N607" i="43"/>
  <c r="D607" i="43"/>
  <c r="N606" i="43"/>
  <c r="D606" i="43"/>
  <c r="D605" i="43"/>
  <c r="U604" i="43"/>
  <c r="O605" i="43" s="1"/>
  <c r="P605" i="43" s="1"/>
  <c r="T601" i="43"/>
  <c r="Q33" i="44"/>
  <c r="P33" i="44"/>
  <c r="O33" i="44"/>
  <c r="N33" i="44"/>
  <c r="M33" i="44"/>
  <c r="L33" i="44"/>
  <c r="K33" i="44"/>
  <c r="J33" i="44"/>
  <c r="I33" i="44"/>
  <c r="H33" i="44"/>
  <c r="G33" i="44"/>
  <c r="C33" i="44"/>
  <c r="D33" i="44"/>
  <c r="E33" i="44"/>
  <c r="F33" i="44"/>
  <c r="N589" i="43"/>
  <c r="D600" i="43"/>
  <c r="D599" i="43"/>
  <c r="D598" i="43"/>
  <c r="D597" i="43"/>
  <c r="D596" i="43"/>
  <c r="D595" i="43"/>
  <c r="D594" i="43"/>
  <c r="D593" i="43"/>
  <c r="D592" i="43"/>
  <c r="D591" i="43"/>
  <c r="D590" i="43"/>
  <c r="D589" i="43"/>
  <c r="N588" i="43"/>
  <c r="D588" i="43"/>
  <c r="N587" i="43"/>
  <c r="D587" i="43"/>
  <c r="N586" i="43"/>
  <c r="D586" i="43"/>
  <c r="D585" i="43"/>
  <c r="U584" i="43"/>
  <c r="O585" i="43" s="1"/>
  <c r="P585" i="43" s="1"/>
  <c r="T581" i="43"/>
  <c r="C32" i="44"/>
  <c r="D32" i="44"/>
  <c r="E32" i="44"/>
  <c r="F32" i="44"/>
  <c r="G32" i="44"/>
  <c r="H32" i="44"/>
  <c r="I32" i="44"/>
  <c r="J32" i="44"/>
  <c r="K32" i="44"/>
  <c r="L32" i="44"/>
  <c r="M32" i="44"/>
  <c r="N32" i="44"/>
  <c r="O32" i="44"/>
  <c r="P32" i="44"/>
  <c r="Q32" i="44"/>
  <c r="D580" i="43"/>
  <c r="D579" i="43"/>
  <c r="D578" i="43"/>
  <c r="D577" i="43"/>
  <c r="D576" i="43"/>
  <c r="D575" i="43"/>
  <c r="D574" i="43"/>
  <c r="D573" i="43"/>
  <c r="D572" i="43"/>
  <c r="D571" i="43"/>
  <c r="D570" i="43"/>
  <c r="D569" i="43"/>
  <c r="N568" i="43"/>
  <c r="D568" i="43"/>
  <c r="N567" i="43"/>
  <c r="D567" i="43"/>
  <c r="N566" i="43"/>
  <c r="D566" i="43"/>
  <c r="D565" i="43"/>
  <c r="U564" i="43"/>
  <c r="O565" i="43" s="1"/>
  <c r="T561" i="43"/>
  <c r="N3" i="53"/>
  <c r="A8" i="53"/>
  <c r="A84" i="53" s="1"/>
  <c r="A119" i="53" s="1"/>
  <c r="C8" i="53"/>
  <c r="C84" i="53" s="1"/>
  <c r="C119" i="53" s="1"/>
  <c r="A9" i="53"/>
  <c r="A85" i="53" s="1"/>
  <c r="A120" i="53" s="1"/>
  <c r="C9" i="53"/>
  <c r="C85" i="53" s="1"/>
  <c r="C120" i="53" s="1"/>
  <c r="A10" i="53"/>
  <c r="A86" i="53" s="1"/>
  <c r="A121" i="53" s="1"/>
  <c r="C10" i="53"/>
  <c r="C86" i="53" s="1"/>
  <c r="C121" i="53" s="1"/>
  <c r="A11" i="53"/>
  <c r="A87" i="53" s="1"/>
  <c r="A122" i="53" s="1"/>
  <c r="C11" i="53"/>
  <c r="C87" i="53" s="1"/>
  <c r="C122" i="53" s="1"/>
  <c r="O11" i="53"/>
  <c r="N13" i="53"/>
  <c r="D22" i="53"/>
  <c r="A24" i="53"/>
  <c r="B24" i="53"/>
  <c r="A91" i="53"/>
  <c r="A94" i="53"/>
  <c r="B94" i="53"/>
  <c r="D97" i="53"/>
  <c r="D100" i="53"/>
  <c r="A126" i="53"/>
  <c r="D137" i="53"/>
  <c r="A138" i="53"/>
  <c r="B138" i="53"/>
  <c r="N3" i="52"/>
  <c r="A9" i="52"/>
  <c r="A82" i="52" s="1"/>
  <c r="A119" i="52" s="1"/>
  <c r="C9" i="52"/>
  <c r="C82" i="52" s="1"/>
  <c r="C119" i="52" s="1"/>
  <c r="A10" i="52"/>
  <c r="A83" i="52" s="1"/>
  <c r="A120" i="52" s="1"/>
  <c r="C10" i="52"/>
  <c r="C83" i="52" s="1"/>
  <c r="C120" i="52" s="1"/>
  <c r="A11" i="52"/>
  <c r="A84" i="52" s="1"/>
  <c r="A121" i="52" s="1"/>
  <c r="C11" i="52"/>
  <c r="C84" i="52" s="1"/>
  <c r="C121" i="52" s="1"/>
  <c r="A12" i="52"/>
  <c r="A85" i="52" s="1"/>
  <c r="A122" i="52" s="1"/>
  <c r="C12" i="52"/>
  <c r="C85" i="52" s="1"/>
  <c r="C122" i="52" s="1"/>
  <c r="B25" i="52"/>
  <c r="A29" i="52"/>
  <c r="A31" i="52"/>
  <c r="B31" i="52"/>
  <c r="A32" i="52"/>
  <c r="B32" i="52"/>
  <c r="A33" i="52"/>
  <c r="B33" i="52"/>
  <c r="A34" i="52"/>
  <c r="A89" i="52"/>
  <c r="A92" i="52"/>
  <c r="B92" i="52"/>
  <c r="A93" i="52"/>
  <c r="A126" i="52"/>
  <c r="B138" i="52"/>
  <c r="A142" i="52"/>
  <c r="A152" i="52"/>
  <c r="A154" i="52"/>
  <c r="A157" i="52"/>
  <c r="A4" i="51"/>
  <c r="A4" i="52" s="1"/>
  <c r="A8" i="51"/>
  <c r="A88" i="51"/>
  <c r="A124" i="51" s="1"/>
  <c r="C8" i="51"/>
  <c r="C88" i="51" s="1"/>
  <c r="C124" i="51" s="1"/>
  <c r="A9" i="51"/>
  <c r="A89" i="51" s="1"/>
  <c r="A125" i="51" s="1"/>
  <c r="C9" i="51"/>
  <c r="C89" i="51" s="1"/>
  <c r="C125" i="51" s="1"/>
  <c r="A10" i="51"/>
  <c r="A90" i="51" s="1"/>
  <c r="A126" i="51" s="1"/>
  <c r="C10" i="51"/>
  <c r="C90" i="51" s="1"/>
  <c r="C126" i="51" s="1"/>
  <c r="A11" i="51"/>
  <c r="A91" i="51" s="1"/>
  <c r="A127" i="51" s="1"/>
  <c r="C11" i="51"/>
  <c r="C91" i="51"/>
  <c r="C127" i="51" s="1"/>
  <c r="E22" i="51"/>
  <c r="E23" i="52"/>
  <c r="E23" i="51"/>
  <c r="B24" i="51"/>
  <c r="A98" i="51"/>
  <c r="B98" i="51"/>
  <c r="A131" i="51"/>
  <c r="A141" i="51"/>
  <c r="A142" i="51"/>
  <c r="A143" i="51"/>
  <c r="B143" i="51"/>
  <c r="A155" i="51"/>
  <c r="N4" i="50"/>
  <c r="C15" i="50"/>
  <c r="C17" i="50"/>
  <c r="P24" i="50"/>
  <c r="B9" i="49"/>
  <c r="A15" i="49"/>
  <c r="K21" i="49"/>
  <c r="X22" i="48"/>
  <c r="F5" i="47"/>
  <c r="E6" i="47"/>
  <c r="K20" i="47"/>
  <c r="N20" i="47"/>
  <c r="R20" i="47"/>
  <c r="AE20" i="47"/>
  <c r="R21" i="47"/>
  <c r="K22" i="47"/>
  <c r="N22" i="47"/>
  <c r="R22" i="47"/>
  <c r="AE22" i="47"/>
  <c r="R23" i="47"/>
  <c r="K24" i="47"/>
  <c r="N24" i="47"/>
  <c r="R24" i="47"/>
  <c r="AE24" i="47"/>
  <c r="R25" i="47"/>
  <c r="K26" i="47"/>
  <c r="N26" i="47"/>
  <c r="R26" i="47"/>
  <c r="AE26" i="47"/>
  <c r="K28" i="47"/>
  <c r="N28" i="47"/>
  <c r="AE28" i="47"/>
  <c r="K30" i="47"/>
  <c r="N30" i="47"/>
  <c r="AE30" i="47"/>
  <c r="K32" i="47"/>
  <c r="N32" i="47"/>
  <c r="AE32" i="47"/>
  <c r="K34" i="47"/>
  <c r="N34" i="47"/>
  <c r="AE34" i="47"/>
  <c r="K36" i="47"/>
  <c r="N36" i="47"/>
  <c r="AE36" i="47"/>
  <c r="K38" i="47"/>
  <c r="N38" i="47"/>
  <c r="AE38" i="47"/>
  <c r="K40" i="47"/>
  <c r="N40" i="47"/>
  <c r="AK40" i="47"/>
  <c r="AK41" i="47"/>
  <c r="AA53" i="47"/>
  <c r="A1" i="46"/>
  <c r="R2" i="46"/>
  <c r="R14" i="46" s="1"/>
  <c r="C15" i="46" s="1"/>
  <c r="D5" i="46"/>
  <c r="D7" i="46"/>
  <c r="A8" i="46"/>
  <c r="D8" i="46"/>
  <c r="A9" i="46"/>
  <c r="D9" i="46"/>
  <c r="Q26" i="46"/>
  <c r="C33" i="46"/>
  <c r="N3" i="40"/>
  <c r="A8" i="40"/>
  <c r="A84" i="40" s="1"/>
  <c r="A119" i="40" s="1"/>
  <c r="C8" i="40"/>
  <c r="C84" i="40"/>
  <c r="C119" i="40" s="1"/>
  <c r="A9" i="40"/>
  <c r="A85" i="40" s="1"/>
  <c r="A120" i="40" s="1"/>
  <c r="C9" i="40"/>
  <c r="C85" i="40" s="1"/>
  <c r="C120" i="40" s="1"/>
  <c r="A10" i="40"/>
  <c r="A86" i="40" s="1"/>
  <c r="A121" i="40" s="1"/>
  <c r="C10" i="40"/>
  <c r="C86" i="40" s="1"/>
  <c r="C121" i="40" s="1"/>
  <c r="A11" i="40"/>
  <c r="A87" i="40" s="1"/>
  <c r="A122" i="40" s="1"/>
  <c r="C11" i="40"/>
  <c r="C87" i="40" s="1"/>
  <c r="C122" i="40" s="1"/>
  <c r="O11" i="40"/>
  <c r="C93" i="40"/>
  <c r="N13" i="40"/>
  <c r="D22" i="40"/>
  <c r="A24" i="40"/>
  <c r="A91" i="40"/>
  <c r="A94" i="40"/>
  <c r="B94" i="40"/>
  <c r="A126" i="40"/>
  <c r="D137" i="40"/>
  <c r="A138" i="40"/>
  <c r="B138" i="40"/>
  <c r="N3" i="37"/>
  <c r="A9" i="37"/>
  <c r="A82" i="37" s="1"/>
  <c r="A119" i="37" s="1"/>
  <c r="C9" i="37"/>
  <c r="C82" i="37" s="1"/>
  <c r="C119" i="37" s="1"/>
  <c r="A10" i="37"/>
  <c r="A83" i="37" s="1"/>
  <c r="A120" i="37" s="1"/>
  <c r="C10" i="37"/>
  <c r="C83" i="37" s="1"/>
  <c r="C120" i="37" s="1"/>
  <c r="A11" i="37"/>
  <c r="A84" i="37" s="1"/>
  <c r="A121" i="37" s="1"/>
  <c r="C11" i="37"/>
  <c r="C84" i="37" s="1"/>
  <c r="C121" i="37" s="1"/>
  <c r="A12" i="37"/>
  <c r="A85" i="37" s="1"/>
  <c r="A122" i="37" s="1"/>
  <c r="C12" i="37"/>
  <c r="C85" i="37" s="1"/>
  <c r="C122" i="37" s="1"/>
  <c r="B25" i="37"/>
  <c r="A29" i="37"/>
  <c r="A28" i="53"/>
  <c r="A31" i="37"/>
  <c r="B31" i="37"/>
  <c r="A32" i="37"/>
  <c r="B32" i="37"/>
  <c r="A33" i="37"/>
  <c r="B33" i="37"/>
  <c r="A34" i="37"/>
  <c r="A89" i="37"/>
  <c r="A92" i="37"/>
  <c r="B92" i="37"/>
  <c r="A126" i="37"/>
  <c r="B138" i="37"/>
  <c r="A142" i="37"/>
  <c r="A142" i="53"/>
  <c r="A152" i="37"/>
  <c r="A154" i="37"/>
  <c r="A152" i="53"/>
  <c r="A157" i="37"/>
  <c r="A155" i="53" s="1"/>
  <c r="A8" i="34"/>
  <c r="A85" i="34" s="1"/>
  <c r="A121" i="34" s="1"/>
  <c r="C8" i="34"/>
  <c r="C85" i="34" s="1"/>
  <c r="C121" i="34" s="1"/>
  <c r="A9" i="34"/>
  <c r="A86" i="34" s="1"/>
  <c r="A122" i="34" s="1"/>
  <c r="C9" i="34"/>
  <c r="C86" i="34" s="1"/>
  <c r="C122" i="34" s="1"/>
  <c r="A10" i="34"/>
  <c r="A87" i="34" s="1"/>
  <c r="A123" i="34" s="1"/>
  <c r="C10" i="34"/>
  <c r="C87" i="34" s="1"/>
  <c r="C123" i="34" s="1"/>
  <c r="A11" i="34"/>
  <c r="A88" i="34" s="1"/>
  <c r="A124" i="34" s="1"/>
  <c r="C11" i="34"/>
  <c r="C88" i="34" s="1"/>
  <c r="C124" i="34" s="1"/>
  <c r="B24" i="34"/>
  <c r="A95" i="34"/>
  <c r="B95" i="34"/>
  <c r="A128" i="34"/>
  <c r="A138" i="34"/>
  <c r="A139" i="34"/>
  <c r="A24" i="52"/>
  <c r="A137" i="52" s="1"/>
  <c r="A140" i="34"/>
  <c r="B140" i="34"/>
  <c r="A152" i="34"/>
  <c r="P1" i="19"/>
  <c r="V1" i="19"/>
  <c r="B25" i="19"/>
  <c r="P2" i="19"/>
  <c r="N3" i="19"/>
  <c r="P3" i="19"/>
  <c r="C276" i="19"/>
  <c r="V3" i="19"/>
  <c r="C83" i="19" s="1"/>
  <c r="P4" i="19"/>
  <c r="P5" i="19"/>
  <c r="Q5" i="19"/>
  <c r="P6" i="19"/>
  <c r="Q6" i="19"/>
  <c r="P7" i="19"/>
  <c r="C8" i="19"/>
  <c r="P8" i="19"/>
  <c r="A116" i="19" s="1"/>
  <c r="Q8" i="19"/>
  <c r="P10" i="19"/>
  <c r="Q10" i="19"/>
  <c r="F283" i="19" s="1"/>
  <c r="P13" i="19"/>
  <c r="A14" i="19"/>
  <c r="P14" i="19"/>
  <c r="P15" i="19"/>
  <c r="A119" i="19" s="1"/>
  <c r="Q15" i="19"/>
  <c r="P16" i="19"/>
  <c r="Q16" i="19"/>
  <c r="F120" i="19"/>
  <c r="F17" i="19"/>
  <c r="P17" i="19"/>
  <c r="P18" i="19"/>
  <c r="Q18" i="19"/>
  <c r="A19" i="19"/>
  <c r="P19" i="19"/>
  <c r="A20" i="19" s="1"/>
  <c r="Q19" i="19"/>
  <c r="F20" i="19" s="1"/>
  <c r="P20" i="19"/>
  <c r="A21" i="19" s="1"/>
  <c r="Q20" i="19"/>
  <c r="F21" i="19" s="1"/>
  <c r="P21" i="19"/>
  <c r="Q21" i="19"/>
  <c r="F185" i="19" s="1"/>
  <c r="P23" i="19"/>
  <c r="P24" i="19"/>
  <c r="Q24" i="19"/>
  <c r="P25" i="19"/>
  <c r="Q25" i="19"/>
  <c r="P26" i="19"/>
  <c r="Q26" i="19"/>
  <c r="P27" i="19"/>
  <c r="P28" i="19"/>
  <c r="Q28" i="19"/>
  <c r="P30" i="19"/>
  <c r="Q30" i="19"/>
  <c r="P31" i="19"/>
  <c r="Q31" i="19"/>
  <c r="P32" i="19"/>
  <c r="Q32" i="19"/>
  <c r="A65" i="19"/>
  <c r="C72" i="19"/>
  <c r="C74" i="19"/>
  <c r="C80" i="19"/>
  <c r="C110" i="19"/>
  <c r="A113" i="19"/>
  <c r="B124" i="19"/>
  <c r="A125" i="19"/>
  <c r="B147" i="19"/>
  <c r="D147" i="19"/>
  <c r="N167" i="19"/>
  <c r="C175" i="19"/>
  <c r="F181" i="19"/>
  <c r="F182" i="19"/>
  <c r="A183" i="19"/>
  <c r="F228" i="19"/>
  <c r="A230" i="19"/>
  <c r="C237" i="19"/>
  <c r="C240" i="19"/>
  <c r="A242" i="19"/>
  <c r="C248" i="19"/>
  <c r="F282" i="19"/>
  <c r="A285" i="19"/>
  <c r="F285" i="19"/>
  <c r="A286" i="19"/>
  <c r="F286" i="19"/>
  <c r="B290" i="19"/>
  <c r="A313" i="19"/>
  <c r="B313" i="19"/>
  <c r="F313" i="19"/>
  <c r="I313" i="19"/>
  <c r="A314" i="19"/>
  <c r="B314" i="19"/>
  <c r="F314" i="19"/>
  <c r="I314" i="19"/>
  <c r="A315" i="19"/>
  <c r="B315" i="19"/>
  <c r="F315" i="19"/>
  <c r="I315" i="19"/>
  <c r="A316" i="19"/>
  <c r="B316" i="19"/>
  <c r="F316" i="19"/>
  <c r="I316" i="19"/>
  <c r="A317" i="19"/>
  <c r="B317" i="19"/>
  <c r="F317" i="19"/>
  <c r="I317" i="19"/>
  <c r="A318" i="19"/>
  <c r="B318" i="19"/>
  <c r="F318" i="19"/>
  <c r="I318" i="19"/>
  <c r="A319" i="19"/>
  <c r="B319" i="19"/>
  <c r="F319" i="19"/>
  <c r="I319" i="19"/>
  <c r="N339" i="19"/>
  <c r="N346" i="19"/>
  <c r="D359" i="19" s="1"/>
  <c r="D360" i="19" s="1"/>
  <c r="N349" i="19"/>
  <c r="A353" i="19"/>
  <c r="F353" i="19"/>
  <c r="A355" i="19"/>
  <c r="F356" i="19"/>
  <c r="F357" i="19"/>
  <c r="F400" i="19"/>
  <c r="A402" i="19"/>
  <c r="C412" i="19"/>
  <c r="A414" i="19"/>
  <c r="C419" i="19"/>
  <c r="C420" i="19"/>
  <c r="D423" i="19"/>
  <c r="C448" i="19"/>
  <c r="F455" i="19"/>
  <c r="A457" i="19"/>
  <c r="D460" i="19"/>
  <c r="D461" i="19"/>
  <c r="B462" i="19"/>
  <c r="A485" i="19"/>
  <c r="B485" i="19"/>
  <c r="F485" i="19"/>
  <c r="I485" i="19"/>
  <c r="A486" i="19"/>
  <c r="B486" i="19"/>
  <c r="F486" i="19"/>
  <c r="I486" i="19"/>
  <c r="A487" i="19"/>
  <c r="B487" i="19"/>
  <c r="F487" i="19"/>
  <c r="I487" i="19"/>
  <c r="A488" i="19"/>
  <c r="B488" i="19"/>
  <c r="F488" i="19"/>
  <c r="I488" i="19"/>
  <c r="A489" i="19"/>
  <c r="B489" i="19"/>
  <c r="F489" i="19"/>
  <c r="I489" i="19"/>
  <c r="A490" i="19"/>
  <c r="B490" i="19"/>
  <c r="F490" i="19"/>
  <c r="I490" i="19"/>
  <c r="A491" i="19"/>
  <c r="B491" i="19"/>
  <c r="F491" i="19"/>
  <c r="I491" i="19"/>
  <c r="A1" i="17"/>
  <c r="A459" i="17" s="1"/>
  <c r="A1030" i="17"/>
  <c r="R3" i="17"/>
  <c r="E519" i="17" s="1"/>
  <c r="R4" i="17"/>
  <c r="R5" i="17"/>
  <c r="T18" i="17"/>
  <c r="E708" i="17" s="1"/>
  <c r="U18" i="17"/>
  <c r="W20" i="17"/>
  <c r="E973" i="17" s="1"/>
  <c r="E974" i="17" s="1"/>
  <c r="H1060" i="17"/>
  <c r="R22" i="17"/>
  <c r="T22" i="17"/>
  <c r="R23" i="17"/>
  <c r="T23" i="17"/>
  <c r="F24" i="17"/>
  <c r="R24" i="17"/>
  <c r="T24" i="17"/>
  <c r="R25" i="17"/>
  <c r="F130" i="17" s="1"/>
  <c r="T25" i="17"/>
  <c r="R26" i="17"/>
  <c r="T26" i="17"/>
  <c r="K131" i="17"/>
  <c r="K321" i="17"/>
  <c r="R27" i="17"/>
  <c r="T27" i="17"/>
  <c r="R28" i="17"/>
  <c r="T28" i="17"/>
  <c r="R29" i="17"/>
  <c r="E134" i="17" s="1"/>
  <c r="T29" i="17"/>
  <c r="R30" i="17"/>
  <c r="T30" i="17"/>
  <c r="K515" i="17" s="1"/>
  <c r="T31" i="17"/>
  <c r="R32" i="17"/>
  <c r="E19" i="17" s="1"/>
  <c r="T32" i="17"/>
  <c r="K19" i="17" s="1"/>
  <c r="R33" i="17"/>
  <c r="E16" i="17" s="1"/>
  <c r="T33" i="17"/>
  <c r="K16" i="17" s="1"/>
  <c r="R34" i="17"/>
  <c r="R35" i="17"/>
  <c r="T35" i="17"/>
  <c r="A78" i="17"/>
  <c r="C86" i="17"/>
  <c r="E93" i="17"/>
  <c r="E102" i="17" s="1"/>
  <c r="E131" i="17"/>
  <c r="E140" i="17"/>
  <c r="B160" i="17"/>
  <c r="H160" i="17"/>
  <c r="B161" i="17"/>
  <c r="H161" i="17"/>
  <c r="B162" i="17"/>
  <c r="H162" i="17"/>
  <c r="A193" i="17"/>
  <c r="R196" i="17"/>
  <c r="R197" i="17"/>
  <c r="R198" i="17"/>
  <c r="W208" i="17"/>
  <c r="E211" i="17"/>
  <c r="U213" i="17"/>
  <c r="R215" i="17"/>
  <c r="T215" i="17"/>
  <c r="F216" i="17"/>
  <c r="R216" i="17"/>
  <c r="T216" i="17"/>
  <c r="R217" i="17"/>
  <c r="T217" i="17"/>
  <c r="R218" i="17"/>
  <c r="F320" i="17" s="1"/>
  <c r="T218" i="17"/>
  <c r="R219" i="17"/>
  <c r="T219" i="17"/>
  <c r="R220" i="17"/>
  <c r="T220" i="17"/>
  <c r="R221" i="17"/>
  <c r="B281" i="17" s="1"/>
  <c r="T221" i="17"/>
  <c r="R222" i="17"/>
  <c r="T222" i="17"/>
  <c r="R223" i="17"/>
  <c r="E210" i="17" s="1"/>
  <c r="F246" i="17" s="1"/>
  <c r="T223" i="17"/>
  <c r="K210" i="17"/>
  <c r="T224" i="17"/>
  <c r="R225" i="17"/>
  <c r="T225" i="17"/>
  <c r="K211" i="17"/>
  <c r="R226" i="17"/>
  <c r="E208" i="17" s="1"/>
  <c r="T226" i="17"/>
  <c r="K208" i="17"/>
  <c r="F242" i="17"/>
  <c r="L242" i="17"/>
  <c r="A269" i="17"/>
  <c r="E284" i="17"/>
  <c r="E293" i="17" s="1"/>
  <c r="E321" i="17"/>
  <c r="E324" i="17"/>
  <c r="K325" i="17"/>
  <c r="E330" i="17"/>
  <c r="B349" i="17"/>
  <c r="H349" i="17"/>
  <c r="B350" i="17"/>
  <c r="H350" i="17"/>
  <c r="B351" i="17"/>
  <c r="H351" i="17"/>
  <c r="B352" i="17"/>
  <c r="H352" i="17"/>
  <c r="A382" i="17"/>
  <c r="R385" i="17"/>
  <c r="R386" i="17"/>
  <c r="R387" i="17"/>
  <c r="W397" i="17"/>
  <c r="U402" i="17"/>
  <c r="F404" i="17"/>
  <c r="R404" i="17"/>
  <c r="T404" i="17"/>
  <c r="R405" i="17"/>
  <c r="T405" i="17"/>
  <c r="R406" i="17"/>
  <c r="T406" i="17"/>
  <c r="R407" i="17"/>
  <c r="F510" i="17" s="1"/>
  <c r="T407" i="17"/>
  <c r="R408" i="17"/>
  <c r="T408" i="17"/>
  <c r="R409" i="17"/>
  <c r="T409" i="17"/>
  <c r="R410" i="17"/>
  <c r="B471" i="17" s="1"/>
  <c r="T410" i="17"/>
  <c r="R411" i="17"/>
  <c r="T411" i="17"/>
  <c r="R412" i="17"/>
  <c r="E399" i="17" s="1"/>
  <c r="F437" i="17"/>
  <c r="T412" i="17"/>
  <c r="K399" i="17" s="1"/>
  <c r="T413" i="17"/>
  <c r="R414" i="17"/>
  <c r="E400" i="17" s="1"/>
  <c r="T414" i="17"/>
  <c r="K400" i="17" s="1"/>
  <c r="R415" i="17"/>
  <c r="E397" i="17" s="1"/>
  <c r="T415" i="17"/>
  <c r="K397" i="17" s="1"/>
  <c r="F433" i="17"/>
  <c r="L433" i="17"/>
  <c r="C467" i="17"/>
  <c r="E511" i="17"/>
  <c r="K511" i="17"/>
  <c r="E514" i="17"/>
  <c r="B540" i="17"/>
  <c r="H540" i="17"/>
  <c r="B541" i="17"/>
  <c r="H541" i="17"/>
  <c r="B542" i="17"/>
  <c r="H542" i="17"/>
  <c r="B543" i="17"/>
  <c r="H543" i="17"/>
  <c r="B544" i="17"/>
  <c r="H544" i="17"/>
  <c r="A571" i="17"/>
  <c r="I573" i="17"/>
  <c r="R574" i="17"/>
  <c r="R575" i="17"/>
  <c r="R576" i="17"/>
  <c r="C580" i="17"/>
  <c r="W586" i="17"/>
  <c r="U591" i="17"/>
  <c r="R593" i="17"/>
  <c r="T593" i="17"/>
  <c r="F594" i="17"/>
  <c r="R594" i="17"/>
  <c r="T594" i="17"/>
  <c r="R595" i="17"/>
  <c r="T595" i="17"/>
  <c r="R596" i="17"/>
  <c r="F700" i="17"/>
  <c r="T596" i="17"/>
  <c r="R597" i="17"/>
  <c r="T597" i="17"/>
  <c r="R598" i="17"/>
  <c r="T598" i="17"/>
  <c r="R599" i="17"/>
  <c r="B659" i="17" s="1"/>
  <c r="T599" i="17"/>
  <c r="R600" i="17"/>
  <c r="T600" i="17"/>
  <c r="R601" i="17"/>
  <c r="E588" i="17" s="1"/>
  <c r="F625" i="17" s="1"/>
  <c r="T601" i="17"/>
  <c r="K588" i="17" s="1"/>
  <c r="T602" i="17"/>
  <c r="R603" i="17"/>
  <c r="E589" i="17" s="1"/>
  <c r="T603" i="17"/>
  <c r="K589" i="17" s="1"/>
  <c r="R604" i="17"/>
  <c r="E586" i="17" s="1"/>
  <c r="T604" i="17"/>
  <c r="K586" i="17" s="1"/>
  <c r="L621" i="17"/>
  <c r="A647" i="17"/>
  <c r="J690" i="17"/>
  <c r="F707" i="17" s="1"/>
  <c r="C697" i="17"/>
  <c r="E701" i="17"/>
  <c r="K701" i="17"/>
  <c r="E704" i="17"/>
  <c r="E710" i="17"/>
  <c r="B730" i="17"/>
  <c r="H730" i="17"/>
  <c r="B731" i="17"/>
  <c r="H731" i="17"/>
  <c r="B732" i="17"/>
  <c r="H732" i="17"/>
  <c r="B733" i="17"/>
  <c r="H733" i="17"/>
  <c r="A761" i="17"/>
  <c r="R764" i="17"/>
  <c r="R765" i="17"/>
  <c r="R766" i="17"/>
  <c r="W776" i="17"/>
  <c r="U781" i="17"/>
  <c r="R783" i="17"/>
  <c r="T783" i="17"/>
  <c r="R784" i="17"/>
  <c r="T784" i="17"/>
  <c r="R785" i="17"/>
  <c r="T785" i="17"/>
  <c r="R786" i="17"/>
  <c r="F890" i="17"/>
  <c r="T786" i="17"/>
  <c r="R787" i="17"/>
  <c r="T787" i="17"/>
  <c r="R788" i="17"/>
  <c r="T788" i="17"/>
  <c r="R789" i="17"/>
  <c r="B849" i="17" s="1"/>
  <c r="T789" i="17"/>
  <c r="R790" i="17"/>
  <c r="T790" i="17"/>
  <c r="R791" i="17"/>
  <c r="E778" i="17"/>
  <c r="F815" i="17" s="1"/>
  <c r="T791" i="17"/>
  <c r="K778" i="17" s="1"/>
  <c r="T792" i="17"/>
  <c r="R793" i="17"/>
  <c r="E779" i="17"/>
  <c r="T793" i="17"/>
  <c r="K779" i="17"/>
  <c r="R794" i="17"/>
  <c r="E776" i="17"/>
  <c r="T794" i="17"/>
  <c r="K776" i="17"/>
  <c r="L811" i="17"/>
  <c r="A837" i="17"/>
  <c r="E852" i="17"/>
  <c r="E859" i="17"/>
  <c r="C887" i="17"/>
  <c r="E891" i="17"/>
  <c r="K891" i="17"/>
  <c r="E894" i="17"/>
  <c r="B919" i="17"/>
  <c r="H919" i="17"/>
  <c r="B920" i="17"/>
  <c r="H920" i="17"/>
  <c r="B921" i="17"/>
  <c r="H921" i="17"/>
  <c r="B922" i="17"/>
  <c r="H922" i="17"/>
  <c r="A953" i="17"/>
  <c r="R956" i="17"/>
  <c r="R957" i="17"/>
  <c r="R958" i="17"/>
  <c r="C962" i="17"/>
  <c r="W968" i="17"/>
  <c r="F1005" i="17"/>
  <c r="E971" i="17"/>
  <c r="U973" i="17"/>
  <c r="R975" i="17"/>
  <c r="T975" i="17"/>
  <c r="F976" i="17"/>
  <c r="R976" i="17"/>
  <c r="T976" i="17"/>
  <c r="R977" i="17"/>
  <c r="T977" i="17"/>
  <c r="R978" i="17"/>
  <c r="F1086" i="17"/>
  <c r="T978" i="17"/>
  <c r="R979" i="17"/>
  <c r="T979" i="17"/>
  <c r="R980" i="17"/>
  <c r="T980" i="17"/>
  <c r="R981" i="17"/>
  <c r="T981" i="17"/>
  <c r="R982" i="17"/>
  <c r="T982" i="17"/>
  <c r="R983" i="17"/>
  <c r="E970" i="17" s="1"/>
  <c r="T983" i="17"/>
  <c r="K970" i="17" s="1"/>
  <c r="T984" i="17"/>
  <c r="R985" i="17"/>
  <c r="T985" i="17"/>
  <c r="K971" i="17" s="1"/>
  <c r="R986" i="17"/>
  <c r="E968" i="17"/>
  <c r="T986" i="17"/>
  <c r="K968" i="17"/>
  <c r="F1001" i="17"/>
  <c r="L1001" i="17"/>
  <c r="B1044" i="17"/>
  <c r="E1045" i="17"/>
  <c r="E1055" i="17" s="1"/>
  <c r="C1083" i="17"/>
  <c r="E1087" i="17"/>
  <c r="K1087" i="17"/>
  <c r="E1088" i="17"/>
  <c r="B1128" i="17"/>
  <c r="E1090" i="17"/>
  <c r="K1091" i="17"/>
  <c r="E1093" i="17"/>
  <c r="G1053" i="17" s="1"/>
  <c r="E1094" i="17"/>
  <c r="E1096" i="17"/>
  <c r="B1116" i="17"/>
  <c r="H1116" i="17"/>
  <c r="B1117" i="17"/>
  <c r="H1117" i="17"/>
  <c r="N4" i="10"/>
  <c r="C15" i="10"/>
  <c r="C17" i="10"/>
  <c r="P24" i="10"/>
  <c r="A4" i="44"/>
  <c r="C4" i="44"/>
  <c r="D4" i="44"/>
  <c r="E4" i="44"/>
  <c r="F4" i="44" s="1"/>
  <c r="G4" i="44"/>
  <c r="H4" i="44"/>
  <c r="I4" i="44"/>
  <c r="J4" i="44"/>
  <c r="K4" i="44"/>
  <c r="L4" i="44"/>
  <c r="M4" i="44"/>
  <c r="N4" i="44"/>
  <c r="Q4" i="44"/>
  <c r="A5" i="44"/>
  <c r="C5" i="44"/>
  <c r="D5" i="44"/>
  <c r="E5" i="44"/>
  <c r="F5" i="44"/>
  <c r="G5" i="44"/>
  <c r="H5" i="44"/>
  <c r="I5" i="44"/>
  <c r="J5" i="44"/>
  <c r="K5" i="44"/>
  <c r="L5" i="44"/>
  <c r="M5" i="44"/>
  <c r="N5" i="44"/>
  <c r="P5" i="44"/>
  <c r="Q5" i="44"/>
  <c r="A6" i="44"/>
  <c r="C6" i="44"/>
  <c r="D6" i="44"/>
  <c r="E6" i="44"/>
  <c r="F6" i="44"/>
  <c r="G6" i="44"/>
  <c r="H6" i="44"/>
  <c r="I6" i="44"/>
  <c r="J6" i="44"/>
  <c r="K6" i="44"/>
  <c r="L6" i="44"/>
  <c r="M6" i="44"/>
  <c r="N6" i="44"/>
  <c r="P6" i="44"/>
  <c r="Q6" i="44"/>
  <c r="A7" i="44"/>
  <c r="C7" i="44"/>
  <c r="D7" i="44"/>
  <c r="E7" i="44"/>
  <c r="F7" i="44"/>
  <c r="G7" i="44"/>
  <c r="H7" i="44"/>
  <c r="I7" i="44"/>
  <c r="J7" i="44"/>
  <c r="K7" i="44"/>
  <c r="L7" i="44"/>
  <c r="M7" i="44"/>
  <c r="N7" i="44"/>
  <c r="P7" i="44"/>
  <c r="Q7" i="44"/>
  <c r="A8" i="44"/>
  <c r="C8" i="44"/>
  <c r="D8" i="44"/>
  <c r="E8" i="44"/>
  <c r="F8" i="44"/>
  <c r="G8" i="44"/>
  <c r="H8" i="44"/>
  <c r="I8" i="44"/>
  <c r="J8" i="44"/>
  <c r="K8" i="44"/>
  <c r="L8" i="44"/>
  <c r="M8" i="44"/>
  <c r="N8" i="44"/>
  <c r="P8" i="44"/>
  <c r="Q8" i="44"/>
  <c r="A9" i="44"/>
  <c r="C9" i="44"/>
  <c r="D9" i="44"/>
  <c r="E9" i="44"/>
  <c r="F9" i="44"/>
  <c r="G9" i="44"/>
  <c r="H9" i="44"/>
  <c r="I9" i="44"/>
  <c r="J9" i="44"/>
  <c r="K9" i="44"/>
  <c r="L9" i="44"/>
  <c r="M9" i="44"/>
  <c r="N9" i="44"/>
  <c r="P9" i="44"/>
  <c r="Q9" i="44"/>
  <c r="A10" i="44"/>
  <c r="C10" i="44"/>
  <c r="D10" i="44"/>
  <c r="E10" i="44"/>
  <c r="F10" i="44"/>
  <c r="G10" i="44"/>
  <c r="H10" i="44"/>
  <c r="I10" i="44"/>
  <c r="J10" i="44"/>
  <c r="K10" i="44"/>
  <c r="L10" i="44"/>
  <c r="M10" i="44"/>
  <c r="N10" i="44"/>
  <c r="P10" i="44"/>
  <c r="Q10" i="44"/>
  <c r="A11" i="44"/>
  <c r="C11" i="44"/>
  <c r="D11" i="44"/>
  <c r="E11" i="44"/>
  <c r="F11" i="44"/>
  <c r="G11" i="44"/>
  <c r="H11" i="44"/>
  <c r="I11" i="44"/>
  <c r="J11" i="44"/>
  <c r="K11" i="44"/>
  <c r="L11" i="44"/>
  <c r="M11" i="44"/>
  <c r="N11" i="44"/>
  <c r="O11" i="44"/>
  <c r="P11" i="44"/>
  <c r="Q11" i="44"/>
  <c r="A12" i="44"/>
  <c r="C12" i="44"/>
  <c r="D12" i="44"/>
  <c r="E12" i="44"/>
  <c r="F12" i="44"/>
  <c r="G12" i="44"/>
  <c r="H12" i="44"/>
  <c r="I12" i="44"/>
  <c r="J12" i="44"/>
  <c r="K12" i="44"/>
  <c r="L12" i="44"/>
  <c r="M12" i="44"/>
  <c r="N12" i="44"/>
  <c r="P12" i="44"/>
  <c r="Q12" i="44"/>
  <c r="A13" i="44"/>
  <c r="C13" i="44"/>
  <c r="D13" i="44"/>
  <c r="E13" i="44"/>
  <c r="F13" i="44"/>
  <c r="G13" i="44"/>
  <c r="H13" i="44"/>
  <c r="I13" i="44"/>
  <c r="J13" i="44"/>
  <c r="K13" i="44"/>
  <c r="L13" i="44"/>
  <c r="M13" i="44"/>
  <c r="N13" i="44"/>
  <c r="P13" i="44"/>
  <c r="Q13" i="44"/>
  <c r="A14" i="44"/>
  <c r="C14" i="44"/>
  <c r="D14" i="44"/>
  <c r="E14" i="44"/>
  <c r="F14" i="44"/>
  <c r="G14" i="44"/>
  <c r="H14" i="44"/>
  <c r="I14" i="44"/>
  <c r="J14" i="44"/>
  <c r="K14" i="44"/>
  <c r="L14" i="44"/>
  <c r="M14" i="44"/>
  <c r="N14" i="44"/>
  <c r="P14" i="44"/>
  <c r="Q14" i="44"/>
  <c r="A15" i="44"/>
  <c r="C15" i="44"/>
  <c r="D15" i="44"/>
  <c r="E15" i="44"/>
  <c r="F15" i="44"/>
  <c r="G15" i="44"/>
  <c r="H15" i="44"/>
  <c r="I15" i="44"/>
  <c r="J15" i="44"/>
  <c r="K15" i="44"/>
  <c r="L15" i="44"/>
  <c r="M15" i="44"/>
  <c r="N15" i="44"/>
  <c r="P15" i="44"/>
  <c r="Q15" i="44"/>
  <c r="A16" i="44"/>
  <c r="C16" i="44"/>
  <c r="D16" i="44"/>
  <c r="E16" i="44"/>
  <c r="F16" i="44"/>
  <c r="G16" i="44"/>
  <c r="H16" i="44"/>
  <c r="I16" i="44"/>
  <c r="J16" i="44"/>
  <c r="K16" i="44"/>
  <c r="L16" i="44"/>
  <c r="M16" i="44"/>
  <c r="N16" i="44"/>
  <c r="P16" i="44"/>
  <c r="Q16" i="44"/>
  <c r="A17" i="44"/>
  <c r="C17" i="44"/>
  <c r="D17" i="44"/>
  <c r="E17" i="44"/>
  <c r="F17" i="44"/>
  <c r="G17" i="44"/>
  <c r="H17" i="44"/>
  <c r="I17" i="44"/>
  <c r="J17" i="44"/>
  <c r="K17" i="44"/>
  <c r="L17" i="44"/>
  <c r="M17" i="44"/>
  <c r="N17" i="44"/>
  <c r="O17" i="44"/>
  <c r="P17" i="44"/>
  <c r="Q17" i="44"/>
  <c r="A18" i="44"/>
  <c r="C18" i="44"/>
  <c r="D18" i="44"/>
  <c r="E18" i="44"/>
  <c r="F18" i="44"/>
  <c r="G18" i="44"/>
  <c r="H18" i="44"/>
  <c r="I18" i="44"/>
  <c r="J18" i="44"/>
  <c r="K18" i="44"/>
  <c r="L18" i="44"/>
  <c r="M18" i="44"/>
  <c r="N18" i="44"/>
  <c r="O18" i="44"/>
  <c r="P18" i="44"/>
  <c r="Q18" i="44"/>
  <c r="A19" i="44"/>
  <c r="C19" i="44"/>
  <c r="D19" i="44"/>
  <c r="E19" i="44"/>
  <c r="F19" i="44"/>
  <c r="G19" i="44"/>
  <c r="H19" i="44"/>
  <c r="I19" i="44"/>
  <c r="J19" i="44"/>
  <c r="K19" i="44"/>
  <c r="L19" i="44"/>
  <c r="M19" i="44"/>
  <c r="N19" i="44"/>
  <c r="O19" i="44"/>
  <c r="P19" i="44"/>
  <c r="A20" i="44"/>
  <c r="C20" i="44"/>
  <c r="D20" i="44"/>
  <c r="E20" i="44"/>
  <c r="F20" i="44"/>
  <c r="G20" i="44"/>
  <c r="H20" i="44"/>
  <c r="I20" i="44"/>
  <c r="J20" i="44"/>
  <c r="K20" i="44"/>
  <c r="L20" i="44"/>
  <c r="M20" i="44"/>
  <c r="N20" i="44"/>
  <c r="O20" i="44"/>
  <c r="P20" i="44"/>
  <c r="Q20" i="44"/>
  <c r="A21" i="44"/>
  <c r="C21" i="44"/>
  <c r="D21" i="44"/>
  <c r="E21" i="44"/>
  <c r="F21" i="44"/>
  <c r="G21" i="44"/>
  <c r="H21" i="44"/>
  <c r="I21" i="44"/>
  <c r="J21" i="44"/>
  <c r="K21" i="44"/>
  <c r="L21" i="44"/>
  <c r="M21" i="44"/>
  <c r="N21" i="44"/>
  <c r="O21" i="44"/>
  <c r="P21" i="44"/>
  <c r="Q21" i="44"/>
  <c r="A22" i="44"/>
  <c r="C22" i="44"/>
  <c r="D22" i="44"/>
  <c r="E22" i="44"/>
  <c r="F22" i="44"/>
  <c r="G22" i="44"/>
  <c r="H22" i="44"/>
  <c r="I22" i="44"/>
  <c r="J22" i="44"/>
  <c r="K22" i="44"/>
  <c r="L22" i="44"/>
  <c r="M22" i="44"/>
  <c r="N22" i="44"/>
  <c r="O22" i="44"/>
  <c r="P22" i="44"/>
  <c r="AD22" i="44"/>
  <c r="O57" i="44" s="1"/>
  <c r="A23" i="44"/>
  <c r="C23" i="44"/>
  <c r="D23" i="44"/>
  <c r="E23" i="44"/>
  <c r="F23" i="44"/>
  <c r="G23" i="44"/>
  <c r="H23" i="44"/>
  <c r="I23" i="44"/>
  <c r="J23" i="44"/>
  <c r="K23" i="44"/>
  <c r="L23" i="44"/>
  <c r="M23" i="44"/>
  <c r="N23" i="44"/>
  <c r="O23" i="44"/>
  <c r="P23" i="44"/>
  <c r="Q23" i="44"/>
  <c r="A24" i="44"/>
  <c r="C24" i="44"/>
  <c r="D24" i="44"/>
  <c r="E24" i="44"/>
  <c r="F24" i="44"/>
  <c r="G24" i="44"/>
  <c r="H24" i="44"/>
  <c r="I24" i="44"/>
  <c r="J24" i="44"/>
  <c r="K24" i="44"/>
  <c r="L24" i="44"/>
  <c r="M24" i="44"/>
  <c r="N24" i="44"/>
  <c r="O24" i="44"/>
  <c r="P24" i="44"/>
  <c r="Q24" i="44"/>
  <c r="A25" i="44"/>
  <c r="C25" i="44"/>
  <c r="D25" i="44"/>
  <c r="E25" i="44"/>
  <c r="F25" i="44"/>
  <c r="G25" i="44"/>
  <c r="H25" i="44"/>
  <c r="I25" i="44"/>
  <c r="J25" i="44"/>
  <c r="K25" i="44"/>
  <c r="L25" i="44"/>
  <c r="M25" i="44"/>
  <c r="N25" i="44"/>
  <c r="O25" i="44"/>
  <c r="P25" i="44"/>
  <c r="Q25" i="44"/>
  <c r="A26" i="44"/>
  <c r="C26" i="44"/>
  <c r="D26" i="44"/>
  <c r="E26" i="44"/>
  <c r="F26" i="44"/>
  <c r="G26" i="44"/>
  <c r="H26" i="44"/>
  <c r="I26" i="44"/>
  <c r="J26" i="44"/>
  <c r="K26" i="44"/>
  <c r="L26" i="44"/>
  <c r="M26" i="44"/>
  <c r="N26" i="44"/>
  <c r="O26" i="44"/>
  <c r="P26" i="44"/>
  <c r="Q26" i="44"/>
  <c r="A27" i="44"/>
  <c r="C27" i="44"/>
  <c r="D27" i="44"/>
  <c r="E27" i="44"/>
  <c r="F27" i="44"/>
  <c r="G27" i="44"/>
  <c r="H27" i="44"/>
  <c r="I27" i="44"/>
  <c r="J27" i="44"/>
  <c r="K27" i="44"/>
  <c r="L27" i="44"/>
  <c r="M27" i="44"/>
  <c r="N27" i="44"/>
  <c r="O27" i="44"/>
  <c r="P27" i="44"/>
  <c r="Q27" i="44"/>
  <c r="A28" i="44"/>
  <c r="C28" i="44"/>
  <c r="D28" i="44"/>
  <c r="E28" i="44"/>
  <c r="F28" i="44"/>
  <c r="G28" i="44"/>
  <c r="H28" i="44"/>
  <c r="I28" i="44"/>
  <c r="J28" i="44"/>
  <c r="K28" i="44"/>
  <c r="L28" i="44"/>
  <c r="M28" i="44"/>
  <c r="N28" i="44"/>
  <c r="O28" i="44"/>
  <c r="P28" i="44"/>
  <c r="Q28" i="44"/>
  <c r="A29" i="44"/>
  <c r="C29" i="44"/>
  <c r="D29" i="44"/>
  <c r="E29" i="44"/>
  <c r="F29" i="44"/>
  <c r="G29" i="44"/>
  <c r="H29" i="44"/>
  <c r="I29" i="44"/>
  <c r="J29" i="44"/>
  <c r="K29" i="44"/>
  <c r="L29" i="44"/>
  <c r="M29" i="44"/>
  <c r="N29" i="44"/>
  <c r="O29" i="44"/>
  <c r="P29" i="44"/>
  <c r="Q29" i="44"/>
  <c r="A30" i="44"/>
  <c r="C30" i="44"/>
  <c r="D30" i="44"/>
  <c r="E30" i="44"/>
  <c r="F30" i="44"/>
  <c r="G30" i="44"/>
  <c r="H30" i="44"/>
  <c r="I30" i="44"/>
  <c r="J30" i="44"/>
  <c r="K30" i="44"/>
  <c r="L30" i="44"/>
  <c r="M30" i="44"/>
  <c r="N30" i="44"/>
  <c r="O30" i="44"/>
  <c r="P30" i="44"/>
  <c r="Q30" i="44"/>
  <c r="A31" i="44"/>
  <c r="C31" i="44"/>
  <c r="D31" i="44"/>
  <c r="E31" i="44"/>
  <c r="F31" i="44"/>
  <c r="G31" i="44"/>
  <c r="H31" i="44"/>
  <c r="I31" i="44"/>
  <c r="J31" i="44"/>
  <c r="K31" i="44"/>
  <c r="L31" i="44"/>
  <c r="M31" i="44"/>
  <c r="N31" i="44"/>
  <c r="O31" i="44"/>
  <c r="P31" i="44"/>
  <c r="Q31" i="44"/>
  <c r="A32" i="44"/>
  <c r="A33" i="44"/>
  <c r="A34" i="44"/>
  <c r="A35" i="44"/>
  <c r="A36" i="44"/>
  <c r="A37" i="44"/>
  <c r="A38" i="44"/>
  <c r="A39" i="44"/>
  <c r="A40" i="44"/>
  <c r="A41" i="44"/>
  <c r="A42" i="44"/>
  <c r="A43" i="44"/>
  <c r="A44" i="44"/>
  <c r="A45" i="44"/>
  <c r="A46" i="44"/>
  <c r="A47" i="44"/>
  <c r="A48" i="44"/>
  <c r="A49" i="44"/>
  <c r="A50" i="44"/>
  <c r="A51" i="44"/>
  <c r="A52" i="44"/>
  <c r="A53" i="44"/>
  <c r="A54" i="44"/>
  <c r="A55" i="44"/>
  <c r="A56" i="44"/>
  <c r="A57" i="44"/>
  <c r="A58" i="44"/>
  <c r="A59" i="44"/>
  <c r="A60" i="44"/>
  <c r="A61" i="44"/>
  <c r="A62" i="44"/>
  <c r="A63" i="44"/>
  <c r="A64" i="44"/>
  <c r="A65" i="44"/>
  <c r="A66" i="44"/>
  <c r="A67" i="44"/>
  <c r="A68" i="44"/>
  <c r="A69" i="44"/>
  <c r="A70" i="44"/>
  <c r="A71" i="44"/>
  <c r="A72" i="44"/>
  <c r="A73" i="44"/>
  <c r="A74" i="44"/>
  <c r="A75" i="44"/>
  <c r="A76" i="44"/>
  <c r="A77" i="44"/>
  <c r="A78" i="44"/>
  <c r="A79" i="44"/>
  <c r="A80" i="44"/>
  <c r="A81" i="44"/>
  <c r="A82" i="44"/>
  <c r="A83" i="44"/>
  <c r="A84" i="44"/>
  <c r="A85" i="44"/>
  <c r="A86" i="44"/>
  <c r="A87" i="44"/>
  <c r="A88" i="44"/>
  <c r="A89" i="44"/>
  <c r="A90" i="44"/>
  <c r="A91" i="44"/>
  <c r="A92" i="44"/>
  <c r="A93" i="44"/>
  <c r="A94" i="44"/>
  <c r="A95" i="44"/>
  <c r="A96" i="44"/>
  <c r="A97" i="44"/>
  <c r="A98" i="44"/>
  <c r="A99" i="44"/>
  <c r="A100" i="44"/>
  <c r="A101" i="44"/>
  <c r="A102" i="44"/>
  <c r="A103" i="44"/>
  <c r="A104" i="44"/>
  <c r="A105" i="44"/>
  <c r="A106" i="44"/>
  <c r="A107" i="44"/>
  <c r="A108" i="44"/>
  <c r="A109" i="44"/>
  <c r="A110" i="44"/>
  <c r="A111" i="44"/>
  <c r="A112" i="44"/>
  <c r="A113" i="44"/>
  <c r="A114" i="44"/>
  <c r="A115" i="44"/>
  <c r="A116" i="44"/>
  <c r="A117" i="44"/>
  <c r="A118" i="44"/>
  <c r="A119" i="44"/>
  <c r="A120" i="44"/>
  <c r="A121" i="44"/>
  <c r="A122" i="44"/>
  <c r="A123" i="44"/>
  <c r="A124" i="44"/>
  <c r="A125" i="44"/>
  <c r="A126" i="44"/>
  <c r="A127" i="44"/>
  <c r="A128" i="44"/>
  <c r="A129" i="44"/>
  <c r="A130" i="44"/>
  <c r="A131" i="44"/>
  <c r="A132" i="44"/>
  <c r="A133" i="44"/>
  <c r="A134" i="44"/>
  <c r="A135" i="44"/>
  <c r="A136" i="44"/>
  <c r="A137" i="44"/>
  <c r="A138" i="44"/>
  <c r="A139" i="44"/>
  <c r="A140" i="44"/>
  <c r="A141" i="44"/>
  <c r="A142" i="44"/>
  <c r="A143" i="44"/>
  <c r="A144" i="44"/>
  <c r="A145" i="44"/>
  <c r="A146" i="44"/>
  <c r="A147" i="44"/>
  <c r="A148" i="44"/>
  <c r="A149" i="44"/>
  <c r="A150" i="44"/>
  <c r="A151" i="44"/>
  <c r="A152" i="44"/>
  <c r="A153" i="44"/>
  <c r="A154" i="44"/>
  <c r="A155" i="44"/>
  <c r="A156" i="44"/>
  <c r="A157" i="44"/>
  <c r="A158" i="44"/>
  <c r="A159" i="44"/>
  <c r="A160" i="44"/>
  <c r="A161" i="44"/>
  <c r="A162" i="44"/>
  <c r="A163" i="44"/>
  <c r="A164" i="44"/>
  <c r="A165" i="44"/>
  <c r="A166" i="44"/>
  <c r="A167" i="44"/>
  <c r="A168" i="44"/>
  <c r="A169" i="44"/>
  <c r="A220" i="44"/>
  <c r="B9" i="29"/>
  <c r="A15" i="29"/>
  <c r="K21" i="29"/>
  <c r="T1" i="43"/>
  <c r="U4" i="43"/>
  <c r="O5" i="43" s="1"/>
  <c r="P5" i="43" s="1"/>
  <c r="D5" i="43"/>
  <c r="D6" i="43"/>
  <c r="N6" i="43"/>
  <c r="D7" i="43"/>
  <c r="N7" i="43"/>
  <c r="D8" i="43"/>
  <c r="N8" i="43"/>
  <c r="D9" i="43"/>
  <c r="D10" i="43"/>
  <c r="D11" i="43"/>
  <c r="D12" i="43"/>
  <c r="D13" i="43"/>
  <c r="D14" i="43"/>
  <c r="D15" i="43"/>
  <c r="D16" i="43"/>
  <c r="D17" i="43"/>
  <c r="D18" i="43"/>
  <c r="D19" i="43"/>
  <c r="D20" i="43"/>
  <c r="T21" i="43"/>
  <c r="U24" i="43"/>
  <c r="O25" i="43" s="1"/>
  <c r="P25" i="43" s="1"/>
  <c r="A25" i="43"/>
  <c r="A45" i="43" s="1"/>
  <c r="A65" i="43" s="1"/>
  <c r="A85" i="43" s="1"/>
  <c r="A105" i="43" s="1"/>
  <c r="A125" i="43" s="1"/>
  <c r="A145" i="43" s="1"/>
  <c r="A165" i="43" s="1"/>
  <c r="A185" i="43" s="1"/>
  <c r="A205" i="43" s="1"/>
  <c r="A225" i="43" s="1"/>
  <c r="A245" i="43" s="1"/>
  <c r="A265" i="43" s="1"/>
  <c r="A285" i="43" s="1"/>
  <c r="A305" i="43" s="1"/>
  <c r="A325" i="43" s="1"/>
  <c r="A345" i="43" s="1"/>
  <c r="A365" i="43" s="1"/>
  <c r="A385" i="43" s="1"/>
  <c r="A405" i="43" s="1"/>
  <c r="A425" i="43" s="1"/>
  <c r="A445" i="43" s="1"/>
  <c r="A465" i="43" s="1"/>
  <c r="A485" i="43" s="1"/>
  <c r="A505" i="43" s="1"/>
  <c r="A525" i="43" s="1"/>
  <c r="A545" i="43" s="1"/>
  <c r="A565" i="43" s="1"/>
  <c r="A585" i="43" s="1"/>
  <c r="A605" i="43" s="1"/>
  <c r="A625" i="43" s="1"/>
  <c r="A645" i="43" s="1"/>
  <c r="A665" i="43" s="1"/>
  <c r="A685" i="43" s="1"/>
  <c r="A705" i="43" s="1"/>
  <c r="A725" i="43" s="1"/>
  <c r="A745" i="43" s="1"/>
  <c r="A765" i="43" s="1"/>
  <c r="A785" i="43" s="1"/>
  <c r="A805" i="43" s="1"/>
  <c r="A825" i="43" s="1"/>
  <c r="A845" i="43" s="1"/>
  <c r="A865" i="43" s="1"/>
  <c r="A885" i="43" s="1"/>
  <c r="A905" i="43" s="1"/>
  <c r="A925" i="43" s="1"/>
  <c r="A945" i="43" s="1"/>
  <c r="A965" i="43" s="1"/>
  <c r="A985" i="43" s="1"/>
  <c r="A1005" i="43" s="1"/>
  <c r="A1025" i="43" s="1"/>
  <c r="A1045" i="43" s="1"/>
  <c r="A1065" i="43" s="1"/>
  <c r="A1085" i="43" s="1"/>
  <c r="A1105" i="43" s="1"/>
  <c r="A1125" i="43" s="1"/>
  <c r="A1145" i="43" s="1"/>
  <c r="A1165" i="43" s="1"/>
  <c r="A1185" i="43" s="1"/>
  <c r="A1205" i="43" s="1"/>
  <c r="A1225" i="43" s="1"/>
  <c r="A1245" i="43" s="1"/>
  <c r="A1265" i="43" s="1"/>
  <c r="A1285" i="43" s="1"/>
  <c r="A1305" i="43" s="1"/>
  <c r="A1325" i="43" s="1"/>
  <c r="A1345" i="43" s="1"/>
  <c r="A1365" i="43" s="1"/>
  <c r="A1385" i="43" s="1"/>
  <c r="A1405" i="43" s="1"/>
  <c r="A1425" i="43" s="1"/>
  <c r="A1445" i="43" s="1"/>
  <c r="A1465" i="43" s="1"/>
  <c r="A1485" i="43" s="1"/>
  <c r="A1505" i="43" s="1"/>
  <c r="A1525" i="43" s="1"/>
  <c r="A1545" i="43" s="1"/>
  <c r="A1565" i="43" s="1"/>
  <c r="A1585" i="43" s="1"/>
  <c r="A1605" i="43" s="1"/>
  <c r="A1625" i="43" s="1"/>
  <c r="A1645" i="43" s="1"/>
  <c r="A1665" i="43" s="1"/>
  <c r="A1685" i="43" s="1"/>
  <c r="A1705" i="43" s="1"/>
  <c r="A1725" i="43" s="1"/>
  <c r="A1745" i="43" s="1"/>
  <c r="A1765" i="43" s="1"/>
  <c r="A1785" i="43" s="1"/>
  <c r="A1805" i="43" s="1"/>
  <c r="A1825" i="43" s="1"/>
  <c r="A1845" i="43" s="1"/>
  <c r="A1865" i="43" s="1"/>
  <c r="A1885" i="43" s="1"/>
  <c r="A1905" i="43" s="1"/>
  <c r="A1925" i="43" s="1"/>
  <c r="A1945" i="43" s="1"/>
  <c r="A1965" i="43" s="1"/>
  <c r="A1985" i="43" s="1"/>
  <c r="A2005" i="43" s="1"/>
  <c r="A2025" i="43" s="1"/>
  <c r="A2045" i="43" s="1"/>
  <c r="A2065" i="43" s="1"/>
  <c r="A2085" i="43" s="1"/>
  <c r="A2105" i="43" s="1"/>
  <c r="A2125" i="43" s="1"/>
  <c r="A2145" i="43" s="1"/>
  <c r="A2165" i="43" s="1"/>
  <c r="A2185" i="43" s="1"/>
  <c r="A2205" i="43" s="1"/>
  <c r="A2225" i="43" s="1"/>
  <c r="A2245" i="43" s="1"/>
  <c r="A2265" i="43" s="1"/>
  <c r="A2285" i="43" s="1"/>
  <c r="A2305" i="43" s="1"/>
  <c r="A2325" i="43" s="1"/>
  <c r="A2345" i="43" s="1"/>
  <c r="A2365" i="43" s="1"/>
  <c r="A2385" i="43" s="1"/>
  <c r="A2405" i="43" s="1"/>
  <c r="A2425" i="43" s="1"/>
  <c r="A2445" i="43" s="1"/>
  <c r="A2465" i="43" s="1"/>
  <c r="A2485" i="43" s="1"/>
  <c r="A2505" i="43" s="1"/>
  <c r="A2525" i="43" s="1"/>
  <c r="A2545" i="43" s="1"/>
  <c r="A2565" i="43" s="1"/>
  <c r="A2585" i="43" s="1"/>
  <c r="A2605" i="43" s="1"/>
  <c r="A2625" i="43" s="1"/>
  <c r="A2645" i="43" s="1"/>
  <c r="A2665" i="43" s="1"/>
  <c r="A2685" i="43" s="1"/>
  <c r="A2705" i="43" s="1"/>
  <c r="A2725" i="43" s="1"/>
  <c r="A2745" i="43" s="1"/>
  <c r="A2765" i="43" s="1"/>
  <c r="A2785" i="43" s="1"/>
  <c r="A2805" i="43" s="1"/>
  <c r="A2825" i="43" s="1"/>
  <c r="A2845" i="43" s="1"/>
  <c r="A2865" i="43" s="1"/>
  <c r="A2885" i="43" s="1"/>
  <c r="A2905" i="43" s="1"/>
  <c r="A2925" i="43" s="1"/>
  <c r="A2945" i="43" s="1"/>
  <c r="A2965" i="43" s="1"/>
  <c r="A2985" i="43" s="1"/>
  <c r="A3005" i="43" s="1"/>
  <c r="A3025" i="43" s="1"/>
  <c r="A3045" i="43" s="1"/>
  <c r="A3065" i="43" s="1"/>
  <c r="A3085" i="43" s="1"/>
  <c r="A3105" i="43" s="1"/>
  <c r="A3125" i="43" s="1"/>
  <c r="A3145" i="43" s="1"/>
  <c r="A3165" i="43" s="1"/>
  <c r="A3185" i="43" s="1"/>
  <c r="A3205" i="43" s="1"/>
  <c r="A3225" i="43" s="1"/>
  <c r="A3245" i="43" s="1"/>
  <c r="A3265" i="43" s="1"/>
  <c r="A3285" i="43" s="1"/>
  <c r="A3305" i="43" s="1"/>
  <c r="A3325" i="43" s="1"/>
  <c r="A3345" i="43" s="1"/>
  <c r="A3365" i="43" s="1"/>
  <c r="A3385" i="43" s="1"/>
  <c r="A3405" i="43" s="1"/>
  <c r="A3425" i="43" s="1"/>
  <c r="A3445" i="43" s="1"/>
  <c r="A3465" i="43" s="1"/>
  <c r="A3485" i="43" s="1"/>
  <c r="A3505" i="43" s="1"/>
  <c r="A3525" i="43" s="1"/>
  <c r="A3545" i="43" s="1"/>
  <c r="A3565" i="43" s="1"/>
  <c r="A3585" i="43" s="1"/>
  <c r="A3605" i="43" s="1"/>
  <c r="A3625" i="43" s="1"/>
  <c r="A3645" i="43" s="1"/>
  <c r="A3665" i="43" s="1"/>
  <c r="A3685" i="43" s="1"/>
  <c r="A3705" i="43" s="1"/>
  <c r="A3725" i="43" s="1"/>
  <c r="A3745" i="43" s="1"/>
  <c r="A3765" i="43" s="1"/>
  <c r="A3785" i="43" s="1"/>
  <c r="A3805" i="43" s="1"/>
  <c r="A3825" i="43" s="1"/>
  <c r="A3845" i="43" s="1"/>
  <c r="A3865" i="43" s="1"/>
  <c r="A3885" i="43" s="1"/>
  <c r="A3905" i="43" s="1"/>
  <c r="A3925" i="43" s="1"/>
  <c r="A3945" i="43" s="1"/>
  <c r="A3965" i="43" s="1"/>
  <c r="A3985" i="43" s="1"/>
  <c r="A4005" i="43" s="1"/>
  <c r="A4025" i="43" s="1"/>
  <c r="A4045" i="43" s="1"/>
  <c r="A4065" i="43" s="1"/>
  <c r="A4085" i="43" s="1"/>
  <c r="A4105" i="43" s="1"/>
  <c r="A4125" i="43" s="1"/>
  <c r="A4145" i="43" s="1"/>
  <c r="A4165" i="43" s="1"/>
  <c r="A4185" i="43" s="1"/>
  <c r="A4205" i="43" s="1"/>
  <c r="A4225" i="43" s="1"/>
  <c r="A4245" i="43" s="1"/>
  <c r="A4265" i="43" s="1"/>
  <c r="A4285" i="43" s="1"/>
  <c r="A4305" i="43" s="1"/>
  <c r="D25" i="43"/>
  <c r="D26" i="43"/>
  <c r="N26" i="43"/>
  <c r="D27" i="43"/>
  <c r="D28" i="43"/>
  <c r="D29" i="43"/>
  <c r="D30" i="43"/>
  <c r="D31" i="43"/>
  <c r="D32" i="43"/>
  <c r="D33" i="43"/>
  <c r="D34" i="43"/>
  <c r="D35" i="43"/>
  <c r="D36" i="43"/>
  <c r="D37" i="43"/>
  <c r="D38" i="43"/>
  <c r="D39" i="43"/>
  <c r="D40" i="43"/>
  <c r="T41" i="43"/>
  <c r="U43" i="43"/>
  <c r="U44" i="43"/>
  <c r="O45" i="43" s="1"/>
  <c r="P45" i="43" s="1"/>
  <c r="D45" i="43"/>
  <c r="D46" i="43"/>
  <c r="N46" i="43"/>
  <c r="D47" i="43"/>
  <c r="N47" i="43"/>
  <c r="D48" i="43"/>
  <c r="D49" i="43"/>
  <c r="D50" i="43"/>
  <c r="D51" i="43"/>
  <c r="D52" i="43"/>
  <c r="D53" i="43"/>
  <c r="D54" i="43"/>
  <c r="D55" i="43"/>
  <c r="D56" i="43"/>
  <c r="D57" i="43"/>
  <c r="D58" i="43"/>
  <c r="D59" i="43"/>
  <c r="D60" i="43"/>
  <c r="T61" i="43"/>
  <c r="U64" i="43"/>
  <c r="O65" i="43" s="1"/>
  <c r="P65" i="43" s="1"/>
  <c r="D65" i="43"/>
  <c r="D66" i="43"/>
  <c r="N66" i="43"/>
  <c r="D67" i="43"/>
  <c r="N67" i="43"/>
  <c r="D68" i="43"/>
  <c r="N68" i="43"/>
  <c r="D69" i="43"/>
  <c r="N69" i="43"/>
  <c r="D70" i="43"/>
  <c r="D71" i="43"/>
  <c r="D72" i="43"/>
  <c r="D73" i="43"/>
  <c r="D74" i="43"/>
  <c r="D75" i="43"/>
  <c r="D76" i="43"/>
  <c r="D77" i="43"/>
  <c r="D78" i="43"/>
  <c r="D79" i="43"/>
  <c r="D80" i="43"/>
  <c r="T81" i="43"/>
  <c r="U84" i="43"/>
  <c r="O85" i="43" s="1"/>
  <c r="P85" i="43" s="1"/>
  <c r="D85" i="43"/>
  <c r="D86" i="43"/>
  <c r="N86" i="43"/>
  <c r="D87" i="43"/>
  <c r="N87" i="43"/>
  <c r="D88" i="43"/>
  <c r="D89" i="43"/>
  <c r="D90" i="43"/>
  <c r="D91" i="43"/>
  <c r="D92" i="43"/>
  <c r="D93" i="43"/>
  <c r="D94" i="43"/>
  <c r="D95" i="43"/>
  <c r="D96" i="43"/>
  <c r="D97" i="43"/>
  <c r="D98" i="43"/>
  <c r="D99" i="43"/>
  <c r="D100" i="43"/>
  <c r="T101" i="43"/>
  <c r="U103" i="43"/>
  <c r="U104" i="43"/>
  <c r="O105" i="43" s="1"/>
  <c r="D105" i="43"/>
  <c r="D106" i="43"/>
  <c r="N106" i="43"/>
  <c r="D107" i="43"/>
  <c r="N107" i="43"/>
  <c r="D108" i="43"/>
  <c r="N108" i="43"/>
  <c r="D109" i="43"/>
  <c r="N109" i="43"/>
  <c r="D110" i="43"/>
  <c r="N110" i="43"/>
  <c r="D111" i="43"/>
  <c r="N111" i="43"/>
  <c r="D112" i="43"/>
  <c r="D113" i="43"/>
  <c r="D114" i="43"/>
  <c r="D115" i="43"/>
  <c r="D116" i="43"/>
  <c r="D117" i="43"/>
  <c r="D118" i="43"/>
  <c r="D119" i="43"/>
  <c r="D120" i="43"/>
  <c r="T121" i="43"/>
  <c r="U124" i="43"/>
  <c r="O125" i="43" s="1"/>
  <c r="P125" i="43" s="1"/>
  <c r="D125" i="43"/>
  <c r="D126" i="43"/>
  <c r="N126" i="43"/>
  <c r="D127" i="43"/>
  <c r="N127" i="43"/>
  <c r="D128" i="43"/>
  <c r="D129" i="43"/>
  <c r="D130" i="43"/>
  <c r="D131" i="43"/>
  <c r="D132" i="43"/>
  <c r="D133" i="43"/>
  <c r="D134" i="43"/>
  <c r="D135" i="43"/>
  <c r="D136" i="43"/>
  <c r="D137" i="43"/>
  <c r="D138" i="43"/>
  <c r="D139" i="43"/>
  <c r="D140" i="43"/>
  <c r="T141" i="43"/>
  <c r="U144" i="43"/>
  <c r="O145" i="43" s="1"/>
  <c r="P145" i="43" s="1"/>
  <c r="D145" i="43"/>
  <c r="D146" i="43"/>
  <c r="N146" i="43"/>
  <c r="D147" i="43"/>
  <c r="N147" i="43"/>
  <c r="D148" i="43"/>
  <c r="N148" i="43"/>
  <c r="D149" i="43"/>
  <c r="N149" i="43"/>
  <c r="D150" i="43"/>
  <c r="D151" i="43"/>
  <c r="D152" i="43"/>
  <c r="D153" i="43"/>
  <c r="D154" i="43"/>
  <c r="D155" i="43"/>
  <c r="D156" i="43"/>
  <c r="D157" i="43"/>
  <c r="D158" i="43"/>
  <c r="D159" i="43"/>
  <c r="D160" i="43"/>
  <c r="T161" i="43"/>
  <c r="U164" i="43"/>
  <c r="O165" i="43" s="1"/>
  <c r="P165" i="43" s="1"/>
  <c r="D165" i="43"/>
  <c r="D166" i="43"/>
  <c r="N166" i="43"/>
  <c r="D167" i="43"/>
  <c r="N167" i="43"/>
  <c r="D168" i="43"/>
  <c r="N168" i="43"/>
  <c r="D169" i="43"/>
  <c r="D170" i="43"/>
  <c r="D171" i="43"/>
  <c r="D172" i="43"/>
  <c r="D173" i="43"/>
  <c r="D174" i="43"/>
  <c r="D175" i="43"/>
  <c r="D176" i="43"/>
  <c r="D177" i="43"/>
  <c r="D178" i="43"/>
  <c r="D179" i="43"/>
  <c r="D180" i="43"/>
  <c r="T181" i="43"/>
  <c r="U184" i="43"/>
  <c r="O185" i="43" s="1"/>
  <c r="P185" i="43" s="1"/>
  <c r="D185" i="43"/>
  <c r="D186" i="43"/>
  <c r="N186" i="43"/>
  <c r="D187" i="43"/>
  <c r="N187" i="43"/>
  <c r="D188" i="43"/>
  <c r="D189" i="43"/>
  <c r="D190" i="43"/>
  <c r="D191" i="43"/>
  <c r="D192" i="43"/>
  <c r="D193" i="43"/>
  <c r="D194" i="43"/>
  <c r="D195" i="43"/>
  <c r="D196" i="43"/>
  <c r="D197" i="43"/>
  <c r="D198" i="43"/>
  <c r="D199" i="43"/>
  <c r="D200" i="43"/>
  <c r="T201" i="43"/>
  <c r="U204" i="43"/>
  <c r="O205" i="43" s="1"/>
  <c r="D205" i="43"/>
  <c r="D206" i="43"/>
  <c r="N206" i="43"/>
  <c r="D207" i="43"/>
  <c r="N207" i="43"/>
  <c r="D208" i="43"/>
  <c r="D209" i="43"/>
  <c r="D210" i="43"/>
  <c r="D211" i="43"/>
  <c r="D212" i="43"/>
  <c r="D213" i="43"/>
  <c r="D214" i="43"/>
  <c r="D215" i="43"/>
  <c r="D216" i="43"/>
  <c r="D217" i="43"/>
  <c r="D218" i="43"/>
  <c r="D219" i="43"/>
  <c r="D220" i="43"/>
  <c r="T221" i="43"/>
  <c r="U224" i="43"/>
  <c r="O225" i="43" s="1"/>
  <c r="P225" i="43" s="1"/>
  <c r="D225" i="43"/>
  <c r="D226" i="43"/>
  <c r="N226" i="43"/>
  <c r="D227" i="43"/>
  <c r="N227" i="43"/>
  <c r="D228" i="43"/>
  <c r="D229" i="43"/>
  <c r="D230" i="43"/>
  <c r="D231" i="43"/>
  <c r="D232" i="43"/>
  <c r="D233" i="43"/>
  <c r="D234" i="43"/>
  <c r="D235" i="43"/>
  <c r="D236" i="43"/>
  <c r="D237" i="43"/>
  <c r="D238" i="43"/>
  <c r="D239" i="43"/>
  <c r="D240" i="43"/>
  <c r="T241" i="43"/>
  <c r="U243" i="43"/>
  <c r="U244" i="43"/>
  <c r="O245" i="43" s="1"/>
  <c r="D245" i="43"/>
  <c r="D246" i="43"/>
  <c r="N246" i="43"/>
  <c r="D247" i="43"/>
  <c r="N247" i="43"/>
  <c r="D248" i="43"/>
  <c r="N248" i="43"/>
  <c r="D249" i="43"/>
  <c r="N249" i="43"/>
  <c r="D250" i="43"/>
  <c r="N250" i="43"/>
  <c r="D251" i="43"/>
  <c r="D252" i="43"/>
  <c r="D253" i="43"/>
  <c r="D254" i="43"/>
  <c r="D255" i="43"/>
  <c r="D256" i="43"/>
  <c r="D257" i="43"/>
  <c r="D258" i="43"/>
  <c r="D259" i="43"/>
  <c r="D260" i="43"/>
  <c r="T261" i="43"/>
  <c r="U264" i="43"/>
  <c r="O265" i="43" s="1"/>
  <c r="P265" i="43" s="1"/>
  <c r="D265" i="43"/>
  <c r="D266" i="43"/>
  <c r="N266" i="43"/>
  <c r="D267" i="43"/>
  <c r="N267" i="43"/>
  <c r="D268" i="43"/>
  <c r="D269" i="43"/>
  <c r="D270" i="43"/>
  <c r="D271" i="43"/>
  <c r="D272" i="43"/>
  <c r="D273" i="43"/>
  <c r="D274" i="43"/>
  <c r="D275" i="43"/>
  <c r="D276" i="43"/>
  <c r="D277" i="43"/>
  <c r="D278" i="43"/>
  <c r="D279" i="43"/>
  <c r="D280" i="43"/>
  <c r="T281" i="43"/>
  <c r="U284" i="43"/>
  <c r="O285" i="43" s="1"/>
  <c r="P285" i="43" s="1"/>
  <c r="D285" i="43"/>
  <c r="D286" i="43"/>
  <c r="N286" i="43"/>
  <c r="D287" i="43"/>
  <c r="N287" i="43"/>
  <c r="D288" i="43"/>
  <c r="N288" i="43"/>
  <c r="D289" i="43"/>
  <c r="D290" i="43"/>
  <c r="D291" i="43"/>
  <c r="D292" i="43"/>
  <c r="D293" i="43"/>
  <c r="D294" i="43"/>
  <c r="D295" i="43"/>
  <c r="D296" i="43"/>
  <c r="D297" i="43"/>
  <c r="D298" i="43"/>
  <c r="D299" i="43"/>
  <c r="D300" i="43"/>
  <c r="T301" i="43"/>
  <c r="U304" i="43"/>
  <c r="O305" i="43" s="1"/>
  <c r="D305" i="43"/>
  <c r="D306" i="43"/>
  <c r="N306" i="43"/>
  <c r="D307" i="43"/>
  <c r="N307" i="43"/>
  <c r="D308" i="43"/>
  <c r="N308" i="43"/>
  <c r="D309" i="43"/>
  <c r="N309" i="43"/>
  <c r="D310" i="43"/>
  <c r="N310" i="43"/>
  <c r="D311" i="43"/>
  <c r="N311" i="43"/>
  <c r="D312" i="43"/>
  <c r="N312" i="43"/>
  <c r="D313" i="43"/>
  <c r="D314" i="43"/>
  <c r="D315" i="43"/>
  <c r="D316" i="43"/>
  <c r="D317" i="43"/>
  <c r="D318" i="43"/>
  <c r="D319" i="43"/>
  <c r="D320" i="43"/>
  <c r="T321" i="43"/>
  <c r="U323" i="43"/>
  <c r="U324" i="43"/>
  <c r="O325" i="43" s="1"/>
  <c r="P325" i="43" s="1"/>
  <c r="D325" i="43"/>
  <c r="D326" i="43"/>
  <c r="N326" i="43"/>
  <c r="D327" i="43"/>
  <c r="N327" i="43"/>
  <c r="D328" i="43"/>
  <c r="N328" i="43"/>
  <c r="D329" i="43"/>
  <c r="N329" i="43"/>
  <c r="D330" i="43"/>
  <c r="N330" i="43"/>
  <c r="D331" i="43"/>
  <c r="N331" i="43"/>
  <c r="D332" i="43"/>
  <c r="N332" i="43"/>
  <c r="D333" i="43"/>
  <c r="N333" i="43"/>
  <c r="D334" i="43"/>
  <c r="D335" i="43"/>
  <c r="D336" i="43"/>
  <c r="D337" i="43"/>
  <c r="D338" i="43"/>
  <c r="D339" i="43"/>
  <c r="D340" i="43"/>
  <c r="T341" i="43"/>
  <c r="U344" i="43"/>
  <c r="O345" i="43" s="1"/>
  <c r="P345" i="43" s="1"/>
  <c r="D345" i="43"/>
  <c r="D346" i="43"/>
  <c r="N346" i="43"/>
  <c r="D347" i="43"/>
  <c r="N347" i="43"/>
  <c r="D348" i="43"/>
  <c r="N348" i="43"/>
  <c r="D349" i="43"/>
  <c r="N349" i="43"/>
  <c r="D350" i="43"/>
  <c r="N350" i="43"/>
  <c r="D351" i="43"/>
  <c r="D352" i="43"/>
  <c r="D353" i="43"/>
  <c r="D354" i="43"/>
  <c r="D355" i="43"/>
  <c r="D356" i="43"/>
  <c r="D357" i="43"/>
  <c r="D358" i="43"/>
  <c r="D359" i="43"/>
  <c r="D360" i="43"/>
  <c r="T361" i="43"/>
  <c r="U364" i="43"/>
  <c r="O365" i="43" s="1"/>
  <c r="P365" i="43" s="1"/>
  <c r="D365" i="43"/>
  <c r="D366" i="43"/>
  <c r="N366" i="43"/>
  <c r="D367" i="43"/>
  <c r="N367" i="43"/>
  <c r="D368" i="43"/>
  <c r="N368" i="43"/>
  <c r="D369" i="43"/>
  <c r="N369" i="43"/>
  <c r="D370" i="43"/>
  <c r="N370" i="43"/>
  <c r="D371" i="43"/>
  <c r="D372" i="43"/>
  <c r="D373" i="43"/>
  <c r="D374" i="43"/>
  <c r="D375" i="43"/>
  <c r="D376" i="43"/>
  <c r="D377" i="43"/>
  <c r="D378" i="43"/>
  <c r="D379" i="43"/>
  <c r="D380" i="43"/>
  <c r="T381" i="43"/>
  <c r="U383" i="43"/>
  <c r="U384" i="43"/>
  <c r="O385" i="43" s="1"/>
  <c r="D385" i="43"/>
  <c r="D386" i="43"/>
  <c r="N386" i="43"/>
  <c r="D387" i="43"/>
  <c r="D388" i="43"/>
  <c r="D389" i="43"/>
  <c r="D390" i="43"/>
  <c r="D391" i="43"/>
  <c r="D392" i="43"/>
  <c r="D393" i="43"/>
  <c r="D394" i="43"/>
  <c r="D395" i="43"/>
  <c r="D396" i="43"/>
  <c r="D397" i="43"/>
  <c r="D398" i="43"/>
  <c r="D399" i="43"/>
  <c r="D400" i="43"/>
  <c r="T401" i="43"/>
  <c r="U404" i="43"/>
  <c r="O405" i="43" s="1"/>
  <c r="D405" i="43"/>
  <c r="D406" i="43"/>
  <c r="N406" i="43"/>
  <c r="D407" i="43"/>
  <c r="N407" i="43"/>
  <c r="D408" i="43"/>
  <c r="N408" i="43"/>
  <c r="D409" i="43"/>
  <c r="D410" i="43"/>
  <c r="D411" i="43"/>
  <c r="D412" i="43"/>
  <c r="D413" i="43"/>
  <c r="D414" i="43"/>
  <c r="D415" i="43"/>
  <c r="D416" i="43"/>
  <c r="D417" i="43"/>
  <c r="D418" i="43"/>
  <c r="D419" i="43"/>
  <c r="D420" i="43"/>
  <c r="T421" i="43"/>
  <c r="U424" i="43"/>
  <c r="O425" i="43" s="1"/>
  <c r="D425" i="43"/>
  <c r="D426" i="43"/>
  <c r="N426" i="43"/>
  <c r="D427" i="43"/>
  <c r="N427" i="43"/>
  <c r="D428" i="43"/>
  <c r="N428" i="43"/>
  <c r="D429" i="43"/>
  <c r="N429" i="43"/>
  <c r="D430" i="43"/>
  <c r="D431" i="43"/>
  <c r="D432" i="43"/>
  <c r="D433" i="43"/>
  <c r="D434" i="43"/>
  <c r="D435" i="43"/>
  <c r="D436" i="43"/>
  <c r="D437" i="43"/>
  <c r="D438" i="43"/>
  <c r="D439" i="43"/>
  <c r="D440" i="43"/>
  <c r="T441" i="43"/>
  <c r="U444" i="43"/>
  <c r="O445" i="43" s="1"/>
  <c r="P445" i="43" s="1"/>
  <c r="D445" i="43"/>
  <c r="D446" i="43"/>
  <c r="N446" i="43"/>
  <c r="D447" i="43"/>
  <c r="N447" i="43"/>
  <c r="D448" i="43"/>
  <c r="N448" i="43"/>
  <c r="D449" i="43"/>
  <c r="N449" i="43"/>
  <c r="D450" i="43"/>
  <c r="D451" i="43"/>
  <c r="D452" i="43"/>
  <c r="D453" i="43"/>
  <c r="D454" i="43"/>
  <c r="D455" i="43"/>
  <c r="D456" i="43"/>
  <c r="D457" i="43"/>
  <c r="D458" i="43"/>
  <c r="D459" i="43"/>
  <c r="D460" i="43"/>
  <c r="T461" i="43"/>
  <c r="U463" i="43"/>
  <c r="U464" i="43"/>
  <c r="O465" i="43" s="1"/>
  <c r="D465" i="43"/>
  <c r="D466" i="43"/>
  <c r="N466" i="43"/>
  <c r="D467" i="43"/>
  <c r="N467" i="43"/>
  <c r="D468" i="43"/>
  <c r="N468" i="43"/>
  <c r="D469" i="43"/>
  <c r="N469" i="43"/>
  <c r="D470" i="43"/>
  <c r="D471" i="43"/>
  <c r="D472" i="43"/>
  <c r="D473" i="43"/>
  <c r="D474" i="43"/>
  <c r="D475" i="43"/>
  <c r="D476" i="43"/>
  <c r="D477" i="43"/>
  <c r="D478" i="43"/>
  <c r="D479" i="43"/>
  <c r="D480" i="43"/>
  <c r="T481" i="43"/>
  <c r="U484" i="43"/>
  <c r="O485" i="43" s="1"/>
  <c r="D485" i="43"/>
  <c r="D486" i="43"/>
  <c r="N486" i="43"/>
  <c r="D487" i="43"/>
  <c r="N487" i="43"/>
  <c r="D488" i="43"/>
  <c r="N488" i="43"/>
  <c r="D489" i="43"/>
  <c r="D490" i="43"/>
  <c r="D491" i="43"/>
  <c r="D492" i="43"/>
  <c r="D493" i="43"/>
  <c r="D494" i="43"/>
  <c r="D495" i="43"/>
  <c r="D496" i="43"/>
  <c r="D497" i="43"/>
  <c r="D498" i="43"/>
  <c r="D499" i="43"/>
  <c r="D500" i="43"/>
  <c r="T501" i="43"/>
  <c r="U504" i="43"/>
  <c r="O505" i="43" s="1"/>
  <c r="P505" i="43" s="1"/>
  <c r="D505" i="43"/>
  <c r="D506" i="43"/>
  <c r="N506" i="43"/>
  <c r="D507" i="43"/>
  <c r="N507" i="43"/>
  <c r="D508" i="43"/>
  <c r="N508" i="43"/>
  <c r="D509" i="43"/>
  <c r="N509" i="43"/>
  <c r="D510" i="43"/>
  <c r="N510" i="43"/>
  <c r="D511" i="43"/>
  <c r="D512" i="43"/>
  <c r="D513" i="43"/>
  <c r="D514" i="43"/>
  <c r="D515" i="43"/>
  <c r="D516" i="43"/>
  <c r="D517" i="43"/>
  <c r="D518" i="43"/>
  <c r="D519" i="43"/>
  <c r="D520" i="43"/>
  <c r="T521" i="43"/>
  <c r="U524" i="43"/>
  <c r="O525" i="43" s="1"/>
  <c r="P525" i="43" s="1"/>
  <c r="D525" i="43"/>
  <c r="D526" i="43"/>
  <c r="N526" i="43"/>
  <c r="D527" i="43"/>
  <c r="N527" i="43"/>
  <c r="D528" i="43"/>
  <c r="N528" i="43"/>
  <c r="D529" i="43"/>
  <c r="D530" i="43"/>
  <c r="D531" i="43"/>
  <c r="D532" i="43"/>
  <c r="D533" i="43"/>
  <c r="D534" i="43"/>
  <c r="D535" i="43"/>
  <c r="D536" i="43"/>
  <c r="D537" i="43"/>
  <c r="D538" i="43"/>
  <c r="D539" i="43"/>
  <c r="D540" i="43"/>
  <c r="T541" i="43"/>
  <c r="U544" i="43"/>
  <c r="O545" i="43" s="1"/>
  <c r="D545" i="43"/>
  <c r="D546" i="43"/>
  <c r="N546" i="43"/>
  <c r="D547" i="43"/>
  <c r="N547" i="43"/>
  <c r="D548" i="43"/>
  <c r="N548" i="43"/>
  <c r="D549" i="43"/>
  <c r="D550" i="43"/>
  <c r="D551" i="43"/>
  <c r="D552" i="43"/>
  <c r="D553" i="43"/>
  <c r="D554" i="43"/>
  <c r="D555" i="43"/>
  <c r="D556" i="43"/>
  <c r="D557" i="43"/>
  <c r="D558" i="43"/>
  <c r="D559" i="43"/>
  <c r="D560" i="43"/>
  <c r="AC22" i="14"/>
  <c r="A3" i="42"/>
  <c r="A4" i="42"/>
  <c r="A5" i="42"/>
  <c r="A6" i="42"/>
  <c r="A7" i="42"/>
  <c r="A8" i="42"/>
  <c r="A9" i="42"/>
  <c r="A10" i="42"/>
  <c r="A11" i="42"/>
  <c r="A12" i="42"/>
  <c r="A13" i="42"/>
  <c r="A14" i="42"/>
  <c r="A15" i="42"/>
  <c r="A16" i="42"/>
  <c r="A17" i="42"/>
  <c r="A18" i="42"/>
  <c r="A19" i="42"/>
  <c r="A20" i="42"/>
  <c r="A21" i="42"/>
  <c r="A22" i="42"/>
  <c r="A23" i="42"/>
  <c r="A24" i="42"/>
  <c r="A25" i="42"/>
  <c r="A26" i="42"/>
  <c r="A27" i="42"/>
  <c r="A28" i="42"/>
  <c r="A29" i="42"/>
  <c r="A30" i="42"/>
  <c r="A31" i="42"/>
  <c r="A32" i="42"/>
  <c r="A33" i="42"/>
  <c r="A34" i="42"/>
  <c r="A35" i="42"/>
  <c r="A36" i="42"/>
  <c r="A37" i="42"/>
  <c r="A38" i="42"/>
  <c r="A39" i="42"/>
  <c r="A40" i="42"/>
  <c r="A41" i="42"/>
  <c r="A42" i="42"/>
  <c r="A43" i="42"/>
  <c r="A44" i="42"/>
  <c r="A45" i="42"/>
  <c r="A46" i="42"/>
  <c r="A47" i="42"/>
  <c r="A48" i="42"/>
  <c r="A49" i="42"/>
  <c r="A50" i="42"/>
  <c r="A51" i="42"/>
  <c r="A52" i="42"/>
  <c r="A53" i="42"/>
  <c r="A54" i="42"/>
  <c r="A55" i="42"/>
  <c r="A56" i="42"/>
  <c r="A62" i="42"/>
  <c r="A63" i="42"/>
  <c r="A64" i="42"/>
  <c r="A65" i="42"/>
  <c r="A66" i="42"/>
  <c r="A67" i="42"/>
  <c r="A68" i="42"/>
  <c r="A69" i="42"/>
  <c r="A70" i="42"/>
  <c r="A71" i="42"/>
  <c r="A72" i="42"/>
  <c r="A73" i="42"/>
  <c r="A74" i="42"/>
  <c r="A75" i="42"/>
  <c r="A76" i="42"/>
  <c r="A77" i="42"/>
  <c r="A78" i="42"/>
  <c r="A79" i="42"/>
  <c r="A80" i="42"/>
  <c r="A81" i="42"/>
  <c r="A82" i="42"/>
  <c r="A83" i="42"/>
  <c r="A84" i="42"/>
  <c r="A85" i="42"/>
  <c r="A86" i="42"/>
  <c r="A87" i="42"/>
  <c r="A88" i="42"/>
  <c r="A97" i="42"/>
  <c r="A98" i="42"/>
  <c r="A99" i="42"/>
  <c r="A100" i="42"/>
  <c r="A101" i="42"/>
  <c r="A102" i="42"/>
  <c r="A103" i="42"/>
  <c r="A104" i="42"/>
  <c r="A105" i="42"/>
  <c r="A106" i="42"/>
  <c r="A107" i="42"/>
  <c r="A108" i="42"/>
  <c r="A109" i="42"/>
  <c r="A110" i="42"/>
  <c r="A111" i="42"/>
  <c r="A112" i="42"/>
  <c r="A113" i="42"/>
  <c r="A114" i="42"/>
  <c r="A115" i="42"/>
  <c r="A116" i="42"/>
  <c r="A117" i="42"/>
  <c r="A118" i="42"/>
  <c r="A119" i="42"/>
  <c r="A120" i="42"/>
  <c r="A121" i="42"/>
  <c r="A122" i="42"/>
  <c r="A123" i="42"/>
  <c r="A124" i="42"/>
  <c r="A125" i="42"/>
  <c r="A126" i="42"/>
  <c r="A127" i="42"/>
  <c r="A128" i="42"/>
  <c r="A129" i="42"/>
  <c r="A130" i="42"/>
  <c r="A131" i="42"/>
  <c r="A132" i="42"/>
  <c r="A133" i="42"/>
  <c r="A134" i="42"/>
  <c r="A135" i="42"/>
  <c r="A136" i="42"/>
  <c r="A137" i="42"/>
  <c r="A138" i="42"/>
  <c r="A139" i="42"/>
  <c r="A140" i="42"/>
  <c r="A141" i="42"/>
  <c r="A142" i="42"/>
  <c r="A143" i="42"/>
  <c r="A144" i="42"/>
  <c r="A145" i="42"/>
  <c r="A146" i="42"/>
  <c r="A147" i="42"/>
  <c r="A148" i="42"/>
  <c r="A149" i="42"/>
  <c r="A150" i="42"/>
  <c r="A151" i="42"/>
  <c r="A152" i="42"/>
  <c r="A153" i="42"/>
  <c r="A154" i="42"/>
  <c r="A155" i="42"/>
  <c r="A156" i="42"/>
  <c r="A157" i="42"/>
  <c r="A158" i="42"/>
  <c r="A159" i="42"/>
  <c r="A160" i="42"/>
  <c r="A161" i="42"/>
  <c r="A162" i="42"/>
  <c r="A163" i="42"/>
  <c r="A164" i="42"/>
  <c r="A165" i="42"/>
  <c r="A166" i="42"/>
  <c r="A167" i="42"/>
  <c r="A168" i="42"/>
  <c r="A219" i="42"/>
  <c r="A220" i="42"/>
  <c r="A221" i="42"/>
  <c r="A222" i="42"/>
  <c r="A223" i="42"/>
  <c r="A224" i="42"/>
  <c r="A225" i="42"/>
  <c r="A226" i="42"/>
  <c r="A227" i="42"/>
  <c r="A228" i="42"/>
  <c r="A229" i="42"/>
  <c r="A230" i="42"/>
  <c r="A231" i="42"/>
  <c r="A232" i="42"/>
  <c r="A233" i="42"/>
  <c r="A234" i="42"/>
  <c r="A235" i="42"/>
  <c r="A236" i="42"/>
  <c r="A237" i="42"/>
  <c r="A238" i="42"/>
  <c r="A239" i="42"/>
  <c r="A240" i="42"/>
  <c r="A241" i="42"/>
  <c r="A242" i="42"/>
  <c r="A243" i="42"/>
  <c r="A244" i="42"/>
  <c r="A245" i="42"/>
  <c r="A246" i="42"/>
  <c r="A247" i="42"/>
  <c r="A248" i="42"/>
  <c r="A249" i="42"/>
  <c r="A250" i="42"/>
  <c r="A251" i="42"/>
  <c r="A252" i="42"/>
  <c r="A253" i="42"/>
  <c r="A254" i="42"/>
  <c r="A255" i="42"/>
  <c r="A256" i="42"/>
  <c r="A257" i="42"/>
  <c r="A258" i="42"/>
  <c r="A259" i="42"/>
  <c r="A260" i="42"/>
  <c r="A261" i="42"/>
  <c r="A262" i="42"/>
  <c r="A263" i="42"/>
  <c r="A264" i="42"/>
  <c r="A265" i="42"/>
  <c r="A266" i="42"/>
  <c r="A267" i="42"/>
  <c r="F5" i="3"/>
  <c r="E6" i="3"/>
  <c r="K20" i="3"/>
  <c r="N20" i="3"/>
  <c r="R20" i="3"/>
  <c r="AE20" i="3"/>
  <c r="R21" i="3"/>
  <c r="K22" i="3"/>
  <c r="N22" i="3"/>
  <c r="R22" i="3"/>
  <c r="AE22" i="3"/>
  <c r="R23" i="3"/>
  <c r="K24" i="3"/>
  <c r="N24" i="3"/>
  <c r="R24" i="3"/>
  <c r="AE24" i="3"/>
  <c r="R25" i="3"/>
  <c r="K26" i="3"/>
  <c r="N26" i="3"/>
  <c r="R26" i="3"/>
  <c r="AE26" i="3"/>
  <c r="K28" i="3"/>
  <c r="N28" i="3"/>
  <c r="AE28" i="3"/>
  <c r="K30" i="3"/>
  <c r="N30" i="3"/>
  <c r="AE30" i="3"/>
  <c r="K32" i="3"/>
  <c r="N32" i="3"/>
  <c r="AE32" i="3"/>
  <c r="K34" i="3"/>
  <c r="N34" i="3"/>
  <c r="AE34" i="3"/>
  <c r="K36" i="3"/>
  <c r="N36" i="3"/>
  <c r="AE36" i="3"/>
  <c r="K38" i="3"/>
  <c r="N38" i="3"/>
  <c r="AE38" i="3"/>
  <c r="K40" i="3"/>
  <c r="N40" i="3"/>
  <c r="AK40" i="3"/>
  <c r="AK41" i="3"/>
  <c r="AA53" i="3"/>
  <c r="C19" i="55"/>
  <c r="A1" i="2"/>
  <c r="D5" i="2"/>
  <c r="D7" i="2"/>
  <c r="A8" i="2"/>
  <c r="D8" i="2"/>
  <c r="A9" i="2"/>
  <c r="D9" i="2"/>
  <c r="D10" i="2"/>
  <c r="Q26" i="2"/>
  <c r="C31" i="15" s="1"/>
  <c r="P29" i="19" s="1"/>
  <c r="C33" i="2"/>
  <c r="B10" i="1"/>
  <c r="A5" i="56" s="1"/>
  <c r="B11" i="1"/>
  <c r="A7" i="2" s="1"/>
  <c r="G3" i="20"/>
  <c r="J3" i="20"/>
  <c r="K3" i="20" s="1"/>
  <c r="L3" i="20" s="1"/>
  <c r="Q3" i="20"/>
  <c r="G4" i="20"/>
  <c r="J4" i="20"/>
  <c r="K4" i="20" s="1"/>
  <c r="L4" i="20" s="1"/>
  <c r="U523" i="43"/>
  <c r="Q4" i="20"/>
  <c r="G5" i="20"/>
  <c r="J5" i="20"/>
  <c r="K5" i="20" s="1"/>
  <c r="L5" i="20"/>
  <c r="U443" i="43"/>
  <c r="Q5" i="20"/>
  <c r="G6" i="20"/>
  <c r="J6" i="20"/>
  <c r="K6" i="20" s="1"/>
  <c r="L6" i="20" s="1"/>
  <c r="U543" i="43"/>
  <c r="Q6" i="20"/>
  <c r="G7" i="20"/>
  <c r="J7" i="20"/>
  <c r="K7" i="20" s="1"/>
  <c r="L7" i="20" s="1"/>
  <c r="Q7" i="20"/>
  <c r="G8" i="20"/>
  <c r="J8" i="20"/>
  <c r="K8" i="20"/>
  <c r="L8" i="20" s="1"/>
  <c r="U763" i="43"/>
  <c r="Q8" i="20"/>
  <c r="G9" i="20"/>
  <c r="J9" i="20"/>
  <c r="K9" i="20" s="1"/>
  <c r="L9" i="20" s="1"/>
  <c r="U883" i="43"/>
  <c r="Q9" i="20"/>
  <c r="G10" i="20"/>
  <c r="J10" i="20"/>
  <c r="K10" i="20"/>
  <c r="L10" i="20" s="1"/>
  <c r="U823" i="43"/>
  <c r="Q10" i="20"/>
  <c r="G11" i="20"/>
  <c r="J11" i="20"/>
  <c r="K11" i="20" s="1"/>
  <c r="L11" i="20" s="1"/>
  <c r="U1423" i="43"/>
  <c r="G12" i="20"/>
  <c r="J12" i="20"/>
  <c r="K12" i="20" s="1"/>
  <c r="L12" i="20" s="1"/>
  <c r="U1143" i="43"/>
  <c r="G13" i="20"/>
  <c r="J13" i="20"/>
  <c r="K13" i="20" s="1"/>
  <c r="L13" i="20" s="1"/>
  <c r="Q13" i="20"/>
  <c r="G14" i="20"/>
  <c r="J14" i="20"/>
  <c r="K14" i="20" s="1"/>
  <c r="L14" i="20" s="1"/>
  <c r="Q14" i="20"/>
  <c r="G15" i="20"/>
  <c r="J15" i="20"/>
  <c r="K15" i="20" s="1"/>
  <c r="L15" i="20" s="1"/>
  <c r="Q15" i="20"/>
  <c r="G16" i="20"/>
  <c r="J16" i="20"/>
  <c r="K16" i="20" s="1"/>
  <c r="L16" i="20" s="1"/>
  <c r="Q16" i="20"/>
  <c r="G17" i="20"/>
  <c r="J17" i="20"/>
  <c r="K17" i="20" s="1"/>
  <c r="L17" i="20" s="1"/>
  <c r="Q17" i="20"/>
  <c r="G18" i="20"/>
  <c r="J18" i="20"/>
  <c r="K18" i="20" s="1"/>
  <c r="L18" i="20" s="1"/>
  <c r="G19" i="20"/>
  <c r="J19" i="20"/>
  <c r="K19" i="20" s="1"/>
  <c r="L19" i="20"/>
  <c r="G20" i="20"/>
  <c r="J20" i="20"/>
  <c r="K20" i="20" s="1"/>
  <c r="L20" i="20" s="1"/>
  <c r="G21" i="20"/>
  <c r="J21" i="20"/>
  <c r="K21" i="20" s="1"/>
  <c r="L21" i="20" s="1"/>
  <c r="G22" i="20"/>
  <c r="J22" i="20"/>
  <c r="K22" i="20" s="1"/>
  <c r="L22" i="20"/>
  <c r="U303" i="43"/>
  <c r="Q22" i="20"/>
  <c r="G23" i="20"/>
  <c r="J23" i="20"/>
  <c r="K23" i="20" s="1"/>
  <c r="Q23" i="20"/>
  <c r="G24" i="20"/>
  <c r="J24" i="20"/>
  <c r="K24" i="20"/>
  <c r="L24" i="20" s="1"/>
  <c r="Q24" i="20"/>
  <c r="G25" i="20"/>
  <c r="J25" i="20"/>
  <c r="K25" i="20" s="1"/>
  <c r="L25" i="20" s="1"/>
  <c r="G26" i="20"/>
  <c r="J26" i="20"/>
  <c r="K26" i="20"/>
  <c r="L26" i="20" s="1"/>
  <c r="G27" i="20"/>
  <c r="J27" i="20"/>
  <c r="K27" i="20"/>
  <c r="L27" i="20" s="1"/>
  <c r="G28" i="20"/>
  <c r="J28" i="20"/>
  <c r="K28" i="20" s="1"/>
  <c r="L28" i="20" s="1"/>
  <c r="G29" i="20"/>
  <c r="J29" i="20"/>
  <c r="K29" i="20"/>
  <c r="L29" i="20" s="1"/>
  <c r="U423" i="43"/>
  <c r="Q29" i="20"/>
  <c r="G30" i="20"/>
  <c r="J30" i="20"/>
  <c r="K30" i="20" s="1"/>
  <c r="L30" i="20" s="1"/>
  <c r="U703" i="43"/>
  <c r="Q30" i="20"/>
  <c r="G31" i="20"/>
  <c r="J31" i="20"/>
  <c r="K31" i="20" s="1"/>
  <c r="L31" i="20" s="1"/>
  <c r="U563" i="43"/>
  <c r="Q31" i="20"/>
  <c r="G32" i="20"/>
  <c r="J32" i="20"/>
  <c r="K32" i="20" s="1"/>
  <c r="L32" i="20" s="1"/>
  <c r="U623" i="43"/>
  <c r="Q32" i="20"/>
  <c r="G33" i="20"/>
  <c r="J33" i="20"/>
  <c r="K33" i="20" s="1"/>
  <c r="L33" i="20" s="1"/>
  <c r="U743" i="43"/>
  <c r="Q33" i="20"/>
  <c r="G34" i="20"/>
  <c r="J34" i="20"/>
  <c r="K34" i="20" s="1"/>
  <c r="L34" i="20"/>
  <c r="U1003" i="43"/>
  <c r="Q34" i="20"/>
  <c r="G35" i="20"/>
  <c r="J35" i="20"/>
  <c r="K35" i="20" s="1"/>
  <c r="L35" i="20" s="1"/>
  <c r="U503" i="43"/>
  <c r="Q35" i="20"/>
  <c r="G36" i="20"/>
  <c r="J36" i="20"/>
  <c r="K36" i="20" s="1"/>
  <c r="L36" i="20" s="1"/>
  <c r="U923" i="43"/>
  <c r="Q36" i="20"/>
  <c r="G37" i="20"/>
  <c r="J37" i="20"/>
  <c r="K37" i="20" s="1"/>
  <c r="L37" i="20" s="1"/>
  <c r="U1043" i="43"/>
  <c r="Q37" i="20"/>
  <c r="G38" i="20"/>
  <c r="J38" i="20"/>
  <c r="K38" i="20"/>
  <c r="L38" i="20" s="1"/>
  <c r="U1083" i="43"/>
  <c r="Q38" i="20"/>
  <c r="G39" i="20"/>
  <c r="J39" i="20"/>
  <c r="K39" i="20"/>
  <c r="L39" i="20" s="1"/>
  <c r="U1123" i="43"/>
  <c r="Q39" i="20"/>
  <c r="G40" i="20"/>
  <c r="J40" i="20"/>
  <c r="K40" i="20" s="1"/>
  <c r="L40" i="20" s="1"/>
  <c r="U1223" i="43"/>
  <c r="Q40" i="20"/>
  <c r="G41" i="20"/>
  <c r="J41" i="20"/>
  <c r="K41" i="20"/>
  <c r="L41" i="20" s="1"/>
  <c r="U1463" i="43"/>
  <c r="Q41" i="20"/>
  <c r="G42" i="20"/>
  <c r="J42" i="20"/>
  <c r="K42" i="20" s="1"/>
  <c r="L42" i="20" s="1"/>
  <c r="U1203" i="43"/>
  <c r="Q42" i="20"/>
  <c r="G43" i="20"/>
  <c r="J43" i="20"/>
  <c r="K43" i="20"/>
  <c r="L43" i="20" s="1"/>
  <c r="U1323" i="43"/>
  <c r="G44" i="20"/>
  <c r="J44" i="20"/>
  <c r="K44" i="20" s="1"/>
  <c r="L44" i="20" s="1"/>
  <c r="U1483" i="43"/>
  <c r="G45" i="20"/>
  <c r="J45" i="20"/>
  <c r="K45" i="20" s="1"/>
  <c r="L45" i="20" s="1"/>
  <c r="U63" i="43"/>
  <c r="G46" i="20"/>
  <c r="J46" i="20"/>
  <c r="K46" i="20"/>
  <c r="L46" i="20" s="1"/>
  <c r="U1183" i="43"/>
  <c r="G47" i="20"/>
  <c r="J47" i="20"/>
  <c r="K47" i="20" s="1"/>
  <c r="L47" i="20" s="1"/>
  <c r="U1103" i="43"/>
  <c r="Q47" i="20"/>
  <c r="G48" i="20"/>
  <c r="J48" i="20"/>
  <c r="K48" i="20"/>
  <c r="L48" i="20" s="1"/>
  <c r="U143" i="43"/>
  <c r="Q48" i="20"/>
  <c r="G49" i="20"/>
  <c r="J49" i="20"/>
  <c r="K49" i="20" s="1"/>
  <c r="L49" i="20" s="1"/>
  <c r="U1543" i="43"/>
  <c r="G50" i="20"/>
  <c r="J50" i="20"/>
  <c r="K50" i="20" s="1"/>
  <c r="L50" i="20" s="1"/>
  <c r="U1403" i="43"/>
  <c r="G51" i="20"/>
  <c r="J51" i="20"/>
  <c r="K51" i="20"/>
  <c r="L51" i="20" s="1"/>
  <c r="U1643" i="43"/>
  <c r="G52" i="20"/>
  <c r="J52" i="20"/>
  <c r="K52" i="20" s="1"/>
  <c r="L52" i="20" s="1"/>
  <c r="G53" i="20"/>
  <c r="J53" i="20"/>
  <c r="K53" i="20" s="1"/>
  <c r="L53" i="20" s="1"/>
  <c r="U1583" i="43"/>
  <c r="G54" i="20"/>
  <c r="J54" i="20"/>
  <c r="K54" i="20" s="1"/>
  <c r="L54" i="20" s="1"/>
  <c r="G55" i="20"/>
  <c r="J55" i="20"/>
  <c r="K55" i="20" s="1"/>
  <c r="L55" i="20" s="1"/>
  <c r="U1383" i="43"/>
  <c r="G56" i="20"/>
  <c r="J56" i="20"/>
  <c r="K56" i="20" s="1"/>
  <c r="L56" i="20" s="1"/>
  <c r="G57" i="20"/>
  <c r="J57" i="20"/>
  <c r="K57" i="20" s="1"/>
  <c r="L57" i="20" s="1"/>
  <c r="G58" i="20"/>
  <c r="J58" i="20"/>
  <c r="K58" i="20"/>
  <c r="L58" i="20" s="1"/>
  <c r="G59" i="20"/>
  <c r="J59" i="20"/>
  <c r="K59" i="20"/>
  <c r="L59" i="20" s="1"/>
  <c r="Q59" i="20"/>
  <c r="G60" i="20"/>
  <c r="J60" i="20"/>
  <c r="K60" i="20" s="1"/>
  <c r="L60" i="20" s="1"/>
  <c r="Q60" i="20"/>
  <c r="G61" i="20"/>
  <c r="J61" i="20"/>
  <c r="K61" i="20" s="1"/>
  <c r="L61" i="20" s="1"/>
  <c r="Q61" i="20"/>
  <c r="G62" i="20"/>
  <c r="J62" i="20"/>
  <c r="K62" i="20" s="1"/>
  <c r="L62" i="20" s="1"/>
  <c r="U3" i="43"/>
  <c r="Q62" i="20"/>
  <c r="G63" i="20"/>
  <c r="J63" i="20"/>
  <c r="K63" i="20" s="1"/>
  <c r="L63" i="20" s="1"/>
  <c r="U1343" i="43"/>
  <c r="Q63" i="20"/>
  <c r="G64" i="20"/>
  <c r="J64" i="20"/>
  <c r="K64" i="20"/>
  <c r="L64" i="20" s="1"/>
  <c r="G65" i="20"/>
  <c r="J65" i="20"/>
  <c r="K65" i="20"/>
  <c r="L65" i="20" s="1"/>
  <c r="G66" i="20"/>
  <c r="J66" i="20"/>
  <c r="K66" i="20" s="1"/>
  <c r="L66" i="20" s="1"/>
  <c r="G67" i="20"/>
  <c r="J67" i="20"/>
  <c r="K67" i="20"/>
  <c r="L67" i="20" s="1"/>
  <c r="G68" i="20"/>
  <c r="J68" i="20"/>
  <c r="K68" i="20"/>
  <c r="L68" i="20" s="1"/>
  <c r="Q68" i="20"/>
  <c r="G69" i="20"/>
  <c r="J69" i="20"/>
  <c r="K69" i="20" s="1"/>
  <c r="U163" i="43"/>
  <c r="Q69" i="20"/>
  <c r="G70" i="20"/>
  <c r="J70" i="20"/>
  <c r="K70" i="20" s="1"/>
  <c r="L70" i="20" s="1"/>
  <c r="Q70" i="20"/>
  <c r="G71" i="20"/>
  <c r="J71" i="20"/>
  <c r="K71" i="20" s="1"/>
  <c r="L71" i="20" s="1"/>
  <c r="G72" i="20"/>
  <c r="J72" i="20"/>
  <c r="K72" i="20" s="1"/>
  <c r="L72" i="20" s="1"/>
  <c r="G73" i="20"/>
  <c r="J73" i="20"/>
  <c r="K73" i="20" s="1"/>
  <c r="L73" i="20" s="1"/>
  <c r="G74" i="20"/>
  <c r="J74" i="20"/>
  <c r="K74" i="20" s="1"/>
  <c r="L74" i="20" s="1"/>
  <c r="Q74" i="20"/>
  <c r="G75" i="20"/>
  <c r="J75" i="20"/>
  <c r="K75" i="20"/>
  <c r="L75" i="20" s="1"/>
  <c r="Q75" i="20"/>
  <c r="G76" i="20"/>
  <c r="J76" i="20"/>
  <c r="K76" i="20" s="1"/>
  <c r="L76" i="20" s="1"/>
  <c r="Q76" i="20"/>
  <c r="G77" i="20"/>
  <c r="J77" i="20"/>
  <c r="K77" i="20" s="1"/>
  <c r="L77" i="20" s="1"/>
  <c r="Q77" i="20"/>
  <c r="G78" i="20"/>
  <c r="J78" i="20"/>
  <c r="K78" i="20" s="1"/>
  <c r="L78" i="20" s="1"/>
  <c r="G79" i="20"/>
  <c r="J79" i="20"/>
  <c r="K79" i="20" s="1"/>
  <c r="L79" i="20" s="1"/>
  <c r="Q79" i="20"/>
  <c r="G80" i="20"/>
  <c r="J80" i="20"/>
  <c r="K80" i="20"/>
  <c r="L80" i="20" s="1"/>
  <c r="G81" i="20"/>
  <c r="J81" i="20"/>
  <c r="K81" i="20" s="1"/>
  <c r="L81" i="20" s="1"/>
  <c r="G82" i="20"/>
  <c r="J82" i="20"/>
  <c r="K82" i="20"/>
  <c r="L82" i="20" s="1"/>
  <c r="Q82" i="20"/>
  <c r="G83" i="20"/>
  <c r="J83" i="20"/>
  <c r="K83" i="20" s="1"/>
  <c r="L83" i="20" s="1"/>
  <c r="Q83" i="20"/>
  <c r="G84" i="20"/>
  <c r="J84" i="20"/>
  <c r="K84" i="20" s="1"/>
  <c r="L84" i="20" s="1"/>
  <c r="Q84" i="20"/>
  <c r="G85" i="20"/>
  <c r="J85" i="20"/>
  <c r="K85" i="20"/>
  <c r="L85" i="20" s="1"/>
  <c r="U1683" i="43"/>
  <c r="Q85" i="20"/>
  <c r="G86" i="20"/>
  <c r="J86" i="20"/>
  <c r="K86" i="20" s="1"/>
  <c r="L86" i="20" s="1"/>
  <c r="G87" i="20"/>
  <c r="J87" i="20"/>
  <c r="K87" i="20"/>
  <c r="L87" i="20" s="1"/>
  <c r="G88" i="20"/>
  <c r="J88" i="20"/>
  <c r="K88" i="20" s="1"/>
  <c r="L88" i="20" s="1"/>
  <c r="G89" i="20"/>
  <c r="J89" i="20"/>
  <c r="K89" i="20" s="1"/>
  <c r="L89" i="20" s="1"/>
  <c r="G90" i="20"/>
  <c r="J90" i="20"/>
  <c r="K90" i="20" s="1"/>
  <c r="L90" i="20" s="1"/>
  <c r="Q90" i="20"/>
  <c r="G91" i="20"/>
  <c r="J91" i="20"/>
  <c r="K91" i="20" s="1"/>
  <c r="L91" i="20" s="1"/>
  <c r="Q91" i="20"/>
  <c r="G92" i="20"/>
  <c r="J92" i="20"/>
  <c r="K92" i="20"/>
  <c r="L92" i="20" s="1"/>
  <c r="G93" i="20"/>
  <c r="J93" i="20"/>
  <c r="K93" i="20"/>
  <c r="L93" i="20" s="1"/>
  <c r="G94" i="20"/>
  <c r="J94" i="20"/>
  <c r="K94" i="20"/>
  <c r="L94" i="20" s="1"/>
  <c r="U1563" i="43"/>
  <c r="G95" i="20"/>
  <c r="J95" i="20"/>
  <c r="K95" i="20" s="1"/>
  <c r="L95" i="20" s="1"/>
  <c r="G96" i="20"/>
  <c r="J96" i="20"/>
  <c r="K96" i="20"/>
  <c r="L96" i="20" s="1"/>
  <c r="G97" i="20"/>
  <c r="J97" i="20"/>
  <c r="K97" i="20" s="1"/>
  <c r="L97" i="20" s="1"/>
  <c r="Q97" i="20"/>
  <c r="G98" i="20"/>
  <c r="J98" i="20"/>
  <c r="K98" i="20" s="1"/>
  <c r="L98" i="20" s="1"/>
  <c r="G99" i="20"/>
  <c r="J99" i="20"/>
  <c r="K99" i="20" s="1"/>
  <c r="L99" i="20" s="1"/>
  <c r="G100" i="20"/>
  <c r="J100" i="20"/>
  <c r="K100" i="20" s="1"/>
  <c r="L100" i="20" s="1"/>
  <c r="G101" i="20"/>
  <c r="J101" i="20"/>
  <c r="K101" i="20"/>
  <c r="L101" i="20" s="1"/>
  <c r="G102" i="20"/>
  <c r="J102" i="20"/>
  <c r="K102" i="20" s="1"/>
  <c r="L102" i="20" s="1"/>
  <c r="G103" i="20"/>
  <c r="J103" i="20"/>
  <c r="K103" i="20"/>
  <c r="L103" i="20" s="1"/>
  <c r="G104" i="20"/>
  <c r="J104" i="20"/>
  <c r="K104" i="20" s="1"/>
  <c r="L104" i="20" s="1"/>
  <c r="G105" i="20"/>
  <c r="J105" i="20"/>
  <c r="K105" i="20" s="1"/>
  <c r="L105" i="20" s="1"/>
  <c r="G106" i="20"/>
  <c r="J106" i="20"/>
  <c r="K106" i="20" s="1"/>
  <c r="L106" i="20" s="1"/>
  <c r="G107" i="20"/>
  <c r="J107" i="20"/>
  <c r="K107" i="20" s="1"/>
  <c r="L107" i="20" s="1"/>
  <c r="G108" i="20"/>
  <c r="J108" i="20"/>
  <c r="K108" i="20" s="1"/>
  <c r="L108" i="20" s="1"/>
  <c r="Q108" i="20"/>
  <c r="G109" i="20"/>
  <c r="J109" i="20"/>
  <c r="K109" i="20" s="1"/>
  <c r="L109" i="20" s="1"/>
  <c r="Q109" i="20"/>
  <c r="G110" i="20"/>
  <c r="J110" i="20"/>
  <c r="K110" i="20"/>
  <c r="L110" i="20" s="1"/>
  <c r="Q110" i="20"/>
  <c r="G111" i="20"/>
  <c r="J111" i="20"/>
  <c r="K111" i="20"/>
  <c r="L111" i="20" s="1"/>
  <c r="Q111" i="20"/>
  <c r="G112" i="20"/>
  <c r="J112" i="20"/>
  <c r="K112" i="20" s="1"/>
  <c r="L112" i="20" s="1"/>
  <c r="Q112" i="20"/>
  <c r="G113" i="20"/>
  <c r="J113" i="20"/>
  <c r="K113" i="20" s="1"/>
  <c r="L113" i="20" s="1"/>
  <c r="Q113" i="20"/>
  <c r="G114" i="20"/>
  <c r="J114" i="20"/>
  <c r="K114" i="20" s="1"/>
  <c r="L114" i="20" s="1"/>
  <c r="Q114" i="20"/>
  <c r="G115" i="20"/>
  <c r="J115" i="20"/>
  <c r="K115" i="20"/>
  <c r="L115" i="20" s="1"/>
  <c r="G116" i="20"/>
  <c r="J116" i="20"/>
  <c r="K116" i="20" s="1"/>
  <c r="L116" i="20" s="1"/>
  <c r="G117" i="20"/>
  <c r="J117" i="20"/>
  <c r="K117" i="20"/>
  <c r="L117" i="20" s="1"/>
  <c r="G118" i="20"/>
  <c r="J118" i="20"/>
  <c r="K118" i="20"/>
  <c r="L118" i="20" s="1"/>
  <c r="G119" i="20"/>
  <c r="J119" i="20"/>
  <c r="K119" i="20"/>
  <c r="L119" i="20" s="1"/>
  <c r="G120" i="20"/>
  <c r="J120" i="20"/>
  <c r="K120" i="20" s="1"/>
  <c r="L120" i="20" s="1"/>
  <c r="G121" i="20"/>
  <c r="J121" i="20"/>
  <c r="K121" i="20"/>
  <c r="L121" i="20" s="1"/>
  <c r="G122" i="20"/>
  <c r="J122" i="20"/>
  <c r="K122" i="20"/>
  <c r="L122" i="20" s="1"/>
  <c r="U583" i="43"/>
  <c r="Q122" i="20"/>
  <c r="G123" i="20"/>
  <c r="J123" i="20"/>
  <c r="K123" i="20"/>
  <c r="L123" i="20" s="1"/>
  <c r="Q123" i="20"/>
  <c r="G124" i="20"/>
  <c r="J124" i="20"/>
  <c r="K124" i="20" s="1"/>
  <c r="L124" i="20" s="1"/>
  <c r="U803" i="43"/>
  <c r="Q124" i="20"/>
  <c r="G125" i="20"/>
  <c r="J125" i="20"/>
  <c r="K125" i="20" s="1"/>
  <c r="L125" i="20" s="1"/>
  <c r="U1023" i="43"/>
  <c r="Q125" i="20"/>
  <c r="G126" i="20"/>
  <c r="J126" i="20"/>
  <c r="K126" i="20" s="1"/>
  <c r="L126" i="20"/>
  <c r="Q126" i="20"/>
  <c r="G127" i="20"/>
  <c r="J127" i="20"/>
  <c r="K127" i="20"/>
  <c r="L127" i="20" s="1"/>
  <c r="U943" i="43"/>
  <c r="Q127" i="20"/>
  <c r="G128" i="20"/>
  <c r="J128" i="20"/>
  <c r="K128" i="20" s="1"/>
  <c r="L128" i="20" s="1"/>
  <c r="U343" i="43"/>
  <c r="Q128" i="20"/>
  <c r="G129" i="20"/>
  <c r="J129" i="20"/>
  <c r="K129" i="20" s="1"/>
  <c r="L129" i="20" s="1"/>
  <c r="U983" i="43"/>
  <c r="Q129" i="20"/>
  <c r="G130" i="20"/>
  <c r="J130" i="20"/>
  <c r="K130" i="20"/>
  <c r="L130" i="20" s="1"/>
  <c r="U903" i="43"/>
  <c r="Q130" i="20"/>
  <c r="G131" i="20"/>
  <c r="J131" i="20"/>
  <c r="K131" i="20" s="1"/>
  <c r="L131" i="20" s="1"/>
  <c r="Q131" i="20"/>
  <c r="G132" i="20"/>
  <c r="J132" i="20"/>
  <c r="K132" i="20" s="1"/>
  <c r="L132" i="20" s="1"/>
  <c r="U1743" i="43"/>
  <c r="Q132" i="20"/>
  <c r="G133" i="20"/>
  <c r="J133" i="20"/>
  <c r="K133" i="20" s="1"/>
  <c r="L133" i="20" s="1"/>
  <c r="U1443" i="43"/>
  <c r="Q133" i="20"/>
  <c r="G134" i="20"/>
  <c r="J134" i="20"/>
  <c r="K134" i="20" s="1"/>
  <c r="L134" i="20" s="1"/>
  <c r="Q134" i="20"/>
  <c r="G135" i="20"/>
  <c r="J135" i="20"/>
  <c r="K135" i="20" s="1"/>
  <c r="L135" i="20" s="1"/>
  <c r="Q135" i="20"/>
  <c r="G136" i="20"/>
  <c r="J136" i="20"/>
  <c r="K136" i="20" s="1"/>
  <c r="L136" i="20" s="1"/>
  <c r="Q136" i="20"/>
  <c r="G137" i="20"/>
  <c r="J137" i="20"/>
  <c r="K137" i="20" s="1"/>
  <c r="L137" i="20" s="1"/>
  <c r="Q137" i="20"/>
  <c r="G138" i="20"/>
  <c r="J138" i="20"/>
  <c r="K138" i="20" s="1"/>
  <c r="L138" i="20" s="1"/>
  <c r="Q138" i="20"/>
  <c r="G139" i="20"/>
  <c r="J139" i="20"/>
  <c r="K139" i="20"/>
  <c r="L139" i="20" s="1"/>
  <c r="Q139" i="20"/>
  <c r="G140" i="20"/>
  <c r="J140" i="20"/>
  <c r="K140" i="20" s="1"/>
  <c r="L140" i="20" s="1"/>
  <c r="Q140" i="20"/>
  <c r="G141" i="20"/>
  <c r="J141" i="20"/>
  <c r="K141" i="20"/>
  <c r="L141" i="20" s="1"/>
  <c r="U1623" i="43"/>
  <c r="Q141" i="20"/>
  <c r="G142" i="20"/>
  <c r="J142" i="20"/>
  <c r="K142" i="20"/>
  <c r="L142" i="20" s="1"/>
  <c r="Q142" i="20"/>
  <c r="G143" i="20"/>
  <c r="J143" i="20"/>
  <c r="K143" i="20" s="1"/>
  <c r="L143" i="20"/>
  <c r="G144" i="20"/>
  <c r="J144" i="20"/>
  <c r="K144" i="20" s="1"/>
  <c r="L144" i="20" s="1"/>
  <c r="G145" i="20"/>
  <c r="J145" i="20"/>
  <c r="K145" i="20" s="1"/>
  <c r="L145" i="20" s="1"/>
  <c r="G146" i="20"/>
  <c r="J146" i="20"/>
  <c r="K146" i="20" s="1"/>
  <c r="L146" i="20"/>
  <c r="U603" i="43"/>
  <c r="G147" i="20"/>
  <c r="J147" i="20"/>
  <c r="K147" i="20"/>
  <c r="L147" i="20" s="1"/>
  <c r="U723" i="43"/>
  <c r="G148" i="20"/>
  <c r="J148" i="20"/>
  <c r="K148" i="20" s="1"/>
  <c r="L148" i="20" s="1"/>
  <c r="U843" i="43"/>
  <c r="Q148" i="20"/>
  <c r="G149" i="20"/>
  <c r="J149" i="20"/>
  <c r="K149" i="20" s="1"/>
  <c r="L149" i="20"/>
  <c r="U1063" i="43"/>
  <c r="Q149" i="20"/>
  <c r="G150" i="20"/>
  <c r="J150" i="20"/>
  <c r="K150" i="20" s="1"/>
  <c r="L150" i="20" s="1"/>
  <c r="Q150" i="20"/>
  <c r="G151" i="20"/>
  <c r="J151" i="20"/>
  <c r="K151" i="20"/>
  <c r="L151" i="20" s="1"/>
  <c r="U1163" i="43"/>
  <c r="Q151" i="20"/>
  <c r="G152" i="20"/>
  <c r="J152" i="20"/>
  <c r="K152" i="20" s="1"/>
  <c r="L152" i="20" s="1"/>
  <c r="Q152" i="20"/>
  <c r="G153" i="20"/>
  <c r="J153" i="20"/>
  <c r="K153" i="20" s="1"/>
  <c r="L153" i="20" s="1"/>
  <c r="U363" i="43"/>
  <c r="Q153" i="20"/>
  <c r="G154" i="20"/>
  <c r="J154" i="20"/>
  <c r="K154" i="20" s="1"/>
  <c r="L154" i="20" s="1"/>
  <c r="Q154" i="20"/>
  <c r="G155" i="20"/>
  <c r="J155" i="20"/>
  <c r="K155" i="20"/>
  <c r="L155" i="20" s="1"/>
  <c r="U1243" i="43"/>
  <c r="Q155" i="20"/>
  <c r="G156" i="20"/>
  <c r="J156" i="20"/>
  <c r="K156" i="20" s="1"/>
  <c r="L156" i="20" s="1"/>
  <c r="Q156" i="20"/>
  <c r="G157" i="20"/>
  <c r="J157" i="20"/>
  <c r="K157" i="20" s="1"/>
  <c r="L157" i="20" s="1"/>
  <c r="Q157" i="20"/>
  <c r="G158" i="20"/>
  <c r="J158" i="20"/>
  <c r="K158" i="20"/>
  <c r="L158" i="20" s="1"/>
  <c r="U683" i="43"/>
  <c r="Q158" i="20"/>
  <c r="G159" i="20"/>
  <c r="J159" i="20"/>
  <c r="K159" i="20" s="1"/>
  <c r="L159" i="20" s="1"/>
  <c r="Q159" i="20"/>
  <c r="G160" i="20"/>
  <c r="J160" i="20"/>
  <c r="K160" i="20" s="1"/>
  <c r="L160" i="20" s="1"/>
  <c r="Q160" i="20"/>
  <c r="G161" i="20"/>
  <c r="J161" i="20"/>
  <c r="K161" i="20"/>
  <c r="L161" i="20" s="1"/>
  <c r="Q161" i="20"/>
  <c r="G162" i="20"/>
  <c r="J162" i="20"/>
  <c r="K162" i="20" s="1"/>
  <c r="L162" i="20"/>
  <c r="Q162" i="20"/>
  <c r="G163" i="20"/>
  <c r="J163" i="20"/>
  <c r="K163" i="20"/>
  <c r="L163" i="20" s="1"/>
  <c r="G164" i="20"/>
  <c r="J164" i="20"/>
  <c r="K164" i="20"/>
  <c r="L164" i="20" s="1"/>
  <c r="G165" i="20"/>
  <c r="J165" i="20"/>
  <c r="K165" i="20" s="1"/>
  <c r="L165" i="20" s="1"/>
  <c r="G166" i="20"/>
  <c r="J166" i="20"/>
  <c r="K166" i="20"/>
  <c r="L166" i="20" s="1"/>
  <c r="U283" i="43"/>
  <c r="Q166" i="20"/>
  <c r="G167" i="20"/>
  <c r="J167" i="20"/>
  <c r="K167" i="20" s="1"/>
  <c r="L167" i="20" s="1"/>
  <c r="Q167" i="20"/>
  <c r="G168" i="20"/>
  <c r="J168" i="20"/>
  <c r="K168" i="20" s="1"/>
  <c r="L168" i="20" s="1"/>
  <c r="G169" i="20"/>
  <c r="J169" i="20"/>
  <c r="K169" i="20" s="1"/>
  <c r="L169" i="20" s="1"/>
  <c r="G170" i="20"/>
  <c r="J170" i="20"/>
  <c r="K170" i="20" s="1"/>
  <c r="L170" i="20"/>
  <c r="G171" i="20"/>
  <c r="J171" i="20"/>
  <c r="K171" i="20" s="1"/>
  <c r="L171" i="20" s="1"/>
  <c r="G172" i="20"/>
  <c r="J172" i="20"/>
  <c r="K172" i="20" s="1"/>
  <c r="L172" i="20" s="1"/>
  <c r="G173" i="20"/>
  <c r="J173" i="20"/>
  <c r="K173" i="20" s="1"/>
  <c r="L173" i="20" s="1"/>
  <c r="G174" i="20"/>
  <c r="J174" i="20"/>
  <c r="K174" i="20" s="1"/>
  <c r="L174" i="20" s="1"/>
  <c r="Q174" i="20"/>
  <c r="G175" i="20"/>
  <c r="J175" i="20"/>
  <c r="K175" i="20" s="1"/>
  <c r="L175" i="20" s="1"/>
  <c r="Q175" i="20"/>
  <c r="G176" i="20"/>
  <c r="J176" i="20"/>
  <c r="K176" i="20" s="1"/>
  <c r="L176" i="20" s="1"/>
  <c r="Q176" i="20"/>
  <c r="G177" i="20"/>
  <c r="J177" i="20"/>
  <c r="K177" i="20"/>
  <c r="L177" i="20" s="1"/>
  <c r="Q177" i="20"/>
  <c r="G178" i="20"/>
  <c r="J178" i="20"/>
  <c r="K178" i="20" s="1"/>
  <c r="L178" i="20" s="1"/>
  <c r="Q178" i="20"/>
  <c r="G179" i="20"/>
  <c r="J179" i="20"/>
  <c r="K179" i="20" s="1"/>
  <c r="L179" i="20" s="1"/>
  <c r="Q179" i="20"/>
  <c r="Q180" i="20" s="1"/>
  <c r="Q181" i="20" s="1"/>
  <c r="Q182" i="20" s="1"/>
  <c r="Q183" i="20" s="1"/>
  <c r="G180" i="20"/>
  <c r="J180" i="20"/>
  <c r="K180" i="20" s="1"/>
  <c r="L180" i="20" s="1"/>
  <c r="G181" i="20"/>
  <c r="J181" i="20"/>
  <c r="K181" i="20" s="1"/>
  <c r="L181" i="20" s="1"/>
  <c r="G182" i="20"/>
  <c r="J182" i="20"/>
  <c r="K182" i="20" s="1"/>
  <c r="L182" i="20" s="1"/>
  <c r="G183" i="20"/>
  <c r="J183" i="20"/>
  <c r="K183" i="20" s="1"/>
  <c r="L183" i="20" s="1"/>
  <c r="G184" i="20"/>
  <c r="J184" i="20"/>
  <c r="K184" i="20" s="1"/>
  <c r="L184" i="20" s="1"/>
  <c r="Q184" i="20"/>
  <c r="G185" i="20"/>
  <c r="J185" i="20"/>
  <c r="K185" i="20"/>
  <c r="L185" i="20" s="1"/>
  <c r="Q185" i="20"/>
  <c r="G186" i="20"/>
  <c r="J186" i="20"/>
  <c r="K186" i="20" s="1"/>
  <c r="L186" i="20"/>
  <c r="Q186" i="20"/>
  <c r="G187" i="20"/>
  <c r="J187" i="20"/>
  <c r="K187" i="20"/>
  <c r="L187" i="20" s="1"/>
  <c r="Q187" i="20"/>
  <c r="G188" i="20"/>
  <c r="J188" i="20"/>
  <c r="K188" i="20" s="1"/>
  <c r="L188" i="20" s="1"/>
  <c r="Q188" i="20"/>
  <c r="G189" i="20"/>
  <c r="J189" i="20"/>
  <c r="K189" i="20" s="1"/>
  <c r="L189" i="20" s="1"/>
  <c r="Q189" i="20"/>
  <c r="G190" i="20"/>
  <c r="J190" i="20"/>
  <c r="K190" i="20" s="1"/>
  <c r="L190" i="20" s="1"/>
  <c r="Q190" i="20"/>
  <c r="G191" i="20"/>
  <c r="J191" i="20"/>
  <c r="K191" i="20" s="1"/>
  <c r="L191" i="20" s="1"/>
  <c r="U1663" i="43"/>
  <c r="Q191" i="20"/>
  <c r="G192" i="20"/>
  <c r="J192" i="20"/>
  <c r="K192" i="20" s="1"/>
  <c r="L192" i="20" s="1"/>
  <c r="U783" i="43"/>
  <c r="Q192" i="20"/>
  <c r="G193" i="20"/>
  <c r="J193" i="20"/>
  <c r="K193" i="20"/>
  <c r="L193" i="20" s="1"/>
  <c r="Q193" i="20"/>
  <c r="G194" i="20"/>
  <c r="J194" i="20"/>
  <c r="K194" i="20" s="1"/>
  <c r="L194" i="20" s="1"/>
  <c r="U663" i="43"/>
  <c r="Q194" i="20"/>
  <c r="G195" i="20"/>
  <c r="J195" i="20"/>
  <c r="K195" i="20" s="1"/>
  <c r="L195" i="20"/>
  <c r="U483" i="43"/>
  <c r="Q195" i="20"/>
  <c r="G196" i="20"/>
  <c r="J196" i="20"/>
  <c r="K196" i="20" s="1"/>
  <c r="L196" i="20" s="1"/>
  <c r="U83" i="43"/>
  <c r="Q196" i="20"/>
  <c r="G197" i="20"/>
  <c r="J197" i="20"/>
  <c r="K197" i="20" s="1"/>
  <c r="L197" i="20" s="1"/>
  <c r="U123" i="43"/>
  <c r="Q197" i="20"/>
  <c r="G198" i="20"/>
  <c r="J198" i="20"/>
  <c r="K198" i="20" s="1"/>
  <c r="L198" i="20" s="1"/>
  <c r="Q198" i="20"/>
  <c r="G199" i="20"/>
  <c r="J199" i="20"/>
  <c r="K199" i="20" s="1"/>
  <c r="L199" i="20" s="1"/>
  <c r="U183" i="43"/>
  <c r="Q199" i="20"/>
  <c r="G200" i="20"/>
  <c r="J200" i="20"/>
  <c r="K200" i="20" s="1"/>
  <c r="L200" i="20" s="1"/>
  <c r="U203" i="43"/>
  <c r="Q200" i="20"/>
  <c r="G201" i="20"/>
  <c r="J201" i="20"/>
  <c r="K201" i="20" s="1"/>
  <c r="L201" i="20"/>
  <c r="Q201" i="20"/>
  <c r="G202" i="20"/>
  <c r="J202" i="20"/>
  <c r="K202" i="20"/>
  <c r="L202" i="20" s="1"/>
  <c r="U223" i="43"/>
  <c r="Q202" i="20"/>
  <c r="G203" i="20"/>
  <c r="J203" i="20"/>
  <c r="K203" i="20" s="1"/>
  <c r="L203" i="20" s="1"/>
  <c r="U263" i="43"/>
  <c r="Q203" i="20"/>
  <c r="G204" i="20"/>
  <c r="J204" i="20"/>
  <c r="K204" i="20" s="1"/>
  <c r="L204" i="20" s="1"/>
  <c r="U23" i="43"/>
  <c r="Q204" i="20"/>
  <c r="G205" i="20"/>
  <c r="J205" i="20"/>
  <c r="K205" i="20"/>
  <c r="L205" i="20" s="1"/>
  <c r="U1523" i="43"/>
  <c r="Q205" i="20"/>
  <c r="G206" i="20"/>
  <c r="J206" i="20"/>
  <c r="K206" i="20"/>
  <c r="L206" i="20" s="1"/>
  <c r="U1603" i="43"/>
  <c r="Q206" i="20"/>
  <c r="G207" i="20"/>
  <c r="J207" i="20"/>
  <c r="K207" i="20"/>
  <c r="L207" i="20" s="1"/>
  <c r="Q207" i="20"/>
  <c r="G208" i="20"/>
  <c r="J208" i="20"/>
  <c r="K208" i="20" s="1"/>
  <c r="L208" i="20" s="1"/>
  <c r="Q208" i="20"/>
  <c r="G209" i="20"/>
  <c r="J209" i="20"/>
  <c r="K209" i="20" s="1"/>
  <c r="L209" i="20" s="1"/>
  <c r="Q209" i="20"/>
  <c r="G210" i="20"/>
  <c r="J210" i="20"/>
  <c r="K210" i="20" s="1"/>
  <c r="L210" i="20" s="1"/>
  <c r="Q210" i="20"/>
  <c r="G211" i="20"/>
  <c r="J211" i="20"/>
  <c r="K211" i="20"/>
  <c r="L211" i="20" s="1"/>
  <c r="Q211" i="20"/>
  <c r="G212" i="20"/>
  <c r="J212" i="20"/>
  <c r="K212" i="20" s="1"/>
  <c r="L212" i="20" s="1"/>
  <c r="Q212" i="20"/>
  <c r="G213" i="20"/>
  <c r="J213" i="20"/>
  <c r="K213" i="20" s="1"/>
  <c r="L213" i="20" s="1"/>
  <c r="Q213" i="20"/>
  <c r="G214" i="20"/>
  <c r="J214" i="20"/>
  <c r="K214" i="20" s="1"/>
  <c r="L214" i="20" s="1"/>
  <c r="Q214" i="20"/>
  <c r="C3" i="21"/>
  <c r="C4" i="21"/>
  <c r="C5" i="21"/>
  <c r="C6" i="21"/>
  <c r="C7" i="21"/>
  <c r="C8" i="21"/>
  <c r="C9" i="21"/>
  <c r="D97" i="51"/>
  <c r="E141" i="51" s="1"/>
  <c r="E142" i="51"/>
  <c r="D136" i="40"/>
  <c r="D23" i="40"/>
  <c r="D97" i="40"/>
  <c r="D100" i="40"/>
  <c r="A152" i="40"/>
  <c r="A24" i="37"/>
  <c r="A137" i="37" s="1"/>
  <c r="A23" i="53"/>
  <c r="A137" i="53" s="1"/>
  <c r="A142" i="40"/>
  <c r="A155" i="40"/>
  <c r="A28" i="40"/>
  <c r="C1036" i="17"/>
  <c r="E1054" i="17"/>
  <c r="F975" i="17"/>
  <c r="F23" i="17"/>
  <c r="C84" i="17"/>
  <c r="E101" i="17" s="1"/>
  <c r="F215" i="17"/>
  <c r="B283" i="17"/>
  <c r="C465" i="17"/>
  <c r="E482" i="17" s="1"/>
  <c r="B661" i="17"/>
  <c r="C695" i="17"/>
  <c r="E709" i="17"/>
  <c r="C768" i="17"/>
  <c r="C885" i="17"/>
  <c r="E1095" i="17"/>
  <c r="C8" i="17"/>
  <c r="C125" i="17"/>
  <c r="E329" i="17"/>
  <c r="C389" i="17"/>
  <c r="B92" i="17"/>
  <c r="C315" i="17"/>
  <c r="B473" i="17"/>
  <c r="C505" i="17"/>
  <c r="F593" i="17"/>
  <c r="C1081" i="17"/>
  <c r="C200" i="17"/>
  <c r="C275" i="17"/>
  <c r="E292" i="17"/>
  <c r="C653" i="17"/>
  <c r="E670" i="17" s="1"/>
  <c r="C843" i="17"/>
  <c r="E858" i="17"/>
  <c r="C960" i="17"/>
  <c r="C578" i="17"/>
  <c r="E139" i="17"/>
  <c r="B851" i="17"/>
  <c r="A23" i="40"/>
  <c r="A137" i="40" s="1"/>
  <c r="E899" i="17"/>
  <c r="F783" i="17"/>
  <c r="P46" i="44"/>
  <c r="O55" i="44"/>
  <c r="A437" i="17"/>
  <c r="A1005" i="17"/>
  <c r="U403" i="43"/>
  <c r="C390" i="17"/>
  <c r="A357" i="19"/>
  <c r="A185" i="19"/>
  <c r="A184" i="19"/>
  <c r="A356" i="19"/>
  <c r="A283" i="19"/>
  <c r="A117" i="19"/>
  <c r="A455" i="19"/>
  <c r="K322" i="17"/>
  <c r="K1088" i="17"/>
  <c r="A63" i="19"/>
  <c r="H262" i="19"/>
  <c r="A18" i="19"/>
  <c r="H96" i="19"/>
  <c r="A228" i="19"/>
  <c r="A400" i="19"/>
  <c r="H434" i="19"/>
  <c r="K18" i="17"/>
  <c r="F621" i="17"/>
  <c r="K705" i="17"/>
  <c r="F811" i="17"/>
  <c r="K895" i="17"/>
  <c r="F51" i="17"/>
  <c r="K135" i="17"/>
  <c r="L625" i="17"/>
  <c r="L815" i="17"/>
  <c r="L55" i="17"/>
  <c r="C11" i="19"/>
  <c r="C347" i="19"/>
  <c r="E512" i="17"/>
  <c r="B555" i="17"/>
  <c r="A463" i="19"/>
  <c r="F458" i="19"/>
  <c r="A456" i="19"/>
  <c r="A454" i="19"/>
  <c r="C421" i="19"/>
  <c r="B361" i="19"/>
  <c r="F354" i="19"/>
  <c r="B189" i="19"/>
  <c r="C82" i="19"/>
  <c r="A21" i="51"/>
  <c r="A140" i="51" s="1"/>
  <c r="A22" i="52" s="1"/>
  <c r="A135" i="52" s="1"/>
  <c r="A21" i="53" s="1"/>
  <c r="A135" i="53" s="1"/>
  <c r="A135" i="40"/>
  <c r="A4" i="53"/>
  <c r="F80" i="53" s="1"/>
  <c r="A115" i="53" s="1"/>
  <c r="A78" i="52"/>
  <c r="A114" i="52"/>
  <c r="F84" i="51"/>
  <c r="A120" i="51" s="1"/>
  <c r="R3" i="2"/>
  <c r="H10" i="2" s="1"/>
  <c r="S4" i="14" s="1"/>
  <c r="U1703" i="43"/>
  <c r="E88" i="17"/>
  <c r="E279" i="17"/>
  <c r="E1040" i="17"/>
  <c r="E657" i="17"/>
  <c r="E469" i="17"/>
  <c r="C769" i="17"/>
  <c r="C466" i="17"/>
  <c r="C276" i="17"/>
  <c r="C85" i="17"/>
  <c r="C506" i="17"/>
  <c r="C654" i="17"/>
  <c r="C126" i="17"/>
  <c r="C696" i="17"/>
  <c r="C201" i="17"/>
  <c r="C9" i="17"/>
  <c r="C961" i="17"/>
  <c r="E847" i="17"/>
  <c r="D31" i="15"/>
  <c r="C239" i="19"/>
  <c r="C109" i="19"/>
  <c r="C411" i="19"/>
  <c r="C447" i="19"/>
  <c r="C10" i="19"/>
  <c r="C73" i="19"/>
  <c r="C174" i="19"/>
  <c r="C346" i="19"/>
  <c r="C275" i="19"/>
  <c r="D136" i="53"/>
  <c r="D23" i="53"/>
  <c r="C93" i="53"/>
  <c r="I669" i="17"/>
  <c r="F708" i="17"/>
  <c r="A246" i="17"/>
  <c r="A815" i="17"/>
  <c r="A625" i="17"/>
  <c r="A55" i="17"/>
  <c r="K324" i="17"/>
  <c r="K894" i="17"/>
  <c r="K704" i="17"/>
  <c r="K134" i="17"/>
  <c r="K1090" i="17"/>
  <c r="K514" i="17"/>
  <c r="K512" i="17"/>
  <c r="K132" i="17"/>
  <c r="K702" i="17"/>
  <c r="K892" i="17"/>
  <c r="A279" i="19"/>
  <c r="A178" i="19"/>
  <c r="C246" i="19"/>
  <c r="A23" i="52"/>
  <c r="A136" i="52"/>
  <c r="A23" i="37"/>
  <c r="A136" i="37" s="1"/>
  <c r="A22" i="53" s="1"/>
  <c r="E24" i="52"/>
  <c r="D91" i="52" s="1"/>
  <c r="E22" i="53"/>
  <c r="E23" i="53"/>
  <c r="D93" i="53" s="1"/>
  <c r="A350" i="19"/>
  <c r="C418" i="19"/>
  <c r="A451" i="19"/>
  <c r="C107" i="19"/>
  <c r="C409" i="19"/>
  <c r="C445" i="19"/>
  <c r="C172" i="19"/>
  <c r="C344" i="19"/>
  <c r="C273" i="19"/>
  <c r="A354" i="19"/>
  <c r="A120" i="19"/>
  <c r="A458" i="19"/>
  <c r="F499" i="19"/>
  <c r="F160" i="19"/>
  <c r="F327" i="19"/>
  <c r="A182" i="19"/>
  <c r="F116" i="19"/>
  <c r="F454" i="19"/>
  <c r="E135" i="17"/>
  <c r="I495" i="17" s="1"/>
  <c r="E18" i="17"/>
  <c r="F55" i="17" s="1"/>
  <c r="F703" i="17"/>
  <c r="B90" i="17"/>
  <c r="A118" i="19"/>
  <c r="A284" i="19"/>
  <c r="A115" i="19"/>
  <c r="A281" i="19"/>
  <c r="A453" i="19"/>
  <c r="A76" i="19"/>
  <c r="E132" i="17"/>
  <c r="B173" i="17"/>
  <c r="E322" i="17"/>
  <c r="B363" i="17"/>
  <c r="E702" i="17"/>
  <c r="B744" i="17"/>
  <c r="E892" i="17"/>
  <c r="B933" i="17"/>
  <c r="C10" i="17"/>
  <c r="C277" i="17"/>
  <c r="E474" i="17"/>
  <c r="E483" i="17"/>
  <c r="C507" i="17"/>
  <c r="E662" i="17"/>
  <c r="E671" i="17" s="1"/>
  <c r="E900" i="17"/>
  <c r="C127" i="17"/>
  <c r="C202" i="17"/>
  <c r="C317" i="17"/>
  <c r="C391" i="17"/>
  <c r="F405" i="17"/>
  <c r="E520" i="17"/>
  <c r="C655" i="17"/>
  <c r="C770" i="17"/>
  <c r="F784" i="17"/>
  <c r="C845" i="17"/>
  <c r="C1038" i="17"/>
  <c r="F119" i="19"/>
  <c r="F457" i="19"/>
  <c r="A291" i="19"/>
  <c r="A26" i="19"/>
  <c r="A190" i="19"/>
  <c r="C249" i="19"/>
  <c r="A362" i="19"/>
  <c r="F18" i="19"/>
  <c r="J649" i="17"/>
  <c r="J675" i="17" s="1"/>
  <c r="E136" i="53"/>
  <c r="E137" i="53" s="1"/>
  <c r="I115" i="17"/>
  <c r="I685" i="17"/>
  <c r="I873" i="17"/>
  <c r="I305" i="17"/>
  <c r="I1071" i="17"/>
  <c r="M173" i="17"/>
  <c r="E136" i="52"/>
  <c r="E137" i="52" s="1"/>
  <c r="A22" i="40"/>
  <c r="A136" i="40"/>
  <c r="A136" i="53"/>
  <c r="A5" i="46" l="1"/>
  <c r="B10" i="54"/>
  <c r="C10" i="54" s="1"/>
  <c r="BI195" i="41"/>
  <c r="BI43" i="41"/>
  <c r="BI50" i="41"/>
  <c r="BI205" i="41"/>
  <c r="D19" i="2"/>
  <c r="C7" i="59"/>
  <c r="B13" i="59"/>
  <c r="BI165" i="41"/>
  <c r="BI173" i="41"/>
  <c r="BI170" i="41"/>
  <c r="BI190" i="41"/>
  <c r="A5" i="2"/>
  <c r="A7" i="46"/>
  <c r="A7" i="56"/>
  <c r="BI204" i="41"/>
  <c r="BI161" i="41"/>
  <c r="B11" i="54"/>
  <c r="O11" i="54" s="1"/>
  <c r="N11" i="54" s="1"/>
  <c r="J11" i="54" s="1"/>
  <c r="B12" i="54"/>
  <c r="O12" i="54" s="1"/>
  <c r="N12" i="54" s="1"/>
  <c r="J12" i="54" s="1"/>
  <c r="B14" i="54"/>
  <c r="O14" i="54" s="1"/>
  <c r="N14" i="54" s="1"/>
  <c r="J14" i="54" s="1"/>
  <c r="C9" i="55"/>
  <c r="C21" i="55"/>
  <c r="C7" i="58"/>
  <c r="C17" i="58"/>
  <c r="C29" i="55"/>
  <c r="C8" i="55"/>
  <c r="C31" i="55"/>
  <c r="C33" i="55"/>
  <c r="C24" i="55"/>
  <c r="C10" i="58"/>
  <c r="C11" i="58"/>
  <c r="C22" i="55"/>
  <c r="C5" i="55"/>
  <c r="C18" i="58"/>
  <c r="C10" i="55"/>
  <c r="C23" i="55"/>
  <c r="C14" i="55"/>
  <c r="C13" i="55"/>
  <c r="C25" i="55"/>
  <c r="C32" i="55"/>
  <c r="C30" i="55"/>
  <c r="C26" i="55"/>
  <c r="C20" i="55"/>
  <c r="C17" i="55"/>
  <c r="C27" i="55"/>
  <c r="C18" i="55"/>
  <c r="C15" i="55"/>
  <c r="C7" i="55"/>
  <c r="C16" i="55"/>
  <c r="B73" i="54"/>
  <c r="I73" i="54" s="1"/>
  <c r="B117" i="54"/>
  <c r="O117" i="54" s="1"/>
  <c r="N117" i="54" s="1"/>
  <c r="J117" i="54" s="1"/>
  <c r="C6" i="55"/>
  <c r="B49" i="54"/>
  <c r="C49" i="54" s="1"/>
  <c r="B105" i="54"/>
  <c r="I105" i="54" s="1"/>
  <c r="B96" i="54"/>
  <c r="I96" i="54" s="1"/>
  <c r="B28" i="54"/>
  <c r="I28" i="54" s="1"/>
  <c r="B46" i="54"/>
  <c r="C46" i="54" s="1"/>
  <c r="B100" i="54"/>
  <c r="I100" i="54" s="1"/>
  <c r="B65" i="54"/>
  <c r="C65" i="54" s="1"/>
  <c r="B80" i="54"/>
  <c r="O80" i="54" s="1"/>
  <c r="N80" i="54" s="1"/>
  <c r="J80" i="54" s="1"/>
  <c r="B78" i="54"/>
  <c r="I78" i="54" s="1"/>
  <c r="B75" i="54"/>
  <c r="I75" i="54" s="1"/>
  <c r="B67" i="54"/>
  <c r="O67" i="54" s="1"/>
  <c r="N67" i="54" s="1"/>
  <c r="J67" i="54" s="1"/>
  <c r="B102" i="54"/>
  <c r="I102" i="54" s="1"/>
  <c r="B94" i="54"/>
  <c r="I94" i="54" s="1"/>
  <c r="B119" i="54"/>
  <c r="D119" i="54" s="1"/>
  <c r="G119" i="54" s="1"/>
  <c r="B13" i="54"/>
  <c r="O13" i="54" s="1"/>
  <c r="N13" i="54" s="1"/>
  <c r="J13" i="54" s="1"/>
  <c r="B71" i="54"/>
  <c r="I71" i="54" s="1"/>
  <c r="B69" i="54"/>
  <c r="O69" i="54" s="1"/>
  <c r="N69" i="54" s="1"/>
  <c r="J69" i="54" s="1"/>
  <c r="C28" i="55"/>
  <c r="C19" i="58"/>
  <c r="B114" i="54"/>
  <c r="I114" i="54" s="1"/>
  <c r="B109" i="54"/>
  <c r="I109" i="54" s="1"/>
  <c r="B51" i="54"/>
  <c r="I51" i="54" s="1"/>
  <c r="B170" i="54"/>
  <c r="B167" i="54"/>
  <c r="B160" i="54"/>
  <c r="B164" i="54"/>
  <c r="B171" i="54"/>
  <c r="B168" i="54"/>
  <c r="B161" i="54"/>
  <c r="B165" i="54"/>
  <c r="B172" i="54"/>
  <c r="B169" i="54"/>
  <c r="B162" i="54"/>
  <c r="B166" i="54"/>
  <c r="B173" i="54"/>
  <c r="C173" i="54" s="1"/>
  <c r="B163" i="54"/>
  <c r="B159" i="54"/>
  <c r="C159" i="54" s="1"/>
  <c r="B156" i="54"/>
  <c r="B153" i="54"/>
  <c r="B157" i="54"/>
  <c r="C157" i="54" s="1"/>
  <c r="B154" i="54"/>
  <c r="C154" i="54" s="1"/>
  <c r="B158" i="54"/>
  <c r="C158" i="54" s="1"/>
  <c r="B155" i="54"/>
  <c r="B151" i="54"/>
  <c r="C151" i="54" s="1"/>
  <c r="B152" i="54"/>
  <c r="C152" i="54" s="1"/>
  <c r="B149" i="54"/>
  <c r="B145" i="54"/>
  <c r="C145" i="54" s="1"/>
  <c r="B150" i="54"/>
  <c r="C150" i="54" s="1"/>
  <c r="B146" i="54"/>
  <c r="C146" i="54" s="1"/>
  <c r="B143" i="54"/>
  <c r="C143" i="54" s="1"/>
  <c r="B147" i="54"/>
  <c r="C147" i="54" s="1"/>
  <c r="B144" i="54"/>
  <c r="C144" i="54" s="1"/>
  <c r="B148" i="54"/>
  <c r="C148" i="54" s="1"/>
  <c r="B137" i="54"/>
  <c r="C137" i="54" s="1"/>
  <c r="B139" i="54"/>
  <c r="B138" i="54"/>
  <c r="C138" i="54" s="1"/>
  <c r="B135" i="54"/>
  <c r="C135" i="54" s="1"/>
  <c r="B136" i="54"/>
  <c r="B110" i="54"/>
  <c r="O110" i="54" s="1"/>
  <c r="N110" i="54" s="1"/>
  <c r="J110" i="54" s="1"/>
  <c r="B104" i="54"/>
  <c r="O104" i="54" s="1"/>
  <c r="N104" i="54" s="1"/>
  <c r="J104" i="54" s="1"/>
  <c r="B97" i="54"/>
  <c r="I97" i="54" s="1"/>
  <c r="B113" i="54"/>
  <c r="O113" i="54" s="1"/>
  <c r="N113" i="54" s="1"/>
  <c r="J113" i="54" s="1"/>
  <c r="B85" i="54"/>
  <c r="I85" i="54" s="1"/>
  <c r="B62" i="54"/>
  <c r="C62" i="54" s="1"/>
  <c r="B79" i="54"/>
  <c r="D79" i="54" s="1"/>
  <c r="B120" i="54"/>
  <c r="C120" i="54" s="1"/>
  <c r="B50" i="54"/>
  <c r="O50" i="54" s="1"/>
  <c r="N50" i="54" s="1"/>
  <c r="J50" i="54" s="1"/>
  <c r="B31" i="54"/>
  <c r="D31" i="54" s="1"/>
  <c r="E31" i="54" s="1"/>
  <c r="B121" i="54"/>
  <c r="D121" i="54" s="1"/>
  <c r="B35" i="54"/>
  <c r="C35" i="54" s="1"/>
  <c r="B72" i="54"/>
  <c r="D72" i="54" s="1"/>
  <c r="G72" i="54" s="1"/>
  <c r="B32" i="54"/>
  <c r="C32" i="54" s="1"/>
  <c r="B24" i="54"/>
  <c r="D24" i="54" s="1"/>
  <c r="B90" i="54"/>
  <c r="C90" i="54" s="1"/>
  <c r="B101" i="54"/>
  <c r="C101" i="54" s="1"/>
  <c r="B37" i="54"/>
  <c r="O37" i="54" s="1"/>
  <c r="N37" i="54" s="1"/>
  <c r="J37" i="54" s="1"/>
  <c r="B41" i="54"/>
  <c r="C41" i="54" s="1"/>
  <c r="B93" i="54"/>
  <c r="C93" i="54" s="1"/>
  <c r="B95" i="54"/>
  <c r="C95" i="54" s="1"/>
  <c r="B60" i="54"/>
  <c r="C60" i="54" s="1"/>
  <c r="B118" i="54"/>
  <c r="O118" i="54" s="1"/>
  <c r="N118" i="54" s="1"/>
  <c r="J118" i="54" s="1"/>
  <c r="B52" i="54"/>
  <c r="D52" i="54" s="1"/>
  <c r="E52" i="54" s="1"/>
  <c r="B81" i="54"/>
  <c r="O81" i="54" s="1"/>
  <c r="N81" i="54" s="1"/>
  <c r="J81" i="54" s="1"/>
  <c r="B82" i="54"/>
  <c r="O82" i="54" s="1"/>
  <c r="N82" i="54" s="1"/>
  <c r="J82" i="54" s="1"/>
  <c r="B92" i="54"/>
  <c r="B36" i="54"/>
  <c r="O36" i="54" s="1"/>
  <c r="N36" i="54" s="1"/>
  <c r="J36" i="54" s="1"/>
  <c r="B99" i="54"/>
  <c r="D99" i="54" s="1"/>
  <c r="G99" i="54" s="1"/>
  <c r="B98" i="54"/>
  <c r="O98" i="54" s="1"/>
  <c r="N98" i="54" s="1"/>
  <c r="J98" i="54" s="1"/>
  <c r="B108" i="54"/>
  <c r="D108" i="54" s="1"/>
  <c r="B122" i="54"/>
  <c r="O122" i="54" s="1"/>
  <c r="N122" i="54" s="1"/>
  <c r="J122" i="54" s="1"/>
  <c r="B56" i="54"/>
  <c r="I56" i="54" s="1"/>
  <c r="B70" i="54"/>
  <c r="C70" i="54" s="1"/>
  <c r="B68" i="54"/>
  <c r="C68" i="54" s="1"/>
  <c r="B88" i="54"/>
  <c r="C88" i="54" s="1"/>
  <c r="B76" i="54"/>
  <c r="I76" i="54" s="1"/>
  <c r="B55" i="54"/>
  <c r="I55" i="54" s="1"/>
  <c r="B59" i="54"/>
  <c r="O59" i="54" s="1"/>
  <c r="N59" i="54" s="1"/>
  <c r="J59" i="54" s="1"/>
  <c r="B43" i="54"/>
  <c r="C43" i="54" s="1"/>
  <c r="B42" i="54"/>
  <c r="B91" i="54"/>
  <c r="O91" i="54" s="1"/>
  <c r="N91" i="54" s="1"/>
  <c r="J91" i="54" s="1"/>
  <c r="B19" i="54"/>
  <c r="O19" i="54" s="1"/>
  <c r="N19" i="54" s="1"/>
  <c r="J19" i="54" s="1"/>
  <c r="B16" i="54"/>
  <c r="C16" i="54" s="1"/>
  <c r="B20" i="54"/>
  <c r="O73" i="44"/>
  <c r="P73" i="44"/>
  <c r="O46" i="44"/>
  <c r="P65" i="44"/>
  <c r="O54" i="44"/>
  <c r="O56" i="44"/>
  <c r="P59" i="44"/>
  <c r="P54" i="44"/>
  <c r="P55" i="44"/>
  <c r="O65" i="44"/>
  <c r="P70" i="44"/>
  <c r="O59" i="44"/>
  <c r="P56" i="44"/>
  <c r="P57" i="44"/>
  <c r="P72" i="44"/>
  <c r="O70" i="44"/>
  <c r="O72" i="44"/>
  <c r="O666" i="43"/>
  <c r="O667" i="43" s="1"/>
  <c r="Q667" i="43" s="1"/>
  <c r="L23" i="20"/>
  <c r="R16" i="56" s="1"/>
  <c r="E40" i="56" s="1"/>
  <c r="R15" i="56"/>
  <c r="E39" i="56" s="1"/>
  <c r="I39" i="56" s="1"/>
  <c r="R15" i="2"/>
  <c r="E39" i="2" s="1"/>
  <c r="C27" i="50" s="1"/>
  <c r="B6" i="48"/>
  <c r="X16" i="48" s="1"/>
  <c r="K16" i="48" s="1"/>
  <c r="L16" i="48" s="1"/>
  <c r="J25" i="2"/>
  <c r="G4" i="3" s="1"/>
  <c r="F1" i="10"/>
  <c r="H42" i="2"/>
  <c r="R9" i="46"/>
  <c r="H25" i="2"/>
  <c r="F4" i="47" s="1"/>
  <c r="B6" i="14"/>
  <c r="AC18" i="14" s="1"/>
  <c r="H18" i="2"/>
  <c r="T16" i="17" s="1"/>
  <c r="E328" i="17" s="1"/>
  <c r="O706" i="43"/>
  <c r="O707" i="43" s="1"/>
  <c r="O1426" i="43"/>
  <c r="Q1426" i="43" s="1"/>
  <c r="O986" i="43"/>
  <c r="Q986" i="43" s="1"/>
  <c r="O406" i="43"/>
  <c r="O407" i="43" s="1"/>
  <c r="Q407" i="43" s="1"/>
  <c r="O106" i="43"/>
  <c r="Q106" i="43" s="1"/>
  <c r="O2046" i="43"/>
  <c r="O2047" i="43" s="1"/>
  <c r="O2048" i="43" s="1"/>
  <c r="Q2048" i="43" s="1"/>
  <c r="O2366" i="43"/>
  <c r="Q2366" i="43" s="1"/>
  <c r="O2426" i="43"/>
  <c r="O2427" i="43" s="1"/>
  <c r="F31" i="2"/>
  <c r="L22" i="51" s="1"/>
  <c r="D22" i="51" s="1"/>
  <c r="D20" i="2"/>
  <c r="N338" i="19"/>
  <c r="A450" i="19" s="1"/>
  <c r="F49" i="2"/>
  <c r="N4" i="40"/>
  <c r="A6" i="40" s="1"/>
  <c r="A83" i="40" s="1"/>
  <c r="A117" i="40" s="1"/>
  <c r="H8" i="1"/>
  <c r="N2" i="37"/>
  <c r="A14" i="37" s="1"/>
  <c r="A124" i="37" s="1"/>
  <c r="H31" i="2"/>
  <c r="N180" i="19" s="1"/>
  <c r="N177" i="19" s="1"/>
  <c r="N174" i="19" s="1"/>
  <c r="D187" i="19" s="1"/>
  <c r="D188" i="19" s="1"/>
  <c r="D46" i="2"/>
  <c r="J22" i="2"/>
  <c r="F42" i="2"/>
  <c r="H50" i="2"/>
  <c r="G41" i="3" s="1"/>
  <c r="H49" i="2"/>
  <c r="F11" i="2"/>
  <c r="F3" i="3" s="1"/>
  <c r="N2" i="53"/>
  <c r="A13" i="53" s="1"/>
  <c r="C92" i="53" s="1"/>
  <c r="H22" i="2"/>
  <c r="H45" i="2"/>
  <c r="D45" i="2"/>
  <c r="G2" i="47"/>
  <c r="J37" i="47" s="1"/>
  <c r="K37" i="47" s="1"/>
  <c r="A37" i="47" s="1"/>
  <c r="N2" i="40"/>
  <c r="A13" i="40" s="1"/>
  <c r="C92" i="40" s="1"/>
  <c r="H44" i="2"/>
  <c r="F53" i="2"/>
  <c r="R4" i="46"/>
  <c r="N166" i="19"/>
  <c r="J13" i="2"/>
  <c r="N17" i="37" s="1"/>
  <c r="H19" i="2"/>
  <c r="H13" i="2"/>
  <c r="H28" i="2"/>
  <c r="X15" i="48"/>
  <c r="J15" i="48" s="1"/>
  <c r="I14" i="2"/>
  <c r="G49" i="52" s="1"/>
  <c r="G163" i="52" s="1"/>
  <c r="F28" i="2"/>
  <c r="F13" i="2"/>
  <c r="F44" i="2"/>
  <c r="R18" i="17" s="1"/>
  <c r="W18" i="17" s="1"/>
  <c r="E591" i="17" s="1"/>
  <c r="E592" i="17" s="1"/>
  <c r="H675" i="17" s="1"/>
  <c r="H29" i="2"/>
  <c r="R12" i="17"/>
  <c r="F472" i="17" s="1"/>
  <c r="G2" i="3"/>
  <c r="J23" i="3" s="1"/>
  <c r="R3" i="46"/>
  <c r="R13" i="46"/>
  <c r="C14" i="46" s="1"/>
  <c r="H26" i="2"/>
  <c r="H23" i="2"/>
  <c r="A13" i="51"/>
  <c r="A129" i="51" s="1"/>
  <c r="H20" i="2"/>
  <c r="F18" i="2"/>
  <c r="R16" i="17" s="1"/>
  <c r="W16" i="17" s="1"/>
  <c r="E213" i="17" s="1"/>
  <c r="E214" i="17" s="1"/>
  <c r="H296" i="17" s="1"/>
  <c r="J28" i="2"/>
  <c r="R20" i="2"/>
  <c r="C34" i="2" s="1"/>
  <c r="A13" i="34"/>
  <c r="C93" i="34" s="1"/>
  <c r="B13" i="29"/>
  <c r="E19" i="29" s="1"/>
  <c r="H11" i="2"/>
  <c r="J18" i="2"/>
  <c r="U16" i="17" s="1"/>
  <c r="I195" i="17" s="1"/>
  <c r="F55" i="2"/>
  <c r="I52" i="2"/>
  <c r="N2" i="19"/>
  <c r="A13" i="19" s="1"/>
  <c r="N2" i="52"/>
  <c r="A14" i="52" s="1"/>
  <c r="A124" i="52" s="1"/>
  <c r="F16" i="2"/>
  <c r="G5" i="47" s="1"/>
  <c r="D10" i="46"/>
  <c r="J16" i="46" s="1"/>
  <c r="R8" i="46"/>
  <c r="I15" i="2"/>
  <c r="G50" i="37" s="1"/>
  <c r="G164" i="37" s="1"/>
  <c r="H46" i="2"/>
  <c r="F1" i="50"/>
  <c r="J16" i="2"/>
  <c r="G7" i="47" s="1"/>
  <c r="J9" i="47" s="1"/>
  <c r="F52" i="2"/>
  <c r="C7" i="49"/>
  <c r="J11" i="2"/>
  <c r="G3" i="47" s="1"/>
  <c r="B13" i="49"/>
  <c r="E25" i="49" s="1"/>
  <c r="B141" i="54"/>
  <c r="B142" i="54"/>
  <c r="B140" i="54"/>
  <c r="P705" i="43"/>
  <c r="O946" i="43"/>
  <c r="Q946" i="43" s="1"/>
  <c r="O1006" i="43"/>
  <c r="Q1006" i="43" s="1"/>
  <c r="O746" i="43"/>
  <c r="O747" i="43" s="1"/>
  <c r="O806" i="43"/>
  <c r="Q806" i="43" s="1"/>
  <c r="O1106" i="43"/>
  <c r="Q1106" i="43" s="1"/>
  <c r="O1246" i="43"/>
  <c r="O1247" i="43" s="1"/>
  <c r="O1706" i="43"/>
  <c r="Q1706" i="43" s="1"/>
  <c r="O1866" i="43"/>
  <c r="Q1866" i="43" s="1"/>
  <c r="O2126" i="43"/>
  <c r="O2127" i="43" s="1"/>
  <c r="Q2127" i="43" s="1"/>
  <c r="O2206" i="43"/>
  <c r="O2207" i="43" s="1"/>
  <c r="Q2207" i="43" s="1"/>
  <c r="O2226" i="43"/>
  <c r="Q2226" i="43" s="1"/>
  <c r="O486" i="43"/>
  <c r="O487" i="43" s="1"/>
  <c r="N168" i="19"/>
  <c r="A169" i="19" s="1"/>
  <c r="O426" i="43"/>
  <c r="O427" i="43" s="1"/>
  <c r="O206" i="43"/>
  <c r="Q206" i="43" s="1"/>
  <c r="O646" i="43"/>
  <c r="O647" i="43" s="1"/>
  <c r="Q647" i="43" s="1"/>
  <c r="O1506" i="43"/>
  <c r="Q1506" i="43" s="1"/>
  <c r="O1806" i="43"/>
  <c r="Q1806" i="43" s="1"/>
  <c r="O2086" i="43"/>
  <c r="Q2086" i="43" s="1"/>
  <c r="O2266" i="43"/>
  <c r="Q2266" i="43" s="1"/>
  <c r="O2306" i="43"/>
  <c r="O2307" i="43" s="1"/>
  <c r="Q2307" i="43" s="1"/>
  <c r="C7" i="29"/>
  <c r="B49" i="52"/>
  <c r="B163" i="52" s="1"/>
  <c r="A146" i="51"/>
  <c r="A143" i="34"/>
  <c r="A141" i="53"/>
  <c r="R22" i="2"/>
  <c r="C36" i="2" s="1"/>
  <c r="P1" i="10"/>
  <c r="Q2" i="10" s="1"/>
  <c r="E41" i="2"/>
  <c r="R14" i="17"/>
  <c r="B49" i="37"/>
  <c r="B163" i="37" s="1"/>
  <c r="S20" i="2"/>
  <c r="N4" i="37"/>
  <c r="A7" i="37" s="1"/>
  <c r="A81" i="37" s="1"/>
  <c r="A117" i="37" s="1"/>
  <c r="A6" i="34"/>
  <c r="A84" i="34" s="1"/>
  <c r="A119" i="34" s="1"/>
  <c r="A141" i="40"/>
  <c r="S2" i="10"/>
  <c r="C9" i="50"/>
  <c r="S2" i="50"/>
  <c r="B49" i="19"/>
  <c r="B149" i="19" s="1"/>
  <c r="B50" i="37"/>
  <c r="B164" i="37" s="1"/>
  <c r="B50" i="52"/>
  <c r="B164" i="52" s="1"/>
  <c r="C9" i="10"/>
  <c r="O1926" i="43"/>
  <c r="O1927" i="43" s="1"/>
  <c r="O1606" i="43"/>
  <c r="O1607" i="43" s="1"/>
  <c r="Q1607" i="43" s="1"/>
  <c r="P2125" i="43"/>
  <c r="G6" i="55"/>
  <c r="H6" i="55" s="1"/>
  <c r="G28" i="55"/>
  <c r="H28" i="55" s="1"/>
  <c r="G20" i="55"/>
  <c r="H20" i="55" s="1"/>
  <c r="G30" i="55"/>
  <c r="H30" i="55" s="1"/>
  <c r="P1105" i="43"/>
  <c r="O1366" i="43"/>
  <c r="Q1366" i="43" s="1"/>
  <c r="G33" i="55"/>
  <c r="H33" i="55" s="1"/>
  <c r="G18" i="55"/>
  <c r="H18" i="55" s="1"/>
  <c r="P485" i="43"/>
  <c r="O2026" i="43"/>
  <c r="Q2026" i="43" s="1"/>
  <c r="P2365" i="43"/>
  <c r="P2425" i="43"/>
  <c r="O1986" i="43"/>
  <c r="P1985" i="43"/>
  <c r="O826" i="43"/>
  <c r="O827" i="43" s="1"/>
  <c r="O828" i="43" s="1"/>
  <c r="Q828" i="43" s="1"/>
  <c r="P985" i="43"/>
  <c r="O1746" i="43"/>
  <c r="O1747" i="43" s="1"/>
  <c r="O1466" i="43"/>
  <c r="Q1466" i="43" s="1"/>
  <c r="O366" i="43"/>
  <c r="Q366" i="43" s="1"/>
  <c r="G10" i="55"/>
  <c r="H10" i="55" s="1"/>
  <c r="G26" i="55"/>
  <c r="H26" i="55" s="1"/>
  <c r="G24" i="55"/>
  <c r="H24" i="55" s="1"/>
  <c r="G14" i="55"/>
  <c r="H14" i="55" s="1"/>
  <c r="O2346" i="43"/>
  <c r="Q2346" i="43" s="1"/>
  <c r="P2045" i="43"/>
  <c r="P1005" i="43"/>
  <c r="O1686" i="43"/>
  <c r="Q1686" i="43" s="1"/>
  <c r="O1026" i="43"/>
  <c r="Q1026" i="43" s="1"/>
  <c r="O2246" i="43"/>
  <c r="O2247" i="43" s="1"/>
  <c r="G5" i="55"/>
  <c r="H5" i="55" s="1"/>
  <c r="G9" i="55"/>
  <c r="H9" i="55" s="1"/>
  <c r="G7" i="55"/>
  <c r="H7" i="55" s="1"/>
  <c r="G13" i="55"/>
  <c r="H13" i="55" s="1"/>
  <c r="G27" i="55"/>
  <c r="H27" i="55" s="1"/>
  <c r="G23" i="55"/>
  <c r="H23" i="55" s="1"/>
  <c r="G21" i="55"/>
  <c r="H21" i="55" s="1"/>
  <c r="G19" i="55"/>
  <c r="H19" i="55" s="1"/>
  <c r="G17" i="55"/>
  <c r="H17" i="55" s="1"/>
  <c r="G15" i="55"/>
  <c r="H15" i="55" s="1"/>
  <c r="G29" i="55"/>
  <c r="H29" i="55" s="1"/>
  <c r="P1245" i="43"/>
  <c r="O2326" i="43"/>
  <c r="Q2326" i="43" s="1"/>
  <c r="O1326" i="43"/>
  <c r="O1327" i="43" s="1"/>
  <c r="O1328" i="43" s="1"/>
  <c r="P945" i="43"/>
  <c r="O86" i="43"/>
  <c r="O87" i="43" s="1"/>
  <c r="Q87" i="43" s="1"/>
  <c r="O726" i="43"/>
  <c r="Q726" i="43" s="1"/>
  <c r="P1705" i="43"/>
  <c r="P105" i="43"/>
  <c r="O606" i="43"/>
  <c r="P2185" i="43"/>
  <c r="O2186" i="43"/>
  <c r="Q2186" i="43" s="1"/>
  <c r="O2386" i="43"/>
  <c r="Q2386" i="43" s="1"/>
  <c r="P2385" i="43"/>
  <c r="O1286" i="43"/>
  <c r="O1287" i="43" s="1"/>
  <c r="P1285" i="43"/>
  <c r="P965" i="43"/>
  <c r="O966" i="43"/>
  <c r="Q966" i="43" s="1"/>
  <c r="O2446" i="43"/>
  <c r="Q2446" i="43" s="1"/>
  <c r="P2445" i="43"/>
  <c r="G25" i="55"/>
  <c r="H25" i="55" s="1"/>
  <c r="O6" i="43"/>
  <c r="Q6" i="43" s="1"/>
  <c r="P2305" i="43"/>
  <c r="P2205" i="43"/>
  <c r="O2146" i="43"/>
  <c r="O2147" i="43" s="1"/>
  <c r="Q2147" i="43" s="1"/>
  <c r="P665" i="43"/>
  <c r="O1546" i="43"/>
  <c r="O1547" i="43" s="1"/>
  <c r="O1548" i="43" s="1"/>
  <c r="Q1548" i="43" s="1"/>
  <c r="P645" i="43"/>
  <c r="O1346" i="43"/>
  <c r="Q1346" i="43" s="1"/>
  <c r="O1386" i="43"/>
  <c r="Q1386" i="43" s="1"/>
  <c r="O1126" i="43"/>
  <c r="O446" i="43"/>
  <c r="O447" i="43" s="1"/>
  <c r="O286" i="43"/>
  <c r="Q286" i="43" s="1"/>
  <c r="P1505" i="43"/>
  <c r="O1966" i="43"/>
  <c r="Q1966" i="43" s="1"/>
  <c r="P1865" i="43"/>
  <c r="O186" i="43"/>
  <c r="Q186" i="43" s="1"/>
  <c r="O1166" i="43"/>
  <c r="O1167" i="43" s="1"/>
  <c r="Q1167" i="43" s="1"/>
  <c r="O1646" i="43"/>
  <c r="O1647" i="43" s="1"/>
  <c r="Q1647" i="43" s="1"/>
  <c r="P745" i="43"/>
  <c r="O2106" i="43"/>
  <c r="O2107" i="43" s="1"/>
  <c r="O2108" i="43" s="1"/>
  <c r="P1805" i="43"/>
  <c r="O1566" i="43"/>
  <c r="Q1566" i="43" s="1"/>
  <c r="O1766" i="43"/>
  <c r="O1767" i="43" s="1"/>
  <c r="O1486" i="43"/>
  <c r="Q1486" i="43" s="1"/>
  <c r="O2486" i="43"/>
  <c r="P1265" i="43"/>
  <c r="O1266" i="43"/>
  <c r="P2065" i="43"/>
  <c r="O2066" i="43"/>
  <c r="O2067" i="43" s="1"/>
  <c r="P1785" i="43"/>
  <c r="O1786" i="43"/>
  <c r="O1787" i="43" s="1"/>
  <c r="O1788" i="43" s="1"/>
  <c r="O1789" i="43" s="1"/>
  <c r="O1790" i="43" s="1"/>
  <c r="Q1790" i="43" s="1"/>
  <c r="P1885" i="43"/>
  <c r="O1886" i="43"/>
  <c r="P1945" i="43"/>
  <c r="O1946" i="43"/>
  <c r="P1425" i="43"/>
  <c r="P405" i="43"/>
  <c r="O846" i="43"/>
  <c r="P2085" i="43"/>
  <c r="P205" i="43"/>
  <c r="O1086" i="43"/>
  <c r="O1087" i="43" s="1"/>
  <c r="G32" i="55"/>
  <c r="H32" i="55" s="1"/>
  <c r="O66" i="43"/>
  <c r="O67" i="43" s="1"/>
  <c r="O46" i="43"/>
  <c r="Q46" i="43" s="1"/>
  <c r="P2265" i="43"/>
  <c r="P425" i="43"/>
  <c r="O1066" i="43"/>
  <c r="O686" i="43"/>
  <c r="O2466" i="43"/>
  <c r="O1526" i="43"/>
  <c r="Q1526" i="43" s="1"/>
  <c r="G8" i="55"/>
  <c r="H8" i="55" s="1"/>
  <c r="G22" i="55"/>
  <c r="H22" i="55" s="1"/>
  <c r="G16" i="55"/>
  <c r="H16" i="55" s="1"/>
  <c r="O866" i="43"/>
  <c r="P865" i="43"/>
  <c r="O626" i="43"/>
  <c r="P625" i="43"/>
  <c r="P1045" i="43"/>
  <c r="O1046" i="43"/>
  <c r="O1047" i="43" s="1"/>
  <c r="Q1047" i="43" s="1"/>
  <c r="P565" i="43"/>
  <c r="O566" i="43"/>
  <c r="P1825" i="43"/>
  <c r="O1826" i="43"/>
  <c r="P465" i="43"/>
  <c r="O466" i="43"/>
  <c r="Q466" i="43" s="1"/>
  <c r="O386" i="43"/>
  <c r="Q386" i="43" s="1"/>
  <c r="P385" i="43"/>
  <c r="O246" i="43"/>
  <c r="P245" i="43"/>
  <c r="P2005" i="43"/>
  <c r="O2006" i="43"/>
  <c r="O166" i="43"/>
  <c r="O167" i="43" s="1"/>
  <c r="O506" i="43"/>
  <c r="P785" i="43"/>
  <c r="O786" i="43"/>
  <c r="Q786" i="43" s="1"/>
  <c r="P805" i="43"/>
  <c r="O1186" i="43"/>
  <c r="P1185" i="43"/>
  <c r="O2166" i="43"/>
  <c r="P2165" i="43"/>
  <c r="O306" i="43"/>
  <c r="P305" i="43"/>
  <c r="P2285" i="43"/>
  <c r="O2286" i="43"/>
  <c r="O586" i="43"/>
  <c r="P2225" i="43"/>
  <c r="O526" i="43"/>
  <c r="P765" i="43"/>
  <c r="O766" i="43"/>
  <c r="P885" i="43"/>
  <c r="O886" i="43"/>
  <c r="P925" i="43"/>
  <c r="O926" i="43"/>
  <c r="P1225" i="43"/>
  <c r="O1226" i="43"/>
  <c r="O1306" i="43"/>
  <c r="P1305" i="43"/>
  <c r="O1406" i="43"/>
  <c r="P1405" i="43"/>
  <c r="O1446" i="43"/>
  <c r="P1445" i="43"/>
  <c r="P1585" i="43"/>
  <c r="O1586" i="43"/>
  <c r="P1625" i="43"/>
  <c r="O1626" i="43"/>
  <c r="P1725" i="43"/>
  <c r="O1726" i="43"/>
  <c r="O1666" i="43"/>
  <c r="P905" i="43"/>
  <c r="O906" i="43"/>
  <c r="O326" i="43"/>
  <c r="P1205" i="43"/>
  <c r="O1206" i="43"/>
  <c r="P1845" i="43"/>
  <c r="O1846" i="43"/>
  <c r="P2405" i="43"/>
  <c r="O2406" i="43"/>
  <c r="O2407" i="43" s="1"/>
  <c r="O346" i="43"/>
  <c r="O1146" i="43"/>
  <c r="G31" i="55"/>
  <c r="H31" i="55" s="1"/>
  <c r="S4" i="48"/>
  <c r="A141" i="37"/>
  <c r="N4" i="19"/>
  <c r="N4" i="53"/>
  <c r="A6" i="53" s="1"/>
  <c r="A83" i="53" s="1"/>
  <c r="A117" i="53" s="1"/>
  <c r="P1" i="50"/>
  <c r="Q2" i="50" s="1"/>
  <c r="A6" i="51"/>
  <c r="A87" i="51" s="1"/>
  <c r="A122" i="51" s="1"/>
  <c r="N4" i="52"/>
  <c r="A7" i="52" s="1"/>
  <c r="A81" i="52" s="1"/>
  <c r="A117" i="52" s="1"/>
  <c r="A141" i="52"/>
  <c r="N340" i="19"/>
  <c r="J31" i="2"/>
  <c r="B18" i="54"/>
  <c r="B27" i="54"/>
  <c r="B25" i="54"/>
  <c r="B26" i="54"/>
  <c r="B83" i="54"/>
  <c r="B57" i="54"/>
  <c r="B86" i="54"/>
  <c r="B15" i="54"/>
  <c r="B40" i="54"/>
  <c r="B63" i="54"/>
  <c r="B53" i="54"/>
  <c r="B38" i="54"/>
  <c r="B21" i="54"/>
  <c r="B58" i="54"/>
  <c r="B47" i="54"/>
  <c r="B17" i="54"/>
  <c r="B45" i="54"/>
  <c r="B48" i="54"/>
  <c r="B66" i="54"/>
  <c r="B33" i="54"/>
  <c r="B44" i="54"/>
  <c r="B39" i="54"/>
  <c r="B89" i="54"/>
  <c r="B29" i="54"/>
  <c r="B34" i="54"/>
  <c r="B54" i="54"/>
  <c r="B87" i="54"/>
  <c r="B84" i="54"/>
  <c r="B74" i="54"/>
  <c r="B64" i="54"/>
  <c r="B111" i="54"/>
  <c r="B112" i="54"/>
  <c r="B103" i="54"/>
  <c r="B107" i="54"/>
  <c r="B106" i="54"/>
  <c r="B115" i="54"/>
  <c r="B77" i="54"/>
  <c r="B61" i="54"/>
  <c r="B23" i="54"/>
  <c r="B22" i="54"/>
  <c r="B30" i="54"/>
  <c r="B116" i="54"/>
  <c r="P545" i="43"/>
  <c r="O546" i="43"/>
  <c r="O266" i="43"/>
  <c r="L69" i="20"/>
  <c r="R15" i="46"/>
  <c r="E39" i="46" s="1"/>
  <c r="E705" i="17"/>
  <c r="M744" i="17" s="1"/>
  <c r="E515" i="17"/>
  <c r="M555" i="17" s="1"/>
  <c r="E1091" i="17"/>
  <c r="M1128" i="17" s="1"/>
  <c r="E895" i="17"/>
  <c r="M933" i="17" s="1"/>
  <c r="E325" i="17"/>
  <c r="M363" i="17" s="1"/>
  <c r="F323" i="17"/>
  <c r="F1089" i="17"/>
  <c r="F133" i="17"/>
  <c r="F893" i="17"/>
  <c r="B1042" i="17"/>
  <c r="F513" i="17"/>
  <c r="C316" i="17"/>
  <c r="C844" i="17"/>
  <c r="C886" i="17"/>
  <c r="C1037" i="17"/>
  <c r="C579" i="17"/>
  <c r="C1082" i="17"/>
  <c r="O226" i="43"/>
  <c r="O146" i="43"/>
  <c r="O126" i="43"/>
  <c r="O26" i="43"/>
  <c r="Q26" i="43" s="1"/>
  <c r="F592" i="17"/>
  <c r="F591" i="17"/>
  <c r="B124" i="54"/>
  <c r="B128" i="54"/>
  <c r="B131" i="54"/>
  <c r="B134" i="54"/>
  <c r="B123" i="54"/>
  <c r="B125" i="54"/>
  <c r="B127" i="54"/>
  <c r="B129" i="54"/>
  <c r="B133" i="54"/>
  <c r="B132" i="54"/>
  <c r="B130" i="54"/>
  <c r="B126" i="54"/>
  <c r="L437" i="17"/>
  <c r="L246" i="17"/>
  <c r="L1005" i="17"/>
  <c r="L51" i="17"/>
  <c r="A282" i="19"/>
  <c r="F184" i="19"/>
  <c r="A181" i="19"/>
  <c r="F117" i="19"/>
  <c r="F63" i="19"/>
  <c r="A17" i="19"/>
  <c r="O1906" i="43"/>
  <c r="D10" i="54" l="1"/>
  <c r="E10" i="54" s="1"/>
  <c r="O10" i="54"/>
  <c r="N10" i="54" s="1"/>
  <c r="J10" i="54" s="1"/>
  <c r="I10" i="54"/>
  <c r="BI206" i="41"/>
  <c r="I29" i="59"/>
  <c r="I30" i="59"/>
  <c r="I32" i="59"/>
  <c r="I31" i="59"/>
  <c r="BI162" i="41"/>
  <c r="C16" i="58"/>
  <c r="BI193" i="41"/>
  <c r="C5" i="58"/>
  <c r="BI191" i="41"/>
  <c r="C8" i="58"/>
  <c r="N16" i="52"/>
  <c r="D137" i="52" s="1"/>
  <c r="M138" i="37"/>
  <c r="D137" i="37" s="1"/>
  <c r="R15" i="17"/>
  <c r="G100" i="17" s="1"/>
  <c r="L138" i="37"/>
  <c r="BI42" i="41"/>
  <c r="J25" i="46"/>
  <c r="X8" i="48"/>
  <c r="K8" i="48" s="1"/>
  <c r="J17" i="47"/>
  <c r="B10" i="47" s="1"/>
  <c r="B11" i="47" s="1"/>
  <c r="X21" i="48"/>
  <c r="D21" i="48" s="1"/>
  <c r="J18" i="47"/>
  <c r="B13" i="47" s="1"/>
  <c r="B19" i="47" s="1"/>
  <c r="N16" i="48"/>
  <c r="N16" i="19"/>
  <c r="N13" i="19" s="1"/>
  <c r="D85" i="19" s="1"/>
  <c r="J33" i="47"/>
  <c r="F16" i="48"/>
  <c r="J25" i="47"/>
  <c r="O29" i="47"/>
  <c r="N29" i="47" s="1"/>
  <c r="X20" i="48"/>
  <c r="K20" i="48" s="1"/>
  <c r="L20" i="48" s="1"/>
  <c r="R19" i="17"/>
  <c r="E897" i="17" s="1"/>
  <c r="G857" i="17" s="1"/>
  <c r="T8" i="14"/>
  <c r="X7" i="14" s="1"/>
  <c r="T19" i="17"/>
  <c r="E898" i="17" s="1"/>
  <c r="T9" i="14"/>
  <c r="X18" i="48"/>
  <c r="K18" i="48" s="1"/>
  <c r="L18" i="48" s="1"/>
  <c r="E16" i="48"/>
  <c r="J35" i="47"/>
  <c r="J33" i="3"/>
  <c r="O31" i="47"/>
  <c r="N31" i="47" s="1"/>
  <c r="O21" i="47"/>
  <c r="N21" i="47" s="1"/>
  <c r="J19" i="47"/>
  <c r="O37" i="47"/>
  <c r="N37" i="47" s="1"/>
  <c r="X19" i="48"/>
  <c r="E19" i="48" s="1"/>
  <c r="I16" i="48"/>
  <c r="M16" i="48" s="1"/>
  <c r="O33" i="47"/>
  <c r="N33" i="47" s="1"/>
  <c r="X12" i="48"/>
  <c r="K12" i="48" s="1"/>
  <c r="D16" i="48"/>
  <c r="O27" i="47"/>
  <c r="N27" i="47" s="1"/>
  <c r="O21" i="3"/>
  <c r="N21" i="3" s="1"/>
  <c r="O39" i="47"/>
  <c r="N39" i="47" s="1"/>
  <c r="O35" i="47"/>
  <c r="N35" i="47" s="1"/>
  <c r="J21" i="47"/>
  <c r="O19" i="47"/>
  <c r="N19" i="47" s="1"/>
  <c r="M19" i="47" s="1"/>
  <c r="C19" i="47" s="1"/>
  <c r="C20" i="47" s="1"/>
  <c r="X17" i="48"/>
  <c r="D17" i="48" s="1"/>
  <c r="J23" i="47"/>
  <c r="AD2" i="47"/>
  <c r="AD3" i="47" s="1"/>
  <c r="AC3" i="47" s="1"/>
  <c r="A9" i="47" s="1"/>
  <c r="G16" i="48"/>
  <c r="P16" i="48"/>
  <c r="X13" i="48"/>
  <c r="N13" i="48" s="1"/>
  <c r="X7" i="48"/>
  <c r="E7" i="48" s="1"/>
  <c r="H16" i="48"/>
  <c r="O27" i="3"/>
  <c r="N27" i="3" s="1"/>
  <c r="J29" i="47"/>
  <c r="J27" i="47"/>
  <c r="J31" i="47"/>
  <c r="J39" i="47"/>
  <c r="K39" i="47" s="1"/>
  <c r="A39" i="47" s="1"/>
  <c r="X11" i="48"/>
  <c r="D11" i="48" s="1"/>
  <c r="X9" i="48"/>
  <c r="F9" i="48" s="1"/>
  <c r="J16" i="48"/>
  <c r="X14" i="48"/>
  <c r="J14" i="48" s="1"/>
  <c r="X6" i="48"/>
  <c r="D6" i="48" s="1"/>
  <c r="I11" i="54"/>
  <c r="C11" i="54"/>
  <c r="D13" i="54"/>
  <c r="E13" i="54" s="1"/>
  <c r="O65" i="54"/>
  <c r="N65" i="54" s="1"/>
  <c r="J65" i="54" s="1"/>
  <c r="I12" i="54"/>
  <c r="C12" i="54"/>
  <c r="D11" i="54"/>
  <c r="G11" i="54" s="1"/>
  <c r="D12" i="54"/>
  <c r="E12" i="54" s="1"/>
  <c r="D49" i="54"/>
  <c r="E49" i="54" s="1"/>
  <c r="I14" i="54"/>
  <c r="C14" i="54"/>
  <c r="D20" i="54"/>
  <c r="E20" i="54" s="1"/>
  <c r="D42" i="54"/>
  <c r="E42" i="54" s="1"/>
  <c r="D92" i="54"/>
  <c r="E92" i="54" s="1"/>
  <c r="I67" i="54"/>
  <c r="I13" i="54"/>
  <c r="O73" i="54"/>
  <c r="N73" i="54" s="1"/>
  <c r="J73" i="54" s="1"/>
  <c r="O105" i="54"/>
  <c r="N105" i="54" s="1"/>
  <c r="J105" i="54" s="1"/>
  <c r="D94" i="54"/>
  <c r="E94" i="54" s="1"/>
  <c r="D117" i="54"/>
  <c r="G117" i="54" s="1"/>
  <c r="I117" i="54"/>
  <c r="D69" i="54"/>
  <c r="E69" i="54" s="1"/>
  <c r="D73" i="54"/>
  <c r="G73" i="54" s="1"/>
  <c r="C73" i="54"/>
  <c r="O119" i="54"/>
  <c r="N119" i="54" s="1"/>
  <c r="J119" i="54" s="1"/>
  <c r="C105" i="54"/>
  <c r="C78" i="54"/>
  <c r="I49" i="54"/>
  <c r="C117" i="54"/>
  <c r="I65" i="54"/>
  <c r="D67" i="54"/>
  <c r="E67" i="54" s="1"/>
  <c r="D96" i="54"/>
  <c r="G96" i="54" s="1"/>
  <c r="O96" i="54"/>
  <c r="N96" i="54" s="1"/>
  <c r="J96" i="54" s="1"/>
  <c r="O28" i="54"/>
  <c r="N28" i="54" s="1"/>
  <c r="J28" i="54" s="1"/>
  <c r="C96" i="54"/>
  <c r="C13" i="54"/>
  <c r="C71" i="54"/>
  <c r="C67" i="54"/>
  <c r="D65" i="54"/>
  <c r="G65" i="54" s="1"/>
  <c r="I80" i="54"/>
  <c r="C28" i="54"/>
  <c r="D105" i="54"/>
  <c r="E105" i="54" s="1"/>
  <c r="O100" i="54"/>
  <c r="N100" i="54" s="1"/>
  <c r="J100" i="54" s="1"/>
  <c r="C80" i="54"/>
  <c r="D75" i="54"/>
  <c r="E75" i="54" s="1"/>
  <c r="D28" i="54"/>
  <c r="G28" i="54" s="1"/>
  <c r="I119" i="54"/>
  <c r="O49" i="54"/>
  <c r="N49" i="54" s="1"/>
  <c r="J49" i="54" s="1"/>
  <c r="O94" i="54"/>
  <c r="N94" i="54" s="1"/>
  <c r="J94" i="54" s="1"/>
  <c r="O46" i="54"/>
  <c r="N46" i="54" s="1"/>
  <c r="J46" i="54" s="1"/>
  <c r="O78" i="54"/>
  <c r="N78" i="54" s="1"/>
  <c r="J78" i="54" s="1"/>
  <c r="D80" i="54"/>
  <c r="G80" i="54" s="1"/>
  <c r="O71" i="54"/>
  <c r="N71" i="54" s="1"/>
  <c r="J71" i="54" s="1"/>
  <c r="C102" i="54"/>
  <c r="I46" i="54"/>
  <c r="C94" i="54"/>
  <c r="D102" i="54"/>
  <c r="G102" i="54" s="1"/>
  <c r="D46" i="54"/>
  <c r="E46" i="54" s="1"/>
  <c r="I69" i="54"/>
  <c r="D71" i="54"/>
  <c r="E71" i="54" s="1"/>
  <c r="O102" i="54"/>
  <c r="N102" i="54" s="1"/>
  <c r="J102" i="54" s="1"/>
  <c r="C69" i="54"/>
  <c r="C119" i="54"/>
  <c r="D100" i="54"/>
  <c r="G100" i="54" s="1"/>
  <c r="C75" i="54"/>
  <c r="O75" i="54"/>
  <c r="N75" i="54" s="1"/>
  <c r="J75" i="54" s="1"/>
  <c r="C100" i="54"/>
  <c r="D14" i="54"/>
  <c r="E14" i="54" s="1"/>
  <c r="O97" i="54"/>
  <c r="N97" i="54" s="1"/>
  <c r="J97" i="54" s="1"/>
  <c r="C79" i="54"/>
  <c r="D114" i="54"/>
  <c r="G114" i="54" s="1"/>
  <c r="E119" i="54"/>
  <c r="I98" i="54"/>
  <c r="D137" i="54"/>
  <c r="D109" i="54"/>
  <c r="E109" i="54" s="1"/>
  <c r="O24" i="54"/>
  <c r="N24" i="54" s="1"/>
  <c r="J24" i="54" s="1"/>
  <c r="O90" i="54"/>
  <c r="N90" i="54" s="1"/>
  <c r="J90" i="54" s="1"/>
  <c r="D97" i="54"/>
  <c r="G97" i="54" s="1"/>
  <c r="I24" i="54"/>
  <c r="I121" i="54"/>
  <c r="C24" i="54"/>
  <c r="O121" i="54"/>
  <c r="N121" i="54" s="1"/>
  <c r="J121" i="54" s="1"/>
  <c r="O79" i="54"/>
  <c r="N79" i="54" s="1"/>
  <c r="J79" i="54" s="1"/>
  <c r="C121" i="54"/>
  <c r="I79" i="54"/>
  <c r="C108" i="54"/>
  <c r="D122" i="54"/>
  <c r="G122" i="54" s="1"/>
  <c r="I90" i="54"/>
  <c r="O120" i="54"/>
  <c r="N120" i="54" s="1"/>
  <c r="J120" i="54" s="1"/>
  <c r="D41" i="54"/>
  <c r="E41" i="54" s="1"/>
  <c r="O68" i="54"/>
  <c r="N68" i="54" s="1"/>
  <c r="J68" i="54" s="1"/>
  <c r="I82" i="54"/>
  <c r="C113" i="54"/>
  <c r="D120" i="54"/>
  <c r="E120" i="54" s="1"/>
  <c r="C97" i="54"/>
  <c r="I120" i="54"/>
  <c r="I59" i="54"/>
  <c r="O35" i="54"/>
  <c r="N35" i="54" s="1"/>
  <c r="J35" i="54" s="1"/>
  <c r="C98" i="54"/>
  <c r="D19" i="54"/>
  <c r="E19" i="54" s="1"/>
  <c r="D90" i="54"/>
  <c r="G90" i="54" s="1"/>
  <c r="O92" i="54"/>
  <c r="N92" i="54" s="1"/>
  <c r="J92" i="54" s="1"/>
  <c r="I122" i="54"/>
  <c r="I35" i="54"/>
  <c r="G52" i="54"/>
  <c r="I88" i="54"/>
  <c r="I113" i="54"/>
  <c r="O43" i="54"/>
  <c r="N43" i="54" s="1"/>
  <c r="J43" i="54" s="1"/>
  <c r="D35" i="54"/>
  <c r="E35" i="54" s="1"/>
  <c r="D118" i="54"/>
  <c r="G118" i="54" s="1"/>
  <c r="D113" i="54"/>
  <c r="G113" i="54" s="1"/>
  <c r="I41" i="54"/>
  <c r="O41" i="54"/>
  <c r="N41" i="54" s="1"/>
  <c r="J41" i="54" s="1"/>
  <c r="I108" i="54"/>
  <c r="I118" i="54"/>
  <c r="D37" i="54"/>
  <c r="G37" i="54" s="1"/>
  <c r="I92" i="54"/>
  <c r="C59" i="54"/>
  <c r="D68" i="54"/>
  <c r="E68" i="54" s="1"/>
  <c r="C114" i="54"/>
  <c r="D55" i="54"/>
  <c r="E55" i="54" s="1"/>
  <c r="I60" i="54"/>
  <c r="I19" i="54"/>
  <c r="C92" i="54"/>
  <c r="D59" i="54"/>
  <c r="G59" i="54" s="1"/>
  <c r="I68" i="54"/>
  <c r="C118" i="54"/>
  <c r="C19" i="54"/>
  <c r="O70" i="54"/>
  <c r="N70" i="54" s="1"/>
  <c r="J70" i="54" s="1"/>
  <c r="O114" i="54"/>
  <c r="N114" i="54" s="1"/>
  <c r="J114" i="54" s="1"/>
  <c r="O108" i="54"/>
  <c r="N108" i="54" s="1"/>
  <c r="J108" i="54" s="1"/>
  <c r="C82" i="54"/>
  <c r="D95" i="54"/>
  <c r="G95" i="54" s="1"/>
  <c r="O51" i="54"/>
  <c r="N51" i="54" s="1"/>
  <c r="J51" i="54" s="1"/>
  <c r="I99" i="54"/>
  <c r="D43" i="54"/>
  <c r="E43" i="54" s="1"/>
  <c r="O109" i="54"/>
  <c r="N109" i="54" s="1"/>
  <c r="J109" i="54" s="1"/>
  <c r="I93" i="54"/>
  <c r="I101" i="54"/>
  <c r="O88" i="54"/>
  <c r="N88" i="54" s="1"/>
  <c r="J88" i="54" s="1"/>
  <c r="C109" i="54"/>
  <c r="O93" i="54"/>
  <c r="N93" i="54" s="1"/>
  <c r="J93" i="54" s="1"/>
  <c r="O52" i="54"/>
  <c r="N52" i="54" s="1"/>
  <c r="J52" i="54" s="1"/>
  <c r="D93" i="54"/>
  <c r="E93" i="54" s="1"/>
  <c r="C42" i="54"/>
  <c r="D56" i="54"/>
  <c r="E56" i="54" s="1"/>
  <c r="I43" i="54"/>
  <c r="D76" i="54"/>
  <c r="E76" i="54" s="1"/>
  <c r="C122" i="54"/>
  <c r="C50" i="54"/>
  <c r="D81" i="54"/>
  <c r="G81" i="54" s="1"/>
  <c r="O16" i="54"/>
  <c r="N16" i="54" s="1"/>
  <c r="J16" i="54" s="1"/>
  <c r="D36" i="54"/>
  <c r="G36" i="54" s="1"/>
  <c r="C36" i="54"/>
  <c r="I20" i="54"/>
  <c r="I81" i="54"/>
  <c r="I16" i="54"/>
  <c r="O99" i="54"/>
  <c r="N99" i="54" s="1"/>
  <c r="J99" i="54" s="1"/>
  <c r="D16" i="54"/>
  <c r="G16" i="54" s="1"/>
  <c r="I95" i="54"/>
  <c r="D88" i="54"/>
  <c r="G88" i="54" s="1"/>
  <c r="C76" i="54"/>
  <c r="D101" i="54"/>
  <c r="G101" i="54" s="1"/>
  <c r="C99" i="54"/>
  <c r="I72" i="54"/>
  <c r="C85" i="54"/>
  <c r="I52" i="54"/>
  <c r="C52" i="54"/>
  <c r="I36" i="54"/>
  <c r="D51" i="54"/>
  <c r="G51" i="54" s="1"/>
  <c r="C55" i="54"/>
  <c r="D70" i="54"/>
  <c r="E70" i="54" s="1"/>
  <c r="O55" i="54"/>
  <c r="N55" i="54" s="1"/>
  <c r="J55" i="54" s="1"/>
  <c r="I31" i="54"/>
  <c r="I32" i="54"/>
  <c r="D60" i="54"/>
  <c r="E60" i="54" s="1"/>
  <c r="C104" i="54"/>
  <c r="D104" i="54"/>
  <c r="G104" i="54" s="1"/>
  <c r="I136" i="54"/>
  <c r="D136" i="54"/>
  <c r="O136" i="54"/>
  <c r="N136" i="54" s="1"/>
  <c r="J136" i="54" s="1"/>
  <c r="I137" i="54"/>
  <c r="O137" i="54"/>
  <c r="N137" i="54" s="1"/>
  <c r="J137" i="54" s="1"/>
  <c r="I143" i="54"/>
  <c r="D143" i="54"/>
  <c r="O143" i="54"/>
  <c r="N143" i="54" s="1"/>
  <c r="J143" i="54" s="1"/>
  <c r="I149" i="54"/>
  <c r="O149" i="54"/>
  <c r="N149" i="54" s="1"/>
  <c r="J149" i="54" s="1"/>
  <c r="O158" i="54"/>
  <c r="N158" i="54" s="1"/>
  <c r="J158" i="54" s="1"/>
  <c r="I158" i="54"/>
  <c r="O156" i="54"/>
  <c r="J156" i="54" s="1"/>
  <c r="D156" i="54"/>
  <c r="I156" i="54"/>
  <c r="C166" i="54"/>
  <c r="O166" i="54"/>
  <c r="N166" i="54" s="1"/>
  <c r="J166" i="54" s="1"/>
  <c r="I166" i="54"/>
  <c r="I165" i="54"/>
  <c r="C165" i="54"/>
  <c r="O165" i="54"/>
  <c r="N165" i="54" s="1"/>
  <c r="J165" i="54" s="1"/>
  <c r="C164" i="54"/>
  <c r="I164" i="54"/>
  <c r="O164" i="54"/>
  <c r="N164" i="54" s="1"/>
  <c r="J164" i="54" s="1"/>
  <c r="I91" i="54"/>
  <c r="O31" i="54"/>
  <c r="N31" i="54" s="1"/>
  <c r="J31" i="54" s="1"/>
  <c r="O62" i="54"/>
  <c r="N62" i="54" s="1"/>
  <c r="J62" i="54" s="1"/>
  <c r="C110" i="54"/>
  <c r="C51" i="54"/>
  <c r="I104" i="54"/>
  <c r="D110" i="54"/>
  <c r="G110" i="54" s="1"/>
  <c r="O56" i="54"/>
  <c r="N56" i="54" s="1"/>
  <c r="J56" i="54" s="1"/>
  <c r="G31" i="54"/>
  <c r="I70" i="54"/>
  <c r="O42" i="54"/>
  <c r="N42" i="54" s="1"/>
  <c r="J42" i="54" s="1"/>
  <c r="E72" i="54"/>
  <c r="O85" i="54"/>
  <c r="N85" i="54" s="1"/>
  <c r="J85" i="54" s="1"/>
  <c r="O32" i="54"/>
  <c r="N32" i="54" s="1"/>
  <c r="J32" i="54" s="1"/>
  <c r="I50" i="54"/>
  <c r="D85" i="54"/>
  <c r="G85" i="54" s="1"/>
  <c r="C20" i="54"/>
  <c r="C81" i="54"/>
  <c r="O95" i="54"/>
  <c r="N95" i="54" s="1"/>
  <c r="J95" i="54" s="1"/>
  <c r="D91" i="54"/>
  <c r="G91" i="54" s="1"/>
  <c r="I37" i="54"/>
  <c r="I62" i="54"/>
  <c r="C136" i="54"/>
  <c r="C156" i="54"/>
  <c r="C149" i="54"/>
  <c r="I135" i="54"/>
  <c r="O135" i="54"/>
  <c r="N135" i="54" s="1"/>
  <c r="J135" i="54" s="1"/>
  <c r="I148" i="54"/>
  <c r="O148" i="54"/>
  <c r="N148" i="54" s="1"/>
  <c r="J148" i="54" s="1"/>
  <c r="I146" i="54"/>
  <c r="O146" i="54"/>
  <c r="N146" i="54" s="1"/>
  <c r="J146" i="54" s="1"/>
  <c r="O152" i="54"/>
  <c r="N152" i="54" s="1"/>
  <c r="J152" i="54" s="1"/>
  <c r="I152" i="54"/>
  <c r="I154" i="54"/>
  <c r="O154" i="54"/>
  <c r="N154" i="54" s="1"/>
  <c r="J154" i="54" s="1"/>
  <c r="I159" i="54"/>
  <c r="O159" i="54"/>
  <c r="N159" i="54" s="1"/>
  <c r="J159" i="54" s="1"/>
  <c r="C162" i="54"/>
  <c r="O162" i="54"/>
  <c r="N162" i="54" s="1"/>
  <c r="J162" i="54" s="1"/>
  <c r="I162" i="54"/>
  <c r="C161" i="54"/>
  <c r="I161" i="54"/>
  <c r="O161" i="54"/>
  <c r="N161" i="54" s="1"/>
  <c r="J161" i="54" s="1"/>
  <c r="C160" i="54"/>
  <c r="I160" i="54"/>
  <c r="O160" i="54"/>
  <c r="N160" i="54" s="1"/>
  <c r="J160" i="54" s="1"/>
  <c r="I139" i="54"/>
  <c r="O139" i="54"/>
  <c r="N139" i="54" s="1"/>
  <c r="J139" i="54" s="1"/>
  <c r="D147" i="54"/>
  <c r="I147" i="54"/>
  <c r="O147" i="54"/>
  <c r="N147" i="54" s="1"/>
  <c r="J147" i="54" s="1"/>
  <c r="I145" i="54"/>
  <c r="D145" i="54"/>
  <c r="O145" i="54"/>
  <c r="N145" i="54" s="1"/>
  <c r="J145" i="54" s="1"/>
  <c r="D155" i="54"/>
  <c r="I155" i="54"/>
  <c r="O155" i="54"/>
  <c r="N155" i="54" s="1"/>
  <c r="J155" i="54" s="1"/>
  <c r="I153" i="54"/>
  <c r="O153" i="54"/>
  <c r="N153" i="54" s="1"/>
  <c r="J153" i="54" s="1"/>
  <c r="D173" i="54"/>
  <c r="O173" i="54"/>
  <c r="N173" i="54" s="1"/>
  <c r="J173" i="54" s="1"/>
  <c r="I173" i="54"/>
  <c r="O172" i="54"/>
  <c r="N172" i="54" s="1"/>
  <c r="J172" i="54" s="1"/>
  <c r="I172" i="54"/>
  <c r="C171" i="54"/>
  <c r="O171" i="54"/>
  <c r="N171" i="54" s="1"/>
  <c r="J171" i="54" s="1"/>
  <c r="I171" i="54"/>
  <c r="C170" i="54"/>
  <c r="I170" i="54"/>
  <c r="O170" i="54"/>
  <c r="N170" i="54" s="1"/>
  <c r="J170" i="54" s="1"/>
  <c r="D170" i="54"/>
  <c r="C91" i="54"/>
  <c r="C31" i="54"/>
  <c r="D62" i="54"/>
  <c r="E62" i="54" s="1"/>
  <c r="C37" i="54"/>
  <c r="D98" i="54"/>
  <c r="E98" i="54" s="1"/>
  <c r="I42" i="54"/>
  <c r="C56" i="54"/>
  <c r="O101" i="54"/>
  <c r="N101" i="54" s="1"/>
  <c r="J101" i="54" s="1"/>
  <c r="O76" i="54"/>
  <c r="N76" i="54" s="1"/>
  <c r="J76" i="54" s="1"/>
  <c r="O72" i="54"/>
  <c r="N72" i="54" s="1"/>
  <c r="J72" i="54" s="1"/>
  <c r="D32" i="54"/>
  <c r="G32" i="54" s="1"/>
  <c r="C72" i="54"/>
  <c r="D50" i="54"/>
  <c r="E50" i="54" s="1"/>
  <c r="I110" i="54"/>
  <c r="O20" i="54"/>
  <c r="N20" i="54" s="1"/>
  <c r="J20" i="54" s="1"/>
  <c r="D82" i="54"/>
  <c r="G82" i="54" s="1"/>
  <c r="O60" i="54"/>
  <c r="N60" i="54" s="1"/>
  <c r="J60" i="54" s="1"/>
  <c r="C172" i="54"/>
  <c r="C153" i="54"/>
  <c r="C139" i="54"/>
  <c r="C155" i="54"/>
  <c r="D138" i="54"/>
  <c r="I138" i="54"/>
  <c r="O138" i="54"/>
  <c r="N138" i="54" s="1"/>
  <c r="J138" i="54" s="1"/>
  <c r="D144" i="54"/>
  <c r="I144" i="54"/>
  <c r="O144" i="54"/>
  <c r="N144" i="54" s="1"/>
  <c r="J144" i="54" s="1"/>
  <c r="D150" i="54"/>
  <c r="I150" i="54"/>
  <c r="O150" i="54"/>
  <c r="N150" i="54" s="1"/>
  <c r="J150" i="54" s="1"/>
  <c r="I151" i="54"/>
  <c r="O151" i="54"/>
  <c r="N151" i="54" s="1"/>
  <c r="J151" i="54" s="1"/>
  <c r="I157" i="54"/>
  <c r="O157" i="54"/>
  <c r="N157" i="54" s="1"/>
  <c r="J157" i="54" s="1"/>
  <c r="O163" i="54"/>
  <c r="N163" i="54" s="1"/>
  <c r="J163" i="54" s="1"/>
  <c r="I163" i="54"/>
  <c r="C163" i="54"/>
  <c r="C169" i="54"/>
  <c r="I169" i="54"/>
  <c r="D169" i="54"/>
  <c r="O169" i="54"/>
  <c r="N169" i="54" s="1"/>
  <c r="J169" i="54" s="1"/>
  <c r="C168" i="54"/>
  <c r="O168" i="54"/>
  <c r="N168" i="54" s="1"/>
  <c r="J168" i="54" s="1"/>
  <c r="I168" i="54"/>
  <c r="C167" i="54"/>
  <c r="O167" i="54"/>
  <c r="N167" i="54" s="1"/>
  <c r="J167" i="54" s="1"/>
  <c r="I167" i="54"/>
  <c r="Q666" i="43"/>
  <c r="C27" i="10"/>
  <c r="I40" i="56"/>
  <c r="AC20" i="14"/>
  <c r="N20" i="14" s="1"/>
  <c r="B17" i="29"/>
  <c r="B25" i="29"/>
  <c r="AC21" i="14"/>
  <c r="N21" i="14" s="1"/>
  <c r="G15" i="48"/>
  <c r="K15" i="48"/>
  <c r="O16" i="48"/>
  <c r="E23" i="49"/>
  <c r="Q2047" i="43"/>
  <c r="AC10" i="14"/>
  <c r="K10" i="14" s="1"/>
  <c r="X10" i="48"/>
  <c r="K10" i="48" s="1"/>
  <c r="B16" i="29"/>
  <c r="AC19" i="14"/>
  <c r="K19" i="14" s="1"/>
  <c r="H49" i="46"/>
  <c r="C417" i="19"/>
  <c r="D19" i="46"/>
  <c r="G4" i="47"/>
  <c r="J13" i="46"/>
  <c r="H26" i="46"/>
  <c r="AC7" i="14"/>
  <c r="P7" i="14" s="1"/>
  <c r="AC12" i="14"/>
  <c r="J12" i="14" s="1"/>
  <c r="AC14" i="14"/>
  <c r="J14" i="14" s="1"/>
  <c r="H45" i="46"/>
  <c r="J21" i="3"/>
  <c r="E22" i="49"/>
  <c r="E17" i="49"/>
  <c r="E20" i="49"/>
  <c r="A112" i="19"/>
  <c r="A204" i="17"/>
  <c r="A318" i="17" s="1"/>
  <c r="A772" i="17"/>
  <c r="A888" i="17" s="1"/>
  <c r="C79" i="19"/>
  <c r="A393" i="17"/>
  <c r="A508" i="17" s="1"/>
  <c r="N853" i="17"/>
  <c r="N1046" i="17"/>
  <c r="C90" i="37"/>
  <c r="I18" i="14"/>
  <c r="P18" i="14"/>
  <c r="K18" i="14"/>
  <c r="R20" i="46"/>
  <c r="C34" i="46" s="1"/>
  <c r="B17" i="49"/>
  <c r="I31" i="49"/>
  <c r="D31" i="49" s="1"/>
  <c r="F850" i="17"/>
  <c r="AC16" i="14"/>
  <c r="P16" i="14" s="1"/>
  <c r="AC11" i="14"/>
  <c r="J11" i="14" s="1"/>
  <c r="AC15" i="14"/>
  <c r="P15" i="14" s="1"/>
  <c r="C96" i="51"/>
  <c r="A964" i="17"/>
  <c r="A1084" i="17" s="1"/>
  <c r="I30" i="49"/>
  <c r="C30" i="49" s="1"/>
  <c r="B23" i="49"/>
  <c r="C24" i="49"/>
  <c r="F282" i="17"/>
  <c r="AC17" i="14"/>
  <c r="P17" i="14" s="1"/>
  <c r="AC13" i="14"/>
  <c r="AC6" i="14"/>
  <c r="D6" i="14" s="1"/>
  <c r="A349" i="19"/>
  <c r="A502" i="17"/>
  <c r="S19" i="2"/>
  <c r="I33" i="2" s="1"/>
  <c r="N17" i="52"/>
  <c r="N14" i="52" s="1"/>
  <c r="O408" i="43"/>
  <c r="Q408" i="43" s="1"/>
  <c r="E707" i="17"/>
  <c r="G669" i="17" s="1"/>
  <c r="Q706" i="43"/>
  <c r="L22" i="34"/>
  <c r="T17" i="17"/>
  <c r="E518" i="17" s="1"/>
  <c r="S5" i="48"/>
  <c r="M6" i="48" s="1"/>
  <c r="N6" i="48" s="1"/>
  <c r="C247" i="19"/>
  <c r="O107" i="43"/>
  <c r="O108" i="43" s="1"/>
  <c r="S5" i="14"/>
  <c r="M6" i="14" s="1"/>
  <c r="N6" i="14" s="1"/>
  <c r="Q4" i="50" s="1"/>
  <c r="D288" i="19"/>
  <c r="D289" i="19" s="1"/>
  <c r="L23" i="34"/>
  <c r="D139" i="34" s="1"/>
  <c r="N16" i="37"/>
  <c r="T15" i="17"/>
  <c r="E138" i="17" s="1"/>
  <c r="D251" i="19"/>
  <c r="L23" i="51"/>
  <c r="D142" i="51" s="1"/>
  <c r="F4" i="3"/>
  <c r="J22" i="46"/>
  <c r="H13" i="46"/>
  <c r="H29" i="46"/>
  <c r="I30" i="29"/>
  <c r="C30" i="29" s="1"/>
  <c r="E23" i="29"/>
  <c r="H50" i="46"/>
  <c r="A124" i="53"/>
  <c r="E22" i="29"/>
  <c r="R17" i="17"/>
  <c r="W17" i="17" s="1"/>
  <c r="E402" i="17" s="1"/>
  <c r="E403" i="17" s="1"/>
  <c r="H486" i="17" s="1"/>
  <c r="F3" i="47"/>
  <c r="R22" i="46"/>
  <c r="C36" i="46" s="1"/>
  <c r="H20" i="46"/>
  <c r="D46" i="46"/>
  <c r="F16" i="46"/>
  <c r="S19" i="46" s="1"/>
  <c r="I33" i="46" s="1"/>
  <c r="D20" i="46"/>
  <c r="H19" i="46"/>
  <c r="F13" i="46"/>
  <c r="C35" i="2"/>
  <c r="F42" i="46"/>
  <c r="B23" i="29"/>
  <c r="U15" i="17"/>
  <c r="I3" i="17" s="1"/>
  <c r="F28" i="46"/>
  <c r="H28" i="46"/>
  <c r="I15" i="46"/>
  <c r="F15" i="46" s="1"/>
  <c r="B20" i="29"/>
  <c r="AC9" i="14"/>
  <c r="AC8" i="14"/>
  <c r="O987" i="43"/>
  <c r="O988" i="43" s="1"/>
  <c r="Q988" i="43" s="1"/>
  <c r="Q2046" i="43"/>
  <c r="O2049" i="43"/>
  <c r="Q2049" i="43" s="1"/>
  <c r="O1427" i="43"/>
  <c r="Q1427" i="43" s="1"/>
  <c r="E476" i="17"/>
  <c r="I535" i="17" s="1"/>
  <c r="Q2426" i="43"/>
  <c r="Q406" i="43"/>
  <c r="O2367" i="43"/>
  <c r="Q2367" i="43" s="1"/>
  <c r="E1048" i="17"/>
  <c r="I1111" i="17" s="1"/>
  <c r="A464" i="17"/>
  <c r="F534" i="17" s="1"/>
  <c r="D18" i="14"/>
  <c r="A124" i="40"/>
  <c r="N17" i="19"/>
  <c r="A103" i="19" s="1"/>
  <c r="E122" i="19" s="1"/>
  <c r="E123" i="19" s="1"/>
  <c r="I15" i="48"/>
  <c r="M15" i="48" s="1"/>
  <c r="P15" i="48"/>
  <c r="AD2" i="3"/>
  <c r="AE11" i="3" s="1"/>
  <c r="O29" i="3"/>
  <c r="N29" i="3" s="1"/>
  <c r="A126" i="34"/>
  <c r="O25" i="47"/>
  <c r="N25" i="47" s="1"/>
  <c r="O23" i="47"/>
  <c r="N23" i="47" s="1"/>
  <c r="A278" i="19"/>
  <c r="C245" i="19"/>
  <c r="A177" i="19"/>
  <c r="A765" i="17"/>
  <c r="N18" i="14"/>
  <c r="Q16" i="10" s="1"/>
  <c r="F15" i="48"/>
  <c r="C90" i="52"/>
  <c r="J31" i="3"/>
  <c r="J53" i="2"/>
  <c r="C5" i="10" s="1"/>
  <c r="N10" i="52"/>
  <c r="F15" i="2"/>
  <c r="D49" i="19" s="1"/>
  <c r="B9" i="47"/>
  <c r="G49" i="37"/>
  <c r="G163" i="37" s="1"/>
  <c r="E327" i="17"/>
  <c r="G291" i="17" s="1"/>
  <c r="G7" i="3"/>
  <c r="J9" i="3" s="1"/>
  <c r="H30" i="2"/>
  <c r="H27" i="2"/>
  <c r="H24" i="2"/>
  <c r="AF1" i="3" s="1"/>
  <c r="J310" i="17"/>
  <c r="F327" i="17" s="1"/>
  <c r="F328" i="17" s="1"/>
  <c r="H51" i="2"/>
  <c r="C7" i="10" s="1"/>
  <c r="R4" i="10" s="1"/>
  <c r="T4" i="10" s="1"/>
  <c r="G5" i="3"/>
  <c r="O25" i="3"/>
  <c r="N25" i="3" s="1"/>
  <c r="O39" i="3"/>
  <c r="N39" i="3" s="1"/>
  <c r="J39" i="3"/>
  <c r="K39" i="3" s="1"/>
  <c r="A39" i="3" s="1"/>
  <c r="J37" i="3"/>
  <c r="K37" i="3" s="1"/>
  <c r="A37" i="3" s="1"/>
  <c r="J17" i="3"/>
  <c r="N10" i="37"/>
  <c r="H15" i="48"/>
  <c r="N15" i="48"/>
  <c r="G50" i="52"/>
  <c r="G164" i="52" s="1"/>
  <c r="G3" i="3"/>
  <c r="F14" i="2"/>
  <c r="E49" i="52" s="1"/>
  <c r="E163" i="52" s="1"/>
  <c r="J19" i="3"/>
  <c r="F44" i="46"/>
  <c r="H31" i="46"/>
  <c r="H22" i="46"/>
  <c r="J18" i="46"/>
  <c r="H23" i="46"/>
  <c r="H44" i="46"/>
  <c r="J35" i="3"/>
  <c r="O19" i="3"/>
  <c r="N19" i="3" s="1"/>
  <c r="M19" i="3" s="1"/>
  <c r="C19" i="3" s="1"/>
  <c r="C20" i="3" s="1"/>
  <c r="J29" i="3"/>
  <c r="E25" i="29"/>
  <c r="J31" i="46"/>
  <c r="F53" i="46"/>
  <c r="O33" i="3"/>
  <c r="N33" i="3" s="1"/>
  <c r="I52" i="46"/>
  <c r="I32" i="49"/>
  <c r="E19" i="49"/>
  <c r="I29" i="49"/>
  <c r="B16" i="49"/>
  <c r="B20" i="49"/>
  <c r="B19" i="49"/>
  <c r="E16" i="49"/>
  <c r="B22" i="49"/>
  <c r="A582" i="17"/>
  <c r="A698" i="17" s="1"/>
  <c r="F1043" i="17"/>
  <c r="A12" i="17"/>
  <c r="A128" i="17" s="1"/>
  <c r="O23" i="3"/>
  <c r="N23" i="3" s="1"/>
  <c r="O31" i="3"/>
  <c r="N31" i="3" s="1"/>
  <c r="H42" i="46"/>
  <c r="D45" i="46"/>
  <c r="H46" i="46"/>
  <c r="I14" i="46"/>
  <c r="F14" i="46" s="1"/>
  <c r="J28" i="46"/>
  <c r="J11" i="46"/>
  <c r="E20" i="29"/>
  <c r="B22" i="29"/>
  <c r="I29" i="29"/>
  <c r="E16" i="29"/>
  <c r="B19" i="29"/>
  <c r="I32" i="29"/>
  <c r="C24" i="29"/>
  <c r="I31" i="29"/>
  <c r="D31" i="29" s="1"/>
  <c r="J18" i="14"/>
  <c r="E15" i="48"/>
  <c r="D15" i="48"/>
  <c r="F49" i="46"/>
  <c r="F55" i="46"/>
  <c r="F18" i="46"/>
  <c r="H18" i="46"/>
  <c r="H11" i="46"/>
  <c r="O35" i="3"/>
  <c r="N35" i="3" s="1"/>
  <c r="J27" i="3"/>
  <c r="J25" i="3"/>
  <c r="F91" i="17"/>
  <c r="E17" i="29"/>
  <c r="F660" i="17"/>
  <c r="J18" i="3"/>
  <c r="B13" i="3" s="1"/>
  <c r="F31" i="46"/>
  <c r="F11" i="46"/>
  <c r="F52" i="46"/>
  <c r="B25" i="49"/>
  <c r="O37" i="3"/>
  <c r="N37" i="3" s="1"/>
  <c r="H25" i="46"/>
  <c r="S20" i="46"/>
  <c r="H10" i="46"/>
  <c r="E41" i="46" s="1"/>
  <c r="Q426" i="43"/>
  <c r="Q2306" i="43"/>
  <c r="Q2126" i="43"/>
  <c r="O207" i="43"/>
  <c r="Q207" i="43" s="1"/>
  <c r="O1507" i="43"/>
  <c r="Q1507" i="43" s="1"/>
  <c r="O1807" i="43"/>
  <c r="Q1807" i="43" s="1"/>
  <c r="Q1246" i="43"/>
  <c r="Q746" i="43"/>
  <c r="O807" i="43"/>
  <c r="Q807" i="43" s="1"/>
  <c r="O2087" i="43"/>
  <c r="O2088" i="43" s="1"/>
  <c r="Q2088" i="43" s="1"/>
  <c r="Q2206" i="43"/>
  <c r="O1007" i="43"/>
  <c r="Q1007" i="43" s="1"/>
  <c r="C140" i="54"/>
  <c r="D140" i="54"/>
  <c r="I140" i="54"/>
  <c r="O140" i="54"/>
  <c r="N140" i="54" s="1"/>
  <c r="J140" i="54" s="1"/>
  <c r="O648" i="43"/>
  <c r="Q648" i="43" s="1"/>
  <c r="O1867" i="43"/>
  <c r="Q1867" i="43" s="1"/>
  <c r="D142" i="54"/>
  <c r="C142" i="54"/>
  <c r="I142" i="54"/>
  <c r="O142" i="54"/>
  <c r="N142" i="54" s="1"/>
  <c r="J142" i="54" s="1"/>
  <c r="Q486" i="43"/>
  <c r="C141" i="54"/>
  <c r="I141" i="54"/>
  <c r="O141" i="54"/>
  <c r="N141" i="54" s="1"/>
  <c r="J141" i="54" s="1"/>
  <c r="O1107" i="43"/>
  <c r="Q1107" i="43" s="1"/>
  <c r="O947" i="43"/>
  <c r="Q947" i="43" s="1"/>
  <c r="E664" i="17"/>
  <c r="I725" i="17" s="1"/>
  <c r="A5" i="17"/>
  <c r="O2267" i="43"/>
  <c r="O2268" i="43" s="1"/>
  <c r="Q2268" i="43" s="1"/>
  <c r="Q646" i="43"/>
  <c r="A270" i="19"/>
  <c r="D236" i="19"/>
  <c r="E286" i="17"/>
  <c r="I344" i="17" s="1"/>
  <c r="A274" i="17"/>
  <c r="F343" i="17" s="1"/>
  <c r="A312" i="17"/>
  <c r="A882" i="17"/>
  <c r="A957" i="17"/>
  <c r="E95" i="17"/>
  <c r="I155" i="17" s="1"/>
  <c r="A122" i="17"/>
  <c r="A197" i="17"/>
  <c r="A1078" i="17"/>
  <c r="A842" i="17"/>
  <c r="F914" i="17" s="1"/>
  <c r="A652" i="17"/>
  <c r="F724" i="17" s="1"/>
  <c r="S21" i="2"/>
  <c r="I34" i="2"/>
  <c r="I35" i="2" s="1"/>
  <c r="A1035" i="17"/>
  <c r="F1110" i="17" s="1"/>
  <c r="A83" i="17"/>
  <c r="F154" i="17" s="1"/>
  <c r="A575" i="17"/>
  <c r="A386" i="17"/>
  <c r="A692" i="17"/>
  <c r="Q1926" i="43"/>
  <c r="O1367" i="43"/>
  <c r="Q1367" i="43" s="1"/>
  <c r="Q1606" i="43"/>
  <c r="Q826" i="43"/>
  <c r="Q166" i="43"/>
  <c r="O2208" i="43"/>
  <c r="Q2208" i="43" s="1"/>
  <c r="O2327" i="43"/>
  <c r="Q2327" i="43" s="1"/>
  <c r="Q1766" i="43"/>
  <c r="O1648" i="43"/>
  <c r="O1649" i="43" s="1"/>
  <c r="Q1649" i="43" s="1"/>
  <c r="O2027" i="43"/>
  <c r="O2028" i="43" s="1"/>
  <c r="Q2028" i="43" s="1"/>
  <c r="O1567" i="43"/>
  <c r="O1568" i="43" s="1"/>
  <c r="O1549" i="43"/>
  <c r="Q1549" i="43" s="1"/>
  <c r="Q1746" i="43"/>
  <c r="Q1547" i="43"/>
  <c r="Q1646" i="43"/>
  <c r="Q827" i="43"/>
  <c r="O2187" i="43"/>
  <c r="O2188" i="43" s="1"/>
  <c r="Q2188" i="43" s="1"/>
  <c r="O1967" i="43"/>
  <c r="O1968" i="43" s="1"/>
  <c r="O1527" i="43"/>
  <c r="Q1527" i="43" s="1"/>
  <c r="O287" i="43"/>
  <c r="Q287" i="43" s="1"/>
  <c r="Q1326" i="43"/>
  <c r="O1487" i="43"/>
  <c r="O1488" i="43" s="1"/>
  <c r="Q1488" i="43" s="1"/>
  <c r="O967" i="43"/>
  <c r="O968" i="43" s="1"/>
  <c r="O2148" i="43"/>
  <c r="Q2148" i="43" s="1"/>
  <c r="Q2107" i="43"/>
  <c r="O1467" i="43"/>
  <c r="Q1467" i="43" s="1"/>
  <c r="Q2146" i="43"/>
  <c r="Q86" i="43"/>
  <c r="O367" i="43"/>
  <c r="O1687" i="43"/>
  <c r="Q1687" i="43" s="1"/>
  <c r="O2347" i="43"/>
  <c r="Q2066" i="43"/>
  <c r="O1027" i="43"/>
  <c r="Q1027" i="43" s="1"/>
  <c r="O1987" i="43"/>
  <c r="Q1986" i="43"/>
  <c r="O2447" i="43"/>
  <c r="Q2447" i="43" s="1"/>
  <c r="Q606" i="43"/>
  <c r="O607" i="43"/>
  <c r="Q2246" i="43"/>
  <c r="O1168" i="43"/>
  <c r="Q1168" i="43" s="1"/>
  <c r="Q1286" i="43"/>
  <c r="O1387" i="43"/>
  <c r="O1388" i="43" s="1"/>
  <c r="Q1388" i="43" s="1"/>
  <c r="O727" i="43"/>
  <c r="Q727" i="43" s="1"/>
  <c r="Q1788" i="43"/>
  <c r="Q446" i="43"/>
  <c r="O7" i="43"/>
  <c r="O787" i="43"/>
  <c r="Q787" i="43" s="1"/>
  <c r="Q1786" i="43"/>
  <c r="Q1787" i="43"/>
  <c r="Q1546" i="43"/>
  <c r="O187" i="43"/>
  <c r="Q187" i="43" s="1"/>
  <c r="O1127" i="43"/>
  <c r="Q1126" i="43"/>
  <c r="O1347" i="43"/>
  <c r="Q1347" i="43" s="1"/>
  <c r="Q1166" i="43"/>
  <c r="Q2106" i="43"/>
  <c r="E99" i="54"/>
  <c r="O2487" i="43"/>
  <c r="Q2486" i="43"/>
  <c r="Q1789" i="43"/>
  <c r="O47" i="43"/>
  <c r="Q47" i="43" s="1"/>
  <c r="Q66" i="43"/>
  <c r="Q1287" i="43"/>
  <c r="O1288" i="43"/>
  <c r="O2467" i="43"/>
  <c r="Q2466" i="43"/>
  <c r="O1947" i="43"/>
  <c r="Q1946" i="43"/>
  <c r="O467" i="43"/>
  <c r="Q467" i="43" s="1"/>
  <c r="Q1046" i="43"/>
  <c r="Q2406" i="43"/>
  <c r="Q1327" i="43"/>
  <c r="Q1086" i="43"/>
  <c r="G24" i="54"/>
  <c r="E24" i="54"/>
  <c r="O1887" i="43"/>
  <c r="Q1886" i="43"/>
  <c r="O1267" i="43"/>
  <c r="Q1266" i="43"/>
  <c r="O687" i="43"/>
  <c r="Q686" i="43"/>
  <c r="O2128" i="43"/>
  <c r="O2129" i="43" s="1"/>
  <c r="Q1066" i="43"/>
  <c r="O1067" i="43"/>
  <c r="O847" i="43"/>
  <c r="Q846" i="43"/>
  <c r="Q2067" i="43"/>
  <c r="O2068" i="43"/>
  <c r="Q2068" i="43" s="1"/>
  <c r="E108" i="54"/>
  <c r="G108" i="54"/>
  <c r="Q1406" i="43"/>
  <c r="O1407" i="43"/>
  <c r="O708" i="43"/>
  <c r="Q708" i="43" s="1"/>
  <c r="Q707" i="43"/>
  <c r="O68" i="43"/>
  <c r="Q67" i="43"/>
  <c r="O587" i="43"/>
  <c r="Q586" i="43"/>
  <c r="O247" i="43"/>
  <c r="Q246" i="43"/>
  <c r="Q2427" i="43"/>
  <c r="O2428" i="43"/>
  <c r="F214" i="17"/>
  <c r="J271" i="17"/>
  <c r="J296" i="17" s="1"/>
  <c r="F213" i="17"/>
  <c r="O867" i="43"/>
  <c r="Q866" i="43"/>
  <c r="Q1846" i="43"/>
  <c r="O1847" i="43"/>
  <c r="Q326" i="43"/>
  <c r="O327" i="43"/>
  <c r="O1928" i="43"/>
  <c r="Q1928" i="43" s="1"/>
  <c r="Q1927" i="43"/>
  <c r="O1667" i="43"/>
  <c r="Q1666" i="43"/>
  <c r="O1627" i="43"/>
  <c r="Q1626" i="43"/>
  <c r="O927" i="43"/>
  <c r="Q926" i="43"/>
  <c r="Q766" i="43"/>
  <c r="O767" i="43"/>
  <c r="O527" i="43"/>
  <c r="Q526" i="43"/>
  <c r="Q1747" i="43"/>
  <c r="O1748" i="43"/>
  <c r="O307" i="43"/>
  <c r="Q306" i="43"/>
  <c r="O2167" i="43"/>
  <c r="Q2167" i="43" s="1"/>
  <c r="Q2166" i="43"/>
  <c r="O1187" i="43"/>
  <c r="Q1187" i="43" s="1"/>
  <c r="Q1186" i="43"/>
  <c r="Q2006" i="43"/>
  <c r="O2007" i="43"/>
  <c r="Q1087" i="43"/>
  <c r="O1088" i="43"/>
  <c r="Q1088" i="43" s="1"/>
  <c r="G79" i="54"/>
  <c r="E79" i="54"/>
  <c r="Q447" i="43"/>
  <c r="O448" i="43"/>
  <c r="Q566" i="43"/>
  <c r="O567" i="43"/>
  <c r="Q1146" i="43"/>
  <c r="O1147" i="43"/>
  <c r="Q1147" i="43" s="1"/>
  <c r="Q1206" i="43"/>
  <c r="O1207" i="43"/>
  <c r="O1727" i="43"/>
  <c r="Q1726" i="43"/>
  <c r="Q1586" i="43"/>
  <c r="O1587" i="43"/>
  <c r="O1227" i="43"/>
  <c r="Q1227" i="43" s="1"/>
  <c r="Q1226" i="43"/>
  <c r="Q886" i="43"/>
  <c r="O887" i="43"/>
  <c r="O428" i="43"/>
  <c r="Q427" i="43"/>
  <c r="O1827" i="43"/>
  <c r="Q1826" i="43"/>
  <c r="Q346" i="43"/>
  <c r="O347" i="43"/>
  <c r="G121" i="54"/>
  <c r="E121" i="54"/>
  <c r="Q906" i="43"/>
  <c r="O907" i="43"/>
  <c r="Q907" i="43" s="1"/>
  <c r="O1447" i="43"/>
  <c r="Q1446" i="43"/>
  <c r="O1307" i="43"/>
  <c r="Q1307" i="43" s="1"/>
  <c r="Q1306" i="43"/>
  <c r="Q2286" i="43"/>
  <c r="O2287" i="43"/>
  <c r="O507" i="43"/>
  <c r="Q506" i="43"/>
  <c r="O627" i="43"/>
  <c r="Q626" i="43"/>
  <c r="O127" i="54"/>
  <c r="N127" i="54" s="1"/>
  <c r="J127" i="54" s="1"/>
  <c r="C127" i="54"/>
  <c r="D127" i="54"/>
  <c r="I127" i="54"/>
  <c r="C30" i="54"/>
  <c r="D30" i="54"/>
  <c r="O30" i="54"/>
  <c r="N30" i="54" s="1"/>
  <c r="J30" i="54" s="1"/>
  <c r="I30" i="54"/>
  <c r="D77" i="54"/>
  <c r="O77" i="54"/>
  <c r="N77" i="54" s="1"/>
  <c r="J77" i="54" s="1"/>
  <c r="I77" i="54"/>
  <c r="C77" i="54"/>
  <c r="D74" i="54"/>
  <c r="C74" i="54"/>
  <c r="I74" i="54"/>
  <c r="O74" i="54"/>
  <c r="N74" i="54" s="1"/>
  <c r="J74" i="54" s="1"/>
  <c r="C34" i="54"/>
  <c r="D34" i="54"/>
  <c r="O34" i="54"/>
  <c r="N34" i="54" s="1"/>
  <c r="J34" i="54" s="1"/>
  <c r="I34" i="54"/>
  <c r="O44" i="54"/>
  <c r="N44" i="54" s="1"/>
  <c r="J44" i="54" s="1"/>
  <c r="I44" i="54"/>
  <c r="C44" i="54"/>
  <c r="D44" i="54"/>
  <c r="I45" i="54"/>
  <c r="D45" i="54"/>
  <c r="C45" i="54"/>
  <c r="O45" i="54"/>
  <c r="N45" i="54" s="1"/>
  <c r="J45" i="54" s="1"/>
  <c r="O21" i="54"/>
  <c r="N21" i="54" s="1"/>
  <c r="J21" i="54" s="1"/>
  <c r="C21" i="54"/>
  <c r="I21" i="54"/>
  <c r="D21" i="54"/>
  <c r="I40" i="54"/>
  <c r="C40" i="54"/>
  <c r="O40" i="54"/>
  <c r="N40" i="54" s="1"/>
  <c r="J40" i="54" s="1"/>
  <c r="D40" i="54"/>
  <c r="O83" i="54"/>
  <c r="N83" i="54" s="1"/>
  <c r="J83" i="54" s="1"/>
  <c r="C83" i="54"/>
  <c r="I83" i="54"/>
  <c r="D83" i="54"/>
  <c r="D18" i="54"/>
  <c r="O18" i="54"/>
  <c r="N18" i="54" s="1"/>
  <c r="J18" i="54" s="1"/>
  <c r="I18" i="54"/>
  <c r="C18" i="54"/>
  <c r="O2408" i="43"/>
  <c r="Q2407" i="43"/>
  <c r="E95" i="37"/>
  <c r="E98" i="37" s="1"/>
  <c r="D91" i="37"/>
  <c r="E137" i="37"/>
  <c r="N14" i="37"/>
  <c r="E136" i="37"/>
  <c r="A114" i="37"/>
  <c r="N11" i="37"/>
  <c r="A4" i="37" s="1"/>
  <c r="Q1328" i="43"/>
  <c r="O1329" i="43"/>
  <c r="Q1329" i="43" s="1"/>
  <c r="I131" i="54"/>
  <c r="C131" i="54"/>
  <c r="O131" i="54"/>
  <c r="N131" i="54" s="1"/>
  <c r="J131" i="54" s="1"/>
  <c r="D131" i="54"/>
  <c r="Q266" i="43"/>
  <c r="O267" i="43"/>
  <c r="Q267" i="43" s="1"/>
  <c r="I103" i="54"/>
  <c r="D103" i="54"/>
  <c r="O103" i="54"/>
  <c r="N103" i="54" s="1"/>
  <c r="J103" i="54" s="1"/>
  <c r="C103" i="54"/>
  <c r="O748" i="43"/>
  <c r="Q747" i="43"/>
  <c r="O1248" i="43"/>
  <c r="Q1247" i="43"/>
  <c r="A341" i="19"/>
  <c r="A442" i="19"/>
  <c r="D408" i="19"/>
  <c r="Q1906" i="43"/>
  <c r="O1907" i="43"/>
  <c r="C130" i="54"/>
  <c r="I130" i="54"/>
  <c r="D130" i="54"/>
  <c r="O130" i="54"/>
  <c r="N130" i="54" s="1"/>
  <c r="J130" i="54" s="1"/>
  <c r="O227" i="43"/>
  <c r="Q227" i="43" s="1"/>
  <c r="Q226" i="43"/>
  <c r="A104" i="19"/>
  <c r="D71" i="19"/>
  <c r="A5" i="19"/>
  <c r="O132" i="54"/>
  <c r="N132" i="54" s="1"/>
  <c r="J132" i="54" s="1"/>
  <c r="C132" i="54"/>
  <c r="I132" i="54"/>
  <c r="D132" i="54"/>
  <c r="O125" i="54"/>
  <c r="N125" i="54" s="1"/>
  <c r="J125" i="54" s="1"/>
  <c r="I125" i="54"/>
  <c r="D125" i="54"/>
  <c r="C125" i="54"/>
  <c r="O128" i="54"/>
  <c r="N128" i="54" s="1"/>
  <c r="J128" i="54" s="1"/>
  <c r="D128" i="54"/>
  <c r="I128" i="54"/>
  <c r="C128" i="54"/>
  <c r="O547" i="43"/>
  <c r="Q546" i="43"/>
  <c r="C22" i="54"/>
  <c r="D22" i="54"/>
  <c r="I22" i="54"/>
  <c r="O22" i="54"/>
  <c r="N22" i="54" s="1"/>
  <c r="J22" i="54" s="1"/>
  <c r="D115" i="54"/>
  <c r="O115" i="54"/>
  <c r="N115" i="54" s="1"/>
  <c r="J115" i="54" s="1"/>
  <c r="I115" i="54"/>
  <c r="C115" i="54"/>
  <c r="C112" i="54"/>
  <c r="D112" i="54"/>
  <c r="I112" i="54"/>
  <c r="O112" i="54"/>
  <c r="N112" i="54" s="1"/>
  <c r="J112" i="54" s="1"/>
  <c r="I84" i="54"/>
  <c r="C84" i="54"/>
  <c r="D84" i="54"/>
  <c r="O84" i="54"/>
  <c r="N84" i="54" s="1"/>
  <c r="J84" i="54" s="1"/>
  <c r="C29" i="54"/>
  <c r="I29" i="54"/>
  <c r="O29" i="54"/>
  <c r="N29" i="54" s="1"/>
  <c r="J29" i="54" s="1"/>
  <c r="D29" i="54"/>
  <c r="D33" i="54"/>
  <c r="I33" i="54"/>
  <c r="C33" i="54"/>
  <c r="O33" i="54"/>
  <c r="N33" i="54" s="1"/>
  <c r="J33" i="54" s="1"/>
  <c r="I17" i="54"/>
  <c r="C17" i="54"/>
  <c r="D17" i="54"/>
  <c r="O17" i="54"/>
  <c r="N17" i="54" s="1"/>
  <c r="J17" i="54" s="1"/>
  <c r="C38" i="54"/>
  <c r="D38" i="54"/>
  <c r="O38" i="54"/>
  <c r="N38" i="54" s="1"/>
  <c r="J38" i="54" s="1"/>
  <c r="I38" i="54"/>
  <c r="C15" i="54"/>
  <c r="O15" i="54"/>
  <c r="N15" i="54" s="1"/>
  <c r="J15" i="54" s="1"/>
  <c r="D15" i="54"/>
  <c r="I15" i="54"/>
  <c r="C26" i="54"/>
  <c r="O26" i="54"/>
  <c r="N26" i="54" s="1"/>
  <c r="J26" i="54" s="1"/>
  <c r="I26" i="54"/>
  <c r="D26" i="54"/>
  <c r="N181" i="19"/>
  <c r="U17" i="17"/>
  <c r="L20" i="34"/>
  <c r="L20" i="51"/>
  <c r="O2248" i="43"/>
  <c r="Q2247" i="43"/>
  <c r="O1768" i="43"/>
  <c r="Q1767" i="43"/>
  <c r="O488" i="43"/>
  <c r="Q488" i="43" s="1"/>
  <c r="Q487" i="43"/>
  <c r="O2109" i="43"/>
  <c r="Q2108" i="43"/>
  <c r="O133" i="54"/>
  <c r="N133" i="54" s="1"/>
  <c r="J133" i="54" s="1"/>
  <c r="D133" i="54"/>
  <c r="I133" i="54"/>
  <c r="C133" i="54"/>
  <c r="O123" i="54"/>
  <c r="N123" i="54" s="1"/>
  <c r="J123" i="54" s="1"/>
  <c r="C123" i="54"/>
  <c r="I123" i="54"/>
  <c r="D123" i="54"/>
  <c r="O124" i="54"/>
  <c r="N124" i="54" s="1"/>
  <c r="J124" i="54" s="1"/>
  <c r="D124" i="54"/>
  <c r="I124" i="54"/>
  <c r="C124" i="54"/>
  <c r="O127" i="43"/>
  <c r="Q127" i="43" s="1"/>
  <c r="Q126" i="43"/>
  <c r="O23" i="54"/>
  <c r="N23" i="54" s="1"/>
  <c r="J23" i="54" s="1"/>
  <c r="D23" i="54"/>
  <c r="C23" i="54"/>
  <c r="I23" i="54"/>
  <c r="I106" i="54"/>
  <c r="C106" i="54"/>
  <c r="D106" i="54"/>
  <c r="O106" i="54"/>
  <c r="N106" i="54" s="1"/>
  <c r="J106" i="54" s="1"/>
  <c r="D111" i="54"/>
  <c r="I111" i="54"/>
  <c r="O111" i="54"/>
  <c r="N111" i="54" s="1"/>
  <c r="J111" i="54" s="1"/>
  <c r="C111" i="54"/>
  <c r="D87" i="54"/>
  <c r="C87" i="54"/>
  <c r="O87" i="54"/>
  <c r="N87" i="54" s="1"/>
  <c r="J87" i="54" s="1"/>
  <c r="I87" i="54"/>
  <c r="I89" i="54"/>
  <c r="O89" i="54"/>
  <c r="N89" i="54" s="1"/>
  <c r="J89" i="54" s="1"/>
  <c r="C89" i="54"/>
  <c r="D89" i="54"/>
  <c r="I66" i="54"/>
  <c r="C66" i="54"/>
  <c r="D66" i="54"/>
  <c r="O66" i="54"/>
  <c r="N66" i="54" s="1"/>
  <c r="J66" i="54" s="1"/>
  <c r="D47" i="54"/>
  <c r="C47" i="54"/>
  <c r="I47" i="54"/>
  <c r="O47" i="54"/>
  <c r="N47" i="54" s="1"/>
  <c r="J47" i="54" s="1"/>
  <c r="D53" i="54"/>
  <c r="C53" i="54"/>
  <c r="I53" i="54"/>
  <c r="O53" i="54"/>
  <c r="N53" i="54" s="1"/>
  <c r="J53" i="54" s="1"/>
  <c r="C86" i="54"/>
  <c r="D86" i="54"/>
  <c r="O86" i="54"/>
  <c r="N86" i="54" s="1"/>
  <c r="J86" i="54" s="1"/>
  <c r="I86" i="54"/>
  <c r="O25" i="54"/>
  <c r="N25" i="54" s="1"/>
  <c r="J25" i="54" s="1"/>
  <c r="D25" i="54"/>
  <c r="C25" i="54"/>
  <c r="I25" i="54"/>
  <c r="J42" i="2"/>
  <c r="J42" i="46"/>
  <c r="D126" i="54"/>
  <c r="O126" i="54"/>
  <c r="N126" i="54" s="1"/>
  <c r="J126" i="54" s="1"/>
  <c r="C126" i="54"/>
  <c r="I126" i="54"/>
  <c r="O129" i="54"/>
  <c r="N129" i="54" s="1"/>
  <c r="J129" i="54" s="1"/>
  <c r="I129" i="54"/>
  <c r="D129" i="54"/>
  <c r="C129" i="54"/>
  <c r="I134" i="54"/>
  <c r="O134" i="54"/>
  <c r="N134" i="54" s="1"/>
  <c r="J134" i="54" s="1"/>
  <c r="C134" i="54"/>
  <c r="D134" i="54"/>
  <c r="O147" i="43"/>
  <c r="Q146" i="43"/>
  <c r="R16" i="2"/>
  <c r="E40" i="2" s="1"/>
  <c r="R16" i="46"/>
  <c r="E40" i="46" s="1"/>
  <c r="O116" i="54"/>
  <c r="N116" i="54" s="1"/>
  <c r="J116" i="54" s="1"/>
  <c r="D116" i="54"/>
  <c r="C116" i="54"/>
  <c r="I116" i="54"/>
  <c r="O61" i="54"/>
  <c r="N61" i="54" s="1"/>
  <c r="J61" i="54" s="1"/>
  <c r="D61" i="54"/>
  <c r="C61" i="54"/>
  <c r="I61" i="54"/>
  <c r="D107" i="54"/>
  <c r="I107" i="54"/>
  <c r="C107" i="54"/>
  <c r="O107" i="54"/>
  <c r="N107" i="54" s="1"/>
  <c r="J107" i="54" s="1"/>
  <c r="I64" i="54"/>
  <c r="D64" i="54"/>
  <c r="C64" i="54"/>
  <c r="O64" i="54"/>
  <c r="N64" i="54" s="1"/>
  <c r="J64" i="54" s="1"/>
  <c r="O54" i="54"/>
  <c r="N54" i="54" s="1"/>
  <c r="J54" i="54" s="1"/>
  <c r="I54" i="54"/>
  <c r="D54" i="54"/>
  <c r="C54" i="54"/>
  <c r="O39" i="54"/>
  <c r="N39" i="54" s="1"/>
  <c r="J39" i="54" s="1"/>
  <c r="D39" i="54"/>
  <c r="C39" i="54"/>
  <c r="I39" i="54"/>
  <c r="O48" i="54"/>
  <c r="N48" i="54" s="1"/>
  <c r="J48" i="54" s="1"/>
  <c r="C48" i="54"/>
  <c r="D48" i="54"/>
  <c r="I48" i="54"/>
  <c r="D58" i="54"/>
  <c r="C58" i="54"/>
  <c r="I58" i="54"/>
  <c r="O58" i="54"/>
  <c r="N58" i="54" s="1"/>
  <c r="J58" i="54" s="1"/>
  <c r="C63" i="54"/>
  <c r="O63" i="54"/>
  <c r="N63" i="54" s="1"/>
  <c r="J63" i="54" s="1"/>
  <c r="D63" i="54"/>
  <c r="I63" i="54"/>
  <c r="I57" i="54"/>
  <c r="O57" i="54"/>
  <c r="N57" i="54" s="1"/>
  <c r="J57" i="54" s="1"/>
  <c r="D57" i="54"/>
  <c r="C57" i="54"/>
  <c r="D27" i="54"/>
  <c r="C27" i="54"/>
  <c r="I27" i="54"/>
  <c r="O27" i="54"/>
  <c r="N27" i="54" s="1"/>
  <c r="J27" i="54" s="1"/>
  <c r="O168" i="43"/>
  <c r="Q168" i="43" s="1"/>
  <c r="Q167" i="43"/>
  <c r="K33" i="47" l="1"/>
  <c r="A33" i="47" s="1"/>
  <c r="K35" i="47"/>
  <c r="A35" i="47" s="1"/>
  <c r="P21" i="14"/>
  <c r="K29" i="47"/>
  <c r="A29" i="47" s="1"/>
  <c r="F14" i="48"/>
  <c r="J19" i="48"/>
  <c r="G10" i="54"/>
  <c r="H13" i="48"/>
  <c r="K31" i="47"/>
  <c r="A31" i="47" s="1"/>
  <c r="M21" i="47"/>
  <c r="C21" i="47" s="1"/>
  <c r="C22" i="47" s="1"/>
  <c r="BI199" i="41"/>
  <c r="D161" i="54"/>
  <c r="G161" i="54" s="1"/>
  <c r="BI201" i="41"/>
  <c r="C20" i="58"/>
  <c r="D164" i="54"/>
  <c r="E164" i="54" s="1"/>
  <c r="BI196" i="41"/>
  <c r="D157" i="54"/>
  <c r="E157" i="54" s="1"/>
  <c r="BI49" i="41"/>
  <c r="D172" i="54"/>
  <c r="G172" i="54" s="1"/>
  <c r="BI202" i="41"/>
  <c r="D165" i="54"/>
  <c r="E165" i="54" s="1"/>
  <c r="BI198" i="41"/>
  <c r="C13" i="58"/>
  <c r="D160" i="54"/>
  <c r="E160" i="54" s="1"/>
  <c r="BI35" i="41"/>
  <c r="D171" i="54"/>
  <c r="E171" i="54" s="1"/>
  <c r="BI36" i="41"/>
  <c r="D168" i="54"/>
  <c r="E168" i="54" s="1"/>
  <c r="BI48" i="41"/>
  <c r="D167" i="54"/>
  <c r="E167" i="54" s="1"/>
  <c r="BI40" i="41"/>
  <c r="D159" i="54"/>
  <c r="E159" i="54" s="1"/>
  <c r="D9" i="48"/>
  <c r="J20" i="48"/>
  <c r="D12" i="48"/>
  <c r="E21" i="48"/>
  <c r="J12" i="48"/>
  <c r="D31" i="59"/>
  <c r="F31" i="59"/>
  <c r="A31" i="59"/>
  <c r="F32" i="59"/>
  <c r="C32" i="59"/>
  <c r="D32" i="59"/>
  <c r="A32" i="59"/>
  <c r="D30" i="59"/>
  <c r="A30" i="59"/>
  <c r="F30" i="59"/>
  <c r="D19" i="48"/>
  <c r="AD4" i="47"/>
  <c r="AF4" i="47" s="1"/>
  <c r="F11" i="47" s="1"/>
  <c r="AF19" i="47"/>
  <c r="E11" i="47"/>
  <c r="N19" i="48"/>
  <c r="F29" i="59"/>
  <c r="D29" i="59"/>
  <c r="BI194" i="41"/>
  <c r="D153" i="54"/>
  <c r="G153" i="54" s="1"/>
  <c r="BI166" i="41"/>
  <c r="D152" i="54"/>
  <c r="E152" i="54" s="1"/>
  <c r="BI163" i="41"/>
  <c r="D146" i="54"/>
  <c r="G146" i="54" s="1"/>
  <c r="BI192" i="41"/>
  <c r="D141" i="54"/>
  <c r="G141" i="54" s="1"/>
  <c r="N13" i="52"/>
  <c r="D138" i="34"/>
  <c r="C94" i="34"/>
  <c r="D98" i="34"/>
  <c r="W15" i="17"/>
  <c r="E21" i="17" s="1"/>
  <c r="E22" i="17" s="1"/>
  <c r="H105" i="17" s="1"/>
  <c r="E137" i="17"/>
  <c r="O19" i="14"/>
  <c r="L19" i="14"/>
  <c r="D8" i="48"/>
  <c r="K17" i="47"/>
  <c r="V18" i="14"/>
  <c r="W18" i="14" s="1"/>
  <c r="M18" i="14"/>
  <c r="AD14" i="47"/>
  <c r="AC14" i="47" s="1"/>
  <c r="O18" i="14"/>
  <c r="L18" i="14"/>
  <c r="K19" i="47"/>
  <c r="A19" i="47" s="1"/>
  <c r="O11" i="52"/>
  <c r="D96" i="52" s="1"/>
  <c r="D99" i="52" s="1"/>
  <c r="D95" i="37"/>
  <c r="D98" i="37" s="1"/>
  <c r="D23" i="37"/>
  <c r="D24" i="37"/>
  <c r="D136" i="37"/>
  <c r="G8" i="48"/>
  <c r="D20" i="48"/>
  <c r="G21" i="48"/>
  <c r="AE14" i="47"/>
  <c r="F21" i="48"/>
  <c r="BI203" i="41"/>
  <c r="D166" i="54"/>
  <c r="G166" i="54" s="1"/>
  <c r="BI200" i="41"/>
  <c r="C15" i="58"/>
  <c r="D163" i="54"/>
  <c r="G163" i="54" s="1"/>
  <c r="BI197" i="41"/>
  <c r="C12" i="58"/>
  <c r="D158" i="54"/>
  <c r="E158" i="54" s="1"/>
  <c r="BI167" i="41"/>
  <c r="D154" i="54"/>
  <c r="G154" i="54" s="1"/>
  <c r="G20" i="54"/>
  <c r="E781" i="17"/>
  <c r="H863" i="17" s="1"/>
  <c r="N21" i="48"/>
  <c r="P21" i="48"/>
  <c r="G20" i="48"/>
  <c r="P8" i="48"/>
  <c r="D7" i="48"/>
  <c r="I8" i="48"/>
  <c r="F8" i="48"/>
  <c r="P9" i="48"/>
  <c r="AE5" i="47"/>
  <c r="AE3" i="47"/>
  <c r="N8" i="48"/>
  <c r="L8" i="48" s="1"/>
  <c r="H8" i="48"/>
  <c r="G7" i="48"/>
  <c r="G17" i="48"/>
  <c r="F20" i="48"/>
  <c r="J21" i="48"/>
  <c r="H21" i="48"/>
  <c r="I20" i="48"/>
  <c r="M20" i="48" s="1"/>
  <c r="K9" i="48"/>
  <c r="AE13" i="47"/>
  <c r="AD7" i="47"/>
  <c r="AF7" i="47" s="1"/>
  <c r="F7" i="48"/>
  <c r="N10" i="19"/>
  <c r="D23" i="19" s="1"/>
  <c r="D24" i="19" s="1"/>
  <c r="G9" i="48"/>
  <c r="D122" i="19"/>
  <c r="D123" i="19" s="1"/>
  <c r="AD12" i="47"/>
  <c r="AE9" i="47"/>
  <c r="AE15" i="47"/>
  <c r="E8" i="48"/>
  <c r="J8" i="48"/>
  <c r="H7" i="48"/>
  <c r="J7" i="48"/>
  <c r="E9" i="48"/>
  <c r="E9" i="47"/>
  <c r="AE6" i="47"/>
  <c r="D9" i="47"/>
  <c r="P7" i="48"/>
  <c r="I7" i="48"/>
  <c r="M7" i="48" s="1"/>
  <c r="I12" i="14"/>
  <c r="H9" i="48"/>
  <c r="I21" i="48"/>
  <c r="M21" i="48" s="1"/>
  <c r="P20" i="48"/>
  <c r="E20" i="48"/>
  <c r="AD5" i="47"/>
  <c r="AF5" i="47" s="1"/>
  <c r="AF3" i="47"/>
  <c r="F9" i="47" s="1"/>
  <c r="F17" i="48"/>
  <c r="AE8" i="47"/>
  <c r="AD6" i="47"/>
  <c r="AF6" i="47" s="1"/>
  <c r="AD13" i="47"/>
  <c r="AC13" i="47" s="1"/>
  <c r="AE4" i="47"/>
  <c r="AD11" i="47"/>
  <c r="AF11" i="47" s="1"/>
  <c r="AE11" i="47"/>
  <c r="AE10" i="47"/>
  <c r="AD15" i="47"/>
  <c r="AF15" i="47" s="1"/>
  <c r="AD10" i="47"/>
  <c r="AF10" i="47" s="1"/>
  <c r="K21" i="48"/>
  <c r="L21" i="48" s="1"/>
  <c r="N12" i="48"/>
  <c r="L12" i="48" s="1"/>
  <c r="N7" i="48"/>
  <c r="K7" i="48"/>
  <c r="I9" i="48"/>
  <c r="J9" i="48"/>
  <c r="H20" i="48"/>
  <c r="N20" i="48"/>
  <c r="I17" i="48"/>
  <c r="M17" i="48" s="1"/>
  <c r="AD8" i="47"/>
  <c r="AF8" i="47" s="1"/>
  <c r="AE7" i="47"/>
  <c r="AE12" i="47"/>
  <c r="AD9" i="47"/>
  <c r="AF9" i="47" s="1"/>
  <c r="N9" i="48"/>
  <c r="K17" i="48"/>
  <c r="L17" i="48" s="1"/>
  <c r="K18" i="47"/>
  <c r="D11" i="47"/>
  <c r="K23" i="47"/>
  <c r="A23" i="47" s="1"/>
  <c r="I18" i="48"/>
  <c r="M18" i="48" s="1"/>
  <c r="C81" i="19"/>
  <c r="I11" i="48"/>
  <c r="I11" i="14"/>
  <c r="D14" i="14"/>
  <c r="K27" i="47"/>
  <c r="A27" i="47" s="1"/>
  <c r="E18" i="48"/>
  <c r="G19" i="48"/>
  <c r="P11" i="14"/>
  <c r="D17" i="14"/>
  <c r="N18" i="48"/>
  <c r="H11" i="48"/>
  <c r="O18" i="48"/>
  <c r="T10" i="14"/>
  <c r="P11" i="48"/>
  <c r="D21" i="14"/>
  <c r="G18" i="48"/>
  <c r="P19" i="14"/>
  <c r="F11" i="48"/>
  <c r="F19" i="48"/>
  <c r="D13" i="48"/>
  <c r="N11" i="48"/>
  <c r="P13" i="48"/>
  <c r="F13" i="48"/>
  <c r="H19" i="48"/>
  <c r="K13" i="48"/>
  <c r="L13" i="48" s="1"/>
  <c r="K11" i="14"/>
  <c r="H18" i="48"/>
  <c r="J18" i="48"/>
  <c r="P18" i="48"/>
  <c r="D12" i="14"/>
  <c r="E11" i="48"/>
  <c r="P19" i="48"/>
  <c r="I19" i="48"/>
  <c r="M19" i="48" s="1"/>
  <c r="W19" i="17"/>
  <c r="K25" i="47"/>
  <c r="A25" i="47" s="1"/>
  <c r="E13" i="48"/>
  <c r="G11" i="48"/>
  <c r="I13" i="48"/>
  <c r="U18" i="14"/>
  <c r="J11" i="48"/>
  <c r="K19" i="48"/>
  <c r="L19" i="48" s="1"/>
  <c r="K11" i="48"/>
  <c r="J41" i="47"/>
  <c r="N17" i="14"/>
  <c r="Q15" i="10" s="1"/>
  <c r="F18" i="48"/>
  <c r="D18" i="48"/>
  <c r="K21" i="47"/>
  <c r="A21" i="47" s="1"/>
  <c r="E782" i="17"/>
  <c r="J13" i="48"/>
  <c r="G13" i="48"/>
  <c r="H17" i="48"/>
  <c r="I14" i="48"/>
  <c r="J10" i="14"/>
  <c r="I10" i="14"/>
  <c r="N10" i="14"/>
  <c r="Q8" i="50" s="1"/>
  <c r="N14" i="14"/>
  <c r="Q12" i="50" s="1"/>
  <c r="E17" i="48"/>
  <c r="N14" i="48"/>
  <c r="H12" i="48"/>
  <c r="E14" i="48"/>
  <c r="D14" i="48"/>
  <c r="I12" i="48"/>
  <c r="J17" i="48"/>
  <c r="P10" i="14"/>
  <c r="D10" i="14"/>
  <c r="P14" i="14"/>
  <c r="N17" i="48"/>
  <c r="H14" i="48"/>
  <c r="K14" i="48"/>
  <c r="P17" i="48"/>
  <c r="I14" i="14"/>
  <c r="K14" i="14"/>
  <c r="P14" i="48"/>
  <c r="E12" i="48"/>
  <c r="G14" i="48"/>
  <c r="G12" i="48"/>
  <c r="P12" i="48"/>
  <c r="F12" i="48"/>
  <c r="G13" i="54"/>
  <c r="E96" i="54"/>
  <c r="G76" i="54"/>
  <c r="E11" i="54"/>
  <c r="G46" i="54"/>
  <c r="C9" i="58"/>
  <c r="G12" i="54"/>
  <c r="E37" i="54"/>
  <c r="G67" i="54"/>
  <c r="E100" i="54"/>
  <c r="G49" i="54"/>
  <c r="G14" i="54"/>
  <c r="E73" i="54"/>
  <c r="G42" i="54"/>
  <c r="E102" i="54"/>
  <c r="G105" i="54"/>
  <c r="G41" i="54"/>
  <c r="G50" i="54"/>
  <c r="G69" i="54"/>
  <c r="G92" i="54"/>
  <c r="G71" i="54"/>
  <c r="G19" i="54"/>
  <c r="G98" i="54"/>
  <c r="E16" i="54"/>
  <c r="E113" i="54"/>
  <c r="E117" i="54"/>
  <c r="G75" i="54"/>
  <c r="E122" i="54"/>
  <c r="E65" i="54"/>
  <c r="G94" i="54"/>
  <c r="E80" i="54"/>
  <c r="E28" i="54"/>
  <c r="E81" i="54"/>
  <c r="E32" i="54"/>
  <c r="G35" i="54"/>
  <c r="E97" i="54"/>
  <c r="E95" i="54"/>
  <c r="G120" i="54"/>
  <c r="E101" i="54"/>
  <c r="E51" i="54"/>
  <c r="E104" i="54"/>
  <c r="G56" i="54"/>
  <c r="E88" i="54"/>
  <c r="E90" i="54"/>
  <c r="E59" i="54"/>
  <c r="E114" i="54"/>
  <c r="G109" i="54"/>
  <c r="E36" i="54"/>
  <c r="G62" i="54"/>
  <c r="E118" i="54"/>
  <c r="E110" i="54"/>
  <c r="E85" i="54"/>
  <c r="E91" i="54"/>
  <c r="D135" i="54"/>
  <c r="G43" i="54"/>
  <c r="G70" i="54"/>
  <c r="G55" i="54"/>
  <c r="G68" i="54"/>
  <c r="E82" i="54"/>
  <c r="G60" i="54"/>
  <c r="G93" i="54"/>
  <c r="E138" i="54"/>
  <c r="G138" i="54"/>
  <c r="E172" i="54"/>
  <c r="G143" i="54"/>
  <c r="E143" i="54"/>
  <c r="G137" i="54"/>
  <c r="E137" i="54"/>
  <c r="G144" i="54"/>
  <c r="E144" i="54"/>
  <c r="G155" i="54"/>
  <c r="E155" i="54"/>
  <c r="G150" i="54"/>
  <c r="E150" i="54"/>
  <c r="G170" i="54"/>
  <c r="E170" i="54"/>
  <c r="L174" i="54"/>
  <c r="G136" i="54"/>
  <c r="E136" i="54"/>
  <c r="E169" i="54"/>
  <c r="G169" i="54"/>
  <c r="E173" i="54"/>
  <c r="G173" i="54"/>
  <c r="G145" i="54"/>
  <c r="E145" i="54"/>
  <c r="E147" i="54"/>
  <c r="G147" i="54"/>
  <c r="E156" i="54"/>
  <c r="G156" i="54"/>
  <c r="I15" i="14"/>
  <c r="P20" i="14"/>
  <c r="K21" i="14"/>
  <c r="D11" i="14"/>
  <c r="K17" i="14"/>
  <c r="J19" i="14"/>
  <c r="P12" i="14"/>
  <c r="K12" i="14"/>
  <c r="N19" i="14"/>
  <c r="Q17" i="50" s="1"/>
  <c r="I19" i="14"/>
  <c r="D19" i="14"/>
  <c r="N12" i="14"/>
  <c r="Q10" i="50" s="1"/>
  <c r="N7" i="14"/>
  <c r="Q5" i="10" s="1"/>
  <c r="I20" i="14"/>
  <c r="I17" i="14"/>
  <c r="J21" i="14"/>
  <c r="I21" i="14"/>
  <c r="N11" i="14"/>
  <c r="J17" i="14"/>
  <c r="J13" i="14"/>
  <c r="E32" i="59" s="1"/>
  <c r="I7" i="14"/>
  <c r="J20" i="14"/>
  <c r="D20" i="14"/>
  <c r="D15" i="14"/>
  <c r="J15" i="14"/>
  <c r="K20" i="14"/>
  <c r="K15" i="14"/>
  <c r="K13" i="14"/>
  <c r="N15" i="14"/>
  <c r="Q13" i="10" s="1"/>
  <c r="O15" i="48"/>
  <c r="L15" i="48"/>
  <c r="O20" i="48"/>
  <c r="K161" i="54"/>
  <c r="C31" i="49"/>
  <c r="A31" i="49"/>
  <c r="F31" i="49"/>
  <c r="G10" i="48"/>
  <c r="D10" i="48"/>
  <c r="N10" i="48"/>
  <c r="L10" i="48" s="1"/>
  <c r="E10" i="48"/>
  <c r="H10" i="48"/>
  <c r="F10" i="48"/>
  <c r="P10" i="48"/>
  <c r="J10" i="48"/>
  <c r="I10" i="48"/>
  <c r="D7" i="14"/>
  <c r="K7" i="14"/>
  <c r="J7" i="14"/>
  <c r="K16" i="14"/>
  <c r="K33" i="3"/>
  <c r="A33" i="3" s="1"/>
  <c r="K29" i="3"/>
  <c r="A29" i="3" s="1"/>
  <c r="D16" i="14"/>
  <c r="J16" i="14"/>
  <c r="K35" i="3"/>
  <c r="A35" i="3" s="1"/>
  <c r="K31" i="3"/>
  <c r="A31" i="3" s="1"/>
  <c r="N11" i="19"/>
  <c r="A4" i="19" s="1"/>
  <c r="E23" i="19" s="1"/>
  <c r="I16" i="14"/>
  <c r="N16" i="14"/>
  <c r="Q14" i="50" s="1"/>
  <c r="AE3" i="3"/>
  <c r="AE9" i="3"/>
  <c r="AE14" i="3"/>
  <c r="M16" i="50"/>
  <c r="P16" i="50" s="1"/>
  <c r="AE12" i="3"/>
  <c r="AD4" i="3"/>
  <c r="AF4" i="3" s="1"/>
  <c r="F11" i="3" s="1"/>
  <c r="M16" i="10"/>
  <c r="P16" i="10" s="1"/>
  <c r="AD9" i="3"/>
  <c r="AF9" i="3" s="1"/>
  <c r="AE8" i="3"/>
  <c r="A30" i="49"/>
  <c r="D30" i="49"/>
  <c r="F30" i="49"/>
  <c r="P13" i="14"/>
  <c r="D13" i="14"/>
  <c r="B32" i="59" s="1"/>
  <c r="I13" i="14"/>
  <c r="N13" i="14"/>
  <c r="Q11" i="10" s="1"/>
  <c r="M21" i="3"/>
  <c r="C21" i="3" s="1"/>
  <c r="C22" i="3" s="1"/>
  <c r="D30" i="29"/>
  <c r="Q987" i="43"/>
  <c r="H27" i="46"/>
  <c r="F30" i="29"/>
  <c r="A30" i="29"/>
  <c r="E96" i="52"/>
  <c r="E99" i="52" s="1"/>
  <c r="N11" i="52"/>
  <c r="Q4" i="10"/>
  <c r="H30" i="46"/>
  <c r="R18" i="46" s="1"/>
  <c r="S22" i="46" s="1"/>
  <c r="T22" i="46" s="1"/>
  <c r="J36" i="46" s="1"/>
  <c r="H24" i="46"/>
  <c r="J53" i="46"/>
  <c r="M22" i="34"/>
  <c r="J120" i="17"/>
  <c r="F138" i="17" s="1"/>
  <c r="Q16" i="50"/>
  <c r="M22" i="51"/>
  <c r="D23" i="51" s="1"/>
  <c r="D101" i="51" s="1"/>
  <c r="D104" i="51" s="1"/>
  <c r="H51" i="46"/>
  <c r="P58" i="46" s="1"/>
  <c r="N13" i="37"/>
  <c r="E517" i="17"/>
  <c r="G481" i="17" s="1"/>
  <c r="Q107" i="43"/>
  <c r="C5" i="50"/>
  <c r="C35" i="46"/>
  <c r="N9" i="14"/>
  <c r="K9" i="14"/>
  <c r="P9" i="14"/>
  <c r="D9" i="14"/>
  <c r="J9" i="14"/>
  <c r="I9" i="14"/>
  <c r="V9" i="14" s="1"/>
  <c r="W9" i="14" s="1"/>
  <c r="I8" i="14"/>
  <c r="P8" i="14"/>
  <c r="D8" i="14"/>
  <c r="J8" i="14"/>
  <c r="E30" i="59" s="1"/>
  <c r="K8" i="14"/>
  <c r="N8" i="14"/>
  <c r="AE15" i="3"/>
  <c r="AD3" i="3"/>
  <c r="AD5" i="3"/>
  <c r="AF5" i="3" s="1"/>
  <c r="AE13" i="3"/>
  <c r="AD10" i="3"/>
  <c r="AF10" i="3" s="1"/>
  <c r="AD11" i="3"/>
  <c r="AF11" i="3" s="1"/>
  <c r="AE10" i="3"/>
  <c r="AE7" i="3"/>
  <c r="AE6" i="3"/>
  <c r="AE5" i="3"/>
  <c r="AD6" i="3"/>
  <c r="AF6" i="3" s="1"/>
  <c r="AD12" i="3"/>
  <c r="AD13" i="3"/>
  <c r="AF13" i="3" s="1"/>
  <c r="AD15" i="3"/>
  <c r="AF15" i="3" s="1"/>
  <c r="AD7" i="3"/>
  <c r="AE4" i="3"/>
  <c r="AD8" i="3"/>
  <c r="AD14" i="3"/>
  <c r="AF14" i="3" s="1"/>
  <c r="E50" i="37"/>
  <c r="E164" i="37" s="1"/>
  <c r="E81" i="19"/>
  <c r="E50" i="52"/>
  <c r="E164" i="52" s="1"/>
  <c r="N14" i="19"/>
  <c r="E85" i="19" s="1"/>
  <c r="K25" i="3"/>
  <c r="A25" i="3" s="1"/>
  <c r="AC1" i="47"/>
  <c r="I39" i="2"/>
  <c r="I40" i="2" s="1"/>
  <c r="K27" i="3"/>
  <c r="A27" i="3" s="1"/>
  <c r="F31" i="29"/>
  <c r="C31" i="29"/>
  <c r="A31" i="29"/>
  <c r="D23" i="52"/>
  <c r="K19" i="3"/>
  <c r="A19" i="3" s="1"/>
  <c r="E11" i="3"/>
  <c r="B9" i="3"/>
  <c r="I291" i="17"/>
  <c r="O11" i="37"/>
  <c r="J55" i="2"/>
  <c r="L23" i="48" s="1"/>
  <c r="S4" i="10"/>
  <c r="K60" i="2"/>
  <c r="D48" i="19"/>
  <c r="F48" i="19" s="1"/>
  <c r="E49" i="37"/>
  <c r="E163" i="37" s="1"/>
  <c r="C3" i="10"/>
  <c r="C3" i="50"/>
  <c r="C7" i="50"/>
  <c r="R4" i="50" s="1"/>
  <c r="T4" i="50" s="1"/>
  <c r="AC1" i="3"/>
  <c r="I41" i="2"/>
  <c r="R18" i="2"/>
  <c r="S22" i="2" s="1"/>
  <c r="I36" i="2" s="1"/>
  <c r="AF1" i="47"/>
  <c r="K21" i="3"/>
  <c r="A21" i="3" s="1"/>
  <c r="K23" i="3"/>
  <c r="A23" i="3" s="1"/>
  <c r="D29" i="29"/>
  <c r="F29" i="29"/>
  <c r="C29" i="29"/>
  <c r="E32" i="49"/>
  <c r="B32" i="49"/>
  <c r="A32" i="49"/>
  <c r="F32" i="49"/>
  <c r="D32" i="49"/>
  <c r="C32" i="49"/>
  <c r="J41" i="3"/>
  <c r="K18" i="3"/>
  <c r="A32" i="29"/>
  <c r="F32" i="29"/>
  <c r="E32" i="29"/>
  <c r="D32" i="29"/>
  <c r="C32" i="29"/>
  <c r="S21" i="46"/>
  <c r="I34" i="46"/>
  <c r="I35" i="46" s="1"/>
  <c r="B19" i="3"/>
  <c r="AF19" i="3"/>
  <c r="D29" i="49"/>
  <c r="F29" i="49"/>
  <c r="A29" i="49"/>
  <c r="C29" i="49"/>
  <c r="K17" i="3"/>
  <c r="B10" i="3"/>
  <c r="O649" i="43"/>
  <c r="Q649" i="43" s="1"/>
  <c r="Q2087" i="43"/>
  <c r="Q2267" i="43"/>
  <c r="O1008" i="43"/>
  <c r="Q1008" i="43" s="1"/>
  <c r="O1868" i="43"/>
  <c r="Q1868" i="43" s="1"/>
  <c r="O1108" i="43"/>
  <c r="Q1108" i="43" s="1"/>
  <c r="G142" i="54"/>
  <c r="E142" i="54"/>
  <c r="G140" i="54"/>
  <c r="E140" i="54"/>
  <c r="O288" i="43"/>
  <c r="Q288" i="43" s="1"/>
  <c r="O1368" i="43"/>
  <c r="O1369" i="43" s="1"/>
  <c r="Q1369" i="43" s="1"/>
  <c r="O2328" i="43"/>
  <c r="Q2328" i="43" s="1"/>
  <c r="Q1567" i="43"/>
  <c r="O2209" i="43"/>
  <c r="O2210" i="43" s="1"/>
  <c r="Q2027" i="43"/>
  <c r="Q1648" i="43"/>
  <c r="Q2187" i="43"/>
  <c r="Q2128" i="43"/>
  <c r="Q1967" i="43"/>
  <c r="Q967" i="43"/>
  <c r="O1028" i="43"/>
  <c r="Q1028" i="43" s="1"/>
  <c r="O1528" i="43"/>
  <c r="Q1528" i="43" s="1"/>
  <c r="O1468" i="43"/>
  <c r="Q1487" i="43"/>
  <c r="Q1387" i="43"/>
  <c r="O1489" i="43"/>
  <c r="O1490" i="43" s="1"/>
  <c r="Q367" i="43"/>
  <c r="O368" i="43"/>
  <c r="O1169" i="43"/>
  <c r="Q1169" i="43" s="1"/>
  <c r="O728" i="43"/>
  <c r="O729" i="43" s="1"/>
  <c r="Q729" i="43" s="1"/>
  <c r="O1688" i="43"/>
  <c r="Q1987" i="43"/>
  <c r="O1988" i="43"/>
  <c r="Q2347" i="43"/>
  <c r="O2348" i="43"/>
  <c r="Q2348" i="43" s="1"/>
  <c r="O608" i="43"/>
  <c r="Q607" i="43"/>
  <c r="Q7" i="43"/>
  <c r="O8" i="43"/>
  <c r="Q8" i="43" s="1"/>
  <c r="O468" i="43"/>
  <c r="O469" i="43" s="1"/>
  <c r="Q469" i="43" s="1"/>
  <c r="O2488" i="43"/>
  <c r="Q2488" i="43" s="1"/>
  <c r="Q2487" i="43"/>
  <c r="Q1288" i="43"/>
  <c r="O1289" i="43"/>
  <c r="Q1289" i="43" s="1"/>
  <c r="Q1127" i="43"/>
  <c r="O1128" i="43"/>
  <c r="Q1128" i="43" s="1"/>
  <c r="Q1887" i="43"/>
  <c r="O1888" i="43"/>
  <c r="Q1888" i="43" s="1"/>
  <c r="O1068" i="43"/>
  <c r="Q1067" i="43"/>
  <c r="O1948" i="43"/>
  <c r="Q1947" i="43"/>
  <c r="Q847" i="43"/>
  <c r="O848" i="43"/>
  <c r="Q687" i="43"/>
  <c r="O688" i="43"/>
  <c r="Q1267" i="43"/>
  <c r="O1268" i="43"/>
  <c r="Q1268" i="43" s="1"/>
  <c r="Q2467" i="43"/>
  <c r="O2468" i="43"/>
  <c r="Q2468" i="43" s="1"/>
  <c r="O2288" i="43"/>
  <c r="Q2287" i="43"/>
  <c r="Q887" i="43"/>
  <c r="O888" i="43"/>
  <c r="Q888" i="43" s="1"/>
  <c r="Q1587" i="43"/>
  <c r="O1588" i="43"/>
  <c r="Q448" i="43"/>
  <c r="O449" i="43"/>
  <c r="Q449" i="43" s="1"/>
  <c r="O2008" i="43"/>
  <c r="Q2008" i="43" s="1"/>
  <c r="Q2007" i="43"/>
  <c r="Q1748" i="43"/>
  <c r="O1749" i="43"/>
  <c r="O768" i="43"/>
  <c r="Q768" i="43" s="1"/>
  <c r="Q767" i="43"/>
  <c r="O1848" i="43"/>
  <c r="Q1848" i="43" s="1"/>
  <c r="Q1847" i="43"/>
  <c r="O69" i="43"/>
  <c r="Q69" i="43" s="1"/>
  <c r="Q68" i="43"/>
  <c r="Q507" i="43"/>
  <c r="O508" i="43"/>
  <c r="O109" i="43"/>
  <c r="Q108" i="43"/>
  <c r="O1448" i="43"/>
  <c r="Q1447" i="43"/>
  <c r="Q347" i="43"/>
  <c r="O348" i="43"/>
  <c r="O429" i="43"/>
  <c r="Q429" i="43" s="1"/>
  <c r="Q428" i="43"/>
  <c r="O308" i="43"/>
  <c r="Q307" i="43"/>
  <c r="O1628" i="43"/>
  <c r="Q1627" i="43"/>
  <c r="L4" i="54"/>
  <c r="Q968" i="43"/>
  <c r="O969" i="43"/>
  <c r="Q969" i="43" s="1"/>
  <c r="Q1207" i="43"/>
  <c r="O1208" i="43"/>
  <c r="O568" i="43"/>
  <c r="Q568" i="43" s="1"/>
  <c r="Q567" i="43"/>
  <c r="Q327" i="43"/>
  <c r="O328" i="43"/>
  <c r="Q247" i="43"/>
  <c r="O248" i="43"/>
  <c r="Q587" i="43"/>
  <c r="O588" i="43"/>
  <c r="O628" i="43"/>
  <c r="Q627" i="43"/>
  <c r="O1828" i="43"/>
  <c r="Q1827" i="43"/>
  <c r="O1728" i="43"/>
  <c r="Q1727" i="43"/>
  <c r="Q527" i="43"/>
  <c r="O528" i="43"/>
  <c r="Q528" i="43" s="1"/>
  <c r="Q927" i="43"/>
  <c r="O928" i="43"/>
  <c r="Q1667" i="43"/>
  <c r="O1668" i="43"/>
  <c r="Q867" i="43"/>
  <c r="O868" i="43"/>
  <c r="Q868" i="43" s="1"/>
  <c r="O2429" i="43"/>
  <c r="Q2429" i="43" s="1"/>
  <c r="Q2428" i="43"/>
  <c r="Q1407" i="43"/>
  <c r="O1408" i="43"/>
  <c r="Q1408" i="43" s="1"/>
  <c r="O1969" i="43"/>
  <c r="Q1968" i="43"/>
  <c r="G134" i="54"/>
  <c r="E134" i="54"/>
  <c r="J44" i="46"/>
  <c r="J44" i="2"/>
  <c r="G53" i="54"/>
  <c r="E53" i="54"/>
  <c r="G111" i="54"/>
  <c r="E111" i="54"/>
  <c r="O1769" i="43"/>
  <c r="Q1769" i="43" s="1"/>
  <c r="Q1768" i="43"/>
  <c r="E138" i="34"/>
  <c r="D94" i="34"/>
  <c r="E22" i="34"/>
  <c r="A4" i="34"/>
  <c r="F81" i="34" s="1"/>
  <c r="A117" i="34" s="1"/>
  <c r="E101" i="34"/>
  <c r="E98" i="34"/>
  <c r="E139" i="34"/>
  <c r="E23" i="34"/>
  <c r="G84" i="54"/>
  <c r="E84" i="54"/>
  <c r="G45" i="54"/>
  <c r="E45" i="54"/>
  <c r="G30" i="54"/>
  <c r="E30" i="54"/>
  <c r="D149" i="19"/>
  <c r="F149" i="19" s="1"/>
  <c r="F49" i="19"/>
  <c r="G63" i="54"/>
  <c r="E63" i="54"/>
  <c r="E129" i="54"/>
  <c r="G129" i="54"/>
  <c r="G39" i="54"/>
  <c r="E39" i="54"/>
  <c r="E64" i="54"/>
  <c r="G64" i="54"/>
  <c r="E61" i="54"/>
  <c r="G61" i="54"/>
  <c r="G27" i="54"/>
  <c r="E27" i="54"/>
  <c r="G58" i="54"/>
  <c r="E58" i="54"/>
  <c r="E107" i="54"/>
  <c r="G107" i="54"/>
  <c r="O148" i="43"/>
  <c r="Q147" i="43"/>
  <c r="G126" i="54"/>
  <c r="E126" i="54"/>
  <c r="G25" i="54"/>
  <c r="E25" i="54"/>
  <c r="G86" i="54"/>
  <c r="E86" i="54"/>
  <c r="G23" i="54"/>
  <c r="E23" i="54"/>
  <c r="G123" i="54"/>
  <c r="E123" i="54"/>
  <c r="E104" i="51"/>
  <c r="E101" i="51"/>
  <c r="G26" i="54"/>
  <c r="E26" i="54"/>
  <c r="G29" i="54"/>
  <c r="E29" i="54"/>
  <c r="G128" i="54"/>
  <c r="E128" i="54"/>
  <c r="Q1248" i="43"/>
  <c r="O1249" i="43"/>
  <c r="E103" i="54"/>
  <c r="G103" i="54"/>
  <c r="G131" i="54"/>
  <c r="E131" i="54"/>
  <c r="A78" i="37"/>
  <c r="E23" i="37"/>
  <c r="E24" i="37"/>
  <c r="O2409" i="43"/>
  <c r="Q2409" i="43" s="1"/>
  <c r="Q2408" i="43"/>
  <c r="G127" i="54"/>
  <c r="E127" i="54"/>
  <c r="E87" i="54"/>
  <c r="G87" i="54"/>
  <c r="E15" i="54"/>
  <c r="G15" i="54"/>
  <c r="G17" i="54"/>
  <c r="E17" i="54"/>
  <c r="O1908" i="43"/>
  <c r="Q1907" i="43"/>
  <c r="F22" i="17"/>
  <c r="J80" i="17" s="1"/>
  <c r="J105" i="17" s="1"/>
  <c r="F21" i="17"/>
  <c r="G34" i="54"/>
  <c r="E34" i="54"/>
  <c r="G57" i="54"/>
  <c r="E57" i="54"/>
  <c r="E54" i="54"/>
  <c r="G54" i="54"/>
  <c r="C28" i="10"/>
  <c r="C28" i="50"/>
  <c r="E89" i="54"/>
  <c r="G89" i="54"/>
  <c r="E124" i="54"/>
  <c r="G124" i="54"/>
  <c r="E133" i="54"/>
  <c r="G133" i="54"/>
  <c r="J500" i="17"/>
  <c r="F517" i="17" s="1"/>
  <c r="I384" i="17"/>
  <c r="G38" i="54"/>
  <c r="E38" i="54"/>
  <c r="E112" i="54"/>
  <c r="G112" i="54"/>
  <c r="G22" i="54"/>
  <c r="E22" i="54"/>
  <c r="G132" i="54"/>
  <c r="E132" i="54"/>
  <c r="E130" i="54"/>
  <c r="G130" i="54"/>
  <c r="E18" i="54"/>
  <c r="G18" i="54"/>
  <c r="G74" i="54"/>
  <c r="E74" i="54"/>
  <c r="G77" i="54"/>
  <c r="E77" i="54"/>
  <c r="E47" i="54"/>
  <c r="G47" i="54"/>
  <c r="O548" i="43"/>
  <c r="Q548" i="43" s="1"/>
  <c r="Q547" i="43"/>
  <c r="Q1568" i="43"/>
  <c r="O1569" i="43"/>
  <c r="Q1569" i="43" s="1"/>
  <c r="E48" i="54"/>
  <c r="G48" i="54"/>
  <c r="G116" i="54"/>
  <c r="E116" i="54"/>
  <c r="G66" i="54"/>
  <c r="E66" i="54"/>
  <c r="E106" i="54"/>
  <c r="G106" i="54"/>
  <c r="O2249" i="43"/>
  <c r="Q2249" i="43" s="1"/>
  <c r="Q2248" i="43"/>
  <c r="E247" i="19"/>
  <c r="N178" i="19"/>
  <c r="A269" i="19"/>
  <c r="E288" i="19" s="1"/>
  <c r="E289" i="19" s="1"/>
  <c r="N175" i="19"/>
  <c r="A168" i="19" s="1"/>
  <c r="E33" i="54"/>
  <c r="G33" i="54"/>
  <c r="G115" i="54"/>
  <c r="E115" i="54"/>
  <c r="E125" i="54"/>
  <c r="G125" i="54"/>
  <c r="O749" i="43"/>
  <c r="Q748" i="43"/>
  <c r="G83" i="54"/>
  <c r="E83" i="54"/>
  <c r="E40" i="54"/>
  <c r="G40" i="54"/>
  <c r="G21" i="54"/>
  <c r="E21" i="54"/>
  <c r="G44" i="54"/>
  <c r="E44" i="54"/>
  <c r="G160" i="54" l="1"/>
  <c r="AC12" i="47"/>
  <c r="AB12" i="47" s="1"/>
  <c r="B32" i="29"/>
  <c r="M8" i="48"/>
  <c r="M9" i="48" s="1"/>
  <c r="M10" i="48" s="1"/>
  <c r="M11" i="48" s="1"/>
  <c r="M12" i="48" s="1"/>
  <c r="M13" i="48" s="1"/>
  <c r="M14" i="48" s="1"/>
  <c r="O14" i="48" s="1"/>
  <c r="M23" i="47"/>
  <c r="C23" i="47" s="1"/>
  <c r="C24" i="47" s="1"/>
  <c r="AF12" i="47"/>
  <c r="G164" i="54"/>
  <c r="G157" i="54"/>
  <c r="G171" i="54"/>
  <c r="G167" i="54"/>
  <c r="E161" i="54"/>
  <c r="G165" i="54"/>
  <c r="G159" i="54"/>
  <c r="G168" i="54"/>
  <c r="BI39" i="41"/>
  <c r="C14" i="58"/>
  <c r="D162" i="54"/>
  <c r="B31" i="59"/>
  <c r="E153" i="54"/>
  <c r="AC7" i="47"/>
  <c r="AB7" i="47" s="1"/>
  <c r="AF14" i="47"/>
  <c r="AC4" i="47"/>
  <c r="A11" i="47" s="1"/>
  <c r="E31" i="59"/>
  <c r="AC8" i="47"/>
  <c r="AG8" i="47" s="1"/>
  <c r="G152" i="54"/>
  <c r="BI176" i="41"/>
  <c r="D149" i="54"/>
  <c r="BI164" i="41"/>
  <c r="D148" i="54"/>
  <c r="E146" i="54"/>
  <c r="E141" i="54"/>
  <c r="BI183" i="41"/>
  <c r="D139" i="54"/>
  <c r="D101" i="34"/>
  <c r="D23" i="34"/>
  <c r="D22" i="34" s="1"/>
  <c r="E29" i="29"/>
  <c r="E29" i="59"/>
  <c r="B30" i="29"/>
  <c r="B30" i="59"/>
  <c r="B29" i="29"/>
  <c r="B29" i="59"/>
  <c r="E166" i="54"/>
  <c r="E163" i="54"/>
  <c r="D136" i="52"/>
  <c r="D24" i="52"/>
  <c r="L8" i="14"/>
  <c r="V16" i="14"/>
  <c r="W16" i="14" s="1"/>
  <c r="M16" i="14"/>
  <c r="O16" i="14"/>
  <c r="L16" i="14"/>
  <c r="V10" i="14"/>
  <c r="W10" i="14" s="1"/>
  <c r="L11" i="14"/>
  <c r="L9" i="14"/>
  <c r="L7" i="14"/>
  <c r="AC10" i="47"/>
  <c r="AB10" i="47" s="1"/>
  <c r="V7" i="14"/>
  <c r="W7" i="14" s="1"/>
  <c r="M7" i="14"/>
  <c r="O7" i="14" s="1"/>
  <c r="V21" i="14"/>
  <c r="W21" i="14" s="1"/>
  <c r="M21" i="14"/>
  <c r="L17" i="14"/>
  <c r="O17" i="14"/>
  <c r="V15" i="14"/>
  <c r="W15" i="14" s="1"/>
  <c r="M15" i="14"/>
  <c r="L14" i="14"/>
  <c r="L10" i="14"/>
  <c r="V8" i="14"/>
  <c r="W8" i="14" s="1"/>
  <c r="L15" i="14"/>
  <c r="O15" i="14"/>
  <c r="O20" i="14"/>
  <c r="L20" i="14"/>
  <c r="V20" i="14"/>
  <c r="W20" i="14" s="1"/>
  <c r="M20" i="14"/>
  <c r="V19" i="14"/>
  <c r="W19" i="14" s="1"/>
  <c r="M19" i="14"/>
  <c r="V12" i="14"/>
  <c r="W12" i="14" s="1"/>
  <c r="V13" i="14"/>
  <c r="W13" i="14" s="1"/>
  <c r="AC11" i="47"/>
  <c r="AG11" i="47" s="1"/>
  <c r="L13" i="14"/>
  <c r="L12" i="14"/>
  <c r="V14" i="14"/>
  <c r="W14" i="14" s="1"/>
  <c r="V11" i="14"/>
  <c r="W11" i="14" s="1"/>
  <c r="V17" i="14"/>
  <c r="W17" i="14" s="1"/>
  <c r="M17" i="14"/>
  <c r="O21" i="14"/>
  <c r="L21" i="14"/>
  <c r="C91" i="52"/>
  <c r="AC6" i="47"/>
  <c r="AG6" i="47" s="1"/>
  <c r="E154" i="54"/>
  <c r="G158" i="54"/>
  <c r="BI175" i="41"/>
  <c r="D151" i="54"/>
  <c r="B31" i="49"/>
  <c r="L7" i="48"/>
  <c r="O19" i="48"/>
  <c r="E31" i="49"/>
  <c r="L11" i="48"/>
  <c r="L9" i="48"/>
  <c r="M10" i="10"/>
  <c r="P10" i="10" s="1"/>
  <c r="M9" i="10"/>
  <c r="P9" i="10" s="1"/>
  <c r="AF13" i="47"/>
  <c r="L14" i="48"/>
  <c r="O21" i="48"/>
  <c r="Q8" i="10"/>
  <c r="M10" i="50"/>
  <c r="P10" i="50" s="1"/>
  <c r="AC9" i="47"/>
  <c r="AB9" i="47" s="1"/>
  <c r="AC15" i="47"/>
  <c r="AG15" i="47" s="1"/>
  <c r="M9" i="50"/>
  <c r="P9" i="50" s="1"/>
  <c r="U12" i="14"/>
  <c r="AC5" i="47"/>
  <c r="AG5" i="47" s="1"/>
  <c r="O17" i="48"/>
  <c r="U8" i="14"/>
  <c r="U13" i="14"/>
  <c r="U9" i="14"/>
  <c r="U11" i="14"/>
  <c r="Q15" i="50"/>
  <c r="K16" i="47"/>
  <c r="B38" i="47" s="1"/>
  <c r="B39" i="47" s="1"/>
  <c r="M14" i="50"/>
  <c r="P14" i="50" s="1"/>
  <c r="U16" i="14"/>
  <c r="M13" i="10"/>
  <c r="P13" i="10" s="1"/>
  <c r="U15" i="14"/>
  <c r="U14" i="14"/>
  <c r="U17" i="14"/>
  <c r="U20" i="14"/>
  <c r="M17" i="10"/>
  <c r="P17" i="10" s="1"/>
  <c r="U19" i="14"/>
  <c r="M8" i="50"/>
  <c r="P8" i="50" s="1"/>
  <c r="U10" i="14"/>
  <c r="M5" i="50"/>
  <c r="P5" i="50" s="1"/>
  <c r="R5" i="50" s="1"/>
  <c r="U7" i="14"/>
  <c r="U21" i="14"/>
  <c r="M8" i="10"/>
  <c r="P8" i="10" s="1"/>
  <c r="M13" i="50"/>
  <c r="P13" i="50" s="1"/>
  <c r="M12" i="50"/>
  <c r="P12" i="50" s="1"/>
  <c r="Q12" i="10"/>
  <c r="M12" i="10"/>
  <c r="P12" i="10" s="1"/>
  <c r="AC4" i="3"/>
  <c r="A11" i="3" s="1"/>
  <c r="Q9" i="50"/>
  <c r="M17" i="50"/>
  <c r="P17" i="50" s="1"/>
  <c r="M5" i="10"/>
  <c r="N5" i="10" s="1"/>
  <c r="Q9" i="10"/>
  <c r="G135" i="54"/>
  <c r="E135" i="54"/>
  <c r="Q5" i="50"/>
  <c r="T5" i="50" s="1"/>
  <c r="M15" i="10"/>
  <c r="P15" i="10" s="1"/>
  <c r="Q17" i="10"/>
  <c r="M15" i="50"/>
  <c r="P15" i="50" s="1"/>
  <c r="Q10" i="10"/>
  <c r="Q13" i="50"/>
  <c r="AC14" i="3"/>
  <c r="AG14" i="3" s="1"/>
  <c r="O7" i="48"/>
  <c r="AC11" i="3"/>
  <c r="AG11" i="3" s="1"/>
  <c r="AC9" i="3"/>
  <c r="AG9" i="3" s="1"/>
  <c r="E29" i="49"/>
  <c r="B29" i="49"/>
  <c r="R2" i="48"/>
  <c r="E24" i="19"/>
  <c r="L22" i="48"/>
  <c r="L24" i="48" s="1"/>
  <c r="AC10" i="3"/>
  <c r="AG10" i="3" s="1"/>
  <c r="M14" i="10"/>
  <c r="P14" i="10" s="1"/>
  <c r="D141" i="51"/>
  <c r="Q14" i="10"/>
  <c r="M11" i="50"/>
  <c r="P11" i="50" s="1"/>
  <c r="AB14" i="47"/>
  <c r="I39" i="46"/>
  <c r="I40" i="46" s="1"/>
  <c r="Q11" i="50"/>
  <c r="AC12" i="3"/>
  <c r="AG12" i="3" s="1"/>
  <c r="B31" i="29"/>
  <c r="E31" i="29"/>
  <c r="AC7" i="3"/>
  <c r="AG7" i="3" s="1"/>
  <c r="AF12" i="3"/>
  <c r="AC8" i="3"/>
  <c r="AG8" i="3" s="1"/>
  <c r="M11" i="10"/>
  <c r="P11" i="10" s="1"/>
  <c r="AC3" i="3"/>
  <c r="A9" i="3" s="1"/>
  <c r="AC15" i="3"/>
  <c r="AG15" i="3" s="1"/>
  <c r="AF3" i="3"/>
  <c r="F9" i="3" s="1"/>
  <c r="AC5" i="3"/>
  <c r="AG5" i="3" s="1"/>
  <c r="M23" i="3"/>
  <c r="C97" i="51"/>
  <c r="T5" i="10"/>
  <c r="F137" i="17"/>
  <c r="I100" i="17" s="1"/>
  <c r="AF40" i="47"/>
  <c r="B40" i="47" s="1"/>
  <c r="G41" i="47" s="1"/>
  <c r="I41" i="46"/>
  <c r="S23" i="46"/>
  <c r="T23" i="46" s="1"/>
  <c r="J37" i="46" s="1"/>
  <c r="D9" i="3"/>
  <c r="I36" i="46"/>
  <c r="L22" i="14"/>
  <c r="D24" i="50" s="1"/>
  <c r="AB13" i="47"/>
  <c r="J55" i="46"/>
  <c r="AB16" i="47"/>
  <c r="Q7" i="50"/>
  <c r="Q7" i="10"/>
  <c r="E30" i="49"/>
  <c r="E30" i="29"/>
  <c r="M6" i="10"/>
  <c r="P6" i="10" s="1"/>
  <c r="M6" i="50"/>
  <c r="P6" i="50" s="1"/>
  <c r="Q6" i="50"/>
  <c r="Q6" i="10"/>
  <c r="AC13" i="3"/>
  <c r="AG13" i="3" s="1"/>
  <c r="C91" i="37"/>
  <c r="F68" i="19"/>
  <c r="AF7" i="3"/>
  <c r="AC6" i="3"/>
  <c r="AG6" i="3" s="1"/>
  <c r="B30" i="49"/>
  <c r="M7" i="10"/>
  <c r="P7" i="10" s="1"/>
  <c r="M7" i="50"/>
  <c r="P7" i="50" s="1"/>
  <c r="T22" i="2"/>
  <c r="J36" i="2" s="1"/>
  <c r="AF8" i="3"/>
  <c r="L23" i="14"/>
  <c r="B24" i="50" s="1"/>
  <c r="S23" i="2"/>
  <c r="I37" i="2" s="1"/>
  <c r="D27" i="10"/>
  <c r="D27" i="50"/>
  <c r="K16" i="3"/>
  <c r="B34" i="3" s="1"/>
  <c r="B35" i="3" s="1"/>
  <c r="AG13" i="47"/>
  <c r="D148" i="19"/>
  <c r="F148" i="19" s="1"/>
  <c r="AF40" i="3"/>
  <c r="B40" i="3" s="1"/>
  <c r="AG14" i="47"/>
  <c r="S4" i="50"/>
  <c r="AB16" i="3"/>
  <c r="B11" i="3"/>
  <c r="D11" i="3" s="1"/>
  <c r="E9" i="3"/>
  <c r="O1009" i="43"/>
  <c r="Q1009" i="43" s="1"/>
  <c r="Q1368" i="43"/>
  <c r="O2329" i="43"/>
  <c r="Q2329" i="43" s="1"/>
  <c r="Q468" i="43"/>
  <c r="Q728" i="43"/>
  <c r="O1469" i="43"/>
  <c r="Q1469" i="43" s="1"/>
  <c r="Q1468" i="43"/>
  <c r="Q1489" i="43"/>
  <c r="O1689" i="43"/>
  <c r="Q1689" i="43" s="1"/>
  <c r="Q1688" i="43"/>
  <c r="O1989" i="43"/>
  <c r="Q1989" i="43" s="1"/>
  <c r="Q1988" i="43"/>
  <c r="Q368" i="43"/>
  <c r="O369" i="43"/>
  <c r="O609" i="43"/>
  <c r="Q609" i="43" s="1"/>
  <c r="Q608" i="43"/>
  <c r="O849" i="43"/>
  <c r="Q849" i="43" s="1"/>
  <c r="Q848" i="43"/>
  <c r="O1069" i="43"/>
  <c r="Q1069" i="43" s="1"/>
  <c r="Q1068" i="43"/>
  <c r="O689" i="43"/>
  <c r="Q689" i="43" s="1"/>
  <c r="Q688" i="43"/>
  <c r="Q1948" i="43"/>
  <c r="O1949" i="43"/>
  <c r="Q1949" i="43" s="1"/>
  <c r="Q348" i="43"/>
  <c r="O349" i="43"/>
  <c r="O509" i="43"/>
  <c r="Q508" i="43"/>
  <c r="Q1728" i="43"/>
  <c r="O1729" i="43"/>
  <c r="Q1729" i="43" s="1"/>
  <c r="Q628" i="43"/>
  <c r="O629" i="43"/>
  <c r="Q308" i="43"/>
  <c r="O309" i="43"/>
  <c r="O110" i="43"/>
  <c r="Q109" i="43"/>
  <c r="Q1588" i="43"/>
  <c r="O1589" i="43"/>
  <c r="Q1589" i="43" s="1"/>
  <c r="Q1828" i="43"/>
  <c r="O1829" i="43"/>
  <c r="Q1829" i="43" s="1"/>
  <c r="O1491" i="43"/>
  <c r="Q1490" i="43"/>
  <c r="O1629" i="43"/>
  <c r="Q1629" i="43" s="1"/>
  <c r="Q1628" i="43"/>
  <c r="Q1448" i="43"/>
  <c r="O1449" i="43"/>
  <c r="Q1449" i="43" s="1"/>
  <c r="Q1749" i="43"/>
  <c r="O1750" i="43"/>
  <c r="Q1750" i="43" s="1"/>
  <c r="O929" i="43"/>
  <c r="Q928" i="43"/>
  <c r="O249" i="43"/>
  <c r="Q248" i="43"/>
  <c r="O1669" i="43"/>
  <c r="Q1669" i="43" s="1"/>
  <c r="Q1668" i="43"/>
  <c r="O589" i="43"/>
  <c r="Q588" i="43"/>
  <c r="O329" i="43"/>
  <c r="Q328" i="43"/>
  <c r="O1209" i="43"/>
  <c r="Q1208" i="43"/>
  <c r="O2289" i="43"/>
  <c r="Q2288" i="43"/>
  <c r="Q749" i="43"/>
  <c r="O750" i="43"/>
  <c r="Q750" i="43" s="1"/>
  <c r="F403" i="17"/>
  <c r="J461" i="17"/>
  <c r="J486" i="17" s="1"/>
  <c r="F402" i="17"/>
  <c r="F233" i="19"/>
  <c r="E251" i="19"/>
  <c r="Q1249" i="43"/>
  <c r="O1250" i="43"/>
  <c r="Q1250" i="43" s="1"/>
  <c r="O1909" i="43"/>
  <c r="Q1909" i="43" s="1"/>
  <c r="Q1908" i="43"/>
  <c r="O149" i="43"/>
  <c r="Q149" i="43" s="1"/>
  <c r="Q148" i="43"/>
  <c r="Q1969" i="43"/>
  <c r="O1970" i="43"/>
  <c r="Q1970" i="43" s="1"/>
  <c r="E187" i="19"/>
  <c r="E188" i="19"/>
  <c r="D28" i="10"/>
  <c r="D28" i="50"/>
  <c r="I481" i="17"/>
  <c r="F518" i="17"/>
  <c r="J49" i="46"/>
  <c r="J49" i="2"/>
  <c r="AG12" i="47" l="1"/>
  <c r="O8" i="48"/>
  <c r="AG9" i="47"/>
  <c r="AB5" i="47"/>
  <c r="M25" i="47"/>
  <c r="C25" i="47" s="1"/>
  <c r="C26" i="47" s="1"/>
  <c r="AG10" i="47"/>
  <c r="AB8" i="47"/>
  <c r="AB15" i="47"/>
  <c r="AG7" i="47"/>
  <c r="AB11" i="47"/>
  <c r="F29" i="47"/>
  <c r="G162" i="54"/>
  <c r="E162" i="54"/>
  <c r="G149" i="54"/>
  <c r="E149" i="54"/>
  <c r="E148" i="54"/>
  <c r="G148" i="54"/>
  <c r="G139" i="54"/>
  <c r="E139" i="54"/>
  <c r="M8" i="14"/>
  <c r="M9" i="14" s="1"/>
  <c r="M10" i="14" s="1"/>
  <c r="M11" i="14" s="1"/>
  <c r="F39" i="47"/>
  <c r="E37" i="47"/>
  <c r="AB10" i="3"/>
  <c r="AB6" i="47"/>
  <c r="B20" i="47"/>
  <c r="D19" i="47" s="1"/>
  <c r="B28" i="47"/>
  <c r="B29" i="47" s="1"/>
  <c r="B32" i="47"/>
  <c r="B33" i="47" s="1"/>
  <c r="T14" i="14"/>
  <c r="T15" i="14" s="1"/>
  <c r="E39" i="47"/>
  <c r="B30" i="47"/>
  <c r="B31" i="47" s="1"/>
  <c r="G151" i="54"/>
  <c r="E151" i="54"/>
  <c r="N5" i="50"/>
  <c r="N6" i="50" s="1"/>
  <c r="F35" i="47"/>
  <c r="F23" i="47"/>
  <c r="F19" i="47"/>
  <c r="AB14" i="3"/>
  <c r="P5" i="10"/>
  <c r="R5" i="10" s="1"/>
  <c r="S5" i="10" s="1"/>
  <c r="F25" i="47"/>
  <c r="B36" i="47"/>
  <c r="B37" i="47" s="1"/>
  <c r="D37" i="47" s="1"/>
  <c r="B26" i="47"/>
  <c r="B27" i="47" s="1"/>
  <c r="B24" i="47"/>
  <c r="B25" i="47" s="1"/>
  <c r="F37" i="47"/>
  <c r="B22" i="47"/>
  <c r="B23" i="47" s="1"/>
  <c r="F27" i="47"/>
  <c r="F33" i="47"/>
  <c r="F31" i="47"/>
  <c r="F21" i="47"/>
  <c r="B34" i="47"/>
  <c r="B35" i="47" s="1"/>
  <c r="D35" i="47" s="1"/>
  <c r="AB9" i="3"/>
  <c r="AB7" i="3"/>
  <c r="U6" i="14"/>
  <c r="AB11" i="3"/>
  <c r="O9" i="48"/>
  <c r="O10" i="48"/>
  <c r="AB8" i="3"/>
  <c r="AB12" i="3"/>
  <c r="E33" i="47"/>
  <c r="E31" i="47"/>
  <c r="E35" i="47"/>
  <c r="R23" i="46"/>
  <c r="C37" i="46" s="1"/>
  <c r="E37" i="46" s="1"/>
  <c r="G37" i="46" s="1"/>
  <c r="AB13" i="3"/>
  <c r="AB6" i="3"/>
  <c r="AB15" i="3"/>
  <c r="AB5" i="3"/>
  <c r="C23" i="3"/>
  <c r="C24" i="3" s="1"/>
  <c r="M25" i="3"/>
  <c r="B22" i="3"/>
  <c r="B23" i="3" s="1"/>
  <c r="T6" i="10"/>
  <c r="T7" i="10" s="1"/>
  <c r="T8" i="10" s="1"/>
  <c r="T9" i="10" s="1"/>
  <c r="T10" i="10" s="1"/>
  <c r="T11" i="10" s="1"/>
  <c r="T12" i="10" s="1"/>
  <c r="T13" i="10" s="1"/>
  <c r="T14" i="10" s="1"/>
  <c r="T15" i="10" s="1"/>
  <c r="T16" i="10" s="1"/>
  <c r="T17" i="10" s="1"/>
  <c r="M21" i="50"/>
  <c r="I37" i="46"/>
  <c r="D39" i="47"/>
  <c r="O5" i="10"/>
  <c r="S24" i="46"/>
  <c r="R24" i="46" s="1"/>
  <c r="C38" i="46" s="1"/>
  <c r="D24" i="10"/>
  <c r="B25" i="50"/>
  <c r="D25" i="50" s="1"/>
  <c r="L24" i="14"/>
  <c r="T23" i="2"/>
  <c r="J37" i="2" s="1"/>
  <c r="M21" i="10"/>
  <c r="B24" i="10"/>
  <c r="S24" i="2"/>
  <c r="T24" i="2" s="1"/>
  <c r="J38" i="2" s="1"/>
  <c r="R23" i="2"/>
  <c r="C37" i="2" s="1"/>
  <c r="E37" i="2" s="1"/>
  <c r="G37" i="2" s="1"/>
  <c r="R2" i="50"/>
  <c r="T6" i="50"/>
  <c r="T7" i="50" s="1"/>
  <c r="T8" i="50" s="1"/>
  <c r="T9" i="50" s="1"/>
  <c r="T10" i="50" s="1"/>
  <c r="T11" i="50" s="1"/>
  <c r="T12" i="50" s="1"/>
  <c r="T13" i="50" s="1"/>
  <c r="T14" i="50" s="1"/>
  <c r="T15" i="50" s="1"/>
  <c r="T16" i="50" s="1"/>
  <c r="T17" i="50" s="1"/>
  <c r="AH1" i="3"/>
  <c r="AB19" i="3" s="1"/>
  <c r="AB21" i="3" s="1"/>
  <c r="AD21" i="3" s="1"/>
  <c r="F33" i="3"/>
  <c r="D35" i="3"/>
  <c r="B32" i="3"/>
  <c r="B33" i="3" s="1"/>
  <c r="D33" i="3" s="1"/>
  <c r="E33" i="3"/>
  <c r="F23" i="3"/>
  <c r="B38" i="3"/>
  <c r="B39" i="3" s="1"/>
  <c r="D39" i="3" s="1"/>
  <c r="F37" i="3"/>
  <c r="B36" i="3"/>
  <c r="B37" i="3" s="1"/>
  <c r="D37" i="3" s="1"/>
  <c r="F25" i="3"/>
  <c r="F19" i="3"/>
  <c r="F29" i="3"/>
  <c r="E39" i="3"/>
  <c r="B28" i="3"/>
  <c r="B29" i="3" s="1"/>
  <c r="E35" i="3"/>
  <c r="E31" i="3"/>
  <c r="F35" i="3"/>
  <c r="B30" i="3"/>
  <c r="B31" i="3" s="1"/>
  <c r="D31" i="3" s="1"/>
  <c r="F27" i="3"/>
  <c r="B24" i="3"/>
  <c r="B25" i="3" s="1"/>
  <c r="F31" i="3"/>
  <c r="E37" i="3"/>
  <c r="F39" i="3"/>
  <c r="B26" i="3"/>
  <c r="B27" i="3" s="1"/>
  <c r="B20" i="3"/>
  <c r="B21" i="3" s="1"/>
  <c r="F21" i="3"/>
  <c r="O2330" i="43"/>
  <c r="O2331" i="43" s="1"/>
  <c r="Q2331" i="43" s="1"/>
  <c r="Q369" i="43"/>
  <c r="O370" i="43"/>
  <c r="Q370" i="43" s="1"/>
  <c r="Q629" i="43"/>
  <c r="O630" i="43"/>
  <c r="Q2289" i="43"/>
  <c r="O2290" i="43"/>
  <c r="Q329" i="43"/>
  <c r="O330" i="43"/>
  <c r="O930" i="43"/>
  <c r="Q929" i="43"/>
  <c r="Q1491" i="43"/>
  <c r="O1492" i="43"/>
  <c r="Q1492" i="43" s="1"/>
  <c r="Q110" i="43"/>
  <c r="O111" i="43"/>
  <c r="Q111" i="43" s="1"/>
  <c r="Q509" i="43"/>
  <c r="O510" i="43"/>
  <c r="Q510" i="43" s="1"/>
  <c r="O310" i="43"/>
  <c r="Q309" i="43"/>
  <c r="O350" i="43"/>
  <c r="Q350" i="43" s="1"/>
  <c r="Q349" i="43"/>
  <c r="Q1209" i="43"/>
  <c r="O1210" i="43"/>
  <c r="Q1210" i="43" s="1"/>
  <c r="O250" i="43"/>
  <c r="Q250" i="43" s="1"/>
  <c r="Q249" i="43"/>
  <c r="G52" i="2"/>
  <c r="D4" i="59" s="1"/>
  <c r="A14" i="59" s="1"/>
  <c r="G52" i="46"/>
  <c r="R6" i="50"/>
  <c r="S5" i="50"/>
  <c r="N6" i="10"/>
  <c r="D33" i="47" l="1"/>
  <c r="D31" i="47"/>
  <c r="AH1" i="47"/>
  <c r="AB19" i="47" s="1"/>
  <c r="AD19" i="47" s="1"/>
  <c r="M27" i="47"/>
  <c r="C27" i="47" s="1"/>
  <c r="C28" i="47" s="1"/>
  <c r="E19" i="47"/>
  <c r="E27" i="47"/>
  <c r="E29" i="47"/>
  <c r="E25" i="47"/>
  <c r="D25" i="47"/>
  <c r="Y7" i="14"/>
  <c r="H7" i="14" s="1"/>
  <c r="D29" i="47"/>
  <c r="D27" i="47"/>
  <c r="AC17" i="47"/>
  <c r="AA5" i="47" s="1"/>
  <c r="B21" i="47"/>
  <c r="D21" i="47" s="1"/>
  <c r="O8" i="14"/>
  <c r="O9" i="14"/>
  <c r="O10" i="14"/>
  <c r="O11" i="14"/>
  <c r="M12" i="14"/>
  <c r="O5" i="50"/>
  <c r="H21" i="14"/>
  <c r="G7" i="14"/>
  <c r="G19" i="14"/>
  <c r="H15" i="14"/>
  <c r="H19" i="14"/>
  <c r="G16" i="14"/>
  <c r="G20" i="14"/>
  <c r="H16" i="14"/>
  <c r="H20" i="14"/>
  <c r="G17" i="14"/>
  <c r="G21" i="14"/>
  <c r="H17" i="14"/>
  <c r="G18" i="14"/>
  <c r="H18" i="14"/>
  <c r="G15" i="14"/>
  <c r="T16" i="14"/>
  <c r="R6" i="10"/>
  <c r="S6" i="10" s="1"/>
  <c r="D23" i="47"/>
  <c r="E23" i="47"/>
  <c r="E21" i="47"/>
  <c r="E17" i="14"/>
  <c r="E21" i="14"/>
  <c r="F17" i="14"/>
  <c r="F21" i="14"/>
  <c r="E18" i="14"/>
  <c r="F18" i="14"/>
  <c r="E15" i="14"/>
  <c r="E19" i="14"/>
  <c r="F15" i="14"/>
  <c r="F19" i="14"/>
  <c r="E16" i="14"/>
  <c r="E20" i="14"/>
  <c r="F16" i="14"/>
  <c r="F20" i="14"/>
  <c r="T11" i="14"/>
  <c r="O11" i="48"/>
  <c r="D21" i="3"/>
  <c r="E38" i="46"/>
  <c r="G38" i="46" s="1"/>
  <c r="D27" i="3"/>
  <c r="E27" i="3"/>
  <c r="D29" i="3"/>
  <c r="E29" i="3"/>
  <c r="E21" i="3"/>
  <c r="AC17" i="3"/>
  <c r="AA10" i="3" s="1"/>
  <c r="C25" i="3"/>
  <c r="C26" i="3" s="1"/>
  <c r="M27" i="3"/>
  <c r="I38" i="46"/>
  <c r="E25" i="3"/>
  <c r="B25" i="10"/>
  <c r="D25" i="10" s="1"/>
  <c r="I38" i="2"/>
  <c r="R24" i="2"/>
  <c r="C38" i="2" s="1"/>
  <c r="E38" i="2" s="1"/>
  <c r="G38" i="2" s="1"/>
  <c r="T24" i="46"/>
  <c r="J38" i="46" s="1"/>
  <c r="AB23" i="3"/>
  <c r="AD19" i="3"/>
  <c r="E23" i="3"/>
  <c r="D25" i="3"/>
  <c r="D23" i="3"/>
  <c r="D19" i="3"/>
  <c r="E19" i="3"/>
  <c r="Q2330" i="43"/>
  <c r="O631" i="43"/>
  <c r="Q630" i="43"/>
  <c r="O2291" i="43"/>
  <c r="Q2290" i="43"/>
  <c r="O311" i="43"/>
  <c r="Q310" i="43"/>
  <c r="Q930" i="43"/>
  <c r="O931" i="43"/>
  <c r="Q330" i="43"/>
  <c r="O331" i="43"/>
  <c r="O6" i="50"/>
  <c r="N7" i="50"/>
  <c r="O6" i="10"/>
  <c r="N7" i="10"/>
  <c r="R7" i="50"/>
  <c r="S6" i="50"/>
  <c r="S19" i="17"/>
  <c r="A6" i="14"/>
  <c r="D4" i="29"/>
  <c r="A14" i="29" s="1"/>
  <c r="C11" i="10"/>
  <c r="A6" i="48"/>
  <c r="C11" i="50"/>
  <c r="J52" i="46"/>
  <c r="J52" i="2"/>
  <c r="D78" i="54"/>
  <c r="AB21" i="47" l="1"/>
  <c r="AD21" i="47" s="1"/>
  <c r="M29" i="47"/>
  <c r="X8" i="14"/>
  <c r="Y8" i="14" s="1"/>
  <c r="H8" i="14" s="1"/>
  <c r="AE17" i="47"/>
  <c r="AA7" i="47"/>
  <c r="AA12" i="47"/>
  <c r="AB54" i="47" s="1"/>
  <c r="AA14" i="47"/>
  <c r="AB56" i="47" s="1"/>
  <c r="AA15" i="47"/>
  <c r="AB57" i="47" s="1"/>
  <c r="AA9" i="47"/>
  <c r="AA6" i="47"/>
  <c r="AA11" i="47"/>
  <c r="AB53" i="47" s="1"/>
  <c r="AC19" i="47"/>
  <c r="AG19" i="47" s="1"/>
  <c r="AA10" i="47"/>
  <c r="AA8" i="47"/>
  <c r="AA13" i="47"/>
  <c r="AB55" i="47" s="1"/>
  <c r="M13" i="14"/>
  <c r="O12" i="14"/>
  <c r="R7" i="10"/>
  <c r="R8" i="10" s="1"/>
  <c r="G8" i="14"/>
  <c r="C29" i="59" s="1"/>
  <c r="O13" i="48"/>
  <c r="AE17" i="3"/>
  <c r="AC21" i="3"/>
  <c r="AE21" i="3" s="1"/>
  <c r="AA8" i="3"/>
  <c r="AA11" i="3"/>
  <c r="AB53" i="3" s="1"/>
  <c r="AA13" i="3"/>
  <c r="AB55" i="3" s="1"/>
  <c r="AA7" i="3"/>
  <c r="AC19" i="3"/>
  <c r="AG19" i="3" s="1"/>
  <c r="AA5" i="3"/>
  <c r="AA12" i="3"/>
  <c r="AB54" i="3" s="1"/>
  <c r="AA14" i="3"/>
  <c r="AB56" i="3" s="1"/>
  <c r="AA9" i="3"/>
  <c r="AA15" i="3"/>
  <c r="AB57" i="3" s="1"/>
  <c r="AA6" i="3"/>
  <c r="AC23" i="3"/>
  <c r="AF23" i="3" s="1"/>
  <c r="AF22" i="3" s="1"/>
  <c r="AJ21" i="3" s="1"/>
  <c r="M29" i="3"/>
  <c r="C27" i="3"/>
  <c r="C28" i="3" s="1"/>
  <c r="AD23" i="3"/>
  <c r="AB25" i="3"/>
  <c r="AD25" i="3" s="1"/>
  <c r="O2292" i="43"/>
  <c r="Q2292" i="43" s="1"/>
  <c r="Q2291" i="43"/>
  <c r="Q931" i="43"/>
  <c r="O932" i="43"/>
  <c r="Q932" i="43" s="1"/>
  <c r="Q331" i="43"/>
  <c r="O332" i="43"/>
  <c r="O312" i="43"/>
  <c r="Q312" i="43" s="1"/>
  <c r="Q311" i="43"/>
  <c r="Q631" i="43"/>
  <c r="O632" i="43"/>
  <c r="Q632" i="43" s="1"/>
  <c r="U19" i="17"/>
  <c r="N17" i="53"/>
  <c r="N17" i="40"/>
  <c r="N353" i="19"/>
  <c r="O7" i="10"/>
  <c r="N8" i="10"/>
  <c r="G78" i="54"/>
  <c r="E78" i="54"/>
  <c r="S7" i="50"/>
  <c r="R8" i="50"/>
  <c r="O7" i="50"/>
  <c r="N8" i="50"/>
  <c r="AC21" i="47" l="1"/>
  <c r="AG21" i="47" s="1"/>
  <c r="AB23" i="47"/>
  <c r="AC23" i="47" s="1"/>
  <c r="AF23" i="47" s="1"/>
  <c r="AF22" i="47" s="1"/>
  <c r="C29" i="47"/>
  <c r="C30" i="47" s="1"/>
  <c r="M31" i="47"/>
  <c r="X9" i="14"/>
  <c r="Y9" i="14" s="1"/>
  <c r="H9" i="14" s="1"/>
  <c r="AE19" i="47"/>
  <c r="AH19" i="47" s="1"/>
  <c r="O13" i="14"/>
  <c r="M14" i="14"/>
  <c r="O14" i="14" s="1"/>
  <c r="S7" i="10"/>
  <c r="E8" i="14"/>
  <c r="F8" i="14"/>
  <c r="F7" i="14"/>
  <c r="E7" i="14"/>
  <c r="O12" i="48"/>
  <c r="AG21" i="3"/>
  <c r="AF21" i="3"/>
  <c r="AF20" i="3" s="1"/>
  <c r="AJ19" i="3" s="1"/>
  <c r="AE23" i="3"/>
  <c r="AE19" i="3"/>
  <c r="AH19" i="3" s="1"/>
  <c r="AH21" i="3" s="1"/>
  <c r="AG23" i="3"/>
  <c r="C29" i="3"/>
  <c r="C30" i="3" s="1"/>
  <c r="M31" i="3"/>
  <c r="AC25" i="3"/>
  <c r="AG25" i="3" s="1"/>
  <c r="AB27" i="3"/>
  <c r="AD27" i="3" s="1"/>
  <c r="Q332" i="43"/>
  <c r="O333" i="43"/>
  <c r="Q333" i="43" s="1"/>
  <c r="R9" i="50"/>
  <c r="S8" i="50"/>
  <c r="O8" i="10"/>
  <c r="N9" i="10"/>
  <c r="N350" i="19"/>
  <c r="A441" i="19"/>
  <c r="E460" i="19" s="1"/>
  <c r="E461" i="19" s="1"/>
  <c r="N347" i="19"/>
  <c r="A340" i="19" s="1"/>
  <c r="E419" i="19"/>
  <c r="N11" i="53"/>
  <c r="N14" i="53"/>
  <c r="E97" i="53"/>
  <c r="E100" i="53" s="1"/>
  <c r="D93" i="40"/>
  <c r="A4" i="40"/>
  <c r="F80" i="40" s="1"/>
  <c r="A115" i="40" s="1"/>
  <c r="N11" i="40"/>
  <c r="N14" i="40"/>
  <c r="E22" i="40"/>
  <c r="E97" i="40"/>
  <c r="E100" i="40" s="1"/>
  <c r="E23" i="40"/>
  <c r="E136" i="40" s="1"/>
  <c r="E137" i="40" s="1"/>
  <c r="O8" i="50"/>
  <c r="N9" i="50"/>
  <c r="S8" i="10"/>
  <c r="R9" i="10"/>
  <c r="U20" i="17"/>
  <c r="J880" i="17"/>
  <c r="F897" i="17" s="1"/>
  <c r="I763" i="17"/>
  <c r="AG23" i="47" l="1"/>
  <c r="AD23" i="47"/>
  <c r="AE21" i="47"/>
  <c r="AH21" i="47" s="1"/>
  <c r="AF21" i="47"/>
  <c r="AF20" i="47" s="1"/>
  <c r="AJ19" i="47" s="1"/>
  <c r="AJ21" i="47"/>
  <c r="AE23" i="47"/>
  <c r="AB25" i="47"/>
  <c r="AD25" i="47" s="1"/>
  <c r="M33" i="47"/>
  <c r="C31" i="47"/>
  <c r="C32" i="47" s="1"/>
  <c r="G9" i="14"/>
  <c r="X10" i="14"/>
  <c r="AI19" i="3"/>
  <c r="AI21" i="3"/>
  <c r="AH23" i="3"/>
  <c r="C31" i="3"/>
  <c r="C32" i="3" s="1"/>
  <c r="M33" i="3"/>
  <c r="AE25" i="3"/>
  <c r="AF25" i="3"/>
  <c r="AF24" i="3" s="1"/>
  <c r="AJ23" i="3" s="1"/>
  <c r="AB29" i="3"/>
  <c r="AB31" i="3" s="1"/>
  <c r="AC27" i="3"/>
  <c r="AE27" i="3" s="1"/>
  <c r="J1076" i="17"/>
  <c r="F1093" i="17" s="1"/>
  <c r="I955" i="17"/>
  <c r="O9" i="10"/>
  <c r="N10" i="10"/>
  <c r="R10" i="10"/>
  <c r="S9" i="10"/>
  <c r="F781" i="17"/>
  <c r="J839" i="17"/>
  <c r="J863" i="17" s="1"/>
  <c r="F782" i="17"/>
  <c r="I857" i="17"/>
  <c r="F898" i="17"/>
  <c r="F405" i="19"/>
  <c r="E423" i="19"/>
  <c r="R10" i="50"/>
  <c r="S9" i="50"/>
  <c r="O9" i="50"/>
  <c r="N10" i="50"/>
  <c r="E360" i="19"/>
  <c r="E359" i="19"/>
  <c r="AI19" i="47" l="1"/>
  <c r="AI21" i="47"/>
  <c r="AB27" i="47"/>
  <c r="AD27" i="47" s="1"/>
  <c r="AC25" i="47"/>
  <c r="AF25" i="47" s="1"/>
  <c r="AF24" i="47" s="1"/>
  <c r="AJ23" i="47" s="1"/>
  <c r="AH23" i="47"/>
  <c r="E9" i="14"/>
  <c r="C30" i="59"/>
  <c r="M35" i="47"/>
  <c r="C33" i="47"/>
  <c r="C34" i="47" s="1"/>
  <c r="F9" i="14"/>
  <c r="Y10" i="14"/>
  <c r="H10" i="14" s="1"/>
  <c r="G10" i="14"/>
  <c r="AI23" i="3"/>
  <c r="AH25" i="3"/>
  <c r="AH27" i="3" s="1"/>
  <c r="M35" i="3"/>
  <c r="C33" i="3"/>
  <c r="C34" i="3" s="1"/>
  <c r="AG27" i="3"/>
  <c r="AF27" i="3"/>
  <c r="AF26" i="3" s="1"/>
  <c r="AJ25" i="3" s="1"/>
  <c r="AC29" i="3"/>
  <c r="AG29" i="3" s="1"/>
  <c r="AD29" i="3"/>
  <c r="O10" i="10"/>
  <c r="N11" i="10"/>
  <c r="R11" i="50"/>
  <c r="S10" i="50"/>
  <c r="R11" i="10"/>
  <c r="S10" i="10"/>
  <c r="F974" i="17"/>
  <c r="J1032" i="17"/>
  <c r="J1060" i="17" s="1"/>
  <c r="F973" i="17"/>
  <c r="AD31" i="3"/>
  <c r="AB33" i="3"/>
  <c r="AC31" i="3"/>
  <c r="O10" i="50"/>
  <c r="N11" i="50"/>
  <c r="F1094" i="17"/>
  <c r="I1053" i="17"/>
  <c r="AG25" i="47" l="1"/>
  <c r="AE25" i="47"/>
  <c r="AH25" i="47" s="1"/>
  <c r="AI23" i="47"/>
  <c r="AC27" i="47"/>
  <c r="AF27" i="47" s="1"/>
  <c r="AF26" i="47" s="1"/>
  <c r="AI25" i="47" s="1"/>
  <c r="AB29" i="47"/>
  <c r="AB31" i="47" s="1"/>
  <c r="AC31" i="47" s="1"/>
  <c r="AG31" i="47" s="1"/>
  <c r="M37" i="47"/>
  <c r="C35" i="47"/>
  <c r="C36" i="47" s="1"/>
  <c r="E10" i="14"/>
  <c r="F10" i="14"/>
  <c r="X11" i="14"/>
  <c r="AI25" i="3"/>
  <c r="C35" i="3"/>
  <c r="C36" i="3" s="1"/>
  <c r="M37" i="3"/>
  <c r="AF29" i="3"/>
  <c r="AF28" i="3" s="1"/>
  <c r="AE29" i="3"/>
  <c r="AH29" i="3" s="1"/>
  <c r="R12" i="50"/>
  <c r="S11" i="50"/>
  <c r="AB35" i="3"/>
  <c r="AD33" i="3"/>
  <c r="AC33" i="3"/>
  <c r="AG31" i="3"/>
  <c r="AE31" i="3"/>
  <c r="AF31" i="3"/>
  <c r="AF30" i="3" s="1"/>
  <c r="O11" i="50"/>
  <c r="N12" i="50"/>
  <c r="R12" i="10"/>
  <c r="S11" i="10"/>
  <c r="O11" i="10"/>
  <c r="N12" i="10"/>
  <c r="AD31" i="47" l="1"/>
  <c r="AE31" i="47" s="1"/>
  <c r="AJ25" i="47"/>
  <c r="AB33" i="47"/>
  <c r="AB35" i="47" s="1"/>
  <c r="AD35" i="47" s="1"/>
  <c r="AJ31" i="47"/>
  <c r="AF31" i="47"/>
  <c r="AF30" i="47" s="1"/>
  <c r="AC29" i="47"/>
  <c r="AF29" i="47" s="1"/>
  <c r="AF28" i="47" s="1"/>
  <c r="AJ27" i="47" s="1"/>
  <c r="AD29" i="47"/>
  <c r="AE27" i="47"/>
  <c r="AH27" i="47" s="1"/>
  <c r="AG27" i="47"/>
  <c r="C37" i="47"/>
  <c r="C38" i="47" s="1"/>
  <c r="M39" i="47"/>
  <c r="C39" i="47" s="1"/>
  <c r="C40" i="47" s="1"/>
  <c r="Y11" i="14"/>
  <c r="G11" i="14"/>
  <c r="AI29" i="3"/>
  <c r="AJ29" i="3"/>
  <c r="AI31" i="47"/>
  <c r="AI27" i="3"/>
  <c r="AJ27" i="3"/>
  <c r="C37" i="3"/>
  <c r="C38" i="3" s="1"/>
  <c r="M39" i="3"/>
  <c r="C39" i="3" s="1"/>
  <c r="C40" i="3" s="1"/>
  <c r="AH31" i="3"/>
  <c r="AG33" i="3"/>
  <c r="AE33" i="3"/>
  <c r="AF33" i="3"/>
  <c r="AF32" i="3" s="1"/>
  <c r="AJ31" i="3" s="1"/>
  <c r="O12" i="10"/>
  <c r="N13" i="10"/>
  <c r="O12" i="50"/>
  <c r="N13" i="50"/>
  <c r="AB37" i="3"/>
  <c r="AD35" i="3"/>
  <c r="AC35" i="3"/>
  <c r="S12" i="10"/>
  <c r="R13" i="10"/>
  <c r="R13" i="50"/>
  <c r="S12" i="50"/>
  <c r="AI27" i="47" l="1"/>
  <c r="AD33" i="47"/>
  <c r="AB37" i="47"/>
  <c r="AD37" i="47" s="1"/>
  <c r="AC35" i="47"/>
  <c r="AE35" i="47" s="1"/>
  <c r="AG29" i="47"/>
  <c r="AJ29" i="47"/>
  <c r="AI29" i="47"/>
  <c r="AE29" i="47"/>
  <c r="AH29" i="47" s="1"/>
  <c r="AH31" i="47" s="1"/>
  <c r="AC33" i="47"/>
  <c r="AE33" i="47" s="1"/>
  <c r="E11" i="14"/>
  <c r="F11" i="14"/>
  <c r="X12" i="14"/>
  <c r="H11" i="14"/>
  <c r="AI31" i="3"/>
  <c r="AH33" i="3"/>
  <c r="R14" i="10"/>
  <c r="S13" i="10"/>
  <c r="AD37" i="3"/>
  <c r="AB39" i="3"/>
  <c r="AC37" i="3"/>
  <c r="O13" i="10"/>
  <c r="N14" i="10"/>
  <c r="S13" i="50"/>
  <c r="R14" i="50"/>
  <c r="AF35" i="3"/>
  <c r="AF34" i="3" s="1"/>
  <c r="AJ33" i="3" s="1"/>
  <c r="AG35" i="3"/>
  <c r="AE35" i="3"/>
  <c r="O13" i="50"/>
  <c r="N14" i="50"/>
  <c r="AJ35" i="47" l="1"/>
  <c r="AB39" i="47"/>
  <c r="AD39" i="47" s="1"/>
  <c r="AI35" i="47"/>
  <c r="AC37" i="47"/>
  <c r="AJ37" i="47" s="1"/>
  <c r="AG35" i="47"/>
  <c r="AF35" i="47"/>
  <c r="AF34" i="47" s="1"/>
  <c r="AG33" i="47"/>
  <c r="AH33" i="47"/>
  <c r="AH35" i="47" s="1"/>
  <c r="AI33" i="47"/>
  <c r="AJ33" i="47"/>
  <c r="AF33" i="47"/>
  <c r="AF32" i="47" s="1"/>
  <c r="Y12" i="14"/>
  <c r="G12" i="14"/>
  <c r="C31" i="59" s="1"/>
  <c r="AI33" i="3"/>
  <c r="AH35" i="3"/>
  <c r="O14" i="50"/>
  <c r="N15" i="50"/>
  <c r="AD39" i="3"/>
  <c r="AC39" i="3"/>
  <c r="S14" i="50"/>
  <c r="R15" i="50"/>
  <c r="O14" i="10"/>
  <c r="N15" i="10"/>
  <c r="AG37" i="3"/>
  <c r="AF37" i="3"/>
  <c r="AF36" i="3" s="1"/>
  <c r="AJ35" i="3" s="1"/>
  <c r="AE37" i="3"/>
  <c r="R15" i="10"/>
  <c r="S14" i="10"/>
  <c r="AE37" i="47" l="1"/>
  <c r="AH37" i="47" s="1"/>
  <c r="AC39" i="47"/>
  <c r="AJ39" i="47" s="1"/>
  <c r="AF37" i="47"/>
  <c r="AF36" i="47" s="1"/>
  <c r="AG37" i="47"/>
  <c r="AI37" i="47"/>
  <c r="F12" i="14"/>
  <c r="E12" i="14"/>
  <c r="X13" i="14"/>
  <c r="H12" i="14"/>
  <c r="AI35" i="3"/>
  <c r="AH37" i="3"/>
  <c r="S15" i="10"/>
  <c r="R16" i="10"/>
  <c r="AJ39" i="3"/>
  <c r="AE39" i="3"/>
  <c r="AG39" i="3"/>
  <c r="AF39" i="3"/>
  <c r="AF38" i="3" s="1"/>
  <c r="O15" i="10"/>
  <c r="N16" i="10"/>
  <c r="S15" i="50"/>
  <c r="R16" i="50"/>
  <c r="O15" i="50"/>
  <c r="N16" i="50"/>
  <c r="AF39" i="47" l="1"/>
  <c r="AF38" i="47" s="1"/>
  <c r="AE39" i="47"/>
  <c r="AH39" i="47" s="1"/>
  <c r="AI39" i="47"/>
  <c r="AG39" i="47"/>
  <c r="Y13" i="14"/>
  <c r="G13" i="14"/>
  <c r="AJ37" i="3"/>
  <c r="AI37" i="3"/>
  <c r="AI39" i="3"/>
  <c r="AH39" i="3"/>
  <c r="S16" i="50"/>
  <c r="R17" i="50"/>
  <c r="S17" i="50" s="1"/>
  <c r="O16" i="50"/>
  <c r="N17" i="50"/>
  <c r="O17" i="50" s="1"/>
  <c r="O16" i="10"/>
  <c r="N17" i="10"/>
  <c r="O17" i="10" s="1"/>
  <c r="S16" i="10"/>
  <c r="R17" i="10"/>
  <c r="S17" i="10" s="1"/>
  <c r="X14" i="14" l="1"/>
  <c r="H13" i="14"/>
  <c r="E13" i="14"/>
  <c r="F13" i="14"/>
  <c r="Y14" i="14" l="1"/>
  <c r="G14" i="14"/>
  <c r="X15" i="14" l="1"/>
  <c r="Y15" i="14" s="1"/>
  <c r="X16" i="14" s="1"/>
  <c r="Y16" i="14" s="1"/>
  <c r="X17" i="14" s="1"/>
  <c r="Y17" i="14" s="1"/>
  <c r="X18" i="14" s="1"/>
  <c r="Y18" i="14" s="1"/>
  <c r="X19" i="14" s="1"/>
  <c r="Y19" i="14" s="1"/>
  <c r="X20" i="14" s="1"/>
  <c r="Y20" i="14" s="1"/>
  <c r="X21" i="14" s="1"/>
  <c r="Y21" i="14" s="1"/>
  <c r="H14" i="14"/>
  <c r="E14" i="14"/>
  <c r="F14" i="14"/>
  <c r="C13" i="10" l="1"/>
  <c r="C13" i="50"/>
</calcChain>
</file>

<file path=xl/comments1.xml><?xml version="1.0" encoding="utf-8"?>
<comments xmlns="http://schemas.openxmlformats.org/spreadsheetml/2006/main">
  <authors>
    <author>User</author>
  </authors>
  <commentList>
    <comment ref="D16" authorId="0">
      <text>
        <r>
          <rPr>
            <b/>
            <sz val="8"/>
            <color indexed="81"/>
            <rFont val="Tahoma"/>
            <family val="2"/>
          </rPr>
          <t>User:</t>
        </r>
        <r>
          <rPr>
            <sz val="8"/>
            <color indexed="81"/>
            <rFont val="Tahoma"/>
            <family val="2"/>
          </rPr>
          <t xml:space="preserve">
NHAP VAO</t>
        </r>
      </text>
    </comment>
    <comment ref="J16" authorId="0">
      <text>
        <r>
          <rPr>
            <b/>
            <sz val="8"/>
            <color indexed="81"/>
            <rFont val="Tahoma"/>
            <family val="2"/>
          </rPr>
          <t>User:</t>
        </r>
        <r>
          <rPr>
            <sz val="8"/>
            <color indexed="81"/>
            <rFont val="Tahoma"/>
            <family val="2"/>
          </rPr>
          <t xml:space="preserve">
NHap
</t>
        </r>
      </text>
    </comment>
  </commentList>
</comments>
</file>

<file path=xl/comments2.xml><?xml version="1.0" encoding="utf-8"?>
<comments xmlns="http://schemas.openxmlformats.org/spreadsheetml/2006/main">
  <authors>
    <author>User</author>
  </authors>
  <commentList>
    <comment ref="D16" authorId="0">
      <text>
        <r>
          <rPr>
            <b/>
            <sz val="8"/>
            <color indexed="81"/>
            <rFont val="Tahoma"/>
            <family val="2"/>
          </rPr>
          <t>User:</t>
        </r>
        <r>
          <rPr>
            <sz val="8"/>
            <color indexed="81"/>
            <rFont val="Tahoma"/>
            <family val="2"/>
          </rPr>
          <t xml:space="preserve">
NHAP VAO</t>
        </r>
      </text>
    </comment>
    <comment ref="J16" authorId="0">
      <text>
        <r>
          <rPr>
            <b/>
            <sz val="8"/>
            <color indexed="81"/>
            <rFont val="Tahoma"/>
            <family val="2"/>
          </rPr>
          <t>User:</t>
        </r>
        <r>
          <rPr>
            <sz val="8"/>
            <color indexed="81"/>
            <rFont val="Tahoma"/>
            <family val="2"/>
          </rPr>
          <t xml:space="preserve">
NHap
</t>
        </r>
      </text>
    </comment>
  </commentList>
</comments>
</file>

<file path=xl/comments3.xml><?xml version="1.0" encoding="utf-8"?>
<comments xmlns="http://schemas.openxmlformats.org/spreadsheetml/2006/main">
  <authors>
    <author>User</author>
  </authors>
  <commentList>
    <comment ref="D16" authorId="0">
      <text>
        <r>
          <rPr>
            <b/>
            <sz val="8"/>
            <color indexed="81"/>
            <rFont val="Tahoma"/>
            <family val="2"/>
          </rPr>
          <t>User:</t>
        </r>
        <r>
          <rPr>
            <sz val="8"/>
            <color indexed="81"/>
            <rFont val="Tahoma"/>
            <family val="2"/>
          </rPr>
          <t xml:space="preserve">
NHAP VAO</t>
        </r>
      </text>
    </comment>
    <comment ref="J16" authorId="0">
      <text>
        <r>
          <rPr>
            <b/>
            <sz val="8"/>
            <color indexed="81"/>
            <rFont val="Tahoma"/>
            <family val="2"/>
          </rPr>
          <t>User:</t>
        </r>
        <r>
          <rPr>
            <sz val="8"/>
            <color indexed="81"/>
            <rFont val="Tahoma"/>
            <family val="2"/>
          </rPr>
          <t xml:space="preserve">
NHap
</t>
        </r>
      </text>
    </comment>
  </commentList>
</comments>
</file>

<file path=xl/comments4.xml><?xml version="1.0" encoding="utf-8"?>
<comments xmlns="http://schemas.openxmlformats.org/spreadsheetml/2006/main">
  <authors>
    <author>User</author>
  </authors>
  <commentList>
    <comment ref="D16" authorId="0">
      <text>
        <r>
          <rPr>
            <b/>
            <sz val="8"/>
            <color indexed="81"/>
            <rFont val="Tahoma"/>
            <family val="2"/>
          </rPr>
          <t>User:</t>
        </r>
        <r>
          <rPr>
            <sz val="8"/>
            <color indexed="81"/>
            <rFont val="Tahoma"/>
            <family val="2"/>
          </rPr>
          <t xml:space="preserve">
NHAP VAO</t>
        </r>
      </text>
    </comment>
    <comment ref="J16" authorId="0">
      <text>
        <r>
          <rPr>
            <b/>
            <sz val="8"/>
            <color indexed="81"/>
            <rFont val="Tahoma"/>
            <family val="2"/>
          </rPr>
          <t>User:</t>
        </r>
        <r>
          <rPr>
            <sz val="8"/>
            <color indexed="81"/>
            <rFont val="Tahoma"/>
            <family val="2"/>
          </rPr>
          <t xml:space="preserve">
NHap
</t>
        </r>
      </text>
    </comment>
  </commentList>
</comments>
</file>

<file path=xl/sharedStrings.xml><?xml version="1.0" encoding="utf-8"?>
<sst xmlns="http://schemas.openxmlformats.org/spreadsheetml/2006/main" count="17249" uniqueCount="1193">
  <si>
    <t>Theo thiết kế</t>
  </si>
  <si>
    <t>BT lý thuyết</t>
  </si>
  <si>
    <t>Khối lượng bê tông lý thuyết:</t>
  </si>
  <si>
    <t>Céng dånlý thuyết</t>
  </si>
  <si>
    <t>lý thuyết</t>
  </si>
  <si>
    <t>NHÀ THẦU THI CÔNG</t>
  </si>
  <si>
    <t>đường kính:</t>
  </si>
  <si>
    <t>Tầng lớp địa chất</t>
  </si>
  <si>
    <t>Số hiệu địa tầng</t>
  </si>
  <si>
    <t>Bề dày lớp</t>
  </si>
  <si>
    <t>Mô tả địa tầng</t>
  </si>
  <si>
    <t>SƠ HỌA HỐ KHOAN CỌC SỐ</t>
  </si>
  <si>
    <t>Ngày khoan : - Bắt đầu</t>
  </si>
  <si>
    <t>Đường kính</t>
  </si>
  <si>
    <t>Đường kính hố khoan :</t>
  </si>
  <si>
    <r>
      <t>m</t>
    </r>
    <r>
      <rPr>
        <vertAlign val="superscript"/>
        <sz val="12"/>
        <rFont val="Times New Roman"/>
        <family val="1"/>
      </rPr>
      <t>3</t>
    </r>
  </si>
  <si>
    <t>Ngày tháng</t>
  </si>
  <si>
    <t>Cọc số</t>
  </si>
  <si>
    <t>Số ĐK xe</t>
  </si>
  <si>
    <t>Vận chuyển</t>
  </si>
  <si>
    <t>Khởi hành</t>
  </si>
  <si>
    <t>Đến</t>
  </si>
  <si>
    <t>Thời gian đổ</t>
  </si>
  <si>
    <t>Thực tế</t>
  </si>
  <si>
    <t xml:space="preserve">Độ sụt (cm)
</t>
  </si>
  <si>
    <t>Độ sụt (cm)</t>
  </si>
  <si>
    <t>Thể tích bê tông
(m3)</t>
  </si>
  <si>
    <t>Toàn bộ</t>
  </si>
  <si>
    <t xml:space="preserve">
Chiều cao bê tông so với đỉnh Casing
(m)
</t>
  </si>
  <si>
    <t>bê tông thực tế</t>
  </si>
  <si>
    <t>Khối lượng bê tông thực tế:</t>
  </si>
  <si>
    <t>thực tế</t>
  </si>
  <si>
    <t>Theo thực tế</t>
  </si>
  <si>
    <t xml:space="preserve">Chênh lệch
</t>
  </si>
  <si>
    <t>Chênh lệch:</t>
  </si>
  <si>
    <t>Chênh lệch (m3-%)</t>
  </si>
  <si>
    <t>Lấy mẫu</t>
  </si>
  <si>
    <t xml:space="preserve">Bảng 3                                                                    </t>
  </si>
  <si>
    <t>PHIẾU THEO DÕI ĐỔ BÊ TÔNG</t>
  </si>
  <si>
    <t>Đk cọc</t>
  </si>
  <si>
    <t>BIÊN BẢN LẤY MẪU THÍ NGHIỆM BÊ TÔNG</t>
  </si>
  <si>
    <t>Ông (Bà):</t>
  </si>
  <si>
    <t xml:space="preserve">Ông (Bà): </t>
  </si>
  <si>
    <t xml:space="preserve">Chức vụ: </t>
  </si>
  <si>
    <t>Chức vụ:</t>
  </si>
  <si>
    <t xml:space="preserve">           Chúng tôi cùng nhau chứng kiến việc Lấy mẫu tại hiện trường.</t>
  </si>
  <si>
    <t>Biển kiểm soát của xe</t>
  </si>
  <si>
    <t>Giờ lấy mẫu</t>
  </si>
  <si>
    <t>Số hiệu mẫu</t>
  </si>
  <si>
    <t>Kết quả độ sụt BT</t>
  </si>
  <si>
    <t>Số lượng mẫu</t>
  </si>
  <si>
    <t>Nhận xét:</t>
  </si>
  <si>
    <t xml:space="preserve">Kết luận: </t>
  </si>
  <si>
    <t>Các mẫu lấy đúng tiêu chuẩn, đảm bảo yêu cầu để thí nghiệm</t>
  </si>
  <si>
    <t>Ghi chú:</t>
  </si>
  <si>
    <t>1. Chiều dài cọc(m):</t>
  </si>
  <si>
    <t>2. Cao độ đỉnh cọc:</t>
  </si>
  <si>
    <t>Đặc điểm</t>
  </si>
  <si>
    <t>Mô tả</t>
  </si>
  <si>
    <t>19±1</t>
  </si>
  <si>
    <t>IV. ĐỔ BÊ TÔNG</t>
  </si>
  <si>
    <t>Biểu đồ dâng bê tông</t>
  </si>
  <si>
    <t>4. Cốt cao độ cắt cọc:</t>
  </si>
  <si>
    <t>3. Cao độ đáy cọc:</t>
  </si>
  <si>
    <t>6. Thời gian đổ:</t>
  </si>
  <si>
    <t>5. Ngày đổ bê tông cọc:</t>
  </si>
  <si>
    <t>7. Thời tiết:</t>
  </si>
  <si>
    <t>8. Loại bê tông</t>
  </si>
  <si>
    <t>Loại bê tông</t>
  </si>
  <si>
    <t>ĐK</t>
  </si>
  <si>
    <t>Cao độ cắt cọc</t>
  </si>
  <si>
    <t>Cốt thép</t>
  </si>
  <si>
    <t>Độ dâng bê tông ; m</t>
  </si>
  <si>
    <t>9. Chi tết về bê tông</t>
  </si>
  <si>
    <t>Cường độ (KG/cm2)</t>
  </si>
  <si>
    <t>Mác bê tông cọc thực tế được xác định thông qua kết quả nén mẫu bê tông R28 ngày</t>
  </si>
  <si>
    <t>Số lượng</t>
  </si>
  <si>
    <t>CỘNG HÒA XÃ HỘI CHỦ NGHĨA VIỆT NAM</t>
  </si>
  <si>
    <t>Số QL</t>
  </si>
  <si>
    <t>Tên CT</t>
  </si>
  <si>
    <t>Độc lập -  Tự  do - Hạnh phúc</t>
  </si>
  <si>
    <t>Công việc</t>
  </si>
  <si>
    <t>------- o0o-------</t>
  </si>
  <si>
    <t>Vị trí</t>
  </si>
  <si>
    <t>Số hiệu BB</t>
  </si>
  <si>
    <t>TVQLDA</t>
  </si>
  <si>
    <t>NGHIỆM THU NỘI BỘ CÔNG VIỆC XÂY DỰNG</t>
  </si>
  <si>
    <t>Giờ</t>
  </si>
  <si>
    <t>Nội bộ</t>
  </si>
  <si>
    <t>I./ ĐỐI TƯỢNG NGHIỆM THU:</t>
  </si>
  <si>
    <t>Phiếu mời</t>
  </si>
  <si>
    <t>Thầu chính</t>
  </si>
  <si>
    <t>II./ THÀNH PHẦN THAM GIA NGHIỆM THU:</t>
  </si>
  <si>
    <t>A- B</t>
  </si>
  <si>
    <t>Đội TC</t>
  </si>
  <si>
    <t>III./ THỜI GIAN, ĐỊA ĐIỂM NGHIỆM THU:</t>
  </si>
  <si>
    <t xml:space="preserve">Bắt đầu nghiệm thu:    </t>
  </si>
  <si>
    <t>TV Thiết kế</t>
  </si>
  <si>
    <t xml:space="preserve">Kết thúc nghiệm thu: </t>
  </si>
  <si>
    <t>Tại:</t>
  </si>
  <si>
    <t>Thầu phụ</t>
  </si>
  <si>
    <t xml:space="preserve">1 -  Các tài liệu làm căn cứ nghiệm thu: </t>
  </si>
  <si>
    <t>-    Quy định thi công và nghiệm thu của dự án.</t>
  </si>
  <si>
    <r>
      <t xml:space="preserve">-    </t>
    </r>
    <r>
      <rPr>
        <sz val="13"/>
        <color indexed="8"/>
        <rFont val="Times New Roman"/>
        <family val="1"/>
      </rPr>
      <t>Hồ sơ thiết kế bản vẽ thi công đã được Nhà đầu tư phê duyệt.</t>
    </r>
  </si>
  <si>
    <t>-    Tiêu chuẩn quy phạm xây dựng được áp dụng:</t>
  </si>
  <si>
    <t>TCVN 4055-2012 : Tổ chức thi công.</t>
  </si>
  <si>
    <t>Nghị định 15/2013/NĐ-CP quản lý chất lượng công trình xây dựng</t>
  </si>
  <si>
    <t>Thông tư 10/2013/TT -BXD: Quy định chi tiết một số nội dung về quản lý chất lượng công trình xây dựng</t>
  </si>
  <si>
    <t>TCVN 4447: 2012: Công tác đất- Thi công và nghiệm thu</t>
  </si>
  <si>
    <t>-   Tài liệu chỉ dẫn kỹ thuật kèm theo hợp đồng xây dựng</t>
  </si>
  <si>
    <t>-   Hồ sơ đề xuất, biện pháp thi công được chủ đầu tư phê duyệt.</t>
  </si>
  <si>
    <t>-   Nhật ký thi công và các văn bản khác có liên quan đến đối tượng nghiệm thu.</t>
  </si>
  <si>
    <t>-   Các kết quả kiểm tra, thí nghiệm chất lượng vật liệu, thiết bị được thực hiện trong quá trình xây dựng.</t>
  </si>
  <si>
    <t>2 -  Phương pháp, nội dung kiểm tra:</t>
  </si>
  <si>
    <t>a. Kiểm tra tại hiện trường:</t>
  </si>
  <si>
    <t>Nội dung kiểm tra</t>
  </si>
  <si>
    <t>Phương pháp kiểm tra</t>
  </si>
  <si>
    <t>Kết quả kiểm tra</t>
  </si>
  <si>
    <t>Đạt</t>
  </si>
  <si>
    <t>Không đạt</t>
  </si>
  <si>
    <r>
      <t>b)     Các ý kiến khác nếu có:..................................</t>
    </r>
    <r>
      <rPr>
        <i/>
        <sz val="13"/>
        <rFont val="Times New Roman"/>
        <family val="1"/>
      </rPr>
      <t>Không...................................</t>
    </r>
  </si>
  <si>
    <t>V./ KẾT LUẬN:</t>
  </si>
  <si>
    <t>........................................... Đồng ý nghiệm thu.............................................................</t>
  </si>
  <si>
    <t>ĐỘI THI CÔNG TRỰC TIẾP</t>
  </si>
  <si>
    <t>CBKT</t>
  </si>
  <si>
    <t>Cán bộ trắc địa</t>
  </si>
  <si>
    <t xml:space="preserve"> CỘNG HOÀ XÃ HỘI CHỦ NGHĨA VIỆT NAM </t>
  </si>
  <si>
    <t xml:space="preserve">- * - </t>
  </si>
  <si>
    <t xml:space="preserve"> Độc lập - Tự do - Hạnh phúc</t>
  </si>
  <si>
    <t xml:space="preserve">Công trình: </t>
  </si>
  <si>
    <t>Vị trí:</t>
  </si>
  <si>
    <t>Thời gian:</t>
  </si>
  <si>
    <t>Địa điểm:</t>
  </si>
  <si>
    <t>Đại diện nhà thầu</t>
  </si>
  <si>
    <t>NGHIỆM THU CÔNG VIỆC XÂY DỰNG</t>
  </si>
  <si>
    <t>-    Phiếu yêu cầu nghiệm thu công việc xây dựng.</t>
  </si>
  <si>
    <t>-   Biên bản nghiệm thu nội bộ của nhà thầu</t>
  </si>
  <si>
    <t>........................................... Đồng ý nghiệm thu.......................</t>
  </si>
  <si>
    <t>Quan sát</t>
  </si>
  <si>
    <t>Trực quan</t>
  </si>
  <si>
    <t>Thước mét, quan sát</t>
  </si>
  <si>
    <t>GĐ BQLDA</t>
  </si>
  <si>
    <t>Tư vấn thiết kế</t>
  </si>
  <si>
    <t>................................</t>
  </si>
  <si>
    <t>Chủ nhiệm dự án</t>
  </si>
  <si>
    <t>Cán bộ TVTK</t>
  </si>
  <si>
    <t>Thép</t>
  </si>
  <si>
    <t>.............................</t>
  </si>
  <si>
    <t>Bê tông</t>
  </si>
  <si>
    <t>Công ty TNHH SX &amp; TM KDVL XD An Phúc</t>
  </si>
  <si>
    <t>Bentonite</t>
  </si>
  <si>
    <t>Vị trí cọc</t>
  </si>
  <si>
    <t>TCVN 9395: 2012: Cọc khoan nhồi: thi công và nghiệm thu</t>
  </si>
  <si>
    <t>Đường kính cọc</t>
  </si>
  <si>
    <t xml:space="preserve">  - - - - - - o0o- - - - - -</t>
  </si>
  <si>
    <t xml:space="preserve">- - - o0o - - - </t>
  </si>
  <si>
    <t>§­êng kÝnh</t>
  </si>
  <si>
    <t>NTTC</t>
  </si>
  <si>
    <t>SL</t>
  </si>
  <si>
    <t>(mm)</t>
  </si>
  <si>
    <t>1.</t>
  </si>
  <si>
    <t>2.</t>
  </si>
  <si>
    <t>KÕt thóc:</t>
  </si>
  <si>
    <t xml:space="preserve"> </t>
  </si>
  <si>
    <t>(m)</t>
  </si>
  <si>
    <t xml:space="preserve">   </t>
  </si>
  <si>
    <t>§¬n vÞ cÊp bª t«ng</t>
  </si>
  <si>
    <t>6.</t>
  </si>
  <si>
    <t>7.</t>
  </si>
  <si>
    <t>8.</t>
  </si>
  <si>
    <t>*</t>
  </si>
  <si>
    <t>9.</t>
  </si>
  <si>
    <t>10.</t>
  </si>
  <si>
    <t>11.</t>
  </si>
  <si>
    <t>tremie</t>
  </si>
  <si>
    <t>D (mm)</t>
  </si>
  <si>
    <t>Kh«ng</t>
  </si>
  <si>
    <t xml:space="preserve">TT
</t>
  </si>
  <si>
    <t xml:space="preserve">Trong BT
</t>
  </si>
  <si>
    <t>Soi</t>
  </si>
  <si>
    <t>Dat</t>
  </si>
  <si>
    <t>D59,9</t>
  </si>
  <si>
    <t>DiÖn tÝch:</t>
  </si>
  <si>
    <t>KL dån</t>
  </si>
  <si>
    <t>TT</t>
  </si>
  <si>
    <t>ĐẠI DIỆN NHÀ THẦU</t>
  </si>
  <si>
    <t>TƯ VẤN GIÁM SÁT</t>
  </si>
  <si>
    <t>D113,5</t>
  </si>
  <si>
    <t>X</t>
  </si>
  <si>
    <t>Số hiệu cọc:</t>
  </si>
  <si>
    <t/>
  </si>
  <si>
    <t>Stt</t>
  </si>
  <si>
    <t>§¬n vÞ chñ ®Çu t­</t>
  </si>
  <si>
    <t>¤ng:</t>
  </si>
  <si>
    <t>T­ vÊn gi¸m s¸t</t>
  </si>
  <si>
    <t>§¬n vÞ thi c«ng</t>
  </si>
  <si>
    <t>Ký néi bé</t>
  </si>
  <si>
    <t>TVGS</t>
  </si>
  <si>
    <t>Lt giíi h¹n</t>
  </si>
  <si>
    <t>Céng hoµ x· héi chñ nghÜa viÖt nam</t>
  </si>
  <si>
    <t>§éc lËp-Tù do -H¹nh phóc</t>
  </si>
  <si>
    <t>C«ng tr×nh</t>
  </si>
  <si>
    <t>§Þa ®iÓm</t>
  </si>
  <si>
    <t>H¹ng môc</t>
  </si>
  <si>
    <t>NghiÖm thu néi bé c«ng viÖc x©y dùng</t>
  </si>
  <si>
    <t>Tªn cäc</t>
  </si>
  <si>
    <t>NB</t>
  </si>
  <si>
    <t>2.Thµnh phÇn trùc tiÕp nghiÖm thu:</t>
  </si>
  <si>
    <r>
      <t>·</t>
    </r>
    <r>
      <rPr>
        <b/>
        <i/>
        <sz val="13"/>
        <rFont val="Times New Roman"/>
        <family val="1"/>
      </rPr>
      <t xml:space="preserve">   Đại diện Phòng kế hoạch - kỹ thuật </t>
    </r>
  </si>
  <si>
    <t>Ngµy nghiÖm thu sing</t>
  </si>
  <si>
    <t xml:space="preserve">¤ng: </t>
  </si>
  <si>
    <t xml:space="preserve">  Chøc vô:</t>
  </si>
  <si>
    <t>Ngµy nghiÖm thu Bentonit</t>
  </si>
  <si>
    <r>
      <t>·</t>
    </r>
    <r>
      <rPr>
        <b/>
        <i/>
        <sz val="13"/>
        <rFont val="Times New Roman"/>
        <family val="1"/>
      </rPr>
      <t>   Đội thi công trực tiếp:</t>
    </r>
  </si>
  <si>
    <t>nghiÖm thu lång thÐp</t>
  </si>
  <si>
    <t>NghiÖm thu hè khoan</t>
  </si>
  <si>
    <t>NghiÖm thu ®æ bª t«ng</t>
  </si>
  <si>
    <t>3.Thêi gian nghiÖm thu:</t>
  </si>
  <si>
    <t>NghiÖm thu bª t«ng</t>
  </si>
  <si>
    <t>B¾t ®Çu:</t>
  </si>
  <si>
    <t>T¹i</t>
  </si>
  <si>
    <t xml:space="preserve">§Þa ®iÓm: </t>
  </si>
  <si>
    <t>4. C¨n cø nghiÖm thu :</t>
  </si>
  <si>
    <t>-  Hå s¬ thiÕt kÕ b¶n vÏ thi c«ng ®­îc Chñ ®Çu t­ phª duyÖt vµ nh÷ng thay ®æi thiÕt kÕ ®· ®­îc chÊp thuËn.</t>
  </si>
  <si>
    <t>- Tiªu chuÈn quy ph¹m x©y dùng ®­îc ¸p dông:</t>
  </si>
  <si>
    <t>TCVN 5637 - 1991 : Qu¶n lý chÊt l­îng x©y l¾p c«ng tr×nh. Nguyªn t¾c c¬ b¶n</t>
  </si>
  <si>
    <t>TCVN 4055 - 1985 : Tæ chøc thi c«ng.</t>
  </si>
  <si>
    <t>TCVN 5308 - 1991 : Quy tr×nh kü thuËt an toµn x©y dùng</t>
  </si>
  <si>
    <t>TCXDVN 326-2004: Cäc khoan nhåi - Tiªu chuÈn Thi c«ng vµ nghiÖm thu</t>
  </si>
  <si>
    <t>TCVN 371-2006   : NghiÖm thu chÊt l­îng thi c«ng c«ng tr×nh x©y dùng.</t>
  </si>
  <si>
    <t>TCVN 309 - 2004 : C«ng t¸c tr¾c ®¹c trong x©y dùng c«ng tr×nh</t>
  </si>
  <si>
    <t>- Tµi liÖu chØ dÉn kü thuËt kÌm theo hîp ®ång x©y dùng</t>
  </si>
  <si>
    <t>- Hå s¬ ®Ò xuÊt, biÖn ph¸p thi c«ng ®­îc chñ ®Çu t­ phª duyÖt.</t>
  </si>
  <si>
    <t>- Biªn b¶n nghiÖm thu vËt liÖu, thiÕt bÞ, s¶n phÈm chÕ t¹o s½n tr­íc khi sö dông.</t>
  </si>
  <si>
    <t>- C¸c tµi liÖu thÝ nghiÖm, kÕt qu¶ thÝ nghiÖm mÉu kiÓm nghiÖm cña ®èi t­îng nghiÖm thu.</t>
  </si>
  <si>
    <t>- NhËt ký thi c«ng vµ c¸c v¨n b¶n kh¸c cã liªn quan ®Õn ®èi t­îng nghiÖm thu.</t>
  </si>
  <si>
    <t>5. §¸nh gi¸ c«ng viÖc x©y dùng ®· thùc hiÖn:</t>
  </si>
  <si>
    <t>a. KiÓm tra t¹i hiÖn tr­êng:</t>
  </si>
  <si>
    <t>Néi dung kiÓm tra</t>
  </si>
  <si>
    <t>Ph­¬ng ph¸p kiÓm tra</t>
  </si>
  <si>
    <t>KÕt qu¶ kiÓm tra</t>
  </si>
  <si>
    <t>§¹t</t>
  </si>
  <si>
    <t>Kh«ng ®¹t</t>
  </si>
  <si>
    <t>Täa ®é tim cäc</t>
  </si>
  <si>
    <t>M¸y toµn ®¹c, th­íc mÐt</t>
  </si>
  <si>
    <t>V</t>
  </si>
  <si>
    <t>§é æn ®Þnh Casing</t>
  </si>
  <si>
    <t>Trùc quan</t>
  </si>
  <si>
    <t>Cao ®é Casing, Cao ®é tù nhiªn</t>
  </si>
  <si>
    <t xml:space="preserve">b. C¸c ý kiÕn kh¸c (nÕu cã): </t>
  </si>
  <si>
    <r>
      <t>6</t>
    </r>
    <r>
      <rPr>
        <b/>
        <sz val="13"/>
        <rFont val=".VnTime"/>
        <family val="2"/>
      </rPr>
      <t>. KÕt luËn:</t>
    </r>
    <r>
      <rPr>
        <i/>
        <sz val="13"/>
        <rFont val=".VnTime"/>
        <family val="2"/>
      </rPr>
      <t xml:space="preserve"> .</t>
    </r>
  </si>
  <si>
    <t>§ång ý nghiÖm thu</t>
  </si>
  <si>
    <t>phßng kH-Kt</t>
  </si>
  <si>
    <t>®éi thi c«ng trùc tiÕp</t>
  </si>
  <si>
    <t>§éc lËp-Tù do-H¹nh phóc</t>
  </si>
  <si>
    <t>PhiÕu yªu cÇu nghiÖm thu</t>
  </si>
  <si>
    <r>
      <t>KÝnh göi:</t>
    </r>
    <r>
      <rPr>
        <sz val="13"/>
        <rFont val=".VnTime"/>
        <family val="2"/>
      </rPr>
      <t xml:space="preserve">  </t>
    </r>
  </si>
  <si>
    <t xml:space="preserve">T­ vÊn gi¸m s¸t </t>
  </si>
  <si>
    <t xml:space="preserve">    </t>
  </si>
  <si>
    <t xml:space="preserve">Tªn c«ng viÖc ®· thùc hiÖn: </t>
  </si>
  <si>
    <t xml:space="preserve">Chóng t«i ®· tiÕn hµnh nghiÖm thu néi bé c«ng viÖc x©y dùng trªn theo biªn b¶n </t>
  </si>
  <si>
    <t xml:space="preserve">nghiÖm thu sè: </t>
  </si>
  <si>
    <t xml:space="preserve">(Biªn b¶n nghiÖm thu néi bé göi kÌm phiÕu </t>
  </si>
  <si>
    <t>yªu cÇu nghiÖm thu).</t>
  </si>
  <si>
    <t xml:space="preserve">§Ó ®¶m b¶o tiÕn ®é thi c«ng, Nhµ thÇu kÝnh ®Ò nghÞ §¬n vÞ TVGS tæ chøc nghiÖm </t>
  </si>
  <si>
    <t xml:space="preserve">thu phÇn c«ng viÖc x©y dùng ®· hoµn thµnh nªu trªn ®Ó Nhµ thÇu triÓn khai thi c«ng phÇn </t>
  </si>
  <si>
    <t>viÖc tiÕp theo.</t>
  </si>
  <si>
    <t>§Ò nghÞ nghiÖm thu vµo lóc:</t>
  </si>
  <si>
    <t>- T¹i:</t>
  </si>
  <si>
    <t>- §Þa ®iÓm:</t>
  </si>
  <si>
    <t>§¬n vÞ nhËn phiÕu mêi</t>
  </si>
  <si>
    <t>Thêi gian nhËn phiÕu</t>
  </si>
  <si>
    <t>Ký, ghi râ hä tªn</t>
  </si>
  <si>
    <t>®¬n vÞ thi c«ng</t>
  </si>
  <si>
    <t>--------------------------</t>
  </si>
  <si>
    <t>NghiÖm thu c«ng viÖc x©y dùng</t>
  </si>
  <si>
    <r>
      <t>·</t>
    </r>
    <r>
      <rPr>
        <sz val="13"/>
        <rFont val="Times New Roman"/>
        <family val="1"/>
      </rPr>
      <t xml:space="preserve">   </t>
    </r>
    <r>
      <rPr>
        <sz val="13"/>
        <rFont val=".VnTime"/>
        <family val="2"/>
      </rPr>
      <t>¤ng:</t>
    </r>
  </si>
  <si>
    <r>
      <t>+</t>
    </r>
    <r>
      <rPr>
        <b/>
        <sz val="13"/>
        <rFont val=".VnTime"/>
        <family val="2"/>
      </rPr>
      <t xml:space="preserve">§¹i diÖn T­ vÊn gi¸m s¸t:  </t>
    </r>
  </si>
  <si>
    <r>
      <t>+§¹i diÖn §¬n vÞ thi c«ng</t>
    </r>
    <r>
      <rPr>
        <sz val="13"/>
        <rFont val=".VnTime"/>
        <family val="2"/>
      </rPr>
      <t xml:space="preserve">: </t>
    </r>
    <r>
      <rPr>
        <b/>
        <i/>
        <sz val="12"/>
        <rFont val=".VnTimeH"/>
        <family val="2"/>
      </rPr>
      <t/>
    </r>
  </si>
  <si>
    <r>
      <t>·</t>
    </r>
    <r>
      <rPr>
        <sz val="13"/>
        <rFont val="Times New Roman"/>
        <family val="1"/>
      </rPr>
      <t xml:space="preserve">   </t>
    </r>
    <r>
      <rPr>
        <sz val="13"/>
        <rFont val=".VnTime"/>
        <family val="2"/>
      </rPr>
      <t xml:space="preserve">¤ng: </t>
    </r>
  </si>
  <si>
    <r>
      <t xml:space="preserve">  Chøc vô:</t>
    </r>
    <r>
      <rPr>
        <sz val="13"/>
        <rFont val="Arial"/>
        <family val="2"/>
      </rPr>
      <t xml:space="preserve"> </t>
    </r>
  </si>
  <si>
    <t>- PhiÕu yªu cÇu nghiÖm thu</t>
  </si>
  <si>
    <t>- Biªn b¶n nghiÖm thu néi bé cña nhµ thÇu</t>
  </si>
  <si>
    <t>t­ vÊn gi¸m s¸t</t>
  </si>
  <si>
    <t>KiÓm tra ®é nhít</t>
  </si>
  <si>
    <t>Bé thiÕt bÞ TN Bentonit</t>
  </si>
  <si>
    <t>KiÓm tra PH</t>
  </si>
  <si>
    <t>Quú tÝm</t>
  </si>
  <si>
    <t>KiÓm tra tû träng</t>
  </si>
  <si>
    <t>KiÓm tra hµm l­îng c¸t</t>
  </si>
  <si>
    <t>TCXDVN 4453-1995: KÕt cÊu bª t«ng vµ Bª t«ng cèt thÐp toµn khèi</t>
  </si>
  <si>
    <t>§­êng kÝnh cèt thÐp</t>
  </si>
  <si>
    <t>Th­íc kÑp</t>
  </si>
  <si>
    <t>Sè l­îng thÐp chñ, thÐp ®ai</t>
  </si>
  <si>
    <t>Quy c¸ch gia c«ng</t>
  </si>
  <si>
    <t>Th­íc mÐt</t>
  </si>
  <si>
    <t>Sè l­îng, chñng lo¹i èng siªu ©m</t>
  </si>
  <si>
    <t>Th­íc mÐt, trùc quan</t>
  </si>
  <si>
    <t>VÖ sinh</t>
  </si>
  <si>
    <t xml:space="preserve">KiÓm tra ®é l¾ng </t>
  </si>
  <si>
    <t>KiÓm tra dung dich khoan</t>
  </si>
  <si>
    <t>Bé thö Bentonite</t>
  </si>
  <si>
    <t>KiÓm tra neo gi÷ lång thÐp</t>
  </si>
  <si>
    <t>KiÓm tra vÖ sinh miÖng hè khoan</t>
  </si>
  <si>
    <t>§é sôt bª t«ng</t>
  </si>
  <si>
    <t>Bé thö ®é sôt BT</t>
  </si>
  <si>
    <t>CÊp phèi bª t«ng</t>
  </si>
  <si>
    <t>PhiÕu xe, lÊy mÉu</t>
  </si>
  <si>
    <t>§é d©ng bª t«ng, c¾t «ng ®æ</t>
  </si>
  <si>
    <t>Cao ®é dõng ®æ bª t«ng</t>
  </si>
  <si>
    <t xml:space="preserve">Tªn c«ng viÖc thùc hiÖn: </t>
  </si>
  <si>
    <t>Chóng t«i ®· kiÓm tra vµ nghiÖm thu ®ñ ®iÒu kiÖn ®Ó ®æ bª t«ng cäc</t>
  </si>
  <si>
    <t>TCVN 3112-1993: Bª t«ng nÆng - Ph­¬ng ph¸p thö</t>
  </si>
  <si>
    <t>KÕt qu¶ thÝ nghiÖm BT R7, R28</t>
  </si>
  <si>
    <t>KÕt qu¶ tõ phßngTN</t>
  </si>
  <si>
    <t>§é ®ång nhÊt bª t«ng</t>
  </si>
  <si>
    <t>Giê bd</t>
  </si>
  <si>
    <t>Ngµy</t>
  </si>
  <si>
    <t>NỘI DUNG  YÊU CẦU DỮ LIỆU CẬP NHẬT DỮ LIỆU CHUNG</t>
  </si>
  <si>
    <t>Nội dung</t>
  </si>
  <si>
    <t>Trực thuộc</t>
  </si>
  <si>
    <t>Ghi chú</t>
  </si>
  <si>
    <t>Tên công trình:</t>
  </si>
  <si>
    <t>Địa điểm xây dựng:</t>
  </si>
  <si>
    <t>Đơn vị chủ đầu tư</t>
  </si>
  <si>
    <t>Ông:</t>
  </si>
  <si>
    <t>Chức vụ</t>
  </si>
  <si>
    <t>Cán bộ BQLDA</t>
  </si>
  <si>
    <t>Đơn vị thi công</t>
  </si>
  <si>
    <t>Ngô Văn Khánh</t>
  </si>
  <si>
    <t>Chỉ huy trưởng công trường</t>
  </si>
  <si>
    <t>Tổ trưởng công nhân</t>
  </si>
  <si>
    <t>Công trình:</t>
  </si>
  <si>
    <t xml:space="preserve">Địa điểm: </t>
  </si>
  <si>
    <t>HỒ SƠ CỌC KHOAN NHỒI</t>
  </si>
  <si>
    <t>Cọc số:</t>
  </si>
  <si>
    <t>Cộng hoà xã hội chủ nghĩa Việt Nam</t>
  </si>
  <si>
    <t xml:space="preserve">     Độc lập - Tự do - Hạnh phúc</t>
  </si>
  <si>
    <r>
      <t>* X</t>
    </r>
    <r>
      <rPr>
        <vertAlign val="subscript"/>
        <sz val="9"/>
        <rFont val="Times New Roman"/>
        <family val="1"/>
      </rPr>
      <t>tk</t>
    </r>
    <r>
      <rPr>
        <sz val="9"/>
        <rFont val="Times New Roman"/>
        <family val="1"/>
      </rPr>
      <t xml:space="preserve"> = </t>
    </r>
  </si>
  <si>
    <r>
      <t xml:space="preserve"> X</t>
    </r>
    <r>
      <rPr>
        <vertAlign val="subscript"/>
        <sz val="9"/>
        <rFont val="Times New Roman"/>
        <family val="1"/>
      </rPr>
      <t>tt</t>
    </r>
    <r>
      <rPr>
        <sz val="9"/>
        <rFont val="Times New Roman"/>
        <family val="1"/>
      </rPr>
      <t xml:space="preserve"> =</t>
    </r>
  </si>
  <si>
    <t>DX =</t>
  </si>
  <si>
    <r>
      <t>* Y</t>
    </r>
    <r>
      <rPr>
        <vertAlign val="subscript"/>
        <sz val="9"/>
        <rFont val="Times New Roman"/>
        <family val="1"/>
      </rPr>
      <t>tk</t>
    </r>
    <r>
      <rPr>
        <sz val="9"/>
        <rFont val="Times New Roman"/>
        <family val="1"/>
      </rPr>
      <t xml:space="preserve"> =</t>
    </r>
  </si>
  <si>
    <r>
      <t xml:space="preserve"> Y</t>
    </r>
    <r>
      <rPr>
        <vertAlign val="subscript"/>
        <sz val="9"/>
        <rFont val="Times New Roman"/>
        <family val="1"/>
      </rPr>
      <t>tt</t>
    </r>
    <r>
      <rPr>
        <sz val="9"/>
        <rFont val="Times New Roman"/>
        <family val="1"/>
      </rPr>
      <t xml:space="preserve"> =</t>
    </r>
  </si>
  <si>
    <t>DY =</t>
  </si>
  <si>
    <t>Độc lập - Tự do - Hạnh phúc</t>
  </si>
  <si>
    <t>NHẬT KÝ CỌC KHOAN NHỒI</t>
  </si>
  <si>
    <t>Hạng mục</t>
  </si>
  <si>
    <t>Số hiệu cọc</t>
  </si>
  <si>
    <t>Số hiệu cọc :</t>
  </si>
  <si>
    <t xml:space="preserve">Kết thúc:        </t>
  </si>
  <si>
    <t>Kết thúc:</t>
  </si>
  <si>
    <t>Kết thúc</t>
  </si>
  <si>
    <t xml:space="preserve"> - Kết thúc</t>
  </si>
  <si>
    <t xml:space="preserve">Kết thúc
</t>
  </si>
  <si>
    <t>Ngày</t>
  </si>
  <si>
    <t>Cao độ, m</t>
  </si>
  <si>
    <t xml:space="preserve">lần Kiểm tra : </t>
  </si>
  <si>
    <t>ngày</t>
  </si>
  <si>
    <t>Bắt đầu :</t>
  </si>
  <si>
    <t>Bắt đầu</t>
  </si>
  <si>
    <t xml:space="preserve">Bắt đầu : </t>
  </si>
  <si>
    <t xml:space="preserve">Bắt đầu
</t>
  </si>
  <si>
    <t>* Tỷ trọng:(g/cm3)</t>
  </si>
  <si>
    <t>* Độ nhớt:(s)</t>
  </si>
  <si>
    <t>* Độ PH:</t>
  </si>
  <si>
    <t>* Hàm lượng cát:</t>
  </si>
  <si>
    <t>* Hàm lượng cát:(%)</t>
  </si>
  <si>
    <t>* Chiều sâu từ đỉnh casing:(m)</t>
  </si>
  <si>
    <t>* Chiều sâu từ mặt casing:(m)</t>
  </si>
  <si>
    <r>
      <t xml:space="preserve">Khoan tạo lỗ :   </t>
    </r>
    <r>
      <rPr>
        <sz val="9"/>
        <rFont val="Times New Roman"/>
        <family val="1"/>
      </rPr>
      <t/>
    </r>
  </si>
  <si>
    <t xml:space="preserve">Bắt đầu :   </t>
  </si>
  <si>
    <t xml:space="preserve">Vét lắng  </t>
  </si>
  <si>
    <t>* Chiều sâu từ mặt casing sau khi Vét lắng (m)</t>
  </si>
  <si>
    <t>Kết thúc khoan hồi :</t>
  </si>
  <si>
    <t>Nghiệm thu lồng thép:</t>
  </si>
  <si>
    <t>Lồng</t>
  </si>
  <si>
    <t>Thép chủ</t>
  </si>
  <si>
    <t>Thép đai</t>
  </si>
  <si>
    <t>Thép giá</t>
  </si>
  <si>
    <t>Chiều dài lồng (m)</t>
  </si>
  <si>
    <t>Ống siêu âm (Sonic), mm</t>
  </si>
  <si>
    <t>số lượng</t>
  </si>
  <si>
    <t>Ống siêu âm D59.9mm, số lượng (ống):</t>
  </si>
  <si>
    <t>Ống siêu âm D113,5mm, số lượng (ống):</t>
  </si>
  <si>
    <t>Chiều dài (m):</t>
  </si>
  <si>
    <t>Chiều dài (m)</t>
  </si>
  <si>
    <t>Đường kính lồng thép (mm):</t>
  </si>
  <si>
    <t>Hạ lồng thép, ống đổ, ống thổi :</t>
  </si>
  <si>
    <t>* Chiều sâu từ mặt Casing sau: (m)</t>
  </si>
  <si>
    <t>KL bê tông</t>
  </si>
  <si>
    <t>bê tông LT</t>
  </si>
  <si>
    <t>Kiểm tra chiều sâu hố khoan trước khi đổ bê tông</t>
  </si>
  <si>
    <t xml:space="preserve">
Chiều dài ống đổ 
(m)
</t>
  </si>
  <si>
    <t>chiều sâu trước khi đổ(so với đỉnh sing)</t>
  </si>
  <si>
    <t>(ống đổ BT)</t>
  </si>
  <si>
    <t>Tvgs  đồng ý cho đổ bê tông</t>
  </si>
  <si>
    <t>Khối lượng bê tông (m3)</t>
  </si>
  <si>
    <t>Khối lượng(m3)</t>
  </si>
  <si>
    <t xml:space="preserve">Khối lượng bê tông đã đổ (m3): </t>
  </si>
  <si>
    <t>Con kê BT</t>
  </si>
  <si>
    <t>Kiểm tra Polymer lần1:</t>
  </si>
  <si>
    <t>Kiểm tra Polymer lần 2:</t>
  </si>
  <si>
    <t xml:space="preserve">Chiều sâu dừng đổ bê tông tính từ đỉnh Casing (m): </t>
  </si>
  <si>
    <t xml:space="preserve">Nghiệm thu định vị ống Casing: </t>
  </si>
  <si>
    <r>
      <t xml:space="preserve"> ----------</t>
    </r>
    <r>
      <rPr>
        <sz val="12"/>
        <color indexed="8"/>
        <rFont val="Wingdings"/>
        <charset val="2"/>
      </rPr>
      <t>µ</t>
    </r>
    <r>
      <rPr>
        <sz val="12"/>
        <color indexed="8"/>
        <rFont val="Times New Roman"/>
        <family val="1"/>
      </rPr>
      <t>----------</t>
    </r>
  </si>
  <si>
    <t xml:space="preserve">           Sau khi đã nghiệm thu nội bộ công việc xây dựng Nhà thầu thi công đề nghị Tư vấn giám sát nghiệm thu các công việc như sau</t>
  </si>
  <si>
    <t>Đối tượng</t>
  </si>
  <si>
    <t>Ngày nhận</t>
  </si>
  <si>
    <t>Ý kiến của TVGS</t>
  </si>
  <si>
    <t>Người nhận 
(ký, ghi rõ họ tên)</t>
  </si>
  <si>
    <t>công đã chuẩn bị xong các tài liệu làm căn cứ nghiệm</t>
  </si>
  <si>
    <t xml:space="preserve"> thu ghi dưới đây)</t>
  </si>
  <si>
    <t>Các tài liệu làm căn cứ để nghiệm thu:</t>
  </si>
  <si>
    <r>
      <t>-</t>
    </r>
    <r>
      <rPr>
        <sz val="7"/>
        <rFont val="Times New Roman"/>
        <family val="1"/>
      </rPr>
      <t xml:space="preserve">          </t>
    </r>
    <r>
      <rPr>
        <i/>
        <sz val="11"/>
        <rFont val="Times New Roman"/>
        <family val="1"/>
      </rPr>
      <t>Biên bản nghiệm thu nội bộ của Nhà thầu xây lắp.</t>
    </r>
  </si>
  <si>
    <r>
      <t>-</t>
    </r>
    <r>
      <rPr>
        <sz val="7"/>
        <rFont val="Times New Roman"/>
        <family val="1"/>
      </rPr>
      <t xml:space="preserve">          </t>
    </r>
    <r>
      <rPr>
        <i/>
        <sz val="11"/>
        <rFont val="Times New Roman"/>
        <family val="1"/>
      </rPr>
      <t>Hồ sơ thiết kế kỹ thuật thi công được duyệt.</t>
    </r>
  </si>
  <si>
    <r>
      <t>-</t>
    </r>
    <r>
      <rPr>
        <sz val="7"/>
        <rFont val="Times New Roman"/>
        <family val="1"/>
      </rPr>
      <t xml:space="preserve">          </t>
    </r>
    <r>
      <rPr>
        <i/>
        <sz val="11"/>
        <rFont val="Times New Roman"/>
        <family val="1"/>
      </rPr>
      <t>Các chứng chỉ xuất xưởng, thí nghiệm vật liệu.</t>
    </r>
  </si>
  <si>
    <r>
      <t>-</t>
    </r>
    <r>
      <rPr>
        <sz val="7"/>
        <rFont val="Times New Roman"/>
        <family val="1"/>
      </rPr>
      <t xml:space="preserve">          </t>
    </r>
    <r>
      <rPr>
        <i/>
        <sz val="11"/>
        <rFont val="Times New Roman"/>
        <family val="1"/>
      </rPr>
      <t>Nhật ký công trình.</t>
    </r>
  </si>
  <si>
    <r>
      <t>-</t>
    </r>
    <r>
      <rPr>
        <sz val="7"/>
        <rFont val="Times New Roman"/>
        <family val="1"/>
      </rPr>
      <t xml:space="preserve">          </t>
    </r>
    <r>
      <rPr>
        <i/>
        <sz val="11"/>
        <rFont val="Times New Roman"/>
        <family val="1"/>
      </rPr>
      <t>Các hồ sơ khác tuỳ theo tính chất công việc</t>
    </r>
  </si>
  <si>
    <t>Phiếu này được lập thành 4 bản:</t>
  </si>
  <si>
    <r>
      <t>-</t>
    </r>
    <r>
      <rPr>
        <sz val="7"/>
        <rFont val="Times New Roman"/>
        <family val="1"/>
      </rPr>
      <t xml:space="preserve">          </t>
    </r>
    <r>
      <rPr>
        <i/>
        <sz val="11"/>
        <rFont val="Times New Roman"/>
        <family val="1"/>
      </rPr>
      <t>03 Nhà thầu lưu làm hồ sơ hoàn công</t>
    </r>
  </si>
  <si>
    <t>Tọa độ thiết kế</t>
  </si>
  <si>
    <t>Tọa độ thực tế</t>
  </si>
  <si>
    <t>Sai số</t>
  </si>
  <si>
    <t>Y</t>
  </si>
  <si>
    <t>Các liên kết mối nối</t>
  </si>
  <si>
    <t>Vệ sinh lồng thép</t>
  </si>
  <si>
    <t>Chiều dài lồng thép</t>
  </si>
  <si>
    <t>Số lượng, chủng loại ống thép</t>
  </si>
  <si>
    <t>Thước 50m</t>
  </si>
  <si>
    <t>Đường kính, số lượng thép chủ</t>
  </si>
  <si>
    <t>Đường kính, khoảng cách thép đai</t>
  </si>
  <si>
    <t>Thép kẹp, thước mét</t>
  </si>
  <si>
    <t>Thước kẹp, quan sát</t>
  </si>
  <si>
    <t>Theo dõi nén, kết quả TN</t>
  </si>
  <si>
    <t>Phiếu theo dõi đổ bê tông</t>
  </si>
  <si>
    <t>Tính toán, kiểm tra</t>
  </si>
  <si>
    <t>.....................................</t>
  </si>
  <si>
    <t>..........................</t>
  </si>
  <si>
    <t>PHIẾU YÊU CẦU NGHIỆM THU</t>
  </si>
  <si>
    <t>Đồng ý cho bảo quản mẫu, lưu và để thí nghiệm</t>
  </si>
  <si>
    <t>1. Đại diện ban chỉ huy công trình</t>
  </si>
  <si>
    <t>IV./ ĐÁNH GIÁ CÔNG VIỆC XÂY DỰNG ĐÃ THỰC HIỆN:</t>
  </si>
  <si>
    <t>BAN CHỈ HUY CÔNG TRÌNH</t>
  </si>
  <si>
    <t>Hồ sơ gồm có:</t>
  </si>
  <si>
    <t>1. Nhật ký cọc</t>
  </si>
  <si>
    <t>2. Sơ họa hố đào</t>
  </si>
  <si>
    <t>3. Phiếu theo dõi đổ bê tông</t>
  </si>
  <si>
    <t>4. Biên bản lấy mẫu bê tông cọc</t>
  </si>
  <si>
    <t>Kết quả nén mẫu bê tông R28</t>
  </si>
  <si>
    <t>.............................................................</t>
  </si>
  <si>
    <t>Theo dõi, ghi chép tại CT</t>
  </si>
  <si>
    <t>TCVN4453-1995: Kết cấu bê tông và bê tông cốt thép toàn khối</t>
  </si>
  <si>
    <t>CỌC KHOAN NHỒI</t>
  </si>
  <si>
    <t>P. BẠCH ĐẰNG, TP. HẠ LONG, TỈNH QUẢNG NINH</t>
  </si>
  <si>
    <t>P. Bạch Đằng, TP Hạ Long, Tỉnh Quảng Ninh</t>
  </si>
  <si>
    <t>CÔNG TY CỔ PHẦN ĐẦU TƯ VÀ KHÁCH SẠN MYWAY HẠ LONG</t>
  </si>
  <si>
    <t>Công ty Cổ phần đầu tư và Khách sạn MyWay Hạ Long</t>
  </si>
  <si>
    <t>………………..</t>
  </si>
  <si>
    <t>CÔNG TY TNHH MTV HANTECH</t>
  </si>
  <si>
    <t>Công ty TNHH MTV HANTECH</t>
  </si>
  <si>
    <t>Ký nội bộ</t>
  </si>
  <si>
    <t>Nguyễn Văn Tĩnh</t>
  </si>
  <si>
    <t>…………………………….</t>
  </si>
  <si>
    <t>B13</t>
  </si>
  <si>
    <t>B25</t>
  </si>
  <si>
    <t>Tại công trình</t>
  </si>
  <si>
    <r>
      <t>f10</t>
    </r>
    <r>
      <rPr>
        <sz val="9"/>
        <rFont val="Times New Roman"/>
        <family val="1"/>
      </rPr>
      <t xml:space="preserve"> a20</t>
    </r>
    <r>
      <rPr>
        <sz val="9"/>
        <rFont val="Symbol"/>
        <family val="1"/>
        <charset val="2"/>
      </rPr>
      <t>0</t>
    </r>
  </si>
  <si>
    <r>
      <t>f18</t>
    </r>
    <r>
      <rPr>
        <sz val="9"/>
        <rFont val="Symbol"/>
        <family val="1"/>
        <charset val="2"/>
      </rPr>
      <t xml:space="preserve"> </t>
    </r>
    <r>
      <rPr>
        <sz val="9"/>
        <rFont val="Times New Roman"/>
        <family val="1"/>
      </rPr>
      <t>a2000</t>
    </r>
  </si>
  <si>
    <t xml:space="preserve">Khoan gặp đá: </t>
  </si>
  <si>
    <t>Gặp đá:</t>
  </si>
  <si>
    <t>Khối lượng BT theo lý thuyết (m3):</t>
  </si>
  <si>
    <t>x</t>
  </si>
  <si>
    <t>.........................</t>
  </si>
  <si>
    <t>ĐẠI DIỆN GIÁM SÁT CĐT</t>
  </si>
  <si>
    <t xml:space="preserve">TCVN 9398:2012: Công tác trắc địa trong xây dựng công trình - Yêu cầu chung  </t>
  </si>
  <si>
    <t>Ý kiến của GS CĐT</t>
  </si>
  <si>
    <t>-       01  Giám sát CĐT lưu để thực hiện</t>
  </si>
  <si>
    <t xml:space="preserve">(Ghi chú: Giám sát  chủ đầu tư chỉ ký nhận khi đơn vị thi </t>
  </si>
  <si>
    <t>KHU HỖN HỢP CHUNG CƯ, VĂN PHÒNG, TRUNG TÂM THƯƠNG MẠI VÀ NHÀ Ở KẾT HỢP KHU MUA SẮM</t>
  </si>
  <si>
    <t>ĐỊA ĐIỂM:</t>
  </si>
  <si>
    <t>CÔNG TRÌNH:</t>
  </si>
  <si>
    <t>8. Biên bản nghiệm thu cấu kiện bê tông</t>
  </si>
  <si>
    <t>Chữ ký</t>
  </si>
  <si>
    <t>BAN QLDA</t>
  </si>
  <si>
    <t>Cao độ dừng đổ bê tông so với Cos  ± 0.00:</t>
  </si>
  <si>
    <t>Tên cọc</t>
  </si>
  <si>
    <t>Xi</t>
  </si>
  <si>
    <t>Yi</t>
  </si>
  <si>
    <t>Chiều dài(m)</t>
  </si>
  <si>
    <t>A1</t>
  </si>
  <si>
    <t>A46</t>
  </si>
  <si>
    <t>A91</t>
  </si>
  <si>
    <t>A136</t>
  </si>
  <si>
    <t>B17</t>
  </si>
  <si>
    <t>A2</t>
  </si>
  <si>
    <t>A47</t>
  </si>
  <si>
    <t>A92</t>
  </si>
  <si>
    <t>A137</t>
  </si>
  <si>
    <t>B18</t>
  </si>
  <si>
    <t>A3</t>
  </si>
  <si>
    <t>A48</t>
  </si>
  <si>
    <t>A93</t>
  </si>
  <si>
    <t>A138</t>
  </si>
  <si>
    <t>B19</t>
  </si>
  <si>
    <t>A4</t>
  </si>
  <si>
    <t>A49</t>
  </si>
  <si>
    <t>A94</t>
  </si>
  <si>
    <t>A139</t>
  </si>
  <si>
    <t>B20</t>
  </si>
  <si>
    <t>A5</t>
  </si>
  <si>
    <t>A50</t>
  </si>
  <si>
    <t>A95</t>
  </si>
  <si>
    <t>A140</t>
  </si>
  <si>
    <t>B21</t>
  </si>
  <si>
    <t>A6</t>
  </si>
  <si>
    <t>A51</t>
  </si>
  <si>
    <t>A96</t>
  </si>
  <si>
    <t>A141</t>
  </si>
  <si>
    <t>B22</t>
  </si>
  <si>
    <t>A7</t>
  </si>
  <si>
    <t>A52</t>
  </si>
  <si>
    <t>A97</t>
  </si>
  <si>
    <t>A142</t>
  </si>
  <si>
    <t>B23</t>
  </si>
  <si>
    <t>A8</t>
  </si>
  <si>
    <t>A53</t>
  </si>
  <si>
    <t>A98</t>
  </si>
  <si>
    <t>A143</t>
  </si>
  <si>
    <t>B24</t>
  </si>
  <si>
    <t>A9</t>
  </si>
  <si>
    <t>A54</t>
  </si>
  <si>
    <t>A99</t>
  </si>
  <si>
    <t>A144</t>
  </si>
  <si>
    <t>A10</t>
  </si>
  <si>
    <t>A55</t>
  </si>
  <si>
    <t>A100</t>
  </si>
  <si>
    <t>A145</t>
  </si>
  <si>
    <t>B26</t>
  </si>
  <si>
    <t>A11</t>
  </si>
  <si>
    <t>A56</t>
  </si>
  <si>
    <t>A101</t>
  </si>
  <si>
    <t>A146</t>
  </si>
  <si>
    <t>B27</t>
  </si>
  <si>
    <t>A12</t>
  </si>
  <si>
    <t>A57</t>
  </si>
  <si>
    <t>A102</t>
  </si>
  <si>
    <t>A147</t>
  </si>
  <si>
    <t>B28</t>
  </si>
  <si>
    <t>A13</t>
  </si>
  <si>
    <t>A58</t>
  </si>
  <si>
    <t>A103</t>
  </si>
  <si>
    <t>A148</t>
  </si>
  <si>
    <t>B29</t>
  </si>
  <si>
    <t>A14</t>
  </si>
  <si>
    <t>A59</t>
  </si>
  <si>
    <t>A104</t>
  </si>
  <si>
    <t>A149</t>
  </si>
  <si>
    <t>B30</t>
  </si>
  <si>
    <t>A15</t>
  </si>
  <si>
    <t>A60</t>
  </si>
  <si>
    <t>A105</t>
  </si>
  <si>
    <t>A150</t>
  </si>
  <si>
    <t>B31</t>
  </si>
  <si>
    <t>A16</t>
  </si>
  <si>
    <t>A61</t>
  </si>
  <si>
    <t>A106</t>
  </si>
  <si>
    <t>A151</t>
  </si>
  <si>
    <t>B32</t>
  </si>
  <si>
    <t>A17</t>
  </si>
  <si>
    <t>A62</t>
  </si>
  <si>
    <t>A107</t>
  </si>
  <si>
    <t>A152</t>
  </si>
  <si>
    <t>B33</t>
  </si>
  <si>
    <t>A18</t>
  </si>
  <si>
    <t>A63</t>
  </si>
  <si>
    <t>A108</t>
  </si>
  <si>
    <t>A153</t>
  </si>
  <si>
    <t>B34</t>
  </si>
  <si>
    <t>A19</t>
  </si>
  <si>
    <t>A64</t>
  </si>
  <si>
    <t>A109</t>
  </si>
  <si>
    <t>A154</t>
  </si>
  <si>
    <t>B35</t>
  </si>
  <si>
    <t>A20</t>
  </si>
  <si>
    <t>A65</t>
  </si>
  <si>
    <t>A110</t>
  </si>
  <si>
    <t>A155</t>
  </si>
  <si>
    <t>B36</t>
  </si>
  <si>
    <t>A21</t>
  </si>
  <si>
    <t>A66</t>
  </si>
  <si>
    <t>A111</t>
  </si>
  <si>
    <t>A156</t>
  </si>
  <si>
    <t>B37</t>
  </si>
  <si>
    <t>A22</t>
  </si>
  <si>
    <t>A67</t>
  </si>
  <si>
    <t>A112</t>
  </si>
  <si>
    <t>A157</t>
  </si>
  <si>
    <t>B38</t>
  </si>
  <si>
    <t>A23</t>
  </si>
  <si>
    <t>A68</t>
  </si>
  <si>
    <t>A113</t>
  </si>
  <si>
    <t>A158</t>
  </si>
  <si>
    <t>B39</t>
  </si>
  <si>
    <t>A24</t>
  </si>
  <si>
    <t>A69</t>
  </si>
  <si>
    <t>A114</t>
  </si>
  <si>
    <t>A159</t>
  </si>
  <si>
    <t>B40</t>
  </si>
  <si>
    <t>A25</t>
  </si>
  <si>
    <t>A70</t>
  </si>
  <si>
    <t>A115</t>
  </si>
  <si>
    <t>A160</t>
  </si>
  <si>
    <t>B41</t>
  </si>
  <si>
    <t>A26</t>
  </si>
  <si>
    <t>A71</t>
  </si>
  <si>
    <t>A116</t>
  </si>
  <si>
    <t>A161</t>
  </si>
  <si>
    <t>B42</t>
  </si>
  <si>
    <t>A27</t>
  </si>
  <si>
    <t>A72</t>
  </si>
  <si>
    <t>A117</t>
  </si>
  <si>
    <t>A162</t>
  </si>
  <si>
    <t>B43</t>
  </si>
  <si>
    <t>A28</t>
  </si>
  <si>
    <t>A73</t>
  </si>
  <si>
    <t>A118</t>
  </si>
  <si>
    <t>A163</t>
  </si>
  <si>
    <t>B44</t>
  </si>
  <si>
    <t>A29</t>
  </si>
  <si>
    <t>A74</t>
  </si>
  <si>
    <t>A119</t>
  </si>
  <si>
    <t>B45</t>
  </si>
  <si>
    <t>A30</t>
  </si>
  <si>
    <t>A75</t>
  </si>
  <si>
    <t>A120</t>
  </si>
  <si>
    <t>B1</t>
  </si>
  <si>
    <t>B46</t>
  </si>
  <si>
    <t>A31</t>
  </si>
  <si>
    <t>A76</t>
  </si>
  <si>
    <t>A121</t>
  </si>
  <si>
    <t>B2</t>
  </si>
  <si>
    <t>B47</t>
  </si>
  <si>
    <t>A32</t>
  </si>
  <si>
    <t>A77</t>
  </si>
  <si>
    <t>A122</t>
  </si>
  <si>
    <t>B3</t>
  </si>
  <si>
    <t>B48</t>
  </si>
  <si>
    <t>A33</t>
  </si>
  <si>
    <t>A78</t>
  </si>
  <si>
    <t>A123</t>
  </si>
  <si>
    <t>B4</t>
  </si>
  <si>
    <t>B49</t>
  </si>
  <si>
    <t>A34</t>
  </si>
  <si>
    <t>A79</t>
  </si>
  <si>
    <t>A124</t>
  </si>
  <si>
    <t>B5</t>
  </si>
  <si>
    <t>A35</t>
  </si>
  <si>
    <t>A80</t>
  </si>
  <si>
    <t>A125</t>
  </si>
  <si>
    <t>B6</t>
  </si>
  <si>
    <t>A36</t>
  </si>
  <si>
    <t>A81</t>
  </si>
  <si>
    <t>A126</t>
  </si>
  <si>
    <t>B7</t>
  </si>
  <si>
    <t>A37</t>
  </si>
  <si>
    <t>A82</t>
  </si>
  <si>
    <t>A127</t>
  </si>
  <si>
    <t>B8</t>
  </si>
  <si>
    <t>Bảng tọa độ mốc gửi trong công trình</t>
  </si>
  <si>
    <t>A38</t>
  </si>
  <si>
    <t>A83</t>
  </si>
  <si>
    <t>A128</t>
  </si>
  <si>
    <t>B9</t>
  </si>
  <si>
    <t>Tên mốc</t>
  </si>
  <si>
    <t xml:space="preserve">Y </t>
  </si>
  <si>
    <t>Z</t>
  </si>
  <si>
    <t>A39</t>
  </si>
  <si>
    <t>A84</t>
  </si>
  <si>
    <t>A129</t>
  </si>
  <si>
    <t>B10</t>
  </si>
  <si>
    <t>P1</t>
  </si>
  <si>
    <t>A40</t>
  </si>
  <si>
    <t>A85</t>
  </si>
  <si>
    <t>A130</t>
  </si>
  <si>
    <t>B11</t>
  </si>
  <si>
    <t>P2</t>
  </si>
  <si>
    <t>A41</t>
  </si>
  <si>
    <t>A86</t>
  </si>
  <si>
    <t>A131</t>
  </si>
  <si>
    <t>B12</t>
  </si>
  <si>
    <t>P3</t>
  </si>
  <si>
    <t>A42</t>
  </si>
  <si>
    <t>A87</t>
  </si>
  <si>
    <t>A132</t>
  </si>
  <si>
    <t>A43</t>
  </si>
  <si>
    <t>A88</t>
  </si>
  <si>
    <t>A133</t>
  </si>
  <si>
    <t>B14</t>
  </si>
  <si>
    <t>A44</t>
  </si>
  <si>
    <t>A89</t>
  </si>
  <si>
    <t>A134</t>
  </si>
  <si>
    <t>B15</t>
  </si>
  <si>
    <t>A45</t>
  </si>
  <si>
    <t>A90</t>
  </si>
  <si>
    <t>A135</t>
  </si>
  <si>
    <t>B16</t>
  </si>
  <si>
    <t>DC6</t>
  </si>
  <si>
    <t>DC5</t>
  </si>
  <si>
    <t>DC5A</t>
  </si>
  <si>
    <t>DC6A</t>
  </si>
  <si>
    <t>DC2</t>
  </si>
  <si>
    <t>DC1</t>
  </si>
  <si>
    <t>DC3</t>
  </si>
  <si>
    <t>DC3A</t>
  </si>
  <si>
    <t>DC7</t>
  </si>
  <si>
    <t>DC4</t>
  </si>
  <si>
    <t>DC8</t>
  </si>
  <si>
    <t>DC8A</t>
  </si>
  <si>
    <t>DC9</t>
  </si>
  <si>
    <t>DC10A</t>
  </si>
  <si>
    <t>DC10B</t>
  </si>
  <si>
    <t>DC10</t>
  </si>
  <si>
    <t>Tên đài</t>
  </si>
  <si>
    <t>Cao độ dừng đổ BT</t>
  </si>
  <si>
    <t>Cọc đặt ống khoan lõi</t>
  </si>
  <si>
    <t>Cọc đặt 4 ống siêu âm</t>
  </si>
  <si>
    <t>Cọc đặt loại ống gì</t>
  </si>
  <si>
    <t>Cao độ đỉnh casing so với cos ± 0.00 công trình (m):</t>
  </si>
  <si>
    <t>Cao độ nền TN  so với cos ± 0.00 công trình (m):</t>
  </si>
  <si>
    <t>Ống D60</t>
  </si>
  <si>
    <t>Ống D113,5</t>
  </si>
  <si>
    <t>Tọa độ</t>
  </si>
  <si>
    <t>y</t>
  </si>
  <si>
    <t>SL ống 60</t>
  </si>
  <si>
    <t>SL ống 113,5</t>
  </si>
  <si>
    <t>Số hiệu</t>
  </si>
  <si>
    <t>Tên đất</t>
  </si>
  <si>
    <t>Ký hiệu</t>
  </si>
  <si>
    <t>Đất lấp: Sét pha, lẫn gạch vụn, đá tảng.</t>
  </si>
  <si>
    <t>Sét pha lẫn sạn, màu nâu đỏ, xám vàng, trạng thái dẻo cứng</t>
  </si>
  <si>
    <t>Đá dăm lẫn sét pha (Đá vôi phong hóa mạnh đến hoàn toàn)</t>
  </si>
  <si>
    <t>4a</t>
  </si>
  <si>
    <t>Đá vôi màu xám nâu, xám xanh, phong hóa nứt nẻ, dập vỡ mạnh, háng hốc Karst</t>
  </si>
  <si>
    <t>H</t>
  </si>
  <si>
    <t>Hạng Karst chứa sét pha</t>
  </si>
  <si>
    <t>4b</t>
  </si>
  <si>
    <t>Đá vôi màu xám xanh, xám đen, nâu hồng, phong hóa nứt nẻ, dập vỡ mạnh, khe nứt lấp nhét, sét pha, đá cứng chắc.</t>
  </si>
  <si>
    <t>4c</t>
  </si>
  <si>
    <t>Đá vôi màu xám xanh, xám đen, nâu hồng, phong hóa trung bình đến nhẹ, khe nứt lấp nhét pha, đá cứng chắc.</t>
  </si>
  <si>
    <t>Lớp 1</t>
  </si>
  <si>
    <t>Lớp 2</t>
  </si>
  <si>
    <t>Lớp 3</t>
  </si>
  <si>
    <t>Lớp 4</t>
  </si>
  <si>
    <t>Lớp 5</t>
  </si>
  <si>
    <t>Lớp 6</t>
  </si>
  <si>
    <t>Cao độ đỉnh</t>
  </si>
  <si>
    <t>HK1</t>
  </si>
  <si>
    <t>HK2</t>
  </si>
  <si>
    <t>HK3</t>
  </si>
  <si>
    <t>HK4</t>
  </si>
  <si>
    <t>HK5</t>
  </si>
  <si>
    <t>HK6</t>
  </si>
  <si>
    <t>HK7</t>
  </si>
  <si>
    <t>HK8</t>
  </si>
  <si>
    <t>HK9</t>
  </si>
  <si>
    <t>HK10</t>
  </si>
  <si>
    <t>HK11</t>
  </si>
  <si>
    <t>HK12</t>
  </si>
  <si>
    <t>HK13</t>
  </si>
  <si>
    <t>HK14</t>
  </si>
  <si>
    <t>HK15</t>
  </si>
  <si>
    <t>HK16</t>
  </si>
  <si>
    <t>HK17</t>
  </si>
  <si>
    <t>HK18</t>
  </si>
  <si>
    <t>HK19</t>
  </si>
  <si>
    <t>HK20</t>
  </si>
  <si>
    <t>HK21</t>
  </si>
  <si>
    <t>HK22</t>
  </si>
  <si>
    <t>HK23</t>
  </si>
  <si>
    <t>HK24</t>
  </si>
  <si>
    <t>HK25</t>
  </si>
  <si>
    <t>HK26</t>
  </si>
  <si>
    <t>HK27</t>
  </si>
  <si>
    <t>HK28</t>
  </si>
  <si>
    <t>HK29</t>
  </si>
  <si>
    <t>HK30</t>
  </si>
  <si>
    <t>HK31</t>
  </si>
  <si>
    <t>HK32</t>
  </si>
  <si>
    <t>HK33</t>
  </si>
  <si>
    <t>HK34</t>
  </si>
  <si>
    <t>HK35</t>
  </si>
  <si>
    <t>HK36</t>
  </si>
  <si>
    <t>HK37</t>
  </si>
  <si>
    <t>HK38</t>
  </si>
  <si>
    <t>HK39</t>
  </si>
  <si>
    <t>HK40</t>
  </si>
  <si>
    <t>HK41</t>
  </si>
  <si>
    <t>HK42</t>
  </si>
  <si>
    <t>HK43</t>
  </si>
  <si>
    <t>HK44</t>
  </si>
  <si>
    <t>HK45</t>
  </si>
  <si>
    <t>HK46</t>
  </si>
  <si>
    <t>HK47</t>
  </si>
  <si>
    <t>HK48</t>
  </si>
  <si>
    <t>HK49</t>
  </si>
  <si>
    <t>HK50</t>
  </si>
  <si>
    <t>Lớp 7</t>
  </si>
  <si>
    <t>Lớp 8</t>
  </si>
  <si>
    <t>Lỗ khoan</t>
  </si>
  <si>
    <t>Lớp 9</t>
  </si>
  <si>
    <t>Lớp 10</t>
  </si>
  <si>
    <t>Lớp 11</t>
  </si>
  <si>
    <t>Lớp 12</t>
  </si>
  <si>
    <t>Lớp 13</t>
  </si>
  <si>
    <t>Địa chất</t>
  </si>
  <si>
    <t>HK51</t>
  </si>
  <si>
    <t>HK8*</t>
  </si>
  <si>
    <t>HK6*</t>
  </si>
  <si>
    <t>HK4*</t>
  </si>
  <si>
    <t>HK2*</t>
  </si>
  <si>
    <t>BAN QUẢN LÝ DỰ ÁN</t>
  </si>
  <si>
    <t>Lỗ khoan địa chất</t>
  </si>
  <si>
    <t>Chiều sâu chạm đá thiết kế</t>
  </si>
  <si>
    <t xml:space="preserve">Cọc loại </t>
  </si>
  <si>
    <t>D1200 loại 1</t>
  </si>
  <si>
    <t>D800 loại 1</t>
  </si>
  <si>
    <t>D800 loại 2</t>
  </si>
  <si>
    <t>D1200 loại 2</t>
  </si>
  <si>
    <t>Đáy cọc</t>
  </si>
  <si>
    <t>Đáy cọc nằm ở lớp</t>
  </si>
  <si>
    <t>Lớp</t>
  </si>
  <si>
    <t>Lớp Đc</t>
  </si>
  <si>
    <t>Lớp khoan</t>
  </si>
  <si>
    <t>Ký hiệu lớp</t>
  </si>
  <si>
    <t>KH lớp khoan</t>
  </si>
  <si>
    <t>Cao độ</t>
  </si>
  <si>
    <t>Lớp ký hiệu</t>
  </si>
  <si>
    <t>Chiều dày lớp</t>
  </si>
  <si>
    <t>Độ sâu</t>
  </si>
  <si>
    <t>Lồng 2</t>
  </si>
  <si>
    <t>Lồng 3</t>
  </si>
  <si>
    <t>Lồng 4</t>
  </si>
  <si>
    <t>Lồng 5</t>
  </si>
  <si>
    <t>Lồng 1</t>
  </si>
  <si>
    <t>6F14</t>
  </si>
  <si>
    <t>Tổng chiều dài lồng thép</t>
  </si>
  <si>
    <t>Mối nối</t>
  </si>
  <si>
    <t>dài</t>
  </si>
  <si>
    <t>Tư vấn giám sát</t>
  </si>
  <si>
    <t>Gói thầu</t>
  </si>
  <si>
    <t>GÓI THẦU:</t>
  </si>
  <si>
    <t>Công ty Cổ phần tư vấn kiểm định và thương mại xây dựng Goldsun</t>
  </si>
  <si>
    <t>CÔNG TY CỔ PHẦN TƯ VẤN KIỂM ĐỊNH VÀ THƯƠNG MẠI XÂY DỰNG GOLDSUN</t>
  </si>
  <si>
    <t>TƯ VẤN GIÁM SÁT                 NHÀ THẦU THI CÔNG</t>
  </si>
  <si>
    <t>Gói thầu:</t>
  </si>
  <si>
    <t>Mác B25</t>
  </si>
  <si>
    <t>Chạm đá</t>
  </si>
  <si>
    <t>GÓI THẦU :</t>
  </si>
  <si>
    <t>ĐỊA ĐIỂM :</t>
  </si>
  <si>
    <t>II./ THÀNH PHẦN THAM GIA NGHIỆM THU :</t>
  </si>
  <si>
    <t xml:space="preserve">1 - Đại diện Ban chỉ huy công trình: </t>
  </si>
  <si>
    <t>2 - Đại diện đội thi công trực tiếp:</t>
  </si>
  <si>
    <t>-    Quy định thi công và kiểm tra của dự án.</t>
  </si>
  <si>
    <t>-   Nhật ký thi công và các văn bản khác có liên quan đến đối tượng kiểm tra.</t>
  </si>
  <si>
    <t>2 -  Phương pháp, nội dung nghiệm thu:</t>
  </si>
  <si>
    <t xml:space="preserve">   Cán bộ trắc đạc</t>
  </si>
  <si>
    <t xml:space="preserve">Kính gửi:  </t>
  </si>
  <si>
    <t>ĐƠN VỊ TƯ VẤN GIÁM SÁT</t>
  </si>
  <si>
    <t>Đối tượng NT:</t>
  </si>
  <si>
    <t>Ban QLDA</t>
  </si>
  <si>
    <t>Thời gian nhận</t>
  </si>
  <si>
    <t>3 - Đại diện nhà thầu thi công: Công ty trách nhiệm hữu hạn một thành viên Hantech</t>
  </si>
  <si>
    <t>Khu hỗn hợp chung cư, văn phòng, trung tâm thương mại và nhà ở kết hợp khu mua sắm</t>
  </si>
  <si>
    <t>Nguyễn Thanh Tân</t>
  </si>
  <si>
    <t>Phạm Tiến Dũng</t>
  </si>
  <si>
    <t>Nguyễn Mạnh Hùng</t>
  </si>
  <si>
    <t>Chỉ huy phó công trường</t>
  </si>
  <si>
    <t>Nguyễn Văn Long</t>
  </si>
  <si>
    <t>Công ty Cổ phần Đầu tư và Xây dựng số 18.1</t>
  </si>
  <si>
    <t>* Cao độ từ cốt +0.00:(m)</t>
  </si>
  <si>
    <t>Thời tiết</t>
  </si>
  <si>
    <t>Bình thường</t>
  </si>
  <si>
    <r>
      <t>f10</t>
    </r>
    <r>
      <rPr>
        <sz val="9"/>
        <rFont val="Times New Roman"/>
        <family val="1"/>
      </rPr>
      <t xml:space="preserve"> a10</t>
    </r>
    <r>
      <rPr>
        <sz val="9"/>
        <rFont val="Symbol"/>
        <family val="1"/>
        <charset val="2"/>
      </rPr>
      <t>0</t>
    </r>
  </si>
  <si>
    <t>Nguyễn Văn Mạnh</t>
  </si>
  <si>
    <t>Nguyễn Thành Niên</t>
  </si>
  <si>
    <t>Nguyễn Tiến Long</t>
  </si>
  <si>
    <t>Đất san lấp</t>
  </si>
  <si>
    <t>Lê Minh Châu</t>
  </si>
  <si>
    <t>Đất sét chạm đá</t>
  </si>
  <si>
    <t>Chiều sâu ( m) tính từ đỉnh sing</t>
  </si>
  <si>
    <t>Phạm Văn Trà</t>
  </si>
  <si>
    <t>Đá</t>
  </si>
  <si>
    <t>Đinh Văn Hưởng</t>
  </si>
  <si>
    <t xml:space="preserve">Hang Caster </t>
  </si>
  <si>
    <t>Công ty Cổ phần và Xây dựng Quảng Ninh</t>
  </si>
  <si>
    <t>Công ty TNHH kinh doanh và phát triển Vượng Phát</t>
  </si>
  <si>
    <t xml:space="preserve">           Kích thước đúc mẫu bê tông 150x150x150mm.</t>
  </si>
  <si>
    <t>DỰ ÁN:</t>
  </si>
  <si>
    <t>KHU HỖN HỢP CHUNG CƯ, VĂN PHÒNG, TTTM</t>
  </si>
  <si>
    <t>THI CÔNG CỌC KHOAN NHỒI</t>
  </si>
  <si>
    <t>ĐƯỜNG 25/4, P BẠCH ĐẰNG, TP HẠ LONG, TỈNH QUẢNG NINH</t>
  </si>
  <si>
    <t>BAN QLDA         TƯ VẤN GIÁM SÁT</t>
  </si>
  <si>
    <t>ĐƠN VỊ CUNG CẤP BT</t>
  </si>
  <si>
    <t>gfdsafdsagsd</t>
  </si>
  <si>
    <t>NHÀ THẦU :</t>
  </si>
  <si>
    <t>CÔNG TY TRÁCH NHIỆM HỮU HẠN MỘT THÀNH VIÊN HANTECH</t>
  </si>
  <si>
    <t>5. Biểu đồ dâng BT</t>
  </si>
  <si>
    <t>Ông : ....................................................</t>
  </si>
  <si>
    <t>Chức vụ: …………………………………..</t>
  </si>
  <si>
    <t>Chức vụ: Cán bộ kỹ thuật</t>
  </si>
  <si>
    <t>........................................... …………………………………………………………………................</t>
  </si>
  <si>
    <t xml:space="preserve">Kính gửi: </t>
  </si>
  <si>
    <t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t>
  </si>
  <si>
    <t>Ông : ............................................................</t>
  </si>
  <si>
    <t>Chức vụ: ........................</t>
  </si>
  <si>
    <t>2 - Đại diện đơn vị TVGS: Công ty CP tư vấn kiểm định và thương mại xây dựng Goldsun</t>
  </si>
  <si>
    <t>Chức vụ: ............................................................</t>
  </si>
  <si>
    <t>.............................................................................................................. …………................</t>
  </si>
  <si>
    <t>bắt đầu</t>
  </si>
  <si>
    <t>kết thúc</t>
  </si>
  <si>
    <t>ngày nt</t>
  </si>
  <si>
    <t xml:space="preserve">1 -  Các tài liệu làm căn cứ kiểm tra: </t>
  </si>
  <si>
    <t>Nguyễn Duy Long</t>
  </si>
  <si>
    <t>Phạm Văn Tú</t>
  </si>
  <si>
    <t>Lớp 1</t>
  </si>
  <si>
    <t>Lớp 2</t>
  </si>
  <si>
    <t>Lớp 3</t>
  </si>
  <si>
    <t>Lớp 4</t>
  </si>
  <si>
    <t>Lớp 5</t>
  </si>
  <si>
    <t>Lớp 6</t>
  </si>
  <si>
    <t>Lớp 7</t>
  </si>
  <si>
    <t>Lớp 8</t>
  </si>
  <si>
    <t>Lớp 9</t>
  </si>
  <si>
    <t>Lớp 10</t>
  </si>
  <si>
    <t>Lớp 11</t>
  </si>
  <si>
    <t>Lớp 12</t>
  </si>
  <si>
    <t>Lớp 13</t>
  </si>
  <si>
    <t>cao dộ mặt đất</t>
  </si>
  <si>
    <t>Tên cọc</t>
  </si>
  <si>
    <t>STT</t>
  </si>
  <si>
    <t>11.Tvgs  đồng ý cho đổ bê tông</t>
  </si>
  <si>
    <t>10.Kiểm tra chiều sâu hố khoan trước khi đổ bê tông</t>
  </si>
  <si>
    <t>9.Kiểm tra Polymer lần 2:</t>
  </si>
  <si>
    <t>8.Hạ lồng thép, ống đổ, ống thổi :</t>
  </si>
  <si>
    <t>7.Nghiệm thu lồng thép:</t>
  </si>
  <si>
    <t xml:space="preserve">6.Vét lắng  </t>
  </si>
  <si>
    <t>5.Kết thúc khoan hồi :</t>
  </si>
  <si>
    <t xml:space="preserve">4.Khoan gặp đá: </t>
  </si>
  <si>
    <t>3.Kiểm tra Polymer lần1:</t>
  </si>
  <si>
    <t xml:space="preserve">2.Nghiệm thu định vị ống Casing: </t>
  </si>
  <si>
    <t xml:space="preserve">1.Khoan tạo lỗ :   </t>
  </si>
  <si>
    <t>Bắt đầu</t>
  </si>
  <si>
    <t>Kết thúc</t>
  </si>
  <si>
    <t>Ngày</t>
  </si>
  <si>
    <t>Ngày:</t>
  </si>
  <si>
    <t>DX</t>
  </si>
  <si>
    <t>DY</t>
  </si>
  <si>
    <t>CĐ sing</t>
  </si>
  <si>
    <t>CĐ TN</t>
  </si>
  <si>
    <t>Tỷ trọng</t>
  </si>
  <si>
    <t>PH</t>
  </si>
  <si>
    <t>Độ nhớt</t>
  </si>
  <si>
    <t>HL cát</t>
  </si>
  <si>
    <t>chiều sâu</t>
  </si>
  <si>
    <t>BT  thực tế</t>
  </si>
  <si>
    <t>Chiều sâu dừng đổ</t>
  </si>
  <si>
    <t>Tên coc</t>
  </si>
  <si>
    <t>Lớp1</t>
  </si>
  <si>
    <t>Lớp2</t>
  </si>
  <si>
    <t>Lớp3</t>
  </si>
  <si>
    <t>Lớp4</t>
  </si>
  <si>
    <t>Lớp5</t>
  </si>
  <si>
    <t>Lớp6</t>
  </si>
  <si>
    <t>Lớp7</t>
  </si>
  <si>
    <t>Lớp8</t>
  </si>
  <si>
    <t>Lớp9</t>
  </si>
  <si>
    <t>Lớp10</t>
  </si>
  <si>
    <t>Lớp11</t>
  </si>
  <si>
    <t>Lớp12</t>
  </si>
  <si>
    <t>Lớp13</t>
  </si>
  <si>
    <t>14C-17117</t>
  </si>
  <si>
    <t>29C-71367</t>
  </si>
  <si>
    <t>29C-71330</t>
  </si>
  <si>
    <t>a</t>
  </si>
  <si>
    <t>b</t>
  </si>
  <si>
    <t>c</t>
  </si>
  <si>
    <t>d</t>
  </si>
  <si>
    <t>e</t>
  </si>
  <si>
    <t>f</t>
  </si>
  <si>
    <t>g</t>
  </si>
  <si>
    <t>h</t>
  </si>
  <si>
    <t>i</t>
  </si>
  <si>
    <t>k</t>
  </si>
  <si>
    <t>l</t>
  </si>
  <si>
    <t>m</t>
  </si>
  <si>
    <t>n</t>
  </si>
  <si>
    <t>z</t>
  </si>
  <si>
    <t>Ban quản lý dự án</t>
  </si>
  <si>
    <t>Nhà thầu</t>
  </si>
  <si>
    <t>Cung cấp bê tông</t>
  </si>
  <si>
    <t>ông:</t>
  </si>
  <si>
    <t>chứ vụ:</t>
  </si>
  <si>
    <t>công ty</t>
  </si>
  <si>
    <t>Xe lấy mẫu</t>
  </si>
  <si>
    <t>Giờ lấy mẫu</t>
  </si>
  <si>
    <t>Độ sụt của bê tông</t>
  </si>
  <si>
    <t>Trinh Duy Hạnh</t>
  </si>
  <si>
    <t>14C-17258</t>
  </si>
  <si>
    <t>14C-17230</t>
  </si>
  <si>
    <t>Hoàng Hữu Luân</t>
  </si>
  <si>
    <t>14C-17041</t>
  </si>
  <si>
    <t>Trồi lông + ống siêu âm thiếu</t>
  </si>
  <si>
    <t>14C-71367</t>
  </si>
  <si>
    <t>14C-71330</t>
  </si>
  <si>
    <t>29C-71259</t>
  </si>
  <si>
    <t>Đinh Văn Thế</t>
  </si>
  <si>
    <t>BT khô</t>
  </si>
  <si>
    <t>Khoan quá 68 cm</t>
  </si>
  <si>
    <t>14C-71258</t>
  </si>
  <si>
    <t>29C-71185</t>
  </si>
  <si>
    <t>Quảng Ninh : 2016</t>
  </si>
  <si>
    <t>1 - Đại diện chủ đầu tư : Ban QLDA Times garden Hạ Long</t>
  </si>
  <si>
    <t>2 - Đại diện Tư vấn giám sát : Công ty cổ phần tư vấn kiểm định và thương mại xây dựng Goldsun</t>
  </si>
  <si>
    <t>4 - Đơn vị cung cấp bê tông:</t>
  </si>
  <si>
    <t xml:space="preserve">Bắt đầu nghiệm thu:    </t>
  </si>
  <si>
    <t xml:space="preserve">Kết thúc nghiệm thu: </t>
  </si>
  <si>
    <r>
      <t xml:space="preserve">-    </t>
    </r>
    <r>
      <rPr>
        <sz val="13"/>
        <color indexed="8"/>
        <rFont val="Times New Roman"/>
        <family val="1"/>
      </rPr>
      <t>Hồ sơ thiết kế bản vẽ thi công đã được phê duyệt.</t>
    </r>
  </si>
  <si>
    <t>+</t>
  </si>
  <si>
    <t>TCVN 5637 - 1991 : Quản lý chất lượng xây lắp công trình. Nguyên tắc cơ bản;</t>
  </si>
  <si>
    <t>TCVN 4055-2012 : Tổ chức thi công;</t>
  </si>
  <si>
    <t>TCVN 4453-1995: Kết cấu bê tông và bê tông cốt thép toàn khối;</t>
  </si>
  <si>
    <t>-   Nghị định 46/2015/NĐ-CP: Về quản lý chất lượng và bảo trì công trình xây dựng.</t>
  </si>
  <si>
    <t>a.) Kiểm tra tại hiện trường:</t>
  </si>
  <si>
    <r>
      <t>b.) Các ý kiến khác nếu có:..................................</t>
    </r>
    <r>
      <rPr>
        <i/>
        <sz val="13"/>
        <rFont val="Times New Roman"/>
        <family val="1"/>
      </rPr>
      <t>........................................</t>
    </r>
  </si>
  <si>
    <t>-   Biện pháp thi công được phê duyệt.</t>
  </si>
  <si>
    <t>-    Hồ sơ thiết kế bản vẽ thi công đã được phê duyệt.</t>
  </si>
  <si>
    <t>TCVN 9398:2012: Công tác trắc địa trong xây dựng công trình - Yêu cầu chung;</t>
  </si>
  <si>
    <t>-   Các quy chuẩn, tiêu chuẩn, quy phạm hiện hành khác liên quan đến đối tượng nghiệm thu.</t>
  </si>
  <si>
    <t>-   Biên bản nghiệm thu nội bộ của nhà thầu.</t>
  </si>
  <si>
    <t>TCVN 4447: 2012: Công tác đất- Thi công và nghiệm thu;</t>
  </si>
  <si>
    <t>-   Tài liệu chỉ dẫn kỹ thuật kèm theo hợp đồng xây dựng.</t>
  </si>
  <si>
    <t>TCVN4453-1995: Kết cấu bê tông và bê tông cốt thép toàn khối;</t>
  </si>
  <si>
    <r>
      <t>b.) Các ý kiến khác nếu có:..................................</t>
    </r>
    <r>
      <rPr>
        <i/>
        <sz val="13"/>
        <rFont val="Times New Roman"/>
        <family val="1"/>
      </rPr>
      <t>........................................</t>
    </r>
  </si>
  <si>
    <t>TCVN 4453 - 1995: Kết cấu bê tông và bê tông cốt thép toàn khối - Quy phạm thi công và nghiệm thu;</t>
  </si>
  <si>
    <t>TCVN 9398:2012: Công tác trắc địa trong xây dựng công trình - Yêu cầu chung ;</t>
  </si>
  <si>
    <t>TCVN 9395:2012: Cọc khoan nhồi- Thi công và nghiệm thu;</t>
  </si>
  <si>
    <t>-   Biện pháp thi công được  phê duyệt.</t>
  </si>
  <si>
    <t>Quảng Ninh, ngày……..tháng…….năm 2016</t>
  </si>
  <si>
    <t>Hôm nay, ngày….tháng…..năm 2016. Chúng tôi gồm:</t>
  </si>
  <si>
    <t>, ngày…..tháng…..năm 2016</t>
  </si>
  <si>
    <t>14C-00534</t>
  </si>
  <si>
    <t>14P-0582</t>
  </si>
  <si>
    <t>14C-10388</t>
  </si>
  <si>
    <t>14P-1024</t>
  </si>
  <si>
    <t>14C-03090</t>
  </si>
  <si>
    <t>14P-1087</t>
  </si>
  <si>
    <t>14C-12180</t>
  </si>
  <si>
    <t>14P-1034</t>
  </si>
  <si>
    <t>14P-5075</t>
  </si>
  <si>
    <t>14P-4914</t>
  </si>
  <si>
    <t>14P-12180</t>
  </si>
  <si>
    <t>14-1024</t>
  </si>
  <si>
    <t>14P-03090</t>
  </si>
  <si>
    <t>14P-4919</t>
  </si>
  <si>
    <t>14C-5075</t>
  </si>
  <si>
    <t>14C-5076</t>
  </si>
  <si>
    <t>14C-0582</t>
  </si>
  <si>
    <t>14P-5076</t>
  </si>
  <si>
    <t>14P-00573</t>
  </si>
  <si>
    <t>14C-0534</t>
  </si>
  <si>
    <t>14P-10388</t>
  </si>
  <si>
    <t>14C-0581</t>
  </si>
  <si>
    <t>14C-00573</t>
  </si>
  <si>
    <t>14C-0573</t>
  </si>
  <si>
    <t xml:space="preserve">4a </t>
  </si>
  <si>
    <t>14P-0581</t>
  </si>
  <si>
    <t>14P-0573</t>
  </si>
  <si>
    <t>14C-07038</t>
  </si>
  <si>
    <t>14C-03332</t>
  </si>
  <si>
    <t>Ngô Mạnh Hiếu</t>
  </si>
  <si>
    <t>14C-17228</t>
  </si>
  <si>
    <t>29C-17117</t>
  </si>
  <si>
    <t>14C-17241</t>
  </si>
  <si>
    <t>III./ THỜI GIAN NGHIỆM THU:</t>
  </si>
  <si>
    <t>TCVN 5308 - 1991: Quy trình kỹ thuật an toàn trong xây dựng.</t>
  </si>
  <si>
    <t>14C-18186</t>
  </si>
  <si>
    <t>Đặng Văn Huấn</t>
  </si>
  <si>
    <t>Trưởng đoàn TVGS</t>
  </si>
  <si>
    <t>Phó đoàn TVGS</t>
  </si>
  <si>
    <t>14C-18026</t>
  </si>
  <si>
    <t>Đinh Mạnh Toàn</t>
  </si>
  <si>
    <t>14C-18024</t>
  </si>
  <si>
    <t>Tạ Văn Tú</t>
  </si>
  <si>
    <t xml:space="preserve">Vũ Đình Chiến </t>
  </si>
  <si>
    <t>Độc Lập - Tự Do - Hạnh Phúc</t>
  </si>
  <si>
    <t xml:space="preserve"> Hạng Karst chứa sét pha</t>
  </si>
  <si>
    <t>14C-18196</t>
  </si>
  <si>
    <t xml:space="preserve">GÓI THẦU: </t>
  </si>
  <si>
    <t>ĐƯỜNG 25/4, P.BẠCH ĐẰNG, TP.HẠ LONG, TỈNH QUẢNG NINH</t>
  </si>
  <si>
    <t>BIÊN BẢN THEO DÕI ĐỔ BÊ TÔNG CỌC KHOAN NHỒI</t>
  </si>
  <si>
    <t>TÊN CỌC</t>
  </si>
  <si>
    <t>TỔ MẪU</t>
  </si>
  <si>
    <t xml:space="preserve">NGÀY ĐỔ </t>
  </si>
  <si>
    <t>NGÀY NÉN R7</t>
  </si>
  <si>
    <t>NGÀY NÉN R28</t>
  </si>
  <si>
    <t>KIỂM TRA</t>
  </si>
  <si>
    <t>ĐƠN VỊ BT</t>
  </si>
  <si>
    <t>KL BT</t>
  </si>
  <si>
    <t>VP</t>
  </si>
  <si>
    <t>14C-170117</t>
  </si>
  <si>
    <t>Phạm Văn Vương</t>
  </si>
  <si>
    <t>14C-18020</t>
  </si>
  <si>
    <t>BP1</t>
  </si>
  <si>
    <t>D1200</t>
  </si>
  <si>
    <t>Công ty TNHH đầu tư và phát triển KD Vượng Phát</t>
  </si>
  <si>
    <t>Đặng Văn Trình</t>
  </si>
  <si>
    <t>14C-172458</t>
  </si>
  <si>
    <t>Lê Minh Ngọc</t>
  </si>
  <si>
    <t>BẢNG THỐNG KÊ CỌC SIÊU ÂM GIAI ĐOẠN 1</t>
  </si>
  <si>
    <t>CỌC 800</t>
  </si>
  <si>
    <t>CAO ĐỘ VÉT LẮNG SO COS 0.00</t>
  </si>
  <si>
    <t>NGÀY ĐỔ BÊ TÔNG</t>
  </si>
  <si>
    <t>GHI CHÚ</t>
  </si>
  <si>
    <t>có sự cố</t>
  </si>
  <si>
    <t>(GIAI ĐOẠN 1)</t>
  </si>
  <si>
    <t>CỌC 1200</t>
  </si>
  <si>
    <t>CHIỀU SÂU VÉT LẮNG SO ĐỈNH CASING</t>
  </si>
  <si>
    <t>CAO ĐỘ CẮT CỌC</t>
  </si>
  <si>
    <t>CAO ĐỘ CASING SO COS 0.00</t>
  </si>
  <si>
    <t>BP4</t>
  </si>
  <si>
    <t>CHIỀU DÀI CỌC</t>
  </si>
  <si>
    <t>BP3</t>
  </si>
  <si>
    <t>BP2</t>
  </si>
  <si>
    <t xml:space="preserve"> BAN QUẢN LÝ</t>
  </si>
  <si>
    <t>ĐƠN VỊ THÍ NGHIỆM</t>
  </si>
  <si>
    <t>12.</t>
  </si>
  <si>
    <t>Hạ Kingpost</t>
  </si>
  <si>
    <t>Cao độ đỉnh Kingpost so với cos ± 0.00 công trình (m):</t>
  </si>
  <si>
    <t>Tọa độ 4 điểm để định vị tim đỉnh Kingpost</t>
  </si>
  <si>
    <t>Điểm</t>
  </si>
  <si>
    <t>A</t>
  </si>
  <si>
    <t>B</t>
  </si>
  <si>
    <t>C</t>
  </si>
  <si>
    <t>D</t>
  </si>
  <si>
    <t xml:space="preserve">  Chiều dài Kingpost (m):</t>
  </si>
  <si>
    <t xml:space="preserve"> Cao độ đỉnh Kingpost so với đỉnh casing:</t>
  </si>
  <si>
    <t>Thời gian</t>
  </si>
  <si>
    <t>Chiều dai</t>
  </si>
  <si>
    <t>0.00</t>
  </si>
  <si>
    <t>casing</t>
  </si>
  <si>
    <t>29C-71336</t>
  </si>
  <si>
    <t>Nguyễn Tiến Thăng</t>
  </si>
  <si>
    <t>Vượng Phát</t>
  </si>
  <si>
    <t>T12-68340</t>
  </si>
  <si>
    <t>T12-68336</t>
  </si>
  <si>
    <t>T12-68338</t>
  </si>
  <si>
    <t>29C-74298</t>
  </si>
  <si>
    <t>BẢNG THỐNG KÊ CỌC SIÊU ÂM GIAI ĐOẠN 2</t>
  </si>
  <si>
    <t>(GIAI ĐOẠN 2)</t>
  </si>
  <si>
    <t>29C-74233</t>
  </si>
  <si>
    <t>29C-74360</t>
  </si>
  <si>
    <t>29C-74248</t>
  </si>
  <si>
    <t>Tổng</t>
  </si>
  <si>
    <t>1Xe</t>
  </si>
  <si>
    <t>Xe chờ</t>
  </si>
  <si>
    <t>Xe trên đường</t>
  </si>
  <si>
    <t>Số xe</t>
  </si>
  <si>
    <t>giờ đổ mỗi xe</t>
  </si>
  <si>
    <t>Thời gian chờ</t>
  </si>
  <si>
    <t>Sửa = 3</t>
  </si>
  <si>
    <t>sửa = 4</t>
  </si>
  <si>
    <t>Sửa = 8</t>
  </si>
  <si>
    <t>Sửa = 21</t>
  </si>
  <si>
    <t>CÔNG TY MỘT THÀNH VIÊN HANTECH</t>
  </si>
  <si>
    <t xml:space="preserve">BẢNG TRÌNH NGÀY THÁNG THI CÔNG LÝ LỊCH  CÁC CỌC </t>
  </si>
  <si>
    <t>ĐẠI DIỆN NHÀ THẦU THI CÔNG</t>
  </si>
  <si>
    <t>Đặt ống SA</t>
  </si>
  <si>
    <t>TVGS  đồng ý cho đổ bê tông</t>
  </si>
  <si>
    <t>ko</t>
  </si>
  <si>
    <t>29C- 7433</t>
  </si>
  <si>
    <t>\</t>
  </si>
  <si>
    <t>29C- 74233</t>
  </si>
  <si>
    <t>29C- 74298</t>
  </si>
  <si>
    <t>29C- 71185</t>
  </si>
  <si>
    <t>29C-74289</t>
  </si>
  <si>
    <t>4.76</t>
  </si>
  <si>
    <t>Nguyễn Minh Tân</t>
  </si>
  <si>
    <t>Đinh Quang Ninh</t>
  </si>
  <si>
    <t>.............................................................................................</t>
  </si>
  <si>
    <t>Quảng Ninh : 2017</t>
  </si>
  <si>
    <t>Đồng ý cho đổ bê tông</t>
  </si>
  <si>
    <t>6. Biên bản nghiệm thu định vị cọc</t>
  </si>
  <si>
    <t>7. Biên bản nghiệm thu Lồng thép</t>
  </si>
</sst>
</file>

<file path=xl/styles.xml><?xml version="1.0" encoding="utf-8"?>
<styleSheet xmlns="http://schemas.openxmlformats.org/spreadsheetml/2006/main" xmlns:mc="http://schemas.openxmlformats.org/markup-compatibility/2006" xmlns:x14ac="http://schemas.microsoft.com/office/spreadsheetml/2009/9/ac" mc:Ignorable="x14ac">
  <numFmts count="64">
    <numFmt numFmtId="5" formatCode="#,##0\ &quot;₫&quot;;\-#,##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164" formatCode="&quot;$&quot;#,##0_);[Red]\(&quot;$&quot;#,##0\)"/>
    <numFmt numFmtId="165" formatCode="_(&quot;$&quot;* #,##0.00_);_(&quot;$&quot;* \(#,##0.00\);_(&quot;$&quot;* &quot;-&quot;??_);_(@_)"/>
    <numFmt numFmtId="166" formatCode="_(* #,##0.00_);_(* \(#,##0.00\);_(* &quot;-&quot;??_);_(@_)"/>
    <numFmt numFmtId="167" formatCode="&quot;C&quot;0"/>
    <numFmt numFmtId="168" formatCode="[$-1010000]d/m/yyyy;@"/>
    <numFmt numFmtId="169" formatCode="0.000"/>
    <numFmt numFmtId="170" formatCode="0.0%"/>
    <numFmt numFmtId="171" formatCode="&quot;+&quot;0.00"/>
    <numFmt numFmtId="172" formatCode="_(* #,##0_);_(* \(#,##0\);_(* &quot;-&quot;??_);_(@_)"/>
    <numFmt numFmtId="173" formatCode="#,##0.0"/>
    <numFmt numFmtId="174" formatCode="#,##0.000"/>
    <numFmt numFmtId="175" formatCode="0.0"/>
    <numFmt numFmtId="176" formatCode="0\ &quot;mm&quot;"/>
    <numFmt numFmtId="177" formatCode="0\ &quot;(cao độ ca sing)  &quot;"/>
    <numFmt numFmtId="178" formatCode="h:mm;@"/>
    <numFmt numFmtId="179" formatCode="[h]:mm:ss;@"/>
    <numFmt numFmtId="180" formatCode="0.0000"/>
    <numFmt numFmtId="181" formatCode="_-* #,##0_-;\-* #,##0_-;_-* &quot;-&quot;_-;_-@_-"/>
    <numFmt numFmtId="182" formatCode="_-* #,##0.00_-;\-* #,##0.00_-;_-* &quot;-&quot;??_-;_-@_-"/>
    <numFmt numFmtId="183" formatCode="_-&quot;$&quot;* #,##0_-;\-&quot;$&quot;* #,##0_-;_-&quot;$&quot;* &quot;-&quot;_-;_-@_-"/>
    <numFmt numFmtId="184" formatCode="_-&quot;$&quot;* #,##0.00_-;\-&quot;$&quot;* #,##0.00_-;_-&quot;$&quot;* &quot;-&quot;??_-;_-@_-"/>
    <numFmt numFmtId="185" formatCode="00.000"/>
    <numFmt numFmtId="186" formatCode="&quot;￥&quot;#,##0;&quot;￥&quot;\-#,##0"/>
    <numFmt numFmtId="187" formatCode="_(* #,##0.0_);_(* \(#,##0.0\);_(* &quot;-&quot;??_);_(@_)"/>
    <numFmt numFmtId="188" formatCode=";;;"/>
    <numFmt numFmtId="189" formatCode="_ * #,##0_ ;_ * \-#,##0_ ;_ * &quot;-&quot;_ ;_ @_ "/>
    <numFmt numFmtId="190" formatCode="_ * #,##0.00_ ;_ * \-#,##0.00_ ;_ * &quot;-&quot;??_ ;_ @_ "/>
    <numFmt numFmtId="191" formatCode="&quot;\&quot;#,##0;[Red]&quot;\&quot;&quot;\&quot;\-#,##0"/>
    <numFmt numFmtId="192" formatCode="&quot;\&quot;#,##0.00;[Red]&quot;\&quot;&quot;\&quot;&quot;\&quot;&quot;\&quot;&quot;\&quot;&quot;\&quot;\-#,##0.00"/>
    <numFmt numFmtId="193" formatCode="_ * #,##0.00_)&quot;$&quot;_ ;_ * \(#,##0.00\)&quot;$&quot;_ ;_ * &quot;-&quot;??_)&quot;$&quot;_ ;_ @_ "/>
    <numFmt numFmtId="194" formatCode="#,##0\ &quot;F&quot;;[Red]\-#,##0\ &quot;F&quot;"/>
    <numFmt numFmtId="195" formatCode="#,##0.00\ &quot;F&quot;;\-#,##0.00\ &quot;F&quot;"/>
    <numFmt numFmtId="196" formatCode="#,##0.00\ &quot;F&quot;;[Red]\-#,##0.00\ &quot;F&quot;"/>
    <numFmt numFmtId="197" formatCode="_-* #,##0\ &quot;F&quot;_-;\-* #,##0\ &quot;F&quot;_-;_-* &quot;-&quot;\ &quot;F&quot;_-;_-@_-"/>
    <numFmt numFmtId="198" formatCode="_ &quot;\&quot;* #,##0_ ;_ &quot;\&quot;* \-#,##0_ ;_ &quot;\&quot;* &quot;-&quot;_ ;_ @_ "/>
    <numFmt numFmtId="199" formatCode="_ &quot;\&quot;* #,##0.00_ ;_ &quot;\&quot;* \-#,##0.00_ ;_ &quot;\&quot;* &quot;-&quot;??_ ;_ @_ "/>
    <numFmt numFmtId="200" formatCode="#,##0\ &quot;$&quot;_);[Red]\(#,##0\ &quot;$&quot;\)"/>
    <numFmt numFmtId="201" formatCode="&quot;$&quot;###,0&quot;.&quot;00_);[Red]\(&quot;$&quot;###,0&quot;.&quot;00\)"/>
    <numFmt numFmtId="202" formatCode="#,##0\ &quot;$&quot;_);\(#,##0\ &quot;$&quot;\)"/>
    <numFmt numFmtId="203" formatCode="&quot;Hµ Néi, ngµy&quot;\ dd&quot; th¸ng&quot;\ mm\ &quot;n¨m&quot;\ yyyy"/>
    <numFmt numFmtId="204" formatCode="[$-F400]h:mm:ss\ AM/PM"/>
    <numFmt numFmtId="205" formatCode="hh&quot;h&quot;mm&quot;'&quot;"/>
    <numFmt numFmtId="206" formatCode="&quot;, ngµy&quot;\ dd&quot; th¸ng&quot;\ mm\ &quot;n¨m&quot;\ yyyy"/>
    <numFmt numFmtId="207" formatCode="&quot;Hôm nay, ngày&quot;\ dd\ &quot;tháng&quot;\ mm\ &quot;năm&quot;\ yyyy&quot;. Chúng tôi gồm:&quot;"/>
    <numFmt numFmtId="208" formatCode="&quot;Hà Nội, Ngày &quot;\ dd&quot; tháng &quot;\ mm\ &quot; năm &quot;\ yyyy"/>
    <numFmt numFmtId="209" formatCode="hh&quot;h &quot;mm&quot;'&quot;"/>
    <numFmt numFmtId="210" formatCode="&quot;, ngày &quot;\ dd&quot; tháng &quot;\ mm\ &quot; năm &quot;\ yyyy"/>
    <numFmt numFmtId="211" formatCode="\$#,##0\ ;\(\$#,##0\)"/>
    <numFmt numFmtId="212" formatCode="\ \ \ @"/>
    <numFmt numFmtId="213" formatCode="\ \ \ \ \ \ \ @"/>
    <numFmt numFmtId="214" formatCode="#,##0.00000000\ \ "/>
    <numFmt numFmtId="215" formatCode="0\ \ \ "/>
    <numFmt numFmtId="216" formatCode="#,##0.00\ \ \ "/>
    <numFmt numFmtId="217" formatCode="0.000\ &quot;(cao độ mặt đất)  &quot;"/>
    <numFmt numFmtId="218" formatCode="0.000\ &quot;(cao độ ca sing)  &quot;"/>
    <numFmt numFmtId="219" formatCode="&quot;Hà Nội: &quot;yyyy"/>
    <numFmt numFmtId="220" formatCode="0.000\ "/>
    <numFmt numFmtId="221" formatCode="[$-1000000]h:mm;@"/>
    <numFmt numFmtId="222" formatCode="&quot;Quảng Ninh, ngày &quot;\ dd&quot; tháng &quot;\ mm\ &quot; năm &quot;\ yyyy"/>
  </numFmts>
  <fonts count="239">
    <font>
      <sz val="10"/>
      <name val="Arial"/>
    </font>
    <font>
      <sz val="10"/>
      <name val="Arial"/>
      <family val="2"/>
    </font>
    <font>
      <sz val="11"/>
      <name val=".VnAvant"/>
      <family val="2"/>
    </font>
    <font>
      <sz val="11"/>
      <name val=".VnTime"/>
      <family val="2"/>
    </font>
    <font>
      <b/>
      <sz val="12"/>
      <name val=".VnTime"/>
      <family val="2"/>
    </font>
    <font>
      <b/>
      <sz val="11"/>
      <name val=".VnTime"/>
      <family val="2"/>
    </font>
    <font>
      <sz val="12"/>
      <name val=".VnTime"/>
      <family val="2"/>
    </font>
    <font>
      <sz val="10"/>
      <name val=".VnTime"/>
      <family val="2"/>
    </font>
    <font>
      <b/>
      <sz val="13"/>
      <name val=".VnTimeH"/>
      <family val="2"/>
    </font>
    <font>
      <sz val="13"/>
      <name val=".VnTime"/>
      <family val="2"/>
    </font>
    <font>
      <sz val="10"/>
      <name val=".VnArial"/>
      <family val="2"/>
    </font>
    <font>
      <sz val="9"/>
      <name val=".VnTime"/>
      <family val="2"/>
    </font>
    <font>
      <sz val="9"/>
      <name val="Symbol"/>
      <family val="1"/>
      <charset val="2"/>
    </font>
    <font>
      <sz val="10"/>
      <name val="Symbol"/>
      <family val="1"/>
      <charset val="2"/>
    </font>
    <font>
      <b/>
      <sz val="11"/>
      <name val=".VnTimeh"/>
      <family val="2"/>
    </font>
    <font>
      <b/>
      <sz val="8"/>
      <color indexed="81"/>
      <name val="Tahoma"/>
      <family val="2"/>
    </font>
    <font>
      <sz val="8"/>
      <color indexed="81"/>
      <name val="Tahoma"/>
      <family val="2"/>
    </font>
    <font>
      <b/>
      <sz val="10"/>
      <name val="Arial"/>
      <family val="2"/>
    </font>
    <font>
      <sz val="10"/>
      <name val=".VnArial Narrow"/>
      <family val="2"/>
    </font>
    <font>
      <sz val="8"/>
      <name val="Arial"/>
      <family val="2"/>
    </font>
    <font>
      <b/>
      <sz val="16"/>
      <name val=".VnTimeH"/>
      <family val="2"/>
    </font>
    <font>
      <sz val="14"/>
      <name val=".VnTime"/>
      <family val="2"/>
    </font>
    <font>
      <i/>
      <sz val="12"/>
      <name val=".VnTime"/>
      <family val="2"/>
    </font>
    <font>
      <b/>
      <sz val="12"/>
      <name val=".VnTimeh"/>
      <family val="2"/>
    </font>
    <font>
      <sz val="12"/>
      <name val=".VnTimeH"/>
      <family val="2"/>
    </font>
    <font>
      <b/>
      <sz val="13"/>
      <name val=".VnTime"/>
      <family val="2"/>
    </font>
    <font>
      <sz val="14"/>
      <name val=".VnTime"/>
      <family val="2"/>
    </font>
    <font>
      <sz val="11"/>
      <color indexed="8"/>
      <name val=".VnTime"/>
      <family val="2"/>
    </font>
    <font>
      <sz val="11"/>
      <name val="Times New Roman"/>
      <family val="1"/>
    </font>
    <font>
      <sz val="12"/>
      <name val="Times New Roman"/>
      <family val="1"/>
    </font>
    <font>
      <sz val="8"/>
      <name val=".VnTime"/>
      <family val="2"/>
    </font>
    <font>
      <sz val="12"/>
      <color indexed="10"/>
      <name val="Times New Roman"/>
      <family val="1"/>
    </font>
    <font>
      <b/>
      <sz val="11"/>
      <name val="Times New Roman"/>
      <family val="1"/>
    </font>
    <font>
      <b/>
      <sz val="14"/>
      <color indexed="58"/>
      <name val="Times New Roman"/>
      <family val="1"/>
    </font>
    <font>
      <sz val="9"/>
      <name val="ﾀﾞｯﾁ"/>
      <family val="3"/>
      <charset val="128"/>
    </font>
    <font>
      <sz val="10"/>
      <name val="Arial"/>
      <family val="2"/>
    </font>
    <font>
      <sz val="10"/>
      <name val="?? ??"/>
      <family val="1"/>
      <charset val="136"/>
    </font>
    <font>
      <sz val="12"/>
      <name val="????"/>
      <charset val="136"/>
    </font>
    <font>
      <sz val="12"/>
      <name val="???"/>
      <family val="3"/>
    </font>
    <font>
      <sz val="14"/>
      <name val="VNTime"/>
    </font>
    <font>
      <b/>
      <u/>
      <sz val="14"/>
      <color indexed="8"/>
      <name val=".VnBook-AntiquaH"/>
      <family val="2"/>
    </font>
    <font>
      <i/>
      <sz val="12"/>
      <color indexed="8"/>
      <name val=".VnBook-AntiquaH"/>
      <family val="2"/>
    </font>
    <font>
      <sz val="12"/>
      <color indexed="8"/>
      <name val="Times New Roman"/>
      <family val="2"/>
      <charset val="163"/>
    </font>
    <font>
      <b/>
      <sz val="12"/>
      <color indexed="8"/>
      <name val=".VnBook-Antiqua"/>
      <family val="2"/>
    </font>
    <font>
      <i/>
      <sz val="12"/>
      <color indexed="8"/>
      <name val=".VnBook-Antiqua"/>
      <family val="2"/>
    </font>
    <font>
      <sz val="12"/>
      <color indexed="9"/>
      <name val="Times New Roman"/>
      <family val="2"/>
      <charset val="163"/>
    </font>
    <font>
      <sz val="12"/>
      <name val="±¼¸²Ã¼"/>
      <family val="3"/>
      <charset val="129"/>
    </font>
    <font>
      <sz val="12"/>
      <name val="¹UAAA¼"/>
      <family val="3"/>
      <charset val="129"/>
    </font>
    <font>
      <sz val="11"/>
      <name val="±¼¸²Ã¼"/>
      <family val="3"/>
      <charset val="129"/>
    </font>
    <font>
      <sz val="9"/>
      <name val="ＭＳ ゴシック"/>
      <family val="3"/>
      <charset val="128"/>
    </font>
    <font>
      <sz val="12"/>
      <name val="¹ÙÅÁÃ¼"/>
      <charset val="129"/>
    </font>
    <font>
      <sz val="12"/>
      <color indexed="20"/>
      <name val="Times New Roman"/>
      <family val="2"/>
      <charset val="163"/>
    </font>
    <font>
      <b/>
      <i/>
      <sz val="14"/>
      <name val="VNTime"/>
      <family val="2"/>
    </font>
    <font>
      <sz val="11"/>
      <name val="µ¸¿ò"/>
      <charset val="129"/>
    </font>
    <font>
      <b/>
      <sz val="12"/>
      <color indexed="52"/>
      <name val="Times New Roman"/>
      <family val="2"/>
      <charset val="163"/>
    </font>
    <font>
      <b/>
      <sz val="10"/>
      <name val="Helv"/>
    </font>
    <font>
      <b/>
      <sz val="12"/>
      <color indexed="9"/>
      <name val="Times New Roman"/>
      <family val="2"/>
      <charset val="163"/>
    </font>
    <font>
      <b/>
      <sz val="12"/>
      <name val="VNTime"/>
      <family val="2"/>
    </font>
    <font>
      <b/>
      <sz val="12"/>
      <name val="VNTimeH"/>
      <family val="2"/>
    </font>
    <font>
      <i/>
      <sz val="12"/>
      <color indexed="23"/>
      <name val="Times New Roman"/>
      <family val="2"/>
      <charset val="163"/>
    </font>
    <font>
      <sz val="12"/>
      <name val="VNTime"/>
      <family val="2"/>
    </font>
    <font>
      <sz val="12"/>
      <color indexed="17"/>
      <name val="Times New Roman"/>
      <family val="2"/>
      <charset val="163"/>
    </font>
    <font>
      <b/>
      <sz val="12"/>
      <name val="Helv"/>
    </font>
    <font>
      <b/>
      <sz val="12"/>
      <name val="Arial"/>
      <family val="2"/>
    </font>
    <font>
      <b/>
      <sz val="18"/>
      <name val="Arial"/>
      <family val="2"/>
    </font>
    <font>
      <b/>
      <sz val="11"/>
      <color indexed="56"/>
      <name val="Times New Roman"/>
      <family val="2"/>
      <charset val="163"/>
    </font>
    <font>
      <sz val="12"/>
      <color indexed="62"/>
      <name val="Times New Roman"/>
      <family val="2"/>
      <charset val="163"/>
    </font>
    <font>
      <sz val="12"/>
      <color indexed="52"/>
      <name val="Times New Roman"/>
      <family val="2"/>
      <charset val="163"/>
    </font>
    <font>
      <sz val="10"/>
      <name val="MS Sans Serif"/>
      <family val="2"/>
    </font>
    <font>
      <b/>
      <sz val="11"/>
      <name val="Helv"/>
    </font>
    <font>
      <sz val="12"/>
      <name val="Arial"/>
      <family val="2"/>
    </font>
    <font>
      <sz val="12"/>
      <color indexed="60"/>
      <name val="Times New Roman"/>
      <family val="2"/>
      <charset val="163"/>
    </font>
    <font>
      <b/>
      <sz val="12"/>
      <color indexed="63"/>
      <name val="Times New Roman"/>
      <family val="2"/>
      <charset val="163"/>
    </font>
    <font>
      <sz val="11"/>
      <color indexed="32"/>
      <name val="VNI-Times"/>
    </font>
    <font>
      <b/>
      <sz val="18"/>
      <color indexed="56"/>
      <name val="Cambria"/>
      <family val="2"/>
      <charset val="163"/>
    </font>
    <font>
      <sz val="14"/>
      <name val="VnTime"/>
      <family val="2"/>
    </font>
    <font>
      <sz val="12"/>
      <color indexed="10"/>
      <name val="Times New Roman"/>
      <family val="2"/>
      <charset val="163"/>
    </font>
    <font>
      <sz val="14"/>
      <name val=".VnArial"/>
      <family val="2"/>
    </font>
    <font>
      <sz val="10"/>
      <name val=" "/>
      <family val="1"/>
      <charset val="136"/>
    </font>
    <font>
      <sz val="14"/>
      <name val="뼻뮝"/>
      <family val="3"/>
    </font>
    <font>
      <sz val="12"/>
      <name val="바탕체"/>
      <family val="3"/>
    </font>
    <font>
      <sz val="12"/>
      <name val="뼻뮝"/>
      <family val="3"/>
    </font>
    <font>
      <sz val="11"/>
      <name val="돋움"/>
      <family val="3"/>
      <charset val="129"/>
    </font>
    <font>
      <sz val="11"/>
      <name val="돋움"/>
      <family val="3"/>
    </font>
    <font>
      <sz val="10"/>
      <name val="굴림체"/>
      <family val="3"/>
    </font>
    <font>
      <sz val="9"/>
      <name val="Arial"/>
      <family val="2"/>
    </font>
    <font>
      <sz val="10"/>
      <name val="明朝"/>
      <family val="1"/>
      <charset val="128"/>
    </font>
    <font>
      <sz val="12"/>
      <name val="Courier"/>
      <family val="3"/>
    </font>
    <font>
      <i/>
      <sz val="13"/>
      <name val=".VnTime"/>
      <family val="2"/>
    </font>
    <font>
      <sz val="12"/>
      <name val=".VnArial"/>
      <family val="2"/>
    </font>
    <font>
      <sz val="20"/>
      <name val=".VnTime"/>
      <family val="2"/>
    </font>
    <font>
      <b/>
      <u/>
      <sz val="20"/>
      <name val=".VnTime"/>
      <family val="2"/>
    </font>
    <font>
      <i/>
      <sz val="13"/>
      <color indexed="10"/>
      <name val=".VnTime"/>
      <family val="2"/>
    </font>
    <font>
      <b/>
      <i/>
      <sz val="13"/>
      <name val="Symbol"/>
      <family val="1"/>
      <charset val="2"/>
    </font>
    <font>
      <b/>
      <i/>
      <sz val="13"/>
      <name val="Times New Roman"/>
      <family val="1"/>
    </font>
    <font>
      <sz val="13"/>
      <name val="Symbol"/>
      <family val="1"/>
      <charset val="2"/>
    </font>
    <font>
      <sz val="13"/>
      <name val="Arial"/>
      <family val="2"/>
    </font>
    <font>
      <sz val="12.5"/>
      <name val=".VnTime"/>
      <family val="2"/>
    </font>
    <font>
      <i/>
      <sz val="13"/>
      <name val=".VnArial Narrow"/>
      <family val="2"/>
    </font>
    <font>
      <sz val="11"/>
      <name val="Arial"/>
      <family val="2"/>
    </font>
    <font>
      <sz val="13"/>
      <name val=".VnTimeH"/>
      <family val="2"/>
    </font>
    <font>
      <b/>
      <i/>
      <u/>
      <sz val="13"/>
      <name val=".VnTime"/>
      <family val="2"/>
    </font>
    <font>
      <b/>
      <i/>
      <sz val="13"/>
      <name val=".VnTime"/>
      <family val="2"/>
    </font>
    <font>
      <sz val="13"/>
      <name val="Times New Roman"/>
      <family val="1"/>
    </font>
    <font>
      <b/>
      <i/>
      <sz val="12"/>
      <name val=".VnTimeH"/>
      <family val="2"/>
    </font>
    <font>
      <sz val="8"/>
      <name val="Arial"/>
      <family val="2"/>
    </font>
    <font>
      <b/>
      <sz val="13"/>
      <name val="Times New Roman"/>
      <family val="1"/>
    </font>
    <font>
      <sz val="13"/>
      <color indexed="10"/>
      <name val="Times New Roman"/>
      <family val="1"/>
    </font>
    <font>
      <i/>
      <sz val="13"/>
      <name val="Times New Roman"/>
      <family val="1"/>
    </font>
    <font>
      <b/>
      <sz val="12"/>
      <name val="Times New Roman"/>
      <family val="1"/>
    </font>
    <font>
      <b/>
      <sz val="26"/>
      <name val="Times New Roman"/>
      <family val="1"/>
    </font>
    <font>
      <sz val="18"/>
      <name val="Times New Roman"/>
      <family val="1"/>
    </font>
    <font>
      <b/>
      <sz val="18"/>
      <name val="Times New Roman"/>
      <family val="1"/>
    </font>
    <font>
      <sz val="14"/>
      <name val="Times New Roman"/>
      <family val="1"/>
    </font>
    <font>
      <b/>
      <sz val="14"/>
      <name val="Times New Roman"/>
      <family val="1"/>
    </font>
    <font>
      <b/>
      <sz val="10"/>
      <name val="Times New Roman"/>
      <family val="1"/>
    </font>
    <font>
      <sz val="10"/>
      <name val="Times New Roman"/>
      <family val="1"/>
    </font>
    <font>
      <sz val="11"/>
      <color indexed="10"/>
      <name val="Times New Roman"/>
      <family val="1"/>
    </font>
    <font>
      <sz val="9"/>
      <name val="Times New Roman"/>
      <family val="1"/>
    </font>
    <font>
      <b/>
      <sz val="9"/>
      <name val="Times New Roman"/>
      <family val="1"/>
    </font>
    <font>
      <b/>
      <sz val="8"/>
      <name val="Times New Roman"/>
      <family val="1"/>
    </font>
    <font>
      <sz val="9"/>
      <color indexed="12"/>
      <name val="Times New Roman"/>
      <family val="1"/>
    </font>
    <font>
      <sz val="9"/>
      <color indexed="10"/>
      <name val="Times New Roman"/>
      <family val="1"/>
    </font>
    <font>
      <vertAlign val="subscript"/>
      <sz val="9"/>
      <name val="Times New Roman"/>
      <family val="1"/>
    </font>
    <font>
      <sz val="9"/>
      <color indexed="9"/>
      <name val="Times New Roman"/>
      <family val="1"/>
    </font>
    <font>
      <b/>
      <sz val="11"/>
      <color indexed="10"/>
      <name val="Times New Roman"/>
      <family val="1"/>
    </font>
    <font>
      <sz val="8"/>
      <color indexed="10"/>
      <name val="Times New Roman"/>
      <family val="1"/>
    </font>
    <font>
      <sz val="8"/>
      <name val="Times New Roman"/>
      <family val="1"/>
    </font>
    <font>
      <sz val="10"/>
      <color indexed="12"/>
      <name val="Times New Roman"/>
      <family val="1"/>
    </font>
    <font>
      <sz val="11"/>
      <color indexed="12"/>
      <name val="Times New Roman"/>
      <family val="1"/>
    </font>
    <font>
      <sz val="12"/>
      <color indexed="12"/>
      <name val="Times New Roman"/>
      <family val="1"/>
    </font>
    <font>
      <b/>
      <sz val="12"/>
      <color indexed="10"/>
      <name val="Times New Roman"/>
      <family val="1"/>
    </font>
    <font>
      <b/>
      <sz val="16"/>
      <name val="Times New Roman"/>
      <family val="1"/>
    </font>
    <font>
      <i/>
      <sz val="12"/>
      <name val="Times New Roman"/>
      <family val="1"/>
    </font>
    <font>
      <vertAlign val="superscript"/>
      <sz val="12"/>
      <name val="Times New Roman"/>
      <family val="1"/>
    </font>
    <font>
      <b/>
      <i/>
      <sz val="12"/>
      <name val="Times New Roman"/>
      <family val="1"/>
    </font>
    <font>
      <i/>
      <sz val="11"/>
      <name val="Times New Roman"/>
      <family val="1"/>
    </font>
    <font>
      <sz val="11"/>
      <color indexed="8"/>
      <name val="Times New Roman"/>
      <family val="1"/>
    </font>
    <font>
      <b/>
      <sz val="13"/>
      <color indexed="58"/>
      <name val="Times New Roman"/>
      <family val="1"/>
    </font>
    <font>
      <i/>
      <sz val="12"/>
      <color indexed="58"/>
      <name val="Times New Roman"/>
      <family val="1"/>
    </font>
    <font>
      <i/>
      <sz val="14"/>
      <color indexed="58"/>
      <name val="Times New Roman"/>
      <family val="1"/>
    </font>
    <font>
      <b/>
      <sz val="12"/>
      <color indexed="58"/>
      <name val="Times New Roman"/>
      <family val="1"/>
    </font>
    <font>
      <sz val="12"/>
      <color indexed="58"/>
      <name val="Times New Roman"/>
      <family val="1"/>
    </font>
    <font>
      <b/>
      <sz val="11"/>
      <color indexed="58"/>
      <name val="Times New Roman"/>
      <family val="1"/>
    </font>
    <font>
      <b/>
      <sz val="11"/>
      <color indexed="8"/>
      <name val="Times New Roman"/>
      <family val="1"/>
    </font>
    <font>
      <b/>
      <i/>
      <sz val="11"/>
      <name val="Times New Roman"/>
      <family val="1"/>
    </font>
    <font>
      <sz val="11"/>
      <color indexed="41"/>
      <name val="Times New Roman"/>
      <family val="1"/>
    </font>
    <font>
      <sz val="11"/>
      <color indexed="43"/>
      <name val="Times New Roman"/>
      <family val="1"/>
    </font>
    <font>
      <sz val="10"/>
      <color indexed="41"/>
      <name val="Times New Roman"/>
      <family val="1"/>
    </font>
    <font>
      <sz val="10"/>
      <color indexed="8"/>
      <name val=".VnTime"/>
      <family val="2"/>
    </font>
    <font>
      <sz val="10"/>
      <color indexed="8"/>
      <name val="Times New Roman"/>
      <family val="1"/>
    </font>
    <font>
      <sz val="13"/>
      <color indexed="8"/>
      <name val=".VnTime"/>
      <family val="2"/>
    </font>
    <font>
      <sz val="13"/>
      <color indexed="56"/>
      <name val="Times New Roman"/>
      <family val="1"/>
    </font>
    <font>
      <sz val="13"/>
      <color indexed="8"/>
      <name val="Times New Roman"/>
      <family val="1"/>
    </font>
    <font>
      <sz val="13"/>
      <name val="Arial"/>
      <family val="2"/>
    </font>
    <font>
      <sz val="12.5"/>
      <name val="Times New Roman"/>
      <family val="1"/>
    </font>
    <font>
      <sz val="16"/>
      <name val="SYMBOLS"/>
      <charset val="2"/>
    </font>
    <font>
      <sz val="12"/>
      <color indexed="8"/>
      <name val=".VnTime"/>
      <family val="2"/>
    </font>
    <font>
      <i/>
      <sz val="12"/>
      <color indexed="8"/>
      <name val="Times New Roman"/>
      <family val="1"/>
    </font>
    <font>
      <sz val="12"/>
      <color indexed="8"/>
      <name val="Times New Roman"/>
      <family val="1"/>
    </font>
    <font>
      <b/>
      <sz val="13"/>
      <name val="Arial"/>
      <family val="2"/>
    </font>
    <font>
      <i/>
      <sz val="12"/>
      <name val="Arial"/>
      <family val="2"/>
    </font>
    <font>
      <b/>
      <sz val="13"/>
      <color indexed="8"/>
      <name val="Times New Roman"/>
      <family val="1"/>
    </font>
    <font>
      <sz val="12"/>
      <color indexed="8"/>
      <name val="Wingdings"/>
      <charset val="2"/>
    </font>
    <font>
      <b/>
      <sz val="15"/>
      <name val="Times New Roman"/>
      <family val="1"/>
    </font>
    <font>
      <b/>
      <sz val="15"/>
      <name val="Arial"/>
      <family val="2"/>
    </font>
    <font>
      <sz val="7"/>
      <name val="Times New Roman"/>
      <family val="1"/>
    </font>
    <font>
      <sz val="16"/>
      <name val="Times New Roman"/>
      <family val="1"/>
    </font>
    <font>
      <b/>
      <sz val="12"/>
      <color indexed="8"/>
      <name val="Times New Roman"/>
      <family val="1"/>
    </font>
    <font>
      <sz val="11"/>
      <color indexed="8"/>
      <name val="Calibri"/>
      <family val="2"/>
    </font>
    <font>
      <sz val="13"/>
      <color indexed="8"/>
      <name val="Times New Roman"/>
      <family val="2"/>
    </font>
    <font>
      <sz val="10"/>
      <color indexed="9"/>
      <name val="Times New Roman"/>
      <family val="1"/>
    </font>
    <font>
      <sz val="1"/>
      <color indexed="9"/>
      <name val="Times New Roman"/>
      <family val="1"/>
    </font>
    <font>
      <sz val="13"/>
      <color indexed="8"/>
      <name val="Arial"/>
      <family val="2"/>
    </font>
    <font>
      <sz val="13"/>
      <color indexed="9"/>
      <name val="Arial"/>
      <family val="2"/>
    </font>
    <font>
      <sz val="13"/>
      <color indexed="20"/>
      <name val="Arial"/>
      <family val="2"/>
    </font>
    <font>
      <sz val="12"/>
      <name val="µ¸¿òÃ¼"/>
      <family val="3"/>
      <charset val="129"/>
    </font>
    <font>
      <b/>
      <sz val="13"/>
      <color indexed="52"/>
      <name val="Arial"/>
      <family val="2"/>
    </font>
    <font>
      <b/>
      <sz val="13"/>
      <color indexed="9"/>
      <name val="Arial"/>
      <family val="2"/>
    </font>
    <font>
      <sz val="10"/>
      <color indexed="8"/>
      <name val="Arial"/>
      <family val="2"/>
    </font>
    <font>
      <sz val="11"/>
      <name val="VNHelvet"/>
    </font>
    <font>
      <sz val="10"/>
      <name val="Arial CE"/>
      <charset val="238"/>
    </font>
    <font>
      <i/>
      <sz val="13"/>
      <color indexed="23"/>
      <name val="Arial"/>
      <family val="2"/>
    </font>
    <font>
      <sz val="13"/>
      <color indexed="17"/>
      <name val="Arial"/>
      <family val="2"/>
    </font>
    <font>
      <b/>
      <sz val="11"/>
      <color indexed="56"/>
      <name val="Arial"/>
      <family val="2"/>
    </font>
    <font>
      <b/>
      <sz val="14"/>
      <name val=".VnTimeh"/>
      <family val="2"/>
    </font>
    <font>
      <sz val="13"/>
      <color indexed="62"/>
      <name val="Arial"/>
      <family val="2"/>
    </font>
    <font>
      <sz val="13"/>
      <color indexed="52"/>
      <name val="Arial"/>
      <family val="2"/>
    </font>
    <font>
      <sz val="13"/>
      <color indexed="60"/>
      <name val="Arial"/>
      <family val="2"/>
    </font>
    <font>
      <sz val="12"/>
      <color indexed="8"/>
      <name val="Times New Roman"/>
      <family val="2"/>
    </font>
    <font>
      <b/>
      <sz val="13"/>
      <color indexed="63"/>
      <name val="Arial"/>
      <family val="2"/>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12"/>
      <name val="VNTime"/>
    </font>
    <font>
      <b/>
      <sz val="18"/>
      <color indexed="56"/>
      <name val="Times New Roman"/>
      <family val="2"/>
    </font>
    <font>
      <b/>
      <sz val="10"/>
      <name val="VN Helvetica"/>
    </font>
    <font>
      <sz val="10"/>
      <name val="VN Helvetica"/>
    </font>
    <font>
      <sz val="13"/>
      <color indexed="10"/>
      <name val="Arial"/>
      <family val="2"/>
    </font>
    <font>
      <sz val="12"/>
      <name val="돋움체"/>
      <family val="3"/>
      <charset val="129"/>
    </font>
    <font>
      <sz val="12"/>
      <name val="바탕체"/>
      <family val="1"/>
      <charset val="129"/>
    </font>
    <font>
      <b/>
      <i/>
      <sz val="12"/>
      <color indexed="8"/>
      <name val="Times New Roman"/>
      <family val="1"/>
    </font>
    <font>
      <i/>
      <sz val="13"/>
      <color indexed="8"/>
      <name val="Times New Roman"/>
      <family val="1"/>
    </font>
    <font>
      <b/>
      <sz val="11"/>
      <name val="Arial"/>
      <family val="2"/>
    </font>
    <font>
      <sz val="10"/>
      <name val="Arial"/>
      <family val="2"/>
      <charset val="163"/>
    </font>
    <font>
      <sz val="16"/>
      <name val="Arial"/>
      <family val="2"/>
    </font>
    <font>
      <b/>
      <sz val="14"/>
      <name val="Arial"/>
      <family val="2"/>
    </font>
    <font>
      <b/>
      <sz val="16"/>
      <name val="Arial"/>
      <family val="2"/>
    </font>
    <font>
      <sz val="10"/>
      <color theme="1"/>
      <name val="Arial"/>
      <family val="2"/>
      <scheme val="minor"/>
    </font>
    <font>
      <b/>
      <sz val="13"/>
      <color rgb="FFFF0000"/>
      <name val="Times New Roman"/>
      <family val="1"/>
    </font>
    <font>
      <sz val="12"/>
      <color rgb="FFFF0000"/>
      <name val="Times New Roman"/>
      <family val="1"/>
    </font>
    <font>
      <b/>
      <sz val="12"/>
      <color rgb="FFFF0000"/>
      <name val="Times New Roman"/>
      <family val="1"/>
      <charset val="163"/>
    </font>
    <font>
      <sz val="10"/>
      <color rgb="FFFF0000"/>
      <name val="Times New Roman"/>
      <family val="1"/>
    </font>
    <font>
      <b/>
      <sz val="10"/>
      <color theme="1"/>
      <name val="Arial"/>
      <family val="2"/>
    </font>
    <font>
      <sz val="9"/>
      <color theme="0"/>
      <name val="Times New Roman"/>
      <family val="1"/>
    </font>
    <font>
      <sz val="10"/>
      <color theme="0"/>
      <name val="Times New Roman"/>
      <family val="1"/>
    </font>
    <font>
      <sz val="12"/>
      <color theme="1"/>
      <name val="Times New Roman"/>
      <family val="1"/>
    </font>
    <font>
      <sz val="12"/>
      <color theme="0"/>
      <name val="Times New Roman"/>
      <family val="1"/>
    </font>
    <font>
      <sz val="13"/>
      <color theme="0"/>
      <name val="Times New Roman"/>
      <family val="1"/>
    </font>
    <font>
      <sz val="13"/>
      <color theme="1"/>
      <name val="Times New Roman"/>
      <family val="1"/>
    </font>
    <font>
      <sz val="13"/>
      <color rgb="FFFF0000"/>
      <name val="Times New Roman"/>
      <family val="1"/>
    </font>
    <font>
      <b/>
      <sz val="11"/>
      <color theme="1"/>
      <name val="Times New Roman"/>
      <family val="1"/>
    </font>
    <font>
      <sz val="9"/>
      <color theme="3" tint="-0.499984740745262"/>
      <name val="Times New Roman"/>
      <family val="1"/>
    </font>
    <font>
      <sz val="10"/>
      <color rgb="FFFF0000"/>
      <name val="Arial"/>
      <family val="2"/>
    </font>
    <font>
      <b/>
      <sz val="10"/>
      <color rgb="FFFF0000"/>
      <name val="Arial"/>
      <family val="2"/>
    </font>
    <font>
      <sz val="11"/>
      <color rgb="FFFF0000"/>
      <name val="Times New Roman"/>
      <family val="1"/>
    </font>
    <font>
      <b/>
      <sz val="11"/>
      <color rgb="FFFF0000"/>
      <name val="Times New Roman"/>
      <family val="1"/>
    </font>
    <font>
      <sz val="11"/>
      <color theme="1"/>
      <name val="Times New Roman"/>
      <family val="1"/>
    </font>
    <font>
      <b/>
      <sz val="12"/>
      <color rgb="FFFF0000"/>
      <name val="Times New Roman"/>
      <family val="1"/>
    </font>
    <font>
      <b/>
      <sz val="11"/>
      <color indexed="10"/>
      <name val="Times New Roman"/>
      <family val="1"/>
      <charset val="163"/>
    </font>
    <font>
      <sz val="8"/>
      <name val="Arial"/>
      <family val="2"/>
      <charset val="163"/>
    </font>
    <font>
      <sz val="8"/>
      <color indexed="9"/>
      <name val="Times New Roman"/>
      <family val="1"/>
    </font>
    <font>
      <b/>
      <sz val="11"/>
      <color rgb="FF00B0F0"/>
      <name val="Times New Roman"/>
      <family val="1"/>
    </font>
    <font>
      <b/>
      <sz val="11"/>
      <color rgb="FFC00000"/>
      <name val="Times New Roman"/>
      <family val="1"/>
    </font>
    <font>
      <sz val="12"/>
      <color rgb="FFFF0000"/>
      <name val="Times New Roman"/>
      <family val="1"/>
      <charset val="163"/>
    </font>
    <font>
      <sz val="9"/>
      <color theme="1"/>
      <name val="Times New Roman"/>
      <family val="1"/>
    </font>
  </fonts>
  <fills count="58">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23"/>
        <bgColor indexed="64"/>
      </patternFill>
    </fill>
    <fill>
      <patternFill patternType="solid">
        <fgColor indexed="26"/>
        <bgColor indexed="64"/>
      </patternFill>
    </fill>
    <fill>
      <patternFill patternType="solid">
        <fgColor indexed="15"/>
        <bgColor indexed="64"/>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40"/>
        <bgColor indexed="64"/>
      </patternFill>
    </fill>
    <fill>
      <patternFill patternType="gray125">
        <fgColor indexed="35"/>
      </patternFill>
    </fill>
    <fill>
      <patternFill patternType="solid">
        <fgColor indexed="13"/>
        <bgColor indexed="64"/>
      </patternFill>
    </fill>
    <fill>
      <patternFill patternType="lightTrellis"/>
    </fill>
    <fill>
      <patternFill patternType="solid">
        <fgColor indexed="11"/>
        <bgColor indexed="64"/>
      </patternFill>
    </fill>
    <fill>
      <patternFill patternType="lightDown">
        <bgColor indexed="9"/>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0070C0"/>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249977111117893"/>
        <bgColor indexed="64"/>
      </patternFill>
    </fill>
    <fill>
      <patternFill patternType="solid">
        <fgColor rgb="FFFF0000"/>
        <bgColor indexed="64"/>
      </patternFill>
    </fill>
    <fill>
      <patternFill patternType="solid">
        <fgColor rgb="FF00B0F0"/>
        <bgColor indexed="64"/>
      </patternFill>
    </fill>
  </fills>
  <borders count="12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double">
        <color indexed="64"/>
      </top>
      <bottom/>
      <diagonal/>
    </border>
    <border>
      <left style="hair">
        <color indexed="64"/>
      </left>
      <right/>
      <top/>
      <bottom/>
      <diagonal/>
    </border>
    <border>
      <left/>
      <right style="medium">
        <color indexed="0"/>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hair">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dashed">
        <color indexed="64"/>
      </left>
      <right style="dashed">
        <color indexed="64"/>
      </right>
      <top style="dashed">
        <color indexed="64"/>
      </top>
      <bottom style="dashed">
        <color indexed="64"/>
      </bottom>
      <diagonal/>
    </border>
    <border>
      <left style="double">
        <color indexed="64"/>
      </left>
      <right/>
      <top/>
      <bottom/>
      <diagonal/>
    </border>
    <border>
      <left style="double">
        <color indexed="64"/>
      </left>
      <right/>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style="double">
        <color indexed="64"/>
      </bottom>
      <diagonal/>
    </border>
    <border>
      <left/>
      <right/>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bottom/>
      <diagonal/>
    </border>
    <border>
      <left style="thin">
        <color indexed="8"/>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8"/>
      </right>
      <top style="thin">
        <color indexed="8"/>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64"/>
      </right>
      <top/>
      <bottom style="thin">
        <color indexed="8"/>
      </bottom>
      <diagonal/>
    </border>
    <border>
      <left/>
      <right/>
      <top style="thin">
        <color indexed="8"/>
      </top>
      <bottom/>
      <diagonal/>
    </border>
    <border>
      <left/>
      <right style="double">
        <color indexed="64"/>
      </right>
      <top style="thin">
        <color indexed="64"/>
      </top>
      <bottom style="double">
        <color indexed="64"/>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bottom/>
      <diagonal/>
    </border>
    <border>
      <left style="thin">
        <color indexed="64"/>
      </left>
      <right style="medium">
        <color indexed="64"/>
      </right>
      <top/>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ashed">
        <color indexed="64"/>
      </left>
      <right style="dashed">
        <color indexed="64"/>
      </right>
      <top style="dashed">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double">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thin">
        <color indexed="8"/>
      </top>
      <bottom/>
      <diagonal/>
    </border>
    <border>
      <left style="thin">
        <color indexed="64"/>
      </left>
      <right/>
      <top/>
      <bottom style="thin">
        <color indexed="8"/>
      </bottom>
      <diagonal/>
    </border>
    <border>
      <left/>
      <right style="thin">
        <color indexed="8"/>
      </right>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bottom style="thin">
        <color indexed="8"/>
      </bottom>
      <diagonal/>
    </border>
    <border>
      <left/>
      <right style="thin">
        <color indexed="8"/>
      </right>
      <top style="thin">
        <color indexed="64"/>
      </top>
      <bottom style="thin">
        <color indexed="64"/>
      </bottom>
      <diagonal/>
    </border>
    <border>
      <left/>
      <right/>
      <top style="thin">
        <color indexed="8"/>
      </top>
      <bottom style="thin">
        <color indexed="8"/>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theme="5" tint="0.39997558519241921"/>
      </left>
      <right style="thin">
        <color theme="5" tint="0.39997558519241921"/>
      </right>
      <top style="thin">
        <color theme="5" tint="0.39997558519241921"/>
      </top>
      <bottom style="thin">
        <color theme="5" tint="0.39997558519241921"/>
      </bottom>
      <diagonal/>
    </border>
    <border>
      <left style="thin">
        <color rgb="FF00B050"/>
      </left>
      <right style="thin">
        <color rgb="FF00B050"/>
      </right>
      <top style="thin">
        <color rgb="FF00B050"/>
      </top>
      <bottom style="thin">
        <color rgb="FF00B050"/>
      </bottom>
      <diagonal/>
    </border>
    <border>
      <left/>
      <right style="thin">
        <color rgb="FF00B050"/>
      </right>
      <top style="thin">
        <color rgb="FF00B050"/>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diagonal/>
    </border>
    <border>
      <left style="thin">
        <color rgb="FF00B050"/>
      </left>
      <right style="thin">
        <color rgb="FF00B050"/>
      </right>
      <top/>
      <bottom style="thin">
        <color rgb="FF00B050"/>
      </bottom>
      <diagonal/>
    </border>
    <border>
      <left/>
      <right style="double">
        <color auto="1"/>
      </right>
      <top/>
      <bottom style="double">
        <color auto="1"/>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style="thin">
        <color indexed="64"/>
      </top>
      <bottom style="double">
        <color indexed="64"/>
      </bottom>
      <diagonal/>
    </border>
  </borders>
  <cellStyleXfs count="371">
    <xf numFmtId="0" fontId="0" fillId="0" borderId="0"/>
    <xf numFmtId="38" fontId="34" fillId="0" borderId="0" applyFont="0" applyFill="0" applyBorder="0" applyAlignment="0" applyProtection="0"/>
    <xf numFmtId="192" fontId="35" fillId="0" borderId="0" applyFont="0" applyFill="0" applyBorder="0" applyAlignment="0" applyProtection="0"/>
    <xf numFmtId="0" fontId="36" fillId="0" borderId="0" applyFont="0" applyFill="0" applyBorder="0" applyAlignment="0" applyProtection="0"/>
    <xf numFmtId="191" fontId="35" fillId="0" borderId="0" applyFont="0" applyFill="0" applyBorder="0" applyAlignment="0" applyProtection="0"/>
    <xf numFmtId="191"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0" fontId="10" fillId="0" borderId="0" applyFont="0" applyFill="0" applyBorder="0" applyAlignment="0" applyProtection="0"/>
    <xf numFmtId="189" fontId="10" fillId="0" borderId="0" applyFont="0" applyFill="0" applyBorder="0" applyAlignment="0" applyProtection="0"/>
    <xf numFmtId="181" fontId="37" fillId="0" borderId="0" applyFont="0" applyFill="0" applyBorder="0" applyAlignment="0" applyProtection="0"/>
    <xf numFmtId="9" fontId="38" fillId="0" borderId="0" applyFont="0" applyFill="0" applyBorder="0" applyAlignment="0" applyProtection="0"/>
    <xf numFmtId="202" fontId="10" fillId="0" borderId="0" applyFont="0" applyFill="0" applyBorder="0" applyAlignment="0" applyProtection="0"/>
    <xf numFmtId="0" fontId="36" fillId="0" borderId="0" applyFont="0" applyFill="0" applyBorder="0" applyAlignment="0" applyProtection="0"/>
    <xf numFmtId="0" fontId="68" fillId="0" borderId="0"/>
    <xf numFmtId="0" fontId="7" fillId="0" borderId="0" applyNumberFormat="0" applyFill="0" applyBorder="0" applyAlignment="0" applyProtection="0"/>
    <xf numFmtId="0" fontId="7" fillId="0" borderId="0" applyNumberFormat="0" applyFill="0" applyBorder="0" applyAlignment="0" applyProtection="0"/>
    <xf numFmtId="0" fontId="35" fillId="0" borderId="0"/>
    <xf numFmtId="1" fontId="39" fillId="0" borderId="1" applyBorder="0" applyAlignment="0">
      <alignment horizontal="center"/>
    </xf>
    <xf numFmtId="0" fontId="40" fillId="2" borderId="0"/>
    <xf numFmtId="0" fontId="41" fillId="2" borderId="0"/>
    <xf numFmtId="0" fontId="42" fillId="3" borderId="0" applyNumberFormat="0" applyBorder="0" applyAlignment="0" applyProtection="0"/>
    <xf numFmtId="0" fontId="173" fillId="3" borderId="0" applyNumberFormat="0" applyBorder="0" applyAlignment="0" applyProtection="0"/>
    <xf numFmtId="0" fontId="173" fillId="3" borderId="0" applyNumberFormat="0" applyBorder="0" applyAlignment="0" applyProtection="0"/>
    <xf numFmtId="0" fontId="173" fillId="3" borderId="0" applyNumberFormat="0" applyBorder="0" applyAlignment="0" applyProtection="0"/>
    <xf numFmtId="0" fontId="42" fillId="4" borderId="0" applyNumberFormat="0" applyBorder="0" applyAlignment="0" applyProtection="0"/>
    <xf numFmtId="0" fontId="173" fillId="4" borderId="0" applyNumberFormat="0" applyBorder="0" applyAlignment="0" applyProtection="0"/>
    <xf numFmtId="0" fontId="173" fillId="4" borderId="0" applyNumberFormat="0" applyBorder="0" applyAlignment="0" applyProtection="0"/>
    <xf numFmtId="0" fontId="173" fillId="4" borderId="0" applyNumberFormat="0" applyBorder="0" applyAlignment="0" applyProtection="0"/>
    <xf numFmtId="0" fontId="42" fillId="5" borderId="0" applyNumberFormat="0" applyBorder="0" applyAlignment="0" applyProtection="0"/>
    <xf numFmtId="0" fontId="173" fillId="5" borderId="0" applyNumberFormat="0" applyBorder="0" applyAlignment="0" applyProtection="0"/>
    <xf numFmtId="0" fontId="173" fillId="5" borderId="0" applyNumberFormat="0" applyBorder="0" applyAlignment="0" applyProtection="0"/>
    <xf numFmtId="0" fontId="173" fillId="5" borderId="0" applyNumberFormat="0" applyBorder="0" applyAlignment="0" applyProtection="0"/>
    <xf numFmtId="0" fontId="42" fillId="6" borderId="0" applyNumberFormat="0" applyBorder="0" applyAlignment="0" applyProtection="0"/>
    <xf numFmtId="0" fontId="173" fillId="6" borderId="0" applyNumberFormat="0" applyBorder="0" applyAlignment="0" applyProtection="0"/>
    <xf numFmtId="0" fontId="173" fillId="6" borderId="0" applyNumberFormat="0" applyBorder="0" applyAlignment="0" applyProtection="0"/>
    <xf numFmtId="0" fontId="173" fillId="6" borderId="0" applyNumberFormat="0" applyBorder="0" applyAlignment="0" applyProtection="0"/>
    <xf numFmtId="0" fontId="42" fillId="7" borderId="0" applyNumberFormat="0" applyBorder="0" applyAlignment="0" applyProtection="0"/>
    <xf numFmtId="0" fontId="173" fillId="7" borderId="0" applyNumberFormat="0" applyBorder="0" applyAlignment="0" applyProtection="0"/>
    <xf numFmtId="0" fontId="173" fillId="7" borderId="0" applyNumberFormat="0" applyBorder="0" applyAlignment="0" applyProtection="0"/>
    <xf numFmtId="0" fontId="173" fillId="7" borderId="0" applyNumberFormat="0" applyBorder="0" applyAlignment="0" applyProtection="0"/>
    <xf numFmtId="0" fontId="42" fillId="8" borderId="0" applyNumberFormat="0" applyBorder="0" applyAlignment="0" applyProtection="0"/>
    <xf numFmtId="0" fontId="173" fillId="8" borderId="0" applyNumberFormat="0" applyBorder="0" applyAlignment="0" applyProtection="0"/>
    <xf numFmtId="0" fontId="173" fillId="8" borderId="0" applyNumberFormat="0" applyBorder="0" applyAlignment="0" applyProtection="0"/>
    <xf numFmtId="0" fontId="173" fillId="8" borderId="0" applyNumberFormat="0" applyBorder="0" applyAlignment="0" applyProtection="0"/>
    <xf numFmtId="0" fontId="43" fillId="2" borderId="0"/>
    <xf numFmtId="0" fontId="44" fillId="0" borderId="0">
      <alignment wrapText="1"/>
    </xf>
    <xf numFmtId="0" fontId="42" fillId="9" borderId="0" applyNumberFormat="0" applyBorder="0" applyAlignment="0" applyProtection="0"/>
    <xf numFmtId="0" fontId="173" fillId="9" borderId="0" applyNumberFormat="0" applyBorder="0" applyAlignment="0" applyProtection="0"/>
    <xf numFmtId="0" fontId="173" fillId="9" borderId="0" applyNumberFormat="0" applyBorder="0" applyAlignment="0" applyProtection="0"/>
    <xf numFmtId="0" fontId="173" fillId="9" borderId="0" applyNumberFormat="0" applyBorder="0" applyAlignment="0" applyProtection="0"/>
    <xf numFmtId="0" fontId="42" fillId="10" borderId="0" applyNumberFormat="0" applyBorder="0" applyAlignment="0" applyProtection="0"/>
    <xf numFmtId="0" fontId="173" fillId="10" borderId="0" applyNumberFormat="0" applyBorder="0" applyAlignment="0" applyProtection="0"/>
    <xf numFmtId="0" fontId="173" fillId="10" borderId="0" applyNumberFormat="0" applyBorder="0" applyAlignment="0" applyProtection="0"/>
    <xf numFmtId="0" fontId="173" fillId="10" borderId="0" applyNumberFormat="0" applyBorder="0" applyAlignment="0" applyProtection="0"/>
    <xf numFmtId="0" fontId="42" fillId="11" borderId="0" applyNumberFormat="0" applyBorder="0" applyAlignment="0" applyProtection="0"/>
    <xf numFmtId="0" fontId="173" fillId="11" borderId="0" applyNumberFormat="0" applyBorder="0" applyAlignment="0" applyProtection="0"/>
    <xf numFmtId="0" fontId="173" fillId="11" borderId="0" applyNumberFormat="0" applyBorder="0" applyAlignment="0" applyProtection="0"/>
    <xf numFmtId="0" fontId="173" fillId="11" borderId="0" applyNumberFormat="0" applyBorder="0" applyAlignment="0" applyProtection="0"/>
    <xf numFmtId="0" fontId="42" fillId="6" borderId="0" applyNumberFormat="0" applyBorder="0" applyAlignment="0" applyProtection="0"/>
    <xf numFmtId="0" fontId="173" fillId="6" borderId="0" applyNumberFormat="0" applyBorder="0" applyAlignment="0" applyProtection="0"/>
    <xf numFmtId="0" fontId="173" fillId="6" borderId="0" applyNumberFormat="0" applyBorder="0" applyAlignment="0" applyProtection="0"/>
    <xf numFmtId="0" fontId="173" fillId="6" borderId="0" applyNumberFormat="0" applyBorder="0" applyAlignment="0" applyProtection="0"/>
    <xf numFmtId="0" fontId="42" fillId="9" borderId="0" applyNumberFormat="0" applyBorder="0" applyAlignment="0" applyProtection="0"/>
    <xf numFmtId="0" fontId="173" fillId="9" borderId="0" applyNumberFormat="0" applyBorder="0" applyAlignment="0" applyProtection="0"/>
    <xf numFmtId="0" fontId="173" fillId="9" borderId="0" applyNumberFormat="0" applyBorder="0" applyAlignment="0" applyProtection="0"/>
    <xf numFmtId="0" fontId="173" fillId="9" borderId="0" applyNumberFormat="0" applyBorder="0" applyAlignment="0" applyProtection="0"/>
    <xf numFmtId="0" fontId="42" fillId="12" borderId="0" applyNumberFormat="0" applyBorder="0" applyAlignment="0" applyProtection="0"/>
    <xf numFmtId="0" fontId="173" fillId="12" borderId="0" applyNumberFormat="0" applyBorder="0" applyAlignment="0" applyProtection="0"/>
    <xf numFmtId="0" fontId="173" fillId="12" borderId="0" applyNumberFormat="0" applyBorder="0" applyAlignment="0" applyProtection="0"/>
    <xf numFmtId="0" fontId="173" fillId="12" borderId="0" applyNumberFormat="0" applyBorder="0" applyAlignment="0" applyProtection="0"/>
    <xf numFmtId="0" fontId="7" fillId="0" borderId="0"/>
    <xf numFmtId="0" fontId="45" fillId="13" borderId="0" applyNumberFormat="0" applyBorder="0" applyAlignment="0" applyProtection="0"/>
    <xf numFmtId="0" fontId="174" fillId="13" borderId="0" applyNumberFormat="0" applyBorder="0" applyAlignment="0" applyProtection="0"/>
    <xf numFmtId="0" fontId="174" fillId="13" borderId="0" applyNumberFormat="0" applyBorder="0" applyAlignment="0" applyProtection="0"/>
    <xf numFmtId="0" fontId="174" fillId="13" borderId="0" applyNumberFormat="0" applyBorder="0" applyAlignment="0" applyProtection="0"/>
    <xf numFmtId="0" fontId="45" fillId="10" borderId="0" applyNumberFormat="0" applyBorder="0" applyAlignment="0" applyProtection="0"/>
    <xf numFmtId="0" fontId="174" fillId="10" borderId="0" applyNumberFormat="0" applyBorder="0" applyAlignment="0" applyProtection="0"/>
    <xf numFmtId="0" fontId="174" fillId="10" borderId="0" applyNumberFormat="0" applyBorder="0" applyAlignment="0" applyProtection="0"/>
    <xf numFmtId="0" fontId="174" fillId="10" borderId="0" applyNumberFormat="0" applyBorder="0" applyAlignment="0" applyProtection="0"/>
    <xf numFmtId="0" fontId="45" fillId="11" borderId="0" applyNumberFormat="0" applyBorder="0" applyAlignment="0" applyProtection="0"/>
    <xf numFmtId="0" fontId="174" fillId="11" borderId="0" applyNumberFormat="0" applyBorder="0" applyAlignment="0" applyProtection="0"/>
    <xf numFmtId="0" fontId="174" fillId="11" borderId="0" applyNumberFormat="0" applyBorder="0" applyAlignment="0" applyProtection="0"/>
    <xf numFmtId="0" fontId="174" fillId="11" borderId="0" applyNumberFormat="0" applyBorder="0" applyAlignment="0" applyProtection="0"/>
    <xf numFmtId="0" fontId="45" fillId="14" borderId="0" applyNumberFormat="0" applyBorder="0" applyAlignment="0" applyProtection="0"/>
    <xf numFmtId="0" fontId="174" fillId="14" borderId="0" applyNumberFormat="0" applyBorder="0" applyAlignment="0" applyProtection="0"/>
    <xf numFmtId="0" fontId="174" fillId="14" borderId="0" applyNumberFormat="0" applyBorder="0" applyAlignment="0" applyProtection="0"/>
    <xf numFmtId="0" fontId="174" fillId="14" borderId="0" applyNumberFormat="0" applyBorder="0" applyAlignment="0" applyProtection="0"/>
    <xf numFmtId="0" fontId="45" fillId="15" borderId="0" applyNumberFormat="0" applyBorder="0" applyAlignment="0" applyProtection="0"/>
    <xf numFmtId="0" fontId="174" fillId="15" borderId="0" applyNumberFormat="0" applyBorder="0" applyAlignment="0" applyProtection="0"/>
    <xf numFmtId="0" fontId="174" fillId="15" borderId="0" applyNumberFormat="0" applyBorder="0" applyAlignment="0" applyProtection="0"/>
    <xf numFmtId="0" fontId="174" fillId="15" borderId="0" applyNumberFormat="0" applyBorder="0" applyAlignment="0" applyProtection="0"/>
    <xf numFmtId="0" fontId="45" fillId="16" borderId="0" applyNumberFormat="0" applyBorder="0" applyAlignment="0" applyProtection="0"/>
    <xf numFmtId="0" fontId="174" fillId="16" borderId="0" applyNumberFormat="0" applyBorder="0" applyAlignment="0" applyProtection="0"/>
    <xf numFmtId="0" fontId="174" fillId="16" borderId="0" applyNumberFormat="0" applyBorder="0" applyAlignment="0" applyProtection="0"/>
    <xf numFmtId="0" fontId="174" fillId="16" borderId="0" applyNumberFormat="0" applyBorder="0" applyAlignment="0" applyProtection="0"/>
    <xf numFmtId="0" fontId="45" fillId="17" borderId="0" applyNumberFormat="0" applyBorder="0" applyAlignment="0" applyProtection="0"/>
    <xf numFmtId="0" fontId="174" fillId="17" borderId="0" applyNumberFormat="0" applyBorder="0" applyAlignment="0" applyProtection="0"/>
    <xf numFmtId="0" fontId="174" fillId="17" borderId="0" applyNumberFormat="0" applyBorder="0" applyAlignment="0" applyProtection="0"/>
    <xf numFmtId="0" fontId="174" fillId="17" borderId="0" applyNumberFormat="0" applyBorder="0" applyAlignment="0" applyProtection="0"/>
    <xf numFmtId="0" fontId="45" fillId="18" borderId="0" applyNumberFormat="0" applyBorder="0" applyAlignment="0" applyProtection="0"/>
    <xf numFmtId="0" fontId="174" fillId="18" borderId="0" applyNumberFormat="0" applyBorder="0" applyAlignment="0" applyProtection="0"/>
    <xf numFmtId="0" fontId="174" fillId="18" borderId="0" applyNumberFormat="0" applyBorder="0" applyAlignment="0" applyProtection="0"/>
    <xf numFmtId="0" fontId="174" fillId="18" borderId="0" applyNumberFormat="0" applyBorder="0" applyAlignment="0" applyProtection="0"/>
    <xf numFmtId="0" fontId="45" fillId="19" borderId="0" applyNumberFormat="0" applyBorder="0" applyAlignment="0" applyProtection="0"/>
    <xf numFmtId="0" fontId="174" fillId="19" borderId="0" applyNumberFormat="0" applyBorder="0" applyAlignment="0" applyProtection="0"/>
    <xf numFmtId="0" fontId="174" fillId="19" borderId="0" applyNumberFormat="0" applyBorder="0" applyAlignment="0" applyProtection="0"/>
    <xf numFmtId="0" fontId="174" fillId="19" borderId="0" applyNumberFormat="0" applyBorder="0" applyAlignment="0" applyProtection="0"/>
    <xf numFmtId="0" fontId="45" fillId="14" borderId="0" applyNumberFormat="0" applyBorder="0" applyAlignment="0" applyProtection="0"/>
    <xf numFmtId="0" fontId="174" fillId="14" borderId="0" applyNumberFormat="0" applyBorder="0" applyAlignment="0" applyProtection="0"/>
    <xf numFmtId="0" fontId="174" fillId="14" borderId="0" applyNumberFormat="0" applyBorder="0" applyAlignment="0" applyProtection="0"/>
    <xf numFmtId="0" fontId="174" fillId="14" borderId="0" applyNumberFormat="0" applyBorder="0" applyAlignment="0" applyProtection="0"/>
    <xf numFmtId="0" fontId="45" fillId="15" borderId="0" applyNumberFormat="0" applyBorder="0" applyAlignment="0" applyProtection="0"/>
    <xf numFmtId="0" fontId="174" fillId="15" borderId="0" applyNumberFormat="0" applyBorder="0" applyAlignment="0" applyProtection="0"/>
    <xf numFmtId="0" fontId="174" fillId="15" borderId="0" applyNumberFormat="0" applyBorder="0" applyAlignment="0" applyProtection="0"/>
    <xf numFmtId="0" fontId="174" fillId="15" borderId="0" applyNumberFormat="0" applyBorder="0" applyAlignment="0" applyProtection="0"/>
    <xf numFmtId="0" fontId="45" fillId="20" borderId="0" applyNumberFormat="0" applyBorder="0" applyAlignment="0" applyProtection="0"/>
    <xf numFmtId="0" fontId="174" fillId="20" borderId="0" applyNumberFormat="0" applyBorder="0" applyAlignment="0" applyProtection="0"/>
    <xf numFmtId="0" fontId="174" fillId="20" borderId="0" applyNumberFormat="0" applyBorder="0" applyAlignment="0" applyProtection="0"/>
    <xf numFmtId="0" fontId="174" fillId="20" borderId="0" applyNumberFormat="0" applyBorder="0" applyAlignment="0" applyProtection="0"/>
    <xf numFmtId="198" fontId="46" fillId="0" borderId="0" applyFont="0" applyFill="0" applyBorder="0" applyAlignment="0" applyProtection="0"/>
    <xf numFmtId="0" fontId="47" fillId="0" borderId="0" applyFont="0" applyFill="0" applyBorder="0" applyAlignment="0" applyProtection="0"/>
    <xf numFmtId="198" fontId="48" fillId="0" borderId="0" applyFont="0" applyFill="0" applyBorder="0" applyAlignment="0" applyProtection="0"/>
    <xf numFmtId="199" fontId="46" fillId="0" borderId="0" applyFont="0" applyFill="0" applyBorder="0" applyAlignment="0" applyProtection="0"/>
    <xf numFmtId="0" fontId="47" fillId="0" borderId="0" applyFont="0" applyFill="0" applyBorder="0" applyAlignment="0" applyProtection="0"/>
    <xf numFmtId="199" fontId="48" fillId="0" borderId="0" applyFont="0" applyFill="0" applyBorder="0" applyAlignment="0" applyProtection="0"/>
    <xf numFmtId="0" fontId="49" fillId="0" borderId="2" applyFont="0" applyFill="0" applyBorder="0" applyAlignment="0" applyProtection="0">
      <alignment horizontal="center" vertical="center"/>
    </xf>
    <xf numFmtId="189" fontId="46" fillId="0" borderId="0" applyFont="0" applyFill="0" applyBorder="0" applyAlignment="0" applyProtection="0"/>
    <xf numFmtId="0" fontId="47" fillId="0" borderId="0" applyFont="0" applyFill="0" applyBorder="0" applyAlignment="0" applyProtection="0"/>
    <xf numFmtId="189" fontId="50" fillId="0" borderId="0" applyFont="0" applyFill="0" applyBorder="0" applyAlignment="0" applyProtection="0"/>
    <xf numFmtId="190" fontId="46" fillId="0" borderId="0" applyFont="0" applyFill="0" applyBorder="0" applyAlignment="0" applyProtection="0"/>
    <xf numFmtId="0" fontId="47" fillId="0" borderId="0" applyFont="0" applyFill="0" applyBorder="0" applyAlignment="0" applyProtection="0"/>
    <xf numFmtId="190" fontId="50" fillId="0" borderId="0" applyFont="0" applyFill="0" applyBorder="0" applyAlignment="0" applyProtection="0"/>
    <xf numFmtId="0" fontId="51" fillId="4" borderId="0" applyNumberFormat="0" applyBorder="0" applyAlignment="0" applyProtection="0"/>
    <xf numFmtId="0" fontId="175" fillId="4" borderId="0" applyNumberFormat="0" applyBorder="0" applyAlignment="0" applyProtection="0"/>
    <xf numFmtId="0" fontId="175" fillId="4" borderId="0" applyNumberFormat="0" applyBorder="0" applyAlignment="0" applyProtection="0"/>
    <xf numFmtId="0" fontId="175" fillId="4" borderId="0" applyNumberFormat="0" applyBorder="0" applyAlignment="0" applyProtection="0"/>
    <xf numFmtId="0" fontId="52" fillId="0" borderId="0"/>
    <xf numFmtId="0" fontId="47" fillId="0" borderId="0"/>
    <xf numFmtId="0" fontId="53" fillId="0" borderId="0"/>
    <xf numFmtId="0" fontId="47" fillId="0" borderId="0"/>
    <xf numFmtId="0" fontId="176" fillId="0" borderId="0"/>
    <xf numFmtId="193" fontId="6" fillId="0" borderId="0" applyFill="0" applyBorder="0" applyAlignment="0"/>
    <xf numFmtId="0" fontId="54" fillId="21" borderId="3" applyNumberFormat="0" applyAlignment="0" applyProtection="0"/>
    <xf numFmtId="0" fontId="177" fillId="21" borderId="3" applyNumberFormat="0" applyAlignment="0" applyProtection="0"/>
    <xf numFmtId="0" fontId="177" fillId="21" borderId="3" applyNumberFormat="0" applyAlignment="0" applyProtection="0"/>
    <xf numFmtId="0" fontId="177" fillId="21" borderId="3" applyNumberFormat="0" applyAlignment="0" applyProtection="0"/>
    <xf numFmtId="0" fontId="55" fillId="0" borderId="0"/>
    <xf numFmtId="166" fontId="1" fillId="0" borderId="0" applyFont="0" applyFill="0" applyBorder="0" applyAlignment="0" applyProtection="0"/>
    <xf numFmtId="166" fontId="179"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6" fontId="35" fillId="0" borderId="0" applyFont="0" applyFill="0" applyBorder="0" applyAlignment="0" applyProtection="0"/>
    <xf numFmtId="166" fontId="21"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0" fontId="57" fillId="0" borderId="0">
      <alignment horizontal="center"/>
    </xf>
    <xf numFmtId="165" fontId="1" fillId="0" borderId="0" applyFont="0" applyFill="0" applyBorder="0" applyAlignment="0" applyProtection="0"/>
    <xf numFmtId="0" fontId="10" fillId="0" borderId="0" applyFont="0" applyFill="0" applyBorder="0" applyAlignment="0" applyProtection="0"/>
    <xf numFmtId="211" fontId="35" fillId="0" borderId="0" applyFont="0" applyFill="0" applyBorder="0" applyAlignment="0" applyProtection="0"/>
    <xf numFmtId="0" fontId="56" fillId="22" borderId="4" applyNumberFormat="0" applyAlignment="0" applyProtection="0"/>
    <xf numFmtId="0" fontId="178" fillId="22" borderId="4" applyNumberFormat="0" applyAlignment="0" applyProtection="0"/>
    <xf numFmtId="0" fontId="178" fillId="22" borderId="4" applyNumberFormat="0" applyAlignment="0" applyProtection="0"/>
    <xf numFmtId="0" fontId="178" fillId="22" borderId="4" applyNumberFormat="0" applyAlignment="0" applyProtection="0"/>
    <xf numFmtId="0" fontId="35" fillId="0" borderId="0" applyFont="0" applyFill="0" applyBorder="0" applyAlignment="0" applyProtection="0"/>
    <xf numFmtId="0" fontId="35" fillId="0" borderId="0" applyFont="0" applyFill="0" applyBorder="0" applyAlignment="0" applyProtection="0"/>
    <xf numFmtId="3" fontId="58" fillId="0" borderId="5">
      <alignment horizontal="left" vertical="top" wrapText="1"/>
    </xf>
    <xf numFmtId="212" fontId="180" fillId="0" borderId="0" applyFont="0" applyFill="0" applyBorder="0" applyAlignment="0" applyProtection="0"/>
    <xf numFmtId="213" fontId="180" fillId="0" borderId="0" applyFont="0" applyFill="0" applyBorder="0" applyAlignment="0" applyProtection="0"/>
    <xf numFmtId="41" fontId="181" fillId="0" borderId="0" applyFont="0" applyFill="0" applyBorder="0" applyAlignment="0" applyProtection="0"/>
    <xf numFmtId="41" fontId="181" fillId="0" borderId="0" applyFont="0" applyFill="0" applyBorder="0" applyAlignment="0" applyProtection="0"/>
    <xf numFmtId="43" fontId="181" fillId="0" borderId="0" applyFont="0" applyFill="0" applyBorder="0" applyAlignment="0" applyProtection="0"/>
    <xf numFmtId="43" fontId="181" fillId="0" borderId="0" applyFont="0" applyFill="0" applyBorder="0" applyAlignment="0" applyProtection="0"/>
    <xf numFmtId="0" fontId="59"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2" fontId="35" fillId="0" borderId="0" applyFont="0" applyFill="0" applyBorder="0" applyAlignment="0" applyProtection="0"/>
    <xf numFmtId="2" fontId="35" fillId="0" borderId="0" applyFont="0" applyFill="0" applyBorder="0" applyAlignment="0" applyProtection="0"/>
    <xf numFmtId="0" fontId="61" fillId="5" borderId="0" applyNumberFormat="0" applyBorder="0" applyAlignment="0" applyProtection="0"/>
    <xf numFmtId="0" fontId="183" fillId="5" borderId="0" applyNumberFormat="0" applyBorder="0" applyAlignment="0" applyProtection="0"/>
    <xf numFmtId="0" fontId="183" fillId="5" borderId="0" applyNumberFormat="0" applyBorder="0" applyAlignment="0" applyProtection="0"/>
    <xf numFmtId="0" fontId="183" fillId="5" borderId="0" applyNumberFormat="0" applyBorder="0" applyAlignment="0" applyProtection="0"/>
    <xf numFmtId="38" fontId="19" fillId="23" borderId="0" applyNumberFormat="0" applyBorder="0" applyAlignment="0" applyProtection="0"/>
    <xf numFmtId="38" fontId="19" fillId="2" borderId="0" applyNumberFormat="0" applyBorder="0" applyAlignment="0" applyProtection="0"/>
    <xf numFmtId="0" fontId="60" fillId="0" borderId="0">
      <alignment vertical="top" wrapText="1"/>
    </xf>
    <xf numFmtId="3" fontId="6" fillId="24" borderId="6">
      <alignment horizontal="right" vertical="top" wrapText="1"/>
    </xf>
    <xf numFmtId="0" fontId="62" fillId="0" borderId="0">
      <alignment horizontal="left"/>
    </xf>
    <xf numFmtId="0" fontId="63" fillId="0" borderId="7" applyNumberFormat="0" applyAlignment="0" applyProtection="0">
      <alignment horizontal="left" vertical="center"/>
    </xf>
    <xf numFmtId="0" fontId="63" fillId="0" borderId="8">
      <alignment horizontal="left" vertical="center"/>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5" fillId="0" borderId="9" applyNumberFormat="0" applyFill="0" applyAlignment="0" applyProtection="0"/>
    <xf numFmtId="0" fontId="184" fillId="0" borderId="9" applyNumberFormat="0" applyFill="0" applyAlignment="0" applyProtection="0"/>
    <xf numFmtId="0" fontId="184" fillId="0" borderId="9" applyNumberFormat="0" applyFill="0" applyAlignment="0" applyProtection="0"/>
    <xf numFmtId="0" fontId="184" fillId="0" borderId="9" applyNumberFormat="0" applyFill="0" applyAlignment="0" applyProtection="0"/>
    <xf numFmtId="0" fontId="65"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214" fontId="180" fillId="0" borderId="0">
      <protection locked="0"/>
    </xf>
    <xf numFmtId="214" fontId="180" fillId="0" borderId="0">
      <protection locked="0"/>
    </xf>
    <xf numFmtId="188" fontId="49" fillId="0" borderId="0" applyFont="0" applyFill="0" applyBorder="0" applyAlignment="0" applyProtection="0">
      <alignment horizontal="center" vertical="center"/>
    </xf>
    <xf numFmtId="49" fontId="185" fillId="0" borderId="1">
      <alignment vertical="center"/>
    </xf>
    <xf numFmtId="0" fontId="66" fillId="8" borderId="3" applyNumberFormat="0" applyAlignment="0" applyProtection="0"/>
    <xf numFmtId="10" fontId="19" fillId="23" borderId="1" applyNumberFormat="0" applyBorder="0" applyAlignment="0" applyProtection="0"/>
    <xf numFmtId="10" fontId="19" fillId="25" borderId="1" applyNumberFormat="0" applyBorder="0" applyAlignment="0" applyProtection="0"/>
    <xf numFmtId="0" fontId="186" fillId="8" borderId="3" applyNumberFormat="0" applyAlignment="0" applyProtection="0"/>
    <xf numFmtId="0" fontId="186" fillId="8" borderId="3" applyNumberFormat="0" applyAlignment="0" applyProtection="0"/>
    <xf numFmtId="0" fontId="186" fillId="8" borderId="3" applyNumberFormat="0" applyAlignment="0" applyProtection="0"/>
    <xf numFmtId="173" fontId="6" fillId="26" borderId="6">
      <alignment vertical="top" wrapText="1"/>
    </xf>
    <xf numFmtId="0" fontId="68" fillId="0" borderId="0"/>
    <xf numFmtId="0" fontId="67" fillId="0" borderId="10" applyNumberFormat="0" applyFill="0" applyAlignment="0" applyProtection="0"/>
    <xf numFmtId="0" fontId="187" fillId="0" borderId="10" applyNumberFormat="0" applyFill="0" applyAlignment="0" applyProtection="0"/>
    <xf numFmtId="0" fontId="187" fillId="0" borderId="10" applyNumberFormat="0" applyFill="0" applyAlignment="0" applyProtection="0"/>
    <xf numFmtId="0" fontId="187" fillId="0" borderId="10" applyNumberFormat="0" applyFill="0" applyAlignment="0" applyProtection="0"/>
    <xf numFmtId="0" fontId="49" fillId="0" borderId="0" applyFont="0" applyFill="0" applyBorder="0" applyProtection="0">
      <alignment horizontal="center" vertical="center"/>
    </xf>
    <xf numFmtId="38" fontId="68" fillId="0" borderId="0" applyFont="0" applyFill="0" applyBorder="0" applyAlignment="0" applyProtection="0"/>
    <xf numFmtId="40" fontId="68" fillId="0" borderId="0" applyFont="0" applyFill="0" applyBorder="0" applyAlignment="0" applyProtection="0"/>
    <xf numFmtId="0" fontId="69" fillId="0" borderId="11"/>
    <xf numFmtId="180" fontId="26" fillId="0" borderId="12"/>
    <xf numFmtId="200" fontId="68" fillId="0" borderId="0" applyFont="0" applyFill="0" applyBorder="0" applyAlignment="0" applyProtection="0"/>
    <xf numFmtId="201" fontId="68" fillId="0" borderId="0" applyFont="0" applyFill="0" applyBorder="0" applyAlignment="0" applyProtection="0"/>
    <xf numFmtId="0" fontId="70" fillId="0" borderId="0" applyNumberFormat="0" applyFont="0" applyFill="0" applyAlignment="0"/>
    <xf numFmtId="0" fontId="71" fillId="27" borderId="0" applyNumberFormat="0" applyBorder="0" applyAlignment="0" applyProtection="0"/>
    <xf numFmtId="0" fontId="188" fillId="27" borderId="0" applyNumberFormat="0" applyBorder="0" applyAlignment="0" applyProtection="0"/>
    <xf numFmtId="0" fontId="188" fillId="27" borderId="0" applyNumberFormat="0" applyBorder="0" applyAlignment="0" applyProtection="0"/>
    <xf numFmtId="0" fontId="188" fillId="27" borderId="0" applyNumberFormat="0" applyBorder="0" applyAlignment="0" applyProtection="0"/>
    <xf numFmtId="0" fontId="9" fillId="0" borderId="1"/>
    <xf numFmtId="0" fontId="35" fillId="0" borderId="0"/>
    <xf numFmtId="0" fontId="189" fillId="0" borderId="0"/>
    <xf numFmtId="0" fontId="189" fillId="0" borderId="0"/>
    <xf numFmtId="0" fontId="169" fillId="0" borderId="0"/>
    <xf numFmtId="0" fontId="169" fillId="0" borderId="0"/>
    <xf numFmtId="0" fontId="169" fillId="0" borderId="0"/>
    <xf numFmtId="0" fontId="169" fillId="0" borderId="0"/>
    <xf numFmtId="0" fontId="7" fillId="0" borderId="0"/>
    <xf numFmtId="0" fontId="35" fillId="0" borderId="0"/>
    <xf numFmtId="0" fontId="179" fillId="0" borderId="0"/>
    <xf numFmtId="0" fontId="169" fillId="0" borderId="0"/>
    <xf numFmtId="0" fontId="189" fillId="0" borderId="0"/>
    <xf numFmtId="0" fontId="35" fillId="0" borderId="0"/>
    <xf numFmtId="0" fontId="35" fillId="0" borderId="0"/>
    <xf numFmtId="0" fontId="189" fillId="0" borderId="0"/>
    <xf numFmtId="0" fontId="35" fillId="0" borderId="0"/>
    <xf numFmtId="0" fontId="2" fillId="0" borderId="0"/>
    <xf numFmtId="0" fontId="21" fillId="0" borderId="0"/>
    <xf numFmtId="0" fontId="9" fillId="0" borderId="0"/>
    <xf numFmtId="0" fontId="21" fillId="0" borderId="0"/>
    <xf numFmtId="0" fontId="89" fillId="0" borderId="0"/>
    <xf numFmtId="0" fontId="169" fillId="0" borderId="0"/>
    <xf numFmtId="0" fontId="170" fillId="0" borderId="0"/>
    <xf numFmtId="0" fontId="6" fillId="0" borderId="0"/>
    <xf numFmtId="0" fontId="181" fillId="0" borderId="0"/>
    <xf numFmtId="0" fontId="21" fillId="28" borderId="13" applyNumberFormat="0" applyFont="0" applyAlignment="0" applyProtection="0"/>
    <xf numFmtId="0" fontId="35" fillId="28" borderId="13" applyNumberFormat="0" applyFont="0" applyAlignment="0" applyProtection="0"/>
    <xf numFmtId="0" fontId="35" fillId="28" borderId="13" applyNumberFormat="0" applyFont="0" applyAlignment="0" applyProtection="0"/>
    <xf numFmtId="0" fontId="35" fillId="28" borderId="13" applyNumberFormat="0" applyFont="0" applyAlignment="0" applyProtection="0"/>
    <xf numFmtId="0" fontId="35" fillId="28" borderId="13" applyNumberFormat="0" applyFont="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35" fillId="0" borderId="0" applyFont="0" applyFill="0" applyBorder="0" applyAlignment="0" applyProtection="0"/>
    <xf numFmtId="0" fontId="116" fillId="0" borderId="0"/>
    <xf numFmtId="0" fontId="72" fillId="21" borderId="14" applyNumberFormat="0" applyAlignment="0" applyProtection="0"/>
    <xf numFmtId="0" fontId="190" fillId="21" borderId="14" applyNumberFormat="0" applyAlignment="0" applyProtection="0"/>
    <xf numFmtId="0" fontId="190" fillId="21" borderId="14" applyNumberFormat="0" applyAlignment="0" applyProtection="0"/>
    <xf numFmtId="0" fontId="190" fillId="21" borderId="14" applyNumberFormat="0" applyAlignment="0" applyProtection="0"/>
    <xf numFmtId="10" fontId="35" fillId="0" borderId="0" applyFont="0" applyFill="0" applyBorder="0" applyAlignment="0" applyProtection="0"/>
    <xf numFmtId="10" fontId="35" fillId="0" borderId="0" applyFont="0" applyFill="0" applyBorder="0" applyAlignment="0" applyProtection="0"/>
    <xf numFmtId="10" fontId="35" fillId="0" borderId="0" applyFont="0" applyFill="0" applyBorder="0" applyAlignment="0" applyProtection="0"/>
    <xf numFmtId="10" fontId="35" fillId="0" borderId="0" applyFont="0" applyFill="0" applyBorder="0" applyAlignment="0" applyProtection="0"/>
    <xf numFmtId="0" fontId="6" fillId="0" borderId="0" applyNumberFormat="0" applyFill="0" applyBorder="0" applyAlignment="0" applyProtection="0"/>
    <xf numFmtId="4" fontId="191" fillId="29" borderId="15" applyNumberFormat="0" applyProtection="0">
      <alignment vertical="center"/>
    </xf>
    <xf numFmtId="4" fontId="192" fillId="29" borderId="15" applyNumberFormat="0" applyProtection="0">
      <alignment vertical="center"/>
    </xf>
    <xf numFmtId="4" fontId="193" fillId="29" borderId="15" applyNumberFormat="0" applyProtection="0">
      <alignment horizontal="left" vertical="center" indent="1"/>
    </xf>
    <xf numFmtId="4" fontId="193" fillId="30" borderId="0" applyNumberFormat="0" applyProtection="0">
      <alignment horizontal="left" vertical="center" indent="1"/>
    </xf>
    <xf numFmtId="4" fontId="193" fillId="31" borderId="15" applyNumberFormat="0" applyProtection="0">
      <alignment horizontal="right" vertical="center"/>
    </xf>
    <xf numFmtId="4" fontId="193" fillId="32" borderId="15" applyNumberFormat="0" applyProtection="0">
      <alignment horizontal="right" vertical="center"/>
    </xf>
    <xf numFmtId="4" fontId="193" fillId="33" borderId="15" applyNumberFormat="0" applyProtection="0">
      <alignment horizontal="right" vertical="center"/>
    </xf>
    <xf numFmtId="4" fontId="193" fillId="34" borderId="15" applyNumberFormat="0" applyProtection="0">
      <alignment horizontal="right" vertical="center"/>
    </xf>
    <xf numFmtId="4" fontId="193" fillId="35" borderId="15" applyNumberFormat="0" applyProtection="0">
      <alignment horizontal="right" vertical="center"/>
    </xf>
    <xf numFmtId="4" fontId="193" fillId="36" borderId="15" applyNumberFormat="0" applyProtection="0">
      <alignment horizontal="right" vertical="center"/>
    </xf>
    <xf numFmtId="4" fontId="193" fillId="37" borderId="15" applyNumberFormat="0" applyProtection="0">
      <alignment horizontal="right" vertical="center"/>
    </xf>
    <xf numFmtId="4" fontId="193" fillId="38" borderId="15" applyNumberFormat="0" applyProtection="0">
      <alignment horizontal="right" vertical="center"/>
    </xf>
    <xf numFmtId="4" fontId="193" fillId="39" borderId="15" applyNumberFormat="0" applyProtection="0">
      <alignment horizontal="right" vertical="center"/>
    </xf>
    <xf numFmtId="4" fontId="191" fillId="40" borderId="16" applyNumberFormat="0" applyProtection="0">
      <alignment horizontal="left" vertical="center" indent="1"/>
    </xf>
    <xf numFmtId="4" fontId="191" fillId="41" borderId="0" applyNumberFormat="0" applyProtection="0">
      <alignment horizontal="left" vertical="center" indent="1"/>
    </xf>
    <xf numFmtId="4" fontId="191" fillId="30" borderId="0" applyNumberFormat="0" applyProtection="0">
      <alignment horizontal="left" vertical="center" indent="1"/>
    </xf>
    <xf numFmtId="4" fontId="193" fillId="41" borderId="15" applyNumberFormat="0" applyProtection="0">
      <alignment horizontal="right" vertical="center"/>
    </xf>
    <xf numFmtId="4" fontId="179" fillId="41" borderId="0" applyNumberFormat="0" applyProtection="0">
      <alignment horizontal="left" vertical="center" indent="1"/>
    </xf>
    <xf numFmtId="4" fontId="179" fillId="41" borderId="0" applyNumberFormat="0" applyProtection="0">
      <alignment horizontal="left" vertical="center" indent="1"/>
    </xf>
    <xf numFmtId="4" fontId="179" fillId="30" borderId="0" applyNumberFormat="0" applyProtection="0">
      <alignment horizontal="left" vertical="center" indent="1"/>
    </xf>
    <xf numFmtId="4" fontId="179" fillId="30" borderId="0" applyNumberFormat="0" applyProtection="0">
      <alignment horizontal="left" vertical="center" indent="1"/>
    </xf>
    <xf numFmtId="4" fontId="193" fillId="42" borderId="15" applyNumberFormat="0" applyProtection="0">
      <alignment vertical="center"/>
    </xf>
    <xf numFmtId="4" fontId="194" fillId="42" borderId="15" applyNumberFormat="0" applyProtection="0">
      <alignment vertical="center"/>
    </xf>
    <xf numFmtId="4" fontId="191" fillId="41" borderId="17" applyNumberFormat="0" applyProtection="0">
      <alignment horizontal="left" vertical="center" indent="1"/>
    </xf>
    <xf numFmtId="4" fontId="193" fillId="42" borderId="15" applyNumberFormat="0" applyProtection="0">
      <alignment horizontal="right" vertical="center"/>
    </xf>
    <xf numFmtId="4" fontId="194" fillId="42" borderId="15" applyNumberFormat="0" applyProtection="0">
      <alignment horizontal="right" vertical="center"/>
    </xf>
    <xf numFmtId="4" fontId="191" fillId="41" borderId="15" applyNumberFormat="0" applyProtection="0">
      <alignment horizontal="left" vertical="center" indent="1"/>
    </xf>
    <xf numFmtId="4" fontId="195" fillId="43" borderId="17" applyNumberFormat="0" applyProtection="0">
      <alignment horizontal="left" vertical="center" indent="1"/>
    </xf>
    <xf numFmtId="4" fontId="196" fillId="42" borderId="15" applyNumberFormat="0" applyProtection="0">
      <alignment horizontal="right" vertical="center"/>
    </xf>
    <xf numFmtId="0" fontId="7" fillId="0" borderId="0" applyNumberFormat="0" applyFill="0" applyBorder="0" applyAlignment="0" applyProtection="0"/>
    <xf numFmtId="0" fontId="73" fillId="0" borderId="0"/>
    <xf numFmtId="0" fontId="69" fillId="0" borderId="0"/>
    <xf numFmtId="196" fontId="9" fillId="0" borderId="18">
      <alignment horizontal="right" vertical="center"/>
    </xf>
    <xf numFmtId="187" fontId="10" fillId="0" borderId="18">
      <alignment horizontal="right" vertical="center"/>
    </xf>
    <xf numFmtId="0" fontId="74" fillId="0" borderId="0" applyNumberFormat="0" applyFill="0" applyBorder="0" applyAlignment="0" applyProtection="0"/>
    <xf numFmtId="0" fontId="198" fillId="0" borderId="0" applyNumberFormat="0" applyFill="0" applyBorder="0" applyAlignment="0" applyProtection="0"/>
    <xf numFmtId="0" fontId="198" fillId="0" borderId="0" applyNumberFormat="0" applyFill="0" applyBorder="0" applyAlignment="0" applyProtection="0"/>
    <xf numFmtId="0" fontId="198" fillId="0" borderId="0" applyNumberFormat="0" applyFill="0" applyBorder="0" applyAlignment="0" applyProtection="0"/>
    <xf numFmtId="0" fontId="35" fillId="0" borderId="19" applyNumberFormat="0" applyFont="0" applyFill="0" applyAlignment="0" applyProtection="0"/>
    <xf numFmtId="0" fontId="35" fillId="0" borderId="19" applyNumberFormat="0" applyFont="0" applyFill="0" applyAlignment="0" applyProtection="0"/>
    <xf numFmtId="0" fontId="35" fillId="0" borderId="19" applyNumberFormat="0" applyFont="0" applyFill="0" applyAlignment="0" applyProtection="0"/>
    <xf numFmtId="0" fontId="35" fillId="0" borderId="19" applyNumberFormat="0" applyFont="0" applyFill="0" applyAlignment="0" applyProtection="0"/>
    <xf numFmtId="0" fontId="18" fillId="0" borderId="20">
      <alignment horizontal="center"/>
    </xf>
    <xf numFmtId="197" fontId="9" fillId="0" borderId="18">
      <alignment horizontal="center"/>
    </xf>
    <xf numFmtId="0" fontId="197" fillId="0" borderId="21"/>
    <xf numFmtId="0" fontId="9" fillId="0" borderId="0" applyNumberFormat="0" applyFill="0" applyBorder="0" applyAlignment="0" applyProtection="0"/>
    <xf numFmtId="194" fontId="9" fillId="0" borderId="0"/>
    <xf numFmtId="195" fontId="9" fillId="0" borderId="1"/>
    <xf numFmtId="3" fontId="6" fillId="31" borderId="6">
      <alignment horizontal="right" vertical="top" wrapText="1"/>
    </xf>
    <xf numFmtId="3" fontId="9" fillId="0" borderId="0" applyNumberFormat="0" applyBorder="0" applyAlignment="0" applyProtection="0">
      <alignment horizontal="centerContinuous"/>
      <protection locked="0"/>
    </xf>
    <xf numFmtId="3" fontId="75" fillId="0" borderId="0">
      <protection locked="0"/>
    </xf>
    <xf numFmtId="5" fontId="200" fillId="0" borderId="5">
      <alignment horizontal="left" vertical="top"/>
    </xf>
    <xf numFmtId="0" fontId="4" fillId="44" borderId="1">
      <alignment horizontal="left" vertical="center"/>
    </xf>
    <xf numFmtId="5" fontId="199" fillId="0" borderId="22">
      <alignment horizontal="left" vertical="top"/>
    </xf>
    <xf numFmtId="215" fontId="180" fillId="0" borderId="0" applyFont="0" applyFill="0" applyBorder="0" applyAlignment="0" applyProtection="0"/>
    <xf numFmtId="216" fontId="180" fillId="0" borderId="0" applyFont="0" applyFill="0" applyBorder="0" applyAlignment="0" applyProtection="0"/>
    <xf numFmtId="42" fontId="181" fillId="0" borderId="0" applyFont="0" applyFill="0" applyBorder="0" applyAlignment="0" applyProtection="0"/>
    <xf numFmtId="44" fontId="181" fillId="0" borderId="0" applyFont="0" applyFill="0" applyBorder="0" applyAlignment="0" applyProtection="0"/>
    <xf numFmtId="0" fontId="76"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77" fillId="0" borderId="0" applyNumberForma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29" fillId="0" borderId="0">
      <alignment vertical="center"/>
    </xf>
    <xf numFmtId="40" fontId="79" fillId="0" borderId="0" applyFont="0" applyFill="0" applyBorder="0" applyAlignment="0" applyProtection="0"/>
    <xf numFmtId="38" fontId="79" fillId="0" borderId="0" applyFont="0" applyFill="0" applyBorder="0" applyAlignment="0" applyProtection="0"/>
    <xf numFmtId="0" fontId="79" fillId="0" borderId="0" applyFont="0" applyFill="0" applyBorder="0" applyAlignment="0" applyProtection="0"/>
    <xf numFmtId="0" fontId="79" fillId="0" borderId="0" applyFont="0" applyFill="0" applyBorder="0" applyAlignment="0" applyProtection="0"/>
    <xf numFmtId="9" fontId="80" fillId="0" borderId="0" applyFont="0" applyFill="0" applyBorder="0" applyAlignment="0" applyProtection="0"/>
    <xf numFmtId="0" fontId="81" fillId="0" borderId="0"/>
    <xf numFmtId="181" fontId="82" fillId="0" borderId="0" applyFont="0" applyFill="0" applyBorder="0" applyAlignment="0" applyProtection="0">
      <alignment vertical="center"/>
    </xf>
    <xf numFmtId="190" fontId="202" fillId="0" borderId="0" applyFont="0" applyFill="0" applyBorder="0" applyAlignment="0" applyProtection="0"/>
    <xf numFmtId="0" fontId="203" fillId="0" borderId="0" applyFont="0" applyFill="0" applyBorder="0" applyAlignment="0" applyProtection="0"/>
    <xf numFmtId="0" fontId="203" fillId="0" borderId="0" applyFont="0" applyFill="0" applyBorder="0" applyAlignment="0" applyProtection="0"/>
    <xf numFmtId="186" fontId="83" fillId="0" borderId="0" applyFont="0" applyFill="0" applyBorder="0" applyAlignment="0" applyProtection="0"/>
    <xf numFmtId="185" fontId="83" fillId="0" borderId="0" applyFont="0" applyFill="0" applyBorder="0" applyAlignment="0" applyProtection="0"/>
    <xf numFmtId="0" fontId="203" fillId="0" borderId="0"/>
    <xf numFmtId="0" fontId="84" fillId="0" borderId="0"/>
    <xf numFmtId="0" fontId="70" fillId="0" borderId="0"/>
    <xf numFmtId="181" fontId="85" fillId="0" borderId="0" applyFont="0" applyFill="0" applyBorder="0" applyAlignment="0" applyProtection="0"/>
    <xf numFmtId="182" fontId="85" fillId="0" borderId="0" applyFont="0" applyFill="0" applyBorder="0" applyAlignment="0" applyProtection="0"/>
    <xf numFmtId="38" fontId="86" fillId="0" borderId="0" applyFont="0" applyFill="0" applyBorder="0" applyAlignment="0" applyProtection="0"/>
    <xf numFmtId="0" fontId="35" fillId="0" borderId="0"/>
    <xf numFmtId="183" fontId="85" fillId="0" borderId="0" applyFont="0" applyFill="0" applyBorder="0" applyAlignment="0" applyProtection="0"/>
    <xf numFmtId="164" fontId="87" fillId="0" borderId="0" applyFont="0" applyFill="0" applyBorder="0" applyAlignment="0" applyProtection="0"/>
    <xf numFmtId="184" fontId="85" fillId="0" borderId="0" applyFont="0" applyFill="0" applyBorder="0" applyAlignment="0" applyProtection="0"/>
    <xf numFmtId="188" fontId="86" fillId="0" borderId="18">
      <alignment horizontal="center"/>
    </xf>
  </cellStyleXfs>
  <cellXfs count="1739">
    <xf numFmtId="0" fontId="0" fillId="0" borderId="0" xfId="0"/>
    <xf numFmtId="0" fontId="7" fillId="0" borderId="1" xfId="0" applyFont="1" applyBorder="1"/>
    <xf numFmtId="2" fontId="6" fillId="0" borderId="0" xfId="0" applyNumberFormat="1" applyFont="1"/>
    <xf numFmtId="0" fontId="0" fillId="0" borderId="0" xfId="0" applyAlignment="1">
      <alignment horizontal="center"/>
    </xf>
    <xf numFmtId="0" fontId="0" fillId="0" borderId="0" xfId="0" applyBorder="1" applyAlignment="1">
      <alignment horizontal="center"/>
    </xf>
    <xf numFmtId="0" fontId="0" fillId="0" borderId="0" xfId="0" applyBorder="1"/>
    <xf numFmtId="0" fontId="7" fillId="0" borderId="0" xfId="0" applyFont="1"/>
    <xf numFmtId="0" fontId="6" fillId="0" borderId="0" xfId="0" applyFont="1"/>
    <xf numFmtId="0" fontId="6" fillId="0" borderId="0" xfId="0" applyFont="1" applyAlignment="1">
      <alignment horizontal="center"/>
    </xf>
    <xf numFmtId="0" fontId="24" fillId="0" borderId="0" xfId="0" applyFont="1" applyAlignment="1">
      <alignment horizontal="center"/>
    </xf>
    <xf numFmtId="0" fontId="7" fillId="0" borderId="0" xfId="0" applyFont="1" applyFill="1"/>
    <xf numFmtId="0" fontId="6" fillId="0" borderId="0" xfId="0" applyFont="1" applyFill="1"/>
    <xf numFmtId="0" fontId="23" fillId="0" borderId="0" xfId="0" applyFont="1" applyAlignment="1">
      <alignment horizontal="center"/>
    </xf>
    <xf numFmtId="0" fontId="4" fillId="0" borderId="0" xfId="0" applyFont="1" applyAlignment="1">
      <alignment horizontal="center" vertical="top"/>
    </xf>
    <xf numFmtId="0" fontId="4" fillId="0" borderId="0" xfId="0" applyFont="1" applyAlignment="1">
      <alignment horizontal="center"/>
    </xf>
    <xf numFmtId="0" fontId="4" fillId="0" borderId="0" xfId="0" applyFont="1" applyAlignment="1"/>
    <xf numFmtId="0" fontId="4" fillId="0" borderId="1" xfId="0" applyFont="1" applyFill="1" applyBorder="1" applyAlignment="1"/>
    <xf numFmtId="0" fontId="4" fillId="0" borderId="0" xfId="0" applyFont="1" applyFill="1" applyAlignment="1"/>
    <xf numFmtId="0" fontId="6" fillId="0" borderId="0" xfId="0" applyFont="1" applyAlignment="1"/>
    <xf numFmtId="0" fontId="22" fillId="0" borderId="0" xfId="0" applyFont="1" applyAlignment="1">
      <alignment horizontal="right"/>
    </xf>
    <xf numFmtId="0" fontId="22" fillId="0" borderId="0" xfId="0" applyFont="1" applyAlignment="1"/>
    <xf numFmtId="0" fontId="22" fillId="0" borderId="0" xfId="0" applyFont="1" applyAlignment="1">
      <alignment horizontal="center"/>
    </xf>
    <xf numFmtId="0" fontId="90" fillId="0" borderId="1" xfId="0" applyFont="1" applyFill="1" applyBorder="1" applyAlignment="1"/>
    <xf numFmtId="0" fontId="90" fillId="0" borderId="0" xfId="0" applyFont="1" applyFill="1" applyAlignment="1"/>
    <xf numFmtId="0" fontId="9" fillId="0" borderId="0" xfId="0" applyFont="1"/>
    <xf numFmtId="0" fontId="11" fillId="0" borderId="0" xfId="0" applyFont="1" applyFill="1"/>
    <xf numFmtId="0" fontId="91" fillId="0" borderId="0" xfId="0" applyFont="1" applyFill="1" applyAlignment="1"/>
    <xf numFmtId="0" fontId="25" fillId="0" borderId="0" xfId="0" applyFont="1" applyAlignment="1">
      <alignment horizontal="left"/>
    </xf>
    <xf numFmtId="0" fontId="88" fillId="0" borderId="0" xfId="0" applyFont="1" applyAlignment="1">
      <alignment horizontal="left"/>
    </xf>
    <xf numFmtId="0" fontId="92" fillId="0" borderId="0" xfId="0" applyNumberFormat="1" applyFont="1" applyAlignment="1">
      <alignment horizontal="left"/>
    </xf>
    <xf numFmtId="0" fontId="25" fillId="0" borderId="0" xfId="0" applyFont="1" applyAlignment="1"/>
    <xf numFmtId="0" fontId="88" fillId="0" borderId="0" xfId="0" applyFont="1" applyAlignment="1"/>
    <xf numFmtId="0" fontId="11" fillId="0" borderId="1" xfId="0" applyFont="1" applyFill="1" applyBorder="1"/>
    <xf numFmtId="0" fontId="93" fillId="0" borderId="0" xfId="0" applyFont="1" applyAlignment="1"/>
    <xf numFmtId="0" fontId="95" fillId="0" borderId="0" xfId="0" applyFont="1" applyAlignment="1"/>
    <xf numFmtId="0" fontId="96" fillId="0" borderId="0" xfId="0" applyFont="1"/>
    <xf numFmtId="0" fontId="9" fillId="0" borderId="0" xfId="0" applyFont="1" applyAlignment="1"/>
    <xf numFmtId="0" fontId="9" fillId="0" borderId="0" xfId="0" applyFont="1" applyAlignment="1">
      <alignment horizontal="center"/>
    </xf>
    <xf numFmtId="0" fontId="95" fillId="0" borderId="0" xfId="0" applyFont="1" applyAlignment="1">
      <alignment horizontal="left"/>
    </xf>
    <xf numFmtId="0" fontId="9" fillId="0" borderId="0" xfId="0" applyFont="1" applyAlignment="1">
      <alignment horizontal="left"/>
    </xf>
    <xf numFmtId="0" fontId="9" fillId="0" borderId="0" xfId="0" applyFont="1" applyAlignment="1">
      <alignment horizontal="justify"/>
    </xf>
    <xf numFmtId="205" fontId="9" fillId="0" borderId="0" xfId="0" applyNumberFormat="1" applyFont="1" applyAlignment="1">
      <alignment horizontal="right"/>
    </xf>
    <xf numFmtId="206" fontId="9" fillId="0" borderId="0" xfId="0" applyNumberFormat="1" applyFont="1" applyAlignment="1">
      <alignment horizontal="left"/>
    </xf>
    <xf numFmtId="0" fontId="0" fillId="0" borderId="0" xfId="0" applyAlignment="1"/>
    <xf numFmtId="0" fontId="9" fillId="0" borderId="0" xfId="0" applyFont="1" applyAlignment="1">
      <alignment wrapText="1"/>
    </xf>
    <xf numFmtId="0" fontId="9" fillId="0" borderId="0" xfId="257" applyBorder="1"/>
    <xf numFmtId="0" fontId="9" fillId="0" borderId="0" xfId="257" applyFont="1" applyAlignment="1"/>
    <xf numFmtId="0" fontId="9" fillId="0" borderId="0" xfId="257" applyFont="1" applyAlignment="1">
      <alignment wrapText="1"/>
    </xf>
    <xf numFmtId="0" fontId="9" fillId="0" borderId="0" xfId="0" quotePrefix="1" applyFont="1" applyAlignment="1">
      <alignment horizontal="left"/>
    </xf>
    <xf numFmtId="0" fontId="9" fillId="0" borderId="0" xfId="0" applyFont="1" applyAlignment="1">
      <alignment horizontal="center" wrapText="1"/>
    </xf>
    <xf numFmtId="0" fontId="9" fillId="0" borderId="0" xfId="0" applyFont="1" applyBorder="1" applyAlignment="1">
      <alignment vertical="center" wrapText="1"/>
    </xf>
    <xf numFmtId="0" fontId="9" fillId="0" borderId="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2" xfId="0" applyFont="1" applyBorder="1" applyAlignment="1">
      <alignment vertical="center" wrapText="1"/>
    </xf>
    <xf numFmtId="0" fontId="9" fillId="0" borderId="23" xfId="0" applyFont="1" applyBorder="1" applyAlignment="1">
      <alignment horizontal="center" vertical="center" wrapText="1"/>
    </xf>
    <xf numFmtId="0" fontId="9" fillId="0" borderId="23" xfId="0" applyFont="1" applyBorder="1" applyAlignment="1">
      <alignment vertical="center" wrapText="1"/>
    </xf>
    <xf numFmtId="0" fontId="9" fillId="0" borderId="24" xfId="0" applyFont="1" applyBorder="1" applyAlignment="1">
      <alignment horizontal="center" vertical="center" wrapText="1"/>
    </xf>
    <xf numFmtId="0" fontId="9" fillId="0" borderId="24" xfId="0" applyFont="1" applyBorder="1" applyAlignment="1">
      <alignment vertical="center" wrapText="1"/>
    </xf>
    <xf numFmtId="0" fontId="9" fillId="0" borderId="0" xfId="0" applyFont="1" applyBorder="1" applyAlignment="1">
      <alignment horizontal="justify" vertical="top" wrapText="1"/>
    </xf>
    <xf numFmtId="0" fontId="9" fillId="0" borderId="0" xfId="0" applyFont="1" applyBorder="1" applyAlignment="1">
      <alignment horizontal="left"/>
    </xf>
    <xf numFmtId="0" fontId="9" fillId="0" borderId="25" xfId="0" applyFont="1" applyBorder="1" applyAlignment="1">
      <alignment vertical="top" wrapText="1"/>
    </xf>
    <xf numFmtId="0" fontId="88" fillId="0" borderId="25" xfId="0" applyFont="1" applyBorder="1" applyAlignment="1"/>
    <xf numFmtId="0" fontId="88" fillId="0" borderId="25" xfId="0" applyFont="1" applyBorder="1" applyAlignment="1">
      <alignment horizontal="justify"/>
    </xf>
    <xf numFmtId="0" fontId="3" fillId="0" borderId="0" xfId="0" applyFont="1" applyAlignment="1"/>
    <xf numFmtId="0" fontId="14" fillId="0" borderId="0" xfId="0" applyFont="1" applyBorder="1" applyAlignment="1">
      <alignment horizontal="center" vertical="top" wrapText="1"/>
    </xf>
    <xf numFmtId="0" fontId="3" fillId="0" borderId="0" xfId="0" applyFont="1" applyFill="1" applyAlignment="1"/>
    <xf numFmtId="0" fontId="14" fillId="0" borderId="0" xfId="0" applyFont="1" applyBorder="1" applyAlignment="1">
      <alignment vertical="top" wrapText="1"/>
    </xf>
    <xf numFmtId="0" fontId="14" fillId="0" borderId="0" xfId="0" applyFont="1" applyBorder="1" applyAlignment="1">
      <alignment horizontal="center" wrapText="1"/>
    </xf>
    <xf numFmtId="0" fontId="99" fillId="0" borderId="0" xfId="0" applyFont="1" applyBorder="1" applyAlignment="1"/>
    <xf numFmtId="0" fontId="99" fillId="0" borderId="0" xfId="0" applyFont="1" applyAlignment="1"/>
    <xf numFmtId="0" fontId="25" fillId="0" borderId="0" xfId="0" applyFont="1"/>
    <xf numFmtId="0" fontId="23" fillId="0" borderId="0" xfId="0" applyFont="1" applyBorder="1" applyAlignment="1">
      <alignment horizontal="center" vertical="top" wrapText="1"/>
    </xf>
    <xf numFmtId="0" fontId="6" fillId="0" borderId="0" xfId="0" applyFont="1" applyBorder="1"/>
    <xf numFmtId="0" fontId="6" fillId="0" borderId="0" xfId="0" applyFont="1" applyBorder="1" applyAlignment="1">
      <alignment horizontal="center"/>
    </xf>
    <xf numFmtId="0" fontId="9" fillId="0" borderId="0" xfId="0" applyFont="1" applyBorder="1" applyAlignment="1">
      <alignment horizontal="center" vertical="top" wrapText="1"/>
    </xf>
    <xf numFmtId="0" fontId="9" fillId="0" borderId="0" xfId="0" applyFont="1" applyBorder="1" applyAlignment="1">
      <alignment horizontal="center" vertical="center" wrapText="1"/>
    </xf>
    <xf numFmtId="0" fontId="25" fillId="0" borderId="0" xfId="0" applyFont="1" applyFill="1"/>
    <xf numFmtId="0" fontId="6" fillId="0" borderId="0" xfId="0" applyFont="1" applyFill="1" applyBorder="1"/>
    <xf numFmtId="0" fontId="9" fillId="0" borderId="0" xfId="0" applyFont="1" applyBorder="1" applyAlignment="1">
      <alignment vertical="top" wrapText="1"/>
    </xf>
    <xf numFmtId="0" fontId="0" fillId="0" borderId="0" xfId="0" applyBorder="1" applyAlignment="1">
      <alignment vertical="center"/>
    </xf>
    <xf numFmtId="0" fontId="0" fillId="0" borderId="0" xfId="0" applyAlignment="1">
      <alignment vertical="center"/>
    </xf>
    <xf numFmtId="0" fontId="26" fillId="0" borderId="0" xfId="0" applyFont="1" applyAlignment="1">
      <alignment horizontal="left"/>
    </xf>
    <xf numFmtId="0" fontId="26" fillId="0" borderId="0" xfId="0" applyFont="1" applyAlignment="1"/>
    <xf numFmtId="0" fontId="101" fillId="0" borderId="0" xfId="0" applyFont="1" applyAlignment="1"/>
    <xf numFmtId="0" fontId="102" fillId="0" borderId="0" xfId="0" applyFont="1" applyAlignment="1"/>
    <xf numFmtId="0" fontId="25" fillId="0" borderId="0" xfId="0" applyFont="1" applyAlignment="1">
      <alignment horizontal="justify" vertical="center"/>
    </xf>
    <xf numFmtId="0" fontId="9" fillId="0" borderId="0" xfId="0" applyFont="1" applyAlignment="1">
      <alignment vertical="center"/>
    </xf>
    <xf numFmtId="0" fontId="102" fillId="0" borderId="0" xfId="0" applyFont="1" applyAlignment="1">
      <alignment vertical="center"/>
    </xf>
    <xf numFmtId="0" fontId="96" fillId="0" borderId="0" xfId="0" applyFont="1" applyAlignment="1">
      <alignment vertical="center"/>
    </xf>
    <xf numFmtId="0" fontId="96" fillId="0" borderId="0" xfId="0" applyFont="1" applyAlignment="1"/>
    <xf numFmtId="0" fontId="100" fillId="0" borderId="0" xfId="0" applyFont="1"/>
    <xf numFmtId="0" fontId="9" fillId="0" borderId="0" xfId="0" applyFont="1" applyFill="1"/>
    <xf numFmtId="0" fontId="102" fillId="0" borderId="18" xfId="0" applyFont="1" applyBorder="1" applyAlignment="1"/>
    <xf numFmtId="0" fontId="102" fillId="0" borderId="8" xfId="0" applyFont="1" applyBorder="1" applyAlignment="1"/>
    <xf numFmtId="0" fontId="102" fillId="0" borderId="26" xfId="0" applyFont="1" applyBorder="1" applyAlignment="1"/>
    <xf numFmtId="0" fontId="99" fillId="0" borderId="0" xfId="0" applyFont="1" applyBorder="1"/>
    <xf numFmtId="0" fontId="99" fillId="0" borderId="0" xfId="0" applyFont="1"/>
    <xf numFmtId="0" fontId="8" fillId="0" borderId="0" xfId="0" applyFont="1" applyBorder="1" applyAlignment="1">
      <alignment vertical="top" wrapText="1"/>
    </xf>
    <xf numFmtId="0" fontId="25" fillId="0" borderId="0" xfId="0" applyFont="1" applyBorder="1" applyAlignment="1">
      <alignment horizontal="center" vertical="top" wrapText="1"/>
    </xf>
    <xf numFmtId="0" fontId="9" fillId="0" borderId="0" xfId="0" quotePrefix="1" applyFont="1" applyAlignment="1"/>
    <xf numFmtId="0" fontId="25" fillId="0" borderId="0" xfId="0" quotePrefix="1" applyFont="1" applyAlignment="1">
      <alignment horizontal="left"/>
    </xf>
    <xf numFmtId="205" fontId="9" fillId="0" borderId="0" xfId="0" applyNumberFormat="1" applyFont="1"/>
    <xf numFmtId="0" fontId="9" fillId="0" borderId="0" xfId="0" applyFont="1" applyFill="1" applyAlignment="1">
      <alignment wrapText="1"/>
    </xf>
    <xf numFmtId="0" fontId="9" fillId="0" borderId="0" xfId="257" applyFont="1" applyFill="1" applyAlignment="1">
      <alignment wrapText="1"/>
    </xf>
    <xf numFmtId="0" fontId="100" fillId="0" borderId="0" xfId="0" applyFont="1" applyAlignment="1"/>
    <xf numFmtId="0" fontId="9" fillId="0" borderId="0" xfId="0" applyFont="1" applyFill="1" applyAlignment="1">
      <alignment horizontal="center" wrapText="1"/>
    </xf>
    <xf numFmtId="0" fontId="9" fillId="0" borderId="0" xfId="0" applyFont="1" applyBorder="1" applyAlignment="1"/>
    <xf numFmtId="0" fontId="23" fillId="0" borderId="0" xfId="0" applyFont="1" applyBorder="1" applyAlignment="1">
      <alignment wrapText="1"/>
    </xf>
    <xf numFmtId="0" fontId="6" fillId="0" borderId="0" xfId="0" applyFont="1" applyBorder="1" applyAlignment="1"/>
    <xf numFmtId="0" fontId="95" fillId="0" borderId="0" xfId="0" applyFont="1" applyBorder="1" applyAlignment="1">
      <alignment horizontal="justify"/>
    </xf>
    <xf numFmtId="0" fontId="9" fillId="0" borderId="0" xfId="0" applyFont="1" applyBorder="1" applyAlignment="1">
      <alignment horizontal="justify"/>
    </xf>
    <xf numFmtId="0" fontId="6" fillId="0" borderId="0" xfId="0" applyFont="1" applyFill="1" applyBorder="1" applyAlignment="1"/>
    <xf numFmtId="0" fontId="25" fillId="0" borderId="0" xfId="0" applyFont="1" applyBorder="1" applyAlignment="1"/>
    <xf numFmtId="0" fontId="25" fillId="0" borderId="0" xfId="0" applyFont="1" applyBorder="1" applyAlignment="1">
      <alignment horizontal="justify"/>
    </xf>
    <xf numFmtId="0" fontId="88" fillId="0" borderId="0" xfId="0" applyFont="1" applyBorder="1" applyAlignment="1">
      <alignment horizontal="justify"/>
    </xf>
    <xf numFmtId="0" fontId="9" fillId="0" borderId="0" xfId="0" applyFont="1" applyBorder="1" applyAlignment="1">
      <alignment horizontal="center" wrapText="1"/>
    </xf>
    <xf numFmtId="0" fontId="9" fillId="0" borderId="27" xfId="0" applyFont="1" applyBorder="1" applyAlignment="1">
      <alignment horizontal="center" vertical="center" wrapText="1"/>
    </xf>
    <xf numFmtId="0" fontId="9" fillId="0" borderId="27" xfId="0" applyFont="1" applyBorder="1" applyAlignment="1">
      <alignment vertical="center" wrapText="1"/>
    </xf>
    <xf numFmtId="0" fontId="96" fillId="0" borderId="0" xfId="0" applyFont="1" applyAlignment="1">
      <alignment horizontal="left"/>
    </xf>
    <xf numFmtId="0" fontId="7" fillId="0" borderId="1" xfId="0" applyFont="1" applyFill="1" applyBorder="1"/>
    <xf numFmtId="20" fontId="7" fillId="0" borderId="0" xfId="0" applyNumberFormat="1" applyFont="1"/>
    <xf numFmtId="20" fontId="7" fillId="0" borderId="1" xfId="0" applyNumberFormat="1" applyFont="1" applyFill="1" applyBorder="1"/>
    <xf numFmtId="14" fontId="7" fillId="0" borderId="1" xfId="0" applyNumberFormat="1" applyFont="1" applyBorder="1"/>
    <xf numFmtId="204" fontId="7" fillId="0" borderId="0" xfId="0" applyNumberFormat="1" applyFont="1"/>
    <xf numFmtId="22" fontId="7" fillId="0" borderId="0" xfId="0" applyNumberFormat="1" applyFont="1"/>
    <xf numFmtId="0" fontId="7" fillId="0" borderId="1" xfId="0" applyFont="1" applyBorder="1" applyAlignment="1"/>
    <xf numFmtId="0" fontId="7" fillId="0" borderId="0" xfId="0" applyFont="1" applyAlignment="1"/>
    <xf numFmtId="0" fontId="7" fillId="0" borderId="0" xfId="0" applyFont="1" applyBorder="1"/>
    <xf numFmtId="0" fontId="7" fillId="0" borderId="5" xfId="0" applyFont="1" applyFill="1" applyBorder="1"/>
    <xf numFmtId="0" fontId="7" fillId="0" borderId="0" xfId="0" applyFont="1" applyFill="1" applyBorder="1"/>
    <xf numFmtId="0" fontId="5" fillId="0" borderId="0" xfId="0" applyFont="1" applyBorder="1" applyAlignment="1">
      <alignment horizontal="center" vertical="top" wrapText="1"/>
    </xf>
    <xf numFmtId="0" fontId="7" fillId="0" borderId="0" xfId="0" applyFont="1" applyFill="1" applyAlignment="1">
      <alignment vertical="center"/>
    </xf>
    <xf numFmtId="0" fontId="7" fillId="0" borderId="0" xfId="0" applyFont="1" applyAlignment="1">
      <alignment vertical="center"/>
    </xf>
    <xf numFmtId="0" fontId="9" fillId="0" borderId="0" xfId="0" applyFont="1" applyFill="1" applyAlignment="1">
      <alignment vertical="center"/>
    </xf>
    <xf numFmtId="20" fontId="9" fillId="0" borderId="0" xfId="0" applyNumberFormat="1" applyFont="1" applyFill="1"/>
    <xf numFmtId="0" fontId="9" fillId="0" borderId="0" xfId="0" applyFont="1" applyFill="1" applyAlignment="1"/>
    <xf numFmtId="0" fontId="7" fillId="0" borderId="0" xfId="0" applyFont="1" applyFill="1" applyAlignment="1"/>
    <xf numFmtId="0" fontId="4" fillId="0" borderId="0" xfId="0" applyFont="1" applyFill="1" applyBorder="1" applyAlignment="1"/>
    <xf numFmtId="0" fontId="9" fillId="0" borderId="0" xfId="0" applyFont="1" applyBorder="1" applyAlignment="1">
      <alignment horizontal="center"/>
    </xf>
    <xf numFmtId="205" fontId="9" fillId="0" borderId="0" xfId="0" applyNumberFormat="1" applyFont="1" applyBorder="1" applyAlignment="1">
      <alignment horizontal="left"/>
    </xf>
    <xf numFmtId="14" fontId="9" fillId="0" borderId="0" xfId="0" applyNumberFormat="1" applyFont="1" applyBorder="1" applyAlignment="1">
      <alignment horizontal="center"/>
    </xf>
    <xf numFmtId="0" fontId="9" fillId="0" borderId="28" xfId="0" applyFont="1" applyBorder="1" applyAlignment="1">
      <alignment horizontal="center"/>
    </xf>
    <xf numFmtId="0" fontId="9" fillId="0" borderId="29" xfId="0" applyFont="1" applyBorder="1" applyAlignment="1">
      <alignment horizontal="center"/>
    </xf>
    <xf numFmtId="0" fontId="9" fillId="0" borderId="28" xfId="0" applyFont="1" applyBorder="1" applyAlignment="1">
      <alignment horizontal="left"/>
    </xf>
    <xf numFmtId="0" fontId="9" fillId="0" borderId="30" xfId="0" applyFont="1" applyBorder="1" applyAlignment="1">
      <alignment horizontal="left"/>
    </xf>
    <xf numFmtId="0" fontId="9" fillId="0" borderId="29" xfId="0" applyFont="1" applyBorder="1" applyAlignment="1">
      <alignment horizontal="left"/>
    </xf>
    <xf numFmtId="205" fontId="9" fillId="0" borderId="28" xfId="0" applyNumberFormat="1" applyFont="1" applyBorder="1" applyAlignment="1">
      <alignment horizontal="left"/>
    </xf>
    <xf numFmtId="205" fontId="9" fillId="0" borderId="30" xfId="0" applyNumberFormat="1" applyFont="1" applyBorder="1" applyAlignment="1">
      <alignment horizontal="left"/>
    </xf>
    <xf numFmtId="14" fontId="9" fillId="0" borderId="30" xfId="0" applyNumberFormat="1" applyFont="1" applyBorder="1" applyAlignment="1">
      <alignment horizontal="center"/>
    </xf>
    <xf numFmtId="14" fontId="9" fillId="0" borderId="29" xfId="0" applyNumberFormat="1" applyFont="1" applyBorder="1" applyAlignment="1">
      <alignment horizontal="center"/>
    </xf>
    <xf numFmtId="0" fontId="9" fillId="0" borderId="31" xfId="0" applyFont="1" applyBorder="1" applyAlignment="1">
      <alignment horizontal="center"/>
    </xf>
    <xf numFmtId="0" fontId="9" fillId="0" borderId="32" xfId="0" applyFont="1" applyBorder="1" applyAlignment="1">
      <alignment horizontal="center"/>
    </xf>
    <xf numFmtId="0" fontId="9" fillId="0" borderId="31" xfId="0" applyFont="1" applyBorder="1" applyAlignment="1">
      <alignment horizontal="left"/>
    </xf>
    <xf numFmtId="0" fontId="9" fillId="0" borderId="32" xfId="0" applyFont="1" applyBorder="1" applyAlignment="1">
      <alignment horizontal="left"/>
    </xf>
    <xf numFmtId="205" fontId="9" fillId="0" borderId="31" xfId="0" applyNumberFormat="1" applyFont="1" applyBorder="1" applyAlignment="1">
      <alignment horizontal="left"/>
    </xf>
    <xf numFmtId="14" fontId="9" fillId="0" borderId="32" xfId="0" applyNumberFormat="1" applyFont="1" applyBorder="1" applyAlignment="1">
      <alignment horizontal="center"/>
    </xf>
    <xf numFmtId="0" fontId="102" fillId="0" borderId="33" xfId="0" applyFont="1" applyBorder="1" applyAlignment="1">
      <alignment horizontal="center"/>
    </xf>
    <xf numFmtId="0" fontId="102" fillId="0" borderId="34" xfId="0" applyFont="1" applyBorder="1" applyAlignment="1">
      <alignment horizontal="center"/>
    </xf>
    <xf numFmtId="0" fontId="102" fillId="0" borderId="35" xfId="0" applyFont="1" applyBorder="1" applyAlignment="1">
      <alignment horizontal="center"/>
    </xf>
    <xf numFmtId="0" fontId="102" fillId="0" borderId="33" xfId="0" applyFont="1" applyBorder="1" applyAlignment="1"/>
    <xf numFmtId="0" fontId="102" fillId="0" borderId="35" xfId="0" applyFont="1" applyBorder="1" applyAlignment="1"/>
    <xf numFmtId="0" fontId="102" fillId="0" borderId="34" xfId="0" applyFont="1" applyBorder="1" applyAlignment="1"/>
    <xf numFmtId="0" fontId="96" fillId="0" borderId="28" xfId="0" applyFont="1" applyBorder="1"/>
    <xf numFmtId="0" fontId="96" fillId="0" borderId="29" xfId="0" applyFont="1" applyBorder="1"/>
    <xf numFmtId="0" fontId="9" fillId="0" borderId="28" xfId="0" quotePrefix="1" applyFont="1" applyBorder="1" applyAlignment="1">
      <alignment horizontal="left"/>
    </xf>
    <xf numFmtId="0" fontId="96" fillId="0" borderId="30" xfId="0" applyFont="1" applyBorder="1"/>
    <xf numFmtId="0" fontId="9" fillId="0" borderId="28" xfId="0" applyFont="1" applyBorder="1"/>
    <xf numFmtId="0" fontId="9" fillId="0" borderId="30" xfId="0" applyFont="1" applyBorder="1"/>
    <xf numFmtId="0" fontId="102" fillId="0" borderId="31" xfId="0" applyFont="1" applyBorder="1" applyAlignment="1">
      <alignment horizontal="center"/>
    </xf>
    <xf numFmtId="0" fontId="102" fillId="0" borderId="32" xfId="0" applyFont="1" applyBorder="1" applyAlignment="1">
      <alignment horizontal="center"/>
    </xf>
    <xf numFmtId="0" fontId="102" fillId="0" borderId="0" xfId="0" applyFont="1" applyBorder="1" applyAlignment="1">
      <alignment horizontal="center"/>
    </xf>
    <xf numFmtId="0" fontId="102" fillId="0" borderId="31" xfId="0" applyFont="1" applyBorder="1" applyAlignment="1"/>
    <xf numFmtId="0" fontId="102" fillId="0" borderId="0" xfId="0" applyFont="1" applyBorder="1" applyAlignment="1"/>
    <xf numFmtId="0" fontId="102" fillId="0" borderId="32" xfId="0" applyFont="1" applyBorder="1" applyAlignment="1"/>
    <xf numFmtId="0" fontId="29" fillId="0" borderId="0" xfId="255" applyFont="1" applyFill="1" applyBorder="1" applyAlignment="1">
      <alignment horizontal="center"/>
    </xf>
    <xf numFmtId="0" fontId="29" fillId="0" borderId="0" xfId="0" applyFont="1" applyAlignment="1">
      <alignment horizontal="center" vertical="center"/>
    </xf>
    <xf numFmtId="0" fontId="109" fillId="0" borderId="0" xfId="255" applyFont="1" applyFill="1" applyBorder="1" applyAlignment="1">
      <alignment horizontal="center"/>
    </xf>
    <xf numFmtId="0" fontId="106" fillId="0" borderId="0" xfId="258" applyFont="1" applyAlignment="1">
      <alignment horizontal="center"/>
    </xf>
    <xf numFmtId="0" fontId="103" fillId="0" borderId="0" xfId="258" applyFont="1"/>
    <xf numFmtId="0" fontId="103" fillId="45" borderId="36" xfId="258" applyFont="1" applyFill="1" applyBorder="1"/>
    <xf numFmtId="0" fontId="107" fillId="45" borderId="36" xfId="258" applyFont="1" applyFill="1" applyBorder="1"/>
    <xf numFmtId="0" fontId="103" fillId="0" borderId="23" xfId="258" applyFont="1" applyBorder="1"/>
    <xf numFmtId="0" fontId="107" fillId="0" borderId="23" xfId="258" applyFont="1" applyBorder="1"/>
    <xf numFmtId="0" fontId="103" fillId="45" borderId="23" xfId="258" applyFont="1" applyFill="1" applyBorder="1"/>
    <xf numFmtId="0" fontId="106" fillId="45" borderId="23" xfId="258" applyFont="1" applyFill="1" applyBorder="1"/>
    <xf numFmtId="0" fontId="107" fillId="45" borderId="23" xfId="258" applyFont="1" applyFill="1" applyBorder="1"/>
    <xf numFmtId="0" fontId="29" fillId="0" borderId="35" xfId="256" applyFont="1" applyFill="1" applyBorder="1" applyAlignment="1">
      <alignment horizontal="center" vertical="center" wrapText="1"/>
    </xf>
    <xf numFmtId="0" fontId="106" fillId="0" borderId="0" xfId="256" applyFont="1" applyBorder="1" applyAlignment="1">
      <alignment horizontal="center" vertical="center"/>
    </xf>
    <xf numFmtId="0" fontId="108" fillId="0" borderId="23" xfId="258" applyFont="1" applyBorder="1"/>
    <xf numFmtId="0" fontId="107" fillId="0" borderId="0" xfId="258" applyFont="1"/>
    <xf numFmtId="0" fontId="29" fillId="0" borderId="0" xfId="0" applyFont="1"/>
    <xf numFmtId="0" fontId="29" fillId="0" borderId="37" xfId="0" applyFont="1" applyBorder="1"/>
    <xf numFmtId="0" fontId="29" fillId="0" borderId="0" xfId="0" applyFont="1" applyBorder="1" applyAlignment="1"/>
    <xf numFmtId="0" fontId="29" fillId="0" borderId="0" xfId="0" applyFont="1" applyBorder="1"/>
    <xf numFmtId="0" fontId="29" fillId="0" borderId="38" xfId="0" applyFont="1" applyBorder="1"/>
    <xf numFmtId="0" fontId="112" fillId="0" borderId="0" xfId="0" applyFont="1" applyBorder="1" applyAlignment="1"/>
    <xf numFmtId="0" fontId="112" fillId="0" borderId="0" xfId="0" applyFont="1" applyBorder="1" applyAlignment="1">
      <alignment horizontal="left"/>
    </xf>
    <xf numFmtId="0" fontId="111" fillId="0" borderId="0" xfId="0" applyFont="1" applyBorder="1" applyAlignment="1"/>
    <xf numFmtId="0" fontId="113" fillId="0" borderId="0" xfId="0" applyFont="1" applyBorder="1"/>
    <xf numFmtId="0" fontId="29" fillId="0" borderId="39" xfId="0" applyFont="1" applyBorder="1"/>
    <xf numFmtId="0" fontId="29" fillId="0" borderId="40" xfId="0" applyFont="1" applyBorder="1"/>
    <xf numFmtId="0" fontId="29" fillId="0" borderId="41" xfId="0" applyFont="1" applyBorder="1"/>
    <xf numFmtId="0" fontId="28" fillId="0" borderId="0" xfId="255" applyFont="1" applyFill="1"/>
    <xf numFmtId="0" fontId="28" fillId="0" borderId="0" xfId="255" applyFont="1"/>
    <xf numFmtId="0" fontId="109" fillId="0" borderId="0" xfId="255" applyFont="1" applyFill="1" applyBorder="1" applyAlignment="1"/>
    <xf numFmtId="0" fontId="28" fillId="0" borderId="42" xfId="255" applyFont="1" applyFill="1" applyBorder="1"/>
    <xf numFmtId="0" fontId="28" fillId="0" borderId="42" xfId="255" applyFont="1" applyBorder="1"/>
    <xf numFmtId="0" fontId="29" fillId="0" borderId="0" xfId="255" applyFont="1" applyFill="1" applyBorder="1" applyAlignment="1"/>
    <xf numFmtId="0" fontId="103" fillId="0" borderId="0" xfId="255" applyFont="1" applyFill="1"/>
    <xf numFmtId="0" fontId="103" fillId="0" borderId="0" xfId="255" applyFont="1"/>
    <xf numFmtId="0" fontId="116" fillId="0" borderId="0" xfId="255" applyFont="1" applyFill="1" applyAlignment="1">
      <alignment horizontal="left" vertical="center"/>
    </xf>
    <xf numFmtId="0" fontId="116" fillId="0" borderId="0" xfId="0" applyFont="1" applyAlignment="1">
      <alignment horizontal="left"/>
    </xf>
    <xf numFmtId="0" fontId="118" fillId="0" borderId="0" xfId="255" applyFont="1" applyFill="1" applyAlignment="1"/>
    <xf numFmtId="0" fontId="118" fillId="0" borderId="0" xfId="255" applyFont="1" applyFill="1"/>
    <xf numFmtId="0" fontId="118" fillId="0" borderId="0" xfId="255" applyFont="1"/>
    <xf numFmtId="0" fontId="118" fillId="0" borderId="0" xfId="255" applyFont="1" applyFill="1" applyAlignment="1">
      <alignment vertical="center"/>
    </xf>
    <xf numFmtId="0" fontId="118" fillId="0" borderId="0" xfId="255" applyFont="1" applyFill="1" applyAlignment="1">
      <alignment horizontal="left"/>
    </xf>
    <xf numFmtId="167" fontId="118" fillId="0" borderId="0" xfId="255" applyNumberFormat="1" applyFont="1" applyFill="1" applyAlignment="1">
      <alignment horizontal="center"/>
    </xf>
    <xf numFmtId="0" fontId="118" fillId="0" borderId="0" xfId="255" applyFont="1" applyFill="1" applyAlignment="1">
      <alignment horizontal="center"/>
    </xf>
    <xf numFmtId="20" fontId="121" fillId="0" borderId="35" xfId="255" applyNumberFormat="1" applyFont="1" applyFill="1" applyBorder="1" applyAlignment="1">
      <alignment horizontal="center" vertical="center"/>
    </xf>
    <xf numFmtId="0" fontId="118" fillId="0" borderId="0" xfId="255" applyFont="1" applyFill="1" applyBorder="1" applyAlignment="1">
      <alignment vertical="center"/>
    </xf>
    <xf numFmtId="0" fontId="118" fillId="0" borderId="0" xfId="255" applyFont="1" applyFill="1" applyBorder="1" applyAlignment="1"/>
    <xf numFmtId="0" fontId="118" fillId="0" borderId="43" xfId="255" applyFont="1" applyFill="1" applyBorder="1" applyAlignment="1">
      <alignment horizontal="right"/>
    </xf>
    <xf numFmtId="0" fontId="118" fillId="0" borderId="0" xfId="255" applyFont="1" applyFill="1" applyBorder="1"/>
    <xf numFmtId="0" fontId="118" fillId="0" borderId="0" xfId="255" applyFont="1" applyFill="1" applyBorder="1" applyAlignment="1">
      <alignment horizontal="left"/>
    </xf>
    <xf numFmtId="0" fontId="118" fillId="0" borderId="43" xfId="255" applyFont="1" applyFill="1" applyBorder="1"/>
    <xf numFmtId="0" fontId="124" fillId="0" borderId="0" xfId="255" applyFont="1" applyFill="1" applyBorder="1" applyAlignment="1">
      <alignment horizontal="left"/>
    </xf>
    <xf numFmtId="10" fontId="121" fillId="23" borderId="0" xfId="255" applyNumberFormat="1" applyFont="1" applyFill="1" applyBorder="1"/>
    <xf numFmtId="0" fontId="121" fillId="0" borderId="0" xfId="255" applyFont="1" applyFill="1" applyBorder="1" applyAlignment="1">
      <alignment horizontal="center"/>
    </xf>
    <xf numFmtId="0" fontId="118" fillId="0" borderId="44" xfId="255" applyFont="1" applyFill="1" applyBorder="1"/>
    <xf numFmtId="0" fontId="118" fillId="0" borderId="30" xfId="255" applyFont="1" applyFill="1" applyBorder="1" applyAlignment="1"/>
    <xf numFmtId="0" fontId="118" fillId="0" borderId="30" xfId="255" applyFont="1" applyFill="1" applyBorder="1" applyAlignment="1">
      <alignment horizontal="left"/>
    </xf>
    <xf numFmtId="0" fontId="118" fillId="0" borderId="30" xfId="255" applyFont="1" applyFill="1" applyBorder="1"/>
    <xf numFmtId="0" fontId="119" fillId="0" borderId="43" xfId="255" applyFont="1" applyFill="1" applyBorder="1" applyAlignment="1">
      <alignment horizontal="center" vertical="center"/>
    </xf>
    <xf numFmtId="0" fontId="119" fillId="0" borderId="0" xfId="255" applyFont="1" applyFill="1" applyBorder="1" applyAlignment="1">
      <alignment vertical="center"/>
    </xf>
    <xf numFmtId="0" fontId="121" fillId="0" borderId="0" xfId="255" applyFont="1" applyFill="1" applyBorder="1" applyAlignment="1">
      <alignment vertical="center"/>
    </xf>
    <xf numFmtId="0" fontId="121" fillId="0" borderId="0" xfId="255" applyFont="1" applyFill="1" applyBorder="1" applyAlignment="1"/>
    <xf numFmtId="0" fontId="118" fillId="0" borderId="30" xfId="255" applyFont="1" applyBorder="1"/>
    <xf numFmtId="0" fontId="121" fillId="0" borderId="0" xfId="255" applyFont="1" applyFill="1" applyBorder="1" applyAlignment="1">
      <alignment horizontal="right"/>
    </xf>
    <xf numFmtId="0" fontId="121" fillId="0" borderId="35" xfId="255" applyFont="1" applyFill="1" applyBorder="1" applyAlignment="1">
      <alignment vertical="center"/>
    </xf>
    <xf numFmtId="20" fontId="118" fillId="0" borderId="0" xfId="255" applyNumberFormat="1" applyFont="1" applyFill="1"/>
    <xf numFmtId="0" fontId="118" fillId="0" borderId="0" xfId="255" applyFont="1" applyFill="1" applyBorder="1" applyAlignment="1">
      <alignment horizontal="center"/>
    </xf>
    <xf numFmtId="0" fontId="118" fillId="0" borderId="30" xfId="255" applyFont="1" applyFill="1" applyBorder="1" applyAlignment="1">
      <alignment horizontal="center"/>
    </xf>
    <xf numFmtId="0" fontId="118" fillId="0" borderId="35" xfId="255" applyFont="1" applyFill="1" applyBorder="1" applyAlignment="1">
      <alignment horizontal="left" vertical="center"/>
    </xf>
    <xf numFmtId="168" fontId="121" fillId="0" borderId="0" xfId="255" applyNumberFormat="1" applyFont="1" applyFill="1" applyBorder="1" applyAlignment="1">
      <alignment horizontal="center" vertical="center"/>
    </xf>
    <xf numFmtId="0" fontId="118" fillId="0" borderId="43" xfId="255" applyFont="1" applyFill="1" applyBorder="1" applyAlignment="1">
      <alignment vertical="center" wrapText="1"/>
    </xf>
    <xf numFmtId="0" fontId="118" fillId="0" borderId="45" xfId="255" applyFont="1" applyFill="1" applyBorder="1" applyAlignment="1">
      <alignment horizontal="center" vertical="center" wrapText="1"/>
    </xf>
    <xf numFmtId="0" fontId="118" fillId="0" borderId="0" xfId="255" applyFont="1" applyFill="1" applyAlignment="1">
      <alignment vertical="center" wrapText="1"/>
    </xf>
    <xf numFmtId="0" fontId="118" fillId="0" borderId="0" xfId="255" applyFont="1" applyAlignment="1">
      <alignment vertical="center" wrapText="1"/>
    </xf>
    <xf numFmtId="0" fontId="118" fillId="0" borderId="46" xfId="255" applyFont="1" applyFill="1" applyBorder="1" applyAlignment="1">
      <alignment horizontal="center"/>
    </xf>
    <xf numFmtId="2" fontId="118" fillId="0" borderId="0" xfId="255" applyNumberFormat="1" applyFont="1" applyFill="1"/>
    <xf numFmtId="0" fontId="118" fillId="0" borderId="47" xfId="255" applyFont="1" applyFill="1" applyBorder="1" applyAlignment="1">
      <alignment horizontal="center"/>
    </xf>
    <xf numFmtId="0" fontId="118" fillId="0" borderId="44" xfId="255" applyFont="1" applyFill="1" applyBorder="1" applyAlignment="1">
      <alignment horizontal="right"/>
    </xf>
    <xf numFmtId="172" fontId="118" fillId="0" borderId="30" xfId="151" applyNumberFormat="1" applyFont="1" applyFill="1" applyBorder="1" applyAlignment="1"/>
    <xf numFmtId="0" fontId="118" fillId="0" borderId="35" xfId="255" applyFont="1" applyFill="1" applyBorder="1" applyAlignment="1">
      <alignment vertical="center"/>
    </xf>
    <xf numFmtId="168" fontId="121" fillId="0" borderId="35" xfId="255" applyNumberFormat="1" applyFont="1" applyFill="1" applyBorder="1" applyAlignment="1">
      <alignment vertical="center"/>
    </xf>
    <xf numFmtId="0" fontId="119" fillId="0" borderId="48" xfId="255" applyFont="1" applyFill="1" applyBorder="1" applyAlignment="1">
      <alignment vertical="top"/>
    </xf>
    <xf numFmtId="0" fontId="119" fillId="0" borderId="35" xfId="255" applyFont="1" applyFill="1" applyBorder="1" applyAlignment="1">
      <alignment vertical="center"/>
    </xf>
    <xf numFmtId="0" fontId="119" fillId="0" borderId="44" xfId="255" applyFont="1" applyFill="1" applyBorder="1" applyAlignment="1">
      <alignment vertical="top"/>
    </xf>
    <xf numFmtId="0" fontId="118" fillId="0" borderId="30" xfId="255" applyFont="1" applyFill="1" applyBorder="1" applyAlignment="1">
      <alignment vertical="center"/>
    </xf>
    <xf numFmtId="0" fontId="118" fillId="0" borderId="35" xfId="255" applyFont="1" applyFill="1" applyBorder="1" applyAlignment="1">
      <alignment horizontal="center" vertical="center"/>
    </xf>
    <xf numFmtId="2" fontId="121" fillId="0" borderId="0" xfId="255" applyNumberFormat="1" applyFont="1" applyFill="1" applyBorder="1" applyAlignment="1">
      <alignment horizontal="center"/>
    </xf>
    <xf numFmtId="170" fontId="121" fillId="0" borderId="0" xfId="255" applyNumberFormat="1" applyFont="1" applyFill="1" applyBorder="1" applyAlignment="1">
      <alignment horizontal="center"/>
    </xf>
    <xf numFmtId="2" fontId="122" fillId="0" borderId="35" xfId="255" applyNumberFormat="1" applyFont="1" applyFill="1" applyBorder="1" applyAlignment="1">
      <alignment vertical="center"/>
    </xf>
    <xf numFmtId="0" fontId="119" fillId="0" borderId="43" xfId="255" applyFont="1" applyFill="1" applyBorder="1" applyAlignment="1">
      <alignment vertical="top"/>
    </xf>
    <xf numFmtId="2" fontId="121" fillId="23" borderId="0" xfId="255" applyNumberFormat="1" applyFont="1" applyFill="1" applyBorder="1" applyAlignment="1">
      <alignment vertical="center"/>
    </xf>
    <xf numFmtId="2" fontId="122" fillId="0" borderId="0" xfId="255" applyNumberFormat="1" applyFont="1" applyFill="1" applyBorder="1" applyAlignment="1">
      <alignment vertical="center"/>
    </xf>
    <xf numFmtId="20" fontId="121" fillId="0" borderId="0" xfId="255" applyNumberFormat="1" applyFont="1" applyFill="1" applyBorder="1" applyAlignment="1">
      <alignment vertical="center"/>
    </xf>
    <xf numFmtId="168" fontId="121" fillId="0" borderId="0" xfId="255" applyNumberFormat="1" applyFont="1" applyFill="1" applyBorder="1" applyAlignment="1">
      <alignment vertical="center"/>
    </xf>
    <xf numFmtId="0" fontId="122" fillId="0" borderId="30" xfId="255" applyFont="1" applyBorder="1"/>
    <xf numFmtId="0" fontId="115" fillId="0" borderId="48" xfId="255" applyFont="1" applyFill="1" applyBorder="1" applyAlignment="1">
      <alignment vertical="center"/>
    </xf>
    <xf numFmtId="0" fontId="118" fillId="0" borderId="0" xfId="255" applyFont="1" applyFill="1" applyBorder="1" applyAlignment="1">
      <alignment horizontal="center" vertical="center"/>
    </xf>
    <xf numFmtId="0" fontId="115" fillId="0" borderId="43" xfId="255" applyFont="1" applyFill="1" applyBorder="1" applyAlignment="1">
      <alignment vertical="center"/>
    </xf>
    <xf numFmtId="2" fontId="121" fillId="0" borderId="0" xfId="255" applyNumberFormat="1" applyFont="1" applyFill="1" applyBorder="1" applyAlignment="1">
      <alignment horizontal="center" vertical="center"/>
    </xf>
    <xf numFmtId="168" fontId="122" fillId="0" borderId="0" xfId="255" applyNumberFormat="1" applyFont="1" applyFill="1" applyBorder="1" applyAlignment="1">
      <alignment vertical="center"/>
    </xf>
    <xf numFmtId="2" fontId="121" fillId="0" borderId="0" xfId="255" applyNumberFormat="1" applyFont="1" applyFill="1" applyBorder="1" applyAlignment="1">
      <alignment horizontal="right" vertical="center"/>
    </xf>
    <xf numFmtId="0" fontId="115" fillId="0" borderId="49" xfId="255" applyFont="1" applyFill="1" applyBorder="1" applyAlignment="1">
      <alignment vertical="center"/>
    </xf>
    <xf numFmtId="0" fontId="118" fillId="0" borderId="50" xfId="255" applyFont="1" applyFill="1" applyBorder="1" applyAlignment="1">
      <alignment vertical="center"/>
    </xf>
    <xf numFmtId="0" fontId="116" fillId="0" borderId="50" xfId="255" applyFont="1" applyFill="1" applyBorder="1" applyAlignment="1">
      <alignment vertical="center"/>
    </xf>
    <xf numFmtId="20" fontId="118" fillId="0" borderId="50" xfId="255" applyNumberFormat="1" applyFont="1" applyFill="1" applyBorder="1" applyAlignment="1"/>
    <xf numFmtId="0" fontId="103" fillId="0" borderId="50" xfId="255" applyFont="1" applyBorder="1"/>
    <xf numFmtId="2" fontId="118" fillId="0" borderId="50" xfId="255" applyNumberFormat="1" applyFont="1" applyFill="1" applyBorder="1" applyAlignment="1">
      <alignment vertical="center"/>
    </xf>
    <xf numFmtId="0" fontId="29" fillId="0" borderId="0" xfId="255" applyFont="1" applyBorder="1"/>
    <xf numFmtId="0" fontId="32" fillId="0" borderId="0" xfId="255" applyFont="1" applyBorder="1"/>
    <xf numFmtId="0" fontId="118" fillId="0" borderId="35" xfId="255" applyFont="1" applyBorder="1" applyAlignment="1">
      <alignment vertical="center" wrapText="1"/>
    </xf>
    <xf numFmtId="0" fontId="118" fillId="0" borderId="30" xfId="255" applyFont="1" applyBorder="1" applyAlignment="1">
      <alignment vertical="center" wrapText="1"/>
    </xf>
    <xf numFmtId="20" fontId="121" fillId="0" borderId="0" xfId="255" applyNumberFormat="1" applyFont="1" applyFill="1" applyBorder="1" applyAlignment="1"/>
    <xf numFmtId="168" fontId="121" fillId="0" borderId="35" xfId="255" applyNumberFormat="1" applyFont="1" applyFill="1" applyBorder="1" applyAlignment="1">
      <alignment horizontal="right" vertical="center"/>
    </xf>
    <xf numFmtId="0" fontId="118" fillId="0" borderId="19" xfId="255" applyFont="1" applyBorder="1" applyAlignment="1">
      <alignment vertical="center"/>
    </xf>
    <xf numFmtId="20" fontId="121" fillId="0" borderId="30" xfId="255" applyNumberFormat="1" applyFont="1" applyFill="1" applyBorder="1" applyAlignment="1">
      <alignment horizontal="right" vertical="center"/>
    </xf>
    <xf numFmtId="0" fontId="118" fillId="0" borderId="35" xfId="255" applyFont="1" applyFill="1" applyBorder="1" applyAlignment="1">
      <alignment vertical="center" wrapText="1"/>
    </xf>
    <xf numFmtId="0" fontId="119" fillId="0" borderId="48" xfId="255" applyFont="1" applyFill="1" applyBorder="1" applyAlignment="1">
      <alignment horizontal="center" vertical="center"/>
    </xf>
    <xf numFmtId="0" fontId="118" fillId="0" borderId="35" xfId="255" applyFont="1" applyBorder="1"/>
    <xf numFmtId="0" fontId="118" fillId="0" borderId="35" xfId="255" applyFont="1" applyFill="1" applyBorder="1"/>
    <xf numFmtId="0" fontId="118" fillId="0" borderId="19" xfId="255" applyFont="1" applyBorder="1" applyAlignment="1">
      <alignment horizontal="right" vertical="center" wrapText="1"/>
    </xf>
    <xf numFmtId="0" fontId="118" fillId="0" borderId="35" xfId="255" applyFont="1" applyBorder="1" applyAlignment="1">
      <alignment horizontal="right" vertical="center" wrapText="1"/>
    </xf>
    <xf numFmtId="0" fontId="118" fillId="0" borderId="0" xfId="255" applyFont="1" applyBorder="1" applyAlignment="1">
      <alignment horizontal="right" vertical="center" wrapText="1"/>
    </xf>
    <xf numFmtId="0" fontId="118" fillId="0" borderId="30" xfId="255" applyFont="1" applyFill="1" applyBorder="1" applyAlignment="1">
      <alignment horizontal="left" vertical="center" wrapText="1"/>
    </xf>
    <xf numFmtId="0" fontId="118" fillId="0" borderId="19" xfId="255" applyFont="1" applyFill="1" applyBorder="1" applyAlignment="1">
      <alignment horizontal="left" vertical="center" wrapText="1"/>
    </xf>
    <xf numFmtId="0" fontId="118" fillId="0" borderId="35" xfId="255" applyFont="1" applyFill="1" applyBorder="1" applyAlignment="1">
      <alignment horizontal="left" vertical="center" wrapText="1"/>
    </xf>
    <xf numFmtId="20" fontId="121" fillId="0" borderId="19" xfId="255" applyNumberFormat="1" applyFont="1" applyFill="1" applyBorder="1" applyAlignment="1">
      <alignment horizontal="left" vertical="center"/>
    </xf>
    <xf numFmtId="20" fontId="121" fillId="0" borderId="35" xfId="255" applyNumberFormat="1" applyFont="1" applyFill="1" applyBorder="1" applyAlignment="1">
      <alignment horizontal="left" vertical="center"/>
    </xf>
    <xf numFmtId="20" fontId="121" fillId="0" borderId="35" xfId="255" applyNumberFormat="1" applyFont="1" applyFill="1" applyBorder="1" applyAlignment="1">
      <alignment horizontal="left" vertical="center" wrapText="1"/>
    </xf>
    <xf numFmtId="0" fontId="118" fillId="0" borderId="0" xfId="255" applyFont="1" applyFill="1" applyBorder="1" applyAlignment="1">
      <alignment horizontal="left" vertical="center"/>
    </xf>
    <xf numFmtId="0" fontId="118" fillId="0" borderId="43" xfId="255" applyFont="1" applyBorder="1"/>
    <xf numFmtId="0" fontId="118" fillId="0" borderId="44" xfId="255" applyFont="1" applyBorder="1"/>
    <xf numFmtId="0" fontId="118" fillId="0" borderId="0" xfId="255" applyFont="1" applyBorder="1"/>
    <xf numFmtId="20" fontId="121" fillId="23" borderId="0" xfId="255" applyNumberFormat="1" applyFont="1" applyFill="1" applyBorder="1" applyAlignment="1">
      <alignment horizontal="left" vertical="center"/>
    </xf>
    <xf numFmtId="2" fontId="118" fillId="0" borderId="0" xfId="255" applyNumberFormat="1" applyFont="1" applyFill="1" applyBorder="1"/>
    <xf numFmtId="2" fontId="118" fillId="0" borderId="50" xfId="255" applyNumberFormat="1" applyFont="1" applyBorder="1" applyAlignment="1">
      <alignment horizontal="center" vertical="center"/>
    </xf>
    <xf numFmtId="168" fontId="121" fillId="0" borderId="30" xfId="255" applyNumberFormat="1" applyFont="1" applyFill="1" applyBorder="1" applyAlignment="1">
      <alignment horizontal="right" vertical="center"/>
    </xf>
    <xf numFmtId="0" fontId="118" fillId="0" borderId="0" xfId="255" applyFont="1" applyFill="1" applyBorder="1" applyAlignment="1">
      <alignment horizontal="right" vertical="center"/>
    </xf>
    <xf numFmtId="2" fontId="118" fillId="0" borderId="0" xfId="255" applyNumberFormat="1" applyFont="1" applyFill="1" applyBorder="1" applyAlignment="1"/>
    <xf numFmtId="0" fontId="122" fillId="0" borderId="0" xfId="255" applyFont="1" applyFill="1" applyBorder="1" applyAlignment="1">
      <alignment vertical="center"/>
    </xf>
    <xf numFmtId="2" fontId="124" fillId="0" borderId="30" xfId="255" applyNumberFormat="1" applyFont="1" applyFill="1" applyBorder="1" applyAlignment="1"/>
    <xf numFmtId="14" fontId="121" fillId="0" borderId="35" xfId="255" applyNumberFormat="1" applyFont="1" applyFill="1" applyBorder="1" applyAlignment="1">
      <alignment vertical="center"/>
    </xf>
    <xf numFmtId="2" fontId="118" fillId="0" borderId="0" xfId="255" applyNumberFormat="1" applyFont="1" applyFill="1" applyBorder="1" applyAlignment="1">
      <alignment horizontal="center" vertical="center"/>
    </xf>
    <xf numFmtId="168" fontId="118" fillId="0" borderId="50" xfId="255" applyNumberFormat="1" applyFont="1" applyFill="1" applyBorder="1" applyAlignment="1">
      <alignment vertical="center"/>
    </xf>
    <xf numFmtId="0" fontId="119" fillId="0" borderId="51" xfId="255" applyFont="1" applyFill="1" applyBorder="1" applyAlignment="1">
      <alignment horizontal="center"/>
    </xf>
    <xf numFmtId="0" fontId="119" fillId="0" borderId="52" xfId="255" applyFont="1" applyFill="1" applyBorder="1" applyAlignment="1">
      <alignment horizontal="center"/>
    </xf>
    <xf numFmtId="0" fontId="119" fillId="0" borderId="53" xfId="255" applyFont="1" applyFill="1" applyBorder="1" applyAlignment="1">
      <alignment horizontal="center"/>
    </xf>
    <xf numFmtId="0" fontId="119" fillId="0" borderId="54" xfId="255" applyFont="1" applyFill="1" applyBorder="1" applyAlignment="1">
      <alignment horizontal="center"/>
    </xf>
    <xf numFmtId="0" fontId="118" fillId="0" borderId="55" xfId="255" applyFont="1" applyFill="1" applyBorder="1" applyAlignment="1">
      <alignment horizontal="center" vertical="center"/>
    </xf>
    <xf numFmtId="0" fontId="118" fillId="0" borderId="56" xfId="255" applyFont="1" applyFill="1" applyBorder="1" applyAlignment="1">
      <alignment horizontal="center" vertical="center"/>
    </xf>
    <xf numFmtId="0" fontId="118" fillId="0" borderId="51" xfId="255" applyFont="1" applyFill="1" applyBorder="1" applyAlignment="1">
      <alignment horizontal="center" vertical="center"/>
    </xf>
    <xf numFmtId="0" fontId="118" fillId="0" borderId="52" xfId="255" applyFont="1" applyFill="1" applyBorder="1" applyAlignment="1">
      <alignment horizontal="center" vertical="center"/>
    </xf>
    <xf numFmtId="0" fontId="118" fillId="0" borderId="53" xfId="255" applyFont="1" applyFill="1" applyBorder="1" applyAlignment="1">
      <alignment horizontal="center" vertical="center"/>
    </xf>
    <xf numFmtId="0" fontId="118" fillId="0" borderId="54" xfId="255" applyFont="1" applyFill="1" applyBorder="1" applyAlignment="1">
      <alignment horizontal="center" vertical="center"/>
    </xf>
    <xf numFmtId="0" fontId="103" fillId="0" borderId="57" xfId="255" applyFont="1" applyFill="1" applyBorder="1" applyAlignment="1">
      <alignment horizontal="center" vertical="center"/>
    </xf>
    <xf numFmtId="0" fontId="103" fillId="0" borderId="58" xfId="255" applyFont="1" applyFill="1" applyBorder="1" applyAlignment="1">
      <alignment horizontal="center" vertical="center"/>
    </xf>
    <xf numFmtId="0" fontId="116" fillId="0" borderId="59" xfId="0" applyFont="1" applyBorder="1" applyAlignment="1">
      <alignment horizontal="center"/>
    </xf>
    <xf numFmtId="0" fontId="116" fillId="0" borderId="60" xfId="0" applyFont="1" applyBorder="1" applyAlignment="1">
      <alignment horizontal="center"/>
    </xf>
    <xf numFmtId="0" fontId="116" fillId="0" borderId="60" xfId="0" applyFont="1" applyBorder="1"/>
    <xf numFmtId="0" fontId="116" fillId="0" borderId="61" xfId="0" applyFont="1" applyBorder="1"/>
    <xf numFmtId="0" fontId="116" fillId="0" borderId="0" xfId="0" applyFont="1"/>
    <xf numFmtId="0" fontId="116" fillId="0" borderId="62" xfId="0" applyFont="1" applyBorder="1" applyAlignment="1">
      <alignment horizontal="center"/>
    </xf>
    <xf numFmtId="0" fontId="113" fillId="0" borderId="0" xfId="0" applyFont="1" applyBorder="1" applyAlignment="1"/>
    <xf numFmtId="0" fontId="113" fillId="0" borderId="63" xfId="0" applyFont="1" applyBorder="1" applyAlignment="1">
      <alignment horizontal="left"/>
    </xf>
    <xf numFmtId="0" fontId="113" fillId="0" borderId="62" xfId="0" applyFont="1" applyBorder="1" applyAlignment="1">
      <alignment horizontal="center"/>
    </xf>
    <xf numFmtId="0" fontId="113" fillId="0" borderId="0" xfId="0" applyFont="1" applyBorder="1" applyAlignment="1">
      <alignment horizontal="center"/>
    </xf>
    <xf numFmtId="0" fontId="116" fillId="0" borderId="0" xfId="0" applyFont="1" applyBorder="1" applyAlignment="1">
      <alignment horizontal="center"/>
    </xf>
    <xf numFmtId="0" fontId="127" fillId="0" borderId="63" xfId="0" applyFont="1" applyBorder="1"/>
    <xf numFmtId="0" fontId="116" fillId="0" borderId="1" xfId="0" applyFont="1" applyBorder="1"/>
    <xf numFmtId="0" fontId="127" fillId="23" borderId="63" xfId="0" applyFont="1" applyFill="1" applyBorder="1"/>
    <xf numFmtId="2" fontId="116" fillId="0" borderId="63" xfId="0" applyNumberFormat="1" applyFont="1" applyBorder="1"/>
    <xf numFmtId="0" fontId="116" fillId="0" borderId="63" xfId="0" applyFont="1" applyBorder="1"/>
    <xf numFmtId="169" fontId="126" fillId="0" borderId="64" xfId="0" quotePrefix="1" applyNumberFormat="1" applyFont="1" applyBorder="1" applyAlignment="1">
      <alignment horizontal="right" vertical="center"/>
    </xf>
    <xf numFmtId="169" fontId="116" fillId="0" borderId="0" xfId="0" applyNumberFormat="1" applyFont="1"/>
    <xf numFmtId="2" fontId="127" fillId="0" borderId="5" xfId="0" applyNumberFormat="1" applyFont="1" applyBorder="1" applyAlignment="1">
      <alignment horizontal="center" vertical="center"/>
    </xf>
    <xf numFmtId="0" fontId="116" fillId="0" borderId="65" xfId="0" applyFont="1" applyBorder="1"/>
    <xf numFmtId="0" fontId="109" fillId="0" borderId="0" xfId="256" applyFont="1" applyFill="1" applyBorder="1" applyAlignment="1">
      <alignment horizontal="center" vertical="top"/>
    </xf>
    <xf numFmtId="2" fontId="127" fillId="0" borderId="65" xfId="0" applyNumberFormat="1" applyFont="1" applyBorder="1" applyAlignment="1">
      <alignment horizontal="center"/>
    </xf>
    <xf numFmtId="2" fontId="127" fillId="0" borderId="5" xfId="0" applyNumberFormat="1" applyFont="1" applyBorder="1" applyAlignment="1">
      <alignment horizontal="center" vertical="top"/>
    </xf>
    <xf numFmtId="1" fontId="118" fillId="0" borderId="65" xfId="0" applyNumberFormat="1" applyFont="1" applyBorder="1" applyAlignment="1">
      <alignment horizontal="center"/>
    </xf>
    <xf numFmtId="0" fontId="116" fillId="0" borderId="35" xfId="0" applyFont="1" applyBorder="1" applyAlignment="1">
      <alignment horizontal="center"/>
    </xf>
    <xf numFmtId="0" fontId="116" fillId="0" borderId="35" xfId="0" applyFont="1" applyBorder="1"/>
    <xf numFmtId="175" fontId="118" fillId="0" borderId="35" xfId="0" applyNumberFormat="1" applyFont="1" applyBorder="1" applyAlignment="1">
      <alignment horizontal="center"/>
    </xf>
    <xf numFmtId="0" fontId="116" fillId="0" borderId="0" xfId="0" applyFont="1" applyAlignment="1">
      <alignment horizontal="center"/>
    </xf>
    <xf numFmtId="0" fontId="116" fillId="0" borderId="0" xfId="0" applyFont="1" applyBorder="1"/>
    <xf numFmtId="0" fontId="116" fillId="0" borderId="31" xfId="0" applyFont="1" applyBorder="1" applyAlignment="1">
      <alignment horizontal="center"/>
    </xf>
    <xf numFmtId="0" fontId="113" fillId="0" borderId="0" xfId="256" applyFont="1"/>
    <xf numFmtId="0" fontId="29" fillId="0" borderId="0" xfId="256" applyFont="1"/>
    <xf numFmtId="1" fontId="29" fillId="0" borderId="0" xfId="256" applyNumberFormat="1" applyFont="1"/>
    <xf numFmtId="0" fontId="29" fillId="0" borderId="12" xfId="256" applyFont="1" applyFill="1" applyBorder="1" applyAlignment="1">
      <alignment horizontal="center" vertical="center" wrapText="1"/>
    </xf>
    <xf numFmtId="0" fontId="29" fillId="0" borderId="12" xfId="256" applyFont="1" applyFill="1" applyBorder="1" applyAlignment="1">
      <alignment horizontal="center" wrapText="1"/>
    </xf>
    <xf numFmtId="0" fontId="29" fillId="0" borderId="12" xfId="256" applyNumberFormat="1" applyFont="1" applyBorder="1" applyAlignment="1">
      <alignment horizontal="center"/>
    </xf>
    <xf numFmtId="0" fontId="29" fillId="0" borderId="0" xfId="256" applyNumberFormat="1" applyFont="1"/>
    <xf numFmtId="0" fontId="29" fillId="0" borderId="23" xfId="256" applyNumberFormat="1" applyFont="1" applyFill="1" applyBorder="1" applyAlignment="1">
      <alignment horizontal="center" vertical="center" wrapText="1"/>
    </xf>
    <xf numFmtId="20" fontId="31" fillId="0" borderId="23" xfId="256" applyNumberFormat="1" applyFont="1" applyFill="1" applyBorder="1" applyAlignment="1">
      <alignment horizontal="center" vertical="center" wrapText="1"/>
    </xf>
    <xf numFmtId="20" fontId="31" fillId="0" borderId="23" xfId="256" applyNumberFormat="1" applyFont="1" applyBorder="1" applyAlignment="1">
      <alignment horizontal="center" vertical="center"/>
    </xf>
    <xf numFmtId="0" fontId="31" fillId="0" borderId="23" xfId="256" applyNumberFormat="1" applyFont="1" applyFill="1" applyBorder="1" applyAlignment="1">
      <alignment horizontal="center" vertical="center" wrapText="1"/>
    </xf>
    <xf numFmtId="2" fontId="31" fillId="0" borderId="23" xfId="256" applyNumberFormat="1" applyFont="1" applyFill="1" applyBorder="1" applyAlignment="1">
      <alignment horizontal="center" vertical="center" wrapText="1"/>
    </xf>
    <xf numFmtId="2" fontId="29" fillId="0" borderId="23" xfId="311" applyNumberFormat="1" applyFont="1" applyFill="1" applyBorder="1" applyAlignment="1">
      <alignment horizontal="center" vertical="center" wrapText="1"/>
    </xf>
    <xf numFmtId="2" fontId="31" fillId="0" borderId="23" xfId="311" applyNumberFormat="1" applyFont="1" applyFill="1" applyBorder="1" applyAlignment="1">
      <alignment horizontal="center" vertical="center" wrapText="1"/>
    </xf>
    <xf numFmtId="2" fontId="29" fillId="0" borderId="23" xfId="151" applyNumberFormat="1" applyFont="1" applyFill="1" applyBorder="1" applyAlignment="1">
      <alignment horizontal="center" vertical="center" wrapText="1"/>
    </xf>
    <xf numFmtId="175" fontId="31" fillId="0" borderId="23" xfId="151" applyNumberFormat="1" applyFont="1" applyFill="1" applyBorder="1" applyAlignment="1">
      <alignment horizontal="center" vertical="center" wrapText="1"/>
    </xf>
    <xf numFmtId="20" fontId="29" fillId="0" borderId="0" xfId="256" applyNumberFormat="1" applyFont="1"/>
    <xf numFmtId="0" fontId="31" fillId="0" borderId="23" xfId="256" applyNumberFormat="1" applyFont="1" applyBorder="1" applyAlignment="1">
      <alignment horizontal="center"/>
    </xf>
    <xf numFmtId="175" fontId="29" fillId="0" borderId="23" xfId="157" applyNumberFormat="1" applyFont="1" applyFill="1" applyBorder="1" applyAlignment="1">
      <alignment horizontal="center" vertical="center" wrapText="1"/>
    </xf>
    <xf numFmtId="2" fontId="29" fillId="0" borderId="0" xfId="256" applyNumberFormat="1" applyFont="1"/>
    <xf numFmtId="175" fontId="31" fillId="0" borderId="23" xfId="256" applyNumberFormat="1" applyFont="1" applyFill="1" applyBorder="1" applyAlignment="1">
      <alignment horizontal="center" vertical="center" wrapText="1"/>
    </xf>
    <xf numFmtId="175" fontId="31" fillId="0" borderId="23" xfId="157" applyNumberFormat="1" applyFont="1" applyFill="1" applyBorder="1" applyAlignment="1">
      <alignment horizontal="center" vertical="center" wrapText="1"/>
    </xf>
    <xf numFmtId="175" fontId="29" fillId="0" borderId="23" xfId="256" applyNumberFormat="1" applyFont="1" applyFill="1" applyBorder="1" applyAlignment="1">
      <alignment horizontal="center" vertical="center" wrapText="1"/>
    </xf>
    <xf numFmtId="175" fontId="29" fillId="0" borderId="24" xfId="157" applyNumberFormat="1" applyFont="1" applyFill="1" applyBorder="1" applyAlignment="1">
      <alignment horizontal="center" vertical="center" wrapText="1"/>
    </xf>
    <xf numFmtId="0" fontId="29" fillId="0" borderId="35" xfId="256" applyNumberFormat="1" applyFont="1" applyFill="1" applyBorder="1" applyAlignment="1">
      <alignment horizontal="center" vertical="center" textRotation="90" wrapText="1"/>
    </xf>
    <xf numFmtId="0" fontId="29" fillId="0" borderId="35" xfId="256" applyFont="1" applyFill="1" applyBorder="1" applyAlignment="1">
      <alignment vertical="center" wrapText="1"/>
    </xf>
    <xf numFmtId="2" fontId="109" fillId="0" borderId="35" xfId="256" applyNumberFormat="1" applyFont="1" applyFill="1" applyBorder="1" applyAlignment="1">
      <alignment vertical="center" wrapText="1"/>
    </xf>
    <xf numFmtId="0" fontId="29" fillId="0" borderId="0" xfId="256" applyFont="1" applyFill="1" applyBorder="1" applyAlignment="1">
      <alignment horizontal="center" vertical="center" wrapText="1"/>
    </xf>
    <xf numFmtId="0" fontId="29" fillId="0" borderId="0" xfId="256" applyNumberFormat="1" applyFont="1" applyFill="1" applyBorder="1" applyAlignment="1">
      <alignment horizontal="center" vertical="center" textRotation="90" wrapText="1"/>
    </xf>
    <xf numFmtId="0" fontId="29" fillId="0" borderId="0" xfId="256" applyFont="1" applyFill="1" applyBorder="1" applyAlignment="1">
      <alignment vertical="center" wrapText="1"/>
    </xf>
    <xf numFmtId="2" fontId="109" fillId="0" borderId="0" xfId="256" applyNumberFormat="1" applyFont="1" applyFill="1" applyBorder="1" applyAlignment="1">
      <alignment vertical="center" wrapText="1"/>
    </xf>
    <xf numFmtId="0" fontId="106" fillId="0" borderId="0" xfId="256" applyFont="1" applyBorder="1" applyAlignment="1">
      <alignment horizontal="center" vertical="top"/>
    </xf>
    <xf numFmtId="0" fontId="106" fillId="0" borderId="0" xfId="256" applyFont="1" applyBorder="1" applyAlignment="1">
      <alignment horizontal="center"/>
    </xf>
    <xf numFmtId="0" fontId="113" fillId="0" borderId="0" xfId="256" applyFont="1" applyAlignment="1"/>
    <xf numFmtId="0" fontId="113" fillId="0" borderId="0" xfId="256" applyFont="1" applyAlignment="1">
      <alignment horizontal="center"/>
    </xf>
    <xf numFmtId="20" fontId="113" fillId="0" borderId="0" xfId="256" applyNumberFormat="1" applyFont="1"/>
    <xf numFmtId="0" fontId="29" fillId="0" borderId="0" xfId="255" applyFont="1"/>
    <xf numFmtId="0" fontId="29" fillId="0" borderId="0" xfId="255" applyFont="1" applyFill="1"/>
    <xf numFmtId="0" fontId="29" fillId="0" borderId="0" xfId="0" applyFont="1" applyAlignment="1">
      <alignment horizontal="left"/>
    </xf>
    <xf numFmtId="0" fontId="29" fillId="23" borderId="0" xfId="0" applyFont="1" applyFill="1"/>
    <xf numFmtId="0" fontId="29" fillId="0" borderId="1" xfId="0" applyFont="1" applyBorder="1" applyAlignment="1">
      <alignment horizontal="center" vertical="center"/>
    </xf>
    <xf numFmtId="0" fontId="29" fillId="0" borderId="0" xfId="0" applyFont="1" applyAlignment="1">
      <alignment vertical="center"/>
    </xf>
    <xf numFmtId="0" fontId="31" fillId="0" borderId="0" xfId="311" applyFont="1" applyFill="1" applyAlignment="1">
      <alignment vertical="center"/>
    </xf>
    <xf numFmtId="0" fontId="139" fillId="0" borderId="66" xfId="0" applyFont="1" applyFill="1" applyBorder="1" applyAlignment="1">
      <alignment horizontal="right" vertical="center" wrapText="1"/>
    </xf>
    <xf numFmtId="0" fontId="140" fillId="0" borderId="0" xfId="0" applyFont="1" applyFill="1" applyBorder="1" applyAlignment="1">
      <alignment horizontal="right" vertical="center" wrapText="1"/>
    </xf>
    <xf numFmtId="0" fontId="29" fillId="0" borderId="0" xfId="0" applyFont="1" applyFill="1"/>
    <xf numFmtId="0" fontId="116" fillId="0" borderId="0" xfId="0" applyFont="1" applyFill="1"/>
    <xf numFmtId="0" fontId="109" fillId="0" borderId="33" xfId="0" applyFont="1" applyFill="1" applyBorder="1" applyAlignment="1">
      <alignment horizontal="left" vertical="center" wrapText="1"/>
    </xf>
    <xf numFmtId="0" fontId="109" fillId="0" borderId="35" xfId="0" applyFont="1" applyFill="1" applyBorder="1" applyAlignment="1">
      <alignment horizontal="left" vertical="center" wrapText="1"/>
    </xf>
    <xf numFmtId="0" fontId="109" fillId="0" borderId="35" xfId="0" applyFont="1" applyFill="1" applyBorder="1" applyAlignment="1">
      <alignment horizontal="center" vertical="center" wrapText="1"/>
    </xf>
    <xf numFmtId="0" fontId="109" fillId="0" borderId="67" xfId="0" applyFont="1" applyFill="1" applyBorder="1" applyAlignment="1">
      <alignment horizontal="center" vertical="center" wrapText="1"/>
    </xf>
    <xf numFmtId="0" fontId="29" fillId="0" borderId="0" xfId="0" applyFont="1" applyFill="1" applyBorder="1" applyAlignment="1">
      <alignment horizontal="center"/>
    </xf>
    <xf numFmtId="0" fontId="29" fillId="26" borderId="0" xfId="0" applyFont="1" applyFill="1"/>
    <xf numFmtId="2" fontId="29" fillId="0" borderId="0" xfId="0" applyNumberFormat="1" applyFont="1" applyFill="1"/>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7" xfId="0" applyFont="1" applyFill="1" applyBorder="1" applyAlignment="1">
      <alignment horizontal="center"/>
    </xf>
    <xf numFmtId="0" fontId="29" fillId="0" borderId="0" xfId="0" applyFont="1" applyFill="1" applyBorder="1"/>
    <xf numFmtId="0" fontId="29" fillId="0" borderId="0" xfId="0" applyFont="1" applyFill="1" applyBorder="1" applyAlignment="1">
      <alignment horizontal="center" vertical="center"/>
    </xf>
    <xf numFmtId="0" fontId="29" fillId="0" borderId="0" xfId="0" applyFont="1" applyFill="1" applyAlignment="1">
      <alignment horizontal="center"/>
    </xf>
    <xf numFmtId="0" fontId="135" fillId="0" borderId="31" xfId="0" applyFont="1" applyFill="1" applyBorder="1" applyAlignment="1">
      <alignment horizontal="left" vertical="center"/>
    </xf>
    <xf numFmtId="0" fontId="29" fillId="45" borderId="0" xfId="0" applyFont="1" applyFill="1"/>
    <xf numFmtId="0" fontId="29" fillId="0" borderId="0" xfId="0" applyFont="1" applyFill="1" applyBorder="1" applyAlignment="1">
      <alignment horizontal="center" vertical="center" textRotation="90"/>
    </xf>
    <xf numFmtId="0" fontId="29" fillId="0" borderId="0" xfId="0" applyFont="1" applyFill="1" applyBorder="1" applyAlignment="1"/>
    <xf numFmtId="0" fontId="29" fillId="0" borderId="68" xfId="0" applyFont="1" applyFill="1" applyBorder="1" applyAlignment="1"/>
    <xf numFmtId="174" fontId="29" fillId="45" borderId="0" xfId="0" applyNumberFormat="1" applyFont="1" applyFill="1"/>
    <xf numFmtId="174" fontId="29" fillId="0" borderId="0" xfId="0" applyNumberFormat="1" applyFont="1" applyFill="1"/>
    <xf numFmtId="174" fontId="29" fillId="43" borderId="0" xfId="0" applyNumberFormat="1" applyFont="1" applyFill="1"/>
    <xf numFmtId="49" fontId="29" fillId="0" borderId="0" xfId="0" applyNumberFormat="1" applyFont="1" applyFill="1" applyBorder="1"/>
    <xf numFmtId="0" fontId="29" fillId="0" borderId="5" xfId="0" applyFont="1" applyFill="1" applyBorder="1"/>
    <xf numFmtId="0" fontId="116" fillId="0" borderId="0" xfId="0" applyFont="1" applyFill="1" applyAlignment="1">
      <alignment horizontal="center"/>
    </xf>
    <xf numFmtId="0" fontId="29" fillId="0" borderId="1" xfId="0" applyFont="1" applyFill="1" applyBorder="1" applyAlignment="1">
      <alignment horizontal="center" vertical="center" wrapText="1"/>
    </xf>
    <xf numFmtId="0" fontId="29" fillId="0" borderId="18" xfId="0" applyFont="1" applyFill="1" applyBorder="1" applyAlignment="1">
      <alignment horizontal="center" vertical="center" wrapText="1"/>
    </xf>
    <xf numFmtId="0" fontId="114" fillId="0" borderId="0" xfId="0" applyFont="1" applyFill="1" applyAlignment="1">
      <alignment horizontal="center"/>
    </xf>
    <xf numFmtId="0" fontId="29" fillId="0" borderId="1" xfId="0" applyFont="1" applyFill="1" applyBorder="1" applyAlignment="1">
      <alignment horizontal="center" vertical="center"/>
    </xf>
    <xf numFmtId="0" fontId="29" fillId="0" borderId="67" xfId="0" applyFont="1" applyFill="1" applyBorder="1"/>
    <xf numFmtId="0" fontId="31" fillId="0" borderId="18" xfId="0" applyFont="1" applyFill="1" applyBorder="1" applyAlignment="1">
      <alignment horizontal="center" vertical="center"/>
    </xf>
    <xf numFmtId="0" fontId="29" fillId="0" borderId="68" xfId="0" applyFont="1" applyFill="1" applyBorder="1"/>
    <xf numFmtId="0" fontId="103" fillId="0" borderId="0" xfId="0" applyFont="1" applyFill="1"/>
    <xf numFmtId="2" fontId="113" fillId="0" borderId="0" xfId="0" applyNumberFormat="1" applyFont="1" applyFill="1"/>
    <xf numFmtId="0" fontId="29" fillId="0" borderId="69" xfId="0" applyFont="1" applyFill="1" applyBorder="1"/>
    <xf numFmtId="0" fontId="142" fillId="0" borderId="0" xfId="0" applyFont="1" applyFill="1" applyBorder="1" applyAlignment="1">
      <alignment horizontal="left"/>
    </xf>
    <xf numFmtId="0" fontId="142" fillId="0" borderId="68" xfId="0" applyFont="1" applyFill="1" applyBorder="1" applyAlignment="1">
      <alignment horizontal="left"/>
    </xf>
    <xf numFmtId="0" fontId="113" fillId="0" borderId="0" xfId="0" applyFont="1" applyFill="1"/>
    <xf numFmtId="2" fontId="142" fillId="0" borderId="66" xfId="0" applyNumberFormat="1" applyFont="1" applyFill="1" applyBorder="1" applyAlignment="1">
      <alignment horizontal="center" vertical="center"/>
    </xf>
    <xf numFmtId="10" fontId="142" fillId="0" borderId="70" xfId="0" applyNumberFormat="1" applyFont="1" applyFill="1" applyBorder="1" applyAlignment="1">
      <alignment horizontal="center" vertical="center"/>
    </xf>
    <xf numFmtId="1" fontId="31" fillId="0" borderId="66" xfId="0" applyNumberFormat="1" applyFont="1" applyFill="1" applyBorder="1" applyAlignment="1">
      <alignment horizontal="center" vertical="center"/>
    </xf>
    <xf numFmtId="2" fontId="31" fillId="0" borderId="70" xfId="0" applyNumberFormat="1" applyFont="1" applyFill="1" applyBorder="1" applyAlignment="1">
      <alignment horizontal="center" vertical="center"/>
    </xf>
    <xf numFmtId="2" fontId="142" fillId="0" borderId="71" xfId="0" applyNumberFormat="1" applyFont="1" applyFill="1" applyBorder="1" applyAlignment="1">
      <alignment horizontal="center" vertical="center"/>
    </xf>
    <xf numFmtId="2" fontId="142" fillId="0" borderId="72" xfId="0" applyNumberFormat="1" applyFont="1" applyFill="1" applyBorder="1" applyAlignment="1">
      <alignment horizontal="center" vertical="center"/>
    </xf>
    <xf numFmtId="0" fontId="143" fillId="0" borderId="73" xfId="0" applyFont="1" applyFill="1" applyBorder="1"/>
    <xf numFmtId="0" fontId="103" fillId="0" borderId="0" xfId="0" applyFont="1" applyFill="1" applyBorder="1" applyAlignment="1">
      <alignment horizontal="center" vertical="top" wrapText="1"/>
    </xf>
    <xf numFmtId="0" fontId="103" fillId="0" borderId="32" xfId="0" applyFont="1" applyFill="1" applyBorder="1" applyAlignment="1">
      <alignment horizontal="center" vertical="top" wrapText="1"/>
    </xf>
    <xf numFmtId="0" fontId="103" fillId="0" borderId="69" xfId="0" applyFont="1" applyFill="1" applyBorder="1" applyAlignment="1">
      <alignment horizontal="left" vertical="top" wrapText="1"/>
    </xf>
    <xf numFmtId="0" fontId="103" fillId="0" borderId="0" xfId="0" applyFont="1" applyFill="1" applyBorder="1" applyAlignment="1">
      <alignment horizontal="left" vertical="top" wrapText="1"/>
    </xf>
    <xf numFmtId="0" fontId="103" fillId="0" borderId="32" xfId="0" applyFont="1" applyFill="1" applyBorder="1" applyAlignment="1">
      <alignment horizontal="left" vertical="top" wrapText="1"/>
    </xf>
    <xf numFmtId="0" fontId="103" fillId="0" borderId="74" xfId="0" applyFont="1" applyFill="1" applyBorder="1" applyAlignment="1">
      <alignment horizontal="center" vertical="top" wrapText="1"/>
    </xf>
    <xf numFmtId="0" fontId="103" fillId="0" borderId="75" xfId="0" applyFont="1" applyFill="1" applyBorder="1" applyAlignment="1">
      <alignment horizontal="center" vertical="top" wrapText="1"/>
    </xf>
    <xf numFmtId="0" fontId="103" fillId="0" borderId="76" xfId="0" applyFont="1" applyFill="1" applyBorder="1" applyAlignment="1">
      <alignment horizontal="center" vertical="top" wrapText="1"/>
    </xf>
    <xf numFmtId="0" fontId="29" fillId="0" borderId="75" xfId="0" applyFont="1" applyFill="1" applyBorder="1"/>
    <xf numFmtId="0" fontId="103" fillId="0" borderId="77" xfId="0" applyFont="1" applyFill="1" applyBorder="1" applyAlignment="1">
      <alignment horizontal="center" vertical="top" wrapText="1"/>
    </xf>
    <xf numFmtId="2" fontId="29" fillId="0" borderId="18" xfId="0" applyNumberFormat="1" applyFont="1" applyFill="1" applyBorder="1" applyAlignment="1">
      <alignment horizontal="center" vertical="center"/>
    </xf>
    <xf numFmtId="10" fontId="29" fillId="0" borderId="18" xfId="0" applyNumberFormat="1" applyFont="1" applyFill="1" applyBorder="1" applyAlignment="1">
      <alignment horizontal="center" vertical="center"/>
    </xf>
    <xf numFmtId="0" fontId="27" fillId="0" borderId="0" xfId="0" applyFont="1" applyAlignment="1">
      <alignment horizontal="center" vertical="center"/>
    </xf>
    <xf numFmtId="0" fontId="146" fillId="0" borderId="0" xfId="0" applyFont="1" applyAlignment="1">
      <alignment horizontal="center" vertical="center"/>
    </xf>
    <xf numFmtId="0" fontId="147" fillId="42" borderId="0" xfId="0" applyFont="1" applyFill="1" applyAlignment="1">
      <alignment horizontal="left" vertical="center"/>
    </xf>
    <xf numFmtId="0" fontId="146" fillId="0" borderId="0" xfId="0" applyFont="1" applyAlignment="1">
      <alignment vertical="center"/>
    </xf>
    <xf numFmtId="0" fontId="146" fillId="0" borderId="0" xfId="0" applyFont="1" applyAlignment="1">
      <alignment horizontal="left" vertical="center"/>
    </xf>
    <xf numFmtId="0" fontId="137" fillId="0" borderId="0" xfId="0" applyFont="1" applyAlignment="1">
      <alignment horizontal="center" vertical="center"/>
    </xf>
    <xf numFmtId="0" fontId="148" fillId="0" borderId="0" xfId="0" applyFont="1" applyAlignment="1">
      <alignment horizontal="left" vertical="center"/>
    </xf>
    <xf numFmtId="178" fontId="146" fillId="0" borderId="0" xfId="0" applyNumberFormat="1" applyFont="1" applyAlignment="1">
      <alignment horizontal="left" vertical="center"/>
    </xf>
    <xf numFmtId="0" fontId="115" fillId="0" borderId="0" xfId="0" applyFont="1" applyAlignment="1">
      <alignment horizontal="center"/>
    </xf>
    <xf numFmtId="0" fontId="149" fillId="0" borderId="0" xfId="0" applyFont="1" applyAlignment="1">
      <alignment horizontal="center" vertical="center"/>
    </xf>
    <xf numFmtId="14" fontId="146" fillId="0" borderId="0" xfId="0" applyNumberFormat="1" applyFont="1" applyAlignment="1">
      <alignment horizontal="left" vertical="center"/>
    </xf>
    <xf numFmtId="0" fontId="148" fillId="0" borderId="0" xfId="0" applyFont="1" applyAlignment="1">
      <alignment horizontal="center" vertical="center"/>
    </xf>
    <xf numFmtId="0" fontId="150" fillId="0" borderId="0" xfId="0" applyFont="1" applyAlignment="1">
      <alignment horizontal="center" vertical="center"/>
    </xf>
    <xf numFmtId="0" fontId="106" fillId="0" borderId="0" xfId="0" applyFont="1" applyAlignment="1"/>
    <xf numFmtId="0" fontId="103" fillId="0" borderId="0" xfId="0" applyFont="1" applyAlignment="1"/>
    <xf numFmtId="0" fontId="150" fillId="0" borderId="0" xfId="0" applyFont="1" applyAlignment="1">
      <alignment vertical="center"/>
    </xf>
    <xf numFmtId="0" fontId="148" fillId="0" borderId="0" xfId="0" applyFont="1" applyAlignment="1">
      <alignment vertical="center"/>
    </xf>
    <xf numFmtId="0" fontId="115" fillId="0" borderId="0" xfId="0" applyFont="1" applyAlignment="1">
      <alignment horizontal="left"/>
    </xf>
    <xf numFmtId="0" fontId="103" fillId="0" borderId="0" xfId="0" applyFont="1" applyAlignment="1">
      <alignment horizontal="left"/>
    </xf>
    <xf numFmtId="0" fontId="106" fillId="0" borderId="0" xfId="0" applyFont="1" applyAlignment="1">
      <alignment horizontal="left"/>
    </xf>
    <xf numFmtId="0" fontId="151" fillId="0" borderId="0" xfId="0" applyFont="1" applyAlignment="1">
      <alignment horizontal="left"/>
    </xf>
    <xf numFmtId="209" fontId="103" fillId="0" borderId="0" xfId="0" applyNumberFormat="1" applyFont="1" applyAlignment="1"/>
    <xf numFmtId="210" fontId="103" fillId="0" borderId="0" xfId="0" applyNumberFormat="1" applyFont="1" applyAlignment="1">
      <alignment horizontal="left"/>
    </xf>
    <xf numFmtId="0" fontId="103" fillId="0" borderId="0" xfId="0" quotePrefix="1" applyFont="1" applyAlignment="1"/>
    <xf numFmtId="0" fontId="103" fillId="0" borderId="0" xfId="0" applyFont="1" applyBorder="1"/>
    <xf numFmtId="0" fontId="154" fillId="0" borderId="0" xfId="0" applyFont="1" applyBorder="1"/>
    <xf numFmtId="0" fontId="103" fillId="0" borderId="0" xfId="0" applyFont="1" applyAlignment="1">
      <alignment wrapText="1"/>
    </xf>
    <xf numFmtId="0" fontId="103" fillId="0" borderId="0" xfId="257" applyFont="1" applyBorder="1"/>
    <xf numFmtId="0" fontId="103" fillId="0" borderId="0" xfId="257" applyFont="1" applyAlignment="1"/>
    <xf numFmtId="0" fontId="103" fillId="0" borderId="0" xfId="0" applyFont="1" applyFill="1" applyBorder="1"/>
    <xf numFmtId="0" fontId="103" fillId="0" borderId="0" xfId="0" quotePrefix="1" applyFont="1" applyAlignment="1">
      <alignment vertical="center"/>
    </xf>
    <xf numFmtId="0" fontId="116" fillId="0" borderId="0" xfId="0" applyFont="1" applyAlignment="1"/>
    <xf numFmtId="0" fontId="116" fillId="0" borderId="0" xfId="0" applyFont="1" applyFill="1" applyBorder="1"/>
    <xf numFmtId="0" fontId="103" fillId="0" borderId="0" xfId="257" applyFont="1" applyAlignment="1">
      <alignment wrapText="1"/>
    </xf>
    <xf numFmtId="0" fontId="103" fillId="0" borderId="0" xfId="0" quotePrefix="1" applyFont="1" applyAlignment="1">
      <alignment horizontal="left" vertical="center"/>
    </xf>
    <xf numFmtId="0" fontId="103" fillId="0" borderId="0" xfId="0" applyFont="1" applyAlignment="1">
      <alignment horizontal="left" wrapText="1"/>
    </xf>
    <xf numFmtId="0" fontId="103" fillId="0" borderId="0" xfId="0" applyFont="1" applyAlignment="1">
      <alignment horizontal="center" wrapText="1"/>
    </xf>
    <xf numFmtId="0" fontId="103" fillId="0" borderId="0" xfId="0" applyFont="1" applyBorder="1" applyAlignment="1">
      <alignment horizontal="left"/>
    </xf>
    <xf numFmtId="0" fontId="108" fillId="0" borderId="0" xfId="0" applyFont="1" applyBorder="1" applyAlignment="1">
      <alignment horizontal="left"/>
    </xf>
    <xf numFmtId="0" fontId="103" fillId="0" borderId="0" xfId="0" applyFont="1" applyBorder="1" applyAlignment="1">
      <alignment vertical="center" wrapText="1"/>
    </xf>
    <xf numFmtId="0" fontId="103" fillId="0" borderId="1" xfId="0" applyFont="1" applyBorder="1" applyAlignment="1">
      <alignment horizontal="center" vertical="center" wrapText="1"/>
    </xf>
    <xf numFmtId="0" fontId="28" fillId="0" borderId="0" xfId="0" applyFont="1" applyFill="1" applyAlignment="1"/>
    <xf numFmtId="0" fontId="156" fillId="0" borderId="1" xfId="0" applyFont="1" applyBorder="1" applyAlignment="1">
      <alignment horizontal="center"/>
    </xf>
    <xf numFmtId="0" fontId="103" fillId="0" borderId="1" xfId="0" applyFont="1" applyBorder="1" applyAlignment="1">
      <alignment vertical="center" wrapText="1"/>
    </xf>
    <xf numFmtId="0" fontId="32" fillId="0" borderId="0" xfId="0" applyFont="1" applyAlignment="1">
      <alignment horizontal="center"/>
    </xf>
    <xf numFmtId="0" fontId="106" fillId="0" borderId="0" xfId="0" applyFont="1" applyBorder="1" applyAlignment="1">
      <alignment wrapText="1"/>
    </xf>
    <xf numFmtId="0" fontId="103" fillId="0" borderId="0" xfId="0" applyFont="1"/>
    <xf numFmtId="0" fontId="153" fillId="0" borderId="0" xfId="0" applyFont="1" applyAlignment="1">
      <alignment horizontal="center" vertical="center"/>
    </xf>
    <xf numFmtId="0" fontId="133" fillId="0" borderId="0" xfId="0" applyFont="1" applyAlignment="1"/>
    <xf numFmtId="0" fontId="161" fillId="0" borderId="0" xfId="0" applyFont="1" applyAlignment="1"/>
    <xf numFmtId="0" fontId="153" fillId="0" borderId="0" xfId="0" applyFont="1" applyBorder="1" applyAlignment="1">
      <alignment horizontal="center" vertical="center"/>
    </xf>
    <xf numFmtId="209" fontId="103" fillId="0" borderId="0" xfId="0" applyNumberFormat="1" applyFont="1" applyBorder="1"/>
    <xf numFmtId="14" fontId="103" fillId="0" borderId="0" xfId="0" applyNumberFormat="1" applyFont="1" applyBorder="1"/>
    <xf numFmtId="0" fontId="153" fillId="0" borderId="0" xfId="0" applyFont="1" applyBorder="1" applyAlignment="1">
      <alignment horizontal="left" vertical="center"/>
    </xf>
    <xf numFmtId="0" fontId="103" fillId="0" borderId="30" xfId="0" applyFont="1" applyBorder="1"/>
    <xf numFmtId="0" fontId="103" fillId="0" borderId="0" xfId="0" applyFont="1" applyBorder="1" applyAlignment="1"/>
    <xf numFmtId="0" fontId="153" fillId="0" borderId="30" xfId="0" applyFont="1" applyBorder="1" applyAlignment="1">
      <alignment horizontal="center" vertical="center"/>
    </xf>
    <xf numFmtId="0" fontId="29" fillId="0" borderId="0" xfId="0" applyFont="1" applyAlignment="1">
      <alignment horizontal="left" vertical="center"/>
    </xf>
    <xf numFmtId="0" fontId="103" fillId="0" borderId="0" xfId="0" applyFont="1" applyBorder="1" applyAlignment="1">
      <alignment horizontal="center" vertical="center" wrapText="1"/>
    </xf>
    <xf numFmtId="0" fontId="107" fillId="0" borderId="0" xfId="0" applyFont="1" applyBorder="1" applyAlignment="1">
      <alignment horizontal="left" vertical="center" wrapText="1"/>
    </xf>
    <xf numFmtId="0" fontId="155" fillId="0" borderId="0" xfId="0" applyFont="1" applyBorder="1" applyAlignment="1">
      <alignment horizontal="left" vertical="center" wrapText="1"/>
    </xf>
    <xf numFmtId="0" fontId="103" fillId="0" borderId="23" xfId="258" applyFont="1" applyFill="1" applyBorder="1"/>
    <xf numFmtId="0" fontId="106" fillId="0" borderId="23" xfId="258" applyFont="1" applyFill="1" applyBorder="1"/>
    <xf numFmtId="0" fontId="107" fillId="0" borderId="23" xfId="258" applyFont="1" applyFill="1" applyBorder="1"/>
    <xf numFmtId="0" fontId="106" fillId="0" borderId="23" xfId="258" applyFont="1" applyBorder="1"/>
    <xf numFmtId="0" fontId="119" fillId="0" borderId="44" xfId="255" applyFont="1" applyFill="1" applyBorder="1" applyAlignment="1">
      <alignment horizontal="center" vertical="center"/>
    </xf>
    <xf numFmtId="1" fontId="118" fillId="0" borderId="0" xfId="255" applyNumberFormat="1" applyFont="1" applyFill="1"/>
    <xf numFmtId="0" fontId="106" fillId="0" borderId="0" xfId="0" applyFont="1" applyAlignment="1">
      <alignment horizontal="center"/>
    </xf>
    <xf numFmtId="0" fontId="162" fillId="0" borderId="0" xfId="0" applyFont="1" applyBorder="1" applyAlignment="1">
      <alignment horizontal="center" vertical="center"/>
    </xf>
    <xf numFmtId="0" fontId="160" fillId="0" borderId="0" xfId="0" applyFont="1" applyAlignment="1">
      <alignment horizontal="center"/>
    </xf>
    <xf numFmtId="171" fontId="118" fillId="0" borderId="78" xfId="255" applyNumberFormat="1" applyFont="1" applyFill="1" applyBorder="1" applyAlignment="1">
      <alignment horizontal="left"/>
    </xf>
    <xf numFmtId="20" fontId="121" fillId="0" borderId="0" xfId="255" applyNumberFormat="1" applyFont="1" applyFill="1" applyBorder="1" applyAlignment="1">
      <alignment horizontal="left" vertical="center"/>
    </xf>
    <xf numFmtId="168" fontId="121" fillId="0" borderId="79" xfId="255" applyNumberFormat="1" applyFont="1" applyFill="1" applyBorder="1" applyAlignment="1">
      <alignment vertical="center"/>
    </xf>
    <xf numFmtId="0" fontId="119" fillId="0" borderId="30" xfId="255" applyFont="1" applyFill="1" applyBorder="1" applyAlignment="1">
      <alignment vertical="center"/>
    </xf>
    <xf numFmtId="20" fontId="121" fillId="0" borderId="30" xfId="255" applyNumberFormat="1" applyFont="1" applyFill="1" applyBorder="1" applyAlignment="1">
      <alignment horizontal="left" vertical="center"/>
    </xf>
    <xf numFmtId="0" fontId="118" fillId="0" borderId="30" xfId="255" applyFont="1" applyBorder="1" applyAlignment="1">
      <alignment horizontal="right" vertical="center" wrapText="1"/>
    </xf>
    <xf numFmtId="168" fontId="121" fillId="0" borderId="80" xfId="255" applyNumberFormat="1" applyFont="1" applyFill="1" applyBorder="1" applyAlignment="1">
      <alignment vertical="center"/>
    </xf>
    <xf numFmtId="0" fontId="130" fillId="0" borderId="18" xfId="0" applyFont="1" applyFill="1" applyBorder="1" applyAlignment="1">
      <alignment horizontal="center" vertical="center"/>
    </xf>
    <xf numFmtId="0" fontId="27" fillId="0" borderId="0" xfId="0" applyNumberFormat="1" applyFont="1" applyAlignment="1">
      <alignment horizontal="center" vertical="center"/>
    </xf>
    <xf numFmtId="0" fontId="96" fillId="0" borderId="0" xfId="0" applyFont="1" applyBorder="1" applyAlignment="1"/>
    <xf numFmtId="0" fontId="106" fillId="0" borderId="0" xfId="0" applyFont="1" applyBorder="1"/>
    <xf numFmtId="0" fontId="153" fillId="0" borderId="35" xfId="0" applyFont="1" applyBorder="1" applyAlignment="1">
      <alignment horizontal="center" vertical="center"/>
    </xf>
    <xf numFmtId="178" fontId="129" fillId="0" borderId="0" xfId="0" applyNumberFormat="1" applyFont="1" applyAlignment="1">
      <alignment horizontal="left" vertical="center"/>
    </xf>
    <xf numFmtId="14" fontId="129" fillId="0" borderId="0" xfId="0" applyNumberFormat="1" applyFont="1" applyAlignment="1">
      <alignment horizontal="left" vertical="center"/>
    </xf>
    <xf numFmtId="20" fontId="121" fillId="0" borderId="0" xfId="0" applyNumberFormat="1" applyFont="1" applyBorder="1" applyAlignment="1">
      <alignment horizontal="center"/>
    </xf>
    <xf numFmtId="14" fontId="128" fillId="0" borderId="63" xfId="0" applyNumberFormat="1" applyFont="1" applyBorder="1" applyAlignment="1">
      <alignment horizontal="left"/>
    </xf>
    <xf numFmtId="0" fontId="128" fillId="0" borderId="0" xfId="0" applyFont="1"/>
    <xf numFmtId="168" fontId="121" fillId="0" borderId="79" xfId="255" applyNumberFormat="1" applyFont="1" applyFill="1" applyBorder="1" applyAlignment="1">
      <alignment horizontal="center" vertical="center"/>
    </xf>
    <xf numFmtId="168" fontId="121" fillId="0" borderId="81" xfId="255" applyNumberFormat="1" applyFont="1" applyFill="1" applyBorder="1" applyAlignment="1">
      <alignment horizontal="center" vertical="center"/>
    </xf>
    <xf numFmtId="0" fontId="106" fillId="0" borderId="1" xfId="258" applyFont="1" applyBorder="1"/>
    <xf numFmtId="2" fontId="116" fillId="0" borderId="0" xfId="0" applyNumberFormat="1" applyFont="1"/>
    <xf numFmtId="0" fontId="109" fillId="0" borderId="0" xfId="0" applyFont="1" applyBorder="1"/>
    <xf numFmtId="0" fontId="29" fillId="0" borderId="0" xfId="255" applyFont="1" applyBorder="1" applyAlignment="1">
      <alignment horizontal="center"/>
    </xf>
    <xf numFmtId="0" fontId="118" fillId="0" borderId="80" xfId="255" applyFont="1" applyFill="1" applyBorder="1" applyAlignment="1"/>
    <xf numFmtId="20" fontId="118" fillId="0" borderId="0" xfId="0" applyNumberFormat="1" applyFont="1" applyBorder="1" applyAlignment="1">
      <alignment horizontal="center"/>
    </xf>
    <xf numFmtId="14" fontId="116" fillId="0" borderId="63" xfId="0" applyNumberFormat="1" applyFont="1" applyBorder="1" applyAlignment="1">
      <alignment horizontal="left"/>
    </xf>
    <xf numFmtId="176" fontId="118" fillId="0" borderId="0" xfId="0" applyNumberFormat="1" applyFont="1" applyBorder="1" applyAlignment="1">
      <alignment horizontal="center"/>
    </xf>
    <xf numFmtId="177" fontId="118" fillId="0" borderId="82" xfId="0" applyNumberFormat="1" applyFont="1" applyBorder="1" applyAlignment="1">
      <alignment horizontal="right" vertical="top"/>
    </xf>
    <xf numFmtId="2" fontId="127" fillId="0" borderId="63" xfId="0" applyNumberFormat="1" applyFont="1" applyBorder="1" applyAlignment="1">
      <alignment horizontal="right" vertical="top"/>
    </xf>
    <xf numFmtId="0" fontId="167" fillId="0" borderId="1" xfId="0" applyFont="1" applyBorder="1" applyAlignment="1">
      <alignment horizontal="center"/>
    </xf>
    <xf numFmtId="0" fontId="27" fillId="0" borderId="0" xfId="0" applyFont="1" applyBorder="1" applyAlignment="1">
      <alignment horizontal="center" vertical="center"/>
    </xf>
    <xf numFmtId="0" fontId="70" fillId="0" borderId="0" xfId="0" applyFont="1" applyBorder="1"/>
    <xf numFmtId="0" fontId="157" fillId="0" borderId="0" xfId="0" applyFont="1" applyBorder="1" applyAlignment="1">
      <alignment horizontal="center" vertical="center"/>
    </xf>
    <xf numFmtId="0" fontId="29" fillId="0" borderId="0" xfId="0" applyFont="1" applyAlignment="1">
      <alignment horizontal="center" vertical="center" wrapText="1"/>
    </xf>
    <xf numFmtId="169" fontId="118" fillId="0" borderId="0" xfId="255" applyNumberFormat="1" applyFont="1" applyFill="1" applyBorder="1" applyAlignment="1">
      <alignment horizontal="left"/>
    </xf>
    <xf numFmtId="0" fontId="119" fillId="0" borderId="35" xfId="255" applyFont="1" applyFill="1" applyBorder="1" applyAlignment="1">
      <alignment horizontal="center"/>
    </xf>
    <xf numFmtId="0" fontId="119" fillId="0" borderId="30" xfId="255" applyFont="1" applyFill="1" applyBorder="1" applyAlignment="1">
      <alignment horizontal="center"/>
    </xf>
    <xf numFmtId="0" fontId="118" fillId="0" borderId="30" xfId="255" applyFont="1" applyFill="1" applyBorder="1" applyAlignment="1">
      <alignment horizontal="center" vertical="center"/>
    </xf>
    <xf numFmtId="0" fontId="103" fillId="0" borderId="50" xfId="255" applyFont="1" applyFill="1" applyBorder="1" applyAlignment="1">
      <alignment horizontal="center" vertical="center"/>
    </xf>
    <xf numFmtId="168" fontId="122" fillId="0" borderId="19" xfId="255" applyNumberFormat="1" applyFont="1" applyFill="1" applyBorder="1" applyAlignment="1">
      <alignment horizontal="right" vertical="center"/>
    </xf>
    <xf numFmtId="0" fontId="125" fillId="0" borderId="0" xfId="255" applyFont="1" applyBorder="1" applyAlignment="1"/>
    <xf numFmtId="0" fontId="32" fillId="0" borderId="0" xfId="255" applyFont="1" applyBorder="1" applyAlignment="1"/>
    <xf numFmtId="0" fontId="159" fillId="0" borderId="0" xfId="0" applyFont="1" applyBorder="1"/>
    <xf numFmtId="169" fontId="159" fillId="0" borderId="0" xfId="0" applyNumberFormat="1" applyFont="1" applyBorder="1" applyAlignment="1">
      <alignment horizontal="center"/>
    </xf>
    <xf numFmtId="0" fontId="159" fillId="0" borderId="0" xfId="0" applyFont="1" applyBorder="1" applyAlignment="1">
      <alignment horizontal="center"/>
    </xf>
    <xf numFmtId="0" fontId="159" fillId="45" borderId="1" xfId="0" applyFont="1" applyFill="1" applyBorder="1" applyAlignment="1">
      <alignment horizontal="center"/>
    </xf>
    <xf numFmtId="0" fontId="159" fillId="0" borderId="35" xfId="0" applyFont="1" applyBorder="1" applyAlignment="1">
      <alignment horizontal="center"/>
    </xf>
    <xf numFmtId="169" fontId="159" fillId="0" borderId="35" xfId="0" applyNumberFormat="1" applyFont="1" applyBorder="1" applyAlignment="1">
      <alignment horizontal="center"/>
    </xf>
    <xf numFmtId="0" fontId="168" fillId="45" borderId="1" xfId="0" applyFont="1" applyFill="1" applyBorder="1" applyAlignment="1">
      <alignment horizontal="center"/>
    </xf>
    <xf numFmtId="0" fontId="159" fillId="0" borderId="23" xfId="245" applyFont="1" applyFill="1" applyBorder="1" applyAlignment="1">
      <alignment horizontal="center" wrapText="1"/>
    </xf>
    <xf numFmtId="0" fontId="168" fillId="0" borderId="0" xfId="0" applyFont="1" applyBorder="1" applyAlignment="1">
      <alignment vertical="center" wrapText="1"/>
    </xf>
    <xf numFmtId="0" fontId="31" fillId="0" borderId="0" xfId="0" applyFont="1" applyBorder="1" applyAlignment="1">
      <alignment horizontal="center"/>
    </xf>
    <xf numFmtId="169" fontId="122" fillId="0" borderId="0" xfId="255" applyNumberFormat="1" applyFont="1" applyFill="1" applyBorder="1" applyAlignment="1"/>
    <xf numFmtId="0" fontId="28" fillId="34" borderId="42" xfId="255" applyFont="1" applyFill="1" applyBorder="1"/>
    <xf numFmtId="1" fontId="159" fillId="0" borderId="0" xfId="0" applyNumberFormat="1" applyFont="1" applyBorder="1" applyAlignment="1">
      <alignment horizontal="center"/>
    </xf>
    <xf numFmtId="0" fontId="118" fillId="0" borderId="0" xfId="255" applyNumberFormat="1" applyFont="1" applyFill="1" applyBorder="1" applyAlignment="1">
      <alignment horizontal="center"/>
    </xf>
    <xf numFmtId="2" fontId="118" fillId="0" borderId="0" xfId="255" applyNumberFormat="1" applyFont="1" applyFill="1" applyBorder="1" applyAlignment="1">
      <alignment horizontal="right"/>
    </xf>
    <xf numFmtId="2" fontId="118" fillId="0" borderId="83" xfId="255" applyNumberFormat="1" applyFont="1" applyFill="1" applyBorder="1" applyAlignment="1"/>
    <xf numFmtId="0" fontId="109" fillId="0" borderId="12" xfId="0" applyFont="1" applyBorder="1" applyAlignment="1">
      <alignment horizontal="center" vertical="center" wrapText="1"/>
    </xf>
    <xf numFmtId="0" fontId="133" fillId="0" borderId="0" xfId="0" applyFont="1" applyAlignment="1">
      <alignment horizontal="left"/>
    </xf>
    <xf numFmtId="0" fontId="161" fillId="0" borderId="0" xfId="0" applyFont="1" applyAlignment="1">
      <alignment horizontal="left"/>
    </xf>
    <xf numFmtId="0" fontId="29" fillId="0" borderId="0" xfId="0" applyFont="1" applyAlignment="1">
      <alignment vertical="center" wrapText="1"/>
    </xf>
    <xf numFmtId="0" fontId="29" fillId="0" borderId="12" xfId="0" applyFont="1" applyBorder="1" applyAlignment="1">
      <alignment horizontal="center" vertical="center" wrapText="1"/>
    </xf>
    <xf numFmtId="0" fontId="29" fillId="0" borderId="23" xfId="0" applyFont="1" applyBorder="1" applyAlignment="1">
      <alignment vertical="center" wrapText="1"/>
    </xf>
    <xf numFmtId="0" fontId="29" fillId="0" borderId="23" xfId="0" applyFont="1" applyBorder="1" applyAlignment="1">
      <alignment horizontal="center" vertical="center" wrapText="1"/>
    </xf>
    <xf numFmtId="0" fontId="29" fillId="0" borderId="24" xfId="0" applyFont="1" applyBorder="1" applyAlignment="1">
      <alignment vertical="center" wrapText="1"/>
    </xf>
    <xf numFmtId="0" fontId="29" fillId="0" borderId="24" xfId="0" applyFont="1" applyBorder="1" applyAlignment="1">
      <alignment horizontal="center" vertical="center" wrapText="1"/>
    </xf>
    <xf numFmtId="0" fontId="109" fillId="0" borderId="12" xfId="0" applyFont="1" applyBorder="1" applyAlignment="1">
      <alignment vertical="center" wrapText="1"/>
    </xf>
    <xf numFmtId="0" fontId="159" fillId="0" borderId="0" xfId="0" applyFont="1" applyBorder="1" applyAlignment="1">
      <alignment horizontal="left"/>
    </xf>
    <xf numFmtId="0" fontId="168" fillId="0" borderId="12" xfId="0" applyFont="1" applyBorder="1" applyAlignment="1">
      <alignment horizontal="center" vertical="center" wrapText="1"/>
    </xf>
    <xf numFmtId="169" fontId="168" fillId="0" borderId="12" xfId="0" applyNumberFormat="1" applyFont="1" applyBorder="1" applyAlignment="1">
      <alignment horizontal="center" vertical="center" wrapText="1"/>
    </xf>
    <xf numFmtId="0" fontId="131" fillId="0" borderId="12" xfId="0" applyFont="1" applyBorder="1" applyAlignment="1">
      <alignment horizontal="center" vertical="center" wrapText="1"/>
    </xf>
    <xf numFmtId="0" fontId="168" fillId="0" borderId="12" xfId="0" applyFont="1" applyBorder="1" applyAlignment="1">
      <alignment vertical="center" wrapText="1"/>
    </xf>
    <xf numFmtId="0" fontId="168" fillId="0" borderId="12" xfId="0" applyFont="1" applyBorder="1" applyAlignment="1">
      <alignment horizontal="left" vertical="center" wrapText="1"/>
    </xf>
    <xf numFmtId="0" fontId="159" fillId="0" borderId="23" xfId="0" applyFont="1" applyBorder="1" applyAlignment="1">
      <alignment horizontal="center"/>
    </xf>
    <xf numFmtId="169" fontId="159" fillId="0" borderId="23" xfId="0" applyNumberFormat="1" applyFont="1" applyBorder="1" applyAlignment="1">
      <alignment horizontal="center"/>
    </xf>
    <xf numFmtId="0" fontId="31" fillId="0" borderId="23" xfId="0" applyFont="1" applyBorder="1" applyAlignment="1">
      <alignment horizontal="center"/>
    </xf>
    <xf numFmtId="2" fontId="159" fillId="0" borderId="23" xfId="0" applyNumberFormat="1" applyFont="1" applyBorder="1"/>
    <xf numFmtId="0" fontId="159" fillId="0" borderId="23" xfId="0" applyFont="1" applyBorder="1"/>
    <xf numFmtId="0" fontId="159" fillId="0" borderId="23" xfId="0" applyFont="1" applyBorder="1" applyAlignment="1">
      <alignment horizontal="left"/>
    </xf>
    <xf numFmtId="0" fontId="159" fillId="23" borderId="23" xfId="0" applyFont="1" applyFill="1" applyBorder="1" applyAlignment="1">
      <alignment horizontal="center"/>
    </xf>
    <xf numFmtId="169" fontId="159" fillId="23" borderId="23" xfId="0" applyNumberFormat="1" applyFont="1" applyFill="1" applyBorder="1" applyAlignment="1">
      <alignment horizontal="center"/>
    </xf>
    <xf numFmtId="0" fontId="159" fillId="0" borderId="23" xfId="0" applyFont="1" applyFill="1" applyBorder="1" applyAlignment="1">
      <alignment horizontal="center"/>
    </xf>
    <xf numFmtId="169" fontId="159" fillId="0" borderId="23" xfId="0" applyNumberFormat="1" applyFont="1" applyFill="1" applyBorder="1" applyAlignment="1">
      <alignment horizontal="center"/>
    </xf>
    <xf numFmtId="1" fontId="159" fillId="0" borderId="23" xfId="0" applyNumberFormat="1" applyFont="1" applyBorder="1" applyAlignment="1">
      <alignment horizontal="center"/>
    </xf>
    <xf numFmtId="1" fontId="159" fillId="0" borderId="0" xfId="0" applyNumberFormat="1" applyFont="1" applyBorder="1"/>
    <xf numFmtId="0" fontId="31" fillId="0" borderId="23" xfId="0" applyFont="1" applyBorder="1" applyAlignment="1">
      <alignment horizontal="left"/>
    </xf>
    <xf numFmtId="0" fontId="116" fillId="0" borderId="1" xfId="0" applyFont="1" applyBorder="1" applyAlignment="1">
      <alignment horizontal="right"/>
    </xf>
    <xf numFmtId="0" fontId="116" fillId="0" borderId="1" xfId="0" applyFont="1" applyBorder="1" applyAlignment="1">
      <alignment horizontal="center"/>
    </xf>
    <xf numFmtId="0" fontId="29" fillId="46" borderId="23" xfId="0" applyFont="1" applyFill="1" applyBorder="1" applyAlignment="1">
      <alignment horizontal="center" vertical="center" wrapText="1"/>
    </xf>
    <xf numFmtId="0" fontId="159" fillId="45" borderId="23" xfId="0" applyFont="1" applyFill="1" applyBorder="1"/>
    <xf numFmtId="0" fontId="130" fillId="0" borderId="0" xfId="0" applyFont="1" applyBorder="1"/>
    <xf numFmtId="2" fontId="116" fillId="0" borderId="82" xfId="0" applyNumberFormat="1" applyFont="1" applyBorder="1"/>
    <xf numFmtId="2" fontId="171" fillId="0" borderId="5" xfId="0" applyNumberFormat="1" applyFont="1" applyBorder="1" applyAlignment="1">
      <alignment horizontal="center"/>
    </xf>
    <xf numFmtId="0" fontId="116" fillId="0" borderId="84" xfId="0" applyFont="1" applyBorder="1"/>
    <xf numFmtId="2" fontId="116" fillId="0" borderId="1" xfId="0" applyNumberFormat="1" applyFont="1" applyBorder="1"/>
    <xf numFmtId="0" fontId="116" fillId="0" borderId="18" xfId="0" applyFont="1" applyBorder="1"/>
    <xf numFmtId="0" fontId="118" fillId="0" borderId="85" xfId="0" applyFont="1" applyFill="1" applyBorder="1" applyAlignment="1">
      <alignment horizontal="center"/>
    </xf>
    <xf numFmtId="0" fontId="117" fillId="26" borderId="42" xfId="255" applyFont="1" applyFill="1" applyBorder="1" applyAlignment="1">
      <alignment horizontal="right"/>
    </xf>
    <xf numFmtId="0" fontId="118" fillId="0" borderId="18" xfId="255" applyFont="1" applyFill="1" applyBorder="1" applyAlignment="1"/>
    <xf numFmtId="0" fontId="118" fillId="0" borderId="86" xfId="255" applyFont="1" applyFill="1" applyBorder="1" applyAlignment="1"/>
    <xf numFmtId="171" fontId="118" fillId="0" borderId="86" xfId="255" applyNumberFormat="1" applyFont="1" applyFill="1" applyBorder="1" applyAlignment="1">
      <alignment horizontal="left"/>
    </xf>
    <xf numFmtId="0" fontId="28" fillId="0" borderId="0" xfId="0" applyFont="1" applyBorder="1" applyAlignment="1">
      <alignment horizontal="left" vertical="center" wrapText="1"/>
    </xf>
    <xf numFmtId="0" fontId="136" fillId="0" borderId="0" xfId="0" applyFont="1" applyBorder="1" applyAlignment="1">
      <alignment horizontal="left" vertical="center" wrapText="1"/>
    </xf>
    <xf numFmtId="0" fontId="96" fillId="0" borderId="0" xfId="0" applyFont="1" applyBorder="1"/>
    <xf numFmtId="0" fontId="160" fillId="0" borderId="0" xfId="0" applyFont="1" applyAlignment="1"/>
    <xf numFmtId="0" fontId="145" fillId="0" borderId="0" xfId="0" applyFont="1" applyBorder="1" applyAlignment="1">
      <alignment vertical="center" wrapText="1"/>
    </xf>
    <xf numFmtId="0" fontId="106" fillId="0" borderId="0" xfId="0" applyFont="1" applyBorder="1" applyAlignment="1"/>
    <xf numFmtId="0" fontId="106" fillId="0" borderId="0" xfId="0" applyFont="1" applyAlignment="1">
      <alignment vertical="top"/>
    </xf>
    <xf numFmtId="0" fontId="29" fillId="0" borderId="12" xfId="0" applyFont="1" applyFill="1" applyBorder="1" applyAlignment="1">
      <alignment vertical="center" wrapText="1"/>
    </xf>
    <xf numFmtId="0" fontId="29" fillId="0" borderId="23" xfId="0" applyFont="1" applyFill="1" applyBorder="1" applyAlignment="1">
      <alignment vertical="center" wrapText="1"/>
    </xf>
    <xf numFmtId="0" fontId="29" fillId="0" borderId="0" xfId="0" applyFont="1" applyFill="1" applyAlignment="1">
      <alignment horizontal="center" vertical="center" wrapText="1"/>
    </xf>
    <xf numFmtId="0" fontId="29" fillId="47" borderId="23" xfId="0" applyFont="1" applyFill="1" applyBorder="1" applyAlignment="1">
      <alignment vertical="center" wrapText="1"/>
    </xf>
    <xf numFmtId="0" fontId="29" fillId="47" borderId="24" xfId="0" applyFont="1" applyFill="1" applyBorder="1" applyAlignment="1">
      <alignment vertical="center" wrapText="1"/>
    </xf>
    <xf numFmtId="0" fontId="159" fillId="47" borderId="23" xfId="0" applyFont="1" applyFill="1" applyBorder="1" applyAlignment="1">
      <alignment horizontal="center"/>
    </xf>
    <xf numFmtId="169" fontId="159" fillId="47" borderId="23" xfId="0" applyNumberFormat="1" applyFont="1" applyFill="1" applyBorder="1" applyAlignment="1">
      <alignment horizontal="center"/>
    </xf>
    <xf numFmtId="0" fontId="31" fillId="47" borderId="23" xfId="0" applyFont="1" applyFill="1" applyBorder="1" applyAlignment="1">
      <alignment horizontal="center"/>
    </xf>
    <xf numFmtId="0" fontId="159" fillId="47" borderId="23" xfId="245" applyFont="1" applyFill="1" applyBorder="1" applyAlignment="1">
      <alignment horizontal="center" wrapText="1"/>
    </xf>
    <xf numFmtId="2" fontId="159" fillId="47" borderId="23" xfId="0" applyNumberFormat="1" applyFont="1" applyFill="1" applyBorder="1"/>
    <xf numFmtId="0" fontId="159" fillId="47" borderId="23" xfId="0" applyFont="1" applyFill="1" applyBorder="1"/>
    <xf numFmtId="1" fontId="29" fillId="0" borderId="0" xfId="0" applyNumberFormat="1" applyFont="1" applyBorder="1" applyAlignment="1">
      <alignment horizontal="center"/>
    </xf>
    <xf numFmtId="2" fontId="29" fillId="0" borderId="23" xfId="261" applyNumberFormat="1" applyFont="1" applyFill="1" applyBorder="1" applyAlignment="1">
      <alignment wrapText="1"/>
    </xf>
    <xf numFmtId="2" fontId="29" fillId="47" borderId="23" xfId="261" applyNumberFormat="1" applyFont="1" applyFill="1" applyBorder="1" applyAlignment="1">
      <alignment wrapText="1"/>
    </xf>
    <xf numFmtId="169" fontId="29" fillId="0" borderId="0" xfId="0" applyNumberFormat="1" applyFont="1" applyBorder="1" applyAlignment="1">
      <alignment horizontal="center"/>
    </xf>
    <xf numFmtId="1" fontId="31" fillId="47" borderId="23" xfId="0" applyNumberFormat="1" applyFont="1" applyFill="1" applyBorder="1" applyAlignment="1">
      <alignment horizontal="center"/>
    </xf>
    <xf numFmtId="0" fontId="118" fillId="0" borderId="30" xfId="255" applyNumberFormat="1" applyFont="1" applyFill="1" applyBorder="1" applyAlignment="1">
      <alignment horizontal="right" vertical="center"/>
    </xf>
    <xf numFmtId="169" fontId="121" fillId="0" borderId="0" xfId="255" applyNumberFormat="1" applyFont="1" applyFill="1" applyBorder="1" applyAlignment="1">
      <alignment horizontal="right"/>
    </xf>
    <xf numFmtId="169" fontId="121" fillId="0" borderId="0" xfId="255" applyNumberFormat="1" applyFont="1" applyFill="1" applyBorder="1" applyAlignment="1"/>
    <xf numFmtId="169" fontId="118" fillId="0" borderId="30" xfId="255" applyNumberFormat="1" applyFont="1" applyFill="1" applyBorder="1" applyAlignment="1"/>
    <xf numFmtId="170" fontId="121" fillId="0" borderId="0" xfId="255" applyNumberFormat="1" applyFont="1" applyFill="1" applyBorder="1" applyAlignment="1"/>
    <xf numFmtId="217" fontId="118" fillId="0" borderId="82" xfId="0" applyNumberFormat="1" applyFont="1" applyBorder="1" applyAlignment="1">
      <alignment horizontal="right" vertical="center"/>
    </xf>
    <xf numFmtId="218" fontId="118" fillId="0" borderId="63" xfId="0" applyNumberFormat="1" applyFont="1" applyBorder="1" applyAlignment="1">
      <alignment horizontal="right"/>
    </xf>
    <xf numFmtId="169" fontId="171" fillId="0" borderId="5" xfId="0" applyNumberFormat="1" applyFont="1" applyBorder="1" applyAlignment="1">
      <alignment horizontal="center"/>
    </xf>
    <xf numFmtId="169" fontId="171" fillId="0" borderId="22" xfId="0" applyNumberFormat="1" applyFont="1" applyBorder="1" applyAlignment="1">
      <alignment horizontal="center"/>
    </xf>
    <xf numFmtId="169" fontId="116" fillId="0" borderId="22" xfId="0" applyNumberFormat="1" applyFont="1" applyBorder="1" applyAlignment="1">
      <alignment horizontal="center" vertical="center"/>
    </xf>
    <xf numFmtId="169" fontId="116" fillId="0" borderId="65" xfId="0" applyNumberFormat="1" applyFont="1" applyBorder="1" applyAlignment="1">
      <alignment horizontal="center" vertical="center"/>
    </xf>
    <xf numFmtId="0" fontId="31" fillId="0" borderId="23" xfId="256" applyFont="1" applyFill="1" applyBorder="1" applyAlignment="1">
      <alignment horizontal="center" vertical="center" wrapText="1"/>
    </xf>
    <xf numFmtId="169" fontId="29" fillId="0" borderId="22" xfId="256" applyNumberFormat="1" applyFont="1" applyBorder="1" applyAlignment="1">
      <alignment horizontal="center"/>
    </xf>
    <xf numFmtId="169" fontId="29" fillId="0" borderId="23" xfId="311" applyNumberFormat="1" applyFont="1" applyFill="1" applyBorder="1" applyAlignment="1">
      <alignment horizontal="center" vertical="center" wrapText="1"/>
    </xf>
    <xf numFmtId="169" fontId="31" fillId="0" borderId="23" xfId="311" applyNumberFormat="1" applyFont="1" applyFill="1" applyBorder="1" applyAlignment="1">
      <alignment horizontal="center" vertical="center" wrapText="1"/>
    </xf>
    <xf numFmtId="169" fontId="29" fillId="0" borderId="23" xfId="151" applyNumberFormat="1" applyFont="1" applyFill="1" applyBorder="1" applyAlignment="1">
      <alignment horizontal="center" vertical="center" wrapText="1"/>
    </xf>
    <xf numFmtId="169" fontId="130" fillId="0" borderId="36" xfId="256" applyNumberFormat="1" applyFont="1" applyFill="1" applyBorder="1" applyAlignment="1">
      <alignment horizontal="center" wrapText="1"/>
    </xf>
    <xf numFmtId="169" fontId="31" fillId="0" borderId="23" xfId="256" applyNumberFormat="1" applyFont="1" applyFill="1" applyBorder="1" applyAlignment="1">
      <alignment horizontal="center" vertical="center" wrapText="1"/>
    </xf>
    <xf numFmtId="169" fontId="118" fillId="0" borderId="0" xfId="255" applyNumberFormat="1" applyFont="1" applyFill="1" applyBorder="1" applyAlignment="1">
      <alignment horizontal="center" vertical="center"/>
    </xf>
    <xf numFmtId="169" fontId="121" fillId="0" borderId="0" xfId="255" applyNumberFormat="1" applyFont="1" applyFill="1" applyBorder="1" applyAlignment="1">
      <alignment horizontal="center" vertical="center"/>
    </xf>
    <xf numFmtId="169" fontId="29" fillId="0" borderId="0" xfId="0" applyNumberFormat="1" applyFont="1" applyFill="1" applyBorder="1" applyAlignment="1">
      <alignment horizontal="left" vertical="center"/>
    </xf>
    <xf numFmtId="169" fontId="116" fillId="0" borderId="0" xfId="0" applyNumberFormat="1" applyFont="1" applyFill="1"/>
    <xf numFmtId="169" fontId="29" fillId="45" borderId="0" xfId="0" applyNumberFormat="1" applyFont="1" applyFill="1"/>
    <xf numFmtId="169" fontId="29" fillId="0" borderId="0" xfId="0" applyNumberFormat="1" applyFont="1" applyFill="1"/>
    <xf numFmtId="0" fontId="28" fillId="0" borderId="87" xfId="255" applyFont="1" applyFill="1" applyBorder="1"/>
    <xf numFmtId="0" fontId="28" fillId="0" borderId="87" xfId="255" applyFont="1" applyBorder="1"/>
    <xf numFmtId="0" fontId="28" fillId="34" borderId="87" xfId="255" applyFont="1" applyFill="1" applyBorder="1"/>
    <xf numFmtId="0" fontId="118" fillId="0" borderId="23" xfId="255" applyFont="1" applyBorder="1"/>
    <xf numFmtId="0" fontId="28" fillId="0" borderId="23" xfId="255" applyFont="1" applyBorder="1"/>
    <xf numFmtId="0" fontId="28" fillId="34" borderId="23" xfId="255" applyFont="1" applyFill="1" applyBorder="1"/>
    <xf numFmtId="2" fontId="118" fillId="0" borderId="23" xfId="255" applyNumberFormat="1" applyFont="1" applyBorder="1"/>
    <xf numFmtId="0" fontId="122" fillId="0" borderId="23" xfId="255" applyFont="1" applyBorder="1"/>
    <xf numFmtId="0" fontId="118" fillId="0" borderId="24" xfId="255" applyFont="1" applyBorder="1"/>
    <xf numFmtId="0" fontId="118" fillId="0" borderId="46" xfId="255" applyFont="1" applyFill="1" applyBorder="1" applyAlignment="1">
      <alignment horizontal="center" vertical="center" wrapText="1"/>
    </xf>
    <xf numFmtId="0" fontId="118" fillId="0" borderId="86" xfId="255" applyFont="1" applyBorder="1" applyAlignment="1">
      <alignment vertical="center" wrapText="1"/>
    </xf>
    <xf numFmtId="0" fontId="118" fillId="0" borderId="51" xfId="255" applyFont="1" applyFill="1" applyBorder="1" applyAlignment="1">
      <alignment horizontal="center"/>
    </xf>
    <xf numFmtId="0" fontId="12" fillId="0" borderId="0" xfId="255" applyFont="1" applyFill="1" applyBorder="1" applyAlignment="1">
      <alignment horizontal="center"/>
    </xf>
    <xf numFmtId="0" fontId="13" fillId="0" borderId="0" xfId="255" applyFont="1" applyFill="1" applyBorder="1" applyAlignment="1">
      <alignment horizontal="center"/>
    </xf>
    <xf numFmtId="171" fontId="118" fillId="0" borderId="0" xfId="255" applyNumberFormat="1" applyFont="1" applyFill="1" applyBorder="1" applyAlignment="1">
      <alignment horizontal="left"/>
    </xf>
    <xf numFmtId="169" fontId="118" fillId="0" borderId="18" xfId="255" applyNumberFormat="1" applyFont="1" applyFill="1" applyBorder="1" applyAlignment="1"/>
    <xf numFmtId="169" fontId="118" fillId="0" borderId="18" xfId="255" applyNumberFormat="1" applyFont="1" applyBorder="1" applyAlignment="1">
      <alignment vertical="center" wrapText="1"/>
    </xf>
    <xf numFmtId="0" fontId="29" fillId="0" borderId="0" xfId="0" applyFont="1" applyBorder="1" applyAlignment="1">
      <alignment horizontal="center"/>
    </xf>
    <xf numFmtId="0" fontId="211" fillId="0" borderId="0" xfId="0" applyFont="1"/>
    <xf numFmtId="0" fontId="29" fillId="0" borderId="0" xfId="255" quotePrefix="1" applyFont="1" applyBorder="1" applyAlignment="1"/>
    <xf numFmtId="0" fontId="29" fillId="0" borderId="0" xfId="239" applyFont="1"/>
    <xf numFmtId="0" fontId="29" fillId="0" borderId="0" xfId="239" applyFont="1" applyAlignment="1">
      <alignment horizontal="center"/>
    </xf>
    <xf numFmtId="0" fontId="114" fillId="0" borderId="0" xfId="239" applyFont="1" applyAlignment="1">
      <alignment horizontal="center"/>
    </xf>
    <xf numFmtId="0" fontId="153" fillId="0" borderId="0" xfId="260" applyFont="1"/>
    <xf numFmtId="0" fontId="153" fillId="0" borderId="0" xfId="260" applyFont="1" applyAlignment="1">
      <alignment horizontal="center"/>
    </xf>
    <xf numFmtId="0" fontId="153" fillId="0" borderId="0" xfId="260" quotePrefix="1" applyFont="1" applyAlignment="1"/>
    <xf numFmtId="0" fontId="32" fillId="0" borderId="0" xfId="255" applyFont="1" applyFill="1" applyAlignment="1">
      <alignment horizontal="left" vertical="top"/>
    </xf>
    <xf numFmtId="0" fontId="28" fillId="0" borderId="0" xfId="255" applyFont="1" applyFill="1" applyAlignment="1">
      <alignment horizontal="left" wrapText="1"/>
    </xf>
    <xf numFmtId="0" fontId="28" fillId="0" borderId="0" xfId="239" applyFont="1"/>
    <xf numFmtId="0" fontId="28" fillId="0" borderId="0" xfId="255" applyFont="1" applyFill="1" applyAlignment="1">
      <alignment horizontal="left" vertical="top"/>
    </xf>
    <xf numFmtId="0" fontId="32" fillId="0" borderId="0" xfId="255" applyFont="1" applyFill="1" applyAlignment="1"/>
    <xf numFmtId="0" fontId="28" fillId="0" borderId="0" xfId="255" applyFont="1" applyFill="1" applyAlignment="1"/>
    <xf numFmtId="0" fontId="28" fillId="0" borderId="0" xfId="239" applyFont="1" applyAlignment="1">
      <alignment horizontal="center"/>
    </xf>
    <xf numFmtId="0" fontId="145" fillId="0" borderId="0" xfId="239" applyFont="1" applyAlignment="1"/>
    <xf numFmtId="0" fontId="32" fillId="0" borderId="0" xfId="255" applyFont="1" applyFill="1" applyAlignment="1">
      <alignment vertical="center"/>
    </xf>
    <xf numFmtId="0" fontId="28" fillId="0" borderId="0" xfId="255" applyFont="1" applyFill="1" applyAlignment="1">
      <alignment vertical="center"/>
    </xf>
    <xf numFmtId="0" fontId="29" fillId="0" borderId="0" xfId="239" applyFont="1" applyAlignment="1">
      <alignment horizontal="left"/>
    </xf>
    <xf numFmtId="0" fontId="109" fillId="0" borderId="0" xfId="239" applyFont="1"/>
    <xf numFmtId="0" fontId="29" fillId="23" borderId="0" xfId="239" applyFont="1" applyFill="1"/>
    <xf numFmtId="0" fontId="109" fillId="0" borderId="0" xfId="239" applyFont="1" applyAlignment="1">
      <alignment vertical="center"/>
    </xf>
    <xf numFmtId="0" fontId="31" fillId="0" borderId="0" xfId="239" applyFont="1"/>
    <xf numFmtId="0" fontId="109" fillId="0" borderId="1" xfId="239" applyFont="1" applyBorder="1" applyAlignment="1">
      <alignment horizontal="center" vertical="center" wrapText="1"/>
    </xf>
    <xf numFmtId="0" fontId="29" fillId="0" borderId="1" xfId="239" applyFont="1" applyBorder="1" applyAlignment="1">
      <alignment horizontal="center" vertical="center"/>
    </xf>
    <xf numFmtId="20" fontId="29" fillId="0" borderId="1" xfId="239" applyNumberFormat="1" applyFont="1" applyBorder="1" applyAlignment="1">
      <alignment horizontal="center" vertical="center"/>
    </xf>
    <xf numFmtId="0" fontId="29" fillId="0" borderId="1" xfId="239" applyFont="1" applyBorder="1" applyAlignment="1">
      <alignment vertical="center"/>
    </xf>
    <xf numFmtId="0" fontId="29" fillId="0" borderId="0" xfId="239" applyFont="1" applyAlignment="1">
      <alignment vertical="center"/>
    </xf>
    <xf numFmtId="0" fontId="29" fillId="0" borderId="0" xfId="239" applyFont="1" applyAlignment="1">
      <alignment horizontal="centerContinuous"/>
    </xf>
    <xf numFmtId="0" fontId="111" fillId="0" borderId="0" xfId="0" applyFont="1" applyBorder="1" applyAlignment="1">
      <alignment horizontal="center"/>
    </xf>
    <xf numFmtId="0" fontId="28" fillId="0" borderId="37" xfId="0" applyFont="1" applyBorder="1"/>
    <xf numFmtId="0" fontId="32" fillId="0" borderId="0" xfId="0" applyFont="1" applyBorder="1" applyAlignment="1">
      <alignment vertical="top"/>
    </xf>
    <xf numFmtId="0" fontId="32" fillId="0" borderId="0" xfId="0" applyFont="1" applyBorder="1"/>
    <xf numFmtId="0" fontId="28" fillId="0" borderId="0" xfId="0" applyFont="1" applyBorder="1"/>
    <xf numFmtId="0" fontId="28" fillId="0" borderId="0" xfId="0" applyFont="1"/>
    <xf numFmtId="0" fontId="28" fillId="0" borderId="38" xfId="0" applyFont="1" applyBorder="1"/>
    <xf numFmtId="0" fontId="114" fillId="0" borderId="0" xfId="0" applyFont="1" applyAlignment="1">
      <alignment horizontal="center"/>
    </xf>
    <xf numFmtId="0" fontId="103" fillId="0" borderId="0" xfId="0" applyFont="1" applyAlignment="1">
      <alignment horizontal="center"/>
    </xf>
    <xf numFmtId="208" fontId="133" fillId="0" borderId="0" xfId="0" applyNumberFormat="1" applyFont="1" applyAlignment="1">
      <alignment horizontal="right"/>
    </xf>
    <xf numFmtId="0" fontId="106" fillId="0" borderId="0" xfId="0" applyFont="1" applyBorder="1" applyAlignment="1">
      <alignment horizontal="center" wrapText="1"/>
    </xf>
    <xf numFmtId="0" fontId="108" fillId="0" borderId="0" xfId="0" applyFont="1" applyAlignment="1">
      <alignment horizontal="left"/>
    </xf>
    <xf numFmtId="0" fontId="109" fillId="0" borderId="0" xfId="0" applyFont="1" applyAlignment="1">
      <alignment horizontal="left"/>
    </xf>
    <xf numFmtId="0" fontId="103" fillId="0" borderId="0" xfId="257" applyFont="1" applyAlignment="1">
      <alignment horizontal="left" vertical="center" wrapText="1"/>
    </xf>
    <xf numFmtId="0" fontId="103" fillId="0" borderId="0" xfId="0" applyFont="1" applyAlignment="1">
      <alignment horizontal="left" vertical="center" wrapText="1"/>
    </xf>
    <xf numFmtId="0" fontId="152" fillId="0" borderId="0" xfId="0" applyFont="1" applyAlignment="1">
      <alignment horizontal="left"/>
    </xf>
    <xf numFmtId="0" fontId="96" fillId="0" borderId="0" xfId="0" applyFont="1" applyBorder="1" applyAlignment="1">
      <alignment horizontal="left" vertical="center" wrapText="1"/>
    </xf>
    <xf numFmtId="0" fontId="163" fillId="0" borderId="0" xfId="0" applyFont="1" applyAlignment="1">
      <alignment horizontal="center" vertical="center"/>
    </xf>
    <xf numFmtId="208" fontId="158" fillId="0" borderId="0" xfId="0" applyNumberFormat="1" applyFont="1" applyAlignment="1">
      <alignment horizontal="right" vertical="center"/>
    </xf>
    <xf numFmtId="0" fontId="165" fillId="0" borderId="0" xfId="0" applyFont="1" applyAlignment="1">
      <alignment horizontal="center"/>
    </xf>
    <xf numFmtId="0" fontId="106" fillId="0" borderId="0" xfId="0" applyFont="1" applyBorder="1" applyAlignment="1">
      <alignment horizontal="left" wrapText="1"/>
    </xf>
    <xf numFmtId="165" fontId="106" fillId="0" borderId="0" xfId="161" applyFont="1" applyBorder="1" applyAlignment="1">
      <alignment horizontal="center" wrapText="1"/>
    </xf>
    <xf numFmtId="0" fontId="113" fillId="0" borderId="0" xfId="0" applyFont="1" applyAlignment="1">
      <alignment horizontal="center"/>
    </xf>
    <xf numFmtId="0" fontId="109" fillId="0" borderId="0" xfId="0" applyFont="1" applyAlignment="1">
      <alignment horizontal="center"/>
    </xf>
    <xf numFmtId="0" fontId="204" fillId="0" borderId="0" xfId="0" applyFont="1" applyAlignment="1">
      <alignment horizontal="center" vertical="center"/>
    </xf>
    <xf numFmtId="0" fontId="106" fillId="0" borderId="0" xfId="0" applyFont="1" applyAlignment="1">
      <alignment horizontal="left" wrapText="1"/>
    </xf>
    <xf numFmtId="0" fontId="29" fillId="0" borderId="0" xfId="239" applyFont="1" applyBorder="1" applyAlignment="1">
      <alignment horizontal="center" vertical="center"/>
    </xf>
    <xf numFmtId="20" fontId="29" fillId="0" borderId="0" xfId="239" applyNumberFormat="1" applyFont="1" applyBorder="1" applyAlignment="1">
      <alignment horizontal="center" vertical="center"/>
    </xf>
    <xf numFmtId="20" fontId="29" fillId="0" borderId="0" xfId="311" applyNumberFormat="1" applyFont="1" applyFill="1" applyBorder="1" applyAlignment="1">
      <alignment horizontal="center" vertical="center"/>
    </xf>
    <xf numFmtId="0" fontId="29" fillId="0" borderId="0" xfId="239" applyFont="1" applyBorder="1" applyAlignment="1">
      <alignment vertical="center"/>
    </xf>
    <xf numFmtId="208" fontId="108" fillId="0" borderId="0" xfId="0" applyNumberFormat="1" applyFont="1" applyAlignment="1">
      <alignment horizontal="right"/>
    </xf>
    <xf numFmtId="0" fontId="32" fillId="0" borderId="0" xfId="0" applyFont="1" applyAlignment="1">
      <alignment vertical="top"/>
    </xf>
    <xf numFmtId="0" fontId="28" fillId="0" borderId="0" xfId="0" applyFont="1" applyAlignment="1">
      <alignment horizontal="left" vertical="top" wrapText="1"/>
    </xf>
    <xf numFmtId="0" fontId="137" fillId="0" borderId="0" xfId="0" applyFont="1" applyAlignment="1">
      <alignment vertical="center"/>
    </xf>
    <xf numFmtId="0" fontId="103" fillId="0" borderId="0" xfId="0" applyFont="1" applyAlignment="1">
      <alignment vertical="top" wrapText="1"/>
    </xf>
    <xf numFmtId="0" fontId="103" fillId="0" borderId="0" xfId="0" applyFont="1" applyAlignment="1">
      <alignment vertical="top"/>
    </xf>
    <xf numFmtId="0" fontId="103" fillId="0" borderId="0" xfId="0" applyFont="1" applyAlignment="1">
      <alignment vertical="center"/>
    </xf>
    <xf numFmtId="0" fontId="103" fillId="0" borderId="0" xfId="0" applyFont="1" applyBorder="1" applyAlignment="1">
      <alignment wrapText="1"/>
    </xf>
    <xf numFmtId="0" fontId="103" fillId="0" borderId="0" xfId="0" applyFont="1" applyAlignment="1">
      <alignment vertical="center" wrapText="1"/>
    </xf>
    <xf numFmtId="20" fontId="27" fillId="0" borderId="0" xfId="0" applyNumberFormat="1" applyFont="1" applyAlignment="1">
      <alignment horizontal="center" vertical="center"/>
    </xf>
    <xf numFmtId="14" fontId="27" fillId="0" borderId="0" xfId="0" applyNumberFormat="1" applyFont="1" applyAlignment="1">
      <alignment horizontal="center" vertical="center"/>
    </xf>
    <xf numFmtId="0" fontId="212" fillId="0" borderId="0" xfId="0" applyFont="1" applyAlignment="1">
      <alignment horizontal="center"/>
    </xf>
    <xf numFmtId="0" fontId="213" fillId="0" borderId="0" xfId="0" applyFont="1" applyAlignment="1">
      <alignment horizontal="center"/>
    </xf>
    <xf numFmtId="0" fontId="153" fillId="0" borderId="0" xfId="0" applyFont="1" applyBorder="1" applyAlignment="1">
      <alignment horizontal="center" vertical="center" wrapText="1"/>
    </xf>
    <xf numFmtId="0" fontId="107" fillId="0" borderId="18" xfId="0" applyFont="1" applyBorder="1" applyAlignment="1">
      <alignment vertical="center"/>
    </xf>
    <xf numFmtId="0" fontId="107" fillId="0" borderId="8" xfId="0" applyFont="1" applyBorder="1" applyAlignment="1">
      <alignment vertical="center"/>
    </xf>
    <xf numFmtId="0" fontId="107" fillId="0" borderId="26" xfId="0" applyFont="1" applyBorder="1" applyAlignment="1">
      <alignment vertical="center"/>
    </xf>
    <xf numFmtId="0" fontId="155" fillId="0" borderId="26" xfId="0" applyFont="1" applyBorder="1" applyAlignment="1">
      <alignment vertical="center"/>
    </xf>
    <xf numFmtId="0" fontId="155" fillId="0" borderId="8" xfId="0" applyFont="1" applyBorder="1" applyAlignment="1">
      <alignment vertical="center"/>
    </xf>
    <xf numFmtId="0" fontId="32" fillId="0" borderId="0" xfId="0" applyFont="1" applyAlignment="1"/>
    <xf numFmtId="0" fontId="28" fillId="0" borderId="0" xfId="0" applyFont="1" applyAlignment="1">
      <alignment horizontal="left" wrapText="1"/>
    </xf>
    <xf numFmtId="0" fontId="32" fillId="0" borderId="0" xfId="0" applyFont="1" applyAlignment="1">
      <alignment vertical="center"/>
    </xf>
    <xf numFmtId="0" fontId="206" fillId="0" borderId="0" xfId="0" applyFont="1" applyAlignment="1"/>
    <xf numFmtId="0" fontId="106" fillId="0" borderId="0" xfId="0" applyFont="1"/>
    <xf numFmtId="0" fontId="118" fillId="0" borderId="0" xfId="0" applyFont="1" applyBorder="1"/>
    <xf numFmtId="0" fontId="213" fillId="0" borderId="1" xfId="0" applyFont="1" applyBorder="1" applyAlignment="1">
      <alignment horizontal="center" vertical="center"/>
    </xf>
    <xf numFmtId="0" fontId="213" fillId="23" borderId="0" xfId="239" applyFont="1" applyFill="1"/>
    <xf numFmtId="0" fontId="214" fillId="0" borderId="0" xfId="239" applyFont="1" applyAlignment="1">
      <alignment horizontal="left"/>
    </xf>
    <xf numFmtId="0" fontId="109" fillId="0" borderId="0" xfId="0" applyFont="1" applyBorder="1" applyAlignment="1">
      <alignment horizontal="center"/>
    </xf>
    <xf numFmtId="0" fontId="118" fillId="0" borderId="0" xfId="255" applyFont="1" applyFill="1" applyBorder="1" applyAlignment="1">
      <alignment vertical="center" wrapText="1"/>
    </xf>
    <xf numFmtId="0" fontId="118" fillId="0" borderId="35" xfId="255" applyFont="1" applyBorder="1" applyAlignment="1">
      <alignment vertical="center"/>
    </xf>
    <xf numFmtId="0" fontId="29" fillId="0" borderId="0" xfId="0" applyFont="1" applyBorder="1" applyAlignment="1">
      <alignment horizontal="left"/>
    </xf>
    <xf numFmtId="14" fontId="130" fillId="0" borderId="0" xfId="0" applyNumberFormat="1" applyFont="1" applyBorder="1" applyAlignment="1">
      <alignment horizontal="left"/>
    </xf>
    <xf numFmtId="14" fontId="29" fillId="0" borderId="0" xfId="0" applyNumberFormat="1" applyFont="1" applyBorder="1" applyAlignment="1">
      <alignment horizontal="left"/>
    </xf>
    <xf numFmtId="218" fontId="29" fillId="0" borderId="0" xfId="0" applyNumberFormat="1" applyFont="1" applyBorder="1" applyAlignment="1">
      <alignment horizontal="right"/>
    </xf>
    <xf numFmtId="177" fontId="29" fillId="0" borderId="0" xfId="0" applyNumberFormat="1" applyFont="1" applyBorder="1" applyAlignment="1">
      <alignment horizontal="right" vertical="top"/>
    </xf>
    <xf numFmtId="217" fontId="29" fillId="0" borderId="0" xfId="0" applyNumberFormat="1" applyFont="1" applyBorder="1" applyAlignment="1">
      <alignment horizontal="right" vertical="center"/>
    </xf>
    <xf numFmtId="2" fontId="29" fillId="0" borderId="0" xfId="0" applyNumberFormat="1" applyFont="1" applyBorder="1" applyAlignment="1">
      <alignment horizontal="right" vertical="top"/>
    </xf>
    <xf numFmtId="0" fontId="29" fillId="23" borderId="0" xfId="0" applyFont="1" applyFill="1" applyBorder="1"/>
    <xf numFmtId="2" fontId="29" fillId="0" borderId="0" xfId="0" applyNumberFormat="1" applyFont="1" applyBorder="1"/>
    <xf numFmtId="169" fontId="31" fillId="0" borderId="0" xfId="0" quotePrefix="1" applyNumberFormat="1" applyFont="1" applyBorder="1" applyAlignment="1">
      <alignment horizontal="right" vertical="center"/>
    </xf>
    <xf numFmtId="169" fontId="29" fillId="0" borderId="0" xfId="0" applyNumberFormat="1" applyFont="1" applyBorder="1" applyAlignment="1">
      <alignment horizontal="right"/>
    </xf>
    <xf numFmtId="0" fontId="109" fillId="0" borderId="0" xfId="0" applyFont="1" applyFill="1" applyBorder="1" applyAlignment="1">
      <alignment horizontal="center"/>
    </xf>
    <xf numFmtId="169" fontId="29" fillId="0" borderId="0" xfId="0" applyNumberFormat="1" applyFont="1" applyBorder="1" applyAlignment="1">
      <alignment horizontal="right" vertical="center"/>
    </xf>
    <xf numFmtId="220" fontId="29" fillId="0" borderId="0" xfId="0" applyNumberFormat="1" applyFont="1" applyBorder="1"/>
    <xf numFmtId="175" fontId="172" fillId="23" borderId="22" xfId="0" applyNumberFormat="1" applyFont="1" applyFill="1" applyBorder="1" applyAlignment="1"/>
    <xf numFmtId="175" fontId="172" fillId="23" borderId="5" xfId="0" applyNumberFormat="1" applyFont="1" applyFill="1" applyBorder="1" applyAlignment="1"/>
    <xf numFmtId="169" fontId="215" fillId="0" borderId="5" xfId="0" applyNumberFormat="1" applyFont="1" applyBorder="1" applyAlignment="1">
      <alignment horizontal="center"/>
    </xf>
    <xf numFmtId="175" fontId="172" fillId="23" borderId="65" xfId="0" applyNumberFormat="1" applyFont="1" applyFill="1" applyBorder="1" applyAlignment="1"/>
    <xf numFmtId="0" fontId="109" fillId="0" borderId="88"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89" xfId="0" applyFont="1" applyBorder="1" applyAlignment="1">
      <alignment horizontal="center" vertical="center" wrapText="1"/>
    </xf>
    <xf numFmtId="0" fontId="29" fillId="0" borderId="1" xfId="0" applyFont="1" applyBorder="1" applyAlignment="1">
      <alignment horizontal="left"/>
    </xf>
    <xf numFmtId="0" fontId="213" fillId="0" borderId="1" xfId="0" applyFont="1" applyBorder="1"/>
    <xf numFmtId="0" fontId="29" fillId="0" borderId="1" xfId="0" applyFont="1" applyBorder="1"/>
    <xf numFmtId="0" fontId="29" fillId="0" borderId="1" xfId="0" applyFont="1" applyBorder="1" applyAlignment="1">
      <alignment horizontal="left" vertical="top"/>
    </xf>
    <xf numFmtId="0" fontId="29" fillId="23" borderId="1" xfId="0" applyFont="1" applyFill="1" applyBorder="1"/>
    <xf numFmtId="0" fontId="213" fillId="23" borderId="1" xfId="0" applyFont="1" applyFill="1" applyBorder="1"/>
    <xf numFmtId="169" fontId="109" fillId="0" borderId="0" xfId="0" applyNumberFormat="1" applyFont="1" applyBorder="1" applyAlignment="1">
      <alignment horizontal="right"/>
    </xf>
    <xf numFmtId="0" fontId="213" fillId="23" borderId="1" xfId="0" applyFont="1" applyFill="1" applyBorder="1" applyAlignment="1">
      <alignment vertical="top"/>
    </xf>
    <xf numFmtId="169" fontId="213" fillId="0" borderId="1" xfId="0" quotePrefix="1" applyNumberFormat="1" applyFont="1" applyBorder="1" applyAlignment="1">
      <alignment horizontal="right" vertical="center"/>
    </xf>
    <xf numFmtId="169" fontId="213" fillId="0" borderId="0" xfId="0" applyNumberFormat="1" applyFont="1" applyBorder="1" applyAlignment="1">
      <alignment horizontal="right"/>
    </xf>
    <xf numFmtId="20" fontId="213" fillId="0" borderId="1" xfId="311" applyNumberFormat="1" applyFont="1" applyFill="1" applyBorder="1" applyAlignment="1">
      <alignment horizontal="center" vertical="center"/>
    </xf>
    <xf numFmtId="0" fontId="167" fillId="0" borderId="1" xfId="0" applyFont="1" applyBorder="1" applyAlignment="1">
      <alignment horizontal="center" vertical="center"/>
    </xf>
    <xf numFmtId="0" fontId="17" fillId="0" borderId="0" xfId="0" applyFont="1"/>
    <xf numFmtId="0" fontId="17" fillId="0" borderId="0" xfId="0" applyFont="1" applyAlignment="1">
      <alignment horizontal="center" vertical="center"/>
    </xf>
    <xf numFmtId="0" fontId="0" fillId="0" borderId="0" xfId="0" applyAlignment="1">
      <alignment horizontal="center" vertical="center"/>
    </xf>
    <xf numFmtId="0" fontId="35" fillId="0" borderId="0" xfId="0" applyFont="1" applyAlignment="1">
      <alignment horizontal="center" vertical="center"/>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xf>
    <xf numFmtId="0" fontId="29" fillId="0" borderId="0" xfId="256" applyFont="1" applyAlignment="1">
      <alignment horizontal="center" wrapText="1"/>
    </xf>
    <xf numFmtId="0" fontId="0" fillId="0" borderId="119" xfId="0" applyBorder="1"/>
    <xf numFmtId="0" fontId="17" fillId="0" borderId="0" xfId="0" applyFont="1" applyAlignment="1">
      <alignment horizontal="left"/>
    </xf>
    <xf numFmtId="0" fontId="0" fillId="0" borderId="0" xfId="0" applyAlignment="1">
      <alignment horizontal="left"/>
    </xf>
    <xf numFmtId="0" fontId="216" fillId="50" borderId="119" xfId="0" applyFont="1" applyFill="1" applyBorder="1" applyAlignment="1">
      <alignment horizontal="center" vertical="center"/>
    </xf>
    <xf numFmtId="0" fontId="216" fillId="51" borderId="119" xfId="0" applyFont="1" applyFill="1" applyBorder="1" applyAlignment="1">
      <alignment horizontal="center" vertical="center"/>
    </xf>
    <xf numFmtId="0" fontId="0" fillId="0" borderId="119" xfId="0" applyBorder="1" applyAlignment="1">
      <alignment horizontal="center" vertical="center"/>
    </xf>
    <xf numFmtId="0" fontId="35" fillId="0" borderId="119" xfId="0" applyFont="1" applyBorder="1" applyAlignment="1">
      <alignment horizontal="center" vertical="center"/>
    </xf>
    <xf numFmtId="0" fontId="17" fillId="52" borderId="119" xfId="0" applyFont="1" applyFill="1" applyBorder="1" applyAlignment="1">
      <alignment horizontal="center" vertical="center"/>
    </xf>
    <xf numFmtId="0" fontId="17" fillId="53" borderId="119" xfId="0" applyFont="1" applyFill="1" applyBorder="1" applyAlignment="1">
      <alignment horizontal="center" vertical="center"/>
    </xf>
    <xf numFmtId="169" fontId="118" fillId="0" borderId="0" xfId="255" applyNumberFormat="1" applyFont="1" applyFill="1" applyBorder="1" applyAlignment="1">
      <alignment horizontal="right"/>
    </xf>
    <xf numFmtId="169" fontId="213" fillId="51" borderId="1" xfId="0" applyNumberFormat="1" applyFont="1" applyFill="1" applyBorder="1" applyAlignment="1">
      <alignment vertical="top"/>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9" fillId="0" borderId="24" xfId="256" applyNumberFormat="1" applyFont="1" applyFill="1" applyBorder="1" applyAlignment="1">
      <alignment horizontal="center" vertical="center" wrapText="1"/>
    </xf>
    <xf numFmtId="0" fontId="31" fillId="0" borderId="24" xfId="256" applyNumberFormat="1" applyFont="1" applyFill="1" applyBorder="1" applyAlignment="1">
      <alignment horizontal="center" vertical="center" wrapText="1"/>
    </xf>
    <xf numFmtId="20" fontId="31" fillId="0" borderId="24" xfId="256" applyNumberFormat="1" applyFont="1" applyFill="1" applyBorder="1" applyAlignment="1">
      <alignment horizontal="center" vertical="center" wrapText="1"/>
    </xf>
    <xf numFmtId="175" fontId="29" fillId="0" borderId="24" xfId="256" applyNumberFormat="1" applyFont="1" applyFill="1" applyBorder="1" applyAlignment="1">
      <alignment horizontal="center" vertical="center" wrapText="1"/>
    </xf>
    <xf numFmtId="175" fontId="31" fillId="0" borderId="24" xfId="256" applyNumberFormat="1" applyFont="1" applyFill="1" applyBorder="1" applyAlignment="1">
      <alignment horizontal="center" vertical="center" wrapText="1"/>
    </xf>
    <xf numFmtId="175" fontId="31" fillId="0" borderId="24" xfId="157" applyNumberFormat="1" applyFont="1" applyFill="1" applyBorder="1" applyAlignment="1">
      <alignment horizontal="center" vertical="center" wrapText="1"/>
    </xf>
    <xf numFmtId="167" fontId="29" fillId="0" borderId="0" xfId="256" applyNumberFormat="1" applyFont="1"/>
    <xf numFmtId="221" fontId="31" fillId="0" borderId="23" xfId="256" applyNumberFormat="1" applyFont="1" applyFill="1" applyBorder="1" applyAlignment="1">
      <alignment horizontal="center" vertical="center" wrapText="1"/>
    </xf>
    <xf numFmtId="0" fontId="116" fillId="0" borderId="22" xfId="0" applyFont="1" applyBorder="1" applyAlignment="1">
      <alignment vertical="center" wrapText="1"/>
    </xf>
    <xf numFmtId="0" fontId="116" fillId="0" borderId="5" xfId="0" applyFont="1" applyBorder="1" applyAlignment="1">
      <alignment vertical="center" wrapText="1"/>
    </xf>
    <xf numFmtId="0" fontId="116" fillId="0" borderId="65" xfId="0" applyFont="1" applyBorder="1" applyAlignment="1">
      <alignment vertical="center" wrapText="1"/>
    </xf>
    <xf numFmtId="175" fontId="31" fillId="0" borderId="27" xfId="151" applyNumberFormat="1" applyFont="1" applyFill="1" applyBorder="1" applyAlignment="1">
      <alignment horizontal="center" vertical="center" wrapText="1"/>
    </xf>
    <xf numFmtId="0" fontId="17" fillId="0" borderId="119" xfId="0" applyFont="1" applyBorder="1" applyAlignment="1">
      <alignment horizontal="center" vertical="center"/>
    </xf>
    <xf numFmtId="0" fontId="0" fillId="0" borderId="119" xfId="0" applyBorder="1" applyAlignment="1">
      <alignment horizontal="center" vertical="center" wrapText="1"/>
    </xf>
    <xf numFmtId="20" fontId="0" fillId="0" borderId="119" xfId="0" applyNumberFormat="1" applyBorder="1" applyAlignment="1">
      <alignment horizontal="center" vertical="center"/>
    </xf>
    <xf numFmtId="0" fontId="17" fillId="0" borderId="119" xfId="0" applyFont="1" applyBorder="1" applyAlignment="1">
      <alignment horizontal="center" vertical="center"/>
    </xf>
    <xf numFmtId="169" fontId="121" fillId="0" borderId="0" xfId="255" applyNumberFormat="1" applyFont="1" applyFill="1" applyBorder="1" applyAlignment="1">
      <alignment horizontal="right" vertical="center"/>
    </xf>
    <xf numFmtId="180" fontId="118" fillId="0" borderId="0" xfId="255" applyNumberFormat="1" applyFont="1" applyFill="1"/>
    <xf numFmtId="2" fontId="121" fillId="0" borderId="0" xfId="255" applyNumberFormat="1" applyFont="1" applyFill="1" applyBorder="1" applyAlignment="1"/>
    <xf numFmtId="169" fontId="118" fillId="0" borderId="0" xfId="255" applyNumberFormat="1" applyFont="1" applyFill="1" applyAlignment="1">
      <alignment vertical="center" wrapText="1"/>
    </xf>
    <xf numFmtId="0" fontId="35" fillId="0" borderId="0" xfId="0" applyFont="1"/>
    <xf numFmtId="167" fontId="31" fillId="0" borderId="22" xfId="256" applyNumberFormat="1" applyFont="1" applyFill="1" applyBorder="1" applyAlignment="1">
      <alignment horizontal="left" vertical="center" wrapText="1"/>
    </xf>
    <xf numFmtId="167" fontId="31" fillId="0" borderId="5" xfId="256" applyNumberFormat="1" applyFont="1" applyFill="1" applyBorder="1" applyAlignment="1">
      <alignment horizontal="left" vertical="center" wrapText="1"/>
    </xf>
    <xf numFmtId="167" fontId="31" fillId="0" borderId="65" xfId="256" applyNumberFormat="1" applyFont="1" applyFill="1" applyBorder="1" applyAlignment="1">
      <alignment horizontal="left" vertical="center" wrapText="1"/>
    </xf>
    <xf numFmtId="0" fontId="29" fillId="0" borderId="22" xfId="256" applyFont="1" applyFill="1" applyBorder="1" applyAlignment="1">
      <alignment horizontal="left" vertical="top" wrapText="1"/>
    </xf>
    <xf numFmtId="0" fontId="29" fillId="0" borderId="5" xfId="256" applyFont="1" applyFill="1" applyBorder="1" applyAlignment="1">
      <alignment horizontal="left" vertical="top" wrapText="1"/>
    </xf>
    <xf numFmtId="0" fontId="29" fillId="0" borderId="65" xfId="256" applyFont="1" applyFill="1" applyBorder="1" applyAlignment="1">
      <alignment horizontal="left" vertical="top" wrapText="1"/>
    </xf>
    <xf numFmtId="167" fontId="31" fillId="0" borderId="22" xfId="256" applyNumberFormat="1" applyFont="1" applyFill="1" applyBorder="1" applyAlignment="1">
      <alignment horizontal="left" vertical="top" wrapText="1"/>
    </xf>
    <xf numFmtId="167" fontId="31" fillId="0" borderId="5" xfId="256" applyNumberFormat="1" applyFont="1" applyFill="1" applyBorder="1" applyAlignment="1">
      <alignment horizontal="left" vertical="top" wrapText="1"/>
    </xf>
    <xf numFmtId="167" fontId="31" fillId="0" borderId="65" xfId="256" applyNumberFormat="1" applyFont="1" applyFill="1" applyBorder="1" applyAlignment="1">
      <alignment horizontal="left" vertical="top" wrapText="1"/>
    </xf>
    <xf numFmtId="0" fontId="113" fillId="0" borderId="0" xfId="256" applyFont="1" applyAlignment="1">
      <alignment horizontal="left" vertical="top"/>
    </xf>
    <xf numFmtId="0" fontId="0" fillId="51" borderId="0" xfId="0" applyFill="1"/>
    <xf numFmtId="0" fontId="118" fillId="0" borderId="0" xfId="255" applyFont="1" applyFill="1" applyBorder="1" applyAlignment="1">
      <alignment horizontal="left" vertical="top" wrapText="1"/>
    </xf>
    <xf numFmtId="0" fontId="118" fillId="0" borderId="0" xfId="255" applyFont="1" applyFill="1" applyAlignment="1">
      <alignment horizontal="left" vertical="top" wrapText="1"/>
    </xf>
    <xf numFmtId="0" fontId="118" fillId="0" borderId="0" xfId="255" applyFont="1" applyFill="1" applyAlignment="1">
      <alignment horizontal="left" vertical="top"/>
    </xf>
    <xf numFmtId="0" fontId="116" fillId="0" borderId="0" xfId="255" applyFont="1" applyFill="1" applyAlignment="1">
      <alignment horizontal="left" vertical="top"/>
    </xf>
    <xf numFmtId="0" fontId="118" fillId="0" borderId="0" xfId="255" applyFont="1" applyFill="1" applyAlignment="1">
      <alignment vertical="top"/>
    </xf>
    <xf numFmtId="0" fontId="133" fillId="0" borderId="0" xfId="239" applyFont="1" applyAlignment="1">
      <alignment horizontal="left"/>
    </xf>
    <xf numFmtId="0" fontId="103" fillId="0" borderId="0" xfId="0" applyFont="1" applyBorder="1" applyAlignment="1">
      <alignment horizontal="right"/>
    </xf>
    <xf numFmtId="0" fontId="103" fillId="0" borderId="0" xfId="257" quotePrefix="1" applyFont="1" applyAlignment="1"/>
    <xf numFmtId="0" fontId="119" fillId="0" borderId="0" xfId="0" applyFont="1" applyBorder="1" applyAlignment="1">
      <alignment horizontal="center"/>
    </xf>
    <xf numFmtId="0" fontId="212" fillId="0" borderId="0" xfId="0" applyFont="1" applyAlignment="1">
      <alignment horizontal="center"/>
    </xf>
    <xf numFmtId="0" fontId="213" fillId="0" borderId="0" xfId="0" applyFont="1" applyAlignment="1">
      <alignment horizontal="center"/>
    </xf>
    <xf numFmtId="0" fontId="103" fillId="0" borderId="0" xfId="257" quotePrefix="1" applyFont="1" applyBorder="1"/>
    <xf numFmtId="0" fontId="103" fillId="0" borderId="0" xfId="257" applyFont="1" applyAlignment="1">
      <alignment vertical="center"/>
    </xf>
    <xf numFmtId="0" fontId="103" fillId="0" borderId="0" xfId="0" applyFont="1" applyBorder="1" applyAlignment="1">
      <alignment horizontal="right" vertical="top"/>
    </xf>
    <xf numFmtId="168" fontId="217" fillId="0" borderId="19" xfId="255" applyNumberFormat="1" applyFont="1" applyFill="1" applyBorder="1" applyAlignment="1">
      <alignment horizontal="right" vertical="center"/>
    </xf>
    <xf numFmtId="168" fontId="217" fillId="0" borderId="35" xfId="255" applyNumberFormat="1" applyFont="1" applyFill="1" applyBorder="1" applyAlignment="1">
      <alignment horizontal="right" vertical="center"/>
    </xf>
    <xf numFmtId="168" fontId="217" fillId="0" borderId="35" xfId="255" applyNumberFormat="1" applyFont="1" applyFill="1" applyBorder="1" applyAlignment="1">
      <alignment vertical="center"/>
    </xf>
    <xf numFmtId="168" fontId="217" fillId="0" borderId="79" xfId="255" applyNumberFormat="1" applyFont="1" applyFill="1" applyBorder="1" applyAlignment="1">
      <alignment horizontal="center" vertical="center"/>
    </xf>
    <xf numFmtId="168" fontId="217" fillId="0" borderId="0" xfId="255" applyNumberFormat="1" applyFont="1" applyFill="1" applyBorder="1" applyAlignment="1">
      <alignment horizontal="center" vertical="center"/>
    </xf>
    <xf numFmtId="168" fontId="217" fillId="0" borderId="79" xfId="255" applyNumberFormat="1" applyFont="1" applyFill="1" applyBorder="1" applyAlignment="1">
      <alignment vertical="center"/>
    </xf>
    <xf numFmtId="14" fontId="217" fillId="0" borderId="35" xfId="255" applyNumberFormat="1" applyFont="1" applyFill="1" applyBorder="1" applyAlignment="1">
      <alignment vertical="center"/>
    </xf>
    <xf numFmtId="169" fontId="116" fillId="0" borderId="90" xfId="0" applyNumberFormat="1" applyFont="1" applyBorder="1" applyAlignment="1">
      <alignment horizontal="right"/>
    </xf>
    <xf numFmtId="0" fontId="115" fillId="0" borderId="0" xfId="0" applyFont="1" applyFill="1" applyBorder="1" applyAlignment="1">
      <alignment horizontal="center"/>
    </xf>
    <xf numFmtId="0" fontId="118" fillId="0" borderId="35" xfId="0" applyFont="1" applyFill="1" applyBorder="1" applyAlignment="1">
      <alignment horizontal="center"/>
    </xf>
    <xf numFmtId="14" fontId="218" fillId="0" borderId="63" xfId="0" applyNumberFormat="1" applyFont="1" applyBorder="1" applyAlignment="1">
      <alignment horizontal="left"/>
    </xf>
    <xf numFmtId="0" fontId="27" fillId="0" borderId="0" xfId="0" applyFont="1" applyAlignment="1">
      <alignment horizontal="left" vertical="center"/>
    </xf>
    <xf numFmtId="0" fontId="0" fillId="54" borderId="120" xfId="0" applyFill="1" applyBorder="1" applyAlignment="1">
      <alignment horizontal="left"/>
    </xf>
    <xf numFmtId="0" fontId="0" fillId="54" borderId="119" xfId="0" applyFill="1" applyBorder="1"/>
    <xf numFmtId="0" fontId="0" fillId="54" borderId="0" xfId="0" applyFill="1"/>
    <xf numFmtId="0" fontId="0" fillId="54" borderId="0" xfId="0" applyFill="1" applyAlignment="1">
      <alignment horizontal="left"/>
    </xf>
    <xf numFmtId="0" fontId="0" fillId="54" borderId="0" xfId="0" applyFill="1" applyBorder="1" applyAlignment="1">
      <alignment horizontal="left"/>
    </xf>
    <xf numFmtId="0" fontId="0" fillId="54" borderId="0" xfId="0" applyFill="1" applyBorder="1"/>
    <xf numFmtId="0" fontId="207" fillId="0" borderId="119" xfId="0" applyFont="1" applyBorder="1" applyAlignment="1">
      <alignment horizontal="center" vertical="center"/>
    </xf>
    <xf numFmtId="0" fontId="219" fillId="0" borderId="1" xfId="0" applyFont="1" applyBorder="1" applyAlignment="1">
      <alignment horizontal="center" vertical="center"/>
    </xf>
    <xf numFmtId="20" fontId="29" fillId="0" borderId="1" xfId="311" applyNumberFormat="1" applyFont="1" applyFill="1" applyBorder="1" applyAlignment="1">
      <alignment horizontal="center" vertical="center"/>
    </xf>
    <xf numFmtId="178" fontId="29" fillId="0" borderId="12" xfId="256" applyNumberFormat="1" applyFont="1" applyFill="1" applyBorder="1" applyAlignment="1">
      <alignment horizontal="center" wrapText="1"/>
    </xf>
    <xf numFmtId="0" fontId="17" fillId="0" borderId="119" xfId="0" applyFont="1" applyBorder="1" applyAlignment="1">
      <alignment horizontal="center" vertical="center"/>
    </xf>
    <xf numFmtId="0" fontId="17" fillId="0" borderId="119" xfId="0" applyFont="1" applyBorder="1" applyAlignment="1">
      <alignment horizontal="center" vertical="center"/>
    </xf>
    <xf numFmtId="0" fontId="103" fillId="0" borderId="0" xfId="257" applyFont="1" applyAlignment="1">
      <alignment horizontal="left" vertical="center"/>
    </xf>
    <xf numFmtId="169" fontId="118" fillId="0" borderId="23" xfId="255" applyNumberFormat="1" applyFont="1" applyBorder="1"/>
    <xf numFmtId="0" fontId="17" fillId="0" borderId="0" xfId="0" applyFont="1" applyAlignment="1">
      <alignment horizontal="left" vertical="center"/>
    </xf>
    <xf numFmtId="0" fontId="17" fillId="0" borderId="119" xfId="0" applyFont="1" applyBorder="1" applyAlignment="1">
      <alignment horizontal="center" vertical="center"/>
    </xf>
    <xf numFmtId="0" fontId="17" fillId="0" borderId="119" xfId="0" applyFont="1" applyBorder="1" applyAlignment="1">
      <alignment horizontal="center" vertical="center"/>
    </xf>
    <xf numFmtId="0" fontId="17" fillId="0" borderId="0" xfId="0" applyFont="1" applyAlignment="1">
      <alignment vertical="top"/>
    </xf>
    <xf numFmtId="0" fontId="17" fillId="0" borderId="1" xfId="0" applyFont="1" applyBorder="1" applyAlignment="1">
      <alignment horizontal="center" vertical="center"/>
    </xf>
    <xf numFmtId="0" fontId="0" fillId="0" borderId="36" xfId="0" applyBorder="1" applyAlignment="1">
      <alignment horizontal="center" vertical="center"/>
    </xf>
    <xf numFmtId="14" fontId="0" fillId="0" borderId="36" xfId="0" applyNumberFormat="1" applyBorder="1" applyAlignment="1">
      <alignment horizontal="center" vertical="center"/>
    </xf>
    <xf numFmtId="0" fontId="0" fillId="0" borderId="23" xfId="0" applyBorder="1" applyAlignment="1">
      <alignment horizontal="center" vertical="center"/>
    </xf>
    <xf numFmtId="14" fontId="0" fillId="0" borderId="23" xfId="0" applyNumberFormat="1" applyBorder="1" applyAlignment="1">
      <alignment horizontal="center" vertical="center"/>
    </xf>
    <xf numFmtId="0" fontId="0" fillId="51" borderId="23" xfId="0" applyFill="1" applyBorder="1" applyAlignment="1">
      <alignment horizontal="center" vertical="center"/>
    </xf>
    <xf numFmtId="14" fontId="0" fillId="51" borderId="23" xfId="0" applyNumberFormat="1" applyFill="1" applyBorder="1" applyAlignment="1">
      <alignment horizontal="center" vertical="center"/>
    </xf>
    <xf numFmtId="0" fontId="208" fillId="0" borderId="0" xfId="0" applyFont="1"/>
    <xf numFmtId="175" fontId="0" fillId="0" borderId="0" xfId="0" applyNumberFormat="1"/>
    <xf numFmtId="20" fontId="35" fillId="0" borderId="119" xfId="0" applyNumberFormat="1" applyFont="1" applyBorder="1" applyAlignment="1">
      <alignment horizontal="center" vertical="center"/>
    </xf>
    <xf numFmtId="20" fontId="217" fillId="0" borderId="19" xfId="255" applyNumberFormat="1" applyFont="1" applyFill="1" applyBorder="1" applyAlignment="1">
      <alignment horizontal="left" vertical="center"/>
    </xf>
    <xf numFmtId="20" fontId="217" fillId="0" borderId="35" xfId="255" applyNumberFormat="1" applyFont="1" applyFill="1" applyBorder="1" applyAlignment="1">
      <alignment horizontal="left" vertical="center"/>
    </xf>
    <xf numFmtId="20" fontId="217" fillId="0" borderId="35" xfId="255" applyNumberFormat="1" applyFont="1" applyFill="1" applyBorder="1" applyAlignment="1">
      <alignment horizontal="left" vertical="center" wrapText="1"/>
    </xf>
    <xf numFmtId="20" fontId="217" fillId="0" borderId="0" xfId="255" applyNumberFormat="1" applyFont="1" applyFill="1" applyBorder="1" applyAlignment="1"/>
    <xf numFmtId="20" fontId="217" fillId="23" borderId="0" xfId="255" applyNumberFormat="1" applyFont="1" applyFill="1" applyBorder="1" applyAlignment="1">
      <alignment horizontal="left" vertical="center"/>
    </xf>
    <xf numFmtId="20" fontId="217" fillId="0" borderId="0" xfId="255" applyNumberFormat="1" applyFont="1" applyFill="1" applyBorder="1" applyAlignment="1">
      <alignment horizontal="left" vertical="center"/>
    </xf>
    <xf numFmtId="20" fontId="217" fillId="0" borderId="35" xfId="255" applyNumberFormat="1" applyFont="1" applyFill="1" applyBorder="1" applyAlignment="1">
      <alignment horizontal="center" vertical="center"/>
    </xf>
    <xf numFmtId="20" fontId="217" fillId="0" borderId="0" xfId="0" applyNumberFormat="1" applyFont="1" applyBorder="1" applyAlignment="1">
      <alignment horizontal="center"/>
    </xf>
    <xf numFmtId="20" fontId="220" fillId="0" borderId="1" xfId="311" applyNumberFormat="1" applyFont="1" applyFill="1" applyBorder="1" applyAlignment="1">
      <alignment horizontal="center" vertical="center"/>
    </xf>
    <xf numFmtId="209" fontId="221" fillId="0" borderId="0" xfId="0" applyNumberFormat="1" applyFont="1" applyAlignment="1"/>
    <xf numFmtId="209" fontId="221" fillId="0" borderId="0" xfId="0" applyNumberFormat="1" applyFont="1" applyBorder="1"/>
    <xf numFmtId="0" fontId="29" fillId="0" borderId="0" xfId="239" applyFont="1" applyBorder="1"/>
    <xf numFmtId="0" fontId="29" fillId="0" borderId="35" xfId="239" applyFont="1" applyBorder="1" applyAlignment="1">
      <alignment horizontal="center" vertical="center"/>
    </xf>
    <xf numFmtId="0" fontId="29" fillId="0" borderId="35" xfId="239" applyFont="1" applyBorder="1" applyAlignment="1">
      <alignment vertical="center"/>
    </xf>
    <xf numFmtId="0" fontId="29" fillId="0" borderId="0" xfId="239" applyFont="1" applyBorder="1" applyAlignment="1">
      <alignment horizontal="centerContinuous"/>
    </xf>
    <xf numFmtId="0" fontId="213" fillId="0" borderId="35" xfId="0" applyFont="1" applyBorder="1" applyAlignment="1">
      <alignment horizontal="center" vertical="center"/>
    </xf>
    <xf numFmtId="0" fontId="29" fillId="0" borderId="35" xfId="0" applyFont="1" applyBorder="1" applyAlignment="1">
      <alignment horizontal="center" vertical="center"/>
    </xf>
    <xf numFmtId="20" fontId="220" fillId="0" borderId="35" xfId="311" applyNumberFormat="1" applyFont="1" applyFill="1" applyBorder="1" applyAlignment="1">
      <alignment horizontal="center" vertical="center"/>
    </xf>
    <xf numFmtId="0" fontId="133" fillId="0" borderId="0" xfId="239" applyFont="1" applyBorder="1" applyAlignment="1">
      <alignment horizontal="left"/>
    </xf>
    <xf numFmtId="20" fontId="29" fillId="0" borderId="35" xfId="239" applyNumberFormat="1" applyFont="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169" fontId="0" fillId="0" borderId="1" xfId="0" applyNumberFormat="1" applyBorder="1" applyAlignment="1">
      <alignment horizontal="center" vertical="center"/>
    </xf>
    <xf numFmtId="0" fontId="35" fillId="0" borderId="1" xfId="0" applyFont="1" applyBorder="1" applyAlignment="1">
      <alignment horizontal="center" vertical="center"/>
    </xf>
    <xf numFmtId="0" fontId="0" fillId="0" borderId="1" xfId="0" applyNumberFormat="1" applyBorder="1" applyAlignment="1">
      <alignment horizontal="center" vertical="center"/>
    </xf>
    <xf numFmtId="175" fontId="213" fillId="0" borderId="23" xfId="157" applyNumberFormat="1" applyFont="1" applyFill="1" applyBorder="1" applyAlignment="1">
      <alignment horizontal="center" vertical="center" wrapText="1"/>
    </xf>
    <xf numFmtId="0" fontId="31" fillId="0" borderId="27" xfId="0" applyFont="1" applyBorder="1" applyAlignment="1">
      <alignment horizontal="center"/>
    </xf>
    <xf numFmtId="0" fontId="159" fillId="0" borderId="27" xfId="0" applyFont="1" applyBorder="1"/>
    <xf numFmtId="169" fontId="29" fillId="0" borderId="23" xfId="0" applyNumberFormat="1" applyFont="1" applyBorder="1" applyAlignment="1">
      <alignment horizontal="center"/>
    </xf>
    <xf numFmtId="0" fontId="159" fillId="0" borderId="23" xfId="0" applyFont="1" applyBorder="1" applyAlignment="1">
      <alignment horizontal="right"/>
    </xf>
    <xf numFmtId="0" fontId="31" fillId="0" borderId="36" xfId="0" applyFont="1" applyBorder="1" applyAlignment="1">
      <alignment horizontal="center"/>
    </xf>
    <xf numFmtId="0" fontId="159" fillId="0" borderId="36" xfId="0" applyFont="1" applyBorder="1"/>
    <xf numFmtId="1" fontId="159" fillId="0" borderId="36" xfId="0" applyNumberFormat="1" applyFont="1" applyBorder="1" applyAlignment="1">
      <alignment horizontal="center"/>
    </xf>
    <xf numFmtId="0" fontId="31" fillId="0" borderId="36" xfId="0" applyFont="1" applyBorder="1" applyAlignment="1">
      <alignment horizontal="left"/>
    </xf>
    <xf numFmtId="0" fontId="159" fillId="0" borderId="36" xfId="0" applyFont="1" applyBorder="1" applyAlignment="1">
      <alignment horizontal="center"/>
    </xf>
    <xf numFmtId="169" fontId="159" fillId="0" borderId="36" xfId="0" applyNumberFormat="1" applyFont="1" applyBorder="1" applyAlignment="1">
      <alignment horizontal="center"/>
    </xf>
    <xf numFmtId="169" fontId="29" fillId="0" borderId="36" xfId="0" applyNumberFormat="1" applyFont="1" applyBorder="1" applyAlignment="1">
      <alignment horizontal="center"/>
    </xf>
    <xf numFmtId="2" fontId="159" fillId="0" borderId="36" xfId="0" applyNumberFormat="1" applyFont="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NumberFormat="1" applyBorder="1" applyAlignment="1">
      <alignment horizontal="center" vertical="center"/>
    </xf>
    <xf numFmtId="169" fontId="0" fillId="0" borderId="0" xfId="0" applyNumberFormat="1" applyBorder="1" applyAlignment="1">
      <alignment horizontal="center" vertical="center"/>
    </xf>
    <xf numFmtId="0" fontId="17" fillId="0" borderId="1" xfId="0" applyFont="1" applyBorder="1" applyAlignment="1">
      <alignment horizontal="center" vertical="center" wrapText="1"/>
    </xf>
    <xf numFmtId="0" fontId="17" fillId="0" borderId="0" xfId="0" applyFont="1" applyBorder="1" applyAlignment="1">
      <alignment horizontal="center" vertical="center"/>
    </xf>
    <xf numFmtId="14" fontId="17" fillId="0" borderId="0" xfId="0" applyNumberFormat="1" applyFont="1" applyBorder="1" applyAlignment="1">
      <alignment horizontal="center" vertical="center"/>
    </xf>
    <xf numFmtId="0" fontId="17" fillId="0" borderId="0" xfId="0" applyNumberFormat="1" applyFont="1" applyBorder="1" applyAlignment="1">
      <alignment horizontal="center" vertical="center"/>
    </xf>
    <xf numFmtId="169" fontId="17" fillId="0" borderId="0" xfId="0" applyNumberFormat="1" applyFont="1" applyBorder="1" applyAlignment="1">
      <alignment horizontal="center" vertical="center"/>
    </xf>
    <xf numFmtId="0" fontId="0" fillId="51" borderId="36" xfId="0" applyFill="1" applyBorder="1" applyAlignment="1">
      <alignment horizontal="center" vertical="center"/>
    </xf>
    <xf numFmtId="0" fontId="119" fillId="0" borderId="44" xfId="255" applyFont="1" applyFill="1" applyBorder="1" applyAlignment="1">
      <alignment horizontal="center" vertical="center"/>
    </xf>
    <xf numFmtId="0" fontId="118" fillId="0" borderId="0" xfId="255" applyFont="1" applyFill="1" applyAlignment="1">
      <alignment horizontal="left" vertical="top" wrapText="1"/>
    </xf>
    <xf numFmtId="169" fontId="118" fillId="0" borderId="0" xfId="255" applyNumberFormat="1" applyFont="1" applyFill="1" applyBorder="1" applyAlignment="1">
      <alignment horizontal="left"/>
    </xf>
    <xf numFmtId="0" fontId="118" fillId="0" borderId="0" xfId="255" applyFont="1" applyFill="1" applyBorder="1" applyAlignment="1">
      <alignment horizontal="left" vertical="top" wrapText="1"/>
    </xf>
    <xf numFmtId="0" fontId="118" fillId="0" borderId="46" xfId="255" applyFont="1" applyFill="1" applyBorder="1" applyAlignment="1">
      <alignment horizontal="center" vertic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0" fillId="0" borderId="0" xfId="0"/>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118" fillId="0" borderId="57" xfId="255" applyFont="1" applyFill="1" applyBorder="1" applyAlignment="1">
      <alignment horizontal="center" vertical="center"/>
    </xf>
    <xf numFmtId="0" fontId="118" fillId="0" borderId="46" xfId="255" applyFont="1" applyFill="1" applyBorder="1" applyAlignment="1">
      <alignment horizontal="center" vertical="center"/>
    </xf>
    <xf numFmtId="0" fontId="118" fillId="0" borderId="1" xfId="255" applyFont="1" applyFill="1" applyBorder="1" applyAlignment="1">
      <alignment vertical="center"/>
    </xf>
    <xf numFmtId="0" fontId="118" fillId="0" borderId="125" xfId="255" applyFont="1" applyFill="1" applyBorder="1" applyAlignment="1">
      <alignment vertical="center"/>
    </xf>
    <xf numFmtId="0" fontId="118" fillId="0" borderId="65" xfId="255" applyFont="1" applyFill="1" applyBorder="1" applyAlignment="1">
      <alignment horizontal="center" vertical="center"/>
    </xf>
    <xf numFmtId="0" fontId="115" fillId="0" borderId="44" xfId="255" applyFont="1" applyFill="1" applyBorder="1" applyAlignment="1">
      <alignment vertical="center"/>
    </xf>
    <xf numFmtId="2" fontId="121" fillId="0" borderId="30" xfId="255" applyNumberFormat="1" applyFont="1" applyFill="1" applyBorder="1" applyAlignment="1">
      <alignment horizontal="center" vertical="center"/>
    </xf>
    <xf numFmtId="168" fontId="122" fillId="0" borderId="30" xfId="255" applyNumberFormat="1" applyFont="1" applyFill="1" applyBorder="1" applyAlignment="1">
      <alignment vertical="center"/>
    </xf>
    <xf numFmtId="2" fontId="118" fillId="0" borderId="30" xfId="255" applyNumberFormat="1" applyFont="1" applyFill="1" applyBorder="1" applyAlignment="1">
      <alignment horizontal="center" vertical="center"/>
    </xf>
    <xf numFmtId="0" fontId="17" fillId="0" borderId="1" xfId="0" applyFont="1" applyBorder="1" applyAlignment="1">
      <alignment vertical="center"/>
    </xf>
    <xf numFmtId="0" fontId="70" fillId="0" borderId="1" xfId="0" applyFont="1" applyBorder="1"/>
    <xf numFmtId="0" fontId="70" fillId="0" borderId="1" xfId="0" applyFont="1" applyBorder="1" applyAlignment="1">
      <alignment wrapText="1"/>
    </xf>
    <xf numFmtId="168" fontId="31" fillId="0" borderId="0" xfId="255" applyNumberFormat="1" applyFont="1" applyFill="1" applyBorder="1" applyAlignment="1">
      <alignment vertical="center"/>
    </xf>
    <xf numFmtId="0" fontId="70" fillId="0" borderId="0" xfId="0" applyFont="1"/>
    <xf numFmtId="0" fontId="63" fillId="0" borderId="1" xfId="0" applyFont="1" applyBorder="1" applyAlignment="1">
      <alignment horizontal="center" vertical="center"/>
    </xf>
    <xf numFmtId="20" fontId="70" fillId="0" borderId="1" xfId="0" applyNumberFormat="1" applyFont="1" applyBorder="1"/>
    <xf numFmtId="14" fontId="70" fillId="0" borderId="1" xfId="0" applyNumberFormat="1" applyFont="1" applyBorder="1"/>
    <xf numFmtId="0" fontId="121" fillId="0" borderId="0" xfId="255" applyNumberFormat="1" applyFont="1" applyFill="1" applyBorder="1" applyAlignment="1">
      <alignment horizontal="center" vertical="center"/>
    </xf>
    <xf numFmtId="0" fontId="225" fillId="0" borderId="0" xfId="255" applyNumberFormat="1" applyFont="1" applyFill="1" applyBorder="1" applyAlignment="1">
      <alignment horizontal="center" vertical="center"/>
    </xf>
    <xf numFmtId="0" fontId="225" fillId="0" borderId="1" xfId="255" applyFont="1" applyFill="1" applyBorder="1" applyAlignment="1">
      <alignment horizontal="center" vertical="center"/>
    </xf>
    <xf numFmtId="0" fontId="225" fillId="0" borderId="125" xfId="255" applyFont="1" applyFill="1" applyBorder="1" applyAlignment="1">
      <alignment horizontal="center" vertical="center"/>
    </xf>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17" fillId="0" borderId="0" xfId="255" applyFont="1" applyBorder="1"/>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0" fillId="0" borderId="0" xfId="0"/>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0" fillId="0" borderId="0" xfId="0"/>
    <xf numFmtId="0" fontId="226" fillId="0" borderId="119" xfId="0" applyFont="1" applyBorder="1" applyAlignment="1">
      <alignment horizontal="center" vertical="center"/>
    </xf>
    <xf numFmtId="0" fontId="227" fillId="0" borderId="119" xfId="0" applyFont="1" applyBorder="1" applyAlignment="1">
      <alignment horizontal="center" vertical="center"/>
    </xf>
    <xf numFmtId="0" fontId="226" fillId="0" borderId="0" xfId="0" applyFont="1" applyAlignment="1">
      <alignment horizontal="left"/>
    </xf>
    <xf numFmtId="0" fontId="226" fillId="0" borderId="0" xfId="0" applyFont="1"/>
    <xf numFmtId="0" fontId="1" fillId="0" borderId="119" xfId="0" applyFont="1" applyBorder="1" applyAlignment="1">
      <alignment horizontal="center" vertical="center"/>
    </xf>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2" fontId="0" fillId="0" borderId="0" xfId="0" applyNumberFormat="1"/>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2" fontId="29" fillId="0" borderId="22" xfId="256" applyNumberFormat="1" applyFont="1" applyBorder="1" applyAlignment="1">
      <alignment horizontal="center"/>
    </xf>
    <xf numFmtId="169" fontId="121" fillId="23" borderId="0" xfId="255" applyNumberFormat="1" applyFont="1" applyFill="1" applyBorder="1" applyAlignment="1">
      <alignment vertical="center"/>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17" fillId="0" borderId="1" xfId="0" applyFont="1" applyBorder="1" applyAlignment="1">
      <alignment horizontal="center" vertical="center"/>
    </xf>
    <xf numFmtId="0" fontId="0" fillId="0" borderId="0" xfId="0"/>
    <xf numFmtId="0" fontId="17" fillId="0" borderId="0" xfId="0" applyNumberFormat="1" applyFont="1" applyBorder="1" applyAlignment="1">
      <alignment horizontal="center" vertical="center"/>
    </xf>
    <xf numFmtId="0" fontId="0" fillId="0" borderId="0" xfId="0"/>
    <xf numFmtId="0" fontId="1" fillId="0" borderId="1" xfId="0" applyFont="1" applyBorder="1" applyAlignment="1">
      <alignment horizontal="center" vertical="center"/>
    </xf>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0" fillId="0" borderId="0" xfId="0"/>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46" fontId="29" fillId="0" borderId="0" xfId="256" applyNumberFormat="1" applyFont="1"/>
    <xf numFmtId="0" fontId="32" fillId="0" borderId="0" xfId="0" applyFont="1" applyAlignment="1">
      <alignment horizontal="center" vertical="center"/>
    </xf>
    <xf numFmtId="0" fontId="116" fillId="0" borderId="0" xfId="0" applyFont="1" applyAlignment="1">
      <alignment horizontal="center" vertical="center"/>
    </xf>
    <xf numFmtId="0" fontId="116" fillId="0" borderId="0" xfId="0" applyNumberFormat="1" applyFont="1" applyAlignment="1">
      <alignment horizontal="center" vertical="center"/>
    </xf>
    <xf numFmtId="14" fontId="215" fillId="0" borderId="0" xfId="0" applyNumberFormat="1" applyFont="1" applyAlignment="1">
      <alignment horizontal="center" vertical="center"/>
    </xf>
    <xf numFmtId="0" fontId="215" fillId="0" borderId="0" xfId="0" applyFont="1" applyAlignment="1">
      <alignment horizontal="center" vertical="center"/>
    </xf>
    <xf numFmtId="0" fontId="109" fillId="53" borderId="0" xfId="0" applyFont="1" applyFill="1" applyBorder="1" applyAlignment="1">
      <alignment horizontal="center" vertical="center"/>
    </xf>
    <xf numFmtId="0" fontId="109" fillId="0" borderId="0" xfId="0" applyFont="1"/>
    <xf numFmtId="0" fontId="115" fillId="50" borderId="118" xfId="0" applyFont="1" applyFill="1" applyBorder="1" applyAlignment="1">
      <alignment horizontal="center" vertical="center"/>
    </xf>
    <xf numFmtId="0" fontId="115" fillId="55" borderId="118" xfId="0" applyFont="1" applyFill="1" applyBorder="1" applyAlignment="1">
      <alignment horizontal="center" vertical="center"/>
    </xf>
    <xf numFmtId="14" fontId="115" fillId="55" borderId="118" xfId="0" applyNumberFormat="1" applyFont="1" applyFill="1" applyBorder="1" applyAlignment="1">
      <alignment horizontal="center" vertical="center"/>
    </xf>
    <xf numFmtId="0" fontId="115" fillId="55" borderId="118" xfId="0" applyFont="1" applyFill="1" applyBorder="1" applyAlignment="1">
      <alignment horizontal="center" vertical="center" wrapText="1"/>
    </xf>
    <xf numFmtId="0" fontId="115" fillId="55" borderId="0" xfId="0" applyFont="1" applyFill="1" applyBorder="1" applyAlignment="1">
      <alignment horizontal="center" vertical="center"/>
    </xf>
    <xf numFmtId="0" fontId="115" fillId="0" borderId="0" xfId="0" applyFont="1"/>
    <xf numFmtId="0" fontId="32" fillId="49" borderId="118" xfId="0" applyFont="1" applyFill="1" applyBorder="1" applyAlignment="1">
      <alignment horizontal="center" vertical="center"/>
    </xf>
    <xf numFmtId="0" fontId="32" fillId="49" borderId="118" xfId="0" applyNumberFormat="1" applyFont="1" applyFill="1" applyBorder="1" applyAlignment="1">
      <alignment horizontal="center" vertical="center"/>
    </xf>
    <xf numFmtId="0" fontId="32" fillId="49" borderId="0" xfId="0" applyFont="1" applyFill="1" applyBorder="1" applyAlignment="1">
      <alignment horizontal="center" vertical="center"/>
    </xf>
    <xf numFmtId="0" fontId="32" fillId="49" borderId="0" xfId="0" applyFont="1" applyFill="1" applyAlignment="1">
      <alignment horizontal="center" vertical="center"/>
    </xf>
    <xf numFmtId="0" fontId="32" fillId="54" borderId="118" xfId="0" applyFont="1" applyFill="1" applyBorder="1" applyAlignment="1">
      <alignment horizontal="center" vertical="center"/>
    </xf>
    <xf numFmtId="20" fontId="28" fillId="54" borderId="118" xfId="0" applyNumberFormat="1" applyFont="1" applyFill="1" applyBorder="1" applyAlignment="1">
      <alignment horizontal="center" vertical="center"/>
    </xf>
    <xf numFmtId="14" fontId="228" fillId="54" borderId="118" xfId="0" applyNumberFormat="1" applyFont="1" applyFill="1" applyBorder="1" applyAlignment="1">
      <alignment horizontal="center" vertical="center"/>
    </xf>
    <xf numFmtId="0" fontId="28" fillId="54" borderId="118" xfId="0" applyFont="1" applyFill="1" applyBorder="1" applyAlignment="1">
      <alignment horizontal="center" vertical="center"/>
    </xf>
    <xf numFmtId="14" fontId="28" fillId="54" borderId="118" xfId="0" applyNumberFormat="1" applyFont="1" applyFill="1" applyBorder="1" applyAlignment="1">
      <alignment horizontal="center" vertical="center"/>
    </xf>
    <xf numFmtId="0" fontId="28" fillId="54" borderId="0" xfId="0" applyFont="1" applyFill="1" applyBorder="1" applyAlignment="1">
      <alignment horizontal="center" vertical="center"/>
    </xf>
    <xf numFmtId="0" fontId="229" fillId="54" borderId="118" xfId="0" applyFont="1" applyFill="1" applyBorder="1" applyAlignment="1">
      <alignment horizontal="center" vertical="center"/>
    </xf>
    <xf numFmtId="169" fontId="28" fillId="54" borderId="118" xfId="0" applyNumberFormat="1" applyFont="1" applyFill="1" applyBorder="1" applyAlignment="1">
      <alignment horizontal="center" vertical="center"/>
    </xf>
    <xf numFmtId="221" fontId="116" fillId="0" borderId="0" xfId="0" applyNumberFormat="1" applyFont="1" applyAlignment="1">
      <alignment horizontal="center" vertical="center"/>
    </xf>
    <xf numFmtId="20" fontId="215" fillId="0" borderId="0" xfId="0" applyNumberFormat="1" applyFont="1" applyAlignment="1">
      <alignment horizontal="center" vertical="center"/>
    </xf>
    <xf numFmtId="2" fontId="116" fillId="0" borderId="0" xfId="0" applyNumberFormat="1" applyFont="1" applyAlignment="1">
      <alignment horizontal="center" vertical="center"/>
    </xf>
    <xf numFmtId="20" fontId="116" fillId="0" borderId="0" xfId="0" applyNumberFormat="1" applyFont="1" applyAlignment="1">
      <alignment horizontal="center" vertical="center"/>
    </xf>
    <xf numFmtId="2" fontId="29" fillId="0" borderId="0" xfId="256" applyNumberFormat="1"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109" fillId="0" borderId="0" xfId="255" applyFont="1" applyFill="1" applyBorder="1" applyAlignment="1">
      <alignment horizontal="center"/>
    </xf>
    <xf numFmtId="0" fontId="29" fillId="0" borderId="0" xfId="255" applyFont="1" applyFill="1" applyBorder="1" applyAlignment="1">
      <alignment horizontal="center"/>
    </xf>
    <xf numFmtId="0" fontId="29" fillId="0" borderId="0" xfId="239" applyFont="1" applyAlignment="1">
      <alignment horizontal="center"/>
    </xf>
    <xf numFmtId="0" fontId="114" fillId="0" borderId="0" xfId="239" applyFont="1" applyAlignment="1">
      <alignment horizontal="center"/>
    </xf>
    <xf numFmtId="0" fontId="28" fillId="0" borderId="0" xfId="255" applyFont="1" applyFill="1" applyAlignment="1">
      <alignment horizontal="left" wrapText="1"/>
    </xf>
    <xf numFmtId="0" fontId="17" fillId="0" borderId="119" xfId="0" applyFont="1" applyBorder="1" applyAlignment="1">
      <alignment horizontal="center" vertical="center"/>
    </xf>
    <xf numFmtId="0" fontId="106" fillId="0" borderId="0" xfId="0" applyFont="1" applyAlignment="1">
      <alignment horizontal="left"/>
    </xf>
    <xf numFmtId="0" fontId="0" fillId="0" borderId="0" xfId="0"/>
    <xf numFmtId="20" fontId="146" fillId="0" borderId="0" xfId="0" applyNumberFormat="1" applyFont="1" applyAlignment="1">
      <alignment horizontal="center" vertical="center"/>
    </xf>
    <xf numFmtId="20" fontId="0" fillId="0" borderId="0" xfId="0" applyNumberFormat="1" applyBorder="1"/>
    <xf numFmtId="20" fontId="29" fillId="0" borderId="0" xfId="0" applyNumberFormat="1" applyFont="1" applyAlignment="1">
      <alignment horizontal="center" vertical="center"/>
    </xf>
    <xf numFmtId="2" fontId="29" fillId="0" borderId="0" xfId="0" applyNumberFormat="1" applyFont="1" applyAlignment="1">
      <alignment horizontal="center" vertical="center"/>
    </xf>
    <xf numFmtId="2" fontId="27" fillId="0" borderId="0" xfId="0" applyNumberFormat="1" applyFont="1" applyAlignment="1">
      <alignment horizontal="center" vertical="center"/>
    </xf>
    <xf numFmtId="20" fontId="29" fillId="0" borderId="0" xfId="239" applyNumberFormat="1" applyFont="1"/>
    <xf numFmtId="14" fontId="0" fillId="0" borderId="0" xfId="0" applyNumberFormat="1"/>
    <xf numFmtId="0" fontId="109" fillId="0" borderId="0" xfId="0" applyFont="1" applyAlignment="1">
      <alignment horizontal="left"/>
    </xf>
    <xf numFmtId="0" fontId="29" fillId="0" borderId="0" xfId="0" applyFont="1" applyAlignment="1">
      <alignment horizontal="center"/>
    </xf>
    <xf numFmtId="0" fontId="29" fillId="0" borderId="22"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2" fontId="29" fillId="0" borderId="0" xfId="256" applyNumberFormat="1" applyFont="1" applyAlignment="1">
      <alignment horizontal="center"/>
    </xf>
    <xf numFmtId="0" fontId="29" fillId="0" borderId="0" xfId="256" applyFont="1" applyAlignment="1">
      <alignment horizont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0" fillId="0" borderId="0" xfId="0"/>
    <xf numFmtId="0" fontId="28" fillId="54" borderId="0" xfId="0" applyFont="1" applyFill="1" applyAlignment="1">
      <alignment horizontal="center" vertical="center"/>
    </xf>
    <xf numFmtId="0" fontId="32" fillId="54" borderId="0" xfId="0" applyFont="1" applyFill="1" applyAlignment="1">
      <alignment horizontal="center" vertical="center"/>
    </xf>
    <xf numFmtId="0" fontId="230" fillId="54" borderId="118" xfId="0" applyFont="1" applyFill="1" applyBorder="1" applyAlignment="1">
      <alignment horizontal="center" vertical="center"/>
    </xf>
    <xf numFmtId="0" fontId="230" fillId="54" borderId="0" xfId="0" applyFont="1" applyFill="1" applyBorder="1" applyAlignment="1">
      <alignment horizontal="center" vertical="center"/>
    </xf>
    <xf numFmtId="0" fontId="230" fillId="54" borderId="0" xfId="0" applyFont="1" applyFill="1" applyAlignment="1">
      <alignment horizontal="center" vertical="center"/>
    </xf>
    <xf numFmtId="0" fontId="224" fillId="54" borderId="0" xfId="0" applyFont="1" applyFill="1" applyAlignment="1">
      <alignment horizontal="center" vertical="center"/>
    </xf>
    <xf numFmtId="0" fontId="228" fillId="54" borderId="0" xfId="0" applyFont="1" applyFill="1" applyBorder="1" applyAlignment="1">
      <alignment horizontal="center" vertical="center"/>
    </xf>
    <xf numFmtId="0" fontId="132" fillId="0" borderId="0" xfId="0" applyFont="1" applyAlignment="1">
      <alignment horizontal="center" vertical="center"/>
    </xf>
    <xf numFmtId="0" fontId="28" fillId="54" borderId="118" xfId="0" applyFont="1" applyFill="1" applyBorder="1" applyAlignment="1">
      <alignment horizontal="center"/>
    </xf>
    <xf numFmtId="2" fontId="28" fillId="54" borderId="118" xfId="0" applyNumberFormat="1" applyFont="1" applyFill="1" applyBorder="1" applyAlignment="1">
      <alignment horizontal="center" vertical="center"/>
    </xf>
    <xf numFmtId="0" fontId="28" fillId="54" borderId="0" xfId="0" applyFont="1" applyFill="1"/>
    <xf numFmtId="14" fontId="28" fillId="54" borderId="0" xfId="0" applyNumberFormat="1" applyFont="1" applyFill="1"/>
    <xf numFmtId="14" fontId="28" fillId="54" borderId="0" xfId="0" applyNumberFormat="1" applyFont="1" applyFill="1" applyBorder="1" applyAlignment="1">
      <alignment horizontal="center" vertical="center"/>
    </xf>
    <xf numFmtId="0" fontId="28" fillId="54" borderId="0" xfId="0" applyNumberFormat="1" applyFont="1" applyFill="1" applyBorder="1" applyAlignment="1">
      <alignment horizontal="center" vertical="center"/>
    </xf>
    <xf numFmtId="20" fontId="228" fillId="54" borderId="118" xfId="0" applyNumberFormat="1" applyFont="1" applyFill="1" applyBorder="1" applyAlignment="1">
      <alignment horizontal="center" vertical="center"/>
    </xf>
    <xf numFmtId="0" fontId="228" fillId="54" borderId="118" xfId="0" applyFont="1" applyFill="1" applyBorder="1" applyAlignment="1">
      <alignment horizontal="center" vertical="center"/>
    </xf>
    <xf numFmtId="14" fontId="228" fillId="54" borderId="0" xfId="0" applyNumberFormat="1" applyFont="1" applyFill="1" applyBorder="1" applyAlignment="1">
      <alignment horizontal="center" vertical="center"/>
    </xf>
    <xf numFmtId="0" fontId="228" fillId="54" borderId="0" xfId="0" applyFont="1" applyFill="1"/>
    <xf numFmtId="14" fontId="228" fillId="54" borderId="0" xfId="0" applyNumberFormat="1" applyFont="1" applyFill="1"/>
    <xf numFmtId="0" fontId="109" fillId="0" borderId="0" xfId="0" applyFont="1" applyAlignment="1">
      <alignment horizontal="center" vertical="center"/>
    </xf>
    <xf numFmtId="0" fontId="29" fillId="0" borderId="0" xfId="0" applyNumberFormat="1" applyFont="1" applyAlignment="1">
      <alignment horizontal="center" vertical="center"/>
    </xf>
    <xf numFmtId="14" fontId="231" fillId="0" borderId="0" xfId="0" applyNumberFormat="1" applyFont="1" applyAlignment="1">
      <alignment horizontal="left" vertical="center"/>
    </xf>
    <xf numFmtId="0" fontId="213" fillId="0" borderId="0" xfId="0" applyFont="1" applyAlignment="1">
      <alignment horizontal="center" vertical="center"/>
    </xf>
    <xf numFmtId="14" fontId="213" fillId="0" borderId="0" xfId="0" applyNumberFormat="1" applyFont="1" applyAlignment="1">
      <alignment horizontal="center" vertical="center"/>
    </xf>
    <xf numFmtId="0" fontId="1" fillId="0" borderId="0" xfId="0" applyFont="1"/>
    <xf numFmtId="0" fontId="32" fillId="54" borderId="0" xfId="0" applyFont="1" applyFill="1" applyBorder="1" applyAlignment="1">
      <alignment horizontal="center" vertical="center"/>
    </xf>
    <xf numFmtId="0" fontId="232" fillId="26" borderId="42" xfId="255" applyFont="1" applyFill="1" applyBorder="1" applyAlignment="1">
      <alignment horizontal="right"/>
    </xf>
    <xf numFmtId="0" fontId="28" fillId="54" borderId="0" xfId="0" applyFont="1" applyFill="1" applyBorder="1" applyAlignment="1">
      <alignment horizontal="center"/>
    </xf>
    <xf numFmtId="20" fontId="28" fillId="54" borderId="0" xfId="0" applyNumberFormat="1" applyFont="1" applyFill="1" applyBorder="1" applyAlignment="1">
      <alignment horizontal="center" vertical="center"/>
    </xf>
    <xf numFmtId="0" fontId="235" fillId="54" borderId="118" xfId="0" applyFont="1" applyFill="1" applyBorder="1" applyAlignment="1">
      <alignment horizontal="center" vertical="center"/>
    </xf>
    <xf numFmtId="0" fontId="236" fillId="54" borderId="118" xfId="0" applyFont="1" applyFill="1" applyBorder="1" applyAlignment="1">
      <alignment horizontal="center" vertical="center"/>
    </xf>
    <xf numFmtId="0" fontId="118" fillId="0" borderId="0" xfId="255" applyFont="1" applyFill="1" applyBorder="1" applyAlignment="1">
      <alignment horizontal="left" vertical="top" wrapText="1"/>
    </xf>
    <xf numFmtId="0" fontId="119" fillId="0" borderId="44" xfId="255" applyFont="1" applyFill="1" applyBorder="1" applyAlignment="1">
      <alignment horizontal="center" vertical="center"/>
    </xf>
    <xf numFmtId="169" fontId="118" fillId="0" borderId="0" xfId="255" applyNumberFormat="1" applyFont="1" applyFill="1" applyBorder="1" applyAlignment="1">
      <alignment horizontal="left"/>
    </xf>
    <xf numFmtId="0" fontId="118" fillId="0" borderId="0" xfId="255" applyFont="1" applyFill="1" applyAlignment="1">
      <alignment horizontal="left" vertical="top" wrapText="1"/>
    </xf>
    <xf numFmtId="0" fontId="29" fillId="0" borderId="0" xfId="255" applyFont="1" applyBorder="1" applyAlignment="1">
      <alignment horizontal="center"/>
    </xf>
    <xf numFmtId="0" fontId="224" fillId="54" borderId="118" xfId="0" applyFont="1" applyFill="1" applyBorder="1" applyAlignment="1">
      <alignment horizontal="center" vertical="center"/>
    </xf>
    <xf numFmtId="0" fontId="122" fillId="0" borderId="0" xfId="255" applyFont="1" applyBorder="1"/>
    <xf numFmtId="0" fontId="237" fillId="0" borderId="0" xfId="239" applyFont="1" applyAlignment="1">
      <alignment horizontal="left"/>
    </xf>
    <xf numFmtId="0" fontId="32" fillId="51" borderId="118" xfId="0" applyFont="1" applyFill="1" applyBorder="1" applyAlignment="1">
      <alignment horizontal="center" vertical="center"/>
    </xf>
    <xf numFmtId="221" fontId="118" fillId="0" borderId="0" xfId="255" applyNumberFormat="1" applyFont="1" applyFill="1" applyBorder="1" applyAlignment="1">
      <alignment horizontal="center" vertical="center"/>
    </xf>
    <xf numFmtId="221" fontId="238" fillId="0" borderId="0" xfId="255" applyNumberFormat="1" applyFont="1" applyFill="1" applyBorder="1" applyAlignment="1">
      <alignment horizontal="center" vertical="center"/>
    </xf>
    <xf numFmtId="14" fontId="118" fillId="0" borderId="0" xfId="255" applyNumberFormat="1" applyFont="1" applyFill="1" applyBorder="1" applyAlignment="1">
      <alignment horizontal="center" vertical="center"/>
    </xf>
    <xf numFmtId="0" fontId="13" fillId="0" borderId="1" xfId="255" applyFont="1" applyFill="1" applyBorder="1" applyAlignment="1">
      <alignment horizontal="center"/>
    </xf>
    <xf numFmtId="0" fontId="12" fillId="0" borderId="1" xfId="255" applyFont="1" applyFill="1" applyBorder="1" applyAlignment="1">
      <alignment horizontal="center"/>
    </xf>
    <xf numFmtId="0" fontId="118" fillId="0" borderId="51" xfId="255" applyFont="1" applyFill="1" applyBorder="1" applyAlignment="1">
      <alignment horizontal="center" vertical="center" wrapText="1"/>
    </xf>
    <xf numFmtId="0" fontId="118" fillId="0" borderId="53" xfId="255" applyFont="1" applyFill="1" applyBorder="1" applyAlignment="1">
      <alignment horizontal="center" vertical="center" wrapText="1"/>
    </xf>
    <xf numFmtId="0" fontId="12" fillId="0" borderId="18" xfId="255" applyFont="1" applyFill="1" applyBorder="1" applyAlignment="1">
      <alignment horizontal="center"/>
    </xf>
    <xf numFmtId="0" fontId="12" fillId="0" borderId="26" xfId="255" applyFont="1" applyFill="1" applyBorder="1" applyAlignment="1">
      <alignment horizontal="center"/>
    </xf>
    <xf numFmtId="0" fontId="13" fillId="0" borderId="33" xfId="255" applyFont="1" applyFill="1" applyBorder="1" applyAlignment="1">
      <alignment horizontal="center" vertical="center"/>
    </xf>
    <xf numFmtId="0" fontId="13" fillId="0" borderId="34" xfId="255" applyFont="1" applyFill="1" applyBorder="1" applyAlignment="1">
      <alignment horizontal="center" vertical="center"/>
    </xf>
    <xf numFmtId="0" fontId="118" fillId="0" borderId="55" xfId="255" applyFont="1" applyFill="1" applyBorder="1" applyAlignment="1">
      <alignment horizontal="center" vertical="center" wrapText="1"/>
    </xf>
    <xf numFmtId="0" fontId="118" fillId="0" borderId="1" xfId="255" applyFont="1" applyFill="1" applyBorder="1" applyAlignment="1">
      <alignment horizontal="center"/>
    </xf>
    <xf numFmtId="0" fontId="29" fillId="0" borderId="0" xfId="255" applyFont="1" applyBorder="1" applyAlignment="1">
      <alignment horizontal="center"/>
    </xf>
    <xf numFmtId="0" fontId="12" fillId="0" borderId="94" xfId="255" applyFont="1" applyFill="1" applyBorder="1" applyAlignment="1">
      <alignment horizontal="center"/>
    </xf>
    <xf numFmtId="0" fontId="13" fillId="0" borderId="94" xfId="255" applyFont="1" applyFill="1" applyBorder="1" applyAlignment="1">
      <alignment horizontal="center"/>
    </xf>
    <xf numFmtId="0" fontId="119" fillId="0" borderId="35" xfId="255" applyFont="1" applyFill="1" applyBorder="1" applyAlignment="1">
      <alignment horizontal="left" vertical="center"/>
    </xf>
    <xf numFmtId="0" fontId="118" fillId="0" borderId="0" xfId="255" applyFont="1" applyFill="1" applyBorder="1" applyAlignment="1">
      <alignment horizontal="left" vertical="top" wrapText="1"/>
    </xf>
    <xf numFmtId="0" fontId="119" fillId="0" borderId="97" xfId="255" applyFont="1" applyFill="1" applyBorder="1" applyAlignment="1">
      <alignment horizontal="center" vertical="center"/>
    </xf>
    <xf numFmtId="0" fontId="119" fillId="0" borderId="44" xfId="255" applyFont="1" applyFill="1" applyBorder="1" applyAlignment="1">
      <alignment horizontal="center" vertical="center"/>
    </xf>
    <xf numFmtId="0" fontId="119" fillId="0" borderId="19" xfId="255" applyFont="1" applyFill="1" applyBorder="1" applyAlignment="1">
      <alignment horizontal="left" vertical="center"/>
    </xf>
    <xf numFmtId="0" fontId="119" fillId="0" borderId="30" xfId="255" applyFont="1" applyFill="1" applyBorder="1" applyAlignment="1">
      <alignment horizontal="left" vertical="center"/>
    </xf>
    <xf numFmtId="169" fontId="118" fillId="0" borderId="0" xfId="255" applyNumberFormat="1" applyFont="1" applyFill="1" applyBorder="1" applyAlignment="1">
      <alignment horizontal="left"/>
    </xf>
    <xf numFmtId="0" fontId="118" fillId="0" borderId="30" xfId="255" applyFont="1" applyFill="1" applyBorder="1" applyAlignment="1">
      <alignment horizontal="left" vertical="top" wrapText="1"/>
    </xf>
    <xf numFmtId="0" fontId="119" fillId="0" borderId="0" xfId="255" applyFont="1" applyFill="1" applyBorder="1" applyAlignment="1">
      <alignment horizontal="center" vertical="center"/>
    </xf>
    <xf numFmtId="0" fontId="118" fillId="0" borderId="95" xfId="255" applyFont="1" applyFill="1" applyBorder="1" applyAlignment="1">
      <alignment horizontal="center" vertical="center" wrapText="1"/>
    </xf>
    <xf numFmtId="0" fontId="118" fillId="0" borderId="96" xfId="255" applyFont="1" applyFill="1" applyBorder="1" applyAlignment="1">
      <alignment horizontal="center" vertical="center" wrapText="1"/>
    </xf>
    <xf numFmtId="0" fontId="116" fillId="0" borderId="0" xfId="255" applyFont="1" applyFill="1" applyBorder="1" applyAlignment="1">
      <alignment horizontal="center" vertical="top" wrapText="1"/>
    </xf>
    <xf numFmtId="0" fontId="116" fillId="0" borderId="0" xfId="255" applyFont="1" applyFill="1" applyBorder="1" applyAlignment="1">
      <alignment horizontal="center"/>
    </xf>
    <xf numFmtId="0" fontId="32" fillId="0" borderId="0" xfId="255" applyFont="1" applyFill="1" applyBorder="1" applyAlignment="1">
      <alignment horizontal="center"/>
    </xf>
    <xf numFmtId="0" fontId="106" fillId="0" borderId="0" xfId="255" applyFont="1" applyFill="1" applyAlignment="1">
      <alignment horizontal="center" vertical="center"/>
    </xf>
    <xf numFmtId="0" fontId="118" fillId="0" borderId="0" xfId="255" applyFont="1" applyFill="1" applyAlignment="1">
      <alignment horizontal="left" vertical="top" wrapText="1"/>
    </xf>
    <xf numFmtId="0" fontId="118" fillId="0" borderId="81" xfId="255" applyFont="1" applyFill="1" applyBorder="1" applyAlignment="1">
      <alignment horizontal="left" vertical="top" wrapText="1"/>
    </xf>
    <xf numFmtId="0" fontId="119" fillId="0" borderId="98" xfId="255" applyFont="1" applyFill="1" applyBorder="1" applyAlignment="1">
      <alignment horizontal="center" vertical="center"/>
    </xf>
    <xf numFmtId="0" fontId="119" fillId="0" borderId="99" xfId="255" applyFont="1" applyFill="1" applyBorder="1" applyAlignment="1">
      <alignment horizontal="center" vertical="center"/>
    </xf>
    <xf numFmtId="0" fontId="119" fillId="0" borderId="100" xfId="255" applyFont="1" applyFill="1" applyBorder="1" applyAlignment="1">
      <alignment horizontal="center" vertical="center"/>
    </xf>
    <xf numFmtId="0" fontId="120" fillId="0" borderId="51" xfId="255" applyFont="1" applyFill="1" applyBorder="1" applyAlignment="1">
      <alignment horizontal="center" vertical="center" wrapText="1"/>
    </xf>
    <xf numFmtId="0" fontId="120" fillId="0" borderId="55" xfId="255" applyFont="1" applyFill="1" applyBorder="1" applyAlignment="1">
      <alignment horizontal="center" vertical="center" wrapText="1"/>
    </xf>
    <xf numFmtId="0" fontId="120" fillId="0" borderId="53" xfId="255" applyFont="1" applyFill="1" applyBorder="1" applyAlignment="1">
      <alignment horizontal="center" vertical="center" wrapText="1"/>
    </xf>
    <xf numFmtId="0" fontId="120" fillId="0" borderId="22" xfId="255" applyFont="1" applyFill="1" applyBorder="1" applyAlignment="1">
      <alignment horizontal="center" vertical="center" wrapText="1"/>
    </xf>
    <xf numFmtId="0" fontId="120" fillId="0" borderId="5" xfId="255" applyFont="1" applyFill="1" applyBorder="1" applyAlignment="1">
      <alignment horizontal="center" vertical="center" wrapText="1"/>
    </xf>
    <xf numFmtId="0" fontId="120" fillId="0" borderId="65" xfId="255" applyFont="1" applyFill="1" applyBorder="1" applyAlignment="1">
      <alignment horizontal="center" vertical="center" wrapText="1"/>
    </xf>
    <xf numFmtId="0" fontId="120" fillId="0" borderId="52" xfId="255" applyFont="1" applyFill="1" applyBorder="1" applyAlignment="1">
      <alignment horizontal="center" vertical="center" wrapText="1"/>
    </xf>
    <xf numFmtId="0" fontId="120" fillId="0" borderId="56" xfId="255" applyFont="1" applyFill="1" applyBorder="1" applyAlignment="1">
      <alignment horizontal="center" vertical="center" wrapText="1"/>
    </xf>
    <xf numFmtId="0" fontId="120" fillId="0" borderId="54" xfId="255" applyFont="1" applyFill="1" applyBorder="1" applyAlignment="1">
      <alignment horizontal="center" vertical="center" wrapText="1"/>
    </xf>
    <xf numFmtId="0" fontId="118" fillId="0" borderId="0" xfId="255" applyFont="1" applyFill="1" applyBorder="1" applyAlignment="1">
      <alignment horizontal="center" vertical="top" wrapText="1"/>
    </xf>
    <xf numFmtId="0" fontId="118" fillId="0" borderId="98" xfId="255" applyFont="1" applyFill="1" applyBorder="1" applyAlignment="1">
      <alignment horizontal="center" vertical="center"/>
    </xf>
    <xf numFmtId="0" fontId="118" fillId="0" borderId="99" xfId="255" applyFont="1" applyFill="1" applyBorder="1" applyAlignment="1">
      <alignment horizontal="center" vertical="center"/>
    </xf>
    <xf numFmtId="0" fontId="118" fillId="0" borderId="100" xfId="255" applyFont="1" applyFill="1" applyBorder="1" applyAlignment="1">
      <alignment horizontal="center" vertical="center"/>
    </xf>
    <xf numFmtId="0" fontId="118" fillId="0" borderId="46" xfId="255" applyFont="1" applyFill="1" applyBorder="1" applyAlignment="1">
      <alignment horizontal="center" vertical="center" wrapText="1"/>
    </xf>
    <xf numFmtId="0" fontId="13" fillId="0" borderId="22" xfId="255" applyFont="1" applyFill="1" applyBorder="1" applyAlignment="1">
      <alignment horizontal="center" vertical="center"/>
    </xf>
    <xf numFmtId="0" fontId="13" fillId="0" borderId="65" xfId="255" applyFont="1" applyFill="1" applyBorder="1" applyAlignment="1">
      <alignment horizontal="center" vertical="center"/>
    </xf>
    <xf numFmtId="0" fontId="118" fillId="0" borderId="28" xfId="255" applyFont="1" applyBorder="1" applyAlignment="1">
      <alignment horizontal="center" vertical="center"/>
    </xf>
    <xf numFmtId="0" fontId="118" fillId="0" borderId="30" xfId="255" applyFont="1" applyBorder="1" applyAlignment="1">
      <alignment horizontal="center" vertical="center"/>
    </xf>
    <xf numFmtId="0" fontId="118" fillId="0" borderId="80" xfId="255" applyFont="1" applyBorder="1" applyAlignment="1">
      <alignment horizontal="center" vertical="center"/>
    </xf>
    <xf numFmtId="0" fontId="225" fillId="0" borderId="18" xfId="255" applyFont="1" applyBorder="1" applyAlignment="1">
      <alignment horizontal="center" vertical="center"/>
    </xf>
    <xf numFmtId="0" fontId="225" fillId="0" borderId="8" xfId="255" applyFont="1" applyBorder="1" applyAlignment="1">
      <alignment horizontal="center" vertical="center"/>
    </xf>
    <xf numFmtId="0" fontId="225" fillId="0" borderId="86" xfId="255" applyFont="1" applyBorder="1" applyAlignment="1">
      <alignment horizontal="center" vertical="center"/>
    </xf>
    <xf numFmtId="0" fontId="225" fillId="0" borderId="83" xfId="255" applyFont="1" applyBorder="1" applyAlignment="1">
      <alignment horizontal="center" vertical="center"/>
    </xf>
    <xf numFmtId="0" fontId="225" fillId="0" borderId="127" xfId="255" applyFont="1" applyBorder="1" applyAlignment="1">
      <alignment horizontal="center" vertical="center"/>
    </xf>
    <xf numFmtId="0" fontId="225" fillId="0" borderId="78" xfId="255" applyFont="1" applyBorder="1" applyAlignment="1">
      <alignment horizontal="center" vertical="center"/>
    </xf>
    <xf numFmtId="0" fontId="118" fillId="0" borderId="18" xfId="255" applyFont="1" applyBorder="1" applyAlignment="1">
      <alignment horizontal="center" vertical="center"/>
    </xf>
    <xf numFmtId="0" fontId="118" fillId="0" borderId="8" xfId="255" applyFont="1" applyBorder="1" applyAlignment="1">
      <alignment horizontal="center" vertical="center"/>
    </xf>
    <xf numFmtId="0" fontId="118" fillId="0" borderId="86" xfId="255" applyFont="1" applyBorder="1" applyAlignment="1">
      <alignment horizontal="center" vertical="center"/>
    </xf>
    <xf numFmtId="0" fontId="118" fillId="0" borderId="31" xfId="255" applyFont="1" applyBorder="1" applyAlignment="1">
      <alignment horizontal="center" vertical="center"/>
    </xf>
    <xf numFmtId="0" fontId="118" fillId="0" borderId="0" xfId="255" applyFont="1" applyBorder="1" applyAlignment="1">
      <alignment horizontal="center" vertical="center"/>
    </xf>
    <xf numFmtId="0" fontId="118" fillId="0" borderId="81" xfId="255" applyFont="1" applyBorder="1" applyAlignment="1">
      <alignment horizontal="center" vertical="center"/>
    </xf>
    <xf numFmtId="0" fontId="118" fillId="0" borderId="126" xfId="255" applyFont="1" applyBorder="1" applyAlignment="1">
      <alignment horizontal="center" vertical="center"/>
    </xf>
    <xf numFmtId="0" fontId="118" fillId="0" borderId="50" xfId="255" applyFont="1" applyBorder="1" applyAlignment="1">
      <alignment horizontal="center" vertical="center"/>
    </xf>
    <xf numFmtId="0" fontId="118" fillId="0" borderId="124" xfId="255" applyFont="1" applyBorder="1" applyAlignment="1">
      <alignment horizontal="center" vertical="center"/>
    </xf>
    <xf numFmtId="0" fontId="17" fillId="0" borderId="1" xfId="0" applyFont="1" applyBorder="1" applyAlignment="1">
      <alignment horizontal="center" vertical="center"/>
    </xf>
    <xf numFmtId="0" fontId="63" fillId="0" borderId="1" xfId="0" applyFont="1" applyBorder="1" applyAlignment="1">
      <alignment horizontal="center" vertical="center"/>
    </xf>
    <xf numFmtId="0" fontId="119" fillId="0" borderId="1" xfId="255" applyFont="1" applyFill="1" applyBorder="1" applyAlignment="1">
      <alignment horizontal="center" vertical="center"/>
    </xf>
    <xf numFmtId="0" fontId="17" fillId="0" borderId="18" xfId="0" applyFont="1" applyBorder="1" applyAlignment="1">
      <alignment horizontal="center" vertical="center"/>
    </xf>
    <xf numFmtId="0" fontId="17" fillId="0" borderId="8" xfId="0" applyFont="1" applyBorder="1" applyAlignment="1">
      <alignment horizontal="center" vertical="center"/>
    </xf>
    <xf numFmtId="0" fontId="17" fillId="0" borderId="26" xfId="0" applyFont="1" applyBorder="1" applyAlignment="1">
      <alignment horizontal="center" vertical="center"/>
    </xf>
    <xf numFmtId="0" fontId="168" fillId="45" borderId="18" xfId="0" applyFont="1" applyFill="1" applyBorder="1" applyAlignment="1">
      <alignment horizontal="center"/>
    </xf>
    <xf numFmtId="0" fontId="168" fillId="45" borderId="8" xfId="0" applyFont="1" applyFill="1" applyBorder="1" applyAlignment="1">
      <alignment horizontal="center"/>
    </xf>
    <xf numFmtId="0" fontId="168" fillId="45" borderId="26" xfId="0" applyFont="1" applyFill="1" applyBorder="1" applyAlignment="1">
      <alignment horizontal="center"/>
    </xf>
    <xf numFmtId="0" fontId="110" fillId="0" borderId="37" xfId="0" applyFont="1" applyBorder="1" applyAlignment="1">
      <alignment horizontal="center" vertical="center"/>
    </xf>
    <xf numFmtId="0" fontId="110" fillId="0" borderId="0" xfId="0" applyFont="1" applyBorder="1" applyAlignment="1">
      <alignment horizontal="center" vertical="center"/>
    </xf>
    <xf numFmtId="0" fontId="110" fillId="0" borderId="38" xfId="0" applyFont="1" applyBorder="1" applyAlignment="1">
      <alignment horizontal="center" vertical="center"/>
    </xf>
    <xf numFmtId="0" fontId="28" fillId="0" borderId="0" xfId="0" applyFont="1" applyBorder="1" applyAlignment="1">
      <alignment horizontal="left" vertical="top" wrapText="1"/>
    </xf>
    <xf numFmtId="0" fontId="28" fillId="0" borderId="38" xfId="0" applyFont="1" applyBorder="1" applyAlignment="1">
      <alignment horizontal="left" vertical="top" wrapText="1"/>
    </xf>
    <xf numFmtId="219" fontId="29" fillId="0" borderId="0" xfId="0" applyNumberFormat="1" applyFont="1" applyBorder="1" applyAlignment="1">
      <alignment horizontal="center"/>
    </xf>
    <xf numFmtId="0" fontId="29" fillId="0" borderId="91" xfId="0" applyFont="1" applyBorder="1" applyAlignment="1">
      <alignment horizontal="center" vertical="center" wrapText="1"/>
    </xf>
    <xf numFmtId="0" fontId="29" fillId="0" borderId="92"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0" xfId="0" applyFont="1" applyBorder="1" applyAlignment="1">
      <alignment horizontal="center" vertical="center" wrapText="1"/>
    </xf>
    <xf numFmtId="0" fontId="113" fillId="0" borderId="92" xfId="0" applyFont="1" applyBorder="1" applyAlignment="1">
      <alignment horizontal="center" vertical="center"/>
    </xf>
    <xf numFmtId="0" fontId="113" fillId="0" borderId="93" xfId="0" applyFont="1" applyBorder="1" applyAlignment="1">
      <alignment horizontal="center" vertical="center"/>
    </xf>
    <xf numFmtId="0" fontId="109" fillId="0" borderId="0" xfId="0" applyFont="1" applyBorder="1" applyAlignment="1">
      <alignment horizontal="center"/>
    </xf>
    <xf numFmtId="0" fontId="109" fillId="0" borderId="38" xfId="0" applyFont="1" applyBorder="1" applyAlignment="1">
      <alignment horizontal="center"/>
    </xf>
    <xf numFmtId="0" fontId="29" fillId="0" borderId="0" xfId="0" applyFont="1" applyBorder="1" applyAlignment="1">
      <alignment horizontal="center"/>
    </xf>
    <xf numFmtId="0" fontId="29" fillId="0" borderId="38" xfId="0" applyFont="1" applyBorder="1" applyAlignment="1">
      <alignment horizontal="center"/>
    </xf>
    <xf numFmtId="0" fontId="109" fillId="53" borderId="118" xfId="0" applyFont="1" applyFill="1" applyBorder="1" applyAlignment="1">
      <alignment horizontal="center" vertical="center"/>
    </xf>
    <xf numFmtId="0" fontId="115" fillId="55" borderId="118" xfId="0" applyFont="1" applyFill="1" applyBorder="1" applyAlignment="1">
      <alignment horizontal="center" vertical="center"/>
    </xf>
    <xf numFmtId="0" fontId="115" fillId="57" borderId="118" xfId="0" applyFont="1" applyFill="1" applyBorder="1" applyAlignment="1">
      <alignment horizontal="center" vertical="center"/>
    </xf>
    <xf numFmtId="0" fontId="109" fillId="53" borderId="118" xfId="255" applyFont="1" applyFill="1" applyBorder="1" applyAlignment="1">
      <alignment horizontal="center" vertical="center"/>
    </xf>
    <xf numFmtId="0" fontId="116" fillId="0" borderId="22" xfId="0" applyFont="1" applyBorder="1" applyAlignment="1">
      <alignment horizontal="center" vertical="center" wrapText="1"/>
    </xf>
    <xf numFmtId="0" fontId="116" fillId="0" borderId="5" xfId="0" applyFont="1" applyBorder="1" applyAlignment="1">
      <alignment horizontal="center" vertical="center" wrapText="1"/>
    </xf>
    <xf numFmtId="0" fontId="116" fillId="0" borderId="65" xfId="0" applyFont="1" applyBorder="1" applyAlignment="1">
      <alignment horizontal="center" vertical="center" wrapText="1"/>
    </xf>
    <xf numFmtId="0" fontId="119" fillId="0" borderId="0" xfId="0" applyFont="1" applyBorder="1" applyAlignment="1">
      <alignment horizontal="center"/>
    </xf>
    <xf numFmtId="0" fontId="234" fillId="0" borderId="5" xfId="0" applyNumberFormat="1" applyFont="1" applyBorder="1" applyAlignment="1">
      <alignment horizontal="left" vertical="center" wrapText="1"/>
    </xf>
    <xf numFmtId="2" fontId="171" fillId="0" borderId="5" xfId="0" applyNumberFormat="1" applyFont="1" applyBorder="1" applyAlignment="1">
      <alignment horizontal="center" vertical="center"/>
    </xf>
    <xf numFmtId="0" fontId="115" fillId="0" borderId="0" xfId="0" applyFont="1" applyBorder="1" applyAlignment="1">
      <alignment horizontal="center"/>
    </xf>
    <xf numFmtId="2" fontId="171" fillId="0" borderId="65" xfId="0" applyNumberFormat="1" applyFont="1" applyBorder="1" applyAlignment="1">
      <alignment horizontal="center" vertical="center"/>
    </xf>
    <xf numFmtId="0" fontId="234" fillId="0" borderId="65" xfId="0" applyNumberFormat="1" applyFont="1" applyBorder="1" applyAlignment="1">
      <alignment horizontal="left" vertical="center" wrapText="1"/>
    </xf>
    <xf numFmtId="0" fontId="124" fillId="0" borderId="102" xfId="0" applyFont="1" applyFill="1" applyBorder="1" applyAlignment="1">
      <alignment horizontal="center" vertical="center"/>
    </xf>
    <xf numFmtId="0" fontId="124" fillId="0" borderId="101" xfId="0" applyFont="1" applyFill="1" applyBorder="1" applyAlignment="1">
      <alignment horizontal="center" vertical="center"/>
    </xf>
    <xf numFmtId="0" fontId="234" fillId="0" borderId="22" xfId="0" applyNumberFormat="1" applyFont="1" applyBorder="1" applyAlignment="1">
      <alignment horizontal="left" vertical="center" wrapText="1"/>
    </xf>
    <xf numFmtId="0" fontId="19" fillId="0" borderId="5" xfId="0" applyFont="1" applyBorder="1"/>
    <xf numFmtId="0" fontId="124" fillId="0" borderId="85" xfId="0" applyFont="1" applyFill="1" applyBorder="1" applyAlignment="1">
      <alignment horizontal="center" vertical="center"/>
    </xf>
    <xf numFmtId="0" fontId="128" fillId="0" borderId="22" xfId="0" applyFont="1" applyBorder="1" applyAlignment="1">
      <alignment horizontal="center" vertical="center" wrapText="1"/>
    </xf>
    <xf numFmtId="0" fontId="128" fillId="0" borderId="5" xfId="0" applyFont="1" applyBorder="1" applyAlignment="1">
      <alignment horizontal="center" vertical="center" wrapText="1"/>
    </xf>
    <xf numFmtId="0" fontId="128" fillId="0" borderId="65" xfId="0" applyFont="1" applyBorder="1" applyAlignment="1">
      <alignment horizontal="center" vertical="center" wrapText="1"/>
    </xf>
    <xf numFmtId="0" fontId="118" fillId="0" borderId="102" xfId="0" applyFont="1" applyFill="1" applyBorder="1" applyAlignment="1">
      <alignment horizontal="center" vertical="center"/>
    </xf>
    <xf numFmtId="0" fontId="118" fillId="0" borderId="85" xfId="0" applyFont="1" applyFill="1" applyBorder="1" applyAlignment="1">
      <alignment horizontal="center" vertical="center"/>
    </xf>
    <xf numFmtId="2" fontId="116" fillId="0" borderId="22" xfId="0" applyNumberFormat="1" applyFont="1" applyBorder="1" applyAlignment="1">
      <alignment horizontal="center" vertical="center"/>
    </xf>
    <xf numFmtId="2" fontId="116" fillId="0" borderId="65" xfId="0" applyNumberFormat="1" applyFont="1" applyBorder="1" applyAlignment="1">
      <alignment horizontal="center" vertical="center"/>
    </xf>
    <xf numFmtId="0" fontId="116" fillId="0" borderId="102" xfId="0" applyFont="1" applyBorder="1" applyAlignment="1">
      <alignment horizontal="center" vertical="center" wrapText="1"/>
    </xf>
    <xf numFmtId="0" fontId="116" fillId="0" borderId="101" xfId="0" applyFont="1" applyBorder="1" applyAlignment="1">
      <alignment horizontal="center" vertical="center" wrapText="1"/>
    </xf>
    <xf numFmtId="0" fontId="116" fillId="0" borderId="85" xfId="0" applyFont="1" applyBorder="1" applyAlignment="1">
      <alignment horizontal="center" vertical="center" wrapText="1"/>
    </xf>
    <xf numFmtId="0" fontId="127" fillId="0" borderId="22" xfId="0" applyNumberFormat="1" applyFont="1" applyBorder="1" applyAlignment="1">
      <alignment horizontal="left" vertical="center" wrapText="1"/>
    </xf>
    <xf numFmtId="0" fontId="233" fillId="0" borderId="65" xfId="0" applyFont="1" applyBorder="1"/>
    <xf numFmtId="0" fontId="116" fillId="0" borderId="0" xfId="0" applyFont="1" applyBorder="1" applyAlignment="1">
      <alignment horizontal="right" vertical="center"/>
    </xf>
    <xf numFmtId="0" fontId="116" fillId="0" borderId="30" xfId="0" applyFont="1" applyBorder="1" applyAlignment="1">
      <alignment horizontal="right"/>
    </xf>
    <xf numFmtId="2" fontId="116" fillId="0" borderId="5" xfId="0" applyNumberFormat="1" applyFont="1" applyBorder="1" applyAlignment="1">
      <alignment horizontal="center" vertical="center"/>
    </xf>
    <xf numFmtId="1" fontId="172" fillId="48" borderId="22" xfId="0" applyNumberFormat="1" applyFont="1" applyFill="1" applyBorder="1" applyAlignment="1">
      <alignment horizontal="center" vertical="center"/>
    </xf>
    <xf numFmtId="1" fontId="172" fillId="48" borderId="5" xfId="0" applyNumberFormat="1" applyFont="1" applyFill="1" applyBorder="1" applyAlignment="1">
      <alignment horizontal="center" vertical="center"/>
    </xf>
    <xf numFmtId="1" fontId="172" fillId="48" borderId="65" xfId="0" applyNumberFormat="1" applyFont="1" applyFill="1" applyBorder="1" applyAlignment="1">
      <alignment horizontal="center" vertical="center"/>
    </xf>
    <xf numFmtId="169" fontId="116" fillId="0" borderId="22" xfId="0" applyNumberFormat="1" applyFont="1" applyBorder="1" applyAlignment="1">
      <alignment horizontal="center"/>
    </xf>
    <xf numFmtId="169" fontId="116" fillId="0" borderId="5" xfId="0" applyNumberFormat="1" applyFont="1" applyBorder="1" applyAlignment="1">
      <alignment horizontal="center"/>
    </xf>
    <xf numFmtId="0" fontId="118" fillId="0" borderId="101" xfId="0" applyFont="1" applyFill="1" applyBorder="1" applyAlignment="1">
      <alignment horizontal="center" vertical="center"/>
    </xf>
    <xf numFmtId="169" fontId="116" fillId="0" borderId="65" xfId="0" applyNumberFormat="1" applyFont="1" applyBorder="1" applyAlignment="1">
      <alignment horizontal="center"/>
    </xf>
    <xf numFmtId="2" fontId="171" fillId="0" borderId="22" xfId="0" applyNumberFormat="1" applyFont="1" applyBorder="1" applyAlignment="1">
      <alignment horizontal="center" vertical="center"/>
    </xf>
    <xf numFmtId="0" fontId="233" fillId="0" borderId="5" xfId="0" applyFont="1" applyBorder="1"/>
    <xf numFmtId="0" fontId="35" fillId="56" borderId="119" xfId="0" applyFont="1" applyFill="1" applyBorder="1" applyAlignment="1">
      <alignment horizontal="center" vertical="center"/>
    </xf>
    <xf numFmtId="0" fontId="106" fillId="0" borderId="0" xfId="256" applyFont="1" applyBorder="1" applyAlignment="1">
      <alignment horizontal="center" vertical="center"/>
    </xf>
    <xf numFmtId="0" fontId="29" fillId="0" borderId="0" xfId="256" applyFont="1" applyFill="1" applyBorder="1" applyAlignment="1">
      <alignment horizontal="left" vertical="center" wrapText="1"/>
    </xf>
    <xf numFmtId="0" fontId="29" fillId="0" borderId="33" xfId="256" applyFont="1" applyFill="1" applyBorder="1" applyAlignment="1">
      <alignment horizontal="center" vertical="center" wrapText="1"/>
    </xf>
    <xf numFmtId="0" fontId="29" fillId="0" borderId="34" xfId="256" applyFont="1" applyFill="1" applyBorder="1" applyAlignment="1">
      <alignment horizontal="center" vertical="center" wrapText="1"/>
    </xf>
    <xf numFmtId="0" fontId="29" fillId="0" borderId="28" xfId="256" applyFont="1" applyFill="1" applyBorder="1" applyAlignment="1">
      <alignment horizontal="center" vertical="center" wrapText="1"/>
    </xf>
    <xf numFmtId="0" fontId="29" fillId="0" borderId="29" xfId="256" applyFont="1" applyFill="1" applyBorder="1" applyAlignment="1">
      <alignment horizontal="center" vertical="center" wrapText="1"/>
    </xf>
    <xf numFmtId="0" fontId="29" fillId="0" borderId="35" xfId="256" applyFont="1" applyFill="1" applyBorder="1" applyAlignment="1">
      <alignment horizontal="center" vertical="center" wrapText="1"/>
    </xf>
    <xf numFmtId="0" fontId="29" fillId="0" borderId="30" xfId="256" applyFont="1" applyFill="1" applyBorder="1" applyAlignment="1">
      <alignment horizontal="center" vertical="center" wrapText="1"/>
    </xf>
    <xf numFmtId="0" fontId="109" fillId="0" borderId="0" xfId="256" applyNumberFormat="1" applyFont="1" applyFill="1" applyBorder="1" applyAlignment="1">
      <alignment horizontal="center" vertical="top"/>
    </xf>
    <xf numFmtId="0" fontId="109" fillId="0" borderId="0" xfId="256" applyFont="1" applyFill="1" applyBorder="1" applyAlignment="1">
      <alignment horizontal="center" vertical="top"/>
    </xf>
    <xf numFmtId="2" fontId="29" fillId="0" borderId="0" xfId="256" applyNumberFormat="1" applyFont="1" applyAlignment="1">
      <alignment horizontal="center"/>
    </xf>
    <xf numFmtId="0" fontId="29" fillId="0" borderId="0" xfId="256" applyFont="1" applyAlignment="1">
      <alignment horizontal="center"/>
    </xf>
    <xf numFmtId="0" fontId="29" fillId="0" borderId="0" xfId="256" applyFont="1" applyAlignment="1">
      <alignment horizontal="center" wrapText="1"/>
    </xf>
    <xf numFmtId="0" fontId="29" fillId="0" borderId="22" xfId="256" applyFont="1" applyFill="1" applyBorder="1" applyAlignment="1">
      <alignment horizontal="center" vertical="center" wrapText="1"/>
    </xf>
    <xf numFmtId="0" fontId="29" fillId="0" borderId="5" xfId="256" applyFont="1" applyFill="1" applyBorder="1" applyAlignment="1">
      <alignment horizontal="center" vertical="center" wrapText="1"/>
    </xf>
    <xf numFmtId="0" fontId="29" fillId="0" borderId="65" xfId="256" applyFont="1" applyFill="1" applyBorder="1" applyAlignment="1">
      <alignment horizontal="center" vertical="center" wrapText="1"/>
    </xf>
    <xf numFmtId="0" fontId="132" fillId="0" borderId="30" xfId="256" applyFont="1" applyFill="1" applyBorder="1" applyAlignment="1">
      <alignment horizontal="center" vertical="center"/>
    </xf>
    <xf numFmtId="0" fontId="29" fillId="0" borderId="35" xfId="256" applyFont="1" applyFill="1" applyBorder="1" applyAlignment="1">
      <alignment horizontal="left" vertical="center" wrapText="1"/>
    </xf>
    <xf numFmtId="168" fontId="31" fillId="0" borderId="22" xfId="256" applyNumberFormat="1" applyFont="1" applyFill="1" applyBorder="1" applyAlignment="1">
      <alignment horizontal="center" vertical="center" textRotation="90" wrapText="1"/>
    </xf>
    <xf numFmtId="168" fontId="31" fillId="0" borderId="5" xfId="256" applyNumberFormat="1" applyFont="1" applyFill="1" applyBorder="1" applyAlignment="1">
      <alignment horizontal="center" vertical="center" textRotation="90" wrapText="1"/>
    </xf>
    <xf numFmtId="167" fontId="31" fillId="0" borderId="22" xfId="256" applyNumberFormat="1" applyFont="1" applyFill="1" applyBorder="1" applyAlignment="1">
      <alignment horizontal="center" vertical="center" textRotation="90" wrapText="1"/>
    </xf>
    <xf numFmtId="167" fontId="31" fillId="0" borderId="5" xfId="256" applyNumberFormat="1" applyFont="1" applyFill="1" applyBorder="1" applyAlignment="1">
      <alignment horizontal="center" vertical="center" textRotation="90" wrapText="1"/>
    </xf>
    <xf numFmtId="0" fontId="31" fillId="0" borderId="22" xfId="256" applyNumberFormat="1" applyFont="1" applyFill="1" applyBorder="1" applyAlignment="1">
      <alignment horizontal="left" vertical="center" wrapText="1"/>
    </xf>
    <xf numFmtId="0" fontId="31" fillId="0" borderId="5" xfId="256" applyNumberFormat="1" applyFont="1" applyFill="1" applyBorder="1" applyAlignment="1">
      <alignment horizontal="left" vertical="center" wrapText="1"/>
    </xf>
    <xf numFmtId="0" fontId="31" fillId="0" borderId="65" xfId="256" applyNumberFormat="1" applyFont="1" applyFill="1" applyBorder="1" applyAlignment="1">
      <alignment horizontal="left" vertical="center" wrapText="1"/>
    </xf>
    <xf numFmtId="167" fontId="31" fillId="0" borderId="22" xfId="256" applyNumberFormat="1" applyFont="1" applyFill="1" applyBorder="1" applyAlignment="1">
      <alignment horizontal="center" vertical="center" wrapText="1"/>
    </xf>
    <xf numFmtId="167" fontId="31" fillId="0" borderId="5" xfId="256" applyNumberFormat="1" applyFont="1" applyFill="1" applyBorder="1" applyAlignment="1">
      <alignment horizontal="center" vertical="center" wrapText="1"/>
    </xf>
    <xf numFmtId="167" fontId="31" fillId="0" borderId="65" xfId="256" applyNumberFormat="1" applyFont="1" applyFill="1" applyBorder="1" applyAlignment="1">
      <alignment horizontal="center" vertical="center" wrapText="1"/>
    </xf>
    <xf numFmtId="0" fontId="109" fillId="0" borderId="0" xfId="239" applyFont="1" applyAlignment="1">
      <alignment horizontal="center" vertical="center" wrapText="1"/>
    </xf>
    <xf numFmtId="0" fontId="29" fillId="0" borderId="0" xfId="239" applyFont="1" applyAlignment="1">
      <alignment horizontal="center" vertical="center"/>
    </xf>
    <xf numFmtId="0" fontId="29" fillId="0" borderId="0" xfId="239" applyFont="1" applyAlignment="1">
      <alignment horizontal="center" vertical="center" wrapText="1"/>
    </xf>
    <xf numFmtId="0" fontId="28" fillId="0" borderId="0" xfId="255" applyFont="1" applyFill="1" applyAlignment="1">
      <alignment horizontal="left" wrapText="1"/>
    </xf>
    <xf numFmtId="207" fontId="29" fillId="0" borderId="0" xfId="239" applyNumberFormat="1" applyFont="1" applyAlignment="1">
      <alignment horizontal="left"/>
    </xf>
    <xf numFmtId="0" fontId="109" fillId="0" borderId="0" xfId="239" applyFont="1" applyAlignment="1">
      <alignment horizontal="left" vertical="center"/>
    </xf>
    <xf numFmtId="0" fontId="29" fillId="0" borderId="0" xfId="239" applyFont="1" applyAlignment="1">
      <alignment horizontal="center" wrapText="1"/>
    </xf>
    <xf numFmtId="0" fontId="29" fillId="0" borderId="0" xfId="239" applyFont="1" applyAlignment="1">
      <alignment horizontal="left" vertical="center" wrapText="1"/>
    </xf>
    <xf numFmtId="0" fontId="113" fillId="0" borderId="0" xfId="255" applyFont="1" applyFill="1" applyBorder="1" applyAlignment="1">
      <alignment horizontal="center" wrapText="1"/>
    </xf>
    <xf numFmtId="0" fontId="109" fillId="0" borderId="0" xfId="255" applyFont="1" applyFill="1" applyBorder="1" applyAlignment="1">
      <alignment horizontal="center"/>
    </xf>
    <xf numFmtId="0" fontId="29" fillId="0" borderId="0" xfId="255" applyFont="1" applyFill="1" applyBorder="1" applyAlignment="1">
      <alignment horizontal="center"/>
    </xf>
    <xf numFmtId="222" fontId="133" fillId="0" borderId="0" xfId="239" applyNumberFormat="1" applyFont="1" applyBorder="1" applyAlignment="1">
      <alignment horizontal="right"/>
    </xf>
    <xf numFmtId="0" fontId="29" fillId="0" borderId="0" xfId="239" applyFont="1" applyAlignment="1">
      <alignment horizontal="center"/>
    </xf>
    <xf numFmtId="0" fontId="114" fillId="0" borderId="0" xfId="239" applyFont="1" applyAlignment="1">
      <alignment horizontal="center"/>
    </xf>
    <xf numFmtId="0" fontId="17" fillId="0" borderId="119" xfId="0" applyFont="1" applyBorder="1" applyAlignment="1">
      <alignment horizontal="center"/>
    </xf>
    <xf numFmtId="0" fontId="17" fillId="0" borderId="121" xfId="0" applyFont="1" applyBorder="1" applyAlignment="1">
      <alignment horizontal="center" vertical="center"/>
    </xf>
    <xf numFmtId="0" fontId="17" fillId="0" borderId="122" xfId="0" applyFont="1" applyBorder="1" applyAlignment="1">
      <alignment horizontal="center" vertical="center"/>
    </xf>
    <xf numFmtId="0" fontId="17" fillId="0" borderId="123" xfId="0" applyFont="1" applyBorder="1" applyAlignment="1">
      <alignment horizontal="center" vertical="center"/>
    </xf>
    <xf numFmtId="0" fontId="17" fillId="0" borderId="119" xfId="0" applyFont="1" applyBorder="1" applyAlignment="1">
      <alignment horizontal="center" vertical="center"/>
    </xf>
    <xf numFmtId="0" fontId="17" fillId="0" borderId="0" xfId="0" applyFont="1" applyAlignment="1">
      <alignment horizontal="center"/>
    </xf>
    <xf numFmtId="0" fontId="35" fillId="0" borderId="0" xfId="0" applyFont="1" applyAlignment="1">
      <alignment horizontal="left" vertical="top" wrapText="1"/>
    </xf>
    <xf numFmtId="0" fontId="63" fillId="0" borderId="0" xfId="0" applyFont="1" applyAlignment="1">
      <alignment horizontal="center" vertical="center"/>
    </xf>
    <xf numFmtId="0" fontId="130" fillId="0" borderId="18" xfId="0" applyFont="1" applyFill="1" applyBorder="1" applyAlignment="1">
      <alignment horizontal="center" vertical="center"/>
    </xf>
    <xf numFmtId="0" fontId="130" fillId="0" borderId="26" xfId="0" applyFont="1" applyFill="1" applyBorder="1" applyAlignment="1">
      <alignment horizontal="center" vertical="center"/>
    </xf>
    <xf numFmtId="0" fontId="138" fillId="0" borderId="103" xfId="0" applyFont="1" applyFill="1" applyBorder="1" applyAlignment="1">
      <alignment horizontal="right" vertical="center"/>
    </xf>
    <xf numFmtId="0" fontId="138" fillId="0" borderId="77" xfId="0" applyFont="1" applyFill="1" applyBorder="1" applyAlignment="1">
      <alignment horizontal="right" vertical="center"/>
    </xf>
    <xf numFmtId="167" fontId="33" fillId="0" borderId="110" xfId="0" applyNumberFormat="1" applyFont="1" applyFill="1" applyBorder="1" applyAlignment="1">
      <alignment horizontal="left" vertical="center" wrapText="1"/>
    </xf>
    <xf numFmtId="0" fontId="29" fillId="0" borderId="73" xfId="0" applyFont="1" applyFill="1" applyBorder="1" applyAlignment="1">
      <alignment horizontal="center"/>
    </xf>
    <xf numFmtId="0" fontId="29" fillId="0" borderId="77" xfId="0" applyFont="1" applyFill="1" applyBorder="1" applyAlignment="1">
      <alignment horizontal="center"/>
    </xf>
    <xf numFmtId="0" fontId="29" fillId="0" borderId="71" xfId="0" applyFont="1" applyFill="1" applyBorder="1" applyAlignment="1">
      <alignment horizontal="center"/>
    </xf>
    <xf numFmtId="169" fontId="29" fillId="0" borderId="18" xfId="0" applyNumberFormat="1" applyFont="1" applyFill="1" applyBorder="1" applyAlignment="1">
      <alignment horizontal="center"/>
    </xf>
    <xf numFmtId="169" fontId="29" fillId="0" borderId="109" xfId="0" applyNumberFormat="1" applyFont="1" applyFill="1" applyBorder="1" applyAlignment="1">
      <alignment horizontal="center"/>
    </xf>
    <xf numFmtId="0" fontId="141" fillId="0" borderId="0" xfId="0" applyFont="1" applyFill="1" applyBorder="1" applyAlignment="1">
      <alignment horizontal="center" vertical="center"/>
    </xf>
    <xf numFmtId="0" fontId="141" fillId="0" borderId="68" xfId="0" applyFont="1" applyFill="1" applyBorder="1" applyAlignment="1">
      <alignment horizontal="center" vertical="center"/>
    </xf>
    <xf numFmtId="0" fontId="29" fillId="0" borderId="5" xfId="0" applyFont="1" applyFill="1" applyBorder="1" applyAlignment="1">
      <alignment horizontal="center"/>
    </xf>
    <xf numFmtId="0" fontId="142" fillId="0" borderId="0" xfId="0" applyFont="1" applyFill="1" applyBorder="1" applyAlignment="1">
      <alignment horizontal="center" vertical="center" textRotation="90"/>
    </xf>
    <xf numFmtId="168" fontId="29" fillId="0" borderId="18" xfId="0" applyNumberFormat="1" applyFont="1" applyFill="1" applyBorder="1" applyAlignment="1">
      <alignment horizontal="center"/>
    </xf>
    <xf numFmtId="168" fontId="29" fillId="0" borderId="109" xfId="0" applyNumberFormat="1" applyFont="1" applyFill="1" applyBorder="1" applyAlignment="1">
      <alignment horizontal="center"/>
    </xf>
    <xf numFmtId="179" fontId="29" fillId="0" borderId="18" xfId="0" applyNumberFormat="1" applyFont="1" applyFill="1" applyBorder="1" applyAlignment="1">
      <alignment horizontal="center"/>
    </xf>
    <xf numFmtId="179" fontId="29" fillId="0" borderId="109" xfId="0" applyNumberFormat="1" applyFont="1" applyFill="1" applyBorder="1" applyAlignment="1">
      <alignment horizontal="center"/>
    </xf>
    <xf numFmtId="0" fontId="29" fillId="0" borderId="18" xfId="0" applyFont="1" applyFill="1" applyBorder="1" applyAlignment="1">
      <alignment horizontal="center"/>
    </xf>
    <xf numFmtId="0" fontId="29" fillId="0" borderId="109" xfId="0" applyFont="1" applyFill="1" applyBorder="1" applyAlignment="1">
      <alignment horizontal="center"/>
    </xf>
    <xf numFmtId="0" fontId="29" fillId="0" borderId="26" xfId="0" applyFont="1" applyFill="1" applyBorder="1" applyAlignment="1">
      <alignment horizontal="center"/>
    </xf>
    <xf numFmtId="0" fontId="29" fillId="0" borderId="18" xfId="0" applyFont="1" applyFill="1" applyBorder="1" applyAlignment="1">
      <alignment horizontal="center" vertical="center" wrapText="1"/>
    </xf>
    <xf numFmtId="0" fontId="29" fillId="0" borderId="26" xfId="0" applyFont="1" applyFill="1" applyBorder="1" applyAlignment="1">
      <alignment horizontal="center" vertical="center" wrapText="1"/>
    </xf>
    <xf numFmtId="0" fontId="31" fillId="0" borderId="18" xfId="0" applyFont="1" applyFill="1" applyBorder="1" applyAlignment="1">
      <alignment horizontal="center" vertical="center"/>
    </xf>
    <xf numFmtId="0" fontId="31" fillId="0" borderId="26" xfId="0" applyFont="1" applyFill="1" applyBorder="1" applyAlignment="1">
      <alignment horizontal="center" vertical="center"/>
    </xf>
    <xf numFmtId="2" fontId="29" fillId="0" borderId="18" xfId="0" applyNumberFormat="1" applyFont="1" applyFill="1" applyBorder="1" applyAlignment="1">
      <alignment horizontal="center" vertical="center"/>
    </xf>
    <xf numFmtId="2" fontId="29" fillId="0" borderId="26" xfId="0" applyNumberFormat="1" applyFont="1" applyFill="1" applyBorder="1" applyAlignment="1">
      <alignment horizontal="center" vertical="center"/>
    </xf>
    <xf numFmtId="2" fontId="29" fillId="0" borderId="106" xfId="0" applyNumberFormat="1" applyFont="1" applyFill="1" applyBorder="1" applyAlignment="1">
      <alignment horizontal="center" vertical="center"/>
    </xf>
    <xf numFmtId="2" fontId="29" fillId="0" borderId="107" xfId="0" applyNumberFormat="1" applyFont="1" applyFill="1" applyBorder="1" applyAlignment="1">
      <alignment horizontal="center" vertical="center"/>
    </xf>
    <xf numFmtId="0" fontId="142" fillId="0" borderId="0" xfId="0" applyFont="1" applyFill="1" applyBorder="1" applyAlignment="1">
      <alignment horizontal="left"/>
    </xf>
    <xf numFmtId="0" fontId="142" fillId="0" borderId="68" xfId="0" applyFont="1" applyFill="1" applyBorder="1" applyAlignment="1">
      <alignment horizontal="left"/>
    </xf>
    <xf numFmtId="0" fontId="142" fillId="0" borderId="22" xfId="0" applyFont="1" applyFill="1" applyBorder="1" applyAlignment="1">
      <alignment horizontal="center" vertical="center" wrapText="1"/>
    </xf>
    <xf numFmtId="0" fontId="142" fillId="0" borderId="5" xfId="0" applyFont="1" applyFill="1" applyBorder="1" applyAlignment="1">
      <alignment horizontal="center" vertical="center" wrapText="1"/>
    </xf>
    <xf numFmtId="0" fontId="142" fillId="0" borderId="108" xfId="0" applyFont="1" applyFill="1" applyBorder="1" applyAlignment="1">
      <alignment horizontal="center" vertical="center" wrapText="1"/>
    </xf>
    <xf numFmtId="0" fontId="142" fillId="0" borderId="75" xfId="0" applyFont="1" applyFill="1" applyBorder="1" applyAlignment="1">
      <alignment horizontal="left"/>
    </xf>
    <xf numFmtId="0" fontId="142" fillId="0" borderId="105" xfId="0" applyFont="1" applyFill="1" applyBorder="1" applyAlignment="1">
      <alignment horizontal="left"/>
    </xf>
    <xf numFmtId="0" fontId="32" fillId="0" borderId="103" xfId="0" applyFont="1" applyFill="1" applyBorder="1" applyAlignment="1">
      <alignment horizontal="center"/>
    </xf>
    <xf numFmtId="0" fontId="32" fillId="0" borderId="77" xfId="0" applyFont="1" applyFill="1" applyBorder="1" applyAlignment="1">
      <alignment horizontal="center"/>
    </xf>
    <xf numFmtId="0" fontId="103" fillId="0" borderId="69" xfId="0" applyFont="1" applyFill="1" applyBorder="1" applyAlignment="1">
      <alignment horizontal="left" vertical="top" wrapText="1"/>
    </xf>
    <xf numFmtId="0" fontId="103" fillId="0" borderId="0" xfId="0" applyFont="1" applyFill="1" applyBorder="1" applyAlignment="1">
      <alignment horizontal="left" vertical="top" wrapText="1"/>
    </xf>
    <xf numFmtId="0" fontId="103" fillId="0" borderId="32" xfId="0" applyFont="1" applyFill="1" applyBorder="1" applyAlignment="1">
      <alignment horizontal="left" vertical="top" wrapText="1"/>
    </xf>
    <xf numFmtId="0" fontId="29" fillId="0" borderId="104" xfId="0" applyFont="1" applyFill="1" applyBorder="1" applyAlignment="1">
      <alignment horizontal="center"/>
    </xf>
    <xf numFmtId="0" fontId="29" fillId="0" borderId="75" xfId="0" applyFont="1" applyFill="1" applyBorder="1" applyAlignment="1">
      <alignment horizontal="center"/>
    </xf>
    <xf numFmtId="0" fontId="29" fillId="0" borderId="105" xfId="0" applyFont="1" applyFill="1" applyBorder="1" applyAlignment="1">
      <alignment horizontal="center"/>
    </xf>
    <xf numFmtId="0" fontId="144" fillId="0" borderId="77" xfId="0" applyFont="1" applyFill="1" applyBorder="1" applyAlignment="1">
      <alignment horizontal="center"/>
    </xf>
    <xf numFmtId="0" fontId="144" fillId="0" borderId="71" xfId="0" applyFont="1" applyFill="1" applyBorder="1" applyAlignment="1">
      <alignment horizontal="center"/>
    </xf>
    <xf numFmtId="0" fontId="23" fillId="0" borderId="0" xfId="0" applyFont="1" applyAlignment="1">
      <alignment horizontal="center"/>
    </xf>
    <xf numFmtId="0" fontId="4" fillId="0" borderId="0" xfId="0" applyFont="1" applyAlignment="1">
      <alignment horizontal="center" vertical="top"/>
    </xf>
    <xf numFmtId="0" fontId="9" fillId="0" borderId="0" xfId="0" applyFont="1" applyAlignment="1">
      <alignment horizontal="left" vertical="top" wrapText="1"/>
    </xf>
    <xf numFmtId="203" fontId="88" fillId="0" borderId="0" xfId="259" applyNumberFormat="1" applyFont="1" applyFill="1" applyAlignment="1">
      <alignment horizontal="right"/>
    </xf>
    <xf numFmtId="0" fontId="88" fillId="0" borderId="0" xfId="0" applyFont="1" applyAlignment="1">
      <alignment horizontal="left" wrapText="1"/>
    </xf>
    <xf numFmtId="0" fontId="25" fillId="0" borderId="0" xfId="0" applyFont="1" applyAlignment="1">
      <alignment horizontal="left"/>
    </xf>
    <xf numFmtId="206" fontId="9" fillId="0" borderId="0" xfId="0" applyNumberFormat="1" applyFont="1" applyAlignment="1">
      <alignment horizontal="left"/>
    </xf>
    <xf numFmtId="0" fontId="9" fillId="0" borderId="0" xfId="0" applyFont="1" applyAlignment="1">
      <alignment wrapText="1"/>
    </xf>
    <xf numFmtId="0" fontId="9" fillId="0" borderId="0" xfId="0" quotePrefix="1" applyFont="1" applyAlignment="1">
      <alignment wrapText="1"/>
    </xf>
    <xf numFmtId="0" fontId="4"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wrapText="1"/>
    </xf>
    <xf numFmtId="0" fontId="9" fillId="0" borderId="0" xfId="0" applyFont="1" applyAlignment="1">
      <alignment horizontal="left" wrapText="1"/>
    </xf>
    <xf numFmtId="0" fontId="14" fillId="0" borderId="0" xfId="0" applyFont="1" applyBorder="1" applyAlignment="1">
      <alignment horizontal="center"/>
    </xf>
    <xf numFmtId="0" fontId="25" fillId="0" borderId="0" xfId="0" applyFont="1" applyAlignment="1">
      <alignment horizontal="center"/>
    </xf>
    <xf numFmtId="0" fontId="9" fillId="0" borderId="114" xfId="0" applyFont="1" applyBorder="1" applyAlignment="1">
      <alignment horizontal="left" vertical="center" wrapText="1"/>
    </xf>
    <xf numFmtId="0" fontId="9" fillId="0" borderId="115" xfId="0" applyFont="1" applyBorder="1" applyAlignment="1">
      <alignment horizontal="left" vertical="center" wrapText="1"/>
    </xf>
    <xf numFmtId="0" fontId="9" fillId="0" borderId="89" xfId="0" applyFont="1" applyBorder="1" applyAlignment="1">
      <alignment horizontal="left" vertical="center" wrapText="1"/>
    </xf>
    <xf numFmtId="0" fontId="97" fillId="0" borderId="114" xfId="0" applyFont="1" applyBorder="1" applyAlignment="1">
      <alignment horizontal="center" vertical="center" wrapText="1"/>
    </xf>
    <xf numFmtId="0" fontId="97" fillId="0" borderId="115" xfId="0" applyFont="1" applyBorder="1" applyAlignment="1">
      <alignment horizontal="center" vertical="center" wrapText="1"/>
    </xf>
    <xf numFmtId="0" fontId="97" fillId="0" borderId="89" xfId="0" applyFont="1" applyBorder="1" applyAlignment="1">
      <alignment horizontal="center" vertical="center" wrapText="1"/>
    </xf>
    <xf numFmtId="0" fontId="98" fillId="0" borderId="113" xfId="0" applyFont="1" applyBorder="1" applyAlignment="1">
      <alignment horizontal="center" wrapText="1"/>
    </xf>
    <xf numFmtId="0" fontId="98" fillId="0" borderId="25" xfId="0" applyFont="1" applyBorder="1" applyAlignment="1">
      <alignment horizontal="center" vertical="top" wrapText="1"/>
    </xf>
    <xf numFmtId="0" fontId="9" fillId="0" borderId="111" xfId="0" applyFont="1" applyBorder="1" applyAlignment="1">
      <alignment horizontal="center" vertical="top" wrapText="1"/>
    </xf>
    <xf numFmtId="0" fontId="9" fillId="0" borderId="111" xfId="0" applyFont="1" applyBorder="1" applyAlignment="1">
      <alignment horizontal="center" vertical="center" wrapText="1"/>
    </xf>
    <xf numFmtId="0" fontId="9" fillId="0" borderId="112" xfId="0" applyFont="1" applyBorder="1" applyAlignment="1">
      <alignment horizontal="left" vertical="center" wrapText="1"/>
    </xf>
    <xf numFmtId="0" fontId="9" fillId="0" borderId="113" xfId="0" applyFont="1" applyBorder="1" applyAlignment="1">
      <alignment horizontal="left" vertical="center" wrapText="1"/>
    </xf>
    <xf numFmtId="0" fontId="9" fillId="0" borderId="88" xfId="0" applyFont="1" applyBorder="1" applyAlignment="1">
      <alignment horizontal="left" vertical="center" wrapText="1"/>
    </xf>
    <xf numFmtId="0" fontId="97" fillId="0" borderId="112" xfId="0" applyFont="1" applyBorder="1" applyAlignment="1">
      <alignment horizontal="center" vertical="center" wrapText="1"/>
    </xf>
    <xf numFmtId="0" fontId="97" fillId="0" borderId="113" xfId="0" applyFont="1" applyBorder="1" applyAlignment="1">
      <alignment horizontal="center" vertical="center" wrapText="1"/>
    </xf>
    <xf numFmtId="0" fontId="97" fillId="0" borderId="88" xfId="0" applyFont="1" applyBorder="1" applyAlignment="1">
      <alignment horizontal="center" vertical="center" wrapText="1"/>
    </xf>
    <xf numFmtId="0" fontId="9" fillId="0" borderId="116" xfId="0" applyFont="1" applyBorder="1" applyAlignment="1">
      <alignment horizontal="left" vertical="center" wrapText="1"/>
    </xf>
    <xf numFmtId="0" fontId="9" fillId="0" borderId="117" xfId="0" applyFont="1" applyBorder="1" applyAlignment="1">
      <alignment horizontal="left" vertical="center" wrapText="1"/>
    </xf>
    <xf numFmtId="0" fontId="9" fillId="0" borderId="6" xfId="0" applyFont="1" applyBorder="1" applyAlignment="1">
      <alignment horizontal="left" vertical="center" wrapText="1"/>
    </xf>
    <xf numFmtId="0" fontId="97" fillId="0" borderId="116" xfId="0" applyFont="1" applyBorder="1" applyAlignment="1">
      <alignment horizontal="center" vertical="center" wrapText="1"/>
    </xf>
    <xf numFmtId="0" fontId="97" fillId="0" borderId="117" xfId="0" applyFont="1" applyBorder="1" applyAlignment="1">
      <alignment horizontal="center" vertical="center" wrapText="1"/>
    </xf>
    <xf numFmtId="0" fontId="97" fillId="0" borderId="6" xfId="0" applyFont="1" applyBorder="1" applyAlignment="1">
      <alignment horizontal="center" vertical="center" wrapText="1"/>
    </xf>
    <xf numFmtId="0" fontId="88" fillId="0" borderId="30" xfId="0" applyFont="1" applyBorder="1" applyAlignment="1">
      <alignment horizontal="left"/>
    </xf>
    <xf numFmtId="0" fontId="6" fillId="0" borderId="22" xfId="0" applyFont="1" applyBorder="1" applyAlignment="1">
      <alignment horizontal="center" vertical="center" wrapText="1"/>
    </xf>
    <xf numFmtId="0" fontId="6" fillId="0" borderId="65"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0" xfId="0" applyFont="1" applyBorder="1" applyAlignment="1">
      <alignment horizontal="center" vertical="top" wrapText="1"/>
    </xf>
    <xf numFmtId="0" fontId="9" fillId="0" borderId="0" xfId="0" applyFont="1" applyBorder="1" applyAlignment="1">
      <alignment horizontal="center" vertical="center" wrapText="1"/>
    </xf>
    <xf numFmtId="0" fontId="14" fillId="0" borderId="0" xfId="0" applyFont="1" applyBorder="1" applyAlignment="1">
      <alignment horizontal="center" vertical="top" wrapText="1"/>
    </xf>
    <xf numFmtId="0" fontId="25" fillId="0" borderId="0" xfId="0" applyFont="1" applyBorder="1" applyAlignment="1">
      <alignment horizontal="center" vertical="center" wrapText="1"/>
    </xf>
    <xf numFmtId="0" fontId="23" fillId="0" borderId="0" xfId="0" applyFont="1" applyBorder="1" applyAlignment="1">
      <alignment horizontal="center" vertical="top" wrapText="1"/>
    </xf>
    <xf numFmtId="0" fontId="4" fillId="0" borderId="0" xfId="0" applyFont="1" applyBorder="1" applyAlignment="1">
      <alignment horizontal="center" vertical="top" wrapText="1"/>
    </xf>
    <xf numFmtId="203" fontId="88" fillId="0" borderId="0" xfId="259" applyNumberFormat="1" applyFont="1" applyFill="1" applyAlignment="1">
      <alignment horizontal="center"/>
    </xf>
    <xf numFmtId="0" fontId="8" fillId="0" borderId="0" xfId="0" applyFont="1" applyBorder="1" applyAlignment="1">
      <alignment horizontal="center" vertical="top" wrapText="1"/>
    </xf>
    <xf numFmtId="0" fontId="14" fillId="0" borderId="0" xfId="0" applyFont="1" applyBorder="1" applyAlignment="1">
      <alignment horizontal="center" wrapText="1"/>
    </xf>
    <xf numFmtId="0" fontId="25" fillId="0" borderId="0" xfId="0" applyFont="1" applyBorder="1" applyAlignment="1">
      <alignment horizontal="center" vertical="top" wrapText="1"/>
    </xf>
    <xf numFmtId="0" fontId="102" fillId="0" borderId="18" xfId="0" applyFont="1" applyBorder="1" applyAlignment="1">
      <alignment horizontal="center"/>
    </xf>
    <xf numFmtId="0" fontId="102" fillId="0" borderId="26" xfId="0" applyFont="1" applyBorder="1" applyAlignment="1">
      <alignment horizontal="center"/>
    </xf>
    <xf numFmtId="0" fontId="102" fillId="0" borderId="8" xfId="0" applyFont="1" applyBorder="1" applyAlignment="1">
      <alignment horizontal="center"/>
    </xf>
    <xf numFmtId="0" fontId="9" fillId="0" borderId="33" xfId="0" applyFont="1" applyBorder="1" applyAlignment="1">
      <alignment horizontal="center"/>
    </xf>
    <xf numFmtId="0" fontId="9" fillId="0" borderId="34" xfId="0" applyFont="1" applyBorder="1" applyAlignment="1">
      <alignment horizontal="center"/>
    </xf>
    <xf numFmtId="0" fontId="9" fillId="0" borderId="33" xfId="0" applyFont="1" applyBorder="1" applyAlignment="1">
      <alignment horizontal="left"/>
    </xf>
    <xf numFmtId="0" fontId="9" fillId="0" borderId="35" xfId="0" applyFont="1" applyBorder="1" applyAlignment="1">
      <alignment horizontal="left"/>
    </xf>
    <xf numFmtId="0" fontId="9" fillId="0" borderId="34" xfId="0" applyFont="1" applyBorder="1" applyAlignment="1">
      <alignment horizontal="left"/>
    </xf>
    <xf numFmtId="205" fontId="9" fillId="0" borderId="33" xfId="0" applyNumberFormat="1" applyFont="1" applyBorder="1" applyAlignment="1">
      <alignment horizontal="left"/>
    </xf>
    <xf numFmtId="205" fontId="9" fillId="0" borderId="35" xfId="0" applyNumberFormat="1" applyFont="1" applyBorder="1" applyAlignment="1">
      <alignment horizontal="left"/>
    </xf>
    <xf numFmtId="14" fontId="9" fillId="0" borderId="35" xfId="0" applyNumberFormat="1" applyFont="1" applyBorder="1" applyAlignment="1">
      <alignment horizontal="center"/>
    </xf>
    <xf numFmtId="14" fontId="9" fillId="0" borderId="34" xfId="0" applyNumberFormat="1" applyFont="1" applyBorder="1" applyAlignment="1">
      <alignment horizontal="center"/>
    </xf>
    <xf numFmtId="0" fontId="20" fillId="0" borderId="0" xfId="0" applyFont="1" applyAlignment="1">
      <alignment horizontal="center"/>
    </xf>
    <xf numFmtId="0" fontId="100" fillId="0" borderId="0" xfId="0" applyFont="1" applyAlignment="1">
      <alignment horizontal="center"/>
    </xf>
    <xf numFmtId="0" fontId="25" fillId="0" borderId="0" xfId="0" applyFont="1" applyAlignment="1">
      <alignment horizontal="left" vertical="center" wrapText="1"/>
    </xf>
    <xf numFmtId="205" fontId="9" fillId="0" borderId="0" xfId="0" applyNumberFormat="1" applyFont="1" applyAlignment="1">
      <alignment horizontal="right"/>
    </xf>
    <xf numFmtId="0" fontId="3" fillId="0" borderId="0" xfId="0" applyFont="1" applyAlignment="1">
      <alignment horizontal="center"/>
    </xf>
    <xf numFmtId="203" fontId="88" fillId="0" borderId="0" xfId="0" applyNumberFormat="1" applyFont="1" applyAlignment="1">
      <alignment horizontal="center"/>
    </xf>
    <xf numFmtId="0" fontId="100" fillId="0" borderId="22" xfId="0" applyFont="1" applyBorder="1" applyAlignment="1">
      <alignment horizontal="center" vertical="center" wrapText="1"/>
    </xf>
    <xf numFmtId="0" fontId="100" fillId="0" borderId="65" xfId="0" applyFont="1" applyBorder="1" applyAlignment="1">
      <alignment horizontal="center" vertical="center" wrapText="1"/>
    </xf>
    <xf numFmtId="0" fontId="23" fillId="0" borderId="0" xfId="0" applyFont="1" applyBorder="1" applyAlignment="1">
      <alignment horizontal="center" wrapText="1"/>
    </xf>
    <xf numFmtId="0" fontId="25" fillId="0" borderId="0" xfId="0" applyFont="1" applyBorder="1" applyAlignment="1">
      <alignment horizontal="center"/>
    </xf>
    <xf numFmtId="0" fontId="9" fillId="0" borderId="0" xfId="0" applyFont="1" applyBorder="1" applyAlignment="1">
      <alignment horizontal="center" wrapText="1"/>
    </xf>
    <xf numFmtId="0" fontId="9" fillId="0" borderId="116" xfId="0" applyFont="1" applyBorder="1" applyAlignment="1">
      <alignment horizontal="center" vertical="center" wrapText="1"/>
    </xf>
    <xf numFmtId="0" fontId="9" fillId="0" borderId="117"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2" xfId="0" applyFont="1" applyBorder="1" applyAlignment="1">
      <alignment horizontal="center" vertical="center" wrapText="1"/>
    </xf>
    <xf numFmtId="0" fontId="9" fillId="0" borderId="113" xfId="0" applyFont="1" applyBorder="1" applyAlignment="1">
      <alignment horizontal="center" vertical="center" wrapText="1"/>
    </xf>
    <xf numFmtId="0" fontId="9" fillId="0" borderId="88" xfId="0" applyFont="1" applyBorder="1" applyAlignment="1">
      <alignment horizontal="center" vertical="center" wrapText="1"/>
    </xf>
    <xf numFmtId="0" fontId="9" fillId="0" borderId="114" xfId="0" applyFont="1" applyBorder="1" applyAlignment="1">
      <alignment horizontal="center" vertical="center" wrapText="1"/>
    </xf>
    <xf numFmtId="0" fontId="9" fillId="0" borderId="115" xfId="0" applyFont="1" applyBorder="1" applyAlignment="1">
      <alignment horizontal="center" vertical="center" wrapText="1"/>
    </xf>
    <xf numFmtId="0" fontId="9" fillId="0" borderId="89" xfId="0" applyFont="1" applyBorder="1" applyAlignment="1">
      <alignment horizontal="center" vertical="center" wrapText="1"/>
    </xf>
    <xf numFmtId="0" fontId="98" fillId="0" borderId="25" xfId="0" applyFont="1" applyBorder="1" applyAlignment="1">
      <alignment horizontal="center" wrapText="1"/>
    </xf>
    <xf numFmtId="205" fontId="9" fillId="0" borderId="28" xfId="0" applyNumberFormat="1" applyFont="1" applyBorder="1" applyAlignment="1">
      <alignment horizontal="left"/>
    </xf>
    <xf numFmtId="205" fontId="9" fillId="0" borderId="30" xfId="0" applyNumberFormat="1" applyFont="1" applyBorder="1" applyAlignment="1">
      <alignment horizontal="left"/>
    </xf>
    <xf numFmtId="14" fontId="9" fillId="0" borderId="30" xfId="0" applyNumberFormat="1" applyFont="1" applyBorder="1" applyAlignment="1">
      <alignment horizontal="center"/>
    </xf>
    <xf numFmtId="14" fontId="9" fillId="0" borderId="29" xfId="0" applyNumberFormat="1" applyFont="1" applyBorder="1" applyAlignment="1">
      <alignment horizontal="center"/>
    </xf>
    <xf numFmtId="0" fontId="9" fillId="0" borderId="28" xfId="0" applyFont="1" applyBorder="1" applyAlignment="1">
      <alignment horizontal="center"/>
    </xf>
    <xf numFmtId="0" fontId="9" fillId="0" borderId="29" xfId="0" applyFont="1" applyBorder="1" applyAlignment="1">
      <alignment horizontal="center"/>
    </xf>
    <xf numFmtId="0" fontId="9" fillId="0" borderId="28" xfId="0" applyFont="1" applyBorder="1" applyAlignment="1">
      <alignment horizontal="left"/>
    </xf>
    <xf numFmtId="0" fontId="9" fillId="0" borderId="30" xfId="0" applyFont="1" applyBorder="1" applyAlignment="1">
      <alignment horizontal="left"/>
    </xf>
    <xf numFmtId="0" fontId="9" fillId="0" borderId="29" xfId="0" applyFont="1" applyBorder="1" applyAlignment="1">
      <alignment horizontal="left"/>
    </xf>
    <xf numFmtId="0" fontId="9" fillId="0" borderId="31" xfId="0" applyFont="1" applyBorder="1" applyAlignment="1">
      <alignment horizontal="center"/>
    </xf>
    <xf numFmtId="0" fontId="9" fillId="0" borderId="32" xfId="0" applyFont="1" applyBorder="1" applyAlignment="1">
      <alignment horizontal="center"/>
    </xf>
    <xf numFmtId="0" fontId="9" fillId="0" borderId="31" xfId="0" applyFont="1" applyBorder="1" applyAlignment="1">
      <alignment horizontal="left"/>
    </xf>
    <xf numFmtId="0" fontId="9" fillId="0" borderId="0" xfId="0" applyFont="1" applyBorder="1" applyAlignment="1">
      <alignment horizontal="left"/>
    </xf>
    <xf numFmtId="0" fontId="9" fillId="0" borderId="32" xfId="0" applyFont="1" applyBorder="1" applyAlignment="1">
      <alignment horizontal="left"/>
    </xf>
    <xf numFmtId="205" fontId="9" fillId="0" borderId="31" xfId="0" applyNumberFormat="1" applyFont="1" applyBorder="1" applyAlignment="1">
      <alignment horizontal="left"/>
    </xf>
    <xf numFmtId="205" fontId="9" fillId="0" borderId="0" xfId="0" applyNumberFormat="1" applyFont="1" applyBorder="1" applyAlignment="1">
      <alignment horizontal="left"/>
    </xf>
    <xf numFmtId="14" fontId="9" fillId="0" borderId="0" xfId="0" applyNumberFormat="1" applyFont="1" applyBorder="1" applyAlignment="1">
      <alignment horizontal="center"/>
    </xf>
    <xf numFmtId="14" fontId="9" fillId="0" borderId="32" xfId="0" applyNumberFormat="1" applyFont="1" applyBorder="1" applyAlignment="1">
      <alignment horizontal="center"/>
    </xf>
    <xf numFmtId="0" fontId="0" fillId="0" borderId="0" xfId="0" applyAlignment="1">
      <alignment vertical="top" wrapText="1"/>
    </xf>
    <xf numFmtId="0" fontId="23" fillId="0" borderId="0" xfId="0" applyFont="1" applyAlignment="1">
      <alignment horizontal="center" vertical="top" wrapText="1"/>
    </xf>
    <xf numFmtId="0" fontId="23" fillId="0" borderId="0" xfId="0" applyFont="1" applyAlignment="1">
      <alignment horizontal="center" vertical="center" wrapText="1"/>
    </xf>
    <xf numFmtId="0" fontId="103" fillId="0" borderId="0" xfId="0" applyFont="1" applyAlignment="1">
      <alignment horizontal="left"/>
    </xf>
    <xf numFmtId="0" fontId="109" fillId="0" borderId="0" xfId="0" applyFont="1" applyAlignment="1">
      <alignment horizontal="left"/>
    </xf>
    <xf numFmtId="0" fontId="107" fillId="0" borderId="1" xfId="0" applyFont="1" applyBorder="1" applyAlignment="1">
      <alignment horizontal="left" vertical="center" wrapText="1"/>
    </xf>
    <xf numFmtId="0" fontId="155" fillId="0" borderId="1" xfId="0" applyFont="1" applyBorder="1" applyAlignment="1">
      <alignment horizontal="left" vertical="center" wrapText="1"/>
    </xf>
    <xf numFmtId="0" fontId="106" fillId="0" borderId="0" xfId="0" applyFont="1" applyBorder="1" applyAlignment="1">
      <alignment horizontal="center" wrapText="1"/>
    </xf>
    <xf numFmtId="0" fontId="108" fillId="0" borderId="0" xfId="0" applyFont="1" applyAlignment="1">
      <alignment horizontal="left"/>
    </xf>
    <xf numFmtId="0" fontId="103" fillId="0" borderId="1" xfId="0" applyFont="1" applyBorder="1" applyAlignment="1">
      <alignment horizontal="left" vertical="center" wrapText="1"/>
    </xf>
    <xf numFmtId="0" fontId="103" fillId="0" borderId="0" xfId="257" applyFont="1" applyAlignment="1">
      <alignment horizontal="left" vertical="center" wrapText="1"/>
    </xf>
    <xf numFmtId="210" fontId="103" fillId="0" borderId="0" xfId="0" applyNumberFormat="1" applyFont="1" applyAlignment="1">
      <alignment horizontal="left"/>
    </xf>
    <xf numFmtId="0" fontId="106" fillId="0" borderId="0" xfId="0" applyFont="1" applyAlignment="1">
      <alignment horizontal="left"/>
    </xf>
    <xf numFmtId="0" fontId="29" fillId="0" borderId="1" xfId="0" applyFont="1" applyBorder="1" applyAlignment="1">
      <alignment horizontal="center" vertical="center" wrapText="1"/>
    </xf>
    <xf numFmtId="0" fontId="103" fillId="0" borderId="1" xfId="0" applyFont="1" applyBorder="1" applyAlignment="1">
      <alignment horizontal="center" vertical="center" wrapText="1"/>
    </xf>
    <xf numFmtId="0" fontId="103" fillId="0" borderId="0" xfId="0" applyFont="1" applyAlignment="1">
      <alignment horizontal="left" vertical="center" wrapText="1"/>
    </xf>
    <xf numFmtId="0" fontId="103" fillId="0" borderId="0" xfId="0" quotePrefix="1" applyFont="1" applyAlignment="1">
      <alignment horizontal="left" vertical="center" wrapText="1"/>
    </xf>
    <xf numFmtId="0" fontId="152" fillId="0" borderId="0" xfId="0" applyFont="1" applyAlignment="1">
      <alignment horizontal="left"/>
    </xf>
    <xf numFmtId="0" fontId="103" fillId="0" borderId="0" xfId="0" quotePrefix="1" applyFont="1" applyAlignment="1">
      <alignment horizontal="left"/>
    </xf>
    <xf numFmtId="0" fontId="136" fillId="0" borderId="0" xfId="0" quotePrefix="1" applyFont="1" applyBorder="1" applyAlignment="1">
      <alignment horizontal="left"/>
    </xf>
    <xf numFmtId="0" fontId="136" fillId="0" borderId="0" xfId="0" applyFont="1" applyBorder="1" applyAlignment="1">
      <alignment horizontal="left"/>
    </xf>
    <xf numFmtId="0" fontId="29" fillId="0" borderId="0" xfId="0" applyFont="1" applyAlignment="1">
      <alignment horizontal="center"/>
    </xf>
    <xf numFmtId="0" fontId="106" fillId="0" borderId="0" xfId="0" applyFont="1" applyAlignment="1">
      <alignment horizontal="center"/>
    </xf>
    <xf numFmtId="0" fontId="103" fillId="0" borderId="0" xfId="0" applyFont="1" applyAlignment="1">
      <alignment horizontal="left" vertical="top" wrapText="1"/>
    </xf>
    <xf numFmtId="0" fontId="103" fillId="0" borderId="0" xfId="0" applyFont="1" applyAlignment="1">
      <alignment horizontal="center"/>
    </xf>
    <xf numFmtId="208" fontId="133" fillId="0" borderId="0" xfId="0" applyNumberFormat="1" applyFont="1" applyAlignment="1">
      <alignment horizontal="right"/>
    </xf>
    <xf numFmtId="0" fontId="114" fillId="0" borderId="0" xfId="0" applyFont="1" applyAlignment="1">
      <alignment horizontal="center"/>
    </xf>
    <xf numFmtId="0" fontId="145" fillId="0" borderId="0" xfId="0" applyFont="1" applyBorder="1" applyAlignment="1">
      <alignment horizontal="left" vertical="center" wrapText="1"/>
    </xf>
    <xf numFmtId="0" fontId="28" fillId="0" borderId="0" xfId="0" applyFont="1" applyBorder="1" applyAlignment="1">
      <alignment horizontal="left" vertical="center" wrapText="1"/>
    </xf>
    <xf numFmtId="0" fontId="145" fillId="0" borderId="35" xfId="0" applyFont="1" applyBorder="1" applyAlignment="1">
      <alignment horizontal="left" vertical="center" wrapText="1"/>
    </xf>
    <xf numFmtId="0" fontId="0" fillId="0" borderId="0" xfId="0"/>
    <xf numFmtId="0" fontId="28" fillId="0" borderId="0" xfId="0" applyFont="1" applyBorder="1" applyAlignment="1">
      <alignment horizontal="left"/>
    </xf>
    <xf numFmtId="0" fontId="136" fillId="0" borderId="0" xfId="0" applyFont="1" applyBorder="1" applyAlignment="1">
      <alignment horizontal="left" vertical="center" wrapText="1"/>
    </xf>
    <xf numFmtId="0" fontId="162" fillId="0" borderId="0" xfId="0" applyFont="1" applyBorder="1" applyAlignment="1">
      <alignment horizontal="center" vertical="center"/>
    </xf>
    <xf numFmtId="0" fontId="103" fillId="0" borderId="0" xfId="0" applyFont="1" applyBorder="1" applyAlignment="1">
      <alignment horizontal="left" vertical="center" wrapText="1"/>
    </xf>
    <xf numFmtId="0" fontId="96" fillId="0" borderId="0" xfId="0" applyFont="1" applyBorder="1" applyAlignment="1">
      <alignment horizontal="left" vertical="center" wrapText="1"/>
    </xf>
    <xf numFmtId="0" fontId="162" fillId="0" borderId="0" xfId="0" applyFont="1" applyBorder="1" applyAlignment="1">
      <alignment horizontal="left" vertical="center"/>
    </xf>
    <xf numFmtId="0" fontId="133" fillId="0" borderId="0" xfId="0" applyFont="1" applyAlignment="1">
      <alignment horizontal="left"/>
    </xf>
    <xf numFmtId="0" fontId="161" fillId="0" borderId="0" xfId="0" applyFont="1" applyAlignment="1">
      <alignment horizontal="left"/>
    </xf>
    <xf numFmtId="0" fontId="103" fillId="0" borderId="33" xfId="0" applyFont="1" applyBorder="1" applyAlignment="1">
      <alignment horizontal="center" vertical="center" wrapText="1"/>
    </xf>
    <xf numFmtId="0" fontId="103" fillId="0" borderId="35" xfId="0" applyFont="1" applyBorder="1" applyAlignment="1">
      <alignment horizontal="center" vertical="center" wrapText="1"/>
    </xf>
    <xf numFmtId="0" fontId="103" fillId="0" borderId="34" xfId="0" applyFont="1" applyBorder="1" applyAlignment="1">
      <alignment horizontal="center" vertical="center" wrapText="1"/>
    </xf>
    <xf numFmtId="0" fontId="103" fillId="0" borderId="31" xfId="0" applyFont="1" applyBorder="1" applyAlignment="1">
      <alignment horizontal="center" vertical="center" wrapText="1"/>
    </xf>
    <xf numFmtId="0" fontId="103" fillId="0" borderId="0" xfId="0" applyFont="1" applyBorder="1" applyAlignment="1">
      <alignment horizontal="center" vertical="center" wrapText="1"/>
    </xf>
    <xf numFmtId="0" fontId="103" fillId="0" borderId="32" xfId="0" applyFont="1" applyBorder="1" applyAlignment="1">
      <alignment horizontal="center" vertical="center" wrapText="1"/>
    </xf>
    <xf numFmtId="0" fontId="103" fillId="0" borderId="28" xfId="0" applyFont="1" applyBorder="1" applyAlignment="1">
      <alignment horizontal="center" vertical="center" wrapText="1"/>
    </xf>
    <xf numFmtId="0" fontId="103" fillId="0" borderId="30" xfId="0" applyFont="1" applyBorder="1" applyAlignment="1">
      <alignment horizontal="center" vertical="center" wrapText="1"/>
    </xf>
    <xf numFmtId="0" fontId="103" fillId="0" borderId="29" xfId="0" applyFont="1" applyBorder="1" applyAlignment="1">
      <alignment horizontal="center" vertical="center" wrapText="1"/>
    </xf>
    <xf numFmtId="0" fontId="153" fillId="0" borderId="1" xfId="0" applyFont="1" applyBorder="1" applyAlignment="1">
      <alignment horizontal="center" vertical="center" wrapText="1"/>
    </xf>
    <xf numFmtId="209" fontId="103" fillId="0" borderId="33" xfId="0" applyNumberFormat="1" applyFont="1" applyBorder="1" applyAlignment="1">
      <alignment horizontal="center" vertical="center"/>
    </xf>
    <xf numFmtId="209" fontId="103" fillId="0" borderId="28" xfId="0" applyNumberFormat="1" applyFont="1" applyBorder="1" applyAlignment="1">
      <alignment horizontal="center" vertical="center"/>
    </xf>
    <xf numFmtId="14" fontId="103" fillId="0" borderId="34" xfId="0" applyNumberFormat="1" applyFont="1" applyBorder="1" applyAlignment="1">
      <alignment horizontal="center" vertical="center" wrapText="1"/>
    </xf>
    <xf numFmtId="14" fontId="103" fillId="0" borderId="29" xfId="0" applyNumberFormat="1" applyFont="1" applyBorder="1" applyAlignment="1">
      <alignment horizontal="center" vertical="center" wrapText="1"/>
    </xf>
    <xf numFmtId="0" fontId="153" fillId="0" borderId="33" xfId="0" applyFont="1" applyBorder="1" applyAlignment="1">
      <alignment horizontal="center" vertical="center" wrapText="1"/>
    </xf>
    <xf numFmtId="0" fontId="153" fillId="0" borderId="35" xfId="0" applyFont="1" applyBorder="1" applyAlignment="1">
      <alignment horizontal="center" vertical="center" wrapText="1"/>
    </xf>
    <xf numFmtId="0" fontId="153" fillId="0" borderId="34" xfId="0" applyFont="1" applyBorder="1" applyAlignment="1">
      <alignment horizontal="center" vertical="center" wrapText="1"/>
    </xf>
    <xf numFmtId="0" fontId="153" fillId="0" borderId="28" xfId="0" applyFont="1" applyBorder="1" applyAlignment="1">
      <alignment horizontal="center" vertical="center" wrapText="1"/>
    </xf>
    <xf numFmtId="0" fontId="153" fillId="0" borderId="30" xfId="0" applyFont="1" applyBorder="1" applyAlignment="1">
      <alignment horizontal="center" vertical="center" wrapText="1"/>
    </xf>
    <xf numFmtId="0" fontId="153" fillId="0" borderId="29" xfId="0" applyFont="1" applyBorder="1" applyAlignment="1">
      <alignment horizontal="center" vertical="center" wrapText="1"/>
    </xf>
    <xf numFmtId="0" fontId="153" fillId="0" borderId="65" xfId="0" applyFont="1" applyBorder="1" applyAlignment="1">
      <alignment horizontal="center" vertical="center" wrapText="1"/>
    </xf>
    <xf numFmtId="0" fontId="159" fillId="0" borderId="0" xfId="0" applyFont="1" applyAlignment="1">
      <alignment horizontal="center" vertical="center"/>
    </xf>
    <xf numFmtId="0" fontId="163" fillId="0" borderId="0" xfId="0" applyFont="1" applyAlignment="1">
      <alignment horizontal="center" vertical="center"/>
    </xf>
    <xf numFmtId="208" fontId="158" fillId="0" borderId="0" xfId="0" applyNumberFormat="1" applyFont="1" applyAlignment="1">
      <alignment horizontal="right" vertical="center"/>
    </xf>
    <xf numFmtId="0" fontId="164" fillId="0" borderId="0" xfId="0" applyFont="1" applyAlignment="1">
      <alignment horizontal="center"/>
    </xf>
    <xf numFmtId="0" fontId="165" fillId="0" borderId="0" xfId="0" applyFont="1" applyAlignment="1">
      <alignment horizontal="center"/>
    </xf>
    <xf numFmtId="0" fontId="32" fillId="0" borderId="0" xfId="0" applyFont="1" applyAlignment="1">
      <alignment horizontal="center"/>
    </xf>
    <xf numFmtId="0" fontId="144" fillId="0" borderId="0" xfId="0" applyFont="1" applyAlignment="1">
      <alignment horizontal="center" vertical="center"/>
    </xf>
    <xf numFmtId="0" fontId="158" fillId="0" borderId="0" xfId="0" applyFont="1" applyAlignment="1">
      <alignment horizontal="center" vertical="center"/>
    </xf>
    <xf numFmtId="0" fontId="160" fillId="0" borderId="0" xfId="0" applyFont="1" applyAlignment="1">
      <alignment horizontal="left"/>
    </xf>
    <xf numFmtId="0" fontId="107" fillId="0" borderId="18" xfId="0" applyFont="1" applyBorder="1" applyAlignment="1">
      <alignment horizontal="left" vertical="center" wrapText="1"/>
    </xf>
    <xf numFmtId="0" fontId="107" fillId="0" borderId="8" xfId="0" applyFont="1" applyBorder="1" applyAlignment="1">
      <alignment horizontal="left" vertical="center" wrapText="1"/>
    </xf>
    <xf numFmtId="0" fontId="107" fillId="0" borderId="26" xfId="0" applyFont="1" applyBorder="1" applyAlignment="1">
      <alignment horizontal="left" vertical="center" wrapText="1"/>
    </xf>
    <xf numFmtId="0" fontId="106" fillId="0" borderId="0" xfId="0" applyFont="1" applyBorder="1" applyAlignment="1">
      <alignment horizontal="right" wrapText="1"/>
    </xf>
    <xf numFmtId="0" fontId="106" fillId="0" borderId="0" xfId="0" applyFont="1" applyBorder="1" applyAlignment="1">
      <alignment horizontal="left" wrapText="1"/>
    </xf>
    <xf numFmtId="165" fontId="106" fillId="0" borderId="0" xfId="161" applyFont="1" applyBorder="1" applyAlignment="1">
      <alignment horizontal="center" wrapText="1"/>
    </xf>
    <xf numFmtId="0" fontId="107" fillId="0" borderId="1" xfId="0" applyFont="1" applyBorder="1" applyAlignment="1">
      <alignment horizontal="center" vertical="center" wrapText="1"/>
    </xf>
    <xf numFmtId="0" fontId="155" fillId="0" borderId="18" xfId="0" applyFont="1" applyBorder="1" applyAlignment="1">
      <alignment horizontal="center" vertical="center" wrapText="1"/>
    </xf>
    <xf numFmtId="0" fontId="155" fillId="0" borderId="8" xfId="0" applyFont="1" applyBorder="1" applyAlignment="1">
      <alignment horizontal="center" vertical="center" wrapText="1"/>
    </xf>
    <xf numFmtId="0" fontId="155" fillId="0" borderId="26" xfId="0" applyFont="1" applyBorder="1" applyAlignment="1">
      <alignment horizontal="center" vertical="center" wrapText="1"/>
    </xf>
    <xf numFmtId="0" fontId="155" fillId="0" borderId="1" xfId="0" applyFont="1" applyBorder="1" applyAlignment="1">
      <alignment horizontal="center" vertical="center" wrapText="1"/>
    </xf>
    <xf numFmtId="0" fontId="162" fillId="0" borderId="0" xfId="0" applyFont="1" applyAlignment="1">
      <alignment horizontal="center" vertical="center"/>
    </xf>
    <xf numFmtId="0" fontId="107" fillId="0" borderId="18" xfId="0" applyFont="1" applyBorder="1" applyAlignment="1">
      <alignment horizontal="center" vertical="center" wrapText="1"/>
    </xf>
    <xf numFmtId="0" fontId="107" fillId="0" borderId="8" xfId="0" applyFont="1" applyBorder="1" applyAlignment="1">
      <alignment horizontal="center" vertical="center" wrapText="1"/>
    </xf>
    <xf numFmtId="0" fontId="107" fillId="0" borderId="26"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65" xfId="0" applyFont="1" applyBorder="1" applyAlignment="1">
      <alignment horizontal="center" vertical="center" wrapText="1"/>
    </xf>
    <xf numFmtId="0" fontId="222" fillId="0" borderId="0" xfId="0" applyFont="1" applyAlignment="1">
      <alignment horizontal="left"/>
    </xf>
    <xf numFmtId="0" fontId="106" fillId="0" borderId="0" xfId="0" applyFont="1" applyAlignment="1">
      <alignment horizontal="left" wrapText="1"/>
    </xf>
    <xf numFmtId="0" fontId="28" fillId="0" borderId="0" xfId="0" applyFont="1" applyAlignment="1">
      <alignment horizontal="left" vertical="top" wrapText="1"/>
    </xf>
    <xf numFmtId="0" fontId="113" fillId="0" borderId="0" xfId="0" applyFont="1" applyAlignment="1">
      <alignment horizontal="center"/>
    </xf>
    <xf numFmtId="0" fontId="109" fillId="0" borderId="0" xfId="0" applyFont="1" applyAlignment="1">
      <alignment horizontal="center"/>
    </xf>
    <xf numFmtId="222" fontId="108" fillId="0" borderId="0" xfId="0" applyNumberFormat="1" applyFont="1" applyAlignment="1">
      <alignment horizontal="right"/>
    </xf>
    <xf numFmtId="0" fontId="114" fillId="0" borderId="0" xfId="0" applyFont="1" applyAlignment="1">
      <alignment horizontal="center" wrapText="1"/>
    </xf>
    <xf numFmtId="0" fontId="212" fillId="0" borderId="0" xfId="0" applyFont="1" applyAlignment="1">
      <alignment horizontal="center"/>
    </xf>
    <xf numFmtId="0" fontId="145" fillId="0" borderId="35" xfId="0" applyFont="1" applyBorder="1" applyAlignment="1">
      <alignment horizontal="center" vertical="center" wrapText="1"/>
    </xf>
    <xf numFmtId="0" fontId="28" fillId="0" borderId="0" xfId="0" applyFont="1" applyBorder="1" applyAlignment="1">
      <alignment horizontal="center" vertical="center" wrapText="1"/>
    </xf>
    <xf numFmtId="0" fontId="162" fillId="0" borderId="0" xfId="0" applyFont="1" applyBorder="1" applyAlignment="1">
      <alignment horizontal="left"/>
    </xf>
    <xf numFmtId="0" fontId="153" fillId="0" borderId="18" xfId="0" applyFont="1" applyBorder="1" applyAlignment="1">
      <alignment horizontal="center" vertical="center" wrapText="1"/>
    </xf>
    <xf numFmtId="0" fontId="153" fillId="0" borderId="8" xfId="0" applyFont="1" applyBorder="1" applyAlignment="1">
      <alignment horizontal="center" vertical="center" wrapText="1"/>
    </xf>
    <xf numFmtId="0" fontId="153" fillId="0" borderId="26" xfId="0" applyFont="1" applyBorder="1" applyAlignment="1">
      <alignment horizontal="center" vertical="center" wrapText="1"/>
    </xf>
    <xf numFmtId="14" fontId="103" fillId="0" borderId="35" xfId="0" applyNumberFormat="1" applyFont="1" applyBorder="1" applyAlignment="1">
      <alignment horizontal="center" vertical="center"/>
    </xf>
    <xf numFmtId="14" fontId="103" fillId="0" borderId="30" xfId="0" applyNumberFormat="1" applyFont="1" applyBorder="1" applyAlignment="1">
      <alignment horizontal="center" vertical="center"/>
    </xf>
    <xf numFmtId="210" fontId="153" fillId="0" borderId="0" xfId="0" applyNumberFormat="1" applyFont="1" applyBorder="1" applyAlignment="1">
      <alignment horizontal="center"/>
    </xf>
    <xf numFmtId="0" fontId="213" fillId="0" borderId="0" xfId="0" applyFont="1" applyAlignment="1">
      <alignment horizontal="center"/>
    </xf>
    <xf numFmtId="222" fontId="205" fillId="0" borderId="0" xfId="0" applyNumberFormat="1" applyFont="1" applyAlignment="1">
      <alignment horizontal="right" vertical="center"/>
    </xf>
    <xf numFmtId="0" fontId="28" fillId="0" borderId="0" xfId="0" applyFont="1" applyAlignment="1">
      <alignment horizontal="center"/>
    </xf>
    <xf numFmtId="0" fontId="137" fillId="0" borderId="0" xfId="0" applyFont="1" applyAlignment="1">
      <alignment horizontal="center" vertical="center"/>
    </xf>
    <xf numFmtId="0" fontId="204" fillId="0" borderId="0" xfId="0" applyFont="1" applyAlignment="1">
      <alignment horizontal="center" vertical="center"/>
    </xf>
    <xf numFmtId="0" fontId="223" fillId="0" borderId="18" xfId="0" applyFont="1" applyBorder="1" applyAlignment="1">
      <alignment horizontal="center" vertical="center" wrapText="1"/>
    </xf>
    <xf numFmtId="0" fontId="223" fillId="0" borderId="8" xfId="0" applyFont="1" applyBorder="1" applyAlignment="1">
      <alignment horizontal="center" vertical="center" wrapText="1"/>
    </xf>
    <xf numFmtId="0" fontId="223" fillId="0" borderId="26" xfId="0" applyFont="1" applyBorder="1" applyAlignment="1">
      <alignment horizontal="center" vertical="center" wrapText="1"/>
    </xf>
    <xf numFmtId="0" fontId="222" fillId="0" borderId="0" xfId="0" quotePrefix="1" applyFont="1" applyAlignment="1">
      <alignment horizontal="left"/>
    </xf>
    <xf numFmtId="210" fontId="153" fillId="0" borderId="0" xfId="0" applyNumberFormat="1" applyFont="1" applyBorder="1" applyAlignment="1">
      <alignment horizontal="left"/>
    </xf>
    <xf numFmtId="222" fontId="158" fillId="0" borderId="0" xfId="0" applyNumberFormat="1" applyFont="1" applyAlignment="1">
      <alignment horizontal="right" vertical="center"/>
    </xf>
    <xf numFmtId="0" fontId="152" fillId="0" borderId="0" xfId="0" quotePrefix="1" applyFont="1" applyAlignment="1">
      <alignment horizontal="left"/>
    </xf>
    <xf numFmtId="0" fontId="224" fillId="0" borderId="0" xfId="255" applyFont="1" applyBorder="1" applyAlignment="1">
      <alignment horizontal="center"/>
    </xf>
    <xf numFmtId="0" fontId="113" fillId="0" borderId="0" xfId="255" applyFont="1" applyFill="1" applyBorder="1" applyAlignment="1">
      <alignment horizontal="center"/>
    </xf>
    <xf numFmtId="0" fontId="114" fillId="0" borderId="0" xfId="255" applyFont="1" applyFill="1" applyAlignment="1">
      <alignment horizontal="center" vertical="center"/>
    </xf>
    <xf numFmtId="0" fontId="118" fillId="0" borderId="22" xfId="0" applyNumberFormat="1" applyFont="1" applyBorder="1" applyAlignment="1">
      <alignment horizontal="left" vertical="center" wrapText="1"/>
    </xf>
    <xf numFmtId="0" fontId="85" fillId="0" borderId="65" xfId="0" applyFont="1" applyBorder="1"/>
    <xf numFmtId="0" fontId="124" fillId="0" borderId="5" xfId="0" applyNumberFormat="1" applyFont="1" applyBorder="1" applyAlignment="1">
      <alignment horizontal="left" vertical="center" wrapText="1"/>
    </xf>
    <xf numFmtId="0" fontId="85" fillId="0" borderId="5" xfId="0" applyFont="1" applyBorder="1"/>
    <xf numFmtId="0" fontId="124" fillId="0" borderId="22" xfId="0" applyNumberFormat="1" applyFont="1" applyBorder="1" applyAlignment="1">
      <alignment horizontal="left" vertical="center" wrapText="1"/>
    </xf>
    <xf numFmtId="0" fontId="124" fillId="0" borderId="65" xfId="0" applyNumberFormat="1" applyFont="1" applyBorder="1" applyAlignment="1">
      <alignment horizontal="left" vertical="center" wrapText="1"/>
    </xf>
    <xf numFmtId="168" fontId="219" fillId="0" borderId="22" xfId="256" applyNumberFormat="1" applyFont="1" applyFill="1" applyBorder="1" applyAlignment="1">
      <alignment horizontal="center" vertical="center" textRotation="90" wrapText="1"/>
    </xf>
    <xf numFmtId="168" fontId="219" fillId="0" borderId="5" xfId="256" applyNumberFormat="1" applyFont="1" applyFill="1" applyBorder="1" applyAlignment="1">
      <alignment horizontal="center" vertical="center" textRotation="90" wrapText="1"/>
    </xf>
    <xf numFmtId="0" fontId="133" fillId="0" borderId="0" xfId="239" applyNumberFormat="1" applyFont="1" applyBorder="1" applyAlignment="1">
      <alignment horizontal="right"/>
    </xf>
    <xf numFmtId="0" fontId="29" fillId="0" borderId="0" xfId="239" applyNumberFormat="1" applyFont="1" applyAlignment="1">
      <alignment horizontal="left"/>
    </xf>
    <xf numFmtId="168" fontId="220" fillId="0" borderId="18" xfId="0" applyNumberFormat="1" applyFont="1" applyFill="1" applyBorder="1" applyAlignment="1">
      <alignment horizontal="center"/>
    </xf>
    <xf numFmtId="168" fontId="220" fillId="0" borderId="109" xfId="0" applyNumberFormat="1" applyFont="1" applyFill="1" applyBorder="1" applyAlignment="1">
      <alignment horizontal="center"/>
    </xf>
    <xf numFmtId="179" fontId="220" fillId="0" borderId="18" xfId="0" applyNumberFormat="1" applyFont="1" applyFill="1" applyBorder="1" applyAlignment="1">
      <alignment horizontal="center"/>
    </xf>
    <xf numFmtId="179" fontId="220" fillId="0" borderId="109" xfId="0" applyNumberFormat="1" applyFont="1" applyFill="1" applyBorder="1" applyAlignment="1">
      <alignment horizontal="center"/>
    </xf>
    <xf numFmtId="0" fontId="108" fillId="0" borderId="0" xfId="0" applyNumberFormat="1" applyFont="1" applyAlignment="1">
      <alignment horizontal="right"/>
    </xf>
    <xf numFmtId="0" fontId="103" fillId="0" borderId="0" xfId="0" applyNumberFormat="1" applyFont="1" applyAlignment="1">
      <alignment horizontal="left"/>
    </xf>
    <xf numFmtId="209" fontId="221" fillId="0" borderId="33" xfId="0" applyNumberFormat="1" applyFont="1" applyBorder="1" applyAlignment="1">
      <alignment horizontal="center" vertical="center"/>
    </xf>
    <xf numFmtId="209" fontId="221" fillId="0" borderId="28" xfId="0" applyNumberFormat="1" applyFont="1" applyBorder="1" applyAlignment="1">
      <alignment horizontal="center" vertical="center"/>
    </xf>
    <xf numFmtId="14" fontId="221" fillId="0" borderId="35" xfId="0" applyNumberFormat="1" applyFont="1" applyBorder="1" applyAlignment="1">
      <alignment horizontal="center" vertical="center"/>
    </xf>
    <xf numFmtId="14" fontId="221" fillId="0" borderId="30" xfId="0" applyNumberFormat="1" applyFont="1" applyBorder="1" applyAlignment="1">
      <alignment horizontal="center" vertical="center"/>
    </xf>
    <xf numFmtId="0" fontId="153" fillId="0" borderId="0" xfId="0" applyNumberFormat="1" applyFont="1" applyBorder="1" applyAlignment="1">
      <alignment horizontal="left"/>
    </xf>
    <xf numFmtId="0" fontId="209" fillId="0" borderId="0" xfId="0" applyFont="1" applyAlignment="1">
      <alignment horizontal="center" vertical="center"/>
    </xf>
    <xf numFmtId="0" fontId="210" fillId="0" borderId="0" xfId="0" applyFont="1" applyAlignment="1">
      <alignment horizontal="center"/>
    </xf>
    <xf numFmtId="0" fontId="17" fillId="0" borderId="1" xfId="0" applyFont="1" applyBorder="1" applyAlignment="1">
      <alignment horizontal="left" vertical="center"/>
    </xf>
    <xf numFmtId="0" fontId="17" fillId="0" borderId="0" xfId="0" applyNumberFormat="1" applyFont="1" applyBorder="1" applyAlignment="1">
      <alignment horizontal="center" vertical="center"/>
    </xf>
    <xf numFmtId="169" fontId="17" fillId="0" borderId="35" xfId="0" applyNumberFormat="1" applyFont="1" applyBorder="1" applyAlignment="1">
      <alignment horizontal="center" vertical="center"/>
    </xf>
    <xf numFmtId="0" fontId="17" fillId="0" borderId="35" xfId="0" applyNumberFormat="1" applyFont="1" applyBorder="1" applyAlignment="1">
      <alignment horizontal="center" vertical="center"/>
    </xf>
    <xf numFmtId="0" fontId="17" fillId="0" borderId="35" xfId="0" applyFont="1" applyBorder="1" applyAlignment="1">
      <alignment horizontal="center" vertical="center"/>
    </xf>
  </cellXfs>
  <cellStyles count="371">
    <cellStyle name=",." xfId="1"/>
    <cellStyle name="??" xfId="2"/>
    <cellStyle name="?? [0.00]_ Att. 1- Cover" xfId="3"/>
    <cellStyle name="?? [0]" xfId="4"/>
    <cellStyle name="?? [0] 2" xfId="5"/>
    <cellStyle name="?? 2" xfId="6"/>
    <cellStyle name="?? 3" xfId="7"/>
    <cellStyle name="?? 4" xfId="8"/>
    <cellStyle name="?? 5" xfId="9"/>
    <cellStyle name="?? 6" xfId="10"/>
    <cellStyle name="???? [0.00]_List-dwg" xfId="11"/>
    <cellStyle name="????_List-dwg" xfId="12"/>
    <cellStyle name="???[0]_Book1" xfId="13"/>
    <cellStyle name="???_95" xfId="14"/>
    <cellStyle name="??[0]_BRE" xfId="15"/>
    <cellStyle name="??_ Att. 1- Cover" xfId="16"/>
    <cellStyle name="_Dien_nuoc_chongsetHVACnop6_8_06" xfId="17"/>
    <cellStyle name="_He thong dien" xfId="18"/>
    <cellStyle name="_Nuoc 20-05-2007" xfId="19"/>
    <cellStyle name="W_STDFOR" xfId="20"/>
    <cellStyle name="0" xfId="21"/>
    <cellStyle name="1" xfId="22"/>
    <cellStyle name="2" xfId="23"/>
    <cellStyle name="20% - Accent1" xfId="24" builtinId="30" customBuiltin="1"/>
    <cellStyle name="20% - Accent1 2" xfId="25"/>
    <cellStyle name="20% - Accent1 3" xfId="26"/>
    <cellStyle name="20% - Accent1 4" xfId="27"/>
    <cellStyle name="20% - Accent2" xfId="28" builtinId="34" customBuiltin="1"/>
    <cellStyle name="20% - Accent2 2" xfId="29"/>
    <cellStyle name="20% - Accent2 3" xfId="30"/>
    <cellStyle name="20% - Accent2 4" xfId="31"/>
    <cellStyle name="20% - Accent3" xfId="32" builtinId="38" customBuiltin="1"/>
    <cellStyle name="20% - Accent3 2" xfId="33"/>
    <cellStyle name="20% - Accent3 3" xfId="34"/>
    <cellStyle name="20% - Accent3 4" xfId="35"/>
    <cellStyle name="20% - Accent4" xfId="36" builtinId="42" customBuiltin="1"/>
    <cellStyle name="20% - Accent4 2" xfId="37"/>
    <cellStyle name="20% - Accent4 3" xfId="38"/>
    <cellStyle name="20% - Accent4 4" xfId="39"/>
    <cellStyle name="20% - Accent5" xfId="40" builtinId="46" customBuiltin="1"/>
    <cellStyle name="20% - Accent5 2" xfId="41"/>
    <cellStyle name="20% - Accent5 3" xfId="42"/>
    <cellStyle name="20% - Accent5 4" xfId="43"/>
    <cellStyle name="20% - Accent6" xfId="44" builtinId="50" customBuiltin="1"/>
    <cellStyle name="20% - Accent6 2" xfId="45"/>
    <cellStyle name="20% - Accent6 3" xfId="46"/>
    <cellStyle name="20% - Accent6 4" xfId="47"/>
    <cellStyle name="3" xfId="48"/>
    <cellStyle name="4" xfId="49"/>
    <cellStyle name="40% - Accent1" xfId="50" builtinId="31" customBuiltin="1"/>
    <cellStyle name="40% - Accent1 2" xfId="51"/>
    <cellStyle name="40% - Accent1 3" xfId="52"/>
    <cellStyle name="40% - Accent1 4" xfId="53"/>
    <cellStyle name="40% - Accent2" xfId="54" builtinId="35" customBuiltin="1"/>
    <cellStyle name="40% - Accent2 2" xfId="55"/>
    <cellStyle name="40% - Accent2 3" xfId="56"/>
    <cellStyle name="40% - Accent2 4" xfId="57"/>
    <cellStyle name="40% - Accent3" xfId="58" builtinId="39" customBuiltin="1"/>
    <cellStyle name="40% - Accent3 2" xfId="59"/>
    <cellStyle name="40% - Accent3 3" xfId="60"/>
    <cellStyle name="40% - Accent3 4" xfId="61"/>
    <cellStyle name="40% - Accent4" xfId="62" builtinId="43" customBuiltin="1"/>
    <cellStyle name="40% - Accent4 2" xfId="63"/>
    <cellStyle name="40% - Accent4 3" xfId="64"/>
    <cellStyle name="40% - Accent4 4" xfId="65"/>
    <cellStyle name="40% - Accent5" xfId="66" builtinId="47" customBuiltin="1"/>
    <cellStyle name="40% - Accent5 2" xfId="67"/>
    <cellStyle name="40% - Accent5 3" xfId="68"/>
    <cellStyle name="40% - Accent5 4" xfId="69"/>
    <cellStyle name="40% - Accent6" xfId="70" builtinId="51" customBuiltin="1"/>
    <cellStyle name="40% - Accent6 2" xfId="71"/>
    <cellStyle name="40% - Accent6 3" xfId="72"/>
    <cellStyle name="40% - Accent6 4" xfId="73"/>
    <cellStyle name="6" xfId="74"/>
    <cellStyle name="60% - Accent1" xfId="75" builtinId="32" customBuiltin="1"/>
    <cellStyle name="60% - Accent1 2" xfId="76"/>
    <cellStyle name="60% - Accent1 3" xfId="77"/>
    <cellStyle name="60% - Accent1 4" xfId="78"/>
    <cellStyle name="60% - Accent2" xfId="79" builtinId="36" customBuiltin="1"/>
    <cellStyle name="60% - Accent2 2" xfId="80"/>
    <cellStyle name="60% - Accent2 3" xfId="81"/>
    <cellStyle name="60% - Accent2 4" xfId="82"/>
    <cellStyle name="60% - Accent3" xfId="83" builtinId="40" customBuiltin="1"/>
    <cellStyle name="60% - Accent3 2" xfId="84"/>
    <cellStyle name="60% - Accent3 3" xfId="85"/>
    <cellStyle name="60% - Accent3 4" xfId="86"/>
    <cellStyle name="60% - Accent4" xfId="87" builtinId="44" customBuiltin="1"/>
    <cellStyle name="60% - Accent4 2" xfId="88"/>
    <cellStyle name="60% - Accent4 3" xfId="89"/>
    <cellStyle name="60% - Accent4 4" xfId="90"/>
    <cellStyle name="60% - Accent5" xfId="91" builtinId="48" customBuiltin="1"/>
    <cellStyle name="60% - Accent5 2" xfId="92"/>
    <cellStyle name="60% - Accent5 3" xfId="93"/>
    <cellStyle name="60% - Accent5 4" xfId="94"/>
    <cellStyle name="60% - Accent6" xfId="95" builtinId="52" customBuiltin="1"/>
    <cellStyle name="60% - Accent6 2" xfId="96"/>
    <cellStyle name="60% - Accent6 3" xfId="97"/>
    <cellStyle name="60% - Accent6 4" xfId="98"/>
    <cellStyle name="Accent1" xfId="99" builtinId="29" customBuiltin="1"/>
    <cellStyle name="Accent1 2" xfId="100"/>
    <cellStyle name="Accent1 3" xfId="101"/>
    <cellStyle name="Accent1 4" xfId="102"/>
    <cellStyle name="Accent2" xfId="103" builtinId="33" customBuiltin="1"/>
    <cellStyle name="Accent2 2" xfId="104"/>
    <cellStyle name="Accent2 3" xfId="105"/>
    <cellStyle name="Accent2 4" xfId="106"/>
    <cellStyle name="Accent3" xfId="107" builtinId="37" customBuiltin="1"/>
    <cellStyle name="Accent3 2" xfId="108"/>
    <cellStyle name="Accent3 3" xfId="109"/>
    <cellStyle name="Accent3 4" xfId="110"/>
    <cellStyle name="Accent4" xfId="111" builtinId="41" customBuiltin="1"/>
    <cellStyle name="Accent4 2" xfId="112"/>
    <cellStyle name="Accent4 3" xfId="113"/>
    <cellStyle name="Accent4 4" xfId="114"/>
    <cellStyle name="Accent5" xfId="115" builtinId="45" customBuiltin="1"/>
    <cellStyle name="Accent5 2" xfId="116"/>
    <cellStyle name="Accent5 3" xfId="117"/>
    <cellStyle name="Accent5 4" xfId="118"/>
    <cellStyle name="Accent6" xfId="119" builtinId="49" customBuiltin="1"/>
    <cellStyle name="Accent6 2" xfId="120"/>
    <cellStyle name="Accent6 3" xfId="121"/>
    <cellStyle name="Accent6 4" xfId="122"/>
    <cellStyle name="ÅëÈ­ [0]_¿ì¹°Åë" xfId="123"/>
    <cellStyle name="AeE­ [0]_INQUIRY ¿µ¾÷AßAø " xfId="124"/>
    <cellStyle name="ÅëÈ­ [0]_laroux" xfId="125"/>
    <cellStyle name="ÅëÈ­_¿ì¹°Åë" xfId="126"/>
    <cellStyle name="AeE­_INQUIRY ¿?¾÷AßAø " xfId="127"/>
    <cellStyle name="ÅëÈ­_laroux" xfId="128"/>
    <cellStyle name="APPEAR" xfId="129"/>
    <cellStyle name="ÄÞ¸¶ [0]_¿ì¹°Åë" xfId="130"/>
    <cellStyle name="AÞ¸¶ [0]_INQUIRY ¿?¾÷AßAø " xfId="131"/>
    <cellStyle name="ÄÞ¸¶ [0]_L601CPT" xfId="132"/>
    <cellStyle name="ÄÞ¸¶_¿ì¹°Åë" xfId="133"/>
    <cellStyle name="AÞ¸¶_INQUIRY ¿?¾÷AßAø " xfId="134"/>
    <cellStyle name="ÄÞ¸¶_L601CPT" xfId="135"/>
    <cellStyle name="Bad" xfId="136" builtinId="27" customBuiltin="1"/>
    <cellStyle name="Bad 2" xfId="137"/>
    <cellStyle name="Bad 3" xfId="138"/>
    <cellStyle name="Bad 4" xfId="139"/>
    <cellStyle name="Bangchu" xfId="140"/>
    <cellStyle name="C?AØ_¿?¾÷CoE² " xfId="141"/>
    <cellStyle name="Ç¥ÁØ_#2(M17)_1" xfId="142"/>
    <cellStyle name="C￥AØ_¿μ¾÷CoE² " xfId="143"/>
    <cellStyle name="Ç¥ÁØ_±³°¢¼ö·®" xfId="144"/>
    <cellStyle name="Calc Currency (0)" xfId="145"/>
    <cellStyle name="Calculation" xfId="146" builtinId="22" customBuiltin="1"/>
    <cellStyle name="Calculation 2" xfId="147"/>
    <cellStyle name="Calculation 3" xfId="148"/>
    <cellStyle name="Calculation 4" xfId="149"/>
    <cellStyle name="category" xfId="150"/>
    <cellStyle name="Comma" xfId="151" builtinId="3"/>
    <cellStyle name="Comma 2" xfId="152"/>
    <cellStyle name="Comma 2 2" xfId="153"/>
    <cellStyle name="Comma 3" xfId="154"/>
    <cellStyle name="Comma 4" xfId="155"/>
    <cellStyle name="Comma 5" xfId="156"/>
    <cellStyle name="Comma_COC CM122" xfId="157"/>
    <cellStyle name="Comma0" xfId="158"/>
    <cellStyle name="Comma0 2" xfId="159"/>
    <cellStyle name="cong" xfId="160"/>
    <cellStyle name="Currency" xfId="161" builtinId="4"/>
    <cellStyle name="Currency0" xfId="162"/>
    <cellStyle name="Currency0 2" xfId="163"/>
    <cellStyle name="Check Cell" xfId="164" builtinId="23" customBuiltin="1"/>
    <cellStyle name="Check Cell 2" xfId="165"/>
    <cellStyle name="Check Cell 3" xfId="166"/>
    <cellStyle name="Check Cell 4" xfId="167"/>
    <cellStyle name="Date" xfId="168"/>
    <cellStyle name="Date 2" xfId="169"/>
    <cellStyle name="DAUDE" xfId="170"/>
    <cellStyle name="Dezimal [0]_UXO VII" xfId="171"/>
    <cellStyle name="Dezimal_UXO VII" xfId="172"/>
    <cellStyle name="Dziesietny [0]_Invoices2001Slovakia" xfId="173"/>
    <cellStyle name="Dziesiętny [0]_Invoices2001Slovakia" xfId="174"/>
    <cellStyle name="Dziesietny_Invoices2001Slovakia" xfId="175"/>
    <cellStyle name="Dziesiętny_Invoices2001Slovakia" xfId="176"/>
    <cellStyle name="Explanatory Text" xfId="177" builtinId="53" customBuiltin="1"/>
    <cellStyle name="Explanatory Text 2" xfId="178"/>
    <cellStyle name="Explanatory Text 3" xfId="179"/>
    <cellStyle name="Explanatory Text 4" xfId="180"/>
    <cellStyle name="Fixed" xfId="181"/>
    <cellStyle name="Fixed 2" xfId="182"/>
    <cellStyle name="Good" xfId="183" builtinId="26" customBuiltin="1"/>
    <cellStyle name="Good 2" xfId="184"/>
    <cellStyle name="Good 3" xfId="185"/>
    <cellStyle name="Good 4" xfId="186"/>
    <cellStyle name="Grey" xfId="187"/>
    <cellStyle name="Grey 2" xfId="188"/>
    <cellStyle name="gia" xfId="189"/>
    <cellStyle name="GIA-MOI" xfId="190"/>
    <cellStyle name="HEADER" xfId="191"/>
    <cellStyle name="Header1" xfId="192"/>
    <cellStyle name="Header2" xfId="193"/>
    <cellStyle name="Heading 1" xfId="194" builtinId="16" customBuiltin="1"/>
    <cellStyle name="Heading 1 2" xfId="195"/>
    <cellStyle name="Heading 1 3" xfId="196"/>
    <cellStyle name="Heading 1 4" xfId="197"/>
    <cellStyle name="Heading 2" xfId="198" builtinId="17" customBuiltin="1"/>
    <cellStyle name="Heading 2 2" xfId="199"/>
    <cellStyle name="Heading 2 3" xfId="200"/>
    <cellStyle name="Heading 2 4" xfId="201"/>
    <cellStyle name="Heading 3" xfId="202" builtinId="18" customBuiltin="1"/>
    <cellStyle name="Heading 3 2" xfId="203"/>
    <cellStyle name="Heading 3 3" xfId="204"/>
    <cellStyle name="Heading 3 4" xfId="205"/>
    <cellStyle name="Heading 4" xfId="206" builtinId="19" customBuiltin="1"/>
    <cellStyle name="Heading 4 2" xfId="207"/>
    <cellStyle name="Heading 4 3" xfId="208"/>
    <cellStyle name="Heading 4 4" xfId="209"/>
    <cellStyle name="Heading1" xfId="210"/>
    <cellStyle name="Heading2" xfId="211"/>
    <cellStyle name="HIDE" xfId="212"/>
    <cellStyle name="Hoa-Scholl" xfId="213"/>
    <cellStyle name="Input" xfId="214" builtinId="20" customBuiltin="1"/>
    <cellStyle name="Input [yellow]" xfId="215"/>
    <cellStyle name="Input [yellow] 2" xfId="216"/>
    <cellStyle name="Input 2" xfId="217"/>
    <cellStyle name="Input 3" xfId="218"/>
    <cellStyle name="Input 4" xfId="219"/>
    <cellStyle name="KLBXUNG" xfId="220"/>
    <cellStyle name="Ledger 17 x 11 in" xfId="221"/>
    <cellStyle name="Linked Cell" xfId="222" builtinId="24" customBuiltin="1"/>
    <cellStyle name="Linked Cell 2" xfId="223"/>
    <cellStyle name="Linked Cell 3" xfId="224"/>
    <cellStyle name="Linked Cell 4" xfId="225"/>
    <cellStyle name="MARK" xfId="226"/>
    <cellStyle name="Millares [0]_Well Timing" xfId="227"/>
    <cellStyle name="Millares_Well Timing" xfId="228"/>
    <cellStyle name="Model" xfId="229"/>
    <cellStyle name="moi" xfId="230"/>
    <cellStyle name="Moneda [0]_Well Timing" xfId="231"/>
    <cellStyle name="Moneda_Well Timing" xfId="232"/>
    <cellStyle name="n" xfId="233"/>
    <cellStyle name="Neutral" xfId="234" builtinId="28" customBuiltin="1"/>
    <cellStyle name="Neutral 2" xfId="235"/>
    <cellStyle name="Neutral 3" xfId="236"/>
    <cellStyle name="Neutral 4" xfId="237"/>
    <cellStyle name="New" xfId="238"/>
    <cellStyle name="Normal" xfId="0" builtinId="0"/>
    <cellStyle name="Normal - Style1" xfId="239"/>
    <cellStyle name="Normal 10" xfId="240"/>
    <cellStyle name="Normal 11" xfId="241"/>
    <cellStyle name="Normal 12" xfId="242"/>
    <cellStyle name="Normal 13" xfId="243"/>
    <cellStyle name="Normal 14" xfId="244"/>
    <cellStyle name="Normal 16" xfId="245"/>
    <cellStyle name="Normal 2" xfId="246"/>
    <cellStyle name="Normal 2 2" xfId="247"/>
    <cellStyle name="Normal 3" xfId="248"/>
    <cellStyle name="Normal 4" xfId="249"/>
    <cellStyle name="Normal 5" xfId="250"/>
    <cellStyle name="Normal 6" xfId="251"/>
    <cellStyle name="Normal 7" xfId="252"/>
    <cellStyle name="Normal 8" xfId="253"/>
    <cellStyle name="Normal 9" xfId="254"/>
    <cellStyle name="Normal_01" xfId="255"/>
    <cellStyle name="Normal_COC CM122" xfId="256"/>
    <cellStyle name="Normal_ket cau duoi cot 0.00" xfId="257"/>
    <cellStyle name="Normal_Mau bien ban coc KN" xfId="258"/>
    <cellStyle name="Normal_Nghiem thu be tong" xfId="259"/>
    <cellStyle name="Normal_Sheet1" xfId="260"/>
    <cellStyle name="Normal_yey cau vat tu   1" xfId="261"/>
    <cellStyle name="Normal1" xfId="262"/>
    <cellStyle name="Normalny_Cennik obowiazuje od 06-08-2001 r (1)" xfId="263"/>
    <cellStyle name="Note" xfId="264" builtinId="10" customBuiltin="1"/>
    <cellStyle name="Note 2" xfId="265"/>
    <cellStyle name="Note 2 2" xfId="266"/>
    <cellStyle name="Note 3" xfId="267"/>
    <cellStyle name="Note 4" xfId="268"/>
    <cellStyle name="oft Excel]_x000d__x000a_Comment=The open=/f lines load custom functions into the Paste Function list._x000d__x000a_Maximized=2_x000d__x000a_Basics=1_x000d__x000a_A" xfId="269"/>
    <cellStyle name="oft Excel]_x000d__x000a_Comment=The open=/f lines load custom functions into the Paste Function list._x000d__x000a_Maximized=3_x000d__x000a_Basics=1_x000d__x000a_A" xfId="270"/>
    <cellStyle name="omma [0]_Mktg Prog" xfId="271"/>
    <cellStyle name="ormal_Sheet1_1" xfId="272"/>
    <cellStyle name="Output" xfId="273" builtinId="21" customBuiltin="1"/>
    <cellStyle name="Output 2" xfId="274"/>
    <cellStyle name="Output 3" xfId="275"/>
    <cellStyle name="Output 4" xfId="276"/>
    <cellStyle name="Percent [2]" xfId="277"/>
    <cellStyle name="Percent [2] 2" xfId="278"/>
    <cellStyle name="Percent [2] 2 2" xfId="279"/>
    <cellStyle name="Percent [2] 3" xfId="280"/>
    <cellStyle name="s]_x000d__x000a_spooler=yes_x000d__x000a_load=_x000d__x000a_Beep=yes_x000d__x000a_NullPort=None_x000d__x000a_BorderWidth=3_x000d__x000a_CursorBlinkRate=1200_x000d__x000a_DoubleClickSpeed=452_x000d__x000a_Programs=co" xfId="281"/>
    <cellStyle name="SAPBEXaggData" xfId="282"/>
    <cellStyle name="SAPBEXaggDataEmph" xfId="283"/>
    <cellStyle name="SAPBEXaggItem" xfId="284"/>
    <cellStyle name="SAPBEXchaText" xfId="285"/>
    <cellStyle name="SAPBEXexcBad7" xfId="286"/>
    <cellStyle name="SAPBEXexcBad8" xfId="287"/>
    <cellStyle name="SAPBEXexcBad9" xfId="288"/>
    <cellStyle name="SAPBEXexcCritical4" xfId="289"/>
    <cellStyle name="SAPBEXexcCritical5" xfId="290"/>
    <cellStyle name="SAPBEXexcCritical6" xfId="291"/>
    <cellStyle name="SAPBEXexcGood1" xfId="292"/>
    <cellStyle name="SAPBEXexcGood2" xfId="293"/>
    <cellStyle name="SAPBEXexcGood3" xfId="294"/>
    <cellStyle name="SAPBEXfilterDrill" xfId="295"/>
    <cellStyle name="SAPBEXfilterItem" xfId="296"/>
    <cellStyle name="SAPBEXfilterText" xfId="297"/>
    <cellStyle name="SAPBEXformats" xfId="298"/>
    <cellStyle name="SAPBEXheaderItem" xfId="299"/>
    <cellStyle name="SAPBEXheaderItem 2" xfId="300"/>
    <cellStyle name="SAPBEXheaderText" xfId="301"/>
    <cellStyle name="SAPBEXheaderText 2" xfId="302"/>
    <cellStyle name="SAPBEXresData" xfId="303"/>
    <cellStyle name="SAPBEXresDataEmph" xfId="304"/>
    <cellStyle name="SAPBEXresItem" xfId="305"/>
    <cellStyle name="SAPBEXstdData" xfId="306"/>
    <cellStyle name="SAPBEXstdDataEmph" xfId="307"/>
    <cellStyle name="SAPBEXstdItem" xfId="308"/>
    <cellStyle name="SAPBEXtitle" xfId="309"/>
    <cellStyle name="SAPBEXundefined" xfId="310"/>
    <cellStyle name="Style 1" xfId="311"/>
    <cellStyle name="style_1" xfId="312"/>
    <cellStyle name="subhead" xfId="313"/>
    <cellStyle name="T" xfId="314"/>
    <cellStyle name="T_Book1" xfId="315"/>
    <cellStyle name="Title" xfId="316" builtinId="15" customBuiltin="1"/>
    <cellStyle name="Title 2" xfId="317"/>
    <cellStyle name="Title 3" xfId="318"/>
    <cellStyle name="Title 4" xfId="319"/>
    <cellStyle name="Total" xfId="320" builtinId="25" customBuiltin="1"/>
    <cellStyle name="Total 2" xfId="321"/>
    <cellStyle name="Total 3" xfId="322"/>
    <cellStyle name="Total 4" xfId="323"/>
    <cellStyle name="tt1" xfId="324"/>
    <cellStyle name="th" xfId="325"/>
    <cellStyle name="þ_x001d_ð¤_x000c_¯þ_x0014__x000d_¨þU_x0001_À_x0004_ _x0015__x000f__x0001__x0001_" xfId="326"/>
    <cellStyle name="þ_x001d_ð·_x000c_æþ'_x000d_ßþU_x0001_Ø_x0005_ü_x0014__x0007__x0001__x0001_" xfId="327"/>
    <cellStyle name="viet" xfId="328"/>
    <cellStyle name="viet2" xfId="329"/>
    <cellStyle name="VLB-GTKÕ" xfId="330"/>
    <cellStyle name="Vn Time 13" xfId="331"/>
    <cellStyle name="Vn Time 14" xfId="332"/>
    <cellStyle name="vntxt1" xfId="333"/>
    <cellStyle name="vnhead1" xfId="334"/>
    <cellStyle name="vnhead3" xfId="335"/>
    <cellStyle name="Währung [0]_UXO VII" xfId="336"/>
    <cellStyle name="Währung_UXO VII" xfId="337"/>
    <cellStyle name="Walutowy [0]_Invoices2001Slovakia" xfId="338"/>
    <cellStyle name="Walutowy_Invoices2001Slovakia" xfId="339"/>
    <cellStyle name="Warning Text" xfId="340" builtinId="11" customBuiltin="1"/>
    <cellStyle name="Warning Text 2" xfId="341"/>
    <cellStyle name="Warning Text 3" xfId="342"/>
    <cellStyle name="Warning Text 4" xfId="343"/>
    <cellStyle name="xuan" xfId="344"/>
    <cellStyle name=" [0.00]_ Att. 1- Cover" xfId="345"/>
    <cellStyle name="_ Att. 1- Cover" xfId="346"/>
    <cellStyle name="?_ Att. 1- Cover" xfId="347"/>
    <cellStyle name="똿뗦먛귟 [0.00]_PRODUCT DETAIL Q1" xfId="348"/>
    <cellStyle name="똿뗦먛귟_PRODUCT DETAIL Q1" xfId="349"/>
    <cellStyle name="믅됞 [0.00]_PRODUCT DETAIL Q1" xfId="350"/>
    <cellStyle name="믅됞_PRODUCT DETAIL Q1" xfId="351"/>
    <cellStyle name="백분율_95" xfId="352"/>
    <cellStyle name="뷭?_BOOKSHIP" xfId="353"/>
    <cellStyle name="쉼표 [0]_Preliminary &amp; Indirect" xfId="354"/>
    <cellStyle name="콤맀_Sheet1_총괄표 (수출입) (2)" xfId="355"/>
    <cellStyle name="콤마 [0]_ 비목별 월별기술 " xfId="356"/>
    <cellStyle name="콤마_ 비목별 월별기술 " xfId="357"/>
    <cellStyle name="통화 [0]_1202" xfId="358"/>
    <cellStyle name="통화_1202" xfId="359"/>
    <cellStyle name="표섀_변경(최종)" xfId="360"/>
    <cellStyle name="표준_(정보부문)월별인원계획" xfId="361"/>
    <cellStyle name="一般_00Q3902REV.1" xfId="362"/>
    <cellStyle name="千分位[0]_00Q3902REV.1" xfId="363"/>
    <cellStyle name="千分位_00Q3902REV.1" xfId="364"/>
    <cellStyle name="桁区切り_08-00 NET Summary" xfId="365"/>
    <cellStyle name="標準_(A1)BOQ " xfId="366"/>
    <cellStyle name="貨幣 [0]_00Q3902REV.1" xfId="367"/>
    <cellStyle name="貨幣[0]_BRE" xfId="368"/>
    <cellStyle name="貨幣_00Q3902REV.1" xfId="369"/>
    <cellStyle name="非表示" xfId="370"/>
  </cellStyles>
  <dxfs count="22">
    <dxf>
      <fill>
        <patternFill patternType="darkGray"/>
      </fill>
    </dxf>
    <dxf>
      <fill>
        <patternFill patternType="lightVertical"/>
      </fill>
    </dxf>
    <dxf>
      <font>
        <condense val="0"/>
        <extend val="0"/>
        <color auto="1"/>
      </font>
      <border>
        <top/>
        <bottom style="thin">
          <color indexed="64"/>
        </bottom>
      </border>
    </dxf>
    <dxf>
      <font>
        <condense val="0"/>
        <extend val="0"/>
        <color auto="1"/>
      </font>
      <border>
        <top style="thin">
          <color indexed="64"/>
        </top>
        <bottom/>
      </border>
    </dxf>
    <dxf>
      <font>
        <condense val="0"/>
        <extend val="0"/>
        <color auto="1"/>
      </font>
      <border>
        <top style="thin">
          <color indexed="64"/>
        </top>
        <bottom style="thin">
          <color indexed="64"/>
        </bottom>
      </border>
    </dxf>
    <dxf>
      <fill>
        <patternFill patternType="lightTrellis">
          <bgColor indexed="65"/>
        </patternFill>
      </fill>
    </dxf>
    <dxf>
      <border>
        <left style="thin">
          <color indexed="64"/>
        </left>
        <right style="thin">
          <color indexed="64"/>
        </right>
        <bottom style="thin">
          <color indexed="64"/>
        </bottom>
      </border>
    </dxf>
    <dxf>
      <border>
        <left style="thin">
          <color indexed="64"/>
        </left>
        <right style="thin">
          <color indexed="64"/>
        </right>
        <bottom style="thin">
          <color indexed="64"/>
        </bottom>
      </border>
    </dxf>
    <dxf>
      <font>
        <condense val="0"/>
        <extend val="0"/>
        <color rgb="FF9C0006"/>
      </font>
      <fill>
        <patternFill>
          <bgColor rgb="FFFFC7CE"/>
        </patternFill>
      </fill>
    </dxf>
    <dxf>
      <fill>
        <patternFill patternType="darkGray"/>
      </fill>
    </dxf>
    <dxf>
      <fill>
        <patternFill patternType="lightVertical"/>
      </fill>
    </dxf>
    <dxf>
      <font>
        <condense val="0"/>
        <extend val="0"/>
        <color auto="1"/>
      </font>
      <border>
        <top/>
        <bottom style="thin">
          <color indexed="64"/>
        </bottom>
      </border>
    </dxf>
    <dxf>
      <font>
        <condense val="0"/>
        <extend val="0"/>
        <color auto="1"/>
      </font>
      <border>
        <top style="thin">
          <color indexed="64"/>
        </top>
        <bottom/>
      </border>
    </dxf>
    <dxf>
      <font>
        <condense val="0"/>
        <extend val="0"/>
        <color auto="1"/>
      </font>
      <border>
        <top style="thin">
          <color indexed="64"/>
        </top>
        <bottom style="thin">
          <color indexed="64"/>
        </bottom>
      </border>
    </dxf>
    <dxf>
      <fill>
        <patternFill patternType="lightTrellis">
          <bgColor indexed="65"/>
        </patternFill>
      </fill>
    </dxf>
    <dxf>
      <fill>
        <patternFill patternType="darkGrid"/>
      </fill>
    </dxf>
    <dxf>
      <fill>
        <patternFill patternType="darkGray"/>
      </fill>
    </dxf>
    <dxf>
      <fill>
        <patternFill patternType="lightGrid">
          <bgColor indexed="65"/>
        </patternFill>
      </fill>
    </dxf>
    <dxf>
      <fill>
        <patternFill patternType="mediumGray">
          <bgColor indexed="65"/>
        </patternFill>
      </fill>
    </dxf>
    <dxf>
      <fill>
        <patternFill patternType="darkUp">
          <bgColor indexed="65"/>
        </patternFill>
      </fill>
    </dxf>
    <dxf>
      <fill>
        <patternFill patternType="lightUp">
          <bgColor indexed="65"/>
        </patternFill>
      </fill>
    </dxf>
    <dxf>
      <fill>
        <patternFill patternType="lightTrellis">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5.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8.xml"/><Relationship Id="rId47"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externalLink" Target="externalLinks/externalLink6.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43"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4.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vi-V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211859797502087"/>
          <c:y val="4.2600896860986545E-2"/>
          <c:w val="0.77448833295701902"/>
          <c:h val="0.77802690582959644"/>
        </c:manualLayout>
      </c:layout>
      <c:scatterChart>
        <c:scatterStyle val="lineMarker"/>
        <c:varyColors val="0"/>
        <c:ser>
          <c:idx val="0"/>
          <c:order val="0"/>
          <c:tx>
            <c:v>Thùc tÕ</c:v>
          </c:tx>
          <c:spPr>
            <a:ln w="12700">
              <a:solidFill>
                <a:srgbClr val="000080"/>
              </a:solidFill>
              <a:prstDash val="sysDash"/>
            </a:ln>
          </c:spPr>
          <c:marker>
            <c:symbol val="diamond"/>
            <c:size val="5"/>
            <c:spPr>
              <a:solidFill>
                <a:srgbClr val="000080"/>
              </a:solidFill>
              <a:ln>
                <a:solidFill>
                  <a:srgbClr val="000080"/>
                </a:solidFill>
                <a:prstDash val="solid"/>
              </a:ln>
            </c:spPr>
          </c:marker>
          <c:xVal>
            <c:numRef>
              <c:f>'6. BDBT'!$N$4:$N$17</c:f>
              <c:numCache>
                <c:formatCode>#,##0.000</c:formatCode>
                <c:ptCount val="14"/>
                <c:pt idx="0" formatCode="General">
                  <c:v>0</c:v>
                </c:pt>
                <c:pt idx="1">
                  <c:v>8</c:v>
                </c:pt>
                <c:pt idx="2">
                  <c:v>16</c:v>
                </c:pt>
                <c:pt idx="3">
                  <c:v>18</c:v>
                </c:pt>
                <c:pt idx="4">
                  <c:v>18</c:v>
                </c:pt>
                <c:pt idx="5">
                  <c:v>18</c:v>
                </c:pt>
                <c:pt idx="6">
                  <c:v>18</c:v>
                </c:pt>
                <c:pt idx="7">
                  <c:v>18</c:v>
                </c:pt>
                <c:pt idx="8">
                  <c:v>18</c:v>
                </c:pt>
                <c:pt idx="9">
                  <c:v>18</c:v>
                </c:pt>
                <c:pt idx="10">
                  <c:v>18</c:v>
                </c:pt>
                <c:pt idx="11">
                  <c:v>18</c:v>
                </c:pt>
                <c:pt idx="12">
                  <c:v>18</c:v>
                </c:pt>
                <c:pt idx="13">
                  <c:v>18</c:v>
                </c:pt>
              </c:numCache>
            </c:numRef>
          </c:xVal>
          <c:yVal>
            <c:numRef>
              <c:f>'6. BDBT'!$T$4:$T$17</c:f>
              <c:numCache>
                <c:formatCode>#,##0.000</c:formatCode>
                <c:ptCount val="14"/>
                <c:pt idx="0" formatCode="0.000">
                  <c:v>-29.703000000000003</c:v>
                </c:pt>
                <c:pt idx="1">
                  <c:v>-4.2330000000000005</c:v>
                </c:pt>
                <c:pt idx="2">
                  <c:v>-1.3630000000000004</c:v>
                </c:pt>
                <c:pt idx="3">
                  <c:v>-0.55300000000000038</c:v>
                </c:pt>
                <c:pt idx="4">
                  <c:v>-0.55300000000000038</c:v>
                </c:pt>
                <c:pt idx="5">
                  <c:v>-0.55300000000000038</c:v>
                </c:pt>
                <c:pt idx="6">
                  <c:v>-0.55300000000000038</c:v>
                </c:pt>
                <c:pt idx="7">
                  <c:v>-0.55300000000000038</c:v>
                </c:pt>
                <c:pt idx="8">
                  <c:v>-0.55300000000000038</c:v>
                </c:pt>
                <c:pt idx="9">
                  <c:v>-0.55300000000000038</c:v>
                </c:pt>
                <c:pt idx="10">
                  <c:v>-0.55300000000000038</c:v>
                </c:pt>
                <c:pt idx="11">
                  <c:v>-0.55300000000000038</c:v>
                </c:pt>
                <c:pt idx="12">
                  <c:v>-0.55300000000000038</c:v>
                </c:pt>
                <c:pt idx="13">
                  <c:v>-0.55300000000000038</c:v>
                </c:pt>
              </c:numCache>
            </c:numRef>
          </c:yVal>
          <c:smooth val="0"/>
        </c:ser>
        <c:ser>
          <c:idx val="1"/>
          <c:order val="1"/>
          <c:tx>
            <c:v>Lý thuyÕt</c:v>
          </c:tx>
          <c:spPr>
            <a:ln w="12700">
              <a:solidFill>
                <a:srgbClr val="FF00FF"/>
              </a:solidFill>
              <a:prstDash val="solid"/>
            </a:ln>
          </c:spPr>
          <c:marker>
            <c:symbol val="circle"/>
            <c:size val="5"/>
            <c:spPr>
              <a:solidFill>
                <a:srgbClr val="FF00FF"/>
              </a:solidFill>
              <a:ln>
                <a:solidFill>
                  <a:srgbClr val="FF00FF"/>
                </a:solidFill>
                <a:prstDash val="solid"/>
              </a:ln>
            </c:spPr>
          </c:marker>
          <c:xVal>
            <c:numRef>
              <c:f>'6. BDBT'!$O$4:$O$17</c:f>
              <c:numCache>
                <c:formatCode>#,##0.000</c:formatCode>
                <c:ptCount val="14"/>
                <c:pt idx="0" formatCode="General">
                  <c:v>0</c:v>
                </c:pt>
                <c:pt idx="1">
                  <c:v>8</c:v>
                </c:pt>
                <c:pt idx="2">
                  <c:v>16</c:v>
                </c:pt>
                <c:pt idx="3">
                  <c:v>18</c:v>
                </c:pt>
                <c:pt idx="4">
                  <c:v>18</c:v>
                </c:pt>
                <c:pt idx="5">
                  <c:v>18</c:v>
                </c:pt>
                <c:pt idx="6">
                  <c:v>18</c:v>
                </c:pt>
                <c:pt idx="7">
                  <c:v>18</c:v>
                </c:pt>
                <c:pt idx="8">
                  <c:v>18</c:v>
                </c:pt>
                <c:pt idx="9">
                  <c:v>18</c:v>
                </c:pt>
                <c:pt idx="10">
                  <c:v>18</c:v>
                </c:pt>
                <c:pt idx="11">
                  <c:v>18</c:v>
                </c:pt>
                <c:pt idx="12">
                  <c:v>18</c:v>
                </c:pt>
                <c:pt idx="13">
                  <c:v>18</c:v>
                </c:pt>
              </c:numCache>
            </c:numRef>
          </c:xVal>
          <c:yVal>
            <c:numRef>
              <c:f>'6. BDBT'!$S$4:$S$17</c:f>
              <c:numCache>
                <c:formatCode>0.00</c:formatCode>
                <c:ptCount val="14"/>
                <c:pt idx="0" formatCode="0.000">
                  <c:v>-29.703000000000003</c:v>
                </c:pt>
                <c:pt idx="1">
                  <c:v>-13.78750569081047</c:v>
                </c:pt>
                <c:pt idx="2">
                  <c:v>-7</c:v>
                </c:pt>
                <c:pt idx="3">
                  <c:v>-7</c:v>
                </c:pt>
                <c:pt idx="4">
                  <c:v>-7</c:v>
                </c:pt>
                <c:pt idx="5">
                  <c:v>-7</c:v>
                </c:pt>
                <c:pt idx="6">
                  <c:v>-7</c:v>
                </c:pt>
                <c:pt idx="7">
                  <c:v>-7</c:v>
                </c:pt>
                <c:pt idx="8">
                  <c:v>-7</c:v>
                </c:pt>
                <c:pt idx="9">
                  <c:v>-7</c:v>
                </c:pt>
                <c:pt idx="10">
                  <c:v>-7</c:v>
                </c:pt>
                <c:pt idx="11">
                  <c:v>-7</c:v>
                </c:pt>
                <c:pt idx="12">
                  <c:v>-7</c:v>
                </c:pt>
                <c:pt idx="13">
                  <c:v>-7</c:v>
                </c:pt>
              </c:numCache>
            </c:numRef>
          </c:yVal>
          <c:smooth val="0"/>
        </c:ser>
        <c:dLbls>
          <c:showLegendKey val="0"/>
          <c:showVal val="0"/>
          <c:showCatName val="0"/>
          <c:showSerName val="0"/>
          <c:showPercent val="0"/>
          <c:showBubbleSize val="0"/>
        </c:dLbls>
        <c:axId val="155001408"/>
        <c:axId val="155001984"/>
      </c:scatterChart>
      <c:valAx>
        <c:axId val="155001408"/>
        <c:scaling>
          <c:orientation val="minMax"/>
        </c:scaling>
        <c:delete val="0"/>
        <c:axPos val="b"/>
        <c:majorGridlines>
          <c:spPr>
            <a:ln w="3175">
              <a:solidFill>
                <a:srgbClr val="000000"/>
              </a:solidFill>
              <a:prstDash val="sysDash"/>
            </a:ln>
          </c:spPr>
        </c:majorGridlines>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VnTime"/>
                <a:ea typeface=".VnTime"/>
                <a:cs typeface=".VnTime"/>
              </a:defRPr>
            </a:pPr>
            <a:endParaRPr lang="vi-VN"/>
          </a:p>
        </c:txPr>
        <c:crossAx val="155001984"/>
        <c:crossesAt val="-45"/>
        <c:crossBetween val="midCat"/>
      </c:valAx>
      <c:valAx>
        <c:axId val="155001984"/>
        <c:scaling>
          <c:orientation val="minMax"/>
          <c:min val="-45"/>
        </c:scaling>
        <c:delete val="0"/>
        <c:axPos val="l"/>
        <c:majorGridlines>
          <c:spPr>
            <a:ln w="3175">
              <a:solidFill>
                <a:srgbClr val="000000"/>
              </a:solidFill>
              <a:prstDash val="sysDash"/>
            </a:ln>
          </c:spPr>
        </c:majorGridlines>
        <c:numFmt formatCode="0.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VnTime"/>
                <a:ea typeface=".VnTime"/>
                <a:cs typeface=".VnTime"/>
              </a:defRPr>
            </a:pPr>
            <a:endParaRPr lang="vi-VN"/>
          </a:p>
        </c:txPr>
        <c:crossAx val="155001408"/>
        <c:crossesAt val="0"/>
        <c:crossBetween val="midCat"/>
      </c:valAx>
      <c:spPr>
        <a:solidFill>
          <a:srgbClr val="FFFFFF"/>
        </a:solidFill>
        <a:ln w="12700">
          <a:solidFill>
            <a:srgbClr val="808080"/>
          </a:solidFill>
          <a:prstDash val="solid"/>
        </a:ln>
      </c:spPr>
    </c:plotArea>
    <c:legend>
      <c:legendPos val="b"/>
      <c:layout>
        <c:manualLayout>
          <c:xMode val="edge"/>
          <c:yMode val="edge"/>
          <c:x val="0.24145809791999234"/>
          <c:y val="0.88340807174887892"/>
          <c:w val="0.7494312413681774"/>
          <c:h val="0.10986547085201792"/>
        </c:manualLayout>
      </c:layout>
      <c:overlay val="0"/>
      <c:spPr>
        <a:solidFill>
          <a:srgbClr val="FFFFFF"/>
        </a:solidFill>
        <a:ln w="3175">
          <a:solidFill>
            <a:srgbClr val="000000"/>
          </a:solidFill>
          <a:prstDash val="solid"/>
        </a:ln>
      </c:spPr>
      <c:txPr>
        <a:bodyPr/>
        <a:lstStyle/>
        <a:p>
          <a:pPr>
            <a:defRPr sz="925" b="0" i="0" u="none" strike="noStrike" baseline="0">
              <a:solidFill>
                <a:srgbClr val="000000"/>
              </a:solidFill>
              <a:latin typeface=".VnTime"/>
              <a:ea typeface=".VnTime"/>
              <a:cs typeface=".VnTime"/>
            </a:defRPr>
          </a:pPr>
          <a:endParaRPr lang="vi-VN"/>
        </a:p>
      </c:txPr>
    </c:legend>
    <c:plotVisOnly val="1"/>
    <c:dispBlanksAs val="gap"/>
    <c:showDLblsOverMax val="0"/>
  </c:chart>
  <c:spPr>
    <a:solidFill>
      <a:srgbClr val="FFFFFF"/>
    </a:solidFill>
    <a:ln w="12700">
      <a:solidFill>
        <a:srgbClr val="FFFFFF"/>
      </a:solidFill>
      <a:prstDash val="solid"/>
    </a:ln>
  </c:spPr>
  <c:txPr>
    <a:bodyPr/>
    <a:lstStyle/>
    <a:p>
      <a:pPr>
        <a:defRPr sz="800" b="0" i="0" u="none" strike="noStrike" baseline="0">
          <a:solidFill>
            <a:srgbClr val="000000"/>
          </a:solidFill>
          <a:latin typeface=".VnTime"/>
          <a:ea typeface=".VnTime"/>
          <a:cs typeface=".VnTime"/>
        </a:defRPr>
      </a:pPr>
      <a:endParaRPr lang="vi-VN"/>
    </a:p>
  </c:txPr>
  <c:printSettings>
    <c:headerFooter alignWithMargins="0"/>
    <c:pageMargins b="1" l="0.75" r="0.75" t="1" header="0.5" footer="0.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vi-V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21185979750209"/>
          <c:y val="4.2600896860986552E-2"/>
          <c:w val="0.77448833295701902"/>
          <c:h val="0.77802690582959666"/>
        </c:manualLayout>
      </c:layout>
      <c:scatterChart>
        <c:scatterStyle val="lineMarker"/>
        <c:varyColors val="0"/>
        <c:ser>
          <c:idx val="0"/>
          <c:order val="0"/>
          <c:tx>
            <c:v>Thùc tÕ</c:v>
          </c:tx>
          <c:spPr>
            <a:ln w="12700">
              <a:solidFill>
                <a:srgbClr val="000080"/>
              </a:solidFill>
              <a:prstDash val="sysDash"/>
            </a:ln>
          </c:spPr>
          <c:marker>
            <c:symbol val="diamond"/>
            <c:size val="5"/>
            <c:spPr>
              <a:solidFill>
                <a:srgbClr val="000080"/>
              </a:solidFill>
              <a:ln>
                <a:solidFill>
                  <a:srgbClr val="000080"/>
                </a:solidFill>
                <a:prstDash val="solid"/>
              </a:ln>
            </c:spPr>
          </c:marker>
          <c:xVal>
            <c:numRef>
              <c:f>'6. BDBT'!$N$4:$N$17</c:f>
              <c:numCache>
                <c:formatCode>#,##0.000</c:formatCode>
                <c:ptCount val="14"/>
                <c:pt idx="0" formatCode="General">
                  <c:v>0</c:v>
                </c:pt>
                <c:pt idx="1">
                  <c:v>8</c:v>
                </c:pt>
                <c:pt idx="2">
                  <c:v>16</c:v>
                </c:pt>
                <c:pt idx="3">
                  <c:v>18</c:v>
                </c:pt>
                <c:pt idx="4">
                  <c:v>18</c:v>
                </c:pt>
                <c:pt idx="5">
                  <c:v>18</c:v>
                </c:pt>
                <c:pt idx="6">
                  <c:v>18</c:v>
                </c:pt>
                <c:pt idx="7">
                  <c:v>18</c:v>
                </c:pt>
                <c:pt idx="8">
                  <c:v>18</c:v>
                </c:pt>
                <c:pt idx="9">
                  <c:v>18</c:v>
                </c:pt>
                <c:pt idx="10">
                  <c:v>18</c:v>
                </c:pt>
                <c:pt idx="11">
                  <c:v>18</c:v>
                </c:pt>
                <c:pt idx="12">
                  <c:v>18</c:v>
                </c:pt>
                <c:pt idx="13">
                  <c:v>18</c:v>
                </c:pt>
              </c:numCache>
            </c:numRef>
          </c:xVal>
          <c:yVal>
            <c:numRef>
              <c:f>'6. BDBT'!$T$4:$T$17</c:f>
              <c:numCache>
                <c:formatCode>#,##0.000</c:formatCode>
                <c:ptCount val="14"/>
                <c:pt idx="0" formatCode="0.000">
                  <c:v>-29.703000000000003</c:v>
                </c:pt>
                <c:pt idx="1">
                  <c:v>-4.2330000000000005</c:v>
                </c:pt>
                <c:pt idx="2">
                  <c:v>-1.3630000000000004</c:v>
                </c:pt>
                <c:pt idx="3">
                  <c:v>-0.55300000000000038</c:v>
                </c:pt>
                <c:pt idx="4">
                  <c:v>-0.55300000000000038</c:v>
                </c:pt>
                <c:pt idx="5">
                  <c:v>-0.55300000000000038</c:v>
                </c:pt>
                <c:pt idx="6">
                  <c:v>-0.55300000000000038</c:v>
                </c:pt>
                <c:pt idx="7">
                  <c:v>-0.55300000000000038</c:v>
                </c:pt>
                <c:pt idx="8">
                  <c:v>-0.55300000000000038</c:v>
                </c:pt>
                <c:pt idx="9">
                  <c:v>-0.55300000000000038</c:v>
                </c:pt>
                <c:pt idx="10">
                  <c:v>-0.55300000000000038</c:v>
                </c:pt>
                <c:pt idx="11">
                  <c:v>-0.55300000000000038</c:v>
                </c:pt>
                <c:pt idx="12">
                  <c:v>-0.55300000000000038</c:v>
                </c:pt>
                <c:pt idx="13">
                  <c:v>-0.55300000000000038</c:v>
                </c:pt>
              </c:numCache>
            </c:numRef>
          </c:yVal>
          <c:smooth val="0"/>
        </c:ser>
        <c:ser>
          <c:idx val="1"/>
          <c:order val="1"/>
          <c:tx>
            <c:v>Lý thuyÕt</c:v>
          </c:tx>
          <c:spPr>
            <a:ln w="12700">
              <a:solidFill>
                <a:srgbClr val="FF00FF"/>
              </a:solidFill>
              <a:prstDash val="solid"/>
            </a:ln>
          </c:spPr>
          <c:marker>
            <c:symbol val="circle"/>
            <c:size val="5"/>
            <c:spPr>
              <a:solidFill>
                <a:srgbClr val="FF00FF"/>
              </a:solidFill>
              <a:ln>
                <a:solidFill>
                  <a:srgbClr val="FF00FF"/>
                </a:solidFill>
                <a:prstDash val="solid"/>
              </a:ln>
            </c:spPr>
          </c:marker>
          <c:xVal>
            <c:numRef>
              <c:f>'6. BDBT'!$O$4:$O$17</c:f>
              <c:numCache>
                <c:formatCode>#,##0.000</c:formatCode>
                <c:ptCount val="14"/>
                <c:pt idx="0" formatCode="General">
                  <c:v>0</c:v>
                </c:pt>
                <c:pt idx="1">
                  <c:v>8</c:v>
                </c:pt>
                <c:pt idx="2">
                  <c:v>16</c:v>
                </c:pt>
                <c:pt idx="3">
                  <c:v>18</c:v>
                </c:pt>
                <c:pt idx="4">
                  <c:v>18</c:v>
                </c:pt>
                <c:pt idx="5">
                  <c:v>18</c:v>
                </c:pt>
                <c:pt idx="6">
                  <c:v>18</c:v>
                </c:pt>
                <c:pt idx="7">
                  <c:v>18</c:v>
                </c:pt>
                <c:pt idx="8">
                  <c:v>18</c:v>
                </c:pt>
                <c:pt idx="9">
                  <c:v>18</c:v>
                </c:pt>
                <c:pt idx="10">
                  <c:v>18</c:v>
                </c:pt>
                <c:pt idx="11">
                  <c:v>18</c:v>
                </c:pt>
                <c:pt idx="12">
                  <c:v>18</c:v>
                </c:pt>
                <c:pt idx="13">
                  <c:v>18</c:v>
                </c:pt>
              </c:numCache>
            </c:numRef>
          </c:xVal>
          <c:yVal>
            <c:numRef>
              <c:f>'6. BDBT'!$S$4:$S$17</c:f>
              <c:numCache>
                <c:formatCode>0.00</c:formatCode>
                <c:ptCount val="14"/>
                <c:pt idx="0" formatCode="0.000">
                  <c:v>-29.703000000000003</c:v>
                </c:pt>
                <c:pt idx="1">
                  <c:v>-13.78750569081047</c:v>
                </c:pt>
                <c:pt idx="2">
                  <c:v>-7</c:v>
                </c:pt>
                <c:pt idx="3">
                  <c:v>-7</c:v>
                </c:pt>
                <c:pt idx="4">
                  <c:v>-7</c:v>
                </c:pt>
                <c:pt idx="5">
                  <c:v>-7</c:v>
                </c:pt>
                <c:pt idx="6">
                  <c:v>-7</c:v>
                </c:pt>
                <c:pt idx="7">
                  <c:v>-7</c:v>
                </c:pt>
                <c:pt idx="8">
                  <c:v>-7</c:v>
                </c:pt>
                <c:pt idx="9">
                  <c:v>-7</c:v>
                </c:pt>
                <c:pt idx="10">
                  <c:v>-7</c:v>
                </c:pt>
                <c:pt idx="11">
                  <c:v>-7</c:v>
                </c:pt>
                <c:pt idx="12">
                  <c:v>-7</c:v>
                </c:pt>
                <c:pt idx="13">
                  <c:v>-7</c:v>
                </c:pt>
              </c:numCache>
            </c:numRef>
          </c:yVal>
          <c:smooth val="0"/>
        </c:ser>
        <c:dLbls>
          <c:showLegendKey val="0"/>
          <c:showVal val="0"/>
          <c:showCatName val="0"/>
          <c:showSerName val="0"/>
          <c:showPercent val="0"/>
          <c:showBubbleSize val="0"/>
        </c:dLbls>
        <c:axId val="163093824"/>
        <c:axId val="163110912"/>
      </c:scatterChart>
      <c:valAx>
        <c:axId val="163093824"/>
        <c:scaling>
          <c:orientation val="minMax"/>
        </c:scaling>
        <c:delete val="0"/>
        <c:axPos val="b"/>
        <c:majorGridlines>
          <c:spPr>
            <a:ln w="3175">
              <a:solidFill>
                <a:srgbClr val="000000"/>
              </a:solidFill>
              <a:prstDash val="sysDash"/>
            </a:ln>
          </c:spPr>
        </c:majorGridlines>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VnTime"/>
                <a:ea typeface=".VnTime"/>
                <a:cs typeface=".VnTime"/>
              </a:defRPr>
            </a:pPr>
            <a:endParaRPr lang="vi-VN"/>
          </a:p>
        </c:txPr>
        <c:crossAx val="163110912"/>
        <c:crossesAt val="-45"/>
        <c:crossBetween val="midCat"/>
      </c:valAx>
      <c:valAx>
        <c:axId val="163110912"/>
        <c:scaling>
          <c:orientation val="minMax"/>
          <c:min val="-45"/>
        </c:scaling>
        <c:delete val="0"/>
        <c:axPos val="l"/>
        <c:majorGridlines>
          <c:spPr>
            <a:ln w="3175">
              <a:solidFill>
                <a:srgbClr val="000000"/>
              </a:solidFill>
              <a:prstDash val="sysDash"/>
            </a:ln>
          </c:spPr>
        </c:majorGridlines>
        <c:numFmt formatCode="0.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VnTime"/>
                <a:ea typeface=".VnTime"/>
                <a:cs typeface=".VnTime"/>
              </a:defRPr>
            </a:pPr>
            <a:endParaRPr lang="vi-VN"/>
          </a:p>
        </c:txPr>
        <c:crossAx val="163093824"/>
        <c:crossesAt val="0"/>
        <c:crossBetween val="midCat"/>
      </c:valAx>
      <c:spPr>
        <a:solidFill>
          <a:srgbClr val="FFFFFF"/>
        </a:solidFill>
        <a:ln w="12700">
          <a:solidFill>
            <a:srgbClr val="808080"/>
          </a:solidFill>
          <a:prstDash val="solid"/>
        </a:ln>
      </c:spPr>
    </c:plotArea>
    <c:legend>
      <c:legendPos val="b"/>
      <c:layout>
        <c:manualLayout>
          <c:xMode val="edge"/>
          <c:yMode val="edge"/>
          <c:x val="0.24145809791999234"/>
          <c:y val="0.88340807174887892"/>
          <c:w val="0.7494312413681774"/>
          <c:h val="0.10986547085201792"/>
        </c:manualLayout>
      </c:layout>
      <c:overlay val="0"/>
      <c:spPr>
        <a:solidFill>
          <a:srgbClr val="FFFFFF"/>
        </a:solidFill>
        <a:ln w="3175">
          <a:solidFill>
            <a:srgbClr val="000000"/>
          </a:solidFill>
          <a:prstDash val="solid"/>
        </a:ln>
      </c:spPr>
      <c:txPr>
        <a:bodyPr/>
        <a:lstStyle/>
        <a:p>
          <a:pPr>
            <a:defRPr sz="925" b="0" i="0" u="none" strike="noStrike" baseline="0">
              <a:solidFill>
                <a:srgbClr val="000000"/>
              </a:solidFill>
              <a:latin typeface=".VnTime"/>
              <a:ea typeface=".VnTime"/>
              <a:cs typeface=".VnTime"/>
            </a:defRPr>
          </a:pPr>
          <a:endParaRPr lang="vi-VN"/>
        </a:p>
      </c:txPr>
    </c:legend>
    <c:plotVisOnly val="1"/>
    <c:dispBlanksAs val="gap"/>
    <c:showDLblsOverMax val="0"/>
  </c:chart>
  <c:spPr>
    <a:solidFill>
      <a:srgbClr val="FFFFFF"/>
    </a:solidFill>
    <a:ln w="12700">
      <a:solidFill>
        <a:srgbClr val="FFFFFF"/>
      </a:solidFill>
      <a:prstDash val="solid"/>
    </a:ln>
  </c:spPr>
  <c:txPr>
    <a:bodyPr/>
    <a:lstStyle/>
    <a:p>
      <a:pPr>
        <a:defRPr sz="800" b="0" i="0" u="none" strike="noStrike" baseline="0">
          <a:solidFill>
            <a:srgbClr val="000000"/>
          </a:solidFill>
          <a:latin typeface=".VnTime"/>
          <a:ea typeface=".VnTime"/>
          <a:cs typeface=".VnTime"/>
        </a:defRPr>
      </a:pPr>
      <a:endParaRPr lang="vi-VN"/>
    </a:p>
  </c:txPr>
  <c:printSettings>
    <c:headerFooter alignWithMargins="0"/>
    <c:pageMargins b="1" l="0.75000000000000022" r="0.75000000000000022" t="1" header="0.5" footer="0.5"/>
    <c:pageSetup orientation="portrait"/>
  </c:printSettings>
</c:chartSpace>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xdr:col>
      <xdr:colOff>47625</xdr:colOff>
      <xdr:row>20</xdr:row>
      <xdr:rowOff>19050</xdr:rowOff>
    </xdr:from>
    <xdr:to>
      <xdr:col>6</xdr:col>
      <xdr:colOff>0</xdr:colOff>
      <xdr:row>21</xdr:row>
      <xdr:rowOff>0</xdr:rowOff>
    </xdr:to>
    <xdr:grpSp>
      <xdr:nvGrpSpPr>
        <xdr:cNvPr id="2" name="Group 1"/>
        <xdr:cNvGrpSpPr>
          <a:grpSpLocks/>
        </xdr:cNvGrpSpPr>
      </xdr:nvGrpSpPr>
      <xdr:grpSpPr bwMode="auto">
        <a:xfrm>
          <a:off x="2604721" y="3565281"/>
          <a:ext cx="457933" cy="171450"/>
          <a:chOff x="273" y="421"/>
          <a:chExt cx="44" cy="16"/>
        </a:xfrm>
      </xdr:grpSpPr>
      <xdr:sp macro="" textlink="">
        <xdr:nvSpPr>
          <xdr:cNvPr id="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5" name="Group 4"/>
        <xdr:cNvGrpSpPr>
          <a:grpSpLocks/>
        </xdr:cNvGrpSpPr>
      </xdr:nvGrpSpPr>
      <xdr:grpSpPr bwMode="auto">
        <a:xfrm>
          <a:off x="3091229" y="3565281"/>
          <a:ext cx="578827" cy="171450"/>
          <a:chOff x="273" y="421"/>
          <a:chExt cx="44" cy="16"/>
        </a:xfrm>
      </xdr:grpSpPr>
      <xdr:sp macro="" textlink="">
        <xdr:nvSpPr>
          <xdr:cNvPr id="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8" name="Group 7"/>
        <xdr:cNvGrpSpPr>
          <a:grpSpLocks/>
        </xdr:cNvGrpSpPr>
      </xdr:nvGrpSpPr>
      <xdr:grpSpPr bwMode="auto">
        <a:xfrm>
          <a:off x="3689106" y="3565281"/>
          <a:ext cx="454269" cy="171450"/>
          <a:chOff x="273" y="421"/>
          <a:chExt cx="44" cy="16"/>
        </a:xfrm>
      </xdr:grpSpPr>
      <xdr:sp macro="" textlink="">
        <xdr:nvSpPr>
          <xdr:cNvPr id="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1" name="Group 11"/>
        <xdr:cNvGrpSpPr>
          <a:grpSpLocks/>
        </xdr:cNvGrpSpPr>
      </xdr:nvGrpSpPr>
      <xdr:grpSpPr bwMode="auto">
        <a:xfrm>
          <a:off x="2604721" y="3565281"/>
          <a:ext cx="457933" cy="171450"/>
          <a:chOff x="273" y="421"/>
          <a:chExt cx="44" cy="16"/>
        </a:xfrm>
      </xdr:grpSpPr>
      <xdr:sp macro="" textlink="">
        <xdr:nvSpPr>
          <xdr:cNvPr id="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4" name="Group 14"/>
        <xdr:cNvGrpSpPr>
          <a:grpSpLocks/>
        </xdr:cNvGrpSpPr>
      </xdr:nvGrpSpPr>
      <xdr:grpSpPr bwMode="auto">
        <a:xfrm>
          <a:off x="3091229" y="3565281"/>
          <a:ext cx="578827" cy="171450"/>
          <a:chOff x="273" y="421"/>
          <a:chExt cx="44" cy="16"/>
        </a:xfrm>
      </xdr:grpSpPr>
      <xdr:sp macro="" textlink="">
        <xdr:nvSpPr>
          <xdr:cNvPr id="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7" name="Group 17"/>
        <xdr:cNvGrpSpPr>
          <a:grpSpLocks/>
        </xdr:cNvGrpSpPr>
      </xdr:nvGrpSpPr>
      <xdr:grpSpPr bwMode="auto">
        <a:xfrm>
          <a:off x="3689106" y="3565281"/>
          <a:ext cx="454269" cy="171450"/>
          <a:chOff x="273" y="421"/>
          <a:chExt cx="44" cy="16"/>
        </a:xfrm>
      </xdr:grpSpPr>
      <xdr:sp macro="" textlink="">
        <xdr:nvSpPr>
          <xdr:cNvPr id="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2" name="Group 1"/>
        <xdr:cNvGrpSpPr>
          <a:grpSpLocks/>
        </xdr:cNvGrpSpPr>
      </xdr:nvGrpSpPr>
      <xdr:grpSpPr bwMode="auto">
        <a:xfrm>
          <a:off x="2604721" y="3565281"/>
          <a:ext cx="457933" cy="171450"/>
          <a:chOff x="273" y="421"/>
          <a:chExt cx="44" cy="16"/>
        </a:xfrm>
      </xdr:grpSpPr>
      <xdr:sp macro="" textlink="">
        <xdr:nvSpPr>
          <xdr:cNvPr id="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5" name="Group 4"/>
        <xdr:cNvGrpSpPr>
          <a:grpSpLocks/>
        </xdr:cNvGrpSpPr>
      </xdr:nvGrpSpPr>
      <xdr:grpSpPr bwMode="auto">
        <a:xfrm>
          <a:off x="3091229" y="3565281"/>
          <a:ext cx="578827" cy="171450"/>
          <a:chOff x="273" y="421"/>
          <a:chExt cx="44" cy="16"/>
        </a:xfrm>
      </xdr:grpSpPr>
      <xdr:sp macro="" textlink="">
        <xdr:nvSpPr>
          <xdr:cNvPr id="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8" name="Group 7"/>
        <xdr:cNvGrpSpPr>
          <a:grpSpLocks/>
        </xdr:cNvGrpSpPr>
      </xdr:nvGrpSpPr>
      <xdr:grpSpPr bwMode="auto">
        <a:xfrm>
          <a:off x="3689106" y="3565281"/>
          <a:ext cx="454269" cy="171450"/>
          <a:chOff x="273" y="421"/>
          <a:chExt cx="44" cy="16"/>
        </a:xfrm>
      </xdr:grpSpPr>
      <xdr:sp macro="" textlink="">
        <xdr:nvSpPr>
          <xdr:cNvPr id="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31" name="Group 11"/>
        <xdr:cNvGrpSpPr>
          <a:grpSpLocks/>
        </xdr:cNvGrpSpPr>
      </xdr:nvGrpSpPr>
      <xdr:grpSpPr bwMode="auto">
        <a:xfrm>
          <a:off x="2604721" y="3565281"/>
          <a:ext cx="457933" cy="171450"/>
          <a:chOff x="273" y="421"/>
          <a:chExt cx="44" cy="16"/>
        </a:xfrm>
      </xdr:grpSpPr>
      <xdr:sp macro="" textlink="">
        <xdr:nvSpPr>
          <xdr:cNvPr id="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4" name="Group 14"/>
        <xdr:cNvGrpSpPr>
          <a:grpSpLocks/>
        </xdr:cNvGrpSpPr>
      </xdr:nvGrpSpPr>
      <xdr:grpSpPr bwMode="auto">
        <a:xfrm>
          <a:off x="3091229" y="3565281"/>
          <a:ext cx="578827" cy="171450"/>
          <a:chOff x="273" y="421"/>
          <a:chExt cx="44" cy="16"/>
        </a:xfrm>
      </xdr:grpSpPr>
      <xdr:sp macro="" textlink="">
        <xdr:nvSpPr>
          <xdr:cNvPr id="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7" name="Group 17"/>
        <xdr:cNvGrpSpPr>
          <a:grpSpLocks/>
        </xdr:cNvGrpSpPr>
      </xdr:nvGrpSpPr>
      <xdr:grpSpPr bwMode="auto">
        <a:xfrm>
          <a:off x="3689106" y="3565281"/>
          <a:ext cx="454269" cy="171450"/>
          <a:chOff x="273" y="421"/>
          <a:chExt cx="44" cy="16"/>
        </a:xfrm>
      </xdr:grpSpPr>
      <xdr:sp macro="" textlink="">
        <xdr:nvSpPr>
          <xdr:cNvPr id="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4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4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42" name="Group 1"/>
        <xdr:cNvGrpSpPr>
          <a:grpSpLocks/>
        </xdr:cNvGrpSpPr>
      </xdr:nvGrpSpPr>
      <xdr:grpSpPr bwMode="auto">
        <a:xfrm>
          <a:off x="2604721" y="3565281"/>
          <a:ext cx="457933" cy="171450"/>
          <a:chOff x="273" y="421"/>
          <a:chExt cx="44" cy="16"/>
        </a:xfrm>
      </xdr:grpSpPr>
      <xdr:sp macro="" textlink="">
        <xdr:nvSpPr>
          <xdr:cNvPr id="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45" name="Group 4"/>
        <xdr:cNvGrpSpPr>
          <a:grpSpLocks/>
        </xdr:cNvGrpSpPr>
      </xdr:nvGrpSpPr>
      <xdr:grpSpPr bwMode="auto">
        <a:xfrm>
          <a:off x="3091229" y="3565281"/>
          <a:ext cx="578827" cy="171450"/>
          <a:chOff x="273" y="421"/>
          <a:chExt cx="44" cy="16"/>
        </a:xfrm>
      </xdr:grpSpPr>
      <xdr:sp macro="" textlink="">
        <xdr:nvSpPr>
          <xdr:cNvPr id="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48" name="Group 7"/>
        <xdr:cNvGrpSpPr>
          <a:grpSpLocks/>
        </xdr:cNvGrpSpPr>
      </xdr:nvGrpSpPr>
      <xdr:grpSpPr bwMode="auto">
        <a:xfrm>
          <a:off x="3689106" y="3565281"/>
          <a:ext cx="454269" cy="171450"/>
          <a:chOff x="273" y="421"/>
          <a:chExt cx="44" cy="16"/>
        </a:xfrm>
      </xdr:grpSpPr>
      <xdr:sp macro="" textlink="">
        <xdr:nvSpPr>
          <xdr:cNvPr id="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51" name="Group 11"/>
        <xdr:cNvGrpSpPr>
          <a:grpSpLocks/>
        </xdr:cNvGrpSpPr>
      </xdr:nvGrpSpPr>
      <xdr:grpSpPr bwMode="auto">
        <a:xfrm>
          <a:off x="2604721" y="3565281"/>
          <a:ext cx="457933" cy="171450"/>
          <a:chOff x="273" y="421"/>
          <a:chExt cx="44" cy="16"/>
        </a:xfrm>
      </xdr:grpSpPr>
      <xdr:sp macro="" textlink="">
        <xdr:nvSpPr>
          <xdr:cNvPr id="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54" name="Group 14"/>
        <xdr:cNvGrpSpPr>
          <a:grpSpLocks/>
        </xdr:cNvGrpSpPr>
      </xdr:nvGrpSpPr>
      <xdr:grpSpPr bwMode="auto">
        <a:xfrm>
          <a:off x="3091229" y="3565281"/>
          <a:ext cx="578827" cy="171450"/>
          <a:chOff x="273" y="421"/>
          <a:chExt cx="44" cy="16"/>
        </a:xfrm>
      </xdr:grpSpPr>
      <xdr:sp macro="" textlink="">
        <xdr:nvSpPr>
          <xdr:cNvPr id="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57" name="Group 17"/>
        <xdr:cNvGrpSpPr>
          <a:grpSpLocks/>
        </xdr:cNvGrpSpPr>
      </xdr:nvGrpSpPr>
      <xdr:grpSpPr bwMode="auto">
        <a:xfrm>
          <a:off x="3689106" y="3565281"/>
          <a:ext cx="454269" cy="171450"/>
          <a:chOff x="273" y="421"/>
          <a:chExt cx="44" cy="16"/>
        </a:xfrm>
      </xdr:grpSpPr>
      <xdr:sp macro="" textlink="">
        <xdr:nvSpPr>
          <xdr:cNvPr id="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6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6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62" name="Group 1"/>
        <xdr:cNvGrpSpPr>
          <a:grpSpLocks/>
        </xdr:cNvGrpSpPr>
      </xdr:nvGrpSpPr>
      <xdr:grpSpPr bwMode="auto">
        <a:xfrm>
          <a:off x="2604721" y="3565281"/>
          <a:ext cx="457933" cy="171450"/>
          <a:chOff x="273" y="421"/>
          <a:chExt cx="44" cy="16"/>
        </a:xfrm>
      </xdr:grpSpPr>
      <xdr:sp macro="" textlink="">
        <xdr:nvSpPr>
          <xdr:cNvPr id="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65" name="Group 4"/>
        <xdr:cNvGrpSpPr>
          <a:grpSpLocks/>
        </xdr:cNvGrpSpPr>
      </xdr:nvGrpSpPr>
      <xdr:grpSpPr bwMode="auto">
        <a:xfrm>
          <a:off x="3091229" y="3565281"/>
          <a:ext cx="578827" cy="171450"/>
          <a:chOff x="273" y="421"/>
          <a:chExt cx="44" cy="16"/>
        </a:xfrm>
      </xdr:grpSpPr>
      <xdr:sp macro="" textlink="">
        <xdr:nvSpPr>
          <xdr:cNvPr id="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68" name="Group 7"/>
        <xdr:cNvGrpSpPr>
          <a:grpSpLocks/>
        </xdr:cNvGrpSpPr>
      </xdr:nvGrpSpPr>
      <xdr:grpSpPr bwMode="auto">
        <a:xfrm>
          <a:off x="3689106" y="3565281"/>
          <a:ext cx="454269" cy="171450"/>
          <a:chOff x="273" y="421"/>
          <a:chExt cx="44" cy="16"/>
        </a:xfrm>
      </xdr:grpSpPr>
      <xdr:sp macro="" textlink="">
        <xdr:nvSpPr>
          <xdr:cNvPr id="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71" name="Group 11"/>
        <xdr:cNvGrpSpPr>
          <a:grpSpLocks/>
        </xdr:cNvGrpSpPr>
      </xdr:nvGrpSpPr>
      <xdr:grpSpPr bwMode="auto">
        <a:xfrm>
          <a:off x="2604721" y="3565281"/>
          <a:ext cx="457933" cy="171450"/>
          <a:chOff x="273" y="421"/>
          <a:chExt cx="44" cy="16"/>
        </a:xfrm>
      </xdr:grpSpPr>
      <xdr:sp macro="" textlink="">
        <xdr:nvSpPr>
          <xdr:cNvPr id="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74" name="Group 14"/>
        <xdr:cNvGrpSpPr>
          <a:grpSpLocks/>
        </xdr:cNvGrpSpPr>
      </xdr:nvGrpSpPr>
      <xdr:grpSpPr bwMode="auto">
        <a:xfrm>
          <a:off x="3091229" y="3565281"/>
          <a:ext cx="578827" cy="171450"/>
          <a:chOff x="273" y="421"/>
          <a:chExt cx="44" cy="16"/>
        </a:xfrm>
      </xdr:grpSpPr>
      <xdr:sp macro="" textlink="">
        <xdr:nvSpPr>
          <xdr:cNvPr id="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77" name="Group 17"/>
        <xdr:cNvGrpSpPr>
          <a:grpSpLocks/>
        </xdr:cNvGrpSpPr>
      </xdr:nvGrpSpPr>
      <xdr:grpSpPr bwMode="auto">
        <a:xfrm>
          <a:off x="3689106" y="3565281"/>
          <a:ext cx="454269" cy="171450"/>
          <a:chOff x="273" y="421"/>
          <a:chExt cx="44" cy="16"/>
        </a:xfrm>
      </xdr:grpSpPr>
      <xdr:sp macro="" textlink="">
        <xdr:nvSpPr>
          <xdr:cNvPr id="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8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8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82" name="Group 1"/>
        <xdr:cNvGrpSpPr>
          <a:grpSpLocks/>
        </xdr:cNvGrpSpPr>
      </xdr:nvGrpSpPr>
      <xdr:grpSpPr bwMode="auto">
        <a:xfrm>
          <a:off x="2604721" y="3565281"/>
          <a:ext cx="457933" cy="171450"/>
          <a:chOff x="273" y="421"/>
          <a:chExt cx="44" cy="16"/>
        </a:xfrm>
      </xdr:grpSpPr>
      <xdr:sp macro="" textlink="">
        <xdr:nvSpPr>
          <xdr:cNvPr id="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85" name="Group 4"/>
        <xdr:cNvGrpSpPr>
          <a:grpSpLocks/>
        </xdr:cNvGrpSpPr>
      </xdr:nvGrpSpPr>
      <xdr:grpSpPr bwMode="auto">
        <a:xfrm>
          <a:off x="3091229" y="3565281"/>
          <a:ext cx="578827" cy="171450"/>
          <a:chOff x="273" y="421"/>
          <a:chExt cx="44" cy="16"/>
        </a:xfrm>
      </xdr:grpSpPr>
      <xdr:sp macro="" textlink="">
        <xdr:nvSpPr>
          <xdr:cNvPr id="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88" name="Group 7"/>
        <xdr:cNvGrpSpPr>
          <a:grpSpLocks/>
        </xdr:cNvGrpSpPr>
      </xdr:nvGrpSpPr>
      <xdr:grpSpPr bwMode="auto">
        <a:xfrm>
          <a:off x="3689106" y="3565281"/>
          <a:ext cx="454269" cy="171450"/>
          <a:chOff x="273" y="421"/>
          <a:chExt cx="44" cy="16"/>
        </a:xfrm>
      </xdr:grpSpPr>
      <xdr:sp macro="" textlink="">
        <xdr:nvSpPr>
          <xdr:cNvPr id="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91" name="Group 11"/>
        <xdr:cNvGrpSpPr>
          <a:grpSpLocks/>
        </xdr:cNvGrpSpPr>
      </xdr:nvGrpSpPr>
      <xdr:grpSpPr bwMode="auto">
        <a:xfrm>
          <a:off x="2604721" y="3565281"/>
          <a:ext cx="457933" cy="171450"/>
          <a:chOff x="273" y="421"/>
          <a:chExt cx="44" cy="16"/>
        </a:xfrm>
      </xdr:grpSpPr>
      <xdr:sp macro="" textlink="">
        <xdr:nvSpPr>
          <xdr:cNvPr id="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94" name="Group 14"/>
        <xdr:cNvGrpSpPr>
          <a:grpSpLocks/>
        </xdr:cNvGrpSpPr>
      </xdr:nvGrpSpPr>
      <xdr:grpSpPr bwMode="auto">
        <a:xfrm>
          <a:off x="3091229" y="3565281"/>
          <a:ext cx="578827" cy="171450"/>
          <a:chOff x="273" y="421"/>
          <a:chExt cx="44" cy="16"/>
        </a:xfrm>
      </xdr:grpSpPr>
      <xdr:sp macro="" textlink="">
        <xdr:nvSpPr>
          <xdr:cNvPr id="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97" name="Group 17"/>
        <xdr:cNvGrpSpPr>
          <a:grpSpLocks/>
        </xdr:cNvGrpSpPr>
      </xdr:nvGrpSpPr>
      <xdr:grpSpPr bwMode="auto">
        <a:xfrm>
          <a:off x="3689106" y="3565281"/>
          <a:ext cx="454269" cy="171450"/>
          <a:chOff x="273" y="421"/>
          <a:chExt cx="44" cy="16"/>
        </a:xfrm>
      </xdr:grpSpPr>
      <xdr:sp macro="" textlink="">
        <xdr:nvSpPr>
          <xdr:cNvPr id="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0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0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02" name="Group 1"/>
        <xdr:cNvGrpSpPr>
          <a:grpSpLocks/>
        </xdr:cNvGrpSpPr>
      </xdr:nvGrpSpPr>
      <xdr:grpSpPr bwMode="auto">
        <a:xfrm>
          <a:off x="2604721" y="3565281"/>
          <a:ext cx="457933" cy="171450"/>
          <a:chOff x="273" y="421"/>
          <a:chExt cx="44" cy="16"/>
        </a:xfrm>
      </xdr:grpSpPr>
      <xdr:sp macro="" textlink="">
        <xdr:nvSpPr>
          <xdr:cNvPr id="1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05" name="Group 4"/>
        <xdr:cNvGrpSpPr>
          <a:grpSpLocks/>
        </xdr:cNvGrpSpPr>
      </xdr:nvGrpSpPr>
      <xdr:grpSpPr bwMode="auto">
        <a:xfrm>
          <a:off x="3091229" y="3565281"/>
          <a:ext cx="578827" cy="171450"/>
          <a:chOff x="273" y="421"/>
          <a:chExt cx="44" cy="16"/>
        </a:xfrm>
      </xdr:grpSpPr>
      <xdr:sp macro="" textlink="">
        <xdr:nvSpPr>
          <xdr:cNvPr id="1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08" name="Group 7"/>
        <xdr:cNvGrpSpPr>
          <a:grpSpLocks/>
        </xdr:cNvGrpSpPr>
      </xdr:nvGrpSpPr>
      <xdr:grpSpPr bwMode="auto">
        <a:xfrm>
          <a:off x="3689106" y="3565281"/>
          <a:ext cx="454269" cy="171450"/>
          <a:chOff x="273" y="421"/>
          <a:chExt cx="44" cy="16"/>
        </a:xfrm>
      </xdr:grpSpPr>
      <xdr:sp macro="" textlink="">
        <xdr:nvSpPr>
          <xdr:cNvPr id="1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11" name="Group 11"/>
        <xdr:cNvGrpSpPr>
          <a:grpSpLocks/>
        </xdr:cNvGrpSpPr>
      </xdr:nvGrpSpPr>
      <xdr:grpSpPr bwMode="auto">
        <a:xfrm>
          <a:off x="2604721" y="3565281"/>
          <a:ext cx="457933" cy="171450"/>
          <a:chOff x="273" y="421"/>
          <a:chExt cx="44" cy="16"/>
        </a:xfrm>
      </xdr:grpSpPr>
      <xdr:sp macro="" textlink="">
        <xdr:nvSpPr>
          <xdr:cNvPr id="1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14" name="Group 14"/>
        <xdr:cNvGrpSpPr>
          <a:grpSpLocks/>
        </xdr:cNvGrpSpPr>
      </xdr:nvGrpSpPr>
      <xdr:grpSpPr bwMode="auto">
        <a:xfrm>
          <a:off x="3091229" y="3565281"/>
          <a:ext cx="578827" cy="171450"/>
          <a:chOff x="273" y="421"/>
          <a:chExt cx="44" cy="16"/>
        </a:xfrm>
      </xdr:grpSpPr>
      <xdr:sp macro="" textlink="">
        <xdr:nvSpPr>
          <xdr:cNvPr id="1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17" name="Group 17"/>
        <xdr:cNvGrpSpPr>
          <a:grpSpLocks/>
        </xdr:cNvGrpSpPr>
      </xdr:nvGrpSpPr>
      <xdr:grpSpPr bwMode="auto">
        <a:xfrm>
          <a:off x="3689106" y="3565281"/>
          <a:ext cx="454269" cy="171450"/>
          <a:chOff x="273" y="421"/>
          <a:chExt cx="44" cy="16"/>
        </a:xfrm>
      </xdr:grpSpPr>
      <xdr:sp macro="" textlink="">
        <xdr:nvSpPr>
          <xdr:cNvPr id="1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2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2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22" name="Group 1"/>
        <xdr:cNvGrpSpPr>
          <a:grpSpLocks/>
        </xdr:cNvGrpSpPr>
      </xdr:nvGrpSpPr>
      <xdr:grpSpPr bwMode="auto">
        <a:xfrm>
          <a:off x="2604721" y="3565281"/>
          <a:ext cx="457933" cy="171450"/>
          <a:chOff x="273" y="421"/>
          <a:chExt cx="44" cy="16"/>
        </a:xfrm>
      </xdr:grpSpPr>
      <xdr:sp macro="" textlink="">
        <xdr:nvSpPr>
          <xdr:cNvPr id="1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25" name="Group 4"/>
        <xdr:cNvGrpSpPr>
          <a:grpSpLocks/>
        </xdr:cNvGrpSpPr>
      </xdr:nvGrpSpPr>
      <xdr:grpSpPr bwMode="auto">
        <a:xfrm>
          <a:off x="3091229" y="3565281"/>
          <a:ext cx="578827" cy="171450"/>
          <a:chOff x="273" y="421"/>
          <a:chExt cx="44" cy="16"/>
        </a:xfrm>
      </xdr:grpSpPr>
      <xdr:sp macro="" textlink="">
        <xdr:nvSpPr>
          <xdr:cNvPr id="1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28" name="Group 7"/>
        <xdr:cNvGrpSpPr>
          <a:grpSpLocks/>
        </xdr:cNvGrpSpPr>
      </xdr:nvGrpSpPr>
      <xdr:grpSpPr bwMode="auto">
        <a:xfrm>
          <a:off x="3689106" y="3565281"/>
          <a:ext cx="454269" cy="171450"/>
          <a:chOff x="273" y="421"/>
          <a:chExt cx="44" cy="16"/>
        </a:xfrm>
      </xdr:grpSpPr>
      <xdr:sp macro="" textlink="">
        <xdr:nvSpPr>
          <xdr:cNvPr id="1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31" name="Group 11"/>
        <xdr:cNvGrpSpPr>
          <a:grpSpLocks/>
        </xdr:cNvGrpSpPr>
      </xdr:nvGrpSpPr>
      <xdr:grpSpPr bwMode="auto">
        <a:xfrm>
          <a:off x="2604721" y="3565281"/>
          <a:ext cx="457933" cy="171450"/>
          <a:chOff x="273" y="421"/>
          <a:chExt cx="44" cy="16"/>
        </a:xfrm>
      </xdr:grpSpPr>
      <xdr:sp macro="" textlink="">
        <xdr:nvSpPr>
          <xdr:cNvPr id="1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34" name="Group 14"/>
        <xdr:cNvGrpSpPr>
          <a:grpSpLocks/>
        </xdr:cNvGrpSpPr>
      </xdr:nvGrpSpPr>
      <xdr:grpSpPr bwMode="auto">
        <a:xfrm>
          <a:off x="3091229" y="3565281"/>
          <a:ext cx="578827" cy="171450"/>
          <a:chOff x="273" y="421"/>
          <a:chExt cx="44" cy="16"/>
        </a:xfrm>
      </xdr:grpSpPr>
      <xdr:sp macro="" textlink="">
        <xdr:nvSpPr>
          <xdr:cNvPr id="1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37" name="Group 17"/>
        <xdr:cNvGrpSpPr>
          <a:grpSpLocks/>
        </xdr:cNvGrpSpPr>
      </xdr:nvGrpSpPr>
      <xdr:grpSpPr bwMode="auto">
        <a:xfrm>
          <a:off x="3689106" y="3565281"/>
          <a:ext cx="454269" cy="171450"/>
          <a:chOff x="273" y="421"/>
          <a:chExt cx="44" cy="16"/>
        </a:xfrm>
      </xdr:grpSpPr>
      <xdr:sp macro="" textlink="">
        <xdr:nvSpPr>
          <xdr:cNvPr id="1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4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4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42" name="Group 1"/>
        <xdr:cNvGrpSpPr>
          <a:grpSpLocks/>
        </xdr:cNvGrpSpPr>
      </xdr:nvGrpSpPr>
      <xdr:grpSpPr bwMode="auto">
        <a:xfrm>
          <a:off x="2604721" y="3565281"/>
          <a:ext cx="457933" cy="171450"/>
          <a:chOff x="273" y="421"/>
          <a:chExt cx="44" cy="16"/>
        </a:xfrm>
      </xdr:grpSpPr>
      <xdr:sp macro="" textlink="">
        <xdr:nvSpPr>
          <xdr:cNvPr id="1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45" name="Group 4"/>
        <xdr:cNvGrpSpPr>
          <a:grpSpLocks/>
        </xdr:cNvGrpSpPr>
      </xdr:nvGrpSpPr>
      <xdr:grpSpPr bwMode="auto">
        <a:xfrm>
          <a:off x="3091229" y="3565281"/>
          <a:ext cx="578827" cy="171450"/>
          <a:chOff x="273" y="421"/>
          <a:chExt cx="44" cy="16"/>
        </a:xfrm>
      </xdr:grpSpPr>
      <xdr:sp macro="" textlink="">
        <xdr:nvSpPr>
          <xdr:cNvPr id="1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48" name="Group 7"/>
        <xdr:cNvGrpSpPr>
          <a:grpSpLocks/>
        </xdr:cNvGrpSpPr>
      </xdr:nvGrpSpPr>
      <xdr:grpSpPr bwMode="auto">
        <a:xfrm>
          <a:off x="3689106" y="3565281"/>
          <a:ext cx="454269" cy="171450"/>
          <a:chOff x="273" y="421"/>
          <a:chExt cx="44" cy="16"/>
        </a:xfrm>
      </xdr:grpSpPr>
      <xdr:sp macro="" textlink="">
        <xdr:nvSpPr>
          <xdr:cNvPr id="1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51" name="Group 11"/>
        <xdr:cNvGrpSpPr>
          <a:grpSpLocks/>
        </xdr:cNvGrpSpPr>
      </xdr:nvGrpSpPr>
      <xdr:grpSpPr bwMode="auto">
        <a:xfrm>
          <a:off x="2604721" y="3565281"/>
          <a:ext cx="457933" cy="171450"/>
          <a:chOff x="273" y="421"/>
          <a:chExt cx="44" cy="16"/>
        </a:xfrm>
      </xdr:grpSpPr>
      <xdr:sp macro="" textlink="">
        <xdr:nvSpPr>
          <xdr:cNvPr id="1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54" name="Group 14"/>
        <xdr:cNvGrpSpPr>
          <a:grpSpLocks/>
        </xdr:cNvGrpSpPr>
      </xdr:nvGrpSpPr>
      <xdr:grpSpPr bwMode="auto">
        <a:xfrm>
          <a:off x="3091229" y="3565281"/>
          <a:ext cx="578827" cy="171450"/>
          <a:chOff x="273" y="421"/>
          <a:chExt cx="44" cy="16"/>
        </a:xfrm>
      </xdr:grpSpPr>
      <xdr:sp macro="" textlink="">
        <xdr:nvSpPr>
          <xdr:cNvPr id="1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57" name="Group 17"/>
        <xdr:cNvGrpSpPr>
          <a:grpSpLocks/>
        </xdr:cNvGrpSpPr>
      </xdr:nvGrpSpPr>
      <xdr:grpSpPr bwMode="auto">
        <a:xfrm>
          <a:off x="3689106" y="3565281"/>
          <a:ext cx="454269" cy="171450"/>
          <a:chOff x="273" y="421"/>
          <a:chExt cx="44" cy="16"/>
        </a:xfrm>
      </xdr:grpSpPr>
      <xdr:sp macro="" textlink="">
        <xdr:nvSpPr>
          <xdr:cNvPr id="1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6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6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62" name="Group 1"/>
        <xdr:cNvGrpSpPr>
          <a:grpSpLocks/>
        </xdr:cNvGrpSpPr>
      </xdr:nvGrpSpPr>
      <xdr:grpSpPr bwMode="auto">
        <a:xfrm>
          <a:off x="2604721" y="3565281"/>
          <a:ext cx="457933" cy="171450"/>
          <a:chOff x="273" y="421"/>
          <a:chExt cx="44" cy="16"/>
        </a:xfrm>
      </xdr:grpSpPr>
      <xdr:sp macro="" textlink="">
        <xdr:nvSpPr>
          <xdr:cNvPr id="1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65" name="Group 4"/>
        <xdr:cNvGrpSpPr>
          <a:grpSpLocks/>
        </xdr:cNvGrpSpPr>
      </xdr:nvGrpSpPr>
      <xdr:grpSpPr bwMode="auto">
        <a:xfrm>
          <a:off x="3091229" y="3565281"/>
          <a:ext cx="578827" cy="171450"/>
          <a:chOff x="273" y="421"/>
          <a:chExt cx="44" cy="16"/>
        </a:xfrm>
      </xdr:grpSpPr>
      <xdr:sp macro="" textlink="">
        <xdr:nvSpPr>
          <xdr:cNvPr id="1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68" name="Group 7"/>
        <xdr:cNvGrpSpPr>
          <a:grpSpLocks/>
        </xdr:cNvGrpSpPr>
      </xdr:nvGrpSpPr>
      <xdr:grpSpPr bwMode="auto">
        <a:xfrm>
          <a:off x="3689106" y="3565281"/>
          <a:ext cx="454269" cy="171450"/>
          <a:chOff x="273" y="421"/>
          <a:chExt cx="44" cy="16"/>
        </a:xfrm>
      </xdr:grpSpPr>
      <xdr:sp macro="" textlink="">
        <xdr:nvSpPr>
          <xdr:cNvPr id="1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71" name="Group 11"/>
        <xdr:cNvGrpSpPr>
          <a:grpSpLocks/>
        </xdr:cNvGrpSpPr>
      </xdr:nvGrpSpPr>
      <xdr:grpSpPr bwMode="auto">
        <a:xfrm>
          <a:off x="2604721" y="3565281"/>
          <a:ext cx="457933" cy="171450"/>
          <a:chOff x="273" y="421"/>
          <a:chExt cx="44" cy="16"/>
        </a:xfrm>
      </xdr:grpSpPr>
      <xdr:sp macro="" textlink="">
        <xdr:nvSpPr>
          <xdr:cNvPr id="1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74" name="Group 14"/>
        <xdr:cNvGrpSpPr>
          <a:grpSpLocks/>
        </xdr:cNvGrpSpPr>
      </xdr:nvGrpSpPr>
      <xdr:grpSpPr bwMode="auto">
        <a:xfrm>
          <a:off x="3091229" y="3565281"/>
          <a:ext cx="578827" cy="171450"/>
          <a:chOff x="273" y="421"/>
          <a:chExt cx="44" cy="16"/>
        </a:xfrm>
      </xdr:grpSpPr>
      <xdr:sp macro="" textlink="">
        <xdr:nvSpPr>
          <xdr:cNvPr id="1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77" name="Group 17"/>
        <xdr:cNvGrpSpPr>
          <a:grpSpLocks/>
        </xdr:cNvGrpSpPr>
      </xdr:nvGrpSpPr>
      <xdr:grpSpPr bwMode="auto">
        <a:xfrm>
          <a:off x="3689106" y="3565281"/>
          <a:ext cx="454269" cy="171450"/>
          <a:chOff x="273" y="421"/>
          <a:chExt cx="44" cy="16"/>
        </a:xfrm>
      </xdr:grpSpPr>
      <xdr:sp macro="" textlink="">
        <xdr:nvSpPr>
          <xdr:cNvPr id="1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8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8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82" name="Group 1"/>
        <xdr:cNvGrpSpPr>
          <a:grpSpLocks/>
        </xdr:cNvGrpSpPr>
      </xdr:nvGrpSpPr>
      <xdr:grpSpPr bwMode="auto">
        <a:xfrm>
          <a:off x="2604721" y="3565281"/>
          <a:ext cx="457933" cy="171450"/>
          <a:chOff x="273" y="421"/>
          <a:chExt cx="44" cy="16"/>
        </a:xfrm>
      </xdr:grpSpPr>
      <xdr:sp macro="" textlink="">
        <xdr:nvSpPr>
          <xdr:cNvPr id="1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85" name="Group 4"/>
        <xdr:cNvGrpSpPr>
          <a:grpSpLocks/>
        </xdr:cNvGrpSpPr>
      </xdr:nvGrpSpPr>
      <xdr:grpSpPr bwMode="auto">
        <a:xfrm>
          <a:off x="3091229" y="3565281"/>
          <a:ext cx="578827" cy="171450"/>
          <a:chOff x="273" y="421"/>
          <a:chExt cx="44" cy="16"/>
        </a:xfrm>
      </xdr:grpSpPr>
      <xdr:sp macro="" textlink="">
        <xdr:nvSpPr>
          <xdr:cNvPr id="1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88" name="Group 7"/>
        <xdr:cNvGrpSpPr>
          <a:grpSpLocks/>
        </xdr:cNvGrpSpPr>
      </xdr:nvGrpSpPr>
      <xdr:grpSpPr bwMode="auto">
        <a:xfrm>
          <a:off x="3689106" y="3565281"/>
          <a:ext cx="454269" cy="171450"/>
          <a:chOff x="273" y="421"/>
          <a:chExt cx="44" cy="16"/>
        </a:xfrm>
      </xdr:grpSpPr>
      <xdr:sp macro="" textlink="">
        <xdr:nvSpPr>
          <xdr:cNvPr id="1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91" name="Group 11"/>
        <xdr:cNvGrpSpPr>
          <a:grpSpLocks/>
        </xdr:cNvGrpSpPr>
      </xdr:nvGrpSpPr>
      <xdr:grpSpPr bwMode="auto">
        <a:xfrm>
          <a:off x="2604721" y="3565281"/>
          <a:ext cx="457933" cy="171450"/>
          <a:chOff x="273" y="421"/>
          <a:chExt cx="44" cy="16"/>
        </a:xfrm>
      </xdr:grpSpPr>
      <xdr:sp macro="" textlink="">
        <xdr:nvSpPr>
          <xdr:cNvPr id="1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94" name="Group 14"/>
        <xdr:cNvGrpSpPr>
          <a:grpSpLocks/>
        </xdr:cNvGrpSpPr>
      </xdr:nvGrpSpPr>
      <xdr:grpSpPr bwMode="auto">
        <a:xfrm>
          <a:off x="3091229" y="3565281"/>
          <a:ext cx="578827" cy="171450"/>
          <a:chOff x="273" y="421"/>
          <a:chExt cx="44" cy="16"/>
        </a:xfrm>
      </xdr:grpSpPr>
      <xdr:sp macro="" textlink="">
        <xdr:nvSpPr>
          <xdr:cNvPr id="1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97" name="Group 17"/>
        <xdr:cNvGrpSpPr>
          <a:grpSpLocks/>
        </xdr:cNvGrpSpPr>
      </xdr:nvGrpSpPr>
      <xdr:grpSpPr bwMode="auto">
        <a:xfrm>
          <a:off x="3689106" y="3565281"/>
          <a:ext cx="454269" cy="171450"/>
          <a:chOff x="273" y="421"/>
          <a:chExt cx="44" cy="16"/>
        </a:xfrm>
      </xdr:grpSpPr>
      <xdr:sp macro="" textlink="">
        <xdr:nvSpPr>
          <xdr:cNvPr id="1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0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0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02" name="Group 1"/>
        <xdr:cNvGrpSpPr>
          <a:grpSpLocks/>
        </xdr:cNvGrpSpPr>
      </xdr:nvGrpSpPr>
      <xdr:grpSpPr bwMode="auto">
        <a:xfrm>
          <a:off x="2604721" y="3565281"/>
          <a:ext cx="457933" cy="171450"/>
          <a:chOff x="273" y="421"/>
          <a:chExt cx="44" cy="16"/>
        </a:xfrm>
      </xdr:grpSpPr>
      <xdr:sp macro="" textlink="">
        <xdr:nvSpPr>
          <xdr:cNvPr id="2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05" name="Group 4"/>
        <xdr:cNvGrpSpPr>
          <a:grpSpLocks/>
        </xdr:cNvGrpSpPr>
      </xdr:nvGrpSpPr>
      <xdr:grpSpPr bwMode="auto">
        <a:xfrm>
          <a:off x="3091229" y="3565281"/>
          <a:ext cx="578827" cy="171450"/>
          <a:chOff x="273" y="421"/>
          <a:chExt cx="44" cy="16"/>
        </a:xfrm>
      </xdr:grpSpPr>
      <xdr:sp macro="" textlink="">
        <xdr:nvSpPr>
          <xdr:cNvPr id="2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08" name="Group 7"/>
        <xdr:cNvGrpSpPr>
          <a:grpSpLocks/>
        </xdr:cNvGrpSpPr>
      </xdr:nvGrpSpPr>
      <xdr:grpSpPr bwMode="auto">
        <a:xfrm>
          <a:off x="3689106" y="3565281"/>
          <a:ext cx="454269" cy="171450"/>
          <a:chOff x="273" y="421"/>
          <a:chExt cx="44" cy="16"/>
        </a:xfrm>
      </xdr:grpSpPr>
      <xdr:sp macro="" textlink="">
        <xdr:nvSpPr>
          <xdr:cNvPr id="2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1" name="Group 11"/>
        <xdr:cNvGrpSpPr>
          <a:grpSpLocks/>
        </xdr:cNvGrpSpPr>
      </xdr:nvGrpSpPr>
      <xdr:grpSpPr bwMode="auto">
        <a:xfrm>
          <a:off x="2604721" y="3565281"/>
          <a:ext cx="457933" cy="171450"/>
          <a:chOff x="273" y="421"/>
          <a:chExt cx="44" cy="16"/>
        </a:xfrm>
      </xdr:grpSpPr>
      <xdr:sp macro="" textlink="">
        <xdr:nvSpPr>
          <xdr:cNvPr id="2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4" name="Group 14"/>
        <xdr:cNvGrpSpPr>
          <a:grpSpLocks/>
        </xdr:cNvGrpSpPr>
      </xdr:nvGrpSpPr>
      <xdr:grpSpPr bwMode="auto">
        <a:xfrm>
          <a:off x="3091229" y="3565281"/>
          <a:ext cx="578827" cy="171450"/>
          <a:chOff x="273" y="421"/>
          <a:chExt cx="44" cy="16"/>
        </a:xfrm>
      </xdr:grpSpPr>
      <xdr:sp macro="" textlink="">
        <xdr:nvSpPr>
          <xdr:cNvPr id="2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 name="Group 17"/>
        <xdr:cNvGrpSpPr>
          <a:grpSpLocks/>
        </xdr:cNvGrpSpPr>
      </xdr:nvGrpSpPr>
      <xdr:grpSpPr bwMode="auto">
        <a:xfrm>
          <a:off x="3689106" y="3565281"/>
          <a:ext cx="454269" cy="171450"/>
          <a:chOff x="273" y="421"/>
          <a:chExt cx="44" cy="16"/>
        </a:xfrm>
      </xdr:grpSpPr>
      <xdr:sp macro="" textlink="">
        <xdr:nvSpPr>
          <xdr:cNvPr id="2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2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2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22" name="Group 1"/>
        <xdr:cNvGrpSpPr>
          <a:grpSpLocks/>
        </xdr:cNvGrpSpPr>
      </xdr:nvGrpSpPr>
      <xdr:grpSpPr bwMode="auto">
        <a:xfrm>
          <a:off x="2604721" y="3565281"/>
          <a:ext cx="457933" cy="171450"/>
          <a:chOff x="273" y="421"/>
          <a:chExt cx="44" cy="16"/>
        </a:xfrm>
      </xdr:grpSpPr>
      <xdr:sp macro="" textlink="">
        <xdr:nvSpPr>
          <xdr:cNvPr id="2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25" name="Group 4"/>
        <xdr:cNvGrpSpPr>
          <a:grpSpLocks/>
        </xdr:cNvGrpSpPr>
      </xdr:nvGrpSpPr>
      <xdr:grpSpPr bwMode="auto">
        <a:xfrm>
          <a:off x="3091229" y="3565281"/>
          <a:ext cx="578827" cy="171450"/>
          <a:chOff x="273" y="421"/>
          <a:chExt cx="44" cy="16"/>
        </a:xfrm>
      </xdr:grpSpPr>
      <xdr:sp macro="" textlink="">
        <xdr:nvSpPr>
          <xdr:cNvPr id="2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28" name="Group 7"/>
        <xdr:cNvGrpSpPr>
          <a:grpSpLocks/>
        </xdr:cNvGrpSpPr>
      </xdr:nvGrpSpPr>
      <xdr:grpSpPr bwMode="auto">
        <a:xfrm>
          <a:off x="3689106" y="3565281"/>
          <a:ext cx="454269" cy="171450"/>
          <a:chOff x="273" y="421"/>
          <a:chExt cx="44" cy="16"/>
        </a:xfrm>
      </xdr:grpSpPr>
      <xdr:sp macro="" textlink="">
        <xdr:nvSpPr>
          <xdr:cNvPr id="2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31" name="Group 11"/>
        <xdr:cNvGrpSpPr>
          <a:grpSpLocks/>
        </xdr:cNvGrpSpPr>
      </xdr:nvGrpSpPr>
      <xdr:grpSpPr bwMode="auto">
        <a:xfrm>
          <a:off x="2604721" y="3565281"/>
          <a:ext cx="457933" cy="171450"/>
          <a:chOff x="273" y="421"/>
          <a:chExt cx="44" cy="16"/>
        </a:xfrm>
      </xdr:grpSpPr>
      <xdr:sp macro="" textlink="">
        <xdr:nvSpPr>
          <xdr:cNvPr id="2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34" name="Group 14"/>
        <xdr:cNvGrpSpPr>
          <a:grpSpLocks/>
        </xdr:cNvGrpSpPr>
      </xdr:nvGrpSpPr>
      <xdr:grpSpPr bwMode="auto">
        <a:xfrm>
          <a:off x="3091229" y="3565281"/>
          <a:ext cx="578827" cy="171450"/>
          <a:chOff x="273" y="421"/>
          <a:chExt cx="44" cy="16"/>
        </a:xfrm>
      </xdr:grpSpPr>
      <xdr:sp macro="" textlink="">
        <xdr:nvSpPr>
          <xdr:cNvPr id="2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37" name="Group 17"/>
        <xdr:cNvGrpSpPr>
          <a:grpSpLocks/>
        </xdr:cNvGrpSpPr>
      </xdr:nvGrpSpPr>
      <xdr:grpSpPr bwMode="auto">
        <a:xfrm>
          <a:off x="3689106" y="3565281"/>
          <a:ext cx="454269" cy="171450"/>
          <a:chOff x="273" y="421"/>
          <a:chExt cx="44" cy="16"/>
        </a:xfrm>
      </xdr:grpSpPr>
      <xdr:sp macro="" textlink="">
        <xdr:nvSpPr>
          <xdr:cNvPr id="2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4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4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42" name="Group 1"/>
        <xdr:cNvGrpSpPr>
          <a:grpSpLocks/>
        </xdr:cNvGrpSpPr>
      </xdr:nvGrpSpPr>
      <xdr:grpSpPr bwMode="auto">
        <a:xfrm>
          <a:off x="2604721" y="3565281"/>
          <a:ext cx="457933" cy="171450"/>
          <a:chOff x="273" y="421"/>
          <a:chExt cx="44" cy="16"/>
        </a:xfrm>
      </xdr:grpSpPr>
      <xdr:sp macro="" textlink="">
        <xdr:nvSpPr>
          <xdr:cNvPr id="2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45" name="Group 4"/>
        <xdr:cNvGrpSpPr>
          <a:grpSpLocks/>
        </xdr:cNvGrpSpPr>
      </xdr:nvGrpSpPr>
      <xdr:grpSpPr bwMode="auto">
        <a:xfrm>
          <a:off x="3091229" y="3565281"/>
          <a:ext cx="578827" cy="171450"/>
          <a:chOff x="273" y="421"/>
          <a:chExt cx="44" cy="16"/>
        </a:xfrm>
      </xdr:grpSpPr>
      <xdr:sp macro="" textlink="">
        <xdr:nvSpPr>
          <xdr:cNvPr id="2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48" name="Group 7"/>
        <xdr:cNvGrpSpPr>
          <a:grpSpLocks/>
        </xdr:cNvGrpSpPr>
      </xdr:nvGrpSpPr>
      <xdr:grpSpPr bwMode="auto">
        <a:xfrm>
          <a:off x="3689106" y="3565281"/>
          <a:ext cx="454269" cy="171450"/>
          <a:chOff x="273" y="421"/>
          <a:chExt cx="44" cy="16"/>
        </a:xfrm>
      </xdr:grpSpPr>
      <xdr:sp macro="" textlink="">
        <xdr:nvSpPr>
          <xdr:cNvPr id="2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51" name="Group 11"/>
        <xdr:cNvGrpSpPr>
          <a:grpSpLocks/>
        </xdr:cNvGrpSpPr>
      </xdr:nvGrpSpPr>
      <xdr:grpSpPr bwMode="auto">
        <a:xfrm>
          <a:off x="2604721" y="3565281"/>
          <a:ext cx="457933" cy="171450"/>
          <a:chOff x="273" y="421"/>
          <a:chExt cx="44" cy="16"/>
        </a:xfrm>
      </xdr:grpSpPr>
      <xdr:sp macro="" textlink="">
        <xdr:nvSpPr>
          <xdr:cNvPr id="2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54" name="Group 14"/>
        <xdr:cNvGrpSpPr>
          <a:grpSpLocks/>
        </xdr:cNvGrpSpPr>
      </xdr:nvGrpSpPr>
      <xdr:grpSpPr bwMode="auto">
        <a:xfrm>
          <a:off x="3091229" y="3565281"/>
          <a:ext cx="578827" cy="171450"/>
          <a:chOff x="273" y="421"/>
          <a:chExt cx="44" cy="16"/>
        </a:xfrm>
      </xdr:grpSpPr>
      <xdr:sp macro="" textlink="">
        <xdr:nvSpPr>
          <xdr:cNvPr id="2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57" name="Group 17"/>
        <xdr:cNvGrpSpPr>
          <a:grpSpLocks/>
        </xdr:cNvGrpSpPr>
      </xdr:nvGrpSpPr>
      <xdr:grpSpPr bwMode="auto">
        <a:xfrm>
          <a:off x="3689106" y="3565281"/>
          <a:ext cx="454269" cy="171450"/>
          <a:chOff x="273" y="421"/>
          <a:chExt cx="44" cy="16"/>
        </a:xfrm>
      </xdr:grpSpPr>
      <xdr:sp macro="" textlink="">
        <xdr:nvSpPr>
          <xdr:cNvPr id="2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6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6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62" name="Group 1"/>
        <xdr:cNvGrpSpPr>
          <a:grpSpLocks/>
        </xdr:cNvGrpSpPr>
      </xdr:nvGrpSpPr>
      <xdr:grpSpPr bwMode="auto">
        <a:xfrm>
          <a:off x="2604721" y="3565281"/>
          <a:ext cx="457933" cy="171450"/>
          <a:chOff x="273" y="421"/>
          <a:chExt cx="44" cy="16"/>
        </a:xfrm>
      </xdr:grpSpPr>
      <xdr:sp macro="" textlink="">
        <xdr:nvSpPr>
          <xdr:cNvPr id="2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65" name="Group 4"/>
        <xdr:cNvGrpSpPr>
          <a:grpSpLocks/>
        </xdr:cNvGrpSpPr>
      </xdr:nvGrpSpPr>
      <xdr:grpSpPr bwMode="auto">
        <a:xfrm>
          <a:off x="3091229" y="3565281"/>
          <a:ext cx="578827" cy="171450"/>
          <a:chOff x="273" y="421"/>
          <a:chExt cx="44" cy="16"/>
        </a:xfrm>
      </xdr:grpSpPr>
      <xdr:sp macro="" textlink="">
        <xdr:nvSpPr>
          <xdr:cNvPr id="2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68" name="Group 7"/>
        <xdr:cNvGrpSpPr>
          <a:grpSpLocks/>
        </xdr:cNvGrpSpPr>
      </xdr:nvGrpSpPr>
      <xdr:grpSpPr bwMode="auto">
        <a:xfrm>
          <a:off x="3689106" y="3565281"/>
          <a:ext cx="454269" cy="171450"/>
          <a:chOff x="273" y="421"/>
          <a:chExt cx="44" cy="16"/>
        </a:xfrm>
      </xdr:grpSpPr>
      <xdr:sp macro="" textlink="">
        <xdr:nvSpPr>
          <xdr:cNvPr id="2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71" name="Group 11"/>
        <xdr:cNvGrpSpPr>
          <a:grpSpLocks/>
        </xdr:cNvGrpSpPr>
      </xdr:nvGrpSpPr>
      <xdr:grpSpPr bwMode="auto">
        <a:xfrm>
          <a:off x="2604721" y="3565281"/>
          <a:ext cx="457933" cy="171450"/>
          <a:chOff x="273" y="421"/>
          <a:chExt cx="44" cy="16"/>
        </a:xfrm>
      </xdr:grpSpPr>
      <xdr:sp macro="" textlink="">
        <xdr:nvSpPr>
          <xdr:cNvPr id="2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74" name="Group 14"/>
        <xdr:cNvGrpSpPr>
          <a:grpSpLocks/>
        </xdr:cNvGrpSpPr>
      </xdr:nvGrpSpPr>
      <xdr:grpSpPr bwMode="auto">
        <a:xfrm>
          <a:off x="3091229" y="3565281"/>
          <a:ext cx="578827" cy="171450"/>
          <a:chOff x="273" y="421"/>
          <a:chExt cx="44" cy="16"/>
        </a:xfrm>
      </xdr:grpSpPr>
      <xdr:sp macro="" textlink="">
        <xdr:nvSpPr>
          <xdr:cNvPr id="2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77" name="Group 17"/>
        <xdr:cNvGrpSpPr>
          <a:grpSpLocks/>
        </xdr:cNvGrpSpPr>
      </xdr:nvGrpSpPr>
      <xdr:grpSpPr bwMode="auto">
        <a:xfrm>
          <a:off x="3689106" y="3565281"/>
          <a:ext cx="454269" cy="171450"/>
          <a:chOff x="273" y="421"/>
          <a:chExt cx="44" cy="16"/>
        </a:xfrm>
      </xdr:grpSpPr>
      <xdr:sp macro="" textlink="">
        <xdr:nvSpPr>
          <xdr:cNvPr id="2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8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8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82" name="Group 1"/>
        <xdr:cNvGrpSpPr>
          <a:grpSpLocks/>
        </xdr:cNvGrpSpPr>
      </xdr:nvGrpSpPr>
      <xdr:grpSpPr bwMode="auto">
        <a:xfrm>
          <a:off x="2604721" y="3565281"/>
          <a:ext cx="457933" cy="171450"/>
          <a:chOff x="273" y="421"/>
          <a:chExt cx="44" cy="16"/>
        </a:xfrm>
      </xdr:grpSpPr>
      <xdr:sp macro="" textlink="">
        <xdr:nvSpPr>
          <xdr:cNvPr id="2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85" name="Group 4"/>
        <xdr:cNvGrpSpPr>
          <a:grpSpLocks/>
        </xdr:cNvGrpSpPr>
      </xdr:nvGrpSpPr>
      <xdr:grpSpPr bwMode="auto">
        <a:xfrm>
          <a:off x="3091229" y="3565281"/>
          <a:ext cx="578827" cy="171450"/>
          <a:chOff x="273" y="421"/>
          <a:chExt cx="44" cy="16"/>
        </a:xfrm>
      </xdr:grpSpPr>
      <xdr:sp macro="" textlink="">
        <xdr:nvSpPr>
          <xdr:cNvPr id="2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88" name="Group 7"/>
        <xdr:cNvGrpSpPr>
          <a:grpSpLocks/>
        </xdr:cNvGrpSpPr>
      </xdr:nvGrpSpPr>
      <xdr:grpSpPr bwMode="auto">
        <a:xfrm>
          <a:off x="3689106" y="3565281"/>
          <a:ext cx="454269" cy="171450"/>
          <a:chOff x="273" y="421"/>
          <a:chExt cx="44" cy="16"/>
        </a:xfrm>
      </xdr:grpSpPr>
      <xdr:sp macro="" textlink="">
        <xdr:nvSpPr>
          <xdr:cNvPr id="2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91" name="Group 11"/>
        <xdr:cNvGrpSpPr>
          <a:grpSpLocks/>
        </xdr:cNvGrpSpPr>
      </xdr:nvGrpSpPr>
      <xdr:grpSpPr bwMode="auto">
        <a:xfrm>
          <a:off x="2604721" y="3565281"/>
          <a:ext cx="457933" cy="171450"/>
          <a:chOff x="273" y="421"/>
          <a:chExt cx="44" cy="16"/>
        </a:xfrm>
      </xdr:grpSpPr>
      <xdr:sp macro="" textlink="">
        <xdr:nvSpPr>
          <xdr:cNvPr id="2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94" name="Group 14"/>
        <xdr:cNvGrpSpPr>
          <a:grpSpLocks/>
        </xdr:cNvGrpSpPr>
      </xdr:nvGrpSpPr>
      <xdr:grpSpPr bwMode="auto">
        <a:xfrm>
          <a:off x="3091229" y="3565281"/>
          <a:ext cx="578827" cy="171450"/>
          <a:chOff x="273" y="421"/>
          <a:chExt cx="44" cy="16"/>
        </a:xfrm>
      </xdr:grpSpPr>
      <xdr:sp macro="" textlink="">
        <xdr:nvSpPr>
          <xdr:cNvPr id="2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97" name="Group 17"/>
        <xdr:cNvGrpSpPr>
          <a:grpSpLocks/>
        </xdr:cNvGrpSpPr>
      </xdr:nvGrpSpPr>
      <xdr:grpSpPr bwMode="auto">
        <a:xfrm>
          <a:off x="3689106" y="3565281"/>
          <a:ext cx="454269" cy="171450"/>
          <a:chOff x="273" y="421"/>
          <a:chExt cx="44" cy="16"/>
        </a:xfrm>
      </xdr:grpSpPr>
      <xdr:sp macro="" textlink="">
        <xdr:nvSpPr>
          <xdr:cNvPr id="2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30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30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302" name="Group 1"/>
        <xdr:cNvGrpSpPr>
          <a:grpSpLocks/>
        </xdr:cNvGrpSpPr>
      </xdr:nvGrpSpPr>
      <xdr:grpSpPr bwMode="auto">
        <a:xfrm>
          <a:off x="2604721" y="3565281"/>
          <a:ext cx="457933" cy="171450"/>
          <a:chOff x="273" y="421"/>
          <a:chExt cx="44" cy="16"/>
        </a:xfrm>
      </xdr:grpSpPr>
      <xdr:sp macro="" textlink="">
        <xdr:nvSpPr>
          <xdr:cNvPr id="3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05" name="Group 4"/>
        <xdr:cNvGrpSpPr>
          <a:grpSpLocks/>
        </xdr:cNvGrpSpPr>
      </xdr:nvGrpSpPr>
      <xdr:grpSpPr bwMode="auto">
        <a:xfrm>
          <a:off x="3091229" y="3565281"/>
          <a:ext cx="578827" cy="171450"/>
          <a:chOff x="273" y="421"/>
          <a:chExt cx="44" cy="16"/>
        </a:xfrm>
      </xdr:grpSpPr>
      <xdr:sp macro="" textlink="">
        <xdr:nvSpPr>
          <xdr:cNvPr id="3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08" name="Group 7"/>
        <xdr:cNvGrpSpPr>
          <a:grpSpLocks/>
        </xdr:cNvGrpSpPr>
      </xdr:nvGrpSpPr>
      <xdr:grpSpPr bwMode="auto">
        <a:xfrm>
          <a:off x="3689106" y="3565281"/>
          <a:ext cx="454269" cy="171450"/>
          <a:chOff x="273" y="421"/>
          <a:chExt cx="44" cy="16"/>
        </a:xfrm>
      </xdr:grpSpPr>
      <xdr:sp macro="" textlink="">
        <xdr:nvSpPr>
          <xdr:cNvPr id="3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311" name="Group 11"/>
        <xdr:cNvGrpSpPr>
          <a:grpSpLocks/>
        </xdr:cNvGrpSpPr>
      </xdr:nvGrpSpPr>
      <xdr:grpSpPr bwMode="auto">
        <a:xfrm>
          <a:off x="2604721" y="3565281"/>
          <a:ext cx="457933" cy="171450"/>
          <a:chOff x="273" y="421"/>
          <a:chExt cx="44" cy="16"/>
        </a:xfrm>
      </xdr:grpSpPr>
      <xdr:sp macro="" textlink="">
        <xdr:nvSpPr>
          <xdr:cNvPr id="3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14" name="Group 14"/>
        <xdr:cNvGrpSpPr>
          <a:grpSpLocks/>
        </xdr:cNvGrpSpPr>
      </xdr:nvGrpSpPr>
      <xdr:grpSpPr bwMode="auto">
        <a:xfrm>
          <a:off x="3091229" y="3565281"/>
          <a:ext cx="578827" cy="171450"/>
          <a:chOff x="273" y="421"/>
          <a:chExt cx="44" cy="16"/>
        </a:xfrm>
      </xdr:grpSpPr>
      <xdr:sp macro="" textlink="">
        <xdr:nvSpPr>
          <xdr:cNvPr id="3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17" name="Group 17"/>
        <xdr:cNvGrpSpPr>
          <a:grpSpLocks/>
        </xdr:cNvGrpSpPr>
      </xdr:nvGrpSpPr>
      <xdr:grpSpPr bwMode="auto">
        <a:xfrm>
          <a:off x="3689106" y="3565281"/>
          <a:ext cx="454269" cy="171450"/>
          <a:chOff x="273" y="421"/>
          <a:chExt cx="44" cy="16"/>
        </a:xfrm>
      </xdr:grpSpPr>
      <xdr:sp macro="" textlink="">
        <xdr:nvSpPr>
          <xdr:cNvPr id="3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32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32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47625</xdr:colOff>
      <xdr:row>20</xdr:row>
      <xdr:rowOff>19050</xdr:rowOff>
    </xdr:from>
    <xdr:to>
      <xdr:col>6</xdr:col>
      <xdr:colOff>0</xdr:colOff>
      <xdr:row>21</xdr:row>
      <xdr:rowOff>0</xdr:rowOff>
    </xdr:to>
    <xdr:grpSp>
      <xdr:nvGrpSpPr>
        <xdr:cNvPr id="2" name="Group 1"/>
        <xdr:cNvGrpSpPr>
          <a:grpSpLocks/>
        </xdr:cNvGrpSpPr>
      </xdr:nvGrpSpPr>
      <xdr:grpSpPr bwMode="auto">
        <a:xfrm>
          <a:off x="2677990" y="3499338"/>
          <a:ext cx="457933" cy="171450"/>
          <a:chOff x="273" y="421"/>
          <a:chExt cx="44" cy="16"/>
        </a:xfrm>
      </xdr:grpSpPr>
      <xdr:sp macro="" textlink="">
        <xdr:nvSpPr>
          <xdr:cNvPr id="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5" name="Group 4"/>
        <xdr:cNvGrpSpPr>
          <a:grpSpLocks/>
        </xdr:cNvGrpSpPr>
      </xdr:nvGrpSpPr>
      <xdr:grpSpPr bwMode="auto">
        <a:xfrm>
          <a:off x="3164498" y="3499338"/>
          <a:ext cx="578827" cy="171450"/>
          <a:chOff x="273" y="421"/>
          <a:chExt cx="44" cy="16"/>
        </a:xfrm>
      </xdr:grpSpPr>
      <xdr:sp macro="" textlink="">
        <xdr:nvSpPr>
          <xdr:cNvPr id="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8" name="Group 7"/>
        <xdr:cNvGrpSpPr>
          <a:grpSpLocks/>
        </xdr:cNvGrpSpPr>
      </xdr:nvGrpSpPr>
      <xdr:grpSpPr bwMode="auto">
        <a:xfrm>
          <a:off x="3762375" y="3499338"/>
          <a:ext cx="454269" cy="171450"/>
          <a:chOff x="273" y="421"/>
          <a:chExt cx="44" cy="16"/>
        </a:xfrm>
      </xdr:grpSpPr>
      <xdr:sp macro="" textlink="">
        <xdr:nvSpPr>
          <xdr:cNvPr id="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1" name="Group 11"/>
        <xdr:cNvGrpSpPr>
          <a:grpSpLocks/>
        </xdr:cNvGrpSpPr>
      </xdr:nvGrpSpPr>
      <xdr:grpSpPr bwMode="auto">
        <a:xfrm>
          <a:off x="2677990" y="3499338"/>
          <a:ext cx="457933" cy="171450"/>
          <a:chOff x="273" y="421"/>
          <a:chExt cx="44" cy="16"/>
        </a:xfrm>
      </xdr:grpSpPr>
      <xdr:sp macro="" textlink="">
        <xdr:nvSpPr>
          <xdr:cNvPr id="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4" name="Group 14"/>
        <xdr:cNvGrpSpPr>
          <a:grpSpLocks/>
        </xdr:cNvGrpSpPr>
      </xdr:nvGrpSpPr>
      <xdr:grpSpPr bwMode="auto">
        <a:xfrm>
          <a:off x="3164498" y="3499338"/>
          <a:ext cx="578827" cy="171450"/>
          <a:chOff x="273" y="421"/>
          <a:chExt cx="44" cy="16"/>
        </a:xfrm>
      </xdr:grpSpPr>
      <xdr:sp macro="" textlink="">
        <xdr:nvSpPr>
          <xdr:cNvPr id="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7" name="Group 17"/>
        <xdr:cNvGrpSpPr>
          <a:grpSpLocks/>
        </xdr:cNvGrpSpPr>
      </xdr:nvGrpSpPr>
      <xdr:grpSpPr bwMode="auto">
        <a:xfrm>
          <a:off x="3762375" y="3499338"/>
          <a:ext cx="454269" cy="171450"/>
          <a:chOff x="273" y="421"/>
          <a:chExt cx="44" cy="16"/>
        </a:xfrm>
      </xdr:grpSpPr>
      <xdr:sp macro="" textlink="">
        <xdr:nvSpPr>
          <xdr:cNvPr id="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2" name="Group 1"/>
        <xdr:cNvGrpSpPr>
          <a:grpSpLocks/>
        </xdr:cNvGrpSpPr>
      </xdr:nvGrpSpPr>
      <xdr:grpSpPr bwMode="auto">
        <a:xfrm>
          <a:off x="2677990" y="3499338"/>
          <a:ext cx="457933" cy="171450"/>
          <a:chOff x="273" y="421"/>
          <a:chExt cx="44" cy="16"/>
        </a:xfrm>
      </xdr:grpSpPr>
      <xdr:sp macro="" textlink="">
        <xdr:nvSpPr>
          <xdr:cNvPr id="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5" name="Group 4"/>
        <xdr:cNvGrpSpPr>
          <a:grpSpLocks/>
        </xdr:cNvGrpSpPr>
      </xdr:nvGrpSpPr>
      <xdr:grpSpPr bwMode="auto">
        <a:xfrm>
          <a:off x="3164498" y="3499338"/>
          <a:ext cx="578827" cy="171450"/>
          <a:chOff x="273" y="421"/>
          <a:chExt cx="44" cy="16"/>
        </a:xfrm>
      </xdr:grpSpPr>
      <xdr:sp macro="" textlink="">
        <xdr:nvSpPr>
          <xdr:cNvPr id="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8" name="Group 7"/>
        <xdr:cNvGrpSpPr>
          <a:grpSpLocks/>
        </xdr:cNvGrpSpPr>
      </xdr:nvGrpSpPr>
      <xdr:grpSpPr bwMode="auto">
        <a:xfrm>
          <a:off x="3762375" y="3499338"/>
          <a:ext cx="454269" cy="171450"/>
          <a:chOff x="273" y="421"/>
          <a:chExt cx="44" cy="16"/>
        </a:xfrm>
      </xdr:grpSpPr>
      <xdr:sp macro="" textlink="">
        <xdr:nvSpPr>
          <xdr:cNvPr id="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31" name="Group 11"/>
        <xdr:cNvGrpSpPr>
          <a:grpSpLocks/>
        </xdr:cNvGrpSpPr>
      </xdr:nvGrpSpPr>
      <xdr:grpSpPr bwMode="auto">
        <a:xfrm>
          <a:off x="2677990" y="3499338"/>
          <a:ext cx="457933" cy="171450"/>
          <a:chOff x="273" y="421"/>
          <a:chExt cx="44" cy="16"/>
        </a:xfrm>
      </xdr:grpSpPr>
      <xdr:sp macro="" textlink="">
        <xdr:nvSpPr>
          <xdr:cNvPr id="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4" name="Group 14"/>
        <xdr:cNvGrpSpPr>
          <a:grpSpLocks/>
        </xdr:cNvGrpSpPr>
      </xdr:nvGrpSpPr>
      <xdr:grpSpPr bwMode="auto">
        <a:xfrm>
          <a:off x="3164498" y="3499338"/>
          <a:ext cx="578827" cy="171450"/>
          <a:chOff x="273" y="421"/>
          <a:chExt cx="44" cy="16"/>
        </a:xfrm>
      </xdr:grpSpPr>
      <xdr:sp macro="" textlink="">
        <xdr:nvSpPr>
          <xdr:cNvPr id="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7" name="Group 17"/>
        <xdr:cNvGrpSpPr>
          <a:grpSpLocks/>
        </xdr:cNvGrpSpPr>
      </xdr:nvGrpSpPr>
      <xdr:grpSpPr bwMode="auto">
        <a:xfrm>
          <a:off x="3762375" y="3499338"/>
          <a:ext cx="454269" cy="171450"/>
          <a:chOff x="273" y="421"/>
          <a:chExt cx="44" cy="16"/>
        </a:xfrm>
      </xdr:grpSpPr>
      <xdr:sp macro="" textlink="">
        <xdr:nvSpPr>
          <xdr:cNvPr id="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4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4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42" name="Group 1"/>
        <xdr:cNvGrpSpPr>
          <a:grpSpLocks/>
        </xdr:cNvGrpSpPr>
      </xdr:nvGrpSpPr>
      <xdr:grpSpPr bwMode="auto">
        <a:xfrm>
          <a:off x="2677990" y="3499338"/>
          <a:ext cx="457933" cy="171450"/>
          <a:chOff x="273" y="421"/>
          <a:chExt cx="44" cy="16"/>
        </a:xfrm>
      </xdr:grpSpPr>
      <xdr:sp macro="" textlink="">
        <xdr:nvSpPr>
          <xdr:cNvPr id="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45" name="Group 4"/>
        <xdr:cNvGrpSpPr>
          <a:grpSpLocks/>
        </xdr:cNvGrpSpPr>
      </xdr:nvGrpSpPr>
      <xdr:grpSpPr bwMode="auto">
        <a:xfrm>
          <a:off x="3164498" y="3499338"/>
          <a:ext cx="578827" cy="171450"/>
          <a:chOff x="273" y="421"/>
          <a:chExt cx="44" cy="16"/>
        </a:xfrm>
      </xdr:grpSpPr>
      <xdr:sp macro="" textlink="">
        <xdr:nvSpPr>
          <xdr:cNvPr id="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48" name="Group 7"/>
        <xdr:cNvGrpSpPr>
          <a:grpSpLocks/>
        </xdr:cNvGrpSpPr>
      </xdr:nvGrpSpPr>
      <xdr:grpSpPr bwMode="auto">
        <a:xfrm>
          <a:off x="3762375" y="3499338"/>
          <a:ext cx="454269" cy="171450"/>
          <a:chOff x="273" y="421"/>
          <a:chExt cx="44" cy="16"/>
        </a:xfrm>
      </xdr:grpSpPr>
      <xdr:sp macro="" textlink="">
        <xdr:nvSpPr>
          <xdr:cNvPr id="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51" name="Group 11"/>
        <xdr:cNvGrpSpPr>
          <a:grpSpLocks/>
        </xdr:cNvGrpSpPr>
      </xdr:nvGrpSpPr>
      <xdr:grpSpPr bwMode="auto">
        <a:xfrm>
          <a:off x="2677990" y="3499338"/>
          <a:ext cx="457933" cy="171450"/>
          <a:chOff x="273" y="421"/>
          <a:chExt cx="44" cy="16"/>
        </a:xfrm>
      </xdr:grpSpPr>
      <xdr:sp macro="" textlink="">
        <xdr:nvSpPr>
          <xdr:cNvPr id="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54" name="Group 14"/>
        <xdr:cNvGrpSpPr>
          <a:grpSpLocks/>
        </xdr:cNvGrpSpPr>
      </xdr:nvGrpSpPr>
      <xdr:grpSpPr bwMode="auto">
        <a:xfrm>
          <a:off x="3164498" y="3499338"/>
          <a:ext cx="578827" cy="171450"/>
          <a:chOff x="273" y="421"/>
          <a:chExt cx="44" cy="16"/>
        </a:xfrm>
      </xdr:grpSpPr>
      <xdr:sp macro="" textlink="">
        <xdr:nvSpPr>
          <xdr:cNvPr id="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57" name="Group 17"/>
        <xdr:cNvGrpSpPr>
          <a:grpSpLocks/>
        </xdr:cNvGrpSpPr>
      </xdr:nvGrpSpPr>
      <xdr:grpSpPr bwMode="auto">
        <a:xfrm>
          <a:off x="3762375" y="3499338"/>
          <a:ext cx="454269" cy="171450"/>
          <a:chOff x="273" y="421"/>
          <a:chExt cx="44" cy="16"/>
        </a:xfrm>
      </xdr:grpSpPr>
      <xdr:sp macro="" textlink="">
        <xdr:nvSpPr>
          <xdr:cNvPr id="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6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6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62" name="Group 1"/>
        <xdr:cNvGrpSpPr>
          <a:grpSpLocks/>
        </xdr:cNvGrpSpPr>
      </xdr:nvGrpSpPr>
      <xdr:grpSpPr bwMode="auto">
        <a:xfrm>
          <a:off x="2677990" y="3499338"/>
          <a:ext cx="457933" cy="171450"/>
          <a:chOff x="273" y="421"/>
          <a:chExt cx="44" cy="16"/>
        </a:xfrm>
      </xdr:grpSpPr>
      <xdr:sp macro="" textlink="">
        <xdr:nvSpPr>
          <xdr:cNvPr id="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65" name="Group 4"/>
        <xdr:cNvGrpSpPr>
          <a:grpSpLocks/>
        </xdr:cNvGrpSpPr>
      </xdr:nvGrpSpPr>
      <xdr:grpSpPr bwMode="auto">
        <a:xfrm>
          <a:off x="3164498" y="3499338"/>
          <a:ext cx="578827" cy="171450"/>
          <a:chOff x="273" y="421"/>
          <a:chExt cx="44" cy="16"/>
        </a:xfrm>
      </xdr:grpSpPr>
      <xdr:sp macro="" textlink="">
        <xdr:nvSpPr>
          <xdr:cNvPr id="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68" name="Group 7"/>
        <xdr:cNvGrpSpPr>
          <a:grpSpLocks/>
        </xdr:cNvGrpSpPr>
      </xdr:nvGrpSpPr>
      <xdr:grpSpPr bwMode="auto">
        <a:xfrm>
          <a:off x="3762375" y="3499338"/>
          <a:ext cx="454269" cy="171450"/>
          <a:chOff x="273" y="421"/>
          <a:chExt cx="44" cy="16"/>
        </a:xfrm>
      </xdr:grpSpPr>
      <xdr:sp macro="" textlink="">
        <xdr:nvSpPr>
          <xdr:cNvPr id="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71" name="Group 11"/>
        <xdr:cNvGrpSpPr>
          <a:grpSpLocks/>
        </xdr:cNvGrpSpPr>
      </xdr:nvGrpSpPr>
      <xdr:grpSpPr bwMode="auto">
        <a:xfrm>
          <a:off x="2677990" y="3499338"/>
          <a:ext cx="457933" cy="171450"/>
          <a:chOff x="273" y="421"/>
          <a:chExt cx="44" cy="16"/>
        </a:xfrm>
      </xdr:grpSpPr>
      <xdr:sp macro="" textlink="">
        <xdr:nvSpPr>
          <xdr:cNvPr id="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74" name="Group 14"/>
        <xdr:cNvGrpSpPr>
          <a:grpSpLocks/>
        </xdr:cNvGrpSpPr>
      </xdr:nvGrpSpPr>
      <xdr:grpSpPr bwMode="auto">
        <a:xfrm>
          <a:off x="3164498" y="3499338"/>
          <a:ext cx="578827" cy="171450"/>
          <a:chOff x="273" y="421"/>
          <a:chExt cx="44" cy="16"/>
        </a:xfrm>
      </xdr:grpSpPr>
      <xdr:sp macro="" textlink="">
        <xdr:nvSpPr>
          <xdr:cNvPr id="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77" name="Group 17"/>
        <xdr:cNvGrpSpPr>
          <a:grpSpLocks/>
        </xdr:cNvGrpSpPr>
      </xdr:nvGrpSpPr>
      <xdr:grpSpPr bwMode="auto">
        <a:xfrm>
          <a:off x="3762375" y="3499338"/>
          <a:ext cx="454269" cy="171450"/>
          <a:chOff x="273" y="421"/>
          <a:chExt cx="44" cy="16"/>
        </a:xfrm>
      </xdr:grpSpPr>
      <xdr:sp macro="" textlink="">
        <xdr:nvSpPr>
          <xdr:cNvPr id="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8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8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82" name="Group 1"/>
        <xdr:cNvGrpSpPr>
          <a:grpSpLocks/>
        </xdr:cNvGrpSpPr>
      </xdr:nvGrpSpPr>
      <xdr:grpSpPr bwMode="auto">
        <a:xfrm>
          <a:off x="2677990" y="3499338"/>
          <a:ext cx="457933" cy="171450"/>
          <a:chOff x="273" y="421"/>
          <a:chExt cx="44" cy="16"/>
        </a:xfrm>
      </xdr:grpSpPr>
      <xdr:sp macro="" textlink="">
        <xdr:nvSpPr>
          <xdr:cNvPr id="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85" name="Group 4"/>
        <xdr:cNvGrpSpPr>
          <a:grpSpLocks/>
        </xdr:cNvGrpSpPr>
      </xdr:nvGrpSpPr>
      <xdr:grpSpPr bwMode="auto">
        <a:xfrm>
          <a:off x="3164498" y="3499338"/>
          <a:ext cx="578827" cy="171450"/>
          <a:chOff x="273" y="421"/>
          <a:chExt cx="44" cy="16"/>
        </a:xfrm>
      </xdr:grpSpPr>
      <xdr:sp macro="" textlink="">
        <xdr:nvSpPr>
          <xdr:cNvPr id="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88" name="Group 7"/>
        <xdr:cNvGrpSpPr>
          <a:grpSpLocks/>
        </xdr:cNvGrpSpPr>
      </xdr:nvGrpSpPr>
      <xdr:grpSpPr bwMode="auto">
        <a:xfrm>
          <a:off x="3762375" y="3499338"/>
          <a:ext cx="454269" cy="171450"/>
          <a:chOff x="273" y="421"/>
          <a:chExt cx="44" cy="16"/>
        </a:xfrm>
      </xdr:grpSpPr>
      <xdr:sp macro="" textlink="">
        <xdr:nvSpPr>
          <xdr:cNvPr id="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91" name="Group 11"/>
        <xdr:cNvGrpSpPr>
          <a:grpSpLocks/>
        </xdr:cNvGrpSpPr>
      </xdr:nvGrpSpPr>
      <xdr:grpSpPr bwMode="auto">
        <a:xfrm>
          <a:off x="2677990" y="3499338"/>
          <a:ext cx="457933" cy="171450"/>
          <a:chOff x="273" y="421"/>
          <a:chExt cx="44" cy="16"/>
        </a:xfrm>
      </xdr:grpSpPr>
      <xdr:sp macro="" textlink="">
        <xdr:nvSpPr>
          <xdr:cNvPr id="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94" name="Group 14"/>
        <xdr:cNvGrpSpPr>
          <a:grpSpLocks/>
        </xdr:cNvGrpSpPr>
      </xdr:nvGrpSpPr>
      <xdr:grpSpPr bwMode="auto">
        <a:xfrm>
          <a:off x="3164498" y="3499338"/>
          <a:ext cx="578827" cy="171450"/>
          <a:chOff x="273" y="421"/>
          <a:chExt cx="44" cy="16"/>
        </a:xfrm>
      </xdr:grpSpPr>
      <xdr:sp macro="" textlink="">
        <xdr:nvSpPr>
          <xdr:cNvPr id="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97" name="Group 17"/>
        <xdr:cNvGrpSpPr>
          <a:grpSpLocks/>
        </xdr:cNvGrpSpPr>
      </xdr:nvGrpSpPr>
      <xdr:grpSpPr bwMode="auto">
        <a:xfrm>
          <a:off x="3762375" y="3499338"/>
          <a:ext cx="454269" cy="171450"/>
          <a:chOff x="273" y="421"/>
          <a:chExt cx="44" cy="16"/>
        </a:xfrm>
      </xdr:grpSpPr>
      <xdr:sp macro="" textlink="">
        <xdr:nvSpPr>
          <xdr:cNvPr id="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0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0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02" name="Group 1"/>
        <xdr:cNvGrpSpPr>
          <a:grpSpLocks/>
        </xdr:cNvGrpSpPr>
      </xdr:nvGrpSpPr>
      <xdr:grpSpPr bwMode="auto">
        <a:xfrm>
          <a:off x="2677990" y="3499338"/>
          <a:ext cx="457933" cy="171450"/>
          <a:chOff x="273" y="421"/>
          <a:chExt cx="44" cy="16"/>
        </a:xfrm>
      </xdr:grpSpPr>
      <xdr:sp macro="" textlink="">
        <xdr:nvSpPr>
          <xdr:cNvPr id="1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05" name="Group 4"/>
        <xdr:cNvGrpSpPr>
          <a:grpSpLocks/>
        </xdr:cNvGrpSpPr>
      </xdr:nvGrpSpPr>
      <xdr:grpSpPr bwMode="auto">
        <a:xfrm>
          <a:off x="3164498" y="3499338"/>
          <a:ext cx="578827" cy="171450"/>
          <a:chOff x="273" y="421"/>
          <a:chExt cx="44" cy="16"/>
        </a:xfrm>
      </xdr:grpSpPr>
      <xdr:sp macro="" textlink="">
        <xdr:nvSpPr>
          <xdr:cNvPr id="1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08" name="Group 7"/>
        <xdr:cNvGrpSpPr>
          <a:grpSpLocks/>
        </xdr:cNvGrpSpPr>
      </xdr:nvGrpSpPr>
      <xdr:grpSpPr bwMode="auto">
        <a:xfrm>
          <a:off x="3762375" y="3499338"/>
          <a:ext cx="454269" cy="171450"/>
          <a:chOff x="273" y="421"/>
          <a:chExt cx="44" cy="16"/>
        </a:xfrm>
      </xdr:grpSpPr>
      <xdr:sp macro="" textlink="">
        <xdr:nvSpPr>
          <xdr:cNvPr id="1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11" name="Group 11"/>
        <xdr:cNvGrpSpPr>
          <a:grpSpLocks/>
        </xdr:cNvGrpSpPr>
      </xdr:nvGrpSpPr>
      <xdr:grpSpPr bwMode="auto">
        <a:xfrm>
          <a:off x="2677990" y="3499338"/>
          <a:ext cx="457933" cy="171450"/>
          <a:chOff x="273" y="421"/>
          <a:chExt cx="44" cy="16"/>
        </a:xfrm>
      </xdr:grpSpPr>
      <xdr:sp macro="" textlink="">
        <xdr:nvSpPr>
          <xdr:cNvPr id="1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14" name="Group 14"/>
        <xdr:cNvGrpSpPr>
          <a:grpSpLocks/>
        </xdr:cNvGrpSpPr>
      </xdr:nvGrpSpPr>
      <xdr:grpSpPr bwMode="auto">
        <a:xfrm>
          <a:off x="3164498" y="3499338"/>
          <a:ext cx="578827" cy="171450"/>
          <a:chOff x="273" y="421"/>
          <a:chExt cx="44" cy="16"/>
        </a:xfrm>
      </xdr:grpSpPr>
      <xdr:sp macro="" textlink="">
        <xdr:nvSpPr>
          <xdr:cNvPr id="1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17" name="Group 17"/>
        <xdr:cNvGrpSpPr>
          <a:grpSpLocks/>
        </xdr:cNvGrpSpPr>
      </xdr:nvGrpSpPr>
      <xdr:grpSpPr bwMode="auto">
        <a:xfrm>
          <a:off x="3762375" y="3499338"/>
          <a:ext cx="454269" cy="171450"/>
          <a:chOff x="273" y="421"/>
          <a:chExt cx="44" cy="16"/>
        </a:xfrm>
      </xdr:grpSpPr>
      <xdr:sp macro="" textlink="">
        <xdr:nvSpPr>
          <xdr:cNvPr id="1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2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2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22" name="Group 1"/>
        <xdr:cNvGrpSpPr>
          <a:grpSpLocks/>
        </xdr:cNvGrpSpPr>
      </xdr:nvGrpSpPr>
      <xdr:grpSpPr bwMode="auto">
        <a:xfrm>
          <a:off x="2677990" y="3499338"/>
          <a:ext cx="457933" cy="171450"/>
          <a:chOff x="273" y="421"/>
          <a:chExt cx="44" cy="16"/>
        </a:xfrm>
      </xdr:grpSpPr>
      <xdr:sp macro="" textlink="">
        <xdr:nvSpPr>
          <xdr:cNvPr id="1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25" name="Group 4"/>
        <xdr:cNvGrpSpPr>
          <a:grpSpLocks/>
        </xdr:cNvGrpSpPr>
      </xdr:nvGrpSpPr>
      <xdr:grpSpPr bwMode="auto">
        <a:xfrm>
          <a:off x="3164498" y="3499338"/>
          <a:ext cx="578827" cy="171450"/>
          <a:chOff x="273" y="421"/>
          <a:chExt cx="44" cy="16"/>
        </a:xfrm>
      </xdr:grpSpPr>
      <xdr:sp macro="" textlink="">
        <xdr:nvSpPr>
          <xdr:cNvPr id="1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28" name="Group 7"/>
        <xdr:cNvGrpSpPr>
          <a:grpSpLocks/>
        </xdr:cNvGrpSpPr>
      </xdr:nvGrpSpPr>
      <xdr:grpSpPr bwMode="auto">
        <a:xfrm>
          <a:off x="3762375" y="3499338"/>
          <a:ext cx="454269" cy="171450"/>
          <a:chOff x="273" y="421"/>
          <a:chExt cx="44" cy="16"/>
        </a:xfrm>
      </xdr:grpSpPr>
      <xdr:sp macro="" textlink="">
        <xdr:nvSpPr>
          <xdr:cNvPr id="1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31" name="Group 11"/>
        <xdr:cNvGrpSpPr>
          <a:grpSpLocks/>
        </xdr:cNvGrpSpPr>
      </xdr:nvGrpSpPr>
      <xdr:grpSpPr bwMode="auto">
        <a:xfrm>
          <a:off x="2677990" y="3499338"/>
          <a:ext cx="457933" cy="171450"/>
          <a:chOff x="273" y="421"/>
          <a:chExt cx="44" cy="16"/>
        </a:xfrm>
      </xdr:grpSpPr>
      <xdr:sp macro="" textlink="">
        <xdr:nvSpPr>
          <xdr:cNvPr id="1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34" name="Group 14"/>
        <xdr:cNvGrpSpPr>
          <a:grpSpLocks/>
        </xdr:cNvGrpSpPr>
      </xdr:nvGrpSpPr>
      <xdr:grpSpPr bwMode="auto">
        <a:xfrm>
          <a:off x="3164498" y="3499338"/>
          <a:ext cx="578827" cy="171450"/>
          <a:chOff x="273" y="421"/>
          <a:chExt cx="44" cy="16"/>
        </a:xfrm>
      </xdr:grpSpPr>
      <xdr:sp macro="" textlink="">
        <xdr:nvSpPr>
          <xdr:cNvPr id="1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37" name="Group 17"/>
        <xdr:cNvGrpSpPr>
          <a:grpSpLocks/>
        </xdr:cNvGrpSpPr>
      </xdr:nvGrpSpPr>
      <xdr:grpSpPr bwMode="auto">
        <a:xfrm>
          <a:off x="3762375" y="3499338"/>
          <a:ext cx="454269" cy="171450"/>
          <a:chOff x="273" y="421"/>
          <a:chExt cx="44" cy="16"/>
        </a:xfrm>
      </xdr:grpSpPr>
      <xdr:sp macro="" textlink="">
        <xdr:nvSpPr>
          <xdr:cNvPr id="1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4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4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42" name="Group 1"/>
        <xdr:cNvGrpSpPr>
          <a:grpSpLocks/>
        </xdr:cNvGrpSpPr>
      </xdr:nvGrpSpPr>
      <xdr:grpSpPr bwMode="auto">
        <a:xfrm>
          <a:off x="2677990" y="3499338"/>
          <a:ext cx="457933" cy="171450"/>
          <a:chOff x="273" y="421"/>
          <a:chExt cx="44" cy="16"/>
        </a:xfrm>
      </xdr:grpSpPr>
      <xdr:sp macro="" textlink="">
        <xdr:nvSpPr>
          <xdr:cNvPr id="1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45" name="Group 4"/>
        <xdr:cNvGrpSpPr>
          <a:grpSpLocks/>
        </xdr:cNvGrpSpPr>
      </xdr:nvGrpSpPr>
      <xdr:grpSpPr bwMode="auto">
        <a:xfrm>
          <a:off x="3164498" y="3499338"/>
          <a:ext cx="578827" cy="171450"/>
          <a:chOff x="273" y="421"/>
          <a:chExt cx="44" cy="16"/>
        </a:xfrm>
      </xdr:grpSpPr>
      <xdr:sp macro="" textlink="">
        <xdr:nvSpPr>
          <xdr:cNvPr id="1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48" name="Group 7"/>
        <xdr:cNvGrpSpPr>
          <a:grpSpLocks/>
        </xdr:cNvGrpSpPr>
      </xdr:nvGrpSpPr>
      <xdr:grpSpPr bwMode="auto">
        <a:xfrm>
          <a:off x="3762375" y="3499338"/>
          <a:ext cx="454269" cy="171450"/>
          <a:chOff x="273" y="421"/>
          <a:chExt cx="44" cy="16"/>
        </a:xfrm>
      </xdr:grpSpPr>
      <xdr:sp macro="" textlink="">
        <xdr:nvSpPr>
          <xdr:cNvPr id="1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51" name="Group 11"/>
        <xdr:cNvGrpSpPr>
          <a:grpSpLocks/>
        </xdr:cNvGrpSpPr>
      </xdr:nvGrpSpPr>
      <xdr:grpSpPr bwMode="auto">
        <a:xfrm>
          <a:off x="2677990" y="3499338"/>
          <a:ext cx="457933" cy="171450"/>
          <a:chOff x="273" y="421"/>
          <a:chExt cx="44" cy="16"/>
        </a:xfrm>
      </xdr:grpSpPr>
      <xdr:sp macro="" textlink="">
        <xdr:nvSpPr>
          <xdr:cNvPr id="1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54" name="Group 14"/>
        <xdr:cNvGrpSpPr>
          <a:grpSpLocks/>
        </xdr:cNvGrpSpPr>
      </xdr:nvGrpSpPr>
      <xdr:grpSpPr bwMode="auto">
        <a:xfrm>
          <a:off x="3164498" y="3499338"/>
          <a:ext cx="578827" cy="171450"/>
          <a:chOff x="273" y="421"/>
          <a:chExt cx="44" cy="16"/>
        </a:xfrm>
      </xdr:grpSpPr>
      <xdr:sp macro="" textlink="">
        <xdr:nvSpPr>
          <xdr:cNvPr id="1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57" name="Group 17"/>
        <xdr:cNvGrpSpPr>
          <a:grpSpLocks/>
        </xdr:cNvGrpSpPr>
      </xdr:nvGrpSpPr>
      <xdr:grpSpPr bwMode="auto">
        <a:xfrm>
          <a:off x="3762375" y="3499338"/>
          <a:ext cx="454269" cy="171450"/>
          <a:chOff x="273" y="421"/>
          <a:chExt cx="44" cy="16"/>
        </a:xfrm>
      </xdr:grpSpPr>
      <xdr:sp macro="" textlink="">
        <xdr:nvSpPr>
          <xdr:cNvPr id="1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6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6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62" name="Group 1"/>
        <xdr:cNvGrpSpPr>
          <a:grpSpLocks/>
        </xdr:cNvGrpSpPr>
      </xdr:nvGrpSpPr>
      <xdr:grpSpPr bwMode="auto">
        <a:xfrm>
          <a:off x="2677990" y="3499338"/>
          <a:ext cx="457933" cy="171450"/>
          <a:chOff x="273" y="421"/>
          <a:chExt cx="44" cy="16"/>
        </a:xfrm>
      </xdr:grpSpPr>
      <xdr:sp macro="" textlink="">
        <xdr:nvSpPr>
          <xdr:cNvPr id="1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65" name="Group 4"/>
        <xdr:cNvGrpSpPr>
          <a:grpSpLocks/>
        </xdr:cNvGrpSpPr>
      </xdr:nvGrpSpPr>
      <xdr:grpSpPr bwMode="auto">
        <a:xfrm>
          <a:off x="3164498" y="3499338"/>
          <a:ext cx="578827" cy="171450"/>
          <a:chOff x="273" y="421"/>
          <a:chExt cx="44" cy="16"/>
        </a:xfrm>
      </xdr:grpSpPr>
      <xdr:sp macro="" textlink="">
        <xdr:nvSpPr>
          <xdr:cNvPr id="1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68" name="Group 7"/>
        <xdr:cNvGrpSpPr>
          <a:grpSpLocks/>
        </xdr:cNvGrpSpPr>
      </xdr:nvGrpSpPr>
      <xdr:grpSpPr bwMode="auto">
        <a:xfrm>
          <a:off x="3762375" y="3499338"/>
          <a:ext cx="454269" cy="171450"/>
          <a:chOff x="273" y="421"/>
          <a:chExt cx="44" cy="16"/>
        </a:xfrm>
      </xdr:grpSpPr>
      <xdr:sp macro="" textlink="">
        <xdr:nvSpPr>
          <xdr:cNvPr id="1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71" name="Group 11"/>
        <xdr:cNvGrpSpPr>
          <a:grpSpLocks/>
        </xdr:cNvGrpSpPr>
      </xdr:nvGrpSpPr>
      <xdr:grpSpPr bwMode="auto">
        <a:xfrm>
          <a:off x="2677990" y="3499338"/>
          <a:ext cx="457933" cy="171450"/>
          <a:chOff x="273" y="421"/>
          <a:chExt cx="44" cy="16"/>
        </a:xfrm>
      </xdr:grpSpPr>
      <xdr:sp macro="" textlink="">
        <xdr:nvSpPr>
          <xdr:cNvPr id="1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74" name="Group 14"/>
        <xdr:cNvGrpSpPr>
          <a:grpSpLocks/>
        </xdr:cNvGrpSpPr>
      </xdr:nvGrpSpPr>
      <xdr:grpSpPr bwMode="auto">
        <a:xfrm>
          <a:off x="3164498" y="3499338"/>
          <a:ext cx="578827" cy="171450"/>
          <a:chOff x="273" y="421"/>
          <a:chExt cx="44" cy="16"/>
        </a:xfrm>
      </xdr:grpSpPr>
      <xdr:sp macro="" textlink="">
        <xdr:nvSpPr>
          <xdr:cNvPr id="1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77" name="Group 17"/>
        <xdr:cNvGrpSpPr>
          <a:grpSpLocks/>
        </xdr:cNvGrpSpPr>
      </xdr:nvGrpSpPr>
      <xdr:grpSpPr bwMode="auto">
        <a:xfrm>
          <a:off x="3762375" y="3499338"/>
          <a:ext cx="454269" cy="171450"/>
          <a:chOff x="273" y="421"/>
          <a:chExt cx="44" cy="16"/>
        </a:xfrm>
      </xdr:grpSpPr>
      <xdr:sp macro="" textlink="">
        <xdr:nvSpPr>
          <xdr:cNvPr id="1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18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18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182" name="Group 1"/>
        <xdr:cNvGrpSpPr>
          <a:grpSpLocks/>
        </xdr:cNvGrpSpPr>
      </xdr:nvGrpSpPr>
      <xdr:grpSpPr bwMode="auto">
        <a:xfrm>
          <a:off x="2677990" y="3499338"/>
          <a:ext cx="457933" cy="171450"/>
          <a:chOff x="273" y="421"/>
          <a:chExt cx="44" cy="16"/>
        </a:xfrm>
      </xdr:grpSpPr>
      <xdr:sp macro="" textlink="">
        <xdr:nvSpPr>
          <xdr:cNvPr id="1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85" name="Group 4"/>
        <xdr:cNvGrpSpPr>
          <a:grpSpLocks/>
        </xdr:cNvGrpSpPr>
      </xdr:nvGrpSpPr>
      <xdr:grpSpPr bwMode="auto">
        <a:xfrm>
          <a:off x="3164498" y="3499338"/>
          <a:ext cx="578827" cy="171450"/>
          <a:chOff x="273" y="421"/>
          <a:chExt cx="44" cy="16"/>
        </a:xfrm>
      </xdr:grpSpPr>
      <xdr:sp macro="" textlink="">
        <xdr:nvSpPr>
          <xdr:cNvPr id="1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88" name="Group 7"/>
        <xdr:cNvGrpSpPr>
          <a:grpSpLocks/>
        </xdr:cNvGrpSpPr>
      </xdr:nvGrpSpPr>
      <xdr:grpSpPr bwMode="auto">
        <a:xfrm>
          <a:off x="3762375" y="3499338"/>
          <a:ext cx="454269" cy="171450"/>
          <a:chOff x="273" y="421"/>
          <a:chExt cx="44" cy="16"/>
        </a:xfrm>
      </xdr:grpSpPr>
      <xdr:sp macro="" textlink="">
        <xdr:nvSpPr>
          <xdr:cNvPr id="1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191" name="Group 11"/>
        <xdr:cNvGrpSpPr>
          <a:grpSpLocks/>
        </xdr:cNvGrpSpPr>
      </xdr:nvGrpSpPr>
      <xdr:grpSpPr bwMode="auto">
        <a:xfrm>
          <a:off x="2677990" y="3499338"/>
          <a:ext cx="457933" cy="171450"/>
          <a:chOff x="273" y="421"/>
          <a:chExt cx="44" cy="16"/>
        </a:xfrm>
      </xdr:grpSpPr>
      <xdr:sp macro="" textlink="">
        <xdr:nvSpPr>
          <xdr:cNvPr id="1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194" name="Group 14"/>
        <xdr:cNvGrpSpPr>
          <a:grpSpLocks/>
        </xdr:cNvGrpSpPr>
      </xdr:nvGrpSpPr>
      <xdr:grpSpPr bwMode="auto">
        <a:xfrm>
          <a:off x="3164498" y="3499338"/>
          <a:ext cx="578827" cy="171450"/>
          <a:chOff x="273" y="421"/>
          <a:chExt cx="44" cy="16"/>
        </a:xfrm>
      </xdr:grpSpPr>
      <xdr:sp macro="" textlink="">
        <xdr:nvSpPr>
          <xdr:cNvPr id="1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1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197" name="Group 17"/>
        <xdr:cNvGrpSpPr>
          <a:grpSpLocks/>
        </xdr:cNvGrpSpPr>
      </xdr:nvGrpSpPr>
      <xdr:grpSpPr bwMode="auto">
        <a:xfrm>
          <a:off x="3762375" y="3499338"/>
          <a:ext cx="454269" cy="171450"/>
          <a:chOff x="273" y="421"/>
          <a:chExt cx="44" cy="16"/>
        </a:xfrm>
      </xdr:grpSpPr>
      <xdr:sp macro="" textlink="">
        <xdr:nvSpPr>
          <xdr:cNvPr id="1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1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0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0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02" name="Group 1"/>
        <xdr:cNvGrpSpPr>
          <a:grpSpLocks/>
        </xdr:cNvGrpSpPr>
      </xdr:nvGrpSpPr>
      <xdr:grpSpPr bwMode="auto">
        <a:xfrm>
          <a:off x="2677990" y="3499338"/>
          <a:ext cx="457933" cy="171450"/>
          <a:chOff x="273" y="421"/>
          <a:chExt cx="44" cy="16"/>
        </a:xfrm>
      </xdr:grpSpPr>
      <xdr:sp macro="" textlink="">
        <xdr:nvSpPr>
          <xdr:cNvPr id="2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05" name="Group 4"/>
        <xdr:cNvGrpSpPr>
          <a:grpSpLocks/>
        </xdr:cNvGrpSpPr>
      </xdr:nvGrpSpPr>
      <xdr:grpSpPr bwMode="auto">
        <a:xfrm>
          <a:off x="3164498" y="3499338"/>
          <a:ext cx="578827" cy="171450"/>
          <a:chOff x="273" y="421"/>
          <a:chExt cx="44" cy="16"/>
        </a:xfrm>
      </xdr:grpSpPr>
      <xdr:sp macro="" textlink="">
        <xdr:nvSpPr>
          <xdr:cNvPr id="2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08" name="Group 7"/>
        <xdr:cNvGrpSpPr>
          <a:grpSpLocks/>
        </xdr:cNvGrpSpPr>
      </xdr:nvGrpSpPr>
      <xdr:grpSpPr bwMode="auto">
        <a:xfrm>
          <a:off x="3762375" y="3499338"/>
          <a:ext cx="454269" cy="171450"/>
          <a:chOff x="273" y="421"/>
          <a:chExt cx="44" cy="16"/>
        </a:xfrm>
      </xdr:grpSpPr>
      <xdr:sp macro="" textlink="">
        <xdr:nvSpPr>
          <xdr:cNvPr id="2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1" name="Group 11"/>
        <xdr:cNvGrpSpPr>
          <a:grpSpLocks/>
        </xdr:cNvGrpSpPr>
      </xdr:nvGrpSpPr>
      <xdr:grpSpPr bwMode="auto">
        <a:xfrm>
          <a:off x="2677990" y="3499338"/>
          <a:ext cx="457933" cy="171450"/>
          <a:chOff x="273" y="421"/>
          <a:chExt cx="44" cy="16"/>
        </a:xfrm>
      </xdr:grpSpPr>
      <xdr:sp macro="" textlink="">
        <xdr:nvSpPr>
          <xdr:cNvPr id="2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4" name="Group 14"/>
        <xdr:cNvGrpSpPr>
          <a:grpSpLocks/>
        </xdr:cNvGrpSpPr>
      </xdr:nvGrpSpPr>
      <xdr:grpSpPr bwMode="auto">
        <a:xfrm>
          <a:off x="3164498" y="3499338"/>
          <a:ext cx="578827" cy="171450"/>
          <a:chOff x="273" y="421"/>
          <a:chExt cx="44" cy="16"/>
        </a:xfrm>
      </xdr:grpSpPr>
      <xdr:sp macro="" textlink="">
        <xdr:nvSpPr>
          <xdr:cNvPr id="2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 name="Group 17"/>
        <xdr:cNvGrpSpPr>
          <a:grpSpLocks/>
        </xdr:cNvGrpSpPr>
      </xdr:nvGrpSpPr>
      <xdr:grpSpPr bwMode="auto">
        <a:xfrm>
          <a:off x="3762375" y="3499338"/>
          <a:ext cx="454269" cy="171450"/>
          <a:chOff x="273" y="421"/>
          <a:chExt cx="44" cy="16"/>
        </a:xfrm>
      </xdr:grpSpPr>
      <xdr:sp macro="" textlink="">
        <xdr:nvSpPr>
          <xdr:cNvPr id="2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2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2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22" name="Group 1"/>
        <xdr:cNvGrpSpPr>
          <a:grpSpLocks/>
        </xdr:cNvGrpSpPr>
      </xdr:nvGrpSpPr>
      <xdr:grpSpPr bwMode="auto">
        <a:xfrm>
          <a:off x="2677990" y="3499338"/>
          <a:ext cx="457933" cy="171450"/>
          <a:chOff x="273" y="421"/>
          <a:chExt cx="44" cy="16"/>
        </a:xfrm>
      </xdr:grpSpPr>
      <xdr:sp macro="" textlink="">
        <xdr:nvSpPr>
          <xdr:cNvPr id="2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25" name="Group 4"/>
        <xdr:cNvGrpSpPr>
          <a:grpSpLocks/>
        </xdr:cNvGrpSpPr>
      </xdr:nvGrpSpPr>
      <xdr:grpSpPr bwMode="auto">
        <a:xfrm>
          <a:off x="3164498" y="3499338"/>
          <a:ext cx="578827" cy="171450"/>
          <a:chOff x="273" y="421"/>
          <a:chExt cx="44" cy="16"/>
        </a:xfrm>
      </xdr:grpSpPr>
      <xdr:sp macro="" textlink="">
        <xdr:nvSpPr>
          <xdr:cNvPr id="2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28" name="Group 7"/>
        <xdr:cNvGrpSpPr>
          <a:grpSpLocks/>
        </xdr:cNvGrpSpPr>
      </xdr:nvGrpSpPr>
      <xdr:grpSpPr bwMode="auto">
        <a:xfrm>
          <a:off x="3762375" y="3499338"/>
          <a:ext cx="454269" cy="171450"/>
          <a:chOff x="273" y="421"/>
          <a:chExt cx="44" cy="16"/>
        </a:xfrm>
      </xdr:grpSpPr>
      <xdr:sp macro="" textlink="">
        <xdr:nvSpPr>
          <xdr:cNvPr id="2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3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31" name="Group 11"/>
        <xdr:cNvGrpSpPr>
          <a:grpSpLocks/>
        </xdr:cNvGrpSpPr>
      </xdr:nvGrpSpPr>
      <xdr:grpSpPr bwMode="auto">
        <a:xfrm>
          <a:off x="2677990" y="3499338"/>
          <a:ext cx="457933" cy="171450"/>
          <a:chOff x="273" y="421"/>
          <a:chExt cx="44" cy="16"/>
        </a:xfrm>
      </xdr:grpSpPr>
      <xdr:sp macro="" textlink="">
        <xdr:nvSpPr>
          <xdr:cNvPr id="2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34" name="Group 14"/>
        <xdr:cNvGrpSpPr>
          <a:grpSpLocks/>
        </xdr:cNvGrpSpPr>
      </xdr:nvGrpSpPr>
      <xdr:grpSpPr bwMode="auto">
        <a:xfrm>
          <a:off x="3164498" y="3499338"/>
          <a:ext cx="578827" cy="171450"/>
          <a:chOff x="273" y="421"/>
          <a:chExt cx="44" cy="16"/>
        </a:xfrm>
      </xdr:grpSpPr>
      <xdr:sp macro="" textlink="">
        <xdr:nvSpPr>
          <xdr:cNvPr id="2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37" name="Group 17"/>
        <xdr:cNvGrpSpPr>
          <a:grpSpLocks/>
        </xdr:cNvGrpSpPr>
      </xdr:nvGrpSpPr>
      <xdr:grpSpPr bwMode="auto">
        <a:xfrm>
          <a:off x="3762375" y="3499338"/>
          <a:ext cx="454269" cy="171450"/>
          <a:chOff x="273" y="421"/>
          <a:chExt cx="44" cy="16"/>
        </a:xfrm>
      </xdr:grpSpPr>
      <xdr:sp macro="" textlink="">
        <xdr:nvSpPr>
          <xdr:cNvPr id="2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3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4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4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42" name="Group 1"/>
        <xdr:cNvGrpSpPr>
          <a:grpSpLocks/>
        </xdr:cNvGrpSpPr>
      </xdr:nvGrpSpPr>
      <xdr:grpSpPr bwMode="auto">
        <a:xfrm>
          <a:off x="2677990" y="3499338"/>
          <a:ext cx="457933" cy="171450"/>
          <a:chOff x="273" y="421"/>
          <a:chExt cx="44" cy="16"/>
        </a:xfrm>
      </xdr:grpSpPr>
      <xdr:sp macro="" textlink="">
        <xdr:nvSpPr>
          <xdr:cNvPr id="2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45" name="Group 4"/>
        <xdr:cNvGrpSpPr>
          <a:grpSpLocks/>
        </xdr:cNvGrpSpPr>
      </xdr:nvGrpSpPr>
      <xdr:grpSpPr bwMode="auto">
        <a:xfrm>
          <a:off x="3164498" y="3499338"/>
          <a:ext cx="578827" cy="171450"/>
          <a:chOff x="273" y="421"/>
          <a:chExt cx="44" cy="16"/>
        </a:xfrm>
      </xdr:grpSpPr>
      <xdr:sp macro="" textlink="">
        <xdr:nvSpPr>
          <xdr:cNvPr id="2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4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48" name="Group 7"/>
        <xdr:cNvGrpSpPr>
          <a:grpSpLocks/>
        </xdr:cNvGrpSpPr>
      </xdr:nvGrpSpPr>
      <xdr:grpSpPr bwMode="auto">
        <a:xfrm>
          <a:off x="3762375" y="3499338"/>
          <a:ext cx="454269" cy="171450"/>
          <a:chOff x="273" y="421"/>
          <a:chExt cx="44" cy="16"/>
        </a:xfrm>
      </xdr:grpSpPr>
      <xdr:sp macro="" textlink="">
        <xdr:nvSpPr>
          <xdr:cNvPr id="2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5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51" name="Group 11"/>
        <xdr:cNvGrpSpPr>
          <a:grpSpLocks/>
        </xdr:cNvGrpSpPr>
      </xdr:nvGrpSpPr>
      <xdr:grpSpPr bwMode="auto">
        <a:xfrm>
          <a:off x="2677990" y="3499338"/>
          <a:ext cx="457933" cy="171450"/>
          <a:chOff x="273" y="421"/>
          <a:chExt cx="44" cy="16"/>
        </a:xfrm>
      </xdr:grpSpPr>
      <xdr:sp macro="" textlink="">
        <xdr:nvSpPr>
          <xdr:cNvPr id="2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54" name="Group 14"/>
        <xdr:cNvGrpSpPr>
          <a:grpSpLocks/>
        </xdr:cNvGrpSpPr>
      </xdr:nvGrpSpPr>
      <xdr:grpSpPr bwMode="auto">
        <a:xfrm>
          <a:off x="3164498" y="3499338"/>
          <a:ext cx="578827" cy="171450"/>
          <a:chOff x="273" y="421"/>
          <a:chExt cx="44" cy="16"/>
        </a:xfrm>
      </xdr:grpSpPr>
      <xdr:sp macro="" textlink="">
        <xdr:nvSpPr>
          <xdr:cNvPr id="2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57" name="Group 17"/>
        <xdr:cNvGrpSpPr>
          <a:grpSpLocks/>
        </xdr:cNvGrpSpPr>
      </xdr:nvGrpSpPr>
      <xdr:grpSpPr bwMode="auto">
        <a:xfrm>
          <a:off x="3762375" y="3499338"/>
          <a:ext cx="454269" cy="171450"/>
          <a:chOff x="273" y="421"/>
          <a:chExt cx="44" cy="16"/>
        </a:xfrm>
      </xdr:grpSpPr>
      <xdr:sp macro="" textlink="">
        <xdr:nvSpPr>
          <xdr:cNvPr id="2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60"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61"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62" name="Group 1"/>
        <xdr:cNvGrpSpPr>
          <a:grpSpLocks/>
        </xdr:cNvGrpSpPr>
      </xdr:nvGrpSpPr>
      <xdr:grpSpPr bwMode="auto">
        <a:xfrm>
          <a:off x="2677990" y="3499338"/>
          <a:ext cx="457933" cy="171450"/>
          <a:chOff x="273" y="421"/>
          <a:chExt cx="44" cy="16"/>
        </a:xfrm>
      </xdr:grpSpPr>
      <xdr:sp macro="" textlink="">
        <xdr:nvSpPr>
          <xdr:cNvPr id="2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65" name="Group 4"/>
        <xdr:cNvGrpSpPr>
          <a:grpSpLocks/>
        </xdr:cNvGrpSpPr>
      </xdr:nvGrpSpPr>
      <xdr:grpSpPr bwMode="auto">
        <a:xfrm>
          <a:off x="3164498" y="3499338"/>
          <a:ext cx="578827" cy="171450"/>
          <a:chOff x="273" y="421"/>
          <a:chExt cx="44" cy="16"/>
        </a:xfrm>
      </xdr:grpSpPr>
      <xdr:sp macro="" textlink="">
        <xdr:nvSpPr>
          <xdr:cNvPr id="2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68" name="Group 7"/>
        <xdr:cNvGrpSpPr>
          <a:grpSpLocks/>
        </xdr:cNvGrpSpPr>
      </xdr:nvGrpSpPr>
      <xdr:grpSpPr bwMode="auto">
        <a:xfrm>
          <a:off x="3762375" y="3499338"/>
          <a:ext cx="454269" cy="171450"/>
          <a:chOff x="273" y="421"/>
          <a:chExt cx="44" cy="16"/>
        </a:xfrm>
      </xdr:grpSpPr>
      <xdr:sp macro="" textlink="">
        <xdr:nvSpPr>
          <xdr:cNvPr id="2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7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71" name="Group 11"/>
        <xdr:cNvGrpSpPr>
          <a:grpSpLocks/>
        </xdr:cNvGrpSpPr>
      </xdr:nvGrpSpPr>
      <xdr:grpSpPr bwMode="auto">
        <a:xfrm>
          <a:off x="2677990" y="3499338"/>
          <a:ext cx="457933" cy="171450"/>
          <a:chOff x="273" y="421"/>
          <a:chExt cx="44" cy="16"/>
        </a:xfrm>
      </xdr:grpSpPr>
      <xdr:sp macro="" textlink="">
        <xdr:nvSpPr>
          <xdr:cNvPr id="2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74" name="Group 14"/>
        <xdr:cNvGrpSpPr>
          <a:grpSpLocks/>
        </xdr:cNvGrpSpPr>
      </xdr:nvGrpSpPr>
      <xdr:grpSpPr bwMode="auto">
        <a:xfrm>
          <a:off x="3164498" y="3499338"/>
          <a:ext cx="578827" cy="171450"/>
          <a:chOff x="273" y="421"/>
          <a:chExt cx="44" cy="16"/>
        </a:xfrm>
      </xdr:grpSpPr>
      <xdr:sp macro="" textlink="">
        <xdr:nvSpPr>
          <xdr:cNvPr id="2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77" name="Group 17"/>
        <xdr:cNvGrpSpPr>
          <a:grpSpLocks/>
        </xdr:cNvGrpSpPr>
      </xdr:nvGrpSpPr>
      <xdr:grpSpPr bwMode="auto">
        <a:xfrm>
          <a:off x="3762375" y="3499338"/>
          <a:ext cx="454269" cy="171450"/>
          <a:chOff x="273" y="421"/>
          <a:chExt cx="44" cy="16"/>
        </a:xfrm>
      </xdr:grpSpPr>
      <xdr:sp macro="" textlink="">
        <xdr:nvSpPr>
          <xdr:cNvPr id="2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8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8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82" name="Group 1"/>
        <xdr:cNvGrpSpPr>
          <a:grpSpLocks/>
        </xdr:cNvGrpSpPr>
      </xdr:nvGrpSpPr>
      <xdr:grpSpPr bwMode="auto">
        <a:xfrm>
          <a:off x="2677990" y="3499338"/>
          <a:ext cx="457933" cy="171450"/>
          <a:chOff x="273" y="421"/>
          <a:chExt cx="44" cy="16"/>
        </a:xfrm>
      </xdr:grpSpPr>
      <xdr:sp macro="" textlink="">
        <xdr:nvSpPr>
          <xdr:cNvPr id="2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85" name="Group 4"/>
        <xdr:cNvGrpSpPr>
          <a:grpSpLocks/>
        </xdr:cNvGrpSpPr>
      </xdr:nvGrpSpPr>
      <xdr:grpSpPr bwMode="auto">
        <a:xfrm>
          <a:off x="3164498" y="3499338"/>
          <a:ext cx="578827" cy="171450"/>
          <a:chOff x="273" y="421"/>
          <a:chExt cx="44" cy="16"/>
        </a:xfrm>
      </xdr:grpSpPr>
      <xdr:sp macro="" textlink="">
        <xdr:nvSpPr>
          <xdr:cNvPr id="2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88" name="Group 7"/>
        <xdr:cNvGrpSpPr>
          <a:grpSpLocks/>
        </xdr:cNvGrpSpPr>
      </xdr:nvGrpSpPr>
      <xdr:grpSpPr bwMode="auto">
        <a:xfrm>
          <a:off x="3762375" y="3499338"/>
          <a:ext cx="454269" cy="171450"/>
          <a:chOff x="273" y="421"/>
          <a:chExt cx="44" cy="16"/>
        </a:xfrm>
      </xdr:grpSpPr>
      <xdr:sp macro="" textlink="">
        <xdr:nvSpPr>
          <xdr:cNvPr id="2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9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91" name="Group 11"/>
        <xdr:cNvGrpSpPr>
          <a:grpSpLocks/>
        </xdr:cNvGrpSpPr>
      </xdr:nvGrpSpPr>
      <xdr:grpSpPr bwMode="auto">
        <a:xfrm>
          <a:off x="2677990" y="3499338"/>
          <a:ext cx="457933" cy="171450"/>
          <a:chOff x="273" y="421"/>
          <a:chExt cx="44" cy="16"/>
        </a:xfrm>
      </xdr:grpSpPr>
      <xdr:sp macro="" textlink="">
        <xdr:nvSpPr>
          <xdr:cNvPr id="2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94" name="Group 14"/>
        <xdr:cNvGrpSpPr>
          <a:grpSpLocks/>
        </xdr:cNvGrpSpPr>
      </xdr:nvGrpSpPr>
      <xdr:grpSpPr bwMode="auto">
        <a:xfrm>
          <a:off x="3164498" y="3499338"/>
          <a:ext cx="578827" cy="171450"/>
          <a:chOff x="273" y="421"/>
          <a:chExt cx="44" cy="16"/>
        </a:xfrm>
      </xdr:grpSpPr>
      <xdr:sp macro="" textlink="">
        <xdr:nvSpPr>
          <xdr:cNvPr id="2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97" name="Group 17"/>
        <xdr:cNvGrpSpPr>
          <a:grpSpLocks/>
        </xdr:cNvGrpSpPr>
      </xdr:nvGrpSpPr>
      <xdr:grpSpPr bwMode="auto">
        <a:xfrm>
          <a:off x="3762375" y="3499338"/>
          <a:ext cx="454269" cy="171450"/>
          <a:chOff x="273" y="421"/>
          <a:chExt cx="44" cy="16"/>
        </a:xfrm>
      </xdr:grpSpPr>
      <xdr:sp macro="" textlink="">
        <xdr:nvSpPr>
          <xdr:cNvPr id="2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9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30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30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302" name="Group 1"/>
        <xdr:cNvGrpSpPr>
          <a:grpSpLocks/>
        </xdr:cNvGrpSpPr>
      </xdr:nvGrpSpPr>
      <xdr:grpSpPr bwMode="auto">
        <a:xfrm>
          <a:off x="2677990" y="3499338"/>
          <a:ext cx="457933" cy="171450"/>
          <a:chOff x="273" y="421"/>
          <a:chExt cx="44" cy="16"/>
        </a:xfrm>
      </xdr:grpSpPr>
      <xdr:sp macro="" textlink="">
        <xdr:nvSpPr>
          <xdr:cNvPr id="3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05" name="Group 4"/>
        <xdr:cNvGrpSpPr>
          <a:grpSpLocks/>
        </xdr:cNvGrpSpPr>
      </xdr:nvGrpSpPr>
      <xdr:grpSpPr bwMode="auto">
        <a:xfrm>
          <a:off x="3164498" y="3499338"/>
          <a:ext cx="578827" cy="171450"/>
          <a:chOff x="273" y="421"/>
          <a:chExt cx="44" cy="16"/>
        </a:xfrm>
      </xdr:grpSpPr>
      <xdr:sp macro="" textlink="">
        <xdr:nvSpPr>
          <xdr:cNvPr id="3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0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08" name="Group 7"/>
        <xdr:cNvGrpSpPr>
          <a:grpSpLocks/>
        </xdr:cNvGrpSpPr>
      </xdr:nvGrpSpPr>
      <xdr:grpSpPr bwMode="auto">
        <a:xfrm>
          <a:off x="3762375" y="3499338"/>
          <a:ext cx="454269" cy="171450"/>
          <a:chOff x="273" y="421"/>
          <a:chExt cx="44" cy="16"/>
        </a:xfrm>
      </xdr:grpSpPr>
      <xdr:sp macro="" textlink="">
        <xdr:nvSpPr>
          <xdr:cNvPr id="3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1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311" name="Group 11"/>
        <xdr:cNvGrpSpPr>
          <a:grpSpLocks/>
        </xdr:cNvGrpSpPr>
      </xdr:nvGrpSpPr>
      <xdr:grpSpPr bwMode="auto">
        <a:xfrm>
          <a:off x="2677990" y="3499338"/>
          <a:ext cx="457933" cy="171450"/>
          <a:chOff x="273" y="421"/>
          <a:chExt cx="44" cy="16"/>
        </a:xfrm>
      </xdr:grpSpPr>
      <xdr:sp macro="" textlink="">
        <xdr:nvSpPr>
          <xdr:cNvPr id="3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314" name="Group 14"/>
        <xdr:cNvGrpSpPr>
          <a:grpSpLocks/>
        </xdr:cNvGrpSpPr>
      </xdr:nvGrpSpPr>
      <xdr:grpSpPr bwMode="auto">
        <a:xfrm>
          <a:off x="3164498" y="3499338"/>
          <a:ext cx="578827" cy="171450"/>
          <a:chOff x="273" y="421"/>
          <a:chExt cx="44" cy="16"/>
        </a:xfrm>
      </xdr:grpSpPr>
      <xdr:sp macro="" textlink="">
        <xdr:nvSpPr>
          <xdr:cNvPr id="3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31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317" name="Group 17"/>
        <xdr:cNvGrpSpPr>
          <a:grpSpLocks/>
        </xdr:cNvGrpSpPr>
      </xdr:nvGrpSpPr>
      <xdr:grpSpPr bwMode="auto">
        <a:xfrm>
          <a:off x="3762375" y="3499338"/>
          <a:ext cx="454269" cy="171450"/>
          <a:chOff x="273" y="421"/>
          <a:chExt cx="44" cy="16"/>
        </a:xfrm>
      </xdr:grpSpPr>
      <xdr:sp macro="" textlink="">
        <xdr:nvSpPr>
          <xdr:cNvPr id="3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3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32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32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47625</xdr:colOff>
      <xdr:row>20</xdr:row>
      <xdr:rowOff>19050</xdr:rowOff>
    </xdr:from>
    <xdr:to>
      <xdr:col>6</xdr:col>
      <xdr:colOff>0</xdr:colOff>
      <xdr:row>21</xdr:row>
      <xdr:rowOff>0</xdr:rowOff>
    </xdr:to>
    <xdr:grpSp>
      <xdr:nvGrpSpPr>
        <xdr:cNvPr id="2166106" name="Group 1"/>
        <xdr:cNvGrpSpPr>
          <a:grpSpLocks/>
        </xdr:cNvGrpSpPr>
      </xdr:nvGrpSpPr>
      <xdr:grpSpPr bwMode="auto">
        <a:xfrm>
          <a:off x="2604721" y="3645877"/>
          <a:ext cx="457933" cy="171450"/>
          <a:chOff x="273" y="421"/>
          <a:chExt cx="44" cy="16"/>
        </a:xfrm>
      </xdr:grpSpPr>
      <xdr:sp macro="" textlink="">
        <xdr:nvSpPr>
          <xdr:cNvPr id="24"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5"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07" name="Group 4"/>
        <xdr:cNvGrpSpPr>
          <a:grpSpLocks/>
        </xdr:cNvGrpSpPr>
      </xdr:nvGrpSpPr>
      <xdr:grpSpPr bwMode="auto">
        <a:xfrm>
          <a:off x="3091229" y="3645877"/>
          <a:ext cx="578827" cy="171450"/>
          <a:chOff x="273" y="421"/>
          <a:chExt cx="44" cy="16"/>
        </a:xfrm>
      </xdr:grpSpPr>
      <xdr:sp macro="" textlink="">
        <xdr:nvSpPr>
          <xdr:cNvPr id="23"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423"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08" name="Group 7"/>
        <xdr:cNvGrpSpPr>
          <a:grpSpLocks/>
        </xdr:cNvGrpSpPr>
      </xdr:nvGrpSpPr>
      <xdr:grpSpPr bwMode="auto">
        <a:xfrm>
          <a:off x="3689106" y="3645877"/>
          <a:ext cx="454269" cy="171450"/>
          <a:chOff x="273" y="421"/>
          <a:chExt cx="44" cy="16"/>
        </a:xfrm>
      </xdr:grpSpPr>
      <xdr:sp macro="" textlink="">
        <xdr:nvSpPr>
          <xdr:cNvPr id="22"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421"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09" name="Group 11"/>
        <xdr:cNvGrpSpPr>
          <a:grpSpLocks/>
        </xdr:cNvGrpSpPr>
      </xdr:nvGrpSpPr>
      <xdr:grpSpPr bwMode="auto">
        <a:xfrm>
          <a:off x="2604721" y="3645877"/>
          <a:ext cx="457933" cy="171450"/>
          <a:chOff x="273" y="421"/>
          <a:chExt cx="44" cy="16"/>
        </a:xfrm>
      </xdr:grpSpPr>
      <xdr:sp macro="" textlink="">
        <xdr:nvSpPr>
          <xdr:cNvPr id="20"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1"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10" name="Group 14"/>
        <xdr:cNvGrpSpPr>
          <a:grpSpLocks/>
        </xdr:cNvGrpSpPr>
      </xdr:nvGrpSpPr>
      <xdr:grpSpPr bwMode="auto">
        <a:xfrm>
          <a:off x="3091229" y="3645877"/>
          <a:ext cx="578827" cy="171450"/>
          <a:chOff x="273" y="421"/>
          <a:chExt cx="44" cy="16"/>
        </a:xfrm>
      </xdr:grpSpPr>
      <xdr:sp macro="" textlink="">
        <xdr:nvSpPr>
          <xdr:cNvPr id="19"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417"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11" name="Group 17"/>
        <xdr:cNvGrpSpPr>
          <a:grpSpLocks/>
        </xdr:cNvGrpSpPr>
      </xdr:nvGrpSpPr>
      <xdr:grpSpPr bwMode="auto">
        <a:xfrm>
          <a:off x="3689106" y="3645877"/>
          <a:ext cx="454269" cy="171450"/>
          <a:chOff x="273" y="421"/>
          <a:chExt cx="44" cy="16"/>
        </a:xfrm>
      </xdr:grpSpPr>
      <xdr:sp macro="" textlink="">
        <xdr:nvSpPr>
          <xdr:cNvPr id="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415"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12"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13"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14" name="Group 1"/>
        <xdr:cNvGrpSpPr>
          <a:grpSpLocks/>
        </xdr:cNvGrpSpPr>
      </xdr:nvGrpSpPr>
      <xdr:grpSpPr bwMode="auto">
        <a:xfrm>
          <a:off x="2604721" y="3645877"/>
          <a:ext cx="457933" cy="171450"/>
          <a:chOff x="273" y="421"/>
          <a:chExt cx="44" cy="16"/>
        </a:xfrm>
      </xdr:grpSpPr>
      <xdr:sp macro="" textlink="">
        <xdr:nvSpPr>
          <xdr:cNvPr id="16"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7"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15" name="Group 4"/>
        <xdr:cNvGrpSpPr>
          <a:grpSpLocks/>
        </xdr:cNvGrpSpPr>
      </xdr:nvGrpSpPr>
      <xdr:grpSpPr bwMode="auto">
        <a:xfrm>
          <a:off x="3091229" y="3645877"/>
          <a:ext cx="578827" cy="171450"/>
          <a:chOff x="273" y="421"/>
          <a:chExt cx="44" cy="16"/>
        </a:xfrm>
      </xdr:grpSpPr>
      <xdr:sp macro="" textlink="">
        <xdr:nvSpPr>
          <xdr:cNvPr id="15"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411"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16" name="Group 7"/>
        <xdr:cNvGrpSpPr>
          <a:grpSpLocks/>
        </xdr:cNvGrpSpPr>
      </xdr:nvGrpSpPr>
      <xdr:grpSpPr bwMode="auto">
        <a:xfrm>
          <a:off x="3689106" y="3645877"/>
          <a:ext cx="454269" cy="171450"/>
          <a:chOff x="273" y="421"/>
          <a:chExt cx="44" cy="16"/>
        </a:xfrm>
      </xdr:grpSpPr>
      <xdr:sp macro="" textlink="">
        <xdr:nvSpPr>
          <xdr:cNvPr id="14"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409"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17" name="Group 11"/>
        <xdr:cNvGrpSpPr>
          <a:grpSpLocks/>
        </xdr:cNvGrpSpPr>
      </xdr:nvGrpSpPr>
      <xdr:grpSpPr bwMode="auto">
        <a:xfrm>
          <a:off x="2604721" y="3645877"/>
          <a:ext cx="457933" cy="171450"/>
          <a:chOff x="273" y="421"/>
          <a:chExt cx="44" cy="16"/>
        </a:xfrm>
      </xdr:grpSpPr>
      <xdr:sp macro="" textlink="">
        <xdr:nvSpPr>
          <xdr:cNvPr id="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18" name="Group 14"/>
        <xdr:cNvGrpSpPr>
          <a:grpSpLocks/>
        </xdr:cNvGrpSpPr>
      </xdr:nvGrpSpPr>
      <xdr:grpSpPr bwMode="auto">
        <a:xfrm>
          <a:off x="3091229" y="3645877"/>
          <a:ext cx="578827" cy="171450"/>
          <a:chOff x="273" y="421"/>
          <a:chExt cx="44" cy="16"/>
        </a:xfrm>
      </xdr:grpSpPr>
      <xdr:sp macro="" textlink="">
        <xdr:nvSpPr>
          <xdr:cNvPr id="11"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405"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19" name="Group 17"/>
        <xdr:cNvGrpSpPr>
          <a:grpSpLocks/>
        </xdr:cNvGrpSpPr>
      </xdr:nvGrpSpPr>
      <xdr:grpSpPr bwMode="auto">
        <a:xfrm>
          <a:off x="3689106" y="3645877"/>
          <a:ext cx="454269" cy="171450"/>
          <a:chOff x="273" y="421"/>
          <a:chExt cx="44" cy="16"/>
        </a:xfrm>
      </xdr:grpSpPr>
      <xdr:sp macro="" textlink="">
        <xdr:nvSpPr>
          <xdr:cNvPr id="10"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403"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20"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21"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22" name="Group 1"/>
        <xdr:cNvGrpSpPr>
          <a:grpSpLocks/>
        </xdr:cNvGrpSpPr>
      </xdr:nvGrpSpPr>
      <xdr:grpSpPr bwMode="auto">
        <a:xfrm>
          <a:off x="2604721" y="3645877"/>
          <a:ext cx="457933" cy="171450"/>
          <a:chOff x="273" y="421"/>
          <a:chExt cx="44" cy="16"/>
        </a:xfrm>
      </xdr:grpSpPr>
      <xdr:sp macro="" textlink="">
        <xdr:nvSpPr>
          <xdr:cNvPr id="8"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9"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23" name="Group 4"/>
        <xdr:cNvGrpSpPr>
          <a:grpSpLocks/>
        </xdr:cNvGrpSpPr>
      </xdr:nvGrpSpPr>
      <xdr:grpSpPr bwMode="auto">
        <a:xfrm>
          <a:off x="3091229" y="3645877"/>
          <a:ext cx="578827" cy="171450"/>
          <a:chOff x="273" y="421"/>
          <a:chExt cx="44" cy="16"/>
        </a:xfrm>
      </xdr:grpSpPr>
      <xdr:sp macro="" textlink="">
        <xdr:nvSpPr>
          <xdr:cNvPr id="7"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99"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24" name="Group 7"/>
        <xdr:cNvGrpSpPr>
          <a:grpSpLocks/>
        </xdr:cNvGrpSpPr>
      </xdr:nvGrpSpPr>
      <xdr:grpSpPr bwMode="auto">
        <a:xfrm>
          <a:off x="3689106" y="3645877"/>
          <a:ext cx="454269" cy="171450"/>
          <a:chOff x="273" y="421"/>
          <a:chExt cx="44" cy="16"/>
        </a:xfrm>
      </xdr:grpSpPr>
      <xdr:sp macro="" textlink="">
        <xdr:nvSpPr>
          <xdr:cNvPr id="6"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97"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25" name="Group 11"/>
        <xdr:cNvGrpSpPr>
          <a:grpSpLocks/>
        </xdr:cNvGrpSpPr>
      </xdr:nvGrpSpPr>
      <xdr:grpSpPr bwMode="auto">
        <a:xfrm>
          <a:off x="2604721" y="3645877"/>
          <a:ext cx="457933" cy="171450"/>
          <a:chOff x="273" y="421"/>
          <a:chExt cx="44" cy="16"/>
        </a:xfrm>
      </xdr:grpSpPr>
      <xdr:sp macro="" textlink="">
        <xdr:nvSpPr>
          <xdr:cNvPr id="4"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5"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26" name="Group 14"/>
        <xdr:cNvGrpSpPr>
          <a:grpSpLocks/>
        </xdr:cNvGrpSpPr>
      </xdr:nvGrpSpPr>
      <xdr:grpSpPr bwMode="auto">
        <a:xfrm>
          <a:off x="3091229" y="3645877"/>
          <a:ext cx="578827" cy="171450"/>
          <a:chOff x="273" y="421"/>
          <a:chExt cx="44" cy="16"/>
        </a:xfrm>
      </xdr:grpSpPr>
      <xdr:sp macro="" textlink="">
        <xdr:nvSpPr>
          <xdr:cNvPr id="3"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93"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27" name="Group 17"/>
        <xdr:cNvGrpSpPr>
          <a:grpSpLocks/>
        </xdr:cNvGrpSpPr>
      </xdr:nvGrpSpPr>
      <xdr:grpSpPr bwMode="auto">
        <a:xfrm>
          <a:off x="3689106" y="3645877"/>
          <a:ext cx="454269" cy="171450"/>
          <a:chOff x="273" y="421"/>
          <a:chExt cx="44" cy="16"/>
        </a:xfrm>
      </xdr:grpSpPr>
      <xdr:sp macro="" textlink="">
        <xdr:nvSpPr>
          <xdr:cNvPr id="2"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91"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28"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29"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30" name="Group 1"/>
        <xdr:cNvGrpSpPr>
          <a:grpSpLocks/>
        </xdr:cNvGrpSpPr>
      </xdr:nvGrpSpPr>
      <xdr:grpSpPr bwMode="auto">
        <a:xfrm>
          <a:off x="2604721" y="3645877"/>
          <a:ext cx="457933" cy="171450"/>
          <a:chOff x="273" y="421"/>
          <a:chExt cx="44" cy="16"/>
        </a:xfrm>
      </xdr:grpSpPr>
      <xdr:sp macro="" textlink="">
        <xdr:nvSpPr>
          <xdr:cNvPr id="262146"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2147"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31" name="Group 4"/>
        <xdr:cNvGrpSpPr>
          <a:grpSpLocks/>
        </xdr:cNvGrpSpPr>
      </xdr:nvGrpSpPr>
      <xdr:grpSpPr bwMode="auto">
        <a:xfrm>
          <a:off x="3091229" y="3645877"/>
          <a:ext cx="578827" cy="171450"/>
          <a:chOff x="273" y="421"/>
          <a:chExt cx="44" cy="16"/>
        </a:xfrm>
      </xdr:grpSpPr>
      <xdr:sp macro="" textlink="">
        <xdr:nvSpPr>
          <xdr:cNvPr id="262149"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8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32" name="Group 7"/>
        <xdr:cNvGrpSpPr>
          <a:grpSpLocks/>
        </xdr:cNvGrpSpPr>
      </xdr:nvGrpSpPr>
      <xdr:grpSpPr bwMode="auto">
        <a:xfrm>
          <a:off x="3689106" y="3645877"/>
          <a:ext cx="454269" cy="171450"/>
          <a:chOff x="273" y="421"/>
          <a:chExt cx="44" cy="16"/>
        </a:xfrm>
      </xdr:grpSpPr>
      <xdr:sp macro="" textlink="">
        <xdr:nvSpPr>
          <xdr:cNvPr id="262152"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85"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33" name="Group 11"/>
        <xdr:cNvGrpSpPr>
          <a:grpSpLocks/>
        </xdr:cNvGrpSpPr>
      </xdr:nvGrpSpPr>
      <xdr:grpSpPr bwMode="auto">
        <a:xfrm>
          <a:off x="2604721" y="3645877"/>
          <a:ext cx="457933" cy="171450"/>
          <a:chOff x="273" y="421"/>
          <a:chExt cx="44" cy="16"/>
        </a:xfrm>
      </xdr:grpSpPr>
      <xdr:sp macro="" textlink="">
        <xdr:nvSpPr>
          <xdr:cNvPr id="262156"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2157"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34" name="Group 14"/>
        <xdr:cNvGrpSpPr>
          <a:grpSpLocks/>
        </xdr:cNvGrpSpPr>
      </xdr:nvGrpSpPr>
      <xdr:grpSpPr bwMode="auto">
        <a:xfrm>
          <a:off x="3091229" y="3645877"/>
          <a:ext cx="578827" cy="171450"/>
          <a:chOff x="273" y="421"/>
          <a:chExt cx="44" cy="16"/>
        </a:xfrm>
      </xdr:grpSpPr>
      <xdr:sp macro="" textlink="">
        <xdr:nvSpPr>
          <xdr:cNvPr id="262159"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81"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35" name="Group 17"/>
        <xdr:cNvGrpSpPr>
          <a:grpSpLocks/>
        </xdr:cNvGrpSpPr>
      </xdr:nvGrpSpPr>
      <xdr:grpSpPr bwMode="auto">
        <a:xfrm>
          <a:off x="3689106" y="3645877"/>
          <a:ext cx="454269" cy="171450"/>
          <a:chOff x="273" y="421"/>
          <a:chExt cx="44" cy="16"/>
        </a:xfrm>
      </xdr:grpSpPr>
      <xdr:sp macro="" textlink="">
        <xdr:nvSpPr>
          <xdr:cNvPr id="262162"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7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36"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37"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38" name="Group 1"/>
        <xdr:cNvGrpSpPr>
          <a:grpSpLocks/>
        </xdr:cNvGrpSpPr>
      </xdr:nvGrpSpPr>
      <xdr:grpSpPr bwMode="auto">
        <a:xfrm>
          <a:off x="2604721" y="3645877"/>
          <a:ext cx="457933" cy="171450"/>
          <a:chOff x="273" y="421"/>
          <a:chExt cx="44" cy="16"/>
        </a:xfrm>
      </xdr:grpSpPr>
      <xdr:sp macro="" textlink="">
        <xdr:nvSpPr>
          <xdr:cNvPr id="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39" name="Group 4"/>
        <xdr:cNvGrpSpPr>
          <a:grpSpLocks/>
        </xdr:cNvGrpSpPr>
      </xdr:nvGrpSpPr>
      <xdr:grpSpPr bwMode="auto">
        <a:xfrm>
          <a:off x="3091229" y="3645877"/>
          <a:ext cx="578827" cy="171450"/>
          <a:chOff x="273" y="421"/>
          <a:chExt cx="44" cy="16"/>
        </a:xfrm>
      </xdr:grpSpPr>
      <xdr:sp macro="" textlink="">
        <xdr:nvSpPr>
          <xdr:cNvPr id="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75"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40" name="Group 7"/>
        <xdr:cNvGrpSpPr>
          <a:grpSpLocks/>
        </xdr:cNvGrpSpPr>
      </xdr:nvGrpSpPr>
      <xdr:grpSpPr bwMode="auto">
        <a:xfrm>
          <a:off x="3689106" y="3645877"/>
          <a:ext cx="454269" cy="171450"/>
          <a:chOff x="273" y="421"/>
          <a:chExt cx="44" cy="16"/>
        </a:xfrm>
      </xdr:grpSpPr>
      <xdr:sp macro="" textlink="">
        <xdr:nvSpPr>
          <xdr:cNvPr id="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73"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41" name="Group 11"/>
        <xdr:cNvGrpSpPr>
          <a:grpSpLocks/>
        </xdr:cNvGrpSpPr>
      </xdr:nvGrpSpPr>
      <xdr:grpSpPr bwMode="auto">
        <a:xfrm>
          <a:off x="2604721" y="3645877"/>
          <a:ext cx="457933" cy="171450"/>
          <a:chOff x="273" y="421"/>
          <a:chExt cx="44" cy="16"/>
        </a:xfrm>
      </xdr:grpSpPr>
      <xdr:sp macro="" textlink="">
        <xdr:nvSpPr>
          <xdr:cNvPr id="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42" name="Group 14"/>
        <xdr:cNvGrpSpPr>
          <a:grpSpLocks/>
        </xdr:cNvGrpSpPr>
      </xdr:nvGrpSpPr>
      <xdr:grpSpPr bwMode="auto">
        <a:xfrm>
          <a:off x="3091229" y="3645877"/>
          <a:ext cx="578827" cy="171450"/>
          <a:chOff x="273" y="421"/>
          <a:chExt cx="44" cy="16"/>
        </a:xfrm>
      </xdr:grpSpPr>
      <xdr:sp macro="" textlink="">
        <xdr:nvSpPr>
          <xdr:cNvPr id="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69"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43" name="Group 17"/>
        <xdr:cNvGrpSpPr>
          <a:grpSpLocks/>
        </xdr:cNvGrpSpPr>
      </xdr:nvGrpSpPr>
      <xdr:grpSpPr bwMode="auto">
        <a:xfrm>
          <a:off x="3689106" y="3645877"/>
          <a:ext cx="454269" cy="171450"/>
          <a:chOff x="273" y="421"/>
          <a:chExt cx="44" cy="16"/>
        </a:xfrm>
      </xdr:grpSpPr>
      <xdr:sp macro="" textlink="">
        <xdr:nvSpPr>
          <xdr:cNvPr id="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67"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44"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45"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46" name="Group 1"/>
        <xdr:cNvGrpSpPr>
          <a:grpSpLocks/>
        </xdr:cNvGrpSpPr>
      </xdr:nvGrpSpPr>
      <xdr:grpSpPr bwMode="auto">
        <a:xfrm>
          <a:off x="2604721" y="3645877"/>
          <a:ext cx="457933" cy="171450"/>
          <a:chOff x="273" y="421"/>
          <a:chExt cx="44" cy="16"/>
        </a:xfrm>
      </xdr:grpSpPr>
      <xdr:sp macro="" textlink="">
        <xdr:nvSpPr>
          <xdr:cNvPr id="1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47" name="Group 4"/>
        <xdr:cNvGrpSpPr>
          <a:grpSpLocks/>
        </xdr:cNvGrpSpPr>
      </xdr:nvGrpSpPr>
      <xdr:grpSpPr bwMode="auto">
        <a:xfrm>
          <a:off x="3091229" y="3645877"/>
          <a:ext cx="578827" cy="171450"/>
          <a:chOff x="273" y="421"/>
          <a:chExt cx="44" cy="16"/>
        </a:xfrm>
      </xdr:grpSpPr>
      <xdr:sp macro="" textlink="">
        <xdr:nvSpPr>
          <xdr:cNvPr id="1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63"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48" name="Group 7"/>
        <xdr:cNvGrpSpPr>
          <a:grpSpLocks/>
        </xdr:cNvGrpSpPr>
      </xdr:nvGrpSpPr>
      <xdr:grpSpPr bwMode="auto">
        <a:xfrm>
          <a:off x="3689106" y="3645877"/>
          <a:ext cx="454269" cy="171450"/>
          <a:chOff x="273" y="421"/>
          <a:chExt cx="44" cy="16"/>
        </a:xfrm>
      </xdr:grpSpPr>
      <xdr:sp macro="" textlink="">
        <xdr:nvSpPr>
          <xdr:cNvPr id="1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61"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49" name="Group 11"/>
        <xdr:cNvGrpSpPr>
          <a:grpSpLocks/>
        </xdr:cNvGrpSpPr>
      </xdr:nvGrpSpPr>
      <xdr:grpSpPr bwMode="auto">
        <a:xfrm>
          <a:off x="2604721" y="3645877"/>
          <a:ext cx="457933" cy="171450"/>
          <a:chOff x="273" y="421"/>
          <a:chExt cx="44" cy="16"/>
        </a:xfrm>
      </xdr:grpSpPr>
      <xdr:sp macro="" textlink="">
        <xdr:nvSpPr>
          <xdr:cNvPr id="1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50" name="Group 14"/>
        <xdr:cNvGrpSpPr>
          <a:grpSpLocks/>
        </xdr:cNvGrpSpPr>
      </xdr:nvGrpSpPr>
      <xdr:grpSpPr bwMode="auto">
        <a:xfrm>
          <a:off x="3091229" y="3645877"/>
          <a:ext cx="578827" cy="171450"/>
          <a:chOff x="273" y="421"/>
          <a:chExt cx="44" cy="16"/>
        </a:xfrm>
      </xdr:grpSpPr>
      <xdr:sp macro="" textlink="">
        <xdr:nvSpPr>
          <xdr:cNvPr id="1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57"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51" name="Group 17"/>
        <xdr:cNvGrpSpPr>
          <a:grpSpLocks/>
        </xdr:cNvGrpSpPr>
      </xdr:nvGrpSpPr>
      <xdr:grpSpPr bwMode="auto">
        <a:xfrm>
          <a:off x="3689106" y="3645877"/>
          <a:ext cx="454269" cy="171450"/>
          <a:chOff x="273" y="421"/>
          <a:chExt cx="44" cy="16"/>
        </a:xfrm>
      </xdr:grpSpPr>
      <xdr:sp macro="" textlink="">
        <xdr:nvSpPr>
          <xdr:cNvPr id="1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55"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52"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53"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54" name="Group 1"/>
        <xdr:cNvGrpSpPr>
          <a:grpSpLocks/>
        </xdr:cNvGrpSpPr>
      </xdr:nvGrpSpPr>
      <xdr:grpSpPr bwMode="auto">
        <a:xfrm>
          <a:off x="2604721" y="3645877"/>
          <a:ext cx="457933" cy="171450"/>
          <a:chOff x="273" y="421"/>
          <a:chExt cx="44" cy="16"/>
        </a:xfrm>
      </xdr:grpSpPr>
      <xdr:sp macro="" textlink="">
        <xdr:nvSpPr>
          <xdr:cNvPr id="1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55" name="Group 4"/>
        <xdr:cNvGrpSpPr>
          <a:grpSpLocks/>
        </xdr:cNvGrpSpPr>
      </xdr:nvGrpSpPr>
      <xdr:grpSpPr bwMode="auto">
        <a:xfrm>
          <a:off x="3091229" y="3645877"/>
          <a:ext cx="578827" cy="171450"/>
          <a:chOff x="273" y="421"/>
          <a:chExt cx="44" cy="16"/>
        </a:xfrm>
      </xdr:grpSpPr>
      <xdr:sp macro="" textlink="">
        <xdr:nvSpPr>
          <xdr:cNvPr id="1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51"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56" name="Group 7"/>
        <xdr:cNvGrpSpPr>
          <a:grpSpLocks/>
        </xdr:cNvGrpSpPr>
      </xdr:nvGrpSpPr>
      <xdr:grpSpPr bwMode="auto">
        <a:xfrm>
          <a:off x="3689106" y="3645877"/>
          <a:ext cx="454269" cy="171450"/>
          <a:chOff x="273" y="421"/>
          <a:chExt cx="44" cy="16"/>
        </a:xfrm>
      </xdr:grpSpPr>
      <xdr:sp macro="" textlink="">
        <xdr:nvSpPr>
          <xdr:cNvPr id="1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49"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57" name="Group 11"/>
        <xdr:cNvGrpSpPr>
          <a:grpSpLocks/>
        </xdr:cNvGrpSpPr>
      </xdr:nvGrpSpPr>
      <xdr:grpSpPr bwMode="auto">
        <a:xfrm>
          <a:off x="2604721" y="3645877"/>
          <a:ext cx="457933" cy="171450"/>
          <a:chOff x="273" y="421"/>
          <a:chExt cx="44" cy="16"/>
        </a:xfrm>
      </xdr:grpSpPr>
      <xdr:sp macro="" textlink="">
        <xdr:nvSpPr>
          <xdr:cNvPr id="1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58" name="Group 14"/>
        <xdr:cNvGrpSpPr>
          <a:grpSpLocks/>
        </xdr:cNvGrpSpPr>
      </xdr:nvGrpSpPr>
      <xdr:grpSpPr bwMode="auto">
        <a:xfrm>
          <a:off x="3091229" y="3645877"/>
          <a:ext cx="578827" cy="171450"/>
          <a:chOff x="273" y="421"/>
          <a:chExt cx="44" cy="16"/>
        </a:xfrm>
      </xdr:grpSpPr>
      <xdr:sp macro="" textlink="">
        <xdr:nvSpPr>
          <xdr:cNvPr id="1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45"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59" name="Group 17"/>
        <xdr:cNvGrpSpPr>
          <a:grpSpLocks/>
        </xdr:cNvGrpSpPr>
      </xdr:nvGrpSpPr>
      <xdr:grpSpPr bwMode="auto">
        <a:xfrm>
          <a:off x="3689106" y="3645877"/>
          <a:ext cx="454269" cy="171450"/>
          <a:chOff x="273" y="421"/>
          <a:chExt cx="44" cy="16"/>
        </a:xfrm>
      </xdr:grpSpPr>
      <xdr:sp macro="" textlink="">
        <xdr:nvSpPr>
          <xdr:cNvPr id="1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43"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60"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61"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62" name="Group 1"/>
        <xdr:cNvGrpSpPr>
          <a:grpSpLocks/>
        </xdr:cNvGrpSpPr>
      </xdr:nvGrpSpPr>
      <xdr:grpSpPr bwMode="auto">
        <a:xfrm>
          <a:off x="2604721" y="3645877"/>
          <a:ext cx="457933" cy="171450"/>
          <a:chOff x="273" y="421"/>
          <a:chExt cx="44" cy="16"/>
        </a:xfrm>
      </xdr:grpSpPr>
      <xdr:sp macro="" textlink="">
        <xdr:nvSpPr>
          <xdr:cNvPr id="1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63" name="Group 4"/>
        <xdr:cNvGrpSpPr>
          <a:grpSpLocks/>
        </xdr:cNvGrpSpPr>
      </xdr:nvGrpSpPr>
      <xdr:grpSpPr bwMode="auto">
        <a:xfrm>
          <a:off x="3091229" y="3645877"/>
          <a:ext cx="578827" cy="171450"/>
          <a:chOff x="273" y="421"/>
          <a:chExt cx="44" cy="16"/>
        </a:xfrm>
      </xdr:grpSpPr>
      <xdr:sp macro="" textlink="">
        <xdr:nvSpPr>
          <xdr:cNvPr id="1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39"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64" name="Group 7"/>
        <xdr:cNvGrpSpPr>
          <a:grpSpLocks/>
        </xdr:cNvGrpSpPr>
      </xdr:nvGrpSpPr>
      <xdr:grpSpPr bwMode="auto">
        <a:xfrm>
          <a:off x="3689106" y="3645877"/>
          <a:ext cx="454269" cy="171450"/>
          <a:chOff x="273" y="421"/>
          <a:chExt cx="44" cy="16"/>
        </a:xfrm>
      </xdr:grpSpPr>
      <xdr:sp macro="" textlink="">
        <xdr:nvSpPr>
          <xdr:cNvPr id="1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37"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65" name="Group 11"/>
        <xdr:cNvGrpSpPr>
          <a:grpSpLocks/>
        </xdr:cNvGrpSpPr>
      </xdr:nvGrpSpPr>
      <xdr:grpSpPr bwMode="auto">
        <a:xfrm>
          <a:off x="2604721" y="3645877"/>
          <a:ext cx="457933" cy="171450"/>
          <a:chOff x="273" y="421"/>
          <a:chExt cx="44" cy="16"/>
        </a:xfrm>
      </xdr:grpSpPr>
      <xdr:sp macro="" textlink="">
        <xdr:nvSpPr>
          <xdr:cNvPr id="1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66" name="Group 14"/>
        <xdr:cNvGrpSpPr>
          <a:grpSpLocks/>
        </xdr:cNvGrpSpPr>
      </xdr:nvGrpSpPr>
      <xdr:grpSpPr bwMode="auto">
        <a:xfrm>
          <a:off x="3091229" y="3645877"/>
          <a:ext cx="578827" cy="171450"/>
          <a:chOff x="273" y="421"/>
          <a:chExt cx="44" cy="16"/>
        </a:xfrm>
      </xdr:grpSpPr>
      <xdr:sp macro="" textlink="">
        <xdr:nvSpPr>
          <xdr:cNvPr id="1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33"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67" name="Group 17"/>
        <xdr:cNvGrpSpPr>
          <a:grpSpLocks/>
        </xdr:cNvGrpSpPr>
      </xdr:nvGrpSpPr>
      <xdr:grpSpPr bwMode="auto">
        <a:xfrm>
          <a:off x="3689106" y="3645877"/>
          <a:ext cx="454269" cy="171450"/>
          <a:chOff x="273" y="421"/>
          <a:chExt cx="44" cy="16"/>
        </a:xfrm>
      </xdr:grpSpPr>
      <xdr:sp macro="" textlink="">
        <xdr:nvSpPr>
          <xdr:cNvPr id="1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31"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68"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69"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70" name="Group 1"/>
        <xdr:cNvGrpSpPr>
          <a:grpSpLocks/>
        </xdr:cNvGrpSpPr>
      </xdr:nvGrpSpPr>
      <xdr:grpSpPr bwMode="auto">
        <a:xfrm>
          <a:off x="2604721" y="3645877"/>
          <a:ext cx="457933" cy="171450"/>
          <a:chOff x="273" y="421"/>
          <a:chExt cx="44" cy="16"/>
        </a:xfrm>
      </xdr:grpSpPr>
      <xdr:sp macro="" textlink="">
        <xdr:nvSpPr>
          <xdr:cNvPr id="1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71" name="Group 4"/>
        <xdr:cNvGrpSpPr>
          <a:grpSpLocks/>
        </xdr:cNvGrpSpPr>
      </xdr:nvGrpSpPr>
      <xdr:grpSpPr bwMode="auto">
        <a:xfrm>
          <a:off x="3091229" y="3645877"/>
          <a:ext cx="578827" cy="171450"/>
          <a:chOff x="273" y="421"/>
          <a:chExt cx="44" cy="16"/>
        </a:xfrm>
      </xdr:grpSpPr>
      <xdr:sp macro="" textlink="">
        <xdr:nvSpPr>
          <xdr:cNvPr id="1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2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72" name="Group 7"/>
        <xdr:cNvGrpSpPr>
          <a:grpSpLocks/>
        </xdr:cNvGrpSpPr>
      </xdr:nvGrpSpPr>
      <xdr:grpSpPr bwMode="auto">
        <a:xfrm>
          <a:off x="3689106" y="3645877"/>
          <a:ext cx="454269" cy="171450"/>
          <a:chOff x="273" y="421"/>
          <a:chExt cx="44" cy="16"/>
        </a:xfrm>
      </xdr:grpSpPr>
      <xdr:sp macro="" textlink="">
        <xdr:nvSpPr>
          <xdr:cNvPr id="1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25"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73" name="Group 11"/>
        <xdr:cNvGrpSpPr>
          <a:grpSpLocks/>
        </xdr:cNvGrpSpPr>
      </xdr:nvGrpSpPr>
      <xdr:grpSpPr bwMode="auto">
        <a:xfrm>
          <a:off x="2604721" y="3645877"/>
          <a:ext cx="457933" cy="171450"/>
          <a:chOff x="273" y="421"/>
          <a:chExt cx="44" cy="16"/>
        </a:xfrm>
      </xdr:grpSpPr>
      <xdr:sp macro="" textlink="">
        <xdr:nvSpPr>
          <xdr:cNvPr id="1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74" name="Group 14"/>
        <xdr:cNvGrpSpPr>
          <a:grpSpLocks/>
        </xdr:cNvGrpSpPr>
      </xdr:nvGrpSpPr>
      <xdr:grpSpPr bwMode="auto">
        <a:xfrm>
          <a:off x="3091229" y="3645877"/>
          <a:ext cx="578827" cy="171450"/>
          <a:chOff x="273" y="421"/>
          <a:chExt cx="44" cy="16"/>
        </a:xfrm>
      </xdr:grpSpPr>
      <xdr:sp macro="" textlink="">
        <xdr:nvSpPr>
          <xdr:cNvPr id="1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21"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75" name="Group 17"/>
        <xdr:cNvGrpSpPr>
          <a:grpSpLocks/>
        </xdr:cNvGrpSpPr>
      </xdr:nvGrpSpPr>
      <xdr:grpSpPr bwMode="auto">
        <a:xfrm>
          <a:off x="3689106" y="3645877"/>
          <a:ext cx="454269" cy="171450"/>
          <a:chOff x="273" y="421"/>
          <a:chExt cx="44" cy="16"/>
        </a:xfrm>
      </xdr:grpSpPr>
      <xdr:sp macro="" textlink="">
        <xdr:nvSpPr>
          <xdr:cNvPr id="1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1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76"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77"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78" name="Group 1"/>
        <xdr:cNvGrpSpPr>
          <a:grpSpLocks/>
        </xdr:cNvGrpSpPr>
      </xdr:nvGrpSpPr>
      <xdr:grpSpPr bwMode="auto">
        <a:xfrm>
          <a:off x="2604721" y="3645877"/>
          <a:ext cx="457933" cy="171450"/>
          <a:chOff x="273" y="421"/>
          <a:chExt cx="44" cy="16"/>
        </a:xfrm>
      </xdr:grpSpPr>
      <xdr:sp macro="" textlink="">
        <xdr:nvSpPr>
          <xdr:cNvPr id="1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79" name="Group 4"/>
        <xdr:cNvGrpSpPr>
          <a:grpSpLocks/>
        </xdr:cNvGrpSpPr>
      </xdr:nvGrpSpPr>
      <xdr:grpSpPr bwMode="auto">
        <a:xfrm>
          <a:off x="3091229" y="3645877"/>
          <a:ext cx="578827" cy="171450"/>
          <a:chOff x="273" y="421"/>
          <a:chExt cx="44" cy="16"/>
        </a:xfrm>
      </xdr:grpSpPr>
      <xdr:sp macro="" textlink="">
        <xdr:nvSpPr>
          <xdr:cNvPr id="1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15"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80" name="Group 7"/>
        <xdr:cNvGrpSpPr>
          <a:grpSpLocks/>
        </xdr:cNvGrpSpPr>
      </xdr:nvGrpSpPr>
      <xdr:grpSpPr bwMode="auto">
        <a:xfrm>
          <a:off x="3689106" y="3645877"/>
          <a:ext cx="454269" cy="171450"/>
          <a:chOff x="273" y="421"/>
          <a:chExt cx="44" cy="16"/>
        </a:xfrm>
      </xdr:grpSpPr>
      <xdr:sp macro="" textlink="">
        <xdr:nvSpPr>
          <xdr:cNvPr id="1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13"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81" name="Group 11"/>
        <xdr:cNvGrpSpPr>
          <a:grpSpLocks/>
        </xdr:cNvGrpSpPr>
      </xdr:nvGrpSpPr>
      <xdr:grpSpPr bwMode="auto">
        <a:xfrm>
          <a:off x="2604721" y="3645877"/>
          <a:ext cx="457933" cy="171450"/>
          <a:chOff x="273" y="421"/>
          <a:chExt cx="44" cy="16"/>
        </a:xfrm>
      </xdr:grpSpPr>
      <xdr:sp macro="" textlink="">
        <xdr:nvSpPr>
          <xdr:cNvPr id="1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82" name="Group 14"/>
        <xdr:cNvGrpSpPr>
          <a:grpSpLocks/>
        </xdr:cNvGrpSpPr>
      </xdr:nvGrpSpPr>
      <xdr:grpSpPr bwMode="auto">
        <a:xfrm>
          <a:off x="3091229" y="3645877"/>
          <a:ext cx="578827" cy="171450"/>
          <a:chOff x="273" y="421"/>
          <a:chExt cx="44" cy="16"/>
        </a:xfrm>
      </xdr:grpSpPr>
      <xdr:sp macro="" textlink="">
        <xdr:nvSpPr>
          <xdr:cNvPr id="1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09"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83" name="Group 17"/>
        <xdr:cNvGrpSpPr>
          <a:grpSpLocks/>
        </xdr:cNvGrpSpPr>
      </xdr:nvGrpSpPr>
      <xdr:grpSpPr bwMode="auto">
        <a:xfrm>
          <a:off x="3689106" y="3645877"/>
          <a:ext cx="454269" cy="171450"/>
          <a:chOff x="273" y="421"/>
          <a:chExt cx="44" cy="16"/>
        </a:xfrm>
      </xdr:grpSpPr>
      <xdr:sp macro="" textlink="">
        <xdr:nvSpPr>
          <xdr:cNvPr id="1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07"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84"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85"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86" name="Group 1"/>
        <xdr:cNvGrpSpPr>
          <a:grpSpLocks/>
        </xdr:cNvGrpSpPr>
      </xdr:nvGrpSpPr>
      <xdr:grpSpPr bwMode="auto">
        <a:xfrm>
          <a:off x="2604721" y="3645877"/>
          <a:ext cx="457933" cy="171450"/>
          <a:chOff x="273" y="421"/>
          <a:chExt cx="44" cy="16"/>
        </a:xfrm>
      </xdr:grpSpPr>
      <xdr:sp macro="" textlink="">
        <xdr:nvSpPr>
          <xdr:cNvPr id="2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87" name="Group 4"/>
        <xdr:cNvGrpSpPr>
          <a:grpSpLocks/>
        </xdr:cNvGrpSpPr>
      </xdr:nvGrpSpPr>
      <xdr:grpSpPr bwMode="auto">
        <a:xfrm>
          <a:off x="3091229" y="3645877"/>
          <a:ext cx="578827" cy="171450"/>
          <a:chOff x="273" y="421"/>
          <a:chExt cx="44" cy="16"/>
        </a:xfrm>
      </xdr:grpSpPr>
      <xdr:sp macro="" textlink="">
        <xdr:nvSpPr>
          <xdr:cNvPr id="2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303"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88" name="Group 7"/>
        <xdr:cNvGrpSpPr>
          <a:grpSpLocks/>
        </xdr:cNvGrpSpPr>
      </xdr:nvGrpSpPr>
      <xdr:grpSpPr bwMode="auto">
        <a:xfrm>
          <a:off x="3689106" y="3645877"/>
          <a:ext cx="454269" cy="171450"/>
          <a:chOff x="273" y="421"/>
          <a:chExt cx="44" cy="16"/>
        </a:xfrm>
      </xdr:grpSpPr>
      <xdr:sp macro="" textlink="">
        <xdr:nvSpPr>
          <xdr:cNvPr id="2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301"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89" name="Group 11"/>
        <xdr:cNvGrpSpPr>
          <a:grpSpLocks/>
        </xdr:cNvGrpSpPr>
      </xdr:nvGrpSpPr>
      <xdr:grpSpPr bwMode="auto">
        <a:xfrm>
          <a:off x="2604721" y="3645877"/>
          <a:ext cx="457933" cy="171450"/>
          <a:chOff x="273" y="421"/>
          <a:chExt cx="44" cy="16"/>
        </a:xfrm>
      </xdr:grpSpPr>
      <xdr:sp macro="" textlink="">
        <xdr:nvSpPr>
          <xdr:cNvPr id="2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90" name="Group 14"/>
        <xdr:cNvGrpSpPr>
          <a:grpSpLocks/>
        </xdr:cNvGrpSpPr>
      </xdr:nvGrpSpPr>
      <xdr:grpSpPr bwMode="auto">
        <a:xfrm>
          <a:off x="3091229" y="3645877"/>
          <a:ext cx="578827" cy="171450"/>
          <a:chOff x="273" y="421"/>
          <a:chExt cx="44" cy="16"/>
        </a:xfrm>
      </xdr:grpSpPr>
      <xdr:sp macro="" textlink="">
        <xdr:nvSpPr>
          <xdr:cNvPr id="2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97"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91" name="Group 17"/>
        <xdr:cNvGrpSpPr>
          <a:grpSpLocks/>
        </xdr:cNvGrpSpPr>
      </xdr:nvGrpSpPr>
      <xdr:grpSpPr bwMode="auto">
        <a:xfrm>
          <a:off x="3689106" y="3645877"/>
          <a:ext cx="454269" cy="171450"/>
          <a:chOff x="273" y="421"/>
          <a:chExt cx="44" cy="16"/>
        </a:xfrm>
      </xdr:grpSpPr>
      <xdr:sp macro="" textlink="">
        <xdr:nvSpPr>
          <xdr:cNvPr id="2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95"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192"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193"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194" name="Group 1"/>
        <xdr:cNvGrpSpPr>
          <a:grpSpLocks/>
        </xdr:cNvGrpSpPr>
      </xdr:nvGrpSpPr>
      <xdr:grpSpPr bwMode="auto">
        <a:xfrm>
          <a:off x="2604721" y="3645877"/>
          <a:ext cx="457933" cy="171450"/>
          <a:chOff x="273" y="421"/>
          <a:chExt cx="44" cy="16"/>
        </a:xfrm>
      </xdr:grpSpPr>
      <xdr:sp macro="" textlink="">
        <xdr:nvSpPr>
          <xdr:cNvPr id="2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95" name="Group 4"/>
        <xdr:cNvGrpSpPr>
          <a:grpSpLocks/>
        </xdr:cNvGrpSpPr>
      </xdr:nvGrpSpPr>
      <xdr:grpSpPr bwMode="auto">
        <a:xfrm>
          <a:off x="3091229" y="3645877"/>
          <a:ext cx="578827" cy="171450"/>
          <a:chOff x="273" y="421"/>
          <a:chExt cx="44" cy="16"/>
        </a:xfrm>
      </xdr:grpSpPr>
      <xdr:sp macro="" textlink="">
        <xdr:nvSpPr>
          <xdr:cNvPr id="2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91"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96" name="Group 7"/>
        <xdr:cNvGrpSpPr>
          <a:grpSpLocks/>
        </xdr:cNvGrpSpPr>
      </xdr:nvGrpSpPr>
      <xdr:grpSpPr bwMode="auto">
        <a:xfrm>
          <a:off x="3689106" y="3645877"/>
          <a:ext cx="454269" cy="171450"/>
          <a:chOff x="273" y="421"/>
          <a:chExt cx="44" cy="16"/>
        </a:xfrm>
      </xdr:grpSpPr>
      <xdr:sp macro="" textlink="">
        <xdr:nvSpPr>
          <xdr:cNvPr id="2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89"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197" name="Group 11"/>
        <xdr:cNvGrpSpPr>
          <a:grpSpLocks/>
        </xdr:cNvGrpSpPr>
      </xdr:nvGrpSpPr>
      <xdr:grpSpPr bwMode="auto">
        <a:xfrm>
          <a:off x="2604721" y="3645877"/>
          <a:ext cx="457933" cy="171450"/>
          <a:chOff x="273" y="421"/>
          <a:chExt cx="44" cy="16"/>
        </a:xfrm>
      </xdr:grpSpPr>
      <xdr:sp macro="" textlink="">
        <xdr:nvSpPr>
          <xdr:cNvPr id="2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198" name="Group 14"/>
        <xdr:cNvGrpSpPr>
          <a:grpSpLocks/>
        </xdr:cNvGrpSpPr>
      </xdr:nvGrpSpPr>
      <xdr:grpSpPr bwMode="auto">
        <a:xfrm>
          <a:off x="3091229" y="3645877"/>
          <a:ext cx="578827" cy="171450"/>
          <a:chOff x="273" y="421"/>
          <a:chExt cx="44" cy="16"/>
        </a:xfrm>
      </xdr:grpSpPr>
      <xdr:sp macro="" textlink="">
        <xdr:nvSpPr>
          <xdr:cNvPr id="2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85"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199" name="Group 17"/>
        <xdr:cNvGrpSpPr>
          <a:grpSpLocks/>
        </xdr:cNvGrpSpPr>
      </xdr:nvGrpSpPr>
      <xdr:grpSpPr bwMode="auto">
        <a:xfrm>
          <a:off x="3689106" y="3645877"/>
          <a:ext cx="454269" cy="171450"/>
          <a:chOff x="273" y="421"/>
          <a:chExt cx="44" cy="16"/>
        </a:xfrm>
      </xdr:grpSpPr>
      <xdr:sp macro="" textlink="">
        <xdr:nvSpPr>
          <xdr:cNvPr id="2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83"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200"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201"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202" name="Group 1"/>
        <xdr:cNvGrpSpPr>
          <a:grpSpLocks/>
        </xdr:cNvGrpSpPr>
      </xdr:nvGrpSpPr>
      <xdr:grpSpPr bwMode="auto">
        <a:xfrm>
          <a:off x="2604721" y="3645877"/>
          <a:ext cx="457933" cy="171450"/>
          <a:chOff x="273" y="421"/>
          <a:chExt cx="44" cy="16"/>
        </a:xfrm>
      </xdr:grpSpPr>
      <xdr:sp macro="" textlink="">
        <xdr:nvSpPr>
          <xdr:cNvPr id="2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03" name="Group 4"/>
        <xdr:cNvGrpSpPr>
          <a:grpSpLocks/>
        </xdr:cNvGrpSpPr>
      </xdr:nvGrpSpPr>
      <xdr:grpSpPr bwMode="auto">
        <a:xfrm>
          <a:off x="3091229" y="3645877"/>
          <a:ext cx="578827" cy="171450"/>
          <a:chOff x="273" y="421"/>
          <a:chExt cx="44" cy="16"/>
        </a:xfrm>
      </xdr:grpSpPr>
      <xdr:sp macro="" textlink="">
        <xdr:nvSpPr>
          <xdr:cNvPr id="2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79"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04" name="Group 7"/>
        <xdr:cNvGrpSpPr>
          <a:grpSpLocks/>
        </xdr:cNvGrpSpPr>
      </xdr:nvGrpSpPr>
      <xdr:grpSpPr bwMode="auto">
        <a:xfrm>
          <a:off x="3689106" y="3645877"/>
          <a:ext cx="454269" cy="171450"/>
          <a:chOff x="273" y="421"/>
          <a:chExt cx="44" cy="16"/>
        </a:xfrm>
      </xdr:grpSpPr>
      <xdr:sp macro="" textlink="">
        <xdr:nvSpPr>
          <xdr:cNvPr id="2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77"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205" name="Group 11"/>
        <xdr:cNvGrpSpPr>
          <a:grpSpLocks/>
        </xdr:cNvGrpSpPr>
      </xdr:nvGrpSpPr>
      <xdr:grpSpPr bwMode="auto">
        <a:xfrm>
          <a:off x="2604721" y="3645877"/>
          <a:ext cx="457933" cy="171450"/>
          <a:chOff x="273" y="421"/>
          <a:chExt cx="44" cy="16"/>
        </a:xfrm>
      </xdr:grpSpPr>
      <xdr:sp macro="" textlink="">
        <xdr:nvSpPr>
          <xdr:cNvPr id="2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06" name="Group 14"/>
        <xdr:cNvGrpSpPr>
          <a:grpSpLocks/>
        </xdr:cNvGrpSpPr>
      </xdr:nvGrpSpPr>
      <xdr:grpSpPr bwMode="auto">
        <a:xfrm>
          <a:off x="3091229" y="3645877"/>
          <a:ext cx="578827" cy="171450"/>
          <a:chOff x="273" y="421"/>
          <a:chExt cx="44" cy="16"/>
        </a:xfrm>
      </xdr:grpSpPr>
      <xdr:sp macro="" textlink="">
        <xdr:nvSpPr>
          <xdr:cNvPr id="2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73"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07" name="Group 17"/>
        <xdr:cNvGrpSpPr>
          <a:grpSpLocks/>
        </xdr:cNvGrpSpPr>
      </xdr:nvGrpSpPr>
      <xdr:grpSpPr bwMode="auto">
        <a:xfrm>
          <a:off x="3689106" y="3645877"/>
          <a:ext cx="454269" cy="171450"/>
          <a:chOff x="273" y="421"/>
          <a:chExt cx="44" cy="16"/>
        </a:xfrm>
      </xdr:grpSpPr>
      <xdr:sp macro="" textlink="">
        <xdr:nvSpPr>
          <xdr:cNvPr id="2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71"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208" name="Line 19"/>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209" name="Line 20"/>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210" name="Group 1"/>
        <xdr:cNvGrpSpPr>
          <a:grpSpLocks/>
        </xdr:cNvGrpSpPr>
      </xdr:nvGrpSpPr>
      <xdr:grpSpPr bwMode="auto">
        <a:xfrm>
          <a:off x="2604721" y="3645877"/>
          <a:ext cx="457933" cy="171450"/>
          <a:chOff x="273" y="421"/>
          <a:chExt cx="44" cy="16"/>
        </a:xfrm>
      </xdr:grpSpPr>
      <xdr:sp macro="" textlink="">
        <xdr:nvSpPr>
          <xdr:cNvPr id="2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11" name="Group 4"/>
        <xdr:cNvGrpSpPr>
          <a:grpSpLocks/>
        </xdr:cNvGrpSpPr>
      </xdr:nvGrpSpPr>
      <xdr:grpSpPr bwMode="auto">
        <a:xfrm>
          <a:off x="3091229" y="3645877"/>
          <a:ext cx="578827" cy="171450"/>
          <a:chOff x="273" y="421"/>
          <a:chExt cx="44" cy="16"/>
        </a:xfrm>
      </xdr:grpSpPr>
      <xdr:sp macro="" textlink="">
        <xdr:nvSpPr>
          <xdr:cNvPr id="2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67"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12" name="Group 7"/>
        <xdr:cNvGrpSpPr>
          <a:grpSpLocks/>
        </xdr:cNvGrpSpPr>
      </xdr:nvGrpSpPr>
      <xdr:grpSpPr bwMode="auto">
        <a:xfrm>
          <a:off x="3689106" y="3645877"/>
          <a:ext cx="454269" cy="171450"/>
          <a:chOff x="273" y="421"/>
          <a:chExt cx="44" cy="16"/>
        </a:xfrm>
      </xdr:grpSpPr>
      <xdr:sp macro="" textlink="">
        <xdr:nvSpPr>
          <xdr:cNvPr id="2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65"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213" name="Group 11"/>
        <xdr:cNvGrpSpPr>
          <a:grpSpLocks/>
        </xdr:cNvGrpSpPr>
      </xdr:nvGrpSpPr>
      <xdr:grpSpPr bwMode="auto">
        <a:xfrm>
          <a:off x="2604721" y="3645877"/>
          <a:ext cx="457933" cy="171450"/>
          <a:chOff x="273" y="421"/>
          <a:chExt cx="44" cy="16"/>
        </a:xfrm>
      </xdr:grpSpPr>
      <xdr:sp macro="" textlink="">
        <xdr:nvSpPr>
          <xdr:cNvPr id="2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14" name="Group 14"/>
        <xdr:cNvGrpSpPr>
          <a:grpSpLocks/>
        </xdr:cNvGrpSpPr>
      </xdr:nvGrpSpPr>
      <xdr:grpSpPr bwMode="auto">
        <a:xfrm>
          <a:off x="3091229" y="3645877"/>
          <a:ext cx="578827" cy="171450"/>
          <a:chOff x="273" y="421"/>
          <a:chExt cx="44" cy="16"/>
        </a:xfrm>
      </xdr:grpSpPr>
      <xdr:sp macro="" textlink="">
        <xdr:nvSpPr>
          <xdr:cNvPr id="2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61"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15" name="Group 17"/>
        <xdr:cNvGrpSpPr>
          <a:grpSpLocks/>
        </xdr:cNvGrpSpPr>
      </xdr:nvGrpSpPr>
      <xdr:grpSpPr bwMode="auto">
        <a:xfrm>
          <a:off x="3689106" y="3645877"/>
          <a:ext cx="454269" cy="171450"/>
          <a:chOff x="273" y="421"/>
          <a:chExt cx="44" cy="16"/>
        </a:xfrm>
      </xdr:grpSpPr>
      <xdr:sp macro="" textlink="">
        <xdr:nvSpPr>
          <xdr:cNvPr id="2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59"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216" name="Line 4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217" name="Line 4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218" name="Group 1"/>
        <xdr:cNvGrpSpPr>
          <a:grpSpLocks/>
        </xdr:cNvGrpSpPr>
      </xdr:nvGrpSpPr>
      <xdr:grpSpPr bwMode="auto">
        <a:xfrm>
          <a:off x="2604721" y="3645877"/>
          <a:ext cx="457933" cy="171450"/>
          <a:chOff x="273" y="421"/>
          <a:chExt cx="44" cy="16"/>
        </a:xfrm>
      </xdr:grpSpPr>
      <xdr:sp macro="" textlink="">
        <xdr:nvSpPr>
          <xdr:cNvPr id="2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19" name="Group 4"/>
        <xdr:cNvGrpSpPr>
          <a:grpSpLocks/>
        </xdr:cNvGrpSpPr>
      </xdr:nvGrpSpPr>
      <xdr:grpSpPr bwMode="auto">
        <a:xfrm>
          <a:off x="3091229" y="3645877"/>
          <a:ext cx="578827" cy="171450"/>
          <a:chOff x="273" y="421"/>
          <a:chExt cx="44" cy="16"/>
        </a:xfrm>
      </xdr:grpSpPr>
      <xdr:sp macro="" textlink="">
        <xdr:nvSpPr>
          <xdr:cNvPr id="2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55"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20" name="Group 7"/>
        <xdr:cNvGrpSpPr>
          <a:grpSpLocks/>
        </xdr:cNvGrpSpPr>
      </xdr:nvGrpSpPr>
      <xdr:grpSpPr bwMode="auto">
        <a:xfrm>
          <a:off x="3689106" y="3645877"/>
          <a:ext cx="454269" cy="171450"/>
          <a:chOff x="273" y="421"/>
          <a:chExt cx="44" cy="16"/>
        </a:xfrm>
      </xdr:grpSpPr>
      <xdr:sp macro="" textlink="">
        <xdr:nvSpPr>
          <xdr:cNvPr id="2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53"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221" name="Group 11"/>
        <xdr:cNvGrpSpPr>
          <a:grpSpLocks/>
        </xdr:cNvGrpSpPr>
      </xdr:nvGrpSpPr>
      <xdr:grpSpPr bwMode="auto">
        <a:xfrm>
          <a:off x="2604721" y="3645877"/>
          <a:ext cx="457933" cy="171450"/>
          <a:chOff x="273" y="421"/>
          <a:chExt cx="44" cy="16"/>
        </a:xfrm>
      </xdr:grpSpPr>
      <xdr:sp macro="" textlink="">
        <xdr:nvSpPr>
          <xdr:cNvPr id="2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22" name="Group 14"/>
        <xdr:cNvGrpSpPr>
          <a:grpSpLocks/>
        </xdr:cNvGrpSpPr>
      </xdr:nvGrpSpPr>
      <xdr:grpSpPr bwMode="auto">
        <a:xfrm>
          <a:off x="3091229" y="3645877"/>
          <a:ext cx="578827" cy="171450"/>
          <a:chOff x="273" y="421"/>
          <a:chExt cx="44" cy="16"/>
        </a:xfrm>
      </xdr:grpSpPr>
      <xdr:sp macro="" textlink="">
        <xdr:nvSpPr>
          <xdr:cNvPr id="2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49"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23" name="Group 17"/>
        <xdr:cNvGrpSpPr>
          <a:grpSpLocks/>
        </xdr:cNvGrpSpPr>
      </xdr:nvGrpSpPr>
      <xdr:grpSpPr bwMode="auto">
        <a:xfrm>
          <a:off x="3689106" y="3645877"/>
          <a:ext cx="454269" cy="171450"/>
          <a:chOff x="273" y="421"/>
          <a:chExt cx="44" cy="16"/>
        </a:xfrm>
      </xdr:grpSpPr>
      <xdr:sp macro="" textlink="">
        <xdr:nvSpPr>
          <xdr:cNvPr id="2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47"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224" name="Line 6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225" name="Line 6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66226" name="Group 1"/>
        <xdr:cNvGrpSpPr>
          <a:grpSpLocks/>
        </xdr:cNvGrpSpPr>
      </xdr:nvGrpSpPr>
      <xdr:grpSpPr bwMode="auto">
        <a:xfrm>
          <a:off x="2604721" y="3645877"/>
          <a:ext cx="457933" cy="171450"/>
          <a:chOff x="273" y="421"/>
          <a:chExt cx="44" cy="16"/>
        </a:xfrm>
      </xdr:grpSpPr>
      <xdr:sp macro="" textlink="">
        <xdr:nvSpPr>
          <xdr:cNvPr id="3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27" name="Group 4"/>
        <xdr:cNvGrpSpPr>
          <a:grpSpLocks/>
        </xdr:cNvGrpSpPr>
      </xdr:nvGrpSpPr>
      <xdr:grpSpPr bwMode="auto">
        <a:xfrm>
          <a:off x="3091229" y="3645877"/>
          <a:ext cx="578827" cy="171450"/>
          <a:chOff x="273" y="421"/>
          <a:chExt cx="44" cy="16"/>
        </a:xfrm>
      </xdr:grpSpPr>
      <xdr:sp macro="" textlink="">
        <xdr:nvSpPr>
          <xdr:cNvPr id="3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43"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28" name="Group 7"/>
        <xdr:cNvGrpSpPr>
          <a:grpSpLocks/>
        </xdr:cNvGrpSpPr>
      </xdr:nvGrpSpPr>
      <xdr:grpSpPr bwMode="auto">
        <a:xfrm>
          <a:off x="3689106" y="3645877"/>
          <a:ext cx="454269" cy="171450"/>
          <a:chOff x="273" y="421"/>
          <a:chExt cx="44" cy="16"/>
        </a:xfrm>
      </xdr:grpSpPr>
      <xdr:sp macro="" textlink="">
        <xdr:nvSpPr>
          <xdr:cNvPr id="3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41"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66229" name="Group 11"/>
        <xdr:cNvGrpSpPr>
          <a:grpSpLocks/>
        </xdr:cNvGrpSpPr>
      </xdr:nvGrpSpPr>
      <xdr:grpSpPr bwMode="auto">
        <a:xfrm>
          <a:off x="2604721" y="3645877"/>
          <a:ext cx="457933" cy="171450"/>
          <a:chOff x="273" y="421"/>
          <a:chExt cx="44" cy="16"/>
        </a:xfrm>
      </xdr:grpSpPr>
      <xdr:sp macro="" textlink="">
        <xdr:nvSpPr>
          <xdr:cNvPr id="3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66230" name="Group 14"/>
        <xdr:cNvGrpSpPr>
          <a:grpSpLocks/>
        </xdr:cNvGrpSpPr>
      </xdr:nvGrpSpPr>
      <xdr:grpSpPr bwMode="auto">
        <a:xfrm>
          <a:off x="3091229" y="3645877"/>
          <a:ext cx="578827" cy="171450"/>
          <a:chOff x="273" y="421"/>
          <a:chExt cx="44" cy="16"/>
        </a:xfrm>
      </xdr:grpSpPr>
      <xdr:sp macro="" textlink="">
        <xdr:nvSpPr>
          <xdr:cNvPr id="3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66237"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66231" name="Group 17"/>
        <xdr:cNvGrpSpPr>
          <a:grpSpLocks/>
        </xdr:cNvGrpSpPr>
      </xdr:nvGrpSpPr>
      <xdr:grpSpPr bwMode="auto">
        <a:xfrm>
          <a:off x="3689106" y="3645877"/>
          <a:ext cx="454269" cy="171450"/>
          <a:chOff x="273" y="421"/>
          <a:chExt cx="44" cy="16"/>
        </a:xfrm>
      </xdr:grpSpPr>
      <xdr:sp macro="" textlink="">
        <xdr:nvSpPr>
          <xdr:cNvPr id="3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66235"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66232" name="Line 80"/>
        <xdr:cNvSpPr>
          <a:spLocks noChangeShapeType="1"/>
        </xdr:cNvSpPr>
      </xdr:nvSpPr>
      <xdr:spPr bwMode="auto">
        <a:xfrm flipV="1">
          <a:off x="2990850" y="367665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66233" name="Line 81"/>
        <xdr:cNvSpPr>
          <a:spLocks noChangeShapeType="1"/>
        </xdr:cNvSpPr>
      </xdr:nvSpPr>
      <xdr:spPr bwMode="auto">
        <a:xfrm flipH="1" flipV="1">
          <a:off x="2962275" y="372427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9</xdr:row>
      <xdr:rowOff>47625</xdr:rowOff>
    </xdr:from>
    <xdr:to>
      <xdr:col>5</xdr:col>
      <xdr:colOff>133350</xdr:colOff>
      <xdr:row>11</xdr:row>
      <xdr:rowOff>19050</xdr:rowOff>
    </xdr:to>
    <xdr:sp macro="" textlink="">
      <xdr:nvSpPr>
        <xdr:cNvPr id="2172776"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2777"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2778"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2779"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2780"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2781"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2782"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2783"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2784"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2785"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786"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787"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788"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789"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2790"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2791"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792"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279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79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79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796"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797"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79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799"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00"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2801"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2802"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803"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2804"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05"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06"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07"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08"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2809"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2810"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2811"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2812"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43" name="Rectangle 95"/>
        <xdr:cNvSpPr>
          <a:spLocks noChangeArrowheads="1"/>
        </xdr:cNvSpPr>
      </xdr:nvSpPr>
      <xdr:spPr bwMode="auto">
        <a:xfrm>
          <a:off x="4648200" y="2047875"/>
          <a:ext cx="581025" cy="6924675"/>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2814"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2815"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2816"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2817"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2818"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2819"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2820"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2821"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2822"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2823"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2824"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2825"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2826"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2827"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28"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29"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830"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31"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2832"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2833"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834"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283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3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3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38"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39"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4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841"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42"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2843"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2844"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2845"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2846"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47"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2848"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49"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2850"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2851"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2852"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2853"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2854"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2" name="Rectangle 95"/>
        <xdr:cNvSpPr>
          <a:spLocks noChangeArrowheads="1"/>
        </xdr:cNvSpPr>
      </xdr:nvSpPr>
      <xdr:spPr bwMode="auto">
        <a:xfrm>
          <a:off x="4648200" y="2047875"/>
          <a:ext cx="581025" cy="6924675"/>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2856"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2857"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2858"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2859"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60"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61"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62"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63"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2864"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2865"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66"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2867"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68"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69"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70"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71"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72"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73"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74"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2875"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2876"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77"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2878"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79"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80"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81"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82"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83"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84"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85"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86"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2887"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2888"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89"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2890"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91"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92"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93"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94"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895"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896"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897"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2898"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2899"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2900"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2901"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902"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2903"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904"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2905"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06"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07"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2908"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09"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2910"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2911"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2912"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2913"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14"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15"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16"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17"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18"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2919"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20"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2921"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2922"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2923"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2924"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25"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2926"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2927"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48"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49"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50"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051"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52"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053"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054"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055"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056"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57"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58"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59"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60"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61"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062"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63"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064"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065"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066"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067"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68"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069"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70"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071"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2"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073"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4"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5"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6"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077"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8"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79"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0"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081"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2"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3"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4"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085"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6"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087"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88"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089"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0"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1"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2"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093"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4"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5"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6"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097"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8"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099"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01"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2"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3"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4"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0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0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09"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0"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1"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2"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1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6"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17"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8"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19"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120"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121"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122"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123"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124"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125"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126"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127"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128"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129"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130"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131"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132"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133"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134"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135"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136"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137"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138"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139"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140"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141"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142"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143"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144"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145"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146"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147"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148"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149"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150"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151"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152"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153"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154"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155"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156"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157"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158"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159"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160"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161"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162"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163"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164"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165"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66"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67"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168"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69"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170"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171"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172"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7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7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7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76"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77"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7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179"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80"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181"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182"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183"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184"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85"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186"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87"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188"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189"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190"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191"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192"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299" name="Rectangle 95"/>
        <xdr:cNvSpPr>
          <a:spLocks noChangeArrowheads="1"/>
        </xdr:cNvSpPr>
      </xdr:nvSpPr>
      <xdr:spPr bwMode="auto">
        <a:xfrm>
          <a:off x="5162550" y="1595717"/>
          <a:ext cx="581025" cy="75343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194"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195"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196"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197"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198"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199"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200"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201"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202"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203"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204"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205"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206"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207"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08"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09"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210"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11"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212"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213"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214"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21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1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1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18"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19"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2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221"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22"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223"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224"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225"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226"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27"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228"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29"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230"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231"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232"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233"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234"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341" name="Rectangle 95"/>
        <xdr:cNvSpPr>
          <a:spLocks noChangeArrowheads="1"/>
        </xdr:cNvSpPr>
      </xdr:nvSpPr>
      <xdr:spPr bwMode="auto">
        <a:xfrm>
          <a:off x="5162550" y="1595717"/>
          <a:ext cx="581025" cy="75343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236"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237"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238"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239"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40"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41"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42"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43"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244"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245"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46"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247"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48"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49"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50"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51"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52"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53"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54"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255"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256"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57"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258"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59"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60"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61"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62"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63"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64"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65"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66"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267"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268"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69"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270"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71"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72"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73"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74"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75"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76"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77"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278"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279"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280"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281"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82"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283"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84"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285"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286"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287"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288"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289"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290"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291"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292"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293"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294"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295"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296"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297"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298"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299"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00"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301"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302"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303"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304"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05"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06"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07"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08"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09"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10"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311"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12"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313"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314"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315"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316"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17"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18"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19"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20"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21"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322"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23"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324"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325"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326"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327"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28"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329"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30"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331"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2"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333"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4"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5"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6"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337"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8"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39"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0"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341"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2"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3"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4"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345"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6"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347"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48"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49"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0"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1"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2"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53"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4"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5"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6"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57"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8"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59"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61"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2"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3"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4"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6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6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69"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0"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1"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2"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7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6"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377"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8"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379"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380"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381"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382"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383"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384"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385"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386"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387"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388"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389"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390"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391"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392"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393"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394"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395"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396"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397"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398"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399"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400"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401"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402"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403"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404"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405"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406"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407"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408"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09"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410"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11"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412"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413"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414"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415"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416"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417"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418"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419"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420"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421"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422"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423"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424"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425"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26"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27"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28"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29"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430"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31"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32"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43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3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3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36"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37"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3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39"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40"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441"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42"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43"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444"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45"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46"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47"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48"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449"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450"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451"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452"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559" name="Rectangle 95"/>
        <xdr:cNvSpPr>
          <a:spLocks noChangeArrowheads="1"/>
        </xdr:cNvSpPr>
      </xdr:nvSpPr>
      <xdr:spPr bwMode="auto">
        <a:xfrm>
          <a:off x="5172075" y="1595717"/>
          <a:ext cx="581025" cy="75343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454"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455"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456"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457"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458"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459"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460"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461"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462"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463"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464"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465"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466"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467"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68"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69"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70"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71"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472"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73"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74"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47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7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7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78"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79"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8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81"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82"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483"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484"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485"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486"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87"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488"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89"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490"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491"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492"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493"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494"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601" name="Rectangle 95"/>
        <xdr:cNvSpPr>
          <a:spLocks noChangeArrowheads="1"/>
        </xdr:cNvSpPr>
      </xdr:nvSpPr>
      <xdr:spPr bwMode="auto">
        <a:xfrm>
          <a:off x="5172075" y="1595717"/>
          <a:ext cx="581025" cy="75343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496"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497"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498"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499"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00"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01"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02"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03"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504"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505"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06"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07"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08"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09"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10"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11"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12"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13"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14"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515"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516"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17"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18"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19"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20"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21"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22"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23"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24"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25"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26"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527"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528"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29"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30"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31"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32"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33"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34"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35"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36"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37"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538"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539"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540"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41"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42"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43"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44"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545"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46"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47"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48"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49"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550"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551"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52"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553"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54"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55"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56"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57"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58"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59"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60"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561"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562"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63"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564"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65"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66"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67"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68"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69"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70"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71"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72"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573"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574"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75"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576"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77"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78"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79"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80"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81"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82"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83"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584"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585"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586"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587"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88"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589"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90"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591"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2"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93"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4"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5"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6"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597"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8"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599"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0"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601"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2"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3"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4"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605"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6"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607"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08"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09"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0"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1"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2"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13"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4"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5"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6"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17"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8"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19"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21"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2"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3"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4"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2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2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29"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0"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1"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2"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3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6"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37"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8"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39"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640"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641"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642"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643"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644"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645"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646"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647"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648"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649"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650"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651"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652"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653"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654"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655"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656"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657"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658"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659"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660"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661"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662"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663"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664"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665"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666"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667"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668"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669"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670"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671"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672"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673"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674"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675"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676"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677"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678"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679"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680"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681"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682"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683"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684"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685"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686"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87"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688"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689"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690"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691"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692"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69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9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9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696"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697"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69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699"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00"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701"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702"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703"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704"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05"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06"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07"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08"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709"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710"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711"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712"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819" name="Rectangle 95"/>
        <xdr:cNvSpPr>
          <a:spLocks noChangeArrowheads="1"/>
        </xdr:cNvSpPr>
      </xdr:nvSpPr>
      <xdr:spPr bwMode="auto">
        <a:xfrm>
          <a:off x="5181600" y="1595717"/>
          <a:ext cx="581025" cy="7258116"/>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714"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715"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716"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717"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718" name="Line 1"/>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719" name="Line 2"/>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8720" name="Line 3"/>
        <xdr:cNvSpPr>
          <a:spLocks noChangeShapeType="1"/>
        </xdr:cNvSpPr>
      </xdr:nvSpPr>
      <xdr:spPr bwMode="auto">
        <a:xfrm>
          <a:off x="2009775" y="482917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8721" name="Line 4"/>
        <xdr:cNvSpPr>
          <a:spLocks noChangeShapeType="1"/>
        </xdr:cNvSpPr>
      </xdr:nvSpPr>
      <xdr:spPr bwMode="auto">
        <a:xfrm>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8722" name="Line 5"/>
        <xdr:cNvSpPr>
          <a:spLocks noChangeShapeType="1"/>
        </xdr:cNvSpPr>
      </xdr:nvSpPr>
      <xdr:spPr bwMode="auto">
        <a:xfrm flipH="1">
          <a:off x="2000250" y="481965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8723" name="Line 6"/>
        <xdr:cNvSpPr>
          <a:spLocks noChangeShapeType="1"/>
        </xdr:cNvSpPr>
      </xdr:nvSpPr>
      <xdr:spPr bwMode="auto">
        <a:xfrm flipH="1">
          <a:off x="1676400" y="481965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8724" name="Line 7"/>
        <xdr:cNvSpPr>
          <a:spLocks noChangeShapeType="1"/>
        </xdr:cNvSpPr>
      </xdr:nvSpPr>
      <xdr:spPr bwMode="auto">
        <a:xfrm flipV="1">
          <a:off x="3848100" y="2105025"/>
          <a:ext cx="990600" cy="1028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8725" name="Line 8"/>
        <xdr:cNvSpPr>
          <a:spLocks noChangeShapeType="1"/>
        </xdr:cNvSpPr>
      </xdr:nvSpPr>
      <xdr:spPr bwMode="auto">
        <a:xfrm>
          <a:off x="3619500" y="1733550"/>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8726" name="Line 9"/>
        <xdr:cNvSpPr>
          <a:spLocks noChangeShapeType="1"/>
        </xdr:cNvSpPr>
      </xdr:nvSpPr>
      <xdr:spPr bwMode="auto">
        <a:xfrm>
          <a:off x="3619500" y="1905000"/>
          <a:ext cx="133350" cy="371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8727" name="Line 10"/>
        <xdr:cNvSpPr>
          <a:spLocks noChangeShapeType="1"/>
        </xdr:cNvSpPr>
      </xdr:nvSpPr>
      <xdr:spPr bwMode="auto">
        <a:xfrm>
          <a:off x="2009775" y="8010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28" name="Line 11"/>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29"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730" name="Line 13"/>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31" name="Line 14"/>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732" name="Line 15"/>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733" name="Line 16"/>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734" name="Line 17"/>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73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3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3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38" name="Line 22"/>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39" name="Line 23"/>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4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741" name="Line 27"/>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42" name="Line 28"/>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8743" name="Line 29"/>
        <xdr:cNvSpPr>
          <a:spLocks noChangeShapeType="1"/>
        </xdr:cNvSpPr>
      </xdr:nvSpPr>
      <xdr:spPr bwMode="auto">
        <a:xfrm>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744" name="Line 30"/>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8745" name="Line 31"/>
        <xdr:cNvSpPr>
          <a:spLocks noChangeShapeType="1"/>
        </xdr:cNvSpPr>
      </xdr:nvSpPr>
      <xdr:spPr bwMode="auto">
        <a:xfrm flipH="1">
          <a:off x="1676400" y="91535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746"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47"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748"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49" name="Line 35"/>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8750" name="Line 36"/>
        <xdr:cNvSpPr>
          <a:spLocks noChangeShapeType="1"/>
        </xdr:cNvSpPr>
      </xdr:nvSpPr>
      <xdr:spPr bwMode="auto">
        <a:xfrm>
          <a:off x="2009775" y="91535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8751" name="Line 87"/>
        <xdr:cNvSpPr>
          <a:spLocks noChangeShapeType="1"/>
        </xdr:cNvSpPr>
      </xdr:nvSpPr>
      <xdr:spPr bwMode="auto">
        <a:xfrm>
          <a:off x="5734050" y="9829800"/>
          <a:ext cx="161925" cy="20955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8752" name="Line 88"/>
        <xdr:cNvSpPr>
          <a:spLocks noChangeShapeType="1"/>
        </xdr:cNvSpPr>
      </xdr:nvSpPr>
      <xdr:spPr bwMode="auto">
        <a:xfrm>
          <a:off x="5886450" y="100393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8753" name="Rectangle 90"/>
        <xdr:cNvSpPr>
          <a:spLocks noChangeArrowheads="1"/>
        </xdr:cNvSpPr>
      </xdr:nvSpPr>
      <xdr:spPr bwMode="auto">
        <a:xfrm>
          <a:off x="5153025" y="168592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8754" name="Line 94"/>
        <xdr:cNvSpPr>
          <a:spLocks noChangeShapeType="1"/>
        </xdr:cNvSpPr>
      </xdr:nvSpPr>
      <xdr:spPr bwMode="auto">
        <a:xfrm flipV="1">
          <a:off x="5962650" y="148590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861" name="Rectangle 95"/>
        <xdr:cNvSpPr>
          <a:spLocks noChangeArrowheads="1"/>
        </xdr:cNvSpPr>
      </xdr:nvSpPr>
      <xdr:spPr bwMode="auto">
        <a:xfrm>
          <a:off x="5181600" y="1595717"/>
          <a:ext cx="581025" cy="7258116"/>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8756" name="Rectangle 98" descr="Outlined diamond"/>
        <xdr:cNvSpPr>
          <a:spLocks noChangeArrowheads="1"/>
        </xdr:cNvSpPr>
      </xdr:nvSpPr>
      <xdr:spPr bwMode="auto">
        <a:xfrm>
          <a:off x="5791200" y="169545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8757" name="Line 141"/>
        <xdr:cNvSpPr>
          <a:spLocks noChangeShapeType="1"/>
        </xdr:cNvSpPr>
      </xdr:nvSpPr>
      <xdr:spPr bwMode="auto">
        <a:xfrm flipH="1">
          <a:off x="5953125" y="148590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8758" name="Line 143"/>
        <xdr:cNvSpPr>
          <a:spLocks noChangeShapeType="1"/>
        </xdr:cNvSpPr>
      </xdr:nvSpPr>
      <xdr:spPr bwMode="auto">
        <a:xfrm>
          <a:off x="5486400" y="1133475"/>
          <a:ext cx="0" cy="552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8759"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60"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61"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62"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63"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764"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765"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66"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767"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68"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69"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70"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71"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72"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73"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74"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775"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776"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77"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778"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79"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80"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81"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82"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83" name="Line 11"/>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84"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85" name="Line 13"/>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86" name="Line 14"/>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787" name="Line 15"/>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788" name="Line 16"/>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89" name="Line 17"/>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790"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91"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92"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93" name="Line 22"/>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94" name="Line 23"/>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795"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796" name="Line 27"/>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797" name="Line 28"/>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8798" name="Line 29"/>
        <xdr:cNvSpPr>
          <a:spLocks noChangeShapeType="1"/>
        </xdr:cNvSpPr>
      </xdr:nvSpPr>
      <xdr:spPr bwMode="auto">
        <a:xfrm>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799" name="Line 30"/>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8800" name="Line 31"/>
        <xdr:cNvSpPr>
          <a:spLocks noChangeShapeType="1"/>
        </xdr:cNvSpPr>
      </xdr:nvSpPr>
      <xdr:spPr bwMode="auto">
        <a:xfrm flipH="1">
          <a:off x="1676400" y="86963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801"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02"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03"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804" name="Line 35"/>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8805" name="Line 36"/>
        <xdr:cNvSpPr>
          <a:spLocks noChangeShapeType="1"/>
        </xdr:cNvSpPr>
      </xdr:nvSpPr>
      <xdr:spPr bwMode="auto">
        <a:xfrm>
          <a:off x="2009775" y="8696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06"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07"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08"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09"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810"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811"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12"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813"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14"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15"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16"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17"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18"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19"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20"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821"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822"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23"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824"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25"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26"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27"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28"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29" name="Line 11"/>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30" name="Line 12"/>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31" name="Line 13"/>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32" name="Line 14"/>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833" name="Line 15"/>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834" name="Line 16"/>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35" name="Line 17"/>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836" name="Line 18"/>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37" name="Line 20"/>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38" name="Line 21"/>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39" name="Line 22"/>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40" name="Line 23"/>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41" name="Line 26"/>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42" name="Line 27"/>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43" name="Line 28"/>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8844" name="Line 29"/>
        <xdr:cNvSpPr>
          <a:spLocks noChangeShapeType="1"/>
        </xdr:cNvSpPr>
      </xdr:nvSpPr>
      <xdr:spPr bwMode="auto">
        <a:xfrm>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845" name="Line 30"/>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8846" name="Line 31"/>
        <xdr:cNvSpPr>
          <a:spLocks noChangeShapeType="1"/>
        </xdr:cNvSpPr>
      </xdr:nvSpPr>
      <xdr:spPr bwMode="auto">
        <a:xfrm flipH="1">
          <a:off x="1676400" y="8239125"/>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8847" name="Line 32"/>
        <xdr:cNvSpPr>
          <a:spLocks noChangeShapeType="1"/>
        </xdr:cNvSpPr>
      </xdr:nvSpPr>
      <xdr:spPr bwMode="auto">
        <a:xfrm flipV="1">
          <a:off x="3848100" y="82391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48" name="Line 33"/>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8849" name="Line 34"/>
        <xdr:cNvSpPr>
          <a:spLocks noChangeShapeType="1"/>
        </xdr:cNvSpPr>
      </xdr:nvSpPr>
      <xdr:spPr bwMode="auto">
        <a:xfrm>
          <a:off x="3619500" y="82391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50" name="Line 35"/>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8851" name="Line 36"/>
        <xdr:cNvSpPr>
          <a:spLocks noChangeShapeType="1"/>
        </xdr:cNvSpPr>
      </xdr:nvSpPr>
      <xdr:spPr bwMode="auto">
        <a:xfrm>
          <a:off x="2009775" y="82391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2"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853"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4"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5"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6"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857"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8"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59"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0" name="Line 12"/>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861" name="Line 18"/>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2" name="Line 20"/>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3" name="Line 21"/>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4" name="Line 26"/>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8865" name="Line 32"/>
        <xdr:cNvSpPr>
          <a:spLocks noChangeShapeType="1"/>
        </xdr:cNvSpPr>
      </xdr:nvSpPr>
      <xdr:spPr bwMode="auto">
        <a:xfrm flipV="1">
          <a:off x="3848100" y="86963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6" name="Line 33"/>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8867" name="Line 34"/>
        <xdr:cNvSpPr>
          <a:spLocks noChangeShapeType="1"/>
        </xdr:cNvSpPr>
      </xdr:nvSpPr>
      <xdr:spPr bwMode="auto">
        <a:xfrm>
          <a:off x="3619500" y="86963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68"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69"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0"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1"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2"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73"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4"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5"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6"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77"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8"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79"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0"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81"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2"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3"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4"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85"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6"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7"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88"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89"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0"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1"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2" name="Line 12"/>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93" name="Line 18"/>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4" name="Line 20"/>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5" name="Line 21"/>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6" name="Line 26"/>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8897" name="Line 32"/>
        <xdr:cNvSpPr>
          <a:spLocks noChangeShapeType="1"/>
        </xdr:cNvSpPr>
      </xdr:nvSpPr>
      <xdr:spPr bwMode="auto">
        <a:xfrm flipV="1">
          <a:off x="3848100" y="9153525"/>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8" name="Line 33"/>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8899" name="Line 34"/>
        <xdr:cNvSpPr>
          <a:spLocks noChangeShapeType="1"/>
        </xdr:cNvSpPr>
      </xdr:nvSpPr>
      <xdr:spPr bwMode="auto">
        <a:xfrm>
          <a:off x="3619500" y="9153525"/>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900"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901"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8902" name="Line 3"/>
        <xdr:cNvSpPr>
          <a:spLocks noChangeShapeType="1"/>
        </xdr:cNvSpPr>
      </xdr:nvSpPr>
      <xdr:spPr bwMode="auto">
        <a:xfrm>
          <a:off x="2009775" y="54578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8903" name="Line 5"/>
        <xdr:cNvSpPr>
          <a:spLocks noChangeShapeType="1"/>
        </xdr:cNvSpPr>
      </xdr:nvSpPr>
      <xdr:spPr bwMode="auto">
        <a:xfrm flipH="1">
          <a:off x="2000250" y="54483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904"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905"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8906" name="Line 3"/>
        <xdr:cNvSpPr>
          <a:spLocks noChangeShapeType="1"/>
        </xdr:cNvSpPr>
      </xdr:nvSpPr>
      <xdr:spPr bwMode="auto">
        <a:xfrm>
          <a:off x="2009775" y="6419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8907" name="Line 5"/>
        <xdr:cNvSpPr>
          <a:spLocks noChangeShapeType="1"/>
        </xdr:cNvSpPr>
      </xdr:nvSpPr>
      <xdr:spPr bwMode="auto">
        <a:xfrm flipH="1">
          <a:off x="2000250" y="6410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908"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909"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8910" name="Line 3"/>
        <xdr:cNvSpPr>
          <a:spLocks noChangeShapeType="1"/>
        </xdr:cNvSpPr>
      </xdr:nvSpPr>
      <xdr:spPr bwMode="auto">
        <a:xfrm>
          <a:off x="2009775" y="6877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8911" name="Line 5"/>
        <xdr:cNvSpPr>
          <a:spLocks noChangeShapeType="1"/>
        </xdr:cNvSpPr>
      </xdr:nvSpPr>
      <xdr:spPr bwMode="auto">
        <a:xfrm flipH="1">
          <a:off x="2000250" y="6867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912"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913"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8914" name="Line 3"/>
        <xdr:cNvSpPr>
          <a:spLocks noChangeShapeType="1"/>
        </xdr:cNvSpPr>
      </xdr:nvSpPr>
      <xdr:spPr bwMode="auto">
        <a:xfrm>
          <a:off x="2009775" y="7334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8915" name="Line 5"/>
        <xdr:cNvSpPr>
          <a:spLocks noChangeShapeType="1"/>
        </xdr:cNvSpPr>
      </xdr:nvSpPr>
      <xdr:spPr bwMode="auto">
        <a:xfrm flipH="1">
          <a:off x="2000250" y="7324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916"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917"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8918" name="Line 3"/>
        <xdr:cNvSpPr>
          <a:spLocks noChangeShapeType="1"/>
        </xdr:cNvSpPr>
      </xdr:nvSpPr>
      <xdr:spPr bwMode="auto">
        <a:xfrm>
          <a:off x="2009775" y="77914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8919" name="Line 5"/>
        <xdr:cNvSpPr>
          <a:spLocks noChangeShapeType="1"/>
        </xdr:cNvSpPr>
      </xdr:nvSpPr>
      <xdr:spPr bwMode="auto">
        <a:xfrm flipH="1">
          <a:off x="2000250" y="77819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920"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921"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8922" name="Line 3"/>
        <xdr:cNvSpPr>
          <a:spLocks noChangeShapeType="1"/>
        </xdr:cNvSpPr>
      </xdr:nvSpPr>
      <xdr:spPr bwMode="auto">
        <a:xfrm>
          <a:off x="2009775" y="82486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8923" name="Line 5"/>
        <xdr:cNvSpPr>
          <a:spLocks noChangeShapeType="1"/>
        </xdr:cNvSpPr>
      </xdr:nvSpPr>
      <xdr:spPr bwMode="auto">
        <a:xfrm flipH="1">
          <a:off x="2000250" y="82391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924"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925"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8926" name="Line 3"/>
        <xdr:cNvSpPr>
          <a:spLocks noChangeShapeType="1"/>
        </xdr:cNvSpPr>
      </xdr:nvSpPr>
      <xdr:spPr bwMode="auto">
        <a:xfrm>
          <a:off x="2009775" y="87058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8927" name="Line 5"/>
        <xdr:cNvSpPr>
          <a:spLocks noChangeShapeType="1"/>
        </xdr:cNvSpPr>
      </xdr:nvSpPr>
      <xdr:spPr bwMode="auto">
        <a:xfrm flipH="1">
          <a:off x="2000250" y="86963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928"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929"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8930" name="Line 3"/>
        <xdr:cNvSpPr>
          <a:spLocks noChangeShapeType="1"/>
        </xdr:cNvSpPr>
      </xdr:nvSpPr>
      <xdr:spPr bwMode="auto">
        <a:xfrm>
          <a:off x="2009775" y="9163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8931" name="Line 5"/>
        <xdr:cNvSpPr>
          <a:spLocks noChangeShapeType="1"/>
        </xdr:cNvSpPr>
      </xdr:nvSpPr>
      <xdr:spPr bwMode="auto">
        <a:xfrm flipH="1">
          <a:off x="2000250" y="9153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932"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933"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8934" name="Line 3"/>
        <xdr:cNvSpPr>
          <a:spLocks noChangeShapeType="1"/>
        </xdr:cNvSpPr>
      </xdr:nvSpPr>
      <xdr:spPr bwMode="auto">
        <a:xfrm>
          <a:off x="2009775" y="96202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8935" name="Line 5"/>
        <xdr:cNvSpPr>
          <a:spLocks noChangeShapeType="1"/>
        </xdr:cNvSpPr>
      </xdr:nvSpPr>
      <xdr:spPr bwMode="auto">
        <a:xfrm flipH="1">
          <a:off x="2000250" y="96107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16</xdr:col>
      <xdr:colOff>361950</xdr:colOff>
      <xdr:row>15</xdr:row>
      <xdr:rowOff>238125</xdr:rowOff>
    </xdr:from>
    <xdr:ext cx="27765" cy="424860"/>
    <xdr:sp macro="" textlink="">
      <xdr:nvSpPr>
        <xdr:cNvPr id="7169"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16</xdr:col>
      <xdr:colOff>361950</xdr:colOff>
      <xdr:row>15</xdr:row>
      <xdr:rowOff>238125</xdr:rowOff>
    </xdr:from>
    <xdr:ext cx="27765" cy="424860"/>
    <xdr:sp macro="" textlink="">
      <xdr:nvSpPr>
        <xdr:cNvPr id="3"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16</xdr:col>
      <xdr:colOff>361950</xdr:colOff>
      <xdr:row>15</xdr:row>
      <xdr:rowOff>238125</xdr:rowOff>
    </xdr:from>
    <xdr:ext cx="27765" cy="424860"/>
    <xdr:sp macro="" textlink="">
      <xdr:nvSpPr>
        <xdr:cNvPr id="4"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twoCellAnchor editAs="oneCell">
    <xdr:from>
      <xdr:col>16</xdr:col>
      <xdr:colOff>361950</xdr:colOff>
      <xdr:row>15</xdr:row>
      <xdr:rowOff>238125</xdr:rowOff>
    </xdr:from>
    <xdr:to>
      <xdr:col>16</xdr:col>
      <xdr:colOff>390525</xdr:colOff>
      <xdr:row>16</xdr:row>
      <xdr:rowOff>152400</xdr:rowOff>
    </xdr:to>
    <xdr:sp macro="" textlink="">
      <xdr:nvSpPr>
        <xdr:cNvPr id="1610133" name="Text Box 1025"/>
        <xdr:cNvSpPr txBox="1">
          <a:spLocks noChangeArrowheads="1"/>
        </xdr:cNvSpPr>
      </xdr:nvSpPr>
      <xdr:spPr bwMode="auto">
        <a:xfrm>
          <a:off x="11249025" y="4762500"/>
          <a:ext cx="285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oneCellAnchor>
    <xdr:from>
      <xdr:col>18</xdr:col>
      <xdr:colOff>342900</xdr:colOff>
      <xdr:row>14</xdr:row>
      <xdr:rowOff>247650</xdr:rowOff>
    </xdr:from>
    <xdr:ext cx="27765" cy="424860"/>
    <xdr:sp macro="" textlink="">
      <xdr:nvSpPr>
        <xdr:cNvPr id="2" name="Text Box 1025"/>
        <xdr:cNvSpPr txBox="1">
          <a:spLocks noChangeArrowheads="1"/>
        </xdr:cNvSpPr>
      </xdr:nvSpPr>
      <xdr:spPr bwMode="auto">
        <a:xfrm>
          <a:off x="12277725" y="43338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xdr:row>
      <xdr:rowOff>247650</xdr:rowOff>
    </xdr:from>
    <xdr:ext cx="27765" cy="424860"/>
    <xdr:sp macro="" textlink="">
      <xdr:nvSpPr>
        <xdr:cNvPr id="3" name="Text Box 1025"/>
        <xdr:cNvSpPr txBox="1">
          <a:spLocks noChangeArrowheads="1"/>
        </xdr:cNvSpPr>
      </xdr:nvSpPr>
      <xdr:spPr bwMode="auto">
        <a:xfrm>
          <a:off x="12277725" y="43338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xdr:row>
      <xdr:rowOff>247650</xdr:rowOff>
    </xdr:from>
    <xdr:ext cx="27765" cy="424860"/>
    <xdr:sp macro="" textlink="">
      <xdr:nvSpPr>
        <xdr:cNvPr id="4" name="Text Box 1025"/>
        <xdr:cNvSpPr txBox="1">
          <a:spLocks noChangeArrowheads="1"/>
        </xdr:cNvSpPr>
      </xdr:nvSpPr>
      <xdr:spPr bwMode="auto">
        <a:xfrm>
          <a:off x="12277725" y="43338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xdr:row>
      <xdr:rowOff>0</xdr:rowOff>
    </xdr:from>
    <xdr:ext cx="27765" cy="424860"/>
    <xdr:sp macro="" textlink="">
      <xdr:nvSpPr>
        <xdr:cNvPr id="6" name="Text Box 1025"/>
        <xdr:cNvSpPr txBox="1">
          <a:spLocks noChangeArrowheads="1"/>
        </xdr:cNvSpPr>
      </xdr:nvSpPr>
      <xdr:spPr bwMode="auto">
        <a:xfrm>
          <a:off x="12277725" y="93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xdr:row>
      <xdr:rowOff>0</xdr:rowOff>
    </xdr:from>
    <xdr:ext cx="27765" cy="424860"/>
    <xdr:sp macro="" textlink="">
      <xdr:nvSpPr>
        <xdr:cNvPr id="7" name="Text Box 1025"/>
        <xdr:cNvSpPr txBox="1">
          <a:spLocks noChangeArrowheads="1"/>
        </xdr:cNvSpPr>
      </xdr:nvSpPr>
      <xdr:spPr bwMode="auto">
        <a:xfrm>
          <a:off x="12277725" y="93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xdr:row>
      <xdr:rowOff>0</xdr:rowOff>
    </xdr:from>
    <xdr:ext cx="27765" cy="424860"/>
    <xdr:sp macro="" textlink="">
      <xdr:nvSpPr>
        <xdr:cNvPr id="8" name="Text Box 1025"/>
        <xdr:cNvSpPr txBox="1">
          <a:spLocks noChangeArrowheads="1"/>
        </xdr:cNvSpPr>
      </xdr:nvSpPr>
      <xdr:spPr bwMode="auto">
        <a:xfrm>
          <a:off x="12277725" y="93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xdr:row>
      <xdr:rowOff>0</xdr:rowOff>
    </xdr:from>
    <xdr:ext cx="27765" cy="424860"/>
    <xdr:sp macro="" textlink="">
      <xdr:nvSpPr>
        <xdr:cNvPr id="9" name="Text Box 1025"/>
        <xdr:cNvSpPr txBox="1">
          <a:spLocks noChangeArrowheads="1"/>
        </xdr:cNvSpPr>
      </xdr:nvSpPr>
      <xdr:spPr bwMode="auto">
        <a:xfrm>
          <a:off x="0" y="105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xdr:row>
      <xdr:rowOff>0</xdr:rowOff>
    </xdr:from>
    <xdr:ext cx="27765" cy="424860"/>
    <xdr:sp macro="" textlink="">
      <xdr:nvSpPr>
        <xdr:cNvPr id="10" name="Text Box 1025"/>
        <xdr:cNvSpPr txBox="1">
          <a:spLocks noChangeArrowheads="1"/>
        </xdr:cNvSpPr>
      </xdr:nvSpPr>
      <xdr:spPr bwMode="auto">
        <a:xfrm>
          <a:off x="0" y="105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xdr:row>
      <xdr:rowOff>0</xdr:rowOff>
    </xdr:from>
    <xdr:ext cx="27765" cy="424860"/>
    <xdr:sp macro="" textlink="">
      <xdr:nvSpPr>
        <xdr:cNvPr id="11" name="Text Box 1025"/>
        <xdr:cNvSpPr txBox="1">
          <a:spLocks noChangeArrowheads="1"/>
        </xdr:cNvSpPr>
      </xdr:nvSpPr>
      <xdr:spPr bwMode="auto">
        <a:xfrm>
          <a:off x="0" y="105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xdr:row>
      <xdr:rowOff>0</xdr:rowOff>
    </xdr:from>
    <xdr:ext cx="27765" cy="424860"/>
    <xdr:sp macro="" textlink="">
      <xdr:nvSpPr>
        <xdr:cNvPr id="12" name="Text Box 1025"/>
        <xdr:cNvSpPr txBox="1">
          <a:spLocks noChangeArrowheads="1"/>
        </xdr:cNvSpPr>
      </xdr:nvSpPr>
      <xdr:spPr bwMode="auto">
        <a:xfrm>
          <a:off x="0"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xdr:row>
      <xdr:rowOff>0</xdr:rowOff>
    </xdr:from>
    <xdr:ext cx="27765" cy="424860"/>
    <xdr:sp macro="" textlink="">
      <xdr:nvSpPr>
        <xdr:cNvPr id="13" name="Text Box 1025"/>
        <xdr:cNvSpPr txBox="1">
          <a:spLocks noChangeArrowheads="1"/>
        </xdr:cNvSpPr>
      </xdr:nvSpPr>
      <xdr:spPr bwMode="auto">
        <a:xfrm>
          <a:off x="0"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xdr:row>
      <xdr:rowOff>0</xdr:rowOff>
    </xdr:from>
    <xdr:ext cx="27765" cy="424860"/>
    <xdr:sp macro="" textlink="">
      <xdr:nvSpPr>
        <xdr:cNvPr id="14" name="Text Box 1025"/>
        <xdr:cNvSpPr txBox="1">
          <a:spLocks noChangeArrowheads="1"/>
        </xdr:cNvSpPr>
      </xdr:nvSpPr>
      <xdr:spPr bwMode="auto">
        <a:xfrm>
          <a:off x="0"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xdr:row>
      <xdr:rowOff>0</xdr:rowOff>
    </xdr:from>
    <xdr:ext cx="27765" cy="424860"/>
    <xdr:sp macro="" textlink="">
      <xdr:nvSpPr>
        <xdr:cNvPr id="15" name="Text Box 1025"/>
        <xdr:cNvSpPr txBox="1">
          <a:spLocks noChangeArrowheads="1"/>
        </xdr:cNvSpPr>
      </xdr:nvSpPr>
      <xdr:spPr bwMode="auto">
        <a:xfrm>
          <a:off x="12277725"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xdr:row>
      <xdr:rowOff>0</xdr:rowOff>
    </xdr:from>
    <xdr:ext cx="27765" cy="424860"/>
    <xdr:sp macro="" textlink="">
      <xdr:nvSpPr>
        <xdr:cNvPr id="16" name="Text Box 1025"/>
        <xdr:cNvSpPr txBox="1">
          <a:spLocks noChangeArrowheads="1"/>
        </xdr:cNvSpPr>
      </xdr:nvSpPr>
      <xdr:spPr bwMode="auto">
        <a:xfrm>
          <a:off x="12277725"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xdr:row>
      <xdr:rowOff>0</xdr:rowOff>
    </xdr:from>
    <xdr:ext cx="27765" cy="424860"/>
    <xdr:sp macro="" textlink="">
      <xdr:nvSpPr>
        <xdr:cNvPr id="17" name="Text Box 1025"/>
        <xdr:cNvSpPr txBox="1">
          <a:spLocks noChangeArrowheads="1"/>
        </xdr:cNvSpPr>
      </xdr:nvSpPr>
      <xdr:spPr bwMode="auto">
        <a:xfrm>
          <a:off x="12277725" y="140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xdr:row>
      <xdr:rowOff>0</xdr:rowOff>
    </xdr:from>
    <xdr:ext cx="27765" cy="424860"/>
    <xdr:sp macro="" textlink="">
      <xdr:nvSpPr>
        <xdr:cNvPr id="18" name="Text Box 1025"/>
        <xdr:cNvSpPr txBox="1">
          <a:spLocks noChangeArrowheads="1"/>
        </xdr:cNvSpPr>
      </xdr:nvSpPr>
      <xdr:spPr bwMode="auto">
        <a:xfrm>
          <a:off x="0" y="152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xdr:row>
      <xdr:rowOff>0</xdr:rowOff>
    </xdr:from>
    <xdr:ext cx="27765" cy="424860"/>
    <xdr:sp macro="" textlink="">
      <xdr:nvSpPr>
        <xdr:cNvPr id="19" name="Text Box 1025"/>
        <xdr:cNvSpPr txBox="1">
          <a:spLocks noChangeArrowheads="1"/>
        </xdr:cNvSpPr>
      </xdr:nvSpPr>
      <xdr:spPr bwMode="auto">
        <a:xfrm>
          <a:off x="0" y="152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xdr:row>
      <xdr:rowOff>0</xdr:rowOff>
    </xdr:from>
    <xdr:ext cx="27765" cy="424860"/>
    <xdr:sp macro="" textlink="">
      <xdr:nvSpPr>
        <xdr:cNvPr id="20" name="Text Box 1025"/>
        <xdr:cNvSpPr txBox="1">
          <a:spLocks noChangeArrowheads="1"/>
        </xdr:cNvSpPr>
      </xdr:nvSpPr>
      <xdr:spPr bwMode="auto">
        <a:xfrm>
          <a:off x="0" y="152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xdr:row>
      <xdr:rowOff>0</xdr:rowOff>
    </xdr:from>
    <xdr:ext cx="27765" cy="424860"/>
    <xdr:sp macro="" textlink="">
      <xdr:nvSpPr>
        <xdr:cNvPr id="21" name="Text Box 1025"/>
        <xdr:cNvSpPr txBox="1">
          <a:spLocks noChangeArrowheads="1"/>
        </xdr:cNvSpPr>
      </xdr:nvSpPr>
      <xdr:spPr bwMode="auto">
        <a:xfrm>
          <a:off x="0"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xdr:row>
      <xdr:rowOff>0</xdr:rowOff>
    </xdr:from>
    <xdr:ext cx="27765" cy="424860"/>
    <xdr:sp macro="" textlink="">
      <xdr:nvSpPr>
        <xdr:cNvPr id="22" name="Text Box 1025"/>
        <xdr:cNvSpPr txBox="1">
          <a:spLocks noChangeArrowheads="1"/>
        </xdr:cNvSpPr>
      </xdr:nvSpPr>
      <xdr:spPr bwMode="auto">
        <a:xfrm>
          <a:off x="0"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xdr:row>
      <xdr:rowOff>0</xdr:rowOff>
    </xdr:from>
    <xdr:ext cx="27765" cy="424860"/>
    <xdr:sp macro="" textlink="">
      <xdr:nvSpPr>
        <xdr:cNvPr id="23" name="Text Box 1025"/>
        <xdr:cNvSpPr txBox="1">
          <a:spLocks noChangeArrowheads="1"/>
        </xdr:cNvSpPr>
      </xdr:nvSpPr>
      <xdr:spPr bwMode="auto">
        <a:xfrm>
          <a:off x="0"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xdr:row>
      <xdr:rowOff>0</xdr:rowOff>
    </xdr:from>
    <xdr:ext cx="27765" cy="424860"/>
    <xdr:sp macro="" textlink="">
      <xdr:nvSpPr>
        <xdr:cNvPr id="24" name="Text Box 1025"/>
        <xdr:cNvSpPr txBox="1">
          <a:spLocks noChangeArrowheads="1"/>
        </xdr:cNvSpPr>
      </xdr:nvSpPr>
      <xdr:spPr bwMode="auto">
        <a:xfrm>
          <a:off x="12277725"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xdr:row>
      <xdr:rowOff>0</xdr:rowOff>
    </xdr:from>
    <xdr:ext cx="27765" cy="424860"/>
    <xdr:sp macro="" textlink="">
      <xdr:nvSpPr>
        <xdr:cNvPr id="25" name="Text Box 1025"/>
        <xdr:cNvSpPr txBox="1">
          <a:spLocks noChangeArrowheads="1"/>
        </xdr:cNvSpPr>
      </xdr:nvSpPr>
      <xdr:spPr bwMode="auto">
        <a:xfrm>
          <a:off x="12277725"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xdr:row>
      <xdr:rowOff>0</xdr:rowOff>
    </xdr:from>
    <xdr:ext cx="27765" cy="424860"/>
    <xdr:sp macro="" textlink="">
      <xdr:nvSpPr>
        <xdr:cNvPr id="26" name="Text Box 1025"/>
        <xdr:cNvSpPr txBox="1">
          <a:spLocks noChangeArrowheads="1"/>
        </xdr:cNvSpPr>
      </xdr:nvSpPr>
      <xdr:spPr bwMode="auto">
        <a:xfrm>
          <a:off x="12277725" y="188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xdr:row>
      <xdr:rowOff>0</xdr:rowOff>
    </xdr:from>
    <xdr:ext cx="27765" cy="424860"/>
    <xdr:sp macro="" textlink="">
      <xdr:nvSpPr>
        <xdr:cNvPr id="27" name="Text Box 1025"/>
        <xdr:cNvSpPr txBox="1">
          <a:spLocks noChangeArrowheads="1"/>
        </xdr:cNvSpPr>
      </xdr:nvSpPr>
      <xdr:spPr bwMode="auto">
        <a:xfrm>
          <a:off x="0" y="200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xdr:row>
      <xdr:rowOff>0</xdr:rowOff>
    </xdr:from>
    <xdr:ext cx="27765" cy="424860"/>
    <xdr:sp macro="" textlink="">
      <xdr:nvSpPr>
        <xdr:cNvPr id="28" name="Text Box 1025"/>
        <xdr:cNvSpPr txBox="1">
          <a:spLocks noChangeArrowheads="1"/>
        </xdr:cNvSpPr>
      </xdr:nvSpPr>
      <xdr:spPr bwMode="auto">
        <a:xfrm>
          <a:off x="0" y="200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xdr:row>
      <xdr:rowOff>0</xdr:rowOff>
    </xdr:from>
    <xdr:ext cx="27765" cy="424860"/>
    <xdr:sp macro="" textlink="">
      <xdr:nvSpPr>
        <xdr:cNvPr id="29" name="Text Box 1025"/>
        <xdr:cNvSpPr txBox="1">
          <a:spLocks noChangeArrowheads="1"/>
        </xdr:cNvSpPr>
      </xdr:nvSpPr>
      <xdr:spPr bwMode="auto">
        <a:xfrm>
          <a:off x="0" y="200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xdr:row>
      <xdr:rowOff>0</xdr:rowOff>
    </xdr:from>
    <xdr:ext cx="27765" cy="424860"/>
    <xdr:sp macro="" textlink="">
      <xdr:nvSpPr>
        <xdr:cNvPr id="30" name="Text Box 1025"/>
        <xdr:cNvSpPr txBox="1">
          <a:spLocks noChangeArrowheads="1"/>
        </xdr:cNvSpPr>
      </xdr:nvSpPr>
      <xdr:spPr bwMode="auto">
        <a:xfrm>
          <a:off x="0"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xdr:row>
      <xdr:rowOff>0</xdr:rowOff>
    </xdr:from>
    <xdr:ext cx="27765" cy="424860"/>
    <xdr:sp macro="" textlink="">
      <xdr:nvSpPr>
        <xdr:cNvPr id="31" name="Text Box 1025"/>
        <xdr:cNvSpPr txBox="1">
          <a:spLocks noChangeArrowheads="1"/>
        </xdr:cNvSpPr>
      </xdr:nvSpPr>
      <xdr:spPr bwMode="auto">
        <a:xfrm>
          <a:off x="0"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xdr:row>
      <xdr:rowOff>0</xdr:rowOff>
    </xdr:from>
    <xdr:ext cx="27765" cy="424860"/>
    <xdr:sp macro="" textlink="">
      <xdr:nvSpPr>
        <xdr:cNvPr id="32" name="Text Box 1025"/>
        <xdr:cNvSpPr txBox="1">
          <a:spLocks noChangeArrowheads="1"/>
        </xdr:cNvSpPr>
      </xdr:nvSpPr>
      <xdr:spPr bwMode="auto">
        <a:xfrm>
          <a:off x="0"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xdr:row>
      <xdr:rowOff>0</xdr:rowOff>
    </xdr:from>
    <xdr:ext cx="27765" cy="424860"/>
    <xdr:sp macro="" textlink="">
      <xdr:nvSpPr>
        <xdr:cNvPr id="33" name="Text Box 1025"/>
        <xdr:cNvSpPr txBox="1">
          <a:spLocks noChangeArrowheads="1"/>
        </xdr:cNvSpPr>
      </xdr:nvSpPr>
      <xdr:spPr bwMode="auto">
        <a:xfrm>
          <a:off x="12277725"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xdr:row>
      <xdr:rowOff>0</xdr:rowOff>
    </xdr:from>
    <xdr:ext cx="27765" cy="424860"/>
    <xdr:sp macro="" textlink="">
      <xdr:nvSpPr>
        <xdr:cNvPr id="34" name="Text Box 1025"/>
        <xdr:cNvSpPr txBox="1">
          <a:spLocks noChangeArrowheads="1"/>
        </xdr:cNvSpPr>
      </xdr:nvSpPr>
      <xdr:spPr bwMode="auto">
        <a:xfrm>
          <a:off x="12277725"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xdr:row>
      <xdr:rowOff>0</xdr:rowOff>
    </xdr:from>
    <xdr:ext cx="27765" cy="424860"/>
    <xdr:sp macro="" textlink="">
      <xdr:nvSpPr>
        <xdr:cNvPr id="35" name="Text Box 1025"/>
        <xdr:cNvSpPr txBox="1">
          <a:spLocks noChangeArrowheads="1"/>
        </xdr:cNvSpPr>
      </xdr:nvSpPr>
      <xdr:spPr bwMode="auto">
        <a:xfrm>
          <a:off x="12277725" y="236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xdr:row>
      <xdr:rowOff>0</xdr:rowOff>
    </xdr:from>
    <xdr:ext cx="27765" cy="424860"/>
    <xdr:sp macro="" textlink="">
      <xdr:nvSpPr>
        <xdr:cNvPr id="36" name="Text Box 1025"/>
        <xdr:cNvSpPr txBox="1">
          <a:spLocks noChangeArrowheads="1"/>
        </xdr:cNvSpPr>
      </xdr:nvSpPr>
      <xdr:spPr bwMode="auto">
        <a:xfrm>
          <a:off x="0" y="247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xdr:row>
      <xdr:rowOff>0</xdr:rowOff>
    </xdr:from>
    <xdr:ext cx="27765" cy="424860"/>
    <xdr:sp macro="" textlink="">
      <xdr:nvSpPr>
        <xdr:cNvPr id="37" name="Text Box 1025"/>
        <xdr:cNvSpPr txBox="1">
          <a:spLocks noChangeArrowheads="1"/>
        </xdr:cNvSpPr>
      </xdr:nvSpPr>
      <xdr:spPr bwMode="auto">
        <a:xfrm>
          <a:off x="0" y="247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xdr:row>
      <xdr:rowOff>0</xdr:rowOff>
    </xdr:from>
    <xdr:ext cx="27765" cy="424860"/>
    <xdr:sp macro="" textlink="">
      <xdr:nvSpPr>
        <xdr:cNvPr id="38" name="Text Box 1025"/>
        <xdr:cNvSpPr txBox="1">
          <a:spLocks noChangeArrowheads="1"/>
        </xdr:cNvSpPr>
      </xdr:nvSpPr>
      <xdr:spPr bwMode="auto">
        <a:xfrm>
          <a:off x="0" y="247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xdr:row>
      <xdr:rowOff>0</xdr:rowOff>
    </xdr:from>
    <xdr:ext cx="27765" cy="424860"/>
    <xdr:sp macro="" textlink="">
      <xdr:nvSpPr>
        <xdr:cNvPr id="39" name="Text Box 1025"/>
        <xdr:cNvSpPr txBox="1">
          <a:spLocks noChangeArrowheads="1"/>
        </xdr:cNvSpPr>
      </xdr:nvSpPr>
      <xdr:spPr bwMode="auto">
        <a:xfrm>
          <a:off x="0"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xdr:row>
      <xdr:rowOff>0</xdr:rowOff>
    </xdr:from>
    <xdr:ext cx="27765" cy="424860"/>
    <xdr:sp macro="" textlink="">
      <xdr:nvSpPr>
        <xdr:cNvPr id="40" name="Text Box 1025"/>
        <xdr:cNvSpPr txBox="1">
          <a:spLocks noChangeArrowheads="1"/>
        </xdr:cNvSpPr>
      </xdr:nvSpPr>
      <xdr:spPr bwMode="auto">
        <a:xfrm>
          <a:off x="0"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xdr:row>
      <xdr:rowOff>0</xdr:rowOff>
    </xdr:from>
    <xdr:ext cx="27765" cy="424860"/>
    <xdr:sp macro="" textlink="">
      <xdr:nvSpPr>
        <xdr:cNvPr id="41" name="Text Box 1025"/>
        <xdr:cNvSpPr txBox="1">
          <a:spLocks noChangeArrowheads="1"/>
        </xdr:cNvSpPr>
      </xdr:nvSpPr>
      <xdr:spPr bwMode="auto">
        <a:xfrm>
          <a:off x="0"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xdr:row>
      <xdr:rowOff>0</xdr:rowOff>
    </xdr:from>
    <xdr:ext cx="27765" cy="424860"/>
    <xdr:sp macro="" textlink="">
      <xdr:nvSpPr>
        <xdr:cNvPr id="42" name="Text Box 1025"/>
        <xdr:cNvSpPr txBox="1">
          <a:spLocks noChangeArrowheads="1"/>
        </xdr:cNvSpPr>
      </xdr:nvSpPr>
      <xdr:spPr bwMode="auto">
        <a:xfrm>
          <a:off x="12277725"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xdr:row>
      <xdr:rowOff>0</xdr:rowOff>
    </xdr:from>
    <xdr:ext cx="27765" cy="424860"/>
    <xdr:sp macro="" textlink="">
      <xdr:nvSpPr>
        <xdr:cNvPr id="43" name="Text Box 1025"/>
        <xdr:cNvSpPr txBox="1">
          <a:spLocks noChangeArrowheads="1"/>
        </xdr:cNvSpPr>
      </xdr:nvSpPr>
      <xdr:spPr bwMode="auto">
        <a:xfrm>
          <a:off x="12277725"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xdr:row>
      <xdr:rowOff>0</xdr:rowOff>
    </xdr:from>
    <xdr:ext cx="27765" cy="424860"/>
    <xdr:sp macro="" textlink="">
      <xdr:nvSpPr>
        <xdr:cNvPr id="44" name="Text Box 1025"/>
        <xdr:cNvSpPr txBox="1">
          <a:spLocks noChangeArrowheads="1"/>
        </xdr:cNvSpPr>
      </xdr:nvSpPr>
      <xdr:spPr bwMode="auto">
        <a:xfrm>
          <a:off x="12277725" y="283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xdr:row>
      <xdr:rowOff>0</xdr:rowOff>
    </xdr:from>
    <xdr:ext cx="27765" cy="424860"/>
    <xdr:sp macro="" textlink="">
      <xdr:nvSpPr>
        <xdr:cNvPr id="45" name="Text Box 1025"/>
        <xdr:cNvSpPr txBox="1">
          <a:spLocks noChangeArrowheads="1"/>
        </xdr:cNvSpPr>
      </xdr:nvSpPr>
      <xdr:spPr bwMode="auto">
        <a:xfrm>
          <a:off x="0" y="295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xdr:row>
      <xdr:rowOff>0</xdr:rowOff>
    </xdr:from>
    <xdr:ext cx="27765" cy="424860"/>
    <xdr:sp macro="" textlink="">
      <xdr:nvSpPr>
        <xdr:cNvPr id="46" name="Text Box 1025"/>
        <xdr:cNvSpPr txBox="1">
          <a:spLocks noChangeArrowheads="1"/>
        </xdr:cNvSpPr>
      </xdr:nvSpPr>
      <xdr:spPr bwMode="auto">
        <a:xfrm>
          <a:off x="0" y="295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xdr:row>
      <xdr:rowOff>0</xdr:rowOff>
    </xdr:from>
    <xdr:ext cx="27765" cy="424860"/>
    <xdr:sp macro="" textlink="">
      <xdr:nvSpPr>
        <xdr:cNvPr id="47" name="Text Box 1025"/>
        <xdr:cNvSpPr txBox="1">
          <a:spLocks noChangeArrowheads="1"/>
        </xdr:cNvSpPr>
      </xdr:nvSpPr>
      <xdr:spPr bwMode="auto">
        <a:xfrm>
          <a:off x="0" y="295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xdr:row>
      <xdr:rowOff>0</xdr:rowOff>
    </xdr:from>
    <xdr:ext cx="27765" cy="424860"/>
    <xdr:sp macro="" textlink="">
      <xdr:nvSpPr>
        <xdr:cNvPr id="48" name="Text Box 1025"/>
        <xdr:cNvSpPr txBox="1">
          <a:spLocks noChangeArrowheads="1"/>
        </xdr:cNvSpPr>
      </xdr:nvSpPr>
      <xdr:spPr bwMode="auto">
        <a:xfrm>
          <a:off x="0"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xdr:row>
      <xdr:rowOff>0</xdr:rowOff>
    </xdr:from>
    <xdr:ext cx="27765" cy="424860"/>
    <xdr:sp macro="" textlink="">
      <xdr:nvSpPr>
        <xdr:cNvPr id="49" name="Text Box 1025"/>
        <xdr:cNvSpPr txBox="1">
          <a:spLocks noChangeArrowheads="1"/>
        </xdr:cNvSpPr>
      </xdr:nvSpPr>
      <xdr:spPr bwMode="auto">
        <a:xfrm>
          <a:off x="0"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xdr:row>
      <xdr:rowOff>0</xdr:rowOff>
    </xdr:from>
    <xdr:ext cx="27765" cy="424860"/>
    <xdr:sp macro="" textlink="">
      <xdr:nvSpPr>
        <xdr:cNvPr id="50" name="Text Box 1025"/>
        <xdr:cNvSpPr txBox="1">
          <a:spLocks noChangeArrowheads="1"/>
        </xdr:cNvSpPr>
      </xdr:nvSpPr>
      <xdr:spPr bwMode="auto">
        <a:xfrm>
          <a:off x="0"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xdr:row>
      <xdr:rowOff>0</xdr:rowOff>
    </xdr:from>
    <xdr:ext cx="27765" cy="424860"/>
    <xdr:sp macro="" textlink="">
      <xdr:nvSpPr>
        <xdr:cNvPr id="51" name="Text Box 1025"/>
        <xdr:cNvSpPr txBox="1">
          <a:spLocks noChangeArrowheads="1"/>
        </xdr:cNvSpPr>
      </xdr:nvSpPr>
      <xdr:spPr bwMode="auto">
        <a:xfrm>
          <a:off x="12277725"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xdr:row>
      <xdr:rowOff>0</xdr:rowOff>
    </xdr:from>
    <xdr:ext cx="27765" cy="424860"/>
    <xdr:sp macro="" textlink="">
      <xdr:nvSpPr>
        <xdr:cNvPr id="52" name="Text Box 1025"/>
        <xdr:cNvSpPr txBox="1">
          <a:spLocks noChangeArrowheads="1"/>
        </xdr:cNvSpPr>
      </xdr:nvSpPr>
      <xdr:spPr bwMode="auto">
        <a:xfrm>
          <a:off x="12277725"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xdr:row>
      <xdr:rowOff>0</xdr:rowOff>
    </xdr:from>
    <xdr:ext cx="27765" cy="424860"/>
    <xdr:sp macro="" textlink="">
      <xdr:nvSpPr>
        <xdr:cNvPr id="53" name="Text Box 1025"/>
        <xdr:cNvSpPr txBox="1">
          <a:spLocks noChangeArrowheads="1"/>
        </xdr:cNvSpPr>
      </xdr:nvSpPr>
      <xdr:spPr bwMode="auto">
        <a:xfrm>
          <a:off x="12277725" y="331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xdr:row>
      <xdr:rowOff>0</xdr:rowOff>
    </xdr:from>
    <xdr:ext cx="27765" cy="424860"/>
    <xdr:sp macro="" textlink="">
      <xdr:nvSpPr>
        <xdr:cNvPr id="54" name="Text Box 1025"/>
        <xdr:cNvSpPr txBox="1">
          <a:spLocks noChangeArrowheads="1"/>
        </xdr:cNvSpPr>
      </xdr:nvSpPr>
      <xdr:spPr bwMode="auto">
        <a:xfrm>
          <a:off x="0" y="343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xdr:row>
      <xdr:rowOff>0</xdr:rowOff>
    </xdr:from>
    <xdr:ext cx="27765" cy="424860"/>
    <xdr:sp macro="" textlink="">
      <xdr:nvSpPr>
        <xdr:cNvPr id="55" name="Text Box 1025"/>
        <xdr:cNvSpPr txBox="1">
          <a:spLocks noChangeArrowheads="1"/>
        </xdr:cNvSpPr>
      </xdr:nvSpPr>
      <xdr:spPr bwMode="auto">
        <a:xfrm>
          <a:off x="0" y="343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xdr:row>
      <xdr:rowOff>0</xdr:rowOff>
    </xdr:from>
    <xdr:ext cx="27765" cy="424860"/>
    <xdr:sp macro="" textlink="">
      <xdr:nvSpPr>
        <xdr:cNvPr id="56" name="Text Box 1025"/>
        <xdr:cNvSpPr txBox="1">
          <a:spLocks noChangeArrowheads="1"/>
        </xdr:cNvSpPr>
      </xdr:nvSpPr>
      <xdr:spPr bwMode="auto">
        <a:xfrm>
          <a:off x="0" y="343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xdr:row>
      <xdr:rowOff>0</xdr:rowOff>
    </xdr:from>
    <xdr:ext cx="27765" cy="424860"/>
    <xdr:sp macro="" textlink="">
      <xdr:nvSpPr>
        <xdr:cNvPr id="57" name="Text Box 1025"/>
        <xdr:cNvSpPr txBox="1">
          <a:spLocks noChangeArrowheads="1"/>
        </xdr:cNvSpPr>
      </xdr:nvSpPr>
      <xdr:spPr bwMode="auto">
        <a:xfrm>
          <a:off x="0"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xdr:row>
      <xdr:rowOff>0</xdr:rowOff>
    </xdr:from>
    <xdr:ext cx="27765" cy="424860"/>
    <xdr:sp macro="" textlink="">
      <xdr:nvSpPr>
        <xdr:cNvPr id="58" name="Text Box 1025"/>
        <xdr:cNvSpPr txBox="1">
          <a:spLocks noChangeArrowheads="1"/>
        </xdr:cNvSpPr>
      </xdr:nvSpPr>
      <xdr:spPr bwMode="auto">
        <a:xfrm>
          <a:off x="0"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xdr:row>
      <xdr:rowOff>0</xdr:rowOff>
    </xdr:from>
    <xdr:ext cx="27765" cy="424860"/>
    <xdr:sp macro="" textlink="">
      <xdr:nvSpPr>
        <xdr:cNvPr id="59" name="Text Box 1025"/>
        <xdr:cNvSpPr txBox="1">
          <a:spLocks noChangeArrowheads="1"/>
        </xdr:cNvSpPr>
      </xdr:nvSpPr>
      <xdr:spPr bwMode="auto">
        <a:xfrm>
          <a:off x="0"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xdr:row>
      <xdr:rowOff>0</xdr:rowOff>
    </xdr:from>
    <xdr:ext cx="27765" cy="424860"/>
    <xdr:sp macro="" textlink="">
      <xdr:nvSpPr>
        <xdr:cNvPr id="60" name="Text Box 1025"/>
        <xdr:cNvSpPr txBox="1">
          <a:spLocks noChangeArrowheads="1"/>
        </xdr:cNvSpPr>
      </xdr:nvSpPr>
      <xdr:spPr bwMode="auto">
        <a:xfrm>
          <a:off x="12277725"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xdr:row>
      <xdr:rowOff>0</xdr:rowOff>
    </xdr:from>
    <xdr:ext cx="27765" cy="424860"/>
    <xdr:sp macro="" textlink="">
      <xdr:nvSpPr>
        <xdr:cNvPr id="61" name="Text Box 1025"/>
        <xdr:cNvSpPr txBox="1">
          <a:spLocks noChangeArrowheads="1"/>
        </xdr:cNvSpPr>
      </xdr:nvSpPr>
      <xdr:spPr bwMode="auto">
        <a:xfrm>
          <a:off x="12277725"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xdr:row>
      <xdr:rowOff>0</xdr:rowOff>
    </xdr:from>
    <xdr:ext cx="27765" cy="424860"/>
    <xdr:sp macro="" textlink="">
      <xdr:nvSpPr>
        <xdr:cNvPr id="62" name="Text Box 1025"/>
        <xdr:cNvSpPr txBox="1">
          <a:spLocks noChangeArrowheads="1"/>
        </xdr:cNvSpPr>
      </xdr:nvSpPr>
      <xdr:spPr bwMode="auto">
        <a:xfrm>
          <a:off x="12277725" y="378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175</xdr:row>
      <xdr:rowOff>0</xdr:rowOff>
    </xdr:from>
    <xdr:ext cx="27765" cy="424860"/>
    <xdr:sp macro="" textlink="">
      <xdr:nvSpPr>
        <xdr:cNvPr id="63" name="Text Box 1025"/>
        <xdr:cNvSpPr txBox="1">
          <a:spLocks noChangeArrowheads="1"/>
        </xdr:cNvSpPr>
      </xdr:nvSpPr>
      <xdr:spPr bwMode="auto">
        <a:xfrm>
          <a:off x="12277725" y="426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175</xdr:row>
      <xdr:rowOff>0</xdr:rowOff>
    </xdr:from>
    <xdr:ext cx="27765" cy="424860"/>
    <xdr:sp macro="" textlink="">
      <xdr:nvSpPr>
        <xdr:cNvPr id="64" name="Text Box 1025"/>
        <xdr:cNvSpPr txBox="1">
          <a:spLocks noChangeArrowheads="1"/>
        </xdr:cNvSpPr>
      </xdr:nvSpPr>
      <xdr:spPr bwMode="auto">
        <a:xfrm>
          <a:off x="12277725" y="426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175</xdr:row>
      <xdr:rowOff>0</xdr:rowOff>
    </xdr:from>
    <xdr:ext cx="27765" cy="424860"/>
    <xdr:sp macro="" textlink="">
      <xdr:nvSpPr>
        <xdr:cNvPr id="65" name="Text Box 1025"/>
        <xdr:cNvSpPr txBox="1">
          <a:spLocks noChangeArrowheads="1"/>
        </xdr:cNvSpPr>
      </xdr:nvSpPr>
      <xdr:spPr bwMode="auto">
        <a:xfrm>
          <a:off x="12277725" y="426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180</xdr:row>
      <xdr:rowOff>0</xdr:rowOff>
    </xdr:from>
    <xdr:ext cx="27765" cy="424860"/>
    <xdr:sp macro="" textlink="">
      <xdr:nvSpPr>
        <xdr:cNvPr id="66" name="Text Box 1025"/>
        <xdr:cNvSpPr txBox="1">
          <a:spLocks noChangeArrowheads="1"/>
        </xdr:cNvSpPr>
      </xdr:nvSpPr>
      <xdr:spPr bwMode="auto">
        <a:xfrm>
          <a:off x="0" y="438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180</xdr:row>
      <xdr:rowOff>0</xdr:rowOff>
    </xdr:from>
    <xdr:ext cx="27765" cy="424860"/>
    <xdr:sp macro="" textlink="">
      <xdr:nvSpPr>
        <xdr:cNvPr id="67" name="Text Box 1025"/>
        <xdr:cNvSpPr txBox="1">
          <a:spLocks noChangeArrowheads="1"/>
        </xdr:cNvSpPr>
      </xdr:nvSpPr>
      <xdr:spPr bwMode="auto">
        <a:xfrm>
          <a:off x="0" y="438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180</xdr:row>
      <xdr:rowOff>0</xdr:rowOff>
    </xdr:from>
    <xdr:ext cx="27765" cy="424860"/>
    <xdr:sp macro="" textlink="">
      <xdr:nvSpPr>
        <xdr:cNvPr id="68" name="Text Box 1025"/>
        <xdr:cNvSpPr txBox="1">
          <a:spLocks noChangeArrowheads="1"/>
        </xdr:cNvSpPr>
      </xdr:nvSpPr>
      <xdr:spPr bwMode="auto">
        <a:xfrm>
          <a:off x="0" y="438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195</xdr:row>
      <xdr:rowOff>0</xdr:rowOff>
    </xdr:from>
    <xdr:ext cx="27765" cy="424860"/>
    <xdr:sp macro="" textlink="">
      <xdr:nvSpPr>
        <xdr:cNvPr id="69" name="Text Box 1025"/>
        <xdr:cNvSpPr txBox="1">
          <a:spLocks noChangeArrowheads="1"/>
        </xdr:cNvSpPr>
      </xdr:nvSpPr>
      <xdr:spPr bwMode="auto">
        <a:xfrm>
          <a:off x="0"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195</xdr:row>
      <xdr:rowOff>0</xdr:rowOff>
    </xdr:from>
    <xdr:ext cx="27765" cy="424860"/>
    <xdr:sp macro="" textlink="">
      <xdr:nvSpPr>
        <xdr:cNvPr id="70" name="Text Box 1025"/>
        <xdr:cNvSpPr txBox="1">
          <a:spLocks noChangeArrowheads="1"/>
        </xdr:cNvSpPr>
      </xdr:nvSpPr>
      <xdr:spPr bwMode="auto">
        <a:xfrm>
          <a:off x="0"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195</xdr:row>
      <xdr:rowOff>0</xdr:rowOff>
    </xdr:from>
    <xdr:ext cx="27765" cy="424860"/>
    <xdr:sp macro="" textlink="">
      <xdr:nvSpPr>
        <xdr:cNvPr id="71" name="Text Box 1025"/>
        <xdr:cNvSpPr txBox="1">
          <a:spLocks noChangeArrowheads="1"/>
        </xdr:cNvSpPr>
      </xdr:nvSpPr>
      <xdr:spPr bwMode="auto">
        <a:xfrm>
          <a:off x="0"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195</xdr:row>
      <xdr:rowOff>0</xdr:rowOff>
    </xdr:from>
    <xdr:ext cx="27765" cy="424860"/>
    <xdr:sp macro="" textlink="">
      <xdr:nvSpPr>
        <xdr:cNvPr id="72" name="Text Box 1025"/>
        <xdr:cNvSpPr txBox="1">
          <a:spLocks noChangeArrowheads="1"/>
        </xdr:cNvSpPr>
      </xdr:nvSpPr>
      <xdr:spPr bwMode="auto">
        <a:xfrm>
          <a:off x="12277725"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195</xdr:row>
      <xdr:rowOff>0</xdr:rowOff>
    </xdr:from>
    <xdr:ext cx="27765" cy="424860"/>
    <xdr:sp macro="" textlink="">
      <xdr:nvSpPr>
        <xdr:cNvPr id="73" name="Text Box 1025"/>
        <xdr:cNvSpPr txBox="1">
          <a:spLocks noChangeArrowheads="1"/>
        </xdr:cNvSpPr>
      </xdr:nvSpPr>
      <xdr:spPr bwMode="auto">
        <a:xfrm>
          <a:off x="12277725"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195</xdr:row>
      <xdr:rowOff>0</xdr:rowOff>
    </xdr:from>
    <xdr:ext cx="27765" cy="424860"/>
    <xdr:sp macro="" textlink="">
      <xdr:nvSpPr>
        <xdr:cNvPr id="74" name="Text Box 1025"/>
        <xdr:cNvSpPr txBox="1">
          <a:spLocks noChangeArrowheads="1"/>
        </xdr:cNvSpPr>
      </xdr:nvSpPr>
      <xdr:spPr bwMode="auto">
        <a:xfrm>
          <a:off x="12277725" y="474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200</xdr:row>
      <xdr:rowOff>0</xdr:rowOff>
    </xdr:from>
    <xdr:ext cx="27765" cy="424860"/>
    <xdr:sp macro="" textlink="">
      <xdr:nvSpPr>
        <xdr:cNvPr id="75" name="Text Box 1025"/>
        <xdr:cNvSpPr txBox="1">
          <a:spLocks noChangeArrowheads="1"/>
        </xdr:cNvSpPr>
      </xdr:nvSpPr>
      <xdr:spPr bwMode="auto">
        <a:xfrm>
          <a:off x="0" y="486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200</xdr:row>
      <xdr:rowOff>0</xdr:rowOff>
    </xdr:from>
    <xdr:ext cx="27765" cy="424860"/>
    <xdr:sp macro="" textlink="">
      <xdr:nvSpPr>
        <xdr:cNvPr id="76" name="Text Box 1025"/>
        <xdr:cNvSpPr txBox="1">
          <a:spLocks noChangeArrowheads="1"/>
        </xdr:cNvSpPr>
      </xdr:nvSpPr>
      <xdr:spPr bwMode="auto">
        <a:xfrm>
          <a:off x="0" y="486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200</xdr:row>
      <xdr:rowOff>0</xdr:rowOff>
    </xdr:from>
    <xdr:ext cx="27765" cy="424860"/>
    <xdr:sp macro="" textlink="">
      <xdr:nvSpPr>
        <xdr:cNvPr id="77" name="Text Box 1025"/>
        <xdr:cNvSpPr txBox="1">
          <a:spLocks noChangeArrowheads="1"/>
        </xdr:cNvSpPr>
      </xdr:nvSpPr>
      <xdr:spPr bwMode="auto">
        <a:xfrm>
          <a:off x="0" y="486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215</xdr:row>
      <xdr:rowOff>0</xdr:rowOff>
    </xdr:from>
    <xdr:ext cx="27765" cy="424860"/>
    <xdr:sp macro="" textlink="">
      <xdr:nvSpPr>
        <xdr:cNvPr id="78" name="Text Box 1025"/>
        <xdr:cNvSpPr txBox="1">
          <a:spLocks noChangeArrowheads="1"/>
        </xdr:cNvSpPr>
      </xdr:nvSpPr>
      <xdr:spPr bwMode="auto">
        <a:xfrm>
          <a:off x="0"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215</xdr:row>
      <xdr:rowOff>0</xdr:rowOff>
    </xdr:from>
    <xdr:ext cx="27765" cy="424860"/>
    <xdr:sp macro="" textlink="">
      <xdr:nvSpPr>
        <xdr:cNvPr id="79" name="Text Box 1025"/>
        <xdr:cNvSpPr txBox="1">
          <a:spLocks noChangeArrowheads="1"/>
        </xdr:cNvSpPr>
      </xdr:nvSpPr>
      <xdr:spPr bwMode="auto">
        <a:xfrm>
          <a:off x="0"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215</xdr:row>
      <xdr:rowOff>0</xdr:rowOff>
    </xdr:from>
    <xdr:ext cx="27765" cy="424860"/>
    <xdr:sp macro="" textlink="">
      <xdr:nvSpPr>
        <xdr:cNvPr id="80" name="Text Box 1025"/>
        <xdr:cNvSpPr txBox="1">
          <a:spLocks noChangeArrowheads="1"/>
        </xdr:cNvSpPr>
      </xdr:nvSpPr>
      <xdr:spPr bwMode="auto">
        <a:xfrm>
          <a:off x="0"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215</xdr:row>
      <xdr:rowOff>0</xdr:rowOff>
    </xdr:from>
    <xdr:ext cx="27765" cy="424860"/>
    <xdr:sp macro="" textlink="">
      <xdr:nvSpPr>
        <xdr:cNvPr id="81" name="Text Box 1025"/>
        <xdr:cNvSpPr txBox="1">
          <a:spLocks noChangeArrowheads="1"/>
        </xdr:cNvSpPr>
      </xdr:nvSpPr>
      <xdr:spPr bwMode="auto">
        <a:xfrm>
          <a:off x="12277725"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215</xdr:row>
      <xdr:rowOff>0</xdr:rowOff>
    </xdr:from>
    <xdr:ext cx="27765" cy="424860"/>
    <xdr:sp macro="" textlink="">
      <xdr:nvSpPr>
        <xdr:cNvPr id="82" name="Text Box 1025"/>
        <xdr:cNvSpPr txBox="1">
          <a:spLocks noChangeArrowheads="1"/>
        </xdr:cNvSpPr>
      </xdr:nvSpPr>
      <xdr:spPr bwMode="auto">
        <a:xfrm>
          <a:off x="12277725"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215</xdr:row>
      <xdr:rowOff>0</xdr:rowOff>
    </xdr:from>
    <xdr:ext cx="27765" cy="424860"/>
    <xdr:sp macro="" textlink="">
      <xdr:nvSpPr>
        <xdr:cNvPr id="83" name="Text Box 1025"/>
        <xdr:cNvSpPr txBox="1">
          <a:spLocks noChangeArrowheads="1"/>
        </xdr:cNvSpPr>
      </xdr:nvSpPr>
      <xdr:spPr bwMode="auto">
        <a:xfrm>
          <a:off x="12277725" y="521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220</xdr:row>
      <xdr:rowOff>0</xdr:rowOff>
    </xdr:from>
    <xdr:ext cx="27765" cy="424860"/>
    <xdr:sp macro="" textlink="">
      <xdr:nvSpPr>
        <xdr:cNvPr id="84" name="Text Box 1025"/>
        <xdr:cNvSpPr txBox="1">
          <a:spLocks noChangeArrowheads="1"/>
        </xdr:cNvSpPr>
      </xdr:nvSpPr>
      <xdr:spPr bwMode="auto">
        <a:xfrm>
          <a:off x="0" y="533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220</xdr:row>
      <xdr:rowOff>0</xdr:rowOff>
    </xdr:from>
    <xdr:ext cx="27765" cy="424860"/>
    <xdr:sp macro="" textlink="">
      <xdr:nvSpPr>
        <xdr:cNvPr id="85" name="Text Box 1025"/>
        <xdr:cNvSpPr txBox="1">
          <a:spLocks noChangeArrowheads="1"/>
        </xdr:cNvSpPr>
      </xdr:nvSpPr>
      <xdr:spPr bwMode="auto">
        <a:xfrm>
          <a:off x="0" y="533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220</xdr:row>
      <xdr:rowOff>0</xdr:rowOff>
    </xdr:from>
    <xdr:ext cx="27765" cy="424860"/>
    <xdr:sp macro="" textlink="">
      <xdr:nvSpPr>
        <xdr:cNvPr id="86" name="Text Box 1025"/>
        <xdr:cNvSpPr txBox="1">
          <a:spLocks noChangeArrowheads="1"/>
        </xdr:cNvSpPr>
      </xdr:nvSpPr>
      <xdr:spPr bwMode="auto">
        <a:xfrm>
          <a:off x="0" y="533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235</xdr:row>
      <xdr:rowOff>0</xdr:rowOff>
    </xdr:from>
    <xdr:ext cx="27765" cy="424860"/>
    <xdr:sp macro="" textlink="">
      <xdr:nvSpPr>
        <xdr:cNvPr id="87" name="Text Box 1025"/>
        <xdr:cNvSpPr txBox="1">
          <a:spLocks noChangeArrowheads="1"/>
        </xdr:cNvSpPr>
      </xdr:nvSpPr>
      <xdr:spPr bwMode="auto">
        <a:xfrm>
          <a:off x="0"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235</xdr:row>
      <xdr:rowOff>0</xdr:rowOff>
    </xdr:from>
    <xdr:ext cx="27765" cy="424860"/>
    <xdr:sp macro="" textlink="">
      <xdr:nvSpPr>
        <xdr:cNvPr id="88" name="Text Box 1025"/>
        <xdr:cNvSpPr txBox="1">
          <a:spLocks noChangeArrowheads="1"/>
        </xdr:cNvSpPr>
      </xdr:nvSpPr>
      <xdr:spPr bwMode="auto">
        <a:xfrm>
          <a:off x="0"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235</xdr:row>
      <xdr:rowOff>0</xdr:rowOff>
    </xdr:from>
    <xdr:ext cx="27765" cy="424860"/>
    <xdr:sp macro="" textlink="">
      <xdr:nvSpPr>
        <xdr:cNvPr id="89" name="Text Box 1025"/>
        <xdr:cNvSpPr txBox="1">
          <a:spLocks noChangeArrowheads="1"/>
        </xdr:cNvSpPr>
      </xdr:nvSpPr>
      <xdr:spPr bwMode="auto">
        <a:xfrm>
          <a:off x="0"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235</xdr:row>
      <xdr:rowOff>0</xdr:rowOff>
    </xdr:from>
    <xdr:ext cx="27765" cy="424860"/>
    <xdr:sp macro="" textlink="">
      <xdr:nvSpPr>
        <xdr:cNvPr id="90" name="Text Box 1025"/>
        <xdr:cNvSpPr txBox="1">
          <a:spLocks noChangeArrowheads="1"/>
        </xdr:cNvSpPr>
      </xdr:nvSpPr>
      <xdr:spPr bwMode="auto">
        <a:xfrm>
          <a:off x="12277725"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235</xdr:row>
      <xdr:rowOff>0</xdr:rowOff>
    </xdr:from>
    <xdr:ext cx="27765" cy="424860"/>
    <xdr:sp macro="" textlink="">
      <xdr:nvSpPr>
        <xdr:cNvPr id="91" name="Text Box 1025"/>
        <xdr:cNvSpPr txBox="1">
          <a:spLocks noChangeArrowheads="1"/>
        </xdr:cNvSpPr>
      </xdr:nvSpPr>
      <xdr:spPr bwMode="auto">
        <a:xfrm>
          <a:off x="12277725"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235</xdr:row>
      <xdr:rowOff>0</xdr:rowOff>
    </xdr:from>
    <xdr:ext cx="27765" cy="424860"/>
    <xdr:sp macro="" textlink="">
      <xdr:nvSpPr>
        <xdr:cNvPr id="92" name="Text Box 1025"/>
        <xdr:cNvSpPr txBox="1">
          <a:spLocks noChangeArrowheads="1"/>
        </xdr:cNvSpPr>
      </xdr:nvSpPr>
      <xdr:spPr bwMode="auto">
        <a:xfrm>
          <a:off x="12277725" y="569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240</xdr:row>
      <xdr:rowOff>0</xdr:rowOff>
    </xdr:from>
    <xdr:ext cx="27765" cy="424860"/>
    <xdr:sp macro="" textlink="">
      <xdr:nvSpPr>
        <xdr:cNvPr id="102" name="Text Box 1025"/>
        <xdr:cNvSpPr txBox="1">
          <a:spLocks noChangeArrowheads="1"/>
        </xdr:cNvSpPr>
      </xdr:nvSpPr>
      <xdr:spPr bwMode="auto">
        <a:xfrm>
          <a:off x="0" y="581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240</xdr:row>
      <xdr:rowOff>0</xdr:rowOff>
    </xdr:from>
    <xdr:ext cx="27765" cy="424860"/>
    <xdr:sp macro="" textlink="">
      <xdr:nvSpPr>
        <xdr:cNvPr id="103" name="Text Box 1025"/>
        <xdr:cNvSpPr txBox="1">
          <a:spLocks noChangeArrowheads="1"/>
        </xdr:cNvSpPr>
      </xdr:nvSpPr>
      <xdr:spPr bwMode="auto">
        <a:xfrm>
          <a:off x="0" y="581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240</xdr:row>
      <xdr:rowOff>0</xdr:rowOff>
    </xdr:from>
    <xdr:ext cx="27765" cy="424860"/>
    <xdr:sp macro="" textlink="">
      <xdr:nvSpPr>
        <xdr:cNvPr id="104" name="Text Box 1025"/>
        <xdr:cNvSpPr txBox="1">
          <a:spLocks noChangeArrowheads="1"/>
        </xdr:cNvSpPr>
      </xdr:nvSpPr>
      <xdr:spPr bwMode="auto">
        <a:xfrm>
          <a:off x="0" y="581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255</xdr:row>
      <xdr:rowOff>0</xdr:rowOff>
    </xdr:from>
    <xdr:ext cx="27765" cy="424860"/>
    <xdr:sp macro="" textlink="">
      <xdr:nvSpPr>
        <xdr:cNvPr id="105" name="Text Box 1025"/>
        <xdr:cNvSpPr txBox="1">
          <a:spLocks noChangeArrowheads="1"/>
        </xdr:cNvSpPr>
      </xdr:nvSpPr>
      <xdr:spPr bwMode="auto">
        <a:xfrm>
          <a:off x="0"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255</xdr:row>
      <xdr:rowOff>0</xdr:rowOff>
    </xdr:from>
    <xdr:ext cx="27765" cy="424860"/>
    <xdr:sp macro="" textlink="">
      <xdr:nvSpPr>
        <xdr:cNvPr id="106" name="Text Box 1025"/>
        <xdr:cNvSpPr txBox="1">
          <a:spLocks noChangeArrowheads="1"/>
        </xdr:cNvSpPr>
      </xdr:nvSpPr>
      <xdr:spPr bwMode="auto">
        <a:xfrm>
          <a:off x="0"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255</xdr:row>
      <xdr:rowOff>0</xdr:rowOff>
    </xdr:from>
    <xdr:ext cx="27765" cy="424860"/>
    <xdr:sp macro="" textlink="">
      <xdr:nvSpPr>
        <xdr:cNvPr id="107" name="Text Box 1025"/>
        <xdr:cNvSpPr txBox="1">
          <a:spLocks noChangeArrowheads="1"/>
        </xdr:cNvSpPr>
      </xdr:nvSpPr>
      <xdr:spPr bwMode="auto">
        <a:xfrm>
          <a:off x="0"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255</xdr:row>
      <xdr:rowOff>0</xdr:rowOff>
    </xdr:from>
    <xdr:ext cx="27765" cy="424860"/>
    <xdr:sp macro="" textlink="">
      <xdr:nvSpPr>
        <xdr:cNvPr id="108" name="Text Box 1025"/>
        <xdr:cNvSpPr txBox="1">
          <a:spLocks noChangeArrowheads="1"/>
        </xdr:cNvSpPr>
      </xdr:nvSpPr>
      <xdr:spPr bwMode="auto">
        <a:xfrm>
          <a:off x="12277725"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255</xdr:row>
      <xdr:rowOff>0</xdr:rowOff>
    </xdr:from>
    <xdr:ext cx="27765" cy="424860"/>
    <xdr:sp macro="" textlink="">
      <xdr:nvSpPr>
        <xdr:cNvPr id="109" name="Text Box 1025"/>
        <xdr:cNvSpPr txBox="1">
          <a:spLocks noChangeArrowheads="1"/>
        </xdr:cNvSpPr>
      </xdr:nvSpPr>
      <xdr:spPr bwMode="auto">
        <a:xfrm>
          <a:off x="12277725"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255</xdr:row>
      <xdr:rowOff>0</xdr:rowOff>
    </xdr:from>
    <xdr:ext cx="27765" cy="424860"/>
    <xdr:sp macro="" textlink="">
      <xdr:nvSpPr>
        <xdr:cNvPr id="110" name="Text Box 1025"/>
        <xdr:cNvSpPr txBox="1">
          <a:spLocks noChangeArrowheads="1"/>
        </xdr:cNvSpPr>
      </xdr:nvSpPr>
      <xdr:spPr bwMode="auto">
        <a:xfrm>
          <a:off x="12277725" y="617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260</xdr:row>
      <xdr:rowOff>0</xdr:rowOff>
    </xdr:from>
    <xdr:ext cx="27765" cy="424860"/>
    <xdr:sp macro="" textlink="">
      <xdr:nvSpPr>
        <xdr:cNvPr id="111" name="Text Box 1025"/>
        <xdr:cNvSpPr txBox="1">
          <a:spLocks noChangeArrowheads="1"/>
        </xdr:cNvSpPr>
      </xdr:nvSpPr>
      <xdr:spPr bwMode="auto">
        <a:xfrm>
          <a:off x="0" y="628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260</xdr:row>
      <xdr:rowOff>0</xdr:rowOff>
    </xdr:from>
    <xdr:ext cx="27765" cy="424860"/>
    <xdr:sp macro="" textlink="">
      <xdr:nvSpPr>
        <xdr:cNvPr id="112" name="Text Box 1025"/>
        <xdr:cNvSpPr txBox="1">
          <a:spLocks noChangeArrowheads="1"/>
        </xdr:cNvSpPr>
      </xdr:nvSpPr>
      <xdr:spPr bwMode="auto">
        <a:xfrm>
          <a:off x="0" y="628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260</xdr:row>
      <xdr:rowOff>0</xdr:rowOff>
    </xdr:from>
    <xdr:ext cx="27765" cy="424860"/>
    <xdr:sp macro="" textlink="">
      <xdr:nvSpPr>
        <xdr:cNvPr id="113" name="Text Box 1025"/>
        <xdr:cNvSpPr txBox="1">
          <a:spLocks noChangeArrowheads="1"/>
        </xdr:cNvSpPr>
      </xdr:nvSpPr>
      <xdr:spPr bwMode="auto">
        <a:xfrm>
          <a:off x="0" y="628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275</xdr:row>
      <xdr:rowOff>0</xdr:rowOff>
    </xdr:from>
    <xdr:ext cx="27765" cy="424860"/>
    <xdr:sp macro="" textlink="">
      <xdr:nvSpPr>
        <xdr:cNvPr id="114" name="Text Box 1025"/>
        <xdr:cNvSpPr txBox="1">
          <a:spLocks noChangeArrowheads="1"/>
        </xdr:cNvSpPr>
      </xdr:nvSpPr>
      <xdr:spPr bwMode="auto">
        <a:xfrm>
          <a:off x="0"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275</xdr:row>
      <xdr:rowOff>0</xdr:rowOff>
    </xdr:from>
    <xdr:ext cx="27765" cy="424860"/>
    <xdr:sp macro="" textlink="">
      <xdr:nvSpPr>
        <xdr:cNvPr id="115" name="Text Box 1025"/>
        <xdr:cNvSpPr txBox="1">
          <a:spLocks noChangeArrowheads="1"/>
        </xdr:cNvSpPr>
      </xdr:nvSpPr>
      <xdr:spPr bwMode="auto">
        <a:xfrm>
          <a:off x="0"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275</xdr:row>
      <xdr:rowOff>0</xdr:rowOff>
    </xdr:from>
    <xdr:ext cx="27765" cy="424860"/>
    <xdr:sp macro="" textlink="">
      <xdr:nvSpPr>
        <xdr:cNvPr id="116" name="Text Box 1025"/>
        <xdr:cNvSpPr txBox="1">
          <a:spLocks noChangeArrowheads="1"/>
        </xdr:cNvSpPr>
      </xdr:nvSpPr>
      <xdr:spPr bwMode="auto">
        <a:xfrm>
          <a:off x="0"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275</xdr:row>
      <xdr:rowOff>0</xdr:rowOff>
    </xdr:from>
    <xdr:ext cx="27765" cy="424860"/>
    <xdr:sp macro="" textlink="">
      <xdr:nvSpPr>
        <xdr:cNvPr id="117" name="Text Box 1025"/>
        <xdr:cNvSpPr txBox="1">
          <a:spLocks noChangeArrowheads="1"/>
        </xdr:cNvSpPr>
      </xdr:nvSpPr>
      <xdr:spPr bwMode="auto">
        <a:xfrm>
          <a:off x="12277725"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275</xdr:row>
      <xdr:rowOff>0</xdr:rowOff>
    </xdr:from>
    <xdr:ext cx="27765" cy="424860"/>
    <xdr:sp macro="" textlink="">
      <xdr:nvSpPr>
        <xdr:cNvPr id="118" name="Text Box 1025"/>
        <xdr:cNvSpPr txBox="1">
          <a:spLocks noChangeArrowheads="1"/>
        </xdr:cNvSpPr>
      </xdr:nvSpPr>
      <xdr:spPr bwMode="auto">
        <a:xfrm>
          <a:off x="12277725"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275</xdr:row>
      <xdr:rowOff>0</xdr:rowOff>
    </xdr:from>
    <xdr:ext cx="27765" cy="424860"/>
    <xdr:sp macro="" textlink="">
      <xdr:nvSpPr>
        <xdr:cNvPr id="119" name="Text Box 1025"/>
        <xdr:cNvSpPr txBox="1">
          <a:spLocks noChangeArrowheads="1"/>
        </xdr:cNvSpPr>
      </xdr:nvSpPr>
      <xdr:spPr bwMode="auto">
        <a:xfrm>
          <a:off x="12277725" y="664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280</xdr:row>
      <xdr:rowOff>0</xdr:rowOff>
    </xdr:from>
    <xdr:ext cx="27765" cy="424860"/>
    <xdr:sp macro="" textlink="">
      <xdr:nvSpPr>
        <xdr:cNvPr id="120" name="Text Box 1025"/>
        <xdr:cNvSpPr txBox="1">
          <a:spLocks noChangeArrowheads="1"/>
        </xdr:cNvSpPr>
      </xdr:nvSpPr>
      <xdr:spPr bwMode="auto">
        <a:xfrm>
          <a:off x="0" y="676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280</xdr:row>
      <xdr:rowOff>0</xdr:rowOff>
    </xdr:from>
    <xdr:ext cx="27765" cy="424860"/>
    <xdr:sp macro="" textlink="">
      <xdr:nvSpPr>
        <xdr:cNvPr id="121" name="Text Box 1025"/>
        <xdr:cNvSpPr txBox="1">
          <a:spLocks noChangeArrowheads="1"/>
        </xdr:cNvSpPr>
      </xdr:nvSpPr>
      <xdr:spPr bwMode="auto">
        <a:xfrm>
          <a:off x="0" y="676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280</xdr:row>
      <xdr:rowOff>0</xdr:rowOff>
    </xdr:from>
    <xdr:ext cx="27765" cy="424860"/>
    <xdr:sp macro="" textlink="">
      <xdr:nvSpPr>
        <xdr:cNvPr id="122" name="Text Box 1025"/>
        <xdr:cNvSpPr txBox="1">
          <a:spLocks noChangeArrowheads="1"/>
        </xdr:cNvSpPr>
      </xdr:nvSpPr>
      <xdr:spPr bwMode="auto">
        <a:xfrm>
          <a:off x="0" y="676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295</xdr:row>
      <xdr:rowOff>0</xdr:rowOff>
    </xdr:from>
    <xdr:ext cx="27765" cy="424860"/>
    <xdr:sp macro="" textlink="">
      <xdr:nvSpPr>
        <xdr:cNvPr id="123" name="Text Box 1025"/>
        <xdr:cNvSpPr txBox="1">
          <a:spLocks noChangeArrowheads="1"/>
        </xdr:cNvSpPr>
      </xdr:nvSpPr>
      <xdr:spPr bwMode="auto">
        <a:xfrm>
          <a:off x="0"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295</xdr:row>
      <xdr:rowOff>0</xdr:rowOff>
    </xdr:from>
    <xdr:ext cx="27765" cy="424860"/>
    <xdr:sp macro="" textlink="">
      <xdr:nvSpPr>
        <xdr:cNvPr id="124" name="Text Box 1025"/>
        <xdr:cNvSpPr txBox="1">
          <a:spLocks noChangeArrowheads="1"/>
        </xdr:cNvSpPr>
      </xdr:nvSpPr>
      <xdr:spPr bwMode="auto">
        <a:xfrm>
          <a:off x="0"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295</xdr:row>
      <xdr:rowOff>0</xdr:rowOff>
    </xdr:from>
    <xdr:ext cx="27765" cy="424860"/>
    <xdr:sp macro="" textlink="">
      <xdr:nvSpPr>
        <xdr:cNvPr id="125" name="Text Box 1025"/>
        <xdr:cNvSpPr txBox="1">
          <a:spLocks noChangeArrowheads="1"/>
        </xdr:cNvSpPr>
      </xdr:nvSpPr>
      <xdr:spPr bwMode="auto">
        <a:xfrm>
          <a:off x="0"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295</xdr:row>
      <xdr:rowOff>0</xdr:rowOff>
    </xdr:from>
    <xdr:ext cx="27765" cy="424860"/>
    <xdr:sp macro="" textlink="">
      <xdr:nvSpPr>
        <xdr:cNvPr id="126" name="Text Box 1025"/>
        <xdr:cNvSpPr txBox="1">
          <a:spLocks noChangeArrowheads="1"/>
        </xdr:cNvSpPr>
      </xdr:nvSpPr>
      <xdr:spPr bwMode="auto">
        <a:xfrm>
          <a:off x="12277725"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295</xdr:row>
      <xdr:rowOff>0</xdr:rowOff>
    </xdr:from>
    <xdr:ext cx="27765" cy="424860"/>
    <xdr:sp macro="" textlink="">
      <xdr:nvSpPr>
        <xdr:cNvPr id="127" name="Text Box 1025"/>
        <xdr:cNvSpPr txBox="1">
          <a:spLocks noChangeArrowheads="1"/>
        </xdr:cNvSpPr>
      </xdr:nvSpPr>
      <xdr:spPr bwMode="auto">
        <a:xfrm>
          <a:off x="12277725"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295</xdr:row>
      <xdr:rowOff>0</xdr:rowOff>
    </xdr:from>
    <xdr:ext cx="27765" cy="424860"/>
    <xdr:sp macro="" textlink="">
      <xdr:nvSpPr>
        <xdr:cNvPr id="128" name="Text Box 1025"/>
        <xdr:cNvSpPr txBox="1">
          <a:spLocks noChangeArrowheads="1"/>
        </xdr:cNvSpPr>
      </xdr:nvSpPr>
      <xdr:spPr bwMode="auto">
        <a:xfrm>
          <a:off x="12277725" y="712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300</xdr:row>
      <xdr:rowOff>0</xdr:rowOff>
    </xdr:from>
    <xdr:ext cx="27765" cy="424860"/>
    <xdr:sp macro="" textlink="">
      <xdr:nvSpPr>
        <xdr:cNvPr id="138" name="Text Box 1025"/>
        <xdr:cNvSpPr txBox="1">
          <a:spLocks noChangeArrowheads="1"/>
        </xdr:cNvSpPr>
      </xdr:nvSpPr>
      <xdr:spPr bwMode="auto">
        <a:xfrm>
          <a:off x="0" y="724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300</xdr:row>
      <xdr:rowOff>0</xdr:rowOff>
    </xdr:from>
    <xdr:ext cx="27765" cy="424860"/>
    <xdr:sp macro="" textlink="">
      <xdr:nvSpPr>
        <xdr:cNvPr id="139" name="Text Box 1025"/>
        <xdr:cNvSpPr txBox="1">
          <a:spLocks noChangeArrowheads="1"/>
        </xdr:cNvSpPr>
      </xdr:nvSpPr>
      <xdr:spPr bwMode="auto">
        <a:xfrm>
          <a:off x="0" y="724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300</xdr:row>
      <xdr:rowOff>0</xdr:rowOff>
    </xdr:from>
    <xdr:ext cx="27765" cy="424860"/>
    <xdr:sp macro="" textlink="">
      <xdr:nvSpPr>
        <xdr:cNvPr id="140" name="Text Box 1025"/>
        <xdr:cNvSpPr txBox="1">
          <a:spLocks noChangeArrowheads="1"/>
        </xdr:cNvSpPr>
      </xdr:nvSpPr>
      <xdr:spPr bwMode="auto">
        <a:xfrm>
          <a:off x="0" y="724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315</xdr:row>
      <xdr:rowOff>0</xdr:rowOff>
    </xdr:from>
    <xdr:ext cx="27765" cy="424860"/>
    <xdr:sp macro="" textlink="">
      <xdr:nvSpPr>
        <xdr:cNvPr id="141" name="Text Box 1025"/>
        <xdr:cNvSpPr txBox="1">
          <a:spLocks noChangeArrowheads="1"/>
        </xdr:cNvSpPr>
      </xdr:nvSpPr>
      <xdr:spPr bwMode="auto">
        <a:xfrm>
          <a:off x="0"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315</xdr:row>
      <xdr:rowOff>0</xdr:rowOff>
    </xdr:from>
    <xdr:ext cx="27765" cy="424860"/>
    <xdr:sp macro="" textlink="">
      <xdr:nvSpPr>
        <xdr:cNvPr id="142" name="Text Box 1025"/>
        <xdr:cNvSpPr txBox="1">
          <a:spLocks noChangeArrowheads="1"/>
        </xdr:cNvSpPr>
      </xdr:nvSpPr>
      <xdr:spPr bwMode="auto">
        <a:xfrm>
          <a:off x="0"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315</xdr:row>
      <xdr:rowOff>0</xdr:rowOff>
    </xdr:from>
    <xdr:ext cx="27765" cy="424860"/>
    <xdr:sp macro="" textlink="">
      <xdr:nvSpPr>
        <xdr:cNvPr id="143" name="Text Box 1025"/>
        <xdr:cNvSpPr txBox="1">
          <a:spLocks noChangeArrowheads="1"/>
        </xdr:cNvSpPr>
      </xdr:nvSpPr>
      <xdr:spPr bwMode="auto">
        <a:xfrm>
          <a:off x="0"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315</xdr:row>
      <xdr:rowOff>0</xdr:rowOff>
    </xdr:from>
    <xdr:ext cx="27765" cy="424860"/>
    <xdr:sp macro="" textlink="">
      <xdr:nvSpPr>
        <xdr:cNvPr id="144" name="Text Box 1025"/>
        <xdr:cNvSpPr txBox="1">
          <a:spLocks noChangeArrowheads="1"/>
        </xdr:cNvSpPr>
      </xdr:nvSpPr>
      <xdr:spPr bwMode="auto">
        <a:xfrm>
          <a:off x="12277725"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315</xdr:row>
      <xdr:rowOff>0</xdr:rowOff>
    </xdr:from>
    <xdr:ext cx="27765" cy="424860"/>
    <xdr:sp macro="" textlink="">
      <xdr:nvSpPr>
        <xdr:cNvPr id="145" name="Text Box 1025"/>
        <xdr:cNvSpPr txBox="1">
          <a:spLocks noChangeArrowheads="1"/>
        </xdr:cNvSpPr>
      </xdr:nvSpPr>
      <xdr:spPr bwMode="auto">
        <a:xfrm>
          <a:off x="12277725"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315</xdr:row>
      <xdr:rowOff>0</xdr:rowOff>
    </xdr:from>
    <xdr:ext cx="27765" cy="424860"/>
    <xdr:sp macro="" textlink="">
      <xdr:nvSpPr>
        <xdr:cNvPr id="146" name="Text Box 1025"/>
        <xdr:cNvSpPr txBox="1">
          <a:spLocks noChangeArrowheads="1"/>
        </xdr:cNvSpPr>
      </xdr:nvSpPr>
      <xdr:spPr bwMode="auto">
        <a:xfrm>
          <a:off x="12277725" y="759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320</xdr:row>
      <xdr:rowOff>0</xdr:rowOff>
    </xdr:from>
    <xdr:ext cx="27765" cy="424860"/>
    <xdr:sp macro="" textlink="">
      <xdr:nvSpPr>
        <xdr:cNvPr id="165" name="Text Box 1025"/>
        <xdr:cNvSpPr txBox="1">
          <a:spLocks noChangeArrowheads="1"/>
        </xdr:cNvSpPr>
      </xdr:nvSpPr>
      <xdr:spPr bwMode="auto">
        <a:xfrm>
          <a:off x="0" y="771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320</xdr:row>
      <xdr:rowOff>0</xdr:rowOff>
    </xdr:from>
    <xdr:ext cx="27765" cy="424860"/>
    <xdr:sp macro="" textlink="">
      <xdr:nvSpPr>
        <xdr:cNvPr id="166" name="Text Box 1025"/>
        <xdr:cNvSpPr txBox="1">
          <a:spLocks noChangeArrowheads="1"/>
        </xdr:cNvSpPr>
      </xdr:nvSpPr>
      <xdr:spPr bwMode="auto">
        <a:xfrm>
          <a:off x="0" y="771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320</xdr:row>
      <xdr:rowOff>0</xdr:rowOff>
    </xdr:from>
    <xdr:ext cx="27765" cy="424860"/>
    <xdr:sp macro="" textlink="">
      <xdr:nvSpPr>
        <xdr:cNvPr id="167" name="Text Box 1025"/>
        <xdr:cNvSpPr txBox="1">
          <a:spLocks noChangeArrowheads="1"/>
        </xdr:cNvSpPr>
      </xdr:nvSpPr>
      <xdr:spPr bwMode="auto">
        <a:xfrm>
          <a:off x="0" y="771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335</xdr:row>
      <xdr:rowOff>0</xdr:rowOff>
    </xdr:from>
    <xdr:ext cx="27765" cy="424860"/>
    <xdr:sp macro="" textlink="">
      <xdr:nvSpPr>
        <xdr:cNvPr id="168" name="Text Box 1025"/>
        <xdr:cNvSpPr txBox="1">
          <a:spLocks noChangeArrowheads="1"/>
        </xdr:cNvSpPr>
      </xdr:nvSpPr>
      <xdr:spPr bwMode="auto">
        <a:xfrm>
          <a:off x="0"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335</xdr:row>
      <xdr:rowOff>0</xdr:rowOff>
    </xdr:from>
    <xdr:ext cx="27765" cy="424860"/>
    <xdr:sp macro="" textlink="">
      <xdr:nvSpPr>
        <xdr:cNvPr id="169" name="Text Box 1025"/>
        <xdr:cNvSpPr txBox="1">
          <a:spLocks noChangeArrowheads="1"/>
        </xdr:cNvSpPr>
      </xdr:nvSpPr>
      <xdr:spPr bwMode="auto">
        <a:xfrm>
          <a:off x="0"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335</xdr:row>
      <xdr:rowOff>0</xdr:rowOff>
    </xdr:from>
    <xdr:ext cx="27765" cy="424860"/>
    <xdr:sp macro="" textlink="">
      <xdr:nvSpPr>
        <xdr:cNvPr id="170" name="Text Box 1025"/>
        <xdr:cNvSpPr txBox="1">
          <a:spLocks noChangeArrowheads="1"/>
        </xdr:cNvSpPr>
      </xdr:nvSpPr>
      <xdr:spPr bwMode="auto">
        <a:xfrm>
          <a:off x="0"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335</xdr:row>
      <xdr:rowOff>0</xdr:rowOff>
    </xdr:from>
    <xdr:ext cx="27765" cy="424860"/>
    <xdr:sp macro="" textlink="">
      <xdr:nvSpPr>
        <xdr:cNvPr id="171" name="Text Box 1025"/>
        <xdr:cNvSpPr txBox="1">
          <a:spLocks noChangeArrowheads="1"/>
        </xdr:cNvSpPr>
      </xdr:nvSpPr>
      <xdr:spPr bwMode="auto">
        <a:xfrm>
          <a:off x="12277725"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335</xdr:row>
      <xdr:rowOff>0</xdr:rowOff>
    </xdr:from>
    <xdr:ext cx="27765" cy="424860"/>
    <xdr:sp macro="" textlink="">
      <xdr:nvSpPr>
        <xdr:cNvPr id="172" name="Text Box 1025"/>
        <xdr:cNvSpPr txBox="1">
          <a:spLocks noChangeArrowheads="1"/>
        </xdr:cNvSpPr>
      </xdr:nvSpPr>
      <xdr:spPr bwMode="auto">
        <a:xfrm>
          <a:off x="12277725"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335</xdr:row>
      <xdr:rowOff>0</xdr:rowOff>
    </xdr:from>
    <xdr:ext cx="27765" cy="424860"/>
    <xdr:sp macro="" textlink="">
      <xdr:nvSpPr>
        <xdr:cNvPr id="173" name="Text Box 1025"/>
        <xdr:cNvSpPr txBox="1">
          <a:spLocks noChangeArrowheads="1"/>
        </xdr:cNvSpPr>
      </xdr:nvSpPr>
      <xdr:spPr bwMode="auto">
        <a:xfrm>
          <a:off x="12277725" y="807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340</xdr:row>
      <xdr:rowOff>0</xdr:rowOff>
    </xdr:from>
    <xdr:ext cx="27765" cy="424860"/>
    <xdr:sp macro="" textlink="">
      <xdr:nvSpPr>
        <xdr:cNvPr id="174" name="Text Box 1025"/>
        <xdr:cNvSpPr txBox="1">
          <a:spLocks noChangeArrowheads="1"/>
        </xdr:cNvSpPr>
      </xdr:nvSpPr>
      <xdr:spPr bwMode="auto">
        <a:xfrm>
          <a:off x="0" y="819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340</xdr:row>
      <xdr:rowOff>0</xdr:rowOff>
    </xdr:from>
    <xdr:ext cx="27765" cy="424860"/>
    <xdr:sp macro="" textlink="">
      <xdr:nvSpPr>
        <xdr:cNvPr id="175" name="Text Box 1025"/>
        <xdr:cNvSpPr txBox="1">
          <a:spLocks noChangeArrowheads="1"/>
        </xdr:cNvSpPr>
      </xdr:nvSpPr>
      <xdr:spPr bwMode="auto">
        <a:xfrm>
          <a:off x="0" y="819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340</xdr:row>
      <xdr:rowOff>0</xdr:rowOff>
    </xdr:from>
    <xdr:ext cx="27765" cy="424860"/>
    <xdr:sp macro="" textlink="">
      <xdr:nvSpPr>
        <xdr:cNvPr id="176" name="Text Box 1025"/>
        <xdr:cNvSpPr txBox="1">
          <a:spLocks noChangeArrowheads="1"/>
        </xdr:cNvSpPr>
      </xdr:nvSpPr>
      <xdr:spPr bwMode="auto">
        <a:xfrm>
          <a:off x="0" y="819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355</xdr:row>
      <xdr:rowOff>0</xdr:rowOff>
    </xdr:from>
    <xdr:ext cx="27765" cy="424860"/>
    <xdr:sp macro="" textlink="">
      <xdr:nvSpPr>
        <xdr:cNvPr id="177" name="Text Box 1025"/>
        <xdr:cNvSpPr txBox="1">
          <a:spLocks noChangeArrowheads="1"/>
        </xdr:cNvSpPr>
      </xdr:nvSpPr>
      <xdr:spPr bwMode="auto">
        <a:xfrm>
          <a:off x="0"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355</xdr:row>
      <xdr:rowOff>0</xdr:rowOff>
    </xdr:from>
    <xdr:ext cx="27765" cy="424860"/>
    <xdr:sp macro="" textlink="">
      <xdr:nvSpPr>
        <xdr:cNvPr id="178" name="Text Box 1025"/>
        <xdr:cNvSpPr txBox="1">
          <a:spLocks noChangeArrowheads="1"/>
        </xdr:cNvSpPr>
      </xdr:nvSpPr>
      <xdr:spPr bwMode="auto">
        <a:xfrm>
          <a:off x="0"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355</xdr:row>
      <xdr:rowOff>0</xdr:rowOff>
    </xdr:from>
    <xdr:ext cx="27765" cy="424860"/>
    <xdr:sp macro="" textlink="">
      <xdr:nvSpPr>
        <xdr:cNvPr id="179" name="Text Box 1025"/>
        <xdr:cNvSpPr txBox="1">
          <a:spLocks noChangeArrowheads="1"/>
        </xdr:cNvSpPr>
      </xdr:nvSpPr>
      <xdr:spPr bwMode="auto">
        <a:xfrm>
          <a:off x="0"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355</xdr:row>
      <xdr:rowOff>0</xdr:rowOff>
    </xdr:from>
    <xdr:ext cx="27765" cy="424860"/>
    <xdr:sp macro="" textlink="">
      <xdr:nvSpPr>
        <xdr:cNvPr id="180" name="Text Box 1025"/>
        <xdr:cNvSpPr txBox="1">
          <a:spLocks noChangeArrowheads="1"/>
        </xdr:cNvSpPr>
      </xdr:nvSpPr>
      <xdr:spPr bwMode="auto">
        <a:xfrm>
          <a:off x="12277725"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355</xdr:row>
      <xdr:rowOff>0</xdr:rowOff>
    </xdr:from>
    <xdr:ext cx="27765" cy="424860"/>
    <xdr:sp macro="" textlink="">
      <xdr:nvSpPr>
        <xdr:cNvPr id="181" name="Text Box 1025"/>
        <xdr:cNvSpPr txBox="1">
          <a:spLocks noChangeArrowheads="1"/>
        </xdr:cNvSpPr>
      </xdr:nvSpPr>
      <xdr:spPr bwMode="auto">
        <a:xfrm>
          <a:off x="12277725"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355</xdr:row>
      <xdr:rowOff>0</xdr:rowOff>
    </xdr:from>
    <xdr:ext cx="27765" cy="424860"/>
    <xdr:sp macro="" textlink="">
      <xdr:nvSpPr>
        <xdr:cNvPr id="182" name="Text Box 1025"/>
        <xdr:cNvSpPr txBox="1">
          <a:spLocks noChangeArrowheads="1"/>
        </xdr:cNvSpPr>
      </xdr:nvSpPr>
      <xdr:spPr bwMode="auto">
        <a:xfrm>
          <a:off x="12277725" y="855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360</xdr:row>
      <xdr:rowOff>0</xdr:rowOff>
    </xdr:from>
    <xdr:ext cx="27765" cy="424860"/>
    <xdr:sp macro="" textlink="">
      <xdr:nvSpPr>
        <xdr:cNvPr id="192" name="Text Box 1025"/>
        <xdr:cNvSpPr txBox="1">
          <a:spLocks noChangeArrowheads="1"/>
        </xdr:cNvSpPr>
      </xdr:nvSpPr>
      <xdr:spPr bwMode="auto">
        <a:xfrm>
          <a:off x="0" y="867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360</xdr:row>
      <xdr:rowOff>0</xdr:rowOff>
    </xdr:from>
    <xdr:ext cx="27765" cy="424860"/>
    <xdr:sp macro="" textlink="">
      <xdr:nvSpPr>
        <xdr:cNvPr id="193" name="Text Box 1025"/>
        <xdr:cNvSpPr txBox="1">
          <a:spLocks noChangeArrowheads="1"/>
        </xdr:cNvSpPr>
      </xdr:nvSpPr>
      <xdr:spPr bwMode="auto">
        <a:xfrm>
          <a:off x="0" y="867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360</xdr:row>
      <xdr:rowOff>0</xdr:rowOff>
    </xdr:from>
    <xdr:ext cx="27765" cy="424860"/>
    <xdr:sp macro="" textlink="">
      <xdr:nvSpPr>
        <xdr:cNvPr id="194" name="Text Box 1025"/>
        <xdr:cNvSpPr txBox="1">
          <a:spLocks noChangeArrowheads="1"/>
        </xdr:cNvSpPr>
      </xdr:nvSpPr>
      <xdr:spPr bwMode="auto">
        <a:xfrm>
          <a:off x="0" y="867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375</xdr:row>
      <xdr:rowOff>0</xdr:rowOff>
    </xdr:from>
    <xdr:ext cx="27765" cy="424860"/>
    <xdr:sp macro="" textlink="">
      <xdr:nvSpPr>
        <xdr:cNvPr id="195" name="Text Box 1025"/>
        <xdr:cNvSpPr txBox="1">
          <a:spLocks noChangeArrowheads="1"/>
        </xdr:cNvSpPr>
      </xdr:nvSpPr>
      <xdr:spPr bwMode="auto">
        <a:xfrm>
          <a:off x="0"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375</xdr:row>
      <xdr:rowOff>0</xdr:rowOff>
    </xdr:from>
    <xdr:ext cx="27765" cy="424860"/>
    <xdr:sp macro="" textlink="">
      <xdr:nvSpPr>
        <xdr:cNvPr id="196" name="Text Box 1025"/>
        <xdr:cNvSpPr txBox="1">
          <a:spLocks noChangeArrowheads="1"/>
        </xdr:cNvSpPr>
      </xdr:nvSpPr>
      <xdr:spPr bwMode="auto">
        <a:xfrm>
          <a:off x="0"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375</xdr:row>
      <xdr:rowOff>0</xdr:rowOff>
    </xdr:from>
    <xdr:ext cx="27765" cy="424860"/>
    <xdr:sp macro="" textlink="">
      <xdr:nvSpPr>
        <xdr:cNvPr id="197" name="Text Box 1025"/>
        <xdr:cNvSpPr txBox="1">
          <a:spLocks noChangeArrowheads="1"/>
        </xdr:cNvSpPr>
      </xdr:nvSpPr>
      <xdr:spPr bwMode="auto">
        <a:xfrm>
          <a:off x="0"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375</xdr:row>
      <xdr:rowOff>0</xdr:rowOff>
    </xdr:from>
    <xdr:ext cx="27765" cy="424860"/>
    <xdr:sp macro="" textlink="">
      <xdr:nvSpPr>
        <xdr:cNvPr id="198" name="Text Box 1025"/>
        <xdr:cNvSpPr txBox="1">
          <a:spLocks noChangeArrowheads="1"/>
        </xdr:cNvSpPr>
      </xdr:nvSpPr>
      <xdr:spPr bwMode="auto">
        <a:xfrm>
          <a:off x="12277725"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375</xdr:row>
      <xdr:rowOff>0</xdr:rowOff>
    </xdr:from>
    <xdr:ext cx="27765" cy="424860"/>
    <xdr:sp macro="" textlink="">
      <xdr:nvSpPr>
        <xdr:cNvPr id="199" name="Text Box 1025"/>
        <xdr:cNvSpPr txBox="1">
          <a:spLocks noChangeArrowheads="1"/>
        </xdr:cNvSpPr>
      </xdr:nvSpPr>
      <xdr:spPr bwMode="auto">
        <a:xfrm>
          <a:off x="12277725"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375</xdr:row>
      <xdr:rowOff>0</xdr:rowOff>
    </xdr:from>
    <xdr:ext cx="27765" cy="424860"/>
    <xdr:sp macro="" textlink="">
      <xdr:nvSpPr>
        <xdr:cNvPr id="200" name="Text Box 1025"/>
        <xdr:cNvSpPr txBox="1">
          <a:spLocks noChangeArrowheads="1"/>
        </xdr:cNvSpPr>
      </xdr:nvSpPr>
      <xdr:spPr bwMode="auto">
        <a:xfrm>
          <a:off x="12277725" y="902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380</xdr:row>
      <xdr:rowOff>0</xdr:rowOff>
    </xdr:from>
    <xdr:ext cx="27765" cy="424860"/>
    <xdr:sp macro="" textlink="">
      <xdr:nvSpPr>
        <xdr:cNvPr id="164" name="Text Box 1025"/>
        <xdr:cNvSpPr txBox="1">
          <a:spLocks noChangeArrowheads="1"/>
        </xdr:cNvSpPr>
      </xdr:nvSpPr>
      <xdr:spPr bwMode="auto">
        <a:xfrm>
          <a:off x="0" y="914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380</xdr:row>
      <xdr:rowOff>0</xdr:rowOff>
    </xdr:from>
    <xdr:ext cx="27765" cy="424860"/>
    <xdr:sp macro="" textlink="">
      <xdr:nvSpPr>
        <xdr:cNvPr id="183" name="Text Box 1025"/>
        <xdr:cNvSpPr txBox="1">
          <a:spLocks noChangeArrowheads="1"/>
        </xdr:cNvSpPr>
      </xdr:nvSpPr>
      <xdr:spPr bwMode="auto">
        <a:xfrm>
          <a:off x="0" y="914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380</xdr:row>
      <xdr:rowOff>0</xdr:rowOff>
    </xdr:from>
    <xdr:ext cx="27765" cy="424860"/>
    <xdr:sp macro="" textlink="">
      <xdr:nvSpPr>
        <xdr:cNvPr id="184" name="Text Box 1025"/>
        <xdr:cNvSpPr txBox="1">
          <a:spLocks noChangeArrowheads="1"/>
        </xdr:cNvSpPr>
      </xdr:nvSpPr>
      <xdr:spPr bwMode="auto">
        <a:xfrm>
          <a:off x="0" y="914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395</xdr:row>
      <xdr:rowOff>0</xdr:rowOff>
    </xdr:from>
    <xdr:ext cx="27765" cy="424860"/>
    <xdr:sp macro="" textlink="">
      <xdr:nvSpPr>
        <xdr:cNvPr id="185" name="Text Box 1025"/>
        <xdr:cNvSpPr txBox="1">
          <a:spLocks noChangeArrowheads="1"/>
        </xdr:cNvSpPr>
      </xdr:nvSpPr>
      <xdr:spPr bwMode="auto">
        <a:xfrm>
          <a:off x="0"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395</xdr:row>
      <xdr:rowOff>0</xdr:rowOff>
    </xdr:from>
    <xdr:ext cx="27765" cy="424860"/>
    <xdr:sp macro="" textlink="">
      <xdr:nvSpPr>
        <xdr:cNvPr id="186" name="Text Box 1025"/>
        <xdr:cNvSpPr txBox="1">
          <a:spLocks noChangeArrowheads="1"/>
        </xdr:cNvSpPr>
      </xdr:nvSpPr>
      <xdr:spPr bwMode="auto">
        <a:xfrm>
          <a:off x="0"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395</xdr:row>
      <xdr:rowOff>0</xdr:rowOff>
    </xdr:from>
    <xdr:ext cx="27765" cy="424860"/>
    <xdr:sp macro="" textlink="">
      <xdr:nvSpPr>
        <xdr:cNvPr id="187" name="Text Box 1025"/>
        <xdr:cNvSpPr txBox="1">
          <a:spLocks noChangeArrowheads="1"/>
        </xdr:cNvSpPr>
      </xdr:nvSpPr>
      <xdr:spPr bwMode="auto">
        <a:xfrm>
          <a:off x="0"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395</xdr:row>
      <xdr:rowOff>0</xdr:rowOff>
    </xdr:from>
    <xdr:ext cx="27765" cy="424860"/>
    <xdr:sp macro="" textlink="">
      <xdr:nvSpPr>
        <xdr:cNvPr id="188" name="Text Box 1025"/>
        <xdr:cNvSpPr txBox="1">
          <a:spLocks noChangeArrowheads="1"/>
        </xdr:cNvSpPr>
      </xdr:nvSpPr>
      <xdr:spPr bwMode="auto">
        <a:xfrm>
          <a:off x="12277725"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395</xdr:row>
      <xdr:rowOff>0</xdr:rowOff>
    </xdr:from>
    <xdr:ext cx="27765" cy="424860"/>
    <xdr:sp macro="" textlink="">
      <xdr:nvSpPr>
        <xdr:cNvPr id="189" name="Text Box 1025"/>
        <xdr:cNvSpPr txBox="1">
          <a:spLocks noChangeArrowheads="1"/>
        </xdr:cNvSpPr>
      </xdr:nvSpPr>
      <xdr:spPr bwMode="auto">
        <a:xfrm>
          <a:off x="12277725"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395</xdr:row>
      <xdr:rowOff>0</xdr:rowOff>
    </xdr:from>
    <xdr:ext cx="27765" cy="424860"/>
    <xdr:sp macro="" textlink="">
      <xdr:nvSpPr>
        <xdr:cNvPr id="190" name="Text Box 1025"/>
        <xdr:cNvSpPr txBox="1">
          <a:spLocks noChangeArrowheads="1"/>
        </xdr:cNvSpPr>
      </xdr:nvSpPr>
      <xdr:spPr bwMode="auto">
        <a:xfrm>
          <a:off x="12277725" y="950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400</xdr:row>
      <xdr:rowOff>0</xdr:rowOff>
    </xdr:from>
    <xdr:ext cx="27765" cy="424860"/>
    <xdr:sp macro="" textlink="">
      <xdr:nvSpPr>
        <xdr:cNvPr id="191" name="Text Box 1025"/>
        <xdr:cNvSpPr txBox="1">
          <a:spLocks noChangeArrowheads="1"/>
        </xdr:cNvSpPr>
      </xdr:nvSpPr>
      <xdr:spPr bwMode="auto">
        <a:xfrm>
          <a:off x="0" y="962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400</xdr:row>
      <xdr:rowOff>0</xdr:rowOff>
    </xdr:from>
    <xdr:ext cx="27765" cy="424860"/>
    <xdr:sp macro="" textlink="">
      <xdr:nvSpPr>
        <xdr:cNvPr id="201" name="Text Box 1025"/>
        <xdr:cNvSpPr txBox="1">
          <a:spLocks noChangeArrowheads="1"/>
        </xdr:cNvSpPr>
      </xdr:nvSpPr>
      <xdr:spPr bwMode="auto">
        <a:xfrm>
          <a:off x="0" y="962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400</xdr:row>
      <xdr:rowOff>0</xdr:rowOff>
    </xdr:from>
    <xdr:ext cx="27765" cy="424860"/>
    <xdr:sp macro="" textlink="">
      <xdr:nvSpPr>
        <xdr:cNvPr id="202" name="Text Box 1025"/>
        <xdr:cNvSpPr txBox="1">
          <a:spLocks noChangeArrowheads="1"/>
        </xdr:cNvSpPr>
      </xdr:nvSpPr>
      <xdr:spPr bwMode="auto">
        <a:xfrm>
          <a:off x="0" y="962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415</xdr:row>
      <xdr:rowOff>0</xdr:rowOff>
    </xdr:from>
    <xdr:ext cx="27765" cy="424860"/>
    <xdr:sp macro="" textlink="">
      <xdr:nvSpPr>
        <xdr:cNvPr id="203" name="Text Box 1025"/>
        <xdr:cNvSpPr txBox="1">
          <a:spLocks noChangeArrowheads="1"/>
        </xdr:cNvSpPr>
      </xdr:nvSpPr>
      <xdr:spPr bwMode="auto">
        <a:xfrm>
          <a:off x="0"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415</xdr:row>
      <xdr:rowOff>0</xdr:rowOff>
    </xdr:from>
    <xdr:ext cx="27765" cy="424860"/>
    <xdr:sp macro="" textlink="">
      <xdr:nvSpPr>
        <xdr:cNvPr id="204" name="Text Box 1025"/>
        <xdr:cNvSpPr txBox="1">
          <a:spLocks noChangeArrowheads="1"/>
        </xdr:cNvSpPr>
      </xdr:nvSpPr>
      <xdr:spPr bwMode="auto">
        <a:xfrm>
          <a:off x="0"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415</xdr:row>
      <xdr:rowOff>0</xdr:rowOff>
    </xdr:from>
    <xdr:ext cx="27765" cy="424860"/>
    <xdr:sp macro="" textlink="">
      <xdr:nvSpPr>
        <xdr:cNvPr id="205" name="Text Box 1025"/>
        <xdr:cNvSpPr txBox="1">
          <a:spLocks noChangeArrowheads="1"/>
        </xdr:cNvSpPr>
      </xdr:nvSpPr>
      <xdr:spPr bwMode="auto">
        <a:xfrm>
          <a:off x="0"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415</xdr:row>
      <xdr:rowOff>0</xdr:rowOff>
    </xdr:from>
    <xdr:ext cx="27765" cy="424860"/>
    <xdr:sp macro="" textlink="">
      <xdr:nvSpPr>
        <xdr:cNvPr id="206" name="Text Box 1025"/>
        <xdr:cNvSpPr txBox="1">
          <a:spLocks noChangeArrowheads="1"/>
        </xdr:cNvSpPr>
      </xdr:nvSpPr>
      <xdr:spPr bwMode="auto">
        <a:xfrm>
          <a:off x="12277725"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415</xdr:row>
      <xdr:rowOff>0</xdr:rowOff>
    </xdr:from>
    <xdr:ext cx="27765" cy="424860"/>
    <xdr:sp macro="" textlink="">
      <xdr:nvSpPr>
        <xdr:cNvPr id="207" name="Text Box 1025"/>
        <xdr:cNvSpPr txBox="1">
          <a:spLocks noChangeArrowheads="1"/>
        </xdr:cNvSpPr>
      </xdr:nvSpPr>
      <xdr:spPr bwMode="auto">
        <a:xfrm>
          <a:off x="12277725"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415</xdr:row>
      <xdr:rowOff>0</xdr:rowOff>
    </xdr:from>
    <xdr:ext cx="27765" cy="424860"/>
    <xdr:sp macro="" textlink="">
      <xdr:nvSpPr>
        <xdr:cNvPr id="208" name="Text Box 1025"/>
        <xdr:cNvSpPr txBox="1">
          <a:spLocks noChangeArrowheads="1"/>
        </xdr:cNvSpPr>
      </xdr:nvSpPr>
      <xdr:spPr bwMode="auto">
        <a:xfrm>
          <a:off x="12277725" y="998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420</xdr:row>
      <xdr:rowOff>0</xdr:rowOff>
    </xdr:from>
    <xdr:ext cx="27765" cy="424860"/>
    <xdr:sp macro="" textlink="">
      <xdr:nvSpPr>
        <xdr:cNvPr id="218" name="Text Box 1025"/>
        <xdr:cNvSpPr txBox="1">
          <a:spLocks noChangeArrowheads="1"/>
        </xdr:cNvSpPr>
      </xdr:nvSpPr>
      <xdr:spPr bwMode="auto">
        <a:xfrm>
          <a:off x="0" y="1009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420</xdr:row>
      <xdr:rowOff>0</xdr:rowOff>
    </xdr:from>
    <xdr:ext cx="27765" cy="424860"/>
    <xdr:sp macro="" textlink="">
      <xdr:nvSpPr>
        <xdr:cNvPr id="219" name="Text Box 1025"/>
        <xdr:cNvSpPr txBox="1">
          <a:spLocks noChangeArrowheads="1"/>
        </xdr:cNvSpPr>
      </xdr:nvSpPr>
      <xdr:spPr bwMode="auto">
        <a:xfrm>
          <a:off x="0" y="1009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420</xdr:row>
      <xdr:rowOff>0</xdr:rowOff>
    </xdr:from>
    <xdr:ext cx="27765" cy="424860"/>
    <xdr:sp macro="" textlink="">
      <xdr:nvSpPr>
        <xdr:cNvPr id="220" name="Text Box 1025"/>
        <xdr:cNvSpPr txBox="1">
          <a:spLocks noChangeArrowheads="1"/>
        </xdr:cNvSpPr>
      </xdr:nvSpPr>
      <xdr:spPr bwMode="auto">
        <a:xfrm>
          <a:off x="0" y="1009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435</xdr:row>
      <xdr:rowOff>0</xdr:rowOff>
    </xdr:from>
    <xdr:ext cx="27765" cy="424860"/>
    <xdr:sp macro="" textlink="">
      <xdr:nvSpPr>
        <xdr:cNvPr id="221" name="Text Box 1025"/>
        <xdr:cNvSpPr txBox="1">
          <a:spLocks noChangeArrowheads="1"/>
        </xdr:cNvSpPr>
      </xdr:nvSpPr>
      <xdr:spPr bwMode="auto">
        <a:xfrm>
          <a:off x="0"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435</xdr:row>
      <xdr:rowOff>0</xdr:rowOff>
    </xdr:from>
    <xdr:ext cx="27765" cy="424860"/>
    <xdr:sp macro="" textlink="">
      <xdr:nvSpPr>
        <xdr:cNvPr id="222" name="Text Box 1025"/>
        <xdr:cNvSpPr txBox="1">
          <a:spLocks noChangeArrowheads="1"/>
        </xdr:cNvSpPr>
      </xdr:nvSpPr>
      <xdr:spPr bwMode="auto">
        <a:xfrm>
          <a:off x="0"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435</xdr:row>
      <xdr:rowOff>0</xdr:rowOff>
    </xdr:from>
    <xdr:ext cx="27765" cy="424860"/>
    <xdr:sp macro="" textlink="">
      <xdr:nvSpPr>
        <xdr:cNvPr id="223" name="Text Box 1025"/>
        <xdr:cNvSpPr txBox="1">
          <a:spLocks noChangeArrowheads="1"/>
        </xdr:cNvSpPr>
      </xdr:nvSpPr>
      <xdr:spPr bwMode="auto">
        <a:xfrm>
          <a:off x="0"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435</xdr:row>
      <xdr:rowOff>0</xdr:rowOff>
    </xdr:from>
    <xdr:ext cx="27765" cy="424860"/>
    <xdr:sp macro="" textlink="">
      <xdr:nvSpPr>
        <xdr:cNvPr id="224" name="Text Box 1025"/>
        <xdr:cNvSpPr txBox="1">
          <a:spLocks noChangeArrowheads="1"/>
        </xdr:cNvSpPr>
      </xdr:nvSpPr>
      <xdr:spPr bwMode="auto">
        <a:xfrm>
          <a:off x="12277725"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435</xdr:row>
      <xdr:rowOff>0</xdr:rowOff>
    </xdr:from>
    <xdr:ext cx="27765" cy="424860"/>
    <xdr:sp macro="" textlink="">
      <xdr:nvSpPr>
        <xdr:cNvPr id="225" name="Text Box 1025"/>
        <xdr:cNvSpPr txBox="1">
          <a:spLocks noChangeArrowheads="1"/>
        </xdr:cNvSpPr>
      </xdr:nvSpPr>
      <xdr:spPr bwMode="auto">
        <a:xfrm>
          <a:off x="12277725"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435</xdr:row>
      <xdr:rowOff>0</xdr:rowOff>
    </xdr:from>
    <xdr:ext cx="27765" cy="424860"/>
    <xdr:sp macro="" textlink="">
      <xdr:nvSpPr>
        <xdr:cNvPr id="226" name="Text Box 1025"/>
        <xdr:cNvSpPr txBox="1">
          <a:spLocks noChangeArrowheads="1"/>
        </xdr:cNvSpPr>
      </xdr:nvSpPr>
      <xdr:spPr bwMode="auto">
        <a:xfrm>
          <a:off x="12277725" y="1045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440</xdr:row>
      <xdr:rowOff>0</xdr:rowOff>
    </xdr:from>
    <xdr:ext cx="27765" cy="424860"/>
    <xdr:sp macro="" textlink="">
      <xdr:nvSpPr>
        <xdr:cNvPr id="227" name="Text Box 1025"/>
        <xdr:cNvSpPr txBox="1">
          <a:spLocks noChangeArrowheads="1"/>
        </xdr:cNvSpPr>
      </xdr:nvSpPr>
      <xdr:spPr bwMode="auto">
        <a:xfrm>
          <a:off x="0" y="1057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440</xdr:row>
      <xdr:rowOff>0</xdr:rowOff>
    </xdr:from>
    <xdr:ext cx="27765" cy="424860"/>
    <xdr:sp macro="" textlink="">
      <xdr:nvSpPr>
        <xdr:cNvPr id="228" name="Text Box 1025"/>
        <xdr:cNvSpPr txBox="1">
          <a:spLocks noChangeArrowheads="1"/>
        </xdr:cNvSpPr>
      </xdr:nvSpPr>
      <xdr:spPr bwMode="auto">
        <a:xfrm>
          <a:off x="0" y="1057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440</xdr:row>
      <xdr:rowOff>0</xdr:rowOff>
    </xdr:from>
    <xdr:ext cx="27765" cy="424860"/>
    <xdr:sp macro="" textlink="">
      <xdr:nvSpPr>
        <xdr:cNvPr id="229" name="Text Box 1025"/>
        <xdr:cNvSpPr txBox="1">
          <a:spLocks noChangeArrowheads="1"/>
        </xdr:cNvSpPr>
      </xdr:nvSpPr>
      <xdr:spPr bwMode="auto">
        <a:xfrm>
          <a:off x="0" y="1057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455</xdr:row>
      <xdr:rowOff>0</xdr:rowOff>
    </xdr:from>
    <xdr:ext cx="27765" cy="424860"/>
    <xdr:sp macro="" textlink="">
      <xdr:nvSpPr>
        <xdr:cNvPr id="230" name="Text Box 1025"/>
        <xdr:cNvSpPr txBox="1">
          <a:spLocks noChangeArrowheads="1"/>
        </xdr:cNvSpPr>
      </xdr:nvSpPr>
      <xdr:spPr bwMode="auto">
        <a:xfrm>
          <a:off x="0"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455</xdr:row>
      <xdr:rowOff>0</xdr:rowOff>
    </xdr:from>
    <xdr:ext cx="27765" cy="424860"/>
    <xdr:sp macro="" textlink="">
      <xdr:nvSpPr>
        <xdr:cNvPr id="231" name="Text Box 1025"/>
        <xdr:cNvSpPr txBox="1">
          <a:spLocks noChangeArrowheads="1"/>
        </xdr:cNvSpPr>
      </xdr:nvSpPr>
      <xdr:spPr bwMode="auto">
        <a:xfrm>
          <a:off x="0"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455</xdr:row>
      <xdr:rowOff>0</xdr:rowOff>
    </xdr:from>
    <xdr:ext cx="27765" cy="424860"/>
    <xdr:sp macro="" textlink="">
      <xdr:nvSpPr>
        <xdr:cNvPr id="232" name="Text Box 1025"/>
        <xdr:cNvSpPr txBox="1">
          <a:spLocks noChangeArrowheads="1"/>
        </xdr:cNvSpPr>
      </xdr:nvSpPr>
      <xdr:spPr bwMode="auto">
        <a:xfrm>
          <a:off x="0"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455</xdr:row>
      <xdr:rowOff>0</xdr:rowOff>
    </xdr:from>
    <xdr:ext cx="27765" cy="424860"/>
    <xdr:sp macro="" textlink="">
      <xdr:nvSpPr>
        <xdr:cNvPr id="233" name="Text Box 1025"/>
        <xdr:cNvSpPr txBox="1">
          <a:spLocks noChangeArrowheads="1"/>
        </xdr:cNvSpPr>
      </xdr:nvSpPr>
      <xdr:spPr bwMode="auto">
        <a:xfrm>
          <a:off x="12277725"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455</xdr:row>
      <xdr:rowOff>0</xdr:rowOff>
    </xdr:from>
    <xdr:ext cx="27765" cy="424860"/>
    <xdr:sp macro="" textlink="">
      <xdr:nvSpPr>
        <xdr:cNvPr id="234" name="Text Box 1025"/>
        <xdr:cNvSpPr txBox="1">
          <a:spLocks noChangeArrowheads="1"/>
        </xdr:cNvSpPr>
      </xdr:nvSpPr>
      <xdr:spPr bwMode="auto">
        <a:xfrm>
          <a:off x="12277725"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455</xdr:row>
      <xdr:rowOff>0</xdr:rowOff>
    </xdr:from>
    <xdr:ext cx="27765" cy="424860"/>
    <xdr:sp macro="" textlink="">
      <xdr:nvSpPr>
        <xdr:cNvPr id="235" name="Text Box 1025"/>
        <xdr:cNvSpPr txBox="1">
          <a:spLocks noChangeArrowheads="1"/>
        </xdr:cNvSpPr>
      </xdr:nvSpPr>
      <xdr:spPr bwMode="auto">
        <a:xfrm>
          <a:off x="12277725" y="1093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460</xdr:row>
      <xdr:rowOff>0</xdr:rowOff>
    </xdr:from>
    <xdr:ext cx="27765" cy="424860"/>
    <xdr:sp macro="" textlink="">
      <xdr:nvSpPr>
        <xdr:cNvPr id="209" name="Text Box 1025"/>
        <xdr:cNvSpPr txBox="1">
          <a:spLocks noChangeArrowheads="1"/>
        </xdr:cNvSpPr>
      </xdr:nvSpPr>
      <xdr:spPr bwMode="auto">
        <a:xfrm>
          <a:off x="0" y="1105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460</xdr:row>
      <xdr:rowOff>0</xdr:rowOff>
    </xdr:from>
    <xdr:ext cx="27765" cy="424860"/>
    <xdr:sp macro="" textlink="">
      <xdr:nvSpPr>
        <xdr:cNvPr id="210" name="Text Box 1025"/>
        <xdr:cNvSpPr txBox="1">
          <a:spLocks noChangeArrowheads="1"/>
        </xdr:cNvSpPr>
      </xdr:nvSpPr>
      <xdr:spPr bwMode="auto">
        <a:xfrm>
          <a:off x="0" y="1105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460</xdr:row>
      <xdr:rowOff>0</xdr:rowOff>
    </xdr:from>
    <xdr:ext cx="27765" cy="424860"/>
    <xdr:sp macro="" textlink="">
      <xdr:nvSpPr>
        <xdr:cNvPr id="211" name="Text Box 1025"/>
        <xdr:cNvSpPr txBox="1">
          <a:spLocks noChangeArrowheads="1"/>
        </xdr:cNvSpPr>
      </xdr:nvSpPr>
      <xdr:spPr bwMode="auto">
        <a:xfrm>
          <a:off x="0" y="1105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475</xdr:row>
      <xdr:rowOff>0</xdr:rowOff>
    </xdr:from>
    <xdr:ext cx="27765" cy="424860"/>
    <xdr:sp macro="" textlink="">
      <xdr:nvSpPr>
        <xdr:cNvPr id="212" name="Text Box 1025"/>
        <xdr:cNvSpPr txBox="1">
          <a:spLocks noChangeArrowheads="1"/>
        </xdr:cNvSpPr>
      </xdr:nvSpPr>
      <xdr:spPr bwMode="auto">
        <a:xfrm>
          <a:off x="0"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475</xdr:row>
      <xdr:rowOff>0</xdr:rowOff>
    </xdr:from>
    <xdr:ext cx="27765" cy="424860"/>
    <xdr:sp macro="" textlink="">
      <xdr:nvSpPr>
        <xdr:cNvPr id="213" name="Text Box 1025"/>
        <xdr:cNvSpPr txBox="1">
          <a:spLocks noChangeArrowheads="1"/>
        </xdr:cNvSpPr>
      </xdr:nvSpPr>
      <xdr:spPr bwMode="auto">
        <a:xfrm>
          <a:off x="0"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475</xdr:row>
      <xdr:rowOff>0</xdr:rowOff>
    </xdr:from>
    <xdr:ext cx="27765" cy="424860"/>
    <xdr:sp macro="" textlink="">
      <xdr:nvSpPr>
        <xdr:cNvPr id="214" name="Text Box 1025"/>
        <xdr:cNvSpPr txBox="1">
          <a:spLocks noChangeArrowheads="1"/>
        </xdr:cNvSpPr>
      </xdr:nvSpPr>
      <xdr:spPr bwMode="auto">
        <a:xfrm>
          <a:off x="0"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475</xdr:row>
      <xdr:rowOff>0</xdr:rowOff>
    </xdr:from>
    <xdr:ext cx="27765" cy="424860"/>
    <xdr:sp macro="" textlink="">
      <xdr:nvSpPr>
        <xdr:cNvPr id="215" name="Text Box 1025"/>
        <xdr:cNvSpPr txBox="1">
          <a:spLocks noChangeArrowheads="1"/>
        </xdr:cNvSpPr>
      </xdr:nvSpPr>
      <xdr:spPr bwMode="auto">
        <a:xfrm>
          <a:off x="12277725"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475</xdr:row>
      <xdr:rowOff>0</xdr:rowOff>
    </xdr:from>
    <xdr:ext cx="27765" cy="424860"/>
    <xdr:sp macro="" textlink="">
      <xdr:nvSpPr>
        <xdr:cNvPr id="216" name="Text Box 1025"/>
        <xdr:cNvSpPr txBox="1">
          <a:spLocks noChangeArrowheads="1"/>
        </xdr:cNvSpPr>
      </xdr:nvSpPr>
      <xdr:spPr bwMode="auto">
        <a:xfrm>
          <a:off x="12277725"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475</xdr:row>
      <xdr:rowOff>0</xdr:rowOff>
    </xdr:from>
    <xdr:ext cx="27765" cy="424860"/>
    <xdr:sp macro="" textlink="">
      <xdr:nvSpPr>
        <xdr:cNvPr id="217" name="Text Box 1025"/>
        <xdr:cNvSpPr txBox="1">
          <a:spLocks noChangeArrowheads="1"/>
        </xdr:cNvSpPr>
      </xdr:nvSpPr>
      <xdr:spPr bwMode="auto">
        <a:xfrm>
          <a:off x="12277725" y="1140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480</xdr:row>
      <xdr:rowOff>0</xdr:rowOff>
    </xdr:from>
    <xdr:ext cx="27765" cy="424860"/>
    <xdr:sp macro="" textlink="">
      <xdr:nvSpPr>
        <xdr:cNvPr id="245" name="Text Box 1025"/>
        <xdr:cNvSpPr txBox="1">
          <a:spLocks noChangeArrowheads="1"/>
        </xdr:cNvSpPr>
      </xdr:nvSpPr>
      <xdr:spPr bwMode="auto">
        <a:xfrm>
          <a:off x="0" y="1152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480</xdr:row>
      <xdr:rowOff>0</xdr:rowOff>
    </xdr:from>
    <xdr:ext cx="27765" cy="424860"/>
    <xdr:sp macro="" textlink="">
      <xdr:nvSpPr>
        <xdr:cNvPr id="246" name="Text Box 1025"/>
        <xdr:cNvSpPr txBox="1">
          <a:spLocks noChangeArrowheads="1"/>
        </xdr:cNvSpPr>
      </xdr:nvSpPr>
      <xdr:spPr bwMode="auto">
        <a:xfrm>
          <a:off x="0" y="1152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480</xdr:row>
      <xdr:rowOff>0</xdr:rowOff>
    </xdr:from>
    <xdr:ext cx="27765" cy="424860"/>
    <xdr:sp macro="" textlink="">
      <xdr:nvSpPr>
        <xdr:cNvPr id="247" name="Text Box 1025"/>
        <xdr:cNvSpPr txBox="1">
          <a:spLocks noChangeArrowheads="1"/>
        </xdr:cNvSpPr>
      </xdr:nvSpPr>
      <xdr:spPr bwMode="auto">
        <a:xfrm>
          <a:off x="0" y="1152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495</xdr:row>
      <xdr:rowOff>0</xdr:rowOff>
    </xdr:from>
    <xdr:ext cx="27765" cy="424860"/>
    <xdr:sp macro="" textlink="">
      <xdr:nvSpPr>
        <xdr:cNvPr id="248" name="Text Box 1025"/>
        <xdr:cNvSpPr txBox="1">
          <a:spLocks noChangeArrowheads="1"/>
        </xdr:cNvSpPr>
      </xdr:nvSpPr>
      <xdr:spPr bwMode="auto">
        <a:xfrm>
          <a:off x="0"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495</xdr:row>
      <xdr:rowOff>0</xdr:rowOff>
    </xdr:from>
    <xdr:ext cx="27765" cy="424860"/>
    <xdr:sp macro="" textlink="">
      <xdr:nvSpPr>
        <xdr:cNvPr id="249" name="Text Box 1025"/>
        <xdr:cNvSpPr txBox="1">
          <a:spLocks noChangeArrowheads="1"/>
        </xdr:cNvSpPr>
      </xdr:nvSpPr>
      <xdr:spPr bwMode="auto">
        <a:xfrm>
          <a:off x="0"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495</xdr:row>
      <xdr:rowOff>0</xdr:rowOff>
    </xdr:from>
    <xdr:ext cx="27765" cy="424860"/>
    <xdr:sp macro="" textlink="">
      <xdr:nvSpPr>
        <xdr:cNvPr id="250" name="Text Box 1025"/>
        <xdr:cNvSpPr txBox="1">
          <a:spLocks noChangeArrowheads="1"/>
        </xdr:cNvSpPr>
      </xdr:nvSpPr>
      <xdr:spPr bwMode="auto">
        <a:xfrm>
          <a:off x="0"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495</xdr:row>
      <xdr:rowOff>0</xdr:rowOff>
    </xdr:from>
    <xdr:ext cx="27765" cy="424860"/>
    <xdr:sp macro="" textlink="">
      <xdr:nvSpPr>
        <xdr:cNvPr id="251" name="Text Box 1025"/>
        <xdr:cNvSpPr txBox="1">
          <a:spLocks noChangeArrowheads="1"/>
        </xdr:cNvSpPr>
      </xdr:nvSpPr>
      <xdr:spPr bwMode="auto">
        <a:xfrm>
          <a:off x="12277725"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495</xdr:row>
      <xdr:rowOff>0</xdr:rowOff>
    </xdr:from>
    <xdr:ext cx="27765" cy="424860"/>
    <xdr:sp macro="" textlink="">
      <xdr:nvSpPr>
        <xdr:cNvPr id="252" name="Text Box 1025"/>
        <xdr:cNvSpPr txBox="1">
          <a:spLocks noChangeArrowheads="1"/>
        </xdr:cNvSpPr>
      </xdr:nvSpPr>
      <xdr:spPr bwMode="auto">
        <a:xfrm>
          <a:off x="12277725"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495</xdr:row>
      <xdr:rowOff>0</xdr:rowOff>
    </xdr:from>
    <xdr:ext cx="27765" cy="424860"/>
    <xdr:sp macro="" textlink="">
      <xdr:nvSpPr>
        <xdr:cNvPr id="253" name="Text Box 1025"/>
        <xdr:cNvSpPr txBox="1">
          <a:spLocks noChangeArrowheads="1"/>
        </xdr:cNvSpPr>
      </xdr:nvSpPr>
      <xdr:spPr bwMode="auto">
        <a:xfrm>
          <a:off x="12277725" y="1188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500</xdr:row>
      <xdr:rowOff>0</xdr:rowOff>
    </xdr:from>
    <xdr:ext cx="27765" cy="424860"/>
    <xdr:sp macro="" textlink="">
      <xdr:nvSpPr>
        <xdr:cNvPr id="254" name="Text Box 1025"/>
        <xdr:cNvSpPr txBox="1">
          <a:spLocks noChangeArrowheads="1"/>
        </xdr:cNvSpPr>
      </xdr:nvSpPr>
      <xdr:spPr bwMode="auto">
        <a:xfrm>
          <a:off x="0" y="1200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500</xdr:row>
      <xdr:rowOff>0</xdr:rowOff>
    </xdr:from>
    <xdr:ext cx="27765" cy="424860"/>
    <xdr:sp macro="" textlink="">
      <xdr:nvSpPr>
        <xdr:cNvPr id="255" name="Text Box 1025"/>
        <xdr:cNvSpPr txBox="1">
          <a:spLocks noChangeArrowheads="1"/>
        </xdr:cNvSpPr>
      </xdr:nvSpPr>
      <xdr:spPr bwMode="auto">
        <a:xfrm>
          <a:off x="0" y="1200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500</xdr:row>
      <xdr:rowOff>0</xdr:rowOff>
    </xdr:from>
    <xdr:ext cx="27765" cy="424860"/>
    <xdr:sp macro="" textlink="">
      <xdr:nvSpPr>
        <xdr:cNvPr id="256" name="Text Box 1025"/>
        <xdr:cNvSpPr txBox="1">
          <a:spLocks noChangeArrowheads="1"/>
        </xdr:cNvSpPr>
      </xdr:nvSpPr>
      <xdr:spPr bwMode="auto">
        <a:xfrm>
          <a:off x="0" y="1200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515</xdr:row>
      <xdr:rowOff>0</xdr:rowOff>
    </xdr:from>
    <xdr:ext cx="27765" cy="424860"/>
    <xdr:sp macro="" textlink="">
      <xdr:nvSpPr>
        <xdr:cNvPr id="257" name="Text Box 1025"/>
        <xdr:cNvSpPr txBox="1">
          <a:spLocks noChangeArrowheads="1"/>
        </xdr:cNvSpPr>
      </xdr:nvSpPr>
      <xdr:spPr bwMode="auto">
        <a:xfrm>
          <a:off x="0"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515</xdr:row>
      <xdr:rowOff>0</xdr:rowOff>
    </xdr:from>
    <xdr:ext cx="27765" cy="424860"/>
    <xdr:sp macro="" textlink="">
      <xdr:nvSpPr>
        <xdr:cNvPr id="258" name="Text Box 1025"/>
        <xdr:cNvSpPr txBox="1">
          <a:spLocks noChangeArrowheads="1"/>
        </xdr:cNvSpPr>
      </xdr:nvSpPr>
      <xdr:spPr bwMode="auto">
        <a:xfrm>
          <a:off x="0"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515</xdr:row>
      <xdr:rowOff>0</xdr:rowOff>
    </xdr:from>
    <xdr:ext cx="27765" cy="424860"/>
    <xdr:sp macro="" textlink="">
      <xdr:nvSpPr>
        <xdr:cNvPr id="259" name="Text Box 1025"/>
        <xdr:cNvSpPr txBox="1">
          <a:spLocks noChangeArrowheads="1"/>
        </xdr:cNvSpPr>
      </xdr:nvSpPr>
      <xdr:spPr bwMode="auto">
        <a:xfrm>
          <a:off x="0"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515</xdr:row>
      <xdr:rowOff>0</xdr:rowOff>
    </xdr:from>
    <xdr:ext cx="27765" cy="424860"/>
    <xdr:sp macro="" textlink="">
      <xdr:nvSpPr>
        <xdr:cNvPr id="260" name="Text Box 1025"/>
        <xdr:cNvSpPr txBox="1">
          <a:spLocks noChangeArrowheads="1"/>
        </xdr:cNvSpPr>
      </xdr:nvSpPr>
      <xdr:spPr bwMode="auto">
        <a:xfrm>
          <a:off x="12277725"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515</xdr:row>
      <xdr:rowOff>0</xdr:rowOff>
    </xdr:from>
    <xdr:ext cx="27765" cy="424860"/>
    <xdr:sp macro="" textlink="">
      <xdr:nvSpPr>
        <xdr:cNvPr id="261" name="Text Box 1025"/>
        <xdr:cNvSpPr txBox="1">
          <a:spLocks noChangeArrowheads="1"/>
        </xdr:cNvSpPr>
      </xdr:nvSpPr>
      <xdr:spPr bwMode="auto">
        <a:xfrm>
          <a:off x="12277725"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515</xdr:row>
      <xdr:rowOff>0</xdr:rowOff>
    </xdr:from>
    <xdr:ext cx="27765" cy="424860"/>
    <xdr:sp macro="" textlink="">
      <xdr:nvSpPr>
        <xdr:cNvPr id="262" name="Text Box 1025"/>
        <xdr:cNvSpPr txBox="1">
          <a:spLocks noChangeArrowheads="1"/>
        </xdr:cNvSpPr>
      </xdr:nvSpPr>
      <xdr:spPr bwMode="auto">
        <a:xfrm>
          <a:off x="12277725" y="1236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520</xdr:row>
      <xdr:rowOff>0</xdr:rowOff>
    </xdr:from>
    <xdr:ext cx="27765" cy="424860"/>
    <xdr:sp macro="" textlink="">
      <xdr:nvSpPr>
        <xdr:cNvPr id="263" name="Text Box 1025"/>
        <xdr:cNvSpPr txBox="1">
          <a:spLocks noChangeArrowheads="1"/>
        </xdr:cNvSpPr>
      </xdr:nvSpPr>
      <xdr:spPr bwMode="auto">
        <a:xfrm>
          <a:off x="0" y="1248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520</xdr:row>
      <xdr:rowOff>0</xdr:rowOff>
    </xdr:from>
    <xdr:ext cx="27765" cy="424860"/>
    <xdr:sp macro="" textlink="">
      <xdr:nvSpPr>
        <xdr:cNvPr id="264" name="Text Box 1025"/>
        <xdr:cNvSpPr txBox="1">
          <a:spLocks noChangeArrowheads="1"/>
        </xdr:cNvSpPr>
      </xdr:nvSpPr>
      <xdr:spPr bwMode="auto">
        <a:xfrm>
          <a:off x="0" y="1248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520</xdr:row>
      <xdr:rowOff>0</xdr:rowOff>
    </xdr:from>
    <xdr:ext cx="27765" cy="424860"/>
    <xdr:sp macro="" textlink="">
      <xdr:nvSpPr>
        <xdr:cNvPr id="265" name="Text Box 1025"/>
        <xdr:cNvSpPr txBox="1">
          <a:spLocks noChangeArrowheads="1"/>
        </xdr:cNvSpPr>
      </xdr:nvSpPr>
      <xdr:spPr bwMode="auto">
        <a:xfrm>
          <a:off x="0" y="1248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535</xdr:row>
      <xdr:rowOff>0</xdr:rowOff>
    </xdr:from>
    <xdr:ext cx="27765" cy="424860"/>
    <xdr:sp macro="" textlink="">
      <xdr:nvSpPr>
        <xdr:cNvPr id="266" name="Text Box 1025"/>
        <xdr:cNvSpPr txBox="1">
          <a:spLocks noChangeArrowheads="1"/>
        </xdr:cNvSpPr>
      </xdr:nvSpPr>
      <xdr:spPr bwMode="auto">
        <a:xfrm>
          <a:off x="0"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535</xdr:row>
      <xdr:rowOff>0</xdr:rowOff>
    </xdr:from>
    <xdr:ext cx="27765" cy="424860"/>
    <xdr:sp macro="" textlink="">
      <xdr:nvSpPr>
        <xdr:cNvPr id="267" name="Text Box 1025"/>
        <xdr:cNvSpPr txBox="1">
          <a:spLocks noChangeArrowheads="1"/>
        </xdr:cNvSpPr>
      </xdr:nvSpPr>
      <xdr:spPr bwMode="auto">
        <a:xfrm>
          <a:off x="0"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535</xdr:row>
      <xdr:rowOff>0</xdr:rowOff>
    </xdr:from>
    <xdr:ext cx="27765" cy="424860"/>
    <xdr:sp macro="" textlink="">
      <xdr:nvSpPr>
        <xdr:cNvPr id="268" name="Text Box 1025"/>
        <xdr:cNvSpPr txBox="1">
          <a:spLocks noChangeArrowheads="1"/>
        </xdr:cNvSpPr>
      </xdr:nvSpPr>
      <xdr:spPr bwMode="auto">
        <a:xfrm>
          <a:off x="0"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535</xdr:row>
      <xdr:rowOff>0</xdr:rowOff>
    </xdr:from>
    <xdr:ext cx="27765" cy="424860"/>
    <xdr:sp macro="" textlink="">
      <xdr:nvSpPr>
        <xdr:cNvPr id="269" name="Text Box 1025"/>
        <xdr:cNvSpPr txBox="1">
          <a:spLocks noChangeArrowheads="1"/>
        </xdr:cNvSpPr>
      </xdr:nvSpPr>
      <xdr:spPr bwMode="auto">
        <a:xfrm>
          <a:off x="12277725"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535</xdr:row>
      <xdr:rowOff>0</xdr:rowOff>
    </xdr:from>
    <xdr:ext cx="27765" cy="424860"/>
    <xdr:sp macro="" textlink="">
      <xdr:nvSpPr>
        <xdr:cNvPr id="270" name="Text Box 1025"/>
        <xdr:cNvSpPr txBox="1">
          <a:spLocks noChangeArrowheads="1"/>
        </xdr:cNvSpPr>
      </xdr:nvSpPr>
      <xdr:spPr bwMode="auto">
        <a:xfrm>
          <a:off x="12277725"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535</xdr:row>
      <xdr:rowOff>0</xdr:rowOff>
    </xdr:from>
    <xdr:ext cx="27765" cy="424860"/>
    <xdr:sp macro="" textlink="">
      <xdr:nvSpPr>
        <xdr:cNvPr id="271" name="Text Box 1025"/>
        <xdr:cNvSpPr txBox="1">
          <a:spLocks noChangeArrowheads="1"/>
        </xdr:cNvSpPr>
      </xdr:nvSpPr>
      <xdr:spPr bwMode="auto">
        <a:xfrm>
          <a:off x="12277725" y="1283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540</xdr:row>
      <xdr:rowOff>0</xdr:rowOff>
    </xdr:from>
    <xdr:ext cx="27765" cy="424860"/>
    <xdr:sp macro="" textlink="">
      <xdr:nvSpPr>
        <xdr:cNvPr id="272" name="Text Box 1025"/>
        <xdr:cNvSpPr txBox="1">
          <a:spLocks noChangeArrowheads="1"/>
        </xdr:cNvSpPr>
      </xdr:nvSpPr>
      <xdr:spPr bwMode="auto">
        <a:xfrm>
          <a:off x="0" y="1295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540</xdr:row>
      <xdr:rowOff>0</xdr:rowOff>
    </xdr:from>
    <xdr:ext cx="27765" cy="424860"/>
    <xdr:sp macro="" textlink="">
      <xdr:nvSpPr>
        <xdr:cNvPr id="273" name="Text Box 1025"/>
        <xdr:cNvSpPr txBox="1">
          <a:spLocks noChangeArrowheads="1"/>
        </xdr:cNvSpPr>
      </xdr:nvSpPr>
      <xdr:spPr bwMode="auto">
        <a:xfrm>
          <a:off x="0" y="1295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540</xdr:row>
      <xdr:rowOff>0</xdr:rowOff>
    </xdr:from>
    <xdr:ext cx="27765" cy="424860"/>
    <xdr:sp macro="" textlink="">
      <xdr:nvSpPr>
        <xdr:cNvPr id="274" name="Text Box 1025"/>
        <xdr:cNvSpPr txBox="1">
          <a:spLocks noChangeArrowheads="1"/>
        </xdr:cNvSpPr>
      </xdr:nvSpPr>
      <xdr:spPr bwMode="auto">
        <a:xfrm>
          <a:off x="0" y="1295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555</xdr:row>
      <xdr:rowOff>0</xdr:rowOff>
    </xdr:from>
    <xdr:ext cx="27765" cy="424860"/>
    <xdr:sp macro="" textlink="">
      <xdr:nvSpPr>
        <xdr:cNvPr id="275" name="Text Box 1025"/>
        <xdr:cNvSpPr txBox="1">
          <a:spLocks noChangeArrowheads="1"/>
        </xdr:cNvSpPr>
      </xdr:nvSpPr>
      <xdr:spPr bwMode="auto">
        <a:xfrm>
          <a:off x="0"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555</xdr:row>
      <xdr:rowOff>0</xdr:rowOff>
    </xdr:from>
    <xdr:ext cx="27765" cy="424860"/>
    <xdr:sp macro="" textlink="">
      <xdr:nvSpPr>
        <xdr:cNvPr id="276" name="Text Box 1025"/>
        <xdr:cNvSpPr txBox="1">
          <a:spLocks noChangeArrowheads="1"/>
        </xdr:cNvSpPr>
      </xdr:nvSpPr>
      <xdr:spPr bwMode="auto">
        <a:xfrm>
          <a:off x="0"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555</xdr:row>
      <xdr:rowOff>0</xdr:rowOff>
    </xdr:from>
    <xdr:ext cx="27765" cy="424860"/>
    <xdr:sp macro="" textlink="">
      <xdr:nvSpPr>
        <xdr:cNvPr id="277" name="Text Box 1025"/>
        <xdr:cNvSpPr txBox="1">
          <a:spLocks noChangeArrowheads="1"/>
        </xdr:cNvSpPr>
      </xdr:nvSpPr>
      <xdr:spPr bwMode="auto">
        <a:xfrm>
          <a:off x="0"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555</xdr:row>
      <xdr:rowOff>0</xdr:rowOff>
    </xdr:from>
    <xdr:ext cx="27765" cy="424860"/>
    <xdr:sp macro="" textlink="">
      <xdr:nvSpPr>
        <xdr:cNvPr id="278" name="Text Box 1025"/>
        <xdr:cNvSpPr txBox="1">
          <a:spLocks noChangeArrowheads="1"/>
        </xdr:cNvSpPr>
      </xdr:nvSpPr>
      <xdr:spPr bwMode="auto">
        <a:xfrm>
          <a:off x="12277725"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555</xdr:row>
      <xdr:rowOff>0</xdr:rowOff>
    </xdr:from>
    <xdr:ext cx="27765" cy="424860"/>
    <xdr:sp macro="" textlink="">
      <xdr:nvSpPr>
        <xdr:cNvPr id="279" name="Text Box 1025"/>
        <xdr:cNvSpPr txBox="1">
          <a:spLocks noChangeArrowheads="1"/>
        </xdr:cNvSpPr>
      </xdr:nvSpPr>
      <xdr:spPr bwMode="auto">
        <a:xfrm>
          <a:off x="12277725"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555</xdr:row>
      <xdr:rowOff>0</xdr:rowOff>
    </xdr:from>
    <xdr:ext cx="27765" cy="424860"/>
    <xdr:sp macro="" textlink="">
      <xdr:nvSpPr>
        <xdr:cNvPr id="280" name="Text Box 1025"/>
        <xdr:cNvSpPr txBox="1">
          <a:spLocks noChangeArrowheads="1"/>
        </xdr:cNvSpPr>
      </xdr:nvSpPr>
      <xdr:spPr bwMode="auto">
        <a:xfrm>
          <a:off x="12277725" y="1331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560</xdr:row>
      <xdr:rowOff>0</xdr:rowOff>
    </xdr:from>
    <xdr:ext cx="27765" cy="424860"/>
    <xdr:sp macro="" textlink="">
      <xdr:nvSpPr>
        <xdr:cNvPr id="281" name="Text Box 1025"/>
        <xdr:cNvSpPr txBox="1">
          <a:spLocks noChangeArrowheads="1"/>
        </xdr:cNvSpPr>
      </xdr:nvSpPr>
      <xdr:spPr bwMode="auto">
        <a:xfrm>
          <a:off x="0" y="1343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560</xdr:row>
      <xdr:rowOff>0</xdr:rowOff>
    </xdr:from>
    <xdr:ext cx="27765" cy="424860"/>
    <xdr:sp macro="" textlink="">
      <xdr:nvSpPr>
        <xdr:cNvPr id="282" name="Text Box 1025"/>
        <xdr:cNvSpPr txBox="1">
          <a:spLocks noChangeArrowheads="1"/>
        </xdr:cNvSpPr>
      </xdr:nvSpPr>
      <xdr:spPr bwMode="auto">
        <a:xfrm>
          <a:off x="0" y="1343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560</xdr:row>
      <xdr:rowOff>0</xdr:rowOff>
    </xdr:from>
    <xdr:ext cx="27765" cy="424860"/>
    <xdr:sp macro="" textlink="">
      <xdr:nvSpPr>
        <xdr:cNvPr id="283" name="Text Box 1025"/>
        <xdr:cNvSpPr txBox="1">
          <a:spLocks noChangeArrowheads="1"/>
        </xdr:cNvSpPr>
      </xdr:nvSpPr>
      <xdr:spPr bwMode="auto">
        <a:xfrm>
          <a:off x="0" y="1343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575</xdr:row>
      <xdr:rowOff>0</xdr:rowOff>
    </xdr:from>
    <xdr:ext cx="27765" cy="424860"/>
    <xdr:sp macro="" textlink="">
      <xdr:nvSpPr>
        <xdr:cNvPr id="284" name="Text Box 1025"/>
        <xdr:cNvSpPr txBox="1">
          <a:spLocks noChangeArrowheads="1"/>
        </xdr:cNvSpPr>
      </xdr:nvSpPr>
      <xdr:spPr bwMode="auto">
        <a:xfrm>
          <a:off x="0"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575</xdr:row>
      <xdr:rowOff>0</xdr:rowOff>
    </xdr:from>
    <xdr:ext cx="27765" cy="424860"/>
    <xdr:sp macro="" textlink="">
      <xdr:nvSpPr>
        <xdr:cNvPr id="285" name="Text Box 1025"/>
        <xdr:cNvSpPr txBox="1">
          <a:spLocks noChangeArrowheads="1"/>
        </xdr:cNvSpPr>
      </xdr:nvSpPr>
      <xdr:spPr bwMode="auto">
        <a:xfrm>
          <a:off x="0"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575</xdr:row>
      <xdr:rowOff>0</xdr:rowOff>
    </xdr:from>
    <xdr:ext cx="27765" cy="424860"/>
    <xdr:sp macro="" textlink="">
      <xdr:nvSpPr>
        <xdr:cNvPr id="286" name="Text Box 1025"/>
        <xdr:cNvSpPr txBox="1">
          <a:spLocks noChangeArrowheads="1"/>
        </xdr:cNvSpPr>
      </xdr:nvSpPr>
      <xdr:spPr bwMode="auto">
        <a:xfrm>
          <a:off x="0"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575</xdr:row>
      <xdr:rowOff>0</xdr:rowOff>
    </xdr:from>
    <xdr:ext cx="27765" cy="424860"/>
    <xdr:sp macro="" textlink="">
      <xdr:nvSpPr>
        <xdr:cNvPr id="287" name="Text Box 1025"/>
        <xdr:cNvSpPr txBox="1">
          <a:spLocks noChangeArrowheads="1"/>
        </xdr:cNvSpPr>
      </xdr:nvSpPr>
      <xdr:spPr bwMode="auto">
        <a:xfrm>
          <a:off x="12277725"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575</xdr:row>
      <xdr:rowOff>0</xdr:rowOff>
    </xdr:from>
    <xdr:ext cx="27765" cy="424860"/>
    <xdr:sp macro="" textlink="">
      <xdr:nvSpPr>
        <xdr:cNvPr id="288" name="Text Box 1025"/>
        <xdr:cNvSpPr txBox="1">
          <a:spLocks noChangeArrowheads="1"/>
        </xdr:cNvSpPr>
      </xdr:nvSpPr>
      <xdr:spPr bwMode="auto">
        <a:xfrm>
          <a:off x="12277725"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575</xdr:row>
      <xdr:rowOff>0</xdr:rowOff>
    </xdr:from>
    <xdr:ext cx="27765" cy="424860"/>
    <xdr:sp macro="" textlink="">
      <xdr:nvSpPr>
        <xdr:cNvPr id="289" name="Text Box 1025"/>
        <xdr:cNvSpPr txBox="1">
          <a:spLocks noChangeArrowheads="1"/>
        </xdr:cNvSpPr>
      </xdr:nvSpPr>
      <xdr:spPr bwMode="auto">
        <a:xfrm>
          <a:off x="12277725" y="1379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580</xdr:row>
      <xdr:rowOff>0</xdr:rowOff>
    </xdr:from>
    <xdr:ext cx="27765" cy="424860"/>
    <xdr:sp macro="" textlink="">
      <xdr:nvSpPr>
        <xdr:cNvPr id="290" name="Text Box 1025"/>
        <xdr:cNvSpPr txBox="1">
          <a:spLocks noChangeArrowheads="1"/>
        </xdr:cNvSpPr>
      </xdr:nvSpPr>
      <xdr:spPr bwMode="auto">
        <a:xfrm>
          <a:off x="0" y="1390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580</xdr:row>
      <xdr:rowOff>0</xdr:rowOff>
    </xdr:from>
    <xdr:ext cx="27765" cy="424860"/>
    <xdr:sp macro="" textlink="">
      <xdr:nvSpPr>
        <xdr:cNvPr id="291" name="Text Box 1025"/>
        <xdr:cNvSpPr txBox="1">
          <a:spLocks noChangeArrowheads="1"/>
        </xdr:cNvSpPr>
      </xdr:nvSpPr>
      <xdr:spPr bwMode="auto">
        <a:xfrm>
          <a:off x="0" y="1390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580</xdr:row>
      <xdr:rowOff>0</xdr:rowOff>
    </xdr:from>
    <xdr:ext cx="27765" cy="424860"/>
    <xdr:sp macro="" textlink="">
      <xdr:nvSpPr>
        <xdr:cNvPr id="292" name="Text Box 1025"/>
        <xdr:cNvSpPr txBox="1">
          <a:spLocks noChangeArrowheads="1"/>
        </xdr:cNvSpPr>
      </xdr:nvSpPr>
      <xdr:spPr bwMode="auto">
        <a:xfrm>
          <a:off x="0" y="1390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595</xdr:row>
      <xdr:rowOff>0</xdr:rowOff>
    </xdr:from>
    <xdr:ext cx="27765" cy="424860"/>
    <xdr:sp macro="" textlink="">
      <xdr:nvSpPr>
        <xdr:cNvPr id="293" name="Text Box 1025"/>
        <xdr:cNvSpPr txBox="1">
          <a:spLocks noChangeArrowheads="1"/>
        </xdr:cNvSpPr>
      </xdr:nvSpPr>
      <xdr:spPr bwMode="auto">
        <a:xfrm>
          <a:off x="0"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595</xdr:row>
      <xdr:rowOff>0</xdr:rowOff>
    </xdr:from>
    <xdr:ext cx="27765" cy="424860"/>
    <xdr:sp macro="" textlink="">
      <xdr:nvSpPr>
        <xdr:cNvPr id="294" name="Text Box 1025"/>
        <xdr:cNvSpPr txBox="1">
          <a:spLocks noChangeArrowheads="1"/>
        </xdr:cNvSpPr>
      </xdr:nvSpPr>
      <xdr:spPr bwMode="auto">
        <a:xfrm>
          <a:off x="0"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595</xdr:row>
      <xdr:rowOff>0</xdr:rowOff>
    </xdr:from>
    <xdr:ext cx="27765" cy="424860"/>
    <xdr:sp macro="" textlink="">
      <xdr:nvSpPr>
        <xdr:cNvPr id="295" name="Text Box 1025"/>
        <xdr:cNvSpPr txBox="1">
          <a:spLocks noChangeArrowheads="1"/>
        </xdr:cNvSpPr>
      </xdr:nvSpPr>
      <xdr:spPr bwMode="auto">
        <a:xfrm>
          <a:off x="0"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595</xdr:row>
      <xdr:rowOff>0</xdr:rowOff>
    </xdr:from>
    <xdr:ext cx="27765" cy="424860"/>
    <xdr:sp macro="" textlink="">
      <xdr:nvSpPr>
        <xdr:cNvPr id="296" name="Text Box 1025"/>
        <xdr:cNvSpPr txBox="1">
          <a:spLocks noChangeArrowheads="1"/>
        </xdr:cNvSpPr>
      </xdr:nvSpPr>
      <xdr:spPr bwMode="auto">
        <a:xfrm>
          <a:off x="12277725"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595</xdr:row>
      <xdr:rowOff>0</xdr:rowOff>
    </xdr:from>
    <xdr:ext cx="27765" cy="424860"/>
    <xdr:sp macro="" textlink="">
      <xdr:nvSpPr>
        <xdr:cNvPr id="297" name="Text Box 1025"/>
        <xdr:cNvSpPr txBox="1">
          <a:spLocks noChangeArrowheads="1"/>
        </xdr:cNvSpPr>
      </xdr:nvSpPr>
      <xdr:spPr bwMode="auto">
        <a:xfrm>
          <a:off x="12277725"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595</xdr:row>
      <xdr:rowOff>0</xdr:rowOff>
    </xdr:from>
    <xdr:ext cx="27765" cy="424860"/>
    <xdr:sp macro="" textlink="">
      <xdr:nvSpPr>
        <xdr:cNvPr id="298" name="Text Box 1025"/>
        <xdr:cNvSpPr txBox="1">
          <a:spLocks noChangeArrowheads="1"/>
        </xdr:cNvSpPr>
      </xdr:nvSpPr>
      <xdr:spPr bwMode="auto">
        <a:xfrm>
          <a:off x="12277725" y="1426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600</xdr:row>
      <xdr:rowOff>0</xdr:rowOff>
    </xdr:from>
    <xdr:ext cx="27765" cy="424860"/>
    <xdr:sp macro="" textlink="">
      <xdr:nvSpPr>
        <xdr:cNvPr id="299" name="Text Box 1025"/>
        <xdr:cNvSpPr txBox="1">
          <a:spLocks noChangeArrowheads="1"/>
        </xdr:cNvSpPr>
      </xdr:nvSpPr>
      <xdr:spPr bwMode="auto">
        <a:xfrm>
          <a:off x="0" y="1438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600</xdr:row>
      <xdr:rowOff>0</xdr:rowOff>
    </xdr:from>
    <xdr:ext cx="27765" cy="424860"/>
    <xdr:sp macro="" textlink="">
      <xdr:nvSpPr>
        <xdr:cNvPr id="300" name="Text Box 1025"/>
        <xdr:cNvSpPr txBox="1">
          <a:spLocks noChangeArrowheads="1"/>
        </xdr:cNvSpPr>
      </xdr:nvSpPr>
      <xdr:spPr bwMode="auto">
        <a:xfrm>
          <a:off x="0" y="1438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600</xdr:row>
      <xdr:rowOff>0</xdr:rowOff>
    </xdr:from>
    <xdr:ext cx="27765" cy="424860"/>
    <xdr:sp macro="" textlink="">
      <xdr:nvSpPr>
        <xdr:cNvPr id="301" name="Text Box 1025"/>
        <xdr:cNvSpPr txBox="1">
          <a:spLocks noChangeArrowheads="1"/>
        </xdr:cNvSpPr>
      </xdr:nvSpPr>
      <xdr:spPr bwMode="auto">
        <a:xfrm>
          <a:off x="0" y="1438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615</xdr:row>
      <xdr:rowOff>0</xdr:rowOff>
    </xdr:from>
    <xdr:ext cx="27765" cy="424860"/>
    <xdr:sp macro="" textlink="">
      <xdr:nvSpPr>
        <xdr:cNvPr id="302" name="Text Box 1025"/>
        <xdr:cNvSpPr txBox="1">
          <a:spLocks noChangeArrowheads="1"/>
        </xdr:cNvSpPr>
      </xdr:nvSpPr>
      <xdr:spPr bwMode="auto">
        <a:xfrm>
          <a:off x="0"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615</xdr:row>
      <xdr:rowOff>0</xdr:rowOff>
    </xdr:from>
    <xdr:ext cx="27765" cy="424860"/>
    <xdr:sp macro="" textlink="">
      <xdr:nvSpPr>
        <xdr:cNvPr id="303" name="Text Box 1025"/>
        <xdr:cNvSpPr txBox="1">
          <a:spLocks noChangeArrowheads="1"/>
        </xdr:cNvSpPr>
      </xdr:nvSpPr>
      <xdr:spPr bwMode="auto">
        <a:xfrm>
          <a:off x="0"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615</xdr:row>
      <xdr:rowOff>0</xdr:rowOff>
    </xdr:from>
    <xdr:ext cx="27765" cy="424860"/>
    <xdr:sp macro="" textlink="">
      <xdr:nvSpPr>
        <xdr:cNvPr id="304" name="Text Box 1025"/>
        <xdr:cNvSpPr txBox="1">
          <a:spLocks noChangeArrowheads="1"/>
        </xdr:cNvSpPr>
      </xdr:nvSpPr>
      <xdr:spPr bwMode="auto">
        <a:xfrm>
          <a:off x="0"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615</xdr:row>
      <xdr:rowOff>0</xdr:rowOff>
    </xdr:from>
    <xdr:ext cx="27765" cy="424860"/>
    <xdr:sp macro="" textlink="">
      <xdr:nvSpPr>
        <xdr:cNvPr id="305" name="Text Box 1025"/>
        <xdr:cNvSpPr txBox="1">
          <a:spLocks noChangeArrowheads="1"/>
        </xdr:cNvSpPr>
      </xdr:nvSpPr>
      <xdr:spPr bwMode="auto">
        <a:xfrm>
          <a:off x="12277725"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615</xdr:row>
      <xdr:rowOff>0</xdr:rowOff>
    </xdr:from>
    <xdr:ext cx="27765" cy="424860"/>
    <xdr:sp macro="" textlink="">
      <xdr:nvSpPr>
        <xdr:cNvPr id="306" name="Text Box 1025"/>
        <xdr:cNvSpPr txBox="1">
          <a:spLocks noChangeArrowheads="1"/>
        </xdr:cNvSpPr>
      </xdr:nvSpPr>
      <xdr:spPr bwMode="auto">
        <a:xfrm>
          <a:off x="12277725"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615</xdr:row>
      <xdr:rowOff>0</xdr:rowOff>
    </xdr:from>
    <xdr:ext cx="27765" cy="424860"/>
    <xdr:sp macro="" textlink="">
      <xdr:nvSpPr>
        <xdr:cNvPr id="307" name="Text Box 1025"/>
        <xdr:cNvSpPr txBox="1">
          <a:spLocks noChangeArrowheads="1"/>
        </xdr:cNvSpPr>
      </xdr:nvSpPr>
      <xdr:spPr bwMode="auto">
        <a:xfrm>
          <a:off x="12277725" y="1474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620</xdr:row>
      <xdr:rowOff>0</xdr:rowOff>
    </xdr:from>
    <xdr:ext cx="27765" cy="424860"/>
    <xdr:sp macro="" textlink="">
      <xdr:nvSpPr>
        <xdr:cNvPr id="308" name="Text Box 1025"/>
        <xdr:cNvSpPr txBox="1">
          <a:spLocks noChangeArrowheads="1"/>
        </xdr:cNvSpPr>
      </xdr:nvSpPr>
      <xdr:spPr bwMode="auto">
        <a:xfrm>
          <a:off x="0" y="1486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620</xdr:row>
      <xdr:rowOff>0</xdr:rowOff>
    </xdr:from>
    <xdr:ext cx="27765" cy="424860"/>
    <xdr:sp macro="" textlink="">
      <xdr:nvSpPr>
        <xdr:cNvPr id="309" name="Text Box 1025"/>
        <xdr:cNvSpPr txBox="1">
          <a:spLocks noChangeArrowheads="1"/>
        </xdr:cNvSpPr>
      </xdr:nvSpPr>
      <xdr:spPr bwMode="auto">
        <a:xfrm>
          <a:off x="0" y="1486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620</xdr:row>
      <xdr:rowOff>0</xdr:rowOff>
    </xdr:from>
    <xdr:ext cx="27765" cy="424860"/>
    <xdr:sp macro="" textlink="">
      <xdr:nvSpPr>
        <xdr:cNvPr id="310" name="Text Box 1025"/>
        <xdr:cNvSpPr txBox="1">
          <a:spLocks noChangeArrowheads="1"/>
        </xdr:cNvSpPr>
      </xdr:nvSpPr>
      <xdr:spPr bwMode="auto">
        <a:xfrm>
          <a:off x="0" y="1486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635</xdr:row>
      <xdr:rowOff>0</xdr:rowOff>
    </xdr:from>
    <xdr:ext cx="27765" cy="424860"/>
    <xdr:sp macro="" textlink="">
      <xdr:nvSpPr>
        <xdr:cNvPr id="311" name="Text Box 1025"/>
        <xdr:cNvSpPr txBox="1">
          <a:spLocks noChangeArrowheads="1"/>
        </xdr:cNvSpPr>
      </xdr:nvSpPr>
      <xdr:spPr bwMode="auto">
        <a:xfrm>
          <a:off x="0"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635</xdr:row>
      <xdr:rowOff>0</xdr:rowOff>
    </xdr:from>
    <xdr:ext cx="27765" cy="424860"/>
    <xdr:sp macro="" textlink="">
      <xdr:nvSpPr>
        <xdr:cNvPr id="312" name="Text Box 1025"/>
        <xdr:cNvSpPr txBox="1">
          <a:spLocks noChangeArrowheads="1"/>
        </xdr:cNvSpPr>
      </xdr:nvSpPr>
      <xdr:spPr bwMode="auto">
        <a:xfrm>
          <a:off x="0"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635</xdr:row>
      <xdr:rowOff>0</xdr:rowOff>
    </xdr:from>
    <xdr:ext cx="27765" cy="424860"/>
    <xdr:sp macro="" textlink="">
      <xdr:nvSpPr>
        <xdr:cNvPr id="313" name="Text Box 1025"/>
        <xdr:cNvSpPr txBox="1">
          <a:spLocks noChangeArrowheads="1"/>
        </xdr:cNvSpPr>
      </xdr:nvSpPr>
      <xdr:spPr bwMode="auto">
        <a:xfrm>
          <a:off x="0"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635</xdr:row>
      <xdr:rowOff>0</xdr:rowOff>
    </xdr:from>
    <xdr:ext cx="27765" cy="424860"/>
    <xdr:sp macro="" textlink="">
      <xdr:nvSpPr>
        <xdr:cNvPr id="314" name="Text Box 1025"/>
        <xdr:cNvSpPr txBox="1">
          <a:spLocks noChangeArrowheads="1"/>
        </xdr:cNvSpPr>
      </xdr:nvSpPr>
      <xdr:spPr bwMode="auto">
        <a:xfrm>
          <a:off x="12277725"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635</xdr:row>
      <xdr:rowOff>0</xdr:rowOff>
    </xdr:from>
    <xdr:ext cx="27765" cy="424860"/>
    <xdr:sp macro="" textlink="">
      <xdr:nvSpPr>
        <xdr:cNvPr id="315" name="Text Box 1025"/>
        <xdr:cNvSpPr txBox="1">
          <a:spLocks noChangeArrowheads="1"/>
        </xdr:cNvSpPr>
      </xdr:nvSpPr>
      <xdr:spPr bwMode="auto">
        <a:xfrm>
          <a:off x="12277725"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635</xdr:row>
      <xdr:rowOff>0</xdr:rowOff>
    </xdr:from>
    <xdr:ext cx="27765" cy="424860"/>
    <xdr:sp macro="" textlink="">
      <xdr:nvSpPr>
        <xdr:cNvPr id="316" name="Text Box 1025"/>
        <xdr:cNvSpPr txBox="1">
          <a:spLocks noChangeArrowheads="1"/>
        </xdr:cNvSpPr>
      </xdr:nvSpPr>
      <xdr:spPr bwMode="auto">
        <a:xfrm>
          <a:off x="12277725" y="1521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640</xdr:row>
      <xdr:rowOff>0</xdr:rowOff>
    </xdr:from>
    <xdr:ext cx="27765" cy="424860"/>
    <xdr:sp macro="" textlink="">
      <xdr:nvSpPr>
        <xdr:cNvPr id="317" name="Text Box 1025"/>
        <xdr:cNvSpPr txBox="1">
          <a:spLocks noChangeArrowheads="1"/>
        </xdr:cNvSpPr>
      </xdr:nvSpPr>
      <xdr:spPr bwMode="auto">
        <a:xfrm>
          <a:off x="0" y="1533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640</xdr:row>
      <xdr:rowOff>0</xdr:rowOff>
    </xdr:from>
    <xdr:ext cx="27765" cy="424860"/>
    <xdr:sp macro="" textlink="">
      <xdr:nvSpPr>
        <xdr:cNvPr id="318" name="Text Box 1025"/>
        <xdr:cNvSpPr txBox="1">
          <a:spLocks noChangeArrowheads="1"/>
        </xdr:cNvSpPr>
      </xdr:nvSpPr>
      <xdr:spPr bwMode="auto">
        <a:xfrm>
          <a:off x="0" y="1533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640</xdr:row>
      <xdr:rowOff>0</xdr:rowOff>
    </xdr:from>
    <xdr:ext cx="27765" cy="424860"/>
    <xdr:sp macro="" textlink="">
      <xdr:nvSpPr>
        <xdr:cNvPr id="319" name="Text Box 1025"/>
        <xdr:cNvSpPr txBox="1">
          <a:spLocks noChangeArrowheads="1"/>
        </xdr:cNvSpPr>
      </xdr:nvSpPr>
      <xdr:spPr bwMode="auto">
        <a:xfrm>
          <a:off x="0" y="1533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655</xdr:row>
      <xdr:rowOff>0</xdr:rowOff>
    </xdr:from>
    <xdr:ext cx="27765" cy="424860"/>
    <xdr:sp macro="" textlink="">
      <xdr:nvSpPr>
        <xdr:cNvPr id="320" name="Text Box 1025"/>
        <xdr:cNvSpPr txBox="1">
          <a:spLocks noChangeArrowheads="1"/>
        </xdr:cNvSpPr>
      </xdr:nvSpPr>
      <xdr:spPr bwMode="auto">
        <a:xfrm>
          <a:off x="0"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655</xdr:row>
      <xdr:rowOff>0</xdr:rowOff>
    </xdr:from>
    <xdr:ext cx="27765" cy="424860"/>
    <xdr:sp macro="" textlink="">
      <xdr:nvSpPr>
        <xdr:cNvPr id="321" name="Text Box 1025"/>
        <xdr:cNvSpPr txBox="1">
          <a:spLocks noChangeArrowheads="1"/>
        </xdr:cNvSpPr>
      </xdr:nvSpPr>
      <xdr:spPr bwMode="auto">
        <a:xfrm>
          <a:off x="0"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655</xdr:row>
      <xdr:rowOff>0</xdr:rowOff>
    </xdr:from>
    <xdr:ext cx="27765" cy="424860"/>
    <xdr:sp macro="" textlink="">
      <xdr:nvSpPr>
        <xdr:cNvPr id="322" name="Text Box 1025"/>
        <xdr:cNvSpPr txBox="1">
          <a:spLocks noChangeArrowheads="1"/>
        </xdr:cNvSpPr>
      </xdr:nvSpPr>
      <xdr:spPr bwMode="auto">
        <a:xfrm>
          <a:off x="0"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655</xdr:row>
      <xdr:rowOff>0</xdr:rowOff>
    </xdr:from>
    <xdr:ext cx="27765" cy="424860"/>
    <xdr:sp macro="" textlink="">
      <xdr:nvSpPr>
        <xdr:cNvPr id="323" name="Text Box 1025"/>
        <xdr:cNvSpPr txBox="1">
          <a:spLocks noChangeArrowheads="1"/>
        </xdr:cNvSpPr>
      </xdr:nvSpPr>
      <xdr:spPr bwMode="auto">
        <a:xfrm>
          <a:off x="12277725"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655</xdr:row>
      <xdr:rowOff>0</xdr:rowOff>
    </xdr:from>
    <xdr:ext cx="27765" cy="424860"/>
    <xdr:sp macro="" textlink="">
      <xdr:nvSpPr>
        <xdr:cNvPr id="324" name="Text Box 1025"/>
        <xdr:cNvSpPr txBox="1">
          <a:spLocks noChangeArrowheads="1"/>
        </xdr:cNvSpPr>
      </xdr:nvSpPr>
      <xdr:spPr bwMode="auto">
        <a:xfrm>
          <a:off x="12277725"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655</xdr:row>
      <xdr:rowOff>0</xdr:rowOff>
    </xdr:from>
    <xdr:ext cx="27765" cy="424860"/>
    <xdr:sp macro="" textlink="">
      <xdr:nvSpPr>
        <xdr:cNvPr id="325" name="Text Box 1025"/>
        <xdr:cNvSpPr txBox="1">
          <a:spLocks noChangeArrowheads="1"/>
        </xdr:cNvSpPr>
      </xdr:nvSpPr>
      <xdr:spPr bwMode="auto">
        <a:xfrm>
          <a:off x="12277725" y="1569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660</xdr:row>
      <xdr:rowOff>0</xdr:rowOff>
    </xdr:from>
    <xdr:ext cx="27765" cy="424860"/>
    <xdr:sp macro="" textlink="">
      <xdr:nvSpPr>
        <xdr:cNvPr id="326" name="Text Box 1025"/>
        <xdr:cNvSpPr txBox="1">
          <a:spLocks noChangeArrowheads="1"/>
        </xdr:cNvSpPr>
      </xdr:nvSpPr>
      <xdr:spPr bwMode="auto">
        <a:xfrm>
          <a:off x="0" y="1581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660</xdr:row>
      <xdr:rowOff>0</xdr:rowOff>
    </xdr:from>
    <xdr:ext cx="27765" cy="424860"/>
    <xdr:sp macro="" textlink="">
      <xdr:nvSpPr>
        <xdr:cNvPr id="327" name="Text Box 1025"/>
        <xdr:cNvSpPr txBox="1">
          <a:spLocks noChangeArrowheads="1"/>
        </xdr:cNvSpPr>
      </xdr:nvSpPr>
      <xdr:spPr bwMode="auto">
        <a:xfrm>
          <a:off x="0" y="1581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660</xdr:row>
      <xdr:rowOff>0</xdr:rowOff>
    </xdr:from>
    <xdr:ext cx="27765" cy="424860"/>
    <xdr:sp macro="" textlink="">
      <xdr:nvSpPr>
        <xdr:cNvPr id="328" name="Text Box 1025"/>
        <xdr:cNvSpPr txBox="1">
          <a:spLocks noChangeArrowheads="1"/>
        </xdr:cNvSpPr>
      </xdr:nvSpPr>
      <xdr:spPr bwMode="auto">
        <a:xfrm>
          <a:off x="0" y="1581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675</xdr:row>
      <xdr:rowOff>0</xdr:rowOff>
    </xdr:from>
    <xdr:ext cx="27765" cy="424860"/>
    <xdr:sp macro="" textlink="">
      <xdr:nvSpPr>
        <xdr:cNvPr id="329" name="Text Box 1025"/>
        <xdr:cNvSpPr txBox="1">
          <a:spLocks noChangeArrowheads="1"/>
        </xdr:cNvSpPr>
      </xdr:nvSpPr>
      <xdr:spPr bwMode="auto">
        <a:xfrm>
          <a:off x="0"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675</xdr:row>
      <xdr:rowOff>0</xdr:rowOff>
    </xdr:from>
    <xdr:ext cx="27765" cy="424860"/>
    <xdr:sp macro="" textlink="">
      <xdr:nvSpPr>
        <xdr:cNvPr id="330" name="Text Box 1025"/>
        <xdr:cNvSpPr txBox="1">
          <a:spLocks noChangeArrowheads="1"/>
        </xdr:cNvSpPr>
      </xdr:nvSpPr>
      <xdr:spPr bwMode="auto">
        <a:xfrm>
          <a:off x="0"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675</xdr:row>
      <xdr:rowOff>0</xdr:rowOff>
    </xdr:from>
    <xdr:ext cx="27765" cy="424860"/>
    <xdr:sp macro="" textlink="">
      <xdr:nvSpPr>
        <xdr:cNvPr id="331" name="Text Box 1025"/>
        <xdr:cNvSpPr txBox="1">
          <a:spLocks noChangeArrowheads="1"/>
        </xdr:cNvSpPr>
      </xdr:nvSpPr>
      <xdr:spPr bwMode="auto">
        <a:xfrm>
          <a:off x="0"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675</xdr:row>
      <xdr:rowOff>0</xdr:rowOff>
    </xdr:from>
    <xdr:ext cx="27765" cy="424860"/>
    <xdr:sp macro="" textlink="">
      <xdr:nvSpPr>
        <xdr:cNvPr id="332" name="Text Box 1025"/>
        <xdr:cNvSpPr txBox="1">
          <a:spLocks noChangeArrowheads="1"/>
        </xdr:cNvSpPr>
      </xdr:nvSpPr>
      <xdr:spPr bwMode="auto">
        <a:xfrm>
          <a:off x="12277725"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675</xdr:row>
      <xdr:rowOff>0</xdr:rowOff>
    </xdr:from>
    <xdr:ext cx="27765" cy="424860"/>
    <xdr:sp macro="" textlink="">
      <xdr:nvSpPr>
        <xdr:cNvPr id="333" name="Text Box 1025"/>
        <xdr:cNvSpPr txBox="1">
          <a:spLocks noChangeArrowheads="1"/>
        </xdr:cNvSpPr>
      </xdr:nvSpPr>
      <xdr:spPr bwMode="auto">
        <a:xfrm>
          <a:off x="12277725"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675</xdr:row>
      <xdr:rowOff>0</xdr:rowOff>
    </xdr:from>
    <xdr:ext cx="27765" cy="424860"/>
    <xdr:sp macro="" textlink="">
      <xdr:nvSpPr>
        <xdr:cNvPr id="334" name="Text Box 1025"/>
        <xdr:cNvSpPr txBox="1">
          <a:spLocks noChangeArrowheads="1"/>
        </xdr:cNvSpPr>
      </xdr:nvSpPr>
      <xdr:spPr bwMode="auto">
        <a:xfrm>
          <a:off x="12277725" y="1617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680</xdr:row>
      <xdr:rowOff>0</xdr:rowOff>
    </xdr:from>
    <xdr:ext cx="27765" cy="424860"/>
    <xdr:sp macro="" textlink="">
      <xdr:nvSpPr>
        <xdr:cNvPr id="335" name="Text Box 1025"/>
        <xdr:cNvSpPr txBox="1">
          <a:spLocks noChangeArrowheads="1"/>
        </xdr:cNvSpPr>
      </xdr:nvSpPr>
      <xdr:spPr bwMode="auto">
        <a:xfrm>
          <a:off x="0" y="1629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680</xdr:row>
      <xdr:rowOff>0</xdr:rowOff>
    </xdr:from>
    <xdr:ext cx="27765" cy="424860"/>
    <xdr:sp macro="" textlink="">
      <xdr:nvSpPr>
        <xdr:cNvPr id="336" name="Text Box 1025"/>
        <xdr:cNvSpPr txBox="1">
          <a:spLocks noChangeArrowheads="1"/>
        </xdr:cNvSpPr>
      </xdr:nvSpPr>
      <xdr:spPr bwMode="auto">
        <a:xfrm>
          <a:off x="0" y="1629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680</xdr:row>
      <xdr:rowOff>0</xdr:rowOff>
    </xdr:from>
    <xdr:ext cx="27765" cy="424860"/>
    <xdr:sp macro="" textlink="">
      <xdr:nvSpPr>
        <xdr:cNvPr id="337" name="Text Box 1025"/>
        <xdr:cNvSpPr txBox="1">
          <a:spLocks noChangeArrowheads="1"/>
        </xdr:cNvSpPr>
      </xdr:nvSpPr>
      <xdr:spPr bwMode="auto">
        <a:xfrm>
          <a:off x="0" y="1629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695</xdr:row>
      <xdr:rowOff>0</xdr:rowOff>
    </xdr:from>
    <xdr:ext cx="27765" cy="424860"/>
    <xdr:sp macro="" textlink="">
      <xdr:nvSpPr>
        <xdr:cNvPr id="338" name="Text Box 1025"/>
        <xdr:cNvSpPr txBox="1">
          <a:spLocks noChangeArrowheads="1"/>
        </xdr:cNvSpPr>
      </xdr:nvSpPr>
      <xdr:spPr bwMode="auto">
        <a:xfrm>
          <a:off x="0"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695</xdr:row>
      <xdr:rowOff>0</xdr:rowOff>
    </xdr:from>
    <xdr:ext cx="27765" cy="424860"/>
    <xdr:sp macro="" textlink="">
      <xdr:nvSpPr>
        <xdr:cNvPr id="339" name="Text Box 1025"/>
        <xdr:cNvSpPr txBox="1">
          <a:spLocks noChangeArrowheads="1"/>
        </xdr:cNvSpPr>
      </xdr:nvSpPr>
      <xdr:spPr bwMode="auto">
        <a:xfrm>
          <a:off x="0"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695</xdr:row>
      <xdr:rowOff>0</xdr:rowOff>
    </xdr:from>
    <xdr:ext cx="27765" cy="424860"/>
    <xdr:sp macro="" textlink="">
      <xdr:nvSpPr>
        <xdr:cNvPr id="340" name="Text Box 1025"/>
        <xdr:cNvSpPr txBox="1">
          <a:spLocks noChangeArrowheads="1"/>
        </xdr:cNvSpPr>
      </xdr:nvSpPr>
      <xdr:spPr bwMode="auto">
        <a:xfrm>
          <a:off x="0"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695</xdr:row>
      <xdr:rowOff>0</xdr:rowOff>
    </xdr:from>
    <xdr:ext cx="27765" cy="424860"/>
    <xdr:sp macro="" textlink="">
      <xdr:nvSpPr>
        <xdr:cNvPr id="341" name="Text Box 1025"/>
        <xdr:cNvSpPr txBox="1">
          <a:spLocks noChangeArrowheads="1"/>
        </xdr:cNvSpPr>
      </xdr:nvSpPr>
      <xdr:spPr bwMode="auto">
        <a:xfrm>
          <a:off x="12277725"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695</xdr:row>
      <xdr:rowOff>0</xdr:rowOff>
    </xdr:from>
    <xdr:ext cx="27765" cy="424860"/>
    <xdr:sp macro="" textlink="">
      <xdr:nvSpPr>
        <xdr:cNvPr id="342" name="Text Box 1025"/>
        <xdr:cNvSpPr txBox="1">
          <a:spLocks noChangeArrowheads="1"/>
        </xdr:cNvSpPr>
      </xdr:nvSpPr>
      <xdr:spPr bwMode="auto">
        <a:xfrm>
          <a:off x="12277725"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695</xdr:row>
      <xdr:rowOff>0</xdr:rowOff>
    </xdr:from>
    <xdr:ext cx="27765" cy="424860"/>
    <xdr:sp macro="" textlink="">
      <xdr:nvSpPr>
        <xdr:cNvPr id="343" name="Text Box 1025"/>
        <xdr:cNvSpPr txBox="1">
          <a:spLocks noChangeArrowheads="1"/>
        </xdr:cNvSpPr>
      </xdr:nvSpPr>
      <xdr:spPr bwMode="auto">
        <a:xfrm>
          <a:off x="12277725" y="1664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700</xdr:row>
      <xdr:rowOff>0</xdr:rowOff>
    </xdr:from>
    <xdr:ext cx="27765" cy="424860"/>
    <xdr:sp macro="" textlink="">
      <xdr:nvSpPr>
        <xdr:cNvPr id="344" name="Text Box 1025"/>
        <xdr:cNvSpPr txBox="1">
          <a:spLocks noChangeArrowheads="1"/>
        </xdr:cNvSpPr>
      </xdr:nvSpPr>
      <xdr:spPr bwMode="auto">
        <a:xfrm>
          <a:off x="0" y="1676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700</xdr:row>
      <xdr:rowOff>0</xdr:rowOff>
    </xdr:from>
    <xdr:ext cx="27765" cy="424860"/>
    <xdr:sp macro="" textlink="">
      <xdr:nvSpPr>
        <xdr:cNvPr id="345" name="Text Box 1025"/>
        <xdr:cNvSpPr txBox="1">
          <a:spLocks noChangeArrowheads="1"/>
        </xdr:cNvSpPr>
      </xdr:nvSpPr>
      <xdr:spPr bwMode="auto">
        <a:xfrm>
          <a:off x="0" y="1676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700</xdr:row>
      <xdr:rowOff>0</xdr:rowOff>
    </xdr:from>
    <xdr:ext cx="27765" cy="424860"/>
    <xdr:sp macro="" textlink="">
      <xdr:nvSpPr>
        <xdr:cNvPr id="346" name="Text Box 1025"/>
        <xdr:cNvSpPr txBox="1">
          <a:spLocks noChangeArrowheads="1"/>
        </xdr:cNvSpPr>
      </xdr:nvSpPr>
      <xdr:spPr bwMode="auto">
        <a:xfrm>
          <a:off x="0" y="1676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715</xdr:row>
      <xdr:rowOff>0</xdr:rowOff>
    </xdr:from>
    <xdr:ext cx="27765" cy="424860"/>
    <xdr:sp macro="" textlink="">
      <xdr:nvSpPr>
        <xdr:cNvPr id="347" name="Text Box 1025"/>
        <xdr:cNvSpPr txBox="1">
          <a:spLocks noChangeArrowheads="1"/>
        </xdr:cNvSpPr>
      </xdr:nvSpPr>
      <xdr:spPr bwMode="auto">
        <a:xfrm>
          <a:off x="0"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715</xdr:row>
      <xdr:rowOff>0</xdr:rowOff>
    </xdr:from>
    <xdr:ext cx="27765" cy="424860"/>
    <xdr:sp macro="" textlink="">
      <xdr:nvSpPr>
        <xdr:cNvPr id="348" name="Text Box 1025"/>
        <xdr:cNvSpPr txBox="1">
          <a:spLocks noChangeArrowheads="1"/>
        </xdr:cNvSpPr>
      </xdr:nvSpPr>
      <xdr:spPr bwMode="auto">
        <a:xfrm>
          <a:off x="0"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715</xdr:row>
      <xdr:rowOff>0</xdr:rowOff>
    </xdr:from>
    <xdr:ext cx="27765" cy="424860"/>
    <xdr:sp macro="" textlink="">
      <xdr:nvSpPr>
        <xdr:cNvPr id="349" name="Text Box 1025"/>
        <xdr:cNvSpPr txBox="1">
          <a:spLocks noChangeArrowheads="1"/>
        </xdr:cNvSpPr>
      </xdr:nvSpPr>
      <xdr:spPr bwMode="auto">
        <a:xfrm>
          <a:off x="0"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715</xdr:row>
      <xdr:rowOff>0</xdr:rowOff>
    </xdr:from>
    <xdr:ext cx="27765" cy="424860"/>
    <xdr:sp macro="" textlink="">
      <xdr:nvSpPr>
        <xdr:cNvPr id="350" name="Text Box 1025"/>
        <xdr:cNvSpPr txBox="1">
          <a:spLocks noChangeArrowheads="1"/>
        </xdr:cNvSpPr>
      </xdr:nvSpPr>
      <xdr:spPr bwMode="auto">
        <a:xfrm>
          <a:off x="12277725"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715</xdr:row>
      <xdr:rowOff>0</xdr:rowOff>
    </xdr:from>
    <xdr:ext cx="27765" cy="424860"/>
    <xdr:sp macro="" textlink="">
      <xdr:nvSpPr>
        <xdr:cNvPr id="351" name="Text Box 1025"/>
        <xdr:cNvSpPr txBox="1">
          <a:spLocks noChangeArrowheads="1"/>
        </xdr:cNvSpPr>
      </xdr:nvSpPr>
      <xdr:spPr bwMode="auto">
        <a:xfrm>
          <a:off x="12277725"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715</xdr:row>
      <xdr:rowOff>0</xdr:rowOff>
    </xdr:from>
    <xdr:ext cx="27765" cy="424860"/>
    <xdr:sp macro="" textlink="">
      <xdr:nvSpPr>
        <xdr:cNvPr id="352" name="Text Box 1025"/>
        <xdr:cNvSpPr txBox="1">
          <a:spLocks noChangeArrowheads="1"/>
        </xdr:cNvSpPr>
      </xdr:nvSpPr>
      <xdr:spPr bwMode="auto">
        <a:xfrm>
          <a:off x="12277725" y="1712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720</xdr:row>
      <xdr:rowOff>0</xdr:rowOff>
    </xdr:from>
    <xdr:ext cx="27765" cy="424860"/>
    <xdr:sp macro="" textlink="">
      <xdr:nvSpPr>
        <xdr:cNvPr id="353" name="Text Box 1025"/>
        <xdr:cNvSpPr txBox="1">
          <a:spLocks noChangeArrowheads="1"/>
        </xdr:cNvSpPr>
      </xdr:nvSpPr>
      <xdr:spPr bwMode="auto">
        <a:xfrm>
          <a:off x="0" y="1724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720</xdr:row>
      <xdr:rowOff>0</xdr:rowOff>
    </xdr:from>
    <xdr:ext cx="27765" cy="424860"/>
    <xdr:sp macro="" textlink="">
      <xdr:nvSpPr>
        <xdr:cNvPr id="354" name="Text Box 1025"/>
        <xdr:cNvSpPr txBox="1">
          <a:spLocks noChangeArrowheads="1"/>
        </xdr:cNvSpPr>
      </xdr:nvSpPr>
      <xdr:spPr bwMode="auto">
        <a:xfrm>
          <a:off x="0" y="1724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720</xdr:row>
      <xdr:rowOff>0</xdr:rowOff>
    </xdr:from>
    <xdr:ext cx="27765" cy="424860"/>
    <xdr:sp macro="" textlink="">
      <xdr:nvSpPr>
        <xdr:cNvPr id="355" name="Text Box 1025"/>
        <xdr:cNvSpPr txBox="1">
          <a:spLocks noChangeArrowheads="1"/>
        </xdr:cNvSpPr>
      </xdr:nvSpPr>
      <xdr:spPr bwMode="auto">
        <a:xfrm>
          <a:off x="0" y="1724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735</xdr:row>
      <xdr:rowOff>0</xdr:rowOff>
    </xdr:from>
    <xdr:ext cx="27765" cy="424860"/>
    <xdr:sp macro="" textlink="">
      <xdr:nvSpPr>
        <xdr:cNvPr id="356" name="Text Box 1025"/>
        <xdr:cNvSpPr txBox="1">
          <a:spLocks noChangeArrowheads="1"/>
        </xdr:cNvSpPr>
      </xdr:nvSpPr>
      <xdr:spPr bwMode="auto">
        <a:xfrm>
          <a:off x="0"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735</xdr:row>
      <xdr:rowOff>0</xdr:rowOff>
    </xdr:from>
    <xdr:ext cx="27765" cy="424860"/>
    <xdr:sp macro="" textlink="">
      <xdr:nvSpPr>
        <xdr:cNvPr id="357" name="Text Box 1025"/>
        <xdr:cNvSpPr txBox="1">
          <a:spLocks noChangeArrowheads="1"/>
        </xdr:cNvSpPr>
      </xdr:nvSpPr>
      <xdr:spPr bwMode="auto">
        <a:xfrm>
          <a:off x="0"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735</xdr:row>
      <xdr:rowOff>0</xdr:rowOff>
    </xdr:from>
    <xdr:ext cx="27765" cy="424860"/>
    <xdr:sp macro="" textlink="">
      <xdr:nvSpPr>
        <xdr:cNvPr id="358" name="Text Box 1025"/>
        <xdr:cNvSpPr txBox="1">
          <a:spLocks noChangeArrowheads="1"/>
        </xdr:cNvSpPr>
      </xdr:nvSpPr>
      <xdr:spPr bwMode="auto">
        <a:xfrm>
          <a:off x="0"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735</xdr:row>
      <xdr:rowOff>0</xdr:rowOff>
    </xdr:from>
    <xdr:ext cx="27765" cy="424860"/>
    <xdr:sp macro="" textlink="">
      <xdr:nvSpPr>
        <xdr:cNvPr id="359" name="Text Box 1025"/>
        <xdr:cNvSpPr txBox="1">
          <a:spLocks noChangeArrowheads="1"/>
        </xdr:cNvSpPr>
      </xdr:nvSpPr>
      <xdr:spPr bwMode="auto">
        <a:xfrm>
          <a:off x="12277725"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735</xdr:row>
      <xdr:rowOff>0</xdr:rowOff>
    </xdr:from>
    <xdr:ext cx="27765" cy="424860"/>
    <xdr:sp macro="" textlink="">
      <xdr:nvSpPr>
        <xdr:cNvPr id="360" name="Text Box 1025"/>
        <xdr:cNvSpPr txBox="1">
          <a:spLocks noChangeArrowheads="1"/>
        </xdr:cNvSpPr>
      </xdr:nvSpPr>
      <xdr:spPr bwMode="auto">
        <a:xfrm>
          <a:off x="12277725"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735</xdr:row>
      <xdr:rowOff>0</xdr:rowOff>
    </xdr:from>
    <xdr:ext cx="27765" cy="424860"/>
    <xdr:sp macro="" textlink="">
      <xdr:nvSpPr>
        <xdr:cNvPr id="361" name="Text Box 1025"/>
        <xdr:cNvSpPr txBox="1">
          <a:spLocks noChangeArrowheads="1"/>
        </xdr:cNvSpPr>
      </xdr:nvSpPr>
      <xdr:spPr bwMode="auto">
        <a:xfrm>
          <a:off x="12277725" y="1760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740</xdr:row>
      <xdr:rowOff>0</xdr:rowOff>
    </xdr:from>
    <xdr:ext cx="27765" cy="424860"/>
    <xdr:sp macro="" textlink="">
      <xdr:nvSpPr>
        <xdr:cNvPr id="362" name="Text Box 1025"/>
        <xdr:cNvSpPr txBox="1">
          <a:spLocks noChangeArrowheads="1"/>
        </xdr:cNvSpPr>
      </xdr:nvSpPr>
      <xdr:spPr bwMode="auto">
        <a:xfrm>
          <a:off x="0" y="1771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740</xdr:row>
      <xdr:rowOff>0</xdr:rowOff>
    </xdr:from>
    <xdr:ext cx="27765" cy="424860"/>
    <xdr:sp macro="" textlink="">
      <xdr:nvSpPr>
        <xdr:cNvPr id="363" name="Text Box 1025"/>
        <xdr:cNvSpPr txBox="1">
          <a:spLocks noChangeArrowheads="1"/>
        </xdr:cNvSpPr>
      </xdr:nvSpPr>
      <xdr:spPr bwMode="auto">
        <a:xfrm>
          <a:off x="0" y="1771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740</xdr:row>
      <xdr:rowOff>0</xdr:rowOff>
    </xdr:from>
    <xdr:ext cx="27765" cy="424860"/>
    <xdr:sp macro="" textlink="">
      <xdr:nvSpPr>
        <xdr:cNvPr id="364" name="Text Box 1025"/>
        <xdr:cNvSpPr txBox="1">
          <a:spLocks noChangeArrowheads="1"/>
        </xdr:cNvSpPr>
      </xdr:nvSpPr>
      <xdr:spPr bwMode="auto">
        <a:xfrm>
          <a:off x="0" y="1771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755</xdr:row>
      <xdr:rowOff>0</xdr:rowOff>
    </xdr:from>
    <xdr:ext cx="27765" cy="424860"/>
    <xdr:sp macro="" textlink="">
      <xdr:nvSpPr>
        <xdr:cNvPr id="365" name="Text Box 1025"/>
        <xdr:cNvSpPr txBox="1">
          <a:spLocks noChangeArrowheads="1"/>
        </xdr:cNvSpPr>
      </xdr:nvSpPr>
      <xdr:spPr bwMode="auto">
        <a:xfrm>
          <a:off x="0"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755</xdr:row>
      <xdr:rowOff>0</xdr:rowOff>
    </xdr:from>
    <xdr:ext cx="27765" cy="424860"/>
    <xdr:sp macro="" textlink="">
      <xdr:nvSpPr>
        <xdr:cNvPr id="366" name="Text Box 1025"/>
        <xdr:cNvSpPr txBox="1">
          <a:spLocks noChangeArrowheads="1"/>
        </xdr:cNvSpPr>
      </xdr:nvSpPr>
      <xdr:spPr bwMode="auto">
        <a:xfrm>
          <a:off x="0"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755</xdr:row>
      <xdr:rowOff>0</xdr:rowOff>
    </xdr:from>
    <xdr:ext cx="27765" cy="424860"/>
    <xdr:sp macro="" textlink="">
      <xdr:nvSpPr>
        <xdr:cNvPr id="367" name="Text Box 1025"/>
        <xdr:cNvSpPr txBox="1">
          <a:spLocks noChangeArrowheads="1"/>
        </xdr:cNvSpPr>
      </xdr:nvSpPr>
      <xdr:spPr bwMode="auto">
        <a:xfrm>
          <a:off x="0"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755</xdr:row>
      <xdr:rowOff>0</xdr:rowOff>
    </xdr:from>
    <xdr:ext cx="27765" cy="424860"/>
    <xdr:sp macro="" textlink="">
      <xdr:nvSpPr>
        <xdr:cNvPr id="368" name="Text Box 1025"/>
        <xdr:cNvSpPr txBox="1">
          <a:spLocks noChangeArrowheads="1"/>
        </xdr:cNvSpPr>
      </xdr:nvSpPr>
      <xdr:spPr bwMode="auto">
        <a:xfrm>
          <a:off x="12277725"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755</xdr:row>
      <xdr:rowOff>0</xdr:rowOff>
    </xdr:from>
    <xdr:ext cx="27765" cy="424860"/>
    <xdr:sp macro="" textlink="">
      <xdr:nvSpPr>
        <xdr:cNvPr id="369" name="Text Box 1025"/>
        <xdr:cNvSpPr txBox="1">
          <a:spLocks noChangeArrowheads="1"/>
        </xdr:cNvSpPr>
      </xdr:nvSpPr>
      <xdr:spPr bwMode="auto">
        <a:xfrm>
          <a:off x="12277725"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755</xdr:row>
      <xdr:rowOff>0</xdr:rowOff>
    </xdr:from>
    <xdr:ext cx="27765" cy="424860"/>
    <xdr:sp macro="" textlink="">
      <xdr:nvSpPr>
        <xdr:cNvPr id="370" name="Text Box 1025"/>
        <xdr:cNvSpPr txBox="1">
          <a:spLocks noChangeArrowheads="1"/>
        </xdr:cNvSpPr>
      </xdr:nvSpPr>
      <xdr:spPr bwMode="auto">
        <a:xfrm>
          <a:off x="12277725" y="1807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760</xdr:row>
      <xdr:rowOff>0</xdr:rowOff>
    </xdr:from>
    <xdr:ext cx="27765" cy="424860"/>
    <xdr:sp macro="" textlink="">
      <xdr:nvSpPr>
        <xdr:cNvPr id="371" name="Text Box 1025"/>
        <xdr:cNvSpPr txBox="1">
          <a:spLocks noChangeArrowheads="1"/>
        </xdr:cNvSpPr>
      </xdr:nvSpPr>
      <xdr:spPr bwMode="auto">
        <a:xfrm>
          <a:off x="0" y="1819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760</xdr:row>
      <xdr:rowOff>0</xdr:rowOff>
    </xdr:from>
    <xdr:ext cx="27765" cy="424860"/>
    <xdr:sp macro="" textlink="">
      <xdr:nvSpPr>
        <xdr:cNvPr id="372" name="Text Box 1025"/>
        <xdr:cNvSpPr txBox="1">
          <a:spLocks noChangeArrowheads="1"/>
        </xdr:cNvSpPr>
      </xdr:nvSpPr>
      <xdr:spPr bwMode="auto">
        <a:xfrm>
          <a:off x="0" y="1819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760</xdr:row>
      <xdr:rowOff>0</xdr:rowOff>
    </xdr:from>
    <xdr:ext cx="27765" cy="424860"/>
    <xdr:sp macro="" textlink="">
      <xdr:nvSpPr>
        <xdr:cNvPr id="373" name="Text Box 1025"/>
        <xdr:cNvSpPr txBox="1">
          <a:spLocks noChangeArrowheads="1"/>
        </xdr:cNvSpPr>
      </xdr:nvSpPr>
      <xdr:spPr bwMode="auto">
        <a:xfrm>
          <a:off x="0" y="1819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775</xdr:row>
      <xdr:rowOff>0</xdr:rowOff>
    </xdr:from>
    <xdr:ext cx="27765" cy="424860"/>
    <xdr:sp macro="" textlink="">
      <xdr:nvSpPr>
        <xdr:cNvPr id="374" name="Text Box 1025"/>
        <xdr:cNvSpPr txBox="1">
          <a:spLocks noChangeArrowheads="1"/>
        </xdr:cNvSpPr>
      </xdr:nvSpPr>
      <xdr:spPr bwMode="auto">
        <a:xfrm>
          <a:off x="0"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775</xdr:row>
      <xdr:rowOff>0</xdr:rowOff>
    </xdr:from>
    <xdr:ext cx="27765" cy="424860"/>
    <xdr:sp macro="" textlink="">
      <xdr:nvSpPr>
        <xdr:cNvPr id="375" name="Text Box 1025"/>
        <xdr:cNvSpPr txBox="1">
          <a:spLocks noChangeArrowheads="1"/>
        </xdr:cNvSpPr>
      </xdr:nvSpPr>
      <xdr:spPr bwMode="auto">
        <a:xfrm>
          <a:off x="0"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775</xdr:row>
      <xdr:rowOff>0</xdr:rowOff>
    </xdr:from>
    <xdr:ext cx="27765" cy="424860"/>
    <xdr:sp macro="" textlink="">
      <xdr:nvSpPr>
        <xdr:cNvPr id="376" name="Text Box 1025"/>
        <xdr:cNvSpPr txBox="1">
          <a:spLocks noChangeArrowheads="1"/>
        </xdr:cNvSpPr>
      </xdr:nvSpPr>
      <xdr:spPr bwMode="auto">
        <a:xfrm>
          <a:off x="0"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775</xdr:row>
      <xdr:rowOff>0</xdr:rowOff>
    </xdr:from>
    <xdr:ext cx="27765" cy="424860"/>
    <xdr:sp macro="" textlink="">
      <xdr:nvSpPr>
        <xdr:cNvPr id="377" name="Text Box 1025"/>
        <xdr:cNvSpPr txBox="1">
          <a:spLocks noChangeArrowheads="1"/>
        </xdr:cNvSpPr>
      </xdr:nvSpPr>
      <xdr:spPr bwMode="auto">
        <a:xfrm>
          <a:off x="12277725"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775</xdr:row>
      <xdr:rowOff>0</xdr:rowOff>
    </xdr:from>
    <xdr:ext cx="27765" cy="424860"/>
    <xdr:sp macro="" textlink="">
      <xdr:nvSpPr>
        <xdr:cNvPr id="378" name="Text Box 1025"/>
        <xdr:cNvSpPr txBox="1">
          <a:spLocks noChangeArrowheads="1"/>
        </xdr:cNvSpPr>
      </xdr:nvSpPr>
      <xdr:spPr bwMode="auto">
        <a:xfrm>
          <a:off x="12277725"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775</xdr:row>
      <xdr:rowOff>0</xdr:rowOff>
    </xdr:from>
    <xdr:ext cx="27765" cy="424860"/>
    <xdr:sp macro="" textlink="">
      <xdr:nvSpPr>
        <xdr:cNvPr id="379" name="Text Box 1025"/>
        <xdr:cNvSpPr txBox="1">
          <a:spLocks noChangeArrowheads="1"/>
        </xdr:cNvSpPr>
      </xdr:nvSpPr>
      <xdr:spPr bwMode="auto">
        <a:xfrm>
          <a:off x="12277725" y="1855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780</xdr:row>
      <xdr:rowOff>0</xdr:rowOff>
    </xdr:from>
    <xdr:ext cx="27765" cy="424860"/>
    <xdr:sp macro="" textlink="">
      <xdr:nvSpPr>
        <xdr:cNvPr id="380" name="Text Box 1025"/>
        <xdr:cNvSpPr txBox="1">
          <a:spLocks noChangeArrowheads="1"/>
        </xdr:cNvSpPr>
      </xdr:nvSpPr>
      <xdr:spPr bwMode="auto">
        <a:xfrm>
          <a:off x="0" y="1867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780</xdr:row>
      <xdr:rowOff>0</xdr:rowOff>
    </xdr:from>
    <xdr:ext cx="27765" cy="424860"/>
    <xdr:sp macro="" textlink="">
      <xdr:nvSpPr>
        <xdr:cNvPr id="381" name="Text Box 1025"/>
        <xdr:cNvSpPr txBox="1">
          <a:spLocks noChangeArrowheads="1"/>
        </xdr:cNvSpPr>
      </xdr:nvSpPr>
      <xdr:spPr bwMode="auto">
        <a:xfrm>
          <a:off x="0" y="1867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780</xdr:row>
      <xdr:rowOff>0</xdr:rowOff>
    </xdr:from>
    <xdr:ext cx="27765" cy="424860"/>
    <xdr:sp macro="" textlink="">
      <xdr:nvSpPr>
        <xdr:cNvPr id="382" name="Text Box 1025"/>
        <xdr:cNvSpPr txBox="1">
          <a:spLocks noChangeArrowheads="1"/>
        </xdr:cNvSpPr>
      </xdr:nvSpPr>
      <xdr:spPr bwMode="auto">
        <a:xfrm>
          <a:off x="0" y="1867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795</xdr:row>
      <xdr:rowOff>0</xdr:rowOff>
    </xdr:from>
    <xdr:ext cx="27765" cy="424860"/>
    <xdr:sp macro="" textlink="">
      <xdr:nvSpPr>
        <xdr:cNvPr id="383" name="Text Box 1025"/>
        <xdr:cNvSpPr txBox="1">
          <a:spLocks noChangeArrowheads="1"/>
        </xdr:cNvSpPr>
      </xdr:nvSpPr>
      <xdr:spPr bwMode="auto">
        <a:xfrm>
          <a:off x="0"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795</xdr:row>
      <xdr:rowOff>0</xdr:rowOff>
    </xdr:from>
    <xdr:ext cx="27765" cy="424860"/>
    <xdr:sp macro="" textlink="">
      <xdr:nvSpPr>
        <xdr:cNvPr id="384" name="Text Box 1025"/>
        <xdr:cNvSpPr txBox="1">
          <a:spLocks noChangeArrowheads="1"/>
        </xdr:cNvSpPr>
      </xdr:nvSpPr>
      <xdr:spPr bwMode="auto">
        <a:xfrm>
          <a:off x="0"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795</xdr:row>
      <xdr:rowOff>0</xdr:rowOff>
    </xdr:from>
    <xdr:ext cx="27765" cy="424860"/>
    <xdr:sp macro="" textlink="">
      <xdr:nvSpPr>
        <xdr:cNvPr id="385" name="Text Box 1025"/>
        <xdr:cNvSpPr txBox="1">
          <a:spLocks noChangeArrowheads="1"/>
        </xdr:cNvSpPr>
      </xdr:nvSpPr>
      <xdr:spPr bwMode="auto">
        <a:xfrm>
          <a:off x="0"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795</xdr:row>
      <xdr:rowOff>0</xdr:rowOff>
    </xdr:from>
    <xdr:ext cx="27765" cy="424860"/>
    <xdr:sp macro="" textlink="">
      <xdr:nvSpPr>
        <xdr:cNvPr id="386" name="Text Box 1025"/>
        <xdr:cNvSpPr txBox="1">
          <a:spLocks noChangeArrowheads="1"/>
        </xdr:cNvSpPr>
      </xdr:nvSpPr>
      <xdr:spPr bwMode="auto">
        <a:xfrm>
          <a:off x="12277725"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795</xdr:row>
      <xdr:rowOff>0</xdr:rowOff>
    </xdr:from>
    <xdr:ext cx="27765" cy="424860"/>
    <xdr:sp macro="" textlink="">
      <xdr:nvSpPr>
        <xdr:cNvPr id="387" name="Text Box 1025"/>
        <xdr:cNvSpPr txBox="1">
          <a:spLocks noChangeArrowheads="1"/>
        </xdr:cNvSpPr>
      </xdr:nvSpPr>
      <xdr:spPr bwMode="auto">
        <a:xfrm>
          <a:off x="12277725"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795</xdr:row>
      <xdr:rowOff>0</xdr:rowOff>
    </xdr:from>
    <xdr:ext cx="27765" cy="424860"/>
    <xdr:sp macro="" textlink="">
      <xdr:nvSpPr>
        <xdr:cNvPr id="388" name="Text Box 1025"/>
        <xdr:cNvSpPr txBox="1">
          <a:spLocks noChangeArrowheads="1"/>
        </xdr:cNvSpPr>
      </xdr:nvSpPr>
      <xdr:spPr bwMode="auto">
        <a:xfrm>
          <a:off x="12277725" y="1902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800</xdr:row>
      <xdr:rowOff>0</xdr:rowOff>
    </xdr:from>
    <xdr:ext cx="27765" cy="424860"/>
    <xdr:sp macro="" textlink="">
      <xdr:nvSpPr>
        <xdr:cNvPr id="389" name="Text Box 1025"/>
        <xdr:cNvSpPr txBox="1">
          <a:spLocks noChangeArrowheads="1"/>
        </xdr:cNvSpPr>
      </xdr:nvSpPr>
      <xdr:spPr bwMode="auto">
        <a:xfrm>
          <a:off x="0" y="1914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800</xdr:row>
      <xdr:rowOff>0</xdr:rowOff>
    </xdr:from>
    <xdr:ext cx="27765" cy="424860"/>
    <xdr:sp macro="" textlink="">
      <xdr:nvSpPr>
        <xdr:cNvPr id="390" name="Text Box 1025"/>
        <xdr:cNvSpPr txBox="1">
          <a:spLocks noChangeArrowheads="1"/>
        </xdr:cNvSpPr>
      </xdr:nvSpPr>
      <xdr:spPr bwMode="auto">
        <a:xfrm>
          <a:off x="0" y="1914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800</xdr:row>
      <xdr:rowOff>0</xdr:rowOff>
    </xdr:from>
    <xdr:ext cx="27765" cy="424860"/>
    <xdr:sp macro="" textlink="">
      <xdr:nvSpPr>
        <xdr:cNvPr id="391" name="Text Box 1025"/>
        <xdr:cNvSpPr txBox="1">
          <a:spLocks noChangeArrowheads="1"/>
        </xdr:cNvSpPr>
      </xdr:nvSpPr>
      <xdr:spPr bwMode="auto">
        <a:xfrm>
          <a:off x="0" y="1914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815</xdr:row>
      <xdr:rowOff>0</xdr:rowOff>
    </xdr:from>
    <xdr:ext cx="27765" cy="424860"/>
    <xdr:sp macro="" textlink="">
      <xdr:nvSpPr>
        <xdr:cNvPr id="392" name="Text Box 1025"/>
        <xdr:cNvSpPr txBox="1">
          <a:spLocks noChangeArrowheads="1"/>
        </xdr:cNvSpPr>
      </xdr:nvSpPr>
      <xdr:spPr bwMode="auto">
        <a:xfrm>
          <a:off x="0"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815</xdr:row>
      <xdr:rowOff>0</xdr:rowOff>
    </xdr:from>
    <xdr:ext cx="27765" cy="424860"/>
    <xdr:sp macro="" textlink="">
      <xdr:nvSpPr>
        <xdr:cNvPr id="393" name="Text Box 1025"/>
        <xdr:cNvSpPr txBox="1">
          <a:spLocks noChangeArrowheads="1"/>
        </xdr:cNvSpPr>
      </xdr:nvSpPr>
      <xdr:spPr bwMode="auto">
        <a:xfrm>
          <a:off x="0"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815</xdr:row>
      <xdr:rowOff>0</xdr:rowOff>
    </xdr:from>
    <xdr:ext cx="27765" cy="424860"/>
    <xdr:sp macro="" textlink="">
      <xdr:nvSpPr>
        <xdr:cNvPr id="394" name="Text Box 1025"/>
        <xdr:cNvSpPr txBox="1">
          <a:spLocks noChangeArrowheads="1"/>
        </xdr:cNvSpPr>
      </xdr:nvSpPr>
      <xdr:spPr bwMode="auto">
        <a:xfrm>
          <a:off x="0"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815</xdr:row>
      <xdr:rowOff>0</xdr:rowOff>
    </xdr:from>
    <xdr:ext cx="27765" cy="424860"/>
    <xdr:sp macro="" textlink="">
      <xdr:nvSpPr>
        <xdr:cNvPr id="395" name="Text Box 1025"/>
        <xdr:cNvSpPr txBox="1">
          <a:spLocks noChangeArrowheads="1"/>
        </xdr:cNvSpPr>
      </xdr:nvSpPr>
      <xdr:spPr bwMode="auto">
        <a:xfrm>
          <a:off x="12277725"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815</xdr:row>
      <xdr:rowOff>0</xdr:rowOff>
    </xdr:from>
    <xdr:ext cx="27765" cy="424860"/>
    <xdr:sp macro="" textlink="">
      <xdr:nvSpPr>
        <xdr:cNvPr id="396" name="Text Box 1025"/>
        <xdr:cNvSpPr txBox="1">
          <a:spLocks noChangeArrowheads="1"/>
        </xdr:cNvSpPr>
      </xdr:nvSpPr>
      <xdr:spPr bwMode="auto">
        <a:xfrm>
          <a:off x="12277725"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815</xdr:row>
      <xdr:rowOff>0</xdr:rowOff>
    </xdr:from>
    <xdr:ext cx="27765" cy="424860"/>
    <xdr:sp macro="" textlink="">
      <xdr:nvSpPr>
        <xdr:cNvPr id="397" name="Text Box 1025"/>
        <xdr:cNvSpPr txBox="1">
          <a:spLocks noChangeArrowheads="1"/>
        </xdr:cNvSpPr>
      </xdr:nvSpPr>
      <xdr:spPr bwMode="auto">
        <a:xfrm>
          <a:off x="12277725" y="1950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820</xdr:row>
      <xdr:rowOff>0</xdr:rowOff>
    </xdr:from>
    <xdr:ext cx="27765" cy="424860"/>
    <xdr:sp macro="" textlink="">
      <xdr:nvSpPr>
        <xdr:cNvPr id="398" name="Text Box 1025"/>
        <xdr:cNvSpPr txBox="1">
          <a:spLocks noChangeArrowheads="1"/>
        </xdr:cNvSpPr>
      </xdr:nvSpPr>
      <xdr:spPr bwMode="auto">
        <a:xfrm>
          <a:off x="0" y="1962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820</xdr:row>
      <xdr:rowOff>0</xdr:rowOff>
    </xdr:from>
    <xdr:ext cx="27765" cy="424860"/>
    <xdr:sp macro="" textlink="">
      <xdr:nvSpPr>
        <xdr:cNvPr id="399" name="Text Box 1025"/>
        <xdr:cNvSpPr txBox="1">
          <a:spLocks noChangeArrowheads="1"/>
        </xdr:cNvSpPr>
      </xdr:nvSpPr>
      <xdr:spPr bwMode="auto">
        <a:xfrm>
          <a:off x="0" y="1962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820</xdr:row>
      <xdr:rowOff>0</xdr:rowOff>
    </xdr:from>
    <xdr:ext cx="27765" cy="424860"/>
    <xdr:sp macro="" textlink="">
      <xdr:nvSpPr>
        <xdr:cNvPr id="400" name="Text Box 1025"/>
        <xdr:cNvSpPr txBox="1">
          <a:spLocks noChangeArrowheads="1"/>
        </xdr:cNvSpPr>
      </xdr:nvSpPr>
      <xdr:spPr bwMode="auto">
        <a:xfrm>
          <a:off x="0" y="1962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835</xdr:row>
      <xdr:rowOff>0</xdr:rowOff>
    </xdr:from>
    <xdr:ext cx="27765" cy="424860"/>
    <xdr:sp macro="" textlink="">
      <xdr:nvSpPr>
        <xdr:cNvPr id="401" name="Text Box 1025"/>
        <xdr:cNvSpPr txBox="1">
          <a:spLocks noChangeArrowheads="1"/>
        </xdr:cNvSpPr>
      </xdr:nvSpPr>
      <xdr:spPr bwMode="auto">
        <a:xfrm>
          <a:off x="0"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835</xdr:row>
      <xdr:rowOff>0</xdr:rowOff>
    </xdr:from>
    <xdr:ext cx="27765" cy="424860"/>
    <xdr:sp macro="" textlink="">
      <xdr:nvSpPr>
        <xdr:cNvPr id="402" name="Text Box 1025"/>
        <xdr:cNvSpPr txBox="1">
          <a:spLocks noChangeArrowheads="1"/>
        </xdr:cNvSpPr>
      </xdr:nvSpPr>
      <xdr:spPr bwMode="auto">
        <a:xfrm>
          <a:off x="0"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835</xdr:row>
      <xdr:rowOff>0</xdr:rowOff>
    </xdr:from>
    <xdr:ext cx="27765" cy="424860"/>
    <xdr:sp macro="" textlink="">
      <xdr:nvSpPr>
        <xdr:cNvPr id="403" name="Text Box 1025"/>
        <xdr:cNvSpPr txBox="1">
          <a:spLocks noChangeArrowheads="1"/>
        </xdr:cNvSpPr>
      </xdr:nvSpPr>
      <xdr:spPr bwMode="auto">
        <a:xfrm>
          <a:off x="0"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835</xdr:row>
      <xdr:rowOff>0</xdr:rowOff>
    </xdr:from>
    <xdr:ext cx="27765" cy="424860"/>
    <xdr:sp macro="" textlink="">
      <xdr:nvSpPr>
        <xdr:cNvPr id="404" name="Text Box 1025"/>
        <xdr:cNvSpPr txBox="1">
          <a:spLocks noChangeArrowheads="1"/>
        </xdr:cNvSpPr>
      </xdr:nvSpPr>
      <xdr:spPr bwMode="auto">
        <a:xfrm>
          <a:off x="12277725"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835</xdr:row>
      <xdr:rowOff>0</xdr:rowOff>
    </xdr:from>
    <xdr:ext cx="27765" cy="424860"/>
    <xdr:sp macro="" textlink="">
      <xdr:nvSpPr>
        <xdr:cNvPr id="405" name="Text Box 1025"/>
        <xdr:cNvSpPr txBox="1">
          <a:spLocks noChangeArrowheads="1"/>
        </xdr:cNvSpPr>
      </xdr:nvSpPr>
      <xdr:spPr bwMode="auto">
        <a:xfrm>
          <a:off x="12277725"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835</xdr:row>
      <xdr:rowOff>0</xdr:rowOff>
    </xdr:from>
    <xdr:ext cx="27765" cy="424860"/>
    <xdr:sp macro="" textlink="">
      <xdr:nvSpPr>
        <xdr:cNvPr id="406" name="Text Box 1025"/>
        <xdr:cNvSpPr txBox="1">
          <a:spLocks noChangeArrowheads="1"/>
        </xdr:cNvSpPr>
      </xdr:nvSpPr>
      <xdr:spPr bwMode="auto">
        <a:xfrm>
          <a:off x="12277725" y="1998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840</xdr:row>
      <xdr:rowOff>0</xdr:rowOff>
    </xdr:from>
    <xdr:ext cx="27765" cy="424860"/>
    <xdr:sp macro="" textlink="">
      <xdr:nvSpPr>
        <xdr:cNvPr id="407" name="Text Box 1025"/>
        <xdr:cNvSpPr txBox="1">
          <a:spLocks noChangeArrowheads="1"/>
        </xdr:cNvSpPr>
      </xdr:nvSpPr>
      <xdr:spPr bwMode="auto">
        <a:xfrm>
          <a:off x="0" y="2010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840</xdr:row>
      <xdr:rowOff>0</xdr:rowOff>
    </xdr:from>
    <xdr:ext cx="27765" cy="424860"/>
    <xdr:sp macro="" textlink="">
      <xdr:nvSpPr>
        <xdr:cNvPr id="408" name="Text Box 1025"/>
        <xdr:cNvSpPr txBox="1">
          <a:spLocks noChangeArrowheads="1"/>
        </xdr:cNvSpPr>
      </xdr:nvSpPr>
      <xdr:spPr bwMode="auto">
        <a:xfrm>
          <a:off x="0" y="2010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840</xdr:row>
      <xdr:rowOff>0</xdr:rowOff>
    </xdr:from>
    <xdr:ext cx="27765" cy="424860"/>
    <xdr:sp macro="" textlink="">
      <xdr:nvSpPr>
        <xdr:cNvPr id="409" name="Text Box 1025"/>
        <xdr:cNvSpPr txBox="1">
          <a:spLocks noChangeArrowheads="1"/>
        </xdr:cNvSpPr>
      </xdr:nvSpPr>
      <xdr:spPr bwMode="auto">
        <a:xfrm>
          <a:off x="0" y="2010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855</xdr:row>
      <xdr:rowOff>0</xdr:rowOff>
    </xdr:from>
    <xdr:ext cx="27765" cy="424860"/>
    <xdr:sp macro="" textlink="">
      <xdr:nvSpPr>
        <xdr:cNvPr id="410" name="Text Box 1025"/>
        <xdr:cNvSpPr txBox="1">
          <a:spLocks noChangeArrowheads="1"/>
        </xdr:cNvSpPr>
      </xdr:nvSpPr>
      <xdr:spPr bwMode="auto">
        <a:xfrm>
          <a:off x="0"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855</xdr:row>
      <xdr:rowOff>0</xdr:rowOff>
    </xdr:from>
    <xdr:ext cx="27765" cy="424860"/>
    <xdr:sp macro="" textlink="">
      <xdr:nvSpPr>
        <xdr:cNvPr id="411" name="Text Box 1025"/>
        <xdr:cNvSpPr txBox="1">
          <a:spLocks noChangeArrowheads="1"/>
        </xdr:cNvSpPr>
      </xdr:nvSpPr>
      <xdr:spPr bwMode="auto">
        <a:xfrm>
          <a:off x="0"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855</xdr:row>
      <xdr:rowOff>0</xdr:rowOff>
    </xdr:from>
    <xdr:ext cx="27765" cy="424860"/>
    <xdr:sp macro="" textlink="">
      <xdr:nvSpPr>
        <xdr:cNvPr id="412" name="Text Box 1025"/>
        <xdr:cNvSpPr txBox="1">
          <a:spLocks noChangeArrowheads="1"/>
        </xdr:cNvSpPr>
      </xdr:nvSpPr>
      <xdr:spPr bwMode="auto">
        <a:xfrm>
          <a:off x="0"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855</xdr:row>
      <xdr:rowOff>0</xdr:rowOff>
    </xdr:from>
    <xdr:ext cx="27765" cy="424860"/>
    <xdr:sp macro="" textlink="">
      <xdr:nvSpPr>
        <xdr:cNvPr id="413" name="Text Box 1025"/>
        <xdr:cNvSpPr txBox="1">
          <a:spLocks noChangeArrowheads="1"/>
        </xdr:cNvSpPr>
      </xdr:nvSpPr>
      <xdr:spPr bwMode="auto">
        <a:xfrm>
          <a:off x="12277725"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855</xdr:row>
      <xdr:rowOff>0</xdr:rowOff>
    </xdr:from>
    <xdr:ext cx="27765" cy="424860"/>
    <xdr:sp macro="" textlink="">
      <xdr:nvSpPr>
        <xdr:cNvPr id="414" name="Text Box 1025"/>
        <xdr:cNvSpPr txBox="1">
          <a:spLocks noChangeArrowheads="1"/>
        </xdr:cNvSpPr>
      </xdr:nvSpPr>
      <xdr:spPr bwMode="auto">
        <a:xfrm>
          <a:off x="12277725"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855</xdr:row>
      <xdr:rowOff>0</xdr:rowOff>
    </xdr:from>
    <xdr:ext cx="27765" cy="424860"/>
    <xdr:sp macro="" textlink="">
      <xdr:nvSpPr>
        <xdr:cNvPr id="415" name="Text Box 1025"/>
        <xdr:cNvSpPr txBox="1">
          <a:spLocks noChangeArrowheads="1"/>
        </xdr:cNvSpPr>
      </xdr:nvSpPr>
      <xdr:spPr bwMode="auto">
        <a:xfrm>
          <a:off x="12277725" y="2045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860</xdr:row>
      <xdr:rowOff>0</xdr:rowOff>
    </xdr:from>
    <xdr:ext cx="27765" cy="424860"/>
    <xdr:sp macro="" textlink="">
      <xdr:nvSpPr>
        <xdr:cNvPr id="416" name="Text Box 1025"/>
        <xdr:cNvSpPr txBox="1">
          <a:spLocks noChangeArrowheads="1"/>
        </xdr:cNvSpPr>
      </xdr:nvSpPr>
      <xdr:spPr bwMode="auto">
        <a:xfrm>
          <a:off x="0" y="2057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860</xdr:row>
      <xdr:rowOff>0</xdr:rowOff>
    </xdr:from>
    <xdr:ext cx="27765" cy="424860"/>
    <xdr:sp macro="" textlink="">
      <xdr:nvSpPr>
        <xdr:cNvPr id="417" name="Text Box 1025"/>
        <xdr:cNvSpPr txBox="1">
          <a:spLocks noChangeArrowheads="1"/>
        </xdr:cNvSpPr>
      </xdr:nvSpPr>
      <xdr:spPr bwMode="auto">
        <a:xfrm>
          <a:off x="0" y="2057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860</xdr:row>
      <xdr:rowOff>0</xdr:rowOff>
    </xdr:from>
    <xdr:ext cx="27765" cy="424860"/>
    <xdr:sp macro="" textlink="">
      <xdr:nvSpPr>
        <xdr:cNvPr id="418" name="Text Box 1025"/>
        <xdr:cNvSpPr txBox="1">
          <a:spLocks noChangeArrowheads="1"/>
        </xdr:cNvSpPr>
      </xdr:nvSpPr>
      <xdr:spPr bwMode="auto">
        <a:xfrm>
          <a:off x="0" y="2057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875</xdr:row>
      <xdr:rowOff>0</xdr:rowOff>
    </xdr:from>
    <xdr:ext cx="27765" cy="424860"/>
    <xdr:sp macro="" textlink="">
      <xdr:nvSpPr>
        <xdr:cNvPr id="419" name="Text Box 1025"/>
        <xdr:cNvSpPr txBox="1">
          <a:spLocks noChangeArrowheads="1"/>
        </xdr:cNvSpPr>
      </xdr:nvSpPr>
      <xdr:spPr bwMode="auto">
        <a:xfrm>
          <a:off x="0"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875</xdr:row>
      <xdr:rowOff>0</xdr:rowOff>
    </xdr:from>
    <xdr:ext cx="27765" cy="424860"/>
    <xdr:sp macro="" textlink="">
      <xdr:nvSpPr>
        <xdr:cNvPr id="420" name="Text Box 1025"/>
        <xdr:cNvSpPr txBox="1">
          <a:spLocks noChangeArrowheads="1"/>
        </xdr:cNvSpPr>
      </xdr:nvSpPr>
      <xdr:spPr bwMode="auto">
        <a:xfrm>
          <a:off x="0"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875</xdr:row>
      <xdr:rowOff>0</xdr:rowOff>
    </xdr:from>
    <xdr:ext cx="27765" cy="424860"/>
    <xdr:sp macro="" textlink="">
      <xdr:nvSpPr>
        <xdr:cNvPr id="421" name="Text Box 1025"/>
        <xdr:cNvSpPr txBox="1">
          <a:spLocks noChangeArrowheads="1"/>
        </xdr:cNvSpPr>
      </xdr:nvSpPr>
      <xdr:spPr bwMode="auto">
        <a:xfrm>
          <a:off x="0"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875</xdr:row>
      <xdr:rowOff>0</xdr:rowOff>
    </xdr:from>
    <xdr:ext cx="27765" cy="424860"/>
    <xdr:sp macro="" textlink="">
      <xdr:nvSpPr>
        <xdr:cNvPr id="422" name="Text Box 1025"/>
        <xdr:cNvSpPr txBox="1">
          <a:spLocks noChangeArrowheads="1"/>
        </xdr:cNvSpPr>
      </xdr:nvSpPr>
      <xdr:spPr bwMode="auto">
        <a:xfrm>
          <a:off x="12277725"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875</xdr:row>
      <xdr:rowOff>0</xdr:rowOff>
    </xdr:from>
    <xdr:ext cx="27765" cy="424860"/>
    <xdr:sp macro="" textlink="">
      <xdr:nvSpPr>
        <xdr:cNvPr id="423" name="Text Box 1025"/>
        <xdr:cNvSpPr txBox="1">
          <a:spLocks noChangeArrowheads="1"/>
        </xdr:cNvSpPr>
      </xdr:nvSpPr>
      <xdr:spPr bwMode="auto">
        <a:xfrm>
          <a:off x="12277725"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875</xdr:row>
      <xdr:rowOff>0</xdr:rowOff>
    </xdr:from>
    <xdr:ext cx="27765" cy="424860"/>
    <xdr:sp macro="" textlink="">
      <xdr:nvSpPr>
        <xdr:cNvPr id="424" name="Text Box 1025"/>
        <xdr:cNvSpPr txBox="1">
          <a:spLocks noChangeArrowheads="1"/>
        </xdr:cNvSpPr>
      </xdr:nvSpPr>
      <xdr:spPr bwMode="auto">
        <a:xfrm>
          <a:off x="12277725" y="2093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880</xdr:row>
      <xdr:rowOff>0</xdr:rowOff>
    </xdr:from>
    <xdr:ext cx="27765" cy="424860"/>
    <xdr:sp macro="" textlink="">
      <xdr:nvSpPr>
        <xdr:cNvPr id="425" name="Text Box 1025"/>
        <xdr:cNvSpPr txBox="1">
          <a:spLocks noChangeArrowheads="1"/>
        </xdr:cNvSpPr>
      </xdr:nvSpPr>
      <xdr:spPr bwMode="auto">
        <a:xfrm>
          <a:off x="0" y="2105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880</xdr:row>
      <xdr:rowOff>0</xdr:rowOff>
    </xdr:from>
    <xdr:ext cx="27765" cy="424860"/>
    <xdr:sp macro="" textlink="">
      <xdr:nvSpPr>
        <xdr:cNvPr id="426" name="Text Box 1025"/>
        <xdr:cNvSpPr txBox="1">
          <a:spLocks noChangeArrowheads="1"/>
        </xdr:cNvSpPr>
      </xdr:nvSpPr>
      <xdr:spPr bwMode="auto">
        <a:xfrm>
          <a:off x="0" y="2105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880</xdr:row>
      <xdr:rowOff>0</xdr:rowOff>
    </xdr:from>
    <xdr:ext cx="27765" cy="424860"/>
    <xdr:sp macro="" textlink="">
      <xdr:nvSpPr>
        <xdr:cNvPr id="427" name="Text Box 1025"/>
        <xdr:cNvSpPr txBox="1">
          <a:spLocks noChangeArrowheads="1"/>
        </xdr:cNvSpPr>
      </xdr:nvSpPr>
      <xdr:spPr bwMode="auto">
        <a:xfrm>
          <a:off x="0" y="2105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895</xdr:row>
      <xdr:rowOff>0</xdr:rowOff>
    </xdr:from>
    <xdr:ext cx="27765" cy="424860"/>
    <xdr:sp macro="" textlink="">
      <xdr:nvSpPr>
        <xdr:cNvPr id="428" name="Text Box 1025"/>
        <xdr:cNvSpPr txBox="1">
          <a:spLocks noChangeArrowheads="1"/>
        </xdr:cNvSpPr>
      </xdr:nvSpPr>
      <xdr:spPr bwMode="auto">
        <a:xfrm>
          <a:off x="0"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895</xdr:row>
      <xdr:rowOff>0</xdr:rowOff>
    </xdr:from>
    <xdr:ext cx="27765" cy="424860"/>
    <xdr:sp macro="" textlink="">
      <xdr:nvSpPr>
        <xdr:cNvPr id="429" name="Text Box 1025"/>
        <xdr:cNvSpPr txBox="1">
          <a:spLocks noChangeArrowheads="1"/>
        </xdr:cNvSpPr>
      </xdr:nvSpPr>
      <xdr:spPr bwMode="auto">
        <a:xfrm>
          <a:off x="0"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895</xdr:row>
      <xdr:rowOff>0</xdr:rowOff>
    </xdr:from>
    <xdr:ext cx="27765" cy="424860"/>
    <xdr:sp macro="" textlink="">
      <xdr:nvSpPr>
        <xdr:cNvPr id="430" name="Text Box 1025"/>
        <xdr:cNvSpPr txBox="1">
          <a:spLocks noChangeArrowheads="1"/>
        </xdr:cNvSpPr>
      </xdr:nvSpPr>
      <xdr:spPr bwMode="auto">
        <a:xfrm>
          <a:off x="0"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895</xdr:row>
      <xdr:rowOff>0</xdr:rowOff>
    </xdr:from>
    <xdr:ext cx="27765" cy="424860"/>
    <xdr:sp macro="" textlink="">
      <xdr:nvSpPr>
        <xdr:cNvPr id="431" name="Text Box 1025"/>
        <xdr:cNvSpPr txBox="1">
          <a:spLocks noChangeArrowheads="1"/>
        </xdr:cNvSpPr>
      </xdr:nvSpPr>
      <xdr:spPr bwMode="auto">
        <a:xfrm>
          <a:off x="12277725"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895</xdr:row>
      <xdr:rowOff>0</xdr:rowOff>
    </xdr:from>
    <xdr:ext cx="27765" cy="424860"/>
    <xdr:sp macro="" textlink="">
      <xdr:nvSpPr>
        <xdr:cNvPr id="432" name="Text Box 1025"/>
        <xdr:cNvSpPr txBox="1">
          <a:spLocks noChangeArrowheads="1"/>
        </xdr:cNvSpPr>
      </xdr:nvSpPr>
      <xdr:spPr bwMode="auto">
        <a:xfrm>
          <a:off x="12277725"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895</xdr:row>
      <xdr:rowOff>0</xdr:rowOff>
    </xdr:from>
    <xdr:ext cx="27765" cy="424860"/>
    <xdr:sp macro="" textlink="">
      <xdr:nvSpPr>
        <xdr:cNvPr id="433" name="Text Box 1025"/>
        <xdr:cNvSpPr txBox="1">
          <a:spLocks noChangeArrowheads="1"/>
        </xdr:cNvSpPr>
      </xdr:nvSpPr>
      <xdr:spPr bwMode="auto">
        <a:xfrm>
          <a:off x="12277725" y="2141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900</xdr:row>
      <xdr:rowOff>0</xdr:rowOff>
    </xdr:from>
    <xdr:ext cx="27765" cy="424860"/>
    <xdr:sp macro="" textlink="">
      <xdr:nvSpPr>
        <xdr:cNvPr id="434" name="Text Box 1025"/>
        <xdr:cNvSpPr txBox="1">
          <a:spLocks noChangeArrowheads="1"/>
        </xdr:cNvSpPr>
      </xdr:nvSpPr>
      <xdr:spPr bwMode="auto">
        <a:xfrm>
          <a:off x="0" y="2152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900</xdr:row>
      <xdr:rowOff>0</xdr:rowOff>
    </xdr:from>
    <xdr:ext cx="27765" cy="424860"/>
    <xdr:sp macro="" textlink="">
      <xdr:nvSpPr>
        <xdr:cNvPr id="435" name="Text Box 1025"/>
        <xdr:cNvSpPr txBox="1">
          <a:spLocks noChangeArrowheads="1"/>
        </xdr:cNvSpPr>
      </xdr:nvSpPr>
      <xdr:spPr bwMode="auto">
        <a:xfrm>
          <a:off x="0" y="2152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900</xdr:row>
      <xdr:rowOff>0</xdr:rowOff>
    </xdr:from>
    <xdr:ext cx="27765" cy="424860"/>
    <xdr:sp macro="" textlink="">
      <xdr:nvSpPr>
        <xdr:cNvPr id="436" name="Text Box 1025"/>
        <xdr:cNvSpPr txBox="1">
          <a:spLocks noChangeArrowheads="1"/>
        </xdr:cNvSpPr>
      </xdr:nvSpPr>
      <xdr:spPr bwMode="auto">
        <a:xfrm>
          <a:off x="0" y="2152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915</xdr:row>
      <xdr:rowOff>0</xdr:rowOff>
    </xdr:from>
    <xdr:ext cx="27765" cy="424860"/>
    <xdr:sp macro="" textlink="">
      <xdr:nvSpPr>
        <xdr:cNvPr id="437" name="Text Box 1025"/>
        <xdr:cNvSpPr txBox="1">
          <a:spLocks noChangeArrowheads="1"/>
        </xdr:cNvSpPr>
      </xdr:nvSpPr>
      <xdr:spPr bwMode="auto">
        <a:xfrm>
          <a:off x="0"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915</xdr:row>
      <xdr:rowOff>0</xdr:rowOff>
    </xdr:from>
    <xdr:ext cx="27765" cy="424860"/>
    <xdr:sp macro="" textlink="">
      <xdr:nvSpPr>
        <xdr:cNvPr id="438" name="Text Box 1025"/>
        <xdr:cNvSpPr txBox="1">
          <a:spLocks noChangeArrowheads="1"/>
        </xdr:cNvSpPr>
      </xdr:nvSpPr>
      <xdr:spPr bwMode="auto">
        <a:xfrm>
          <a:off x="0"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915</xdr:row>
      <xdr:rowOff>0</xdr:rowOff>
    </xdr:from>
    <xdr:ext cx="27765" cy="424860"/>
    <xdr:sp macro="" textlink="">
      <xdr:nvSpPr>
        <xdr:cNvPr id="439" name="Text Box 1025"/>
        <xdr:cNvSpPr txBox="1">
          <a:spLocks noChangeArrowheads="1"/>
        </xdr:cNvSpPr>
      </xdr:nvSpPr>
      <xdr:spPr bwMode="auto">
        <a:xfrm>
          <a:off x="0"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915</xdr:row>
      <xdr:rowOff>0</xdr:rowOff>
    </xdr:from>
    <xdr:ext cx="27765" cy="424860"/>
    <xdr:sp macro="" textlink="">
      <xdr:nvSpPr>
        <xdr:cNvPr id="440" name="Text Box 1025"/>
        <xdr:cNvSpPr txBox="1">
          <a:spLocks noChangeArrowheads="1"/>
        </xdr:cNvSpPr>
      </xdr:nvSpPr>
      <xdr:spPr bwMode="auto">
        <a:xfrm>
          <a:off x="12277725"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915</xdr:row>
      <xdr:rowOff>0</xdr:rowOff>
    </xdr:from>
    <xdr:ext cx="27765" cy="424860"/>
    <xdr:sp macro="" textlink="">
      <xdr:nvSpPr>
        <xdr:cNvPr id="441" name="Text Box 1025"/>
        <xdr:cNvSpPr txBox="1">
          <a:spLocks noChangeArrowheads="1"/>
        </xdr:cNvSpPr>
      </xdr:nvSpPr>
      <xdr:spPr bwMode="auto">
        <a:xfrm>
          <a:off x="12277725"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915</xdr:row>
      <xdr:rowOff>0</xdr:rowOff>
    </xdr:from>
    <xdr:ext cx="27765" cy="424860"/>
    <xdr:sp macro="" textlink="">
      <xdr:nvSpPr>
        <xdr:cNvPr id="442" name="Text Box 1025"/>
        <xdr:cNvSpPr txBox="1">
          <a:spLocks noChangeArrowheads="1"/>
        </xdr:cNvSpPr>
      </xdr:nvSpPr>
      <xdr:spPr bwMode="auto">
        <a:xfrm>
          <a:off x="12277725" y="2188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920</xdr:row>
      <xdr:rowOff>0</xdr:rowOff>
    </xdr:from>
    <xdr:ext cx="27765" cy="424860"/>
    <xdr:sp macro="" textlink="">
      <xdr:nvSpPr>
        <xdr:cNvPr id="443" name="Text Box 1025"/>
        <xdr:cNvSpPr txBox="1">
          <a:spLocks noChangeArrowheads="1"/>
        </xdr:cNvSpPr>
      </xdr:nvSpPr>
      <xdr:spPr bwMode="auto">
        <a:xfrm>
          <a:off x="0" y="2200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920</xdr:row>
      <xdr:rowOff>0</xdr:rowOff>
    </xdr:from>
    <xdr:ext cx="27765" cy="424860"/>
    <xdr:sp macro="" textlink="">
      <xdr:nvSpPr>
        <xdr:cNvPr id="444" name="Text Box 1025"/>
        <xdr:cNvSpPr txBox="1">
          <a:spLocks noChangeArrowheads="1"/>
        </xdr:cNvSpPr>
      </xdr:nvSpPr>
      <xdr:spPr bwMode="auto">
        <a:xfrm>
          <a:off x="0" y="2200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920</xdr:row>
      <xdr:rowOff>0</xdr:rowOff>
    </xdr:from>
    <xdr:ext cx="27765" cy="424860"/>
    <xdr:sp macro="" textlink="">
      <xdr:nvSpPr>
        <xdr:cNvPr id="445" name="Text Box 1025"/>
        <xdr:cNvSpPr txBox="1">
          <a:spLocks noChangeArrowheads="1"/>
        </xdr:cNvSpPr>
      </xdr:nvSpPr>
      <xdr:spPr bwMode="auto">
        <a:xfrm>
          <a:off x="0" y="2200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935</xdr:row>
      <xdr:rowOff>0</xdr:rowOff>
    </xdr:from>
    <xdr:ext cx="27765" cy="424860"/>
    <xdr:sp macro="" textlink="">
      <xdr:nvSpPr>
        <xdr:cNvPr id="446" name="Text Box 1025"/>
        <xdr:cNvSpPr txBox="1">
          <a:spLocks noChangeArrowheads="1"/>
        </xdr:cNvSpPr>
      </xdr:nvSpPr>
      <xdr:spPr bwMode="auto">
        <a:xfrm>
          <a:off x="0"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935</xdr:row>
      <xdr:rowOff>0</xdr:rowOff>
    </xdr:from>
    <xdr:ext cx="27765" cy="424860"/>
    <xdr:sp macro="" textlink="">
      <xdr:nvSpPr>
        <xdr:cNvPr id="447" name="Text Box 1025"/>
        <xdr:cNvSpPr txBox="1">
          <a:spLocks noChangeArrowheads="1"/>
        </xdr:cNvSpPr>
      </xdr:nvSpPr>
      <xdr:spPr bwMode="auto">
        <a:xfrm>
          <a:off x="0"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935</xdr:row>
      <xdr:rowOff>0</xdr:rowOff>
    </xdr:from>
    <xdr:ext cx="27765" cy="424860"/>
    <xdr:sp macro="" textlink="">
      <xdr:nvSpPr>
        <xdr:cNvPr id="448" name="Text Box 1025"/>
        <xdr:cNvSpPr txBox="1">
          <a:spLocks noChangeArrowheads="1"/>
        </xdr:cNvSpPr>
      </xdr:nvSpPr>
      <xdr:spPr bwMode="auto">
        <a:xfrm>
          <a:off x="0"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935</xdr:row>
      <xdr:rowOff>0</xdr:rowOff>
    </xdr:from>
    <xdr:ext cx="27765" cy="424860"/>
    <xdr:sp macro="" textlink="">
      <xdr:nvSpPr>
        <xdr:cNvPr id="449" name="Text Box 1025"/>
        <xdr:cNvSpPr txBox="1">
          <a:spLocks noChangeArrowheads="1"/>
        </xdr:cNvSpPr>
      </xdr:nvSpPr>
      <xdr:spPr bwMode="auto">
        <a:xfrm>
          <a:off x="12277725"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935</xdr:row>
      <xdr:rowOff>0</xdr:rowOff>
    </xdr:from>
    <xdr:ext cx="27765" cy="424860"/>
    <xdr:sp macro="" textlink="">
      <xdr:nvSpPr>
        <xdr:cNvPr id="450" name="Text Box 1025"/>
        <xdr:cNvSpPr txBox="1">
          <a:spLocks noChangeArrowheads="1"/>
        </xdr:cNvSpPr>
      </xdr:nvSpPr>
      <xdr:spPr bwMode="auto">
        <a:xfrm>
          <a:off x="12277725"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935</xdr:row>
      <xdr:rowOff>0</xdr:rowOff>
    </xdr:from>
    <xdr:ext cx="27765" cy="424860"/>
    <xdr:sp macro="" textlink="">
      <xdr:nvSpPr>
        <xdr:cNvPr id="451" name="Text Box 1025"/>
        <xdr:cNvSpPr txBox="1">
          <a:spLocks noChangeArrowheads="1"/>
        </xdr:cNvSpPr>
      </xdr:nvSpPr>
      <xdr:spPr bwMode="auto">
        <a:xfrm>
          <a:off x="12277725" y="2236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940</xdr:row>
      <xdr:rowOff>0</xdr:rowOff>
    </xdr:from>
    <xdr:ext cx="27765" cy="424860"/>
    <xdr:sp macro="" textlink="">
      <xdr:nvSpPr>
        <xdr:cNvPr id="452" name="Text Box 1025"/>
        <xdr:cNvSpPr txBox="1">
          <a:spLocks noChangeArrowheads="1"/>
        </xdr:cNvSpPr>
      </xdr:nvSpPr>
      <xdr:spPr bwMode="auto">
        <a:xfrm>
          <a:off x="0" y="2248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940</xdr:row>
      <xdr:rowOff>0</xdr:rowOff>
    </xdr:from>
    <xdr:ext cx="27765" cy="424860"/>
    <xdr:sp macro="" textlink="">
      <xdr:nvSpPr>
        <xdr:cNvPr id="453" name="Text Box 1025"/>
        <xdr:cNvSpPr txBox="1">
          <a:spLocks noChangeArrowheads="1"/>
        </xdr:cNvSpPr>
      </xdr:nvSpPr>
      <xdr:spPr bwMode="auto">
        <a:xfrm>
          <a:off x="0" y="2248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940</xdr:row>
      <xdr:rowOff>0</xdr:rowOff>
    </xdr:from>
    <xdr:ext cx="27765" cy="424860"/>
    <xdr:sp macro="" textlink="">
      <xdr:nvSpPr>
        <xdr:cNvPr id="454" name="Text Box 1025"/>
        <xdr:cNvSpPr txBox="1">
          <a:spLocks noChangeArrowheads="1"/>
        </xdr:cNvSpPr>
      </xdr:nvSpPr>
      <xdr:spPr bwMode="auto">
        <a:xfrm>
          <a:off x="0" y="2248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955</xdr:row>
      <xdr:rowOff>0</xdr:rowOff>
    </xdr:from>
    <xdr:ext cx="27765" cy="424860"/>
    <xdr:sp macro="" textlink="">
      <xdr:nvSpPr>
        <xdr:cNvPr id="455" name="Text Box 1025"/>
        <xdr:cNvSpPr txBox="1">
          <a:spLocks noChangeArrowheads="1"/>
        </xdr:cNvSpPr>
      </xdr:nvSpPr>
      <xdr:spPr bwMode="auto">
        <a:xfrm>
          <a:off x="0"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955</xdr:row>
      <xdr:rowOff>0</xdr:rowOff>
    </xdr:from>
    <xdr:ext cx="27765" cy="424860"/>
    <xdr:sp macro="" textlink="">
      <xdr:nvSpPr>
        <xdr:cNvPr id="456" name="Text Box 1025"/>
        <xdr:cNvSpPr txBox="1">
          <a:spLocks noChangeArrowheads="1"/>
        </xdr:cNvSpPr>
      </xdr:nvSpPr>
      <xdr:spPr bwMode="auto">
        <a:xfrm>
          <a:off x="0"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955</xdr:row>
      <xdr:rowOff>0</xdr:rowOff>
    </xdr:from>
    <xdr:ext cx="27765" cy="424860"/>
    <xdr:sp macro="" textlink="">
      <xdr:nvSpPr>
        <xdr:cNvPr id="457" name="Text Box 1025"/>
        <xdr:cNvSpPr txBox="1">
          <a:spLocks noChangeArrowheads="1"/>
        </xdr:cNvSpPr>
      </xdr:nvSpPr>
      <xdr:spPr bwMode="auto">
        <a:xfrm>
          <a:off x="0"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955</xdr:row>
      <xdr:rowOff>0</xdr:rowOff>
    </xdr:from>
    <xdr:ext cx="27765" cy="424860"/>
    <xdr:sp macro="" textlink="">
      <xdr:nvSpPr>
        <xdr:cNvPr id="458" name="Text Box 1025"/>
        <xdr:cNvSpPr txBox="1">
          <a:spLocks noChangeArrowheads="1"/>
        </xdr:cNvSpPr>
      </xdr:nvSpPr>
      <xdr:spPr bwMode="auto">
        <a:xfrm>
          <a:off x="12277725"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955</xdr:row>
      <xdr:rowOff>0</xdr:rowOff>
    </xdr:from>
    <xdr:ext cx="27765" cy="424860"/>
    <xdr:sp macro="" textlink="">
      <xdr:nvSpPr>
        <xdr:cNvPr id="459" name="Text Box 1025"/>
        <xdr:cNvSpPr txBox="1">
          <a:spLocks noChangeArrowheads="1"/>
        </xdr:cNvSpPr>
      </xdr:nvSpPr>
      <xdr:spPr bwMode="auto">
        <a:xfrm>
          <a:off x="12277725"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955</xdr:row>
      <xdr:rowOff>0</xdr:rowOff>
    </xdr:from>
    <xdr:ext cx="27765" cy="424860"/>
    <xdr:sp macro="" textlink="">
      <xdr:nvSpPr>
        <xdr:cNvPr id="460" name="Text Box 1025"/>
        <xdr:cNvSpPr txBox="1">
          <a:spLocks noChangeArrowheads="1"/>
        </xdr:cNvSpPr>
      </xdr:nvSpPr>
      <xdr:spPr bwMode="auto">
        <a:xfrm>
          <a:off x="12277725" y="2283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960</xdr:row>
      <xdr:rowOff>0</xdr:rowOff>
    </xdr:from>
    <xdr:ext cx="27765" cy="424860"/>
    <xdr:sp macro="" textlink="">
      <xdr:nvSpPr>
        <xdr:cNvPr id="461" name="Text Box 1025"/>
        <xdr:cNvSpPr txBox="1">
          <a:spLocks noChangeArrowheads="1"/>
        </xdr:cNvSpPr>
      </xdr:nvSpPr>
      <xdr:spPr bwMode="auto">
        <a:xfrm>
          <a:off x="0" y="2295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960</xdr:row>
      <xdr:rowOff>0</xdr:rowOff>
    </xdr:from>
    <xdr:ext cx="27765" cy="424860"/>
    <xdr:sp macro="" textlink="">
      <xdr:nvSpPr>
        <xdr:cNvPr id="462" name="Text Box 1025"/>
        <xdr:cNvSpPr txBox="1">
          <a:spLocks noChangeArrowheads="1"/>
        </xdr:cNvSpPr>
      </xdr:nvSpPr>
      <xdr:spPr bwMode="auto">
        <a:xfrm>
          <a:off x="0" y="2295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960</xdr:row>
      <xdr:rowOff>0</xdr:rowOff>
    </xdr:from>
    <xdr:ext cx="27765" cy="424860"/>
    <xdr:sp macro="" textlink="">
      <xdr:nvSpPr>
        <xdr:cNvPr id="463" name="Text Box 1025"/>
        <xdr:cNvSpPr txBox="1">
          <a:spLocks noChangeArrowheads="1"/>
        </xdr:cNvSpPr>
      </xdr:nvSpPr>
      <xdr:spPr bwMode="auto">
        <a:xfrm>
          <a:off x="0" y="2295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975</xdr:row>
      <xdr:rowOff>0</xdr:rowOff>
    </xdr:from>
    <xdr:ext cx="27765" cy="424860"/>
    <xdr:sp macro="" textlink="">
      <xdr:nvSpPr>
        <xdr:cNvPr id="464" name="Text Box 1025"/>
        <xdr:cNvSpPr txBox="1">
          <a:spLocks noChangeArrowheads="1"/>
        </xdr:cNvSpPr>
      </xdr:nvSpPr>
      <xdr:spPr bwMode="auto">
        <a:xfrm>
          <a:off x="0"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975</xdr:row>
      <xdr:rowOff>0</xdr:rowOff>
    </xdr:from>
    <xdr:ext cx="27765" cy="424860"/>
    <xdr:sp macro="" textlink="">
      <xdr:nvSpPr>
        <xdr:cNvPr id="465" name="Text Box 1025"/>
        <xdr:cNvSpPr txBox="1">
          <a:spLocks noChangeArrowheads="1"/>
        </xdr:cNvSpPr>
      </xdr:nvSpPr>
      <xdr:spPr bwMode="auto">
        <a:xfrm>
          <a:off x="0"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975</xdr:row>
      <xdr:rowOff>0</xdr:rowOff>
    </xdr:from>
    <xdr:ext cx="27765" cy="424860"/>
    <xdr:sp macro="" textlink="">
      <xdr:nvSpPr>
        <xdr:cNvPr id="466" name="Text Box 1025"/>
        <xdr:cNvSpPr txBox="1">
          <a:spLocks noChangeArrowheads="1"/>
        </xdr:cNvSpPr>
      </xdr:nvSpPr>
      <xdr:spPr bwMode="auto">
        <a:xfrm>
          <a:off x="0"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975</xdr:row>
      <xdr:rowOff>0</xdr:rowOff>
    </xdr:from>
    <xdr:ext cx="27765" cy="424860"/>
    <xdr:sp macro="" textlink="">
      <xdr:nvSpPr>
        <xdr:cNvPr id="467" name="Text Box 1025"/>
        <xdr:cNvSpPr txBox="1">
          <a:spLocks noChangeArrowheads="1"/>
        </xdr:cNvSpPr>
      </xdr:nvSpPr>
      <xdr:spPr bwMode="auto">
        <a:xfrm>
          <a:off x="12277725"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975</xdr:row>
      <xdr:rowOff>0</xdr:rowOff>
    </xdr:from>
    <xdr:ext cx="27765" cy="424860"/>
    <xdr:sp macro="" textlink="">
      <xdr:nvSpPr>
        <xdr:cNvPr id="468" name="Text Box 1025"/>
        <xdr:cNvSpPr txBox="1">
          <a:spLocks noChangeArrowheads="1"/>
        </xdr:cNvSpPr>
      </xdr:nvSpPr>
      <xdr:spPr bwMode="auto">
        <a:xfrm>
          <a:off x="12277725"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975</xdr:row>
      <xdr:rowOff>0</xdr:rowOff>
    </xdr:from>
    <xdr:ext cx="27765" cy="424860"/>
    <xdr:sp macro="" textlink="">
      <xdr:nvSpPr>
        <xdr:cNvPr id="469" name="Text Box 1025"/>
        <xdr:cNvSpPr txBox="1">
          <a:spLocks noChangeArrowheads="1"/>
        </xdr:cNvSpPr>
      </xdr:nvSpPr>
      <xdr:spPr bwMode="auto">
        <a:xfrm>
          <a:off x="12277725" y="2331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980</xdr:row>
      <xdr:rowOff>0</xdr:rowOff>
    </xdr:from>
    <xdr:ext cx="27765" cy="424860"/>
    <xdr:sp macro="" textlink="">
      <xdr:nvSpPr>
        <xdr:cNvPr id="470" name="Text Box 1025"/>
        <xdr:cNvSpPr txBox="1">
          <a:spLocks noChangeArrowheads="1"/>
        </xdr:cNvSpPr>
      </xdr:nvSpPr>
      <xdr:spPr bwMode="auto">
        <a:xfrm>
          <a:off x="0" y="2343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980</xdr:row>
      <xdr:rowOff>0</xdr:rowOff>
    </xdr:from>
    <xdr:ext cx="27765" cy="424860"/>
    <xdr:sp macro="" textlink="">
      <xdr:nvSpPr>
        <xdr:cNvPr id="471" name="Text Box 1025"/>
        <xdr:cNvSpPr txBox="1">
          <a:spLocks noChangeArrowheads="1"/>
        </xdr:cNvSpPr>
      </xdr:nvSpPr>
      <xdr:spPr bwMode="auto">
        <a:xfrm>
          <a:off x="0" y="2343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980</xdr:row>
      <xdr:rowOff>0</xdr:rowOff>
    </xdr:from>
    <xdr:ext cx="27765" cy="424860"/>
    <xdr:sp macro="" textlink="">
      <xdr:nvSpPr>
        <xdr:cNvPr id="472" name="Text Box 1025"/>
        <xdr:cNvSpPr txBox="1">
          <a:spLocks noChangeArrowheads="1"/>
        </xdr:cNvSpPr>
      </xdr:nvSpPr>
      <xdr:spPr bwMode="auto">
        <a:xfrm>
          <a:off x="0" y="2343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995</xdr:row>
      <xdr:rowOff>0</xdr:rowOff>
    </xdr:from>
    <xdr:ext cx="27765" cy="424860"/>
    <xdr:sp macro="" textlink="">
      <xdr:nvSpPr>
        <xdr:cNvPr id="473" name="Text Box 1025"/>
        <xdr:cNvSpPr txBox="1">
          <a:spLocks noChangeArrowheads="1"/>
        </xdr:cNvSpPr>
      </xdr:nvSpPr>
      <xdr:spPr bwMode="auto">
        <a:xfrm>
          <a:off x="0"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995</xdr:row>
      <xdr:rowOff>0</xdr:rowOff>
    </xdr:from>
    <xdr:ext cx="27765" cy="424860"/>
    <xdr:sp macro="" textlink="">
      <xdr:nvSpPr>
        <xdr:cNvPr id="474" name="Text Box 1025"/>
        <xdr:cNvSpPr txBox="1">
          <a:spLocks noChangeArrowheads="1"/>
        </xdr:cNvSpPr>
      </xdr:nvSpPr>
      <xdr:spPr bwMode="auto">
        <a:xfrm>
          <a:off x="0"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995</xdr:row>
      <xdr:rowOff>0</xdr:rowOff>
    </xdr:from>
    <xdr:ext cx="27765" cy="424860"/>
    <xdr:sp macro="" textlink="">
      <xdr:nvSpPr>
        <xdr:cNvPr id="475" name="Text Box 1025"/>
        <xdr:cNvSpPr txBox="1">
          <a:spLocks noChangeArrowheads="1"/>
        </xdr:cNvSpPr>
      </xdr:nvSpPr>
      <xdr:spPr bwMode="auto">
        <a:xfrm>
          <a:off x="0"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995</xdr:row>
      <xdr:rowOff>0</xdr:rowOff>
    </xdr:from>
    <xdr:ext cx="27765" cy="424860"/>
    <xdr:sp macro="" textlink="">
      <xdr:nvSpPr>
        <xdr:cNvPr id="476" name="Text Box 1025"/>
        <xdr:cNvSpPr txBox="1">
          <a:spLocks noChangeArrowheads="1"/>
        </xdr:cNvSpPr>
      </xdr:nvSpPr>
      <xdr:spPr bwMode="auto">
        <a:xfrm>
          <a:off x="12277725"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995</xdr:row>
      <xdr:rowOff>0</xdr:rowOff>
    </xdr:from>
    <xdr:ext cx="27765" cy="424860"/>
    <xdr:sp macro="" textlink="">
      <xdr:nvSpPr>
        <xdr:cNvPr id="477" name="Text Box 1025"/>
        <xdr:cNvSpPr txBox="1">
          <a:spLocks noChangeArrowheads="1"/>
        </xdr:cNvSpPr>
      </xdr:nvSpPr>
      <xdr:spPr bwMode="auto">
        <a:xfrm>
          <a:off x="12277725"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995</xdr:row>
      <xdr:rowOff>0</xdr:rowOff>
    </xdr:from>
    <xdr:ext cx="27765" cy="424860"/>
    <xdr:sp macro="" textlink="">
      <xdr:nvSpPr>
        <xdr:cNvPr id="478" name="Text Box 1025"/>
        <xdr:cNvSpPr txBox="1">
          <a:spLocks noChangeArrowheads="1"/>
        </xdr:cNvSpPr>
      </xdr:nvSpPr>
      <xdr:spPr bwMode="auto">
        <a:xfrm>
          <a:off x="12277725" y="2379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1000</xdr:row>
      <xdr:rowOff>0</xdr:rowOff>
    </xdr:from>
    <xdr:ext cx="27765" cy="424860"/>
    <xdr:sp macro="" textlink="">
      <xdr:nvSpPr>
        <xdr:cNvPr id="479" name="Text Box 1025"/>
        <xdr:cNvSpPr txBox="1">
          <a:spLocks noChangeArrowheads="1"/>
        </xdr:cNvSpPr>
      </xdr:nvSpPr>
      <xdr:spPr bwMode="auto">
        <a:xfrm>
          <a:off x="0" y="2391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1000</xdr:row>
      <xdr:rowOff>0</xdr:rowOff>
    </xdr:from>
    <xdr:ext cx="27765" cy="424860"/>
    <xdr:sp macro="" textlink="">
      <xdr:nvSpPr>
        <xdr:cNvPr id="480" name="Text Box 1025"/>
        <xdr:cNvSpPr txBox="1">
          <a:spLocks noChangeArrowheads="1"/>
        </xdr:cNvSpPr>
      </xdr:nvSpPr>
      <xdr:spPr bwMode="auto">
        <a:xfrm>
          <a:off x="0" y="2391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1000</xdr:row>
      <xdr:rowOff>0</xdr:rowOff>
    </xdr:from>
    <xdr:ext cx="27765" cy="424860"/>
    <xdr:sp macro="" textlink="">
      <xdr:nvSpPr>
        <xdr:cNvPr id="481" name="Text Box 1025"/>
        <xdr:cNvSpPr txBox="1">
          <a:spLocks noChangeArrowheads="1"/>
        </xdr:cNvSpPr>
      </xdr:nvSpPr>
      <xdr:spPr bwMode="auto">
        <a:xfrm>
          <a:off x="0" y="2391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1015</xdr:row>
      <xdr:rowOff>0</xdr:rowOff>
    </xdr:from>
    <xdr:ext cx="27765" cy="424860"/>
    <xdr:sp macro="" textlink="">
      <xdr:nvSpPr>
        <xdr:cNvPr id="482" name="Text Box 1025"/>
        <xdr:cNvSpPr txBox="1">
          <a:spLocks noChangeArrowheads="1"/>
        </xdr:cNvSpPr>
      </xdr:nvSpPr>
      <xdr:spPr bwMode="auto">
        <a:xfrm>
          <a:off x="0"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1015</xdr:row>
      <xdr:rowOff>0</xdr:rowOff>
    </xdr:from>
    <xdr:ext cx="27765" cy="424860"/>
    <xdr:sp macro="" textlink="">
      <xdr:nvSpPr>
        <xdr:cNvPr id="483" name="Text Box 1025"/>
        <xdr:cNvSpPr txBox="1">
          <a:spLocks noChangeArrowheads="1"/>
        </xdr:cNvSpPr>
      </xdr:nvSpPr>
      <xdr:spPr bwMode="auto">
        <a:xfrm>
          <a:off x="0"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1015</xdr:row>
      <xdr:rowOff>0</xdr:rowOff>
    </xdr:from>
    <xdr:ext cx="27765" cy="424860"/>
    <xdr:sp macro="" textlink="">
      <xdr:nvSpPr>
        <xdr:cNvPr id="484" name="Text Box 1025"/>
        <xdr:cNvSpPr txBox="1">
          <a:spLocks noChangeArrowheads="1"/>
        </xdr:cNvSpPr>
      </xdr:nvSpPr>
      <xdr:spPr bwMode="auto">
        <a:xfrm>
          <a:off x="0"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1015</xdr:row>
      <xdr:rowOff>0</xdr:rowOff>
    </xdr:from>
    <xdr:ext cx="27765" cy="424860"/>
    <xdr:sp macro="" textlink="">
      <xdr:nvSpPr>
        <xdr:cNvPr id="485" name="Text Box 1025"/>
        <xdr:cNvSpPr txBox="1">
          <a:spLocks noChangeArrowheads="1"/>
        </xdr:cNvSpPr>
      </xdr:nvSpPr>
      <xdr:spPr bwMode="auto">
        <a:xfrm>
          <a:off x="12277725"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1015</xdr:row>
      <xdr:rowOff>0</xdr:rowOff>
    </xdr:from>
    <xdr:ext cx="27765" cy="424860"/>
    <xdr:sp macro="" textlink="">
      <xdr:nvSpPr>
        <xdr:cNvPr id="486" name="Text Box 1025"/>
        <xdr:cNvSpPr txBox="1">
          <a:spLocks noChangeArrowheads="1"/>
        </xdr:cNvSpPr>
      </xdr:nvSpPr>
      <xdr:spPr bwMode="auto">
        <a:xfrm>
          <a:off x="12277725"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1015</xdr:row>
      <xdr:rowOff>0</xdr:rowOff>
    </xdr:from>
    <xdr:ext cx="27765" cy="424860"/>
    <xdr:sp macro="" textlink="">
      <xdr:nvSpPr>
        <xdr:cNvPr id="487" name="Text Box 1025"/>
        <xdr:cNvSpPr txBox="1">
          <a:spLocks noChangeArrowheads="1"/>
        </xdr:cNvSpPr>
      </xdr:nvSpPr>
      <xdr:spPr bwMode="auto">
        <a:xfrm>
          <a:off x="12277725" y="2426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1020</xdr:row>
      <xdr:rowOff>0</xdr:rowOff>
    </xdr:from>
    <xdr:ext cx="27765" cy="424860"/>
    <xdr:sp macro="" textlink="">
      <xdr:nvSpPr>
        <xdr:cNvPr id="488" name="Text Box 1025"/>
        <xdr:cNvSpPr txBox="1">
          <a:spLocks noChangeArrowheads="1"/>
        </xdr:cNvSpPr>
      </xdr:nvSpPr>
      <xdr:spPr bwMode="auto">
        <a:xfrm>
          <a:off x="0" y="2438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1020</xdr:row>
      <xdr:rowOff>0</xdr:rowOff>
    </xdr:from>
    <xdr:ext cx="27765" cy="424860"/>
    <xdr:sp macro="" textlink="">
      <xdr:nvSpPr>
        <xdr:cNvPr id="489" name="Text Box 1025"/>
        <xdr:cNvSpPr txBox="1">
          <a:spLocks noChangeArrowheads="1"/>
        </xdr:cNvSpPr>
      </xdr:nvSpPr>
      <xdr:spPr bwMode="auto">
        <a:xfrm>
          <a:off x="0" y="2438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1020</xdr:row>
      <xdr:rowOff>0</xdr:rowOff>
    </xdr:from>
    <xdr:ext cx="27765" cy="424860"/>
    <xdr:sp macro="" textlink="">
      <xdr:nvSpPr>
        <xdr:cNvPr id="490" name="Text Box 1025"/>
        <xdr:cNvSpPr txBox="1">
          <a:spLocks noChangeArrowheads="1"/>
        </xdr:cNvSpPr>
      </xdr:nvSpPr>
      <xdr:spPr bwMode="auto">
        <a:xfrm>
          <a:off x="0" y="2438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1035</xdr:row>
      <xdr:rowOff>0</xdr:rowOff>
    </xdr:from>
    <xdr:ext cx="27765" cy="424860"/>
    <xdr:sp macro="" textlink="">
      <xdr:nvSpPr>
        <xdr:cNvPr id="491" name="Text Box 1025"/>
        <xdr:cNvSpPr txBox="1">
          <a:spLocks noChangeArrowheads="1"/>
        </xdr:cNvSpPr>
      </xdr:nvSpPr>
      <xdr:spPr bwMode="auto">
        <a:xfrm>
          <a:off x="0"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1035</xdr:row>
      <xdr:rowOff>0</xdr:rowOff>
    </xdr:from>
    <xdr:ext cx="27765" cy="424860"/>
    <xdr:sp macro="" textlink="">
      <xdr:nvSpPr>
        <xdr:cNvPr id="492" name="Text Box 1025"/>
        <xdr:cNvSpPr txBox="1">
          <a:spLocks noChangeArrowheads="1"/>
        </xdr:cNvSpPr>
      </xdr:nvSpPr>
      <xdr:spPr bwMode="auto">
        <a:xfrm>
          <a:off x="0"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1035</xdr:row>
      <xdr:rowOff>0</xdr:rowOff>
    </xdr:from>
    <xdr:ext cx="27765" cy="424860"/>
    <xdr:sp macro="" textlink="">
      <xdr:nvSpPr>
        <xdr:cNvPr id="493" name="Text Box 1025"/>
        <xdr:cNvSpPr txBox="1">
          <a:spLocks noChangeArrowheads="1"/>
        </xdr:cNvSpPr>
      </xdr:nvSpPr>
      <xdr:spPr bwMode="auto">
        <a:xfrm>
          <a:off x="0"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1035</xdr:row>
      <xdr:rowOff>0</xdr:rowOff>
    </xdr:from>
    <xdr:ext cx="27765" cy="424860"/>
    <xdr:sp macro="" textlink="">
      <xdr:nvSpPr>
        <xdr:cNvPr id="494" name="Text Box 1025"/>
        <xdr:cNvSpPr txBox="1">
          <a:spLocks noChangeArrowheads="1"/>
        </xdr:cNvSpPr>
      </xdr:nvSpPr>
      <xdr:spPr bwMode="auto">
        <a:xfrm>
          <a:off x="12277725"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1035</xdr:row>
      <xdr:rowOff>0</xdr:rowOff>
    </xdr:from>
    <xdr:ext cx="27765" cy="424860"/>
    <xdr:sp macro="" textlink="">
      <xdr:nvSpPr>
        <xdr:cNvPr id="495" name="Text Box 1025"/>
        <xdr:cNvSpPr txBox="1">
          <a:spLocks noChangeArrowheads="1"/>
        </xdr:cNvSpPr>
      </xdr:nvSpPr>
      <xdr:spPr bwMode="auto">
        <a:xfrm>
          <a:off x="12277725"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1035</xdr:row>
      <xdr:rowOff>0</xdr:rowOff>
    </xdr:from>
    <xdr:ext cx="27765" cy="424860"/>
    <xdr:sp macro="" textlink="">
      <xdr:nvSpPr>
        <xdr:cNvPr id="496" name="Text Box 1025"/>
        <xdr:cNvSpPr txBox="1">
          <a:spLocks noChangeArrowheads="1"/>
        </xdr:cNvSpPr>
      </xdr:nvSpPr>
      <xdr:spPr bwMode="auto">
        <a:xfrm>
          <a:off x="12277725" y="2474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1040</xdr:row>
      <xdr:rowOff>0</xdr:rowOff>
    </xdr:from>
    <xdr:ext cx="27765" cy="424860"/>
    <xdr:sp macro="" textlink="">
      <xdr:nvSpPr>
        <xdr:cNvPr id="497" name="Text Box 1025"/>
        <xdr:cNvSpPr txBox="1">
          <a:spLocks noChangeArrowheads="1"/>
        </xdr:cNvSpPr>
      </xdr:nvSpPr>
      <xdr:spPr bwMode="auto">
        <a:xfrm>
          <a:off x="0" y="2486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1040</xdr:row>
      <xdr:rowOff>0</xdr:rowOff>
    </xdr:from>
    <xdr:ext cx="27765" cy="424860"/>
    <xdr:sp macro="" textlink="">
      <xdr:nvSpPr>
        <xdr:cNvPr id="498" name="Text Box 1025"/>
        <xdr:cNvSpPr txBox="1">
          <a:spLocks noChangeArrowheads="1"/>
        </xdr:cNvSpPr>
      </xdr:nvSpPr>
      <xdr:spPr bwMode="auto">
        <a:xfrm>
          <a:off x="0" y="2486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1040</xdr:row>
      <xdr:rowOff>0</xdr:rowOff>
    </xdr:from>
    <xdr:ext cx="27765" cy="424860"/>
    <xdr:sp macro="" textlink="">
      <xdr:nvSpPr>
        <xdr:cNvPr id="499" name="Text Box 1025"/>
        <xdr:cNvSpPr txBox="1">
          <a:spLocks noChangeArrowheads="1"/>
        </xdr:cNvSpPr>
      </xdr:nvSpPr>
      <xdr:spPr bwMode="auto">
        <a:xfrm>
          <a:off x="0" y="2486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1055</xdr:row>
      <xdr:rowOff>0</xdr:rowOff>
    </xdr:from>
    <xdr:ext cx="27765" cy="424860"/>
    <xdr:sp macro="" textlink="">
      <xdr:nvSpPr>
        <xdr:cNvPr id="500" name="Text Box 1025"/>
        <xdr:cNvSpPr txBox="1">
          <a:spLocks noChangeArrowheads="1"/>
        </xdr:cNvSpPr>
      </xdr:nvSpPr>
      <xdr:spPr bwMode="auto">
        <a:xfrm>
          <a:off x="0"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1055</xdr:row>
      <xdr:rowOff>0</xdr:rowOff>
    </xdr:from>
    <xdr:ext cx="27765" cy="424860"/>
    <xdr:sp macro="" textlink="">
      <xdr:nvSpPr>
        <xdr:cNvPr id="501" name="Text Box 1025"/>
        <xdr:cNvSpPr txBox="1">
          <a:spLocks noChangeArrowheads="1"/>
        </xdr:cNvSpPr>
      </xdr:nvSpPr>
      <xdr:spPr bwMode="auto">
        <a:xfrm>
          <a:off x="0"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1055</xdr:row>
      <xdr:rowOff>0</xdr:rowOff>
    </xdr:from>
    <xdr:ext cx="27765" cy="424860"/>
    <xdr:sp macro="" textlink="">
      <xdr:nvSpPr>
        <xdr:cNvPr id="502" name="Text Box 1025"/>
        <xdr:cNvSpPr txBox="1">
          <a:spLocks noChangeArrowheads="1"/>
        </xdr:cNvSpPr>
      </xdr:nvSpPr>
      <xdr:spPr bwMode="auto">
        <a:xfrm>
          <a:off x="0"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1055</xdr:row>
      <xdr:rowOff>0</xdr:rowOff>
    </xdr:from>
    <xdr:ext cx="27765" cy="424860"/>
    <xdr:sp macro="" textlink="">
      <xdr:nvSpPr>
        <xdr:cNvPr id="503" name="Text Box 1025"/>
        <xdr:cNvSpPr txBox="1">
          <a:spLocks noChangeArrowheads="1"/>
        </xdr:cNvSpPr>
      </xdr:nvSpPr>
      <xdr:spPr bwMode="auto">
        <a:xfrm>
          <a:off x="12277725"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1055</xdr:row>
      <xdr:rowOff>0</xdr:rowOff>
    </xdr:from>
    <xdr:ext cx="27765" cy="424860"/>
    <xdr:sp macro="" textlink="">
      <xdr:nvSpPr>
        <xdr:cNvPr id="504" name="Text Box 1025"/>
        <xdr:cNvSpPr txBox="1">
          <a:spLocks noChangeArrowheads="1"/>
        </xdr:cNvSpPr>
      </xdr:nvSpPr>
      <xdr:spPr bwMode="auto">
        <a:xfrm>
          <a:off x="12277725"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1055</xdr:row>
      <xdr:rowOff>0</xdr:rowOff>
    </xdr:from>
    <xdr:ext cx="27765" cy="424860"/>
    <xdr:sp macro="" textlink="">
      <xdr:nvSpPr>
        <xdr:cNvPr id="505" name="Text Box 1025"/>
        <xdr:cNvSpPr txBox="1">
          <a:spLocks noChangeArrowheads="1"/>
        </xdr:cNvSpPr>
      </xdr:nvSpPr>
      <xdr:spPr bwMode="auto">
        <a:xfrm>
          <a:off x="12277725" y="2522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1060</xdr:row>
      <xdr:rowOff>0</xdr:rowOff>
    </xdr:from>
    <xdr:ext cx="27765" cy="424860"/>
    <xdr:sp macro="" textlink="">
      <xdr:nvSpPr>
        <xdr:cNvPr id="506" name="Text Box 1025"/>
        <xdr:cNvSpPr txBox="1">
          <a:spLocks noChangeArrowheads="1"/>
        </xdr:cNvSpPr>
      </xdr:nvSpPr>
      <xdr:spPr bwMode="auto">
        <a:xfrm>
          <a:off x="0" y="2533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1060</xdr:row>
      <xdr:rowOff>0</xdr:rowOff>
    </xdr:from>
    <xdr:ext cx="27765" cy="424860"/>
    <xdr:sp macro="" textlink="">
      <xdr:nvSpPr>
        <xdr:cNvPr id="507" name="Text Box 1025"/>
        <xdr:cNvSpPr txBox="1">
          <a:spLocks noChangeArrowheads="1"/>
        </xdr:cNvSpPr>
      </xdr:nvSpPr>
      <xdr:spPr bwMode="auto">
        <a:xfrm>
          <a:off x="0" y="2533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1060</xdr:row>
      <xdr:rowOff>0</xdr:rowOff>
    </xdr:from>
    <xdr:ext cx="27765" cy="424860"/>
    <xdr:sp macro="" textlink="">
      <xdr:nvSpPr>
        <xdr:cNvPr id="508" name="Text Box 1025"/>
        <xdr:cNvSpPr txBox="1">
          <a:spLocks noChangeArrowheads="1"/>
        </xdr:cNvSpPr>
      </xdr:nvSpPr>
      <xdr:spPr bwMode="auto">
        <a:xfrm>
          <a:off x="0" y="2533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1075</xdr:row>
      <xdr:rowOff>0</xdr:rowOff>
    </xdr:from>
    <xdr:ext cx="27765" cy="424860"/>
    <xdr:sp macro="" textlink="">
      <xdr:nvSpPr>
        <xdr:cNvPr id="509" name="Text Box 1025"/>
        <xdr:cNvSpPr txBox="1">
          <a:spLocks noChangeArrowheads="1"/>
        </xdr:cNvSpPr>
      </xdr:nvSpPr>
      <xdr:spPr bwMode="auto">
        <a:xfrm>
          <a:off x="0"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1075</xdr:row>
      <xdr:rowOff>0</xdr:rowOff>
    </xdr:from>
    <xdr:ext cx="27765" cy="424860"/>
    <xdr:sp macro="" textlink="">
      <xdr:nvSpPr>
        <xdr:cNvPr id="510" name="Text Box 1025"/>
        <xdr:cNvSpPr txBox="1">
          <a:spLocks noChangeArrowheads="1"/>
        </xdr:cNvSpPr>
      </xdr:nvSpPr>
      <xdr:spPr bwMode="auto">
        <a:xfrm>
          <a:off x="0"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1075</xdr:row>
      <xdr:rowOff>0</xdr:rowOff>
    </xdr:from>
    <xdr:ext cx="27765" cy="424860"/>
    <xdr:sp macro="" textlink="">
      <xdr:nvSpPr>
        <xdr:cNvPr id="511" name="Text Box 1025"/>
        <xdr:cNvSpPr txBox="1">
          <a:spLocks noChangeArrowheads="1"/>
        </xdr:cNvSpPr>
      </xdr:nvSpPr>
      <xdr:spPr bwMode="auto">
        <a:xfrm>
          <a:off x="0"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1075</xdr:row>
      <xdr:rowOff>0</xdr:rowOff>
    </xdr:from>
    <xdr:ext cx="27765" cy="424860"/>
    <xdr:sp macro="" textlink="">
      <xdr:nvSpPr>
        <xdr:cNvPr id="512" name="Text Box 1025"/>
        <xdr:cNvSpPr txBox="1">
          <a:spLocks noChangeArrowheads="1"/>
        </xdr:cNvSpPr>
      </xdr:nvSpPr>
      <xdr:spPr bwMode="auto">
        <a:xfrm>
          <a:off x="12277725"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1075</xdr:row>
      <xdr:rowOff>0</xdr:rowOff>
    </xdr:from>
    <xdr:ext cx="27765" cy="424860"/>
    <xdr:sp macro="" textlink="">
      <xdr:nvSpPr>
        <xdr:cNvPr id="513" name="Text Box 1025"/>
        <xdr:cNvSpPr txBox="1">
          <a:spLocks noChangeArrowheads="1"/>
        </xdr:cNvSpPr>
      </xdr:nvSpPr>
      <xdr:spPr bwMode="auto">
        <a:xfrm>
          <a:off x="12277725"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1075</xdr:row>
      <xdr:rowOff>0</xdr:rowOff>
    </xdr:from>
    <xdr:ext cx="27765" cy="424860"/>
    <xdr:sp macro="" textlink="">
      <xdr:nvSpPr>
        <xdr:cNvPr id="514" name="Text Box 1025"/>
        <xdr:cNvSpPr txBox="1">
          <a:spLocks noChangeArrowheads="1"/>
        </xdr:cNvSpPr>
      </xdr:nvSpPr>
      <xdr:spPr bwMode="auto">
        <a:xfrm>
          <a:off x="12277725" y="2569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1080</xdr:row>
      <xdr:rowOff>0</xdr:rowOff>
    </xdr:from>
    <xdr:ext cx="27765" cy="424860"/>
    <xdr:sp macro="" textlink="">
      <xdr:nvSpPr>
        <xdr:cNvPr id="515" name="Text Box 1025"/>
        <xdr:cNvSpPr txBox="1">
          <a:spLocks noChangeArrowheads="1"/>
        </xdr:cNvSpPr>
      </xdr:nvSpPr>
      <xdr:spPr bwMode="auto">
        <a:xfrm>
          <a:off x="0" y="2581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1080</xdr:row>
      <xdr:rowOff>0</xdr:rowOff>
    </xdr:from>
    <xdr:ext cx="27765" cy="424860"/>
    <xdr:sp macro="" textlink="">
      <xdr:nvSpPr>
        <xdr:cNvPr id="516" name="Text Box 1025"/>
        <xdr:cNvSpPr txBox="1">
          <a:spLocks noChangeArrowheads="1"/>
        </xdr:cNvSpPr>
      </xdr:nvSpPr>
      <xdr:spPr bwMode="auto">
        <a:xfrm>
          <a:off x="0" y="2581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1080</xdr:row>
      <xdr:rowOff>0</xdr:rowOff>
    </xdr:from>
    <xdr:ext cx="27765" cy="424860"/>
    <xdr:sp macro="" textlink="">
      <xdr:nvSpPr>
        <xdr:cNvPr id="517" name="Text Box 1025"/>
        <xdr:cNvSpPr txBox="1">
          <a:spLocks noChangeArrowheads="1"/>
        </xdr:cNvSpPr>
      </xdr:nvSpPr>
      <xdr:spPr bwMode="auto">
        <a:xfrm>
          <a:off x="0" y="2581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1095</xdr:row>
      <xdr:rowOff>0</xdr:rowOff>
    </xdr:from>
    <xdr:ext cx="27765" cy="424860"/>
    <xdr:sp macro="" textlink="">
      <xdr:nvSpPr>
        <xdr:cNvPr id="518" name="Text Box 1025"/>
        <xdr:cNvSpPr txBox="1">
          <a:spLocks noChangeArrowheads="1"/>
        </xdr:cNvSpPr>
      </xdr:nvSpPr>
      <xdr:spPr bwMode="auto">
        <a:xfrm>
          <a:off x="0"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1095</xdr:row>
      <xdr:rowOff>0</xdr:rowOff>
    </xdr:from>
    <xdr:ext cx="27765" cy="424860"/>
    <xdr:sp macro="" textlink="">
      <xdr:nvSpPr>
        <xdr:cNvPr id="519" name="Text Box 1025"/>
        <xdr:cNvSpPr txBox="1">
          <a:spLocks noChangeArrowheads="1"/>
        </xdr:cNvSpPr>
      </xdr:nvSpPr>
      <xdr:spPr bwMode="auto">
        <a:xfrm>
          <a:off x="0"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1095</xdr:row>
      <xdr:rowOff>0</xdr:rowOff>
    </xdr:from>
    <xdr:ext cx="27765" cy="424860"/>
    <xdr:sp macro="" textlink="">
      <xdr:nvSpPr>
        <xdr:cNvPr id="520" name="Text Box 1025"/>
        <xdr:cNvSpPr txBox="1">
          <a:spLocks noChangeArrowheads="1"/>
        </xdr:cNvSpPr>
      </xdr:nvSpPr>
      <xdr:spPr bwMode="auto">
        <a:xfrm>
          <a:off x="0"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1095</xdr:row>
      <xdr:rowOff>0</xdr:rowOff>
    </xdr:from>
    <xdr:ext cx="27765" cy="424860"/>
    <xdr:sp macro="" textlink="">
      <xdr:nvSpPr>
        <xdr:cNvPr id="521" name="Text Box 1025"/>
        <xdr:cNvSpPr txBox="1">
          <a:spLocks noChangeArrowheads="1"/>
        </xdr:cNvSpPr>
      </xdr:nvSpPr>
      <xdr:spPr bwMode="auto">
        <a:xfrm>
          <a:off x="12277725"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1095</xdr:row>
      <xdr:rowOff>0</xdr:rowOff>
    </xdr:from>
    <xdr:ext cx="27765" cy="424860"/>
    <xdr:sp macro="" textlink="">
      <xdr:nvSpPr>
        <xdr:cNvPr id="522" name="Text Box 1025"/>
        <xdr:cNvSpPr txBox="1">
          <a:spLocks noChangeArrowheads="1"/>
        </xdr:cNvSpPr>
      </xdr:nvSpPr>
      <xdr:spPr bwMode="auto">
        <a:xfrm>
          <a:off x="12277725"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1095</xdr:row>
      <xdr:rowOff>0</xdr:rowOff>
    </xdr:from>
    <xdr:ext cx="27765" cy="424860"/>
    <xdr:sp macro="" textlink="">
      <xdr:nvSpPr>
        <xdr:cNvPr id="523" name="Text Box 1025"/>
        <xdr:cNvSpPr txBox="1">
          <a:spLocks noChangeArrowheads="1"/>
        </xdr:cNvSpPr>
      </xdr:nvSpPr>
      <xdr:spPr bwMode="auto">
        <a:xfrm>
          <a:off x="12277725" y="2617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1100</xdr:row>
      <xdr:rowOff>0</xdr:rowOff>
    </xdr:from>
    <xdr:ext cx="27765" cy="424860"/>
    <xdr:sp macro="" textlink="">
      <xdr:nvSpPr>
        <xdr:cNvPr id="524" name="Text Box 1025"/>
        <xdr:cNvSpPr txBox="1">
          <a:spLocks noChangeArrowheads="1"/>
        </xdr:cNvSpPr>
      </xdr:nvSpPr>
      <xdr:spPr bwMode="auto">
        <a:xfrm>
          <a:off x="0" y="2629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1100</xdr:row>
      <xdr:rowOff>0</xdr:rowOff>
    </xdr:from>
    <xdr:ext cx="27765" cy="424860"/>
    <xdr:sp macro="" textlink="">
      <xdr:nvSpPr>
        <xdr:cNvPr id="525" name="Text Box 1025"/>
        <xdr:cNvSpPr txBox="1">
          <a:spLocks noChangeArrowheads="1"/>
        </xdr:cNvSpPr>
      </xdr:nvSpPr>
      <xdr:spPr bwMode="auto">
        <a:xfrm>
          <a:off x="0" y="2629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1100</xdr:row>
      <xdr:rowOff>0</xdr:rowOff>
    </xdr:from>
    <xdr:ext cx="27765" cy="424860"/>
    <xdr:sp macro="" textlink="">
      <xdr:nvSpPr>
        <xdr:cNvPr id="526" name="Text Box 1025"/>
        <xdr:cNvSpPr txBox="1">
          <a:spLocks noChangeArrowheads="1"/>
        </xdr:cNvSpPr>
      </xdr:nvSpPr>
      <xdr:spPr bwMode="auto">
        <a:xfrm>
          <a:off x="0" y="2629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1115</xdr:row>
      <xdr:rowOff>0</xdr:rowOff>
    </xdr:from>
    <xdr:ext cx="27765" cy="424860"/>
    <xdr:sp macro="" textlink="">
      <xdr:nvSpPr>
        <xdr:cNvPr id="527" name="Text Box 1025"/>
        <xdr:cNvSpPr txBox="1">
          <a:spLocks noChangeArrowheads="1"/>
        </xdr:cNvSpPr>
      </xdr:nvSpPr>
      <xdr:spPr bwMode="auto">
        <a:xfrm>
          <a:off x="0"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1115</xdr:row>
      <xdr:rowOff>0</xdr:rowOff>
    </xdr:from>
    <xdr:ext cx="27765" cy="424860"/>
    <xdr:sp macro="" textlink="">
      <xdr:nvSpPr>
        <xdr:cNvPr id="528" name="Text Box 1025"/>
        <xdr:cNvSpPr txBox="1">
          <a:spLocks noChangeArrowheads="1"/>
        </xdr:cNvSpPr>
      </xdr:nvSpPr>
      <xdr:spPr bwMode="auto">
        <a:xfrm>
          <a:off x="0"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1115</xdr:row>
      <xdr:rowOff>0</xdr:rowOff>
    </xdr:from>
    <xdr:ext cx="27765" cy="424860"/>
    <xdr:sp macro="" textlink="">
      <xdr:nvSpPr>
        <xdr:cNvPr id="529" name="Text Box 1025"/>
        <xdr:cNvSpPr txBox="1">
          <a:spLocks noChangeArrowheads="1"/>
        </xdr:cNvSpPr>
      </xdr:nvSpPr>
      <xdr:spPr bwMode="auto">
        <a:xfrm>
          <a:off x="0"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1115</xdr:row>
      <xdr:rowOff>0</xdr:rowOff>
    </xdr:from>
    <xdr:ext cx="27765" cy="424860"/>
    <xdr:sp macro="" textlink="">
      <xdr:nvSpPr>
        <xdr:cNvPr id="530" name="Text Box 1025"/>
        <xdr:cNvSpPr txBox="1">
          <a:spLocks noChangeArrowheads="1"/>
        </xdr:cNvSpPr>
      </xdr:nvSpPr>
      <xdr:spPr bwMode="auto">
        <a:xfrm>
          <a:off x="12277725"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1115</xdr:row>
      <xdr:rowOff>0</xdr:rowOff>
    </xdr:from>
    <xdr:ext cx="27765" cy="424860"/>
    <xdr:sp macro="" textlink="">
      <xdr:nvSpPr>
        <xdr:cNvPr id="531" name="Text Box 1025"/>
        <xdr:cNvSpPr txBox="1">
          <a:spLocks noChangeArrowheads="1"/>
        </xdr:cNvSpPr>
      </xdr:nvSpPr>
      <xdr:spPr bwMode="auto">
        <a:xfrm>
          <a:off x="12277725"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1115</xdr:row>
      <xdr:rowOff>0</xdr:rowOff>
    </xdr:from>
    <xdr:ext cx="27765" cy="424860"/>
    <xdr:sp macro="" textlink="">
      <xdr:nvSpPr>
        <xdr:cNvPr id="532" name="Text Box 1025"/>
        <xdr:cNvSpPr txBox="1">
          <a:spLocks noChangeArrowheads="1"/>
        </xdr:cNvSpPr>
      </xdr:nvSpPr>
      <xdr:spPr bwMode="auto">
        <a:xfrm>
          <a:off x="12277725" y="2664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1120</xdr:row>
      <xdr:rowOff>0</xdr:rowOff>
    </xdr:from>
    <xdr:ext cx="27765" cy="424860"/>
    <xdr:sp macro="" textlink="">
      <xdr:nvSpPr>
        <xdr:cNvPr id="533" name="Text Box 1025"/>
        <xdr:cNvSpPr txBox="1">
          <a:spLocks noChangeArrowheads="1"/>
        </xdr:cNvSpPr>
      </xdr:nvSpPr>
      <xdr:spPr bwMode="auto">
        <a:xfrm>
          <a:off x="0" y="2676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1120</xdr:row>
      <xdr:rowOff>0</xdr:rowOff>
    </xdr:from>
    <xdr:ext cx="27765" cy="424860"/>
    <xdr:sp macro="" textlink="">
      <xdr:nvSpPr>
        <xdr:cNvPr id="534" name="Text Box 1025"/>
        <xdr:cNvSpPr txBox="1">
          <a:spLocks noChangeArrowheads="1"/>
        </xdr:cNvSpPr>
      </xdr:nvSpPr>
      <xdr:spPr bwMode="auto">
        <a:xfrm>
          <a:off x="0" y="2676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1120</xdr:row>
      <xdr:rowOff>0</xdr:rowOff>
    </xdr:from>
    <xdr:ext cx="27765" cy="424860"/>
    <xdr:sp macro="" textlink="">
      <xdr:nvSpPr>
        <xdr:cNvPr id="535" name="Text Box 1025"/>
        <xdr:cNvSpPr txBox="1">
          <a:spLocks noChangeArrowheads="1"/>
        </xdr:cNvSpPr>
      </xdr:nvSpPr>
      <xdr:spPr bwMode="auto">
        <a:xfrm>
          <a:off x="0" y="2676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1135</xdr:row>
      <xdr:rowOff>0</xdr:rowOff>
    </xdr:from>
    <xdr:ext cx="27765" cy="424860"/>
    <xdr:sp macro="" textlink="">
      <xdr:nvSpPr>
        <xdr:cNvPr id="536" name="Text Box 1025"/>
        <xdr:cNvSpPr txBox="1">
          <a:spLocks noChangeArrowheads="1"/>
        </xdr:cNvSpPr>
      </xdr:nvSpPr>
      <xdr:spPr bwMode="auto">
        <a:xfrm>
          <a:off x="0"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1135</xdr:row>
      <xdr:rowOff>0</xdr:rowOff>
    </xdr:from>
    <xdr:ext cx="27765" cy="424860"/>
    <xdr:sp macro="" textlink="">
      <xdr:nvSpPr>
        <xdr:cNvPr id="537" name="Text Box 1025"/>
        <xdr:cNvSpPr txBox="1">
          <a:spLocks noChangeArrowheads="1"/>
        </xdr:cNvSpPr>
      </xdr:nvSpPr>
      <xdr:spPr bwMode="auto">
        <a:xfrm>
          <a:off x="0"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1135</xdr:row>
      <xdr:rowOff>0</xdr:rowOff>
    </xdr:from>
    <xdr:ext cx="27765" cy="424860"/>
    <xdr:sp macro="" textlink="">
      <xdr:nvSpPr>
        <xdr:cNvPr id="538" name="Text Box 1025"/>
        <xdr:cNvSpPr txBox="1">
          <a:spLocks noChangeArrowheads="1"/>
        </xdr:cNvSpPr>
      </xdr:nvSpPr>
      <xdr:spPr bwMode="auto">
        <a:xfrm>
          <a:off x="0"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1135</xdr:row>
      <xdr:rowOff>0</xdr:rowOff>
    </xdr:from>
    <xdr:ext cx="27765" cy="424860"/>
    <xdr:sp macro="" textlink="">
      <xdr:nvSpPr>
        <xdr:cNvPr id="539" name="Text Box 1025"/>
        <xdr:cNvSpPr txBox="1">
          <a:spLocks noChangeArrowheads="1"/>
        </xdr:cNvSpPr>
      </xdr:nvSpPr>
      <xdr:spPr bwMode="auto">
        <a:xfrm>
          <a:off x="12277725"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1135</xdr:row>
      <xdr:rowOff>0</xdr:rowOff>
    </xdr:from>
    <xdr:ext cx="27765" cy="424860"/>
    <xdr:sp macro="" textlink="">
      <xdr:nvSpPr>
        <xdr:cNvPr id="540" name="Text Box 1025"/>
        <xdr:cNvSpPr txBox="1">
          <a:spLocks noChangeArrowheads="1"/>
        </xdr:cNvSpPr>
      </xdr:nvSpPr>
      <xdr:spPr bwMode="auto">
        <a:xfrm>
          <a:off x="12277725"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1135</xdr:row>
      <xdr:rowOff>0</xdr:rowOff>
    </xdr:from>
    <xdr:ext cx="27765" cy="424860"/>
    <xdr:sp macro="" textlink="">
      <xdr:nvSpPr>
        <xdr:cNvPr id="541" name="Text Box 1025"/>
        <xdr:cNvSpPr txBox="1">
          <a:spLocks noChangeArrowheads="1"/>
        </xdr:cNvSpPr>
      </xdr:nvSpPr>
      <xdr:spPr bwMode="auto">
        <a:xfrm>
          <a:off x="12277725" y="2712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1140</xdr:row>
      <xdr:rowOff>0</xdr:rowOff>
    </xdr:from>
    <xdr:ext cx="27765" cy="424860"/>
    <xdr:sp macro="" textlink="">
      <xdr:nvSpPr>
        <xdr:cNvPr id="542" name="Text Box 1025"/>
        <xdr:cNvSpPr txBox="1">
          <a:spLocks noChangeArrowheads="1"/>
        </xdr:cNvSpPr>
      </xdr:nvSpPr>
      <xdr:spPr bwMode="auto">
        <a:xfrm>
          <a:off x="0" y="2724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1140</xdr:row>
      <xdr:rowOff>0</xdr:rowOff>
    </xdr:from>
    <xdr:ext cx="27765" cy="424860"/>
    <xdr:sp macro="" textlink="">
      <xdr:nvSpPr>
        <xdr:cNvPr id="543" name="Text Box 1025"/>
        <xdr:cNvSpPr txBox="1">
          <a:spLocks noChangeArrowheads="1"/>
        </xdr:cNvSpPr>
      </xdr:nvSpPr>
      <xdr:spPr bwMode="auto">
        <a:xfrm>
          <a:off x="0" y="2724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1140</xdr:row>
      <xdr:rowOff>0</xdr:rowOff>
    </xdr:from>
    <xdr:ext cx="27765" cy="424860"/>
    <xdr:sp macro="" textlink="">
      <xdr:nvSpPr>
        <xdr:cNvPr id="544" name="Text Box 1025"/>
        <xdr:cNvSpPr txBox="1">
          <a:spLocks noChangeArrowheads="1"/>
        </xdr:cNvSpPr>
      </xdr:nvSpPr>
      <xdr:spPr bwMode="auto">
        <a:xfrm>
          <a:off x="0" y="2724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1155</xdr:row>
      <xdr:rowOff>0</xdr:rowOff>
    </xdr:from>
    <xdr:ext cx="27765" cy="424860"/>
    <xdr:sp macro="" textlink="">
      <xdr:nvSpPr>
        <xdr:cNvPr id="545" name="Text Box 1025"/>
        <xdr:cNvSpPr txBox="1">
          <a:spLocks noChangeArrowheads="1"/>
        </xdr:cNvSpPr>
      </xdr:nvSpPr>
      <xdr:spPr bwMode="auto">
        <a:xfrm>
          <a:off x="0"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1155</xdr:row>
      <xdr:rowOff>0</xdr:rowOff>
    </xdr:from>
    <xdr:ext cx="27765" cy="424860"/>
    <xdr:sp macro="" textlink="">
      <xdr:nvSpPr>
        <xdr:cNvPr id="546" name="Text Box 1025"/>
        <xdr:cNvSpPr txBox="1">
          <a:spLocks noChangeArrowheads="1"/>
        </xdr:cNvSpPr>
      </xdr:nvSpPr>
      <xdr:spPr bwMode="auto">
        <a:xfrm>
          <a:off x="0"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1155</xdr:row>
      <xdr:rowOff>0</xdr:rowOff>
    </xdr:from>
    <xdr:ext cx="27765" cy="424860"/>
    <xdr:sp macro="" textlink="">
      <xdr:nvSpPr>
        <xdr:cNvPr id="547" name="Text Box 1025"/>
        <xdr:cNvSpPr txBox="1">
          <a:spLocks noChangeArrowheads="1"/>
        </xdr:cNvSpPr>
      </xdr:nvSpPr>
      <xdr:spPr bwMode="auto">
        <a:xfrm>
          <a:off x="0"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1155</xdr:row>
      <xdr:rowOff>0</xdr:rowOff>
    </xdr:from>
    <xdr:ext cx="27765" cy="424860"/>
    <xdr:sp macro="" textlink="">
      <xdr:nvSpPr>
        <xdr:cNvPr id="548" name="Text Box 1025"/>
        <xdr:cNvSpPr txBox="1">
          <a:spLocks noChangeArrowheads="1"/>
        </xdr:cNvSpPr>
      </xdr:nvSpPr>
      <xdr:spPr bwMode="auto">
        <a:xfrm>
          <a:off x="12277725"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1155</xdr:row>
      <xdr:rowOff>0</xdr:rowOff>
    </xdr:from>
    <xdr:ext cx="27765" cy="424860"/>
    <xdr:sp macro="" textlink="">
      <xdr:nvSpPr>
        <xdr:cNvPr id="549" name="Text Box 1025"/>
        <xdr:cNvSpPr txBox="1">
          <a:spLocks noChangeArrowheads="1"/>
        </xdr:cNvSpPr>
      </xdr:nvSpPr>
      <xdr:spPr bwMode="auto">
        <a:xfrm>
          <a:off x="12277725"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1155</xdr:row>
      <xdr:rowOff>0</xdr:rowOff>
    </xdr:from>
    <xdr:ext cx="27765" cy="424860"/>
    <xdr:sp macro="" textlink="">
      <xdr:nvSpPr>
        <xdr:cNvPr id="550" name="Text Box 1025"/>
        <xdr:cNvSpPr txBox="1">
          <a:spLocks noChangeArrowheads="1"/>
        </xdr:cNvSpPr>
      </xdr:nvSpPr>
      <xdr:spPr bwMode="auto">
        <a:xfrm>
          <a:off x="12277725" y="2760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1160</xdr:row>
      <xdr:rowOff>0</xdr:rowOff>
    </xdr:from>
    <xdr:ext cx="27765" cy="424860"/>
    <xdr:sp macro="" textlink="">
      <xdr:nvSpPr>
        <xdr:cNvPr id="551" name="Text Box 1025"/>
        <xdr:cNvSpPr txBox="1">
          <a:spLocks noChangeArrowheads="1"/>
        </xdr:cNvSpPr>
      </xdr:nvSpPr>
      <xdr:spPr bwMode="auto">
        <a:xfrm>
          <a:off x="0" y="2772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1160</xdr:row>
      <xdr:rowOff>0</xdr:rowOff>
    </xdr:from>
    <xdr:ext cx="27765" cy="424860"/>
    <xdr:sp macro="" textlink="">
      <xdr:nvSpPr>
        <xdr:cNvPr id="552" name="Text Box 1025"/>
        <xdr:cNvSpPr txBox="1">
          <a:spLocks noChangeArrowheads="1"/>
        </xdr:cNvSpPr>
      </xdr:nvSpPr>
      <xdr:spPr bwMode="auto">
        <a:xfrm>
          <a:off x="0" y="2772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1160</xdr:row>
      <xdr:rowOff>0</xdr:rowOff>
    </xdr:from>
    <xdr:ext cx="27765" cy="424860"/>
    <xdr:sp macro="" textlink="">
      <xdr:nvSpPr>
        <xdr:cNvPr id="553" name="Text Box 1025"/>
        <xdr:cNvSpPr txBox="1">
          <a:spLocks noChangeArrowheads="1"/>
        </xdr:cNvSpPr>
      </xdr:nvSpPr>
      <xdr:spPr bwMode="auto">
        <a:xfrm>
          <a:off x="0" y="2772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1175</xdr:row>
      <xdr:rowOff>0</xdr:rowOff>
    </xdr:from>
    <xdr:ext cx="27765" cy="424860"/>
    <xdr:sp macro="" textlink="">
      <xdr:nvSpPr>
        <xdr:cNvPr id="554" name="Text Box 1025"/>
        <xdr:cNvSpPr txBox="1">
          <a:spLocks noChangeArrowheads="1"/>
        </xdr:cNvSpPr>
      </xdr:nvSpPr>
      <xdr:spPr bwMode="auto">
        <a:xfrm>
          <a:off x="0"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1175</xdr:row>
      <xdr:rowOff>0</xdr:rowOff>
    </xdr:from>
    <xdr:ext cx="27765" cy="424860"/>
    <xdr:sp macro="" textlink="">
      <xdr:nvSpPr>
        <xdr:cNvPr id="555" name="Text Box 1025"/>
        <xdr:cNvSpPr txBox="1">
          <a:spLocks noChangeArrowheads="1"/>
        </xdr:cNvSpPr>
      </xdr:nvSpPr>
      <xdr:spPr bwMode="auto">
        <a:xfrm>
          <a:off x="0"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1175</xdr:row>
      <xdr:rowOff>0</xdr:rowOff>
    </xdr:from>
    <xdr:ext cx="27765" cy="424860"/>
    <xdr:sp macro="" textlink="">
      <xdr:nvSpPr>
        <xdr:cNvPr id="556" name="Text Box 1025"/>
        <xdr:cNvSpPr txBox="1">
          <a:spLocks noChangeArrowheads="1"/>
        </xdr:cNvSpPr>
      </xdr:nvSpPr>
      <xdr:spPr bwMode="auto">
        <a:xfrm>
          <a:off x="0"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1175</xdr:row>
      <xdr:rowOff>0</xdr:rowOff>
    </xdr:from>
    <xdr:ext cx="27765" cy="424860"/>
    <xdr:sp macro="" textlink="">
      <xdr:nvSpPr>
        <xdr:cNvPr id="557" name="Text Box 1025"/>
        <xdr:cNvSpPr txBox="1">
          <a:spLocks noChangeArrowheads="1"/>
        </xdr:cNvSpPr>
      </xdr:nvSpPr>
      <xdr:spPr bwMode="auto">
        <a:xfrm>
          <a:off x="12277725"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1175</xdr:row>
      <xdr:rowOff>0</xdr:rowOff>
    </xdr:from>
    <xdr:ext cx="27765" cy="424860"/>
    <xdr:sp macro="" textlink="">
      <xdr:nvSpPr>
        <xdr:cNvPr id="558" name="Text Box 1025"/>
        <xdr:cNvSpPr txBox="1">
          <a:spLocks noChangeArrowheads="1"/>
        </xdr:cNvSpPr>
      </xdr:nvSpPr>
      <xdr:spPr bwMode="auto">
        <a:xfrm>
          <a:off x="12277725"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1175</xdr:row>
      <xdr:rowOff>0</xdr:rowOff>
    </xdr:from>
    <xdr:ext cx="27765" cy="424860"/>
    <xdr:sp macro="" textlink="">
      <xdr:nvSpPr>
        <xdr:cNvPr id="559" name="Text Box 1025"/>
        <xdr:cNvSpPr txBox="1">
          <a:spLocks noChangeArrowheads="1"/>
        </xdr:cNvSpPr>
      </xdr:nvSpPr>
      <xdr:spPr bwMode="auto">
        <a:xfrm>
          <a:off x="12277725" y="2807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1180</xdr:row>
      <xdr:rowOff>0</xdr:rowOff>
    </xdr:from>
    <xdr:ext cx="27765" cy="424860"/>
    <xdr:sp macro="" textlink="">
      <xdr:nvSpPr>
        <xdr:cNvPr id="560" name="Text Box 1025"/>
        <xdr:cNvSpPr txBox="1">
          <a:spLocks noChangeArrowheads="1"/>
        </xdr:cNvSpPr>
      </xdr:nvSpPr>
      <xdr:spPr bwMode="auto">
        <a:xfrm>
          <a:off x="0" y="2819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1180</xdr:row>
      <xdr:rowOff>0</xdr:rowOff>
    </xdr:from>
    <xdr:ext cx="27765" cy="424860"/>
    <xdr:sp macro="" textlink="">
      <xdr:nvSpPr>
        <xdr:cNvPr id="561" name="Text Box 1025"/>
        <xdr:cNvSpPr txBox="1">
          <a:spLocks noChangeArrowheads="1"/>
        </xdr:cNvSpPr>
      </xdr:nvSpPr>
      <xdr:spPr bwMode="auto">
        <a:xfrm>
          <a:off x="0" y="2819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1180</xdr:row>
      <xdr:rowOff>0</xdr:rowOff>
    </xdr:from>
    <xdr:ext cx="27765" cy="424860"/>
    <xdr:sp macro="" textlink="">
      <xdr:nvSpPr>
        <xdr:cNvPr id="562" name="Text Box 1025"/>
        <xdr:cNvSpPr txBox="1">
          <a:spLocks noChangeArrowheads="1"/>
        </xdr:cNvSpPr>
      </xdr:nvSpPr>
      <xdr:spPr bwMode="auto">
        <a:xfrm>
          <a:off x="0" y="2819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1195</xdr:row>
      <xdr:rowOff>0</xdr:rowOff>
    </xdr:from>
    <xdr:ext cx="27765" cy="424860"/>
    <xdr:sp macro="" textlink="">
      <xdr:nvSpPr>
        <xdr:cNvPr id="563" name="Text Box 1025"/>
        <xdr:cNvSpPr txBox="1">
          <a:spLocks noChangeArrowheads="1"/>
        </xdr:cNvSpPr>
      </xdr:nvSpPr>
      <xdr:spPr bwMode="auto">
        <a:xfrm>
          <a:off x="0"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1195</xdr:row>
      <xdr:rowOff>0</xdr:rowOff>
    </xdr:from>
    <xdr:ext cx="27765" cy="424860"/>
    <xdr:sp macro="" textlink="">
      <xdr:nvSpPr>
        <xdr:cNvPr id="564" name="Text Box 1025"/>
        <xdr:cNvSpPr txBox="1">
          <a:spLocks noChangeArrowheads="1"/>
        </xdr:cNvSpPr>
      </xdr:nvSpPr>
      <xdr:spPr bwMode="auto">
        <a:xfrm>
          <a:off x="0"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1195</xdr:row>
      <xdr:rowOff>0</xdr:rowOff>
    </xdr:from>
    <xdr:ext cx="27765" cy="424860"/>
    <xdr:sp macro="" textlink="">
      <xdr:nvSpPr>
        <xdr:cNvPr id="565" name="Text Box 1025"/>
        <xdr:cNvSpPr txBox="1">
          <a:spLocks noChangeArrowheads="1"/>
        </xdr:cNvSpPr>
      </xdr:nvSpPr>
      <xdr:spPr bwMode="auto">
        <a:xfrm>
          <a:off x="0"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1195</xdr:row>
      <xdr:rowOff>0</xdr:rowOff>
    </xdr:from>
    <xdr:ext cx="27765" cy="424860"/>
    <xdr:sp macro="" textlink="">
      <xdr:nvSpPr>
        <xdr:cNvPr id="566" name="Text Box 1025"/>
        <xdr:cNvSpPr txBox="1">
          <a:spLocks noChangeArrowheads="1"/>
        </xdr:cNvSpPr>
      </xdr:nvSpPr>
      <xdr:spPr bwMode="auto">
        <a:xfrm>
          <a:off x="12277725"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1195</xdr:row>
      <xdr:rowOff>0</xdr:rowOff>
    </xdr:from>
    <xdr:ext cx="27765" cy="424860"/>
    <xdr:sp macro="" textlink="">
      <xdr:nvSpPr>
        <xdr:cNvPr id="567" name="Text Box 1025"/>
        <xdr:cNvSpPr txBox="1">
          <a:spLocks noChangeArrowheads="1"/>
        </xdr:cNvSpPr>
      </xdr:nvSpPr>
      <xdr:spPr bwMode="auto">
        <a:xfrm>
          <a:off x="12277725"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1195</xdr:row>
      <xdr:rowOff>0</xdr:rowOff>
    </xdr:from>
    <xdr:ext cx="27765" cy="424860"/>
    <xdr:sp macro="" textlink="">
      <xdr:nvSpPr>
        <xdr:cNvPr id="568" name="Text Box 1025"/>
        <xdr:cNvSpPr txBox="1">
          <a:spLocks noChangeArrowheads="1"/>
        </xdr:cNvSpPr>
      </xdr:nvSpPr>
      <xdr:spPr bwMode="auto">
        <a:xfrm>
          <a:off x="12277725" y="2855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1200</xdr:row>
      <xdr:rowOff>0</xdr:rowOff>
    </xdr:from>
    <xdr:ext cx="27765" cy="424860"/>
    <xdr:sp macro="" textlink="">
      <xdr:nvSpPr>
        <xdr:cNvPr id="569" name="Text Box 1025"/>
        <xdr:cNvSpPr txBox="1">
          <a:spLocks noChangeArrowheads="1"/>
        </xdr:cNvSpPr>
      </xdr:nvSpPr>
      <xdr:spPr bwMode="auto">
        <a:xfrm>
          <a:off x="0" y="2867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1200</xdr:row>
      <xdr:rowOff>0</xdr:rowOff>
    </xdr:from>
    <xdr:ext cx="27765" cy="424860"/>
    <xdr:sp macro="" textlink="">
      <xdr:nvSpPr>
        <xdr:cNvPr id="570" name="Text Box 1025"/>
        <xdr:cNvSpPr txBox="1">
          <a:spLocks noChangeArrowheads="1"/>
        </xdr:cNvSpPr>
      </xdr:nvSpPr>
      <xdr:spPr bwMode="auto">
        <a:xfrm>
          <a:off x="0" y="2867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1200</xdr:row>
      <xdr:rowOff>0</xdr:rowOff>
    </xdr:from>
    <xdr:ext cx="27765" cy="424860"/>
    <xdr:sp macro="" textlink="">
      <xdr:nvSpPr>
        <xdr:cNvPr id="571" name="Text Box 1025"/>
        <xdr:cNvSpPr txBox="1">
          <a:spLocks noChangeArrowheads="1"/>
        </xdr:cNvSpPr>
      </xdr:nvSpPr>
      <xdr:spPr bwMode="auto">
        <a:xfrm>
          <a:off x="0" y="2867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1215</xdr:row>
      <xdr:rowOff>0</xdr:rowOff>
    </xdr:from>
    <xdr:ext cx="27765" cy="424860"/>
    <xdr:sp macro="" textlink="">
      <xdr:nvSpPr>
        <xdr:cNvPr id="572" name="Text Box 1025"/>
        <xdr:cNvSpPr txBox="1">
          <a:spLocks noChangeArrowheads="1"/>
        </xdr:cNvSpPr>
      </xdr:nvSpPr>
      <xdr:spPr bwMode="auto">
        <a:xfrm>
          <a:off x="0"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1215</xdr:row>
      <xdr:rowOff>0</xdr:rowOff>
    </xdr:from>
    <xdr:ext cx="27765" cy="424860"/>
    <xdr:sp macro="" textlink="">
      <xdr:nvSpPr>
        <xdr:cNvPr id="573" name="Text Box 1025"/>
        <xdr:cNvSpPr txBox="1">
          <a:spLocks noChangeArrowheads="1"/>
        </xdr:cNvSpPr>
      </xdr:nvSpPr>
      <xdr:spPr bwMode="auto">
        <a:xfrm>
          <a:off x="0"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1215</xdr:row>
      <xdr:rowOff>0</xdr:rowOff>
    </xdr:from>
    <xdr:ext cx="27765" cy="424860"/>
    <xdr:sp macro="" textlink="">
      <xdr:nvSpPr>
        <xdr:cNvPr id="574" name="Text Box 1025"/>
        <xdr:cNvSpPr txBox="1">
          <a:spLocks noChangeArrowheads="1"/>
        </xdr:cNvSpPr>
      </xdr:nvSpPr>
      <xdr:spPr bwMode="auto">
        <a:xfrm>
          <a:off x="0"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1215</xdr:row>
      <xdr:rowOff>0</xdr:rowOff>
    </xdr:from>
    <xdr:ext cx="27765" cy="424860"/>
    <xdr:sp macro="" textlink="">
      <xdr:nvSpPr>
        <xdr:cNvPr id="575" name="Text Box 1025"/>
        <xdr:cNvSpPr txBox="1">
          <a:spLocks noChangeArrowheads="1"/>
        </xdr:cNvSpPr>
      </xdr:nvSpPr>
      <xdr:spPr bwMode="auto">
        <a:xfrm>
          <a:off x="12277725"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1215</xdr:row>
      <xdr:rowOff>0</xdr:rowOff>
    </xdr:from>
    <xdr:ext cx="27765" cy="424860"/>
    <xdr:sp macro="" textlink="">
      <xdr:nvSpPr>
        <xdr:cNvPr id="576" name="Text Box 1025"/>
        <xdr:cNvSpPr txBox="1">
          <a:spLocks noChangeArrowheads="1"/>
        </xdr:cNvSpPr>
      </xdr:nvSpPr>
      <xdr:spPr bwMode="auto">
        <a:xfrm>
          <a:off x="12277725"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1215</xdr:row>
      <xdr:rowOff>0</xdr:rowOff>
    </xdr:from>
    <xdr:ext cx="27765" cy="424860"/>
    <xdr:sp macro="" textlink="">
      <xdr:nvSpPr>
        <xdr:cNvPr id="577" name="Text Box 1025"/>
        <xdr:cNvSpPr txBox="1">
          <a:spLocks noChangeArrowheads="1"/>
        </xdr:cNvSpPr>
      </xdr:nvSpPr>
      <xdr:spPr bwMode="auto">
        <a:xfrm>
          <a:off x="12277725" y="2903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1220</xdr:row>
      <xdr:rowOff>0</xdr:rowOff>
    </xdr:from>
    <xdr:ext cx="27765" cy="424860"/>
    <xdr:sp macro="" textlink="">
      <xdr:nvSpPr>
        <xdr:cNvPr id="578" name="Text Box 1025"/>
        <xdr:cNvSpPr txBox="1">
          <a:spLocks noChangeArrowheads="1"/>
        </xdr:cNvSpPr>
      </xdr:nvSpPr>
      <xdr:spPr bwMode="auto">
        <a:xfrm>
          <a:off x="0" y="2914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1220</xdr:row>
      <xdr:rowOff>0</xdr:rowOff>
    </xdr:from>
    <xdr:ext cx="27765" cy="424860"/>
    <xdr:sp macro="" textlink="">
      <xdr:nvSpPr>
        <xdr:cNvPr id="579" name="Text Box 1025"/>
        <xdr:cNvSpPr txBox="1">
          <a:spLocks noChangeArrowheads="1"/>
        </xdr:cNvSpPr>
      </xdr:nvSpPr>
      <xdr:spPr bwMode="auto">
        <a:xfrm>
          <a:off x="0" y="2914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1220</xdr:row>
      <xdr:rowOff>0</xdr:rowOff>
    </xdr:from>
    <xdr:ext cx="27765" cy="424860"/>
    <xdr:sp macro="" textlink="">
      <xdr:nvSpPr>
        <xdr:cNvPr id="580" name="Text Box 1025"/>
        <xdr:cNvSpPr txBox="1">
          <a:spLocks noChangeArrowheads="1"/>
        </xdr:cNvSpPr>
      </xdr:nvSpPr>
      <xdr:spPr bwMode="auto">
        <a:xfrm>
          <a:off x="0" y="2914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1235</xdr:row>
      <xdr:rowOff>0</xdr:rowOff>
    </xdr:from>
    <xdr:ext cx="27765" cy="424860"/>
    <xdr:sp macro="" textlink="">
      <xdr:nvSpPr>
        <xdr:cNvPr id="581" name="Text Box 1025"/>
        <xdr:cNvSpPr txBox="1">
          <a:spLocks noChangeArrowheads="1"/>
        </xdr:cNvSpPr>
      </xdr:nvSpPr>
      <xdr:spPr bwMode="auto">
        <a:xfrm>
          <a:off x="0"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1235</xdr:row>
      <xdr:rowOff>0</xdr:rowOff>
    </xdr:from>
    <xdr:ext cx="27765" cy="424860"/>
    <xdr:sp macro="" textlink="">
      <xdr:nvSpPr>
        <xdr:cNvPr id="582" name="Text Box 1025"/>
        <xdr:cNvSpPr txBox="1">
          <a:spLocks noChangeArrowheads="1"/>
        </xdr:cNvSpPr>
      </xdr:nvSpPr>
      <xdr:spPr bwMode="auto">
        <a:xfrm>
          <a:off x="0"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1235</xdr:row>
      <xdr:rowOff>0</xdr:rowOff>
    </xdr:from>
    <xdr:ext cx="27765" cy="424860"/>
    <xdr:sp macro="" textlink="">
      <xdr:nvSpPr>
        <xdr:cNvPr id="583" name="Text Box 1025"/>
        <xdr:cNvSpPr txBox="1">
          <a:spLocks noChangeArrowheads="1"/>
        </xdr:cNvSpPr>
      </xdr:nvSpPr>
      <xdr:spPr bwMode="auto">
        <a:xfrm>
          <a:off x="0"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1235</xdr:row>
      <xdr:rowOff>0</xdr:rowOff>
    </xdr:from>
    <xdr:ext cx="27765" cy="424860"/>
    <xdr:sp macro="" textlink="">
      <xdr:nvSpPr>
        <xdr:cNvPr id="584" name="Text Box 1025"/>
        <xdr:cNvSpPr txBox="1">
          <a:spLocks noChangeArrowheads="1"/>
        </xdr:cNvSpPr>
      </xdr:nvSpPr>
      <xdr:spPr bwMode="auto">
        <a:xfrm>
          <a:off x="12277725"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1235</xdr:row>
      <xdr:rowOff>0</xdr:rowOff>
    </xdr:from>
    <xdr:ext cx="27765" cy="424860"/>
    <xdr:sp macro="" textlink="">
      <xdr:nvSpPr>
        <xdr:cNvPr id="585" name="Text Box 1025"/>
        <xdr:cNvSpPr txBox="1">
          <a:spLocks noChangeArrowheads="1"/>
        </xdr:cNvSpPr>
      </xdr:nvSpPr>
      <xdr:spPr bwMode="auto">
        <a:xfrm>
          <a:off x="12277725"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1235</xdr:row>
      <xdr:rowOff>0</xdr:rowOff>
    </xdr:from>
    <xdr:ext cx="27765" cy="424860"/>
    <xdr:sp macro="" textlink="">
      <xdr:nvSpPr>
        <xdr:cNvPr id="586" name="Text Box 1025"/>
        <xdr:cNvSpPr txBox="1">
          <a:spLocks noChangeArrowheads="1"/>
        </xdr:cNvSpPr>
      </xdr:nvSpPr>
      <xdr:spPr bwMode="auto">
        <a:xfrm>
          <a:off x="12277725" y="2950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1240</xdr:row>
      <xdr:rowOff>0</xdr:rowOff>
    </xdr:from>
    <xdr:ext cx="27765" cy="424860"/>
    <xdr:sp macro="" textlink="">
      <xdr:nvSpPr>
        <xdr:cNvPr id="587" name="Text Box 1025"/>
        <xdr:cNvSpPr txBox="1">
          <a:spLocks noChangeArrowheads="1"/>
        </xdr:cNvSpPr>
      </xdr:nvSpPr>
      <xdr:spPr bwMode="auto">
        <a:xfrm>
          <a:off x="0" y="2962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1240</xdr:row>
      <xdr:rowOff>0</xdr:rowOff>
    </xdr:from>
    <xdr:ext cx="27765" cy="424860"/>
    <xdr:sp macro="" textlink="">
      <xdr:nvSpPr>
        <xdr:cNvPr id="588" name="Text Box 1025"/>
        <xdr:cNvSpPr txBox="1">
          <a:spLocks noChangeArrowheads="1"/>
        </xdr:cNvSpPr>
      </xdr:nvSpPr>
      <xdr:spPr bwMode="auto">
        <a:xfrm>
          <a:off x="0" y="2962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1240</xdr:row>
      <xdr:rowOff>0</xdr:rowOff>
    </xdr:from>
    <xdr:ext cx="27765" cy="424860"/>
    <xdr:sp macro="" textlink="">
      <xdr:nvSpPr>
        <xdr:cNvPr id="589" name="Text Box 1025"/>
        <xdr:cNvSpPr txBox="1">
          <a:spLocks noChangeArrowheads="1"/>
        </xdr:cNvSpPr>
      </xdr:nvSpPr>
      <xdr:spPr bwMode="auto">
        <a:xfrm>
          <a:off x="0" y="2962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1255</xdr:row>
      <xdr:rowOff>0</xdr:rowOff>
    </xdr:from>
    <xdr:ext cx="27765" cy="424860"/>
    <xdr:sp macro="" textlink="">
      <xdr:nvSpPr>
        <xdr:cNvPr id="590" name="Text Box 1025"/>
        <xdr:cNvSpPr txBox="1">
          <a:spLocks noChangeArrowheads="1"/>
        </xdr:cNvSpPr>
      </xdr:nvSpPr>
      <xdr:spPr bwMode="auto">
        <a:xfrm>
          <a:off x="0"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1255</xdr:row>
      <xdr:rowOff>0</xdr:rowOff>
    </xdr:from>
    <xdr:ext cx="27765" cy="424860"/>
    <xdr:sp macro="" textlink="">
      <xdr:nvSpPr>
        <xdr:cNvPr id="591" name="Text Box 1025"/>
        <xdr:cNvSpPr txBox="1">
          <a:spLocks noChangeArrowheads="1"/>
        </xdr:cNvSpPr>
      </xdr:nvSpPr>
      <xdr:spPr bwMode="auto">
        <a:xfrm>
          <a:off x="0"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1255</xdr:row>
      <xdr:rowOff>0</xdr:rowOff>
    </xdr:from>
    <xdr:ext cx="27765" cy="424860"/>
    <xdr:sp macro="" textlink="">
      <xdr:nvSpPr>
        <xdr:cNvPr id="592" name="Text Box 1025"/>
        <xdr:cNvSpPr txBox="1">
          <a:spLocks noChangeArrowheads="1"/>
        </xdr:cNvSpPr>
      </xdr:nvSpPr>
      <xdr:spPr bwMode="auto">
        <a:xfrm>
          <a:off x="0"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1255</xdr:row>
      <xdr:rowOff>0</xdr:rowOff>
    </xdr:from>
    <xdr:ext cx="27765" cy="424860"/>
    <xdr:sp macro="" textlink="">
      <xdr:nvSpPr>
        <xdr:cNvPr id="593" name="Text Box 1025"/>
        <xdr:cNvSpPr txBox="1">
          <a:spLocks noChangeArrowheads="1"/>
        </xdr:cNvSpPr>
      </xdr:nvSpPr>
      <xdr:spPr bwMode="auto">
        <a:xfrm>
          <a:off x="12277725"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1255</xdr:row>
      <xdr:rowOff>0</xdr:rowOff>
    </xdr:from>
    <xdr:ext cx="27765" cy="424860"/>
    <xdr:sp macro="" textlink="">
      <xdr:nvSpPr>
        <xdr:cNvPr id="594" name="Text Box 1025"/>
        <xdr:cNvSpPr txBox="1">
          <a:spLocks noChangeArrowheads="1"/>
        </xdr:cNvSpPr>
      </xdr:nvSpPr>
      <xdr:spPr bwMode="auto">
        <a:xfrm>
          <a:off x="12277725"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1255</xdr:row>
      <xdr:rowOff>0</xdr:rowOff>
    </xdr:from>
    <xdr:ext cx="27765" cy="424860"/>
    <xdr:sp macro="" textlink="">
      <xdr:nvSpPr>
        <xdr:cNvPr id="595" name="Text Box 1025"/>
        <xdr:cNvSpPr txBox="1">
          <a:spLocks noChangeArrowheads="1"/>
        </xdr:cNvSpPr>
      </xdr:nvSpPr>
      <xdr:spPr bwMode="auto">
        <a:xfrm>
          <a:off x="12277725" y="2998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1260</xdr:row>
      <xdr:rowOff>0</xdr:rowOff>
    </xdr:from>
    <xdr:ext cx="27765" cy="424860"/>
    <xdr:sp macro="" textlink="">
      <xdr:nvSpPr>
        <xdr:cNvPr id="596" name="Text Box 1025"/>
        <xdr:cNvSpPr txBox="1">
          <a:spLocks noChangeArrowheads="1"/>
        </xdr:cNvSpPr>
      </xdr:nvSpPr>
      <xdr:spPr bwMode="auto">
        <a:xfrm>
          <a:off x="0" y="3010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1260</xdr:row>
      <xdr:rowOff>0</xdr:rowOff>
    </xdr:from>
    <xdr:ext cx="27765" cy="424860"/>
    <xdr:sp macro="" textlink="">
      <xdr:nvSpPr>
        <xdr:cNvPr id="597" name="Text Box 1025"/>
        <xdr:cNvSpPr txBox="1">
          <a:spLocks noChangeArrowheads="1"/>
        </xdr:cNvSpPr>
      </xdr:nvSpPr>
      <xdr:spPr bwMode="auto">
        <a:xfrm>
          <a:off x="0" y="3010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1260</xdr:row>
      <xdr:rowOff>0</xdr:rowOff>
    </xdr:from>
    <xdr:ext cx="27765" cy="424860"/>
    <xdr:sp macro="" textlink="">
      <xdr:nvSpPr>
        <xdr:cNvPr id="598" name="Text Box 1025"/>
        <xdr:cNvSpPr txBox="1">
          <a:spLocks noChangeArrowheads="1"/>
        </xdr:cNvSpPr>
      </xdr:nvSpPr>
      <xdr:spPr bwMode="auto">
        <a:xfrm>
          <a:off x="0" y="30101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1275</xdr:row>
      <xdr:rowOff>0</xdr:rowOff>
    </xdr:from>
    <xdr:ext cx="27765" cy="424860"/>
    <xdr:sp macro="" textlink="">
      <xdr:nvSpPr>
        <xdr:cNvPr id="599" name="Text Box 1025"/>
        <xdr:cNvSpPr txBox="1">
          <a:spLocks noChangeArrowheads="1"/>
        </xdr:cNvSpPr>
      </xdr:nvSpPr>
      <xdr:spPr bwMode="auto">
        <a:xfrm>
          <a:off x="0"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1275</xdr:row>
      <xdr:rowOff>0</xdr:rowOff>
    </xdr:from>
    <xdr:ext cx="27765" cy="424860"/>
    <xdr:sp macro="" textlink="">
      <xdr:nvSpPr>
        <xdr:cNvPr id="600" name="Text Box 1025"/>
        <xdr:cNvSpPr txBox="1">
          <a:spLocks noChangeArrowheads="1"/>
        </xdr:cNvSpPr>
      </xdr:nvSpPr>
      <xdr:spPr bwMode="auto">
        <a:xfrm>
          <a:off x="0"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1275</xdr:row>
      <xdr:rowOff>0</xdr:rowOff>
    </xdr:from>
    <xdr:ext cx="27765" cy="424860"/>
    <xdr:sp macro="" textlink="">
      <xdr:nvSpPr>
        <xdr:cNvPr id="601" name="Text Box 1025"/>
        <xdr:cNvSpPr txBox="1">
          <a:spLocks noChangeArrowheads="1"/>
        </xdr:cNvSpPr>
      </xdr:nvSpPr>
      <xdr:spPr bwMode="auto">
        <a:xfrm>
          <a:off x="0"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1275</xdr:row>
      <xdr:rowOff>0</xdr:rowOff>
    </xdr:from>
    <xdr:ext cx="27765" cy="424860"/>
    <xdr:sp macro="" textlink="">
      <xdr:nvSpPr>
        <xdr:cNvPr id="602" name="Text Box 1025"/>
        <xdr:cNvSpPr txBox="1">
          <a:spLocks noChangeArrowheads="1"/>
        </xdr:cNvSpPr>
      </xdr:nvSpPr>
      <xdr:spPr bwMode="auto">
        <a:xfrm>
          <a:off x="12277725"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1275</xdr:row>
      <xdr:rowOff>0</xdr:rowOff>
    </xdr:from>
    <xdr:ext cx="27765" cy="424860"/>
    <xdr:sp macro="" textlink="">
      <xdr:nvSpPr>
        <xdr:cNvPr id="603" name="Text Box 1025"/>
        <xdr:cNvSpPr txBox="1">
          <a:spLocks noChangeArrowheads="1"/>
        </xdr:cNvSpPr>
      </xdr:nvSpPr>
      <xdr:spPr bwMode="auto">
        <a:xfrm>
          <a:off x="12277725"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1275</xdr:row>
      <xdr:rowOff>0</xdr:rowOff>
    </xdr:from>
    <xdr:ext cx="27765" cy="424860"/>
    <xdr:sp macro="" textlink="">
      <xdr:nvSpPr>
        <xdr:cNvPr id="604" name="Text Box 1025"/>
        <xdr:cNvSpPr txBox="1">
          <a:spLocks noChangeArrowheads="1"/>
        </xdr:cNvSpPr>
      </xdr:nvSpPr>
      <xdr:spPr bwMode="auto">
        <a:xfrm>
          <a:off x="12277725" y="30459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1280</xdr:row>
      <xdr:rowOff>0</xdr:rowOff>
    </xdr:from>
    <xdr:ext cx="27765" cy="424860"/>
    <xdr:sp macro="" textlink="">
      <xdr:nvSpPr>
        <xdr:cNvPr id="605" name="Text Box 1025"/>
        <xdr:cNvSpPr txBox="1">
          <a:spLocks noChangeArrowheads="1"/>
        </xdr:cNvSpPr>
      </xdr:nvSpPr>
      <xdr:spPr bwMode="auto">
        <a:xfrm>
          <a:off x="0" y="3057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1280</xdr:row>
      <xdr:rowOff>0</xdr:rowOff>
    </xdr:from>
    <xdr:ext cx="27765" cy="424860"/>
    <xdr:sp macro="" textlink="">
      <xdr:nvSpPr>
        <xdr:cNvPr id="606" name="Text Box 1025"/>
        <xdr:cNvSpPr txBox="1">
          <a:spLocks noChangeArrowheads="1"/>
        </xdr:cNvSpPr>
      </xdr:nvSpPr>
      <xdr:spPr bwMode="auto">
        <a:xfrm>
          <a:off x="0" y="3057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1280</xdr:row>
      <xdr:rowOff>0</xdr:rowOff>
    </xdr:from>
    <xdr:ext cx="27765" cy="424860"/>
    <xdr:sp macro="" textlink="">
      <xdr:nvSpPr>
        <xdr:cNvPr id="607" name="Text Box 1025"/>
        <xdr:cNvSpPr txBox="1">
          <a:spLocks noChangeArrowheads="1"/>
        </xdr:cNvSpPr>
      </xdr:nvSpPr>
      <xdr:spPr bwMode="auto">
        <a:xfrm>
          <a:off x="0" y="30578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1295</xdr:row>
      <xdr:rowOff>0</xdr:rowOff>
    </xdr:from>
    <xdr:ext cx="27765" cy="424860"/>
    <xdr:sp macro="" textlink="">
      <xdr:nvSpPr>
        <xdr:cNvPr id="608" name="Text Box 1025"/>
        <xdr:cNvSpPr txBox="1">
          <a:spLocks noChangeArrowheads="1"/>
        </xdr:cNvSpPr>
      </xdr:nvSpPr>
      <xdr:spPr bwMode="auto">
        <a:xfrm>
          <a:off x="0"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1295</xdr:row>
      <xdr:rowOff>0</xdr:rowOff>
    </xdr:from>
    <xdr:ext cx="27765" cy="424860"/>
    <xdr:sp macro="" textlink="">
      <xdr:nvSpPr>
        <xdr:cNvPr id="609" name="Text Box 1025"/>
        <xdr:cNvSpPr txBox="1">
          <a:spLocks noChangeArrowheads="1"/>
        </xdr:cNvSpPr>
      </xdr:nvSpPr>
      <xdr:spPr bwMode="auto">
        <a:xfrm>
          <a:off x="0"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1295</xdr:row>
      <xdr:rowOff>0</xdr:rowOff>
    </xdr:from>
    <xdr:ext cx="27765" cy="424860"/>
    <xdr:sp macro="" textlink="">
      <xdr:nvSpPr>
        <xdr:cNvPr id="610" name="Text Box 1025"/>
        <xdr:cNvSpPr txBox="1">
          <a:spLocks noChangeArrowheads="1"/>
        </xdr:cNvSpPr>
      </xdr:nvSpPr>
      <xdr:spPr bwMode="auto">
        <a:xfrm>
          <a:off x="0"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1295</xdr:row>
      <xdr:rowOff>0</xdr:rowOff>
    </xdr:from>
    <xdr:ext cx="27765" cy="424860"/>
    <xdr:sp macro="" textlink="">
      <xdr:nvSpPr>
        <xdr:cNvPr id="611" name="Text Box 1025"/>
        <xdr:cNvSpPr txBox="1">
          <a:spLocks noChangeArrowheads="1"/>
        </xdr:cNvSpPr>
      </xdr:nvSpPr>
      <xdr:spPr bwMode="auto">
        <a:xfrm>
          <a:off x="12277725"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1295</xdr:row>
      <xdr:rowOff>0</xdr:rowOff>
    </xdr:from>
    <xdr:ext cx="27765" cy="424860"/>
    <xdr:sp macro="" textlink="">
      <xdr:nvSpPr>
        <xdr:cNvPr id="612" name="Text Box 1025"/>
        <xdr:cNvSpPr txBox="1">
          <a:spLocks noChangeArrowheads="1"/>
        </xdr:cNvSpPr>
      </xdr:nvSpPr>
      <xdr:spPr bwMode="auto">
        <a:xfrm>
          <a:off x="12277725"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1295</xdr:row>
      <xdr:rowOff>0</xdr:rowOff>
    </xdr:from>
    <xdr:ext cx="27765" cy="424860"/>
    <xdr:sp macro="" textlink="">
      <xdr:nvSpPr>
        <xdr:cNvPr id="613" name="Text Box 1025"/>
        <xdr:cNvSpPr txBox="1">
          <a:spLocks noChangeArrowheads="1"/>
        </xdr:cNvSpPr>
      </xdr:nvSpPr>
      <xdr:spPr bwMode="auto">
        <a:xfrm>
          <a:off x="12277725" y="30935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1300</xdr:row>
      <xdr:rowOff>0</xdr:rowOff>
    </xdr:from>
    <xdr:ext cx="27765" cy="424860"/>
    <xdr:sp macro="" textlink="">
      <xdr:nvSpPr>
        <xdr:cNvPr id="614" name="Text Box 1025"/>
        <xdr:cNvSpPr txBox="1">
          <a:spLocks noChangeArrowheads="1"/>
        </xdr:cNvSpPr>
      </xdr:nvSpPr>
      <xdr:spPr bwMode="auto">
        <a:xfrm>
          <a:off x="0" y="3105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1300</xdr:row>
      <xdr:rowOff>0</xdr:rowOff>
    </xdr:from>
    <xdr:ext cx="27765" cy="424860"/>
    <xdr:sp macro="" textlink="">
      <xdr:nvSpPr>
        <xdr:cNvPr id="615" name="Text Box 1025"/>
        <xdr:cNvSpPr txBox="1">
          <a:spLocks noChangeArrowheads="1"/>
        </xdr:cNvSpPr>
      </xdr:nvSpPr>
      <xdr:spPr bwMode="auto">
        <a:xfrm>
          <a:off x="0" y="3105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1300</xdr:row>
      <xdr:rowOff>0</xdr:rowOff>
    </xdr:from>
    <xdr:ext cx="27765" cy="424860"/>
    <xdr:sp macro="" textlink="">
      <xdr:nvSpPr>
        <xdr:cNvPr id="616" name="Text Box 1025"/>
        <xdr:cNvSpPr txBox="1">
          <a:spLocks noChangeArrowheads="1"/>
        </xdr:cNvSpPr>
      </xdr:nvSpPr>
      <xdr:spPr bwMode="auto">
        <a:xfrm>
          <a:off x="0" y="31054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1315</xdr:row>
      <xdr:rowOff>0</xdr:rowOff>
    </xdr:from>
    <xdr:ext cx="27765" cy="424860"/>
    <xdr:sp macro="" textlink="">
      <xdr:nvSpPr>
        <xdr:cNvPr id="617" name="Text Box 1025"/>
        <xdr:cNvSpPr txBox="1">
          <a:spLocks noChangeArrowheads="1"/>
        </xdr:cNvSpPr>
      </xdr:nvSpPr>
      <xdr:spPr bwMode="auto">
        <a:xfrm>
          <a:off x="0"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1315</xdr:row>
      <xdr:rowOff>0</xdr:rowOff>
    </xdr:from>
    <xdr:ext cx="27765" cy="424860"/>
    <xdr:sp macro="" textlink="">
      <xdr:nvSpPr>
        <xdr:cNvPr id="618" name="Text Box 1025"/>
        <xdr:cNvSpPr txBox="1">
          <a:spLocks noChangeArrowheads="1"/>
        </xdr:cNvSpPr>
      </xdr:nvSpPr>
      <xdr:spPr bwMode="auto">
        <a:xfrm>
          <a:off x="0"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1315</xdr:row>
      <xdr:rowOff>0</xdr:rowOff>
    </xdr:from>
    <xdr:ext cx="27765" cy="424860"/>
    <xdr:sp macro="" textlink="">
      <xdr:nvSpPr>
        <xdr:cNvPr id="619" name="Text Box 1025"/>
        <xdr:cNvSpPr txBox="1">
          <a:spLocks noChangeArrowheads="1"/>
        </xdr:cNvSpPr>
      </xdr:nvSpPr>
      <xdr:spPr bwMode="auto">
        <a:xfrm>
          <a:off x="0"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1315</xdr:row>
      <xdr:rowOff>0</xdr:rowOff>
    </xdr:from>
    <xdr:ext cx="27765" cy="424860"/>
    <xdr:sp macro="" textlink="">
      <xdr:nvSpPr>
        <xdr:cNvPr id="620" name="Text Box 1025"/>
        <xdr:cNvSpPr txBox="1">
          <a:spLocks noChangeArrowheads="1"/>
        </xdr:cNvSpPr>
      </xdr:nvSpPr>
      <xdr:spPr bwMode="auto">
        <a:xfrm>
          <a:off x="12277725"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1315</xdr:row>
      <xdr:rowOff>0</xdr:rowOff>
    </xdr:from>
    <xdr:ext cx="27765" cy="424860"/>
    <xdr:sp macro="" textlink="">
      <xdr:nvSpPr>
        <xdr:cNvPr id="621" name="Text Box 1025"/>
        <xdr:cNvSpPr txBox="1">
          <a:spLocks noChangeArrowheads="1"/>
        </xdr:cNvSpPr>
      </xdr:nvSpPr>
      <xdr:spPr bwMode="auto">
        <a:xfrm>
          <a:off x="12277725"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1315</xdr:row>
      <xdr:rowOff>0</xdr:rowOff>
    </xdr:from>
    <xdr:ext cx="27765" cy="424860"/>
    <xdr:sp macro="" textlink="">
      <xdr:nvSpPr>
        <xdr:cNvPr id="622" name="Text Box 1025"/>
        <xdr:cNvSpPr txBox="1">
          <a:spLocks noChangeArrowheads="1"/>
        </xdr:cNvSpPr>
      </xdr:nvSpPr>
      <xdr:spPr bwMode="auto">
        <a:xfrm>
          <a:off x="12277725" y="31411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1320</xdr:row>
      <xdr:rowOff>0</xdr:rowOff>
    </xdr:from>
    <xdr:ext cx="27765" cy="424860"/>
    <xdr:sp macro="" textlink="">
      <xdr:nvSpPr>
        <xdr:cNvPr id="623" name="Text Box 1025"/>
        <xdr:cNvSpPr txBox="1">
          <a:spLocks noChangeArrowheads="1"/>
        </xdr:cNvSpPr>
      </xdr:nvSpPr>
      <xdr:spPr bwMode="auto">
        <a:xfrm>
          <a:off x="0" y="3153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1320</xdr:row>
      <xdr:rowOff>0</xdr:rowOff>
    </xdr:from>
    <xdr:ext cx="27765" cy="424860"/>
    <xdr:sp macro="" textlink="">
      <xdr:nvSpPr>
        <xdr:cNvPr id="624" name="Text Box 1025"/>
        <xdr:cNvSpPr txBox="1">
          <a:spLocks noChangeArrowheads="1"/>
        </xdr:cNvSpPr>
      </xdr:nvSpPr>
      <xdr:spPr bwMode="auto">
        <a:xfrm>
          <a:off x="0" y="3153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1320</xdr:row>
      <xdr:rowOff>0</xdr:rowOff>
    </xdr:from>
    <xdr:ext cx="27765" cy="424860"/>
    <xdr:sp macro="" textlink="">
      <xdr:nvSpPr>
        <xdr:cNvPr id="625" name="Text Box 1025"/>
        <xdr:cNvSpPr txBox="1">
          <a:spLocks noChangeArrowheads="1"/>
        </xdr:cNvSpPr>
      </xdr:nvSpPr>
      <xdr:spPr bwMode="auto">
        <a:xfrm>
          <a:off x="0" y="31530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1335</xdr:row>
      <xdr:rowOff>0</xdr:rowOff>
    </xdr:from>
    <xdr:ext cx="27765" cy="424860"/>
    <xdr:sp macro="" textlink="">
      <xdr:nvSpPr>
        <xdr:cNvPr id="626" name="Text Box 1025"/>
        <xdr:cNvSpPr txBox="1">
          <a:spLocks noChangeArrowheads="1"/>
        </xdr:cNvSpPr>
      </xdr:nvSpPr>
      <xdr:spPr bwMode="auto">
        <a:xfrm>
          <a:off x="0"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1335</xdr:row>
      <xdr:rowOff>0</xdr:rowOff>
    </xdr:from>
    <xdr:ext cx="27765" cy="424860"/>
    <xdr:sp macro="" textlink="">
      <xdr:nvSpPr>
        <xdr:cNvPr id="627" name="Text Box 1025"/>
        <xdr:cNvSpPr txBox="1">
          <a:spLocks noChangeArrowheads="1"/>
        </xdr:cNvSpPr>
      </xdr:nvSpPr>
      <xdr:spPr bwMode="auto">
        <a:xfrm>
          <a:off x="0"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1335</xdr:row>
      <xdr:rowOff>0</xdr:rowOff>
    </xdr:from>
    <xdr:ext cx="27765" cy="424860"/>
    <xdr:sp macro="" textlink="">
      <xdr:nvSpPr>
        <xdr:cNvPr id="628" name="Text Box 1025"/>
        <xdr:cNvSpPr txBox="1">
          <a:spLocks noChangeArrowheads="1"/>
        </xdr:cNvSpPr>
      </xdr:nvSpPr>
      <xdr:spPr bwMode="auto">
        <a:xfrm>
          <a:off x="0"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1335</xdr:row>
      <xdr:rowOff>0</xdr:rowOff>
    </xdr:from>
    <xdr:ext cx="27765" cy="424860"/>
    <xdr:sp macro="" textlink="">
      <xdr:nvSpPr>
        <xdr:cNvPr id="629" name="Text Box 1025"/>
        <xdr:cNvSpPr txBox="1">
          <a:spLocks noChangeArrowheads="1"/>
        </xdr:cNvSpPr>
      </xdr:nvSpPr>
      <xdr:spPr bwMode="auto">
        <a:xfrm>
          <a:off x="12277725"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1335</xdr:row>
      <xdr:rowOff>0</xdr:rowOff>
    </xdr:from>
    <xdr:ext cx="27765" cy="424860"/>
    <xdr:sp macro="" textlink="">
      <xdr:nvSpPr>
        <xdr:cNvPr id="630" name="Text Box 1025"/>
        <xdr:cNvSpPr txBox="1">
          <a:spLocks noChangeArrowheads="1"/>
        </xdr:cNvSpPr>
      </xdr:nvSpPr>
      <xdr:spPr bwMode="auto">
        <a:xfrm>
          <a:off x="12277725"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1335</xdr:row>
      <xdr:rowOff>0</xdr:rowOff>
    </xdr:from>
    <xdr:ext cx="27765" cy="424860"/>
    <xdr:sp macro="" textlink="">
      <xdr:nvSpPr>
        <xdr:cNvPr id="631" name="Text Box 1025"/>
        <xdr:cNvSpPr txBox="1">
          <a:spLocks noChangeArrowheads="1"/>
        </xdr:cNvSpPr>
      </xdr:nvSpPr>
      <xdr:spPr bwMode="auto">
        <a:xfrm>
          <a:off x="12277725" y="31887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1340</xdr:row>
      <xdr:rowOff>0</xdr:rowOff>
    </xdr:from>
    <xdr:ext cx="27765" cy="424860"/>
    <xdr:sp macro="" textlink="">
      <xdr:nvSpPr>
        <xdr:cNvPr id="632" name="Text Box 1025"/>
        <xdr:cNvSpPr txBox="1">
          <a:spLocks noChangeArrowheads="1"/>
        </xdr:cNvSpPr>
      </xdr:nvSpPr>
      <xdr:spPr bwMode="auto">
        <a:xfrm>
          <a:off x="0" y="3200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1340</xdr:row>
      <xdr:rowOff>0</xdr:rowOff>
    </xdr:from>
    <xdr:ext cx="27765" cy="424860"/>
    <xdr:sp macro="" textlink="">
      <xdr:nvSpPr>
        <xdr:cNvPr id="633" name="Text Box 1025"/>
        <xdr:cNvSpPr txBox="1">
          <a:spLocks noChangeArrowheads="1"/>
        </xdr:cNvSpPr>
      </xdr:nvSpPr>
      <xdr:spPr bwMode="auto">
        <a:xfrm>
          <a:off x="0" y="3200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1340</xdr:row>
      <xdr:rowOff>0</xdr:rowOff>
    </xdr:from>
    <xdr:ext cx="27765" cy="424860"/>
    <xdr:sp macro="" textlink="">
      <xdr:nvSpPr>
        <xdr:cNvPr id="634" name="Text Box 1025"/>
        <xdr:cNvSpPr txBox="1">
          <a:spLocks noChangeArrowheads="1"/>
        </xdr:cNvSpPr>
      </xdr:nvSpPr>
      <xdr:spPr bwMode="auto">
        <a:xfrm>
          <a:off x="0" y="320068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1355</xdr:row>
      <xdr:rowOff>0</xdr:rowOff>
    </xdr:from>
    <xdr:ext cx="27765" cy="424860"/>
    <xdr:sp macro="" textlink="">
      <xdr:nvSpPr>
        <xdr:cNvPr id="635" name="Text Box 1025"/>
        <xdr:cNvSpPr txBox="1">
          <a:spLocks noChangeArrowheads="1"/>
        </xdr:cNvSpPr>
      </xdr:nvSpPr>
      <xdr:spPr bwMode="auto">
        <a:xfrm>
          <a:off x="0"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1355</xdr:row>
      <xdr:rowOff>0</xdr:rowOff>
    </xdr:from>
    <xdr:ext cx="27765" cy="424860"/>
    <xdr:sp macro="" textlink="">
      <xdr:nvSpPr>
        <xdr:cNvPr id="636" name="Text Box 1025"/>
        <xdr:cNvSpPr txBox="1">
          <a:spLocks noChangeArrowheads="1"/>
        </xdr:cNvSpPr>
      </xdr:nvSpPr>
      <xdr:spPr bwMode="auto">
        <a:xfrm>
          <a:off x="0"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1355</xdr:row>
      <xdr:rowOff>0</xdr:rowOff>
    </xdr:from>
    <xdr:ext cx="27765" cy="424860"/>
    <xdr:sp macro="" textlink="">
      <xdr:nvSpPr>
        <xdr:cNvPr id="637" name="Text Box 1025"/>
        <xdr:cNvSpPr txBox="1">
          <a:spLocks noChangeArrowheads="1"/>
        </xdr:cNvSpPr>
      </xdr:nvSpPr>
      <xdr:spPr bwMode="auto">
        <a:xfrm>
          <a:off x="0"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1355</xdr:row>
      <xdr:rowOff>0</xdr:rowOff>
    </xdr:from>
    <xdr:ext cx="27765" cy="424860"/>
    <xdr:sp macro="" textlink="">
      <xdr:nvSpPr>
        <xdr:cNvPr id="638" name="Text Box 1025"/>
        <xdr:cNvSpPr txBox="1">
          <a:spLocks noChangeArrowheads="1"/>
        </xdr:cNvSpPr>
      </xdr:nvSpPr>
      <xdr:spPr bwMode="auto">
        <a:xfrm>
          <a:off x="12277725"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1355</xdr:row>
      <xdr:rowOff>0</xdr:rowOff>
    </xdr:from>
    <xdr:ext cx="27765" cy="424860"/>
    <xdr:sp macro="" textlink="">
      <xdr:nvSpPr>
        <xdr:cNvPr id="639" name="Text Box 1025"/>
        <xdr:cNvSpPr txBox="1">
          <a:spLocks noChangeArrowheads="1"/>
        </xdr:cNvSpPr>
      </xdr:nvSpPr>
      <xdr:spPr bwMode="auto">
        <a:xfrm>
          <a:off x="12277725"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1355</xdr:row>
      <xdr:rowOff>0</xdr:rowOff>
    </xdr:from>
    <xdr:ext cx="27765" cy="424860"/>
    <xdr:sp macro="" textlink="">
      <xdr:nvSpPr>
        <xdr:cNvPr id="640" name="Text Box 1025"/>
        <xdr:cNvSpPr txBox="1">
          <a:spLocks noChangeArrowheads="1"/>
        </xdr:cNvSpPr>
      </xdr:nvSpPr>
      <xdr:spPr bwMode="auto">
        <a:xfrm>
          <a:off x="12277725" y="323640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1360</xdr:row>
      <xdr:rowOff>0</xdr:rowOff>
    </xdr:from>
    <xdr:ext cx="27765" cy="424860"/>
    <xdr:sp macro="" textlink="">
      <xdr:nvSpPr>
        <xdr:cNvPr id="641" name="Text Box 1025"/>
        <xdr:cNvSpPr txBox="1">
          <a:spLocks noChangeArrowheads="1"/>
        </xdr:cNvSpPr>
      </xdr:nvSpPr>
      <xdr:spPr bwMode="auto">
        <a:xfrm>
          <a:off x="0" y="3248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1360</xdr:row>
      <xdr:rowOff>0</xdr:rowOff>
    </xdr:from>
    <xdr:ext cx="27765" cy="424860"/>
    <xdr:sp macro="" textlink="">
      <xdr:nvSpPr>
        <xdr:cNvPr id="642" name="Text Box 1025"/>
        <xdr:cNvSpPr txBox="1">
          <a:spLocks noChangeArrowheads="1"/>
        </xdr:cNvSpPr>
      </xdr:nvSpPr>
      <xdr:spPr bwMode="auto">
        <a:xfrm>
          <a:off x="0" y="3248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1360</xdr:row>
      <xdr:rowOff>0</xdr:rowOff>
    </xdr:from>
    <xdr:ext cx="27765" cy="424860"/>
    <xdr:sp macro="" textlink="">
      <xdr:nvSpPr>
        <xdr:cNvPr id="643" name="Text Box 1025"/>
        <xdr:cNvSpPr txBox="1">
          <a:spLocks noChangeArrowheads="1"/>
        </xdr:cNvSpPr>
      </xdr:nvSpPr>
      <xdr:spPr bwMode="auto">
        <a:xfrm>
          <a:off x="0" y="324831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1375</xdr:row>
      <xdr:rowOff>0</xdr:rowOff>
    </xdr:from>
    <xdr:ext cx="27765" cy="424860"/>
    <xdr:sp macro="" textlink="">
      <xdr:nvSpPr>
        <xdr:cNvPr id="644" name="Text Box 1025"/>
        <xdr:cNvSpPr txBox="1">
          <a:spLocks noChangeArrowheads="1"/>
        </xdr:cNvSpPr>
      </xdr:nvSpPr>
      <xdr:spPr bwMode="auto">
        <a:xfrm>
          <a:off x="0"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1375</xdr:row>
      <xdr:rowOff>0</xdr:rowOff>
    </xdr:from>
    <xdr:ext cx="27765" cy="424860"/>
    <xdr:sp macro="" textlink="">
      <xdr:nvSpPr>
        <xdr:cNvPr id="645" name="Text Box 1025"/>
        <xdr:cNvSpPr txBox="1">
          <a:spLocks noChangeArrowheads="1"/>
        </xdr:cNvSpPr>
      </xdr:nvSpPr>
      <xdr:spPr bwMode="auto">
        <a:xfrm>
          <a:off x="0"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1375</xdr:row>
      <xdr:rowOff>0</xdr:rowOff>
    </xdr:from>
    <xdr:ext cx="27765" cy="424860"/>
    <xdr:sp macro="" textlink="">
      <xdr:nvSpPr>
        <xdr:cNvPr id="646" name="Text Box 1025"/>
        <xdr:cNvSpPr txBox="1">
          <a:spLocks noChangeArrowheads="1"/>
        </xdr:cNvSpPr>
      </xdr:nvSpPr>
      <xdr:spPr bwMode="auto">
        <a:xfrm>
          <a:off x="0"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1375</xdr:row>
      <xdr:rowOff>0</xdr:rowOff>
    </xdr:from>
    <xdr:ext cx="27765" cy="424860"/>
    <xdr:sp macro="" textlink="">
      <xdr:nvSpPr>
        <xdr:cNvPr id="647" name="Text Box 1025"/>
        <xdr:cNvSpPr txBox="1">
          <a:spLocks noChangeArrowheads="1"/>
        </xdr:cNvSpPr>
      </xdr:nvSpPr>
      <xdr:spPr bwMode="auto">
        <a:xfrm>
          <a:off x="12277725"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1375</xdr:row>
      <xdr:rowOff>0</xdr:rowOff>
    </xdr:from>
    <xdr:ext cx="27765" cy="424860"/>
    <xdr:sp macro="" textlink="">
      <xdr:nvSpPr>
        <xdr:cNvPr id="648" name="Text Box 1025"/>
        <xdr:cNvSpPr txBox="1">
          <a:spLocks noChangeArrowheads="1"/>
        </xdr:cNvSpPr>
      </xdr:nvSpPr>
      <xdr:spPr bwMode="auto">
        <a:xfrm>
          <a:off x="12277725"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1375</xdr:row>
      <xdr:rowOff>0</xdr:rowOff>
    </xdr:from>
    <xdr:ext cx="27765" cy="424860"/>
    <xdr:sp macro="" textlink="">
      <xdr:nvSpPr>
        <xdr:cNvPr id="649" name="Text Box 1025"/>
        <xdr:cNvSpPr txBox="1">
          <a:spLocks noChangeArrowheads="1"/>
        </xdr:cNvSpPr>
      </xdr:nvSpPr>
      <xdr:spPr bwMode="auto">
        <a:xfrm>
          <a:off x="12277725" y="328402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1380</xdr:row>
      <xdr:rowOff>0</xdr:rowOff>
    </xdr:from>
    <xdr:ext cx="27765" cy="424860"/>
    <xdr:sp macro="" textlink="">
      <xdr:nvSpPr>
        <xdr:cNvPr id="656" name="Text Box 1025"/>
        <xdr:cNvSpPr txBox="1">
          <a:spLocks noChangeArrowheads="1"/>
        </xdr:cNvSpPr>
      </xdr:nvSpPr>
      <xdr:spPr bwMode="auto">
        <a:xfrm>
          <a:off x="0" y="3295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1380</xdr:row>
      <xdr:rowOff>0</xdr:rowOff>
    </xdr:from>
    <xdr:ext cx="27765" cy="424860"/>
    <xdr:sp macro="" textlink="">
      <xdr:nvSpPr>
        <xdr:cNvPr id="657" name="Text Box 1025"/>
        <xdr:cNvSpPr txBox="1">
          <a:spLocks noChangeArrowheads="1"/>
        </xdr:cNvSpPr>
      </xdr:nvSpPr>
      <xdr:spPr bwMode="auto">
        <a:xfrm>
          <a:off x="0" y="3295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1380</xdr:row>
      <xdr:rowOff>0</xdr:rowOff>
    </xdr:from>
    <xdr:ext cx="27765" cy="424860"/>
    <xdr:sp macro="" textlink="">
      <xdr:nvSpPr>
        <xdr:cNvPr id="658" name="Text Box 1025"/>
        <xdr:cNvSpPr txBox="1">
          <a:spLocks noChangeArrowheads="1"/>
        </xdr:cNvSpPr>
      </xdr:nvSpPr>
      <xdr:spPr bwMode="auto">
        <a:xfrm>
          <a:off x="0" y="3295935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1395</xdr:row>
      <xdr:rowOff>0</xdr:rowOff>
    </xdr:from>
    <xdr:ext cx="27765" cy="424860"/>
    <xdr:sp macro="" textlink="">
      <xdr:nvSpPr>
        <xdr:cNvPr id="659" name="Text Box 1025"/>
        <xdr:cNvSpPr txBox="1">
          <a:spLocks noChangeArrowheads="1"/>
        </xdr:cNvSpPr>
      </xdr:nvSpPr>
      <xdr:spPr bwMode="auto">
        <a:xfrm>
          <a:off x="0"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1395</xdr:row>
      <xdr:rowOff>0</xdr:rowOff>
    </xdr:from>
    <xdr:ext cx="27765" cy="424860"/>
    <xdr:sp macro="" textlink="">
      <xdr:nvSpPr>
        <xdr:cNvPr id="660" name="Text Box 1025"/>
        <xdr:cNvSpPr txBox="1">
          <a:spLocks noChangeArrowheads="1"/>
        </xdr:cNvSpPr>
      </xdr:nvSpPr>
      <xdr:spPr bwMode="auto">
        <a:xfrm>
          <a:off x="0"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1395</xdr:row>
      <xdr:rowOff>0</xdr:rowOff>
    </xdr:from>
    <xdr:ext cx="27765" cy="424860"/>
    <xdr:sp macro="" textlink="">
      <xdr:nvSpPr>
        <xdr:cNvPr id="661" name="Text Box 1025"/>
        <xdr:cNvSpPr txBox="1">
          <a:spLocks noChangeArrowheads="1"/>
        </xdr:cNvSpPr>
      </xdr:nvSpPr>
      <xdr:spPr bwMode="auto">
        <a:xfrm>
          <a:off x="0"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1395</xdr:row>
      <xdr:rowOff>0</xdr:rowOff>
    </xdr:from>
    <xdr:ext cx="27765" cy="424860"/>
    <xdr:sp macro="" textlink="">
      <xdr:nvSpPr>
        <xdr:cNvPr id="662" name="Text Box 1025"/>
        <xdr:cNvSpPr txBox="1">
          <a:spLocks noChangeArrowheads="1"/>
        </xdr:cNvSpPr>
      </xdr:nvSpPr>
      <xdr:spPr bwMode="auto">
        <a:xfrm>
          <a:off x="12277725"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1395</xdr:row>
      <xdr:rowOff>0</xdr:rowOff>
    </xdr:from>
    <xdr:ext cx="27765" cy="424860"/>
    <xdr:sp macro="" textlink="">
      <xdr:nvSpPr>
        <xdr:cNvPr id="663" name="Text Box 1025"/>
        <xdr:cNvSpPr txBox="1">
          <a:spLocks noChangeArrowheads="1"/>
        </xdr:cNvSpPr>
      </xdr:nvSpPr>
      <xdr:spPr bwMode="auto">
        <a:xfrm>
          <a:off x="12277725"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1395</xdr:row>
      <xdr:rowOff>0</xdr:rowOff>
    </xdr:from>
    <xdr:ext cx="27765" cy="424860"/>
    <xdr:sp macro="" textlink="">
      <xdr:nvSpPr>
        <xdr:cNvPr id="664" name="Text Box 1025"/>
        <xdr:cNvSpPr txBox="1">
          <a:spLocks noChangeArrowheads="1"/>
        </xdr:cNvSpPr>
      </xdr:nvSpPr>
      <xdr:spPr bwMode="auto">
        <a:xfrm>
          <a:off x="12277725" y="3331654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1400</xdr:row>
      <xdr:rowOff>0</xdr:rowOff>
    </xdr:from>
    <xdr:ext cx="27765" cy="424860"/>
    <xdr:sp macro="" textlink="">
      <xdr:nvSpPr>
        <xdr:cNvPr id="665" name="Text Box 1025"/>
        <xdr:cNvSpPr txBox="1">
          <a:spLocks noChangeArrowheads="1"/>
        </xdr:cNvSpPr>
      </xdr:nvSpPr>
      <xdr:spPr bwMode="auto">
        <a:xfrm>
          <a:off x="0" y="3343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1400</xdr:row>
      <xdr:rowOff>0</xdr:rowOff>
    </xdr:from>
    <xdr:ext cx="27765" cy="424860"/>
    <xdr:sp macro="" textlink="">
      <xdr:nvSpPr>
        <xdr:cNvPr id="666" name="Text Box 1025"/>
        <xdr:cNvSpPr txBox="1">
          <a:spLocks noChangeArrowheads="1"/>
        </xdr:cNvSpPr>
      </xdr:nvSpPr>
      <xdr:spPr bwMode="auto">
        <a:xfrm>
          <a:off x="0" y="3343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1400</xdr:row>
      <xdr:rowOff>0</xdr:rowOff>
    </xdr:from>
    <xdr:ext cx="27765" cy="424860"/>
    <xdr:sp macro="" textlink="">
      <xdr:nvSpPr>
        <xdr:cNvPr id="667" name="Text Box 1025"/>
        <xdr:cNvSpPr txBox="1">
          <a:spLocks noChangeArrowheads="1"/>
        </xdr:cNvSpPr>
      </xdr:nvSpPr>
      <xdr:spPr bwMode="auto">
        <a:xfrm>
          <a:off x="0" y="3343560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1415</xdr:row>
      <xdr:rowOff>0</xdr:rowOff>
    </xdr:from>
    <xdr:ext cx="27765" cy="424860"/>
    <xdr:sp macro="" textlink="">
      <xdr:nvSpPr>
        <xdr:cNvPr id="668" name="Text Box 1025"/>
        <xdr:cNvSpPr txBox="1">
          <a:spLocks noChangeArrowheads="1"/>
        </xdr:cNvSpPr>
      </xdr:nvSpPr>
      <xdr:spPr bwMode="auto">
        <a:xfrm>
          <a:off x="0"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1415</xdr:row>
      <xdr:rowOff>0</xdr:rowOff>
    </xdr:from>
    <xdr:ext cx="27765" cy="424860"/>
    <xdr:sp macro="" textlink="">
      <xdr:nvSpPr>
        <xdr:cNvPr id="669" name="Text Box 1025"/>
        <xdr:cNvSpPr txBox="1">
          <a:spLocks noChangeArrowheads="1"/>
        </xdr:cNvSpPr>
      </xdr:nvSpPr>
      <xdr:spPr bwMode="auto">
        <a:xfrm>
          <a:off x="0"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1415</xdr:row>
      <xdr:rowOff>0</xdr:rowOff>
    </xdr:from>
    <xdr:ext cx="27765" cy="424860"/>
    <xdr:sp macro="" textlink="">
      <xdr:nvSpPr>
        <xdr:cNvPr id="670" name="Text Box 1025"/>
        <xdr:cNvSpPr txBox="1">
          <a:spLocks noChangeArrowheads="1"/>
        </xdr:cNvSpPr>
      </xdr:nvSpPr>
      <xdr:spPr bwMode="auto">
        <a:xfrm>
          <a:off x="0"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1415</xdr:row>
      <xdr:rowOff>0</xdr:rowOff>
    </xdr:from>
    <xdr:ext cx="27765" cy="424860"/>
    <xdr:sp macro="" textlink="">
      <xdr:nvSpPr>
        <xdr:cNvPr id="671" name="Text Box 1025"/>
        <xdr:cNvSpPr txBox="1">
          <a:spLocks noChangeArrowheads="1"/>
        </xdr:cNvSpPr>
      </xdr:nvSpPr>
      <xdr:spPr bwMode="auto">
        <a:xfrm>
          <a:off x="12277725"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1415</xdr:row>
      <xdr:rowOff>0</xdr:rowOff>
    </xdr:from>
    <xdr:ext cx="27765" cy="424860"/>
    <xdr:sp macro="" textlink="">
      <xdr:nvSpPr>
        <xdr:cNvPr id="672" name="Text Box 1025"/>
        <xdr:cNvSpPr txBox="1">
          <a:spLocks noChangeArrowheads="1"/>
        </xdr:cNvSpPr>
      </xdr:nvSpPr>
      <xdr:spPr bwMode="auto">
        <a:xfrm>
          <a:off x="12277725"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1415</xdr:row>
      <xdr:rowOff>0</xdr:rowOff>
    </xdr:from>
    <xdr:ext cx="27765" cy="424860"/>
    <xdr:sp macro="" textlink="">
      <xdr:nvSpPr>
        <xdr:cNvPr id="673" name="Text Box 1025"/>
        <xdr:cNvSpPr txBox="1">
          <a:spLocks noChangeArrowheads="1"/>
        </xdr:cNvSpPr>
      </xdr:nvSpPr>
      <xdr:spPr bwMode="auto">
        <a:xfrm>
          <a:off x="12277725" y="33792795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1420</xdr:row>
      <xdr:rowOff>0</xdr:rowOff>
    </xdr:from>
    <xdr:ext cx="27765" cy="424860"/>
    <xdr:sp macro="" textlink="">
      <xdr:nvSpPr>
        <xdr:cNvPr id="674" name="Text Box 1025"/>
        <xdr:cNvSpPr txBox="1">
          <a:spLocks noChangeArrowheads="1"/>
        </xdr:cNvSpPr>
      </xdr:nvSpPr>
      <xdr:spPr bwMode="auto">
        <a:xfrm>
          <a:off x="0" y="33912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1420</xdr:row>
      <xdr:rowOff>0</xdr:rowOff>
    </xdr:from>
    <xdr:ext cx="27765" cy="424860"/>
    <xdr:sp macro="" textlink="">
      <xdr:nvSpPr>
        <xdr:cNvPr id="675" name="Text Box 1025"/>
        <xdr:cNvSpPr txBox="1">
          <a:spLocks noChangeArrowheads="1"/>
        </xdr:cNvSpPr>
      </xdr:nvSpPr>
      <xdr:spPr bwMode="auto">
        <a:xfrm>
          <a:off x="0" y="33912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1420</xdr:row>
      <xdr:rowOff>0</xdr:rowOff>
    </xdr:from>
    <xdr:ext cx="27765" cy="424860"/>
    <xdr:sp macro="" textlink="">
      <xdr:nvSpPr>
        <xdr:cNvPr id="676" name="Text Box 1025"/>
        <xdr:cNvSpPr txBox="1">
          <a:spLocks noChangeArrowheads="1"/>
        </xdr:cNvSpPr>
      </xdr:nvSpPr>
      <xdr:spPr bwMode="auto">
        <a:xfrm>
          <a:off x="0" y="33912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1435</xdr:row>
      <xdr:rowOff>0</xdr:rowOff>
    </xdr:from>
    <xdr:ext cx="27765" cy="424860"/>
    <xdr:sp macro="" textlink="">
      <xdr:nvSpPr>
        <xdr:cNvPr id="677" name="Text Box 1025"/>
        <xdr:cNvSpPr txBox="1">
          <a:spLocks noChangeArrowheads="1"/>
        </xdr:cNvSpPr>
      </xdr:nvSpPr>
      <xdr:spPr bwMode="auto">
        <a:xfrm>
          <a:off x="0"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1435</xdr:row>
      <xdr:rowOff>0</xdr:rowOff>
    </xdr:from>
    <xdr:ext cx="27765" cy="424860"/>
    <xdr:sp macro="" textlink="">
      <xdr:nvSpPr>
        <xdr:cNvPr id="678" name="Text Box 1025"/>
        <xdr:cNvSpPr txBox="1">
          <a:spLocks noChangeArrowheads="1"/>
        </xdr:cNvSpPr>
      </xdr:nvSpPr>
      <xdr:spPr bwMode="auto">
        <a:xfrm>
          <a:off x="0"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1435</xdr:row>
      <xdr:rowOff>0</xdr:rowOff>
    </xdr:from>
    <xdr:ext cx="27765" cy="424860"/>
    <xdr:sp macro="" textlink="">
      <xdr:nvSpPr>
        <xdr:cNvPr id="679" name="Text Box 1025"/>
        <xdr:cNvSpPr txBox="1">
          <a:spLocks noChangeArrowheads="1"/>
        </xdr:cNvSpPr>
      </xdr:nvSpPr>
      <xdr:spPr bwMode="auto">
        <a:xfrm>
          <a:off x="0"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1435</xdr:row>
      <xdr:rowOff>0</xdr:rowOff>
    </xdr:from>
    <xdr:ext cx="27765" cy="424860"/>
    <xdr:sp macro="" textlink="">
      <xdr:nvSpPr>
        <xdr:cNvPr id="680" name="Text Box 1025"/>
        <xdr:cNvSpPr txBox="1">
          <a:spLocks noChangeArrowheads="1"/>
        </xdr:cNvSpPr>
      </xdr:nvSpPr>
      <xdr:spPr bwMode="auto">
        <a:xfrm>
          <a:off x="12277725"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1435</xdr:row>
      <xdr:rowOff>0</xdr:rowOff>
    </xdr:from>
    <xdr:ext cx="27765" cy="424860"/>
    <xdr:sp macro="" textlink="">
      <xdr:nvSpPr>
        <xdr:cNvPr id="681" name="Text Box 1025"/>
        <xdr:cNvSpPr txBox="1">
          <a:spLocks noChangeArrowheads="1"/>
        </xdr:cNvSpPr>
      </xdr:nvSpPr>
      <xdr:spPr bwMode="auto">
        <a:xfrm>
          <a:off x="12277725"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1435</xdr:row>
      <xdr:rowOff>0</xdr:rowOff>
    </xdr:from>
    <xdr:ext cx="27765" cy="424860"/>
    <xdr:sp macro="" textlink="">
      <xdr:nvSpPr>
        <xdr:cNvPr id="682" name="Text Box 1025"/>
        <xdr:cNvSpPr txBox="1">
          <a:spLocks noChangeArrowheads="1"/>
        </xdr:cNvSpPr>
      </xdr:nvSpPr>
      <xdr:spPr bwMode="auto">
        <a:xfrm>
          <a:off x="12277725" y="34269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1440</xdr:row>
      <xdr:rowOff>0</xdr:rowOff>
    </xdr:from>
    <xdr:ext cx="27765" cy="424860"/>
    <xdr:sp macro="" textlink="">
      <xdr:nvSpPr>
        <xdr:cNvPr id="683" name="Text Box 1025"/>
        <xdr:cNvSpPr txBox="1">
          <a:spLocks noChangeArrowheads="1"/>
        </xdr:cNvSpPr>
      </xdr:nvSpPr>
      <xdr:spPr bwMode="auto">
        <a:xfrm>
          <a:off x="0" y="34389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1440</xdr:row>
      <xdr:rowOff>0</xdr:rowOff>
    </xdr:from>
    <xdr:ext cx="27765" cy="424860"/>
    <xdr:sp macro="" textlink="">
      <xdr:nvSpPr>
        <xdr:cNvPr id="684" name="Text Box 1025"/>
        <xdr:cNvSpPr txBox="1">
          <a:spLocks noChangeArrowheads="1"/>
        </xdr:cNvSpPr>
      </xdr:nvSpPr>
      <xdr:spPr bwMode="auto">
        <a:xfrm>
          <a:off x="0" y="34389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1440</xdr:row>
      <xdr:rowOff>0</xdr:rowOff>
    </xdr:from>
    <xdr:ext cx="27765" cy="424860"/>
    <xdr:sp macro="" textlink="">
      <xdr:nvSpPr>
        <xdr:cNvPr id="685" name="Text Box 1025"/>
        <xdr:cNvSpPr txBox="1">
          <a:spLocks noChangeArrowheads="1"/>
        </xdr:cNvSpPr>
      </xdr:nvSpPr>
      <xdr:spPr bwMode="auto">
        <a:xfrm>
          <a:off x="0" y="34389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1455</xdr:row>
      <xdr:rowOff>0</xdr:rowOff>
    </xdr:from>
    <xdr:ext cx="27765" cy="424860"/>
    <xdr:sp macro="" textlink="">
      <xdr:nvSpPr>
        <xdr:cNvPr id="686" name="Text Box 1025"/>
        <xdr:cNvSpPr txBox="1">
          <a:spLocks noChangeArrowheads="1"/>
        </xdr:cNvSpPr>
      </xdr:nvSpPr>
      <xdr:spPr bwMode="auto">
        <a:xfrm>
          <a:off x="0"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1455</xdr:row>
      <xdr:rowOff>0</xdr:rowOff>
    </xdr:from>
    <xdr:ext cx="27765" cy="424860"/>
    <xdr:sp macro="" textlink="">
      <xdr:nvSpPr>
        <xdr:cNvPr id="687" name="Text Box 1025"/>
        <xdr:cNvSpPr txBox="1">
          <a:spLocks noChangeArrowheads="1"/>
        </xdr:cNvSpPr>
      </xdr:nvSpPr>
      <xdr:spPr bwMode="auto">
        <a:xfrm>
          <a:off x="0"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1455</xdr:row>
      <xdr:rowOff>0</xdr:rowOff>
    </xdr:from>
    <xdr:ext cx="27765" cy="424860"/>
    <xdr:sp macro="" textlink="">
      <xdr:nvSpPr>
        <xdr:cNvPr id="688" name="Text Box 1025"/>
        <xdr:cNvSpPr txBox="1">
          <a:spLocks noChangeArrowheads="1"/>
        </xdr:cNvSpPr>
      </xdr:nvSpPr>
      <xdr:spPr bwMode="auto">
        <a:xfrm>
          <a:off x="0"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1455</xdr:row>
      <xdr:rowOff>0</xdr:rowOff>
    </xdr:from>
    <xdr:ext cx="27765" cy="424860"/>
    <xdr:sp macro="" textlink="">
      <xdr:nvSpPr>
        <xdr:cNvPr id="689" name="Text Box 1025"/>
        <xdr:cNvSpPr txBox="1">
          <a:spLocks noChangeArrowheads="1"/>
        </xdr:cNvSpPr>
      </xdr:nvSpPr>
      <xdr:spPr bwMode="auto">
        <a:xfrm>
          <a:off x="12277725"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1455</xdr:row>
      <xdr:rowOff>0</xdr:rowOff>
    </xdr:from>
    <xdr:ext cx="27765" cy="424860"/>
    <xdr:sp macro="" textlink="">
      <xdr:nvSpPr>
        <xdr:cNvPr id="690" name="Text Box 1025"/>
        <xdr:cNvSpPr txBox="1">
          <a:spLocks noChangeArrowheads="1"/>
        </xdr:cNvSpPr>
      </xdr:nvSpPr>
      <xdr:spPr bwMode="auto">
        <a:xfrm>
          <a:off x="12277725"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1455</xdr:row>
      <xdr:rowOff>0</xdr:rowOff>
    </xdr:from>
    <xdr:ext cx="27765" cy="424860"/>
    <xdr:sp macro="" textlink="">
      <xdr:nvSpPr>
        <xdr:cNvPr id="691" name="Text Box 1025"/>
        <xdr:cNvSpPr txBox="1">
          <a:spLocks noChangeArrowheads="1"/>
        </xdr:cNvSpPr>
      </xdr:nvSpPr>
      <xdr:spPr bwMode="auto">
        <a:xfrm>
          <a:off x="12277725" y="34746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1460</xdr:row>
      <xdr:rowOff>0</xdr:rowOff>
    </xdr:from>
    <xdr:ext cx="27765" cy="424860"/>
    <xdr:sp macro="" textlink="">
      <xdr:nvSpPr>
        <xdr:cNvPr id="692" name="Text Box 1025"/>
        <xdr:cNvSpPr txBox="1">
          <a:spLocks noChangeArrowheads="1"/>
        </xdr:cNvSpPr>
      </xdr:nvSpPr>
      <xdr:spPr bwMode="auto">
        <a:xfrm>
          <a:off x="0" y="34865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1460</xdr:row>
      <xdr:rowOff>0</xdr:rowOff>
    </xdr:from>
    <xdr:ext cx="27765" cy="424860"/>
    <xdr:sp macro="" textlink="">
      <xdr:nvSpPr>
        <xdr:cNvPr id="693" name="Text Box 1025"/>
        <xdr:cNvSpPr txBox="1">
          <a:spLocks noChangeArrowheads="1"/>
        </xdr:cNvSpPr>
      </xdr:nvSpPr>
      <xdr:spPr bwMode="auto">
        <a:xfrm>
          <a:off x="0" y="34865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1460</xdr:row>
      <xdr:rowOff>0</xdr:rowOff>
    </xdr:from>
    <xdr:ext cx="27765" cy="424860"/>
    <xdr:sp macro="" textlink="">
      <xdr:nvSpPr>
        <xdr:cNvPr id="694" name="Text Box 1025"/>
        <xdr:cNvSpPr txBox="1">
          <a:spLocks noChangeArrowheads="1"/>
        </xdr:cNvSpPr>
      </xdr:nvSpPr>
      <xdr:spPr bwMode="auto">
        <a:xfrm>
          <a:off x="0" y="34865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1475</xdr:row>
      <xdr:rowOff>0</xdr:rowOff>
    </xdr:from>
    <xdr:ext cx="27765" cy="424860"/>
    <xdr:sp macro="" textlink="">
      <xdr:nvSpPr>
        <xdr:cNvPr id="695" name="Text Box 1025"/>
        <xdr:cNvSpPr txBox="1">
          <a:spLocks noChangeArrowheads="1"/>
        </xdr:cNvSpPr>
      </xdr:nvSpPr>
      <xdr:spPr bwMode="auto">
        <a:xfrm>
          <a:off x="0"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1475</xdr:row>
      <xdr:rowOff>0</xdr:rowOff>
    </xdr:from>
    <xdr:ext cx="27765" cy="424860"/>
    <xdr:sp macro="" textlink="">
      <xdr:nvSpPr>
        <xdr:cNvPr id="696" name="Text Box 1025"/>
        <xdr:cNvSpPr txBox="1">
          <a:spLocks noChangeArrowheads="1"/>
        </xdr:cNvSpPr>
      </xdr:nvSpPr>
      <xdr:spPr bwMode="auto">
        <a:xfrm>
          <a:off x="0"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1475</xdr:row>
      <xdr:rowOff>0</xdr:rowOff>
    </xdr:from>
    <xdr:ext cx="27765" cy="424860"/>
    <xdr:sp macro="" textlink="">
      <xdr:nvSpPr>
        <xdr:cNvPr id="697" name="Text Box 1025"/>
        <xdr:cNvSpPr txBox="1">
          <a:spLocks noChangeArrowheads="1"/>
        </xdr:cNvSpPr>
      </xdr:nvSpPr>
      <xdr:spPr bwMode="auto">
        <a:xfrm>
          <a:off x="0"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1475</xdr:row>
      <xdr:rowOff>0</xdr:rowOff>
    </xdr:from>
    <xdr:ext cx="27765" cy="424860"/>
    <xdr:sp macro="" textlink="">
      <xdr:nvSpPr>
        <xdr:cNvPr id="698" name="Text Box 1025"/>
        <xdr:cNvSpPr txBox="1">
          <a:spLocks noChangeArrowheads="1"/>
        </xdr:cNvSpPr>
      </xdr:nvSpPr>
      <xdr:spPr bwMode="auto">
        <a:xfrm>
          <a:off x="12277725"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1475</xdr:row>
      <xdr:rowOff>0</xdr:rowOff>
    </xdr:from>
    <xdr:ext cx="27765" cy="424860"/>
    <xdr:sp macro="" textlink="">
      <xdr:nvSpPr>
        <xdr:cNvPr id="699" name="Text Box 1025"/>
        <xdr:cNvSpPr txBox="1">
          <a:spLocks noChangeArrowheads="1"/>
        </xdr:cNvSpPr>
      </xdr:nvSpPr>
      <xdr:spPr bwMode="auto">
        <a:xfrm>
          <a:off x="12277725"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1475</xdr:row>
      <xdr:rowOff>0</xdr:rowOff>
    </xdr:from>
    <xdr:ext cx="27765" cy="424860"/>
    <xdr:sp macro="" textlink="">
      <xdr:nvSpPr>
        <xdr:cNvPr id="700" name="Text Box 1025"/>
        <xdr:cNvSpPr txBox="1">
          <a:spLocks noChangeArrowheads="1"/>
        </xdr:cNvSpPr>
      </xdr:nvSpPr>
      <xdr:spPr bwMode="auto">
        <a:xfrm>
          <a:off x="12277725" y="35222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1480</xdr:row>
      <xdr:rowOff>0</xdr:rowOff>
    </xdr:from>
    <xdr:ext cx="27765" cy="424860"/>
    <xdr:sp macro="" textlink="">
      <xdr:nvSpPr>
        <xdr:cNvPr id="650" name="Text Box 1025"/>
        <xdr:cNvSpPr txBox="1">
          <a:spLocks noChangeArrowheads="1"/>
        </xdr:cNvSpPr>
      </xdr:nvSpPr>
      <xdr:spPr bwMode="auto">
        <a:xfrm>
          <a:off x="0" y="35341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1480</xdr:row>
      <xdr:rowOff>0</xdr:rowOff>
    </xdr:from>
    <xdr:ext cx="27765" cy="424860"/>
    <xdr:sp macro="" textlink="">
      <xdr:nvSpPr>
        <xdr:cNvPr id="651" name="Text Box 1025"/>
        <xdr:cNvSpPr txBox="1">
          <a:spLocks noChangeArrowheads="1"/>
        </xdr:cNvSpPr>
      </xdr:nvSpPr>
      <xdr:spPr bwMode="auto">
        <a:xfrm>
          <a:off x="0" y="35341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1480</xdr:row>
      <xdr:rowOff>0</xdr:rowOff>
    </xdr:from>
    <xdr:ext cx="27765" cy="424860"/>
    <xdr:sp macro="" textlink="">
      <xdr:nvSpPr>
        <xdr:cNvPr id="652" name="Text Box 1025"/>
        <xdr:cNvSpPr txBox="1">
          <a:spLocks noChangeArrowheads="1"/>
        </xdr:cNvSpPr>
      </xdr:nvSpPr>
      <xdr:spPr bwMode="auto">
        <a:xfrm>
          <a:off x="0" y="35341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1495</xdr:row>
      <xdr:rowOff>0</xdr:rowOff>
    </xdr:from>
    <xdr:ext cx="27765" cy="424860"/>
    <xdr:sp macro="" textlink="">
      <xdr:nvSpPr>
        <xdr:cNvPr id="653" name="Text Box 1025"/>
        <xdr:cNvSpPr txBox="1">
          <a:spLocks noChangeArrowheads="1"/>
        </xdr:cNvSpPr>
      </xdr:nvSpPr>
      <xdr:spPr bwMode="auto">
        <a:xfrm>
          <a:off x="0"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1495</xdr:row>
      <xdr:rowOff>0</xdr:rowOff>
    </xdr:from>
    <xdr:ext cx="27765" cy="424860"/>
    <xdr:sp macro="" textlink="">
      <xdr:nvSpPr>
        <xdr:cNvPr id="654" name="Text Box 1025"/>
        <xdr:cNvSpPr txBox="1">
          <a:spLocks noChangeArrowheads="1"/>
        </xdr:cNvSpPr>
      </xdr:nvSpPr>
      <xdr:spPr bwMode="auto">
        <a:xfrm>
          <a:off x="0"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1495</xdr:row>
      <xdr:rowOff>0</xdr:rowOff>
    </xdr:from>
    <xdr:ext cx="27765" cy="424860"/>
    <xdr:sp macro="" textlink="">
      <xdr:nvSpPr>
        <xdr:cNvPr id="655" name="Text Box 1025"/>
        <xdr:cNvSpPr txBox="1">
          <a:spLocks noChangeArrowheads="1"/>
        </xdr:cNvSpPr>
      </xdr:nvSpPr>
      <xdr:spPr bwMode="auto">
        <a:xfrm>
          <a:off x="0"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1495</xdr:row>
      <xdr:rowOff>0</xdr:rowOff>
    </xdr:from>
    <xdr:ext cx="27765" cy="424860"/>
    <xdr:sp macro="" textlink="">
      <xdr:nvSpPr>
        <xdr:cNvPr id="701" name="Text Box 1025"/>
        <xdr:cNvSpPr txBox="1">
          <a:spLocks noChangeArrowheads="1"/>
        </xdr:cNvSpPr>
      </xdr:nvSpPr>
      <xdr:spPr bwMode="auto">
        <a:xfrm>
          <a:off x="12277725"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1495</xdr:row>
      <xdr:rowOff>0</xdr:rowOff>
    </xdr:from>
    <xdr:ext cx="27765" cy="424860"/>
    <xdr:sp macro="" textlink="">
      <xdr:nvSpPr>
        <xdr:cNvPr id="702" name="Text Box 1025"/>
        <xdr:cNvSpPr txBox="1">
          <a:spLocks noChangeArrowheads="1"/>
        </xdr:cNvSpPr>
      </xdr:nvSpPr>
      <xdr:spPr bwMode="auto">
        <a:xfrm>
          <a:off x="12277725"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1495</xdr:row>
      <xdr:rowOff>0</xdr:rowOff>
    </xdr:from>
    <xdr:ext cx="27765" cy="424860"/>
    <xdr:sp macro="" textlink="">
      <xdr:nvSpPr>
        <xdr:cNvPr id="703" name="Text Box 1025"/>
        <xdr:cNvSpPr txBox="1">
          <a:spLocks noChangeArrowheads="1"/>
        </xdr:cNvSpPr>
      </xdr:nvSpPr>
      <xdr:spPr bwMode="auto">
        <a:xfrm>
          <a:off x="12277725" y="35698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1500</xdr:row>
      <xdr:rowOff>0</xdr:rowOff>
    </xdr:from>
    <xdr:ext cx="27765" cy="424860"/>
    <xdr:sp macro="" textlink="">
      <xdr:nvSpPr>
        <xdr:cNvPr id="704" name="Text Box 1025"/>
        <xdr:cNvSpPr txBox="1">
          <a:spLocks noChangeArrowheads="1"/>
        </xdr:cNvSpPr>
      </xdr:nvSpPr>
      <xdr:spPr bwMode="auto">
        <a:xfrm>
          <a:off x="0" y="35817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1500</xdr:row>
      <xdr:rowOff>0</xdr:rowOff>
    </xdr:from>
    <xdr:ext cx="27765" cy="424860"/>
    <xdr:sp macro="" textlink="">
      <xdr:nvSpPr>
        <xdr:cNvPr id="705" name="Text Box 1025"/>
        <xdr:cNvSpPr txBox="1">
          <a:spLocks noChangeArrowheads="1"/>
        </xdr:cNvSpPr>
      </xdr:nvSpPr>
      <xdr:spPr bwMode="auto">
        <a:xfrm>
          <a:off x="0" y="35817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1500</xdr:row>
      <xdr:rowOff>0</xdr:rowOff>
    </xdr:from>
    <xdr:ext cx="27765" cy="424860"/>
    <xdr:sp macro="" textlink="">
      <xdr:nvSpPr>
        <xdr:cNvPr id="706" name="Text Box 1025"/>
        <xdr:cNvSpPr txBox="1">
          <a:spLocks noChangeArrowheads="1"/>
        </xdr:cNvSpPr>
      </xdr:nvSpPr>
      <xdr:spPr bwMode="auto">
        <a:xfrm>
          <a:off x="0" y="358178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1515</xdr:row>
      <xdr:rowOff>0</xdr:rowOff>
    </xdr:from>
    <xdr:ext cx="27765" cy="424860"/>
    <xdr:sp macro="" textlink="">
      <xdr:nvSpPr>
        <xdr:cNvPr id="707" name="Text Box 1025"/>
        <xdr:cNvSpPr txBox="1">
          <a:spLocks noChangeArrowheads="1"/>
        </xdr:cNvSpPr>
      </xdr:nvSpPr>
      <xdr:spPr bwMode="auto">
        <a:xfrm>
          <a:off x="0"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1515</xdr:row>
      <xdr:rowOff>0</xdr:rowOff>
    </xdr:from>
    <xdr:ext cx="27765" cy="424860"/>
    <xdr:sp macro="" textlink="">
      <xdr:nvSpPr>
        <xdr:cNvPr id="708" name="Text Box 1025"/>
        <xdr:cNvSpPr txBox="1">
          <a:spLocks noChangeArrowheads="1"/>
        </xdr:cNvSpPr>
      </xdr:nvSpPr>
      <xdr:spPr bwMode="auto">
        <a:xfrm>
          <a:off x="0"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1515</xdr:row>
      <xdr:rowOff>0</xdr:rowOff>
    </xdr:from>
    <xdr:ext cx="27765" cy="424860"/>
    <xdr:sp macro="" textlink="">
      <xdr:nvSpPr>
        <xdr:cNvPr id="709" name="Text Box 1025"/>
        <xdr:cNvSpPr txBox="1">
          <a:spLocks noChangeArrowheads="1"/>
        </xdr:cNvSpPr>
      </xdr:nvSpPr>
      <xdr:spPr bwMode="auto">
        <a:xfrm>
          <a:off x="0"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1515</xdr:row>
      <xdr:rowOff>0</xdr:rowOff>
    </xdr:from>
    <xdr:ext cx="27765" cy="424860"/>
    <xdr:sp macro="" textlink="">
      <xdr:nvSpPr>
        <xdr:cNvPr id="710" name="Text Box 1025"/>
        <xdr:cNvSpPr txBox="1">
          <a:spLocks noChangeArrowheads="1"/>
        </xdr:cNvSpPr>
      </xdr:nvSpPr>
      <xdr:spPr bwMode="auto">
        <a:xfrm>
          <a:off x="12277725"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1515</xdr:row>
      <xdr:rowOff>0</xdr:rowOff>
    </xdr:from>
    <xdr:ext cx="27765" cy="424860"/>
    <xdr:sp macro="" textlink="">
      <xdr:nvSpPr>
        <xdr:cNvPr id="711" name="Text Box 1025"/>
        <xdr:cNvSpPr txBox="1">
          <a:spLocks noChangeArrowheads="1"/>
        </xdr:cNvSpPr>
      </xdr:nvSpPr>
      <xdr:spPr bwMode="auto">
        <a:xfrm>
          <a:off x="12277725"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1515</xdr:row>
      <xdr:rowOff>0</xdr:rowOff>
    </xdr:from>
    <xdr:ext cx="27765" cy="424860"/>
    <xdr:sp macro="" textlink="">
      <xdr:nvSpPr>
        <xdr:cNvPr id="712" name="Text Box 1025"/>
        <xdr:cNvSpPr txBox="1">
          <a:spLocks noChangeArrowheads="1"/>
        </xdr:cNvSpPr>
      </xdr:nvSpPr>
      <xdr:spPr bwMode="auto">
        <a:xfrm>
          <a:off x="12277725" y="361749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1520</xdr:row>
      <xdr:rowOff>0</xdr:rowOff>
    </xdr:from>
    <xdr:ext cx="27765" cy="424860"/>
    <xdr:sp macro="" textlink="">
      <xdr:nvSpPr>
        <xdr:cNvPr id="713" name="Text Box 1025"/>
        <xdr:cNvSpPr txBox="1">
          <a:spLocks noChangeArrowheads="1"/>
        </xdr:cNvSpPr>
      </xdr:nvSpPr>
      <xdr:spPr bwMode="auto">
        <a:xfrm>
          <a:off x="0" y="36294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1520</xdr:row>
      <xdr:rowOff>0</xdr:rowOff>
    </xdr:from>
    <xdr:ext cx="27765" cy="424860"/>
    <xdr:sp macro="" textlink="">
      <xdr:nvSpPr>
        <xdr:cNvPr id="714" name="Text Box 1025"/>
        <xdr:cNvSpPr txBox="1">
          <a:spLocks noChangeArrowheads="1"/>
        </xdr:cNvSpPr>
      </xdr:nvSpPr>
      <xdr:spPr bwMode="auto">
        <a:xfrm>
          <a:off x="0" y="36294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1520</xdr:row>
      <xdr:rowOff>0</xdr:rowOff>
    </xdr:from>
    <xdr:ext cx="27765" cy="424860"/>
    <xdr:sp macro="" textlink="">
      <xdr:nvSpPr>
        <xdr:cNvPr id="715" name="Text Box 1025"/>
        <xdr:cNvSpPr txBox="1">
          <a:spLocks noChangeArrowheads="1"/>
        </xdr:cNvSpPr>
      </xdr:nvSpPr>
      <xdr:spPr bwMode="auto">
        <a:xfrm>
          <a:off x="0" y="362940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1535</xdr:row>
      <xdr:rowOff>0</xdr:rowOff>
    </xdr:from>
    <xdr:ext cx="27765" cy="424860"/>
    <xdr:sp macro="" textlink="">
      <xdr:nvSpPr>
        <xdr:cNvPr id="716" name="Text Box 1025"/>
        <xdr:cNvSpPr txBox="1">
          <a:spLocks noChangeArrowheads="1"/>
        </xdr:cNvSpPr>
      </xdr:nvSpPr>
      <xdr:spPr bwMode="auto">
        <a:xfrm>
          <a:off x="0"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1535</xdr:row>
      <xdr:rowOff>0</xdr:rowOff>
    </xdr:from>
    <xdr:ext cx="27765" cy="424860"/>
    <xdr:sp macro="" textlink="">
      <xdr:nvSpPr>
        <xdr:cNvPr id="717" name="Text Box 1025"/>
        <xdr:cNvSpPr txBox="1">
          <a:spLocks noChangeArrowheads="1"/>
        </xdr:cNvSpPr>
      </xdr:nvSpPr>
      <xdr:spPr bwMode="auto">
        <a:xfrm>
          <a:off x="0"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1535</xdr:row>
      <xdr:rowOff>0</xdr:rowOff>
    </xdr:from>
    <xdr:ext cx="27765" cy="424860"/>
    <xdr:sp macro="" textlink="">
      <xdr:nvSpPr>
        <xdr:cNvPr id="718" name="Text Box 1025"/>
        <xdr:cNvSpPr txBox="1">
          <a:spLocks noChangeArrowheads="1"/>
        </xdr:cNvSpPr>
      </xdr:nvSpPr>
      <xdr:spPr bwMode="auto">
        <a:xfrm>
          <a:off x="0"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1535</xdr:row>
      <xdr:rowOff>0</xdr:rowOff>
    </xdr:from>
    <xdr:ext cx="27765" cy="424860"/>
    <xdr:sp macro="" textlink="">
      <xdr:nvSpPr>
        <xdr:cNvPr id="719" name="Text Box 1025"/>
        <xdr:cNvSpPr txBox="1">
          <a:spLocks noChangeArrowheads="1"/>
        </xdr:cNvSpPr>
      </xdr:nvSpPr>
      <xdr:spPr bwMode="auto">
        <a:xfrm>
          <a:off x="12277725"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1535</xdr:row>
      <xdr:rowOff>0</xdr:rowOff>
    </xdr:from>
    <xdr:ext cx="27765" cy="424860"/>
    <xdr:sp macro="" textlink="">
      <xdr:nvSpPr>
        <xdr:cNvPr id="720" name="Text Box 1025"/>
        <xdr:cNvSpPr txBox="1">
          <a:spLocks noChangeArrowheads="1"/>
        </xdr:cNvSpPr>
      </xdr:nvSpPr>
      <xdr:spPr bwMode="auto">
        <a:xfrm>
          <a:off x="12277725"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1535</xdr:row>
      <xdr:rowOff>0</xdr:rowOff>
    </xdr:from>
    <xdr:ext cx="27765" cy="424860"/>
    <xdr:sp macro="" textlink="">
      <xdr:nvSpPr>
        <xdr:cNvPr id="721" name="Text Box 1025"/>
        <xdr:cNvSpPr txBox="1">
          <a:spLocks noChangeArrowheads="1"/>
        </xdr:cNvSpPr>
      </xdr:nvSpPr>
      <xdr:spPr bwMode="auto">
        <a:xfrm>
          <a:off x="12277725" y="366512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1540</xdr:row>
      <xdr:rowOff>0</xdr:rowOff>
    </xdr:from>
    <xdr:ext cx="27765" cy="424860"/>
    <xdr:sp macro="" textlink="">
      <xdr:nvSpPr>
        <xdr:cNvPr id="722" name="Text Box 1025"/>
        <xdr:cNvSpPr txBox="1">
          <a:spLocks noChangeArrowheads="1"/>
        </xdr:cNvSpPr>
      </xdr:nvSpPr>
      <xdr:spPr bwMode="auto">
        <a:xfrm>
          <a:off x="0" y="36770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1540</xdr:row>
      <xdr:rowOff>0</xdr:rowOff>
    </xdr:from>
    <xdr:ext cx="27765" cy="424860"/>
    <xdr:sp macro="" textlink="">
      <xdr:nvSpPr>
        <xdr:cNvPr id="723" name="Text Box 1025"/>
        <xdr:cNvSpPr txBox="1">
          <a:spLocks noChangeArrowheads="1"/>
        </xdr:cNvSpPr>
      </xdr:nvSpPr>
      <xdr:spPr bwMode="auto">
        <a:xfrm>
          <a:off x="0" y="36770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1540</xdr:row>
      <xdr:rowOff>0</xdr:rowOff>
    </xdr:from>
    <xdr:ext cx="27765" cy="424860"/>
    <xdr:sp macro="" textlink="">
      <xdr:nvSpPr>
        <xdr:cNvPr id="724" name="Text Box 1025"/>
        <xdr:cNvSpPr txBox="1">
          <a:spLocks noChangeArrowheads="1"/>
        </xdr:cNvSpPr>
      </xdr:nvSpPr>
      <xdr:spPr bwMode="auto">
        <a:xfrm>
          <a:off x="0" y="3677031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1555</xdr:row>
      <xdr:rowOff>0</xdr:rowOff>
    </xdr:from>
    <xdr:ext cx="27765" cy="424860"/>
    <xdr:sp macro="" textlink="">
      <xdr:nvSpPr>
        <xdr:cNvPr id="725" name="Text Box 1025"/>
        <xdr:cNvSpPr txBox="1">
          <a:spLocks noChangeArrowheads="1"/>
        </xdr:cNvSpPr>
      </xdr:nvSpPr>
      <xdr:spPr bwMode="auto">
        <a:xfrm>
          <a:off x="0"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1555</xdr:row>
      <xdr:rowOff>0</xdr:rowOff>
    </xdr:from>
    <xdr:ext cx="27765" cy="424860"/>
    <xdr:sp macro="" textlink="">
      <xdr:nvSpPr>
        <xdr:cNvPr id="726" name="Text Box 1025"/>
        <xdr:cNvSpPr txBox="1">
          <a:spLocks noChangeArrowheads="1"/>
        </xdr:cNvSpPr>
      </xdr:nvSpPr>
      <xdr:spPr bwMode="auto">
        <a:xfrm>
          <a:off x="0"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1555</xdr:row>
      <xdr:rowOff>0</xdr:rowOff>
    </xdr:from>
    <xdr:ext cx="27765" cy="424860"/>
    <xdr:sp macro="" textlink="">
      <xdr:nvSpPr>
        <xdr:cNvPr id="727" name="Text Box 1025"/>
        <xdr:cNvSpPr txBox="1">
          <a:spLocks noChangeArrowheads="1"/>
        </xdr:cNvSpPr>
      </xdr:nvSpPr>
      <xdr:spPr bwMode="auto">
        <a:xfrm>
          <a:off x="0"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1555</xdr:row>
      <xdr:rowOff>0</xdr:rowOff>
    </xdr:from>
    <xdr:ext cx="27765" cy="424860"/>
    <xdr:sp macro="" textlink="">
      <xdr:nvSpPr>
        <xdr:cNvPr id="728" name="Text Box 1025"/>
        <xdr:cNvSpPr txBox="1">
          <a:spLocks noChangeArrowheads="1"/>
        </xdr:cNvSpPr>
      </xdr:nvSpPr>
      <xdr:spPr bwMode="auto">
        <a:xfrm>
          <a:off x="12277725"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1555</xdr:row>
      <xdr:rowOff>0</xdr:rowOff>
    </xdr:from>
    <xdr:ext cx="27765" cy="424860"/>
    <xdr:sp macro="" textlink="">
      <xdr:nvSpPr>
        <xdr:cNvPr id="729" name="Text Box 1025"/>
        <xdr:cNvSpPr txBox="1">
          <a:spLocks noChangeArrowheads="1"/>
        </xdr:cNvSpPr>
      </xdr:nvSpPr>
      <xdr:spPr bwMode="auto">
        <a:xfrm>
          <a:off x="12277725"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1555</xdr:row>
      <xdr:rowOff>0</xdr:rowOff>
    </xdr:from>
    <xdr:ext cx="27765" cy="424860"/>
    <xdr:sp macro="" textlink="">
      <xdr:nvSpPr>
        <xdr:cNvPr id="730" name="Text Box 1025"/>
        <xdr:cNvSpPr txBox="1">
          <a:spLocks noChangeArrowheads="1"/>
        </xdr:cNvSpPr>
      </xdr:nvSpPr>
      <xdr:spPr bwMode="auto">
        <a:xfrm>
          <a:off x="12277725" y="3712749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1560</xdr:row>
      <xdr:rowOff>0</xdr:rowOff>
    </xdr:from>
    <xdr:ext cx="27765" cy="424860"/>
    <xdr:sp macro="" textlink="">
      <xdr:nvSpPr>
        <xdr:cNvPr id="731" name="Text Box 1025"/>
        <xdr:cNvSpPr txBox="1">
          <a:spLocks noChangeArrowheads="1"/>
        </xdr:cNvSpPr>
      </xdr:nvSpPr>
      <xdr:spPr bwMode="auto">
        <a:xfrm>
          <a:off x="0" y="37246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1560</xdr:row>
      <xdr:rowOff>0</xdr:rowOff>
    </xdr:from>
    <xdr:ext cx="27765" cy="424860"/>
    <xdr:sp macro="" textlink="">
      <xdr:nvSpPr>
        <xdr:cNvPr id="732" name="Text Box 1025"/>
        <xdr:cNvSpPr txBox="1">
          <a:spLocks noChangeArrowheads="1"/>
        </xdr:cNvSpPr>
      </xdr:nvSpPr>
      <xdr:spPr bwMode="auto">
        <a:xfrm>
          <a:off x="0" y="37246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1560</xdr:row>
      <xdr:rowOff>0</xdr:rowOff>
    </xdr:from>
    <xdr:ext cx="27765" cy="424860"/>
    <xdr:sp macro="" textlink="">
      <xdr:nvSpPr>
        <xdr:cNvPr id="733" name="Text Box 1025"/>
        <xdr:cNvSpPr txBox="1">
          <a:spLocks noChangeArrowheads="1"/>
        </xdr:cNvSpPr>
      </xdr:nvSpPr>
      <xdr:spPr bwMode="auto">
        <a:xfrm>
          <a:off x="0" y="3724656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1575</xdr:row>
      <xdr:rowOff>0</xdr:rowOff>
    </xdr:from>
    <xdr:ext cx="27765" cy="424860"/>
    <xdr:sp macro="" textlink="">
      <xdr:nvSpPr>
        <xdr:cNvPr id="734" name="Text Box 1025"/>
        <xdr:cNvSpPr txBox="1">
          <a:spLocks noChangeArrowheads="1"/>
        </xdr:cNvSpPr>
      </xdr:nvSpPr>
      <xdr:spPr bwMode="auto">
        <a:xfrm>
          <a:off x="0"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1575</xdr:row>
      <xdr:rowOff>0</xdr:rowOff>
    </xdr:from>
    <xdr:ext cx="27765" cy="424860"/>
    <xdr:sp macro="" textlink="">
      <xdr:nvSpPr>
        <xdr:cNvPr id="735" name="Text Box 1025"/>
        <xdr:cNvSpPr txBox="1">
          <a:spLocks noChangeArrowheads="1"/>
        </xdr:cNvSpPr>
      </xdr:nvSpPr>
      <xdr:spPr bwMode="auto">
        <a:xfrm>
          <a:off x="0"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0</xdr:col>
      <xdr:colOff>0</xdr:colOff>
      <xdr:row>1575</xdr:row>
      <xdr:rowOff>0</xdr:rowOff>
    </xdr:from>
    <xdr:ext cx="27765" cy="424860"/>
    <xdr:sp macro="" textlink="">
      <xdr:nvSpPr>
        <xdr:cNvPr id="736" name="Text Box 1025"/>
        <xdr:cNvSpPr txBox="1">
          <a:spLocks noChangeArrowheads="1"/>
        </xdr:cNvSpPr>
      </xdr:nvSpPr>
      <xdr:spPr bwMode="auto">
        <a:xfrm>
          <a:off x="0"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1575</xdr:row>
      <xdr:rowOff>0</xdr:rowOff>
    </xdr:from>
    <xdr:ext cx="27765" cy="424860"/>
    <xdr:sp macro="" textlink="">
      <xdr:nvSpPr>
        <xdr:cNvPr id="737" name="Text Box 1025"/>
        <xdr:cNvSpPr txBox="1">
          <a:spLocks noChangeArrowheads="1"/>
        </xdr:cNvSpPr>
      </xdr:nvSpPr>
      <xdr:spPr bwMode="auto">
        <a:xfrm>
          <a:off x="12277725"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1575</xdr:row>
      <xdr:rowOff>0</xdr:rowOff>
    </xdr:from>
    <xdr:ext cx="27765" cy="424860"/>
    <xdr:sp macro="" textlink="">
      <xdr:nvSpPr>
        <xdr:cNvPr id="738" name="Text Box 1025"/>
        <xdr:cNvSpPr txBox="1">
          <a:spLocks noChangeArrowheads="1"/>
        </xdr:cNvSpPr>
      </xdr:nvSpPr>
      <xdr:spPr bwMode="auto">
        <a:xfrm>
          <a:off x="12277725"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18</xdr:col>
      <xdr:colOff>342900</xdr:colOff>
      <xdr:row>1575</xdr:row>
      <xdr:rowOff>0</xdr:rowOff>
    </xdr:from>
    <xdr:ext cx="27765" cy="424860"/>
    <xdr:sp macro="" textlink="">
      <xdr:nvSpPr>
        <xdr:cNvPr id="739" name="Text Box 1025"/>
        <xdr:cNvSpPr txBox="1">
          <a:spLocks noChangeArrowheads="1"/>
        </xdr:cNvSpPr>
      </xdr:nvSpPr>
      <xdr:spPr bwMode="auto">
        <a:xfrm>
          <a:off x="12277725" y="376037475"/>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4</xdr:col>
      <xdr:colOff>161925</xdr:colOff>
      <xdr:row>3</xdr:row>
      <xdr:rowOff>152400</xdr:rowOff>
    </xdr:from>
    <xdr:to>
      <xdr:col>4</xdr:col>
      <xdr:colOff>752475</xdr:colOff>
      <xdr:row>3</xdr:row>
      <xdr:rowOff>152400</xdr:rowOff>
    </xdr:to>
    <xdr:sp macro="" textlink="">
      <xdr:nvSpPr>
        <xdr:cNvPr id="1870689" name="Line 196"/>
        <xdr:cNvSpPr>
          <a:spLocks noChangeShapeType="1"/>
        </xdr:cNvSpPr>
      </xdr:nvSpPr>
      <xdr:spPr bwMode="auto">
        <a:xfrm>
          <a:off x="5095875" y="1009650"/>
          <a:ext cx="590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161925</xdr:colOff>
      <xdr:row>3</xdr:row>
      <xdr:rowOff>152400</xdr:rowOff>
    </xdr:from>
    <xdr:to>
      <xdr:col>4</xdr:col>
      <xdr:colOff>333375</xdr:colOff>
      <xdr:row>5</xdr:row>
      <xdr:rowOff>95250</xdr:rowOff>
    </xdr:to>
    <xdr:sp macro="" textlink="">
      <xdr:nvSpPr>
        <xdr:cNvPr id="1870690" name="Line 199"/>
        <xdr:cNvSpPr>
          <a:spLocks noChangeShapeType="1"/>
        </xdr:cNvSpPr>
      </xdr:nvSpPr>
      <xdr:spPr bwMode="auto">
        <a:xfrm>
          <a:off x="5095875" y="1009650"/>
          <a:ext cx="171450"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20</xdr:row>
      <xdr:rowOff>276225</xdr:rowOff>
    </xdr:from>
    <xdr:to>
      <xdr:col>4</xdr:col>
      <xdr:colOff>581025</xdr:colOff>
      <xdr:row>21</xdr:row>
      <xdr:rowOff>123825</xdr:rowOff>
    </xdr:to>
    <xdr:sp macro="" textlink="">
      <xdr:nvSpPr>
        <xdr:cNvPr id="1870691" name="Freeform 204"/>
        <xdr:cNvSpPr>
          <a:spLocks/>
        </xdr:cNvSpPr>
      </xdr:nvSpPr>
      <xdr:spPr bwMode="auto">
        <a:xfrm>
          <a:off x="5267325" y="4552950"/>
          <a:ext cx="247650" cy="161925"/>
        </a:xfrm>
        <a:custGeom>
          <a:avLst/>
          <a:gdLst>
            <a:gd name="T0" fmla="*/ 2147483647 w 26"/>
            <a:gd name="T1" fmla="*/ 2147483647 h 21"/>
            <a:gd name="T2" fmla="*/ 2147483647 w 26"/>
            <a:gd name="T3" fmla="*/ 2147483647 h 21"/>
            <a:gd name="T4" fmla="*/ 2147483647 w 26"/>
            <a:gd name="T5" fmla="*/ 2147483647 h 21"/>
            <a:gd name="T6" fmla="*/ 2147483647 w 26"/>
            <a:gd name="T7" fmla="*/ 2147483647 h 21"/>
            <a:gd name="T8" fmla="*/ 2147483647 w 26"/>
            <a:gd name="T9" fmla="*/ 0 h 21"/>
            <a:gd name="T10" fmla="*/ 2147483647 w 26"/>
            <a:gd name="T11" fmla="*/ 2147483647 h 21"/>
            <a:gd name="T12" fmla="*/ 2147483647 w 26"/>
            <a:gd name="T13" fmla="*/ 2147483647 h 21"/>
            <a:gd name="T14" fmla="*/ 2147483647 w 26"/>
            <a:gd name="T15" fmla="*/ 2147483647 h 21"/>
            <a:gd name="T16" fmla="*/ 0 w 26"/>
            <a:gd name="T17" fmla="*/ 2147483647 h 21"/>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26"/>
            <a:gd name="T28" fmla="*/ 0 h 21"/>
            <a:gd name="T29" fmla="*/ 26 w 26"/>
            <a:gd name="T30" fmla="*/ 21 h 21"/>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26" h="21">
              <a:moveTo>
                <a:pt x="26" y="21"/>
              </a:moveTo>
              <a:lnTo>
                <a:pt x="25" y="13"/>
              </a:lnTo>
              <a:lnTo>
                <a:pt x="22" y="6"/>
              </a:lnTo>
              <a:lnTo>
                <a:pt x="18" y="2"/>
              </a:lnTo>
              <a:lnTo>
                <a:pt x="13" y="0"/>
              </a:lnTo>
              <a:lnTo>
                <a:pt x="8" y="2"/>
              </a:lnTo>
              <a:lnTo>
                <a:pt x="4" y="6"/>
              </a:lnTo>
              <a:lnTo>
                <a:pt x="1" y="13"/>
              </a:lnTo>
              <a:lnTo>
                <a:pt x="0" y="21"/>
              </a:lnTo>
            </a:path>
          </a:pathLst>
        </a:cu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581025</xdr:colOff>
      <xdr:row>3</xdr:row>
      <xdr:rowOff>152400</xdr:rowOff>
    </xdr:from>
    <xdr:to>
      <xdr:col>4</xdr:col>
      <xdr:colOff>752475</xdr:colOff>
      <xdr:row>5</xdr:row>
      <xdr:rowOff>104775</xdr:rowOff>
    </xdr:to>
    <xdr:sp macro="" textlink="">
      <xdr:nvSpPr>
        <xdr:cNvPr id="1870692" name="Freeform 205"/>
        <xdr:cNvSpPr>
          <a:spLocks/>
        </xdr:cNvSpPr>
      </xdr:nvSpPr>
      <xdr:spPr bwMode="auto">
        <a:xfrm>
          <a:off x="5514975" y="1009650"/>
          <a:ext cx="171450" cy="371475"/>
        </a:xfrm>
        <a:custGeom>
          <a:avLst/>
          <a:gdLst>
            <a:gd name="T0" fmla="*/ 2147483647 w 18"/>
            <a:gd name="T1" fmla="*/ 2147483647 h 43"/>
            <a:gd name="T2" fmla="*/ 2147483647 w 18"/>
            <a:gd name="T3" fmla="*/ 0 h 43"/>
            <a:gd name="T4" fmla="*/ 0 w 18"/>
            <a:gd name="T5" fmla="*/ 2147483647 h 43"/>
            <a:gd name="T6" fmla="*/ 2147483647 w 18"/>
            <a:gd name="T7" fmla="*/ 2147483647 h 43"/>
            <a:gd name="T8" fmla="*/ 0 60000 65536"/>
            <a:gd name="T9" fmla="*/ 0 60000 65536"/>
            <a:gd name="T10" fmla="*/ 0 60000 65536"/>
            <a:gd name="T11" fmla="*/ 0 60000 65536"/>
            <a:gd name="T12" fmla="*/ 0 w 18"/>
            <a:gd name="T13" fmla="*/ 0 h 43"/>
            <a:gd name="T14" fmla="*/ 18 w 18"/>
            <a:gd name="T15" fmla="*/ 43 h 43"/>
          </a:gdLst>
          <a:ahLst/>
          <a:cxnLst>
            <a:cxn ang="T8">
              <a:pos x="T0" y="T1"/>
            </a:cxn>
            <a:cxn ang="T9">
              <a:pos x="T2" y="T3"/>
            </a:cxn>
            <a:cxn ang="T10">
              <a:pos x="T4" y="T5"/>
            </a:cxn>
            <a:cxn ang="T11">
              <a:pos x="T6" y="T7"/>
            </a:cxn>
          </a:cxnLst>
          <a:rect l="T12" t="T13" r="T14" b="T15"/>
          <a:pathLst>
            <a:path w="18" h="43">
              <a:moveTo>
                <a:pt x="18" y="1"/>
              </a:moveTo>
              <a:lnTo>
                <a:pt x="18" y="0"/>
              </a:lnTo>
              <a:lnTo>
                <a:pt x="0" y="43"/>
              </a:lnTo>
              <a:lnTo>
                <a:pt x="18" y="1"/>
              </a:lnTo>
              <a:close/>
            </a:path>
          </a:pathLst>
        </a:custGeom>
        <a:solidFill>
          <a:srgbClr val="000000"/>
        </a:solidFill>
        <a:ln w="9525">
          <a:solidFill>
            <a:srgbClr val="000000"/>
          </a:solidFill>
          <a:round/>
          <a:headEnd/>
          <a:tailEnd/>
        </a:ln>
      </xdr:spPr>
    </xdr:sp>
    <xdr:clientData/>
  </xdr:twoCellAnchor>
  <xdr:twoCellAnchor>
    <xdr:from>
      <xdr:col>4</xdr:col>
      <xdr:colOff>581025</xdr:colOff>
      <xdr:row>3</xdr:row>
      <xdr:rowOff>152400</xdr:rowOff>
    </xdr:from>
    <xdr:to>
      <xdr:col>4</xdr:col>
      <xdr:colOff>752475</xdr:colOff>
      <xdr:row>5</xdr:row>
      <xdr:rowOff>104775</xdr:rowOff>
    </xdr:to>
    <xdr:sp macro="" textlink="">
      <xdr:nvSpPr>
        <xdr:cNvPr id="1870693" name="Freeform 206"/>
        <xdr:cNvSpPr>
          <a:spLocks/>
        </xdr:cNvSpPr>
      </xdr:nvSpPr>
      <xdr:spPr bwMode="auto">
        <a:xfrm>
          <a:off x="5514975" y="1009650"/>
          <a:ext cx="171450" cy="371475"/>
        </a:xfrm>
        <a:custGeom>
          <a:avLst/>
          <a:gdLst>
            <a:gd name="T0" fmla="*/ 2147483647 w 18"/>
            <a:gd name="T1" fmla="*/ 0 h 43"/>
            <a:gd name="T2" fmla="*/ 0 w 18"/>
            <a:gd name="T3" fmla="*/ 2147483647 h 43"/>
            <a:gd name="T4" fmla="*/ 0 w 18"/>
            <a:gd name="T5" fmla="*/ 2147483647 h 43"/>
            <a:gd name="T6" fmla="*/ 2147483647 w 18"/>
            <a:gd name="T7" fmla="*/ 0 h 43"/>
            <a:gd name="T8" fmla="*/ 0 60000 65536"/>
            <a:gd name="T9" fmla="*/ 0 60000 65536"/>
            <a:gd name="T10" fmla="*/ 0 60000 65536"/>
            <a:gd name="T11" fmla="*/ 0 60000 65536"/>
            <a:gd name="T12" fmla="*/ 0 w 18"/>
            <a:gd name="T13" fmla="*/ 0 h 43"/>
            <a:gd name="T14" fmla="*/ 18 w 18"/>
            <a:gd name="T15" fmla="*/ 43 h 43"/>
          </a:gdLst>
          <a:ahLst/>
          <a:cxnLst>
            <a:cxn ang="T8">
              <a:pos x="T0" y="T1"/>
            </a:cxn>
            <a:cxn ang="T9">
              <a:pos x="T2" y="T3"/>
            </a:cxn>
            <a:cxn ang="T10">
              <a:pos x="T4" y="T5"/>
            </a:cxn>
            <a:cxn ang="T11">
              <a:pos x="T6" y="T7"/>
            </a:cxn>
          </a:cxnLst>
          <a:rect l="T12" t="T13" r="T14" b="T15"/>
          <a:pathLst>
            <a:path w="18" h="43">
              <a:moveTo>
                <a:pt x="18" y="0"/>
              </a:moveTo>
              <a:lnTo>
                <a:pt x="0" y="43"/>
              </a:lnTo>
              <a:lnTo>
                <a:pt x="0" y="42"/>
              </a:lnTo>
              <a:lnTo>
                <a:pt x="1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152400</xdr:colOff>
      <xdr:row>3</xdr:row>
      <xdr:rowOff>142875</xdr:rowOff>
    </xdr:from>
    <xdr:to>
      <xdr:col>4</xdr:col>
      <xdr:colOff>333375</xdr:colOff>
      <xdr:row>5</xdr:row>
      <xdr:rowOff>104775</xdr:rowOff>
    </xdr:to>
    <xdr:sp macro="" textlink="">
      <xdr:nvSpPr>
        <xdr:cNvPr id="1870694" name="Freeform 211"/>
        <xdr:cNvSpPr>
          <a:spLocks/>
        </xdr:cNvSpPr>
      </xdr:nvSpPr>
      <xdr:spPr bwMode="auto">
        <a:xfrm>
          <a:off x="5086350" y="1000125"/>
          <a:ext cx="180975" cy="381000"/>
        </a:xfrm>
        <a:custGeom>
          <a:avLst/>
          <a:gdLst>
            <a:gd name="T0" fmla="*/ 2147483647 w 19"/>
            <a:gd name="T1" fmla="*/ 2147483647 h 44"/>
            <a:gd name="T2" fmla="*/ 2147483647 w 19"/>
            <a:gd name="T3" fmla="*/ 2147483647 h 44"/>
            <a:gd name="T4" fmla="*/ 0 w 19"/>
            <a:gd name="T5" fmla="*/ 0 h 44"/>
            <a:gd name="T6" fmla="*/ 2147483647 w 19"/>
            <a:gd name="T7" fmla="*/ 2147483647 h 44"/>
            <a:gd name="T8" fmla="*/ 0 60000 65536"/>
            <a:gd name="T9" fmla="*/ 0 60000 65536"/>
            <a:gd name="T10" fmla="*/ 0 60000 65536"/>
            <a:gd name="T11" fmla="*/ 0 60000 65536"/>
            <a:gd name="T12" fmla="*/ 0 w 19"/>
            <a:gd name="T13" fmla="*/ 0 h 44"/>
            <a:gd name="T14" fmla="*/ 19 w 19"/>
            <a:gd name="T15" fmla="*/ 44 h 44"/>
          </a:gdLst>
          <a:ahLst/>
          <a:cxnLst>
            <a:cxn ang="T8">
              <a:pos x="T0" y="T1"/>
            </a:cxn>
            <a:cxn ang="T9">
              <a:pos x="T2" y="T3"/>
            </a:cxn>
            <a:cxn ang="T10">
              <a:pos x="T4" y="T5"/>
            </a:cxn>
            <a:cxn ang="T11">
              <a:pos x="T6" y="T7"/>
            </a:cxn>
          </a:cxnLst>
          <a:rect l="T12" t="T13" r="T14" b="T15"/>
          <a:pathLst>
            <a:path w="19" h="44">
              <a:moveTo>
                <a:pt x="19" y="44"/>
              </a:moveTo>
              <a:lnTo>
                <a:pt x="19" y="43"/>
              </a:lnTo>
              <a:lnTo>
                <a:pt x="0" y="0"/>
              </a:lnTo>
              <a:lnTo>
                <a:pt x="19" y="44"/>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333375</xdr:colOff>
      <xdr:row>5</xdr:row>
      <xdr:rowOff>114300</xdr:rowOff>
    </xdr:from>
    <xdr:to>
      <xdr:col>4</xdr:col>
      <xdr:colOff>333375</xdr:colOff>
      <xdr:row>21</xdr:row>
      <xdr:rowOff>123825</xdr:rowOff>
    </xdr:to>
    <xdr:sp macro="" textlink="">
      <xdr:nvSpPr>
        <xdr:cNvPr id="1870695" name="Line 249"/>
        <xdr:cNvSpPr>
          <a:spLocks noChangeShapeType="1"/>
        </xdr:cNvSpPr>
      </xdr:nvSpPr>
      <xdr:spPr bwMode="auto">
        <a:xfrm>
          <a:off x="5267325" y="1390650"/>
          <a:ext cx="0" cy="3324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581025</xdr:colOff>
      <xdr:row>5</xdr:row>
      <xdr:rowOff>114300</xdr:rowOff>
    </xdr:from>
    <xdr:to>
      <xdr:col>4</xdr:col>
      <xdr:colOff>581025</xdr:colOff>
      <xdr:row>21</xdr:row>
      <xdr:rowOff>123825</xdr:rowOff>
    </xdr:to>
    <xdr:sp macro="" textlink="">
      <xdr:nvSpPr>
        <xdr:cNvPr id="1870696" name="Line 251"/>
        <xdr:cNvSpPr>
          <a:spLocks noChangeShapeType="1"/>
        </xdr:cNvSpPr>
      </xdr:nvSpPr>
      <xdr:spPr bwMode="auto">
        <a:xfrm>
          <a:off x="5514975" y="1390650"/>
          <a:ext cx="0" cy="3324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19</xdr:row>
      <xdr:rowOff>38100</xdr:rowOff>
    </xdr:from>
    <xdr:to>
      <xdr:col>4</xdr:col>
      <xdr:colOff>581025</xdr:colOff>
      <xdr:row>19</xdr:row>
      <xdr:rowOff>38100</xdr:rowOff>
    </xdr:to>
    <xdr:sp macro="" textlink="">
      <xdr:nvSpPr>
        <xdr:cNvPr id="1870697" name="Line 252"/>
        <xdr:cNvSpPr>
          <a:spLocks noChangeShapeType="1"/>
        </xdr:cNvSpPr>
      </xdr:nvSpPr>
      <xdr:spPr bwMode="auto">
        <a:xfrm>
          <a:off x="5267325" y="421957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17</xdr:row>
      <xdr:rowOff>0</xdr:rowOff>
    </xdr:from>
    <xdr:to>
      <xdr:col>4</xdr:col>
      <xdr:colOff>581025</xdr:colOff>
      <xdr:row>17</xdr:row>
      <xdr:rowOff>0</xdr:rowOff>
    </xdr:to>
    <xdr:sp macro="" textlink="">
      <xdr:nvSpPr>
        <xdr:cNvPr id="1870698" name="Line 253"/>
        <xdr:cNvSpPr>
          <a:spLocks noChangeShapeType="1"/>
        </xdr:cNvSpPr>
      </xdr:nvSpPr>
      <xdr:spPr bwMode="auto">
        <a:xfrm>
          <a:off x="5267325" y="376237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14</xdr:row>
      <xdr:rowOff>180975</xdr:rowOff>
    </xdr:from>
    <xdr:to>
      <xdr:col>4</xdr:col>
      <xdr:colOff>581025</xdr:colOff>
      <xdr:row>14</xdr:row>
      <xdr:rowOff>180975</xdr:rowOff>
    </xdr:to>
    <xdr:sp macro="" textlink="">
      <xdr:nvSpPr>
        <xdr:cNvPr id="1870699" name="Line 254"/>
        <xdr:cNvSpPr>
          <a:spLocks noChangeShapeType="1"/>
        </xdr:cNvSpPr>
      </xdr:nvSpPr>
      <xdr:spPr bwMode="auto">
        <a:xfrm>
          <a:off x="5267325" y="33242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12</xdr:row>
      <xdr:rowOff>152400</xdr:rowOff>
    </xdr:from>
    <xdr:to>
      <xdr:col>4</xdr:col>
      <xdr:colOff>581025</xdr:colOff>
      <xdr:row>12</xdr:row>
      <xdr:rowOff>152400</xdr:rowOff>
    </xdr:to>
    <xdr:sp macro="" textlink="">
      <xdr:nvSpPr>
        <xdr:cNvPr id="1870700" name="Line 255"/>
        <xdr:cNvSpPr>
          <a:spLocks noChangeShapeType="1"/>
        </xdr:cNvSpPr>
      </xdr:nvSpPr>
      <xdr:spPr bwMode="auto">
        <a:xfrm>
          <a:off x="5267325" y="2876550"/>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10</xdr:row>
      <xdr:rowOff>95250</xdr:rowOff>
    </xdr:from>
    <xdr:to>
      <xdr:col>4</xdr:col>
      <xdr:colOff>581025</xdr:colOff>
      <xdr:row>10</xdr:row>
      <xdr:rowOff>95250</xdr:rowOff>
    </xdr:to>
    <xdr:sp macro="" textlink="">
      <xdr:nvSpPr>
        <xdr:cNvPr id="1870701" name="Line 256"/>
        <xdr:cNvSpPr>
          <a:spLocks noChangeShapeType="1"/>
        </xdr:cNvSpPr>
      </xdr:nvSpPr>
      <xdr:spPr bwMode="auto">
        <a:xfrm>
          <a:off x="5267325" y="2400300"/>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8</xdr:row>
      <xdr:rowOff>28575</xdr:rowOff>
    </xdr:from>
    <xdr:to>
      <xdr:col>4</xdr:col>
      <xdr:colOff>581025</xdr:colOff>
      <xdr:row>8</xdr:row>
      <xdr:rowOff>28575</xdr:rowOff>
    </xdr:to>
    <xdr:sp macro="" textlink="">
      <xdr:nvSpPr>
        <xdr:cNvPr id="1870702" name="Line 257"/>
        <xdr:cNvSpPr>
          <a:spLocks noChangeShapeType="1"/>
        </xdr:cNvSpPr>
      </xdr:nvSpPr>
      <xdr:spPr bwMode="auto">
        <a:xfrm>
          <a:off x="5267325" y="19145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5</xdr:row>
      <xdr:rowOff>104775</xdr:rowOff>
    </xdr:from>
    <xdr:to>
      <xdr:col>4</xdr:col>
      <xdr:colOff>581025</xdr:colOff>
      <xdr:row>5</xdr:row>
      <xdr:rowOff>104775</xdr:rowOff>
    </xdr:to>
    <xdr:sp macro="" textlink="">
      <xdr:nvSpPr>
        <xdr:cNvPr id="1870703" name="Line 258"/>
        <xdr:cNvSpPr>
          <a:spLocks noChangeShapeType="1"/>
        </xdr:cNvSpPr>
      </xdr:nvSpPr>
      <xdr:spPr bwMode="auto">
        <a:xfrm>
          <a:off x="5267325" y="13811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323850</xdr:colOff>
      <xdr:row>5</xdr:row>
      <xdr:rowOff>9525</xdr:rowOff>
    </xdr:from>
    <xdr:to>
      <xdr:col>10</xdr:col>
      <xdr:colOff>1390650</xdr:colOff>
      <xdr:row>24</xdr:row>
      <xdr:rowOff>200025</xdr:rowOff>
    </xdr:to>
    <xdr:graphicFrame macro="">
      <xdr:nvGraphicFramePr>
        <xdr:cNvPr id="1870704"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9</xdr:col>
      <xdr:colOff>133350</xdr:colOff>
      <xdr:row>0</xdr:row>
      <xdr:rowOff>0</xdr:rowOff>
    </xdr:from>
    <xdr:to>
      <xdr:col>12</xdr:col>
      <xdr:colOff>466725</xdr:colOff>
      <xdr:row>0</xdr:row>
      <xdr:rowOff>0</xdr:rowOff>
    </xdr:to>
    <xdr:sp macro="" textlink="">
      <xdr:nvSpPr>
        <xdr:cNvPr id="1995538" name="Line 1"/>
        <xdr:cNvSpPr>
          <a:spLocks noChangeShapeType="1"/>
        </xdr:cNvSpPr>
      </xdr:nvSpPr>
      <xdr:spPr bwMode="auto">
        <a:xfrm>
          <a:off x="3429000" y="0"/>
          <a:ext cx="1552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104775</xdr:colOff>
      <xdr:row>0</xdr:row>
      <xdr:rowOff>0</xdr:rowOff>
    </xdr:from>
    <xdr:to>
      <xdr:col>4</xdr:col>
      <xdr:colOff>390525</xdr:colOff>
      <xdr:row>0</xdr:row>
      <xdr:rowOff>0</xdr:rowOff>
    </xdr:to>
    <xdr:sp macro="" textlink="">
      <xdr:nvSpPr>
        <xdr:cNvPr id="1995539" name="Line 2"/>
        <xdr:cNvSpPr>
          <a:spLocks noChangeShapeType="1"/>
        </xdr:cNvSpPr>
      </xdr:nvSpPr>
      <xdr:spPr bwMode="auto">
        <a:xfrm>
          <a:off x="352425" y="0"/>
          <a:ext cx="1285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66675</xdr:colOff>
      <xdr:row>80</xdr:row>
      <xdr:rowOff>19050</xdr:rowOff>
    </xdr:from>
    <xdr:to>
      <xdr:col>4</xdr:col>
      <xdr:colOff>295275</xdr:colOff>
      <xdr:row>80</xdr:row>
      <xdr:rowOff>19050</xdr:rowOff>
    </xdr:to>
    <xdr:sp macro="" textlink="">
      <xdr:nvSpPr>
        <xdr:cNvPr id="1995540" name="Line 1"/>
        <xdr:cNvSpPr>
          <a:spLocks noChangeShapeType="1"/>
        </xdr:cNvSpPr>
      </xdr:nvSpPr>
      <xdr:spPr bwMode="auto">
        <a:xfrm>
          <a:off x="485775" y="21412200"/>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78</xdr:row>
      <xdr:rowOff>219075</xdr:rowOff>
    </xdr:from>
    <xdr:to>
      <xdr:col>12</xdr:col>
      <xdr:colOff>457200</xdr:colOff>
      <xdr:row>78</xdr:row>
      <xdr:rowOff>219075</xdr:rowOff>
    </xdr:to>
    <xdr:sp macro="" textlink="">
      <xdr:nvSpPr>
        <xdr:cNvPr id="1995541" name="Line 2"/>
        <xdr:cNvSpPr>
          <a:spLocks noChangeShapeType="1"/>
        </xdr:cNvSpPr>
      </xdr:nvSpPr>
      <xdr:spPr bwMode="auto">
        <a:xfrm>
          <a:off x="3448050" y="2111692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2</xdr:row>
      <xdr:rowOff>9525</xdr:rowOff>
    </xdr:from>
    <xdr:to>
      <xdr:col>12</xdr:col>
      <xdr:colOff>514350</xdr:colOff>
      <xdr:row>2</xdr:row>
      <xdr:rowOff>9525</xdr:rowOff>
    </xdr:to>
    <xdr:sp macro="" textlink="">
      <xdr:nvSpPr>
        <xdr:cNvPr id="1995542" name="Line 3"/>
        <xdr:cNvSpPr>
          <a:spLocks noChangeShapeType="1"/>
        </xdr:cNvSpPr>
      </xdr:nvSpPr>
      <xdr:spPr bwMode="auto">
        <a:xfrm>
          <a:off x="3667125" y="52387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38100</xdr:colOff>
      <xdr:row>3</xdr:row>
      <xdr:rowOff>114300</xdr:rowOff>
    </xdr:from>
    <xdr:to>
      <xdr:col>4</xdr:col>
      <xdr:colOff>571500</xdr:colOff>
      <xdr:row>3</xdr:row>
      <xdr:rowOff>114300</xdr:rowOff>
    </xdr:to>
    <xdr:sp macro="" textlink="">
      <xdr:nvSpPr>
        <xdr:cNvPr id="1995543" name="Line 4"/>
        <xdr:cNvSpPr>
          <a:spLocks noChangeShapeType="1"/>
        </xdr:cNvSpPr>
      </xdr:nvSpPr>
      <xdr:spPr bwMode="auto">
        <a:xfrm flipV="1">
          <a:off x="619125" y="847725"/>
          <a:ext cx="1200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161925</xdr:colOff>
      <xdr:row>272</xdr:row>
      <xdr:rowOff>57150</xdr:rowOff>
    </xdr:from>
    <xdr:to>
      <xdr:col>4</xdr:col>
      <xdr:colOff>219075</xdr:colOff>
      <xdr:row>272</xdr:row>
      <xdr:rowOff>57150</xdr:rowOff>
    </xdr:to>
    <xdr:sp macro="" textlink="">
      <xdr:nvSpPr>
        <xdr:cNvPr id="1995544" name="Line 1"/>
        <xdr:cNvSpPr>
          <a:spLocks noChangeShapeType="1"/>
        </xdr:cNvSpPr>
      </xdr:nvSpPr>
      <xdr:spPr bwMode="auto">
        <a:xfrm>
          <a:off x="409575" y="72494775"/>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269</xdr:row>
      <xdr:rowOff>219075</xdr:rowOff>
    </xdr:from>
    <xdr:to>
      <xdr:col>12</xdr:col>
      <xdr:colOff>457200</xdr:colOff>
      <xdr:row>269</xdr:row>
      <xdr:rowOff>219075</xdr:rowOff>
    </xdr:to>
    <xdr:sp macro="" textlink="">
      <xdr:nvSpPr>
        <xdr:cNvPr id="1995545" name="Line 2"/>
        <xdr:cNvSpPr>
          <a:spLocks noChangeShapeType="1"/>
        </xdr:cNvSpPr>
      </xdr:nvSpPr>
      <xdr:spPr bwMode="auto">
        <a:xfrm>
          <a:off x="3448050" y="7201852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194</xdr:row>
      <xdr:rowOff>9525</xdr:rowOff>
    </xdr:from>
    <xdr:to>
      <xdr:col>12</xdr:col>
      <xdr:colOff>514350</xdr:colOff>
      <xdr:row>194</xdr:row>
      <xdr:rowOff>9525</xdr:rowOff>
    </xdr:to>
    <xdr:sp macro="" textlink="">
      <xdr:nvSpPr>
        <xdr:cNvPr id="1995546" name="Line 3"/>
        <xdr:cNvSpPr>
          <a:spLocks noChangeShapeType="1"/>
        </xdr:cNvSpPr>
      </xdr:nvSpPr>
      <xdr:spPr bwMode="auto">
        <a:xfrm>
          <a:off x="3667125" y="51473100"/>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66675</xdr:colOff>
      <xdr:row>462</xdr:row>
      <xdr:rowOff>0</xdr:rowOff>
    </xdr:from>
    <xdr:to>
      <xdr:col>4</xdr:col>
      <xdr:colOff>295275</xdr:colOff>
      <xdr:row>462</xdr:row>
      <xdr:rowOff>0</xdr:rowOff>
    </xdr:to>
    <xdr:sp macro="" textlink="">
      <xdr:nvSpPr>
        <xdr:cNvPr id="1995547" name="Line 1"/>
        <xdr:cNvSpPr>
          <a:spLocks noChangeShapeType="1"/>
        </xdr:cNvSpPr>
      </xdr:nvSpPr>
      <xdr:spPr bwMode="auto">
        <a:xfrm>
          <a:off x="485775" y="122682000"/>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459</xdr:row>
      <xdr:rowOff>219075</xdr:rowOff>
    </xdr:from>
    <xdr:to>
      <xdr:col>12</xdr:col>
      <xdr:colOff>457200</xdr:colOff>
      <xdr:row>459</xdr:row>
      <xdr:rowOff>219075</xdr:rowOff>
    </xdr:to>
    <xdr:sp macro="" textlink="">
      <xdr:nvSpPr>
        <xdr:cNvPr id="1995548" name="Line 2"/>
        <xdr:cNvSpPr>
          <a:spLocks noChangeShapeType="1"/>
        </xdr:cNvSpPr>
      </xdr:nvSpPr>
      <xdr:spPr bwMode="auto">
        <a:xfrm>
          <a:off x="3448050" y="12231052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384</xdr:row>
      <xdr:rowOff>180975</xdr:rowOff>
    </xdr:from>
    <xdr:to>
      <xdr:col>4</xdr:col>
      <xdr:colOff>533400</xdr:colOff>
      <xdr:row>384</xdr:row>
      <xdr:rowOff>180975</xdr:rowOff>
    </xdr:to>
    <xdr:sp macro="" textlink="">
      <xdr:nvSpPr>
        <xdr:cNvPr id="1995549" name="Line 3"/>
        <xdr:cNvSpPr>
          <a:spLocks noChangeShapeType="1"/>
        </xdr:cNvSpPr>
      </xdr:nvSpPr>
      <xdr:spPr bwMode="auto">
        <a:xfrm>
          <a:off x="419100" y="10215562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114300</xdr:colOff>
      <xdr:row>650</xdr:row>
      <xdr:rowOff>28575</xdr:rowOff>
    </xdr:from>
    <xdr:to>
      <xdr:col>4</xdr:col>
      <xdr:colOff>342900</xdr:colOff>
      <xdr:row>650</xdr:row>
      <xdr:rowOff>28575</xdr:rowOff>
    </xdr:to>
    <xdr:sp macro="" textlink="">
      <xdr:nvSpPr>
        <xdr:cNvPr id="1995550" name="Line 1"/>
        <xdr:cNvSpPr>
          <a:spLocks noChangeShapeType="1"/>
        </xdr:cNvSpPr>
      </xdr:nvSpPr>
      <xdr:spPr bwMode="auto">
        <a:xfrm>
          <a:off x="533400" y="172945425"/>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647</xdr:row>
      <xdr:rowOff>219075</xdr:rowOff>
    </xdr:from>
    <xdr:to>
      <xdr:col>12</xdr:col>
      <xdr:colOff>457200</xdr:colOff>
      <xdr:row>647</xdr:row>
      <xdr:rowOff>219075</xdr:rowOff>
    </xdr:to>
    <xdr:sp macro="" textlink="">
      <xdr:nvSpPr>
        <xdr:cNvPr id="1995551" name="Line 2"/>
        <xdr:cNvSpPr>
          <a:spLocks noChangeShapeType="1"/>
        </xdr:cNvSpPr>
      </xdr:nvSpPr>
      <xdr:spPr bwMode="auto">
        <a:xfrm>
          <a:off x="3448050" y="17254537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572</xdr:row>
      <xdr:rowOff>9525</xdr:rowOff>
    </xdr:from>
    <xdr:to>
      <xdr:col>12</xdr:col>
      <xdr:colOff>514350</xdr:colOff>
      <xdr:row>572</xdr:row>
      <xdr:rowOff>9525</xdr:rowOff>
    </xdr:to>
    <xdr:sp macro="" textlink="">
      <xdr:nvSpPr>
        <xdr:cNvPr id="1995552" name="Line 3"/>
        <xdr:cNvSpPr>
          <a:spLocks noChangeShapeType="1"/>
        </xdr:cNvSpPr>
      </xdr:nvSpPr>
      <xdr:spPr bwMode="auto">
        <a:xfrm>
          <a:off x="3667125" y="15200947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85725</xdr:colOff>
      <xdr:row>573</xdr:row>
      <xdr:rowOff>200025</xdr:rowOff>
    </xdr:from>
    <xdr:to>
      <xdr:col>4</xdr:col>
      <xdr:colOff>619125</xdr:colOff>
      <xdr:row>573</xdr:row>
      <xdr:rowOff>200025</xdr:rowOff>
    </xdr:to>
    <xdr:sp macro="" textlink="">
      <xdr:nvSpPr>
        <xdr:cNvPr id="1995553" name="Line 4"/>
        <xdr:cNvSpPr>
          <a:spLocks noChangeShapeType="1"/>
        </xdr:cNvSpPr>
      </xdr:nvSpPr>
      <xdr:spPr bwMode="auto">
        <a:xfrm flipV="1">
          <a:off x="666750" y="152419050"/>
          <a:ext cx="1200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840</xdr:row>
      <xdr:rowOff>9525</xdr:rowOff>
    </xdr:from>
    <xdr:to>
      <xdr:col>4</xdr:col>
      <xdr:colOff>400050</xdr:colOff>
      <xdr:row>840</xdr:row>
      <xdr:rowOff>9525</xdr:rowOff>
    </xdr:to>
    <xdr:sp macro="" textlink="">
      <xdr:nvSpPr>
        <xdr:cNvPr id="1995554" name="Line 1"/>
        <xdr:cNvSpPr>
          <a:spLocks noChangeShapeType="1"/>
        </xdr:cNvSpPr>
      </xdr:nvSpPr>
      <xdr:spPr bwMode="auto">
        <a:xfrm>
          <a:off x="590550" y="223294575"/>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837</xdr:row>
      <xdr:rowOff>219075</xdr:rowOff>
    </xdr:from>
    <xdr:to>
      <xdr:col>12</xdr:col>
      <xdr:colOff>457200</xdr:colOff>
      <xdr:row>837</xdr:row>
      <xdr:rowOff>219075</xdr:rowOff>
    </xdr:to>
    <xdr:sp macro="" textlink="">
      <xdr:nvSpPr>
        <xdr:cNvPr id="1995555" name="Line 2"/>
        <xdr:cNvSpPr>
          <a:spLocks noChangeShapeType="1"/>
        </xdr:cNvSpPr>
      </xdr:nvSpPr>
      <xdr:spPr bwMode="auto">
        <a:xfrm>
          <a:off x="3448050" y="22291357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762</xdr:row>
      <xdr:rowOff>9525</xdr:rowOff>
    </xdr:from>
    <xdr:to>
      <xdr:col>12</xdr:col>
      <xdr:colOff>514350</xdr:colOff>
      <xdr:row>762</xdr:row>
      <xdr:rowOff>9525</xdr:rowOff>
    </xdr:to>
    <xdr:sp macro="" textlink="">
      <xdr:nvSpPr>
        <xdr:cNvPr id="1995556" name="Line 3"/>
        <xdr:cNvSpPr>
          <a:spLocks noChangeShapeType="1"/>
        </xdr:cNvSpPr>
      </xdr:nvSpPr>
      <xdr:spPr bwMode="auto">
        <a:xfrm>
          <a:off x="3667125" y="20237767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38100</xdr:colOff>
      <xdr:row>764</xdr:row>
      <xdr:rowOff>9525</xdr:rowOff>
    </xdr:from>
    <xdr:to>
      <xdr:col>4</xdr:col>
      <xdr:colOff>571500</xdr:colOff>
      <xdr:row>764</xdr:row>
      <xdr:rowOff>9525</xdr:rowOff>
    </xdr:to>
    <xdr:sp macro="" textlink="">
      <xdr:nvSpPr>
        <xdr:cNvPr id="1995557" name="Line 4"/>
        <xdr:cNvSpPr>
          <a:spLocks noChangeShapeType="1"/>
        </xdr:cNvSpPr>
      </xdr:nvSpPr>
      <xdr:spPr bwMode="auto">
        <a:xfrm flipV="1">
          <a:off x="619125" y="202815825"/>
          <a:ext cx="1200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xdr:colOff>
      <xdr:row>1033</xdr:row>
      <xdr:rowOff>28575</xdr:rowOff>
    </xdr:from>
    <xdr:to>
      <xdr:col>4</xdr:col>
      <xdr:colOff>409575</xdr:colOff>
      <xdr:row>1033</xdr:row>
      <xdr:rowOff>28575</xdr:rowOff>
    </xdr:to>
    <xdr:sp macro="" textlink="">
      <xdr:nvSpPr>
        <xdr:cNvPr id="1995558" name="Line 1"/>
        <xdr:cNvSpPr>
          <a:spLocks noChangeShapeType="1"/>
        </xdr:cNvSpPr>
      </xdr:nvSpPr>
      <xdr:spPr bwMode="auto">
        <a:xfrm>
          <a:off x="600075" y="273681825"/>
          <a:ext cx="10572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152400</xdr:colOff>
      <xdr:row>1030</xdr:row>
      <xdr:rowOff>219075</xdr:rowOff>
    </xdr:from>
    <xdr:to>
      <xdr:col>12</xdr:col>
      <xdr:colOff>457200</xdr:colOff>
      <xdr:row>1030</xdr:row>
      <xdr:rowOff>219075</xdr:rowOff>
    </xdr:to>
    <xdr:sp macro="" textlink="">
      <xdr:nvSpPr>
        <xdr:cNvPr id="1995559" name="Line 2"/>
        <xdr:cNvSpPr>
          <a:spLocks noChangeShapeType="1"/>
        </xdr:cNvSpPr>
      </xdr:nvSpPr>
      <xdr:spPr bwMode="auto">
        <a:xfrm>
          <a:off x="3448050" y="27328177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954</xdr:row>
      <xdr:rowOff>9525</xdr:rowOff>
    </xdr:from>
    <xdr:to>
      <xdr:col>12</xdr:col>
      <xdr:colOff>514350</xdr:colOff>
      <xdr:row>954</xdr:row>
      <xdr:rowOff>9525</xdr:rowOff>
    </xdr:to>
    <xdr:sp macro="" textlink="">
      <xdr:nvSpPr>
        <xdr:cNvPr id="1995560" name="Line 3"/>
        <xdr:cNvSpPr>
          <a:spLocks noChangeShapeType="1"/>
        </xdr:cNvSpPr>
      </xdr:nvSpPr>
      <xdr:spPr bwMode="auto">
        <a:xfrm>
          <a:off x="3667125" y="252774450"/>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85725</xdr:colOff>
      <xdr:row>955</xdr:row>
      <xdr:rowOff>190500</xdr:rowOff>
    </xdr:from>
    <xdr:to>
      <xdr:col>4</xdr:col>
      <xdr:colOff>619125</xdr:colOff>
      <xdr:row>955</xdr:row>
      <xdr:rowOff>190500</xdr:rowOff>
    </xdr:to>
    <xdr:sp macro="" textlink="">
      <xdr:nvSpPr>
        <xdr:cNvPr id="1995561" name="Line 4"/>
        <xdr:cNvSpPr>
          <a:spLocks noChangeShapeType="1"/>
        </xdr:cNvSpPr>
      </xdr:nvSpPr>
      <xdr:spPr bwMode="auto">
        <a:xfrm flipV="1">
          <a:off x="666750" y="253174500"/>
          <a:ext cx="1200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133350</xdr:colOff>
      <xdr:row>0</xdr:row>
      <xdr:rowOff>0</xdr:rowOff>
    </xdr:from>
    <xdr:to>
      <xdr:col>10</xdr:col>
      <xdr:colOff>0</xdr:colOff>
      <xdr:row>0</xdr:row>
      <xdr:rowOff>0</xdr:rowOff>
    </xdr:to>
    <xdr:sp macro="" textlink="">
      <xdr:nvSpPr>
        <xdr:cNvPr id="1996659" name="Line 1"/>
        <xdr:cNvSpPr>
          <a:spLocks noChangeShapeType="1"/>
        </xdr:cNvSpPr>
      </xdr:nvSpPr>
      <xdr:spPr bwMode="auto">
        <a:xfrm>
          <a:off x="5695950" y="0"/>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104775</xdr:colOff>
      <xdr:row>0</xdr:row>
      <xdr:rowOff>0</xdr:rowOff>
    </xdr:from>
    <xdr:to>
      <xdr:col>4</xdr:col>
      <xdr:colOff>390525</xdr:colOff>
      <xdr:row>0</xdr:row>
      <xdr:rowOff>0</xdr:rowOff>
    </xdr:to>
    <xdr:sp macro="" textlink="">
      <xdr:nvSpPr>
        <xdr:cNvPr id="1996660" name="Line 2"/>
        <xdr:cNvSpPr>
          <a:spLocks noChangeShapeType="1"/>
        </xdr:cNvSpPr>
      </xdr:nvSpPr>
      <xdr:spPr bwMode="auto">
        <a:xfrm>
          <a:off x="447675" y="0"/>
          <a:ext cx="2238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98</xdr:row>
      <xdr:rowOff>0</xdr:rowOff>
    </xdr:from>
    <xdr:to>
      <xdr:col>10</xdr:col>
      <xdr:colOff>123825</xdr:colOff>
      <xdr:row>98</xdr:row>
      <xdr:rowOff>0</xdr:rowOff>
    </xdr:to>
    <xdr:sp macro="" textlink="">
      <xdr:nvSpPr>
        <xdr:cNvPr id="1996661" name="Line 2"/>
        <xdr:cNvSpPr>
          <a:spLocks noChangeShapeType="1"/>
        </xdr:cNvSpPr>
      </xdr:nvSpPr>
      <xdr:spPr bwMode="auto">
        <a:xfrm>
          <a:off x="6391275" y="245935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xdr:row>
      <xdr:rowOff>9525</xdr:rowOff>
    </xdr:from>
    <xdr:to>
      <xdr:col>10</xdr:col>
      <xdr:colOff>0</xdr:colOff>
      <xdr:row>2</xdr:row>
      <xdr:rowOff>9525</xdr:rowOff>
    </xdr:to>
    <xdr:sp macro="" textlink="">
      <xdr:nvSpPr>
        <xdr:cNvPr id="1996662" name="Line 3"/>
        <xdr:cNvSpPr>
          <a:spLocks noChangeShapeType="1"/>
        </xdr:cNvSpPr>
      </xdr:nvSpPr>
      <xdr:spPr bwMode="auto">
        <a:xfrm>
          <a:off x="6391275" y="5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63"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64"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65"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66"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67"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68"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69"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70"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71"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72"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73"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74"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75"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76"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123825</xdr:colOff>
      <xdr:row>164</xdr:row>
      <xdr:rowOff>0</xdr:rowOff>
    </xdr:to>
    <xdr:sp macro="" textlink="">
      <xdr:nvSpPr>
        <xdr:cNvPr id="1996677" name="Line 2"/>
        <xdr:cNvSpPr>
          <a:spLocks noChangeShapeType="1"/>
        </xdr:cNvSpPr>
      </xdr:nvSpPr>
      <xdr:spPr bwMode="auto">
        <a:xfrm>
          <a:off x="6391275" y="414337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164</xdr:row>
      <xdr:rowOff>0</xdr:rowOff>
    </xdr:from>
    <xdr:to>
      <xdr:col>10</xdr:col>
      <xdr:colOff>0</xdr:colOff>
      <xdr:row>164</xdr:row>
      <xdr:rowOff>0</xdr:rowOff>
    </xdr:to>
    <xdr:sp macro="" textlink="">
      <xdr:nvSpPr>
        <xdr:cNvPr id="1996678" name="Line 3"/>
        <xdr:cNvSpPr>
          <a:spLocks noChangeShapeType="1"/>
        </xdr:cNvSpPr>
      </xdr:nvSpPr>
      <xdr:spPr bwMode="auto">
        <a:xfrm>
          <a:off x="6391275" y="414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87</xdr:row>
      <xdr:rowOff>190500</xdr:rowOff>
    </xdr:from>
    <xdr:to>
      <xdr:col>10</xdr:col>
      <xdr:colOff>123825</xdr:colOff>
      <xdr:row>87</xdr:row>
      <xdr:rowOff>190500</xdr:rowOff>
    </xdr:to>
    <xdr:sp macro="" textlink="">
      <xdr:nvSpPr>
        <xdr:cNvPr id="1996679" name="Line 2"/>
        <xdr:cNvSpPr>
          <a:spLocks noChangeShapeType="1"/>
        </xdr:cNvSpPr>
      </xdr:nvSpPr>
      <xdr:spPr bwMode="auto">
        <a:xfrm>
          <a:off x="6391275" y="2240280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264</xdr:row>
      <xdr:rowOff>0</xdr:rowOff>
    </xdr:from>
    <xdr:to>
      <xdr:col>10</xdr:col>
      <xdr:colOff>123825</xdr:colOff>
      <xdr:row>264</xdr:row>
      <xdr:rowOff>0</xdr:rowOff>
    </xdr:to>
    <xdr:sp macro="" textlink="">
      <xdr:nvSpPr>
        <xdr:cNvPr id="1996680" name="Line 2"/>
        <xdr:cNvSpPr>
          <a:spLocks noChangeShapeType="1"/>
        </xdr:cNvSpPr>
      </xdr:nvSpPr>
      <xdr:spPr bwMode="auto">
        <a:xfrm>
          <a:off x="6391275" y="6652260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166</xdr:row>
      <xdr:rowOff>9525</xdr:rowOff>
    </xdr:from>
    <xdr:to>
      <xdr:col>10</xdr:col>
      <xdr:colOff>0</xdr:colOff>
      <xdr:row>166</xdr:row>
      <xdr:rowOff>9525</xdr:rowOff>
    </xdr:to>
    <xdr:sp macro="" textlink="">
      <xdr:nvSpPr>
        <xdr:cNvPr id="1996681" name="Line 3"/>
        <xdr:cNvSpPr>
          <a:spLocks noChangeShapeType="1"/>
        </xdr:cNvSpPr>
      </xdr:nvSpPr>
      <xdr:spPr bwMode="auto">
        <a:xfrm>
          <a:off x="6391275" y="41938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253</xdr:row>
      <xdr:rowOff>190500</xdr:rowOff>
    </xdr:from>
    <xdr:to>
      <xdr:col>10</xdr:col>
      <xdr:colOff>123825</xdr:colOff>
      <xdr:row>253</xdr:row>
      <xdr:rowOff>190500</xdr:rowOff>
    </xdr:to>
    <xdr:sp macro="" textlink="">
      <xdr:nvSpPr>
        <xdr:cNvPr id="1996682" name="Line 2"/>
        <xdr:cNvSpPr>
          <a:spLocks noChangeShapeType="1"/>
        </xdr:cNvSpPr>
      </xdr:nvSpPr>
      <xdr:spPr bwMode="auto">
        <a:xfrm>
          <a:off x="6391275" y="643318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436</xdr:row>
      <xdr:rowOff>0</xdr:rowOff>
    </xdr:from>
    <xdr:to>
      <xdr:col>10</xdr:col>
      <xdr:colOff>123825</xdr:colOff>
      <xdr:row>436</xdr:row>
      <xdr:rowOff>0</xdr:rowOff>
    </xdr:to>
    <xdr:sp macro="" textlink="">
      <xdr:nvSpPr>
        <xdr:cNvPr id="1996683" name="Line 2"/>
        <xdr:cNvSpPr>
          <a:spLocks noChangeShapeType="1"/>
        </xdr:cNvSpPr>
      </xdr:nvSpPr>
      <xdr:spPr bwMode="auto">
        <a:xfrm>
          <a:off x="6391275" y="10965180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338</xdr:row>
      <xdr:rowOff>9525</xdr:rowOff>
    </xdr:from>
    <xdr:to>
      <xdr:col>10</xdr:col>
      <xdr:colOff>0</xdr:colOff>
      <xdr:row>338</xdr:row>
      <xdr:rowOff>9525</xdr:rowOff>
    </xdr:to>
    <xdr:sp macro="" textlink="">
      <xdr:nvSpPr>
        <xdr:cNvPr id="1996684" name="Line 3"/>
        <xdr:cNvSpPr>
          <a:spLocks noChangeShapeType="1"/>
        </xdr:cNvSpPr>
      </xdr:nvSpPr>
      <xdr:spPr bwMode="auto">
        <a:xfrm>
          <a:off x="6391275" y="85067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425</xdr:row>
      <xdr:rowOff>190500</xdr:rowOff>
    </xdr:from>
    <xdr:to>
      <xdr:col>10</xdr:col>
      <xdr:colOff>123825</xdr:colOff>
      <xdr:row>425</xdr:row>
      <xdr:rowOff>190500</xdr:rowOff>
    </xdr:to>
    <xdr:sp macro="" textlink="">
      <xdr:nvSpPr>
        <xdr:cNvPr id="1996685" name="Line 2"/>
        <xdr:cNvSpPr>
          <a:spLocks noChangeShapeType="1"/>
        </xdr:cNvSpPr>
      </xdr:nvSpPr>
      <xdr:spPr bwMode="auto">
        <a:xfrm>
          <a:off x="6391275" y="1074610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0</xdr:colOff>
      <xdr:row>80</xdr:row>
      <xdr:rowOff>0</xdr:rowOff>
    </xdr:from>
    <xdr:to>
      <xdr:col>10</xdr:col>
      <xdr:colOff>123825</xdr:colOff>
      <xdr:row>80</xdr:row>
      <xdr:rowOff>0</xdr:rowOff>
    </xdr:to>
    <xdr:sp macro="" textlink="">
      <xdr:nvSpPr>
        <xdr:cNvPr id="2090126" name="Line 2"/>
        <xdr:cNvSpPr>
          <a:spLocks noChangeShapeType="1"/>
        </xdr:cNvSpPr>
      </xdr:nvSpPr>
      <xdr:spPr bwMode="auto">
        <a:xfrm>
          <a:off x="6381750" y="207835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2090127" name="Line 2"/>
        <xdr:cNvSpPr>
          <a:spLocks noChangeShapeType="1"/>
        </xdr:cNvSpPr>
      </xdr:nvSpPr>
      <xdr:spPr bwMode="auto">
        <a:xfrm>
          <a:off x="6381750" y="386048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2090128" name="Line 3"/>
        <xdr:cNvSpPr>
          <a:spLocks noChangeShapeType="1"/>
        </xdr:cNvSpPr>
      </xdr:nvSpPr>
      <xdr:spPr bwMode="auto">
        <a:xfrm>
          <a:off x="6381750" y="386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2090129" name="Line 2"/>
        <xdr:cNvSpPr>
          <a:spLocks noChangeShapeType="1"/>
        </xdr:cNvSpPr>
      </xdr:nvSpPr>
      <xdr:spPr bwMode="auto">
        <a:xfrm>
          <a:off x="6381750" y="386048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2090130" name="Line 3"/>
        <xdr:cNvSpPr>
          <a:spLocks noChangeShapeType="1"/>
        </xdr:cNvSpPr>
      </xdr:nvSpPr>
      <xdr:spPr bwMode="auto">
        <a:xfrm>
          <a:off x="6381750" y="386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2090131" name="Line 2"/>
        <xdr:cNvSpPr>
          <a:spLocks noChangeShapeType="1"/>
        </xdr:cNvSpPr>
      </xdr:nvSpPr>
      <xdr:spPr bwMode="auto">
        <a:xfrm>
          <a:off x="6381750" y="386048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2090132" name="Line 3"/>
        <xdr:cNvSpPr>
          <a:spLocks noChangeShapeType="1"/>
        </xdr:cNvSpPr>
      </xdr:nvSpPr>
      <xdr:spPr bwMode="auto">
        <a:xfrm>
          <a:off x="6381750" y="386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2090133" name="Line 2"/>
        <xdr:cNvSpPr>
          <a:spLocks noChangeShapeType="1"/>
        </xdr:cNvSpPr>
      </xdr:nvSpPr>
      <xdr:spPr bwMode="auto">
        <a:xfrm>
          <a:off x="6381750" y="386048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2090134" name="Line 3"/>
        <xdr:cNvSpPr>
          <a:spLocks noChangeShapeType="1"/>
        </xdr:cNvSpPr>
      </xdr:nvSpPr>
      <xdr:spPr bwMode="auto">
        <a:xfrm>
          <a:off x="6381750" y="386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111</xdr:row>
      <xdr:rowOff>0</xdr:rowOff>
    </xdr:from>
    <xdr:to>
      <xdr:col>10</xdr:col>
      <xdr:colOff>123825</xdr:colOff>
      <xdr:row>111</xdr:row>
      <xdr:rowOff>0</xdr:rowOff>
    </xdr:to>
    <xdr:sp macro="" textlink="">
      <xdr:nvSpPr>
        <xdr:cNvPr id="1905129" name="Line 2"/>
        <xdr:cNvSpPr>
          <a:spLocks noChangeShapeType="1"/>
        </xdr:cNvSpPr>
      </xdr:nvSpPr>
      <xdr:spPr bwMode="auto">
        <a:xfrm>
          <a:off x="6372225" y="293179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xdr:row>
      <xdr:rowOff>9525</xdr:rowOff>
    </xdr:from>
    <xdr:to>
      <xdr:col>10</xdr:col>
      <xdr:colOff>0</xdr:colOff>
      <xdr:row>2</xdr:row>
      <xdr:rowOff>9525</xdr:rowOff>
    </xdr:to>
    <xdr:sp macro="" textlink="">
      <xdr:nvSpPr>
        <xdr:cNvPr id="1905130" name="Line 3"/>
        <xdr:cNvSpPr>
          <a:spLocks noChangeShapeType="1"/>
        </xdr:cNvSpPr>
      </xdr:nvSpPr>
      <xdr:spPr bwMode="auto">
        <a:xfrm>
          <a:off x="6372225" y="5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905131"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905132"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905133"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905134"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905135"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905136"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905137"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905138"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47625</xdr:colOff>
      <xdr:row>20</xdr:row>
      <xdr:rowOff>19050</xdr:rowOff>
    </xdr:from>
    <xdr:to>
      <xdr:col>6</xdr:col>
      <xdr:colOff>0</xdr:colOff>
      <xdr:row>21</xdr:row>
      <xdr:rowOff>0</xdr:rowOff>
    </xdr:to>
    <xdr:grpSp>
      <xdr:nvGrpSpPr>
        <xdr:cNvPr id="2175045" name="Group 1"/>
        <xdr:cNvGrpSpPr>
          <a:grpSpLocks/>
        </xdr:cNvGrpSpPr>
      </xdr:nvGrpSpPr>
      <xdr:grpSpPr bwMode="auto">
        <a:xfrm>
          <a:off x="2756038" y="3605420"/>
          <a:ext cx="457614" cy="171450"/>
          <a:chOff x="273" y="421"/>
          <a:chExt cx="44" cy="16"/>
        </a:xfrm>
      </xdr:grpSpPr>
      <xdr:sp macro="" textlink="">
        <xdr:nvSpPr>
          <xdr:cNvPr id="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46" name="Group 4"/>
        <xdr:cNvGrpSpPr>
          <a:grpSpLocks/>
        </xdr:cNvGrpSpPr>
      </xdr:nvGrpSpPr>
      <xdr:grpSpPr bwMode="auto">
        <a:xfrm>
          <a:off x="3242227" y="3605420"/>
          <a:ext cx="579783" cy="171450"/>
          <a:chOff x="273" y="421"/>
          <a:chExt cx="44" cy="16"/>
        </a:xfrm>
      </xdr:grpSpPr>
      <xdr:sp macro="" textlink="">
        <xdr:nvSpPr>
          <xdr:cNvPr id="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62"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47" name="Group 7"/>
        <xdr:cNvGrpSpPr>
          <a:grpSpLocks/>
        </xdr:cNvGrpSpPr>
      </xdr:nvGrpSpPr>
      <xdr:grpSpPr bwMode="auto">
        <a:xfrm>
          <a:off x="3841060" y="3605420"/>
          <a:ext cx="513522" cy="171450"/>
          <a:chOff x="273" y="421"/>
          <a:chExt cx="44" cy="16"/>
        </a:xfrm>
      </xdr:grpSpPr>
      <xdr:sp macro="" textlink="">
        <xdr:nvSpPr>
          <xdr:cNvPr id="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6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48" name="Group 11"/>
        <xdr:cNvGrpSpPr>
          <a:grpSpLocks/>
        </xdr:cNvGrpSpPr>
      </xdr:nvGrpSpPr>
      <xdr:grpSpPr bwMode="auto">
        <a:xfrm>
          <a:off x="2756038" y="3605420"/>
          <a:ext cx="457614" cy="171450"/>
          <a:chOff x="273" y="421"/>
          <a:chExt cx="44" cy="16"/>
        </a:xfrm>
      </xdr:grpSpPr>
      <xdr:sp macro="" textlink="">
        <xdr:nvSpPr>
          <xdr:cNvPr id="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49" name="Group 14"/>
        <xdr:cNvGrpSpPr>
          <a:grpSpLocks/>
        </xdr:cNvGrpSpPr>
      </xdr:nvGrpSpPr>
      <xdr:grpSpPr bwMode="auto">
        <a:xfrm>
          <a:off x="3242227" y="3605420"/>
          <a:ext cx="579783" cy="171450"/>
          <a:chOff x="273" y="421"/>
          <a:chExt cx="44" cy="16"/>
        </a:xfrm>
      </xdr:grpSpPr>
      <xdr:sp macro="" textlink="">
        <xdr:nvSpPr>
          <xdr:cNvPr id="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5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50" name="Group 17"/>
        <xdr:cNvGrpSpPr>
          <a:grpSpLocks/>
        </xdr:cNvGrpSpPr>
      </xdr:nvGrpSpPr>
      <xdr:grpSpPr bwMode="auto">
        <a:xfrm>
          <a:off x="3841060" y="3605420"/>
          <a:ext cx="513522" cy="171450"/>
          <a:chOff x="273" y="421"/>
          <a:chExt cx="44" cy="16"/>
        </a:xfrm>
      </xdr:grpSpPr>
      <xdr:sp macro="" textlink="">
        <xdr:nvSpPr>
          <xdr:cNvPr id="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54"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51" name="Line 19"/>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52" name="Line 20"/>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53" name="Group 1"/>
        <xdr:cNvGrpSpPr>
          <a:grpSpLocks/>
        </xdr:cNvGrpSpPr>
      </xdr:nvGrpSpPr>
      <xdr:grpSpPr bwMode="auto">
        <a:xfrm>
          <a:off x="2756038" y="3605420"/>
          <a:ext cx="457614" cy="171450"/>
          <a:chOff x="273" y="421"/>
          <a:chExt cx="44" cy="16"/>
        </a:xfrm>
      </xdr:grpSpPr>
      <xdr:sp macro="" textlink="">
        <xdr:nvSpPr>
          <xdr:cNvPr id="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54" name="Group 4"/>
        <xdr:cNvGrpSpPr>
          <a:grpSpLocks/>
        </xdr:cNvGrpSpPr>
      </xdr:nvGrpSpPr>
      <xdr:grpSpPr bwMode="auto">
        <a:xfrm>
          <a:off x="3242227" y="3605420"/>
          <a:ext cx="579783" cy="171450"/>
          <a:chOff x="273" y="421"/>
          <a:chExt cx="44" cy="16"/>
        </a:xfrm>
      </xdr:grpSpPr>
      <xdr:sp macro="" textlink="">
        <xdr:nvSpPr>
          <xdr:cNvPr id="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50"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55" name="Group 7"/>
        <xdr:cNvGrpSpPr>
          <a:grpSpLocks/>
        </xdr:cNvGrpSpPr>
      </xdr:nvGrpSpPr>
      <xdr:grpSpPr bwMode="auto">
        <a:xfrm>
          <a:off x="3841060" y="3605420"/>
          <a:ext cx="513522" cy="171450"/>
          <a:chOff x="273" y="421"/>
          <a:chExt cx="44" cy="16"/>
        </a:xfrm>
      </xdr:grpSpPr>
      <xdr:sp macro="" textlink="">
        <xdr:nvSpPr>
          <xdr:cNvPr id="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48"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56" name="Group 11"/>
        <xdr:cNvGrpSpPr>
          <a:grpSpLocks/>
        </xdr:cNvGrpSpPr>
      </xdr:nvGrpSpPr>
      <xdr:grpSpPr bwMode="auto">
        <a:xfrm>
          <a:off x="2756038" y="3605420"/>
          <a:ext cx="457614" cy="171450"/>
          <a:chOff x="273" y="421"/>
          <a:chExt cx="44" cy="16"/>
        </a:xfrm>
      </xdr:grpSpPr>
      <xdr:sp macro="" textlink="">
        <xdr:nvSpPr>
          <xdr:cNvPr id="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57" name="Group 14"/>
        <xdr:cNvGrpSpPr>
          <a:grpSpLocks/>
        </xdr:cNvGrpSpPr>
      </xdr:nvGrpSpPr>
      <xdr:grpSpPr bwMode="auto">
        <a:xfrm>
          <a:off x="3242227" y="3605420"/>
          <a:ext cx="579783" cy="171450"/>
          <a:chOff x="273" y="421"/>
          <a:chExt cx="44" cy="16"/>
        </a:xfrm>
      </xdr:grpSpPr>
      <xdr:sp macro="" textlink="">
        <xdr:nvSpPr>
          <xdr:cNvPr id="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44"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58" name="Group 17"/>
        <xdr:cNvGrpSpPr>
          <a:grpSpLocks/>
        </xdr:cNvGrpSpPr>
      </xdr:nvGrpSpPr>
      <xdr:grpSpPr bwMode="auto">
        <a:xfrm>
          <a:off x="3841060" y="3605420"/>
          <a:ext cx="513522" cy="171450"/>
          <a:chOff x="273" y="421"/>
          <a:chExt cx="44" cy="16"/>
        </a:xfrm>
      </xdr:grpSpPr>
      <xdr:sp macro="" textlink="">
        <xdr:nvSpPr>
          <xdr:cNvPr id="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42"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59" name="Line 4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60" name="Line 4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61" name="Group 1"/>
        <xdr:cNvGrpSpPr>
          <a:grpSpLocks/>
        </xdr:cNvGrpSpPr>
      </xdr:nvGrpSpPr>
      <xdr:grpSpPr bwMode="auto">
        <a:xfrm>
          <a:off x="2756038" y="3605420"/>
          <a:ext cx="457614" cy="171450"/>
          <a:chOff x="273" y="421"/>
          <a:chExt cx="44" cy="16"/>
        </a:xfrm>
      </xdr:grpSpPr>
      <xdr:sp macro="" textlink="">
        <xdr:nvSpPr>
          <xdr:cNvPr id="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62" name="Group 4"/>
        <xdr:cNvGrpSpPr>
          <a:grpSpLocks/>
        </xdr:cNvGrpSpPr>
      </xdr:nvGrpSpPr>
      <xdr:grpSpPr bwMode="auto">
        <a:xfrm>
          <a:off x="3242227" y="3605420"/>
          <a:ext cx="579783" cy="171450"/>
          <a:chOff x="273" y="421"/>
          <a:chExt cx="44" cy="16"/>
        </a:xfrm>
      </xdr:grpSpPr>
      <xdr:sp macro="" textlink="">
        <xdr:nvSpPr>
          <xdr:cNvPr id="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38"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63" name="Group 7"/>
        <xdr:cNvGrpSpPr>
          <a:grpSpLocks/>
        </xdr:cNvGrpSpPr>
      </xdr:nvGrpSpPr>
      <xdr:grpSpPr bwMode="auto">
        <a:xfrm>
          <a:off x="3841060" y="3605420"/>
          <a:ext cx="513522" cy="171450"/>
          <a:chOff x="273" y="421"/>
          <a:chExt cx="44" cy="16"/>
        </a:xfrm>
      </xdr:grpSpPr>
      <xdr:sp macro="" textlink="">
        <xdr:nvSpPr>
          <xdr:cNvPr id="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36"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64" name="Group 11"/>
        <xdr:cNvGrpSpPr>
          <a:grpSpLocks/>
        </xdr:cNvGrpSpPr>
      </xdr:nvGrpSpPr>
      <xdr:grpSpPr bwMode="auto">
        <a:xfrm>
          <a:off x="2756038" y="3605420"/>
          <a:ext cx="457614" cy="171450"/>
          <a:chOff x="273" y="421"/>
          <a:chExt cx="44" cy="16"/>
        </a:xfrm>
      </xdr:grpSpPr>
      <xdr:sp macro="" textlink="">
        <xdr:nvSpPr>
          <xdr:cNvPr id="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65" name="Group 14"/>
        <xdr:cNvGrpSpPr>
          <a:grpSpLocks/>
        </xdr:cNvGrpSpPr>
      </xdr:nvGrpSpPr>
      <xdr:grpSpPr bwMode="auto">
        <a:xfrm>
          <a:off x="3242227" y="3605420"/>
          <a:ext cx="579783" cy="171450"/>
          <a:chOff x="273" y="421"/>
          <a:chExt cx="44" cy="16"/>
        </a:xfrm>
      </xdr:grpSpPr>
      <xdr:sp macro="" textlink="">
        <xdr:nvSpPr>
          <xdr:cNvPr id="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32"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66" name="Group 17"/>
        <xdr:cNvGrpSpPr>
          <a:grpSpLocks/>
        </xdr:cNvGrpSpPr>
      </xdr:nvGrpSpPr>
      <xdr:grpSpPr bwMode="auto">
        <a:xfrm>
          <a:off x="3841060" y="3605420"/>
          <a:ext cx="513522" cy="171450"/>
          <a:chOff x="273" y="421"/>
          <a:chExt cx="44" cy="16"/>
        </a:xfrm>
      </xdr:grpSpPr>
      <xdr:sp macro="" textlink="">
        <xdr:nvSpPr>
          <xdr:cNvPr id="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30"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67" name="Line 6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68" name="Line 6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69" name="Group 1"/>
        <xdr:cNvGrpSpPr>
          <a:grpSpLocks/>
        </xdr:cNvGrpSpPr>
      </xdr:nvGrpSpPr>
      <xdr:grpSpPr bwMode="auto">
        <a:xfrm>
          <a:off x="2756038" y="3605420"/>
          <a:ext cx="457614" cy="171450"/>
          <a:chOff x="273" y="421"/>
          <a:chExt cx="44" cy="16"/>
        </a:xfrm>
      </xdr:grpSpPr>
      <xdr:sp macro="" textlink="">
        <xdr:nvSpPr>
          <xdr:cNvPr id="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70" name="Group 4"/>
        <xdr:cNvGrpSpPr>
          <a:grpSpLocks/>
        </xdr:cNvGrpSpPr>
      </xdr:nvGrpSpPr>
      <xdr:grpSpPr bwMode="auto">
        <a:xfrm>
          <a:off x="3242227" y="3605420"/>
          <a:ext cx="579783" cy="171450"/>
          <a:chOff x="273" y="421"/>
          <a:chExt cx="44" cy="16"/>
        </a:xfrm>
      </xdr:grpSpPr>
      <xdr:sp macro="" textlink="">
        <xdr:nvSpPr>
          <xdr:cNvPr id="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26"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71" name="Group 7"/>
        <xdr:cNvGrpSpPr>
          <a:grpSpLocks/>
        </xdr:cNvGrpSpPr>
      </xdr:nvGrpSpPr>
      <xdr:grpSpPr bwMode="auto">
        <a:xfrm>
          <a:off x="3841060" y="3605420"/>
          <a:ext cx="513522" cy="171450"/>
          <a:chOff x="273" y="421"/>
          <a:chExt cx="44" cy="16"/>
        </a:xfrm>
      </xdr:grpSpPr>
      <xdr:sp macro="" textlink="">
        <xdr:nvSpPr>
          <xdr:cNvPr id="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24"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72" name="Group 11"/>
        <xdr:cNvGrpSpPr>
          <a:grpSpLocks/>
        </xdr:cNvGrpSpPr>
      </xdr:nvGrpSpPr>
      <xdr:grpSpPr bwMode="auto">
        <a:xfrm>
          <a:off x="2756038" y="3605420"/>
          <a:ext cx="457614" cy="171450"/>
          <a:chOff x="273" y="421"/>
          <a:chExt cx="44" cy="16"/>
        </a:xfrm>
      </xdr:grpSpPr>
      <xdr:sp macro="" textlink="">
        <xdr:nvSpPr>
          <xdr:cNvPr id="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73" name="Group 14"/>
        <xdr:cNvGrpSpPr>
          <a:grpSpLocks/>
        </xdr:cNvGrpSpPr>
      </xdr:nvGrpSpPr>
      <xdr:grpSpPr bwMode="auto">
        <a:xfrm>
          <a:off x="3242227" y="3605420"/>
          <a:ext cx="579783" cy="171450"/>
          <a:chOff x="273" y="421"/>
          <a:chExt cx="44" cy="16"/>
        </a:xfrm>
      </xdr:grpSpPr>
      <xdr:sp macro="" textlink="">
        <xdr:nvSpPr>
          <xdr:cNvPr id="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20"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74" name="Group 17"/>
        <xdr:cNvGrpSpPr>
          <a:grpSpLocks/>
        </xdr:cNvGrpSpPr>
      </xdr:nvGrpSpPr>
      <xdr:grpSpPr bwMode="auto">
        <a:xfrm>
          <a:off x="3841060" y="3605420"/>
          <a:ext cx="513522" cy="171450"/>
          <a:chOff x="273" y="421"/>
          <a:chExt cx="44" cy="16"/>
        </a:xfrm>
      </xdr:grpSpPr>
      <xdr:sp macro="" textlink="">
        <xdr:nvSpPr>
          <xdr:cNvPr id="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18"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75" name="Line 8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76" name="Line 8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77" name="Group 1"/>
        <xdr:cNvGrpSpPr>
          <a:grpSpLocks/>
        </xdr:cNvGrpSpPr>
      </xdr:nvGrpSpPr>
      <xdr:grpSpPr bwMode="auto">
        <a:xfrm>
          <a:off x="2756038" y="3605420"/>
          <a:ext cx="457614" cy="171450"/>
          <a:chOff x="273" y="421"/>
          <a:chExt cx="44" cy="16"/>
        </a:xfrm>
      </xdr:grpSpPr>
      <xdr:sp macro="" textlink="">
        <xdr:nvSpPr>
          <xdr:cNvPr id="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78" name="Group 4"/>
        <xdr:cNvGrpSpPr>
          <a:grpSpLocks/>
        </xdr:cNvGrpSpPr>
      </xdr:nvGrpSpPr>
      <xdr:grpSpPr bwMode="auto">
        <a:xfrm>
          <a:off x="3242227" y="3605420"/>
          <a:ext cx="579783" cy="171450"/>
          <a:chOff x="273" y="421"/>
          <a:chExt cx="44" cy="16"/>
        </a:xfrm>
      </xdr:grpSpPr>
      <xdr:sp macro="" textlink="">
        <xdr:nvSpPr>
          <xdr:cNvPr id="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14"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79" name="Group 7"/>
        <xdr:cNvGrpSpPr>
          <a:grpSpLocks/>
        </xdr:cNvGrpSpPr>
      </xdr:nvGrpSpPr>
      <xdr:grpSpPr bwMode="auto">
        <a:xfrm>
          <a:off x="3841060" y="3605420"/>
          <a:ext cx="513522" cy="171450"/>
          <a:chOff x="273" y="421"/>
          <a:chExt cx="44" cy="16"/>
        </a:xfrm>
      </xdr:grpSpPr>
      <xdr:sp macro="" textlink="">
        <xdr:nvSpPr>
          <xdr:cNvPr id="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12"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80" name="Group 11"/>
        <xdr:cNvGrpSpPr>
          <a:grpSpLocks/>
        </xdr:cNvGrpSpPr>
      </xdr:nvGrpSpPr>
      <xdr:grpSpPr bwMode="auto">
        <a:xfrm>
          <a:off x="2756038" y="3605420"/>
          <a:ext cx="457614" cy="171450"/>
          <a:chOff x="273" y="421"/>
          <a:chExt cx="44" cy="16"/>
        </a:xfrm>
      </xdr:grpSpPr>
      <xdr:sp macro="" textlink="">
        <xdr:nvSpPr>
          <xdr:cNvPr id="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81" name="Group 14"/>
        <xdr:cNvGrpSpPr>
          <a:grpSpLocks/>
        </xdr:cNvGrpSpPr>
      </xdr:nvGrpSpPr>
      <xdr:grpSpPr bwMode="auto">
        <a:xfrm>
          <a:off x="3242227" y="3605420"/>
          <a:ext cx="579783" cy="171450"/>
          <a:chOff x="273" y="421"/>
          <a:chExt cx="44" cy="16"/>
        </a:xfrm>
      </xdr:grpSpPr>
      <xdr:sp macro="" textlink="">
        <xdr:nvSpPr>
          <xdr:cNvPr id="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08"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82" name="Group 17"/>
        <xdr:cNvGrpSpPr>
          <a:grpSpLocks/>
        </xdr:cNvGrpSpPr>
      </xdr:nvGrpSpPr>
      <xdr:grpSpPr bwMode="auto">
        <a:xfrm>
          <a:off x="3841060" y="3605420"/>
          <a:ext cx="513522" cy="171450"/>
          <a:chOff x="273" y="421"/>
          <a:chExt cx="44" cy="16"/>
        </a:xfrm>
      </xdr:grpSpPr>
      <xdr:sp macro="" textlink="">
        <xdr:nvSpPr>
          <xdr:cNvPr id="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06"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83" name="Line 19"/>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84" name="Line 20"/>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85" name="Group 1"/>
        <xdr:cNvGrpSpPr>
          <a:grpSpLocks/>
        </xdr:cNvGrpSpPr>
      </xdr:nvGrpSpPr>
      <xdr:grpSpPr bwMode="auto">
        <a:xfrm>
          <a:off x="2756038" y="3605420"/>
          <a:ext cx="457614" cy="171450"/>
          <a:chOff x="273" y="421"/>
          <a:chExt cx="44" cy="16"/>
        </a:xfrm>
      </xdr:grpSpPr>
      <xdr:sp macro="" textlink="">
        <xdr:nvSpPr>
          <xdr:cNvPr id="1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86" name="Group 4"/>
        <xdr:cNvGrpSpPr>
          <a:grpSpLocks/>
        </xdr:cNvGrpSpPr>
      </xdr:nvGrpSpPr>
      <xdr:grpSpPr bwMode="auto">
        <a:xfrm>
          <a:off x="3242227" y="3605420"/>
          <a:ext cx="579783" cy="171450"/>
          <a:chOff x="273" y="421"/>
          <a:chExt cx="44" cy="16"/>
        </a:xfrm>
      </xdr:grpSpPr>
      <xdr:sp macro="" textlink="">
        <xdr:nvSpPr>
          <xdr:cNvPr id="1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302"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87" name="Group 7"/>
        <xdr:cNvGrpSpPr>
          <a:grpSpLocks/>
        </xdr:cNvGrpSpPr>
      </xdr:nvGrpSpPr>
      <xdr:grpSpPr bwMode="auto">
        <a:xfrm>
          <a:off x="3841060" y="3605420"/>
          <a:ext cx="513522" cy="171450"/>
          <a:chOff x="273" y="421"/>
          <a:chExt cx="44" cy="16"/>
        </a:xfrm>
      </xdr:grpSpPr>
      <xdr:sp macro="" textlink="">
        <xdr:nvSpPr>
          <xdr:cNvPr id="1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30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88" name="Group 11"/>
        <xdr:cNvGrpSpPr>
          <a:grpSpLocks/>
        </xdr:cNvGrpSpPr>
      </xdr:nvGrpSpPr>
      <xdr:grpSpPr bwMode="auto">
        <a:xfrm>
          <a:off x="2756038" y="3605420"/>
          <a:ext cx="457614" cy="171450"/>
          <a:chOff x="273" y="421"/>
          <a:chExt cx="44" cy="16"/>
        </a:xfrm>
      </xdr:grpSpPr>
      <xdr:sp macro="" textlink="">
        <xdr:nvSpPr>
          <xdr:cNvPr id="1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89" name="Group 14"/>
        <xdr:cNvGrpSpPr>
          <a:grpSpLocks/>
        </xdr:cNvGrpSpPr>
      </xdr:nvGrpSpPr>
      <xdr:grpSpPr bwMode="auto">
        <a:xfrm>
          <a:off x="3242227" y="3605420"/>
          <a:ext cx="579783" cy="171450"/>
          <a:chOff x="273" y="421"/>
          <a:chExt cx="44" cy="16"/>
        </a:xfrm>
      </xdr:grpSpPr>
      <xdr:sp macro="" textlink="">
        <xdr:nvSpPr>
          <xdr:cNvPr id="1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9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90" name="Group 17"/>
        <xdr:cNvGrpSpPr>
          <a:grpSpLocks/>
        </xdr:cNvGrpSpPr>
      </xdr:nvGrpSpPr>
      <xdr:grpSpPr bwMode="auto">
        <a:xfrm>
          <a:off x="3841060" y="3605420"/>
          <a:ext cx="513522" cy="171450"/>
          <a:chOff x="273" y="421"/>
          <a:chExt cx="44" cy="16"/>
        </a:xfrm>
      </xdr:grpSpPr>
      <xdr:sp macro="" textlink="">
        <xdr:nvSpPr>
          <xdr:cNvPr id="1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94"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91" name="Line 4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092" name="Line 4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093" name="Group 1"/>
        <xdr:cNvGrpSpPr>
          <a:grpSpLocks/>
        </xdr:cNvGrpSpPr>
      </xdr:nvGrpSpPr>
      <xdr:grpSpPr bwMode="auto">
        <a:xfrm>
          <a:off x="2756038" y="3605420"/>
          <a:ext cx="457614" cy="171450"/>
          <a:chOff x="273" y="421"/>
          <a:chExt cx="44" cy="16"/>
        </a:xfrm>
      </xdr:grpSpPr>
      <xdr:sp macro="" textlink="">
        <xdr:nvSpPr>
          <xdr:cNvPr id="1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94" name="Group 4"/>
        <xdr:cNvGrpSpPr>
          <a:grpSpLocks/>
        </xdr:cNvGrpSpPr>
      </xdr:nvGrpSpPr>
      <xdr:grpSpPr bwMode="auto">
        <a:xfrm>
          <a:off x="3242227" y="3605420"/>
          <a:ext cx="579783" cy="171450"/>
          <a:chOff x="273" y="421"/>
          <a:chExt cx="44" cy="16"/>
        </a:xfrm>
      </xdr:grpSpPr>
      <xdr:sp macro="" textlink="">
        <xdr:nvSpPr>
          <xdr:cNvPr id="1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90"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95" name="Group 7"/>
        <xdr:cNvGrpSpPr>
          <a:grpSpLocks/>
        </xdr:cNvGrpSpPr>
      </xdr:nvGrpSpPr>
      <xdr:grpSpPr bwMode="auto">
        <a:xfrm>
          <a:off x="3841060" y="3605420"/>
          <a:ext cx="513522" cy="171450"/>
          <a:chOff x="273" y="421"/>
          <a:chExt cx="44" cy="16"/>
        </a:xfrm>
      </xdr:grpSpPr>
      <xdr:sp macro="" textlink="">
        <xdr:nvSpPr>
          <xdr:cNvPr id="1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88"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096" name="Group 11"/>
        <xdr:cNvGrpSpPr>
          <a:grpSpLocks/>
        </xdr:cNvGrpSpPr>
      </xdr:nvGrpSpPr>
      <xdr:grpSpPr bwMode="auto">
        <a:xfrm>
          <a:off x="2756038" y="3605420"/>
          <a:ext cx="457614" cy="171450"/>
          <a:chOff x="273" y="421"/>
          <a:chExt cx="44" cy="16"/>
        </a:xfrm>
      </xdr:grpSpPr>
      <xdr:sp macro="" textlink="">
        <xdr:nvSpPr>
          <xdr:cNvPr id="1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097" name="Group 14"/>
        <xdr:cNvGrpSpPr>
          <a:grpSpLocks/>
        </xdr:cNvGrpSpPr>
      </xdr:nvGrpSpPr>
      <xdr:grpSpPr bwMode="auto">
        <a:xfrm>
          <a:off x="3242227" y="3605420"/>
          <a:ext cx="579783" cy="171450"/>
          <a:chOff x="273" y="421"/>
          <a:chExt cx="44" cy="16"/>
        </a:xfrm>
      </xdr:grpSpPr>
      <xdr:sp macro="" textlink="">
        <xdr:nvSpPr>
          <xdr:cNvPr id="1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84"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098" name="Group 17"/>
        <xdr:cNvGrpSpPr>
          <a:grpSpLocks/>
        </xdr:cNvGrpSpPr>
      </xdr:nvGrpSpPr>
      <xdr:grpSpPr bwMode="auto">
        <a:xfrm>
          <a:off x="3841060" y="3605420"/>
          <a:ext cx="513522" cy="171450"/>
          <a:chOff x="273" y="421"/>
          <a:chExt cx="44" cy="16"/>
        </a:xfrm>
      </xdr:grpSpPr>
      <xdr:sp macro="" textlink="">
        <xdr:nvSpPr>
          <xdr:cNvPr id="1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82"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099" name="Line 6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00" name="Line 6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01" name="Group 1"/>
        <xdr:cNvGrpSpPr>
          <a:grpSpLocks/>
        </xdr:cNvGrpSpPr>
      </xdr:nvGrpSpPr>
      <xdr:grpSpPr bwMode="auto">
        <a:xfrm>
          <a:off x="2756038" y="3605420"/>
          <a:ext cx="457614" cy="171450"/>
          <a:chOff x="273" y="421"/>
          <a:chExt cx="44" cy="16"/>
        </a:xfrm>
      </xdr:grpSpPr>
      <xdr:sp macro="" textlink="">
        <xdr:nvSpPr>
          <xdr:cNvPr id="1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02" name="Group 4"/>
        <xdr:cNvGrpSpPr>
          <a:grpSpLocks/>
        </xdr:cNvGrpSpPr>
      </xdr:nvGrpSpPr>
      <xdr:grpSpPr bwMode="auto">
        <a:xfrm>
          <a:off x="3242227" y="3605420"/>
          <a:ext cx="579783" cy="171450"/>
          <a:chOff x="273" y="421"/>
          <a:chExt cx="44" cy="16"/>
        </a:xfrm>
      </xdr:grpSpPr>
      <xdr:sp macro="" textlink="">
        <xdr:nvSpPr>
          <xdr:cNvPr id="1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78"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03" name="Group 7"/>
        <xdr:cNvGrpSpPr>
          <a:grpSpLocks/>
        </xdr:cNvGrpSpPr>
      </xdr:nvGrpSpPr>
      <xdr:grpSpPr bwMode="auto">
        <a:xfrm>
          <a:off x="3841060" y="3605420"/>
          <a:ext cx="513522" cy="171450"/>
          <a:chOff x="273" y="421"/>
          <a:chExt cx="44" cy="16"/>
        </a:xfrm>
      </xdr:grpSpPr>
      <xdr:sp macro="" textlink="">
        <xdr:nvSpPr>
          <xdr:cNvPr id="1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76"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04" name="Group 11"/>
        <xdr:cNvGrpSpPr>
          <a:grpSpLocks/>
        </xdr:cNvGrpSpPr>
      </xdr:nvGrpSpPr>
      <xdr:grpSpPr bwMode="auto">
        <a:xfrm>
          <a:off x="2756038" y="3605420"/>
          <a:ext cx="457614" cy="171450"/>
          <a:chOff x="273" y="421"/>
          <a:chExt cx="44" cy="16"/>
        </a:xfrm>
      </xdr:grpSpPr>
      <xdr:sp macro="" textlink="">
        <xdr:nvSpPr>
          <xdr:cNvPr id="1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05" name="Group 14"/>
        <xdr:cNvGrpSpPr>
          <a:grpSpLocks/>
        </xdr:cNvGrpSpPr>
      </xdr:nvGrpSpPr>
      <xdr:grpSpPr bwMode="auto">
        <a:xfrm>
          <a:off x="3242227" y="3605420"/>
          <a:ext cx="579783" cy="171450"/>
          <a:chOff x="273" y="421"/>
          <a:chExt cx="44" cy="16"/>
        </a:xfrm>
      </xdr:grpSpPr>
      <xdr:sp macro="" textlink="">
        <xdr:nvSpPr>
          <xdr:cNvPr id="1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72"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06" name="Group 17"/>
        <xdr:cNvGrpSpPr>
          <a:grpSpLocks/>
        </xdr:cNvGrpSpPr>
      </xdr:nvGrpSpPr>
      <xdr:grpSpPr bwMode="auto">
        <a:xfrm>
          <a:off x="3841060" y="3605420"/>
          <a:ext cx="513522" cy="171450"/>
          <a:chOff x="273" y="421"/>
          <a:chExt cx="44" cy="16"/>
        </a:xfrm>
      </xdr:grpSpPr>
      <xdr:sp macro="" textlink="">
        <xdr:nvSpPr>
          <xdr:cNvPr id="1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70"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07" name="Line 8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08" name="Line 8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09" name="Group 1"/>
        <xdr:cNvGrpSpPr>
          <a:grpSpLocks/>
        </xdr:cNvGrpSpPr>
      </xdr:nvGrpSpPr>
      <xdr:grpSpPr bwMode="auto">
        <a:xfrm>
          <a:off x="2756038" y="3605420"/>
          <a:ext cx="457614" cy="171450"/>
          <a:chOff x="273" y="421"/>
          <a:chExt cx="44" cy="16"/>
        </a:xfrm>
      </xdr:grpSpPr>
      <xdr:sp macro="" textlink="">
        <xdr:nvSpPr>
          <xdr:cNvPr id="1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10" name="Group 4"/>
        <xdr:cNvGrpSpPr>
          <a:grpSpLocks/>
        </xdr:cNvGrpSpPr>
      </xdr:nvGrpSpPr>
      <xdr:grpSpPr bwMode="auto">
        <a:xfrm>
          <a:off x="3242227" y="3605420"/>
          <a:ext cx="579783" cy="171450"/>
          <a:chOff x="273" y="421"/>
          <a:chExt cx="44" cy="16"/>
        </a:xfrm>
      </xdr:grpSpPr>
      <xdr:sp macro="" textlink="">
        <xdr:nvSpPr>
          <xdr:cNvPr id="1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66"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11" name="Group 7"/>
        <xdr:cNvGrpSpPr>
          <a:grpSpLocks/>
        </xdr:cNvGrpSpPr>
      </xdr:nvGrpSpPr>
      <xdr:grpSpPr bwMode="auto">
        <a:xfrm>
          <a:off x="3841060" y="3605420"/>
          <a:ext cx="513522" cy="171450"/>
          <a:chOff x="273" y="421"/>
          <a:chExt cx="44" cy="16"/>
        </a:xfrm>
      </xdr:grpSpPr>
      <xdr:sp macro="" textlink="">
        <xdr:nvSpPr>
          <xdr:cNvPr id="1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64"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12" name="Group 11"/>
        <xdr:cNvGrpSpPr>
          <a:grpSpLocks/>
        </xdr:cNvGrpSpPr>
      </xdr:nvGrpSpPr>
      <xdr:grpSpPr bwMode="auto">
        <a:xfrm>
          <a:off x="2756038" y="3605420"/>
          <a:ext cx="457614" cy="171450"/>
          <a:chOff x="273" y="421"/>
          <a:chExt cx="44" cy="16"/>
        </a:xfrm>
      </xdr:grpSpPr>
      <xdr:sp macro="" textlink="">
        <xdr:nvSpPr>
          <xdr:cNvPr id="1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13" name="Group 14"/>
        <xdr:cNvGrpSpPr>
          <a:grpSpLocks/>
        </xdr:cNvGrpSpPr>
      </xdr:nvGrpSpPr>
      <xdr:grpSpPr bwMode="auto">
        <a:xfrm>
          <a:off x="3242227" y="3605420"/>
          <a:ext cx="579783" cy="171450"/>
          <a:chOff x="273" y="421"/>
          <a:chExt cx="44" cy="16"/>
        </a:xfrm>
      </xdr:grpSpPr>
      <xdr:sp macro="" textlink="">
        <xdr:nvSpPr>
          <xdr:cNvPr id="1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60"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14" name="Group 17"/>
        <xdr:cNvGrpSpPr>
          <a:grpSpLocks/>
        </xdr:cNvGrpSpPr>
      </xdr:nvGrpSpPr>
      <xdr:grpSpPr bwMode="auto">
        <a:xfrm>
          <a:off x="3841060" y="3605420"/>
          <a:ext cx="513522" cy="171450"/>
          <a:chOff x="273" y="421"/>
          <a:chExt cx="44" cy="16"/>
        </a:xfrm>
      </xdr:grpSpPr>
      <xdr:sp macro="" textlink="">
        <xdr:nvSpPr>
          <xdr:cNvPr id="1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58"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15" name="Line 19"/>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16" name="Line 20"/>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17" name="Group 1"/>
        <xdr:cNvGrpSpPr>
          <a:grpSpLocks/>
        </xdr:cNvGrpSpPr>
      </xdr:nvGrpSpPr>
      <xdr:grpSpPr bwMode="auto">
        <a:xfrm>
          <a:off x="2756038" y="3605420"/>
          <a:ext cx="457614" cy="171450"/>
          <a:chOff x="273" y="421"/>
          <a:chExt cx="44" cy="16"/>
        </a:xfrm>
      </xdr:grpSpPr>
      <xdr:sp macro="" textlink="">
        <xdr:nvSpPr>
          <xdr:cNvPr id="1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18" name="Group 4"/>
        <xdr:cNvGrpSpPr>
          <a:grpSpLocks/>
        </xdr:cNvGrpSpPr>
      </xdr:nvGrpSpPr>
      <xdr:grpSpPr bwMode="auto">
        <a:xfrm>
          <a:off x="3242227" y="3605420"/>
          <a:ext cx="579783" cy="171450"/>
          <a:chOff x="273" y="421"/>
          <a:chExt cx="44" cy="16"/>
        </a:xfrm>
      </xdr:grpSpPr>
      <xdr:sp macro="" textlink="">
        <xdr:nvSpPr>
          <xdr:cNvPr id="1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54"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19" name="Group 7"/>
        <xdr:cNvGrpSpPr>
          <a:grpSpLocks/>
        </xdr:cNvGrpSpPr>
      </xdr:nvGrpSpPr>
      <xdr:grpSpPr bwMode="auto">
        <a:xfrm>
          <a:off x="3841060" y="3605420"/>
          <a:ext cx="513522" cy="171450"/>
          <a:chOff x="273" y="421"/>
          <a:chExt cx="44" cy="16"/>
        </a:xfrm>
      </xdr:grpSpPr>
      <xdr:sp macro="" textlink="">
        <xdr:nvSpPr>
          <xdr:cNvPr id="1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52"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20" name="Group 11"/>
        <xdr:cNvGrpSpPr>
          <a:grpSpLocks/>
        </xdr:cNvGrpSpPr>
      </xdr:nvGrpSpPr>
      <xdr:grpSpPr bwMode="auto">
        <a:xfrm>
          <a:off x="2756038" y="3605420"/>
          <a:ext cx="457614" cy="171450"/>
          <a:chOff x="273" y="421"/>
          <a:chExt cx="44" cy="16"/>
        </a:xfrm>
      </xdr:grpSpPr>
      <xdr:sp macro="" textlink="">
        <xdr:nvSpPr>
          <xdr:cNvPr id="1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1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21" name="Group 14"/>
        <xdr:cNvGrpSpPr>
          <a:grpSpLocks/>
        </xdr:cNvGrpSpPr>
      </xdr:nvGrpSpPr>
      <xdr:grpSpPr bwMode="auto">
        <a:xfrm>
          <a:off x="3242227" y="3605420"/>
          <a:ext cx="579783" cy="171450"/>
          <a:chOff x="273" y="421"/>
          <a:chExt cx="44" cy="16"/>
        </a:xfrm>
      </xdr:grpSpPr>
      <xdr:sp macro="" textlink="">
        <xdr:nvSpPr>
          <xdr:cNvPr id="1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48"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22" name="Group 17"/>
        <xdr:cNvGrpSpPr>
          <a:grpSpLocks/>
        </xdr:cNvGrpSpPr>
      </xdr:nvGrpSpPr>
      <xdr:grpSpPr bwMode="auto">
        <a:xfrm>
          <a:off x="3841060" y="3605420"/>
          <a:ext cx="513522" cy="171450"/>
          <a:chOff x="273" y="421"/>
          <a:chExt cx="44" cy="16"/>
        </a:xfrm>
      </xdr:grpSpPr>
      <xdr:sp macro="" textlink="">
        <xdr:nvSpPr>
          <xdr:cNvPr id="1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46"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23" name="Line 4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24" name="Line 4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25" name="Group 1"/>
        <xdr:cNvGrpSpPr>
          <a:grpSpLocks/>
        </xdr:cNvGrpSpPr>
      </xdr:nvGrpSpPr>
      <xdr:grpSpPr bwMode="auto">
        <a:xfrm>
          <a:off x="2756038" y="3605420"/>
          <a:ext cx="457614" cy="171450"/>
          <a:chOff x="273" y="421"/>
          <a:chExt cx="44" cy="16"/>
        </a:xfrm>
      </xdr:grpSpPr>
      <xdr:sp macro="" textlink="">
        <xdr:nvSpPr>
          <xdr:cNvPr id="2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26" name="Group 4"/>
        <xdr:cNvGrpSpPr>
          <a:grpSpLocks/>
        </xdr:cNvGrpSpPr>
      </xdr:nvGrpSpPr>
      <xdr:grpSpPr bwMode="auto">
        <a:xfrm>
          <a:off x="3242227" y="3605420"/>
          <a:ext cx="579783" cy="171450"/>
          <a:chOff x="273" y="421"/>
          <a:chExt cx="44" cy="16"/>
        </a:xfrm>
      </xdr:grpSpPr>
      <xdr:sp macro="" textlink="">
        <xdr:nvSpPr>
          <xdr:cNvPr id="2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42"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27" name="Group 7"/>
        <xdr:cNvGrpSpPr>
          <a:grpSpLocks/>
        </xdr:cNvGrpSpPr>
      </xdr:nvGrpSpPr>
      <xdr:grpSpPr bwMode="auto">
        <a:xfrm>
          <a:off x="3841060" y="3605420"/>
          <a:ext cx="513522" cy="171450"/>
          <a:chOff x="273" y="421"/>
          <a:chExt cx="44" cy="16"/>
        </a:xfrm>
      </xdr:grpSpPr>
      <xdr:sp macro="" textlink="">
        <xdr:nvSpPr>
          <xdr:cNvPr id="2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4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28" name="Group 11"/>
        <xdr:cNvGrpSpPr>
          <a:grpSpLocks/>
        </xdr:cNvGrpSpPr>
      </xdr:nvGrpSpPr>
      <xdr:grpSpPr bwMode="auto">
        <a:xfrm>
          <a:off x="2756038" y="3605420"/>
          <a:ext cx="457614" cy="171450"/>
          <a:chOff x="273" y="421"/>
          <a:chExt cx="44" cy="16"/>
        </a:xfrm>
      </xdr:grpSpPr>
      <xdr:sp macro="" textlink="">
        <xdr:nvSpPr>
          <xdr:cNvPr id="2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29" name="Group 14"/>
        <xdr:cNvGrpSpPr>
          <a:grpSpLocks/>
        </xdr:cNvGrpSpPr>
      </xdr:nvGrpSpPr>
      <xdr:grpSpPr bwMode="auto">
        <a:xfrm>
          <a:off x="3242227" y="3605420"/>
          <a:ext cx="579783" cy="171450"/>
          <a:chOff x="273" y="421"/>
          <a:chExt cx="44" cy="16"/>
        </a:xfrm>
      </xdr:grpSpPr>
      <xdr:sp macro="" textlink="">
        <xdr:nvSpPr>
          <xdr:cNvPr id="2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3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30" name="Group 17"/>
        <xdr:cNvGrpSpPr>
          <a:grpSpLocks/>
        </xdr:cNvGrpSpPr>
      </xdr:nvGrpSpPr>
      <xdr:grpSpPr bwMode="auto">
        <a:xfrm>
          <a:off x="3841060" y="3605420"/>
          <a:ext cx="513522" cy="171450"/>
          <a:chOff x="273" y="421"/>
          <a:chExt cx="44" cy="16"/>
        </a:xfrm>
      </xdr:grpSpPr>
      <xdr:sp macro="" textlink="">
        <xdr:nvSpPr>
          <xdr:cNvPr id="2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34"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31" name="Line 6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32" name="Line 6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33" name="Group 1"/>
        <xdr:cNvGrpSpPr>
          <a:grpSpLocks/>
        </xdr:cNvGrpSpPr>
      </xdr:nvGrpSpPr>
      <xdr:grpSpPr bwMode="auto">
        <a:xfrm>
          <a:off x="2756038" y="3605420"/>
          <a:ext cx="457614" cy="171450"/>
          <a:chOff x="273" y="421"/>
          <a:chExt cx="44" cy="16"/>
        </a:xfrm>
      </xdr:grpSpPr>
      <xdr:sp macro="" textlink="">
        <xdr:nvSpPr>
          <xdr:cNvPr id="22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2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34" name="Group 4"/>
        <xdr:cNvGrpSpPr>
          <a:grpSpLocks/>
        </xdr:cNvGrpSpPr>
      </xdr:nvGrpSpPr>
      <xdr:grpSpPr bwMode="auto">
        <a:xfrm>
          <a:off x="3242227" y="3605420"/>
          <a:ext cx="579783" cy="171450"/>
          <a:chOff x="273" y="421"/>
          <a:chExt cx="44" cy="16"/>
        </a:xfrm>
      </xdr:grpSpPr>
      <xdr:sp macro="" textlink="">
        <xdr:nvSpPr>
          <xdr:cNvPr id="22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30"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35" name="Group 7"/>
        <xdr:cNvGrpSpPr>
          <a:grpSpLocks/>
        </xdr:cNvGrpSpPr>
      </xdr:nvGrpSpPr>
      <xdr:grpSpPr bwMode="auto">
        <a:xfrm>
          <a:off x="3841060" y="3605420"/>
          <a:ext cx="513522" cy="171450"/>
          <a:chOff x="273" y="421"/>
          <a:chExt cx="44" cy="16"/>
        </a:xfrm>
      </xdr:grpSpPr>
      <xdr:sp macro="" textlink="">
        <xdr:nvSpPr>
          <xdr:cNvPr id="22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28"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36" name="Group 11"/>
        <xdr:cNvGrpSpPr>
          <a:grpSpLocks/>
        </xdr:cNvGrpSpPr>
      </xdr:nvGrpSpPr>
      <xdr:grpSpPr bwMode="auto">
        <a:xfrm>
          <a:off x="2756038" y="3605420"/>
          <a:ext cx="457614" cy="171450"/>
          <a:chOff x="273" y="421"/>
          <a:chExt cx="44" cy="16"/>
        </a:xfrm>
      </xdr:grpSpPr>
      <xdr:sp macro="" textlink="">
        <xdr:nvSpPr>
          <xdr:cNvPr id="23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3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37" name="Group 14"/>
        <xdr:cNvGrpSpPr>
          <a:grpSpLocks/>
        </xdr:cNvGrpSpPr>
      </xdr:nvGrpSpPr>
      <xdr:grpSpPr bwMode="auto">
        <a:xfrm>
          <a:off x="3242227" y="3605420"/>
          <a:ext cx="579783" cy="171450"/>
          <a:chOff x="273" y="421"/>
          <a:chExt cx="44" cy="16"/>
        </a:xfrm>
      </xdr:grpSpPr>
      <xdr:sp macro="" textlink="">
        <xdr:nvSpPr>
          <xdr:cNvPr id="23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24"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38" name="Group 17"/>
        <xdr:cNvGrpSpPr>
          <a:grpSpLocks/>
        </xdr:cNvGrpSpPr>
      </xdr:nvGrpSpPr>
      <xdr:grpSpPr bwMode="auto">
        <a:xfrm>
          <a:off x="3841060" y="3605420"/>
          <a:ext cx="513522" cy="171450"/>
          <a:chOff x="273" y="421"/>
          <a:chExt cx="44" cy="16"/>
        </a:xfrm>
      </xdr:grpSpPr>
      <xdr:sp macro="" textlink="">
        <xdr:nvSpPr>
          <xdr:cNvPr id="23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22"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39" name="Line 8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40" name="Line 8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41" name="Group 1"/>
        <xdr:cNvGrpSpPr>
          <a:grpSpLocks/>
        </xdr:cNvGrpSpPr>
      </xdr:nvGrpSpPr>
      <xdr:grpSpPr bwMode="auto">
        <a:xfrm>
          <a:off x="2756038" y="3605420"/>
          <a:ext cx="457614" cy="171450"/>
          <a:chOff x="273" y="421"/>
          <a:chExt cx="44" cy="16"/>
        </a:xfrm>
      </xdr:grpSpPr>
      <xdr:sp macro="" textlink="">
        <xdr:nvSpPr>
          <xdr:cNvPr id="24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4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42" name="Group 4"/>
        <xdr:cNvGrpSpPr>
          <a:grpSpLocks/>
        </xdr:cNvGrpSpPr>
      </xdr:nvGrpSpPr>
      <xdr:grpSpPr bwMode="auto">
        <a:xfrm>
          <a:off x="3242227" y="3605420"/>
          <a:ext cx="579783" cy="171450"/>
          <a:chOff x="273" y="421"/>
          <a:chExt cx="44" cy="16"/>
        </a:xfrm>
      </xdr:grpSpPr>
      <xdr:sp macro="" textlink="">
        <xdr:nvSpPr>
          <xdr:cNvPr id="24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18"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43" name="Group 7"/>
        <xdr:cNvGrpSpPr>
          <a:grpSpLocks/>
        </xdr:cNvGrpSpPr>
      </xdr:nvGrpSpPr>
      <xdr:grpSpPr bwMode="auto">
        <a:xfrm>
          <a:off x="3841060" y="3605420"/>
          <a:ext cx="513522" cy="171450"/>
          <a:chOff x="273" y="421"/>
          <a:chExt cx="44" cy="16"/>
        </a:xfrm>
      </xdr:grpSpPr>
      <xdr:sp macro="" textlink="">
        <xdr:nvSpPr>
          <xdr:cNvPr id="24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16"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44" name="Group 11"/>
        <xdr:cNvGrpSpPr>
          <a:grpSpLocks/>
        </xdr:cNvGrpSpPr>
      </xdr:nvGrpSpPr>
      <xdr:grpSpPr bwMode="auto">
        <a:xfrm>
          <a:off x="2756038" y="3605420"/>
          <a:ext cx="457614" cy="171450"/>
          <a:chOff x="273" y="421"/>
          <a:chExt cx="44" cy="16"/>
        </a:xfrm>
      </xdr:grpSpPr>
      <xdr:sp macro="" textlink="">
        <xdr:nvSpPr>
          <xdr:cNvPr id="25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5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45" name="Group 14"/>
        <xdr:cNvGrpSpPr>
          <a:grpSpLocks/>
        </xdr:cNvGrpSpPr>
      </xdr:nvGrpSpPr>
      <xdr:grpSpPr bwMode="auto">
        <a:xfrm>
          <a:off x="3242227" y="3605420"/>
          <a:ext cx="579783" cy="171450"/>
          <a:chOff x="273" y="421"/>
          <a:chExt cx="44" cy="16"/>
        </a:xfrm>
      </xdr:grpSpPr>
      <xdr:sp macro="" textlink="">
        <xdr:nvSpPr>
          <xdr:cNvPr id="25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12"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46" name="Group 17"/>
        <xdr:cNvGrpSpPr>
          <a:grpSpLocks/>
        </xdr:cNvGrpSpPr>
      </xdr:nvGrpSpPr>
      <xdr:grpSpPr bwMode="auto">
        <a:xfrm>
          <a:off x="3841060" y="3605420"/>
          <a:ext cx="513522" cy="171450"/>
          <a:chOff x="273" y="421"/>
          <a:chExt cx="44" cy="16"/>
        </a:xfrm>
      </xdr:grpSpPr>
      <xdr:sp macro="" textlink="">
        <xdr:nvSpPr>
          <xdr:cNvPr id="25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10"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47" name="Line 19"/>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48" name="Line 20"/>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49" name="Group 1"/>
        <xdr:cNvGrpSpPr>
          <a:grpSpLocks/>
        </xdr:cNvGrpSpPr>
      </xdr:nvGrpSpPr>
      <xdr:grpSpPr bwMode="auto">
        <a:xfrm>
          <a:off x="2756038" y="3605420"/>
          <a:ext cx="457614" cy="171450"/>
          <a:chOff x="273" y="421"/>
          <a:chExt cx="44" cy="16"/>
        </a:xfrm>
      </xdr:grpSpPr>
      <xdr:sp macro="" textlink="">
        <xdr:nvSpPr>
          <xdr:cNvPr id="26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6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50" name="Group 4"/>
        <xdr:cNvGrpSpPr>
          <a:grpSpLocks/>
        </xdr:cNvGrpSpPr>
      </xdr:nvGrpSpPr>
      <xdr:grpSpPr bwMode="auto">
        <a:xfrm>
          <a:off x="3242227" y="3605420"/>
          <a:ext cx="579783" cy="171450"/>
          <a:chOff x="273" y="421"/>
          <a:chExt cx="44" cy="16"/>
        </a:xfrm>
      </xdr:grpSpPr>
      <xdr:sp macro="" textlink="">
        <xdr:nvSpPr>
          <xdr:cNvPr id="26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06"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51" name="Group 7"/>
        <xdr:cNvGrpSpPr>
          <a:grpSpLocks/>
        </xdr:cNvGrpSpPr>
      </xdr:nvGrpSpPr>
      <xdr:grpSpPr bwMode="auto">
        <a:xfrm>
          <a:off x="3841060" y="3605420"/>
          <a:ext cx="513522" cy="171450"/>
          <a:chOff x="273" y="421"/>
          <a:chExt cx="44" cy="16"/>
        </a:xfrm>
      </xdr:grpSpPr>
      <xdr:sp macro="" textlink="">
        <xdr:nvSpPr>
          <xdr:cNvPr id="26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204"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52" name="Group 11"/>
        <xdr:cNvGrpSpPr>
          <a:grpSpLocks/>
        </xdr:cNvGrpSpPr>
      </xdr:nvGrpSpPr>
      <xdr:grpSpPr bwMode="auto">
        <a:xfrm>
          <a:off x="2756038" y="3605420"/>
          <a:ext cx="457614" cy="171450"/>
          <a:chOff x="273" y="421"/>
          <a:chExt cx="44" cy="16"/>
        </a:xfrm>
      </xdr:grpSpPr>
      <xdr:sp macro="" textlink="">
        <xdr:nvSpPr>
          <xdr:cNvPr id="27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7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53" name="Group 14"/>
        <xdr:cNvGrpSpPr>
          <a:grpSpLocks/>
        </xdr:cNvGrpSpPr>
      </xdr:nvGrpSpPr>
      <xdr:grpSpPr bwMode="auto">
        <a:xfrm>
          <a:off x="3242227" y="3605420"/>
          <a:ext cx="579783" cy="171450"/>
          <a:chOff x="273" y="421"/>
          <a:chExt cx="44" cy="16"/>
        </a:xfrm>
      </xdr:grpSpPr>
      <xdr:sp macro="" textlink="">
        <xdr:nvSpPr>
          <xdr:cNvPr id="27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200"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54" name="Group 17"/>
        <xdr:cNvGrpSpPr>
          <a:grpSpLocks/>
        </xdr:cNvGrpSpPr>
      </xdr:nvGrpSpPr>
      <xdr:grpSpPr bwMode="auto">
        <a:xfrm>
          <a:off x="3841060" y="3605420"/>
          <a:ext cx="513522" cy="171450"/>
          <a:chOff x="273" y="421"/>
          <a:chExt cx="44" cy="16"/>
        </a:xfrm>
      </xdr:grpSpPr>
      <xdr:sp macro="" textlink="">
        <xdr:nvSpPr>
          <xdr:cNvPr id="27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198"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55" name="Line 4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56" name="Line 4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57" name="Group 1"/>
        <xdr:cNvGrpSpPr>
          <a:grpSpLocks/>
        </xdr:cNvGrpSpPr>
      </xdr:nvGrpSpPr>
      <xdr:grpSpPr bwMode="auto">
        <a:xfrm>
          <a:off x="2756038" y="3605420"/>
          <a:ext cx="457614" cy="171450"/>
          <a:chOff x="273" y="421"/>
          <a:chExt cx="44" cy="16"/>
        </a:xfrm>
      </xdr:grpSpPr>
      <xdr:sp macro="" textlink="">
        <xdr:nvSpPr>
          <xdr:cNvPr id="28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8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58" name="Group 4"/>
        <xdr:cNvGrpSpPr>
          <a:grpSpLocks/>
        </xdr:cNvGrpSpPr>
      </xdr:nvGrpSpPr>
      <xdr:grpSpPr bwMode="auto">
        <a:xfrm>
          <a:off x="3242227" y="3605420"/>
          <a:ext cx="579783" cy="171450"/>
          <a:chOff x="273" y="421"/>
          <a:chExt cx="44" cy="16"/>
        </a:xfrm>
      </xdr:grpSpPr>
      <xdr:sp macro="" textlink="">
        <xdr:nvSpPr>
          <xdr:cNvPr id="28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194"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59" name="Group 7"/>
        <xdr:cNvGrpSpPr>
          <a:grpSpLocks/>
        </xdr:cNvGrpSpPr>
      </xdr:nvGrpSpPr>
      <xdr:grpSpPr bwMode="auto">
        <a:xfrm>
          <a:off x="3841060" y="3605420"/>
          <a:ext cx="513522" cy="171450"/>
          <a:chOff x="273" y="421"/>
          <a:chExt cx="44" cy="16"/>
        </a:xfrm>
      </xdr:grpSpPr>
      <xdr:sp macro="" textlink="">
        <xdr:nvSpPr>
          <xdr:cNvPr id="28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192"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60" name="Group 11"/>
        <xdr:cNvGrpSpPr>
          <a:grpSpLocks/>
        </xdr:cNvGrpSpPr>
      </xdr:nvGrpSpPr>
      <xdr:grpSpPr bwMode="auto">
        <a:xfrm>
          <a:off x="2756038" y="3605420"/>
          <a:ext cx="457614" cy="171450"/>
          <a:chOff x="273" y="421"/>
          <a:chExt cx="44" cy="16"/>
        </a:xfrm>
      </xdr:grpSpPr>
      <xdr:sp macro="" textlink="">
        <xdr:nvSpPr>
          <xdr:cNvPr id="29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29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61" name="Group 14"/>
        <xdr:cNvGrpSpPr>
          <a:grpSpLocks/>
        </xdr:cNvGrpSpPr>
      </xdr:nvGrpSpPr>
      <xdr:grpSpPr bwMode="auto">
        <a:xfrm>
          <a:off x="3242227" y="3605420"/>
          <a:ext cx="579783" cy="171450"/>
          <a:chOff x="273" y="421"/>
          <a:chExt cx="44" cy="16"/>
        </a:xfrm>
      </xdr:grpSpPr>
      <xdr:sp macro="" textlink="">
        <xdr:nvSpPr>
          <xdr:cNvPr id="29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188"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62" name="Group 17"/>
        <xdr:cNvGrpSpPr>
          <a:grpSpLocks/>
        </xdr:cNvGrpSpPr>
      </xdr:nvGrpSpPr>
      <xdr:grpSpPr bwMode="auto">
        <a:xfrm>
          <a:off x="3841060" y="3605420"/>
          <a:ext cx="513522" cy="171450"/>
          <a:chOff x="273" y="421"/>
          <a:chExt cx="44" cy="16"/>
        </a:xfrm>
      </xdr:grpSpPr>
      <xdr:sp macro="" textlink="">
        <xdr:nvSpPr>
          <xdr:cNvPr id="29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186"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63" name="Line 6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64" name="Line 6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xdr:colOff>
      <xdr:row>20</xdr:row>
      <xdr:rowOff>19050</xdr:rowOff>
    </xdr:from>
    <xdr:to>
      <xdr:col>6</xdr:col>
      <xdr:colOff>0</xdr:colOff>
      <xdr:row>21</xdr:row>
      <xdr:rowOff>0</xdr:rowOff>
    </xdr:to>
    <xdr:grpSp>
      <xdr:nvGrpSpPr>
        <xdr:cNvPr id="2175165" name="Group 1"/>
        <xdr:cNvGrpSpPr>
          <a:grpSpLocks/>
        </xdr:cNvGrpSpPr>
      </xdr:nvGrpSpPr>
      <xdr:grpSpPr bwMode="auto">
        <a:xfrm>
          <a:off x="2756038" y="3605420"/>
          <a:ext cx="457614" cy="171450"/>
          <a:chOff x="273" y="421"/>
          <a:chExt cx="44" cy="16"/>
        </a:xfrm>
      </xdr:grpSpPr>
      <xdr:sp macro="" textlink="">
        <xdr:nvSpPr>
          <xdr:cNvPr id="303" name="Rectangle 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04" name="Rectangle 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r>
              <a:rPr lang="vi-VN" sz="1400" b="0" i="0" u="none" strike="noStrike" baseline="0">
                <a:solidFill>
                  <a:srgbClr val="000000"/>
                </a:solidFill>
              </a:rPr>
              <a:t> x</a:t>
            </a: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66" name="Group 4"/>
        <xdr:cNvGrpSpPr>
          <a:grpSpLocks/>
        </xdr:cNvGrpSpPr>
      </xdr:nvGrpSpPr>
      <xdr:grpSpPr bwMode="auto">
        <a:xfrm>
          <a:off x="3242227" y="3605420"/>
          <a:ext cx="579783" cy="171450"/>
          <a:chOff x="273" y="421"/>
          <a:chExt cx="44" cy="16"/>
        </a:xfrm>
      </xdr:grpSpPr>
      <xdr:sp macro="" textlink="">
        <xdr:nvSpPr>
          <xdr:cNvPr id="306" name="Rectangle 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182" name="Rectangle 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67" name="Group 7"/>
        <xdr:cNvGrpSpPr>
          <a:grpSpLocks/>
        </xdr:cNvGrpSpPr>
      </xdr:nvGrpSpPr>
      <xdr:grpSpPr bwMode="auto">
        <a:xfrm>
          <a:off x="3841060" y="3605420"/>
          <a:ext cx="513522" cy="171450"/>
          <a:chOff x="273" y="421"/>
          <a:chExt cx="44" cy="16"/>
        </a:xfrm>
      </xdr:grpSpPr>
      <xdr:sp macro="" textlink="">
        <xdr:nvSpPr>
          <xdr:cNvPr id="309" name="Rectangle 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180" name="Rectangle 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47625</xdr:colOff>
      <xdr:row>20</xdr:row>
      <xdr:rowOff>19050</xdr:rowOff>
    </xdr:from>
    <xdr:to>
      <xdr:col>6</xdr:col>
      <xdr:colOff>0</xdr:colOff>
      <xdr:row>21</xdr:row>
      <xdr:rowOff>0</xdr:rowOff>
    </xdr:to>
    <xdr:grpSp>
      <xdr:nvGrpSpPr>
        <xdr:cNvPr id="2175168" name="Group 11"/>
        <xdr:cNvGrpSpPr>
          <a:grpSpLocks/>
        </xdr:cNvGrpSpPr>
      </xdr:nvGrpSpPr>
      <xdr:grpSpPr bwMode="auto">
        <a:xfrm>
          <a:off x="2756038" y="3605420"/>
          <a:ext cx="457614" cy="171450"/>
          <a:chOff x="273" y="421"/>
          <a:chExt cx="44" cy="16"/>
        </a:xfrm>
      </xdr:grpSpPr>
      <xdr:sp macro="" textlink="">
        <xdr:nvSpPr>
          <xdr:cNvPr id="312" name="Rectangle 12"/>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1</a:t>
            </a:r>
          </a:p>
        </xdr:txBody>
      </xdr:sp>
      <xdr:sp macro="" textlink="">
        <xdr:nvSpPr>
          <xdr:cNvPr id="313" name="Rectangle 13"/>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txBody>
          <a:bodyPr vertOverflow="clip" wrap="square" lIns="36576" tIns="27432" rIns="36576" bIns="0" anchor="t" upright="1"/>
          <a:lstStyle/>
          <a:p>
            <a:pPr algn="ctr" rtl="0">
              <a:defRPr sz="1000"/>
            </a:pPr>
            <a:endParaRPr lang="vi-VN" sz="1400" b="0" i="0" u="none" strike="noStrike" baseline="0">
              <a:solidFill>
                <a:srgbClr val="000000"/>
              </a:solidFill>
            </a:endParaRPr>
          </a:p>
          <a:p>
            <a:pPr algn="ctr" rtl="0">
              <a:defRPr sz="1000"/>
            </a:pPr>
            <a:endParaRPr lang="vi-VN" sz="1400" b="0" i="0" u="none" strike="noStrike" baseline="0">
              <a:solidFill>
                <a:srgbClr val="000000"/>
              </a:solidFill>
            </a:endParaRPr>
          </a:p>
        </xdr:txBody>
      </xdr:sp>
    </xdr:grpSp>
    <xdr:clientData/>
  </xdr:twoCellAnchor>
  <xdr:twoCellAnchor>
    <xdr:from>
      <xdr:col>6</xdr:col>
      <xdr:colOff>28575</xdr:colOff>
      <xdr:row>20</xdr:row>
      <xdr:rowOff>19050</xdr:rowOff>
    </xdr:from>
    <xdr:to>
      <xdr:col>7</xdr:col>
      <xdr:colOff>28575</xdr:colOff>
      <xdr:row>21</xdr:row>
      <xdr:rowOff>0</xdr:rowOff>
    </xdr:to>
    <xdr:grpSp>
      <xdr:nvGrpSpPr>
        <xdr:cNvPr id="2175169" name="Group 14"/>
        <xdr:cNvGrpSpPr>
          <a:grpSpLocks/>
        </xdr:cNvGrpSpPr>
      </xdr:nvGrpSpPr>
      <xdr:grpSpPr bwMode="auto">
        <a:xfrm>
          <a:off x="3242227" y="3605420"/>
          <a:ext cx="579783" cy="171450"/>
          <a:chOff x="273" y="421"/>
          <a:chExt cx="44" cy="16"/>
        </a:xfrm>
      </xdr:grpSpPr>
      <xdr:sp macro="" textlink="">
        <xdr:nvSpPr>
          <xdr:cNvPr id="315" name="Rectangle 15"/>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2</a:t>
            </a:r>
          </a:p>
        </xdr:txBody>
      </xdr:sp>
      <xdr:sp macro="" textlink="">
        <xdr:nvSpPr>
          <xdr:cNvPr id="2175176" name="Rectangle 16"/>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7</xdr:col>
      <xdr:colOff>47625</xdr:colOff>
      <xdr:row>20</xdr:row>
      <xdr:rowOff>19050</xdr:rowOff>
    </xdr:from>
    <xdr:to>
      <xdr:col>8</xdr:col>
      <xdr:colOff>47625</xdr:colOff>
      <xdr:row>21</xdr:row>
      <xdr:rowOff>0</xdr:rowOff>
    </xdr:to>
    <xdr:grpSp>
      <xdr:nvGrpSpPr>
        <xdr:cNvPr id="2175170" name="Group 17"/>
        <xdr:cNvGrpSpPr>
          <a:grpSpLocks/>
        </xdr:cNvGrpSpPr>
      </xdr:nvGrpSpPr>
      <xdr:grpSpPr bwMode="auto">
        <a:xfrm>
          <a:off x="3841060" y="3605420"/>
          <a:ext cx="513522" cy="171450"/>
          <a:chOff x="273" y="421"/>
          <a:chExt cx="44" cy="16"/>
        </a:xfrm>
      </xdr:grpSpPr>
      <xdr:sp macro="" textlink="">
        <xdr:nvSpPr>
          <xdr:cNvPr id="318" name="Rectangle 18"/>
          <xdr:cNvSpPr>
            <a:spLocks noChangeArrowheads="1"/>
          </xdr:cNvSpPr>
        </xdr:nvSpPr>
        <xdr:spPr bwMode="auto">
          <a:xfrm>
            <a:off x="273" y="421"/>
            <a:ext cx="17" cy="16"/>
          </a:xfrm>
          <a:prstGeom prst="rect">
            <a:avLst/>
          </a:prstGeom>
          <a:solidFill>
            <a:srgbClr val="FFFFFF"/>
          </a:solidFill>
          <a:ln w="6350">
            <a:solidFill>
              <a:srgbClr val="000000"/>
            </a:solidFill>
            <a:miter lim="800000"/>
            <a:headEnd/>
            <a:tailEnd/>
          </a:ln>
        </xdr:spPr>
        <xdr:txBody>
          <a:bodyPr vertOverflow="clip" wrap="square" lIns="27432" tIns="22860" rIns="0" bIns="0" anchor="t" upright="1"/>
          <a:lstStyle/>
          <a:p>
            <a:pPr algn="l" rtl="0">
              <a:defRPr sz="1000"/>
            </a:pPr>
            <a:r>
              <a:rPr lang="vi-VN" sz="1000" b="0" i="0" u="none" strike="noStrike" baseline="0">
                <a:solidFill>
                  <a:srgbClr val="000000"/>
                </a:solidFill>
              </a:rPr>
              <a:t> 3</a:t>
            </a:r>
          </a:p>
        </xdr:txBody>
      </xdr:sp>
      <xdr:sp macro="" textlink="">
        <xdr:nvSpPr>
          <xdr:cNvPr id="2175174" name="Rectangle 19"/>
          <xdr:cNvSpPr>
            <a:spLocks noChangeArrowheads="1"/>
          </xdr:cNvSpPr>
        </xdr:nvSpPr>
        <xdr:spPr bwMode="auto">
          <a:xfrm>
            <a:off x="291" y="421"/>
            <a:ext cx="26" cy="16"/>
          </a:xfrm>
          <a:prstGeom prst="rect">
            <a:avLst/>
          </a:prstGeom>
          <a:solidFill>
            <a:srgbClr val="FFFFFF"/>
          </a:solidFill>
          <a:ln w="6350">
            <a:solidFill>
              <a:srgbClr val="000000"/>
            </a:solidFill>
            <a:miter lim="800000"/>
            <a:headEnd/>
            <a:tailEnd/>
          </a:ln>
        </xdr:spPr>
      </xdr:sp>
    </xdr:grpSp>
    <xdr:clientData/>
  </xdr:twoCellAnchor>
  <xdr:twoCellAnchor>
    <xdr:from>
      <xdr:col>5</xdr:col>
      <xdr:colOff>428625</xdr:colOff>
      <xdr:row>20</xdr:row>
      <xdr:rowOff>57150</xdr:rowOff>
    </xdr:from>
    <xdr:to>
      <xdr:col>5</xdr:col>
      <xdr:colOff>485775</xdr:colOff>
      <xdr:row>20</xdr:row>
      <xdr:rowOff>171450</xdr:rowOff>
    </xdr:to>
    <xdr:sp macro="" textlink="">
      <xdr:nvSpPr>
        <xdr:cNvPr id="2175171" name="Line 80"/>
        <xdr:cNvSpPr>
          <a:spLocks noChangeShapeType="1"/>
        </xdr:cNvSpPr>
      </xdr:nvSpPr>
      <xdr:spPr bwMode="auto">
        <a:xfrm flipV="1">
          <a:off x="3133725" y="3657600"/>
          <a:ext cx="57150" cy="114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400050</xdr:colOff>
      <xdr:row>20</xdr:row>
      <xdr:rowOff>104775</xdr:rowOff>
    </xdr:from>
    <xdr:to>
      <xdr:col>5</xdr:col>
      <xdr:colOff>428625</xdr:colOff>
      <xdr:row>20</xdr:row>
      <xdr:rowOff>171450</xdr:rowOff>
    </xdr:to>
    <xdr:sp macro="" textlink="">
      <xdr:nvSpPr>
        <xdr:cNvPr id="2175172" name="Line 81"/>
        <xdr:cNvSpPr>
          <a:spLocks noChangeShapeType="1"/>
        </xdr:cNvSpPr>
      </xdr:nvSpPr>
      <xdr:spPr bwMode="auto">
        <a:xfrm flipH="1" flipV="1">
          <a:off x="3105150" y="3705225"/>
          <a:ext cx="285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9</xdr:row>
      <xdr:rowOff>47625</xdr:rowOff>
    </xdr:from>
    <xdr:to>
      <xdr:col>5</xdr:col>
      <xdr:colOff>133350</xdr:colOff>
      <xdr:row>11</xdr:row>
      <xdr:rowOff>19050</xdr:rowOff>
    </xdr:to>
    <xdr:sp macro="" textlink="">
      <xdr:nvSpPr>
        <xdr:cNvPr id="2176209"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210"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211"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212"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213"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214"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215"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216"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217"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218"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19"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20"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21"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22"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223"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224"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25"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22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2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2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29"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30"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3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32"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33"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234"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235"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36"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237"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38"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39"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40"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41"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242"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243"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244"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245"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39"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247"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248"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249"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250"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251"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252"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253"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254"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255"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256"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257"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258"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259"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260"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61"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62"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63"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64"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265"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266"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67"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26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6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7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71"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72"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7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74"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75"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276"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277"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278"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279"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80"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281"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82"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283"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284"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285"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286"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287"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81"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289"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290"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291"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292"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293"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294"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295"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296"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297"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298"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299"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00"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01"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02"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03"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04"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05"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06"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07"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308"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309"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10"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11"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12"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13"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14"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15"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16"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17"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18"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19"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320"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321"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22"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23"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24"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25"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26"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27"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28"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29"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30"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331"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332"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333"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34"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35"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36"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37"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338"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39"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40"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41"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42"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343"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344"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45"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346"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47"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48"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49"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50"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51"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52"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53"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354"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355"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56"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357"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58"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59"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60"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61"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62"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63"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64"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65"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366"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367"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68"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369"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70"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71"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72"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73"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74"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75"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76"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377"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378"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379"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380"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81"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382"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83"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384"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85"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86"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87"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88"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89"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90"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1"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2"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3"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94"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5"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6"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7"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398"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399"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400"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1"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02"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3"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4"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5"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06"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7"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8"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09"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10"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1"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2"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14"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5"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6"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7"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1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1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22"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3"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4"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5"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2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29"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30"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31"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32"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433"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434"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435"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436"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437"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438"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439"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440"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441"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442"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443"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444"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445"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446"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447"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448"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449"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450"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451"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452"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453"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454"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455"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456"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457"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458"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459"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460"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461"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462"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463"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464"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465"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466"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467"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468"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469"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470"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471"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472"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473"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474"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475"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476"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477"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478"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479"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80"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481"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482"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483"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484"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485"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8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8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8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489"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490"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9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492"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493"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494"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495"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496"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497"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98"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499"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00"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01"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502"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503"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504"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505"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299"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507"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508"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509"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510"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511"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512"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513"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514"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515"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516"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517"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518"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519"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520"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21"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22"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523"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24"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525"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526"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527"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52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2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3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31"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32"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3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534"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35"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536"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537"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538"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539"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40"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541"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42"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543"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544"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545"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546"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547"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341"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549"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550"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551"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552"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53"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54"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55"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56"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557"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558"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59"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560"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61"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62"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63"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64"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65"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66"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67"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568"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569"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70"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571"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72"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73"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74"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75"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76"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77"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78"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79"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580"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581"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82"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583"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84"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85"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86"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87"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88"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89"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90"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591"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592"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593"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594"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95"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596"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97"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598"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599"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00"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01"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02"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603"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604"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05"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606"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07"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08"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09"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10"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11"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12"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13"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614"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615"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16"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617"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18"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19"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20"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21"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22"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23"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24"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25"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626"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627"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28"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629"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30"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31"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32"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33"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34"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35"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36"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637"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638"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639"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640"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41"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642"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43"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644"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45"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646"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47"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48"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49"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650"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1"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2"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3"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654"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5"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6"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7"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658"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59"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660"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1"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62"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3"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4"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5"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66"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7"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8"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69"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70"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1"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2"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74"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5"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6"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7"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7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7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82"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3"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4"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5"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8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89"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690"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91"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692"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693"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694"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695"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696"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697"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698"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699"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700"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701"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702"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703"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704"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705"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706"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707"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708"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709"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710"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711"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712"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713"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714"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715"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716"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717"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718"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719"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720"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721"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22"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723"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24"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725"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726"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727"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728"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729"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730"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731"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732"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733"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734"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735"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736"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737"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738"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39"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40"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41"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42"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743"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44"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45"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74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4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4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49"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50"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5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52"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53"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754"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55"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56"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757"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58"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59"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60"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61"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762"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763"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764"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765"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559"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767"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768"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769"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770"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771"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772"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773"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774"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775"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776"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777"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778"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779"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780"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81"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82"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83"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84"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785"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86"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87"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78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8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9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91"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92"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79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94"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795"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6796"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797"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6798"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799"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800"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801"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802"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803"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6804"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6805"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76806"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76807"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601"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76809"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76810"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76811"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76812"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13"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14"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15"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16"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817"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818"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19"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820"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21"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22"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23"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24"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25"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26"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27"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828"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829"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30"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831"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32"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33"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34"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35"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36"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37"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38"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39"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840"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841"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42"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843"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44"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45"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46"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47"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48"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49"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50"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76851"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852"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76853"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854"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55"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856"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57"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76858"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59"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60"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61"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62"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863"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864"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65"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866"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67"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68"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69"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70"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71"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72"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73"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874"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875"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76"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877"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78"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79"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80"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81"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82"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83"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84"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85"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886"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887"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88"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889"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90"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91"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92"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93"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894"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95"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896"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76897"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898"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76899"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76900"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901"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76902"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903"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76904"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05"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906"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07"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08"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09"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910"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1"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2"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3"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914"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5"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6"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7"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76918"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19"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76920"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1"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22"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3"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4"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5"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26"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7"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8"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29"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30"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1"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2"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3"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34"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5"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6"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7"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3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3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42"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3"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4"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5"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4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49"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6950"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51"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6952"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953"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954"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76955"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76956"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957"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958"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76959"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76960"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961"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962"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76963"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76964"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965"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966"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76967"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76968"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969"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970"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76971"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76972"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973"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974"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76975"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76976"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977"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978"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76979"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76980"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981"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982"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76983"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6984"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985"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986"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76987"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76988"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989"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990"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76991"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76992"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76993"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76994"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76995"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76996"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76997"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76998"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6999"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00"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7001"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02"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7003"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7004"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7005"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700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0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0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09"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10"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1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7012"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13"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77014"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77015"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77016"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77017"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18"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77019"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20"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77021"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77022"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77023"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81120"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81121"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819"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81123"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81124"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81125"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81126"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81127" name="Line 1"/>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81128" name="Line 2"/>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21</xdr:row>
      <xdr:rowOff>9525</xdr:rowOff>
    </xdr:from>
    <xdr:to>
      <xdr:col>6</xdr:col>
      <xdr:colOff>0</xdr:colOff>
      <xdr:row>21</xdr:row>
      <xdr:rowOff>9525</xdr:rowOff>
    </xdr:to>
    <xdr:sp macro="" textlink="">
      <xdr:nvSpPr>
        <xdr:cNvPr id="2181129" name="Line 3"/>
        <xdr:cNvSpPr>
          <a:spLocks noChangeShapeType="1"/>
        </xdr:cNvSpPr>
      </xdr:nvSpPr>
      <xdr:spPr bwMode="auto">
        <a:xfrm>
          <a:off x="2009775" y="49244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6</xdr:col>
      <xdr:colOff>0</xdr:colOff>
      <xdr:row>21</xdr:row>
      <xdr:rowOff>0</xdr:rowOff>
    </xdr:to>
    <xdr:sp macro="" textlink="">
      <xdr:nvSpPr>
        <xdr:cNvPr id="2181130" name="Line 4"/>
        <xdr:cNvSpPr>
          <a:spLocks noChangeShapeType="1"/>
        </xdr:cNvSpPr>
      </xdr:nvSpPr>
      <xdr:spPr bwMode="auto">
        <a:xfrm>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21</xdr:row>
      <xdr:rowOff>0</xdr:rowOff>
    </xdr:from>
    <xdr:to>
      <xdr:col>5</xdr:col>
      <xdr:colOff>1828800</xdr:colOff>
      <xdr:row>21</xdr:row>
      <xdr:rowOff>0</xdr:rowOff>
    </xdr:to>
    <xdr:sp macro="" textlink="">
      <xdr:nvSpPr>
        <xdr:cNvPr id="2181131" name="Line 5"/>
        <xdr:cNvSpPr>
          <a:spLocks noChangeShapeType="1"/>
        </xdr:cNvSpPr>
      </xdr:nvSpPr>
      <xdr:spPr bwMode="auto">
        <a:xfrm flipH="1">
          <a:off x="2000250" y="49149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21</xdr:row>
      <xdr:rowOff>0</xdr:rowOff>
    </xdr:from>
    <xdr:to>
      <xdr:col>5</xdr:col>
      <xdr:colOff>1828800</xdr:colOff>
      <xdr:row>21</xdr:row>
      <xdr:rowOff>0</xdr:rowOff>
    </xdr:to>
    <xdr:sp macro="" textlink="">
      <xdr:nvSpPr>
        <xdr:cNvPr id="2181132" name="Line 6"/>
        <xdr:cNvSpPr>
          <a:spLocks noChangeShapeType="1"/>
        </xdr:cNvSpPr>
      </xdr:nvSpPr>
      <xdr:spPr bwMode="auto">
        <a:xfrm flipH="1">
          <a:off x="1676400" y="49149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10</xdr:row>
      <xdr:rowOff>47625</xdr:rowOff>
    </xdr:from>
    <xdr:to>
      <xdr:col>6</xdr:col>
      <xdr:colOff>0</xdr:colOff>
      <xdr:row>16</xdr:row>
      <xdr:rowOff>19050</xdr:rowOff>
    </xdr:to>
    <xdr:sp macro="" textlink="">
      <xdr:nvSpPr>
        <xdr:cNvPr id="2181133" name="Line 7"/>
        <xdr:cNvSpPr>
          <a:spLocks noChangeShapeType="1"/>
        </xdr:cNvSpPr>
      </xdr:nvSpPr>
      <xdr:spPr bwMode="auto">
        <a:xfrm flipV="1">
          <a:off x="3848100" y="2228850"/>
          <a:ext cx="990600" cy="9048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8</xdr:row>
      <xdr:rowOff>47625</xdr:rowOff>
    </xdr:from>
    <xdr:to>
      <xdr:col>5</xdr:col>
      <xdr:colOff>133350</xdr:colOff>
      <xdr:row>10</xdr:row>
      <xdr:rowOff>19050</xdr:rowOff>
    </xdr:to>
    <xdr:sp macro="" textlink="">
      <xdr:nvSpPr>
        <xdr:cNvPr id="2181134" name="Line 8"/>
        <xdr:cNvSpPr>
          <a:spLocks noChangeShapeType="1"/>
        </xdr:cNvSpPr>
      </xdr:nvSpPr>
      <xdr:spPr bwMode="auto">
        <a:xfrm>
          <a:off x="3619500" y="1790700"/>
          <a:ext cx="133350" cy="409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9</xdr:row>
      <xdr:rowOff>47625</xdr:rowOff>
    </xdr:from>
    <xdr:to>
      <xdr:col>5</xdr:col>
      <xdr:colOff>133350</xdr:colOff>
      <xdr:row>11</xdr:row>
      <xdr:rowOff>19050</xdr:rowOff>
    </xdr:to>
    <xdr:sp macro="" textlink="">
      <xdr:nvSpPr>
        <xdr:cNvPr id="2181135" name="Line 9"/>
        <xdr:cNvSpPr>
          <a:spLocks noChangeShapeType="1"/>
        </xdr:cNvSpPr>
      </xdr:nvSpPr>
      <xdr:spPr bwMode="auto">
        <a:xfrm>
          <a:off x="3619500" y="2028825"/>
          <a:ext cx="133350" cy="3429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32</xdr:row>
      <xdr:rowOff>0</xdr:rowOff>
    </xdr:from>
    <xdr:to>
      <xdr:col>6</xdr:col>
      <xdr:colOff>0</xdr:colOff>
      <xdr:row>32</xdr:row>
      <xdr:rowOff>0</xdr:rowOff>
    </xdr:to>
    <xdr:sp macro="" textlink="">
      <xdr:nvSpPr>
        <xdr:cNvPr id="2181136" name="Line 10"/>
        <xdr:cNvSpPr>
          <a:spLocks noChangeShapeType="1"/>
        </xdr:cNvSpPr>
      </xdr:nvSpPr>
      <xdr:spPr bwMode="auto">
        <a:xfrm>
          <a:off x="2009775" y="85915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37" name="Line 11"/>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38"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81139" name="Line 13"/>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40" name="Line 14"/>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81141" name="Line 15"/>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81142" name="Line 16"/>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81143" name="Line 17"/>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144"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45"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46"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47" name="Line 22"/>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48" name="Line 23"/>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49"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81150" name="Line 27"/>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51" name="Line 28"/>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6</xdr:col>
      <xdr:colOff>0</xdr:colOff>
      <xdr:row>37</xdr:row>
      <xdr:rowOff>0</xdr:rowOff>
    </xdr:to>
    <xdr:sp macro="" textlink="">
      <xdr:nvSpPr>
        <xdr:cNvPr id="2181152" name="Line 29"/>
        <xdr:cNvSpPr>
          <a:spLocks noChangeShapeType="1"/>
        </xdr:cNvSpPr>
      </xdr:nvSpPr>
      <xdr:spPr bwMode="auto">
        <a:xfrm>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81153" name="Line 30"/>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37</xdr:row>
      <xdr:rowOff>0</xdr:rowOff>
    </xdr:from>
    <xdr:to>
      <xdr:col>5</xdr:col>
      <xdr:colOff>1828800</xdr:colOff>
      <xdr:row>37</xdr:row>
      <xdr:rowOff>0</xdr:rowOff>
    </xdr:to>
    <xdr:sp macro="" textlink="">
      <xdr:nvSpPr>
        <xdr:cNvPr id="2181154" name="Line 31"/>
        <xdr:cNvSpPr>
          <a:spLocks noChangeShapeType="1"/>
        </xdr:cNvSpPr>
      </xdr:nvSpPr>
      <xdr:spPr bwMode="auto">
        <a:xfrm flipH="1">
          <a:off x="1676400" y="98298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155"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56"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157"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58" name="Line 35"/>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0</xdr:rowOff>
    </xdr:from>
    <xdr:to>
      <xdr:col>6</xdr:col>
      <xdr:colOff>0</xdr:colOff>
      <xdr:row>37</xdr:row>
      <xdr:rowOff>0</xdr:rowOff>
    </xdr:to>
    <xdr:sp macro="" textlink="">
      <xdr:nvSpPr>
        <xdr:cNvPr id="2181159" name="Line 36"/>
        <xdr:cNvSpPr>
          <a:spLocks noChangeShapeType="1"/>
        </xdr:cNvSpPr>
      </xdr:nvSpPr>
      <xdr:spPr bwMode="auto">
        <a:xfrm>
          <a:off x="2009775" y="98298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895350</xdr:colOff>
      <xdr:row>39</xdr:row>
      <xdr:rowOff>219075</xdr:rowOff>
    </xdr:from>
    <xdr:to>
      <xdr:col>6</xdr:col>
      <xdr:colOff>1057275</xdr:colOff>
      <xdr:row>41</xdr:row>
      <xdr:rowOff>28575</xdr:rowOff>
    </xdr:to>
    <xdr:sp macro="" textlink="">
      <xdr:nvSpPr>
        <xdr:cNvPr id="2181160" name="Line 87"/>
        <xdr:cNvSpPr>
          <a:spLocks noChangeShapeType="1"/>
        </xdr:cNvSpPr>
      </xdr:nvSpPr>
      <xdr:spPr bwMode="auto">
        <a:xfrm>
          <a:off x="5734050" y="10544175"/>
          <a:ext cx="161925" cy="295275"/>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6</xdr:col>
      <xdr:colOff>1047750</xdr:colOff>
      <xdr:row>41</xdr:row>
      <xdr:rowOff>28575</xdr:rowOff>
    </xdr:from>
    <xdr:to>
      <xdr:col>6</xdr:col>
      <xdr:colOff>1524000</xdr:colOff>
      <xdr:row>41</xdr:row>
      <xdr:rowOff>28575</xdr:rowOff>
    </xdr:to>
    <xdr:sp macro="" textlink="">
      <xdr:nvSpPr>
        <xdr:cNvPr id="2181161" name="Line 88"/>
        <xdr:cNvSpPr>
          <a:spLocks noChangeShapeType="1"/>
        </xdr:cNvSpPr>
      </xdr:nvSpPr>
      <xdr:spPr bwMode="auto">
        <a:xfrm>
          <a:off x="5886450" y="10839450"/>
          <a:ext cx="476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7</xdr:row>
      <xdr:rowOff>219075</xdr:rowOff>
    </xdr:from>
    <xdr:to>
      <xdr:col>6</xdr:col>
      <xdr:colOff>952500</xdr:colOff>
      <xdr:row>12</xdr:row>
      <xdr:rowOff>0</xdr:rowOff>
    </xdr:to>
    <xdr:sp macro="" textlink="">
      <xdr:nvSpPr>
        <xdr:cNvPr id="2181162" name="Rectangle 90"/>
        <xdr:cNvSpPr>
          <a:spLocks noChangeArrowheads="1"/>
        </xdr:cNvSpPr>
      </xdr:nvSpPr>
      <xdr:spPr bwMode="auto">
        <a:xfrm>
          <a:off x="5153025" y="1743075"/>
          <a:ext cx="638175" cy="742950"/>
        </a:xfrm>
        <a:prstGeom prst="rect">
          <a:avLst/>
        </a:prstGeom>
        <a:solidFill>
          <a:srgbClr val="FFFFFF"/>
        </a:solidFill>
        <a:ln w="9525">
          <a:solidFill>
            <a:srgbClr val="000000"/>
          </a:solidFill>
          <a:miter lim="800000"/>
          <a:headEnd/>
          <a:tailEnd/>
        </a:ln>
      </xdr:spPr>
    </xdr:sp>
    <xdr:clientData/>
  </xdr:twoCellAnchor>
  <xdr:twoCellAnchor>
    <xdr:from>
      <xdr:col>6</xdr:col>
      <xdr:colOff>1123950</xdr:colOff>
      <xdr:row>7</xdr:row>
      <xdr:rowOff>0</xdr:rowOff>
    </xdr:from>
    <xdr:to>
      <xdr:col>6</xdr:col>
      <xdr:colOff>1524000</xdr:colOff>
      <xdr:row>7</xdr:row>
      <xdr:rowOff>0</xdr:rowOff>
    </xdr:to>
    <xdr:sp macro="" textlink="">
      <xdr:nvSpPr>
        <xdr:cNvPr id="2181163" name="Line 94"/>
        <xdr:cNvSpPr>
          <a:spLocks noChangeShapeType="1"/>
        </xdr:cNvSpPr>
      </xdr:nvSpPr>
      <xdr:spPr bwMode="auto">
        <a:xfrm flipV="1">
          <a:off x="5962650" y="154305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8</xdr:row>
      <xdr:rowOff>5042</xdr:rowOff>
    </xdr:from>
    <xdr:to>
      <xdr:col>6</xdr:col>
      <xdr:colOff>923925</xdr:colOff>
      <xdr:row>40</xdr:row>
      <xdr:rowOff>5108</xdr:rowOff>
    </xdr:to>
    <xdr:sp macro="" textlink="">
      <xdr:nvSpPr>
        <xdr:cNvPr id="861" name="Rectangle 95"/>
        <xdr:cNvSpPr>
          <a:spLocks noChangeArrowheads="1"/>
        </xdr:cNvSpPr>
      </xdr:nvSpPr>
      <xdr:spPr bwMode="auto">
        <a:xfrm>
          <a:off x="5181600" y="1748117"/>
          <a:ext cx="581025" cy="8143941"/>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a:p>
          <a:pPr algn="ctr" rtl="1">
            <a:defRPr sz="1000"/>
          </a:pPr>
          <a:r>
            <a:rPr lang="en-US" sz="1200" b="1" i="0" strike="noStrike">
              <a:solidFill>
                <a:srgbClr val="000000"/>
              </a:solidFill>
              <a:latin typeface="Arial"/>
              <a:cs typeface="Arial"/>
            </a:rPr>
            <a:t>Hố</a:t>
          </a:r>
        </a:p>
        <a:p>
          <a:pPr algn="ctr" rtl="1">
            <a:defRPr sz="1000"/>
          </a:pPr>
          <a:r>
            <a:rPr lang="en-US" sz="1200" b="1" i="0" strike="noStrike">
              <a:solidFill>
                <a:srgbClr val="000000"/>
              </a:solidFill>
              <a:latin typeface="Arial"/>
              <a:cs typeface="Arial"/>
            </a:rPr>
            <a:t>khoan</a:t>
          </a:r>
          <a:endParaRPr lang="en-US" sz="1400" b="0" i="0" strike="noStrike">
            <a:solidFill>
              <a:srgbClr val="000000"/>
            </a:solidFill>
            <a:latin typeface="Arial"/>
            <a:cs typeface="Arial"/>
          </a:endParaRPr>
        </a:p>
        <a:p>
          <a:pPr algn="ctr" rtl="1">
            <a:defRPr sz="1000"/>
          </a:pPr>
          <a:endParaRPr lang="en-US" sz="1400" b="0" i="0" strike="noStrike">
            <a:solidFill>
              <a:srgbClr val="000000"/>
            </a:solidFill>
            <a:latin typeface="Arial"/>
            <a:cs typeface="Arial"/>
          </a:endParaRPr>
        </a:p>
      </xdr:txBody>
    </xdr:sp>
    <xdr:clientData/>
  </xdr:twoCellAnchor>
  <xdr:twoCellAnchor>
    <xdr:from>
      <xdr:col>6</xdr:col>
      <xdr:colOff>952500</xdr:colOff>
      <xdr:row>8</xdr:row>
      <xdr:rowOff>9525</xdr:rowOff>
    </xdr:from>
    <xdr:to>
      <xdr:col>6</xdr:col>
      <xdr:colOff>1524000</xdr:colOff>
      <xdr:row>8</xdr:row>
      <xdr:rowOff>85725</xdr:rowOff>
    </xdr:to>
    <xdr:sp macro="" textlink="">
      <xdr:nvSpPr>
        <xdr:cNvPr id="2181165" name="Rectangle 98" descr="Outlined diamond"/>
        <xdr:cNvSpPr>
          <a:spLocks noChangeArrowheads="1"/>
        </xdr:cNvSpPr>
      </xdr:nvSpPr>
      <xdr:spPr bwMode="auto">
        <a:xfrm>
          <a:off x="5791200" y="1752600"/>
          <a:ext cx="571500" cy="76200"/>
        </a:xfrm>
        <a:prstGeom prst="rect">
          <a:avLst/>
        </a:prstGeom>
        <a:pattFill prst="openDmnd">
          <a:fgClr>
            <a:srgbClr val="000000"/>
          </a:fgClr>
          <a:bgClr>
            <a:srgbClr val="FFFFFF"/>
          </a:bgClr>
        </a:pattFill>
        <a:ln w="9525">
          <a:solidFill>
            <a:srgbClr val="000000"/>
          </a:solidFill>
          <a:miter lim="800000"/>
          <a:headEnd/>
          <a:tailEnd/>
        </a:ln>
      </xdr:spPr>
    </xdr:sp>
    <xdr:clientData/>
  </xdr:twoCellAnchor>
  <xdr:twoCellAnchor>
    <xdr:from>
      <xdr:col>6</xdr:col>
      <xdr:colOff>1114425</xdr:colOff>
      <xdr:row>7</xdr:row>
      <xdr:rowOff>0</xdr:rowOff>
    </xdr:from>
    <xdr:to>
      <xdr:col>6</xdr:col>
      <xdr:colOff>1123950</xdr:colOff>
      <xdr:row>8</xdr:row>
      <xdr:rowOff>0</xdr:rowOff>
    </xdr:to>
    <xdr:sp macro="" textlink="">
      <xdr:nvSpPr>
        <xdr:cNvPr id="2181166" name="Line 141"/>
        <xdr:cNvSpPr>
          <a:spLocks noChangeShapeType="1"/>
        </xdr:cNvSpPr>
      </xdr:nvSpPr>
      <xdr:spPr bwMode="auto">
        <a:xfrm flipH="1">
          <a:off x="5953125" y="1543050"/>
          <a:ext cx="9525"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647700</xdr:colOff>
      <xdr:row>5</xdr:row>
      <xdr:rowOff>19050</xdr:rowOff>
    </xdr:from>
    <xdr:to>
      <xdr:col>6</xdr:col>
      <xdr:colOff>647700</xdr:colOff>
      <xdr:row>7</xdr:row>
      <xdr:rowOff>200025</xdr:rowOff>
    </xdr:to>
    <xdr:sp macro="" textlink="">
      <xdr:nvSpPr>
        <xdr:cNvPr id="2181167" name="Line 143"/>
        <xdr:cNvSpPr>
          <a:spLocks noChangeShapeType="1"/>
        </xdr:cNvSpPr>
      </xdr:nvSpPr>
      <xdr:spPr bwMode="auto">
        <a:xfrm>
          <a:off x="5486400" y="1133475"/>
          <a:ext cx="0" cy="6096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657225</xdr:colOff>
      <xdr:row>5</xdr:row>
      <xdr:rowOff>19050</xdr:rowOff>
    </xdr:from>
    <xdr:to>
      <xdr:col>6</xdr:col>
      <xdr:colOff>1524000</xdr:colOff>
      <xdr:row>5</xdr:row>
      <xdr:rowOff>19050</xdr:rowOff>
    </xdr:to>
    <xdr:sp macro="" textlink="">
      <xdr:nvSpPr>
        <xdr:cNvPr id="2181168" name="Line 144"/>
        <xdr:cNvSpPr>
          <a:spLocks noChangeShapeType="1"/>
        </xdr:cNvSpPr>
      </xdr:nvSpPr>
      <xdr:spPr bwMode="auto">
        <a:xfrm>
          <a:off x="5495925" y="1133475"/>
          <a:ext cx="866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69"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70"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71"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72"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81173"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174"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75"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176"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77"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78"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79"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80"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81"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82"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83"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81184"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185"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86"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187"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88"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89"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90"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91"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92" name="Line 11"/>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193"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94" name="Line 13"/>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195" name="Line 14"/>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81196" name="Line 15"/>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197" name="Line 16"/>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198" name="Line 17"/>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199"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00"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01"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202" name="Line 22"/>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203" name="Line 23"/>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04"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205" name="Line 27"/>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206" name="Line 28"/>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6</xdr:col>
      <xdr:colOff>0</xdr:colOff>
      <xdr:row>35</xdr:row>
      <xdr:rowOff>0</xdr:rowOff>
    </xdr:to>
    <xdr:sp macro="" textlink="">
      <xdr:nvSpPr>
        <xdr:cNvPr id="2181207" name="Line 29"/>
        <xdr:cNvSpPr>
          <a:spLocks noChangeShapeType="1"/>
        </xdr:cNvSpPr>
      </xdr:nvSpPr>
      <xdr:spPr bwMode="auto">
        <a:xfrm>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208" name="Line 30"/>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35</xdr:row>
      <xdr:rowOff>0</xdr:rowOff>
    </xdr:from>
    <xdr:to>
      <xdr:col>5</xdr:col>
      <xdr:colOff>1828800</xdr:colOff>
      <xdr:row>35</xdr:row>
      <xdr:rowOff>0</xdr:rowOff>
    </xdr:to>
    <xdr:sp macro="" textlink="">
      <xdr:nvSpPr>
        <xdr:cNvPr id="2181209" name="Line 31"/>
        <xdr:cNvSpPr>
          <a:spLocks noChangeShapeType="1"/>
        </xdr:cNvSpPr>
      </xdr:nvSpPr>
      <xdr:spPr bwMode="auto">
        <a:xfrm flipH="1">
          <a:off x="1676400" y="93345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210"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11"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12"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213" name="Line 35"/>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0</xdr:rowOff>
    </xdr:from>
    <xdr:to>
      <xdr:col>6</xdr:col>
      <xdr:colOff>0</xdr:colOff>
      <xdr:row>35</xdr:row>
      <xdr:rowOff>0</xdr:rowOff>
    </xdr:to>
    <xdr:sp macro="" textlink="">
      <xdr:nvSpPr>
        <xdr:cNvPr id="2181214" name="Line 36"/>
        <xdr:cNvSpPr>
          <a:spLocks noChangeShapeType="1"/>
        </xdr:cNvSpPr>
      </xdr:nvSpPr>
      <xdr:spPr bwMode="auto">
        <a:xfrm>
          <a:off x="2009775" y="93345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15"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16"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17"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18"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81219"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220"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21"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81222"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23"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24"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25"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26"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27"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28"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29"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81230"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231"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32"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81233"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34"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35"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36"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37"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38" name="Line 11"/>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39" name="Line 12"/>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40" name="Line 13"/>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41" name="Line 14"/>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81242" name="Line 15"/>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243" name="Line 16"/>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44" name="Line 17"/>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81245" name="Line 18"/>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46" name="Line 20"/>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47" name="Line 21"/>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48" name="Line 22"/>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49" name="Line 23"/>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50" name="Line 26"/>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51" name="Line 27"/>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52" name="Line 28"/>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6</xdr:col>
      <xdr:colOff>0</xdr:colOff>
      <xdr:row>33</xdr:row>
      <xdr:rowOff>0</xdr:rowOff>
    </xdr:to>
    <xdr:sp macro="" textlink="">
      <xdr:nvSpPr>
        <xdr:cNvPr id="2181253" name="Line 29"/>
        <xdr:cNvSpPr>
          <a:spLocks noChangeShapeType="1"/>
        </xdr:cNvSpPr>
      </xdr:nvSpPr>
      <xdr:spPr bwMode="auto">
        <a:xfrm>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254" name="Line 30"/>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285750</xdr:colOff>
      <xdr:row>33</xdr:row>
      <xdr:rowOff>0</xdr:rowOff>
    </xdr:from>
    <xdr:to>
      <xdr:col>5</xdr:col>
      <xdr:colOff>1828800</xdr:colOff>
      <xdr:row>33</xdr:row>
      <xdr:rowOff>0</xdr:rowOff>
    </xdr:to>
    <xdr:sp macro="" textlink="">
      <xdr:nvSpPr>
        <xdr:cNvPr id="2181255" name="Line 31"/>
        <xdr:cNvSpPr>
          <a:spLocks noChangeShapeType="1"/>
        </xdr:cNvSpPr>
      </xdr:nvSpPr>
      <xdr:spPr bwMode="auto">
        <a:xfrm flipH="1">
          <a:off x="1676400" y="8839200"/>
          <a:ext cx="3162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33</xdr:row>
      <xdr:rowOff>0</xdr:rowOff>
    </xdr:from>
    <xdr:to>
      <xdr:col>6</xdr:col>
      <xdr:colOff>0</xdr:colOff>
      <xdr:row>33</xdr:row>
      <xdr:rowOff>0</xdr:rowOff>
    </xdr:to>
    <xdr:sp macro="" textlink="">
      <xdr:nvSpPr>
        <xdr:cNvPr id="2181256" name="Line 32"/>
        <xdr:cNvSpPr>
          <a:spLocks noChangeShapeType="1"/>
        </xdr:cNvSpPr>
      </xdr:nvSpPr>
      <xdr:spPr bwMode="auto">
        <a:xfrm flipV="1">
          <a:off x="3848100" y="88392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57" name="Line 33"/>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33</xdr:row>
      <xdr:rowOff>0</xdr:rowOff>
    </xdr:from>
    <xdr:to>
      <xdr:col>5</xdr:col>
      <xdr:colOff>133350</xdr:colOff>
      <xdr:row>33</xdr:row>
      <xdr:rowOff>0</xdr:rowOff>
    </xdr:to>
    <xdr:sp macro="" textlink="">
      <xdr:nvSpPr>
        <xdr:cNvPr id="2181258" name="Line 34"/>
        <xdr:cNvSpPr>
          <a:spLocks noChangeShapeType="1"/>
        </xdr:cNvSpPr>
      </xdr:nvSpPr>
      <xdr:spPr bwMode="auto">
        <a:xfrm>
          <a:off x="3619500" y="88392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59" name="Line 35"/>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0</xdr:rowOff>
    </xdr:from>
    <xdr:to>
      <xdr:col>6</xdr:col>
      <xdr:colOff>0</xdr:colOff>
      <xdr:row>33</xdr:row>
      <xdr:rowOff>0</xdr:rowOff>
    </xdr:to>
    <xdr:sp macro="" textlink="">
      <xdr:nvSpPr>
        <xdr:cNvPr id="2181260" name="Line 36"/>
        <xdr:cNvSpPr>
          <a:spLocks noChangeShapeType="1"/>
        </xdr:cNvSpPr>
      </xdr:nvSpPr>
      <xdr:spPr bwMode="auto">
        <a:xfrm>
          <a:off x="2009775" y="88392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1"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262"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3"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4"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5"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266"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7"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8"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69" name="Line 12"/>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270" name="Line 18"/>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71" name="Line 20"/>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72" name="Line 21"/>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73" name="Line 26"/>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35</xdr:row>
      <xdr:rowOff>0</xdr:rowOff>
    </xdr:from>
    <xdr:to>
      <xdr:col>6</xdr:col>
      <xdr:colOff>0</xdr:colOff>
      <xdr:row>35</xdr:row>
      <xdr:rowOff>0</xdr:rowOff>
    </xdr:to>
    <xdr:sp macro="" textlink="">
      <xdr:nvSpPr>
        <xdr:cNvPr id="2181274" name="Line 32"/>
        <xdr:cNvSpPr>
          <a:spLocks noChangeShapeType="1"/>
        </xdr:cNvSpPr>
      </xdr:nvSpPr>
      <xdr:spPr bwMode="auto">
        <a:xfrm flipV="1">
          <a:off x="3848100" y="93345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75" name="Line 33"/>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35</xdr:row>
      <xdr:rowOff>0</xdr:rowOff>
    </xdr:from>
    <xdr:to>
      <xdr:col>5</xdr:col>
      <xdr:colOff>133350</xdr:colOff>
      <xdr:row>35</xdr:row>
      <xdr:rowOff>0</xdr:rowOff>
    </xdr:to>
    <xdr:sp macro="" textlink="">
      <xdr:nvSpPr>
        <xdr:cNvPr id="2181276" name="Line 34"/>
        <xdr:cNvSpPr>
          <a:spLocks noChangeShapeType="1"/>
        </xdr:cNvSpPr>
      </xdr:nvSpPr>
      <xdr:spPr bwMode="auto">
        <a:xfrm>
          <a:off x="3619500" y="93345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77"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78"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79"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0"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1"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82"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3"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4"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5"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86"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7"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8"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89"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90"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1"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2"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3"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94"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5"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6"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7"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298"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299"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0"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1" name="Line 12"/>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302" name="Line 18"/>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3" name="Line 20"/>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4" name="Line 21"/>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5" name="Line 26"/>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228600</xdr:colOff>
      <xdr:row>37</xdr:row>
      <xdr:rowOff>0</xdr:rowOff>
    </xdr:from>
    <xdr:to>
      <xdr:col>6</xdr:col>
      <xdr:colOff>0</xdr:colOff>
      <xdr:row>37</xdr:row>
      <xdr:rowOff>0</xdr:rowOff>
    </xdr:to>
    <xdr:sp macro="" textlink="">
      <xdr:nvSpPr>
        <xdr:cNvPr id="2181306" name="Line 32"/>
        <xdr:cNvSpPr>
          <a:spLocks noChangeShapeType="1"/>
        </xdr:cNvSpPr>
      </xdr:nvSpPr>
      <xdr:spPr bwMode="auto">
        <a:xfrm flipV="1">
          <a:off x="3848100" y="9829800"/>
          <a:ext cx="990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7" name="Line 33"/>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5</xdr:col>
      <xdr:colOff>0</xdr:colOff>
      <xdr:row>37</xdr:row>
      <xdr:rowOff>0</xdr:rowOff>
    </xdr:from>
    <xdr:to>
      <xdr:col>5</xdr:col>
      <xdr:colOff>133350</xdr:colOff>
      <xdr:row>37</xdr:row>
      <xdr:rowOff>0</xdr:rowOff>
    </xdr:to>
    <xdr:sp macro="" textlink="">
      <xdr:nvSpPr>
        <xdr:cNvPr id="2181308" name="Line 34"/>
        <xdr:cNvSpPr>
          <a:spLocks noChangeShapeType="1"/>
        </xdr:cNvSpPr>
      </xdr:nvSpPr>
      <xdr:spPr bwMode="auto">
        <a:xfrm>
          <a:off x="3619500" y="9829800"/>
          <a:ext cx="133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81309"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81310"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23</xdr:row>
      <xdr:rowOff>9525</xdr:rowOff>
    </xdr:from>
    <xdr:to>
      <xdr:col>6</xdr:col>
      <xdr:colOff>0</xdr:colOff>
      <xdr:row>23</xdr:row>
      <xdr:rowOff>9525</xdr:rowOff>
    </xdr:to>
    <xdr:sp macro="" textlink="">
      <xdr:nvSpPr>
        <xdr:cNvPr id="2181311" name="Line 3"/>
        <xdr:cNvSpPr>
          <a:spLocks noChangeShapeType="1"/>
        </xdr:cNvSpPr>
      </xdr:nvSpPr>
      <xdr:spPr bwMode="auto">
        <a:xfrm>
          <a:off x="2009775" y="56197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23</xdr:row>
      <xdr:rowOff>0</xdr:rowOff>
    </xdr:from>
    <xdr:to>
      <xdr:col>5</xdr:col>
      <xdr:colOff>1828800</xdr:colOff>
      <xdr:row>23</xdr:row>
      <xdr:rowOff>0</xdr:rowOff>
    </xdr:to>
    <xdr:sp macro="" textlink="">
      <xdr:nvSpPr>
        <xdr:cNvPr id="2181312" name="Line 5"/>
        <xdr:cNvSpPr>
          <a:spLocks noChangeShapeType="1"/>
        </xdr:cNvSpPr>
      </xdr:nvSpPr>
      <xdr:spPr bwMode="auto">
        <a:xfrm flipH="1">
          <a:off x="2000250" y="56102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81313"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81314"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25</xdr:row>
      <xdr:rowOff>9525</xdr:rowOff>
    </xdr:from>
    <xdr:to>
      <xdr:col>6</xdr:col>
      <xdr:colOff>0</xdr:colOff>
      <xdr:row>25</xdr:row>
      <xdr:rowOff>9525</xdr:rowOff>
    </xdr:to>
    <xdr:sp macro="" textlink="">
      <xdr:nvSpPr>
        <xdr:cNvPr id="2181315" name="Line 3"/>
        <xdr:cNvSpPr>
          <a:spLocks noChangeShapeType="1"/>
        </xdr:cNvSpPr>
      </xdr:nvSpPr>
      <xdr:spPr bwMode="auto">
        <a:xfrm>
          <a:off x="2009775" y="62579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25</xdr:row>
      <xdr:rowOff>0</xdr:rowOff>
    </xdr:from>
    <xdr:to>
      <xdr:col>5</xdr:col>
      <xdr:colOff>1828800</xdr:colOff>
      <xdr:row>25</xdr:row>
      <xdr:rowOff>0</xdr:rowOff>
    </xdr:to>
    <xdr:sp macro="" textlink="">
      <xdr:nvSpPr>
        <xdr:cNvPr id="2181316" name="Line 5"/>
        <xdr:cNvSpPr>
          <a:spLocks noChangeShapeType="1"/>
        </xdr:cNvSpPr>
      </xdr:nvSpPr>
      <xdr:spPr bwMode="auto">
        <a:xfrm flipH="1">
          <a:off x="2000250" y="62484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81317"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81318"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27</xdr:row>
      <xdr:rowOff>9525</xdr:rowOff>
    </xdr:from>
    <xdr:to>
      <xdr:col>6</xdr:col>
      <xdr:colOff>0</xdr:colOff>
      <xdr:row>27</xdr:row>
      <xdr:rowOff>9525</xdr:rowOff>
    </xdr:to>
    <xdr:sp macro="" textlink="">
      <xdr:nvSpPr>
        <xdr:cNvPr id="2181319" name="Line 3"/>
        <xdr:cNvSpPr>
          <a:spLocks noChangeShapeType="1"/>
        </xdr:cNvSpPr>
      </xdr:nvSpPr>
      <xdr:spPr bwMode="auto">
        <a:xfrm>
          <a:off x="2009775" y="685800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27</xdr:row>
      <xdr:rowOff>0</xdr:rowOff>
    </xdr:from>
    <xdr:to>
      <xdr:col>5</xdr:col>
      <xdr:colOff>1828800</xdr:colOff>
      <xdr:row>27</xdr:row>
      <xdr:rowOff>0</xdr:rowOff>
    </xdr:to>
    <xdr:sp macro="" textlink="">
      <xdr:nvSpPr>
        <xdr:cNvPr id="2181320" name="Line 5"/>
        <xdr:cNvSpPr>
          <a:spLocks noChangeShapeType="1"/>
        </xdr:cNvSpPr>
      </xdr:nvSpPr>
      <xdr:spPr bwMode="auto">
        <a:xfrm flipH="1">
          <a:off x="2000250" y="684847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81321"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81322"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29</xdr:row>
      <xdr:rowOff>9525</xdr:rowOff>
    </xdr:from>
    <xdr:to>
      <xdr:col>6</xdr:col>
      <xdr:colOff>0</xdr:colOff>
      <xdr:row>29</xdr:row>
      <xdr:rowOff>9525</xdr:rowOff>
    </xdr:to>
    <xdr:sp macro="" textlink="">
      <xdr:nvSpPr>
        <xdr:cNvPr id="2181323" name="Line 3"/>
        <xdr:cNvSpPr>
          <a:spLocks noChangeShapeType="1"/>
        </xdr:cNvSpPr>
      </xdr:nvSpPr>
      <xdr:spPr bwMode="auto">
        <a:xfrm>
          <a:off x="2009775" y="76390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29</xdr:row>
      <xdr:rowOff>0</xdr:rowOff>
    </xdr:from>
    <xdr:to>
      <xdr:col>5</xdr:col>
      <xdr:colOff>1828800</xdr:colOff>
      <xdr:row>29</xdr:row>
      <xdr:rowOff>0</xdr:rowOff>
    </xdr:to>
    <xdr:sp macro="" textlink="">
      <xdr:nvSpPr>
        <xdr:cNvPr id="2181324" name="Line 5"/>
        <xdr:cNvSpPr>
          <a:spLocks noChangeShapeType="1"/>
        </xdr:cNvSpPr>
      </xdr:nvSpPr>
      <xdr:spPr bwMode="auto">
        <a:xfrm flipH="1">
          <a:off x="2000250" y="76295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81325"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81326"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31</xdr:row>
      <xdr:rowOff>9525</xdr:rowOff>
    </xdr:from>
    <xdr:to>
      <xdr:col>6</xdr:col>
      <xdr:colOff>0</xdr:colOff>
      <xdr:row>31</xdr:row>
      <xdr:rowOff>9525</xdr:rowOff>
    </xdr:to>
    <xdr:sp macro="" textlink="">
      <xdr:nvSpPr>
        <xdr:cNvPr id="2181327" name="Line 3"/>
        <xdr:cNvSpPr>
          <a:spLocks noChangeShapeType="1"/>
        </xdr:cNvSpPr>
      </xdr:nvSpPr>
      <xdr:spPr bwMode="auto">
        <a:xfrm>
          <a:off x="2009775" y="8134350"/>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31</xdr:row>
      <xdr:rowOff>0</xdr:rowOff>
    </xdr:from>
    <xdr:to>
      <xdr:col>5</xdr:col>
      <xdr:colOff>1828800</xdr:colOff>
      <xdr:row>31</xdr:row>
      <xdr:rowOff>0</xdr:rowOff>
    </xdr:to>
    <xdr:sp macro="" textlink="">
      <xdr:nvSpPr>
        <xdr:cNvPr id="2181328" name="Line 5"/>
        <xdr:cNvSpPr>
          <a:spLocks noChangeShapeType="1"/>
        </xdr:cNvSpPr>
      </xdr:nvSpPr>
      <xdr:spPr bwMode="auto">
        <a:xfrm flipH="1">
          <a:off x="2000250" y="8124825"/>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81329"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330"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33</xdr:row>
      <xdr:rowOff>9525</xdr:rowOff>
    </xdr:from>
    <xdr:to>
      <xdr:col>6</xdr:col>
      <xdr:colOff>0</xdr:colOff>
      <xdr:row>33</xdr:row>
      <xdr:rowOff>9525</xdr:rowOff>
    </xdr:to>
    <xdr:sp macro="" textlink="">
      <xdr:nvSpPr>
        <xdr:cNvPr id="2181331" name="Line 3"/>
        <xdr:cNvSpPr>
          <a:spLocks noChangeShapeType="1"/>
        </xdr:cNvSpPr>
      </xdr:nvSpPr>
      <xdr:spPr bwMode="auto">
        <a:xfrm>
          <a:off x="2009775" y="88487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33</xdr:row>
      <xdr:rowOff>0</xdr:rowOff>
    </xdr:from>
    <xdr:to>
      <xdr:col>5</xdr:col>
      <xdr:colOff>1828800</xdr:colOff>
      <xdr:row>33</xdr:row>
      <xdr:rowOff>0</xdr:rowOff>
    </xdr:to>
    <xdr:sp macro="" textlink="">
      <xdr:nvSpPr>
        <xdr:cNvPr id="2181332" name="Line 5"/>
        <xdr:cNvSpPr>
          <a:spLocks noChangeShapeType="1"/>
        </xdr:cNvSpPr>
      </xdr:nvSpPr>
      <xdr:spPr bwMode="auto">
        <a:xfrm flipH="1">
          <a:off x="2000250" y="88392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81333"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334"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35</xdr:row>
      <xdr:rowOff>9525</xdr:rowOff>
    </xdr:from>
    <xdr:to>
      <xdr:col>6</xdr:col>
      <xdr:colOff>0</xdr:colOff>
      <xdr:row>35</xdr:row>
      <xdr:rowOff>9525</xdr:rowOff>
    </xdr:to>
    <xdr:sp macro="" textlink="">
      <xdr:nvSpPr>
        <xdr:cNvPr id="2181335" name="Line 3"/>
        <xdr:cNvSpPr>
          <a:spLocks noChangeShapeType="1"/>
        </xdr:cNvSpPr>
      </xdr:nvSpPr>
      <xdr:spPr bwMode="auto">
        <a:xfrm>
          <a:off x="2009775" y="93440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35</xdr:row>
      <xdr:rowOff>0</xdr:rowOff>
    </xdr:from>
    <xdr:to>
      <xdr:col>5</xdr:col>
      <xdr:colOff>1828800</xdr:colOff>
      <xdr:row>35</xdr:row>
      <xdr:rowOff>0</xdr:rowOff>
    </xdr:to>
    <xdr:sp macro="" textlink="">
      <xdr:nvSpPr>
        <xdr:cNvPr id="2181336" name="Line 5"/>
        <xdr:cNvSpPr>
          <a:spLocks noChangeShapeType="1"/>
        </xdr:cNvSpPr>
      </xdr:nvSpPr>
      <xdr:spPr bwMode="auto">
        <a:xfrm flipH="1">
          <a:off x="2000250" y="93345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81337"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81338"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37</xdr:row>
      <xdr:rowOff>9525</xdr:rowOff>
    </xdr:from>
    <xdr:to>
      <xdr:col>6</xdr:col>
      <xdr:colOff>0</xdr:colOff>
      <xdr:row>37</xdr:row>
      <xdr:rowOff>9525</xdr:rowOff>
    </xdr:to>
    <xdr:sp macro="" textlink="">
      <xdr:nvSpPr>
        <xdr:cNvPr id="2181339" name="Line 3"/>
        <xdr:cNvSpPr>
          <a:spLocks noChangeShapeType="1"/>
        </xdr:cNvSpPr>
      </xdr:nvSpPr>
      <xdr:spPr bwMode="auto">
        <a:xfrm>
          <a:off x="2009775" y="98393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37</xdr:row>
      <xdr:rowOff>0</xdr:rowOff>
    </xdr:from>
    <xdr:to>
      <xdr:col>5</xdr:col>
      <xdr:colOff>1828800</xdr:colOff>
      <xdr:row>37</xdr:row>
      <xdr:rowOff>0</xdr:rowOff>
    </xdr:to>
    <xdr:sp macro="" textlink="">
      <xdr:nvSpPr>
        <xdr:cNvPr id="2181340" name="Line 5"/>
        <xdr:cNvSpPr>
          <a:spLocks noChangeShapeType="1"/>
        </xdr:cNvSpPr>
      </xdr:nvSpPr>
      <xdr:spPr bwMode="auto">
        <a:xfrm flipH="1">
          <a:off x="2000250" y="98298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81341"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81342"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9525</xdr:colOff>
      <xdr:row>39</xdr:row>
      <xdr:rowOff>9525</xdr:rowOff>
    </xdr:from>
    <xdr:to>
      <xdr:col>6</xdr:col>
      <xdr:colOff>0</xdr:colOff>
      <xdr:row>39</xdr:row>
      <xdr:rowOff>9525</xdr:rowOff>
    </xdr:to>
    <xdr:sp macro="" textlink="">
      <xdr:nvSpPr>
        <xdr:cNvPr id="2181343" name="Line 3"/>
        <xdr:cNvSpPr>
          <a:spLocks noChangeShapeType="1"/>
        </xdr:cNvSpPr>
      </xdr:nvSpPr>
      <xdr:spPr bwMode="auto">
        <a:xfrm>
          <a:off x="2009775" y="10334625"/>
          <a:ext cx="2828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0</xdr:colOff>
      <xdr:row>39</xdr:row>
      <xdr:rowOff>0</xdr:rowOff>
    </xdr:from>
    <xdr:to>
      <xdr:col>5</xdr:col>
      <xdr:colOff>1828800</xdr:colOff>
      <xdr:row>39</xdr:row>
      <xdr:rowOff>0</xdr:rowOff>
    </xdr:to>
    <xdr:sp macro="" textlink="">
      <xdr:nvSpPr>
        <xdr:cNvPr id="2181344" name="Line 5"/>
        <xdr:cNvSpPr>
          <a:spLocks noChangeShapeType="1"/>
        </xdr:cNvSpPr>
      </xdr:nvSpPr>
      <xdr:spPr bwMode="auto">
        <a:xfrm flipH="1">
          <a:off x="2000250" y="10325100"/>
          <a:ext cx="2838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oneCellAnchor>
    <xdr:from>
      <xdr:col>16</xdr:col>
      <xdr:colOff>361950</xdr:colOff>
      <xdr:row>15</xdr:row>
      <xdr:rowOff>238125</xdr:rowOff>
    </xdr:from>
    <xdr:ext cx="27765" cy="424860"/>
    <xdr:sp macro="" textlink="">
      <xdr:nvSpPr>
        <xdr:cNvPr id="2"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16</xdr:col>
      <xdr:colOff>361950</xdr:colOff>
      <xdr:row>15</xdr:row>
      <xdr:rowOff>238125</xdr:rowOff>
    </xdr:from>
    <xdr:ext cx="27765" cy="424860"/>
    <xdr:sp macro="" textlink="">
      <xdr:nvSpPr>
        <xdr:cNvPr id="3"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oneCellAnchor>
    <xdr:from>
      <xdr:col>16</xdr:col>
      <xdr:colOff>361950</xdr:colOff>
      <xdr:row>15</xdr:row>
      <xdr:rowOff>238125</xdr:rowOff>
    </xdr:from>
    <xdr:ext cx="27765" cy="424860"/>
    <xdr:sp macro="" textlink="">
      <xdr:nvSpPr>
        <xdr:cNvPr id="4" name="Text Box 1025"/>
        <xdr:cNvSpPr txBox="1">
          <a:spLocks noChangeArrowheads="1"/>
        </xdr:cNvSpPr>
      </xdr:nvSpPr>
      <xdr:spPr bwMode="auto">
        <a:xfrm>
          <a:off x="11249025" y="4762500"/>
          <a:ext cx="27765" cy="424860"/>
        </a:xfrm>
        <a:prstGeom prst="rect">
          <a:avLst/>
        </a:prstGeom>
        <a:noFill/>
        <a:ln w="9525">
          <a:noFill/>
          <a:miter lim="800000"/>
          <a:headEnd/>
          <a:tailEnd/>
        </a:ln>
      </xdr:spPr>
      <xdr:txBody>
        <a:bodyPr wrap="none" lIns="27432" tIns="27432" rIns="0" bIns="0" anchor="t" upright="1">
          <a:spAutoFit/>
        </a:bodyPr>
        <a:lstStyle/>
        <a:p>
          <a:pPr algn="l" rtl="1">
            <a:defRPr sz="1000"/>
          </a:pPr>
          <a:endParaRPr lang="en-US" sz="1400" b="0" i="0" strike="noStrike">
            <a:solidFill>
              <a:srgbClr val="000000"/>
            </a:solidFill>
            <a:latin typeface=".vntime"/>
          </a:endParaRPr>
        </a:p>
        <a:p>
          <a:pPr algn="l" rtl="1">
            <a:defRPr sz="1000"/>
          </a:pPr>
          <a:endParaRPr lang="en-US" sz="1400" b="0" i="0" strike="noStrike">
            <a:solidFill>
              <a:srgbClr val="000000"/>
            </a:solidFill>
            <a:latin typeface=".vntime"/>
          </a:endParaRPr>
        </a:p>
      </xdr:txBody>
    </xdr:sp>
    <xdr:clientData/>
  </xdr:oneCellAnchor>
  <xdr:twoCellAnchor editAs="oneCell">
    <xdr:from>
      <xdr:col>16</xdr:col>
      <xdr:colOff>361950</xdr:colOff>
      <xdr:row>15</xdr:row>
      <xdr:rowOff>238125</xdr:rowOff>
    </xdr:from>
    <xdr:to>
      <xdr:col>16</xdr:col>
      <xdr:colOff>390525</xdr:colOff>
      <xdr:row>16</xdr:row>
      <xdr:rowOff>152400</xdr:rowOff>
    </xdr:to>
    <xdr:sp macro="" textlink="">
      <xdr:nvSpPr>
        <xdr:cNvPr id="2104376" name="Text Box 1025"/>
        <xdr:cNvSpPr txBox="1">
          <a:spLocks noChangeArrowheads="1"/>
        </xdr:cNvSpPr>
      </xdr:nvSpPr>
      <xdr:spPr bwMode="auto">
        <a:xfrm>
          <a:off x="11249025" y="4762500"/>
          <a:ext cx="285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161925</xdr:colOff>
      <xdr:row>3</xdr:row>
      <xdr:rowOff>152400</xdr:rowOff>
    </xdr:from>
    <xdr:to>
      <xdr:col>4</xdr:col>
      <xdr:colOff>752475</xdr:colOff>
      <xdr:row>3</xdr:row>
      <xdr:rowOff>152400</xdr:rowOff>
    </xdr:to>
    <xdr:sp macro="" textlink="">
      <xdr:nvSpPr>
        <xdr:cNvPr id="2110657" name="Line 196"/>
        <xdr:cNvSpPr>
          <a:spLocks noChangeShapeType="1"/>
        </xdr:cNvSpPr>
      </xdr:nvSpPr>
      <xdr:spPr bwMode="auto">
        <a:xfrm>
          <a:off x="5095875" y="1009650"/>
          <a:ext cx="590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161925</xdr:colOff>
      <xdr:row>3</xdr:row>
      <xdr:rowOff>152400</xdr:rowOff>
    </xdr:from>
    <xdr:to>
      <xdr:col>4</xdr:col>
      <xdr:colOff>333375</xdr:colOff>
      <xdr:row>5</xdr:row>
      <xdr:rowOff>95250</xdr:rowOff>
    </xdr:to>
    <xdr:sp macro="" textlink="">
      <xdr:nvSpPr>
        <xdr:cNvPr id="2110658" name="Line 199"/>
        <xdr:cNvSpPr>
          <a:spLocks noChangeShapeType="1"/>
        </xdr:cNvSpPr>
      </xdr:nvSpPr>
      <xdr:spPr bwMode="auto">
        <a:xfrm>
          <a:off x="5095875" y="1009650"/>
          <a:ext cx="171450"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20</xdr:row>
      <xdr:rowOff>276225</xdr:rowOff>
    </xdr:from>
    <xdr:to>
      <xdr:col>4</xdr:col>
      <xdr:colOff>581025</xdr:colOff>
      <xdr:row>21</xdr:row>
      <xdr:rowOff>123825</xdr:rowOff>
    </xdr:to>
    <xdr:sp macro="" textlink="">
      <xdr:nvSpPr>
        <xdr:cNvPr id="2110659" name="Freeform 204"/>
        <xdr:cNvSpPr>
          <a:spLocks/>
        </xdr:cNvSpPr>
      </xdr:nvSpPr>
      <xdr:spPr bwMode="auto">
        <a:xfrm>
          <a:off x="5267325" y="4552950"/>
          <a:ext cx="247650" cy="161925"/>
        </a:xfrm>
        <a:custGeom>
          <a:avLst/>
          <a:gdLst>
            <a:gd name="T0" fmla="*/ 2147483647 w 26"/>
            <a:gd name="T1" fmla="*/ 2147483647 h 21"/>
            <a:gd name="T2" fmla="*/ 2147483647 w 26"/>
            <a:gd name="T3" fmla="*/ 2147483647 h 21"/>
            <a:gd name="T4" fmla="*/ 2147483647 w 26"/>
            <a:gd name="T5" fmla="*/ 2147483647 h 21"/>
            <a:gd name="T6" fmla="*/ 2147483647 w 26"/>
            <a:gd name="T7" fmla="*/ 2147483647 h 21"/>
            <a:gd name="T8" fmla="*/ 2147483647 w 26"/>
            <a:gd name="T9" fmla="*/ 0 h 21"/>
            <a:gd name="T10" fmla="*/ 2147483647 w 26"/>
            <a:gd name="T11" fmla="*/ 2147483647 h 21"/>
            <a:gd name="T12" fmla="*/ 2147483647 w 26"/>
            <a:gd name="T13" fmla="*/ 2147483647 h 21"/>
            <a:gd name="T14" fmla="*/ 2147483647 w 26"/>
            <a:gd name="T15" fmla="*/ 2147483647 h 21"/>
            <a:gd name="T16" fmla="*/ 0 w 26"/>
            <a:gd name="T17" fmla="*/ 2147483647 h 21"/>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26"/>
            <a:gd name="T28" fmla="*/ 0 h 21"/>
            <a:gd name="T29" fmla="*/ 26 w 26"/>
            <a:gd name="T30" fmla="*/ 21 h 21"/>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26" h="21">
              <a:moveTo>
                <a:pt x="26" y="21"/>
              </a:moveTo>
              <a:lnTo>
                <a:pt x="25" y="13"/>
              </a:lnTo>
              <a:lnTo>
                <a:pt x="22" y="6"/>
              </a:lnTo>
              <a:lnTo>
                <a:pt x="18" y="2"/>
              </a:lnTo>
              <a:lnTo>
                <a:pt x="13" y="0"/>
              </a:lnTo>
              <a:lnTo>
                <a:pt x="8" y="2"/>
              </a:lnTo>
              <a:lnTo>
                <a:pt x="4" y="6"/>
              </a:lnTo>
              <a:lnTo>
                <a:pt x="1" y="13"/>
              </a:lnTo>
              <a:lnTo>
                <a:pt x="0" y="21"/>
              </a:lnTo>
            </a:path>
          </a:pathLst>
        </a:cu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581025</xdr:colOff>
      <xdr:row>3</xdr:row>
      <xdr:rowOff>152400</xdr:rowOff>
    </xdr:from>
    <xdr:to>
      <xdr:col>4</xdr:col>
      <xdr:colOff>752475</xdr:colOff>
      <xdr:row>5</xdr:row>
      <xdr:rowOff>104775</xdr:rowOff>
    </xdr:to>
    <xdr:sp macro="" textlink="">
      <xdr:nvSpPr>
        <xdr:cNvPr id="2110660" name="Freeform 205"/>
        <xdr:cNvSpPr>
          <a:spLocks/>
        </xdr:cNvSpPr>
      </xdr:nvSpPr>
      <xdr:spPr bwMode="auto">
        <a:xfrm>
          <a:off x="5514975" y="1009650"/>
          <a:ext cx="171450" cy="371475"/>
        </a:xfrm>
        <a:custGeom>
          <a:avLst/>
          <a:gdLst>
            <a:gd name="T0" fmla="*/ 2147483647 w 18"/>
            <a:gd name="T1" fmla="*/ 2147483647 h 43"/>
            <a:gd name="T2" fmla="*/ 2147483647 w 18"/>
            <a:gd name="T3" fmla="*/ 0 h 43"/>
            <a:gd name="T4" fmla="*/ 0 w 18"/>
            <a:gd name="T5" fmla="*/ 2147483647 h 43"/>
            <a:gd name="T6" fmla="*/ 2147483647 w 18"/>
            <a:gd name="T7" fmla="*/ 2147483647 h 43"/>
            <a:gd name="T8" fmla="*/ 0 60000 65536"/>
            <a:gd name="T9" fmla="*/ 0 60000 65536"/>
            <a:gd name="T10" fmla="*/ 0 60000 65536"/>
            <a:gd name="T11" fmla="*/ 0 60000 65536"/>
            <a:gd name="T12" fmla="*/ 0 w 18"/>
            <a:gd name="T13" fmla="*/ 0 h 43"/>
            <a:gd name="T14" fmla="*/ 18 w 18"/>
            <a:gd name="T15" fmla="*/ 43 h 43"/>
          </a:gdLst>
          <a:ahLst/>
          <a:cxnLst>
            <a:cxn ang="T8">
              <a:pos x="T0" y="T1"/>
            </a:cxn>
            <a:cxn ang="T9">
              <a:pos x="T2" y="T3"/>
            </a:cxn>
            <a:cxn ang="T10">
              <a:pos x="T4" y="T5"/>
            </a:cxn>
            <a:cxn ang="T11">
              <a:pos x="T6" y="T7"/>
            </a:cxn>
          </a:cxnLst>
          <a:rect l="T12" t="T13" r="T14" b="T15"/>
          <a:pathLst>
            <a:path w="18" h="43">
              <a:moveTo>
                <a:pt x="18" y="1"/>
              </a:moveTo>
              <a:lnTo>
                <a:pt x="18" y="0"/>
              </a:lnTo>
              <a:lnTo>
                <a:pt x="0" y="43"/>
              </a:lnTo>
              <a:lnTo>
                <a:pt x="18" y="1"/>
              </a:lnTo>
              <a:close/>
            </a:path>
          </a:pathLst>
        </a:custGeom>
        <a:solidFill>
          <a:srgbClr val="000000"/>
        </a:solidFill>
        <a:ln w="9525">
          <a:solidFill>
            <a:srgbClr val="000000"/>
          </a:solidFill>
          <a:round/>
          <a:headEnd/>
          <a:tailEnd/>
        </a:ln>
      </xdr:spPr>
    </xdr:sp>
    <xdr:clientData/>
  </xdr:twoCellAnchor>
  <xdr:twoCellAnchor>
    <xdr:from>
      <xdr:col>4</xdr:col>
      <xdr:colOff>581025</xdr:colOff>
      <xdr:row>3</xdr:row>
      <xdr:rowOff>152400</xdr:rowOff>
    </xdr:from>
    <xdr:to>
      <xdr:col>4</xdr:col>
      <xdr:colOff>752475</xdr:colOff>
      <xdr:row>5</xdr:row>
      <xdr:rowOff>104775</xdr:rowOff>
    </xdr:to>
    <xdr:sp macro="" textlink="">
      <xdr:nvSpPr>
        <xdr:cNvPr id="2110661" name="Freeform 206"/>
        <xdr:cNvSpPr>
          <a:spLocks/>
        </xdr:cNvSpPr>
      </xdr:nvSpPr>
      <xdr:spPr bwMode="auto">
        <a:xfrm>
          <a:off x="5514975" y="1009650"/>
          <a:ext cx="171450" cy="371475"/>
        </a:xfrm>
        <a:custGeom>
          <a:avLst/>
          <a:gdLst>
            <a:gd name="T0" fmla="*/ 2147483647 w 18"/>
            <a:gd name="T1" fmla="*/ 0 h 43"/>
            <a:gd name="T2" fmla="*/ 0 w 18"/>
            <a:gd name="T3" fmla="*/ 2147483647 h 43"/>
            <a:gd name="T4" fmla="*/ 0 w 18"/>
            <a:gd name="T5" fmla="*/ 2147483647 h 43"/>
            <a:gd name="T6" fmla="*/ 2147483647 w 18"/>
            <a:gd name="T7" fmla="*/ 0 h 43"/>
            <a:gd name="T8" fmla="*/ 0 60000 65536"/>
            <a:gd name="T9" fmla="*/ 0 60000 65536"/>
            <a:gd name="T10" fmla="*/ 0 60000 65536"/>
            <a:gd name="T11" fmla="*/ 0 60000 65536"/>
            <a:gd name="T12" fmla="*/ 0 w 18"/>
            <a:gd name="T13" fmla="*/ 0 h 43"/>
            <a:gd name="T14" fmla="*/ 18 w 18"/>
            <a:gd name="T15" fmla="*/ 43 h 43"/>
          </a:gdLst>
          <a:ahLst/>
          <a:cxnLst>
            <a:cxn ang="T8">
              <a:pos x="T0" y="T1"/>
            </a:cxn>
            <a:cxn ang="T9">
              <a:pos x="T2" y="T3"/>
            </a:cxn>
            <a:cxn ang="T10">
              <a:pos x="T4" y="T5"/>
            </a:cxn>
            <a:cxn ang="T11">
              <a:pos x="T6" y="T7"/>
            </a:cxn>
          </a:cxnLst>
          <a:rect l="T12" t="T13" r="T14" b="T15"/>
          <a:pathLst>
            <a:path w="18" h="43">
              <a:moveTo>
                <a:pt x="18" y="0"/>
              </a:moveTo>
              <a:lnTo>
                <a:pt x="0" y="43"/>
              </a:lnTo>
              <a:lnTo>
                <a:pt x="0" y="42"/>
              </a:lnTo>
              <a:lnTo>
                <a:pt x="1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152400</xdr:colOff>
      <xdr:row>3</xdr:row>
      <xdr:rowOff>142875</xdr:rowOff>
    </xdr:from>
    <xdr:to>
      <xdr:col>4</xdr:col>
      <xdr:colOff>333375</xdr:colOff>
      <xdr:row>5</xdr:row>
      <xdr:rowOff>104775</xdr:rowOff>
    </xdr:to>
    <xdr:sp macro="" textlink="">
      <xdr:nvSpPr>
        <xdr:cNvPr id="2110662" name="Freeform 211"/>
        <xdr:cNvSpPr>
          <a:spLocks/>
        </xdr:cNvSpPr>
      </xdr:nvSpPr>
      <xdr:spPr bwMode="auto">
        <a:xfrm>
          <a:off x="5086350" y="1000125"/>
          <a:ext cx="180975" cy="381000"/>
        </a:xfrm>
        <a:custGeom>
          <a:avLst/>
          <a:gdLst>
            <a:gd name="T0" fmla="*/ 2147483647 w 19"/>
            <a:gd name="T1" fmla="*/ 2147483647 h 44"/>
            <a:gd name="T2" fmla="*/ 2147483647 w 19"/>
            <a:gd name="T3" fmla="*/ 2147483647 h 44"/>
            <a:gd name="T4" fmla="*/ 0 w 19"/>
            <a:gd name="T5" fmla="*/ 0 h 44"/>
            <a:gd name="T6" fmla="*/ 2147483647 w 19"/>
            <a:gd name="T7" fmla="*/ 2147483647 h 44"/>
            <a:gd name="T8" fmla="*/ 0 60000 65536"/>
            <a:gd name="T9" fmla="*/ 0 60000 65536"/>
            <a:gd name="T10" fmla="*/ 0 60000 65536"/>
            <a:gd name="T11" fmla="*/ 0 60000 65536"/>
            <a:gd name="T12" fmla="*/ 0 w 19"/>
            <a:gd name="T13" fmla="*/ 0 h 44"/>
            <a:gd name="T14" fmla="*/ 19 w 19"/>
            <a:gd name="T15" fmla="*/ 44 h 44"/>
          </a:gdLst>
          <a:ahLst/>
          <a:cxnLst>
            <a:cxn ang="T8">
              <a:pos x="T0" y="T1"/>
            </a:cxn>
            <a:cxn ang="T9">
              <a:pos x="T2" y="T3"/>
            </a:cxn>
            <a:cxn ang="T10">
              <a:pos x="T4" y="T5"/>
            </a:cxn>
            <a:cxn ang="T11">
              <a:pos x="T6" y="T7"/>
            </a:cxn>
          </a:cxnLst>
          <a:rect l="T12" t="T13" r="T14" b="T15"/>
          <a:pathLst>
            <a:path w="19" h="44">
              <a:moveTo>
                <a:pt x="19" y="44"/>
              </a:moveTo>
              <a:lnTo>
                <a:pt x="19" y="43"/>
              </a:lnTo>
              <a:lnTo>
                <a:pt x="0" y="0"/>
              </a:lnTo>
              <a:lnTo>
                <a:pt x="19" y="44"/>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333375</xdr:colOff>
      <xdr:row>5</xdr:row>
      <xdr:rowOff>114300</xdr:rowOff>
    </xdr:from>
    <xdr:to>
      <xdr:col>4</xdr:col>
      <xdr:colOff>333375</xdr:colOff>
      <xdr:row>21</xdr:row>
      <xdr:rowOff>123825</xdr:rowOff>
    </xdr:to>
    <xdr:sp macro="" textlink="">
      <xdr:nvSpPr>
        <xdr:cNvPr id="2110663" name="Line 249"/>
        <xdr:cNvSpPr>
          <a:spLocks noChangeShapeType="1"/>
        </xdr:cNvSpPr>
      </xdr:nvSpPr>
      <xdr:spPr bwMode="auto">
        <a:xfrm>
          <a:off x="5267325" y="1390650"/>
          <a:ext cx="0" cy="3324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581025</xdr:colOff>
      <xdr:row>5</xdr:row>
      <xdr:rowOff>114300</xdr:rowOff>
    </xdr:from>
    <xdr:to>
      <xdr:col>4</xdr:col>
      <xdr:colOff>581025</xdr:colOff>
      <xdr:row>21</xdr:row>
      <xdr:rowOff>123825</xdr:rowOff>
    </xdr:to>
    <xdr:sp macro="" textlink="">
      <xdr:nvSpPr>
        <xdr:cNvPr id="2110664" name="Line 251"/>
        <xdr:cNvSpPr>
          <a:spLocks noChangeShapeType="1"/>
        </xdr:cNvSpPr>
      </xdr:nvSpPr>
      <xdr:spPr bwMode="auto">
        <a:xfrm>
          <a:off x="5514975" y="1390650"/>
          <a:ext cx="0" cy="3324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19</xdr:row>
      <xdr:rowOff>38100</xdr:rowOff>
    </xdr:from>
    <xdr:to>
      <xdr:col>4</xdr:col>
      <xdr:colOff>581025</xdr:colOff>
      <xdr:row>19</xdr:row>
      <xdr:rowOff>38100</xdr:rowOff>
    </xdr:to>
    <xdr:sp macro="" textlink="">
      <xdr:nvSpPr>
        <xdr:cNvPr id="2110665" name="Line 252"/>
        <xdr:cNvSpPr>
          <a:spLocks noChangeShapeType="1"/>
        </xdr:cNvSpPr>
      </xdr:nvSpPr>
      <xdr:spPr bwMode="auto">
        <a:xfrm>
          <a:off x="5267325" y="421957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17</xdr:row>
      <xdr:rowOff>0</xdr:rowOff>
    </xdr:from>
    <xdr:to>
      <xdr:col>4</xdr:col>
      <xdr:colOff>581025</xdr:colOff>
      <xdr:row>17</xdr:row>
      <xdr:rowOff>0</xdr:rowOff>
    </xdr:to>
    <xdr:sp macro="" textlink="">
      <xdr:nvSpPr>
        <xdr:cNvPr id="2110666" name="Line 253"/>
        <xdr:cNvSpPr>
          <a:spLocks noChangeShapeType="1"/>
        </xdr:cNvSpPr>
      </xdr:nvSpPr>
      <xdr:spPr bwMode="auto">
        <a:xfrm>
          <a:off x="5267325" y="376237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14</xdr:row>
      <xdr:rowOff>180975</xdr:rowOff>
    </xdr:from>
    <xdr:to>
      <xdr:col>4</xdr:col>
      <xdr:colOff>581025</xdr:colOff>
      <xdr:row>14</xdr:row>
      <xdr:rowOff>180975</xdr:rowOff>
    </xdr:to>
    <xdr:sp macro="" textlink="">
      <xdr:nvSpPr>
        <xdr:cNvPr id="2110667" name="Line 254"/>
        <xdr:cNvSpPr>
          <a:spLocks noChangeShapeType="1"/>
        </xdr:cNvSpPr>
      </xdr:nvSpPr>
      <xdr:spPr bwMode="auto">
        <a:xfrm>
          <a:off x="5267325" y="33242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12</xdr:row>
      <xdr:rowOff>152400</xdr:rowOff>
    </xdr:from>
    <xdr:to>
      <xdr:col>4</xdr:col>
      <xdr:colOff>581025</xdr:colOff>
      <xdr:row>12</xdr:row>
      <xdr:rowOff>152400</xdr:rowOff>
    </xdr:to>
    <xdr:sp macro="" textlink="">
      <xdr:nvSpPr>
        <xdr:cNvPr id="2110668" name="Line 255"/>
        <xdr:cNvSpPr>
          <a:spLocks noChangeShapeType="1"/>
        </xdr:cNvSpPr>
      </xdr:nvSpPr>
      <xdr:spPr bwMode="auto">
        <a:xfrm>
          <a:off x="5267325" y="2876550"/>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10</xdr:row>
      <xdr:rowOff>95250</xdr:rowOff>
    </xdr:from>
    <xdr:to>
      <xdr:col>4</xdr:col>
      <xdr:colOff>581025</xdr:colOff>
      <xdr:row>10</xdr:row>
      <xdr:rowOff>95250</xdr:rowOff>
    </xdr:to>
    <xdr:sp macro="" textlink="">
      <xdr:nvSpPr>
        <xdr:cNvPr id="2110669" name="Line 256"/>
        <xdr:cNvSpPr>
          <a:spLocks noChangeShapeType="1"/>
        </xdr:cNvSpPr>
      </xdr:nvSpPr>
      <xdr:spPr bwMode="auto">
        <a:xfrm>
          <a:off x="5267325" y="2400300"/>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8</xdr:row>
      <xdr:rowOff>28575</xdr:rowOff>
    </xdr:from>
    <xdr:to>
      <xdr:col>4</xdr:col>
      <xdr:colOff>581025</xdr:colOff>
      <xdr:row>8</xdr:row>
      <xdr:rowOff>28575</xdr:rowOff>
    </xdr:to>
    <xdr:sp macro="" textlink="">
      <xdr:nvSpPr>
        <xdr:cNvPr id="2110670" name="Line 257"/>
        <xdr:cNvSpPr>
          <a:spLocks noChangeShapeType="1"/>
        </xdr:cNvSpPr>
      </xdr:nvSpPr>
      <xdr:spPr bwMode="auto">
        <a:xfrm>
          <a:off x="5267325" y="19145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333375</xdr:colOff>
      <xdr:row>5</xdr:row>
      <xdr:rowOff>104775</xdr:rowOff>
    </xdr:from>
    <xdr:to>
      <xdr:col>4</xdr:col>
      <xdr:colOff>581025</xdr:colOff>
      <xdr:row>5</xdr:row>
      <xdr:rowOff>104775</xdr:rowOff>
    </xdr:to>
    <xdr:sp macro="" textlink="">
      <xdr:nvSpPr>
        <xdr:cNvPr id="2110671" name="Line 258"/>
        <xdr:cNvSpPr>
          <a:spLocks noChangeShapeType="1"/>
        </xdr:cNvSpPr>
      </xdr:nvSpPr>
      <xdr:spPr bwMode="auto">
        <a:xfrm>
          <a:off x="5267325" y="1381125"/>
          <a:ext cx="247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323850</xdr:colOff>
      <xdr:row>5</xdr:row>
      <xdr:rowOff>9525</xdr:rowOff>
    </xdr:from>
    <xdr:to>
      <xdr:col>10</xdr:col>
      <xdr:colOff>1390650</xdr:colOff>
      <xdr:row>24</xdr:row>
      <xdr:rowOff>200025</xdr:rowOff>
    </xdr:to>
    <xdr:graphicFrame macro="">
      <xdr:nvGraphicFramePr>
        <xdr:cNvPr id="2110672"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80</xdr:row>
      <xdr:rowOff>0</xdr:rowOff>
    </xdr:from>
    <xdr:to>
      <xdr:col>10</xdr:col>
      <xdr:colOff>123825</xdr:colOff>
      <xdr:row>80</xdr:row>
      <xdr:rowOff>0</xdr:rowOff>
    </xdr:to>
    <xdr:sp macro="" textlink="">
      <xdr:nvSpPr>
        <xdr:cNvPr id="1952109" name="Line 2"/>
        <xdr:cNvSpPr>
          <a:spLocks noChangeShapeType="1"/>
        </xdr:cNvSpPr>
      </xdr:nvSpPr>
      <xdr:spPr bwMode="auto">
        <a:xfrm>
          <a:off x="6381750" y="207835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1952110" name="Line 2"/>
        <xdr:cNvSpPr>
          <a:spLocks noChangeShapeType="1"/>
        </xdr:cNvSpPr>
      </xdr:nvSpPr>
      <xdr:spPr bwMode="auto">
        <a:xfrm>
          <a:off x="6381750" y="386429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1952111" name="Line 3"/>
        <xdr:cNvSpPr>
          <a:spLocks noChangeShapeType="1"/>
        </xdr:cNvSpPr>
      </xdr:nvSpPr>
      <xdr:spPr bwMode="auto">
        <a:xfrm>
          <a:off x="6381750" y="38642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1952112" name="Line 2"/>
        <xdr:cNvSpPr>
          <a:spLocks noChangeShapeType="1"/>
        </xdr:cNvSpPr>
      </xdr:nvSpPr>
      <xdr:spPr bwMode="auto">
        <a:xfrm>
          <a:off x="6381750" y="386429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1952113" name="Line 3"/>
        <xdr:cNvSpPr>
          <a:spLocks noChangeShapeType="1"/>
        </xdr:cNvSpPr>
      </xdr:nvSpPr>
      <xdr:spPr bwMode="auto">
        <a:xfrm>
          <a:off x="6381750" y="38642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1952114" name="Line 2"/>
        <xdr:cNvSpPr>
          <a:spLocks noChangeShapeType="1"/>
        </xdr:cNvSpPr>
      </xdr:nvSpPr>
      <xdr:spPr bwMode="auto">
        <a:xfrm>
          <a:off x="6381750" y="386429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1952115" name="Line 3"/>
        <xdr:cNvSpPr>
          <a:spLocks noChangeShapeType="1"/>
        </xdr:cNvSpPr>
      </xdr:nvSpPr>
      <xdr:spPr bwMode="auto">
        <a:xfrm>
          <a:off x="6381750" y="38642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123825</xdr:colOff>
      <xdr:row>148</xdr:row>
      <xdr:rowOff>0</xdr:rowOff>
    </xdr:to>
    <xdr:sp macro="" textlink="">
      <xdr:nvSpPr>
        <xdr:cNvPr id="1952116" name="Line 2"/>
        <xdr:cNvSpPr>
          <a:spLocks noChangeShapeType="1"/>
        </xdr:cNvSpPr>
      </xdr:nvSpPr>
      <xdr:spPr bwMode="auto">
        <a:xfrm>
          <a:off x="6381750" y="38642925"/>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148</xdr:row>
      <xdr:rowOff>0</xdr:rowOff>
    </xdr:from>
    <xdr:to>
      <xdr:col>10</xdr:col>
      <xdr:colOff>0</xdr:colOff>
      <xdr:row>148</xdr:row>
      <xdr:rowOff>0</xdr:rowOff>
    </xdr:to>
    <xdr:sp macro="" textlink="">
      <xdr:nvSpPr>
        <xdr:cNvPr id="1952117" name="Line 3"/>
        <xdr:cNvSpPr>
          <a:spLocks noChangeShapeType="1"/>
        </xdr:cNvSpPr>
      </xdr:nvSpPr>
      <xdr:spPr bwMode="auto">
        <a:xfrm>
          <a:off x="6381750" y="38642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111</xdr:row>
      <xdr:rowOff>0</xdr:rowOff>
    </xdr:from>
    <xdr:to>
      <xdr:col>10</xdr:col>
      <xdr:colOff>123825</xdr:colOff>
      <xdr:row>111</xdr:row>
      <xdr:rowOff>0</xdr:rowOff>
    </xdr:to>
    <xdr:sp macro="" textlink="">
      <xdr:nvSpPr>
        <xdr:cNvPr id="1821305" name="Line 2"/>
        <xdr:cNvSpPr>
          <a:spLocks noChangeShapeType="1"/>
        </xdr:cNvSpPr>
      </xdr:nvSpPr>
      <xdr:spPr bwMode="auto">
        <a:xfrm>
          <a:off x="6372225" y="293179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xdr:row>
      <xdr:rowOff>9525</xdr:rowOff>
    </xdr:from>
    <xdr:to>
      <xdr:col>10</xdr:col>
      <xdr:colOff>0</xdr:colOff>
      <xdr:row>2</xdr:row>
      <xdr:rowOff>9525</xdr:rowOff>
    </xdr:to>
    <xdr:sp macro="" textlink="">
      <xdr:nvSpPr>
        <xdr:cNvPr id="1821306" name="Line 3"/>
        <xdr:cNvSpPr>
          <a:spLocks noChangeShapeType="1"/>
        </xdr:cNvSpPr>
      </xdr:nvSpPr>
      <xdr:spPr bwMode="auto">
        <a:xfrm>
          <a:off x="6372225" y="504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821307"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821308"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821309"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821310"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821311"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821312"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123825</xdr:colOff>
      <xdr:row>177</xdr:row>
      <xdr:rowOff>0</xdr:rowOff>
    </xdr:to>
    <xdr:sp macro="" textlink="">
      <xdr:nvSpPr>
        <xdr:cNvPr id="1821313" name="Line 2"/>
        <xdr:cNvSpPr>
          <a:spLocks noChangeShapeType="1"/>
        </xdr:cNvSpPr>
      </xdr:nvSpPr>
      <xdr:spPr bwMode="auto">
        <a:xfrm>
          <a:off x="6372225" y="46272450"/>
          <a:ext cx="123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177</xdr:row>
      <xdr:rowOff>0</xdr:rowOff>
    </xdr:from>
    <xdr:to>
      <xdr:col>10</xdr:col>
      <xdr:colOff>0</xdr:colOff>
      <xdr:row>177</xdr:row>
      <xdr:rowOff>0</xdr:rowOff>
    </xdr:to>
    <xdr:sp macro="" textlink="">
      <xdr:nvSpPr>
        <xdr:cNvPr id="1821314" name="Line 3"/>
        <xdr:cNvSpPr>
          <a:spLocks noChangeShapeType="1"/>
        </xdr:cNvSpPr>
      </xdr:nvSpPr>
      <xdr:spPr bwMode="auto">
        <a:xfrm>
          <a:off x="6372225" y="4627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inh/Downloads/theo%20doi%20ho%20so%20c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20Quyet/Ctr%2063%20Le%20Van%20Luong/Thanh%20toan%20lan%2001%20-%20319.5/Bien%20ban%20nghiem%20thu/Bien%20ban%20nghiem%20thu%20coc%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ministrator.PC/Desktop/Long/theo%20doi%20ho%20so%20CT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20binh/1.%20Cong%20viec/9.Hafico/9.3.%20Theo%20doi-%20thanh%20toan/319.5/11.%20Thanh%20toan%20lan%209/11-04-2013/BBNT/NT%20kien%20truc/BBNT%20%20xay%20tuong%20bien%20ban%20lay%20mau%20vu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New%20folder%20(3)/t&#244;&#777;ng%20h&#417;&#803;p%20ca&#769;c%20coc/53.A5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dministrator/Downloads/Bieu%20goi%20thau%20khoan%20nhoi%20-%20ban%20ktra%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MYWAYHALONG/HO%20SO/H&#244;&#768;%20s&#417;%20co&#803;c/update/Update%20tong%20hop%20ly%20lich%20coc.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V-Work/MyWayHaLong/H&#7891;%20S&#417;/H&#244;&#768;%20s&#417;%20co&#803;c/update/Update%20tong%20hop%20ly%20lich%20coc.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dministrator/Dropbox/QN-t5-2016/BBNT/1.%20Mau%20hs%20co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mục cc máy"/>
      <sheetName val="1.QLHS"/>
      <sheetName val="2.HSKT"/>
      <sheetName val="3.CV&amp;TKT"/>
      <sheetName val="4.HS&amp;TL"/>
      <sheetName val="5.QLCP"/>
      <sheetName val="6.VAT TU"/>
      <sheetName val="DATA"/>
      <sheetName val="NHAT KY THI CONG"/>
      <sheetName val="THU KY THUAT"/>
      <sheetName val="HOP GIAO BAN"/>
      <sheetName val="BAO CAO TUAN"/>
      <sheetName val="CONG VAN DI"/>
      <sheetName val="CONG VAN DEN"/>
      <sheetName val="TAI LIEU"/>
      <sheetName val="BBNT VL DIEN"/>
      <sheetName val="BBLM XI MANG"/>
      <sheetName val="BBNT VL VUA"/>
      <sheetName val="BBNT VL XI MANG"/>
      <sheetName val="BBLM CAT"/>
      <sheetName val="BBNT VL CAT"/>
      <sheetName val="BBLM GACH"/>
      <sheetName val="BBNT VL GACH"/>
      <sheetName val="BBLM THEP"/>
      <sheetName val="BBNT VLTHEP"/>
      <sheetName val="BBLM XAY TRONG"/>
      <sheetName val="BBNT XAY TRONG"/>
      <sheetName val="BBLM XAY NGOAI"/>
      <sheetName val="BBNT VL CHONG THAM "/>
      <sheetName val="BBNT CHONG THAM"/>
      <sheetName val="BBNT VL COC TRE"/>
      <sheetName val="BBNT DONG COC TRE"/>
      <sheetName val="BBLM TRAT NGOAI"/>
      <sheetName val="BBNT TRAT NGOAI"/>
      <sheetName val="BBLM TRAT TRONG"/>
      <sheetName val="BBNT TRAT TRONG"/>
      <sheetName val="BBNT BE MAT BETONG "/>
      <sheetName val="BBNT COT THEP"/>
      <sheetName val="BBNT COPPHA"/>
      <sheetName val="BBNT DAP CAT"/>
      <sheetName val="BBNT-DAODAT"/>
      <sheetName val="BBNT BETONG"/>
      <sheetName val="BBNT TRAC DAC TX"/>
      <sheetName val="BBNT TRAC DAC"/>
      <sheetName val="BBNT DIEN"/>
      <sheetName val="BBNT GIAO NGOAI"/>
      <sheetName val="BB COC VE CT"/>
      <sheetName val="BBNT CDC"/>
      <sheetName val="NHẬT KÝ ÉP CỌC"/>
      <sheetName val="CAT"/>
      <sheetName val="XI MANG"/>
      <sheetName val="GACH"/>
      <sheetName val="DIEN"/>
      <sheetName val="THEP"/>
      <sheetName val="LMBT"/>
      <sheetName val="BBLM-BT"/>
      <sheetName val="g"/>
      <sheetName val="THU NGHIEM CAP PHOI"/>
      <sheetName val="FILE IN-VL CHONG THAM"/>
      <sheetName val="FILE IN VUA"/>
      <sheetName val="FILE IN-XM"/>
      <sheetName val="FILE IN-CAT"/>
      <sheetName val="FILE IN-GACH"/>
      <sheetName val="FILE IN-DIEN"/>
      <sheetName val="FILE IN-THEP"/>
      <sheetName val="FILE IN-COC TRE"/>
      <sheetName val="FILE IN-TRAC DAC TX"/>
      <sheetName val="FILE IN-TRAC DAC"/>
      <sheetName val="FILE-IN DAO DAT"/>
      <sheetName val="FILE IN-BE MAT BETONG"/>
      <sheetName val="FILE IN-COT THEP"/>
      <sheetName val="FILE IN-COP PHA"/>
      <sheetName val="FILE IN-XAYTRONG"/>
      <sheetName val="FILE IN-TRATNGOAI"/>
      <sheetName val="FILE IN-TRATTRONG"/>
      <sheetName val="FILE IN-TRATTRONG1(thay)"/>
      <sheetName val="FILE IN-LAP DIEN"/>
      <sheetName val="FILE IN-CHONG THAM"/>
      <sheetName val="FILE IN-ĐONG COC TRE"/>
      <sheetName val="FILE IN-DAP CAT"/>
      <sheetName val="FILE IN-BETONG"/>
      <sheetName val="FILE IN-COCVECT"/>
      <sheetName val="FILE IN NHAT KY EP COC"/>
      <sheetName val="FILE-IN CDC"/>
      <sheetName val="BB LMV"/>
      <sheetName val="DM HSPL"/>
      <sheetName val="DM HSPL(DOT1)"/>
      <sheetName val="DM HSPL(DOT2)"/>
      <sheetName val="Vinaincon"/>
      <sheetName val="DANH MUC HO SO"/>
      <sheetName val="DM MAYMOCTB(DOT 1)"/>
      <sheetName val="DM MAY MOC"/>
      <sheetName val="DM VLDV"/>
      <sheetName val="DM,VL,CK,TB"/>
      <sheetName val="TKBB NTVL,CK,TB"/>
      <sheetName val="DM BBNT VL"/>
      <sheetName val="DM BBNT CVXD 4"/>
      <sheetName val="DM BBNT CVXD 3"/>
      <sheetName val="DM BBNT CVXD (2)"/>
      <sheetName val="DM BBNT CVXD"/>
      <sheetName val="DANH MUC BB XLTK"/>
      <sheetName val="DM HO SO EP COC"/>
      <sheetName val="BB xac dinh moc gui"/>
      <sheetName val="BB XU LY HIEN TRUOG"/>
      <sheetName val="File in-PYC"/>
      <sheetName val="PYC"/>
      <sheetName val="Gay HS"/>
      <sheetName val="Gay HS1"/>
      <sheetName val="checklist-KTcoc"/>
      <sheetName val="BBNT-GIAIDOAN-03"/>
      <sheetName val="TrinhMau-VL"/>
      <sheetName val="BGKCC"/>
      <sheetName val="FILE-IN-BBNT-GD"/>
      <sheetName val="FILE-IN-GĐĐ"/>
      <sheetName val="FILE-IN-GĐTG"/>
      <sheetName val="FILE-IN-GĐCTN"/>
      <sheetName val="FILE-IN-GĐCAM"/>
      <sheetName val="BBNT-GĐ"/>
      <sheetName val="LV-VL"/>
      <sheetName val="LaymauVua"/>
      <sheetName val="PhieutheodoiBT"/>
      <sheetName val="FILE-IN VL NUOC"/>
      <sheetName val="BBKT TKTA"/>
      <sheetName val="FILE-IN NUOC"/>
      <sheetName val="BBNT NUOC"/>
      <sheetName val="LĐT TB NUOC"/>
      <sheetName val="ĐĐKT TB NUOC"/>
      <sheetName val="LĐCT TB NUOC"/>
      <sheetName val="Xúc rửa, vệ sinh"/>
      <sheetName val="FILE IN GIAO NGOAI"/>
      <sheetName val="BBNT-GIAONGOAI"/>
      <sheetName val="NgayNTtuongxay"/>
      <sheetName val="Sheet5"/>
      <sheetName val="BB-laymauvua"/>
      <sheetName val="BB-laymauvuatt"/>
      <sheetName val="LMV"/>
      <sheetName val="BB-tratngoai"/>
      <sheetName val="FILE-IN THONG GIO"/>
      <sheetName val="BBNT THONG GIO"/>
      <sheetName val="FILE-IN LĐT TB"/>
      <sheetName val="FILE-IN ĐĐ TG"/>
      <sheetName val="FILE-IN LĐ TG"/>
      <sheetName val="FILE-IN VL ONG GIO"/>
      <sheetName val="BBNT VL ONG GIO"/>
      <sheetName val="FILE-In VL DN"/>
      <sheetName val="BBNT VL DN"/>
      <sheetName val="DM CV ME(DOT11)"/>
      <sheetName val="VL-ME(DOT11)"/>
      <sheetName val="DM BBNT VL ME(DOT11)"/>
      <sheetName val="DM CVXD DOT11"/>
      <sheetName val="VL-CVXD(DOT11)"/>
      <sheetName val="DM BBNT VLXD (DOT11)"/>
      <sheetName val="HO SO PL DOT 11"/>
      <sheetName val="DM XLTK(DOT11)"/>
      <sheetName val="DM DN $ TG"/>
      <sheetName val="FILE-IN CVDN"/>
      <sheetName val="FILE-IN LĐT DN"/>
      <sheetName val="BBNT CVDN"/>
      <sheetName val="FILE-IN DA"/>
      <sheetName val="BBNT VL DA"/>
      <sheetName val="FILE-IN LANG NEN"/>
      <sheetName val="BBNT LANG NEN"/>
      <sheetName val="FILE-IN CHTHAM"/>
      <sheetName val="BBNT CHTHAM"/>
      <sheetName val="FILE-IN OP LAT"/>
      <sheetName val="BBNT OP LAT"/>
      <sheetName val="FILE-IN CNK, CCC"/>
      <sheetName val="BBNT CNK, CCC"/>
      <sheetName val="FILE-IN VL NK"/>
      <sheetName val="BBNT VL NK"/>
      <sheetName val="FILE-IN VL GO"/>
      <sheetName val="BBNT VL GO"/>
      <sheetName val="FILE-IN CV CUA GO"/>
      <sheetName val="BBNT CV CUA GO"/>
      <sheetName val="FILE-IN VL SON"/>
      <sheetName val="BBNT VL SON"/>
      <sheetName val="FILE-IN LC"/>
      <sheetName val="BBNT LC"/>
      <sheetName val="FILE-IN CV SON"/>
      <sheetName val="BBNT CV SON"/>
      <sheetName val="FILE-IN VLCT"/>
      <sheetName val="BBNT VLCT"/>
      <sheetName val="FILE-IN VL CAM"/>
      <sheetName val="FILE-IN CAM"/>
      <sheetName val="BBNT CAM"/>
      <sheetName val="FILE-IN LĐT CAM"/>
      <sheetName val="FILE-IN ĐĐ CMR"/>
      <sheetName val="FILE-IN LĐ CT CMR"/>
      <sheetName val="FILE-IN LĐ-CMR"/>
      <sheetName val="LIST CAM"/>
      <sheetName val="FILE-IN TTC"/>
      <sheetName val="BBNT TTC"/>
      <sheetName val="FILE-IN VL TTC"/>
      <sheetName val="FILE-IN TU BEP"/>
      <sheetName val="FILE-IN VL TU BEP"/>
      <sheetName val="BBNT TU BEP"/>
      <sheetName val="FILE-IN VC"/>
      <sheetName val="BBNT VC"/>
      <sheetName val="FILE-IN KCT"/>
      <sheetName val="BBNT KCT"/>
      <sheetName val="FILE-IN CHUNG"/>
      <sheetName val="BBNT CHUNG"/>
    </sheetNames>
    <sheetDataSet>
      <sheetData sheetId="0"/>
      <sheetData sheetId="1"/>
      <sheetData sheetId="2"/>
      <sheetData sheetId="3"/>
      <sheetData sheetId="4"/>
      <sheetData sheetId="5"/>
      <sheetData sheetId="6"/>
      <sheetData sheetId="7">
        <row r="3">
          <cell r="B3" t="str">
            <v>CÔNG TY CP HỒNG HÀ VIỆT NAM</v>
          </cell>
        </row>
        <row r="4">
          <cell r="B4" t="str">
            <v>CỘNG HÒA XÃ HỘI CHỦ NGHĨA VIỆT NAM</v>
          </cell>
        </row>
        <row r="5">
          <cell r="B5" t="str">
            <v>ĐỘC LẬP-TỰ DO -HẠNH PHÚC</v>
          </cell>
          <cell r="D5" t="str">
            <v>b) Đại diện đơn vị thi công : Công ty Cổ phần Hồng Hà Việt Nam</v>
          </cell>
        </row>
        <row r="6">
          <cell r="B6" t="str">
            <v>XÂY DỰNG NHÀ Ở XÃ HỘI ĐỂ BÁN VÀ CHO THUÊ</v>
          </cell>
          <cell r="D6" t="str">
            <v>b) Đơn vị thi công trực tiếp : Công ty Cổ phần Hồng Hà Việt Nam</v>
          </cell>
        </row>
        <row r="7">
          <cell r="B7" t="str">
            <v>CT6</v>
          </cell>
          <cell r="D7" t="str">
            <v>a) Bộ phận KCS của Nhà thầu: Công ty Cổ Phần Hồng Hà Việt Nam.</v>
          </cell>
        </row>
        <row r="8">
          <cell r="B8" t="str">
            <v>THI CÔNG XÂY DỰNG,CUNG CẤP VÀ LẮP ĐẶT THIẾT BỊ</v>
          </cell>
        </row>
        <row r="9">
          <cell r="B9" t="str">
            <v>Ô ĐẤT N04, N03B - KHU ĐTM TỨ HIỆP, XÃ TỨ HIỆP, HUYỆN THANH TRÌ,TP HÀ NỘI</v>
          </cell>
        </row>
        <row r="10">
          <cell r="B10" t="str">
            <v>THI CÔNG BỂ NƯỚC NGẦM</v>
          </cell>
        </row>
        <row r="11">
          <cell r="B11" t="str">
            <v>THI CÔNG CỌC VÀ MÓNG ĐẾN CỐT ± 0.000</v>
          </cell>
        </row>
        <row r="12">
          <cell r="B12" t="str">
            <v>a) Đơn vị giám sát TC: Công ty Cổ phần TEXO tư vấn và đầu tư</v>
          </cell>
        </row>
        <row r="13">
          <cell r="B13" t="str">
            <v>-Tại công trình: CT6 - Khu ĐTM Tứ Hiệp - Xã Tứ Hiệp - Thanh Trì - Hà Nội</v>
          </cell>
        </row>
        <row r="14">
          <cell r="B14" t="str">
            <v>- Hợp đồng thi công XD số 19/2014/HĐXD/THHHDK-HHVN ngày 03 tháng 11 năm 2014.</v>
          </cell>
        </row>
        <row r="17">
          <cell r="B17" t="str">
            <v>c) Đơn vị lấy mẫu: Công ty CPĐT Sông Đà - Việt Đức</v>
          </cell>
        </row>
        <row r="18">
          <cell r="B18" t="str">
            <v>c) Đơn vị lấy mẫu: Phòng Las-xd888 - Công ty CP RDGROUP</v>
          </cell>
        </row>
        <row r="20">
          <cell r="B20" t="str">
            <v>c) Đơn vị lấy mẫu : Công ty TNHH một thành viên TRANSMECO</v>
          </cell>
        </row>
        <row r="23">
          <cell r="B23" t="str">
            <v>HỒ SƠ KỸ THUẬT</v>
          </cell>
        </row>
        <row r="24">
          <cell r="B24" t="str">
            <v>NHẬT KÝ CÔNG TRÌNH</v>
          </cell>
        </row>
        <row r="25">
          <cell r="B25" t="str">
            <v>HỌP GIAO BAN TUẦN</v>
          </cell>
        </row>
        <row r="26">
          <cell r="B26" t="str">
            <v>BÁO CÁO TUẦN</v>
          </cell>
        </row>
        <row r="27">
          <cell r="B27" t="str">
            <v>BIÊN BẢN NGHIỆM THU</v>
          </cell>
          <cell r="D27" t="str">
            <v>BIÊN BẢN NGHIỆM THU VẬT LIỆU</v>
          </cell>
        </row>
        <row r="28">
          <cell r="D28" t="str">
            <v>BBNT GẠCH</v>
          </cell>
          <cell r="F28" t="str">
            <v>BBLM GACH</v>
          </cell>
        </row>
        <row r="29">
          <cell r="D29" t="str">
            <v>BBNT CÁT</v>
          </cell>
          <cell r="F29" t="str">
            <v>BBLM CAT</v>
          </cell>
        </row>
        <row r="30">
          <cell r="D30" t="str">
            <v>BBNT XI MĂNG</v>
          </cell>
          <cell r="F30" t="str">
            <v>BBLM XM</v>
          </cell>
        </row>
        <row r="31">
          <cell r="D31" t="str">
            <v>BBNT VẬT LIỆU ĐIỆN</v>
          </cell>
        </row>
        <row r="32">
          <cell r="D32" t="str">
            <v>BBNT VẬT LIỆU THÉP</v>
          </cell>
        </row>
        <row r="33">
          <cell r="D33" t="str">
            <v>BIÊN BẢN NGHIỆM THU KỸ THUẬT</v>
          </cell>
        </row>
        <row r="34">
          <cell r="D34" t="str">
            <v>BBNT TRẮC ĐẠC</v>
          </cell>
        </row>
        <row r="35">
          <cell r="D35" t="str">
            <v>BBNT CỐP PHA</v>
          </cell>
          <cell r="F35" t="str">
            <v>BBLMV-XN</v>
          </cell>
        </row>
        <row r="36">
          <cell r="D36" t="str">
            <v>BBNT XÂY TRONG</v>
          </cell>
          <cell r="F36" t="str">
            <v>BBLMV+XT</v>
          </cell>
        </row>
        <row r="37">
          <cell r="D37" t="str">
            <v>BBNT TRÁT TRONG</v>
          </cell>
          <cell r="F37" t="str">
            <v>BBLMV+TT</v>
          </cell>
        </row>
        <row r="38">
          <cell r="D38" t="str">
            <v>BBNT TRÁT NGOÀI</v>
          </cell>
          <cell r="F38" t="str">
            <v>BBLMV+TN</v>
          </cell>
        </row>
        <row r="40">
          <cell r="F40" t="str">
            <v>BB CỐT THÉP</v>
          </cell>
        </row>
        <row r="41">
          <cell r="F41" t="str">
            <v>BB BÊ TÔNG</v>
          </cell>
        </row>
        <row r="42">
          <cell r="D42" t="str">
            <v>BBNT GIÁO NGOÀI</v>
          </cell>
        </row>
        <row r="43">
          <cell r="D43" t="str">
            <v>BBNT ĐIỆN</v>
          </cell>
        </row>
        <row r="47">
          <cell r="B47" t="str">
            <v xml:space="preserve"> CÔNG VĂN VÀ THƯ KỸ THUẬT</v>
          </cell>
          <cell r="D47" t="str">
            <v>TÀI LIỆU VÀ HỒ SƠ</v>
          </cell>
        </row>
        <row r="48">
          <cell r="B48" t="str">
            <v>CÔNG VĂN ĐI</v>
          </cell>
          <cell r="D48" t="str">
            <v>TÀI LIỆU</v>
          </cell>
        </row>
        <row r="49">
          <cell r="B49" t="str">
            <v>CÔNG VĂN ĐẾN</v>
          </cell>
          <cell r="D49" t="str">
            <v>HỒ SƠ</v>
          </cell>
          <cell r="F49" t="str">
            <v>HỒ SƠ PHÁP LÝ</v>
          </cell>
        </row>
        <row r="50">
          <cell r="B50" t="str">
            <v>THƯ KỸ THUẬT</v>
          </cell>
          <cell r="F50" t="str">
            <v>BẢN VẼ CÔNG TRÌNH</v>
          </cell>
          <cell r="H50" t="str">
            <v>FILE BAN VE GOC</v>
          </cell>
        </row>
        <row r="51">
          <cell r="H51" t="str">
            <v>BAN VE SHOP</v>
          </cell>
        </row>
        <row r="52">
          <cell r="F52" t="str">
            <v>HỒ SƠ THANH TOÁN</v>
          </cell>
        </row>
        <row r="55">
          <cell r="B55" t="str">
            <v>QUẢN LÝ CHI PHÍ</v>
          </cell>
          <cell r="G55" t="str">
            <v>VẬT TƯ VỀ CÔNG TRÌNH</v>
          </cell>
        </row>
        <row r="56">
          <cell r="B56" t="str">
            <v>CHUẨN BỊ BAN ĐẦU</v>
          </cell>
          <cell r="D56" t="str">
            <v>DỰ TOÁN THI CÔNG</v>
          </cell>
          <cell r="G56" t="str">
            <v>GẠCH</v>
          </cell>
        </row>
        <row r="57">
          <cell r="D57" t="str">
            <v>PHƯƠNG ÁN TÀI CHÍNH</v>
          </cell>
          <cell r="G57" t="str">
            <v>XI MĂNG</v>
          </cell>
        </row>
        <row r="58">
          <cell r="D58" t="str">
            <v>KẾ HOẠCH VỐN</v>
          </cell>
          <cell r="G58" t="str">
            <v>CÁT</v>
          </cell>
        </row>
        <row r="59">
          <cell r="B59" t="str">
            <v>DỰ TRÙ TC +SẢN LƯỢNG &amp; KẾ HOẠCH THÁNG</v>
          </cell>
          <cell r="D59" t="str">
            <v>DỰ TRÙ TÀI CHÍNH</v>
          </cell>
          <cell r="G59" t="str">
            <v>THÉP</v>
          </cell>
        </row>
        <row r="60">
          <cell r="D60" t="str">
            <v>SẢN LƯỢNG &amp; KẾ HOẠCH THÁNG</v>
          </cell>
          <cell r="G60" t="str">
            <v>ĐIỆN</v>
          </cell>
        </row>
        <row r="61">
          <cell r="B61" t="str">
            <v>THEO DÕI KHỐI LƯỢNG NHÂN CÔNG VÀ THẦU PHỤ</v>
          </cell>
          <cell r="D61" t="str">
            <v>KHỐI LƯỢNG NHÂN CÔNG</v>
          </cell>
        </row>
        <row r="62">
          <cell r="D62" t="str">
            <v>KHỐI LƯỢNG THẦU PHỤ</v>
          </cell>
        </row>
        <row r="63">
          <cell r="B63" t="str">
            <v>THEO DÕI KHỐI LƯỢNG THANH TOÁN A-B</v>
          </cell>
        </row>
        <row r="64">
          <cell r="B64" t="str">
            <v>CÔNG NỢ-TIỀN ỨNG -CHỨNG TỪ...</v>
          </cell>
          <cell r="D64" t="str">
            <v>BÁO CÁO</v>
          </cell>
        </row>
        <row r="65">
          <cell r="D65" t="str">
            <v>A TRẢ-TẠM ỨNG</v>
          </cell>
        </row>
        <row r="66">
          <cell r="D66" t="str">
            <v>NGHIỆM THU A-B</v>
          </cell>
        </row>
        <row r="67">
          <cell r="D67" t="str">
            <v>TỔNG BÁO NỢ</v>
          </cell>
        </row>
        <row r="68">
          <cell r="D68" t="str">
            <v>BHYT&amp;BHXH</v>
          </cell>
        </row>
        <row r="69">
          <cell r="D69" t="str">
            <v xml:space="preserve">LÃI VAY </v>
          </cell>
        </row>
        <row r="70">
          <cell r="D70" t="str">
            <v>BẢNG TỔNG HỢP KÊ CÔNG NỢ-CHỨNG TỪ</v>
          </cell>
        </row>
        <row r="71">
          <cell r="D71" t="str">
            <v>CHI TIẾT CÔNG NỢ THẦU PHỤ VÀ NHÀ CUNG CẤP</v>
          </cell>
        </row>
        <row r="72">
          <cell r="D72" t="str">
            <v>TIỀN MẶT TẠM ỨNG TỪ CÔNG TY</v>
          </cell>
        </row>
        <row r="77">
          <cell r="B77" t="str">
            <v>................................</v>
          </cell>
          <cell r="C77" t="str">
            <v>................................</v>
          </cell>
          <cell r="D77" t="str">
            <v>Vương Toàn Hiếu</v>
          </cell>
          <cell r="E77" t="str">
            <v>Trưởng đoàn TVGS</v>
          </cell>
        </row>
        <row r="78">
          <cell r="B78" t="str">
            <v>Nguyễn Văn Nghiễm</v>
          </cell>
          <cell r="C78" t="str">
            <v>Cán bộ KCS</v>
          </cell>
          <cell r="D78" t="str">
            <v>Lê Thiều Nam</v>
          </cell>
          <cell r="E78" t="str">
            <v>Cán bộ TVGS</v>
          </cell>
        </row>
        <row r="79">
          <cell r="B79" t="str">
            <v>................................</v>
          </cell>
          <cell r="C79" t="str">
            <v>................................</v>
          </cell>
          <cell r="D79" t="str">
            <v>................................</v>
          </cell>
          <cell r="E79" t="str">
            <v>Cán bộ TVGS</v>
          </cell>
        </row>
        <row r="80">
          <cell r="C80" t="str">
            <v>Cán bộ Ban QLDA</v>
          </cell>
          <cell r="D80" t="str">
            <v>................................</v>
          </cell>
          <cell r="E80" t="str">
            <v>................................</v>
          </cell>
        </row>
        <row r="81">
          <cell r="E81" t="str">
            <v>CB TVGS</v>
          </cell>
        </row>
        <row r="84">
          <cell r="B84" t="str">
            <v>Nguyễn Ái Việt</v>
          </cell>
          <cell r="C84" t="str">
            <v>Chỉ huy trưởng</v>
          </cell>
        </row>
        <row r="85">
          <cell r="B85" t="str">
            <v>Hoàng Chiến Thắng</v>
          </cell>
          <cell r="C85" t="str">
            <v>P. Chỉ huy trưởng</v>
          </cell>
        </row>
        <row r="86">
          <cell r="B86" t="str">
            <v>Trịnh Quang Đức</v>
          </cell>
        </row>
        <row r="87">
          <cell r="B87" t="str">
            <v>Trần Ngọc Đại</v>
          </cell>
          <cell r="C87" t="str">
            <v>Cán bộ kỹ thuật</v>
          </cell>
        </row>
        <row r="88">
          <cell r="B88" t="str">
            <v>Nguyễn Hữu Đoàn</v>
          </cell>
        </row>
        <row r="89">
          <cell r="B89" t="str">
            <v>Phạm Trung Dũng</v>
          </cell>
        </row>
      </sheetData>
      <sheetData sheetId="8"/>
      <sheetData sheetId="9"/>
      <sheetData sheetId="10"/>
      <sheetData sheetId="11"/>
      <sheetData sheetId="12"/>
      <sheetData sheetId="13"/>
      <sheetData sheetId="14"/>
      <sheetData sheetId="15">
        <row r="10">
          <cell r="A10" t="str">
            <v>Đ-01</v>
          </cell>
          <cell r="B10" t="str">
            <v>-ống ghen</v>
          </cell>
          <cell r="C10" t="str">
            <v>Đ-01</v>
          </cell>
          <cell r="D10" t="str">
            <v>15h30'</v>
          </cell>
          <cell r="E10" t="str">
            <v>16h30'</v>
          </cell>
          <cell r="F10">
            <v>3</v>
          </cell>
          <cell r="G10">
            <v>12</v>
          </cell>
          <cell r="H10">
            <v>2012</v>
          </cell>
          <cell r="I10" t="str">
            <v>Hà Nội, ngày 3 tháng 12 năm 2012</v>
          </cell>
          <cell r="J10" t="str">
            <v>15h30' ngày 3 tháng 12 năm 2012</v>
          </cell>
          <cell r="K10" t="str">
            <v>16h30' ngày 3 tháng 12 năm 2012</v>
          </cell>
          <cell r="L10" t="str">
            <v>8h30'</v>
          </cell>
          <cell r="M10" t="str">
            <v>9h30'</v>
          </cell>
          <cell r="N10">
            <v>4</v>
          </cell>
          <cell r="O10">
            <v>12</v>
          </cell>
          <cell r="P10">
            <v>2012</v>
          </cell>
          <cell r="Q10" t="str">
            <v>Hà Nội, ngày 4 tháng 12 năm 2012</v>
          </cell>
          <cell r="R10" t="str">
            <v>8h30' ngày 4 tháng 12 năm 2012</v>
          </cell>
          <cell r="S10" t="str">
            <v>9h30' ngày 4 tháng 12 năm 2012</v>
          </cell>
          <cell r="T10" t="str">
            <v>8h30'</v>
          </cell>
          <cell r="U10" t="str">
            <v>4/12/2012; Giờ 8h30'</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Cán bộ TVGS</v>
          </cell>
          <cell r="AH10" t="str">
            <v>Nguyễn Ái Việt</v>
          </cell>
          <cell r="AI10" t="str">
            <v>Chỉ huy trưởng</v>
          </cell>
          <cell r="AJ10" t="str">
            <v>Hoàng Chiến Thắng</v>
          </cell>
          <cell r="AK10" t="str">
            <v>P. Chỉ huy trưởng</v>
          </cell>
          <cell r="AL10" t="str">
            <v>........................................</v>
          </cell>
          <cell r="AM10" t="str">
            <v>........................................</v>
          </cell>
          <cell r="AN10" t="str">
            <v>40 tấn</v>
          </cell>
          <cell r="AO10" t="str">
            <v>PCB30</v>
          </cell>
        </row>
        <row r="18">
          <cell r="A18">
            <v>1</v>
          </cell>
          <cell r="B18">
            <v>2</v>
          </cell>
          <cell r="C18">
            <v>3</v>
          </cell>
          <cell r="D18">
            <v>4</v>
          </cell>
          <cell r="E18">
            <v>5</v>
          </cell>
          <cell r="F18">
            <v>6</v>
          </cell>
          <cell r="G18">
            <v>7</v>
          </cell>
          <cell r="H18">
            <v>8</v>
          </cell>
          <cell r="I18">
            <v>9</v>
          </cell>
          <cell r="J18">
            <v>10</v>
          </cell>
          <cell r="K18">
            <v>11</v>
          </cell>
          <cell r="L18">
            <v>12</v>
          </cell>
          <cell r="M18">
            <v>13</v>
          </cell>
          <cell r="N18">
            <v>14</v>
          </cell>
          <cell r="O18">
            <v>15</v>
          </cell>
          <cell r="P18">
            <v>16</v>
          </cell>
          <cell r="Q18">
            <v>17</v>
          </cell>
          <cell r="R18">
            <v>18</v>
          </cell>
          <cell r="S18">
            <v>19</v>
          </cell>
          <cell r="T18">
            <v>20</v>
          </cell>
          <cell r="U18">
            <v>21</v>
          </cell>
          <cell r="V18">
            <v>22</v>
          </cell>
          <cell r="W18">
            <v>23</v>
          </cell>
          <cell r="X18">
            <v>24</v>
          </cell>
          <cell r="Y18">
            <v>25</v>
          </cell>
          <cell r="Z18">
            <v>26</v>
          </cell>
          <cell r="AA18">
            <v>27</v>
          </cell>
          <cell r="AB18">
            <v>28</v>
          </cell>
          <cell r="AC18">
            <v>29</v>
          </cell>
          <cell r="AD18">
            <v>30</v>
          </cell>
          <cell r="AE18">
            <v>31</v>
          </cell>
          <cell r="AF18">
            <v>32</v>
          </cell>
          <cell r="AG18">
            <v>33</v>
          </cell>
          <cell r="AH18">
            <v>34</v>
          </cell>
          <cell r="AI18">
            <v>35</v>
          </cell>
          <cell r="AJ18">
            <v>36</v>
          </cell>
          <cell r="AK18">
            <v>37</v>
          </cell>
          <cell r="AL18">
            <v>38</v>
          </cell>
          <cell r="AM18">
            <v>39</v>
          </cell>
          <cell r="AN18">
            <v>40</v>
          </cell>
          <cell r="AO18">
            <v>41</v>
          </cell>
          <cell r="AP18">
            <v>42</v>
          </cell>
        </row>
      </sheetData>
      <sheetData sheetId="16"/>
      <sheetData sheetId="17">
        <row r="1">
          <cell r="A1" t="str">
            <v>CÔNG TY CP HỒNG HÀ VIỆT NAM</v>
          </cell>
          <cell r="C1" t="str">
            <v>CỘNG HÒA XÃ HỘI CHỦ NGHĨA VIỆT NAM</v>
          </cell>
        </row>
        <row r="2">
          <cell r="C2" t="str">
            <v>ĐỘC LẬP-TỰ DO -HẠNH PHÚC</v>
          </cell>
        </row>
        <row r="4">
          <cell r="A4" t="str">
            <v>BBNT VUA</v>
          </cell>
          <cell r="AQ4" t="str">
            <v>FILE IN</v>
          </cell>
          <cell r="AR4" t="str">
            <v>KHỐI LƯỢNG</v>
          </cell>
        </row>
        <row r="5">
          <cell r="A5" t="str">
            <v>XÂY DỰNG NHÀ Ở XÃ HỘI ĐỂ BÁN VÀ CHO THUÊ</v>
          </cell>
          <cell r="AR5" t="str">
            <v>LẤY MẪU</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1">
          <cell r="A11" t="str">
            <v>VUA-01</v>
          </cell>
          <cell r="B11" t="str">
            <v>Vữa xây trát chuyên dụng LIPOMAX mác 50# kèm theo biên bản giao nhận hàng hóa 
ngày 12/2/2015, khối lượng 40 tấn</v>
          </cell>
          <cell r="C11" t="str">
            <v>VUA-01</v>
          </cell>
          <cell r="D11" t="str">
            <v>8h00</v>
          </cell>
          <cell r="E11" t="str">
            <v>8h45</v>
          </cell>
          <cell r="F11">
            <v>13</v>
          </cell>
          <cell r="G11">
            <v>3</v>
          </cell>
          <cell r="H11">
            <v>2015</v>
          </cell>
          <cell r="I11" t="str">
            <v>Hà Nội, ngày 13 tháng 3 năm 2015</v>
          </cell>
          <cell r="J11" t="str">
            <v>8h00 ngày 13 tháng 3 năm 2015</v>
          </cell>
          <cell r="K11" t="str">
            <v>8h45 ngày 13 tháng 3 năm 2015</v>
          </cell>
          <cell r="L11" t="str">
            <v>8h45</v>
          </cell>
          <cell r="M11" t="str">
            <v>9h30</v>
          </cell>
          <cell r="N11">
            <v>13</v>
          </cell>
          <cell r="O11">
            <v>3</v>
          </cell>
          <cell r="P11">
            <v>2015</v>
          </cell>
          <cell r="Q11" t="str">
            <v>Hà Nội, ngày 13 tháng 3 năm 2015</v>
          </cell>
          <cell r="R11" t="str">
            <v>8h45 ngày 13 tháng 3 năm 2015</v>
          </cell>
          <cell r="S11" t="str">
            <v>9h30 ngày 13 tháng 3 năm 2015</v>
          </cell>
          <cell r="T11" t="str">
            <v>8h45</v>
          </cell>
          <cell r="U11" t="str">
            <v>8h45 Ngày 13/3/2015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3 tấn</v>
          </cell>
          <cell r="AQ11" t="str">
            <v>Ngày 13 Tháng 3 Năm 2015</v>
          </cell>
        </row>
        <row r="12">
          <cell r="A12" t="str">
            <v>VUA-02</v>
          </cell>
          <cell r="B12" t="str">
            <v>Vữa xây trát chuyên dụng LIPOMAX mác 50# kèm theo biên bản giao nhận hàng hóa 
ngày 21/6/2015, khối lượng 40 tấn</v>
          </cell>
          <cell r="C12" t="str">
            <v>VUA-02</v>
          </cell>
          <cell r="D12" t="str">
            <v>9h00</v>
          </cell>
          <cell r="E12" t="str">
            <v>9h45</v>
          </cell>
          <cell r="F12">
            <v>20</v>
          </cell>
          <cell r="G12">
            <v>7</v>
          </cell>
          <cell r="H12">
            <v>2015</v>
          </cell>
          <cell r="I12" t="str">
            <v>Hà Nội, ngày 20 tháng 7 năm 2015</v>
          </cell>
          <cell r="J12" t="str">
            <v>9h00 ngày 20 tháng 7 năm 2015</v>
          </cell>
          <cell r="K12" t="str">
            <v>9h45 ngày 20 tháng 7 năm 2015</v>
          </cell>
          <cell r="L12" t="str">
            <v>9h45</v>
          </cell>
          <cell r="M12" t="str">
            <v>10h30</v>
          </cell>
          <cell r="N12">
            <v>20</v>
          </cell>
          <cell r="O12">
            <v>7</v>
          </cell>
          <cell r="P12">
            <v>2015</v>
          </cell>
          <cell r="Q12" t="str">
            <v>Hà Nội, ngày 20 tháng 7 năm 2015</v>
          </cell>
          <cell r="R12" t="str">
            <v>9h45 ngày 20 tháng 7 năm 2015</v>
          </cell>
          <cell r="S12" t="str">
            <v>10h30 ngày 20 tháng 7 năm 2015</v>
          </cell>
          <cell r="T12" t="str">
            <v>9h45</v>
          </cell>
          <cell r="U12" t="str">
            <v>9h45 Ngày 20/7/2015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25 tấn</v>
          </cell>
          <cell r="AQ12" t="str">
            <v>Ngày 20 Tháng 7 Năm 2015</v>
          </cell>
        </row>
        <row r="13">
          <cell r="A13" t="str">
            <v>VUA-03</v>
          </cell>
          <cell r="B13" t="str">
            <v>Vữa xây trát chuyên dụng LIPOMAX mác 50# kèm theo biên bản giao nhận hàng hóa 
ngày 7/7/2015, khối lượng 40 tấn</v>
          </cell>
          <cell r="C13" t="str">
            <v>VUA-03</v>
          </cell>
          <cell r="D13" t="str">
            <v>8h30</v>
          </cell>
          <cell r="E13" t="str">
            <v>9h15</v>
          </cell>
          <cell r="F13">
            <v>5</v>
          </cell>
          <cell r="G13">
            <v>8</v>
          </cell>
          <cell r="H13">
            <v>2015</v>
          </cell>
          <cell r="I13" t="str">
            <v>Hà Nội, ngày 5 tháng 8 năm 2015</v>
          </cell>
          <cell r="J13" t="str">
            <v>8h30 ngày 5 tháng 8 năm 2015</v>
          </cell>
          <cell r="K13" t="str">
            <v>9h15 ngày 5 tháng 8 năm 2015</v>
          </cell>
          <cell r="L13" t="str">
            <v>9h15</v>
          </cell>
          <cell r="M13" t="str">
            <v>10h00</v>
          </cell>
          <cell r="N13">
            <v>5</v>
          </cell>
          <cell r="O13">
            <v>8</v>
          </cell>
          <cell r="P13">
            <v>2015</v>
          </cell>
          <cell r="Q13" t="str">
            <v>Hà Nội, ngày 5 tháng 8 năm 2015</v>
          </cell>
          <cell r="R13" t="str">
            <v>9h15 ngày 5 tháng 8 năm 2015</v>
          </cell>
          <cell r="S13" t="str">
            <v>10h00 ngày 5 tháng 8 năm 2015</v>
          </cell>
          <cell r="T13" t="str">
            <v>9h15</v>
          </cell>
          <cell r="U13" t="str">
            <v>9h15 Ngày 5/8/2015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45 tấn</v>
          </cell>
          <cell r="AQ13" t="str">
            <v>Ngày 5 Tháng 8 Năm 2015</v>
          </cell>
        </row>
        <row r="14">
          <cell r="A14" t="str">
            <v>VUA-04</v>
          </cell>
          <cell r="B14" t="str">
            <v>Vữa xây trát chuyên dụng LIPOMAX mác 50# kèm theo biên bản giao nhận hàng hóa 
ngày 17/7/2015, khối lượng 40 tấn</v>
          </cell>
          <cell r="C14" t="str">
            <v>VUA-04</v>
          </cell>
          <cell r="D14" t="str">
            <v>14h00</v>
          </cell>
          <cell r="E14" t="str">
            <v>14h30</v>
          </cell>
          <cell r="F14">
            <v>14</v>
          </cell>
          <cell r="G14">
            <v>8</v>
          </cell>
          <cell r="H14">
            <v>2015</v>
          </cell>
          <cell r="I14" t="str">
            <v>Hà Nội, ngày 14 tháng 8 năm 2015</v>
          </cell>
          <cell r="J14" t="str">
            <v>14h00 ngày 14 tháng 8 năm 2015</v>
          </cell>
          <cell r="K14" t="str">
            <v>14h30 ngày 14 tháng 8 năm 2015</v>
          </cell>
          <cell r="L14" t="str">
            <v>14h30</v>
          </cell>
          <cell r="M14" t="str">
            <v>15h00</v>
          </cell>
          <cell r="N14">
            <v>14</v>
          </cell>
          <cell r="O14">
            <v>8</v>
          </cell>
          <cell r="P14">
            <v>2015</v>
          </cell>
          <cell r="Q14" t="str">
            <v>Hà Nội, ngày 14 tháng 8 năm 2015</v>
          </cell>
          <cell r="R14" t="str">
            <v>14h30 ngày 14 tháng 8 năm 2015</v>
          </cell>
          <cell r="S14" t="str">
            <v>15h00 ngày 14 tháng 8 năm 2015</v>
          </cell>
          <cell r="T14" t="str">
            <v>14h30</v>
          </cell>
          <cell r="U14" t="str">
            <v>14h30 Ngày 14/8/2015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30 tấn</v>
          </cell>
          <cell r="AQ14" t="str">
            <v>Ngày 14 Tháng 8 Năm 2015</v>
          </cell>
        </row>
        <row r="15">
          <cell r="A15" t="str">
            <v>VUA-05</v>
          </cell>
          <cell r="B15" t="str">
            <v>Vữa xây trát chuyên dụng LIPOMAX mác 50# kèm theo biên bản giao nhận hàng hóa 
ngày 24/7/2015, khối lượng 40 tấn</v>
          </cell>
          <cell r="C15" t="str">
            <v>VUA-05</v>
          </cell>
          <cell r="D15" t="str">
            <v>9h00</v>
          </cell>
          <cell r="E15" t="str">
            <v>9h30</v>
          </cell>
          <cell r="F15">
            <v>21</v>
          </cell>
          <cell r="G15">
            <v>8</v>
          </cell>
          <cell r="H15">
            <v>2015</v>
          </cell>
          <cell r="I15" t="str">
            <v>Hà Nội, ngày 21 tháng 8 năm 2015</v>
          </cell>
          <cell r="J15" t="str">
            <v>9h00 ngày 21 tháng 8 năm 2015</v>
          </cell>
          <cell r="K15" t="str">
            <v>9h30 ngày 21 tháng 8 năm 2015</v>
          </cell>
          <cell r="L15" t="str">
            <v>9h30</v>
          </cell>
          <cell r="M15" t="str">
            <v>10h00</v>
          </cell>
          <cell r="N15">
            <v>21</v>
          </cell>
          <cell r="O15">
            <v>8</v>
          </cell>
          <cell r="P15">
            <v>2015</v>
          </cell>
          <cell r="Q15" t="str">
            <v>Hà Nội, ngày 21 tháng 8 năm 2015</v>
          </cell>
          <cell r="R15" t="str">
            <v>9h30 ngày 21 tháng 8 năm 2015</v>
          </cell>
          <cell r="S15" t="str">
            <v>10h00 ngày 21 tháng 8 năm 2015</v>
          </cell>
          <cell r="T15" t="str">
            <v>9h30</v>
          </cell>
          <cell r="U15" t="str">
            <v>9h30 Ngày 21/8/2015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40 tấn</v>
          </cell>
          <cell r="AQ15" t="str">
            <v>Ngày 21 Tháng 8 Năm 2015</v>
          </cell>
        </row>
        <row r="16">
          <cell r="A16" t="str">
            <v>VUA-06</v>
          </cell>
          <cell r="B16" t="str">
            <v>Vữa xây trát chuyên dụng LIPOMAX mác 50# kèm theo biên bản giao nhận hàng hóa 
ngày 30/7/2015, khối lượng 40 tấn</v>
          </cell>
          <cell r="C16" t="str">
            <v>VUA-06</v>
          </cell>
          <cell r="D16" t="str">
            <v>8h30</v>
          </cell>
          <cell r="E16" t="str">
            <v>9h00</v>
          </cell>
          <cell r="F16">
            <v>27</v>
          </cell>
          <cell r="G16">
            <v>8</v>
          </cell>
          <cell r="H16">
            <v>2015</v>
          </cell>
          <cell r="I16" t="str">
            <v>Hà Nội, ngày 27 tháng 8 năm 2015</v>
          </cell>
          <cell r="J16" t="str">
            <v>8h30 ngày 27 tháng 8 năm 2015</v>
          </cell>
          <cell r="K16" t="str">
            <v>9h00 ngày 27 tháng 8 năm 2015</v>
          </cell>
          <cell r="L16" t="str">
            <v>9h00</v>
          </cell>
          <cell r="M16" t="str">
            <v>9h30</v>
          </cell>
          <cell r="N16">
            <v>27</v>
          </cell>
          <cell r="O16">
            <v>8</v>
          </cell>
          <cell r="P16">
            <v>2015</v>
          </cell>
          <cell r="Q16" t="str">
            <v>Hà Nội, ngày 27 tháng 8 năm 2015</v>
          </cell>
          <cell r="R16" t="str">
            <v>9h00 ngày 27 tháng 8 năm 2015</v>
          </cell>
          <cell r="S16" t="str">
            <v>9h30 ngày 27 tháng 8 năm 2015</v>
          </cell>
          <cell r="T16" t="str">
            <v>9h00</v>
          </cell>
          <cell r="U16" t="str">
            <v>9h00 Ngày 27/8/2015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40 tấn</v>
          </cell>
          <cell r="AQ16" t="str">
            <v>Ngày 27 Tháng 8 Năm 2015</v>
          </cell>
        </row>
        <row r="17">
          <cell r="A17" t="str">
            <v>VUA-07</v>
          </cell>
          <cell r="B17" t="str">
            <v>Vữa xây trát chuyên dụng LIPOMAX mác 50# kèm theo biên bản giao nhận hàng hóa 
ngày 03/8/2015, khối lượng 40 tấn</v>
          </cell>
          <cell r="C17" t="str">
            <v>VUA-07</v>
          </cell>
          <cell r="D17" t="str">
            <v>14h00</v>
          </cell>
          <cell r="E17" t="str">
            <v>14h30</v>
          </cell>
          <cell r="F17">
            <v>31</v>
          </cell>
          <cell r="G17">
            <v>8</v>
          </cell>
          <cell r="H17">
            <v>2015</v>
          </cell>
          <cell r="I17" t="str">
            <v>Hà Nội, ngày 31 tháng 8 năm 2015</v>
          </cell>
          <cell r="J17" t="str">
            <v>14h00 ngày 31 tháng 8 năm 2015</v>
          </cell>
          <cell r="K17" t="str">
            <v>14h30 ngày 31 tháng 8 năm 2015</v>
          </cell>
          <cell r="L17" t="str">
            <v>14h30</v>
          </cell>
          <cell r="M17" t="str">
            <v>15h00</v>
          </cell>
          <cell r="N17">
            <v>31</v>
          </cell>
          <cell r="O17">
            <v>8</v>
          </cell>
          <cell r="P17">
            <v>2015</v>
          </cell>
          <cell r="Q17" t="str">
            <v>Hà Nội, ngày 31 tháng 8 năm 2015</v>
          </cell>
          <cell r="R17" t="str">
            <v>14h30 ngày 31 tháng 8 năm 2015</v>
          </cell>
          <cell r="S17" t="str">
            <v>15h00 ngày 31 tháng 8 năm 2015</v>
          </cell>
          <cell r="T17" t="str">
            <v>14h30</v>
          </cell>
          <cell r="U17" t="str">
            <v>14h30 Ngày 31/8/2015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40 tấn</v>
          </cell>
          <cell r="AQ17" t="str">
            <v>Ngày 31 Tháng 8 Năm 2015</v>
          </cell>
        </row>
        <row r="18">
          <cell r="A18" t="str">
            <v>VUA-08</v>
          </cell>
          <cell r="B18" t="str">
            <v>Vữa xây trát chuyên dụng LIPOMAX mác 50# kèm theo biên bản giao nhận hàng hóa 
ngày 06/8/2015, khối lượng 40 tấn</v>
          </cell>
          <cell r="C18" t="str">
            <v>VUA-08</v>
          </cell>
          <cell r="D18" t="str">
            <v>8h30</v>
          </cell>
          <cell r="E18" t="str">
            <v>9h00</v>
          </cell>
          <cell r="F18">
            <v>3</v>
          </cell>
          <cell r="G18">
            <v>9</v>
          </cell>
          <cell r="H18">
            <v>2015</v>
          </cell>
          <cell r="I18" t="str">
            <v>Hà Nội, ngày 3 tháng 9 năm 2015</v>
          </cell>
          <cell r="J18" t="str">
            <v>8h30 ngày 3 tháng 9 năm 2015</v>
          </cell>
          <cell r="K18" t="str">
            <v>9h00 ngày 3 tháng 9 năm 2015</v>
          </cell>
          <cell r="L18" t="str">
            <v>9h00</v>
          </cell>
          <cell r="M18" t="str">
            <v>9h30</v>
          </cell>
          <cell r="N18">
            <v>3</v>
          </cell>
          <cell r="O18">
            <v>9</v>
          </cell>
          <cell r="P18">
            <v>2015</v>
          </cell>
          <cell r="Q18" t="str">
            <v>Hà Nội, ngày 3 tháng 9 năm 2015</v>
          </cell>
          <cell r="R18" t="str">
            <v>9h00 ngày 3 tháng 9 năm 2015</v>
          </cell>
          <cell r="S18" t="str">
            <v>9h30 ngày 3 tháng 9 năm 2015</v>
          </cell>
          <cell r="T18" t="str">
            <v>9h00</v>
          </cell>
          <cell r="U18" t="str">
            <v>9h00 Ngày 3/9/2015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40 tấn</v>
          </cell>
          <cell r="AQ18" t="str">
            <v>Ngày 3 Tháng 9 Năm 2015</v>
          </cell>
        </row>
        <row r="19">
          <cell r="A19" t="str">
            <v>VUA-09</v>
          </cell>
          <cell r="B19" t="str">
            <v>Vữa xây trát chuyên dụng LIPOMAX mác 50# kèm theo biên bản giao nhận hàng hóa 
ngày 10/8/2015, khối lượng 40 tấn</v>
          </cell>
          <cell r="C19" t="str">
            <v>VUA-09</v>
          </cell>
          <cell r="D19" t="str">
            <v>14h00</v>
          </cell>
          <cell r="E19" t="str">
            <v>14h30</v>
          </cell>
          <cell r="F19">
            <v>7</v>
          </cell>
          <cell r="G19">
            <v>9</v>
          </cell>
          <cell r="H19">
            <v>2015</v>
          </cell>
          <cell r="I19" t="str">
            <v>Hà Nội, ngày 7 tháng 9 năm 2015</v>
          </cell>
          <cell r="J19" t="str">
            <v>14h00 ngày 7 tháng 9 năm 2015</v>
          </cell>
          <cell r="K19" t="str">
            <v>14h30 ngày 7 tháng 9 năm 2015</v>
          </cell>
          <cell r="L19" t="str">
            <v>14h30</v>
          </cell>
          <cell r="M19" t="str">
            <v>15h00</v>
          </cell>
          <cell r="N19">
            <v>7</v>
          </cell>
          <cell r="O19">
            <v>9</v>
          </cell>
          <cell r="P19">
            <v>2015</v>
          </cell>
          <cell r="Q19" t="str">
            <v>Hà Nội, ngày 7 tháng 9 năm 2015</v>
          </cell>
          <cell r="R19" t="str">
            <v>14h30 ngày 7 tháng 9 năm 2015</v>
          </cell>
          <cell r="S19" t="str">
            <v>15h00 ngày 7 tháng 9 năm 2015</v>
          </cell>
          <cell r="T19" t="str">
            <v>14h30</v>
          </cell>
          <cell r="U19" t="str">
            <v>14h30 Ngày 7/9/2015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40 tấn</v>
          </cell>
          <cell r="AQ19" t="str">
            <v>Ngày 7 Tháng 9 Năm 2015</v>
          </cell>
        </row>
        <row r="20">
          <cell r="A20" t="str">
            <v>VUA-10</v>
          </cell>
          <cell r="B20" t="str">
            <v>Vữa xây trát chuyên dụng LIPOMAX mác 50# kèm theo biên bản giao nhận hàng hóa 
ngày 14/8/2015, khối lượng 40 tấn</v>
          </cell>
          <cell r="C20" t="str">
            <v>VUA-10</v>
          </cell>
          <cell r="D20" t="str">
            <v>8h30</v>
          </cell>
          <cell r="E20" t="str">
            <v>9h00</v>
          </cell>
          <cell r="F20">
            <v>11</v>
          </cell>
          <cell r="G20">
            <v>9</v>
          </cell>
          <cell r="H20">
            <v>2015</v>
          </cell>
          <cell r="I20" t="str">
            <v>Hà Nội, ngày 11 tháng 9 năm 2015</v>
          </cell>
          <cell r="J20" t="str">
            <v>8h30 ngày 11 tháng 9 năm 2015</v>
          </cell>
          <cell r="K20" t="str">
            <v>9h00 ngày 11 tháng 9 năm 2015</v>
          </cell>
          <cell r="L20" t="str">
            <v>9h00</v>
          </cell>
          <cell r="M20" t="str">
            <v>9h30</v>
          </cell>
          <cell r="N20">
            <v>11</v>
          </cell>
          <cell r="O20">
            <v>9</v>
          </cell>
          <cell r="P20">
            <v>2015</v>
          </cell>
          <cell r="Q20" t="str">
            <v>Hà Nội, ngày 11 tháng 9 năm 2015</v>
          </cell>
          <cell r="R20" t="str">
            <v>9h00 ngày 11 tháng 9 năm 2015</v>
          </cell>
          <cell r="S20" t="str">
            <v>9h30 ngày 11 tháng 9 năm 2015</v>
          </cell>
          <cell r="T20" t="str">
            <v>9h00</v>
          </cell>
          <cell r="U20" t="str">
            <v>9h00 Ngày 11/9/2015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40 tấn</v>
          </cell>
          <cell r="AQ20" t="str">
            <v>Ngày 11 Tháng 9 Năm 2015</v>
          </cell>
        </row>
        <row r="21">
          <cell r="A21" t="str">
            <v>VUA-11</v>
          </cell>
          <cell r="B21" t="str">
            <v>Vữa xây trát chuyên dụng LIPOMAX mác 50# kèm theo biên bản giao nhận hàng hóa 
ngày 17/8/2015, khối lượng 40 tấn</v>
          </cell>
          <cell r="C21" t="str">
            <v>VUA-11</v>
          </cell>
          <cell r="D21" t="str">
            <v>14h00</v>
          </cell>
          <cell r="E21" t="str">
            <v>14h30</v>
          </cell>
          <cell r="F21">
            <v>14</v>
          </cell>
          <cell r="G21">
            <v>9</v>
          </cell>
          <cell r="H21">
            <v>2015</v>
          </cell>
          <cell r="I21" t="str">
            <v>Hà Nội, ngày 14 tháng 9 năm 2015</v>
          </cell>
          <cell r="J21" t="str">
            <v>14h00 ngày 14 tháng 9 năm 2015</v>
          </cell>
          <cell r="K21" t="str">
            <v>14h30 ngày 14 tháng 9 năm 2015</v>
          </cell>
          <cell r="L21" t="str">
            <v>14h30</v>
          </cell>
          <cell r="M21" t="str">
            <v>15h00</v>
          </cell>
          <cell r="N21">
            <v>14</v>
          </cell>
          <cell r="O21">
            <v>9</v>
          </cell>
          <cell r="P21">
            <v>2015</v>
          </cell>
          <cell r="Q21" t="str">
            <v>Hà Nội, ngày 14 tháng 9 năm 2015</v>
          </cell>
          <cell r="R21" t="str">
            <v>14h30 ngày 14 tháng 9 năm 2015</v>
          </cell>
          <cell r="S21" t="str">
            <v>15h00 ngày 14 tháng 9 năm 2015</v>
          </cell>
          <cell r="T21" t="str">
            <v>14h30</v>
          </cell>
          <cell r="U21" t="str">
            <v>14h30 Ngày 14/9/2015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40 tấn</v>
          </cell>
          <cell r="AQ21" t="str">
            <v>Ngày 14 Tháng 9 Năm 2015</v>
          </cell>
        </row>
        <row r="22">
          <cell r="A22" t="str">
            <v>VUA-12</v>
          </cell>
          <cell r="B22" t="str">
            <v>Vữa xây trát chuyên dụng LIPOMAX mác 50# kèm theo biên bản giao nhận hàng hóa 
ngày 19/8/2015, khối lượng 40 tấn</v>
          </cell>
          <cell r="C22" t="str">
            <v>VUA-12</v>
          </cell>
          <cell r="D22" t="str">
            <v>8h30</v>
          </cell>
          <cell r="E22" t="str">
            <v>9h00</v>
          </cell>
          <cell r="F22">
            <v>16</v>
          </cell>
          <cell r="G22">
            <v>9</v>
          </cell>
          <cell r="H22">
            <v>2015</v>
          </cell>
          <cell r="I22" t="str">
            <v>Hà Nội, ngày 16 tháng 9 năm 2015</v>
          </cell>
          <cell r="J22" t="str">
            <v>8h30 ngày 16 tháng 9 năm 2015</v>
          </cell>
          <cell r="K22" t="str">
            <v>9h00 ngày 16 tháng 9 năm 2015</v>
          </cell>
          <cell r="L22" t="str">
            <v>9h00</v>
          </cell>
          <cell r="M22" t="str">
            <v>9h30</v>
          </cell>
          <cell r="N22">
            <v>16</v>
          </cell>
          <cell r="O22">
            <v>9</v>
          </cell>
          <cell r="P22">
            <v>2015</v>
          </cell>
          <cell r="Q22" t="str">
            <v>Hà Nội, ngày 16 tháng 9 năm 2015</v>
          </cell>
          <cell r="R22" t="str">
            <v>9h00 ngày 16 tháng 9 năm 2015</v>
          </cell>
          <cell r="S22" t="str">
            <v>9h30 ngày 16 tháng 9 năm 2015</v>
          </cell>
          <cell r="T22" t="str">
            <v>9h00</v>
          </cell>
          <cell r="U22" t="str">
            <v>9h00 Ngày 16/9/2015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40 tấn</v>
          </cell>
          <cell r="AQ22" t="str">
            <v>Ngày 16 Tháng 9 Năm 2015</v>
          </cell>
        </row>
        <row r="23">
          <cell r="A23" t="str">
            <v>VUA-13</v>
          </cell>
          <cell r="B23" t="str">
            <v>Vữa xây trát chuyên dụng LIPOMAX mác 50# kèm theo biên bản giao nhận hàng hóa 
ngày 21/8/2015, khối lượng 40 tấn</v>
          </cell>
          <cell r="C23" t="str">
            <v>VUA-13</v>
          </cell>
          <cell r="D23" t="str">
            <v>14h00</v>
          </cell>
          <cell r="E23" t="str">
            <v>14h30</v>
          </cell>
          <cell r="F23">
            <v>18</v>
          </cell>
          <cell r="G23">
            <v>9</v>
          </cell>
          <cell r="H23">
            <v>2015</v>
          </cell>
          <cell r="I23" t="str">
            <v>Hà Nội, ngày 18 tháng 9 năm 2015</v>
          </cell>
          <cell r="J23" t="str">
            <v>14h00 ngày 18 tháng 9 năm 2015</v>
          </cell>
          <cell r="K23" t="str">
            <v>14h30 ngày 18 tháng 9 năm 2015</v>
          </cell>
          <cell r="L23" t="str">
            <v>14h30</v>
          </cell>
          <cell r="M23" t="str">
            <v>15h00</v>
          </cell>
          <cell r="N23">
            <v>18</v>
          </cell>
          <cell r="O23">
            <v>9</v>
          </cell>
          <cell r="P23">
            <v>2015</v>
          </cell>
          <cell r="Q23" t="str">
            <v>Hà Nội, ngày 18 tháng 9 năm 2015</v>
          </cell>
          <cell r="R23" t="str">
            <v>14h30 ngày 18 tháng 9 năm 2015</v>
          </cell>
          <cell r="S23" t="str">
            <v>15h00 ngày 18 tháng 9 năm 2015</v>
          </cell>
          <cell r="T23" t="str">
            <v>14h30</v>
          </cell>
          <cell r="U23" t="str">
            <v>14h30 Ngày 18/9/2015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40 tấn</v>
          </cell>
          <cell r="AQ23" t="str">
            <v>Ngày 18 Tháng 9 Năm 2015</v>
          </cell>
        </row>
        <row r="24">
          <cell r="A24" t="str">
            <v>VUA-14</v>
          </cell>
          <cell r="B24" t="str">
            <v>Vữa xây trát chuyên dụng LIPOMAX mác 50# kèm theo biên bản giao nhận hàng hóa 
ngày 22/8/2015, khối lượng 40 tấn</v>
          </cell>
          <cell r="C24" t="str">
            <v>VUA-14</v>
          </cell>
          <cell r="D24" t="str">
            <v>8h30</v>
          </cell>
          <cell r="E24" t="str">
            <v>9h00</v>
          </cell>
          <cell r="F24">
            <v>19</v>
          </cell>
          <cell r="G24">
            <v>9</v>
          </cell>
          <cell r="H24">
            <v>2015</v>
          </cell>
          <cell r="I24" t="str">
            <v>Hà Nội, ngày 19 tháng 9 năm 2015</v>
          </cell>
          <cell r="J24" t="str">
            <v>8h30 ngày 19 tháng 9 năm 2015</v>
          </cell>
          <cell r="K24" t="str">
            <v>9h00 ngày 19 tháng 9 năm 2015</v>
          </cell>
          <cell r="L24" t="str">
            <v>9h00</v>
          </cell>
          <cell r="M24" t="str">
            <v>9h30</v>
          </cell>
          <cell r="N24">
            <v>19</v>
          </cell>
          <cell r="O24">
            <v>9</v>
          </cell>
          <cell r="P24">
            <v>2015</v>
          </cell>
          <cell r="Q24" t="str">
            <v>Hà Nội, ngày 19 tháng 9 năm 2015</v>
          </cell>
          <cell r="R24" t="str">
            <v>9h00 ngày 19 tháng 9 năm 2015</v>
          </cell>
          <cell r="S24" t="str">
            <v>9h30 ngày 19 tháng 9 năm 2015</v>
          </cell>
          <cell r="T24" t="str">
            <v>9h00</v>
          </cell>
          <cell r="U24" t="str">
            <v>9h00 Ngày 19/9/2015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40 tấn</v>
          </cell>
          <cell r="AQ24" t="str">
            <v>Ngày 19 Tháng 9 Năm 2015</v>
          </cell>
        </row>
        <row r="25">
          <cell r="A25" t="str">
            <v>VUA-15</v>
          </cell>
          <cell r="B25" t="str">
            <v>Vật liệu vữa xây trát Lipomax mác 50 kèm theo biên bản giao nhận hàng hóa ngày 29/09/2015</v>
          </cell>
          <cell r="C25" t="str">
            <v>VUA-15</v>
          </cell>
          <cell r="D25" t="str">
            <v>8h30</v>
          </cell>
          <cell r="E25" t="str">
            <v>9h00</v>
          </cell>
          <cell r="F25">
            <v>29</v>
          </cell>
          <cell r="G25">
            <v>10</v>
          </cell>
          <cell r="H25">
            <v>2015</v>
          </cell>
          <cell r="I25" t="str">
            <v>Hà Nội, ngày 29 tháng 10 năm 2015</v>
          </cell>
          <cell r="J25" t="str">
            <v>8h30 ngày 29 tháng 10 năm 2015</v>
          </cell>
          <cell r="K25" t="str">
            <v>9h00 ngày 29 tháng 10 năm 2015</v>
          </cell>
          <cell r="L25" t="str">
            <v>9h00</v>
          </cell>
          <cell r="M25" t="str">
            <v>9h30</v>
          </cell>
          <cell r="N25">
            <v>29</v>
          </cell>
          <cell r="O25">
            <v>10</v>
          </cell>
          <cell r="P25">
            <v>2015</v>
          </cell>
          <cell r="Q25" t="str">
            <v>Hà Nội, ngày 29 tháng 10 năm 2015</v>
          </cell>
          <cell r="R25" t="str">
            <v>9h00 ngày 29 tháng 10 năm 2015</v>
          </cell>
          <cell r="S25" t="str">
            <v>9h30 ngày 29 tháng 10 năm 2015</v>
          </cell>
          <cell r="T25" t="str">
            <v>9h00</v>
          </cell>
          <cell r="U25" t="str">
            <v>9h00 Ngày 29/10/2015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40 tấn</v>
          </cell>
          <cell r="AQ25" t="str">
            <v>Ngày 29 Tháng 10 Năm 2015</v>
          </cell>
        </row>
        <row r="26">
          <cell r="D26" t="str">
            <v>8h30</v>
          </cell>
          <cell r="E26" t="str">
            <v>9h00</v>
          </cell>
          <cell r="F26">
            <v>27</v>
          </cell>
          <cell r="G26">
            <v>8</v>
          </cell>
          <cell r="H26">
            <v>2015</v>
          </cell>
          <cell r="I26" t="str">
            <v>Hà Nội, ngày 27 tháng 8 năm 2015</v>
          </cell>
          <cell r="J26" t="str">
            <v>8h30 ngày 27 tháng 8 năm 2015</v>
          </cell>
          <cell r="K26" t="str">
            <v>9h00 ngày 27 tháng 8 năm 2015</v>
          </cell>
          <cell r="L26" t="str">
            <v>9h00</v>
          </cell>
          <cell r="M26" t="str">
            <v>9h30</v>
          </cell>
          <cell r="N26">
            <v>27</v>
          </cell>
          <cell r="O26">
            <v>8</v>
          </cell>
          <cell r="P26">
            <v>2015</v>
          </cell>
          <cell r="Q26" t="str">
            <v>Hà Nội, ngày 27 tháng 8 năm 2015</v>
          </cell>
          <cell r="R26" t="str">
            <v>9h00 ngày 27 tháng 8 năm 2015</v>
          </cell>
          <cell r="S26" t="str">
            <v>9h30 ngày 27 tháng 8 năm 2015</v>
          </cell>
          <cell r="T26" t="str">
            <v>9h00</v>
          </cell>
          <cell r="U26" t="str">
            <v>9h00 Ngày 27/8/2015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40 tấn</v>
          </cell>
          <cell r="AQ26" t="str">
            <v>Ngày 27 Tháng 8 Năm 2015</v>
          </cell>
        </row>
        <row r="27">
          <cell r="D27" t="str">
            <v>8h30</v>
          </cell>
          <cell r="E27" t="str">
            <v>9h00</v>
          </cell>
          <cell r="F27">
            <v>27</v>
          </cell>
          <cell r="G27">
            <v>8</v>
          </cell>
          <cell r="H27">
            <v>2015</v>
          </cell>
          <cell r="I27" t="str">
            <v>Hà Nội, ngày 27 tháng 8 năm 2015</v>
          </cell>
          <cell r="J27" t="str">
            <v>8h30 ngày 27 tháng 8 năm 2015</v>
          </cell>
          <cell r="K27" t="str">
            <v>9h00 ngày 27 tháng 8 năm 2015</v>
          </cell>
          <cell r="L27" t="str">
            <v>9h00</v>
          </cell>
          <cell r="M27" t="str">
            <v>9h30</v>
          </cell>
          <cell r="N27">
            <v>27</v>
          </cell>
          <cell r="O27">
            <v>8</v>
          </cell>
          <cell r="P27">
            <v>2015</v>
          </cell>
          <cell r="Q27" t="str">
            <v>Hà Nội, ngày 27 tháng 8 năm 2015</v>
          </cell>
          <cell r="R27" t="str">
            <v>9h00 ngày 27 tháng 8 năm 2015</v>
          </cell>
          <cell r="S27" t="str">
            <v>9h30 ngày 27 tháng 8 năm 2015</v>
          </cell>
          <cell r="T27" t="str">
            <v>9h00</v>
          </cell>
          <cell r="U27" t="str">
            <v>9h00 Ngày 27/8/2015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40 tấn</v>
          </cell>
          <cell r="AQ27" t="str">
            <v>Ngày 27 Tháng 8 Năm 2015</v>
          </cell>
        </row>
        <row r="28">
          <cell r="D28" t="str">
            <v>8h30</v>
          </cell>
          <cell r="E28" t="str">
            <v>9h00</v>
          </cell>
          <cell r="F28">
            <v>27</v>
          </cell>
          <cell r="G28">
            <v>8</v>
          </cell>
          <cell r="H28">
            <v>2015</v>
          </cell>
          <cell r="I28" t="str">
            <v>Hà Nội, ngày 27 tháng 8 năm 2015</v>
          </cell>
          <cell r="J28" t="str">
            <v>8h30 ngày 27 tháng 8 năm 2015</v>
          </cell>
          <cell r="K28" t="str">
            <v>9h00 ngày 27 tháng 8 năm 2015</v>
          </cell>
          <cell r="L28" t="str">
            <v>9h00</v>
          </cell>
          <cell r="M28" t="str">
            <v>9h30</v>
          </cell>
          <cell r="N28">
            <v>27</v>
          </cell>
          <cell r="O28">
            <v>8</v>
          </cell>
          <cell r="P28">
            <v>2015</v>
          </cell>
          <cell r="Q28" t="str">
            <v>Hà Nội, ngày 27 tháng 8 năm 2015</v>
          </cell>
          <cell r="R28" t="str">
            <v>9h00 ngày 27 tháng 8 năm 2015</v>
          </cell>
          <cell r="S28" t="str">
            <v>9h30 ngày 27 tháng 8 năm 2015</v>
          </cell>
          <cell r="T28" t="str">
            <v>9h00</v>
          </cell>
          <cell r="U28" t="str">
            <v>9h00 Ngày 27/8/2015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40 tấn</v>
          </cell>
          <cell r="AQ28" t="str">
            <v>Ngày 27 Tháng 8 Năm 2015</v>
          </cell>
        </row>
        <row r="29">
          <cell r="D29" t="str">
            <v>8h30</v>
          </cell>
          <cell r="E29" t="str">
            <v>9h00</v>
          </cell>
          <cell r="F29">
            <v>27</v>
          </cell>
          <cell r="G29">
            <v>8</v>
          </cell>
          <cell r="H29">
            <v>2015</v>
          </cell>
          <cell r="I29" t="str">
            <v>Hà Nội, ngày 27 tháng 8 năm 2015</v>
          </cell>
          <cell r="J29" t="str">
            <v>8h30 ngày 27 tháng 8 năm 2015</v>
          </cell>
          <cell r="K29" t="str">
            <v>9h00 ngày 27 tháng 8 năm 2015</v>
          </cell>
          <cell r="L29" t="str">
            <v>9h00</v>
          </cell>
          <cell r="M29" t="str">
            <v>9h30</v>
          </cell>
          <cell r="N29">
            <v>27</v>
          </cell>
          <cell r="O29">
            <v>8</v>
          </cell>
          <cell r="P29">
            <v>2015</v>
          </cell>
          <cell r="Q29" t="str">
            <v>Hà Nội, ngày 27 tháng 8 năm 2015</v>
          </cell>
          <cell r="R29" t="str">
            <v>9h00 ngày 27 tháng 8 năm 2015</v>
          </cell>
          <cell r="S29" t="str">
            <v>9h30 ngày 27 tháng 8 năm 2015</v>
          </cell>
          <cell r="T29" t="str">
            <v>9h00</v>
          </cell>
          <cell r="U29" t="str">
            <v>9h00 Ngày 27/8/2015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40 tấn</v>
          </cell>
          <cell r="AQ29" t="str">
            <v>Ngày 27 Tháng 8 Năm 2015</v>
          </cell>
        </row>
        <row r="30">
          <cell r="D30" t="str">
            <v>8h30</v>
          </cell>
          <cell r="E30" t="str">
            <v>9h00</v>
          </cell>
          <cell r="F30">
            <v>27</v>
          </cell>
          <cell r="G30">
            <v>8</v>
          </cell>
          <cell r="H30">
            <v>2015</v>
          </cell>
          <cell r="I30" t="str">
            <v>Hà Nội, ngày 27 tháng 8 năm 2015</v>
          </cell>
          <cell r="J30" t="str">
            <v>8h30 ngày 27 tháng 8 năm 2015</v>
          </cell>
          <cell r="K30" t="str">
            <v>9h00 ngày 27 tháng 8 năm 2015</v>
          </cell>
          <cell r="L30" t="str">
            <v>9h00</v>
          </cell>
          <cell r="M30" t="str">
            <v>9h30</v>
          </cell>
          <cell r="N30">
            <v>27</v>
          </cell>
          <cell r="O30">
            <v>8</v>
          </cell>
          <cell r="P30">
            <v>2015</v>
          </cell>
          <cell r="Q30" t="str">
            <v>Hà Nội, ngày 27 tháng 8 năm 2015</v>
          </cell>
          <cell r="R30" t="str">
            <v>9h00 ngày 27 tháng 8 năm 2015</v>
          </cell>
          <cell r="S30" t="str">
            <v>9h30 ngày 27 tháng 8 năm 2015</v>
          </cell>
          <cell r="T30" t="str">
            <v>9h00</v>
          </cell>
          <cell r="U30" t="str">
            <v>9h00 Ngày 27/8/2015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40 tấn</v>
          </cell>
          <cell r="AQ30" t="str">
            <v>Ngày 27 Tháng 8 Năm 2015</v>
          </cell>
        </row>
        <row r="31">
          <cell r="A31" t="str">
            <v>VUA-07</v>
          </cell>
          <cell r="C31" t="str">
            <v>VUA-07</v>
          </cell>
          <cell r="I31" t="str">
            <v xml:space="preserve">Hà Nội, ngày  tháng  năm </v>
          </cell>
          <cell r="J31" t="str">
            <v xml:space="preserve"> ngày  tháng  năm </v>
          </cell>
          <cell r="K31" t="str">
            <v xml:space="preserve"> ngày  tháng  năm </v>
          </cell>
          <cell r="L31">
            <v>0</v>
          </cell>
          <cell r="M31" t="str">
            <v>….h….</v>
          </cell>
          <cell r="N31">
            <v>0</v>
          </cell>
          <cell r="O31">
            <v>0</v>
          </cell>
          <cell r="P31">
            <v>0</v>
          </cell>
          <cell r="Q31" t="str">
            <v>Hà Nội, ngày 0 tháng 0 năm 0</v>
          </cell>
          <cell r="R31" t="str">
            <v>0 ngày 0 tháng 0 năm 0</v>
          </cell>
          <cell r="S31" t="str">
            <v>….h…. ngày 0 tháng 0 năm 0</v>
          </cell>
          <cell r="T31">
            <v>0</v>
          </cell>
          <cell r="U31" t="str">
            <v>0 Ngày 0/0/0</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45 tấn</v>
          </cell>
          <cell r="AQ31" t="str">
            <v xml:space="preserve">Ngày  Tháng  Năm </v>
          </cell>
        </row>
        <row r="32">
          <cell r="A32" t="str">
            <v>VUA-08</v>
          </cell>
          <cell r="C32" t="str">
            <v>VUA-08</v>
          </cell>
          <cell r="I32" t="str">
            <v xml:space="preserve">Hà Nội, ngày  tháng  năm </v>
          </cell>
          <cell r="J32" t="str">
            <v xml:space="preserve"> ngày  tháng  năm </v>
          </cell>
          <cell r="K32" t="str">
            <v xml:space="preserve"> ngày  tháng  năm </v>
          </cell>
          <cell r="L32">
            <v>0</v>
          </cell>
          <cell r="M32" t="str">
            <v>….h….</v>
          </cell>
          <cell r="N32">
            <v>0</v>
          </cell>
          <cell r="O32">
            <v>0</v>
          </cell>
          <cell r="P32">
            <v>0</v>
          </cell>
          <cell r="Q32" t="str">
            <v>Hà Nội, ngày 0 tháng 0 năm 0</v>
          </cell>
          <cell r="R32" t="str">
            <v>0 ngày 0 tháng 0 năm 0</v>
          </cell>
          <cell r="S32" t="str">
            <v>….h…. ngày 0 tháng 0 năm 0</v>
          </cell>
          <cell r="T32">
            <v>0</v>
          </cell>
          <cell r="U32" t="str">
            <v>0 Ngày 0/0/0</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45 tấn</v>
          </cell>
          <cell r="AQ32" t="str">
            <v xml:space="preserve">Ngày  Tháng  Năm </v>
          </cell>
        </row>
        <row r="34">
          <cell r="A34">
            <v>1</v>
          </cell>
          <cell r="B34">
            <v>2</v>
          </cell>
          <cell r="C34">
            <v>3</v>
          </cell>
          <cell r="D34">
            <v>4</v>
          </cell>
          <cell r="E34">
            <v>5</v>
          </cell>
          <cell r="F34">
            <v>6</v>
          </cell>
          <cell r="H34">
            <v>8</v>
          </cell>
          <cell r="I34">
            <v>9</v>
          </cell>
          <cell r="J34">
            <v>10</v>
          </cell>
          <cell r="K34">
            <v>11</v>
          </cell>
          <cell r="L34">
            <v>12</v>
          </cell>
          <cell r="M34">
            <v>13</v>
          </cell>
          <cell r="N34">
            <v>14</v>
          </cell>
          <cell r="O34">
            <v>15</v>
          </cell>
          <cell r="P34">
            <v>16</v>
          </cell>
          <cell r="Q34">
            <v>17</v>
          </cell>
          <cell r="R34">
            <v>18</v>
          </cell>
          <cell r="S34">
            <v>19</v>
          </cell>
          <cell r="T34">
            <v>20</v>
          </cell>
          <cell r="U34">
            <v>21</v>
          </cell>
          <cell r="V34">
            <v>22</v>
          </cell>
          <cell r="W34">
            <v>23</v>
          </cell>
          <cell r="X34">
            <v>24</v>
          </cell>
          <cell r="Y34">
            <v>25</v>
          </cell>
          <cell r="Z34">
            <v>26</v>
          </cell>
          <cell r="AA34">
            <v>27</v>
          </cell>
          <cell r="AB34">
            <v>28</v>
          </cell>
          <cell r="AC34">
            <v>29</v>
          </cell>
          <cell r="AD34">
            <v>30</v>
          </cell>
          <cell r="AE34">
            <v>31</v>
          </cell>
          <cell r="AF34">
            <v>32</v>
          </cell>
          <cell r="AG34">
            <v>33</v>
          </cell>
          <cell r="AH34">
            <v>34</v>
          </cell>
          <cell r="AI34">
            <v>35</v>
          </cell>
          <cell r="AJ34">
            <v>36</v>
          </cell>
          <cell r="AK34">
            <v>37</v>
          </cell>
          <cell r="AL34">
            <v>38</v>
          </cell>
          <cell r="AM34">
            <v>39</v>
          </cell>
          <cell r="AN34">
            <v>40</v>
          </cell>
          <cell r="AO34">
            <v>41</v>
          </cell>
          <cell r="AP34">
            <v>42</v>
          </cell>
          <cell r="AQ34">
            <v>43</v>
          </cell>
        </row>
      </sheetData>
      <sheetData sheetId="18">
        <row r="11">
          <cell r="A11" t="str">
            <v>XM-01</v>
          </cell>
          <cell r="B11" t="str">
            <v>-Xi măng Xuân Thành PCB30 kèm theo phiếu giao nhận hàng hóa</v>
          </cell>
          <cell r="C11" t="str">
            <v>XM-01</v>
          </cell>
          <cell r="D11" t="str">
            <v>….h….</v>
          </cell>
          <cell r="E11" t="str">
            <v>….h….</v>
          </cell>
          <cell r="F11">
            <v>10</v>
          </cell>
          <cell r="G11">
            <v>11</v>
          </cell>
          <cell r="H11">
            <v>2014</v>
          </cell>
          <cell r="I11" t="str">
            <v>Hà Nội, ngày 10 tháng 11 năm 2014</v>
          </cell>
          <cell r="J11" t="str">
            <v>….h…. ngày 10 tháng 11 năm 2014</v>
          </cell>
          <cell r="K11" t="str">
            <v>….h…. ngày 10 tháng 11 năm 2014</v>
          </cell>
          <cell r="L11" t="str">
            <v>….h….</v>
          </cell>
          <cell r="M11" t="str">
            <v>….h….</v>
          </cell>
          <cell r="N11">
            <v>10</v>
          </cell>
          <cell r="O11">
            <v>11</v>
          </cell>
          <cell r="P11">
            <v>2014</v>
          </cell>
          <cell r="Q11" t="str">
            <v>Hà Nội, ngày 10 tháng 11 năm 2014</v>
          </cell>
          <cell r="R11" t="str">
            <v>….h…. ngày 10 tháng 11 năm 2014</v>
          </cell>
          <cell r="S11" t="str">
            <v>….h…. ngày 10 tháng 11 năm 2014</v>
          </cell>
          <cell r="T11" t="str">
            <v>….h….</v>
          </cell>
          <cell r="U11" t="str">
            <v>….h…. Ngày 10/11/2014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23 tấn</v>
          </cell>
          <cell r="AO11" t="str">
            <v>PCB30</v>
          </cell>
          <cell r="AQ11" t="str">
            <v>Ngày 10 Tháng 11 Năm 2014</v>
          </cell>
        </row>
        <row r="12">
          <cell r="A12" t="str">
            <v>XM-02</v>
          </cell>
          <cell r="B12" t="str">
            <v>-Xi măng Xuân Thành PCB30 kèm theo phiếu giao nhận hàng hóa ngày 7/2/2015, 
khối lượng 40 tấn</v>
          </cell>
          <cell r="C12" t="str">
            <v>XM-02</v>
          </cell>
          <cell r="D12" t="str">
            <v>14h00</v>
          </cell>
          <cell r="E12" t="str">
            <v>14h30</v>
          </cell>
          <cell r="F12">
            <v>8</v>
          </cell>
          <cell r="G12">
            <v>3</v>
          </cell>
          <cell r="H12">
            <v>2015</v>
          </cell>
          <cell r="I12" t="str">
            <v>Hà Nội, ngày 8 tháng 3 năm 2015</v>
          </cell>
          <cell r="J12" t="str">
            <v>14h00 ngày 8 tháng 3 năm 2015</v>
          </cell>
          <cell r="K12" t="str">
            <v>14h30 ngày 8 tháng 3 năm 2015</v>
          </cell>
          <cell r="L12" t="str">
            <v>14h30</v>
          </cell>
          <cell r="M12" t="str">
            <v>15h00</v>
          </cell>
          <cell r="N12">
            <v>8</v>
          </cell>
          <cell r="O12">
            <v>3</v>
          </cell>
          <cell r="P12">
            <v>2015</v>
          </cell>
          <cell r="Q12" t="str">
            <v>Hà Nội, ngày 8 tháng 3 năm 2015</v>
          </cell>
          <cell r="R12" t="str">
            <v>14h30 ngày 8 tháng 3 năm 2015</v>
          </cell>
          <cell r="S12" t="str">
            <v>15h00 ngày 8 tháng 3 năm 2015</v>
          </cell>
          <cell r="T12" t="str">
            <v>14h30</v>
          </cell>
          <cell r="U12" t="str">
            <v>14h30 Ngày 8/3/2015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25 tấn</v>
          </cell>
          <cell r="AO12" t="str">
            <v>PCB30</v>
          </cell>
          <cell r="AQ12" t="str">
            <v>Ngày 8 Tháng 3 Năm 2015</v>
          </cell>
        </row>
        <row r="13">
          <cell r="A13" t="str">
            <v>XM-03</v>
          </cell>
          <cell r="B13" t="str">
            <v>-Xi măng Xuân Thành PCB30 kèm theo phiếu giao nhận hàng hóa ngày 18/5/2015, 
khối lượng 40 tấn</v>
          </cell>
          <cell r="C13" t="str">
            <v>XM-03</v>
          </cell>
          <cell r="D13" t="str">
            <v>8h00</v>
          </cell>
          <cell r="E13" t="str">
            <v>8h30</v>
          </cell>
          <cell r="F13">
            <v>16</v>
          </cell>
          <cell r="G13">
            <v>6</v>
          </cell>
          <cell r="H13">
            <v>2015</v>
          </cell>
          <cell r="I13" t="str">
            <v>Hà Nội, ngày 16 tháng 6 năm 2015</v>
          </cell>
          <cell r="J13" t="str">
            <v>8h00 ngày 16 tháng 6 năm 2015</v>
          </cell>
          <cell r="K13" t="str">
            <v>8h30 ngày 16 tháng 6 năm 2015</v>
          </cell>
          <cell r="L13" t="str">
            <v>8h30</v>
          </cell>
          <cell r="M13" t="str">
            <v>9h00</v>
          </cell>
          <cell r="N13">
            <v>16</v>
          </cell>
          <cell r="O13">
            <v>6</v>
          </cell>
          <cell r="P13">
            <v>2015</v>
          </cell>
          <cell r="Q13" t="str">
            <v>Hà Nội, ngày 16 tháng 6 năm 2015</v>
          </cell>
          <cell r="R13" t="str">
            <v>8h30 ngày 16 tháng 6 năm 2015</v>
          </cell>
          <cell r="S13" t="str">
            <v>9h00 ngày 16 tháng 6 năm 2015</v>
          </cell>
          <cell r="T13" t="str">
            <v>8h30</v>
          </cell>
          <cell r="U13" t="str">
            <v>8h30 Ngày 16/6/2015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45 tấn</v>
          </cell>
          <cell r="AO13" t="str">
            <v>PCB30</v>
          </cell>
          <cell r="AQ13" t="str">
            <v>Ngày 16 Tháng 6 Năm 2015</v>
          </cell>
        </row>
        <row r="14">
          <cell r="A14" t="str">
            <v>XM-04</v>
          </cell>
          <cell r="B14" t="str">
            <v>-Xi măng Xuân Thành PCB30 kèm theo phiếu giao nhận hàng hóa ngày 16/6/2015, 
khối lượng 40 tấn</v>
          </cell>
          <cell r="C14" t="str">
            <v>XM-04</v>
          </cell>
          <cell r="D14" t="str">
            <v>8h30</v>
          </cell>
          <cell r="E14" t="str">
            <v>9h00</v>
          </cell>
          <cell r="F14">
            <v>15</v>
          </cell>
          <cell r="G14">
            <v>7</v>
          </cell>
          <cell r="H14">
            <v>2015</v>
          </cell>
          <cell r="I14" t="str">
            <v>Hà Nội, ngày 15 tháng 7 năm 2015</v>
          </cell>
          <cell r="J14" t="str">
            <v>8h30 ngày 15 tháng 7 năm 2015</v>
          </cell>
          <cell r="K14" t="str">
            <v>9h00 ngày 15 tháng 7 năm 2015</v>
          </cell>
          <cell r="L14" t="str">
            <v>9h00</v>
          </cell>
          <cell r="M14" t="str">
            <v>10h00</v>
          </cell>
          <cell r="N14">
            <v>15</v>
          </cell>
          <cell r="O14">
            <v>7</v>
          </cell>
          <cell r="P14">
            <v>2015</v>
          </cell>
          <cell r="Q14" t="str">
            <v>Hà Nội, ngày 15 tháng 7 năm 2015</v>
          </cell>
          <cell r="R14" t="str">
            <v>9h00 ngày 15 tháng 7 năm 2015</v>
          </cell>
          <cell r="S14" t="str">
            <v>10h00 ngày 15 tháng 7 năm 2015</v>
          </cell>
          <cell r="T14" t="str">
            <v>9h00</v>
          </cell>
          <cell r="U14" t="str">
            <v>9h00 Ngày 15/7/2015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30 tấn</v>
          </cell>
          <cell r="AO14" t="str">
            <v>PCB30</v>
          </cell>
          <cell r="AQ14" t="str">
            <v>Ngày 15 Tháng 7 Năm 2015</v>
          </cell>
        </row>
        <row r="15">
          <cell r="A15" t="str">
            <v>XM-05</v>
          </cell>
          <cell r="B15" t="str">
            <v>-Xi măng Xuân Thành PCB30 kèm theo phiếu giao nhận hàng hóa ngày 2/7/2015, 
khối lượng 40 tấn</v>
          </cell>
          <cell r="C15" t="str">
            <v>XM-05</v>
          </cell>
          <cell r="D15" t="str">
            <v>8h30</v>
          </cell>
          <cell r="E15" t="str">
            <v>9h00</v>
          </cell>
          <cell r="F15">
            <v>31</v>
          </cell>
          <cell r="G15">
            <v>7</v>
          </cell>
          <cell r="H15">
            <v>2015</v>
          </cell>
          <cell r="I15" t="str">
            <v>Hà Nội, ngày 31 tháng 7 năm 2015</v>
          </cell>
          <cell r="J15" t="str">
            <v>8h30 ngày 31 tháng 7 năm 2015</v>
          </cell>
          <cell r="K15" t="str">
            <v>9h00 ngày 31 tháng 7 năm 2015</v>
          </cell>
          <cell r="L15" t="str">
            <v>9h00</v>
          </cell>
          <cell r="M15" t="str">
            <v>10h00</v>
          </cell>
          <cell r="N15">
            <v>31</v>
          </cell>
          <cell r="O15">
            <v>7</v>
          </cell>
          <cell r="P15">
            <v>2015</v>
          </cell>
          <cell r="Q15" t="str">
            <v>Hà Nội, ngày 31 tháng 7 năm 2015</v>
          </cell>
          <cell r="R15" t="str">
            <v>9h00 ngày 31 tháng 7 năm 2015</v>
          </cell>
          <cell r="S15" t="str">
            <v>10h00 ngày 31 tháng 7 năm 2015</v>
          </cell>
          <cell r="T15" t="str">
            <v>9h00</v>
          </cell>
          <cell r="U15" t="str">
            <v>9h00 Ngày 31/7/2015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40 tấn</v>
          </cell>
          <cell r="AO15" t="str">
            <v>PCB30</v>
          </cell>
          <cell r="AQ15" t="str">
            <v>Ngày 31 Tháng 7 Năm 2015</v>
          </cell>
        </row>
        <row r="16">
          <cell r="A16" t="str">
            <v>XM-06</v>
          </cell>
          <cell r="B16" t="str">
            <v>-Xi măng Xuân Thành PCB30 kèm theo phiếu giao nhận hàng hóa ngày 17/7/2015, 
khối lượng 40 tấn</v>
          </cell>
          <cell r="C16" t="str">
            <v>XM-06</v>
          </cell>
          <cell r="D16" t="str">
            <v>9h00</v>
          </cell>
          <cell r="E16" t="str">
            <v>9h30</v>
          </cell>
          <cell r="F16">
            <v>14</v>
          </cell>
          <cell r="G16">
            <v>8</v>
          </cell>
          <cell r="H16">
            <v>2015</v>
          </cell>
          <cell r="I16" t="str">
            <v>Hà Nội, ngày 14 tháng 8 năm 2015</v>
          </cell>
          <cell r="J16" t="str">
            <v>9h00 ngày 14 tháng 8 năm 2015</v>
          </cell>
          <cell r="K16" t="str">
            <v>9h30 ngày 14 tháng 8 năm 2015</v>
          </cell>
          <cell r="L16" t="str">
            <v>9h30</v>
          </cell>
          <cell r="M16" t="str">
            <v>10h00</v>
          </cell>
          <cell r="N16">
            <v>14</v>
          </cell>
          <cell r="O16">
            <v>8</v>
          </cell>
          <cell r="P16">
            <v>2015</v>
          </cell>
          <cell r="Q16" t="str">
            <v>Hà Nội, ngày 14 tháng 8 năm 2015</v>
          </cell>
          <cell r="R16" t="str">
            <v>9h30 ngày 14 tháng 8 năm 2015</v>
          </cell>
          <cell r="S16" t="str">
            <v>10h00 ngày 14 tháng 8 năm 2015</v>
          </cell>
          <cell r="T16" t="str">
            <v>9h30</v>
          </cell>
          <cell r="U16" t="str">
            <v>9h30 Ngày 14/8/2015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41 tấn</v>
          </cell>
          <cell r="AQ16" t="str">
            <v>Ngày 14 Tháng 8 Năm 2015</v>
          </cell>
        </row>
        <row r="17">
          <cell r="A17" t="str">
            <v>XM-07</v>
          </cell>
          <cell r="B17" t="str">
            <v>-Xi măng Xuân Thành PCB30 kèm theo phiếu giao nhận hàng hóa ngày 19/7/2015, 
khối lượng 40 tấn</v>
          </cell>
          <cell r="C17" t="str">
            <v>XM-07</v>
          </cell>
          <cell r="D17" t="str">
            <v>15h00</v>
          </cell>
          <cell r="E17" t="str">
            <v>15h30</v>
          </cell>
          <cell r="F17">
            <v>16</v>
          </cell>
          <cell r="G17">
            <v>8</v>
          </cell>
          <cell r="H17">
            <v>2015</v>
          </cell>
          <cell r="I17" t="str">
            <v>Hà Nội, ngày 16 tháng 8 năm 2015</v>
          </cell>
          <cell r="J17" t="str">
            <v>15h00 ngày 16 tháng 8 năm 2015</v>
          </cell>
          <cell r="K17" t="str">
            <v>15h30 ngày 16 tháng 8 năm 2015</v>
          </cell>
          <cell r="L17" t="str">
            <v>15h30</v>
          </cell>
          <cell r="M17" t="str">
            <v>16h00</v>
          </cell>
          <cell r="N17">
            <v>16</v>
          </cell>
          <cell r="O17">
            <v>8</v>
          </cell>
          <cell r="P17">
            <v>2015</v>
          </cell>
          <cell r="Q17" t="str">
            <v>Hà Nội, ngày 16 tháng 8 năm 2015</v>
          </cell>
          <cell r="R17" t="str">
            <v>15h30 ngày 16 tháng 8 năm 2015</v>
          </cell>
          <cell r="S17" t="str">
            <v>16h00 ngày 16 tháng 8 năm 2015</v>
          </cell>
          <cell r="T17" t="str">
            <v>15h30</v>
          </cell>
          <cell r="U17" t="str">
            <v>15h30 Ngày 16/8/2015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42 tấn</v>
          </cell>
          <cell r="AQ17" t="str">
            <v>Ngày 16 Tháng 8 Năm 2015</v>
          </cell>
        </row>
        <row r="18">
          <cell r="A18" t="str">
            <v>XM-08</v>
          </cell>
          <cell r="B18" t="str">
            <v>-Xi măng Xuân Thành PCB30 kèm theo phiếu giao nhận hàng hóa ngày 24/7/2015, 
khối lượng 40 tấn</v>
          </cell>
          <cell r="C18" t="str">
            <v>XM-08</v>
          </cell>
          <cell r="D18" t="str">
            <v>14h00</v>
          </cell>
          <cell r="E18" t="str">
            <v>14h30</v>
          </cell>
          <cell r="F18">
            <v>21</v>
          </cell>
          <cell r="G18">
            <v>8</v>
          </cell>
          <cell r="H18">
            <v>2015</v>
          </cell>
          <cell r="I18" t="str">
            <v>Hà Nội, ngày 21 tháng 8 năm 2015</v>
          </cell>
          <cell r="J18" t="str">
            <v>14h00 ngày 21 tháng 8 năm 2015</v>
          </cell>
          <cell r="K18" t="str">
            <v>14h30 ngày 21 tháng 8 năm 2015</v>
          </cell>
          <cell r="L18" t="str">
            <v>14h30</v>
          </cell>
          <cell r="M18" t="str">
            <v>15h00</v>
          </cell>
          <cell r="N18">
            <v>21</v>
          </cell>
          <cell r="O18">
            <v>8</v>
          </cell>
          <cell r="P18">
            <v>2015</v>
          </cell>
          <cell r="Q18" t="str">
            <v>Hà Nội, ngày 21 tháng 8 năm 2015</v>
          </cell>
          <cell r="R18" t="str">
            <v>14h30 ngày 21 tháng 8 năm 2015</v>
          </cell>
          <cell r="S18" t="str">
            <v>15h00 ngày 21 tháng 8 năm 2015</v>
          </cell>
          <cell r="T18" t="str">
            <v>14h30</v>
          </cell>
          <cell r="U18" t="str">
            <v>14h30 Ngày 21/8/2015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43 tấn</v>
          </cell>
          <cell r="AQ18" t="str">
            <v>Ngày 21 Tháng 8 Năm 2015</v>
          </cell>
        </row>
        <row r="19">
          <cell r="A19" t="str">
            <v>XM-09</v>
          </cell>
          <cell r="B19" t="str">
            <v>-Xi măng Xuân Thành PCB30 kèm theo phiếu giao nhận hàng hóa ngày 30/7/2015, 
khối lượng 40 tấn</v>
          </cell>
          <cell r="C19" t="str">
            <v>XM-09</v>
          </cell>
          <cell r="D19" t="str">
            <v>15h30</v>
          </cell>
          <cell r="E19" t="str">
            <v>16h00</v>
          </cell>
          <cell r="F19">
            <v>27</v>
          </cell>
          <cell r="G19">
            <v>8</v>
          </cell>
          <cell r="H19">
            <v>2015</v>
          </cell>
          <cell r="I19" t="str">
            <v>Hà Nội, ngày 27 tháng 8 năm 2015</v>
          </cell>
          <cell r="J19" t="str">
            <v>15h30 ngày 27 tháng 8 năm 2015</v>
          </cell>
          <cell r="K19" t="str">
            <v>16h00 ngày 27 tháng 8 năm 2015</v>
          </cell>
          <cell r="L19" t="str">
            <v>16h00</v>
          </cell>
          <cell r="M19" t="str">
            <v>16h30</v>
          </cell>
          <cell r="N19">
            <v>27</v>
          </cell>
          <cell r="O19">
            <v>8</v>
          </cell>
          <cell r="P19">
            <v>2015</v>
          </cell>
          <cell r="Q19" t="str">
            <v>Hà Nội, ngày 27 tháng 8 năm 2015</v>
          </cell>
          <cell r="R19" t="str">
            <v>16h00 ngày 27 tháng 8 năm 2015</v>
          </cell>
          <cell r="S19" t="str">
            <v>16h30 ngày 27 tháng 8 năm 2015</v>
          </cell>
          <cell r="T19" t="str">
            <v>16h00</v>
          </cell>
          <cell r="U19" t="str">
            <v>16h00 Ngày 27/8/2015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44 tấn</v>
          </cell>
          <cell r="AQ19" t="str">
            <v>Ngày 27 Tháng 8 Năm 2015</v>
          </cell>
        </row>
        <row r="20">
          <cell r="A20" t="str">
            <v>XM-10</v>
          </cell>
          <cell r="B20" t="str">
            <v>-Xi măng Xuân Thành PCB30 kèm theo phiếu giao nhận hàng hóa ngày 03/8/2015, 
khối lượng 40 tấn</v>
          </cell>
          <cell r="C20" t="str">
            <v>XM-10</v>
          </cell>
          <cell r="D20" t="str">
            <v>9h00</v>
          </cell>
          <cell r="E20" t="str">
            <v>9h30</v>
          </cell>
          <cell r="F20">
            <v>31</v>
          </cell>
          <cell r="G20">
            <v>8</v>
          </cell>
          <cell r="H20">
            <v>2015</v>
          </cell>
          <cell r="I20" t="str">
            <v>Hà Nội, ngày 31 tháng 8 năm 2015</v>
          </cell>
          <cell r="J20" t="str">
            <v>9h00 ngày 31 tháng 8 năm 2015</v>
          </cell>
          <cell r="K20" t="str">
            <v>9h30 ngày 31 tháng 8 năm 2015</v>
          </cell>
          <cell r="L20" t="str">
            <v>9h30</v>
          </cell>
          <cell r="M20" t="str">
            <v>10h00</v>
          </cell>
          <cell r="N20">
            <v>31</v>
          </cell>
          <cell r="O20">
            <v>8</v>
          </cell>
          <cell r="P20">
            <v>2015</v>
          </cell>
          <cell r="Q20" t="str">
            <v>Hà Nội, ngày 31 tháng 8 năm 2015</v>
          </cell>
          <cell r="R20" t="str">
            <v>9h30 ngày 31 tháng 8 năm 2015</v>
          </cell>
          <cell r="S20" t="str">
            <v>10h00 ngày 31 tháng 8 năm 2015</v>
          </cell>
          <cell r="T20" t="str">
            <v>9h30</v>
          </cell>
          <cell r="U20" t="str">
            <v>9h30 Ngày 31/8/2015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45 tấn</v>
          </cell>
          <cell r="AQ20" t="str">
            <v>Ngày 31 Tháng 8 Năm 2015</v>
          </cell>
        </row>
        <row r="21">
          <cell r="A21" t="str">
            <v>XM-11</v>
          </cell>
          <cell r="B21" t="str">
            <v>-Xi măng Xuân Thành PCB30 kèm theo phiếu giao nhận hàng hóa ngày 06/8/2015, 
khối lượng 40 tấn</v>
          </cell>
          <cell r="C21" t="str">
            <v>XM-11</v>
          </cell>
          <cell r="D21" t="str">
            <v>8h00</v>
          </cell>
          <cell r="E21" t="str">
            <v>8h30</v>
          </cell>
          <cell r="F21">
            <v>3</v>
          </cell>
          <cell r="G21">
            <v>9</v>
          </cell>
          <cell r="H21">
            <v>2015</v>
          </cell>
          <cell r="I21" t="str">
            <v>Hà Nội, ngày 3 tháng 9 năm 2015</v>
          </cell>
          <cell r="J21" t="str">
            <v>8h00 ngày 3 tháng 9 năm 2015</v>
          </cell>
          <cell r="K21" t="str">
            <v>8h30 ngày 3 tháng 9 năm 2015</v>
          </cell>
          <cell r="L21" t="str">
            <v>8h30</v>
          </cell>
          <cell r="M21" t="str">
            <v>9h00</v>
          </cell>
          <cell r="N21">
            <v>3</v>
          </cell>
          <cell r="O21">
            <v>9</v>
          </cell>
          <cell r="P21">
            <v>2015</v>
          </cell>
          <cell r="Q21" t="str">
            <v>Hà Nội, ngày 3 tháng 9 năm 2015</v>
          </cell>
          <cell r="R21" t="str">
            <v>8h30 ngày 3 tháng 9 năm 2015</v>
          </cell>
          <cell r="S21" t="str">
            <v>9h00 ngày 3 tháng 9 năm 2015</v>
          </cell>
          <cell r="T21" t="str">
            <v>8h30</v>
          </cell>
          <cell r="U21" t="str">
            <v>8h30 Ngày 3/9/2015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46 tấn</v>
          </cell>
          <cell r="AQ21" t="str">
            <v>Ngày 3 Tháng 9 Năm 2015</v>
          </cell>
        </row>
        <row r="22">
          <cell r="A22" t="str">
            <v>XM-12</v>
          </cell>
          <cell r="B22" t="str">
            <v>-Xi măng Xuân Thành PCB30 kèm theo phiếu giao nhận hàng hóa ngày 10/8/2015, 
khối lượng 40 tấn</v>
          </cell>
          <cell r="C22" t="str">
            <v>XM-12</v>
          </cell>
          <cell r="D22" t="str">
            <v>14h00</v>
          </cell>
          <cell r="E22" t="str">
            <v>14h30</v>
          </cell>
          <cell r="F22">
            <v>7</v>
          </cell>
          <cell r="G22">
            <v>9</v>
          </cell>
          <cell r="H22">
            <v>2015</v>
          </cell>
          <cell r="I22" t="str">
            <v>Hà Nội, ngày 7 tháng 9 năm 2015</v>
          </cell>
          <cell r="J22" t="str">
            <v>14h00 ngày 7 tháng 9 năm 2015</v>
          </cell>
          <cell r="K22" t="str">
            <v>14h30 ngày 7 tháng 9 năm 2015</v>
          </cell>
          <cell r="L22" t="str">
            <v>14h30</v>
          </cell>
          <cell r="M22" t="str">
            <v>15h00</v>
          </cell>
          <cell r="N22">
            <v>7</v>
          </cell>
          <cell r="O22">
            <v>9</v>
          </cell>
          <cell r="P22">
            <v>2015</v>
          </cell>
          <cell r="Q22" t="str">
            <v>Hà Nội, ngày 7 tháng 9 năm 2015</v>
          </cell>
          <cell r="R22" t="str">
            <v>14h30 ngày 7 tháng 9 năm 2015</v>
          </cell>
          <cell r="S22" t="str">
            <v>15h00 ngày 7 tháng 9 năm 2015</v>
          </cell>
          <cell r="T22" t="str">
            <v>14h30</v>
          </cell>
          <cell r="U22" t="str">
            <v>14h30 Ngày 7/9/2015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47 tấn</v>
          </cell>
          <cell r="AQ22" t="str">
            <v>Ngày 7 Tháng 9 Năm 2015</v>
          </cell>
        </row>
        <row r="23">
          <cell r="A23" t="str">
            <v>XM-13</v>
          </cell>
          <cell r="B23" t="str">
            <v>-Xi măng Xuân Thành PCB30 kèm theo phiếu giao nhận hàng hóa ngày 14/8/2015, 
khối lượng 40 tấn</v>
          </cell>
          <cell r="C23" t="str">
            <v>XM-13</v>
          </cell>
          <cell r="D23" t="str">
            <v>15h00</v>
          </cell>
          <cell r="E23" t="str">
            <v>15h30</v>
          </cell>
          <cell r="F23">
            <v>11</v>
          </cell>
          <cell r="G23">
            <v>9</v>
          </cell>
          <cell r="H23">
            <v>2015</v>
          </cell>
          <cell r="I23" t="str">
            <v>Hà Nội, ngày 11 tháng 9 năm 2015</v>
          </cell>
          <cell r="J23" t="str">
            <v>15h00 ngày 11 tháng 9 năm 2015</v>
          </cell>
          <cell r="K23" t="str">
            <v>15h30 ngày 11 tháng 9 năm 2015</v>
          </cell>
          <cell r="L23" t="str">
            <v>15h30</v>
          </cell>
          <cell r="M23" t="str">
            <v>16h00</v>
          </cell>
          <cell r="N23">
            <v>11</v>
          </cell>
          <cell r="O23">
            <v>9</v>
          </cell>
          <cell r="P23">
            <v>2015</v>
          </cell>
          <cell r="Q23" t="str">
            <v>Hà Nội, ngày 11 tháng 9 năm 2015</v>
          </cell>
          <cell r="R23" t="str">
            <v>15h30 ngày 11 tháng 9 năm 2015</v>
          </cell>
          <cell r="S23" t="str">
            <v>16h00 ngày 11 tháng 9 năm 2015</v>
          </cell>
          <cell r="T23" t="str">
            <v>15h30</v>
          </cell>
          <cell r="U23" t="str">
            <v>15h30 Ngày 11/9/2015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48 tấn</v>
          </cell>
          <cell r="AQ23" t="str">
            <v>Ngày 11 Tháng 9 Năm 2015</v>
          </cell>
        </row>
        <row r="24">
          <cell r="A24" t="str">
            <v>XM-14</v>
          </cell>
          <cell r="B24" t="str">
            <v>-Xi măng Xuân Thành PCB30 kèm theo phiếu giao nhận hàng hóa ngày 17/8/2015, 
khối lượng 40 tấn</v>
          </cell>
          <cell r="C24" t="str">
            <v>XM-14</v>
          </cell>
          <cell r="D24" t="str">
            <v>10h00</v>
          </cell>
          <cell r="E24" t="str">
            <v>10h30</v>
          </cell>
          <cell r="F24">
            <v>14</v>
          </cell>
          <cell r="G24">
            <v>9</v>
          </cell>
          <cell r="H24">
            <v>2015</v>
          </cell>
          <cell r="I24" t="str">
            <v>Hà Nội, ngày 14 tháng 9 năm 2015</v>
          </cell>
          <cell r="J24" t="str">
            <v>10h00 ngày 14 tháng 9 năm 2015</v>
          </cell>
          <cell r="K24" t="str">
            <v>10h30 ngày 14 tháng 9 năm 2015</v>
          </cell>
          <cell r="L24" t="str">
            <v>10h30</v>
          </cell>
          <cell r="M24" t="str">
            <v>11h00</v>
          </cell>
          <cell r="N24">
            <v>14</v>
          </cell>
          <cell r="O24">
            <v>9</v>
          </cell>
          <cell r="P24">
            <v>2015</v>
          </cell>
          <cell r="Q24" t="str">
            <v>Hà Nội, ngày 14 tháng 9 năm 2015</v>
          </cell>
          <cell r="R24" t="str">
            <v>10h30 ngày 14 tháng 9 năm 2015</v>
          </cell>
          <cell r="S24" t="str">
            <v>11h00 ngày 14 tháng 9 năm 2015</v>
          </cell>
          <cell r="T24" t="str">
            <v>10h30</v>
          </cell>
          <cell r="U24" t="str">
            <v>10h30 Ngày 14/9/2015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49 tấn</v>
          </cell>
          <cell r="AQ24" t="str">
            <v>Ngày 14 Tháng 9 Năm 2015</v>
          </cell>
        </row>
        <row r="25">
          <cell r="A25" t="str">
            <v>XM-15</v>
          </cell>
          <cell r="B25" t="str">
            <v>Xi măng trắng Thái Bình kèm theo phiếu giao nhận hàng hóa ngày 21/8/2015, khối lượng 3 tấn</v>
          </cell>
          <cell r="C25" t="str">
            <v>XM-15</v>
          </cell>
          <cell r="D25" t="str">
            <v>8h00</v>
          </cell>
          <cell r="E25" t="str">
            <v>8h30</v>
          </cell>
          <cell r="F25">
            <v>19</v>
          </cell>
          <cell r="G25">
            <v>9</v>
          </cell>
          <cell r="H25">
            <v>2015</v>
          </cell>
          <cell r="I25" t="str">
            <v>Hà Nội, ngày 19 tháng 9 năm 2015</v>
          </cell>
          <cell r="J25" t="str">
            <v>8h00 ngày 19 tháng 9 năm 2015</v>
          </cell>
          <cell r="K25" t="str">
            <v>8h30 ngày 19 tháng 9 năm 2015</v>
          </cell>
          <cell r="L25" t="str">
            <v>8h30</v>
          </cell>
          <cell r="M25" t="str">
            <v>9h00</v>
          </cell>
          <cell r="N25">
            <v>19</v>
          </cell>
          <cell r="O25">
            <v>9</v>
          </cell>
          <cell r="P25">
            <v>2015</v>
          </cell>
          <cell r="Q25" t="str">
            <v>Hà Nội, ngày 19 tháng 9 năm 2015</v>
          </cell>
          <cell r="R25" t="str">
            <v>8h30 ngày 19 tháng 9 năm 2015</v>
          </cell>
          <cell r="S25" t="str">
            <v>9h00 ngày 19 tháng 9 năm 2015</v>
          </cell>
          <cell r="T25" t="str">
            <v>8h30</v>
          </cell>
          <cell r="U25" t="str">
            <v>8h30 Ngày 19/9/2015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50 tấn</v>
          </cell>
          <cell r="AQ25" t="str">
            <v>Ngày 19 Tháng 9 Năm 2015</v>
          </cell>
        </row>
        <row r="26">
          <cell r="A26" t="str">
            <v>XM-16</v>
          </cell>
          <cell r="B26" t="str">
            <v>Vật liệu xi măng Xuân Thành PCB30 kèm theo biên bản xác nhận khối lượng cấp hàng ngày 03/09/2015</v>
          </cell>
          <cell r="C26" t="str">
            <v>XM-16</v>
          </cell>
          <cell r="D26" t="str">
            <v>8h15</v>
          </cell>
          <cell r="E26" t="str">
            <v>9h00</v>
          </cell>
          <cell r="F26">
            <v>2</v>
          </cell>
          <cell r="G26">
            <v>10</v>
          </cell>
          <cell r="H26">
            <v>2015</v>
          </cell>
          <cell r="I26" t="str">
            <v>Hà Nội, ngày 2 tháng 10 năm 2015</v>
          </cell>
          <cell r="J26" t="str">
            <v>8h15 ngày 2 tháng 10 năm 2015</v>
          </cell>
          <cell r="K26" t="str">
            <v>9h00 ngày 2 tháng 10 năm 2015</v>
          </cell>
          <cell r="L26" t="str">
            <v>9h15</v>
          </cell>
          <cell r="M26" t="str">
            <v>10h00</v>
          </cell>
          <cell r="N26">
            <v>2</v>
          </cell>
          <cell r="O26">
            <v>10</v>
          </cell>
          <cell r="P26">
            <v>2015</v>
          </cell>
          <cell r="Q26" t="str">
            <v>Hà Nội, ngày 2 tháng 10 năm 2015</v>
          </cell>
          <cell r="R26" t="str">
            <v>9h15 ngày 2 tháng 10 năm 2015</v>
          </cell>
          <cell r="S26" t="str">
            <v>10h00 ngày 2 tháng 10 năm 2015</v>
          </cell>
          <cell r="T26" t="str">
            <v>9h15</v>
          </cell>
          <cell r="U26" t="str">
            <v>9h15 Ngày 2/10/2015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51 tấn</v>
          </cell>
          <cell r="AQ26" t="str">
            <v>Ngày 2 Tháng 10 Năm 2015</v>
          </cell>
        </row>
        <row r="27">
          <cell r="A27" t="str">
            <v>XM-17</v>
          </cell>
          <cell r="B27" t="str">
            <v>Vật liệu xi măng Xuân Thành PCB30 kèm theo biên bản xác nhận khối lượng cấp hàng ngày 13/09/2015</v>
          </cell>
          <cell r="C27" t="str">
            <v>XM-17</v>
          </cell>
          <cell r="D27" t="str">
            <v>8h00</v>
          </cell>
          <cell r="E27" t="str">
            <v>8h30</v>
          </cell>
          <cell r="F27">
            <v>13</v>
          </cell>
          <cell r="G27">
            <v>10</v>
          </cell>
          <cell r="H27">
            <v>2015</v>
          </cell>
          <cell r="I27" t="str">
            <v>Hà Nội, ngày 13 tháng 10 năm 2015</v>
          </cell>
          <cell r="J27" t="str">
            <v>8h00 ngày 13 tháng 10 năm 2015</v>
          </cell>
          <cell r="K27" t="str">
            <v>8h30 ngày 13 tháng 10 năm 2015</v>
          </cell>
          <cell r="L27" t="str">
            <v>9h00</v>
          </cell>
          <cell r="M27" t="str">
            <v>9h30</v>
          </cell>
          <cell r="N27">
            <v>13</v>
          </cell>
          <cell r="O27">
            <v>10</v>
          </cell>
          <cell r="P27">
            <v>2015</v>
          </cell>
          <cell r="Q27" t="str">
            <v>Hà Nội, ngày 13 tháng 10 năm 2015</v>
          </cell>
          <cell r="R27" t="str">
            <v>9h00 ngày 13 tháng 10 năm 2015</v>
          </cell>
          <cell r="S27" t="str">
            <v>9h30 ngày 13 tháng 10 năm 2015</v>
          </cell>
          <cell r="T27" t="str">
            <v>9h00</v>
          </cell>
          <cell r="U27" t="str">
            <v>9h00 Ngày 13/10/2015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52 tấn</v>
          </cell>
          <cell r="AQ27" t="str">
            <v>Ngày 13 Tháng 10 Năm 2015</v>
          </cell>
        </row>
        <row r="28">
          <cell r="A28" t="str">
            <v>XM-18</v>
          </cell>
          <cell r="B28" t="str">
            <v>Vật liệu xi măng Xuân Thành PCB30 kèm theo biên bản xác nhận khối lượng cấp hàng ngày 16/09/2015</v>
          </cell>
          <cell r="C28" t="str">
            <v>XM-18</v>
          </cell>
          <cell r="D28" t="str">
            <v>14h15</v>
          </cell>
          <cell r="E28" t="str">
            <v>15h00</v>
          </cell>
          <cell r="F28">
            <v>17</v>
          </cell>
          <cell r="G28">
            <v>10</v>
          </cell>
          <cell r="H28">
            <v>2015</v>
          </cell>
          <cell r="I28" t="str">
            <v>Hà Nội, ngày 17 tháng 10 năm 2015</v>
          </cell>
          <cell r="J28" t="str">
            <v>14h15 ngày 17 tháng 10 năm 2015</v>
          </cell>
          <cell r="K28" t="str">
            <v>15h00 ngày 17 tháng 10 năm 2015</v>
          </cell>
          <cell r="L28" t="str">
            <v>15h15</v>
          </cell>
          <cell r="M28" t="str">
            <v>15h45</v>
          </cell>
          <cell r="N28">
            <v>17</v>
          </cell>
          <cell r="O28">
            <v>10</v>
          </cell>
          <cell r="P28">
            <v>2015</v>
          </cell>
          <cell r="Q28" t="str">
            <v>Hà Nội, ngày 17 tháng 10 năm 2015</v>
          </cell>
          <cell r="R28" t="str">
            <v>15h15 ngày 17 tháng 10 năm 2015</v>
          </cell>
          <cell r="S28" t="str">
            <v>15h45 ngày 17 tháng 10 năm 2015</v>
          </cell>
          <cell r="T28" t="str">
            <v>15h15</v>
          </cell>
          <cell r="U28" t="str">
            <v>15h15 Ngày 17/10/2015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53 tấn</v>
          </cell>
          <cell r="AQ28" t="str">
            <v>Ngày 17 Tháng 10 Năm 2015</v>
          </cell>
        </row>
        <row r="29">
          <cell r="A29" t="str">
            <v>XM-19</v>
          </cell>
          <cell r="B29" t="str">
            <v>Vật liệu xi măng Xuân Thành PCB30 kèm theo biên bản xác nhận khối lượng cấp hàng ngày 24/09/2015</v>
          </cell>
          <cell r="C29" t="str">
            <v>XM-19</v>
          </cell>
          <cell r="D29" t="str">
            <v>14h00</v>
          </cell>
          <cell r="E29" t="str">
            <v>14h30</v>
          </cell>
          <cell r="F29">
            <v>24</v>
          </cell>
          <cell r="G29">
            <v>10</v>
          </cell>
          <cell r="H29">
            <v>2015</v>
          </cell>
          <cell r="I29" t="str">
            <v>Hà Nội, ngày 24 tháng 10 năm 2015</v>
          </cell>
          <cell r="J29" t="str">
            <v>14h00 ngày 24 tháng 10 năm 2015</v>
          </cell>
          <cell r="K29" t="str">
            <v>14h30 ngày 24 tháng 10 năm 2015</v>
          </cell>
          <cell r="L29" t="str">
            <v>15h00</v>
          </cell>
          <cell r="M29" t="str">
            <v>15h30</v>
          </cell>
          <cell r="N29">
            <v>24</v>
          </cell>
          <cell r="O29">
            <v>10</v>
          </cell>
          <cell r="P29">
            <v>2015</v>
          </cell>
          <cell r="Q29" t="str">
            <v>Hà Nội, ngày 24 tháng 10 năm 2015</v>
          </cell>
          <cell r="R29" t="str">
            <v>15h00 ngày 24 tháng 10 năm 2015</v>
          </cell>
          <cell r="S29" t="str">
            <v>15h30 ngày 24 tháng 10 năm 2015</v>
          </cell>
          <cell r="T29" t="str">
            <v>15h00</v>
          </cell>
          <cell r="U29" t="str">
            <v>15h00 Ngày 24/10/2015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54 tấn</v>
          </cell>
          <cell r="AQ29" t="str">
            <v>Ngày 24 Tháng 10 Năm 2015</v>
          </cell>
        </row>
        <row r="30">
          <cell r="A30" t="str">
            <v>XM-20</v>
          </cell>
          <cell r="B30" t="str">
            <v>Vật liệu xi măng Xuân Thành PCB30 kèm theo biên bản xác nhận khối lượng cấp hàng ngày 27/09/2015</v>
          </cell>
          <cell r="C30" t="str">
            <v>XM-20</v>
          </cell>
          <cell r="D30" t="str">
            <v>14h30</v>
          </cell>
          <cell r="E30" t="str">
            <v>15h00</v>
          </cell>
          <cell r="F30">
            <v>27</v>
          </cell>
          <cell r="G30">
            <v>10</v>
          </cell>
          <cell r="H30">
            <v>2015</v>
          </cell>
          <cell r="I30" t="str">
            <v>Hà Nội, ngày 27 tháng 10 năm 2015</v>
          </cell>
          <cell r="J30" t="str">
            <v>14h30 ngày 27 tháng 10 năm 2015</v>
          </cell>
          <cell r="K30" t="str">
            <v>15h00 ngày 27 tháng 10 năm 2015</v>
          </cell>
          <cell r="L30" t="str">
            <v>15h30</v>
          </cell>
          <cell r="M30" t="str">
            <v>16h00</v>
          </cell>
          <cell r="N30">
            <v>27</v>
          </cell>
          <cell r="O30">
            <v>10</v>
          </cell>
          <cell r="P30">
            <v>2015</v>
          </cell>
          <cell r="Q30" t="str">
            <v>Hà Nội, ngày 27 tháng 10 năm 2015</v>
          </cell>
          <cell r="R30" t="str">
            <v>15h30 ngày 27 tháng 10 năm 2015</v>
          </cell>
          <cell r="S30" t="str">
            <v>16h00 ngày 27 tháng 10 năm 2015</v>
          </cell>
          <cell r="T30" t="str">
            <v>15h30</v>
          </cell>
          <cell r="U30" t="str">
            <v>15h30 Ngày 27/10/2015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40 tấn</v>
          </cell>
          <cell r="AO30" t="str">
            <v>PCB30</v>
          </cell>
          <cell r="AQ30" t="str">
            <v>Ngày 27 Tháng 10 Năm 2015</v>
          </cell>
        </row>
        <row r="31">
          <cell r="A31" t="str">
            <v>XM-21</v>
          </cell>
          <cell r="B31" t="str">
            <v>Vật liệu xi măng Xuân Thành PCB30 kèm theo biên bản xác nhận khối lượng cấp hàng ngày 01/10/2015</v>
          </cell>
          <cell r="C31" t="str">
            <v>XM-21</v>
          </cell>
          <cell r="D31" t="str">
            <v>15h00</v>
          </cell>
          <cell r="E31" t="str">
            <v>15h45</v>
          </cell>
          <cell r="F31">
            <v>31</v>
          </cell>
          <cell r="G31">
            <v>10</v>
          </cell>
          <cell r="H31">
            <v>2015</v>
          </cell>
          <cell r="I31" t="str">
            <v>Hà Nội, ngày 31 tháng 10 năm 2015</v>
          </cell>
          <cell r="J31" t="str">
            <v>15h00 ngày 31 tháng 10 năm 2015</v>
          </cell>
          <cell r="K31" t="str">
            <v>15h45 ngày 31 tháng 10 năm 2015</v>
          </cell>
          <cell r="L31" t="str">
            <v>16h00</v>
          </cell>
          <cell r="M31" t="str">
            <v>16h45</v>
          </cell>
          <cell r="N31">
            <v>31</v>
          </cell>
          <cell r="O31">
            <v>10</v>
          </cell>
          <cell r="P31">
            <v>2015</v>
          </cell>
          <cell r="Q31" t="str">
            <v>Hà Nội, ngày 31 tháng 10 năm 2015</v>
          </cell>
          <cell r="R31" t="str">
            <v>16h00 ngày 31 tháng 10 năm 2015</v>
          </cell>
          <cell r="S31" t="str">
            <v>16h45 ngày 31 tháng 10 năm 2015</v>
          </cell>
          <cell r="T31" t="str">
            <v>16h00</v>
          </cell>
          <cell r="U31" t="str">
            <v>16h00 Ngày 31/10/2015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45 tấn</v>
          </cell>
          <cell r="AO31" t="str">
            <v>PCB30</v>
          </cell>
          <cell r="AQ31" t="str">
            <v>Ngày 31 Tháng 10 Năm 2015</v>
          </cell>
        </row>
        <row r="32">
          <cell r="A32" t="str">
            <v>XM-22</v>
          </cell>
          <cell r="B32" t="str">
            <v>Vật liệu xi măng Xuân Thành PCB30 kèm theo biên bản xác nhận khối lượng cấp hàng ngày 05/10/2015</v>
          </cell>
          <cell r="C32" t="str">
            <v>XM-22</v>
          </cell>
          <cell r="D32" t="str">
            <v>9h00</v>
          </cell>
          <cell r="E32" t="str">
            <v>9h45</v>
          </cell>
          <cell r="F32">
            <v>3</v>
          </cell>
          <cell r="G32">
            <v>11</v>
          </cell>
          <cell r="H32">
            <v>2015</v>
          </cell>
          <cell r="I32" t="str">
            <v>Hà Nội, ngày 3 tháng 11 năm 2015</v>
          </cell>
          <cell r="J32" t="str">
            <v>9h00 ngày 3 tháng 11 năm 2015</v>
          </cell>
          <cell r="K32" t="str">
            <v>9h45 ngày 3 tháng 11 năm 2015</v>
          </cell>
          <cell r="L32" t="str">
            <v>10h00</v>
          </cell>
          <cell r="M32" t="str">
            <v>10h45</v>
          </cell>
          <cell r="N32">
            <v>3</v>
          </cell>
          <cell r="O32">
            <v>11</v>
          </cell>
          <cell r="P32">
            <v>2015</v>
          </cell>
          <cell r="Q32" t="str">
            <v>Hà Nội, ngày 3 tháng 11 năm 2015</v>
          </cell>
          <cell r="R32" t="str">
            <v>10h00 ngày 3 tháng 11 năm 2015</v>
          </cell>
          <cell r="S32" t="str">
            <v>10h45 ngày 3 tháng 11 năm 2015</v>
          </cell>
          <cell r="T32" t="str">
            <v>10h00</v>
          </cell>
          <cell r="U32" t="str">
            <v>10h00 Ngày 3/11/2015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45 tấn</v>
          </cell>
          <cell r="AO32" t="str">
            <v>PCB30</v>
          </cell>
          <cell r="AQ32" t="str">
            <v>Ngày 3 Tháng 11 Năm 2015</v>
          </cell>
        </row>
        <row r="33">
          <cell r="A33" t="str">
            <v>XM-23</v>
          </cell>
          <cell r="C33" t="str">
            <v>XM-23</v>
          </cell>
          <cell r="I33" t="str">
            <v xml:space="preserve">Hà Nội, ngày  tháng  năm </v>
          </cell>
          <cell r="J33" t="str">
            <v xml:space="preserve"> ngày  tháng  năm </v>
          </cell>
          <cell r="K33" t="str">
            <v xml:space="preserve"> ngày  tháng  năm </v>
          </cell>
          <cell r="L33">
            <v>0</v>
          </cell>
          <cell r="M33" t="str">
            <v>….h….</v>
          </cell>
          <cell r="N33">
            <v>0</v>
          </cell>
          <cell r="O33">
            <v>0</v>
          </cell>
          <cell r="P33">
            <v>2015</v>
          </cell>
          <cell r="Q33" t="str">
            <v>Hà Nội, ngày 0 tháng 0 năm 2015</v>
          </cell>
          <cell r="R33" t="str">
            <v>0 ngày 0 tháng 0 năm 2015</v>
          </cell>
          <cell r="S33" t="str">
            <v>….h…. ngày 0 tháng 0 năm 2015</v>
          </cell>
          <cell r="T33">
            <v>0</v>
          </cell>
          <cell r="U33" t="str">
            <v>0 Ngày 0/0/2015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45 tấn</v>
          </cell>
          <cell r="AO33" t="str">
            <v>PCB30</v>
          </cell>
          <cell r="AQ33" t="str">
            <v xml:space="preserve">Ngày  Tháng  Năm </v>
          </cell>
        </row>
        <row r="34">
          <cell r="A34" t="str">
            <v>XM-24</v>
          </cell>
          <cell r="C34" t="str">
            <v>XM-24</v>
          </cell>
          <cell r="I34" t="str">
            <v xml:space="preserve">Hà Nội, ngày  tháng  năm </v>
          </cell>
          <cell r="J34" t="str">
            <v xml:space="preserve"> ngày  tháng  năm </v>
          </cell>
          <cell r="K34" t="str">
            <v xml:space="preserve"> ngày  tháng  năm </v>
          </cell>
          <cell r="L34">
            <v>0</v>
          </cell>
          <cell r="M34" t="str">
            <v>….h….</v>
          </cell>
          <cell r="N34">
            <v>0</v>
          </cell>
          <cell r="O34">
            <v>0</v>
          </cell>
          <cell r="P34">
            <v>2015</v>
          </cell>
          <cell r="Q34" t="str">
            <v>Hà Nội, ngày 0 tháng 0 năm 2015</v>
          </cell>
          <cell r="R34" t="str">
            <v>0 ngày 0 tháng 0 năm 2015</v>
          </cell>
          <cell r="S34" t="str">
            <v>….h…. ngày 0 tháng 0 năm 2015</v>
          </cell>
          <cell r="T34">
            <v>0</v>
          </cell>
          <cell r="U34" t="str">
            <v>0 Ngày 0/0/2015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45 tấn</v>
          </cell>
          <cell r="AO34" t="str">
            <v>PCB30</v>
          </cell>
          <cell r="AQ34" t="str">
            <v xml:space="preserve">Ngày  Tháng  Năm </v>
          </cell>
        </row>
        <row r="35">
          <cell r="A35" t="str">
            <v>XM-25</v>
          </cell>
          <cell r="C35" t="str">
            <v>XM-25</v>
          </cell>
          <cell r="I35" t="str">
            <v xml:space="preserve">Hà Nội, ngày  tháng  năm </v>
          </cell>
          <cell r="J35" t="str">
            <v xml:space="preserve"> ngày  tháng  năm </v>
          </cell>
          <cell r="K35" t="str">
            <v xml:space="preserve"> ngày  tháng  năm </v>
          </cell>
          <cell r="L35">
            <v>0</v>
          </cell>
          <cell r="M35" t="str">
            <v>….h….</v>
          </cell>
          <cell r="N35">
            <v>0</v>
          </cell>
          <cell r="O35">
            <v>0</v>
          </cell>
          <cell r="P35">
            <v>2015</v>
          </cell>
          <cell r="Q35" t="str">
            <v>Hà Nội, ngày 0 tháng 0 năm 2015</v>
          </cell>
          <cell r="R35" t="str">
            <v>0 ngày 0 tháng 0 năm 2015</v>
          </cell>
          <cell r="S35" t="str">
            <v>….h…. ngày 0 tháng 0 năm 2015</v>
          </cell>
          <cell r="T35">
            <v>0</v>
          </cell>
          <cell r="U35" t="str">
            <v>0 Ngày 0/0/2015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45 tấn</v>
          </cell>
          <cell r="AO35" t="str">
            <v>PCB30</v>
          </cell>
          <cell r="AQ35" t="str">
            <v xml:space="preserve">Ngày  Tháng  Năm </v>
          </cell>
        </row>
        <row r="36">
          <cell r="A36" t="str">
            <v>XM-26</v>
          </cell>
          <cell r="C36" t="str">
            <v>XM-26</v>
          </cell>
          <cell r="I36" t="str">
            <v xml:space="preserve">Hà Nội, ngày  tháng  năm </v>
          </cell>
          <cell r="J36" t="str">
            <v xml:space="preserve"> ngày  tháng  năm </v>
          </cell>
          <cell r="K36" t="str">
            <v xml:space="preserve"> ngày  tháng  năm </v>
          </cell>
          <cell r="L36">
            <v>0</v>
          </cell>
          <cell r="M36" t="str">
            <v>….h….</v>
          </cell>
          <cell r="N36">
            <v>0</v>
          </cell>
          <cell r="O36">
            <v>0</v>
          </cell>
          <cell r="P36">
            <v>2015</v>
          </cell>
          <cell r="Q36" t="str">
            <v>Hà Nội, ngày 0 tháng 0 năm 2015</v>
          </cell>
          <cell r="R36" t="str">
            <v>0 ngày 0 tháng 0 năm 2015</v>
          </cell>
          <cell r="S36" t="str">
            <v>….h…. ngày 0 tháng 0 năm 2015</v>
          </cell>
          <cell r="T36">
            <v>0</v>
          </cell>
          <cell r="U36" t="str">
            <v>0 Ngày 0/0/2015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45 tấn</v>
          </cell>
          <cell r="AO36" t="str">
            <v>PCB30</v>
          </cell>
          <cell r="AQ36" t="str">
            <v xml:space="preserve">Ngày  Tháng  Năm </v>
          </cell>
        </row>
        <row r="37">
          <cell r="A37" t="str">
            <v>XM-27</v>
          </cell>
          <cell r="C37" t="str">
            <v>XM-27</v>
          </cell>
          <cell r="I37" t="str">
            <v xml:space="preserve">Hà Nội, ngày  tháng  năm </v>
          </cell>
          <cell r="J37" t="str">
            <v xml:space="preserve"> ngày  tháng  năm </v>
          </cell>
          <cell r="K37" t="str">
            <v xml:space="preserve"> ngày  tháng  năm </v>
          </cell>
          <cell r="L37">
            <v>0</v>
          </cell>
          <cell r="M37" t="str">
            <v>….h….</v>
          </cell>
          <cell r="N37">
            <v>0</v>
          </cell>
          <cell r="O37">
            <v>0</v>
          </cell>
          <cell r="P37">
            <v>2015</v>
          </cell>
          <cell r="Q37" t="str">
            <v>Hà Nội, ngày 0 tháng 0 năm 2015</v>
          </cell>
          <cell r="R37" t="str">
            <v>0 ngày 0 tháng 0 năm 2015</v>
          </cell>
          <cell r="S37" t="str">
            <v>….h…. ngày 0 tháng 0 năm 2015</v>
          </cell>
          <cell r="T37">
            <v>0</v>
          </cell>
          <cell r="U37" t="str">
            <v>0 Ngày 0/0/2015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45 tấn</v>
          </cell>
          <cell r="AO37" t="str">
            <v>PCB30</v>
          </cell>
          <cell r="AQ37" t="str">
            <v xml:space="preserve">Ngày  Tháng  Năm </v>
          </cell>
        </row>
        <row r="38">
          <cell r="A38" t="str">
            <v>XM-28</v>
          </cell>
          <cell r="C38" t="str">
            <v>XM-28</v>
          </cell>
          <cell r="I38" t="str">
            <v xml:space="preserve">Hà Nội, ngày  tháng  năm </v>
          </cell>
          <cell r="J38" t="str">
            <v xml:space="preserve"> ngày  tháng  năm </v>
          </cell>
          <cell r="K38" t="str">
            <v xml:space="preserve"> ngày  tháng  năm </v>
          </cell>
          <cell r="L38">
            <v>0</v>
          </cell>
          <cell r="M38" t="str">
            <v>….h….</v>
          </cell>
          <cell r="N38">
            <v>0</v>
          </cell>
          <cell r="O38">
            <v>0</v>
          </cell>
          <cell r="P38">
            <v>2015</v>
          </cell>
          <cell r="Q38" t="str">
            <v>Hà Nội, ngày 0 tháng 0 năm 2015</v>
          </cell>
          <cell r="R38" t="str">
            <v>0 ngày 0 tháng 0 năm 2015</v>
          </cell>
          <cell r="S38" t="str">
            <v>….h…. ngày 0 tháng 0 năm 2015</v>
          </cell>
          <cell r="T38">
            <v>0</v>
          </cell>
          <cell r="U38" t="str">
            <v>0 Ngày 0/0/2015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45 tấn</v>
          </cell>
          <cell r="AO38" t="str">
            <v>PCB30</v>
          </cell>
          <cell r="AQ38" t="str">
            <v xml:space="preserve">Ngày  Tháng  Năm </v>
          </cell>
        </row>
        <row r="39">
          <cell r="A39" t="str">
            <v>XM-29</v>
          </cell>
          <cell r="C39" t="str">
            <v>XM-29</v>
          </cell>
          <cell r="I39" t="str">
            <v xml:space="preserve">Hà Nội, ngày  tháng  năm </v>
          </cell>
          <cell r="J39" t="str">
            <v xml:space="preserve"> ngày  tháng  năm </v>
          </cell>
          <cell r="K39" t="str">
            <v xml:space="preserve"> ngày  tháng  năm </v>
          </cell>
          <cell r="L39">
            <v>0</v>
          </cell>
          <cell r="M39" t="str">
            <v>….h….</v>
          </cell>
          <cell r="N39">
            <v>0</v>
          </cell>
          <cell r="O39">
            <v>0</v>
          </cell>
          <cell r="P39">
            <v>2015</v>
          </cell>
          <cell r="Q39" t="str">
            <v>Hà Nội, ngày 0 tháng 0 năm 2015</v>
          </cell>
          <cell r="R39" t="str">
            <v>0 ngày 0 tháng 0 năm 2015</v>
          </cell>
          <cell r="S39" t="str">
            <v>….h…. ngày 0 tháng 0 năm 2015</v>
          </cell>
          <cell r="T39">
            <v>0</v>
          </cell>
          <cell r="U39" t="str">
            <v>0 Ngày 0/0/2015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45 tấn</v>
          </cell>
          <cell r="AO39" t="str">
            <v>PCB30</v>
          </cell>
          <cell r="AQ39" t="str">
            <v xml:space="preserve">Ngày  Tháng  Năm </v>
          </cell>
        </row>
        <row r="40">
          <cell r="A40" t="str">
            <v>XM-30</v>
          </cell>
          <cell r="C40" t="str">
            <v>XM-30</v>
          </cell>
          <cell r="I40" t="str">
            <v xml:space="preserve">Hà Nội, ngày  tháng  năm </v>
          </cell>
          <cell r="J40" t="str">
            <v xml:space="preserve"> ngày  tháng  năm </v>
          </cell>
          <cell r="K40" t="str">
            <v xml:space="preserve"> ngày  tháng  năm </v>
          </cell>
          <cell r="L40">
            <v>0</v>
          </cell>
          <cell r="M40" t="str">
            <v>….h….</v>
          </cell>
          <cell r="N40">
            <v>0</v>
          </cell>
          <cell r="O40">
            <v>0</v>
          </cell>
          <cell r="P40">
            <v>2015</v>
          </cell>
          <cell r="Q40" t="str">
            <v>Hà Nội, ngày 0 tháng 0 năm 2015</v>
          </cell>
          <cell r="R40" t="str">
            <v>0 ngày 0 tháng 0 năm 2015</v>
          </cell>
          <cell r="S40" t="str">
            <v>….h…. ngày 0 tháng 0 năm 2015</v>
          </cell>
          <cell r="T40">
            <v>0</v>
          </cell>
          <cell r="U40" t="str">
            <v>0 Ngày 0/0/2015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45 tấn</v>
          </cell>
          <cell r="AO40" t="str">
            <v>PCB30</v>
          </cell>
          <cell r="AQ40" t="str">
            <v xml:space="preserve">Ngày  Tháng  Năm </v>
          </cell>
        </row>
        <row r="41">
          <cell r="I41" t="str">
            <v xml:space="preserve">Hà Nội, ngày  tháng  năm </v>
          </cell>
          <cell r="J41" t="str">
            <v xml:space="preserve"> ngày  tháng  năm </v>
          </cell>
          <cell r="K41" t="str">
            <v xml:space="preserve"> ngày  tháng  năm </v>
          </cell>
          <cell r="L41">
            <v>0</v>
          </cell>
          <cell r="M41" t="str">
            <v>….h….</v>
          </cell>
          <cell r="N41">
            <v>0</v>
          </cell>
          <cell r="O41">
            <v>0</v>
          </cell>
          <cell r="P41">
            <v>2015</v>
          </cell>
          <cell r="Q41" t="str">
            <v>Hà Nội, ngày 0 tháng 0 năm 2015</v>
          </cell>
          <cell r="R41" t="str">
            <v>0 ngày 0 tháng 0 năm 2015</v>
          </cell>
          <cell r="S41" t="str">
            <v>….h…. ngày 0 tháng 0 năm 2015</v>
          </cell>
          <cell r="T41">
            <v>0</v>
          </cell>
          <cell r="U41" t="str">
            <v>0 Ngày 0/0/2015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45 tấn</v>
          </cell>
          <cell r="AO41" t="str">
            <v>PCB30</v>
          </cell>
          <cell r="AQ41" t="str">
            <v xml:space="preserve">Ngày  Tháng  Năm </v>
          </cell>
        </row>
        <row r="42">
          <cell r="I42" t="str">
            <v xml:space="preserve">Hà Nội, ngày  tháng  năm </v>
          </cell>
          <cell r="J42" t="str">
            <v xml:space="preserve"> ngày  tháng  năm </v>
          </cell>
          <cell r="K42" t="str">
            <v xml:space="preserve"> ngày  tháng  năm </v>
          </cell>
          <cell r="L42">
            <v>0</v>
          </cell>
          <cell r="M42" t="str">
            <v>….h….</v>
          </cell>
          <cell r="N42">
            <v>0</v>
          </cell>
          <cell r="O42">
            <v>0</v>
          </cell>
          <cell r="P42">
            <v>2015</v>
          </cell>
          <cell r="Q42" t="str">
            <v>Hà Nội, ngày 0 tháng 0 năm 2015</v>
          </cell>
          <cell r="R42" t="str">
            <v>0 ngày 0 tháng 0 năm 2015</v>
          </cell>
          <cell r="S42" t="str">
            <v>….h…. ngày 0 tháng 0 năm 2015</v>
          </cell>
          <cell r="T42">
            <v>0</v>
          </cell>
          <cell r="U42" t="str">
            <v>0 Ngày 0/0/2015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45 tấn</v>
          </cell>
          <cell r="AO42" t="str">
            <v>PCB30</v>
          </cell>
          <cell r="AQ42" t="str">
            <v xml:space="preserve">Ngày  Tháng  Năm </v>
          </cell>
        </row>
        <row r="43">
          <cell r="I43" t="str">
            <v xml:space="preserve">Hà Nội, ngày  tháng  năm </v>
          </cell>
          <cell r="J43" t="str">
            <v xml:space="preserve"> ngày  tháng  năm </v>
          </cell>
          <cell r="K43" t="str">
            <v xml:space="preserve"> ngày  tháng  năm </v>
          </cell>
          <cell r="L43">
            <v>0</v>
          </cell>
          <cell r="M43" t="str">
            <v>….h….</v>
          </cell>
          <cell r="N43">
            <v>0</v>
          </cell>
          <cell r="O43">
            <v>0</v>
          </cell>
          <cell r="P43">
            <v>2015</v>
          </cell>
          <cell r="Q43" t="str">
            <v>Hà Nội, ngày 0 tháng 0 năm 2015</v>
          </cell>
          <cell r="R43" t="str">
            <v>0 ngày 0 tháng 0 năm 2015</v>
          </cell>
          <cell r="S43" t="str">
            <v>….h…. ngày 0 tháng 0 năm 2015</v>
          </cell>
          <cell r="T43">
            <v>0</v>
          </cell>
          <cell r="U43" t="str">
            <v>0 Ngày 0/0/2015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45 tấn</v>
          </cell>
          <cell r="AO43" t="str">
            <v>PCB30</v>
          </cell>
          <cell r="AQ43" t="str">
            <v xml:space="preserve">Ngày  Tháng  Năm </v>
          </cell>
        </row>
        <row r="44">
          <cell r="I44" t="str">
            <v xml:space="preserve">Hà Nội, ngày  tháng  năm </v>
          </cell>
          <cell r="J44" t="str">
            <v xml:space="preserve"> ngày  tháng  năm </v>
          </cell>
          <cell r="K44" t="str">
            <v xml:space="preserve"> ngày  tháng  năm </v>
          </cell>
          <cell r="L44">
            <v>0</v>
          </cell>
          <cell r="M44" t="str">
            <v>….h….</v>
          </cell>
          <cell r="N44">
            <v>0</v>
          </cell>
          <cell r="O44">
            <v>0</v>
          </cell>
          <cell r="P44">
            <v>2015</v>
          </cell>
          <cell r="Q44" t="str">
            <v>Hà Nội, ngày 0 tháng 0 năm 2015</v>
          </cell>
          <cell r="R44" t="str">
            <v>0 ngày 0 tháng 0 năm 2015</v>
          </cell>
          <cell r="S44" t="str">
            <v>….h…. ngày 0 tháng 0 năm 2015</v>
          </cell>
          <cell r="T44">
            <v>0</v>
          </cell>
          <cell r="U44" t="str">
            <v>0 Ngày 0/0/2015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45 tấn</v>
          </cell>
          <cell r="AO44" t="str">
            <v>PCB30</v>
          </cell>
          <cell r="AQ44" t="str">
            <v xml:space="preserve">Ngày  Tháng  Năm </v>
          </cell>
        </row>
        <row r="45">
          <cell r="I45" t="str">
            <v xml:space="preserve">Hà Nội, ngày  tháng  năm </v>
          </cell>
          <cell r="J45" t="str">
            <v xml:space="preserve"> ngày  tháng  năm </v>
          </cell>
          <cell r="K45" t="str">
            <v xml:space="preserve"> ngày  tháng  năm </v>
          </cell>
          <cell r="L45">
            <v>0</v>
          </cell>
          <cell r="M45" t="str">
            <v>….h….</v>
          </cell>
          <cell r="N45">
            <v>0</v>
          </cell>
          <cell r="O45">
            <v>0</v>
          </cell>
          <cell r="P45">
            <v>2015</v>
          </cell>
          <cell r="Q45" t="str">
            <v>Hà Nội, ngày 0 tháng 0 năm 2015</v>
          </cell>
          <cell r="R45" t="str">
            <v>0 ngày 0 tháng 0 năm 2015</v>
          </cell>
          <cell r="S45" t="str">
            <v>….h…. ngày 0 tháng 0 năm 2015</v>
          </cell>
          <cell r="T45">
            <v>0</v>
          </cell>
          <cell r="U45" t="str">
            <v>0 Ngày 0/0/2015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45 tấn</v>
          </cell>
          <cell r="AO45" t="str">
            <v>PCB30</v>
          </cell>
          <cell r="AQ45" t="str">
            <v xml:space="preserve">Ngày  Tháng  Năm </v>
          </cell>
        </row>
        <row r="46">
          <cell r="A46" t="str">
            <v>XM-08</v>
          </cell>
          <cell r="C46" t="str">
            <v>XM-08</v>
          </cell>
          <cell r="I46" t="str">
            <v xml:space="preserve">Hà Nội, ngày  tháng  năm </v>
          </cell>
          <cell r="J46" t="str">
            <v xml:space="preserve"> ngày  tháng  năm </v>
          </cell>
          <cell r="K46" t="str">
            <v xml:space="preserve"> ngày  tháng  năm </v>
          </cell>
          <cell r="L46">
            <v>0</v>
          </cell>
          <cell r="M46" t="str">
            <v>….h….</v>
          </cell>
          <cell r="N46">
            <v>0</v>
          </cell>
          <cell r="O46">
            <v>0</v>
          </cell>
          <cell r="P46">
            <v>2015</v>
          </cell>
          <cell r="Q46" t="str">
            <v>Hà Nội, ngày 0 tháng 0 năm 2015</v>
          </cell>
          <cell r="R46" t="str">
            <v>0 ngày 0 tháng 0 năm 2015</v>
          </cell>
          <cell r="S46" t="str">
            <v>….h…. ngày 0 tháng 0 năm 2015</v>
          </cell>
          <cell r="T46">
            <v>0</v>
          </cell>
          <cell r="U46" t="str">
            <v>0 Ngày 0/0/2015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45 tấn</v>
          </cell>
          <cell r="AO46" t="str">
            <v>PCB30</v>
          </cell>
          <cell r="AQ46" t="str">
            <v xml:space="preserve">Ngày  Tháng  Năm </v>
          </cell>
        </row>
        <row r="48">
          <cell r="A48">
            <v>1</v>
          </cell>
          <cell r="B48">
            <v>2</v>
          </cell>
          <cell r="C48">
            <v>3</v>
          </cell>
          <cell r="D48">
            <v>4</v>
          </cell>
          <cell r="E48">
            <v>5</v>
          </cell>
          <cell r="F48">
            <v>6</v>
          </cell>
          <cell r="H48">
            <v>8</v>
          </cell>
          <cell r="I48">
            <v>9</v>
          </cell>
          <cell r="J48">
            <v>10</v>
          </cell>
          <cell r="K48">
            <v>11</v>
          </cell>
          <cell r="L48">
            <v>12</v>
          </cell>
          <cell r="M48">
            <v>13</v>
          </cell>
          <cell r="N48">
            <v>14</v>
          </cell>
          <cell r="O48">
            <v>15</v>
          </cell>
          <cell r="P48">
            <v>16</v>
          </cell>
          <cell r="Q48">
            <v>17</v>
          </cell>
          <cell r="R48">
            <v>18</v>
          </cell>
          <cell r="S48">
            <v>19</v>
          </cell>
          <cell r="T48">
            <v>20</v>
          </cell>
          <cell r="U48">
            <v>21</v>
          </cell>
          <cell r="V48">
            <v>22</v>
          </cell>
          <cell r="W48">
            <v>23</v>
          </cell>
          <cell r="X48">
            <v>24</v>
          </cell>
          <cell r="Y48">
            <v>25</v>
          </cell>
          <cell r="Z48">
            <v>26</v>
          </cell>
          <cell r="AA48">
            <v>27</v>
          </cell>
          <cell r="AB48">
            <v>28</v>
          </cell>
          <cell r="AC48">
            <v>29</v>
          </cell>
          <cell r="AD48">
            <v>30</v>
          </cell>
          <cell r="AE48">
            <v>31</v>
          </cell>
          <cell r="AF48">
            <v>32</v>
          </cell>
          <cell r="AG48">
            <v>33</v>
          </cell>
          <cell r="AH48">
            <v>34</v>
          </cell>
          <cell r="AI48">
            <v>35</v>
          </cell>
          <cell r="AJ48">
            <v>36</v>
          </cell>
          <cell r="AK48">
            <v>37</v>
          </cell>
          <cell r="AL48">
            <v>38</v>
          </cell>
          <cell r="AM48">
            <v>39</v>
          </cell>
          <cell r="AN48">
            <v>40</v>
          </cell>
          <cell r="AO48">
            <v>41</v>
          </cell>
          <cell r="AP48">
            <v>42</v>
          </cell>
          <cell r="AQ48">
            <v>43</v>
          </cell>
        </row>
      </sheetData>
      <sheetData sheetId="19"/>
      <sheetData sheetId="20">
        <row r="10">
          <cell r="A10" t="str">
            <v>CAT-01</v>
          </cell>
          <cell r="B10" t="str">
            <v xml:space="preserve">-Cát đen sông Hồng kèm theo biên bản giao và xác nhận khối lượng </v>
          </cell>
          <cell r="C10" t="str">
            <v>CAT-01</v>
          </cell>
          <cell r="D10" t="str">
            <v>….h….</v>
          </cell>
          <cell r="E10" t="str">
            <v>….h….</v>
          </cell>
          <cell r="F10">
            <v>7</v>
          </cell>
          <cell r="G10">
            <v>11</v>
          </cell>
          <cell r="H10">
            <v>2014</v>
          </cell>
          <cell r="I10" t="str">
            <v>Hà Nội, ngày 7 tháng 11 năm 2014</v>
          </cell>
          <cell r="J10" t="str">
            <v>….h…. ngày 7 tháng 11 năm 2014</v>
          </cell>
          <cell r="K10" t="str">
            <v>….h…. ngày 7 tháng 11 năm 2014</v>
          </cell>
          <cell r="L10" t="str">
            <v>….h….</v>
          </cell>
          <cell r="M10" t="str">
            <v>….h….</v>
          </cell>
          <cell r="N10">
            <v>7</v>
          </cell>
          <cell r="O10">
            <v>11</v>
          </cell>
          <cell r="P10">
            <v>2014</v>
          </cell>
          <cell r="Q10" t="str">
            <v>Hà Nội, ngày 7 tháng 11 năm 2014</v>
          </cell>
          <cell r="R10" t="str">
            <v>….h…. ngày 7 tháng 11 năm 2014</v>
          </cell>
          <cell r="S10" t="str">
            <v>….h…. ngày 7 tháng 11 năm 2014</v>
          </cell>
          <cell r="T10" t="str">
            <v>….h….</v>
          </cell>
          <cell r="U10" t="str">
            <v>….h…. Ngày 7/11/2014</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v>25</v>
          </cell>
          <cell r="AO10" t="str">
            <v>Cát đen</v>
          </cell>
          <cell r="AQ10" t="str">
            <v>Ngày 7 Tháng 11 Năm 2014</v>
          </cell>
        </row>
        <row r="11">
          <cell r="A11" t="str">
            <v>CAT-02</v>
          </cell>
          <cell r="B11" t="str">
            <v>-Cát vàng sông Lô kèm theo biên bản giao và xác nhận khối lượng ngày 15/07/2014</v>
          </cell>
          <cell r="C11" t="str">
            <v>CAT-02</v>
          </cell>
          <cell r="D11" t="str">
            <v>….h….</v>
          </cell>
          <cell r="E11" t="str">
            <v>….h….</v>
          </cell>
          <cell r="F11">
            <v>6</v>
          </cell>
          <cell r="G11">
            <v>11</v>
          </cell>
          <cell r="H11">
            <v>2014</v>
          </cell>
          <cell r="I11" t="str">
            <v>Hà Nội, ngày 6 tháng 11 năm 2014</v>
          </cell>
          <cell r="J11" t="str">
            <v>….h…. ngày 6 tháng 11 năm 2014</v>
          </cell>
          <cell r="K11" t="str">
            <v>….h…. ngày 6 tháng 11 năm 2014</v>
          </cell>
          <cell r="L11" t="str">
            <v>….h….</v>
          </cell>
          <cell r="M11" t="str">
            <v>….h….</v>
          </cell>
          <cell r="N11">
            <v>6</v>
          </cell>
          <cell r="O11">
            <v>11</v>
          </cell>
          <cell r="P11">
            <v>2014</v>
          </cell>
          <cell r="Q11" t="str">
            <v>Hà Nội, ngày 6 tháng 11 năm 2014</v>
          </cell>
          <cell r="R11" t="str">
            <v>….h…. ngày 6 tháng 11 năm 2014</v>
          </cell>
          <cell r="S11" t="str">
            <v>….h…. ngày 6 tháng 11 năm 2014</v>
          </cell>
          <cell r="T11" t="str">
            <v>….h….</v>
          </cell>
          <cell r="U11" t="str">
            <v>….h…. Ngày 6/11/2014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v>54</v>
          </cell>
          <cell r="AO11" t="str">
            <v>Cát vàng</v>
          </cell>
          <cell r="AQ11" t="str">
            <v>Ngày 6 Tháng 11 Năm 2014</v>
          </cell>
        </row>
        <row r="12">
          <cell r="A12" t="str">
            <v>CAT-03</v>
          </cell>
          <cell r="B12" t="str">
            <v>-Cát đen sông Hồng kèm theo biên bản giao nhận hàng hóa ngày 5/3/2015, khối lượng 200 m3</v>
          </cell>
          <cell r="C12" t="str">
            <v>CAT-03</v>
          </cell>
          <cell r="D12" t="str">
            <v>14h00</v>
          </cell>
          <cell r="E12" t="str">
            <v>14h30</v>
          </cell>
          <cell r="F12">
            <v>8</v>
          </cell>
          <cell r="G12">
            <v>3</v>
          </cell>
          <cell r="H12">
            <v>2015</v>
          </cell>
          <cell r="I12" t="str">
            <v>Hà Nội, ngày 8 tháng 3 năm 2015</v>
          </cell>
          <cell r="J12" t="str">
            <v>14h00 ngày 8 tháng 3 năm 2015</v>
          </cell>
          <cell r="K12" t="str">
            <v>14h30 ngày 8 tháng 3 năm 2015</v>
          </cell>
          <cell r="L12" t="str">
            <v>14h30</v>
          </cell>
          <cell r="M12" t="str">
            <v>15h00</v>
          </cell>
          <cell r="N12">
            <v>8</v>
          </cell>
          <cell r="O12">
            <v>3</v>
          </cell>
          <cell r="P12">
            <v>2015</v>
          </cell>
          <cell r="Q12" t="str">
            <v>Hà Nội, ngày 8 tháng 3 năm 2015</v>
          </cell>
          <cell r="R12" t="str">
            <v>14h30 ngày 8 tháng 3 năm 2015</v>
          </cell>
          <cell r="S12" t="str">
            <v>15h00 ngày 8 tháng 3 năm 2015</v>
          </cell>
          <cell r="T12" t="str">
            <v>14h30</v>
          </cell>
          <cell r="U12" t="str">
            <v>14h30 Ngày 8/3/2015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v>25</v>
          </cell>
          <cell r="AO12" t="str">
            <v>Cát đen</v>
          </cell>
          <cell r="AQ12" t="str">
            <v>Ngày 8 Tháng 3 Năm 2015</v>
          </cell>
        </row>
        <row r="13">
          <cell r="A13" t="str">
            <v>CAT-04</v>
          </cell>
          <cell r="B13" t="str">
            <v>-Cát đen sông Hồng kèm theo biên bản giao nhận hàng hóa ngày 8/6/2015, khối lượng 200 m3</v>
          </cell>
          <cell r="C13" t="str">
            <v>CAT-04</v>
          </cell>
          <cell r="D13" t="str">
            <v>15h00</v>
          </cell>
          <cell r="E13" t="str">
            <v>15h30</v>
          </cell>
          <cell r="F13">
            <v>11</v>
          </cell>
          <cell r="G13">
            <v>6</v>
          </cell>
          <cell r="H13">
            <v>2015</v>
          </cell>
          <cell r="I13" t="str">
            <v>Hà Nội, ngày 11 tháng 6 năm 2015</v>
          </cell>
          <cell r="J13" t="str">
            <v>15h00 ngày 11 tháng 6 năm 2015</v>
          </cell>
          <cell r="K13" t="str">
            <v>15h30 ngày 11 tháng 6 năm 2015</v>
          </cell>
          <cell r="L13" t="str">
            <v>15h30</v>
          </cell>
          <cell r="M13" t="str">
            <v>16h00</v>
          </cell>
          <cell r="N13">
            <v>11</v>
          </cell>
          <cell r="O13">
            <v>6</v>
          </cell>
          <cell r="P13">
            <v>2015</v>
          </cell>
          <cell r="Q13" t="str">
            <v>Hà Nội, ngày 11 tháng 6 năm 2015</v>
          </cell>
          <cell r="R13" t="str">
            <v>15h30 ngày 11 tháng 6 năm 2015</v>
          </cell>
          <cell r="S13" t="str">
            <v>16h00 ngày 11 tháng 6 năm 2015</v>
          </cell>
          <cell r="T13" t="str">
            <v>15h30</v>
          </cell>
          <cell r="U13" t="str">
            <v>15h30 Ngày 11/6/2015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v>50</v>
          </cell>
          <cell r="AO13" t="str">
            <v>Cát đen</v>
          </cell>
          <cell r="AQ13" t="str">
            <v>Ngày 11 Tháng 6 Năm 2015</v>
          </cell>
        </row>
        <row r="14">
          <cell r="A14" t="str">
            <v>CAT-05</v>
          </cell>
          <cell r="B14" t="str">
            <v>-Cát đen sông Hồng kèm theo biên bản giao nhận hàng hóa ngày 17/7/2015, khối lượng 200 m3</v>
          </cell>
          <cell r="C14" t="str">
            <v>CAT-05</v>
          </cell>
          <cell r="D14" t="str">
            <v>14h30</v>
          </cell>
          <cell r="E14" t="str">
            <v>15h00</v>
          </cell>
          <cell r="F14">
            <v>20</v>
          </cell>
          <cell r="G14">
            <v>7</v>
          </cell>
          <cell r="H14">
            <v>2015</v>
          </cell>
          <cell r="I14" t="str">
            <v>Hà Nội, ngày 20 tháng 7 năm 2015</v>
          </cell>
          <cell r="J14" t="str">
            <v>14h30 ngày 20 tháng 7 năm 2015</v>
          </cell>
          <cell r="K14" t="str">
            <v>15h00 ngày 20 tháng 7 năm 2015</v>
          </cell>
          <cell r="L14" t="str">
            <v>15h00</v>
          </cell>
          <cell r="M14" t="str">
            <v>15h30</v>
          </cell>
          <cell r="N14">
            <v>20</v>
          </cell>
          <cell r="O14">
            <v>7</v>
          </cell>
          <cell r="P14">
            <v>2015</v>
          </cell>
          <cell r="Q14" t="str">
            <v>Hà Nội, ngày 20 tháng 7 năm 2015</v>
          </cell>
          <cell r="R14" t="str">
            <v>15h00 ngày 20 tháng 7 năm 2015</v>
          </cell>
          <cell r="S14" t="str">
            <v>15h30 ngày 20 tháng 7 năm 2015</v>
          </cell>
          <cell r="T14" t="str">
            <v>15h00</v>
          </cell>
          <cell r="U14" t="str">
            <v>15h00 Ngày 20/7/2015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v>50</v>
          </cell>
          <cell r="AO14" t="str">
            <v>Cát đen</v>
          </cell>
          <cell r="AQ14" t="str">
            <v>Ngày 20 Tháng 7 Năm 2015</v>
          </cell>
        </row>
        <row r="15">
          <cell r="A15" t="str">
            <v>CAT-06</v>
          </cell>
          <cell r="B15" t="str">
            <v>-Cát đen sông Hồng kèm theo biên bản giao nhận hàng hóa ngày 23/7/2015, khối lượng 200 m3</v>
          </cell>
          <cell r="C15" t="str">
            <v>CAT-06</v>
          </cell>
          <cell r="D15" t="str">
            <v>9h00</v>
          </cell>
          <cell r="E15" t="str">
            <v>9h30</v>
          </cell>
          <cell r="F15">
            <v>27</v>
          </cell>
          <cell r="G15">
            <v>7</v>
          </cell>
          <cell r="H15">
            <v>2015</v>
          </cell>
          <cell r="I15" t="str">
            <v>Hà Nội, ngày 27 tháng 7 năm 2015</v>
          </cell>
          <cell r="J15" t="str">
            <v>9h00 ngày 27 tháng 7 năm 2015</v>
          </cell>
          <cell r="K15" t="str">
            <v>9h30 ngày 27 tháng 7 năm 2015</v>
          </cell>
          <cell r="L15" t="str">
            <v>9h30</v>
          </cell>
          <cell r="M15" t="str">
            <v>10h00</v>
          </cell>
          <cell r="N15">
            <v>27</v>
          </cell>
          <cell r="O15">
            <v>7</v>
          </cell>
          <cell r="P15">
            <v>2015</v>
          </cell>
          <cell r="Q15" t="str">
            <v>Hà Nội, ngày 27 tháng 7 năm 2015</v>
          </cell>
          <cell r="R15" t="str">
            <v>9h30 ngày 27 tháng 7 năm 2015</v>
          </cell>
          <cell r="S15" t="str">
            <v>10h00 ngày 27 tháng 7 năm 2015</v>
          </cell>
          <cell r="T15" t="str">
            <v>9h30</v>
          </cell>
          <cell r="U15" t="str">
            <v>9h30 Ngày 27/7/2015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v>25</v>
          </cell>
          <cell r="AO15" t="str">
            <v>Cát đen</v>
          </cell>
          <cell r="AQ15" t="str">
            <v>Ngày 27 Tháng 7 Năm 2015</v>
          </cell>
        </row>
        <row r="16">
          <cell r="A16" t="str">
            <v>CAT-07</v>
          </cell>
          <cell r="B16" t="str">
            <v>-Cát đen sông Hồng kèm theo biên bản giao nhận hàng hóa ngày 29/7/2015, khối lượng 200 m3</v>
          </cell>
          <cell r="C16" t="str">
            <v>CAT-07</v>
          </cell>
          <cell r="D16" t="str">
            <v>9h45</v>
          </cell>
          <cell r="E16" t="str">
            <v>10h30</v>
          </cell>
          <cell r="F16">
            <v>3</v>
          </cell>
          <cell r="G16">
            <v>8</v>
          </cell>
          <cell r="H16">
            <v>2015</v>
          </cell>
          <cell r="I16" t="str">
            <v>Hà Nội, ngày 3 tháng 8 năm 2015</v>
          </cell>
          <cell r="J16" t="str">
            <v>9h45 ngày 3 tháng 8 năm 2015</v>
          </cell>
          <cell r="K16" t="str">
            <v>10h30 ngày 3 tháng 8 năm 2015</v>
          </cell>
          <cell r="L16" t="str">
            <v>10h30</v>
          </cell>
          <cell r="M16" t="str">
            <v>11h15</v>
          </cell>
          <cell r="N16">
            <v>3</v>
          </cell>
          <cell r="O16">
            <v>8</v>
          </cell>
          <cell r="P16">
            <v>2015</v>
          </cell>
          <cell r="Q16" t="str">
            <v>Hà Nội, ngày 3 tháng 8 năm 2015</v>
          </cell>
          <cell r="R16" t="str">
            <v>10h30 ngày 3 tháng 8 năm 2015</v>
          </cell>
          <cell r="S16" t="str">
            <v>11h15 ngày 3 tháng 8 năm 2015</v>
          </cell>
          <cell r="T16" t="str">
            <v>10h30</v>
          </cell>
          <cell r="U16" t="str">
            <v>10h30 Ngày 3/8/2015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v>25</v>
          </cell>
          <cell r="AO16" t="str">
            <v>Cát đen</v>
          </cell>
          <cell r="AQ16" t="str">
            <v>Ngày 3 Tháng 8 Năm 2015</v>
          </cell>
        </row>
        <row r="17">
          <cell r="A17" t="str">
            <v>CAT-08</v>
          </cell>
          <cell r="B17" t="str">
            <v>-Cát đen sông Hồng kèm theo biên bản giao nhận hàng hóa ngày 3/8/2015, khối lượng 200 m3</v>
          </cell>
          <cell r="C17" t="str">
            <v>CAT-08</v>
          </cell>
          <cell r="D17" t="str">
            <v>8h00</v>
          </cell>
          <cell r="E17" t="str">
            <v>8h30</v>
          </cell>
          <cell r="F17">
            <v>8</v>
          </cell>
          <cell r="G17">
            <v>8</v>
          </cell>
          <cell r="H17">
            <v>2015</v>
          </cell>
          <cell r="I17" t="str">
            <v>Hà Nội, ngày 8 tháng 8 năm 2015</v>
          </cell>
          <cell r="J17" t="str">
            <v>8h00 ngày 8 tháng 8 năm 2015</v>
          </cell>
          <cell r="K17" t="str">
            <v>8h30 ngày 8 tháng 8 năm 2015</v>
          </cell>
          <cell r="L17" t="str">
            <v>8h30</v>
          </cell>
          <cell r="M17" t="str">
            <v>9h00</v>
          </cell>
          <cell r="N17">
            <v>8</v>
          </cell>
          <cell r="O17">
            <v>8</v>
          </cell>
          <cell r="P17">
            <v>2015</v>
          </cell>
          <cell r="Q17" t="str">
            <v>Hà Nội, ngày 8 tháng 8 năm 2015</v>
          </cell>
          <cell r="R17" t="str">
            <v>8h30 ngày 8 tháng 8 năm 2015</v>
          </cell>
          <cell r="S17" t="str">
            <v>9h00 ngày 8 tháng 8 năm 2015</v>
          </cell>
          <cell r="T17" t="str">
            <v>8h30</v>
          </cell>
          <cell r="U17" t="str">
            <v>8h30 Ngày 8/8/2015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v>50</v>
          </cell>
          <cell r="AO17" t="str">
            <v>Cát đen</v>
          </cell>
          <cell r="AQ17" t="str">
            <v>Ngày 8 Tháng 8 Năm 2015</v>
          </cell>
        </row>
        <row r="18">
          <cell r="A18" t="str">
            <v>CAT-09</v>
          </cell>
          <cell r="B18" t="str">
            <v>-Cát đen sông Hồng kèm theo biên bản giao nhận hàng hóa ngày 6/8/2015, khối lượng 200 m3</v>
          </cell>
          <cell r="C18" t="str">
            <v>CAT-09</v>
          </cell>
          <cell r="D18" t="str">
            <v>9h00</v>
          </cell>
          <cell r="E18" t="str">
            <v>9h30</v>
          </cell>
          <cell r="F18">
            <v>11</v>
          </cell>
          <cell r="G18">
            <v>8</v>
          </cell>
          <cell r="H18">
            <v>2015</v>
          </cell>
          <cell r="I18" t="str">
            <v>Hà Nội, ngày 11 tháng 8 năm 2015</v>
          </cell>
          <cell r="J18" t="str">
            <v>9h00 ngày 11 tháng 8 năm 2015</v>
          </cell>
          <cell r="K18" t="str">
            <v>9h30 ngày 11 tháng 8 năm 2015</v>
          </cell>
          <cell r="L18" t="str">
            <v>9h30</v>
          </cell>
          <cell r="M18" t="str">
            <v>10h00</v>
          </cell>
          <cell r="N18">
            <v>11</v>
          </cell>
          <cell r="O18">
            <v>8</v>
          </cell>
          <cell r="P18">
            <v>2015</v>
          </cell>
          <cell r="Q18" t="str">
            <v>Hà Nội, ngày 11 tháng 8 năm 2015</v>
          </cell>
          <cell r="R18" t="str">
            <v>9h30 ngày 11 tháng 8 năm 2015</v>
          </cell>
          <cell r="S18" t="str">
            <v>10h00 ngày 11 tháng 8 năm 2015</v>
          </cell>
          <cell r="T18" t="str">
            <v>9h30</v>
          </cell>
          <cell r="U18" t="str">
            <v>9h30 Ngày 11/8/2015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v>25</v>
          </cell>
          <cell r="AO18" t="str">
            <v>Cát đen</v>
          </cell>
          <cell r="AQ18" t="str">
            <v>Ngày 11 Tháng 8 Năm 2015</v>
          </cell>
        </row>
        <row r="19">
          <cell r="A19" t="str">
            <v>CAT-10</v>
          </cell>
          <cell r="B19" t="str">
            <v>-Cát đen sông Hồng kèm theo biên bản giao nhận hàng hóa ngày 10/8/2015, khối lượng 200 m3</v>
          </cell>
          <cell r="C19" t="str">
            <v>CAT-10</v>
          </cell>
          <cell r="D19" t="str">
            <v>14h00</v>
          </cell>
          <cell r="E19" t="str">
            <v>14h30</v>
          </cell>
          <cell r="F19">
            <v>15</v>
          </cell>
          <cell r="G19">
            <v>8</v>
          </cell>
          <cell r="H19">
            <v>2015</v>
          </cell>
          <cell r="I19" t="str">
            <v>Hà Nội, ngày 15 tháng 8 năm 2015</v>
          </cell>
          <cell r="J19" t="str">
            <v>14h00 ngày 15 tháng 8 năm 2015</v>
          </cell>
          <cell r="K19" t="str">
            <v>14h30 ngày 15 tháng 8 năm 2015</v>
          </cell>
          <cell r="L19" t="str">
            <v>14h30</v>
          </cell>
          <cell r="M19" t="str">
            <v>15h00</v>
          </cell>
          <cell r="N19">
            <v>15</v>
          </cell>
          <cell r="O19">
            <v>8</v>
          </cell>
          <cell r="P19">
            <v>2015</v>
          </cell>
          <cell r="Q19" t="str">
            <v>Hà Nội, ngày 15 tháng 8 năm 2015</v>
          </cell>
          <cell r="R19" t="str">
            <v>14h30 ngày 15 tháng 8 năm 2015</v>
          </cell>
          <cell r="S19" t="str">
            <v>15h00 ngày 15 tháng 8 năm 2015</v>
          </cell>
          <cell r="T19" t="str">
            <v>14h30</v>
          </cell>
          <cell r="U19" t="str">
            <v>14h30 Ngày 15/8/2015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v>50</v>
          </cell>
          <cell r="AO19" t="str">
            <v>Cát đen</v>
          </cell>
          <cell r="AQ19" t="str">
            <v>Ngày 15 Tháng 8 Năm 2015</v>
          </cell>
        </row>
        <row r="20">
          <cell r="A20" t="str">
            <v>CAT-11</v>
          </cell>
          <cell r="B20" t="str">
            <v>-Cát đen sông Hồng kèm theo biên bản giao nhận hàng hóa ngày 14/8/2015, khối lượng 200 m3</v>
          </cell>
          <cell r="C20" t="str">
            <v>CAT-11</v>
          </cell>
          <cell r="D20" t="str">
            <v>15h00</v>
          </cell>
          <cell r="E20" t="str">
            <v>15h30</v>
          </cell>
          <cell r="F20">
            <v>19</v>
          </cell>
          <cell r="G20">
            <v>8</v>
          </cell>
          <cell r="H20">
            <v>2015</v>
          </cell>
          <cell r="I20" t="str">
            <v>Hà Nội, ngày 19 tháng 8 năm 2015</v>
          </cell>
          <cell r="J20" t="str">
            <v>15h00 ngày 19 tháng 8 năm 2015</v>
          </cell>
          <cell r="K20" t="str">
            <v>15h30 ngày 19 tháng 8 năm 2015</v>
          </cell>
          <cell r="L20" t="str">
            <v>15h30</v>
          </cell>
          <cell r="M20" t="str">
            <v>16h00</v>
          </cell>
          <cell r="N20">
            <v>19</v>
          </cell>
          <cell r="O20">
            <v>8</v>
          </cell>
          <cell r="P20">
            <v>2015</v>
          </cell>
          <cell r="Q20" t="str">
            <v>Hà Nội, ngày 19 tháng 8 năm 2015</v>
          </cell>
          <cell r="R20" t="str">
            <v>15h30 ngày 19 tháng 8 năm 2015</v>
          </cell>
          <cell r="S20" t="str">
            <v>16h00 ngày 19 tháng 8 năm 2015</v>
          </cell>
          <cell r="T20" t="str">
            <v>15h30</v>
          </cell>
          <cell r="U20" t="str">
            <v>15h30 Ngày 19/8/2015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v>25</v>
          </cell>
          <cell r="AO20" t="str">
            <v>Cát đen</v>
          </cell>
          <cell r="AQ20" t="str">
            <v>Ngày 19 Tháng 8 Năm 2015</v>
          </cell>
        </row>
        <row r="21">
          <cell r="A21" t="str">
            <v>CAT-12</v>
          </cell>
          <cell r="B21" t="str">
            <v>-Cát vàng sông Lô kèm theo biên bản giao nhận hàng hóa ngày …../.…./2015, khối lượng 100 m3</v>
          </cell>
          <cell r="C21" t="str">
            <v>CAT-12</v>
          </cell>
          <cell r="D21" t="str">
            <v>….h….</v>
          </cell>
          <cell r="E21" t="str">
            <v>….h….</v>
          </cell>
          <cell r="F21" t="str">
            <v>….</v>
          </cell>
          <cell r="G21" t="str">
            <v>….</v>
          </cell>
          <cell r="H21">
            <v>2015</v>
          </cell>
          <cell r="I21" t="str">
            <v>Hà Nội, ngày …. tháng …. năm 2015</v>
          </cell>
          <cell r="J21" t="str">
            <v>….h…. ngày …. tháng …. năm 2015</v>
          </cell>
          <cell r="K21" t="str">
            <v>….h…. ngày …. tháng …. năm 2015</v>
          </cell>
          <cell r="L21" t="str">
            <v>….h….</v>
          </cell>
          <cell r="M21" t="str">
            <v>….h….</v>
          </cell>
          <cell r="N21" t="str">
            <v>….</v>
          </cell>
          <cell r="O21" t="str">
            <v>….</v>
          </cell>
          <cell r="P21">
            <v>2015</v>
          </cell>
          <cell r="Q21" t="str">
            <v>Hà Nội, ngày …. tháng …. năm 2015</v>
          </cell>
          <cell r="R21" t="str">
            <v>….h…. ngày …. tháng …. năm 2015</v>
          </cell>
          <cell r="S21" t="str">
            <v>….h…. ngày …. tháng …. năm 2015</v>
          </cell>
          <cell r="T21" t="str">
            <v>….h….</v>
          </cell>
          <cell r="U21" t="str">
            <v>….h….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v>25</v>
          </cell>
          <cell r="AO21" t="str">
            <v>Cát đen</v>
          </cell>
          <cell r="AQ21" t="str">
            <v>Ngày …. Tháng …. Năm 2015</v>
          </cell>
        </row>
        <row r="22">
          <cell r="A22" t="str">
            <v>CAT-13</v>
          </cell>
          <cell r="B22" t="str">
            <v>Vật liệu cát đen Sông Hồng kèm theo biên bản tổng hợp giao nhận hàng hóa ngày 01/09/2015</v>
          </cell>
          <cell r="C22" t="str">
            <v>CAT-13</v>
          </cell>
          <cell r="D22" t="str">
            <v>8h00</v>
          </cell>
          <cell r="E22" t="str">
            <v>8h30</v>
          </cell>
          <cell r="F22">
            <v>8</v>
          </cell>
          <cell r="G22">
            <v>9</v>
          </cell>
          <cell r="H22">
            <v>2015</v>
          </cell>
          <cell r="I22" t="str">
            <v>Hà Nội, ngày 8 tháng 9 năm 2015</v>
          </cell>
          <cell r="J22" t="str">
            <v>8h00 ngày 8 tháng 9 năm 2015</v>
          </cell>
          <cell r="K22" t="str">
            <v>8h30 ngày 8 tháng 9 năm 2015</v>
          </cell>
          <cell r="L22" t="str">
            <v>9h00</v>
          </cell>
          <cell r="M22" t="str">
            <v>10h00</v>
          </cell>
          <cell r="N22">
            <v>8</v>
          </cell>
          <cell r="O22">
            <v>9</v>
          </cell>
          <cell r="P22">
            <v>2015</v>
          </cell>
          <cell r="Q22" t="str">
            <v>Hà Nội, ngày 8 tháng 9 năm 2015</v>
          </cell>
          <cell r="R22" t="str">
            <v>9h00 ngày 8 tháng 9 năm 2015</v>
          </cell>
          <cell r="S22" t="str">
            <v>10h00 ngày 8 tháng 9 năm 2015</v>
          </cell>
          <cell r="T22" t="str">
            <v>9h00</v>
          </cell>
          <cell r="U22" t="str">
            <v>9h00 Ngày 8/9/2015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v>26</v>
          </cell>
          <cell r="AO22" t="str">
            <v>Cát đen</v>
          </cell>
          <cell r="AQ22" t="str">
            <v>Ngày 8 Tháng 9 Năm 2015</v>
          </cell>
        </row>
        <row r="23">
          <cell r="A23" t="str">
            <v>CAT-14</v>
          </cell>
          <cell r="B23" t="str">
            <v>Vật liệu cát đen Sông Hồng kèm theo biên bản tổng hợp giao nhận hàng hóa ngày 06/09/2015</v>
          </cell>
          <cell r="C23" t="str">
            <v>CAT-14</v>
          </cell>
          <cell r="D23" t="str">
            <v>14h15</v>
          </cell>
          <cell r="E23" t="str">
            <v>15h00</v>
          </cell>
          <cell r="F23">
            <v>11</v>
          </cell>
          <cell r="G23">
            <v>9</v>
          </cell>
          <cell r="H23">
            <v>2015</v>
          </cell>
          <cell r="I23" t="str">
            <v>Hà Nội, ngày 11 tháng 9 năm 2015</v>
          </cell>
          <cell r="J23" t="str">
            <v>14h15 ngày 11 tháng 9 năm 2015</v>
          </cell>
          <cell r="K23" t="str">
            <v>15h00 ngày 11 tháng 9 năm 2015</v>
          </cell>
          <cell r="L23" t="str">
            <v>15h15</v>
          </cell>
          <cell r="M23" t="str">
            <v>16h00</v>
          </cell>
          <cell r="N23">
            <v>11</v>
          </cell>
          <cell r="O23">
            <v>9</v>
          </cell>
          <cell r="P23">
            <v>2015</v>
          </cell>
          <cell r="Q23" t="str">
            <v>Hà Nội, ngày 11 tháng 9 năm 2015</v>
          </cell>
          <cell r="R23" t="str">
            <v>15h15 ngày 11 tháng 9 năm 2015</v>
          </cell>
          <cell r="S23" t="str">
            <v>16h00 ngày 11 tháng 9 năm 2015</v>
          </cell>
          <cell r="T23" t="str">
            <v>15h15</v>
          </cell>
          <cell r="U23" t="str">
            <v>15h15 Ngày 11/9/2015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v>27</v>
          </cell>
          <cell r="AO23" t="str">
            <v>Cát đen</v>
          </cell>
          <cell r="AQ23" t="str">
            <v>Ngày 11 Tháng 9 Năm 2015</v>
          </cell>
        </row>
        <row r="24">
          <cell r="A24" t="str">
            <v>CAT-15</v>
          </cell>
          <cell r="B24" t="str">
            <v>Vật liệu cát đen Sông Hồng kèm theo biên bản tổng hợp giao nhận hàng hóa ngày 12/09/2015</v>
          </cell>
          <cell r="C24" t="str">
            <v>CAT-15</v>
          </cell>
          <cell r="D24" t="str">
            <v>8h30</v>
          </cell>
          <cell r="E24" t="str">
            <v>9h00</v>
          </cell>
          <cell r="F24">
            <v>17</v>
          </cell>
          <cell r="G24">
            <v>9</v>
          </cell>
          <cell r="H24">
            <v>2015</v>
          </cell>
          <cell r="I24" t="str">
            <v>Hà Nội, ngày 17 tháng 9 năm 2015</v>
          </cell>
          <cell r="J24" t="str">
            <v>8h30 ngày 17 tháng 9 năm 2015</v>
          </cell>
          <cell r="K24" t="str">
            <v>9h00 ngày 17 tháng 9 năm 2015</v>
          </cell>
          <cell r="L24" t="str">
            <v>9h15</v>
          </cell>
          <cell r="M24" t="str">
            <v>10h00</v>
          </cell>
          <cell r="N24">
            <v>17</v>
          </cell>
          <cell r="O24">
            <v>9</v>
          </cell>
          <cell r="P24">
            <v>2015</v>
          </cell>
          <cell r="Q24" t="str">
            <v>Hà Nội, ngày 17 tháng 9 năm 2015</v>
          </cell>
          <cell r="R24" t="str">
            <v>9h15 ngày 17 tháng 9 năm 2015</v>
          </cell>
          <cell r="S24" t="str">
            <v>10h00 ngày 17 tháng 9 năm 2015</v>
          </cell>
          <cell r="T24" t="str">
            <v>9h15</v>
          </cell>
          <cell r="U24" t="str">
            <v>9h15 Ngày 17/9/2015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v>28</v>
          </cell>
          <cell r="AO24" t="str">
            <v>Cát đen</v>
          </cell>
          <cell r="AQ24" t="str">
            <v>Ngày 17 Tháng 9 Năm 2015</v>
          </cell>
        </row>
        <row r="25">
          <cell r="A25" t="str">
            <v>CAT-16</v>
          </cell>
          <cell r="B25" t="str">
            <v>Vật liệu cát đen Sông Hồng kèm theo biên bản tổng hợp giao nhận hàng hóa ngày 17/09/2015</v>
          </cell>
          <cell r="C25" t="str">
            <v>CAT-16</v>
          </cell>
          <cell r="D25" t="str">
            <v>8h15</v>
          </cell>
          <cell r="E25" t="str">
            <v>9h00</v>
          </cell>
          <cell r="F25">
            <v>23</v>
          </cell>
          <cell r="G25">
            <v>9</v>
          </cell>
          <cell r="H25">
            <v>2015</v>
          </cell>
          <cell r="I25" t="str">
            <v>Hà Nội, ngày 23 tháng 9 năm 2015</v>
          </cell>
          <cell r="J25" t="str">
            <v>8h15 ngày 23 tháng 9 năm 2015</v>
          </cell>
          <cell r="K25" t="str">
            <v>9h00 ngày 23 tháng 9 năm 2015</v>
          </cell>
          <cell r="L25" t="str">
            <v>9h15</v>
          </cell>
          <cell r="M25" t="str">
            <v>10h00</v>
          </cell>
          <cell r="N25">
            <v>23</v>
          </cell>
          <cell r="O25">
            <v>9</v>
          </cell>
          <cell r="P25">
            <v>2015</v>
          </cell>
          <cell r="Q25" t="str">
            <v>Hà Nội, ngày 23 tháng 9 năm 2015</v>
          </cell>
          <cell r="R25" t="str">
            <v>9h15 ngày 23 tháng 9 năm 2015</v>
          </cell>
          <cell r="S25" t="str">
            <v>10h00 ngày 23 tháng 9 năm 2015</v>
          </cell>
          <cell r="T25" t="str">
            <v>9h15</v>
          </cell>
          <cell r="U25" t="str">
            <v>9h15 Ngày 23/9/2015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v>29</v>
          </cell>
          <cell r="AO25" t="str">
            <v>Cát đen</v>
          </cell>
          <cell r="AQ25" t="str">
            <v>Ngày 23 Tháng 9 Năm 2015</v>
          </cell>
        </row>
        <row r="26">
          <cell r="A26" t="str">
            <v>CAT-17</v>
          </cell>
          <cell r="B26" t="str">
            <v>Vật liệu cát đen Sông Hồng kèm theo biên bản tổng hợp giao nhận hàng hóa ngày 21/09/2015</v>
          </cell>
          <cell r="C26" t="str">
            <v>CAT-17</v>
          </cell>
          <cell r="D26" t="str">
            <v>15h00</v>
          </cell>
          <cell r="E26" t="str">
            <v>15h45</v>
          </cell>
          <cell r="F26">
            <v>25</v>
          </cell>
          <cell r="G26">
            <v>9</v>
          </cell>
          <cell r="H26">
            <v>2015</v>
          </cell>
          <cell r="I26" t="str">
            <v>Hà Nội, ngày 25 tháng 9 năm 2015</v>
          </cell>
          <cell r="J26" t="str">
            <v>15h00 ngày 25 tháng 9 năm 2015</v>
          </cell>
          <cell r="K26" t="str">
            <v>15h45 ngày 25 tháng 9 năm 2015</v>
          </cell>
          <cell r="L26" t="str">
            <v>16h00</v>
          </cell>
          <cell r="M26" t="str">
            <v>16h30</v>
          </cell>
          <cell r="N26">
            <v>25</v>
          </cell>
          <cell r="O26">
            <v>9</v>
          </cell>
          <cell r="P26">
            <v>2015</v>
          </cell>
          <cell r="Q26" t="str">
            <v>Hà Nội, ngày 25 tháng 9 năm 2015</v>
          </cell>
          <cell r="R26" t="str">
            <v>16h00 ngày 25 tháng 9 năm 2015</v>
          </cell>
          <cell r="S26" t="str">
            <v>16h30 ngày 25 tháng 9 năm 2015</v>
          </cell>
          <cell r="T26" t="str">
            <v>16h00</v>
          </cell>
          <cell r="U26" t="str">
            <v>16h00 Ngày 25/9/2015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v>30</v>
          </cell>
          <cell r="AO26" t="str">
            <v>Cát đen</v>
          </cell>
          <cell r="AQ26" t="str">
            <v>Ngày 25 Tháng 9 Năm 2015</v>
          </cell>
        </row>
        <row r="27">
          <cell r="A27" t="str">
            <v>CAT-18</v>
          </cell>
          <cell r="B27" t="str">
            <v>Vật liệu cát vàng Sông Lô kèm theo biên bản tổng hợp giao nhận hàng hóa ngày 21/09/2015</v>
          </cell>
          <cell r="C27" t="str">
            <v>CAT-18</v>
          </cell>
          <cell r="D27" t="str">
            <v>15h00</v>
          </cell>
          <cell r="E27" t="str">
            <v>15h45</v>
          </cell>
          <cell r="F27">
            <v>25</v>
          </cell>
          <cell r="G27">
            <v>9</v>
          </cell>
          <cell r="H27">
            <v>2015</v>
          </cell>
          <cell r="I27" t="str">
            <v>Hà Nội, ngày 25 tháng 9 năm 2015</v>
          </cell>
          <cell r="J27" t="str">
            <v>15h00 ngày 25 tháng 9 năm 2015</v>
          </cell>
          <cell r="K27" t="str">
            <v>15h45 ngày 25 tháng 9 năm 2015</v>
          </cell>
          <cell r="L27" t="str">
            <v>16h00</v>
          </cell>
          <cell r="M27" t="str">
            <v>16h30</v>
          </cell>
          <cell r="N27">
            <v>25</v>
          </cell>
          <cell r="O27">
            <v>9</v>
          </cell>
          <cell r="P27">
            <v>2015</v>
          </cell>
          <cell r="Q27" t="str">
            <v>Hà Nội, ngày 25 tháng 9 năm 2015</v>
          </cell>
          <cell r="R27" t="str">
            <v>16h00 ngày 25 tháng 9 năm 2015</v>
          </cell>
          <cell r="S27" t="str">
            <v>16h30 ngày 25 tháng 9 năm 2015</v>
          </cell>
          <cell r="T27" t="str">
            <v>16h00</v>
          </cell>
          <cell r="U27" t="str">
            <v>16h00 Ngày 25/9/2015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v>31</v>
          </cell>
          <cell r="AO27" t="str">
            <v>Cát đen</v>
          </cell>
          <cell r="AQ27" t="str">
            <v>Ngày 25 Tháng 9 Năm 2015</v>
          </cell>
        </row>
        <row r="28">
          <cell r="A28" t="str">
            <v>CAT-19</v>
          </cell>
          <cell r="B28" t="str">
            <v>Vật liệu cát đen Sông Hồng kèm theo biên bản tổng hợp giao nhận hàng hóa ngày 24/09/2015</v>
          </cell>
          <cell r="C28" t="str">
            <v>CAT-19</v>
          </cell>
          <cell r="D28" t="str">
            <v>9h00</v>
          </cell>
          <cell r="E28" t="str">
            <v>9h45</v>
          </cell>
          <cell r="F28">
            <v>28</v>
          </cell>
          <cell r="G28">
            <v>9</v>
          </cell>
          <cell r="H28">
            <v>2015</v>
          </cell>
          <cell r="I28" t="str">
            <v>Hà Nội, ngày 28 tháng 9 năm 2015</v>
          </cell>
          <cell r="J28" t="str">
            <v>9h00 ngày 28 tháng 9 năm 2015</v>
          </cell>
          <cell r="K28" t="str">
            <v>9h45 ngày 28 tháng 9 năm 2015</v>
          </cell>
          <cell r="L28" t="str">
            <v>10h00</v>
          </cell>
          <cell r="M28" t="str">
            <v>10h30</v>
          </cell>
          <cell r="N28">
            <v>28</v>
          </cell>
          <cell r="O28">
            <v>9</v>
          </cell>
          <cell r="P28">
            <v>2015</v>
          </cell>
          <cell r="Q28" t="str">
            <v>Hà Nội, ngày 28 tháng 9 năm 2015</v>
          </cell>
          <cell r="R28" t="str">
            <v>10h00 ngày 28 tháng 9 năm 2015</v>
          </cell>
          <cell r="S28" t="str">
            <v>10h30 ngày 28 tháng 9 năm 2015</v>
          </cell>
          <cell r="T28" t="str">
            <v>10h00</v>
          </cell>
          <cell r="U28" t="str">
            <v>10h00 Ngày 28/9/2015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v>32</v>
          </cell>
          <cell r="AO28" t="str">
            <v>Cát đen</v>
          </cell>
          <cell r="AQ28" t="str">
            <v>Ngày 28 Tháng 9 Năm 2015</v>
          </cell>
        </row>
        <row r="29">
          <cell r="A29" t="str">
            <v>CAT-20</v>
          </cell>
          <cell r="C29" t="str">
            <v>CAT-20</v>
          </cell>
          <cell r="D29" t="str">
            <v>….h….</v>
          </cell>
          <cell r="E29" t="str">
            <v>….h….</v>
          </cell>
          <cell r="F29" t="str">
            <v>….</v>
          </cell>
          <cell r="G29" t="str">
            <v>….</v>
          </cell>
          <cell r="H29">
            <v>2015</v>
          </cell>
          <cell r="I29" t="str">
            <v>Hà Nội, ngày …. tháng …. năm 2015</v>
          </cell>
          <cell r="J29" t="str">
            <v>….h…. ngày …. tháng …. năm 2015</v>
          </cell>
          <cell r="K29" t="str">
            <v>….h…. ngày …. tháng …. năm 2015</v>
          </cell>
          <cell r="L29" t="str">
            <v>….h….</v>
          </cell>
          <cell r="M29" t="str">
            <v>….h….</v>
          </cell>
          <cell r="N29" t="str">
            <v>….</v>
          </cell>
          <cell r="O29" t="str">
            <v>….</v>
          </cell>
          <cell r="P29">
            <v>2015</v>
          </cell>
          <cell r="Q29" t="str">
            <v>Hà Nội, ngày …. tháng …. năm 2015</v>
          </cell>
          <cell r="R29" t="str">
            <v>….h…. ngày …. tháng …. năm 2015</v>
          </cell>
          <cell r="S29" t="str">
            <v>….h…. ngày …. tháng …. năm 2015</v>
          </cell>
          <cell r="T29" t="str">
            <v>….h….</v>
          </cell>
          <cell r="U29" t="str">
            <v>….h…. Ngày …./…./2015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v>33</v>
          </cell>
          <cell r="AO29" t="str">
            <v>Cát đen</v>
          </cell>
          <cell r="AQ29" t="str">
            <v>Ngày …. Tháng …. Năm 2015</v>
          </cell>
        </row>
        <row r="30">
          <cell r="A30" t="str">
            <v>CAT-21</v>
          </cell>
          <cell r="C30" t="str">
            <v>CAT-21</v>
          </cell>
          <cell r="D30" t="str">
            <v>….h….</v>
          </cell>
          <cell r="E30" t="str">
            <v>….h….</v>
          </cell>
          <cell r="F30" t="str">
            <v>….</v>
          </cell>
          <cell r="G30" t="str">
            <v>….</v>
          </cell>
          <cell r="H30">
            <v>2015</v>
          </cell>
          <cell r="I30" t="str">
            <v>Hà Nội, ngày …. tháng …. năm 2015</v>
          </cell>
          <cell r="J30" t="str">
            <v>….h…. ngày …. tháng …. năm 2015</v>
          </cell>
          <cell r="K30" t="str">
            <v>….h…. ngày …. tháng …. năm 2015</v>
          </cell>
          <cell r="L30" t="str">
            <v>….h….</v>
          </cell>
          <cell r="M30" t="str">
            <v>….h….</v>
          </cell>
          <cell r="N30" t="str">
            <v>….</v>
          </cell>
          <cell r="O30" t="str">
            <v>….</v>
          </cell>
          <cell r="P30">
            <v>2015</v>
          </cell>
          <cell r="Q30" t="str">
            <v>Hà Nội, ngày …. tháng …. năm 2015</v>
          </cell>
          <cell r="R30" t="str">
            <v>….h…. ngày …. tháng …. năm 2015</v>
          </cell>
          <cell r="S30" t="str">
            <v>….h…. ngày …. tháng …. năm 2015</v>
          </cell>
          <cell r="T30" t="str">
            <v>….h….</v>
          </cell>
          <cell r="U30" t="str">
            <v>….h…. Ngày …./…./2015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v>34</v>
          </cell>
          <cell r="AO30" t="str">
            <v>Cát đen</v>
          </cell>
          <cell r="AQ30" t="str">
            <v>Ngày …. Tháng …. Năm 2015</v>
          </cell>
        </row>
        <row r="31">
          <cell r="A31" t="str">
            <v>CAT-22</v>
          </cell>
          <cell r="C31" t="str">
            <v>CAT-22</v>
          </cell>
          <cell r="D31" t="str">
            <v>….h….</v>
          </cell>
          <cell r="E31" t="str">
            <v>….h….</v>
          </cell>
          <cell r="F31" t="str">
            <v>….</v>
          </cell>
          <cell r="G31" t="str">
            <v>….</v>
          </cell>
          <cell r="H31">
            <v>2015</v>
          </cell>
          <cell r="I31" t="str">
            <v>Hà Nội, ngày …. tháng …. năm 2015</v>
          </cell>
          <cell r="J31" t="str">
            <v>….h…. ngày …. tháng …. năm 2015</v>
          </cell>
          <cell r="K31" t="str">
            <v>….h…. ngày …. tháng …. năm 2015</v>
          </cell>
          <cell r="L31" t="str">
            <v>….h….</v>
          </cell>
          <cell r="M31" t="str">
            <v>….h….</v>
          </cell>
          <cell r="N31" t="str">
            <v>….</v>
          </cell>
          <cell r="O31" t="str">
            <v>….</v>
          </cell>
          <cell r="P31">
            <v>2015</v>
          </cell>
          <cell r="Q31" t="str">
            <v>Hà Nội, ngày …. tháng …. năm 2015</v>
          </cell>
          <cell r="R31" t="str">
            <v>….h…. ngày …. tháng …. năm 2015</v>
          </cell>
          <cell r="S31" t="str">
            <v>….h…. ngày …. tháng …. năm 2015</v>
          </cell>
          <cell r="T31" t="str">
            <v>….h….</v>
          </cell>
          <cell r="U31" t="str">
            <v>….h…. Ngày …./…./2015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v>35</v>
          </cell>
          <cell r="AO31" t="str">
            <v>Cát đen</v>
          </cell>
          <cell r="AQ31" t="str">
            <v>Ngày …. Tháng …. Năm 2015</v>
          </cell>
        </row>
        <row r="32">
          <cell r="A32" t="str">
            <v>CAT-23</v>
          </cell>
          <cell r="C32" t="str">
            <v>CAT-23</v>
          </cell>
          <cell r="D32" t="str">
            <v>….h….</v>
          </cell>
          <cell r="E32" t="str">
            <v>….h….</v>
          </cell>
          <cell r="F32" t="str">
            <v>….</v>
          </cell>
          <cell r="G32" t="str">
            <v>….</v>
          </cell>
          <cell r="H32">
            <v>2015</v>
          </cell>
          <cell r="I32" t="str">
            <v>Hà Nội, ngày …. tháng …. năm 2015</v>
          </cell>
          <cell r="J32" t="str">
            <v>….h…. ngày …. tháng …. năm 2015</v>
          </cell>
          <cell r="K32" t="str">
            <v>….h…. ngày …. tháng …. năm 2015</v>
          </cell>
          <cell r="L32" t="str">
            <v>….h….</v>
          </cell>
          <cell r="M32" t="str">
            <v>….h….</v>
          </cell>
          <cell r="N32" t="str">
            <v>….</v>
          </cell>
          <cell r="O32" t="str">
            <v>….</v>
          </cell>
          <cell r="P32">
            <v>2015</v>
          </cell>
          <cell r="Q32" t="str">
            <v>Hà Nội, ngày …. tháng …. năm 2015</v>
          </cell>
          <cell r="R32" t="str">
            <v>….h…. ngày …. tháng …. năm 2015</v>
          </cell>
          <cell r="S32" t="str">
            <v>….h…. ngày …. tháng …. năm 2015</v>
          </cell>
          <cell r="T32" t="str">
            <v>….h….</v>
          </cell>
          <cell r="U32" t="str">
            <v>….h…. Ngày …./…./2015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v>36</v>
          </cell>
          <cell r="AO32" t="str">
            <v>Cát đen</v>
          </cell>
          <cell r="AQ32" t="str">
            <v>Ngày …. Tháng …. Năm 2015</v>
          </cell>
        </row>
        <row r="33">
          <cell r="A33" t="str">
            <v>CAT-24</v>
          </cell>
          <cell r="C33" t="str">
            <v>CAT-24</v>
          </cell>
          <cell r="D33" t="str">
            <v>….h….</v>
          </cell>
          <cell r="E33" t="str">
            <v>….h….</v>
          </cell>
          <cell r="F33" t="str">
            <v>….</v>
          </cell>
          <cell r="G33" t="str">
            <v>….</v>
          </cell>
          <cell r="H33">
            <v>2015</v>
          </cell>
          <cell r="I33" t="str">
            <v>Hà Nội, ngày …. tháng …. năm 2015</v>
          </cell>
          <cell r="J33" t="str">
            <v>….h…. ngày …. tháng …. năm 2015</v>
          </cell>
          <cell r="K33" t="str">
            <v>….h…. ngày …. tháng …. năm 2015</v>
          </cell>
          <cell r="L33" t="str">
            <v>….h….</v>
          </cell>
          <cell r="M33" t="str">
            <v>….h….</v>
          </cell>
          <cell r="N33" t="str">
            <v>….</v>
          </cell>
          <cell r="O33" t="str">
            <v>….</v>
          </cell>
          <cell r="P33">
            <v>2015</v>
          </cell>
          <cell r="Q33" t="str">
            <v>Hà Nội, ngày …. tháng …. năm 2015</v>
          </cell>
          <cell r="R33" t="str">
            <v>….h…. ngày …. tháng …. năm 2015</v>
          </cell>
          <cell r="S33" t="str">
            <v>….h…. ngày …. tháng …. năm 2015</v>
          </cell>
          <cell r="T33" t="str">
            <v>….h….</v>
          </cell>
          <cell r="U33" t="str">
            <v>….h…. Ngày …./…./2015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v>37</v>
          </cell>
          <cell r="AO33" t="str">
            <v>Cát đen</v>
          </cell>
          <cell r="AQ33" t="str">
            <v>Ngày …. Tháng …. Năm 2015</v>
          </cell>
        </row>
        <row r="34">
          <cell r="A34" t="str">
            <v>CAT-25</v>
          </cell>
          <cell r="C34" t="str">
            <v>CAT-25</v>
          </cell>
          <cell r="D34" t="str">
            <v>….h….</v>
          </cell>
          <cell r="E34" t="str">
            <v>….h….</v>
          </cell>
          <cell r="F34" t="str">
            <v>….</v>
          </cell>
          <cell r="G34" t="str">
            <v>….</v>
          </cell>
          <cell r="H34">
            <v>2015</v>
          </cell>
          <cell r="I34" t="str">
            <v>Hà Nội, ngày …. tháng …. năm 2015</v>
          </cell>
          <cell r="J34" t="str">
            <v>….h…. ngày …. tháng …. năm 2015</v>
          </cell>
          <cell r="K34" t="str">
            <v>….h…. ngày …. tháng …. năm 2015</v>
          </cell>
          <cell r="L34" t="str">
            <v>….h….</v>
          </cell>
          <cell r="M34" t="str">
            <v>….h….</v>
          </cell>
          <cell r="N34" t="str">
            <v>….</v>
          </cell>
          <cell r="O34" t="str">
            <v>….</v>
          </cell>
          <cell r="P34">
            <v>2015</v>
          </cell>
          <cell r="Q34" t="str">
            <v>Hà Nội, ngày …. tháng …. năm 2015</v>
          </cell>
          <cell r="R34" t="str">
            <v>….h…. ngày …. tháng …. năm 2015</v>
          </cell>
          <cell r="S34" t="str">
            <v>….h…. ngày …. tháng …. năm 2015</v>
          </cell>
          <cell r="T34" t="str">
            <v>….h….</v>
          </cell>
          <cell r="U34" t="str">
            <v>….h…. Ngày …./…./2015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v>38</v>
          </cell>
          <cell r="AO34" t="str">
            <v>Cát đen</v>
          </cell>
          <cell r="AQ34" t="str">
            <v>Ngày …. Tháng …. Năm 2015</v>
          </cell>
        </row>
        <row r="35">
          <cell r="A35" t="str">
            <v>CAT-26</v>
          </cell>
          <cell r="C35" t="str">
            <v>CAT-26</v>
          </cell>
          <cell r="D35" t="str">
            <v>….h….</v>
          </cell>
          <cell r="E35" t="str">
            <v>….h….</v>
          </cell>
          <cell r="F35" t="str">
            <v>….</v>
          </cell>
          <cell r="G35" t="str">
            <v>….</v>
          </cell>
          <cell r="H35">
            <v>2015</v>
          </cell>
          <cell r="I35" t="str">
            <v>Hà Nội, ngày …. tháng …. năm 2015</v>
          </cell>
          <cell r="J35" t="str">
            <v>….h…. ngày …. tháng …. năm 2015</v>
          </cell>
          <cell r="K35" t="str">
            <v>….h…. ngày …. tháng …. năm 2015</v>
          </cell>
          <cell r="L35" t="str">
            <v>….h….</v>
          </cell>
          <cell r="M35" t="str">
            <v>….h….</v>
          </cell>
          <cell r="N35" t="str">
            <v>….</v>
          </cell>
          <cell r="O35" t="str">
            <v>….</v>
          </cell>
          <cell r="P35">
            <v>2015</v>
          </cell>
          <cell r="Q35" t="str">
            <v>Hà Nội, ngày …. tháng …. năm 2015</v>
          </cell>
          <cell r="R35" t="str">
            <v>….h…. ngày …. tháng …. năm 2015</v>
          </cell>
          <cell r="S35" t="str">
            <v>….h…. ngày …. tháng …. năm 2015</v>
          </cell>
          <cell r="T35" t="str">
            <v>….h….</v>
          </cell>
          <cell r="U35" t="str">
            <v>….h…. Ngày …./…./2015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v>39</v>
          </cell>
          <cell r="AO35" t="str">
            <v>Cát đen</v>
          </cell>
          <cell r="AQ35" t="str">
            <v>Ngày …. Tháng …. Năm 2015</v>
          </cell>
        </row>
        <row r="36">
          <cell r="A36" t="str">
            <v>CAT-27</v>
          </cell>
          <cell r="C36" t="str">
            <v>CAT-27</v>
          </cell>
          <cell r="D36" t="str">
            <v>….h….</v>
          </cell>
          <cell r="E36" t="str">
            <v>….h….</v>
          </cell>
          <cell r="F36" t="str">
            <v>….</v>
          </cell>
          <cell r="G36" t="str">
            <v>….</v>
          </cell>
          <cell r="H36">
            <v>2015</v>
          </cell>
          <cell r="I36" t="str">
            <v>Hà Nội, ngày …. tháng …. năm 2015</v>
          </cell>
          <cell r="J36" t="str">
            <v>….h…. ngày …. tháng …. năm 2015</v>
          </cell>
          <cell r="K36" t="str">
            <v>….h…. ngày …. tháng …. năm 2015</v>
          </cell>
          <cell r="L36" t="str">
            <v>….h….</v>
          </cell>
          <cell r="M36" t="str">
            <v>….h….</v>
          </cell>
          <cell r="N36" t="str">
            <v>….</v>
          </cell>
          <cell r="O36" t="str">
            <v>….</v>
          </cell>
          <cell r="P36">
            <v>2015</v>
          </cell>
          <cell r="Q36" t="str">
            <v>Hà Nội, ngày …. tháng …. năm 2015</v>
          </cell>
          <cell r="R36" t="str">
            <v>….h…. ngày …. tháng …. năm 2015</v>
          </cell>
          <cell r="S36" t="str">
            <v>….h…. ngày …. tháng …. năm 2015</v>
          </cell>
          <cell r="T36" t="str">
            <v>….h….</v>
          </cell>
          <cell r="U36" t="str">
            <v>….h…. Ngày …./…./2015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v>40</v>
          </cell>
          <cell r="AO36" t="str">
            <v>Cát đen</v>
          </cell>
          <cell r="AQ36" t="str">
            <v>Ngày …. Tháng …. Năm 2015</v>
          </cell>
        </row>
        <row r="37">
          <cell r="A37" t="str">
            <v>CAT-28</v>
          </cell>
          <cell r="C37" t="str">
            <v>CAT-28</v>
          </cell>
          <cell r="D37" t="str">
            <v>….h….</v>
          </cell>
          <cell r="E37" t="str">
            <v>….h….</v>
          </cell>
          <cell r="F37" t="str">
            <v>….</v>
          </cell>
          <cell r="G37" t="str">
            <v>….</v>
          </cell>
          <cell r="H37">
            <v>2015</v>
          </cell>
          <cell r="I37" t="str">
            <v>Hà Nội, ngày …. tháng …. năm 2015</v>
          </cell>
          <cell r="J37" t="str">
            <v>….h…. ngày …. tháng …. năm 2015</v>
          </cell>
          <cell r="K37" t="str">
            <v>….h…. ngày …. tháng …. năm 2015</v>
          </cell>
          <cell r="L37" t="str">
            <v>….h….</v>
          </cell>
          <cell r="M37" t="str">
            <v>….h….</v>
          </cell>
          <cell r="N37" t="str">
            <v>….</v>
          </cell>
          <cell r="O37" t="str">
            <v>….</v>
          </cell>
          <cell r="P37">
            <v>2015</v>
          </cell>
          <cell r="Q37" t="str">
            <v>Hà Nội, ngày …. tháng …. năm 2015</v>
          </cell>
          <cell r="R37" t="str">
            <v>….h…. ngày …. tháng …. năm 2015</v>
          </cell>
          <cell r="S37" t="str">
            <v>….h…. ngày …. tháng …. năm 2015</v>
          </cell>
          <cell r="T37" t="str">
            <v>….h….</v>
          </cell>
          <cell r="U37" t="str">
            <v>….h…. Ngày …./…./2015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v>41</v>
          </cell>
          <cell r="AO37" t="str">
            <v>Cát đen</v>
          </cell>
          <cell r="AQ37" t="str">
            <v>Ngày …. Tháng …. Năm 2015</v>
          </cell>
        </row>
        <row r="38">
          <cell r="A38" t="str">
            <v>CAT-29</v>
          </cell>
          <cell r="C38" t="str">
            <v>CAT-29</v>
          </cell>
          <cell r="D38" t="str">
            <v>….h….</v>
          </cell>
          <cell r="E38" t="str">
            <v>….h….</v>
          </cell>
          <cell r="F38" t="str">
            <v>….</v>
          </cell>
          <cell r="G38" t="str">
            <v>….</v>
          </cell>
          <cell r="H38">
            <v>2015</v>
          </cell>
          <cell r="I38" t="str">
            <v>Hà Nội, ngày …. tháng …. năm 2015</v>
          </cell>
          <cell r="J38" t="str">
            <v>….h…. ngày …. tháng …. năm 2015</v>
          </cell>
          <cell r="K38" t="str">
            <v>….h…. ngày …. tháng …. năm 2015</v>
          </cell>
          <cell r="L38" t="str">
            <v>….h….</v>
          </cell>
          <cell r="M38" t="str">
            <v>….h….</v>
          </cell>
          <cell r="N38" t="str">
            <v>….</v>
          </cell>
          <cell r="O38" t="str">
            <v>….</v>
          </cell>
          <cell r="P38">
            <v>2015</v>
          </cell>
          <cell r="Q38" t="str">
            <v>Hà Nội, ngày …. tháng …. năm 2015</v>
          </cell>
          <cell r="R38" t="str">
            <v>….h…. ngày …. tháng …. năm 2015</v>
          </cell>
          <cell r="S38" t="str">
            <v>….h…. ngày …. tháng …. năm 2015</v>
          </cell>
          <cell r="T38" t="str">
            <v>….h….</v>
          </cell>
          <cell r="U38" t="str">
            <v>….h…. Ngày …./…./2015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v>42</v>
          </cell>
          <cell r="AO38" t="str">
            <v>Cát đen</v>
          </cell>
          <cell r="AQ38" t="str">
            <v>Ngày …. Tháng …. Năm 2015</v>
          </cell>
        </row>
        <row r="39">
          <cell r="A39" t="str">
            <v>CAT-30</v>
          </cell>
          <cell r="C39" t="str">
            <v>CAT-30</v>
          </cell>
          <cell r="D39" t="str">
            <v>….h….</v>
          </cell>
          <cell r="E39" t="str">
            <v>….h….</v>
          </cell>
          <cell r="F39" t="str">
            <v>….</v>
          </cell>
          <cell r="G39" t="str">
            <v>….</v>
          </cell>
          <cell r="H39">
            <v>2015</v>
          </cell>
          <cell r="I39" t="str">
            <v>Hà Nội, ngày …. tháng …. năm 2015</v>
          </cell>
          <cell r="J39" t="str">
            <v>….h…. ngày …. tháng …. năm 2015</v>
          </cell>
          <cell r="K39" t="str">
            <v>….h…. ngày …. tháng …. năm 2015</v>
          </cell>
          <cell r="L39" t="str">
            <v>….h….</v>
          </cell>
          <cell r="M39" t="str">
            <v>….h….</v>
          </cell>
          <cell r="N39" t="str">
            <v>….</v>
          </cell>
          <cell r="O39" t="str">
            <v>….</v>
          </cell>
          <cell r="P39">
            <v>2015</v>
          </cell>
          <cell r="Q39" t="str">
            <v>Hà Nội, ngày …. tháng …. năm 2015</v>
          </cell>
          <cell r="R39" t="str">
            <v>….h…. ngày …. tháng …. năm 2015</v>
          </cell>
          <cell r="S39" t="str">
            <v>….h…. ngày …. tháng …. năm 2015</v>
          </cell>
          <cell r="T39" t="str">
            <v>….h….</v>
          </cell>
          <cell r="U39" t="str">
            <v>….h…. Ngày …./…./2015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v>43</v>
          </cell>
          <cell r="AO39" t="str">
            <v>Cát đen</v>
          </cell>
          <cell r="AQ39" t="str">
            <v>Ngày …. Tháng …. Năm 2015</v>
          </cell>
        </row>
        <row r="40">
          <cell r="A40" t="str">
            <v>CAT-31</v>
          </cell>
          <cell r="C40" t="str">
            <v>CAT-31</v>
          </cell>
          <cell r="D40" t="str">
            <v>….h….</v>
          </cell>
          <cell r="E40" t="str">
            <v>….h….</v>
          </cell>
          <cell r="F40" t="str">
            <v>….</v>
          </cell>
          <cell r="G40" t="str">
            <v>….</v>
          </cell>
          <cell r="H40">
            <v>2015</v>
          </cell>
          <cell r="I40" t="str">
            <v>Hà Nội, ngày …. tháng …. năm 2015</v>
          </cell>
          <cell r="J40" t="str">
            <v>….h…. ngày …. tháng …. năm 2015</v>
          </cell>
          <cell r="K40" t="str">
            <v>….h…. ngày …. tháng …. năm 2015</v>
          </cell>
          <cell r="L40" t="str">
            <v>….h….</v>
          </cell>
          <cell r="M40" t="str">
            <v>….h….</v>
          </cell>
          <cell r="N40" t="str">
            <v>….</v>
          </cell>
          <cell r="O40" t="str">
            <v>….</v>
          </cell>
          <cell r="P40">
            <v>2015</v>
          </cell>
          <cell r="Q40" t="str">
            <v>Hà Nội, ngày …. tháng …. năm 2015</v>
          </cell>
          <cell r="R40" t="str">
            <v>….h…. ngày …. tháng …. năm 2015</v>
          </cell>
          <cell r="S40" t="str">
            <v>….h…. ngày …. tháng …. năm 2015</v>
          </cell>
          <cell r="T40" t="str">
            <v>….h….</v>
          </cell>
          <cell r="U40" t="str">
            <v>….h…. Ngày …./…./2015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v>44</v>
          </cell>
          <cell r="AO40" t="str">
            <v>Cát đen</v>
          </cell>
          <cell r="AQ40" t="str">
            <v>Ngày …. Tháng …. Năm 2015</v>
          </cell>
        </row>
        <row r="41">
          <cell r="A41" t="str">
            <v>CAT-32</v>
          </cell>
          <cell r="C41" t="str">
            <v>CAT-32</v>
          </cell>
          <cell r="D41" t="str">
            <v>….h….</v>
          </cell>
          <cell r="E41" t="str">
            <v>….h….</v>
          </cell>
          <cell r="F41" t="str">
            <v>….</v>
          </cell>
          <cell r="G41" t="str">
            <v>….</v>
          </cell>
          <cell r="H41">
            <v>2015</v>
          </cell>
          <cell r="I41" t="str">
            <v>Hà Nội, ngày …. tháng …. năm 2015</v>
          </cell>
          <cell r="J41" t="str">
            <v>….h…. ngày …. tháng …. năm 2015</v>
          </cell>
          <cell r="K41" t="str">
            <v>….h…. ngày …. tháng …. năm 2015</v>
          </cell>
          <cell r="L41" t="str">
            <v>….h….</v>
          </cell>
          <cell r="M41" t="str">
            <v>….h….</v>
          </cell>
          <cell r="N41" t="str">
            <v>….</v>
          </cell>
          <cell r="O41" t="str">
            <v>….</v>
          </cell>
          <cell r="P41">
            <v>2015</v>
          </cell>
          <cell r="Q41" t="str">
            <v>Hà Nội, ngày …. tháng …. năm 2015</v>
          </cell>
          <cell r="R41" t="str">
            <v>….h…. ngày …. tháng …. năm 2015</v>
          </cell>
          <cell r="S41" t="str">
            <v>….h…. ngày …. tháng …. năm 2015</v>
          </cell>
          <cell r="T41" t="str">
            <v>….h….</v>
          </cell>
          <cell r="U41" t="str">
            <v>….h…. Ngày …./…./2015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v>45</v>
          </cell>
          <cell r="AO41" t="str">
            <v>Cát đen</v>
          </cell>
          <cell r="AQ41" t="str">
            <v>Ngày …. Tháng …. Năm 2015</v>
          </cell>
        </row>
        <row r="42">
          <cell r="A42" t="str">
            <v>CAT-33</v>
          </cell>
          <cell r="C42" t="str">
            <v>CAT-33</v>
          </cell>
          <cell r="D42" t="str">
            <v>….h….</v>
          </cell>
          <cell r="E42" t="str">
            <v>….h….</v>
          </cell>
          <cell r="F42" t="str">
            <v>….</v>
          </cell>
          <cell r="G42" t="str">
            <v>….</v>
          </cell>
          <cell r="H42">
            <v>2015</v>
          </cell>
          <cell r="I42" t="str">
            <v>Hà Nội, ngày …. tháng …. năm 2015</v>
          </cell>
          <cell r="J42" t="str">
            <v>….h…. ngày …. tháng …. năm 2015</v>
          </cell>
          <cell r="K42" t="str">
            <v>….h…. ngày …. tháng …. năm 2015</v>
          </cell>
          <cell r="L42" t="str">
            <v>….h….</v>
          </cell>
          <cell r="M42" t="str">
            <v>….h….</v>
          </cell>
          <cell r="N42" t="str">
            <v>….</v>
          </cell>
          <cell r="O42" t="str">
            <v>….</v>
          </cell>
          <cell r="P42">
            <v>2015</v>
          </cell>
          <cell r="Q42" t="str">
            <v>Hà Nội, ngày …. tháng …. năm 2015</v>
          </cell>
          <cell r="R42" t="str">
            <v>….h…. ngày …. tháng …. năm 2015</v>
          </cell>
          <cell r="S42" t="str">
            <v>….h…. ngày …. tháng …. năm 2015</v>
          </cell>
          <cell r="T42" t="str">
            <v>….h….</v>
          </cell>
          <cell r="U42" t="str">
            <v>….h…. Ngày …./…./2015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v>46</v>
          </cell>
          <cell r="AO42" t="str">
            <v>Cát đen</v>
          </cell>
          <cell r="AQ42" t="str">
            <v>Ngày …. Tháng …. Năm 2015</v>
          </cell>
        </row>
        <row r="43">
          <cell r="A43" t="str">
            <v>CAT-34</v>
          </cell>
          <cell r="C43" t="str">
            <v>CAT-34</v>
          </cell>
          <cell r="D43" t="str">
            <v>….h….</v>
          </cell>
          <cell r="E43" t="str">
            <v>….h….</v>
          </cell>
          <cell r="F43" t="str">
            <v>….</v>
          </cell>
          <cell r="G43" t="str">
            <v>….</v>
          </cell>
          <cell r="H43">
            <v>2015</v>
          </cell>
          <cell r="I43" t="str">
            <v>Hà Nội, ngày …. tháng …. năm 2015</v>
          </cell>
          <cell r="J43" t="str">
            <v>….h…. ngày …. tháng …. năm 2015</v>
          </cell>
          <cell r="K43" t="str">
            <v>….h…. ngày …. tháng …. năm 2015</v>
          </cell>
          <cell r="L43" t="str">
            <v>….h….</v>
          </cell>
          <cell r="M43" t="str">
            <v>….h….</v>
          </cell>
          <cell r="N43" t="str">
            <v>….</v>
          </cell>
          <cell r="O43" t="str">
            <v>….</v>
          </cell>
          <cell r="P43">
            <v>2015</v>
          </cell>
          <cell r="Q43" t="str">
            <v>Hà Nội, ngày …. tháng …. năm 2015</v>
          </cell>
          <cell r="R43" t="str">
            <v>….h…. ngày …. tháng …. năm 2015</v>
          </cell>
          <cell r="S43" t="str">
            <v>….h…. ngày …. tháng …. năm 2015</v>
          </cell>
          <cell r="T43" t="str">
            <v>….h….</v>
          </cell>
          <cell r="U43" t="str">
            <v>….h…. Ngày …./…./2015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v>47</v>
          </cell>
          <cell r="AO43" t="str">
            <v>Cát đen</v>
          </cell>
          <cell r="AQ43" t="str">
            <v>Ngày …. Tháng …. Năm 2015</v>
          </cell>
        </row>
        <row r="44">
          <cell r="A44" t="str">
            <v>CAT-35</v>
          </cell>
          <cell r="C44" t="str">
            <v>CAT-35</v>
          </cell>
          <cell r="D44" t="str">
            <v>….h….</v>
          </cell>
          <cell r="E44" t="str">
            <v>….h….</v>
          </cell>
          <cell r="F44" t="str">
            <v>….</v>
          </cell>
          <cell r="G44" t="str">
            <v>….</v>
          </cell>
          <cell r="H44">
            <v>2015</v>
          </cell>
          <cell r="I44" t="str">
            <v>Hà Nội, ngày …. tháng …. năm 2015</v>
          </cell>
          <cell r="J44" t="str">
            <v>….h…. ngày …. tháng …. năm 2015</v>
          </cell>
          <cell r="K44" t="str">
            <v>….h…. ngày …. tháng …. năm 2015</v>
          </cell>
          <cell r="L44" t="str">
            <v>….h….</v>
          </cell>
          <cell r="M44" t="str">
            <v>….h….</v>
          </cell>
          <cell r="N44" t="str">
            <v>….</v>
          </cell>
          <cell r="O44" t="str">
            <v>….</v>
          </cell>
          <cell r="P44">
            <v>2015</v>
          </cell>
          <cell r="Q44" t="str">
            <v>Hà Nội, ngày …. tháng …. năm 2015</v>
          </cell>
          <cell r="R44" t="str">
            <v>….h…. ngày …. tháng …. năm 2015</v>
          </cell>
          <cell r="S44" t="str">
            <v>….h…. ngày …. tháng …. năm 2015</v>
          </cell>
          <cell r="T44" t="str">
            <v>….h….</v>
          </cell>
          <cell r="U44" t="str">
            <v>….h…. Ngày …./…./2015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v>48</v>
          </cell>
          <cell r="AO44" t="str">
            <v>Cát đen</v>
          </cell>
          <cell r="AQ44" t="str">
            <v>Ngày …. Tháng …. Năm 2015</v>
          </cell>
        </row>
        <row r="45">
          <cell r="A45" t="str">
            <v>CAT-36</v>
          </cell>
          <cell r="C45" t="str">
            <v>CAT-36</v>
          </cell>
          <cell r="D45" t="str">
            <v>….h….</v>
          </cell>
          <cell r="E45" t="str">
            <v>….h….</v>
          </cell>
          <cell r="F45" t="str">
            <v>….</v>
          </cell>
          <cell r="G45" t="str">
            <v>….</v>
          </cell>
          <cell r="H45">
            <v>2015</v>
          </cell>
          <cell r="I45" t="str">
            <v>Hà Nội, ngày …. tháng …. năm 2015</v>
          </cell>
          <cell r="J45" t="str">
            <v>….h…. ngày …. tháng …. năm 2015</v>
          </cell>
          <cell r="K45" t="str">
            <v>….h…. ngày …. tháng …. năm 2015</v>
          </cell>
          <cell r="L45" t="str">
            <v>….h….</v>
          </cell>
          <cell r="M45" t="str">
            <v>….h….</v>
          </cell>
          <cell r="N45" t="str">
            <v>….</v>
          </cell>
          <cell r="O45" t="str">
            <v>….</v>
          </cell>
          <cell r="P45">
            <v>2015</v>
          </cell>
          <cell r="Q45" t="str">
            <v>Hà Nội, ngày …. tháng …. năm 2015</v>
          </cell>
          <cell r="R45" t="str">
            <v>….h…. ngày …. tháng …. năm 2015</v>
          </cell>
          <cell r="S45" t="str">
            <v>….h…. ngày …. tháng …. năm 2015</v>
          </cell>
          <cell r="T45" t="str">
            <v>….h….</v>
          </cell>
          <cell r="U45" t="str">
            <v>….h…. Ngày …./…./2015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v>49</v>
          </cell>
          <cell r="AO45" t="str">
            <v>Cát đen</v>
          </cell>
          <cell r="AQ45" t="str">
            <v>Ngày …. Tháng …. Năm 2015</v>
          </cell>
        </row>
        <row r="46">
          <cell r="A46" t="str">
            <v>CAT-37</v>
          </cell>
          <cell r="C46" t="str">
            <v>CAT-37</v>
          </cell>
          <cell r="D46" t="str">
            <v>….h….</v>
          </cell>
          <cell r="E46" t="str">
            <v>….h….</v>
          </cell>
          <cell r="F46" t="str">
            <v>….</v>
          </cell>
          <cell r="G46" t="str">
            <v>….</v>
          </cell>
          <cell r="H46">
            <v>2015</v>
          </cell>
          <cell r="I46" t="str">
            <v>Hà Nội, ngày …. tháng …. năm 2015</v>
          </cell>
          <cell r="J46" t="str">
            <v>….h…. ngày …. tháng …. năm 2015</v>
          </cell>
          <cell r="K46" t="str">
            <v>….h…. ngày …. tháng …. năm 2015</v>
          </cell>
          <cell r="L46" t="str">
            <v>….h….</v>
          </cell>
          <cell r="M46" t="str">
            <v>….h….</v>
          </cell>
          <cell r="N46" t="str">
            <v>….</v>
          </cell>
          <cell r="O46" t="str">
            <v>….</v>
          </cell>
          <cell r="P46">
            <v>2015</v>
          </cell>
          <cell r="Q46" t="str">
            <v>Hà Nội, ngày …. tháng …. năm 2015</v>
          </cell>
          <cell r="R46" t="str">
            <v>….h…. ngày …. tháng …. năm 2015</v>
          </cell>
          <cell r="S46" t="str">
            <v>….h…. ngày …. tháng …. năm 2015</v>
          </cell>
          <cell r="T46" t="str">
            <v>….h….</v>
          </cell>
          <cell r="U46" t="str">
            <v>….h…. Ngày …./…./2015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v>50</v>
          </cell>
          <cell r="AO46" t="str">
            <v>Cát đen</v>
          </cell>
          <cell r="AQ46" t="str">
            <v>Ngày …. Tháng …. Năm 2015</v>
          </cell>
        </row>
        <row r="47">
          <cell r="A47" t="str">
            <v>CAT-38</v>
          </cell>
          <cell r="C47" t="str">
            <v>CAT-38</v>
          </cell>
          <cell r="D47" t="str">
            <v>….h….</v>
          </cell>
          <cell r="E47" t="str">
            <v>….h….</v>
          </cell>
          <cell r="F47" t="str">
            <v>….</v>
          </cell>
          <cell r="G47" t="str">
            <v>….</v>
          </cell>
          <cell r="H47">
            <v>2015</v>
          </cell>
          <cell r="I47" t="str">
            <v>Hà Nội, ngày …. tháng …. năm 2015</v>
          </cell>
          <cell r="J47" t="str">
            <v>….h…. ngày …. tháng …. năm 2015</v>
          </cell>
          <cell r="K47" t="str">
            <v>….h…. ngày …. tháng …. năm 2015</v>
          </cell>
          <cell r="L47" t="str">
            <v>….h….</v>
          </cell>
          <cell r="M47" t="str">
            <v>….h….</v>
          </cell>
          <cell r="N47" t="str">
            <v>….</v>
          </cell>
          <cell r="O47" t="str">
            <v>….</v>
          </cell>
          <cell r="P47">
            <v>2015</v>
          </cell>
          <cell r="Q47" t="str">
            <v>Hà Nội, ngày …. tháng …. năm 2015</v>
          </cell>
          <cell r="R47" t="str">
            <v>….h…. ngày …. tháng …. năm 2015</v>
          </cell>
          <cell r="S47" t="str">
            <v>….h…. ngày …. tháng …. năm 2015</v>
          </cell>
          <cell r="T47" t="str">
            <v>….h….</v>
          </cell>
          <cell r="U47" t="str">
            <v>….h…. Ngày …./…./2015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v>51</v>
          </cell>
          <cell r="AO47" t="str">
            <v>Cát đen</v>
          </cell>
          <cell r="AQ47" t="str">
            <v>Ngày …. Tháng …. Năm 2015</v>
          </cell>
        </row>
        <row r="48">
          <cell r="A48" t="str">
            <v>CAT-39</v>
          </cell>
          <cell r="C48" t="str">
            <v>CAT-39</v>
          </cell>
          <cell r="D48" t="str">
            <v>….h….</v>
          </cell>
          <cell r="E48" t="str">
            <v>….h….</v>
          </cell>
          <cell r="F48" t="str">
            <v>….</v>
          </cell>
          <cell r="G48" t="str">
            <v>….</v>
          </cell>
          <cell r="H48">
            <v>2015</v>
          </cell>
          <cell r="I48" t="str">
            <v>Hà Nội, ngày …. tháng …. năm 2015</v>
          </cell>
          <cell r="J48" t="str">
            <v>….h…. ngày …. tháng …. năm 2015</v>
          </cell>
          <cell r="K48" t="str">
            <v>….h…. ngày …. tháng …. năm 2015</v>
          </cell>
          <cell r="L48" t="str">
            <v>….h….</v>
          </cell>
          <cell r="M48" t="str">
            <v>….h….</v>
          </cell>
          <cell r="N48" t="str">
            <v>….</v>
          </cell>
          <cell r="O48" t="str">
            <v>….</v>
          </cell>
          <cell r="P48">
            <v>2015</v>
          </cell>
          <cell r="Q48" t="str">
            <v>Hà Nội, ngày …. tháng …. năm 2015</v>
          </cell>
          <cell r="R48" t="str">
            <v>….h…. ngày …. tháng …. năm 2015</v>
          </cell>
          <cell r="S48" t="str">
            <v>….h…. ngày …. tháng …. năm 2015</v>
          </cell>
          <cell r="T48" t="str">
            <v>….h….</v>
          </cell>
          <cell r="U48" t="str">
            <v>….h…. Ngày …./…./2015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v>52</v>
          </cell>
          <cell r="AO48" t="str">
            <v>Cát đen</v>
          </cell>
          <cell r="AQ48" t="str">
            <v>Ngày …. Tháng …. Năm 2015</v>
          </cell>
        </row>
        <row r="49">
          <cell r="A49" t="str">
            <v>CAT-40</v>
          </cell>
          <cell r="C49" t="str">
            <v>CAT-40</v>
          </cell>
          <cell r="D49" t="str">
            <v>….h….</v>
          </cell>
          <cell r="E49" t="str">
            <v>….h….</v>
          </cell>
          <cell r="F49" t="str">
            <v>….</v>
          </cell>
          <cell r="G49" t="str">
            <v>….</v>
          </cell>
          <cell r="H49">
            <v>2015</v>
          </cell>
          <cell r="I49" t="str">
            <v>Hà Nội, ngày …. tháng …. năm 2015</v>
          </cell>
          <cell r="J49" t="str">
            <v>….h…. ngày …. tháng …. năm 2015</v>
          </cell>
          <cell r="K49" t="str">
            <v>….h…. ngày …. tháng …. năm 2015</v>
          </cell>
          <cell r="L49" t="str">
            <v>….h….</v>
          </cell>
          <cell r="M49" t="str">
            <v>….h….</v>
          </cell>
          <cell r="N49" t="str">
            <v>….</v>
          </cell>
          <cell r="O49" t="str">
            <v>….</v>
          </cell>
          <cell r="P49">
            <v>2015</v>
          </cell>
          <cell r="Q49" t="str">
            <v>Hà Nội, ngày …. tháng …. năm 2015</v>
          </cell>
          <cell r="R49" t="str">
            <v>….h…. ngày …. tháng …. năm 2015</v>
          </cell>
          <cell r="S49" t="str">
            <v>….h…. ngày …. tháng …. năm 2015</v>
          </cell>
          <cell r="T49" t="str">
            <v>….h….</v>
          </cell>
          <cell r="U49" t="str">
            <v>….h…. Ngày …./…./2015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v>53</v>
          </cell>
          <cell r="AO49" t="str">
            <v>Cát đen</v>
          </cell>
          <cell r="AQ49" t="str">
            <v>Ngày …. Tháng …. Năm 2015</v>
          </cell>
        </row>
        <row r="50">
          <cell r="A50" t="str">
            <v>CAT-41</v>
          </cell>
          <cell r="C50" t="str">
            <v>CAT-41</v>
          </cell>
          <cell r="D50" t="str">
            <v>….h….</v>
          </cell>
          <cell r="E50" t="str">
            <v>….h….</v>
          </cell>
          <cell r="F50" t="str">
            <v>….</v>
          </cell>
          <cell r="G50" t="str">
            <v>….</v>
          </cell>
          <cell r="H50">
            <v>2015</v>
          </cell>
          <cell r="I50" t="str">
            <v>Hà Nội, ngày …. tháng …. năm 2015</v>
          </cell>
          <cell r="J50" t="str">
            <v>….h…. ngày …. tháng …. năm 2015</v>
          </cell>
          <cell r="K50" t="str">
            <v>….h…. ngày …. tháng …. năm 2015</v>
          </cell>
          <cell r="L50" t="str">
            <v>….h….</v>
          </cell>
          <cell r="M50" t="str">
            <v>….h….</v>
          </cell>
          <cell r="N50" t="str">
            <v>….</v>
          </cell>
          <cell r="O50" t="str">
            <v>….</v>
          </cell>
          <cell r="P50">
            <v>2015</v>
          </cell>
          <cell r="Q50" t="str">
            <v>Hà Nội, ngày …. tháng …. năm 2015</v>
          </cell>
          <cell r="R50" t="str">
            <v>….h…. ngày …. tháng …. năm 2015</v>
          </cell>
          <cell r="S50" t="str">
            <v>….h…. ngày …. tháng …. năm 2015</v>
          </cell>
          <cell r="T50" t="str">
            <v>….h….</v>
          </cell>
          <cell r="U50" t="str">
            <v>….h…. Ngày …./…./2015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N50">
            <v>54</v>
          </cell>
          <cell r="AO50" t="str">
            <v>Cát đen</v>
          </cell>
          <cell r="AQ50" t="str">
            <v>Ngày …. Tháng …. Năm 2015</v>
          </cell>
        </row>
        <row r="52">
          <cell r="A52">
            <v>1</v>
          </cell>
          <cell r="B52">
            <v>2</v>
          </cell>
          <cell r="C52">
            <v>3</v>
          </cell>
          <cell r="D52">
            <v>4</v>
          </cell>
          <cell r="E52">
            <v>5</v>
          </cell>
          <cell r="F52">
            <v>6</v>
          </cell>
          <cell r="G52">
            <v>7</v>
          </cell>
          <cell r="H52">
            <v>8</v>
          </cell>
          <cell r="I52">
            <v>9</v>
          </cell>
          <cell r="J52">
            <v>10</v>
          </cell>
          <cell r="K52">
            <v>11</v>
          </cell>
          <cell r="L52">
            <v>12</v>
          </cell>
          <cell r="M52">
            <v>13</v>
          </cell>
          <cell r="N52">
            <v>14</v>
          </cell>
          <cell r="O52">
            <v>15</v>
          </cell>
          <cell r="P52">
            <v>16</v>
          </cell>
          <cell r="Q52">
            <v>17</v>
          </cell>
          <cell r="R52">
            <v>18</v>
          </cell>
          <cell r="S52">
            <v>19</v>
          </cell>
          <cell r="T52">
            <v>20</v>
          </cell>
          <cell r="U52">
            <v>21</v>
          </cell>
          <cell r="V52">
            <v>22</v>
          </cell>
          <cell r="W52">
            <v>23</v>
          </cell>
          <cell r="X52">
            <v>24</v>
          </cell>
          <cell r="Y52">
            <v>25</v>
          </cell>
          <cell r="Z52">
            <v>26</v>
          </cell>
          <cell r="AA52">
            <v>27</v>
          </cell>
          <cell r="AB52">
            <v>28</v>
          </cell>
          <cell r="AC52">
            <v>29</v>
          </cell>
          <cell r="AD52">
            <v>30</v>
          </cell>
          <cell r="AE52">
            <v>31</v>
          </cell>
          <cell r="AF52">
            <v>32</v>
          </cell>
          <cell r="AG52">
            <v>33</v>
          </cell>
          <cell r="AH52">
            <v>34</v>
          </cell>
          <cell r="AI52">
            <v>35</v>
          </cell>
          <cell r="AJ52">
            <v>36</v>
          </cell>
          <cell r="AK52">
            <v>37</v>
          </cell>
          <cell r="AL52">
            <v>38</v>
          </cell>
          <cell r="AM52">
            <v>39</v>
          </cell>
          <cell r="AN52">
            <v>40</v>
          </cell>
          <cell r="AO52">
            <v>41</v>
          </cell>
          <cell r="AP52">
            <v>42</v>
          </cell>
          <cell r="AQ52">
            <v>43</v>
          </cell>
        </row>
      </sheetData>
      <sheetData sheetId="21"/>
      <sheetData sheetId="22">
        <row r="10">
          <cell r="A10" t="str">
            <v>G-01</v>
          </cell>
          <cell r="B10" t="str">
            <v>-Gạch bê tông (KM-100DA) kích thước 210x100x60 kèm theo phiếu giao hàng ngày 19/12/2014</v>
          </cell>
          <cell r="C10" t="str">
            <v>G-01</v>
          </cell>
          <cell r="D10" t="str">
            <v>8h00</v>
          </cell>
          <cell r="E10" t="str">
            <v>9h30</v>
          </cell>
          <cell r="F10">
            <v>22</v>
          </cell>
          <cell r="G10">
            <v>12</v>
          </cell>
          <cell r="H10">
            <v>2014</v>
          </cell>
          <cell r="I10" t="str">
            <v>Hà Nội, ngày 22 tháng 12 năm 2014</v>
          </cell>
          <cell r="J10" t="str">
            <v>8h00 ngày 22 tháng 12 năm 2014</v>
          </cell>
          <cell r="K10" t="str">
            <v>9h30 ngày 22 tháng 12 năm 2014</v>
          </cell>
          <cell r="L10" t="str">
            <v>9h30</v>
          </cell>
          <cell r="M10" t="str">
            <v>10h00</v>
          </cell>
          <cell r="N10">
            <v>22</v>
          </cell>
          <cell r="O10">
            <v>12</v>
          </cell>
          <cell r="P10">
            <v>2014</v>
          </cell>
          <cell r="Q10" t="str">
            <v>Hà Nội, ngày 22 tháng 12 năm 2014</v>
          </cell>
          <cell r="R10" t="str">
            <v>9h30 ngày 22 tháng 12 năm 2014</v>
          </cell>
          <cell r="S10" t="str">
            <v>10h00 ngày 22 tháng 12 năm 2014</v>
          </cell>
          <cell r="T10" t="str">
            <v>9h30</v>
          </cell>
          <cell r="U10" t="str">
            <v>9h30 Ngày 22/12/2014</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v>28832</v>
          </cell>
          <cell r="AO10" t="str">
            <v>210x100x60mm</v>
          </cell>
          <cell r="AQ10" t="str">
            <v>Ngày 22 Tháng 12 Năm 2014</v>
          </cell>
        </row>
        <row r="11">
          <cell r="A11" t="str">
            <v>G-02</v>
          </cell>
          <cell r="B11" t="str">
            <v>-Gạch đặc kích thước 220x105x65 kèm theo biên bản giao nhận hàng hóa ngày 10/12/2014</v>
          </cell>
          <cell r="C11" t="str">
            <v>G-02</v>
          </cell>
          <cell r="D11" t="str">
            <v>13h30</v>
          </cell>
          <cell r="E11" t="str">
            <v>14h30</v>
          </cell>
          <cell r="F11">
            <v>13</v>
          </cell>
          <cell r="G11">
            <v>12</v>
          </cell>
          <cell r="H11">
            <v>2014</v>
          </cell>
          <cell r="I11" t="str">
            <v>Hà Nội, ngày 13 tháng 12 năm 2014</v>
          </cell>
          <cell r="J11" t="str">
            <v>13h30 ngày 13 tháng 12 năm 2014</v>
          </cell>
          <cell r="K11" t="str">
            <v>14h30 ngày 13 tháng 12 năm 2014</v>
          </cell>
          <cell r="L11" t="str">
            <v>14h30</v>
          </cell>
          <cell r="M11" t="str">
            <v>15h30</v>
          </cell>
          <cell r="N11">
            <v>13</v>
          </cell>
          <cell r="O11">
            <v>12</v>
          </cell>
          <cell r="P11">
            <v>2014</v>
          </cell>
          <cell r="Q11" t="str">
            <v>Hà Nội, ngày 13 tháng 12 năm 2014</v>
          </cell>
          <cell r="R11" t="str">
            <v>14h30 ngày 13 tháng 12 năm 2014</v>
          </cell>
          <cell r="S11" t="str">
            <v>15h30 ngày 13 tháng 12 năm 2014</v>
          </cell>
          <cell r="T11" t="str">
            <v>14h30</v>
          </cell>
          <cell r="U11" t="str">
            <v>14h30 Ngày 13/12/2014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v>4000</v>
          </cell>
          <cell r="AO11" t="str">
            <v>220x105x65mm</v>
          </cell>
          <cell r="AQ11" t="str">
            <v>Ngày 13 Tháng 12 Năm 2014</v>
          </cell>
        </row>
        <row r="12">
          <cell r="A12" t="str">
            <v>G-03</v>
          </cell>
          <cell r="B12" t="str">
            <v>-Gạch bê tông nhẹ chưng áp kèm theo biên bản giao nhận hàng hóa ngày 11/2/2015</v>
          </cell>
          <cell r="C12" t="str">
            <v>G-03</v>
          </cell>
          <cell r="D12" t="str">
            <v>7h00</v>
          </cell>
          <cell r="E12" t="str">
            <v>7h30</v>
          </cell>
          <cell r="F12">
            <v>3</v>
          </cell>
          <cell r="G12">
            <v>3</v>
          </cell>
          <cell r="H12">
            <v>2015</v>
          </cell>
          <cell r="I12" t="str">
            <v>Hà Nội, ngày 3 tháng 3 năm 2015</v>
          </cell>
          <cell r="J12" t="str">
            <v>7h00 ngày 3 tháng 3 năm 2015</v>
          </cell>
          <cell r="K12" t="str">
            <v>7h30 ngày 3 tháng 3 năm 2015</v>
          </cell>
          <cell r="L12" t="str">
            <v>7h30</v>
          </cell>
          <cell r="M12" t="str">
            <v>8h00</v>
          </cell>
          <cell r="N12">
            <v>3</v>
          </cell>
          <cell r="O12">
            <v>3</v>
          </cell>
          <cell r="P12">
            <v>2015</v>
          </cell>
          <cell r="Q12" t="str">
            <v>Hà Nội, ngày 3 tháng 3 năm 2015</v>
          </cell>
          <cell r="R12" t="str">
            <v>7h30 ngày 3 tháng 3 năm 2015</v>
          </cell>
          <cell r="S12" t="str">
            <v>8h00 ngày 3 tháng 3 năm 2015</v>
          </cell>
          <cell r="T12" t="str">
            <v>7h30</v>
          </cell>
          <cell r="U12" t="str">
            <v>7h30 Ngày 3/3/2015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3 Tháng 3 Năm 2015</v>
          </cell>
        </row>
        <row r="13">
          <cell r="A13" t="str">
            <v>G-04</v>
          </cell>
          <cell r="B13" t="str">
            <v>-Gạch đặc kích thước 220x105x65 kèm theo biên bản giao nhận hàng hóa 6/3/2015,
 khối lượng 100.000 viên</v>
          </cell>
          <cell r="C13" t="str">
            <v>G-04</v>
          </cell>
          <cell r="D13" t="str">
            <v>9h00</v>
          </cell>
          <cell r="E13" t="str">
            <v>9h45</v>
          </cell>
          <cell r="F13">
            <v>11</v>
          </cell>
          <cell r="G13">
            <v>3</v>
          </cell>
          <cell r="H13">
            <v>2015</v>
          </cell>
          <cell r="I13" t="str">
            <v>Hà Nội, ngày 11 tháng 3 năm 2015</v>
          </cell>
          <cell r="J13" t="str">
            <v>9h00 ngày 11 tháng 3 năm 2015</v>
          </cell>
          <cell r="K13" t="str">
            <v>9h45 ngày 11 tháng 3 năm 2015</v>
          </cell>
          <cell r="L13" t="str">
            <v>9h45</v>
          </cell>
          <cell r="M13" t="str">
            <v>10h30</v>
          </cell>
          <cell r="N13">
            <v>11</v>
          </cell>
          <cell r="O13">
            <v>3</v>
          </cell>
          <cell r="P13">
            <v>2015</v>
          </cell>
          <cell r="Q13" t="str">
            <v>Hà Nội, ngày 11 tháng 3 năm 2015</v>
          </cell>
          <cell r="R13" t="str">
            <v>9h45 ngày 11 tháng 3 năm 2015</v>
          </cell>
          <cell r="S13" t="str">
            <v>10h30 ngày 11 tháng 3 năm 2015</v>
          </cell>
          <cell r="T13" t="str">
            <v>9h45</v>
          </cell>
          <cell r="U13" t="str">
            <v>9h45 Ngày 11/3/2015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11 Tháng 3 Năm 2015</v>
          </cell>
        </row>
        <row r="14">
          <cell r="A14" t="str">
            <v>G-</v>
          </cell>
          <cell r="B14" t="str">
            <v>-Gạch chỉ rỗng 2 lỗ kích thước 220x105x65 kèm theo biên bản giao nhận hàng hóa ngày 21/3/2015, khối lượng 100.000 viên</v>
          </cell>
          <cell r="C14" t="str">
            <v>G-</v>
          </cell>
          <cell r="D14" t="str">
            <v>14h00</v>
          </cell>
          <cell r="E14" t="str">
            <v>14h30</v>
          </cell>
          <cell r="F14">
            <v>26</v>
          </cell>
          <cell r="G14">
            <v>3</v>
          </cell>
          <cell r="H14">
            <v>2015</v>
          </cell>
          <cell r="I14" t="str">
            <v>Hà Nội, ngày 26 tháng 3 năm 2015</v>
          </cell>
          <cell r="J14" t="str">
            <v>14h00 ngày 26 tháng 3 năm 2015</v>
          </cell>
          <cell r="K14" t="str">
            <v>14h30 ngày 26 tháng 3 năm 2015</v>
          </cell>
          <cell r="L14" t="str">
            <v>14h30</v>
          </cell>
          <cell r="M14" t="str">
            <v>15h00</v>
          </cell>
          <cell r="N14">
            <v>26</v>
          </cell>
          <cell r="O14">
            <v>3</v>
          </cell>
          <cell r="P14">
            <v>2015</v>
          </cell>
          <cell r="Q14" t="str">
            <v>Hà Nội, ngày 26 tháng 3 năm 2015</v>
          </cell>
          <cell r="R14" t="str">
            <v>14h30 ngày 26 tháng 3 năm 2015</v>
          </cell>
          <cell r="S14" t="str">
            <v>15h00 ngày 26 tháng 3 năm 2015</v>
          </cell>
          <cell r="T14" t="str">
            <v>14h30</v>
          </cell>
          <cell r="U14" t="str">
            <v>14h30 Ngày 26/3/2015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26 Tháng 3 Năm 2015</v>
          </cell>
        </row>
        <row r="15">
          <cell r="A15" t="str">
            <v>G-06</v>
          </cell>
          <cell r="B15" t="str">
            <v>-Gạch đặc kích thước 220x105x65 kèm theo biên bản giao nhận hàng hóa 21/4/2015,
 khối lượng 100.000 viên</v>
          </cell>
          <cell r="C15" t="str">
            <v>G-06</v>
          </cell>
          <cell r="D15" t="str">
            <v>9h00</v>
          </cell>
          <cell r="E15" t="str">
            <v>9h30</v>
          </cell>
          <cell r="F15">
            <v>25</v>
          </cell>
          <cell r="G15">
            <v>4</v>
          </cell>
          <cell r="H15">
            <v>2015</v>
          </cell>
          <cell r="I15" t="str">
            <v>Hà Nội, ngày 25 tháng 4 năm 2015</v>
          </cell>
          <cell r="J15" t="str">
            <v>9h00 ngày 25 tháng 4 năm 2015</v>
          </cell>
          <cell r="K15" t="str">
            <v>9h30 ngày 25 tháng 4 năm 2015</v>
          </cell>
          <cell r="L15" t="str">
            <v>9h30</v>
          </cell>
          <cell r="M15" t="str">
            <v>10h00</v>
          </cell>
          <cell r="N15">
            <v>25</v>
          </cell>
          <cell r="O15">
            <v>4</v>
          </cell>
          <cell r="P15">
            <v>2015</v>
          </cell>
          <cell r="Q15" t="str">
            <v>Hà Nội, ngày 25 tháng 4 năm 2015</v>
          </cell>
          <cell r="R15" t="str">
            <v>9h30 ngày 25 tháng 4 năm 2015</v>
          </cell>
          <cell r="S15" t="str">
            <v>10h00 ngày 25 tháng 4 năm 2015</v>
          </cell>
          <cell r="T15" t="str">
            <v>9h30</v>
          </cell>
          <cell r="U15" t="str">
            <v>9h30 Ngày 25/4/2015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25 Tháng 4 Năm 2015</v>
          </cell>
        </row>
        <row r="16">
          <cell r="A16" t="str">
            <v>G-07</v>
          </cell>
          <cell r="B16" t="str">
            <v>-Gạch chỉ rỗng 2 lỗ kích thước 220x105x65 kèm theo biên bản giao nhận hàng hóa ngày 21/4/2015, khối lượng 100.000 viên</v>
          </cell>
          <cell r="C16" t="str">
            <v>G-07</v>
          </cell>
          <cell r="D16" t="str">
            <v>14h00</v>
          </cell>
          <cell r="E16" t="str">
            <v>14h30</v>
          </cell>
          <cell r="F16">
            <v>26</v>
          </cell>
          <cell r="G16">
            <v>4</v>
          </cell>
          <cell r="H16">
            <v>2015</v>
          </cell>
          <cell r="I16" t="str">
            <v>Hà Nội, ngày 26 tháng 4 năm 2015</v>
          </cell>
          <cell r="J16" t="str">
            <v>14h00 ngày 26 tháng 4 năm 2015</v>
          </cell>
          <cell r="K16" t="str">
            <v>14h30 ngày 26 tháng 4 năm 2015</v>
          </cell>
          <cell r="L16" t="str">
            <v>14h30</v>
          </cell>
          <cell r="M16" t="str">
            <v>15h00</v>
          </cell>
          <cell r="N16">
            <v>26</v>
          </cell>
          <cell r="O16">
            <v>4</v>
          </cell>
          <cell r="P16">
            <v>2015</v>
          </cell>
          <cell r="Q16" t="str">
            <v>Hà Nội, ngày 26 tháng 4 năm 2015</v>
          </cell>
          <cell r="R16" t="str">
            <v>14h30 ngày 26 tháng 4 năm 2015</v>
          </cell>
          <cell r="S16" t="str">
            <v>15h00 ngày 26 tháng 4 năm 2015</v>
          </cell>
          <cell r="T16" t="str">
            <v>14h30</v>
          </cell>
          <cell r="U16" t="str">
            <v>14h30 Ngày 26/4/2015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26 Tháng 4 Năm 2015</v>
          </cell>
        </row>
        <row r="17">
          <cell r="A17" t="str">
            <v>G-08</v>
          </cell>
          <cell r="B17" t="str">
            <v>-Gạch bê tông nhẹ chưng áp kèm theo biên bản giao nhận hàng hóa ngày 17/6/2015</v>
          </cell>
          <cell r="C17" t="str">
            <v>G-08</v>
          </cell>
          <cell r="D17" t="str">
            <v>15h00</v>
          </cell>
          <cell r="E17" t="str">
            <v>15h30</v>
          </cell>
          <cell r="F17">
            <v>24</v>
          </cell>
          <cell r="G17">
            <v>6</v>
          </cell>
          <cell r="H17">
            <v>2015</v>
          </cell>
          <cell r="I17" t="str">
            <v>Hà Nội, ngày 24 tháng 6 năm 2015</v>
          </cell>
          <cell r="J17" t="str">
            <v>15h00 ngày 24 tháng 6 năm 2015</v>
          </cell>
          <cell r="K17" t="str">
            <v>15h30 ngày 24 tháng 6 năm 2015</v>
          </cell>
          <cell r="L17" t="str">
            <v>15h30</v>
          </cell>
          <cell r="M17" t="str">
            <v>16h00</v>
          </cell>
          <cell r="N17">
            <v>24</v>
          </cell>
          <cell r="O17">
            <v>6</v>
          </cell>
          <cell r="P17">
            <v>2015</v>
          </cell>
          <cell r="Q17" t="str">
            <v>Hà Nội, ngày 24 tháng 6 năm 2015</v>
          </cell>
          <cell r="R17" t="str">
            <v>15h30 ngày 24 tháng 6 năm 2015</v>
          </cell>
          <cell r="S17" t="str">
            <v>16h00 ngày 24 tháng 6 năm 2015</v>
          </cell>
          <cell r="T17" t="str">
            <v>15h30</v>
          </cell>
          <cell r="U17" t="str">
            <v>15h30 Ngày 24/6/2015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24 Tháng 6 Năm 2015</v>
          </cell>
        </row>
        <row r="18">
          <cell r="A18" t="str">
            <v>G-09</v>
          </cell>
          <cell r="B18" t="str">
            <v>-Gạch đặc kích thước 220x105x65 kèm theo biên bản giao nhận hàng hóa 15/7/2015,
 khối lượng 100.000 viên</v>
          </cell>
          <cell r="C18" t="str">
            <v>G-09</v>
          </cell>
          <cell r="D18" t="str">
            <v>9h00</v>
          </cell>
          <cell r="E18" t="str">
            <v>9h45</v>
          </cell>
          <cell r="F18">
            <v>21</v>
          </cell>
          <cell r="G18">
            <v>7</v>
          </cell>
          <cell r="H18">
            <v>2015</v>
          </cell>
          <cell r="I18" t="str">
            <v>Hà Nội, ngày 21 tháng 7 năm 2015</v>
          </cell>
          <cell r="J18" t="str">
            <v>9h00 ngày 21 tháng 7 năm 2015</v>
          </cell>
          <cell r="K18" t="str">
            <v>9h45 ngày 21 tháng 7 năm 2015</v>
          </cell>
          <cell r="L18" t="str">
            <v>9h45</v>
          </cell>
          <cell r="M18" t="str">
            <v>10h30</v>
          </cell>
          <cell r="N18">
            <v>21</v>
          </cell>
          <cell r="O18">
            <v>7</v>
          </cell>
          <cell r="P18">
            <v>2015</v>
          </cell>
          <cell r="Q18" t="str">
            <v>Hà Nội, ngày 21 tháng 7 năm 2015</v>
          </cell>
          <cell r="R18" t="str">
            <v>9h45 ngày 21 tháng 7 năm 2015</v>
          </cell>
          <cell r="S18" t="str">
            <v>10h30 ngày 21 tháng 7 năm 2015</v>
          </cell>
          <cell r="T18" t="str">
            <v>9h45</v>
          </cell>
          <cell r="U18" t="str">
            <v>9h45 Ngày 21/7/2015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21 Tháng 7 Năm 2015</v>
          </cell>
        </row>
        <row r="19">
          <cell r="A19" t="str">
            <v>G-10</v>
          </cell>
          <cell r="B19" t="str">
            <v>-Gạch chỉ rỗng 2 lỗ kích thước 220x105x65 kèm theo biên bản giao nhận hàng hóa ngày 15/7/2015, khối lượng 100.000 viên</v>
          </cell>
          <cell r="C19" t="str">
            <v>G-10</v>
          </cell>
          <cell r="D19" t="str">
            <v>15h00</v>
          </cell>
          <cell r="E19" t="str">
            <v>15h30</v>
          </cell>
          <cell r="F19">
            <v>22</v>
          </cell>
          <cell r="G19">
            <v>7</v>
          </cell>
          <cell r="H19">
            <v>2015</v>
          </cell>
          <cell r="I19" t="str">
            <v>Hà Nội, ngày 22 tháng 7 năm 2015</v>
          </cell>
          <cell r="J19" t="str">
            <v>15h00 ngày 22 tháng 7 năm 2015</v>
          </cell>
          <cell r="K19" t="str">
            <v>15h30 ngày 22 tháng 7 năm 2015</v>
          </cell>
          <cell r="L19" t="str">
            <v>15h30</v>
          </cell>
          <cell r="M19" t="str">
            <v>16h00</v>
          </cell>
          <cell r="N19">
            <v>22</v>
          </cell>
          <cell r="O19">
            <v>7</v>
          </cell>
          <cell r="P19">
            <v>2015</v>
          </cell>
          <cell r="Q19" t="str">
            <v>Hà Nội, ngày 22 tháng 7 năm 2015</v>
          </cell>
          <cell r="R19" t="str">
            <v>15h30 ngày 22 tháng 7 năm 2015</v>
          </cell>
          <cell r="S19" t="str">
            <v>16h00 ngày 22 tháng 7 năm 2015</v>
          </cell>
          <cell r="T19" t="str">
            <v>15h30</v>
          </cell>
          <cell r="U19" t="str">
            <v>15h30 Ngày 22/7/2015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22 Tháng 7 Năm 2015</v>
          </cell>
        </row>
        <row r="20">
          <cell r="A20" t="str">
            <v>G-11</v>
          </cell>
          <cell r="B20" t="str">
            <v>-Gạch bê tông nhẹ chưng áp kèm theo biên bản giao nhận hàng hóa ngày 16/7/2015</v>
          </cell>
          <cell r="C20" t="str">
            <v>G-11</v>
          </cell>
          <cell r="D20" t="str">
            <v>9h00</v>
          </cell>
          <cell r="E20" t="str">
            <v>9h30</v>
          </cell>
          <cell r="F20">
            <v>25</v>
          </cell>
          <cell r="G20">
            <v>7</v>
          </cell>
          <cell r="H20">
            <v>2015</v>
          </cell>
          <cell r="I20" t="str">
            <v>Hà Nội, ngày 25 tháng 7 năm 2015</v>
          </cell>
          <cell r="J20" t="str">
            <v>9h00 ngày 25 tháng 7 năm 2015</v>
          </cell>
          <cell r="K20" t="str">
            <v>9h30 ngày 25 tháng 7 năm 2015</v>
          </cell>
          <cell r="L20" t="str">
            <v>9h30</v>
          </cell>
          <cell r="M20" t="str">
            <v>10h00</v>
          </cell>
          <cell r="N20">
            <v>25</v>
          </cell>
          <cell r="O20">
            <v>7</v>
          </cell>
          <cell r="P20">
            <v>2015</v>
          </cell>
          <cell r="Q20" t="str">
            <v>Hà Nội, ngày 25 tháng 7 năm 2015</v>
          </cell>
          <cell r="R20" t="str">
            <v>9h30 ngày 25 tháng 7 năm 2015</v>
          </cell>
          <cell r="S20" t="str">
            <v>10h00 ngày 25 tháng 7 năm 2015</v>
          </cell>
          <cell r="T20" t="str">
            <v>9h30</v>
          </cell>
          <cell r="U20" t="str">
            <v>9h30 Ngày 25/7/2015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25 Tháng 7 Năm 2015</v>
          </cell>
        </row>
        <row r="21">
          <cell r="A21" t="str">
            <v>G-12</v>
          </cell>
          <cell r="B21" t="str">
            <v>-Gạch chỉ rỗng 2 lỗ kích thước 220x105x65 kèm theo biên bản giao nhận hàng hóa ngày 5/8/2015, khối lượng 130.000 viên</v>
          </cell>
          <cell r="C21" t="str">
            <v>G-12</v>
          </cell>
          <cell r="D21" t="str">
            <v>15h00</v>
          </cell>
          <cell r="E21" t="str">
            <v>15h30</v>
          </cell>
          <cell r="F21">
            <v>11</v>
          </cell>
          <cell r="G21">
            <v>8</v>
          </cell>
          <cell r="H21">
            <v>2015</v>
          </cell>
          <cell r="I21" t="str">
            <v>Hà Nội, ngày 11 tháng 8 năm 2015</v>
          </cell>
          <cell r="J21" t="str">
            <v>15h00 ngày 11 tháng 8 năm 2015</v>
          </cell>
          <cell r="K21" t="str">
            <v>15h30 ngày 11 tháng 8 năm 2015</v>
          </cell>
          <cell r="L21" t="str">
            <v>15h30</v>
          </cell>
          <cell r="M21" t="str">
            <v>16h00</v>
          </cell>
          <cell r="N21">
            <v>11</v>
          </cell>
          <cell r="O21">
            <v>8</v>
          </cell>
          <cell r="P21">
            <v>2015</v>
          </cell>
          <cell r="Q21" t="str">
            <v>Hà Nội, ngày 11 tháng 8 năm 2015</v>
          </cell>
          <cell r="R21" t="str">
            <v>15h30 ngày 11 tháng 8 năm 2015</v>
          </cell>
          <cell r="S21" t="str">
            <v>16h00 ngày 11 tháng 8 năm 2015</v>
          </cell>
          <cell r="T21" t="str">
            <v>15h30</v>
          </cell>
          <cell r="U21" t="str">
            <v>15h30 Ngày 11/8/2015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11 Tháng 8 Năm 2015</v>
          </cell>
        </row>
        <row r="22">
          <cell r="A22" t="str">
            <v>G-13</v>
          </cell>
          <cell r="B22" t="str">
            <v>-Gạch bê tông nhẹ chưng áp kèm theo biên bản giao nhận hàng hóa ngày 5/8/2015</v>
          </cell>
          <cell r="C22" t="str">
            <v>G-13</v>
          </cell>
          <cell r="D22" t="str">
            <v>16h00</v>
          </cell>
          <cell r="E22" t="str">
            <v>16h30</v>
          </cell>
          <cell r="F22">
            <v>11</v>
          </cell>
          <cell r="G22">
            <v>8</v>
          </cell>
          <cell r="H22">
            <v>2015</v>
          </cell>
          <cell r="I22" t="str">
            <v>Hà Nội, ngày 11 tháng 8 năm 2015</v>
          </cell>
          <cell r="J22" t="str">
            <v>16h00 ngày 11 tháng 8 năm 2015</v>
          </cell>
          <cell r="K22" t="str">
            <v>16h30 ngày 11 tháng 8 năm 2015</v>
          </cell>
          <cell r="L22" t="str">
            <v>16h30</v>
          </cell>
          <cell r="M22" t="str">
            <v>17h00</v>
          </cell>
          <cell r="N22">
            <v>11</v>
          </cell>
          <cell r="O22">
            <v>8</v>
          </cell>
          <cell r="P22">
            <v>2015</v>
          </cell>
          <cell r="Q22" t="str">
            <v>Hà Nội, ngày 11 tháng 8 năm 2015</v>
          </cell>
          <cell r="R22" t="str">
            <v>16h30 ngày 11 tháng 8 năm 2015</v>
          </cell>
          <cell r="S22" t="str">
            <v>17h00 ngày 11 tháng 8 năm 2015</v>
          </cell>
          <cell r="T22" t="str">
            <v>16h30</v>
          </cell>
          <cell r="U22" t="str">
            <v>16h30 Ngày 11/8/2015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11 Tháng 8 Năm 2015</v>
          </cell>
        </row>
        <row r="23">
          <cell r="A23" t="str">
            <v>G-14</v>
          </cell>
          <cell r="B23" t="str">
            <v>-Gạch đặc kích thước 220x105x65 kèm theo biên bản giao nhận hàng hóa 25/8/2015,
 khối lượng 118.500 viên</v>
          </cell>
          <cell r="C23" t="str">
            <v>G-14</v>
          </cell>
          <cell r="D23" t="str">
            <v>9h00</v>
          </cell>
          <cell r="E23" t="str">
            <v>9h30</v>
          </cell>
          <cell r="F23">
            <v>29</v>
          </cell>
          <cell r="G23">
            <v>8</v>
          </cell>
          <cell r="H23">
            <v>2015</v>
          </cell>
          <cell r="I23" t="str">
            <v>Hà Nội, ngày 29 tháng 8 năm 2015</v>
          </cell>
          <cell r="J23" t="str">
            <v>9h00 ngày 29 tháng 8 năm 2015</v>
          </cell>
          <cell r="K23" t="str">
            <v>9h30 ngày 29 tháng 8 năm 2015</v>
          </cell>
          <cell r="L23" t="str">
            <v>9h30</v>
          </cell>
          <cell r="M23" t="str">
            <v>10h00</v>
          </cell>
          <cell r="N23">
            <v>29</v>
          </cell>
          <cell r="O23">
            <v>8</v>
          </cell>
          <cell r="P23">
            <v>2015</v>
          </cell>
          <cell r="Q23" t="str">
            <v>Hà Nội, ngày 29 tháng 8 năm 2015</v>
          </cell>
          <cell r="R23" t="str">
            <v>9h30 ngày 29 tháng 8 năm 2015</v>
          </cell>
          <cell r="S23" t="str">
            <v>10h00 ngày 29 tháng 8 năm 2015</v>
          </cell>
          <cell r="T23" t="str">
            <v>9h30</v>
          </cell>
          <cell r="U23" t="str">
            <v>9h30 Ngày 29/8/2015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29 Tháng 8 Năm 2015</v>
          </cell>
        </row>
        <row r="24">
          <cell r="A24" t="str">
            <v>G-15</v>
          </cell>
          <cell r="B24" t="str">
            <v>-Gạch bê tông nhẹ chưng áp kèm theo biên bản giao nhận hàng hóa ngày 25/8/2015</v>
          </cell>
          <cell r="C24" t="str">
            <v>G-15</v>
          </cell>
          <cell r="D24" t="str">
            <v>9h00</v>
          </cell>
          <cell r="E24" t="str">
            <v>10h00</v>
          </cell>
          <cell r="F24">
            <v>30</v>
          </cell>
          <cell r="G24">
            <v>8</v>
          </cell>
          <cell r="H24">
            <v>2015</v>
          </cell>
          <cell r="I24" t="str">
            <v>Hà Nội, ngày 30 tháng 8 năm 2015</v>
          </cell>
          <cell r="J24" t="str">
            <v>9h00 ngày 30 tháng 8 năm 2015</v>
          </cell>
          <cell r="K24" t="str">
            <v>10h00 ngày 30 tháng 8 năm 2015</v>
          </cell>
          <cell r="L24" t="str">
            <v>10h00</v>
          </cell>
          <cell r="M24" t="str">
            <v>11h00</v>
          </cell>
          <cell r="N24">
            <v>30</v>
          </cell>
          <cell r="O24">
            <v>8</v>
          </cell>
          <cell r="P24">
            <v>2015</v>
          </cell>
          <cell r="Q24" t="str">
            <v>Hà Nội, ngày 30 tháng 8 năm 2015</v>
          </cell>
          <cell r="R24" t="str">
            <v>10h00 ngày 30 tháng 8 năm 2015</v>
          </cell>
          <cell r="S24" t="str">
            <v>11h00 ngày 30 tháng 8 năm 2015</v>
          </cell>
          <cell r="T24" t="str">
            <v>10h00</v>
          </cell>
          <cell r="U24" t="str">
            <v>10h00 Ngày 30/8/2015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30 Tháng 8 Năm 2015</v>
          </cell>
        </row>
        <row r="25">
          <cell r="A25" t="str">
            <v>G-16</v>
          </cell>
          <cell r="B25" t="str">
            <v>Gạch ốp Ceramic (450x300)mm mã B4503 ; Gạch lát Ceramic (300x300)mm chống chơn mã FN3625; Gạch lát Ceramic (400x400)mm mã 2407; Gạch lát Ceramic (600x600)mm mã 9663 kèm theo biên bản giao nhận ngày 7/9/2015 và 8/9/2015</v>
          </cell>
          <cell r="C25" t="str">
            <v>G-16</v>
          </cell>
          <cell r="D25" t="str">
            <v>7h30</v>
          </cell>
          <cell r="E25" t="str">
            <v>8h30</v>
          </cell>
          <cell r="F25">
            <v>14</v>
          </cell>
          <cell r="G25">
            <v>9</v>
          </cell>
          <cell r="H25">
            <v>2015</v>
          </cell>
          <cell r="I25" t="str">
            <v>Hà Nội, ngày 14 tháng 9 năm 2015</v>
          </cell>
          <cell r="J25" t="str">
            <v>7h30 ngày 14 tháng 9 năm 2015</v>
          </cell>
          <cell r="K25" t="str">
            <v>8h30 ngày 14 tháng 9 năm 2015</v>
          </cell>
          <cell r="L25" t="str">
            <v>8h30</v>
          </cell>
          <cell r="M25" t="str">
            <v>9h30</v>
          </cell>
          <cell r="N25">
            <v>14</v>
          </cell>
          <cell r="O25">
            <v>9</v>
          </cell>
          <cell r="P25">
            <v>2015</v>
          </cell>
          <cell r="Q25" t="str">
            <v>Hà Nội, ngày 14 tháng 9 năm 2015</v>
          </cell>
          <cell r="R25" t="str">
            <v>8h30 ngày 14 tháng 9 năm 2015</v>
          </cell>
          <cell r="S25" t="str">
            <v>9h30 ngày 14 tháng 9 năm 2015</v>
          </cell>
          <cell r="T25" t="str">
            <v>8h30</v>
          </cell>
          <cell r="U25" t="str">
            <v>8h30 Ngày 14/9/2015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14 Tháng 9 Năm 2015</v>
          </cell>
        </row>
        <row r="26">
          <cell r="A26" t="str">
            <v>G-17</v>
          </cell>
          <cell r="B26" t="str">
            <v>Vật liệu Gạch 6 lỗ chống nóng, gạch nung nem 300x300  kèm biên bản tổng hợp giao nhận hàng ngày 23/09/2015 và ngày 30/09/2015</v>
          </cell>
          <cell r="C26" t="str">
            <v>G-17</v>
          </cell>
          <cell r="D26" t="str">
            <v>8h00</v>
          </cell>
          <cell r="E26" t="str">
            <v>9h00</v>
          </cell>
          <cell r="F26">
            <v>4</v>
          </cell>
          <cell r="G26">
            <v>10</v>
          </cell>
          <cell r="H26">
            <v>2015</v>
          </cell>
          <cell r="I26" t="str">
            <v>Hà Nội, ngày 4 tháng 10 năm 2015</v>
          </cell>
          <cell r="J26" t="str">
            <v>8h00 ngày 4 tháng 10 năm 2015</v>
          </cell>
          <cell r="K26" t="str">
            <v>9h00 ngày 4 tháng 10 năm 2015</v>
          </cell>
          <cell r="L26" t="str">
            <v>9h15</v>
          </cell>
          <cell r="M26" t="str">
            <v>10h15</v>
          </cell>
          <cell r="N26">
            <v>4</v>
          </cell>
          <cell r="O26">
            <v>10</v>
          </cell>
          <cell r="P26">
            <v>2015</v>
          </cell>
          <cell r="Q26" t="str">
            <v>Hà Nội, ngày 4 tháng 10 năm 2015</v>
          </cell>
          <cell r="R26" t="str">
            <v>9h15 ngày 4 tháng 10 năm 2015</v>
          </cell>
          <cell r="S26" t="str">
            <v>10h15 ngày 4 tháng 10 năm 2015</v>
          </cell>
          <cell r="T26" t="str">
            <v>9h15</v>
          </cell>
          <cell r="U26" t="str">
            <v>9h15 Ngày 4/10/2015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4 Tháng 10 Năm 2015</v>
          </cell>
        </row>
        <row r="27">
          <cell r="A27" t="str">
            <v>G-18</v>
          </cell>
          <cell r="B27" t="str">
            <v>Vật liệu  gạch lát ceramic kích thước (400x400)mm, mã 2407; gạch lát (600x600)mm, mã 9663;  gạch lát (600x600)mm, mã 9625;  gạch ốp (200x250)mm, mã 2067 kèm theo biên bản giao nhận hàng hóa ngày 10/10/2015</v>
          </cell>
          <cell r="C27" t="str">
            <v>G-18</v>
          </cell>
          <cell r="D27" t="str">
            <v>8h15</v>
          </cell>
          <cell r="E27" t="str">
            <v>9h15</v>
          </cell>
          <cell r="F27">
            <v>10</v>
          </cell>
          <cell r="G27">
            <v>10</v>
          </cell>
          <cell r="H27">
            <v>2015</v>
          </cell>
          <cell r="I27" t="str">
            <v>Hà Nội, ngày 10 tháng 10 năm 2015</v>
          </cell>
          <cell r="J27" t="str">
            <v>8h15 ngày 10 tháng 10 năm 2015</v>
          </cell>
          <cell r="K27" t="str">
            <v>9h15 ngày 10 tháng 10 năm 2015</v>
          </cell>
          <cell r="L27" t="str">
            <v>10h00</v>
          </cell>
          <cell r="M27" t="str">
            <v>11h00</v>
          </cell>
          <cell r="N27">
            <v>10</v>
          </cell>
          <cell r="O27">
            <v>10</v>
          </cell>
          <cell r="P27">
            <v>2015</v>
          </cell>
          <cell r="Q27" t="str">
            <v>Hà Nội, ngày 10 tháng 10 năm 2015</v>
          </cell>
          <cell r="R27" t="str">
            <v>10h00 ngày 10 tháng 10 năm 2015</v>
          </cell>
          <cell r="S27" t="str">
            <v>11h00 ngày 10 tháng 10 năm 2015</v>
          </cell>
          <cell r="T27" t="str">
            <v>10h00</v>
          </cell>
          <cell r="U27" t="str">
            <v>10h00 Ngày 10/10/2015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10 Tháng 10 Năm 2015</v>
          </cell>
        </row>
        <row r="28">
          <cell r="A28" t="str">
            <v>G-19</v>
          </cell>
          <cell r="C28" t="str">
            <v>G-19</v>
          </cell>
          <cell r="D28" t="str">
            <v>….h….</v>
          </cell>
          <cell r="E28" t="str">
            <v>….h….</v>
          </cell>
          <cell r="F28" t="str">
            <v>….</v>
          </cell>
          <cell r="G28" t="str">
            <v>….</v>
          </cell>
          <cell r="H28">
            <v>2015</v>
          </cell>
          <cell r="I28" t="str">
            <v>Hà Nội, ngày …. tháng …. năm 2015</v>
          </cell>
          <cell r="J28" t="str">
            <v>….h…. ngày …. tháng …. năm 2015</v>
          </cell>
          <cell r="K28" t="str">
            <v>….h…. ngày …. tháng …. năm 2015</v>
          </cell>
          <cell r="L28" t="str">
            <v>….h….</v>
          </cell>
          <cell r="M28" t="str">
            <v>….h….</v>
          </cell>
          <cell r="N28" t="str">
            <v>….</v>
          </cell>
          <cell r="O28" t="str">
            <v>….</v>
          </cell>
          <cell r="P28">
            <v>2015</v>
          </cell>
          <cell r="Q28" t="str">
            <v>Hà Nội, ngày …. tháng …. năm 2015</v>
          </cell>
          <cell r="R28" t="str">
            <v>….h…. ngày …. tháng …. năm 2015</v>
          </cell>
          <cell r="S28" t="str">
            <v>….h…. ngày …. tháng …. năm 2015</v>
          </cell>
          <cell r="T28" t="str">
            <v>….h….</v>
          </cell>
          <cell r="U28" t="str">
            <v>….h…. Ngày …./…./2015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2015</v>
          </cell>
        </row>
        <row r="29">
          <cell r="A29" t="str">
            <v>G-20</v>
          </cell>
          <cell r="C29" t="str">
            <v>G-20</v>
          </cell>
          <cell r="D29" t="str">
            <v>….h….</v>
          </cell>
          <cell r="E29" t="str">
            <v>….h….</v>
          </cell>
          <cell r="F29" t="str">
            <v>….</v>
          </cell>
          <cell r="G29" t="str">
            <v>….</v>
          </cell>
          <cell r="H29">
            <v>2015</v>
          </cell>
          <cell r="I29" t="str">
            <v>Hà Nội, ngày …. tháng …. năm 2015</v>
          </cell>
          <cell r="J29" t="str">
            <v>….h…. ngày …. tháng …. năm 2015</v>
          </cell>
          <cell r="K29" t="str">
            <v>….h…. ngày …. tháng …. năm 2015</v>
          </cell>
          <cell r="L29" t="str">
            <v>….h….</v>
          </cell>
          <cell r="M29" t="str">
            <v>….h….</v>
          </cell>
          <cell r="N29" t="str">
            <v>….</v>
          </cell>
          <cell r="O29" t="str">
            <v>….</v>
          </cell>
          <cell r="P29">
            <v>2015</v>
          </cell>
          <cell r="Q29" t="str">
            <v>Hà Nội, ngày …. tháng …. năm 2015</v>
          </cell>
          <cell r="R29" t="str">
            <v>….h…. ngày …. tháng …. năm 2015</v>
          </cell>
          <cell r="S29" t="str">
            <v>….h…. ngày …. tháng …. năm 2015</v>
          </cell>
          <cell r="T29" t="str">
            <v>….h….</v>
          </cell>
          <cell r="U29" t="str">
            <v>….h…. Ngày …./…./2015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2015</v>
          </cell>
        </row>
        <row r="30">
          <cell r="A30" t="str">
            <v>G-21</v>
          </cell>
          <cell r="C30" t="str">
            <v>G-21</v>
          </cell>
          <cell r="D30" t="str">
            <v>….h….</v>
          </cell>
          <cell r="E30" t="str">
            <v>….h….</v>
          </cell>
          <cell r="F30" t="str">
            <v>….</v>
          </cell>
          <cell r="G30" t="str">
            <v>….</v>
          </cell>
          <cell r="H30">
            <v>2015</v>
          </cell>
          <cell r="I30" t="str">
            <v>Hà Nội, ngày …. tháng …. năm 2015</v>
          </cell>
          <cell r="J30" t="str">
            <v>….h…. ngày …. tháng …. năm 2015</v>
          </cell>
          <cell r="K30" t="str">
            <v>….h…. ngày …. tháng …. năm 2015</v>
          </cell>
          <cell r="L30" t="str">
            <v>….h….</v>
          </cell>
          <cell r="M30" t="str">
            <v>….h….</v>
          </cell>
          <cell r="N30" t="str">
            <v>….</v>
          </cell>
          <cell r="O30" t="str">
            <v>….</v>
          </cell>
          <cell r="P30">
            <v>2015</v>
          </cell>
          <cell r="Q30" t="str">
            <v>Hà Nội, ngày …. tháng …. năm 2015</v>
          </cell>
          <cell r="R30" t="str">
            <v>….h…. ngày …. tháng …. năm 2015</v>
          </cell>
          <cell r="S30" t="str">
            <v>….h…. ngày …. tháng …. năm 2015</v>
          </cell>
          <cell r="T30" t="str">
            <v>….h….</v>
          </cell>
          <cell r="U30" t="str">
            <v>….h…. Ngày …./…./2015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2015</v>
          </cell>
        </row>
        <row r="31">
          <cell r="C31" t="str">
            <v>G-22</v>
          </cell>
          <cell r="D31" t="str">
            <v>….h….</v>
          </cell>
          <cell r="E31" t="str">
            <v>….h….</v>
          </cell>
          <cell r="F31" t="str">
            <v>….</v>
          </cell>
          <cell r="G31" t="str">
            <v>….</v>
          </cell>
          <cell r="H31">
            <v>2015</v>
          </cell>
          <cell r="I31" t="str">
            <v>Hà Nội, ngày …. tháng …. năm 2015</v>
          </cell>
          <cell r="J31" t="str">
            <v>….h…. ngày …. tháng …. năm 2015</v>
          </cell>
          <cell r="K31" t="str">
            <v>….h…. ngày …. tháng …. năm 2015</v>
          </cell>
          <cell r="L31" t="str">
            <v>….h….</v>
          </cell>
          <cell r="M31" t="str">
            <v>….h….</v>
          </cell>
          <cell r="N31" t="str">
            <v>….</v>
          </cell>
          <cell r="O31" t="str">
            <v>….</v>
          </cell>
          <cell r="P31">
            <v>2015</v>
          </cell>
          <cell r="Q31" t="str">
            <v>Hà Nội, ngày …. tháng …. năm 2015</v>
          </cell>
          <cell r="R31" t="str">
            <v>….h…. ngày …. tháng …. năm 2015</v>
          </cell>
          <cell r="S31" t="str">
            <v>….h…. ngày …. tháng …. năm 2015</v>
          </cell>
          <cell r="T31" t="str">
            <v>….h….</v>
          </cell>
          <cell r="U31" t="str">
            <v>….h…. Ngày …./…./2015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2015</v>
          </cell>
        </row>
        <row r="32">
          <cell r="C32" t="str">
            <v>G-23</v>
          </cell>
          <cell r="D32" t="str">
            <v>….h….</v>
          </cell>
          <cell r="E32" t="str">
            <v>….h….</v>
          </cell>
          <cell r="F32" t="str">
            <v>….</v>
          </cell>
          <cell r="G32" t="str">
            <v>….</v>
          </cell>
          <cell r="H32">
            <v>2015</v>
          </cell>
          <cell r="I32" t="str">
            <v>Hà Nội, ngày …. tháng …. năm 2015</v>
          </cell>
          <cell r="J32" t="str">
            <v>….h…. ngày …. tháng …. năm 2015</v>
          </cell>
          <cell r="K32" t="str">
            <v>….h…. ngày …. tháng …. năm 2015</v>
          </cell>
          <cell r="L32" t="str">
            <v>….h….</v>
          </cell>
          <cell r="M32" t="str">
            <v>….h….</v>
          </cell>
          <cell r="N32" t="str">
            <v>….</v>
          </cell>
          <cell r="O32" t="str">
            <v>….</v>
          </cell>
          <cell r="P32">
            <v>2015</v>
          </cell>
          <cell r="Q32" t="str">
            <v>Hà Nội, ngày …. tháng …. năm 2015</v>
          </cell>
          <cell r="R32" t="str">
            <v>….h…. ngày …. tháng …. năm 2015</v>
          </cell>
          <cell r="S32" t="str">
            <v>….h…. ngày …. tháng …. năm 2015</v>
          </cell>
          <cell r="T32" t="str">
            <v>….h….</v>
          </cell>
          <cell r="U32" t="str">
            <v>….h…. Ngày …./…./2015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2015</v>
          </cell>
        </row>
        <row r="33">
          <cell r="A33" t="str">
            <v>G-24</v>
          </cell>
          <cell r="C33" t="str">
            <v>G-24</v>
          </cell>
          <cell r="D33" t="str">
            <v>….h….</v>
          </cell>
          <cell r="E33" t="str">
            <v>….h….</v>
          </cell>
          <cell r="F33" t="str">
            <v>….</v>
          </cell>
          <cell r="G33" t="str">
            <v>….</v>
          </cell>
          <cell r="H33">
            <v>2015</v>
          </cell>
          <cell r="I33" t="str">
            <v>Hà Nội, ngày …. tháng …. năm 2015</v>
          </cell>
          <cell r="J33" t="str">
            <v>….h…. ngày …. tháng …. năm 2015</v>
          </cell>
          <cell r="K33" t="str">
            <v>….h…. ngày …. tháng …. năm 2015</v>
          </cell>
          <cell r="L33" t="str">
            <v>….h….</v>
          </cell>
          <cell r="M33" t="str">
            <v>….h….</v>
          </cell>
          <cell r="N33" t="str">
            <v>….</v>
          </cell>
          <cell r="O33" t="str">
            <v>….</v>
          </cell>
          <cell r="P33">
            <v>2015</v>
          </cell>
          <cell r="Q33" t="str">
            <v>Hà Nội, ngày …. tháng …. năm 2015</v>
          </cell>
          <cell r="R33" t="str">
            <v>….h…. ngày …. tháng …. năm 2015</v>
          </cell>
          <cell r="S33" t="str">
            <v>….h…. ngày …. tháng …. năm 2015</v>
          </cell>
          <cell r="T33" t="str">
            <v>….h….</v>
          </cell>
          <cell r="U33" t="str">
            <v>….h…. Ngày …./…./2015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 Tháng …. Năm 2015</v>
          </cell>
        </row>
        <row r="37">
          <cell r="A37">
            <v>1</v>
          </cell>
          <cell r="B37">
            <v>2</v>
          </cell>
          <cell r="C37">
            <v>3</v>
          </cell>
          <cell r="D37">
            <v>4</v>
          </cell>
          <cell r="E37">
            <v>5</v>
          </cell>
          <cell r="F37">
            <v>6</v>
          </cell>
          <cell r="G37">
            <v>7</v>
          </cell>
          <cell r="H37">
            <v>8</v>
          </cell>
          <cell r="I37">
            <v>9</v>
          </cell>
          <cell r="J37">
            <v>10</v>
          </cell>
          <cell r="K37">
            <v>11</v>
          </cell>
          <cell r="L37">
            <v>12</v>
          </cell>
          <cell r="M37">
            <v>13</v>
          </cell>
          <cell r="N37">
            <v>14</v>
          </cell>
          <cell r="O37">
            <v>15</v>
          </cell>
          <cell r="P37">
            <v>16</v>
          </cell>
          <cell r="Q37">
            <v>17</v>
          </cell>
          <cell r="R37">
            <v>18</v>
          </cell>
          <cell r="S37">
            <v>19</v>
          </cell>
          <cell r="T37">
            <v>20</v>
          </cell>
          <cell r="U37">
            <v>21</v>
          </cell>
          <cell r="V37">
            <v>22</v>
          </cell>
          <cell r="W37">
            <v>23</v>
          </cell>
          <cell r="X37">
            <v>24</v>
          </cell>
          <cell r="Y37">
            <v>25</v>
          </cell>
          <cell r="Z37">
            <v>26</v>
          </cell>
          <cell r="AA37">
            <v>27</v>
          </cell>
          <cell r="AB37">
            <v>28</v>
          </cell>
          <cell r="AC37">
            <v>29</v>
          </cell>
          <cell r="AD37">
            <v>30</v>
          </cell>
          <cell r="AE37">
            <v>31</v>
          </cell>
          <cell r="AF37">
            <v>32</v>
          </cell>
          <cell r="AG37">
            <v>33</v>
          </cell>
          <cell r="AH37">
            <v>34</v>
          </cell>
          <cell r="AI37">
            <v>35</v>
          </cell>
          <cell r="AJ37">
            <v>36</v>
          </cell>
          <cell r="AK37">
            <v>37</v>
          </cell>
          <cell r="AL37">
            <v>38</v>
          </cell>
          <cell r="AM37">
            <v>39</v>
          </cell>
          <cell r="AN37">
            <v>40</v>
          </cell>
          <cell r="AO37">
            <v>41</v>
          </cell>
          <cell r="AP37">
            <v>42</v>
          </cell>
          <cell r="AQ37">
            <v>43</v>
          </cell>
        </row>
      </sheetData>
      <sheetData sheetId="23"/>
      <sheetData sheetId="24">
        <row r="1">
          <cell r="A1" t="str">
            <v>CÔNG TY CP HỒNG HÀ VIỆT NAM</v>
          </cell>
          <cell r="C1" t="str">
            <v>CỘNG HÒA XÃ HỘI CHỦ NGHĨA VIỆT NAM</v>
          </cell>
        </row>
        <row r="2">
          <cell r="C2" t="str">
            <v>ĐỘC LẬP-TỰ DO -HẠNH PHÚC</v>
          </cell>
        </row>
        <row r="4">
          <cell r="A4" t="str">
            <v>BBNT VẬT LIỆU THÉP</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T.VCT-01</v>
          </cell>
          <cell r="B10" t="str">
            <v xml:space="preserve">-Vật liệu thép bản mã kèm theo biên bản giao nhận hàng hóa </v>
          </cell>
          <cell r="C10" t="str">
            <v>T.VCT-01</v>
          </cell>
          <cell r="D10" t="str">
            <v>14h15</v>
          </cell>
          <cell r="E10" t="str">
            <v>15h00</v>
          </cell>
          <cell r="F10">
            <v>7</v>
          </cell>
          <cell r="G10">
            <v>11</v>
          </cell>
          <cell r="H10">
            <v>2014</v>
          </cell>
          <cell r="I10" t="str">
            <v>Hà Nội, ngày 7 tháng 11 năm 2014</v>
          </cell>
          <cell r="J10" t="str">
            <v>14h15 ngày 7 tháng 11 năm 2014</v>
          </cell>
          <cell r="K10" t="str">
            <v>15h00 ngày 7 tháng 11 năm 2014</v>
          </cell>
          <cell r="L10" t="str">
            <v>15h15</v>
          </cell>
          <cell r="M10" t="str">
            <v>16h00</v>
          </cell>
          <cell r="N10">
            <v>7</v>
          </cell>
          <cell r="O10">
            <v>11</v>
          </cell>
          <cell r="P10">
            <v>2014</v>
          </cell>
          <cell r="Q10" t="str">
            <v>Hà Nội, ngày 7 tháng 11 năm 2014</v>
          </cell>
          <cell r="R10" t="str">
            <v>15h15 ngày 7 tháng 11 năm 2014</v>
          </cell>
          <cell r="S10" t="str">
            <v>16h00 ngày 7 tháng 11 năm 2014</v>
          </cell>
          <cell r="T10" t="str">
            <v>14h15</v>
          </cell>
          <cell r="U10" t="str">
            <v>14h15 Ngày 7/11/2014</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Trần Ngọc Đại</v>
          </cell>
          <cell r="AM10" t="str">
            <v>Cán bộ kỹ thuật</v>
          </cell>
          <cell r="AQ10" t="str">
            <v>Ngày 7 Tháng 11 Năm 2014</v>
          </cell>
        </row>
        <row r="11">
          <cell r="A11" t="str">
            <v>T.VCT-02</v>
          </cell>
          <cell r="B11" t="str">
            <v>-Vật liệu thép kèm theo biên bản giao nhận hàng hóa ngày 18/11/2014</v>
          </cell>
          <cell r="C11" t="str">
            <v>T.VCT-02</v>
          </cell>
          <cell r="D11" t="str">
            <v>9h30</v>
          </cell>
          <cell r="E11" t="str">
            <v>10h30</v>
          </cell>
          <cell r="F11">
            <v>21</v>
          </cell>
          <cell r="G11">
            <v>11</v>
          </cell>
          <cell r="H11">
            <v>2014</v>
          </cell>
          <cell r="I11" t="str">
            <v>Hà Nội, ngày 21 tháng 11 năm 2014</v>
          </cell>
          <cell r="J11" t="str">
            <v>9h30 ngày 21 tháng 11 năm 2014</v>
          </cell>
          <cell r="K11" t="str">
            <v>10h30 ngày 21 tháng 11 năm 2014</v>
          </cell>
          <cell r="L11" t="str">
            <v>9h30</v>
          </cell>
          <cell r="M11" t="str">
            <v>10h30</v>
          </cell>
          <cell r="N11">
            <v>21</v>
          </cell>
          <cell r="O11">
            <v>11</v>
          </cell>
          <cell r="P11">
            <v>2014</v>
          </cell>
          <cell r="Q11" t="str">
            <v>Hà Nội, ngày 21 tháng 11 năm 2014</v>
          </cell>
          <cell r="R11" t="str">
            <v>9h30 ngày 21 tháng 11 năm 2014</v>
          </cell>
          <cell r="S11" t="str">
            <v>10h30 ngày 21 tháng 11 năm 2014</v>
          </cell>
          <cell r="T11" t="str">
            <v>9h30</v>
          </cell>
          <cell r="U11" t="str">
            <v>9h30 Ngày 21/11/2014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Trần Ngọc Đại</v>
          </cell>
          <cell r="AM11" t="str">
            <v>Cán bộ kỹ thuật</v>
          </cell>
          <cell r="AQ11" t="str">
            <v>Ngày 21 Tháng 11 Năm 2014</v>
          </cell>
        </row>
        <row r="12">
          <cell r="A12" t="str">
            <v>T.VCT-03</v>
          </cell>
          <cell r="B12" t="str">
            <v>-Vật liệu thép kèm theo biên bản giao nhận hàng hóa ngày 16/12/2014</v>
          </cell>
          <cell r="C12" t="str">
            <v>T.VCT-03</v>
          </cell>
          <cell r="D12" t="str">
            <v>8h00</v>
          </cell>
          <cell r="E12" t="str">
            <v>8h30</v>
          </cell>
          <cell r="F12">
            <v>19</v>
          </cell>
          <cell r="G12">
            <v>12</v>
          </cell>
          <cell r="H12">
            <v>2014</v>
          </cell>
          <cell r="I12" t="str">
            <v>Hà Nội, ngày 19 tháng 12 năm 2014</v>
          </cell>
          <cell r="J12" t="str">
            <v>8h00 ngày 19 tháng 12 năm 2014</v>
          </cell>
          <cell r="K12" t="str">
            <v>8h30 ngày 19 tháng 12 năm 2014</v>
          </cell>
          <cell r="L12" t="str">
            <v>8h30</v>
          </cell>
          <cell r="M12" t="str">
            <v>9h00</v>
          </cell>
          <cell r="N12">
            <v>19</v>
          </cell>
          <cell r="O12">
            <v>12</v>
          </cell>
          <cell r="P12">
            <v>2014</v>
          </cell>
          <cell r="Q12" t="str">
            <v>Hà Nội, ngày 19 tháng 12 năm 2014</v>
          </cell>
          <cell r="R12" t="str">
            <v>8h30 ngày 19 tháng 12 năm 2014</v>
          </cell>
          <cell r="S12" t="str">
            <v>9h00 ngày 19 tháng 12 năm 2014</v>
          </cell>
          <cell r="T12" t="str">
            <v>8h30</v>
          </cell>
          <cell r="U12" t="str">
            <v>8h30 Ngày 19/12/2014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Trần Ngọc Đại</v>
          </cell>
          <cell r="AM12" t="str">
            <v>Cán bộ kỹ thuật</v>
          </cell>
          <cell r="AQ12" t="str">
            <v>Ngày 19 Tháng 12 Năm 2014</v>
          </cell>
        </row>
        <row r="13">
          <cell r="A13" t="str">
            <v>T.VCT-04</v>
          </cell>
          <cell r="B13" t="str">
            <v>-Vật liệu thép kèm theo biên bản giao nhận hàng hóa ngày 8/1/2015</v>
          </cell>
          <cell r="C13" t="str">
            <v>T.VCT-04</v>
          </cell>
          <cell r="D13" t="str">
            <v>14h15</v>
          </cell>
          <cell r="E13" t="str">
            <v>15h00</v>
          </cell>
          <cell r="F13">
            <v>10</v>
          </cell>
          <cell r="G13">
            <v>1</v>
          </cell>
          <cell r="H13">
            <v>2015</v>
          </cell>
          <cell r="I13" t="str">
            <v>Hà Nội, ngày 10 tháng 1 năm 2015</v>
          </cell>
          <cell r="J13" t="str">
            <v>14h15 ngày 10 tháng 1 năm 2015</v>
          </cell>
          <cell r="K13" t="str">
            <v>15h00 ngày 10 tháng 1 năm 2015</v>
          </cell>
          <cell r="L13" t="str">
            <v>15h00</v>
          </cell>
          <cell r="M13" t="str">
            <v>15h45</v>
          </cell>
          <cell r="N13">
            <v>10</v>
          </cell>
          <cell r="O13">
            <v>1</v>
          </cell>
          <cell r="P13">
            <v>2015</v>
          </cell>
          <cell r="Q13" t="str">
            <v>Hà Nội, ngày 10 tháng 1 năm 2015</v>
          </cell>
          <cell r="R13" t="str">
            <v>15h00 ngày 10 tháng 1 năm 2015</v>
          </cell>
          <cell r="S13" t="str">
            <v>15h45 ngày 10 tháng 1 năm 2015</v>
          </cell>
          <cell r="T13" t="str">
            <v>15h00</v>
          </cell>
          <cell r="U13" t="str">
            <v>15h00 Ngày 10/1/2015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Trần Ngọc Đại</v>
          </cell>
          <cell r="AM13" t="str">
            <v>Cán bộ kỹ thuật</v>
          </cell>
          <cell r="AQ13" t="str">
            <v>Ngày 10 Tháng 1 Năm 2015</v>
          </cell>
        </row>
        <row r="14">
          <cell r="A14" t="str">
            <v>T.VCT-05</v>
          </cell>
          <cell r="B14" t="str">
            <v>-Vật liệu thép kèm theo biên bản giao nhận hàng hóa ngày 28/1/2015</v>
          </cell>
          <cell r="C14" t="str">
            <v>T.VCT-05</v>
          </cell>
          <cell r="D14" t="str">
            <v>16h00</v>
          </cell>
          <cell r="E14" t="str">
            <v>16h45</v>
          </cell>
          <cell r="F14">
            <v>28</v>
          </cell>
          <cell r="G14">
            <v>1</v>
          </cell>
          <cell r="H14">
            <v>2015</v>
          </cell>
          <cell r="I14" t="str">
            <v>Hà Nội, ngày 28 tháng 1 năm 2015</v>
          </cell>
          <cell r="J14" t="str">
            <v>16h00 ngày 28 tháng 1 năm 2015</v>
          </cell>
          <cell r="K14" t="str">
            <v>16h45 ngày 28 tháng 1 năm 2015</v>
          </cell>
          <cell r="L14" t="str">
            <v>16h45</v>
          </cell>
          <cell r="M14" t="str">
            <v>17h30</v>
          </cell>
          <cell r="N14">
            <v>28</v>
          </cell>
          <cell r="O14">
            <v>1</v>
          </cell>
          <cell r="P14">
            <v>2015</v>
          </cell>
          <cell r="Q14" t="str">
            <v>Hà Nội, ngày 28 tháng 1 năm 2015</v>
          </cell>
          <cell r="R14" t="str">
            <v>16h45 ngày 28 tháng 1 năm 2015</v>
          </cell>
          <cell r="S14" t="str">
            <v>17h30 ngày 28 tháng 1 năm 2015</v>
          </cell>
          <cell r="T14" t="str">
            <v>16h45</v>
          </cell>
          <cell r="U14" t="str">
            <v>16h45 Ngày 28/1/2015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Trần Ngọc Đại</v>
          </cell>
          <cell r="AM14" t="str">
            <v>Cán bộ kỹ thuật</v>
          </cell>
          <cell r="AQ14" t="str">
            <v>Ngày 28 Tháng 1 Năm 2015</v>
          </cell>
        </row>
        <row r="15">
          <cell r="A15" t="str">
            <v>T.VCT-06</v>
          </cell>
          <cell r="B15" t="str">
            <v>-Vật liệu thép kèm theo biên bản giao nhận hàng hóa ngày 6/3/2015</v>
          </cell>
          <cell r="C15" t="str">
            <v>T.VCT-06</v>
          </cell>
          <cell r="D15" t="str">
            <v>10h30'</v>
          </cell>
          <cell r="E15" t="str">
            <v>11h30'</v>
          </cell>
          <cell r="F15">
            <v>7</v>
          </cell>
          <cell r="G15">
            <v>3</v>
          </cell>
          <cell r="H15">
            <v>2015</v>
          </cell>
          <cell r="I15" t="str">
            <v>Hà Nội, ngày 7 tháng 3 năm 2015</v>
          </cell>
          <cell r="J15" t="str">
            <v>10h30' ngày 7 tháng 3 năm 2015</v>
          </cell>
          <cell r="K15" t="str">
            <v>11h30' ngày 7 tháng 3 năm 2015</v>
          </cell>
          <cell r="L15" t="str">
            <v>12h30</v>
          </cell>
          <cell r="M15" t="str">
            <v>13h30</v>
          </cell>
          <cell r="N15">
            <v>7</v>
          </cell>
          <cell r="O15">
            <v>3</v>
          </cell>
          <cell r="P15">
            <v>2015</v>
          </cell>
          <cell r="Q15" t="str">
            <v>Hà Nội, ngày 7 tháng 3 năm 2015</v>
          </cell>
          <cell r="R15" t="str">
            <v>12h30 ngày 7 tháng 3 năm 2015</v>
          </cell>
          <cell r="S15" t="str">
            <v>13h30 ngày 7 tháng 3 năm 2015</v>
          </cell>
          <cell r="T15" t="str">
            <v>12h30</v>
          </cell>
          <cell r="U15" t="str">
            <v>12h30 Ngày 7/3/2015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7 Tháng 3 Năm 2015</v>
          </cell>
        </row>
        <row r="16">
          <cell r="A16" t="str">
            <v>T.VCT-07</v>
          </cell>
          <cell r="B16" t="str">
            <v>-Vật liệu thép kèm theo biên bản giao nhận hàng hóa ngày 24/3/2015</v>
          </cell>
          <cell r="C16" t="str">
            <v>T.VCT-07</v>
          </cell>
          <cell r="D16" t="str">
            <v>10h30'</v>
          </cell>
          <cell r="E16" t="str">
            <v>11h30'</v>
          </cell>
          <cell r="F16">
            <v>25</v>
          </cell>
          <cell r="G16">
            <v>3</v>
          </cell>
          <cell r="H16">
            <v>2015</v>
          </cell>
          <cell r="I16" t="str">
            <v>Hà Nội, ngày 25 tháng 3 năm 2015</v>
          </cell>
          <cell r="J16" t="str">
            <v>10h30' ngày 25 tháng 3 năm 2015</v>
          </cell>
          <cell r="K16" t="str">
            <v>11h30' ngày 25 tháng 3 năm 2015</v>
          </cell>
          <cell r="L16" t="str">
            <v>14h30'</v>
          </cell>
          <cell r="M16" t="str">
            <v>15h30'</v>
          </cell>
          <cell r="N16">
            <v>25</v>
          </cell>
          <cell r="O16">
            <v>3</v>
          </cell>
          <cell r="P16">
            <v>2015</v>
          </cell>
          <cell r="Q16" t="str">
            <v>Hà Nội, ngày 25 tháng 3 năm 2015</v>
          </cell>
          <cell r="R16" t="str">
            <v>14h30' ngày 25 tháng 3 năm 2015</v>
          </cell>
          <cell r="S16" t="str">
            <v>15h30' ngày 25 tháng 3 năm 2015</v>
          </cell>
          <cell r="T16" t="str">
            <v>14h30'</v>
          </cell>
          <cell r="U16" t="str">
            <v>14h30' Ngày 25/3/2015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25 Tháng 3 Năm 2015</v>
          </cell>
        </row>
        <row r="17">
          <cell r="A17" t="str">
            <v>T.VCT-08</v>
          </cell>
          <cell r="B17" t="str">
            <v>-Vật liệu thép kèm theo biên bản giao nhận hàng hóa ngày 3/4/2015</v>
          </cell>
          <cell r="C17" t="str">
            <v>T.VCT-08</v>
          </cell>
          <cell r="D17" t="str">
            <v>15h30</v>
          </cell>
          <cell r="E17" t="str">
            <v>16h15</v>
          </cell>
          <cell r="F17">
            <v>5</v>
          </cell>
          <cell r="G17">
            <v>4</v>
          </cell>
          <cell r="H17">
            <v>2015</v>
          </cell>
          <cell r="I17" t="str">
            <v>Hà Nội, ngày 5 tháng 4 năm 2015</v>
          </cell>
          <cell r="J17" t="str">
            <v>15h30 ngày 5 tháng 4 năm 2015</v>
          </cell>
          <cell r="K17" t="str">
            <v>16h15 ngày 5 tháng 4 năm 2015</v>
          </cell>
          <cell r="L17" t="str">
            <v>16h15</v>
          </cell>
          <cell r="M17" t="str">
            <v>17h00</v>
          </cell>
          <cell r="N17">
            <v>5</v>
          </cell>
          <cell r="O17">
            <v>4</v>
          </cell>
          <cell r="P17">
            <v>2015</v>
          </cell>
          <cell r="Q17" t="str">
            <v>Hà Nội, ngày 5 tháng 4 năm 2015</v>
          </cell>
          <cell r="R17" t="str">
            <v>16h15 ngày 5 tháng 4 năm 2015</v>
          </cell>
          <cell r="S17" t="str">
            <v>17h00 ngày 5 tháng 4 năm 2015</v>
          </cell>
          <cell r="T17" t="str">
            <v>16h15</v>
          </cell>
          <cell r="U17" t="str">
            <v>16h15 Ngày 5/4/2015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5 Tháng 4 Năm 2015</v>
          </cell>
        </row>
        <row r="18">
          <cell r="A18" t="str">
            <v>T.VCT-09</v>
          </cell>
          <cell r="B18" t="str">
            <v>-Vật liệu thép kèm theo biên bản giao nhận hàng hóa ngày 17/4/2015 và 18/4/2015</v>
          </cell>
          <cell r="C18" t="str">
            <v>T.VCT-09</v>
          </cell>
          <cell r="D18" t="str">
            <v>14h00</v>
          </cell>
          <cell r="E18" t="str">
            <v>15h30</v>
          </cell>
          <cell r="F18">
            <v>21</v>
          </cell>
          <cell r="G18">
            <v>4</v>
          </cell>
          <cell r="H18">
            <v>2015</v>
          </cell>
          <cell r="I18" t="str">
            <v>Hà Nội, ngày 21 tháng 4 năm 2015</v>
          </cell>
          <cell r="J18" t="str">
            <v>14h00 ngày 21 tháng 4 năm 2015</v>
          </cell>
          <cell r="K18" t="str">
            <v>15h30 ngày 21 tháng 4 năm 2015</v>
          </cell>
          <cell r="L18" t="str">
            <v>15h30</v>
          </cell>
          <cell r="M18" t="str">
            <v>16h00</v>
          </cell>
          <cell r="N18">
            <v>21</v>
          </cell>
          <cell r="O18">
            <v>4</v>
          </cell>
          <cell r="P18">
            <v>2015</v>
          </cell>
          <cell r="Q18" t="str">
            <v>Hà Nội, ngày 21 tháng 4 năm 2015</v>
          </cell>
          <cell r="R18" t="str">
            <v>15h30 ngày 21 tháng 4 năm 2015</v>
          </cell>
          <cell r="S18" t="str">
            <v>16h00 ngày 21 tháng 4 năm 2015</v>
          </cell>
          <cell r="T18" t="str">
            <v>15h30</v>
          </cell>
          <cell r="U18" t="str">
            <v>15h30 Ngày 21/4/2015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21 Tháng 4 Năm 2015</v>
          </cell>
        </row>
        <row r="19">
          <cell r="A19" t="str">
            <v>T.VCT-10</v>
          </cell>
          <cell r="B19" t="str">
            <v>-Vật liệu thép kèm theo biên bản giao nhận hàng hóa ngày 5/5/2015</v>
          </cell>
          <cell r="C19" t="str">
            <v>T.VCT-10</v>
          </cell>
          <cell r="D19" t="str">
            <v>14h00</v>
          </cell>
          <cell r="E19" t="str">
            <v>14h45</v>
          </cell>
          <cell r="F19">
            <v>6</v>
          </cell>
          <cell r="G19">
            <v>5</v>
          </cell>
          <cell r="H19">
            <v>2015</v>
          </cell>
          <cell r="I19" t="str">
            <v>Hà Nội, ngày 6 tháng 5 năm 2015</v>
          </cell>
          <cell r="J19" t="str">
            <v>14h00 ngày 6 tháng 5 năm 2015</v>
          </cell>
          <cell r="K19" t="str">
            <v>14h45 ngày 6 tháng 5 năm 2015</v>
          </cell>
          <cell r="L19" t="str">
            <v>14h45</v>
          </cell>
          <cell r="M19" t="str">
            <v>15h30</v>
          </cell>
          <cell r="N19">
            <v>6</v>
          </cell>
          <cell r="O19">
            <v>5</v>
          </cell>
          <cell r="P19">
            <v>2015</v>
          </cell>
          <cell r="Q19" t="str">
            <v>Hà Nội, ngày 6 tháng 5 năm 2015</v>
          </cell>
          <cell r="R19" t="str">
            <v>14h45 ngày 6 tháng 5 năm 2015</v>
          </cell>
          <cell r="S19" t="str">
            <v>15h30 ngày 6 tháng 5 năm 2015</v>
          </cell>
          <cell r="T19" t="str">
            <v>14h45</v>
          </cell>
          <cell r="U19" t="str">
            <v>14h45 Ngày 6/5/2015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6 Tháng 5 Năm 2015</v>
          </cell>
        </row>
        <row r="20">
          <cell r="A20" t="str">
            <v>T.VCT-11</v>
          </cell>
          <cell r="B20" t="str">
            <v>-Vật liệu thép kèm theo biên bản giao nhận hàng hóa ngày 13/5/2015</v>
          </cell>
          <cell r="C20" t="str">
            <v>T.VCT-11</v>
          </cell>
          <cell r="D20" t="str">
            <v>14h15</v>
          </cell>
          <cell r="E20" t="str">
            <v>15h00</v>
          </cell>
          <cell r="F20">
            <v>17</v>
          </cell>
          <cell r="G20">
            <v>5</v>
          </cell>
          <cell r="H20">
            <v>2015</v>
          </cell>
          <cell r="I20" t="str">
            <v>Hà Nội, ngày 17 tháng 5 năm 2015</v>
          </cell>
          <cell r="J20" t="str">
            <v>14h15 ngày 17 tháng 5 năm 2015</v>
          </cell>
          <cell r="K20" t="str">
            <v>15h00 ngày 17 tháng 5 năm 2015</v>
          </cell>
          <cell r="L20" t="str">
            <v>15h00</v>
          </cell>
          <cell r="M20" t="str">
            <v>15h45</v>
          </cell>
          <cell r="N20">
            <v>17</v>
          </cell>
          <cell r="O20">
            <v>5</v>
          </cell>
          <cell r="P20">
            <v>2015</v>
          </cell>
          <cell r="Q20" t="str">
            <v>Hà Nội, ngày 17 tháng 5 năm 2015</v>
          </cell>
          <cell r="R20" t="str">
            <v>15h00 ngày 17 tháng 5 năm 2015</v>
          </cell>
          <cell r="S20" t="str">
            <v>15h45 ngày 17 tháng 5 năm 2015</v>
          </cell>
          <cell r="T20" t="str">
            <v>15h00</v>
          </cell>
          <cell r="U20" t="str">
            <v>15h00 Ngày 17/5/2015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17 Tháng 5 Năm 2015</v>
          </cell>
        </row>
        <row r="21">
          <cell r="A21" t="str">
            <v>T.VCT-12</v>
          </cell>
          <cell r="B21" t="str">
            <v>-Vật liệu thép kèm theo biên bản giao nhận hàng hóa ngày 21/5/2015</v>
          </cell>
          <cell r="C21" t="str">
            <v>T.VCT-12</v>
          </cell>
          <cell r="D21" t="str">
            <v>14h00</v>
          </cell>
          <cell r="E21" t="str">
            <v>14h30</v>
          </cell>
          <cell r="F21">
            <v>23</v>
          </cell>
          <cell r="G21">
            <v>5</v>
          </cell>
          <cell r="H21">
            <v>2015</v>
          </cell>
          <cell r="I21" t="str">
            <v>Hà Nội, ngày 23 tháng 5 năm 2015</v>
          </cell>
          <cell r="J21" t="str">
            <v>14h00 ngày 23 tháng 5 năm 2015</v>
          </cell>
          <cell r="K21" t="str">
            <v>14h30 ngày 23 tháng 5 năm 2015</v>
          </cell>
          <cell r="L21" t="str">
            <v>14h30</v>
          </cell>
          <cell r="M21" t="str">
            <v>15h00</v>
          </cell>
          <cell r="N21">
            <v>23</v>
          </cell>
          <cell r="O21">
            <v>5</v>
          </cell>
          <cell r="P21">
            <v>2015</v>
          </cell>
          <cell r="Q21" t="str">
            <v>Hà Nội, ngày 23 tháng 5 năm 2015</v>
          </cell>
          <cell r="R21" t="str">
            <v>14h30 ngày 23 tháng 5 năm 2015</v>
          </cell>
          <cell r="S21" t="str">
            <v>15h00 ngày 23 tháng 5 năm 2015</v>
          </cell>
          <cell r="T21" t="str">
            <v>14h30</v>
          </cell>
          <cell r="U21" t="str">
            <v>14h30 Ngày 23/5/2015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23 Tháng 5 Năm 2015</v>
          </cell>
        </row>
        <row r="22">
          <cell r="A22" t="str">
            <v>T.VCT-13</v>
          </cell>
          <cell r="B22" t="str">
            <v>-Vật liệu thép kèm theo biên bản giao nhận hàng hóa ngày 2/6/2015</v>
          </cell>
          <cell r="C22" t="str">
            <v>T.VCT-13</v>
          </cell>
          <cell r="D22" t="str">
            <v>15h00</v>
          </cell>
          <cell r="E22" t="str">
            <v>15h30</v>
          </cell>
          <cell r="F22">
            <v>5</v>
          </cell>
          <cell r="G22">
            <v>6</v>
          </cell>
          <cell r="H22">
            <v>2015</v>
          </cell>
          <cell r="I22" t="str">
            <v>Hà Nội, ngày 5 tháng 6 năm 2015</v>
          </cell>
          <cell r="J22" t="str">
            <v>15h00 ngày 5 tháng 6 năm 2015</v>
          </cell>
          <cell r="K22" t="str">
            <v>15h30 ngày 5 tháng 6 năm 2015</v>
          </cell>
          <cell r="L22" t="str">
            <v>15h30</v>
          </cell>
          <cell r="M22" t="str">
            <v>16h00</v>
          </cell>
          <cell r="N22">
            <v>5</v>
          </cell>
          <cell r="O22">
            <v>6</v>
          </cell>
          <cell r="P22">
            <v>2015</v>
          </cell>
          <cell r="Q22" t="str">
            <v>Hà Nội, ngày 5 tháng 6 năm 2015</v>
          </cell>
          <cell r="R22" t="str">
            <v>15h30 ngày 5 tháng 6 năm 2015</v>
          </cell>
          <cell r="S22" t="str">
            <v>16h00 ngày 5 tháng 6 năm 2015</v>
          </cell>
          <cell r="T22" t="str">
            <v>15h30</v>
          </cell>
          <cell r="U22" t="str">
            <v>15h30 Ngày 5/6/2015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5 Tháng 6 Năm 2015</v>
          </cell>
        </row>
        <row r="23">
          <cell r="A23" t="str">
            <v>T.VCT-14</v>
          </cell>
          <cell r="B23" t="str">
            <v>-Vật liệu thép kèm theo biên bản giao nhận hàng hóa ngày 9/6/2015</v>
          </cell>
          <cell r="C23" t="str">
            <v>T.VCT-14</v>
          </cell>
          <cell r="D23" t="str">
            <v>15h00</v>
          </cell>
          <cell r="E23" t="str">
            <v>15h45</v>
          </cell>
          <cell r="F23">
            <v>10</v>
          </cell>
          <cell r="G23">
            <v>6</v>
          </cell>
          <cell r="H23">
            <v>2015</v>
          </cell>
          <cell r="I23" t="str">
            <v>Hà Nội, ngày 10 tháng 6 năm 2015</v>
          </cell>
          <cell r="J23" t="str">
            <v>15h00 ngày 10 tháng 6 năm 2015</v>
          </cell>
          <cell r="K23" t="str">
            <v>15h45 ngày 10 tháng 6 năm 2015</v>
          </cell>
          <cell r="L23" t="str">
            <v>15h45</v>
          </cell>
          <cell r="M23" t="str">
            <v>16h30</v>
          </cell>
          <cell r="N23">
            <v>10</v>
          </cell>
          <cell r="O23">
            <v>6</v>
          </cell>
          <cell r="P23">
            <v>2015</v>
          </cell>
          <cell r="Q23" t="str">
            <v>Hà Nội, ngày 10 tháng 6 năm 2015</v>
          </cell>
          <cell r="R23" t="str">
            <v>15h45 ngày 10 tháng 6 năm 2015</v>
          </cell>
          <cell r="S23" t="str">
            <v>16h30 ngày 10 tháng 6 năm 2015</v>
          </cell>
          <cell r="T23" t="str">
            <v>15h45</v>
          </cell>
          <cell r="U23" t="str">
            <v>15h45 Ngày 10/6/2015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10 Tháng 6 Năm 2015</v>
          </cell>
        </row>
        <row r="24">
          <cell r="A24" t="str">
            <v>T.VCT-15</v>
          </cell>
          <cell r="B24" t="str">
            <v>-Vật liệu thép kèm theo biên bản giao nhận hàng hóa ngày 17/6/2015</v>
          </cell>
          <cell r="C24" t="str">
            <v>T.VCT-15</v>
          </cell>
          <cell r="D24" t="str">
            <v>15h00</v>
          </cell>
          <cell r="E24" t="str">
            <v>15h45</v>
          </cell>
          <cell r="F24">
            <v>19</v>
          </cell>
          <cell r="G24">
            <v>6</v>
          </cell>
          <cell r="H24">
            <v>2015</v>
          </cell>
          <cell r="I24" t="str">
            <v>Hà Nội, ngày 19 tháng 6 năm 2015</v>
          </cell>
          <cell r="J24" t="str">
            <v>15h00 ngày 19 tháng 6 năm 2015</v>
          </cell>
          <cell r="K24" t="str">
            <v>15h45 ngày 19 tháng 6 năm 2015</v>
          </cell>
          <cell r="L24" t="str">
            <v>15h45</v>
          </cell>
          <cell r="M24" t="str">
            <v>16h30</v>
          </cell>
          <cell r="N24">
            <v>19</v>
          </cell>
          <cell r="O24">
            <v>6</v>
          </cell>
          <cell r="P24">
            <v>2015</v>
          </cell>
          <cell r="Q24" t="str">
            <v>Hà Nội, ngày 19 tháng 6 năm 2015</v>
          </cell>
          <cell r="R24" t="str">
            <v>15h45 ngày 19 tháng 6 năm 2015</v>
          </cell>
          <cell r="S24" t="str">
            <v>16h30 ngày 19 tháng 6 năm 2015</v>
          </cell>
          <cell r="T24" t="str">
            <v>15h45</v>
          </cell>
          <cell r="U24" t="str">
            <v>15h45 Ngày 19/6/2015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19 Tháng 6 Năm 2015</v>
          </cell>
        </row>
        <row r="25">
          <cell r="A25" t="str">
            <v>T.VCT-16</v>
          </cell>
          <cell r="B25" t="str">
            <v>-Vật liệu thép kèm theo biên bản giao nhận hàng hóa ngày 25/6/2015</v>
          </cell>
          <cell r="C25" t="str">
            <v>T.VCT-16</v>
          </cell>
          <cell r="D25" t="str">
            <v>14h00</v>
          </cell>
          <cell r="E25" t="str">
            <v>15h00</v>
          </cell>
          <cell r="F25">
            <v>26</v>
          </cell>
          <cell r="G25">
            <v>6</v>
          </cell>
          <cell r="H25">
            <v>2015</v>
          </cell>
          <cell r="I25" t="str">
            <v>Hà Nội, ngày 26 tháng 6 năm 2015</v>
          </cell>
          <cell r="J25" t="str">
            <v>14h00 ngày 26 tháng 6 năm 2015</v>
          </cell>
          <cell r="K25" t="str">
            <v>15h00 ngày 26 tháng 6 năm 2015</v>
          </cell>
          <cell r="L25" t="str">
            <v>15h00</v>
          </cell>
          <cell r="M25" t="str">
            <v>16h00</v>
          </cell>
          <cell r="N25">
            <v>26</v>
          </cell>
          <cell r="O25">
            <v>6</v>
          </cell>
          <cell r="P25">
            <v>2015</v>
          </cell>
          <cell r="Q25" t="str">
            <v>Hà Nội, ngày 26 tháng 6 năm 2015</v>
          </cell>
          <cell r="R25" t="str">
            <v>15h00 ngày 26 tháng 6 năm 2015</v>
          </cell>
          <cell r="S25" t="str">
            <v>16h00 ngày 26 tháng 6 năm 2015</v>
          </cell>
          <cell r="T25" t="str">
            <v>15h00</v>
          </cell>
          <cell r="U25" t="str">
            <v>15h00 Ngày 26/6/2015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26 Tháng 6 Năm 2015</v>
          </cell>
        </row>
        <row r="26">
          <cell r="A26" t="str">
            <v>T.VCT-17</v>
          </cell>
          <cell r="B26" t="str">
            <v>-Vật liệu thép làm lan can, chớp tôn lô gia, hành lang kèm theo biên bản giao nhận hàng hóa ngày 23/7/2015</v>
          </cell>
          <cell r="C26" t="str">
            <v>T.VCT-17</v>
          </cell>
          <cell r="D26" t="str">
            <v>9h00</v>
          </cell>
          <cell r="E26" t="str">
            <v>10h00</v>
          </cell>
          <cell r="F26">
            <v>24</v>
          </cell>
          <cell r="G26">
            <v>7</v>
          </cell>
          <cell r="H26">
            <v>2015</v>
          </cell>
          <cell r="I26" t="str">
            <v>Hà Nội, ngày 24 tháng 7 năm 2015</v>
          </cell>
          <cell r="J26" t="str">
            <v>9h00 ngày 24 tháng 7 năm 2015</v>
          </cell>
          <cell r="K26" t="str">
            <v>10h00 ngày 24 tháng 7 năm 2015</v>
          </cell>
          <cell r="L26" t="str">
            <v>10h00</v>
          </cell>
          <cell r="M26" t="str">
            <v>11h00</v>
          </cell>
          <cell r="N26">
            <v>24</v>
          </cell>
          <cell r="O26">
            <v>7</v>
          </cell>
          <cell r="P26">
            <v>2015</v>
          </cell>
          <cell r="Q26" t="str">
            <v>Hà Nội, ngày 24 tháng 7 năm 2015</v>
          </cell>
          <cell r="R26" t="str">
            <v>10h00 ngày 24 tháng 7 năm 2015</v>
          </cell>
          <cell r="S26" t="str">
            <v>11h00 ngày 24 tháng 7 năm 2015</v>
          </cell>
          <cell r="T26" t="str">
            <v>10h00</v>
          </cell>
          <cell r="U26" t="str">
            <v>10h00 Ngày 24/7/2015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24 Tháng 7 Năm 2015</v>
          </cell>
        </row>
        <row r="27">
          <cell r="A27" t="str">
            <v>T.VCT-18</v>
          </cell>
          <cell r="B27" t="str">
            <v>-Lưới thép hàn xây dựng D4/A200</v>
          </cell>
          <cell r="C27" t="str">
            <v>T.VCT-18</v>
          </cell>
          <cell r="D27" t="str">
            <v>9h00</v>
          </cell>
          <cell r="E27" t="str">
            <v>10h00</v>
          </cell>
          <cell r="F27">
            <v>6</v>
          </cell>
          <cell r="G27">
            <v>9</v>
          </cell>
          <cell r="H27">
            <v>2015</v>
          </cell>
          <cell r="I27" t="str">
            <v>Hà Nội, ngày 6 tháng 9 năm 2015</v>
          </cell>
          <cell r="J27" t="str">
            <v>9h00 ngày 6 tháng 9 năm 2015</v>
          </cell>
          <cell r="K27" t="str">
            <v>10h00 ngày 6 tháng 9 năm 2015</v>
          </cell>
          <cell r="L27" t="str">
            <v>10h00</v>
          </cell>
          <cell r="M27" t="str">
            <v>11h00</v>
          </cell>
          <cell r="N27">
            <v>6</v>
          </cell>
          <cell r="O27">
            <v>9</v>
          </cell>
          <cell r="P27">
            <v>2015</v>
          </cell>
          <cell r="Q27" t="str">
            <v>Hà Nội, ngày 6 tháng 9 năm 2015</v>
          </cell>
          <cell r="R27" t="str">
            <v>10h00 ngày 6 tháng 9 năm 2015</v>
          </cell>
          <cell r="S27" t="str">
            <v>11h00 ngày 6 tháng 9 năm 2015</v>
          </cell>
          <cell r="T27" t="str">
            <v>10h00</v>
          </cell>
          <cell r="U27" t="str">
            <v>10h00 Ngày 6/9/2015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6 Tháng 9 Năm 2015</v>
          </cell>
        </row>
        <row r="28">
          <cell r="A28" t="str">
            <v>T.VCT-19</v>
          </cell>
          <cell r="B28" t="str">
            <v>-Vật liệu thép kèm theo biên bản giao nhận hàng hóa ngày 16/9/2015</v>
          </cell>
          <cell r="C28" t="str">
            <v>T.VCT-19</v>
          </cell>
          <cell r="D28" t="str">
            <v>9h00</v>
          </cell>
          <cell r="E28" t="str">
            <v>10h00</v>
          </cell>
          <cell r="F28">
            <v>17</v>
          </cell>
          <cell r="G28">
            <v>9</v>
          </cell>
          <cell r="H28">
            <v>2015</v>
          </cell>
          <cell r="I28" t="str">
            <v>Hà Nội, ngày 17 tháng 9 năm 2015</v>
          </cell>
          <cell r="J28" t="str">
            <v>9h00 ngày 17 tháng 9 năm 2015</v>
          </cell>
          <cell r="K28" t="str">
            <v>10h00 ngày 17 tháng 9 năm 2015</v>
          </cell>
          <cell r="L28" t="str">
            <v>10h00</v>
          </cell>
          <cell r="M28" t="str">
            <v>11h00</v>
          </cell>
          <cell r="N28">
            <v>17</v>
          </cell>
          <cell r="O28">
            <v>9</v>
          </cell>
          <cell r="P28">
            <v>2015</v>
          </cell>
          <cell r="Q28" t="str">
            <v>Hà Nội, ngày 17 tháng 9 năm 2015</v>
          </cell>
          <cell r="R28" t="str">
            <v>10h00 ngày 17 tháng 9 năm 2015</v>
          </cell>
          <cell r="S28" t="str">
            <v>11h00 ngày 17 tháng 9 năm 2015</v>
          </cell>
          <cell r="T28" t="str">
            <v>10h00</v>
          </cell>
          <cell r="U28" t="str">
            <v>10h00 Ngày 17/9/2015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17 Tháng 9 Năm 2015</v>
          </cell>
        </row>
        <row r="29">
          <cell r="A29" t="str">
            <v>T.VCT-20</v>
          </cell>
          <cell r="B29" t="str">
            <v>Vật liệu lưới thép hàn D4 A200 kèm theo biên bản giao nhận hàng hóa ngày 12/10/2015</v>
          </cell>
          <cell r="C29" t="str">
            <v>T.VCT-20</v>
          </cell>
          <cell r="D29" t="str">
            <v>14h00</v>
          </cell>
          <cell r="E29" t="str">
            <v>15h45</v>
          </cell>
          <cell r="F29">
            <v>12</v>
          </cell>
          <cell r="G29">
            <v>10</v>
          </cell>
          <cell r="H29">
            <v>2015</v>
          </cell>
          <cell r="I29" t="str">
            <v>Hà Nội, ngày 12 tháng 10 năm 2015</v>
          </cell>
          <cell r="J29" t="str">
            <v>14h00 ngày 12 tháng 10 năm 2015</v>
          </cell>
          <cell r="K29" t="str">
            <v>15h45 ngày 12 tháng 10 năm 2015</v>
          </cell>
          <cell r="L29" t="str">
            <v>16h00</v>
          </cell>
          <cell r="M29" t="str">
            <v>16h45</v>
          </cell>
          <cell r="N29">
            <v>12</v>
          </cell>
          <cell r="O29">
            <v>10</v>
          </cell>
          <cell r="P29">
            <v>2015</v>
          </cell>
          <cell r="Q29" t="str">
            <v>Hà Nội, ngày 12 tháng 10 năm 2015</v>
          </cell>
          <cell r="R29" t="str">
            <v>16h00 ngày 12 tháng 10 năm 2015</v>
          </cell>
          <cell r="S29" t="str">
            <v>16h45 ngày 12 tháng 10 năm 2015</v>
          </cell>
          <cell r="T29" t="str">
            <v>16h00</v>
          </cell>
          <cell r="U29" t="str">
            <v>16h00 Ngày 12/10/2015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12 Tháng 10 Năm 2015</v>
          </cell>
        </row>
        <row r="30">
          <cell r="A30" t="str">
            <v>T.VCT-21</v>
          </cell>
          <cell r="B30" t="str">
            <v>Vật liệu thép làm lan can cầu thang, lan can lô gia chớp tôn kèm theo biên bản giao nhận hàng hóa từ ngày 16/10/2010 đến ngày 21/10/2010</v>
          </cell>
          <cell r="C30" t="str">
            <v>T.VCT-21</v>
          </cell>
          <cell r="D30" t="str">
            <v>9h00</v>
          </cell>
          <cell r="E30" t="str">
            <v>10h00</v>
          </cell>
          <cell r="F30">
            <v>22</v>
          </cell>
          <cell r="G30">
            <v>10</v>
          </cell>
          <cell r="H30">
            <v>2015</v>
          </cell>
          <cell r="I30" t="str">
            <v>Hà Nội, ngày 22 tháng 10 năm 2015</v>
          </cell>
          <cell r="J30" t="str">
            <v>9h00 ngày 22 tháng 10 năm 2015</v>
          </cell>
          <cell r="K30" t="str">
            <v>10h00 ngày 22 tháng 10 năm 2015</v>
          </cell>
          <cell r="L30" t="str">
            <v>14h15</v>
          </cell>
          <cell r="M30" t="str">
            <v>15h00</v>
          </cell>
          <cell r="N30">
            <v>22</v>
          </cell>
          <cell r="O30">
            <v>10</v>
          </cell>
          <cell r="P30">
            <v>2015</v>
          </cell>
          <cell r="Q30" t="str">
            <v>Hà Nội, ngày 22 tháng 10 năm 2015</v>
          </cell>
          <cell r="R30" t="str">
            <v>14h15 ngày 22 tháng 10 năm 2015</v>
          </cell>
          <cell r="S30" t="str">
            <v>15h00 ngày 22 tháng 10 năm 2015</v>
          </cell>
          <cell r="T30" t="str">
            <v>14h15</v>
          </cell>
          <cell r="U30" t="str">
            <v>14h15 Ngày 22/10/2015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22 Tháng 10 Năm 2015</v>
          </cell>
        </row>
        <row r="31">
          <cell r="A31" t="str">
            <v>T.VCT-22</v>
          </cell>
          <cell r="B31" t="str">
            <v>Vật liệu thép làm lan can cầu thang, lan can lô gia chớp tôn kèm theo biên bản giao nhận hàng hóa từ ngày 04/11/2010 đến ngày 25/11/2010</v>
          </cell>
          <cell r="C31" t="str">
            <v>T.VCT-22</v>
          </cell>
          <cell r="D31" t="str">
            <v>8h00</v>
          </cell>
          <cell r="E31" t="str">
            <v>9h00</v>
          </cell>
          <cell r="F31">
            <v>26</v>
          </cell>
          <cell r="G31">
            <v>11</v>
          </cell>
          <cell r="H31">
            <v>2015</v>
          </cell>
          <cell r="I31" t="str">
            <v>Hà Nội, ngày 26 tháng 11 năm 2015</v>
          </cell>
          <cell r="J31" t="str">
            <v>8h00 ngày 26 tháng 11 năm 2015</v>
          </cell>
          <cell r="K31" t="str">
            <v>9h00 ngày 26 tháng 11 năm 2015</v>
          </cell>
          <cell r="L31" t="str">
            <v>9h15</v>
          </cell>
          <cell r="M31" t="str">
            <v>10h15</v>
          </cell>
          <cell r="N31">
            <v>26</v>
          </cell>
          <cell r="O31">
            <v>11</v>
          </cell>
          <cell r="P31">
            <v>2015</v>
          </cell>
          <cell r="Q31" t="str">
            <v>Hà Nội, ngày 26 tháng 11 năm 2015</v>
          </cell>
          <cell r="R31" t="str">
            <v>9h15 ngày 26 tháng 11 năm 2015</v>
          </cell>
          <cell r="S31" t="str">
            <v>10h15 ngày 26 tháng 11 năm 2015</v>
          </cell>
          <cell r="T31" t="str">
            <v>9h15</v>
          </cell>
          <cell r="U31" t="str">
            <v>9h15 Ngày 26/11/2015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26 Tháng 11 Năm 2015</v>
          </cell>
        </row>
        <row r="32">
          <cell r="A32" t="str">
            <v>T.VCT-22A</v>
          </cell>
          <cell r="B32" t="str">
            <v>Vật liệu trụ thép chia cửa cuốn phòng dịch vụ thương mại tầng 01 kèm theo biên bản giao nhận ngày 27/11/2015</v>
          </cell>
          <cell r="C32" t="str">
            <v>T.VCT-22A</v>
          </cell>
          <cell r="D32" t="str">
            <v>14h00</v>
          </cell>
          <cell r="E32" t="str">
            <v>15h00</v>
          </cell>
          <cell r="F32">
            <v>27</v>
          </cell>
          <cell r="G32">
            <v>11</v>
          </cell>
          <cell r="H32">
            <v>2015</v>
          </cell>
          <cell r="I32" t="str">
            <v>Hà Nội, ngày 27 tháng 11 năm 2015</v>
          </cell>
          <cell r="J32" t="str">
            <v>14h00 ngày 27 tháng 11 năm 2015</v>
          </cell>
          <cell r="K32" t="str">
            <v>15h00 ngày 27 tháng 11 năm 2015</v>
          </cell>
          <cell r="L32" t="str">
            <v>15h15</v>
          </cell>
          <cell r="M32" t="str">
            <v>16h15</v>
          </cell>
          <cell r="N32">
            <v>27</v>
          </cell>
          <cell r="O32">
            <v>11</v>
          </cell>
          <cell r="P32">
            <v>2015</v>
          </cell>
          <cell r="Q32" t="str">
            <v>Hà Nội, ngày 27 tháng 11 năm 2015</v>
          </cell>
          <cell r="R32" t="str">
            <v>15h15 ngày 27 tháng 11 năm 2015</v>
          </cell>
          <cell r="S32" t="str">
            <v>16h15 ngày 27 tháng 11 năm 2015</v>
          </cell>
          <cell r="T32" t="str">
            <v>15h15</v>
          </cell>
          <cell r="U32" t="str">
            <v>15h15 Ngày 27/11/2015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27 Tháng 11 Năm 2015</v>
          </cell>
        </row>
        <row r="33">
          <cell r="A33" t="str">
            <v>T.VCT-23</v>
          </cell>
          <cell r="B33" t="str">
            <v>Vật liệu thép làm chớp tôn kèm theo biên bản tổng hợp khối lượng giao nhận từ ngày 28/11/2015 đến ngày 30/11/2015</v>
          </cell>
          <cell r="C33" t="str">
            <v>T.VCT-23</v>
          </cell>
          <cell r="D33" t="str">
            <v>9h00</v>
          </cell>
          <cell r="E33" t="str">
            <v>10h00</v>
          </cell>
          <cell r="F33">
            <v>30</v>
          </cell>
          <cell r="G33">
            <v>11</v>
          </cell>
          <cell r="H33">
            <v>2015</v>
          </cell>
          <cell r="I33" t="str">
            <v>Hà Nội, ngày 30 tháng 11 năm 2015</v>
          </cell>
          <cell r="J33" t="str">
            <v>9h00 ngày 30 tháng 11 năm 2015</v>
          </cell>
          <cell r="K33" t="str">
            <v>10h00 ngày 30 tháng 11 năm 2015</v>
          </cell>
          <cell r="L33" t="str">
            <v>10h15</v>
          </cell>
          <cell r="M33" t="str">
            <v>11h15</v>
          </cell>
          <cell r="N33">
            <v>30</v>
          </cell>
          <cell r="O33">
            <v>11</v>
          </cell>
          <cell r="P33">
            <v>2015</v>
          </cell>
          <cell r="Q33" t="str">
            <v>Hà Nội, ngày 30 tháng 11 năm 2015</v>
          </cell>
          <cell r="R33" t="str">
            <v>10h15 ngày 30 tháng 11 năm 2015</v>
          </cell>
          <cell r="S33" t="str">
            <v>11h15 ngày 30 tháng 11 năm 2015</v>
          </cell>
          <cell r="T33" t="str">
            <v>10h15</v>
          </cell>
          <cell r="U33" t="str">
            <v>10h15 Ngày 30/11/2015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30 Tháng 11 Năm 2015</v>
          </cell>
        </row>
        <row r="34">
          <cell r="C34" t="str">
            <v>T.VCT-24</v>
          </cell>
          <cell r="H34">
            <v>2015</v>
          </cell>
          <cell r="I34" t="str">
            <v>Hà Nội, ngày  tháng  năm 2015</v>
          </cell>
          <cell r="J34" t="str">
            <v xml:space="preserve"> ngày  tháng  năm 2015</v>
          </cell>
          <cell r="K34" t="str">
            <v xml:space="preserve"> ngày  tháng  năm 2015</v>
          </cell>
          <cell r="L34" t="str">
            <v>10h00</v>
          </cell>
          <cell r="M34" t="str">
            <v>11h00</v>
          </cell>
          <cell r="N34">
            <v>0</v>
          </cell>
          <cell r="O34">
            <v>0</v>
          </cell>
          <cell r="P34">
            <v>2015</v>
          </cell>
          <cell r="Q34" t="str">
            <v>Hà Nội, ngày 0 tháng 0 năm 2015</v>
          </cell>
          <cell r="R34" t="str">
            <v>10h00 ngày 0 tháng 0 năm 2015</v>
          </cell>
          <cell r="S34" t="str">
            <v>11h00 ngày 0 tháng 0 năm 2015</v>
          </cell>
          <cell r="T34" t="str">
            <v>10h00</v>
          </cell>
          <cell r="U34" t="str">
            <v>10h00 Ngày 0/0/2015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Q34" t="str">
            <v>Ngày  Tháng  Năm 2015</v>
          </cell>
        </row>
        <row r="35">
          <cell r="C35" t="str">
            <v>T.VCT-25</v>
          </cell>
          <cell r="H35">
            <v>2015</v>
          </cell>
          <cell r="I35" t="str">
            <v>Hà Nội, ngày  tháng  năm 2015</v>
          </cell>
          <cell r="J35" t="str">
            <v xml:space="preserve"> ngày  tháng  năm 2015</v>
          </cell>
          <cell r="K35" t="str">
            <v xml:space="preserve"> ngày  tháng  năm 2015</v>
          </cell>
          <cell r="L35" t="str">
            <v>10h00</v>
          </cell>
          <cell r="M35" t="str">
            <v>11h00</v>
          </cell>
          <cell r="N35">
            <v>0</v>
          </cell>
          <cell r="O35">
            <v>0</v>
          </cell>
          <cell r="P35">
            <v>2015</v>
          </cell>
          <cell r="Q35" t="str">
            <v>Hà Nội, ngày 0 tháng 0 năm 2015</v>
          </cell>
          <cell r="R35" t="str">
            <v>10h00 ngày 0 tháng 0 năm 2015</v>
          </cell>
          <cell r="S35" t="str">
            <v>11h00 ngày 0 tháng 0 năm 2015</v>
          </cell>
          <cell r="T35" t="str">
            <v>10h00</v>
          </cell>
          <cell r="U35" t="str">
            <v>10h00 Ngày 0/0/2015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Q35" t="str">
            <v>Ngày  Tháng  Năm 2015</v>
          </cell>
        </row>
        <row r="36">
          <cell r="C36" t="str">
            <v>T.VCT-26</v>
          </cell>
          <cell r="H36">
            <v>2015</v>
          </cell>
          <cell r="I36" t="str">
            <v>Hà Nội, ngày  tháng  năm 2015</v>
          </cell>
          <cell r="J36" t="str">
            <v xml:space="preserve"> ngày  tháng  năm 2015</v>
          </cell>
          <cell r="K36" t="str">
            <v xml:space="preserve"> ngày  tháng  năm 2015</v>
          </cell>
          <cell r="L36" t="str">
            <v>10h00</v>
          </cell>
          <cell r="M36" t="str">
            <v>11h00</v>
          </cell>
          <cell r="N36">
            <v>0</v>
          </cell>
          <cell r="O36">
            <v>0</v>
          </cell>
          <cell r="P36">
            <v>2015</v>
          </cell>
          <cell r="Q36" t="str">
            <v>Hà Nội, ngày 0 tháng 0 năm 2015</v>
          </cell>
          <cell r="R36" t="str">
            <v>10h00 ngày 0 tháng 0 năm 2015</v>
          </cell>
          <cell r="S36" t="str">
            <v>11h00 ngày 0 tháng 0 năm 2015</v>
          </cell>
          <cell r="T36" t="str">
            <v>10h00</v>
          </cell>
          <cell r="U36" t="str">
            <v>10h00 Ngày 0/0/2015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Q36" t="str">
            <v>Ngày  Tháng  Năm 2015</v>
          </cell>
        </row>
        <row r="37">
          <cell r="C37" t="str">
            <v>T.VCT-27</v>
          </cell>
          <cell r="H37">
            <v>2015</v>
          </cell>
          <cell r="I37" t="str">
            <v>Hà Nội, ngày  tháng  năm 2015</v>
          </cell>
          <cell r="J37" t="str">
            <v xml:space="preserve"> ngày  tháng  năm 2015</v>
          </cell>
          <cell r="K37" t="str">
            <v xml:space="preserve"> ngày  tháng  năm 2015</v>
          </cell>
          <cell r="L37" t="str">
            <v>10h00</v>
          </cell>
          <cell r="M37" t="str">
            <v>11h00</v>
          </cell>
          <cell r="N37">
            <v>0</v>
          </cell>
          <cell r="O37">
            <v>0</v>
          </cell>
          <cell r="P37">
            <v>2015</v>
          </cell>
          <cell r="Q37" t="str">
            <v>Hà Nội, ngày 0 tháng 0 năm 2015</v>
          </cell>
          <cell r="R37" t="str">
            <v>10h00 ngày 0 tháng 0 năm 2015</v>
          </cell>
          <cell r="S37" t="str">
            <v>11h00 ngày 0 tháng 0 năm 2015</v>
          </cell>
          <cell r="T37" t="str">
            <v>10h00</v>
          </cell>
          <cell r="U37" t="str">
            <v>10h00 Ngày 0/0/2015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Q37" t="str">
            <v>Ngày  Tháng  Năm 2015</v>
          </cell>
        </row>
        <row r="38">
          <cell r="C38" t="str">
            <v>T.VCT-28</v>
          </cell>
          <cell r="H38">
            <v>2015</v>
          </cell>
          <cell r="I38" t="str">
            <v>Hà Nội, ngày  tháng  năm 2015</v>
          </cell>
          <cell r="J38" t="str">
            <v xml:space="preserve"> ngày  tháng  năm 2015</v>
          </cell>
          <cell r="K38" t="str">
            <v xml:space="preserve"> ngày  tháng  năm 2015</v>
          </cell>
          <cell r="L38" t="str">
            <v>10h00</v>
          </cell>
          <cell r="M38" t="str">
            <v>11h00</v>
          </cell>
          <cell r="N38">
            <v>0</v>
          </cell>
          <cell r="O38">
            <v>0</v>
          </cell>
          <cell r="P38">
            <v>2015</v>
          </cell>
          <cell r="Q38" t="str">
            <v>Hà Nội, ngày 0 tháng 0 năm 2015</v>
          </cell>
          <cell r="R38" t="str">
            <v>10h00 ngày 0 tháng 0 năm 2015</v>
          </cell>
          <cell r="S38" t="str">
            <v>11h00 ngày 0 tháng 0 năm 2015</v>
          </cell>
          <cell r="T38" t="str">
            <v>10h00</v>
          </cell>
          <cell r="U38" t="str">
            <v>10h00 Ngày 0/0/2015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Q38" t="str">
            <v>Ngày  Tháng  Năm 2015</v>
          </cell>
        </row>
        <row r="39">
          <cell r="C39" t="str">
            <v>T.VCT-29</v>
          </cell>
          <cell r="H39">
            <v>2015</v>
          </cell>
          <cell r="I39" t="str">
            <v>Hà Nội, ngày  tháng  năm 2015</v>
          </cell>
          <cell r="J39" t="str">
            <v xml:space="preserve"> ngày  tháng  năm 2015</v>
          </cell>
          <cell r="K39" t="str">
            <v xml:space="preserve"> ngày  tháng  năm 2015</v>
          </cell>
          <cell r="L39" t="str">
            <v>10h00</v>
          </cell>
          <cell r="M39" t="str">
            <v>11h00</v>
          </cell>
          <cell r="N39">
            <v>0</v>
          </cell>
          <cell r="O39">
            <v>0</v>
          </cell>
          <cell r="P39">
            <v>2015</v>
          </cell>
          <cell r="Q39" t="str">
            <v>Hà Nội, ngày 0 tháng 0 năm 2015</v>
          </cell>
          <cell r="R39" t="str">
            <v>10h00 ngày 0 tháng 0 năm 2015</v>
          </cell>
          <cell r="S39" t="str">
            <v>11h00 ngày 0 tháng 0 năm 2015</v>
          </cell>
          <cell r="T39" t="str">
            <v>10h00</v>
          </cell>
          <cell r="U39" t="str">
            <v>10h00 Ngày 0/0/2015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Q39" t="str">
            <v>Ngày  Tháng  Năm 2015</v>
          </cell>
        </row>
        <row r="40">
          <cell r="C40" t="str">
            <v>T.VCT-30</v>
          </cell>
          <cell r="H40">
            <v>2015</v>
          </cell>
          <cell r="I40" t="str">
            <v>Hà Nội, ngày  tháng  năm 2015</v>
          </cell>
          <cell r="J40" t="str">
            <v xml:space="preserve"> ngày  tháng  năm 2015</v>
          </cell>
          <cell r="K40" t="str">
            <v xml:space="preserve"> ngày  tháng  năm 2015</v>
          </cell>
          <cell r="L40" t="str">
            <v>10h00</v>
          </cell>
          <cell r="M40" t="str">
            <v>11h00</v>
          </cell>
          <cell r="N40">
            <v>0</v>
          </cell>
          <cell r="O40">
            <v>0</v>
          </cell>
          <cell r="P40">
            <v>2015</v>
          </cell>
          <cell r="Q40" t="str">
            <v>Hà Nội, ngày 0 tháng 0 năm 2015</v>
          </cell>
          <cell r="R40" t="str">
            <v>10h00 ngày 0 tháng 0 năm 2015</v>
          </cell>
          <cell r="S40" t="str">
            <v>11h00 ngày 0 tháng 0 năm 2015</v>
          </cell>
          <cell r="T40" t="str">
            <v>10h00</v>
          </cell>
          <cell r="U40" t="str">
            <v>10h00 Ngày 0/0/2015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Q40" t="str">
            <v>Ngày  Tháng  Năm 2015</v>
          </cell>
        </row>
        <row r="41">
          <cell r="C41" t="str">
            <v>T.VCT-31</v>
          </cell>
          <cell r="H41">
            <v>2015</v>
          </cell>
          <cell r="I41" t="str">
            <v>Hà Nội, ngày  tháng  năm 2015</v>
          </cell>
          <cell r="J41" t="str">
            <v xml:space="preserve"> ngày  tháng  năm 2015</v>
          </cell>
          <cell r="K41" t="str">
            <v xml:space="preserve"> ngày  tháng  năm 2015</v>
          </cell>
          <cell r="L41" t="str">
            <v>10h00</v>
          </cell>
          <cell r="M41" t="str">
            <v>11h00</v>
          </cell>
          <cell r="N41">
            <v>0</v>
          </cell>
          <cell r="O41">
            <v>0</v>
          </cell>
          <cell r="P41">
            <v>2015</v>
          </cell>
          <cell r="Q41" t="str">
            <v>Hà Nội, ngày 0 tháng 0 năm 2015</v>
          </cell>
          <cell r="R41" t="str">
            <v>10h00 ngày 0 tháng 0 năm 2015</v>
          </cell>
          <cell r="S41" t="str">
            <v>11h00 ngày 0 tháng 0 năm 2015</v>
          </cell>
          <cell r="T41" t="str">
            <v>10h00</v>
          </cell>
          <cell r="U41" t="str">
            <v>10h00 Ngày 0/0/2015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Q41" t="str">
            <v>Ngày  Tháng  Năm 2015</v>
          </cell>
        </row>
        <row r="42">
          <cell r="C42" t="str">
            <v>T.VCT-32</v>
          </cell>
          <cell r="H42">
            <v>2015</v>
          </cell>
          <cell r="I42" t="str">
            <v>Hà Nội, ngày  tháng  năm 2015</v>
          </cell>
          <cell r="J42" t="str">
            <v xml:space="preserve"> ngày  tháng  năm 2015</v>
          </cell>
          <cell r="K42" t="str">
            <v xml:space="preserve"> ngày  tháng  năm 2015</v>
          </cell>
          <cell r="L42" t="str">
            <v>10h00</v>
          </cell>
          <cell r="M42" t="str">
            <v>11h00</v>
          </cell>
          <cell r="N42">
            <v>0</v>
          </cell>
          <cell r="O42">
            <v>0</v>
          </cell>
          <cell r="P42">
            <v>2015</v>
          </cell>
          <cell r="Q42" t="str">
            <v>Hà Nội, ngày 0 tháng 0 năm 2015</v>
          </cell>
          <cell r="R42" t="str">
            <v>10h00 ngày 0 tháng 0 năm 2015</v>
          </cell>
          <cell r="S42" t="str">
            <v>11h00 ngày 0 tháng 0 năm 2015</v>
          </cell>
          <cell r="T42" t="str">
            <v>10h00</v>
          </cell>
          <cell r="U42" t="str">
            <v>10h00 Ngày 0/0/2015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Q42" t="str">
            <v>Ngày  Tháng  Năm 2015</v>
          </cell>
        </row>
        <row r="43">
          <cell r="C43" t="str">
            <v>T.VCT-33</v>
          </cell>
          <cell r="H43">
            <v>2015</v>
          </cell>
          <cell r="I43" t="str">
            <v>Hà Nội, ngày  tháng  năm 2015</v>
          </cell>
          <cell r="J43" t="str">
            <v xml:space="preserve"> ngày  tháng  năm 2015</v>
          </cell>
          <cell r="K43" t="str">
            <v xml:space="preserve"> ngày  tháng  năm 2015</v>
          </cell>
          <cell r="L43" t="str">
            <v>10h00</v>
          </cell>
          <cell r="M43" t="str">
            <v>11h00</v>
          </cell>
          <cell r="N43">
            <v>0</v>
          </cell>
          <cell r="O43">
            <v>0</v>
          </cell>
          <cell r="P43">
            <v>2015</v>
          </cell>
          <cell r="Q43" t="str">
            <v>Hà Nội, ngày 0 tháng 0 năm 2015</v>
          </cell>
          <cell r="R43" t="str">
            <v>10h00 ngày 0 tháng 0 năm 2015</v>
          </cell>
          <cell r="S43" t="str">
            <v>11h00 ngày 0 tháng 0 năm 2015</v>
          </cell>
          <cell r="T43" t="str">
            <v>10h00</v>
          </cell>
          <cell r="U43" t="str">
            <v>10h00 Ngày 0/0/2015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Q43" t="str">
            <v>Ngày  Tháng  Năm 2015</v>
          </cell>
        </row>
        <row r="44">
          <cell r="A44" t="str">
            <v>T.VCT-34</v>
          </cell>
          <cell r="C44" t="str">
            <v>T.VCT-34</v>
          </cell>
          <cell r="D44" t="str">
            <v>……</v>
          </cell>
          <cell r="E44" t="str">
            <v>…….</v>
          </cell>
          <cell r="F44" t="str">
            <v>……</v>
          </cell>
          <cell r="G44" t="str">
            <v>…….</v>
          </cell>
          <cell r="H44">
            <v>2015</v>
          </cell>
          <cell r="I44" t="str">
            <v>Hà Nội, ngày …… tháng ……. năm 2015</v>
          </cell>
          <cell r="J44" t="str">
            <v>…… ngày …… tháng ……. năm 2015</v>
          </cell>
          <cell r="K44" t="str">
            <v>……. ngày …… tháng ……. năm 2015</v>
          </cell>
          <cell r="L44" t="str">
            <v>10h00</v>
          </cell>
          <cell r="M44" t="str">
            <v>11h00</v>
          </cell>
          <cell r="N44" t="str">
            <v>……</v>
          </cell>
          <cell r="O44" t="str">
            <v>…….</v>
          </cell>
          <cell r="P44">
            <v>2015</v>
          </cell>
          <cell r="Q44" t="str">
            <v>Hà Nội, ngày …… tháng ……. năm 2015</v>
          </cell>
          <cell r="R44" t="str">
            <v>10h00 ngày …… tháng ……. năm 2015</v>
          </cell>
          <cell r="S44" t="str">
            <v>11h00 ngày …… tháng ……. năm 2015</v>
          </cell>
          <cell r="T44" t="str">
            <v>10h00</v>
          </cell>
          <cell r="U44" t="str">
            <v>10h00 Ngày ……/……./2015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Q44" t="str">
            <v>Ngày …… Tháng ……. Năm 2015</v>
          </cell>
        </row>
        <row r="48">
          <cell r="A48">
            <v>1</v>
          </cell>
          <cell r="B48">
            <v>2</v>
          </cell>
          <cell r="C48">
            <v>3</v>
          </cell>
          <cell r="D48">
            <v>4</v>
          </cell>
          <cell r="E48">
            <v>5</v>
          </cell>
          <cell r="F48">
            <v>6</v>
          </cell>
          <cell r="G48">
            <v>7</v>
          </cell>
          <cell r="H48">
            <v>8</v>
          </cell>
          <cell r="I48">
            <v>9</v>
          </cell>
          <cell r="J48">
            <v>10</v>
          </cell>
          <cell r="K48">
            <v>11</v>
          </cell>
          <cell r="L48">
            <v>12</v>
          </cell>
          <cell r="M48">
            <v>13</v>
          </cell>
          <cell r="N48">
            <v>14</v>
          </cell>
          <cell r="O48">
            <v>15</v>
          </cell>
          <cell r="P48">
            <v>16</v>
          </cell>
          <cell r="Q48">
            <v>17</v>
          </cell>
          <cell r="R48">
            <v>18</v>
          </cell>
          <cell r="S48">
            <v>19</v>
          </cell>
          <cell r="T48">
            <v>20</v>
          </cell>
          <cell r="U48">
            <v>21</v>
          </cell>
          <cell r="V48">
            <v>22</v>
          </cell>
          <cell r="W48">
            <v>23</v>
          </cell>
          <cell r="X48">
            <v>24</v>
          </cell>
          <cell r="Y48">
            <v>25</v>
          </cell>
          <cell r="Z48">
            <v>26</v>
          </cell>
          <cell r="AA48">
            <v>27</v>
          </cell>
          <cell r="AB48">
            <v>28</v>
          </cell>
          <cell r="AC48">
            <v>29</v>
          </cell>
          <cell r="AD48">
            <v>30</v>
          </cell>
          <cell r="AE48">
            <v>31</v>
          </cell>
          <cell r="AF48">
            <v>32</v>
          </cell>
          <cell r="AG48">
            <v>33</v>
          </cell>
          <cell r="AH48">
            <v>34</v>
          </cell>
          <cell r="AI48">
            <v>35</v>
          </cell>
          <cell r="AJ48">
            <v>36</v>
          </cell>
          <cell r="AK48">
            <v>37</v>
          </cell>
          <cell r="AL48">
            <v>38</v>
          </cell>
          <cell r="AM48">
            <v>39</v>
          </cell>
          <cell r="AN48">
            <v>40</v>
          </cell>
          <cell r="AO48">
            <v>41</v>
          </cell>
          <cell r="AP48">
            <v>42</v>
          </cell>
          <cell r="AQ48">
            <v>43</v>
          </cell>
        </row>
      </sheetData>
      <sheetData sheetId="25"/>
      <sheetData sheetId="26">
        <row r="11">
          <cell r="A11" t="str">
            <v>XT-</v>
          </cell>
          <cell r="B11" t="str">
            <v xml:space="preserve">- Tường xây cổ móng trục X1-X8/Y5-Y8 </v>
          </cell>
          <cell r="C11" t="str">
            <v>XT-</v>
          </cell>
          <cell r="D11" t="str">
            <v>8h00</v>
          </cell>
          <cell r="E11" t="str">
            <v>8h45</v>
          </cell>
          <cell r="F11">
            <v>16</v>
          </cell>
          <cell r="G11">
            <v>1</v>
          </cell>
          <cell r="H11">
            <v>2015</v>
          </cell>
          <cell r="I11" t="str">
            <v>Hà Nội, ngày 16 tháng 1 năm 2015</v>
          </cell>
          <cell r="J11" t="str">
            <v>8h00 ngày 16 tháng 1 năm 2015</v>
          </cell>
          <cell r="K11" t="str">
            <v>8h45 ngày 16 tháng 1 năm 2015</v>
          </cell>
          <cell r="L11" t="str">
            <v>8h45</v>
          </cell>
          <cell r="M11" t="str">
            <v>9h30</v>
          </cell>
          <cell r="N11">
            <v>16</v>
          </cell>
          <cell r="O11">
            <v>1</v>
          </cell>
          <cell r="P11">
            <v>2015</v>
          </cell>
          <cell r="Q11" t="str">
            <v>Hà Nội, ngày 16 tháng 1 năm 2015</v>
          </cell>
          <cell r="R11" t="str">
            <v>8h45 ngày 16 tháng 1 năm 2015</v>
          </cell>
          <cell r="S11" t="str">
            <v>9h30 ngày 16 tháng 1 năm 2015</v>
          </cell>
          <cell r="T11" t="str">
            <v>8h45</v>
          </cell>
          <cell r="U11" t="str">
            <v>8h45 Ngày 16/1/2015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KC-06</v>
          </cell>
          <cell r="AQ11" t="str">
            <v>Ngày 16 Tháng 1 Năm 2015</v>
          </cell>
        </row>
        <row r="12">
          <cell r="A12" t="str">
            <v>XT-</v>
          </cell>
          <cell r="B12" t="str">
            <v>- Tường xây cổ móng trục X1-X4/Y1-Y5</v>
          </cell>
          <cell r="C12" t="str">
            <v>XT-</v>
          </cell>
          <cell r="D12" t="str">
            <v>8h15</v>
          </cell>
          <cell r="E12" t="str">
            <v>9h00</v>
          </cell>
          <cell r="F12">
            <v>17</v>
          </cell>
          <cell r="G12">
            <v>1</v>
          </cell>
          <cell r="H12">
            <v>2015</v>
          </cell>
          <cell r="I12" t="str">
            <v>Hà Nội, ngày 17 tháng 1 năm 2015</v>
          </cell>
          <cell r="J12" t="str">
            <v>8h15 ngày 17 tháng 1 năm 2015</v>
          </cell>
          <cell r="K12" t="str">
            <v>9h00 ngày 17 tháng 1 năm 2015</v>
          </cell>
          <cell r="L12" t="str">
            <v>9h00</v>
          </cell>
          <cell r="M12" t="str">
            <v>9h45</v>
          </cell>
          <cell r="N12">
            <v>17</v>
          </cell>
          <cell r="O12">
            <v>1</v>
          </cell>
          <cell r="P12">
            <v>2015</v>
          </cell>
          <cell r="Q12" t="str">
            <v>Hà Nội, ngày 17 tháng 1 năm 2015</v>
          </cell>
          <cell r="R12" t="str">
            <v>9h00 ngày 17 tháng 1 năm 2015</v>
          </cell>
          <cell r="S12" t="str">
            <v>9h45 ngày 17 tháng 1 năm 2015</v>
          </cell>
          <cell r="T12" t="str">
            <v>9h00</v>
          </cell>
          <cell r="U12" t="str">
            <v>9h00 Ngày 17/1/2015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KC-06</v>
          </cell>
          <cell r="AQ12" t="str">
            <v>Ngày 17 Tháng 1 Năm 2015</v>
          </cell>
        </row>
        <row r="13">
          <cell r="A13" t="str">
            <v>XT-</v>
          </cell>
          <cell r="B13" t="str">
            <v>Tường xây vách ngăn bể tách dầu mỡ 01, 02, 03 và 04</v>
          </cell>
          <cell r="C13" t="str">
            <v>XT-</v>
          </cell>
          <cell r="D13" t="str">
            <v>8h00</v>
          </cell>
          <cell r="E13" t="str">
            <v>8h45</v>
          </cell>
          <cell r="F13">
            <v>19</v>
          </cell>
          <cell r="G13">
            <v>1</v>
          </cell>
          <cell r="H13">
            <v>2015</v>
          </cell>
          <cell r="I13" t="str">
            <v>Hà Nội, ngày 19 tháng 1 năm 2015</v>
          </cell>
          <cell r="J13" t="str">
            <v>8h00 ngày 19 tháng 1 năm 2015</v>
          </cell>
          <cell r="K13" t="str">
            <v>8h45 ngày 19 tháng 1 năm 2015</v>
          </cell>
          <cell r="L13" t="str">
            <v>8h45</v>
          </cell>
          <cell r="M13" t="str">
            <v>9h30</v>
          </cell>
          <cell r="N13">
            <v>19</v>
          </cell>
          <cell r="O13">
            <v>1</v>
          </cell>
          <cell r="P13">
            <v>2015</v>
          </cell>
          <cell r="Q13" t="str">
            <v>Hà Nội, ngày 19 tháng 1 năm 2015</v>
          </cell>
          <cell r="R13" t="str">
            <v>8h45 ngày 19 tháng 1 năm 2015</v>
          </cell>
          <cell r="S13" t="str">
            <v>9h30 ngày 19 tháng 1 năm 2015</v>
          </cell>
          <cell r="T13" t="str">
            <v>8h45</v>
          </cell>
          <cell r="U13" t="str">
            <v>8h45 Ngày 19/1/2015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KC-71÷KC-73</v>
          </cell>
          <cell r="AQ13" t="str">
            <v>Ngày 19 Tháng 1 Năm 2015</v>
          </cell>
        </row>
        <row r="14">
          <cell r="A14" t="str">
            <v>XT-</v>
          </cell>
          <cell r="B14" t="str">
            <v>Tường xây vách ngăn bể tự hoại 01, 02, 03 và 04</v>
          </cell>
          <cell r="C14" t="str">
            <v>XT-</v>
          </cell>
          <cell r="D14" t="str">
            <v>8h15</v>
          </cell>
          <cell r="E14" t="str">
            <v>9h00</v>
          </cell>
          <cell r="F14">
            <v>21</v>
          </cell>
          <cell r="G14">
            <v>1</v>
          </cell>
          <cell r="H14">
            <v>2015</v>
          </cell>
          <cell r="I14" t="str">
            <v>Hà Nội, ngày 21 tháng 1 năm 2015</v>
          </cell>
          <cell r="J14" t="str">
            <v>8h15 ngày 21 tháng 1 năm 2015</v>
          </cell>
          <cell r="K14" t="str">
            <v>9h00 ngày 21 tháng 1 năm 2015</v>
          </cell>
          <cell r="L14" t="str">
            <v>9h00</v>
          </cell>
          <cell r="M14" t="str">
            <v>9h45</v>
          </cell>
          <cell r="N14">
            <v>21</v>
          </cell>
          <cell r="O14">
            <v>1</v>
          </cell>
          <cell r="P14">
            <v>2015</v>
          </cell>
          <cell r="Q14" t="str">
            <v>Hà Nội, ngày 21 tháng 1 năm 2015</v>
          </cell>
          <cell r="R14" t="str">
            <v>9h00 ngày 21 tháng 1 năm 2015</v>
          </cell>
          <cell r="S14" t="str">
            <v>9h45 ngày 21 tháng 1 năm 2015</v>
          </cell>
          <cell r="T14" t="str">
            <v>9h00</v>
          </cell>
          <cell r="U14" t="str">
            <v>9h00 Ngày 21/1/2015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KC-71÷KC-73</v>
          </cell>
          <cell r="AQ14" t="str">
            <v>Ngày 21 Tháng 1 Năm 2015</v>
          </cell>
        </row>
        <row r="15">
          <cell r="A15" t="str">
            <v>XT-01</v>
          </cell>
          <cell r="B15" t="str">
            <v>Tường xây gạch AAC trong và ngoài nhà tầng 01</v>
          </cell>
          <cell r="C15" t="str">
            <v>XT-01</v>
          </cell>
          <cell r="D15" t="str">
            <v>8h00</v>
          </cell>
          <cell r="E15" t="str">
            <v>9h00</v>
          </cell>
          <cell r="F15">
            <v>7</v>
          </cell>
          <cell r="G15">
            <v>5</v>
          </cell>
          <cell r="H15">
            <v>2015</v>
          </cell>
          <cell r="I15" t="str">
            <v>Hà Nội, ngày 7 tháng 5 năm 2015</v>
          </cell>
          <cell r="J15" t="str">
            <v>8h00 ngày 7 tháng 5 năm 2015</v>
          </cell>
          <cell r="K15" t="str">
            <v>9h00 ngày 7 tháng 5 năm 2015</v>
          </cell>
          <cell r="L15" t="str">
            <v>9h00</v>
          </cell>
          <cell r="M15" t="str">
            <v>11h00</v>
          </cell>
          <cell r="N15">
            <v>7</v>
          </cell>
          <cell r="O15">
            <v>5</v>
          </cell>
          <cell r="P15">
            <v>2015</v>
          </cell>
          <cell r="Q15" t="str">
            <v>Hà Nội, ngày 7 tháng 5 năm 2015</v>
          </cell>
          <cell r="R15" t="str">
            <v>9h00 ngày 7 tháng 5 năm 2015</v>
          </cell>
          <cell r="S15" t="str">
            <v>11h00 ngày 7 tháng 5 năm 2015</v>
          </cell>
          <cell r="T15" t="str">
            <v>9h00</v>
          </cell>
          <cell r="U15" t="str">
            <v>9h00 Ngày 7/5/2015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KT-101 ĐC1</v>
          </cell>
          <cell r="AQ15" t="str">
            <v>Ngày 7 Tháng 5 Năm 2015</v>
          </cell>
        </row>
        <row r="16">
          <cell r="A16" t="str">
            <v>XT-02</v>
          </cell>
          <cell r="B16" t="str">
            <v>Tường xây gạch đặc, gạch 2 lỗ trong và ngoài nhà tầng 01</v>
          </cell>
          <cell r="C16" t="str">
            <v>XT-02</v>
          </cell>
          <cell r="D16" t="str">
            <v>8h15</v>
          </cell>
          <cell r="E16" t="str">
            <v>9h15</v>
          </cell>
          <cell r="F16">
            <v>11</v>
          </cell>
          <cell r="G16">
            <v>5</v>
          </cell>
          <cell r="H16">
            <v>2015</v>
          </cell>
          <cell r="I16" t="str">
            <v>Hà Nội, ngày 11 tháng 5 năm 2015</v>
          </cell>
          <cell r="J16" t="str">
            <v>8h15 ngày 11 tháng 5 năm 2015</v>
          </cell>
          <cell r="K16" t="str">
            <v>9h15 ngày 11 tháng 5 năm 2015</v>
          </cell>
          <cell r="L16" t="str">
            <v>9h15</v>
          </cell>
          <cell r="M16" t="str">
            <v>11h00</v>
          </cell>
          <cell r="N16">
            <v>11</v>
          </cell>
          <cell r="O16">
            <v>5</v>
          </cell>
          <cell r="P16">
            <v>2015</v>
          </cell>
          <cell r="Q16" t="str">
            <v>Hà Nội, ngày 11 tháng 5 năm 2015</v>
          </cell>
          <cell r="R16" t="str">
            <v>9h15 ngày 11 tháng 5 năm 2015</v>
          </cell>
          <cell r="S16" t="str">
            <v>11h00 ngày 11 tháng 5 năm 2015</v>
          </cell>
          <cell r="T16" t="str">
            <v>9h15</v>
          </cell>
          <cell r="U16" t="str">
            <v>9h15 Ngày 11/5/2015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KT-101 ĐC1</v>
          </cell>
          <cell r="AQ16" t="str">
            <v>Ngày 11 Tháng 5 Năm 2015</v>
          </cell>
        </row>
        <row r="17">
          <cell r="A17" t="str">
            <v>XT-03</v>
          </cell>
          <cell r="B17" t="str">
            <v>Tường xây gạch AAC trong và ngoài nhà tầng 02</v>
          </cell>
          <cell r="C17" t="str">
            <v>XT-03</v>
          </cell>
          <cell r="D17" t="str">
            <v>8h15</v>
          </cell>
          <cell r="E17" t="str">
            <v>9h25</v>
          </cell>
          <cell r="F17">
            <v>9</v>
          </cell>
          <cell r="G17">
            <v>5</v>
          </cell>
          <cell r="H17">
            <v>2015</v>
          </cell>
          <cell r="I17" t="str">
            <v>Hà Nội, ngày 9 tháng 5 năm 2015</v>
          </cell>
          <cell r="J17" t="str">
            <v>8h15 ngày 9 tháng 5 năm 2015</v>
          </cell>
          <cell r="K17" t="str">
            <v>9h25 ngày 9 tháng 5 năm 2015</v>
          </cell>
          <cell r="L17" t="str">
            <v>9h25</v>
          </cell>
          <cell r="M17" t="str">
            <v>11h00</v>
          </cell>
          <cell r="N17">
            <v>9</v>
          </cell>
          <cell r="O17">
            <v>5</v>
          </cell>
          <cell r="P17">
            <v>2015</v>
          </cell>
          <cell r="Q17" t="str">
            <v>Hà Nội, ngày 9 tháng 5 năm 2015</v>
          </cell>
          <cell r="R17" t="str">
            <v>9h25 ngày 9 tháng 5 năm 2015</v>
          </cell>
          <cell r="S17" t="str">
            <v>11h00 ngày 9 tháng 5 năm 2015</v>
          </cell>
          <cell r="T17" t="str">
            <v>9h25</v>
          </cell>
          <cell r="U17" t="str">
            <v>9h25 Ngày 9/5/2015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KT-102 ĐC1</v>
          </cell>
          <cell r="AP17" t="str">
            <v>KT-101 ĐC1</v>
          </cell>
          <cell r="AQ17" t="str">
            <v>Ngày 9 Tháng 5 Năm 2015</v>
          </cell>
        </row>
        <row r="18">
          <cell r="A18" t="str">
            <v>XT-04</v>
          </cell>
          <cell r="B18" t="str">
            <v>Tường xây gạch đặc, gạch 2 lỗ trong và ngoài nhà tầng 02</v>
          </cell>
          <cell r="C18" t="str">
            <v>XT-04</v>
          </cell>
          <cell r="D18" t="str">
            <v>8h00</v>
          </cell>
          <cell r="E18" t="str">
            <v>9h00</v>
          </cell>
          <cell r="F18">
            <v>13</v>
          </cell>
          <cell r="G18">
            <v>5</v>
          </cell>
          <cell r="H18">
            <v>2015</v>
          </cell>
          <cell r="I18" t="str">
            <v>Hà Nội, ngày 13 tháng 5 năm 2015</v>
          </cell>
          <cell r="J18" t="str">
            <v>8h00 ngày 13 tháng 5 năm 2015</v>
          </cell>
          <cell r="K18" t="str">
            <v>9h00 ngày 13 tháng 5 năm 2015</v>
          </cell>
          <cell r="L18" t="str">
            <v>9h00</v>
          </cell>
          <cell r="M18" t="str">
            <v>10h30</v>
          </cell>
          <cell r="N18">
            <v>13</v>
          </cell>
          <cell r="O18">
            <v>5</v>
          </cell>
          <cell r="P18">
            <v>2015</v>
          </cell>
          <cell r="Q18" t="str">
            <v>Hà Nội, ngày 13 tháng 5 năm 2015</v>
          </cell>
          <cell r="R18" t="str">
            <v>9h00 ngày 13 tháng 5 năm 2015</v>
          </cell>
          <cell r="S18" t="str">
            <v>10h30 ngày 13 tháng 5 năm 2015</v>
          </cell>
          <cell r="T18" t="str">
            <v>9h00</v>
          </cell>
          <cell r="U18" t="str">
            <v>9h00 Ngày 13/5/2015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KT-102 ĐC1</v>
          </cell>
          <cell r="AQ18" t="str">
            <v>Ngày 13 Tháng 5 Năm 2015</v>
          </cell>
        </row>
        <row r="19">
          <cell r="A19" t="str">
            <v>XT-05</v>
          </cell>
          <cell r="B19" t="str">
            <v>Tường xây gạch AAC trong và ngoài nhà tầng 03</v>
          </cell>
          <cell r="C19" t="str">
            <v>XT-05</v>
          </cell>
          <cell r="D19" t="str">
            <v>9h00</v>
          </cell>
          <cell r="E19" t="str">
            <v>10h00</v>
          </cell>
          <cell r="F19">
            <v>7</v>
          </cell>
          <cell r="G19">
            <v>7</v>
          </cell>
          <cell r="H19">
            <v>2015</v>
          </cell>
          <cell r="I19" t="str">
            <v>Hà Nội, ngày 7 tháng 7 năm 2015</v>
          </cell>
          <cell r="J19" t="str">
            <v>9h00 ngày 7 tháng 7 năm 2015</v>
          </cell>
          <cell r="K19" t="str">
            <v>10h00 ngày 7 tháng 7 năm 2015</v>
          </cell>
          <cell r="L19" t="str">
            <v>10h00</v>
          </cell>
          <cell r="M19" t="str">
            <v>11h45</v>
          </cell>
          <cell r="N19">
            <v>7</v>
          </cell>
          <cell r="O19">
            <v>7</v>
          </cell>
          <cell r="P19">
            <v>2015</v>
          </cell>
          <cell r="Q19" t="str">
            <v>Hà Nội, ngày 7 tháng 7 năm 2015</v>
          </cell>
          <cell r="R19" t="str">
            <v>10h00 ngày 7 tháng 7 năm 2015</v>
          </cell>
          <cell r="S19" t="str">
            <v>11h45 ngày 7 tháng 7 năm 2015</v>
          </cell>
          <cell r="T19" t="str">
            <v>10h00</v>
          </cell>
          <cell r="U19" t="str">
            <v>10h00 Ngày 7/7/2015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KT-103 ĐC1</v>
          </cell>
          <cell r="AQ19" t="str">
            <v>Ngày 7 Tháng 7 Năm 2015</v>
          </cell>
        </row>
        <row r="20">
          <cell r="A20" t="str">
            <v>XT-06</v>
          </cell>
          <cell r="B20" t="str">
            <v>Tường xây gạch đặc, gạch 2 lỗ trong và ngoài nhà tầng 03</v>
          </cell>
          <cell r="C20" t="str">
            <v>XT-06</v>
          </cell>
          <cell r="D20" t="str">
            <v>14h00</v>
          </cell>
          <cell r="E20" t="str">
            <v>15h00</v>
          </cell>
          <cell r="F20">
            <v>13</v>
          </cell>
          <cell r="G20">
            <v>7</v>
          </cell>
          <cell r="H20">
            <v>2015</v>
          </cell>
          <cell r="I20" t="str">
            <v>Hà Nội, ngày 13 tháng 7 năm 2015</v>
          </cell>
          <cell r="J20" t="str">
            <v>14h00 ngày 13 tháng 7 năm 2015</v>
          </cell>
          <cell r="K20" t="str">
            <v>15h00 ngày 13 tháng 7 năm 2015</v>
          </cell>
          <cell r="L20" t="str">
            <v>15h00</v>
          </cell>
          <cell r="M20" t="str">
            <v>16h30</v>
          </cell>
          <cell r="N20">
            <v>13</v>
          </cell>
          <cell r="O20">
            <v>7</v>
          </cell>
          <cell r="P20">
            <v>2015</v>
          </cell>
          <cell r="Q20" t="str">
            <v>Hà Nội, ngày 13 tháng 7 năm 2015</v>
          </cell>
          <cell r="R20" t="str">
            <v>15h00 ngày 13 tháng 7 năm 2015</v>
          </cell>
          <cell r="S20" t="str">
            <v>16h30 ngày 13 tháng 7 năm 2015</v>
          </cell>
          <cell r="T20" t="str">
            <v>15h00</v>
          </cell>
          <cell r="U20" t="str">
            <v>15h00 Ngày 13/7/2015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KT-103 ĐC1</v>
          </cell>
          <cell r="AQ20" t="str">
            <v>Ngày 13 Tháng 7 Năm 2015</v>
          </cell>
        </row>
        <row r="21">
          <cell r="A21" t="str">
            <v>XT-07</v>
          </cell>
          <cell r="B21" t="str">
            <v>Tường xây gạch AAC trong và ngoài nhà tầng 04</v>
          </cell>
          <cell r="C21" t="str">
            <v>XT-07</v>
          </cell>
          <cell r="D21" t="str">
            <v>14h30</v>
          </cell>
          <cell r="E21" t="str">
            <v>15h30</v>
          </cell>
          <cell r="F21">
            <v>22</v>
          </cell>
          <cell r="G21">
            <v>7</v>
          </cell>
          <cell r="H21">
            <v>2015</v>
          </cell>
          <cell r="I21" t="str">
            <v>Hà Nội, ngày 22 tháng 7 năm 2015</v>
          </cell>
          <cell r="J21" t="str">
            <v>14h30 ngày 22 tháng 7 năm 2015</v>
          </cell>
          <cell r="K21" t="str">
            <v>15h30 ngày 22 tháng 7 năm 2015</v>
          </cell>
          <cell r="L21" t="str">
            <v>15h30</v>
          </cell>
          <cell r="M21" t="str">
            <v>17h15</v>
          </cell>
          <cell r="N21">
            <v>22</v>
          </cell>
          <cell r="O21">
            <v>7</v>
          </cell>
          <cell r="P21">
            <v>2015</v>
          </cell>
          <cell r="Q21" t="str">
            <v>Hà Nội, ngày 22 tháng 7 năm 2015</v>
          </cell>
          <cell r="R21" t="str">
            <v>15h30 ngày 22 tháng 7 năm 2015</v>
          </cell>
          <cell r="S21" t="str">
            <v>17h15 ngày 22 tháng 7 năm 2015</v>
          </cell>
          <cell r="T21" t="str">
            <v>15h30</v>
          </cell>
          <cell r="U21" t="str">
            <v>15h30 Ngày 22/7/2015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KT-104 ĐC1</v>
          </cell>
          <cell r="AQ21" t="str">
            <v>Ngày 22 Tháng 7 Năm 2015</v>
          </cell>
        </row>
        <row r="22">
          <cell r="A22" t="str">
            <v>XT-08</v>
          </cell>
          <cell r="B22" t="str">
            <v>Tường xây gạch đặc, gạch 2 lỗ trong và ngoài nhà tầng 04</v>
          </cell>
          <cell r="C22" t="str">
            <v>XT-08</v>
          </cell>
          <cell r="D22" t="str">
            <v>15h00</v>
          </cell>
          <cell r="E22" t="str">
            <v>16h00</v>
          </cell>
          <cell r="F22">
            <v>27</v>
          </cell>
          <cell r="G22">
            <v>7</v>
          </cell>
          <cell r="H22">
            <v>2015</v>
          </cell>
          <cell r="I22" t="str">
            <v>Hà Nội, ngày 27 tháng 7 năm 2015</v>
          </cell>
          <cell r="J22" t="str">
            <v>15h00 ngày 27 tháng 7 năm 2015</v>
          </cell>
          <cell r="K22" t="str">
            <v>16h00 ngày 27 tháng 7 năm 2015</v>
          </cell>
          <cell r="L22" t="str">
            <v>16h00</v>
          </cell>
          <cell r="M22" t="str">
            <v>17h30</v>
          </cell>
          <cell r="N22">
            <v>27</v>
          </cell>
          <cell r="O22">
            <v>7</v>
          </cell>
          <cell r="P22">
            <v>2015</v>
          </cell>
          <cell r="Q22" t="str">
            <v>Hà Nội, ngày 27 tháng 7 năm 2015</v>
          </cell>
          <cell r="R22" t="str">
            <v>16h00 ngày 27 tháng 7 năm 2015</v>
          </cell>
          <cell r="S22" t="str">
            <v>17h30 ngày 27 tháng 7 năm 2015</v>
          </cell>
          <cell r="T22" t="str">
            <v>16h00</v>
          </cell>
          <cell r="U22" t="str">
            <v>16h00 Ngày 27/7/2015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Cán bộ TVGS</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KT-104 ĐC1</v>
          </cell>
          <cell r="AQ22" t="str">
            <v>Ngày 27 Tháng 7 Năm 2015</v>
          </cell>
        </row>
        <row r="23">
          <cell r="A23" t="str">
            <v>XT-09</v>
          </cell>
          <cell r="B23" t="str">
            <v>Tường xây gạch AAC trong và ngoài nhà tầng 05</v>
          </cell>
          <cell r="C23" t="str">
            <v>XT-09</v>
          </cell>
          <cell r="D23" t="str">
            <v>8h00</v>
          </cell>
          <cell r="E23" t="str">
            <v>9h30</v>
          </cell>
          <cell r="F23">
            <v>27</v>
          </cell>
          <cell r="G23">
            <v>7</v>
          </cell>
          <cell r="H23">
            <v>2015</v>
          </cell>
          <cell r="I23" t="str">
            <v>Hà Nội, ngày 27 tháng 7 năm 2015</v>
          </cell>
          <cell r="J23" t="str">
            <v>8h00 ngày 27 tháng 7 năm 2015</v>
          </cell>
          <cell r="K23" t="str">
            <v>9h30 ngày 27 tháng 7 năm 2015</v>
          </cell>
          <cell r="L23" t="str">
            <v>9h30</v>
          </cell>
          <cell r="M23" t="str">
            <v>11h15</v>
          </cell>
          <cell r="N23">
            <v>27</v>
          </cell>
          <cell r="O23">
            <v>7</v>
          </cell>
          <cell r="P23">
            <v>2015</v>
          </cell>
          <cell r="Q23" t="str">
            <v>Hà Nội, ngày 27 tháng 7 năm 2015</v>
          </cell>
          <cell r="R23" t="str">
            <v>9h30 ngày 27 tháng 7 năm 2015</v>
          </cell>
          <cell r="S23" t="str">
            <v>11h15 ngày 27 tháng 7 năm 2015</v>
          </cell>
          <cell r="T23" t="str">
            <v>9h30</v>
          </cell>
          <cell r="U23" t="str">
            <v>9h30 Ngày 27/7/2015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Cán bộ TVGS</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KT-104 ĐC1</v>
          </cell>
          <cell r="AQ23" t="str">
            <v>Ngày 27 Tháng 7 Năm 2015</v>
          </cell>
        </row>
        <row r="24">
          <cell r="A24" t="str">
            <v>XT-10</v>
          </cell>
          <cell r="B24" t="str">
            <v>Tường xây gạch đặc, gạch 2 lỗ trong và ngoài nhà tầng 05</v>
          </cell>
          <cell r="C24" t="str">
            <v>XT-10</v>
          </cell>
          <cell r="D24" t="str">
            <v>14h30</v>
          </cell>
          <cell r="E24" t="str">
            <v>15h15</v>
          </cell>
          <cell r="F24">
            <v>2</v>
          </cell>
          <cell r="G24">
            <v>8</v>
          </cell>
          <cell r="H24">
            <v>2015</v>
          </cell>
          <cell r="I24" t="str">
            <v>Hà Nội, ngày 2 tháng 8 năm 2015</v>
          </cell>
          <cell r="J24" t="str">
            <v>14h30 ngày 2 tháng 8 năm 2015</v>
          </cell>
          <cell r="K24" t="str">
            <v>15h15 ngày 2 tháng 8 năm 2015</v>
          </cell>
          <cell r="L24" t="str">
            <v>15h15</v>
          </cell>
          <cell r="M24" t="str">
            <v>17h00</v>
          </cell>
          <cell r="N24">
            <v>2</v>
          </cell>
          <cell r="O24">
            <v>8</v>
          </cell>
          <cell r="P24">
            <v>2015</v>
          </cell>
          <cell r="Q24" t="str">
            <v>Hà Nội, ngày 2 tháng 8 năm 2015</v>
          </cell>
          <cell r="R24" t="str">
            <v>15h15 ngày 2 tháng 8 năm 2015</v>
          </cell>
          <cell r="S24" t="str">
            <v>17h00 ngày 2 tháng 8 năm 2015</v>
          </cell>
          <cell r="T24" t="str">
            <v>15h15</v>
          </cell>
          <cell r="U24" t="str">
            <v>15h15 Ngày 2/8/2015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Cán bộ TVGS</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KT-104 ĐC1</v>
          </cell>
          <cell r="AQ24" t="str">
            <v>Ngày 2 Tháng 8 Năm 2015</v>
          </cell>
        </row>
        <row r="25">
          <cell r="A25" t="str">
            <v>XT-11</v>
          </cell>
          <cell r="B25" t="str">
            <v>Tường xây gạch AAC trong và ngoài nhà tầng 06</v>
          </cell>
          <cell r="C25" t="str">
            <v>XT-11</v>
          </cell>
          <cell r="D25" t="str">
            <v>14h00</v>
          </cell>
          <cell r="E25" t="str">
            <v>15h30</v>
          </cell>
          <cell r="F25">
            <v>12</v>
          </cell>
          <cell r="G25">
            <v>8</v>
          </cell>
          <cell r="H25">
            <v>2015</v>
          </cell>
          <cell r="I25" t="str">
            <v>Hà Nội, ngày 12 tháng 8 năm 2015</v>
          </cell>
          <cell r="J25" t="str">
            <v>14h00 ngày 12 tháng 8 năm 2015</v>
          </cell>
          <cell r="K25" t="str">
            <v>15h30 ngày 12 tháng 8 năm 2015</v>
          </cell>
          <cell r="L25" t="str">
            <v>15h30</v>
          </cell>
          <cell r="M25" t="str">
            <v>17h15</v>
          </cell>
          <cell r="N25">
            <v>12</v>
          </cell>
          <cell r="O25">
            <v>8</v>
          </cell>
          <cell r="P25">
            <v>2015</v>
          </cell>
          <cell r="Q25" t="str">
            <v>Hà Nội, ngày 12 tháng 8 năm 2015</v>
          </cell>
          <cell r="R25" t="str">
            <v>15h30 ngày 12 tháng 8 năm 2015</v>
          </cell>
          <cell r="S25" t="str">
            <v>17h15 ngày 12 tháng 8 năm 2015</v>
          </cell>
          <cell r="T25" t="str">
            <v>15h30</v>
          </cell>
          <cell r="U25" t="str">
            <v>15h30 Ngày 12/8/2015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Cán bộ TVGS</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KT-104 ĐC1</v>
          </cell>
          <cell r="AQ25" t="str">
            <v>Ngày 12 Tháng 8 Năm 2015</v>
          </cell>
        </row>
        <row r="26">
          <cell r="A26" t="str">
            <v>XT-12</v>
          </cell>
          <cell r="B26" t="str">
            <v>Tường xây gạch đặc, gạch 2 lỗ trong và ngoài nhà tầng 06</v>
          </cell>
          <cell r="C26" t="str">
            <v>XT-12</v>
          </cell>
          <cell r="D26" t="str">
            <v>8h30</v>
          </cell>
          <cell r="E26" t="str">
            <v>9h00</v>
          </cell>
          <cell r="F26">
            <v>17</v>
          </cell>
          <cell r="G26">
            <v>8</v>
          </cell>
          <cell r="H26">
            <v>2015</v>
          </cell>
          <cell r="I26" t="str">
            <v>Hà Nội, ngày 17 tháng 8 năm 2015</v>
          </cell>
          <cell r="J26" t="str">
            <v>8h30 ngày 17 tháng 8 năm 2015</v>
          </cell>
          <cell r="K26" t="str">
            <v>9h00 ngày 17 tháng 8 năm 2015</v>
          </cell>
          <cell r="L26" t="str">
            <v>9h00</v>
          </cell>
          <cell r="M26" t="str">
            <v>11h00</v>
          </cell>
          <cell r="N26">
            <v>17</v>
          </cell>
          <cell r="O26">
            <v>8</v>
          </cell>
          <cell r="P26">
            <v>2015</v>
          </cell>
          <cell r="Q26" t="str">
            <v>Hà Nội, ngày 17 tháng 8 năm 2015</v>
          </cell>
          <cell r="R26" t="str">
            <v>9h00 ngày 17 tháng 8 năm 2015</v>
          </cell>
          <cell r="S26" t="str">
            <v>11h00 ngày 17 tháng 8 năm 2015</v>
          </cell>
          <cell r="T26" t="str">
            <v>9h00</v>
          </cell>
          <cell r="U26" t="str">
            <v>9h00 Ngày 17/8/2015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Cán bộ TVGS</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KT-104 ĐC1</v>
          </cell>
          <cell r="AQ26" t="str">
            <v>Ngày 17 Tháng 8 Năm 2015</v>
          </cell>
        </row>
        <row r="27">
          <cell r="A27" t="str">
            <v>XT-13</v>
          </cell>
          <cell r="B27" t="str">
            <v>Tường xây gạch AAC trong và ngoài nhà tầng 07</v>
          </cell>
          <cell r="C27" t="str">
            <v>XT-13</v>
          </cell>
          <cell r="D27" t="str">
            <v>15h00</v>
          </cell>
          <cell r="E27" t="str">
            <v>16h00</v>
          </cell>
          <cell r="F27">
            <v>17</v>
          </cell>
          <cell r="G27">
            <v>8</v>
          </cell>
          <cell r="H27">
            <v>2015</v>
          </cell>
          <cell r="I27" t="str">
            <v>Hà Nội, ngày 17 tháng 8 năm 2015</v>
          </cell>
          <cell r="J27" t="str">
            <v>15h00 ngày 17 tháng 8 năm 2015</v>
          </cell>
          <cell r="K27" t="str">
            <v>16h00 ngày 17 tháng 8 năm 2015</v>
          </cell>
          <cell r="L27" t="str">
            <v>16h00</v>
          </cell>
          <cell r="M27" t="str">
            <v>17h00</v>
          </cell>
          <cell r="N27">
            <v>17</v>
          </cell>
          <cell r="O27">
            <v>8</v>
          </cell>
          <cell r="P27">
            <v>2015</v>
          </cell>
          <cell r="Q27" t="str">
            <v>Hà Nội, ngày 17 tháng 8 năm 2015</v>
          </cell>
          <cell r="R27" t="str">
            <v>16h00 ngày 17 tháng 8 năm 2015</v>
          </cell>
          <cell r="S27" t="str">
            <v>17h00 ngày 17 tháng 8 năm 2015</v>
          </cell>
          <cell r="T27" t="str">
            <v>16h00</v>
          </cell>
          <cell r="U27" t="str">
            <v>16h00 Ngày 17/8/2015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Cán bộ TVGS</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KT-104; KT-104 ĐC1</v>
          </cell>
          <cell r="AQ27" t="str">
            <v>Ngày 17 Tháng 8 Năm 2015</v>
          </cell>
        </row>
        <row r="28">
          <cell r="A28" t="str">
            <v>XT-14</v>
          </cell>
          <cell r="B28" t="str">
            <v>Tường xây gạch đặc, gạch 2 lỗ trong và ngoài nhà tầng 07</v>
          </cell>
          <cell r="C28" t="str">
            <v>XT-14</v>
          </cell>
          <cell r="D28" t="str">
            <v>14h30</v>
          </cell>
          <cell r="E28" t="str">
            <v>15h00</v>
          </cell>
          <cell r="F28">
            <v>21</v>
          </cell>
          <cell r="G28">
            <v>8</v>
          </cell>
          <cell r="H28">
            <v>2015</v>
          </cell>
          <cell r="I28" t="str">
            <v>Hà Nội, ngày 21 tháng 8 năm 2015</v>
          </cell>
          <cell r="J28" t="str">
            <v>14h30 ngày 21 tháng 8 năm 2015</v>
          </cell>
          <cell r="K28" t="str">
            <v>15h00 ngày 21 tháng 8 năm 2015</v>
          </cell>
          <cell r="L28" t="str">
            <v>15h00</v>
          </cell>
          <cell r="M28" t="str">
            <v>15h30</v>
          </cell>
          <cell r="N28">
            <v>21</v>
          </cell>
          <cell r="O28">
            <v>8</v>
          </cell>
          <cell r="P28">
            <v>2015</v>
          </cell>
          <cell r="Q28" t="str">
            <v>Hà Nội, ngày 21 tháng 8 năm 2015</v>
          </cell>
          <cell r="R28" t="str">
            <v>15h00 ngày 21 tháng 8 năm 2015</v>
          </cell>
          <cell r="S28" t="str">
            <v>15h30 ngày 21 tháng 8 năm 2015</v>
          </cell>
          <cell r="T28" t="str">
            <v>15h00</v>
          </cell>
          <cell r="U28" t="str">
            <v>15h00 Ngày 21/8/2015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Cán bộ TVGS</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KT-104; KT-104 ĐC1</v>
          </cell>
          <cell r="AQ28" t="str">
            <v>Ngày 21 Tháng 8 Năm 2015</v>
          </cell>
        </row>
        <row r="29">
          <cell r="A29" t="str">
            <v>XT-15</v>
          </cell>
          <cell r="B29" t="str">
            <v>Tường xây gạch AAC trong và ngoài nhà tầng 08</v>
          </cell>
          <cell r="C29" t="str">
            <v>XT-15</v>
          </cell>
          <cell r="D29" t="str">
            <v>16h00</v>
          </cell>
          <cell r="E29" t="str">
            <v>17h00</v>
          </cell>
          <cell r="F29">
            <v>17</v>
          </cell>
          <cell r="G29">
            <v>8</v>
          </cell>
          <cell r="H29">
            <v>2015</v>
          </cell>
          <cell r="I29" t="str">
            <v>Hà Nội, ngày 17 tháng 8 năm 2015</v>
          </cell>
          <cell r="J29" t="str">
            <v>16h00 ngày 17 tháng 8 năm 2015</v>
          </cell>
          <cell r="K29" t="str">
            <v>17h00 ngày 17 tháng 8 năm 2015</v>
          </cell>
          <cell r="L29" t="str">
            <v>17h00</v>
          </cell>
          <cell r="M29" t="str">
            <v>18h00</v>
          </cell>
          <cell r="N29">
            <v>17</v>
          </cell>
          <cell r="O29">
            <v>8</v>
          </cell>
          <cell r="P29">
            <v>2015</v>
          </cell>
          <cell r="Q29" t="str">
            <v>Hà Nội, ngày 17 tháng 8 năm 2015</v>
          </cell>
          <cell r="R29" t="str">
            <v>17h00 ngày 17 tháng 8 năm 2015</v>
          </cell>
          <cell r="S29" t="str">
            <v>18h00 ngày 17 tháng 8 năm 2015</v>
          </cell>
          <cell r="T29" t="str">
            <v>17h00</v>
          </cell>
          <cell r="U29" t="str">
            <v>17h00 Ngày 17/8/2015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Cán bộ TVGS</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KT-104; KT-104 ĐC1</v>
          </cell>
          <cell r="AQ29" t="str">
            <v>Ngày 17 Tháng 8 Năm 2015</v>
          </cell>
        </row>
        <row r="30">
          <cell r="A30" t="str">
            <v>XT-16</v>
          </cell>
          <cell r="B30" t="str">
            <v>Tường xây gạch đặc, gạch 2 lỗ trong và ngoài nhà tầng 08</v>
          </cell>
          <cell r="C30" t="str">
            <v>XT-16</v>
          </cell>
          <cell r="D30" t="str">
            <v>14h30</v>
          </cell>
          <cell r="E30" t="str">
            <v>15h15</v>
          </cell>
          <cell r="F30">
            <v>21</v>
          </cell>
          <cell r="G30">
            <v>8</v>
          </cell>
          <cell r="H30">
            <v>2015</v>
          </cell>
          <cell r="I30" t="str">
            <v>Hà Nội, ngày 21 tháng 8 năm 2015</v>
          </cell>
          <cell r="J30" t="str">
            <v>14h30 ngày 21 tháng 8 năm 2015</v>
          </cell>
          <cell r="K30" t="str">
            <v>15h15 ngày 21 tháng 8 năm 2015</v>
          </cell>
          <cell r="L30" t="str">
            <v>15h15</v>
          </cell>
          <cell r="M30" t="str">
            <v>16h00</v>
          </cell>
          <cell r="N30">
            <v>21</v>
          </cell>
          <cell r="O30">
            <v>8</v>
          </cell>
          <cell r="P30">
            <v>2015</v>
          </cell>
          <cell r="Q30" t="str">
            <v>Hà Nội, ngày 21 tháng 8 năm 2015</v>
          </cell>
          <cell r="R30" t="str">
            <v>15h15 ngày 21 tháng 8 năm 2015</v>
          </cell>
          <cell r="S30" t="str">
            <v>16h00 ngày 21 tháng 8 năm 2015</v>
          </cell>
          <cell r="T30" t="str">
            <v>15h15</v>
          </cell>
          <cell r="U30" t="str">
            <v>15h15 Ngày 21/8/2015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Cán bộ TVGS</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KT-104; KT-104 ĐC1</v>
          </cell>
          <cell r="AQ30" t="str">
            <v>Ngày 21 Tháng 8 Năm 2015</v>
          </cell>
        </row>
        <row r="31">
          <cell r="A31" t="str">
            <v>XT-17</v>
          </cell>
          <cell r="B31" t="str">
            <v>Tường xây gạch AAC trong và ngoài nhà tầng 09</v>
          </cell>
          <cell r="C31" t="str">
            <v>XT-17</v>
          </cell>
          <cell r="D31" t="str">
            <v>15h00</v>
          </cell>
          <cell r="E31" t="str">
            <v>16h00</v>
          </cell>
          <cell r="F31">
            <v>26</v>
          </cell>
          <cell r="G31">
            <v>8</v>
          </cell>
          <cell r="H31">
            <v>2015</v>
          </cell>
          <cell r="I31" t="str">
            <v>Hà Nội, ngày 26 tháng 8 năm 2015</v>
          </cell>
          <cell r="J31" t="str">
            <v>15h00 ngày 26 tháng 8 năm 2015</v>
          </cell>
          <cell r="K31" t="str">
            <v>16h00 ngày 26 tháng 8 năm 2015</v>
          </cell>
          <cell r="L31" t="str">
            <v>16h00</v>
          </cell>
          <cell r="M31" t="str">
            <v>17h00</v>
          </cell>
          <cell r="N31">
            <v>26</v>
          </cell>
          <cell r="O31">
            <v>8</v>
          </cell>
          <cell r="P31">
            <v>2015</v>
          </cell>
          <cell r="Q31" t="str">
            <v>Hà Nội, ngày 26 tháng 8 năm 2015</v>
          </cell>
          <cell r="R31" t="str">
            <v>16h00 ngày 26 tháng 8 năm 2015</v>
          </cell>
          <cell r="S31" t="str">
            <v>17h00 ngày 26 tháng 8 năm 2015</v>
          </cell>
          <cell r="T31" t="str">
            <v>16h00</v>
          </cell>
          <cell r="U31" t="str">
            <v>16h00 Ngày 26/8/2015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Cán bộ TVGS</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KT-104; KT-104 ĐC1</v>
          </cell>
          <cell r="AQ31" t="str">
            <v>Ngày 26 Tháng 8 Năm 2015</v>
          </cell>
        </row>
        <row r="32">
          <cell r="A32" t="str">
            <v>XT-18</v>
          </cell>
          <cell r="B32" t="str">
            <v>Tường xây gạch đặc, gạch 2 lỗ trong và ngoài nhà tầng 09</v>
          </cell>
          <cell r="C32" t="str">
            <v>XT-18</v>
          </cell>
          <cell r="D32" t="str">
            <v>15h30</v>
          </cell>
          <cell r="E32" t="str">
            <v>16h00</v>
          </cell>
          <cell r="F32">
            <v>29</v>
          </cell>
          <cell r="G32">
            <v>8</v>
          </cell>
          <cell r="H32">
            <v>2015</v>
          </cell>
          <cell r="I32" t="str">
            <v>Hà Nội, ngày 29 tháng 8 năm 2015</v>
          </cell>
          <cell r="J32" t="str">
            <v>15h30 ngày 29 tháng 8 năm 2015</v>
          </cell>
          <cell r="K32" t="str">
            <v>16h00 ngày 29 tháng 8 năm 2015</v>
          </cell>
          <cell r="L32" t="str">
            <v>16h00</v>
          </cell>
          <cell r="M32" t="str">
            <v>16h30</v>
          </cell>
          <cell r="N32">
            <v>29</v>
          </cell>
          <cell r="O32">
            <v>8</v>
          </cell>
          <cell r="P32">
            <v>2015</v>
          </cell>
          <cell r="Q32" t="str">
            <v>Hà Nội, ngày 29 tháng 8 năm 2015</v>
          </cell>
          <cell r="R32" t="str">
            <v>16h00 ngày 29 tháng 8 năm 2015</v>
          </cell>
          <cell r="S32" t="str">
            <v>16h30 ngày 29 tháng 8 năm 2015</v>
          </cell>
          <cell r="T32" t="str">
            <v>16h00</v>
          </cell>
          <cell r="U32" t="str">
            <v>16h00 Ngày 29/8/2015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Cán bộ TVGS</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KT-104; KT-104 ĐC1</v>
          </cell>
          <cell r="AQ32" t="str">
            <v>Ngày 29 Tháng 8 Năm 2015</v>
          </cell>
        </row>
        <row r="33">
          <cell r="A33" t="str">
            <v>XT-19</v>
          </cell>
          <cell r="B33" t="str">
            <v>Tường xây gạch AAC trong và ngoài nhà tầng 10</v>
          </cell>
          <cell r="C33" t="str">
            <v>XT-19</v>
          </cell>
          <cell r="D33" t="str">
            <v>14h00</v>
          </cell>
          <cell r="E33" t="str">
            <v>15h00</v>
          </cell>
          <cell r="F33">
            <v>3</v>
          </cell>
          <cell r="G33">
            <v>9</v>
          </cell>
          <cell r="H33">
            <v>2015</v>
          </cell>
          <cell r="I33" t="str">
            <v>Hà Nội, ngày 3 tháng 9 năm 2015</v>
          </cell>
          <cell r="J33" t="str">
            <v>14h00 ngày 3 tháng 9 năm 2015</v>
          </cell>
          <cell r="K33" t="str">
            <v>15h00 ngày 3 tháng 9 năm 2015</v>
          </cell>
          <cell r="L33" t="str">
            <v>15h00</v>
          </cell>
          <cell r="M33" t="str">
            <v>16h00</v>
          </cell>
          <cell r="N33">
            <v>3</v>
          </cell>
          <cell r="O33">
            <v>9</v>
          </cell>
          <cell r="P33">
            <v>2015</v>
          </cell>
          <cell r="Q33" t="str">
            <v>Hà Nội, ngày 3 tháng 9 năm 2015</v>
          </cell>
          <cell r="R33" t="str">
            <v>15h00 ngày 3 tháng 9 năm 2015</v>
          </cell>
          <cell r="S33" t="str">
            <v>16h00 ngày 3 tháng 9 năm 2015</v>
          </cell>
          <cell r="T33" t="str">
            <v>15h00</v>
          </cell>
          <cell r="U33" t="str">
            <v>15h00 Ngày 3/9/2015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Cán bộ TVGS</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KT-104; KT-104 ĐC1</v>
          </cell>
          <cell r="AQ33" t="str">
            <v>Ngày 3 Tháng 9 Năm 2015</v>
          </cell>
        </row>
        <row r="34">
          <cell r="A34" t="str">
            <v>XT-20</v>
          </cell>
          <cell r="B34" t="str">
            <v>Tường xây gạch đặc, gạch 2 lỗ trong và ngoài nhà tầng 10</v>
          </cell>
          <cell r="C34" t="str">
            <v>XT-20</v>
          </cell>
          <cell r="D34" t="str">
            <v>14h30</v>
          </cell>
          <cell r="E34" t="str">
            <v>15h00</v>
          </cell>
          <cell r="F34">
            <v>6</v>
          </cell>
          <cell r="G34">
            <v>9</v>
          </cell>
          <cell r="H34">
            <v>2015</v>
          </cell>
          <cell r="I34" t="str">
            <v>Hà Nội, ngày 6 tháng 9 năm 2015</v>
          </cell>
          <cell r="J34" t="str">
            <v>14h30 ngày 6 tháng 9 năm 2015</v>
          </cell>
          <cell r="K34" t="str">
            <v>15h00 ngày 6 tháng 9 năm 2015</v>
          </cell>
          <cell r="L34" t="str">
            <v>15h00</v>
          </cell>
          <cell r="M34" t="str">
            <v>15h30</v>
          </cell>
          <cell r="N34">
            <v>6</v>
          </cell>
          <cell r="O34">
            <v>9</v>
          </cell>
          <cell r="P34">
            <v>2015</v>
          </cell>
          <cell r="Q34" t="str">
            <v>Hà Nội, ngày 6 tháng 9 năm 2015</v>
          </cell>
          <cell r="R34" t="str">
            <v>15h00 ngày 6 tháng 9 năm 2015</v>
          </cell>
          <cell r="S34" t="str">
            <v>15h30 ngày 6 tháng 9 năm 2015</v>
          </cell>
          <cell r="T34" t="str">
            <v>15h00</v>
          </cell>
          <cell r="U34" t="str">
            <v>15h00 Ngày 6/9/2015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Cán bộ TVGS</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KT-104; KT-104 ĐC1</v>
          </cell>
          <cell r="AQ34" t="str">
            <v>Ngày 6 Tháng 9 Năm 2015</v>
          </cell>
        </row>
        <row r="35">
          <cell r="A35" t="str">
            <v>XT-21</v>
          </cell>
          <cell r="B35" t="str">
            <v>Tường xây gạch AAC trong và ngoài nhà tầng 11</v>
          </cell>
          <cell r="C35" t="str">
            <v>XT-21</v>
          </cell>
          <cell r="D35" t="str">
            <v>16h00</v>
          </cell>
          <cell r="E35" t="str">
            <v>17h00</v>
          </cell>
          <cell r="F35">
            <v>5</v>
          </cell>
          <cell r="G35">
            <v>9</v>
          </cell>
          <cell r="H35">
            <v>2015</v>
          </cell>
          <cell r="I35" t="str">
            <v>Hà Nội, ngày 5 tháng 9 năm 2015</v>
          </cell>
          <cell r="J35" t="str">
            <v>16h00 ngày 5 tháng 9 năm 2015</v>
          </cell>
          <cell r="K35" t="str">
            <v>17h00 ngày 5 tháng 9 năm 2015</v>
          </cell>
          <cell r="L35" t="str">
            <v>17h00</v>
          </cell>
          <cell r="M35" t="str">
            <v>18h00</v>
          </cell>
          <cell r="N35">
            <v>5</v>
          </cell>
          <cell r="O35">
            <v>9</v>
          </cell>
          <cell r="P35">
            <v>2015</v>
          </cell>
          <cell r="Q35" t="str">
            <v>Hà Nội, ngày 5 tháng 9 năm 2015</v>
          </cell>
          <cell r="R35" t="str">
            <v>17h00 ngày 5 tháng 9 năm 2015</v>
          </cell>
          <cell r="S35" t="str">
            <v>18h00 ngày 5 tháng 9 năm 2015</v>
          </cell>
          <cell r="T35" t="str">
            <v>17h00</v>
          </cell>
          <cell r="U35" t="str">
            <v>17h00 Ngày 5/9/2015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Cán bộ TVGS</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KT-104; KT-104 ĐC1</v>
          </cell>
          <cell r="AQ35" t="str">
            <v>Ngày 5 Tháng 9 Năm 2015</v>
          </cell>
        </row>
        <row r="36">
          <cell r="A36" t="str">
            <v>XT-22</v>
          </cell>
          <cell r="B36" t="str">
            <v>Tường xây gạch đặc, gạch 2 lỗ trong và ngoài nhà tầng 11</v>
          </cell>
          <cell r="C36" t="str">
            <v>XT-22</v>
          </cell>
          <cell r="D36" t="str">
            <v>15h30</v>
          </cell>
          <cell r="E36" t="str">
            <v>16h00</v>
          </cell>
          <cell r="F36">
            <v>9</v>
          </cell>
          <cell r="G36">
            <v>9</v>
          </cell>
          <cell r="H36">
            <v>2015</v>
          </cell>
          <cell r="I36" t="str">
            <v>Hà Nội, ngày 9 tháng 9 năm 2015</v>
          </cell>
          <cell r="J36" t="str">
            <v>15h30 ngày 9 tháng 9 năm 2015</v>
          </cell>
          <cell r="K36" t="str">
            <v>16h00 ngày 9 tháng 9 năm 2015</v>
          </cell>
          <cell r="L36" t="str">
            <v>16h00</v>
          </cell>
          <cell r="M36" t="str">
            <v>16h30</v>
          </cell>
          <cell r="N36">
            <v>9</v>
          </cell>
          <cell r="O36">
            <v>9</v>
          </cell>
          <cell r="P36">
            <v>2015</v>
          </cell>
          <cell r="Q36" t="str">
            <v>Hà Nội, ngày 9 tháng 9 năm 2015</v>
          </cell>
          <cell r="R36" t="str">
            <v>16h00 ngày 9 tháng 9 năm 2015</v>
          </cell>
          <cell r="S36" t="str">
            <v>16h30 ngày 9 tháng 9 năm 2015</v>
          </cell>
          <cell r="T36" t="str">
            <v>16h00</v>
          </cell>
          <cell r="U36" t="str">
            <v>16h00 Ngày 9/9/2015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Cán bộ TVGS</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KT-104; KT-104 ĐC1</v>
          </cell>
          <cell r="AQ36" t="str">
            <v>Ngày 9 Tháng 9 Năm 2015</v>
          </cell>
        </row>
        <row r="37">
          <cell r="A37" t="str">
            <v>XT-23</v>
          </cell>
          <cell r="B37" t="str">
            <v>Tường xây gạch AAC trong và ngoài nhà tầng áp mái</v>
          </cell>
          <cell r="C37" t="str">
            <v>XT-23</v>
          </cell>
          <cell r="D37" t="str">
            <v>8h00</v>
          </cell>
          <cell r="E37" t="str">
            <v>9h30</v>
          </cell>
          <cell r="F37">
            <v>12</v>
          </cell>
          <cell r="G37">
            <v>9</v>
          </cell>
          <cell r="H37">
            <v>2015</v>
          </cell>
          <cell r="I37" t="str">
            <v>Hà Nội, ngày 12 tháng 9 năm 2015</v>
          </cell>
          <cell r="J37" t="str">
            <v>8h00 ngày 12 tháng 9 năm 2015</v>
          </cell>
          <cell r="K37" t="str">
            <v>9h30 ngày 12 tháng 9 năm 2015</v>
          </cell>
          <cell r="L37" t="str">
            <v>9h30</v>
          </cell>
          <cell r="M37" t="str">
            <v>11h00</v>
          </cell>
          <cell r="N37">
            <v>12</v>
          </cell>
          <cell r="O37">
            <v>9</v>
          </cell>
          <cell r="P37">
            <v>2015</v>
          </cell>
          <cell r="Q37" t="str">
            <v>Hà Nội, ngày 12 tháng 9 năm 2015</v>
          </cell>
          <cell r="R37" t="str">
            <v>9h30 ngày 12 tháng 9 năm 2015</v>
          </cell>
          <cell r="S37" t="str">
            <v>11h00 ngày 12 tháng 9 năm 2015</v>
          </cell>
          <cell r="T37" t="str">
            <v>9h30</v>
          </cell>
          <cell r="U37" t="str">
            <v>9h30 Ngày 12/9/2015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Cán bộ TVGS</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KT-105; KT-105 ĐC1</v>
          </cell>
          <cell r="AQ37" t="str">
            <v>Ngày 12 Tháng 9 Năm 2015</v>
          </cell>
        </row>
        <row r="38">
          <cell r="A38" t="str">
            <v>XT-24</v>
          </cell>
          <cell r="B38" t="str">
            <v>Tường xây gạch đặc, gạch 2 lỗ trong và ngoài nhà tầng áp mái</v>
          </cell>
          <cell r="C38" t="str">
            <v>XT-24</v>
          </cell>
          <cell r="D38" t="str">
            <v>14h00</v>
          </cell>
          <cell r="E38" t="str">
            <v>15h00</v>
          </cell>
          <cell r="F38">
            <v>15</v>
          </cell>
          <cell r="G38">
            <v>9</v>
          </cell>
          <cell r="H38">
            <v>2015</v>
          </cell>
          <cell r="I38" t="str">
            <v>Hà Nội, ngày 15 tháng 9 năm 2015</v>
          </cell>
          <cell r="J38" t="str">
            <v>14h00 ngày 15 tháng 9 năm 2015</v>
          </cell>
          <cell r="K38" t="str">
            <v>15h00 ngày 15 tháng 9 năm 2015</v>
          </cell>
          <cell r="L38" t="str">
            <v>15h00</v>
          </cell>
          <cell r="M38" t="str">
            <v>16h00</v>
          </cell>
          <cell r="N38">
            <v>15</v>
          </cell>
          <cell r="O38">
            <v>9</v>
          </cell>
          <cell r="P38">
            <v>2015</v>
          </cell>
          <cell r="Q38" t="str">
            <v>Hà Nội, ngày 15 tháng 9 năm 2015</v>
          </cell>
          <cell r="R38" t="str">
            <v>15h00 ngày 15 tháng 9 năm 2015</v>
          </cell>
          <cell r="S38" t="str">
            <v>16h00 ngày 15 tháng 9 năm 2015</v>
          </cell>
          <cell r="T38" t="str">
            <v>15h00</v>
          </cell>
          <cell r="U38" t="str">
            <v>15h00 Ngày 15/9/2015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Cán bộ TVGS</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KT-105; KT-105 ĐC1</v>
          </cell>
          <cell r="AQ38" t="str">
            <v>Ngày 15 Tháng 9 Năm 2015</v>
          </cell>
        </row>
        <row r="39">
          <cell r="A39" t="str">
            <v>XT-25</v>
          </cell>
          <cell r="B39" t="str">
            <v>Tường xây gạch AAC tầng mái</v>
          </cell>
          <cell r="C39" t="str">
            <v>XT-25</v>
          </cell>
          <cell r="D39" t="str">
            <v>8h00</v>
          </cell>
          <cell r="E39" t="str">
            <v>8h45</v>
          </cell>
          <cell r="F39">
            <v>18</v>
          </cell>
          <cell r="G39">
            <v>9</v>
          </cell>
          <cell r="H39">
            <v>2015</v>
          </cell>
          <cell r="I39" t="str">
            <v>Hà Nội, ngày 18 tháng 9 năm 2015</v>
          </cell>
          <cell r="J39" t="str">
            <v>8h00 ngày 18 tháng 9 năm 2015</v>
          </cell>
          <cell r="K39" t="str">
            <v>8h45 ngày 18 tháng 9 năm 2015</v>
          </cell>
          <cell r="L39" t="str">
            <v>8h45</v>
          </cell>
          <cell r="M39" t="str">
            <v>9h30</v>
          </cell>
          <cell r="N39">
            <v>18</v>
          </cell>
          <cell r="O39">
            <v>9</v>
          </cell>
          <cell r="P39">
            <v>2015</v>
          </cell>
          <cell r="Q39" t="str">
            <v>Hà Nội, ngày 18 tháng 9 năm 2015</v>
          </cell>
          <cell r="R39" t="str">
            <v>8h45 ngày 18 tháng 9 năm 2015</v>
          </cell>
          <cell r="S39" t="str">
            <v>9h30 ngày 18 tháng 9 năm 2015</v>
          </cell>
          <cell r="T39" t="str">
            <v>8h45</v>
          </cell>
          <cell r="U39" t="str">
            <v>8h45 Ngày 18/9/2015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Cán bộ TVGS</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KT-106; KT-112; KT-113</v>
          </cell>
          <cell r="AQ39" t="str">
            <v>Ngày 18 Tháng 9 Năm 2015</v>
          </cell>
        </row>
        <row r="40">
          <cell r="A40" t="str">
            <v>XT-26</v>
          </cell>
          <cell r="B40" t="str">
            <v>Tường xây gạch AAC trong và ngoài nhà tầng 01 (phần xây bổ sung)</v>
          </cell>
          <cell r="C40" t="str">
            <v>XT-26</v>
          </cell>
          <cell r="D40" t="str">
            <v>8h00</v>
          </cell>
          <cell r="E40" t="str">
            <v>8h30</v>
          </cell>
          <cell r="F40">
            <v>30</v>
          </cell>
          <cell r="G40">
            <v>10</v>
          </cell>
          <cell r="H40">
            <v>2015</v>
          </cell>
          <cell r="I40" t="str">
            <v>Hà Nội, ngày 30 tháng 10 năm 2015</v>
          </cell>
          <cell r="J40" t="str">
            <v>8h00 ngày 30 tháng 10 năm 2015</v>
          </cell>
          <cell r="K40" t="str">
            <v>8h30 ngày 30 tháng 10 năm 2015</v>
          </cell>
          <cell r="L40" t="str">
            <v>9h00</v>
          </cell>
          <cell r="M40" t="str">
            <v>9h30</v>
          </cell>
          <cell r="N40">
            <v>30</v>
          </cell>
          <cell r="O40">
            <v>10</v>
          </cell>
          <cell r="P40">
            <v>2015</v>
          </cell>
          <cell r="Q40" t="str">
            <v>Hà Nội, ngày 30 tháng 10 năm 2015</v>
          </cell>
          <cell r="R40" t="str">
            <v>9h00 ngày 30 tháng 10 năm 2015</v>
          </cell>
          <cell r="S40" t="str">
            <v>9h30 ngày 30 tháng 10 năm 2015</v>
          </cell>
          <cell r="T40" t="str">
            <v>9h00</v>
          </cell>
          <cell r="U40" t="str">
            <v>9h00 Ngày 30/10/2015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Cán bộ TVGS</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KT-101 ĐC1; KT-102-ĐC</v>
          </cell>
          <cell r="AQ40" t="str">
            <v>Ngày 30 Tháng 10 Năm 2015</v>
          </cell>
        </row>
        <row r="41">
          <cell r="A41" t="str">
            <v>XT-27</v>
          </cell>
          <cell r="B41" t="str">
            <v>Tường xây gạch đặc, gạch 2 lỗ trong và ngoài nhà tầng 01 (phần xây bổ sung)</v>
          </cell>
          <cell r="C41" t="str">
            <v>XT-27</v>
          </cell>
          <cell r="D41" t="str">
            <v>8h00</v>
          </cell>
          <cell r="E41" t="str">
            <v>8h30</v>
          </cell>
          <cell r="F41">
            <v>30</v>
          </cell>
          <cell r="G41">
            <v>10</v>
          </cell>
          <cell r="H41">
            <v>2015</v>
          </cell>
          <cell r="I41" t="str">
            <v>Hà Nội, ngày 30 tháng 10 năm 2015</v>
          </cell>
          <cell r="J41" t="str">
            <v>8h00 ngày 30 tháng 10 năm 2015</v>
          </cell>
          <cell r="K41" t="str">
            <v>8h30 ngày 30 tháng 10 năm 2015</v>
          </cell>
          <cell r="L41" t="str">
            <v>9h00</v>
          </cell>
          <cell r="M41" t="str">
            <v>9h30</v>
          </cell>
          <cell r="N41">
            <v>30</v>
          </cell>
          <cell r="O41">
            <v>10</v>
          </cell>
          <cell r="P41">
            <v>2015</v>
          </cell>
          <cell r="Q41" t="str">
            <v>Hà Nội, ngày 30 tháng 10 năm 2015</v>
          </cell>
          <cell r="R41" t="str">
            <v>9h00 ngày 30 tháng 10 năm 2015</v>
          </cell>
          <cell r="S41" t="str">
            <v>9h30 ngày 30 tháng 10 năm 2015</v>
          </cell>
          <cell r="T41" t="str">
            <v>9h00</v>
          </cell>
          <cell r="U41" t="str">
            <v>9h00 Ngày 30/10/2015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Cán bộ TVGS</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KT-101 ĐC1; KT-102-ĐC</v>
          </cell>
          <cell r="AQ41" t="str">
            <v>Ngày 30 Tháng 10 Năm 2015</v>
          </cell>
        </row>
        <row r="45">
          <cell r="D45" t="str">
            <v>………</v>
          </cell>
          <cell r="E45" t="str">
            <v>………</v>
          </cell>
          <cell r="F45" t="str">
            <v>………</v>
          </cell>
          <cell r="G45" t="str">
            <v>………</v>
          </cell>
          <cell r="H45">
            <v>2015</v>
          </cell>
          <cell r="I45" t="str">
            <v>Hà Nội, ngày ……… tháng ……… năm 2015</v>
          </cell>
          <cell r="J45" t="str">
            <v>……… ngày ……… tháng ……… năm 2015</v>
          </cell>
          <cell r="K45" t="str">
            <v>……… ngày ……… tháng ……… năm 2015</v>
          </cell>
          <cell r="L45" t="str">
            <v>………</v>
          </cell>
          <cell r="M45" t="str">
            <v>………</v>
          </cell>
          <cell r="N45" t="str">
            <v>………</v>
          </cell>
          <cell r="O45" t="str">
            <v>………</v>
          </cell>
          <cell r="P45">
            <v>2015</v>
          </cell>
          <cell r="Q45" t="str">
            <v>Hà Nội, ngày ……… tháng ……… năm 2015</v>
          </cell>
          <cell r="R45" t="str">
            <v>……… ngày ……… tháng ……… năm 2015</v>
          </cell>
          <cell r="S45" t="str">
            <v>……… ngày ……… tháng ……… năm 2015</v>
          </cell>
          <cell r="T45" t="str">
            <v>………</v>
          </cell>
          <cell r="U45" t="str">
            <v>……… Ngày ………/………/2015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Cán bộ TVGS</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Q45" t="str">
            <v>Ngày ……… Tháng ……… Năm 2015</v>
          </cell>
        </row>
        <row r="46">
          <cell r="A46" t="str">
            <v>XCT-01</v>
          </cell>
          <cell r="B46" t="str">
            <v>Xây cầu thang bộ LT, TB tầng 01, tầng 02, tầng 03</v>
          </cell>
          <cell r="C46" t="str">
            <v>XCT-01</v>
          </cell>
          <cell r="D46" t="str">
            <v>15h00</v>
          </cell>
          <cell r="E46" t="str">
            <v>15h45</v>
          </cell>
          <cell r="F46">
            <v>9</v>
          </cell>
          <cell r="G46">
            <v>7</v>
          </cell>
          <cell r="H46">
            <v>2015</v>
          </cell>
          <cell r="I46" t="str">
            <v>Hà Nội, ngày 9 tháng 7 năm 2015</v>
          </cell>
          <cell r="J46" t="str">
            <v>15h00 ngày 9 tháng 7 năm 2015</v>
          </cell>
          <cell r="K46" t="str">
            <v>15h45 ngày 9 tháng 7 năm 2015</v>
          </cell>
          <cell r="L46" t="str">
            <v>15h45</v>
          </cell>
          <cell r="M46" t="str">
            <v>16h30</v>
          </cell>
          <cell r="N46">
            <v>9</v>
          </cell>
          <cell r="O46">
            <v>7</v>
          </cell>
          <cell r="P46">
            <v>2015</v>
          </cell>
          <cell r="Q46" t="str">
            <v>Hà Nội, ngày 9 tháng 7 năm 2015</v>
          </cell>
          <cell r="R46" t="str">
            <v>15h45 ngày 9 tháng 7 năm 2015</v>
          </cell>
          <cell r="S46" t="str">
            <v>16h30 ngày 9 tháng 7 năm 2015</v>
          </cell>
          <cell r="T46" t="str">
            <v>15h45</v>
          </cell>
          <cell r="U46" t="str">
            <v>15h45 Ngày 9/7/2015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Cán bộ TVGS</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KC-62; KC-63; KT-100</v>
          </cell>
          <cell r="AQ46" t="str">
            <v>Ngày 9 Tháng 7 Năm 2015</v>
          </cell>
        </row>
        <row r="47">
          <cell r="A47" t="str">
            <v>XCT-02</v>
          </cell>
          <cell r="B47" t="str">
            <v>Xây cầu thang bộ LT, TB tầng 04, tầng 05, tầng 06</v>
          </cell>
          <cell r="C47" t="str">
            <v>XCT-02</v>
          </cell>
          <cell r="D47" t="str">
            <v>14h00</v>
          </cell>
          <cell r="E47" t="str">
            <v>14h45</v>
          </cell>
          <cell r="F47">
            <v>4</v>
          </cell>
          <cell r="G47">
            <v>9</v>
          </cell>
          <cell r="H47">
            <v>2015</v>
          </cell>
          <cell r="I47" t="str">
            <v>Hà Nội, ngày 4 tháng 9 năm 2015</v>
          </cell>
          <cell r="J47" t="str">
            <v>14h00 ngày 4 tháng 9 năm 2015</v>
          </cell>
          <cell r="K47" t="str">
            <v>14h45 ngày 4 tháng 9 năm 2015</v>
          </cell>
          <cell r="L47" t="str">
            <v>14h45</v>
          </cell>
          <cell r="M47" t="str">
            <v>15h30</v>
          </cell>
          <cell r="N47">
            <v>4</v>
          </cell>
          <cell r="O47">
            <v>9</v>
          </cell>
          <cell r="P47">
            <v>2015</v>
          </cell>
          <cell r="Q47" t="str">
            <v>Hà Nội, ngày 4 tháng 9 năm 2015</v>
          </cell>
          <cell r="R47" t="str">
            <v>14h45 ngày 4 tháng 9 năm 2015</v>
          </cell>
          <cell r="S47" t="str">
            <v>15h30 ngày 4 tháng 9 năm 2015</v>
          </cell>
          <cell r="T47" t="str">
            <v>14h45</v>
          </cell>
          <cell r="U47" t="str">
            <v>14h45 Ngày 4/9/2015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Cán bộ TVGS</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t="str">
            <v>KC-62; KC-63; KT-100</v>
          </cell>
          <cell r="AQ47" t="str">
            <v>Ngày 4 Tháng 9 Năm 2015</v>
          </cell>
        </row>
        <row r="48">
          <cell r="A48" t="str">
            <v>XCT-03</v>
          </cell>
          <cell r="B48" t="str">
            <v>Xây cầu thang bộ LT, TB tầng 07, tầng 08, tầng 09</v>
          </cell>
          <cell r="C48" t="str">
            <v>XCT-03</v>
          </cell>
          <cell r="D48" t="str">
            <v>14h30</v>
          </cell>
          <cell r="E48" t="str">
            <v>15h15</v>
          </cell>
          <cell r="F48">
            <v>5</v>
          </cell>
          <cell r="G48">
            <v>9</v>
          </cell>
          <cell r="H48">
            <v>2015</v>
          </cell>
          <cell r="I48" t="str">
            <v>Hà Nội, ngày 5 tháng 9 năm 2015</v>
          </cell>
          <cell r="J48" t="str">
            <v>14h30 ngày 5 tháng 9 năm 2015</v>
          </cell>
          <cell r="K48" t="str">
            <v>15h15 ngày 5 tháng 9 năm 2015</v>
          </cell>
          <cell r="L48" t="str">
            <v>15h15</v>
          </cell>
          <cell r="M48" t="str">
            <v>16h00</v>
          </cell>
          <cell r="N48">
            <v>5</v>
          </cell>
          <cell r="O48">
            <v>9</v>
          </cell>
          <cell r="P48">
            <v>2015</v>
          </cell>
          <cell r="Q48" t="str">
            <v>Hà Nội, ngày 5 tháng 9 năm 2015</v>
          </cell>
          <cell r="R48" t="str">
            <v>15h15 ngày 5 tháng 9 năm 2015</v>
          </cell>
          <cell r="S48" t="str">
            <v>16h00 ngày 5 tháng 9 năm 2015</v>
          </cell>
          <cell r="T48" t="str">
            <v>15h15</v>
          </cell>
          <cell r="U48" t="str">
            <v>15h15 Ngày 5/9/2015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Cán bộ TVGS</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t="str">
            <v>KC-62; KC-63; KT-100</v>
          </cell>
          <cell r="AQ48" t="str">
            <v>Ngày 5 Tháng 9 Năm 2015</v>
          </cell>
        </row>
        <row r="49">
          <cell r="A49" t="str">
            <v>XCT-04</v>
          </cell>
          <cell r="B49" t="str">
            <v>Xây cầu thang bộ LT, TB tầng 10, tầng 11</v>
          </cell>
          <cell r="C49" t="str">
            <v>XCT-04</v>
          </cell>
          <cell r="D49" t="str">
            <v>15h00</v>
          </cell>
          <cell r="E49" t="str">
            <v>15h45</v>
          </cell>
          <cell r="F49">
            <v>14</v>
          </cell>
          <cell r="G49">
            <v>9</v>
          </cell>
          <cell r="H49">
            <v>2015</v>
          </cell>
          <cell r="I49" t="str">
            <v>Hà Nội, ngày 14 tháng 9 năm 2015</v>
          </cell>
          <cell r="J49" t="str">
            <v>15h00 ngày 14 tháng 9 năm 2015</v>
          </cell>
          <cell r="K49" t="str">
            <v>15h45 ngày 14 tháng 9 năm 2015</v>
          </cell>
          <cell r="L49" t="str">
            <v>15h45</v>
          </cell>
          <cell r="M49" t="str">
            <v>16h30</v>
          </cell>
          <cell r="N49">
            <v>14</v>
          </cell>
          <cell r="O49">
            <v>9</v>
          </cell>
          <cell r="P49">
            <v>2015</v>
          </cell>
          <cell r="Q49" t="str">
            <v>Hà Nội, ngày 14 tháng 9 năm 2015</v>
          </cell>
          <cell r="R49" t="str">
            <v>15h45 ngày 14 tháng 9 năm 2015</v>
          </cell>
          <cell r="S49" t="str">
            <v>16h30 ngày 14 tháng 9 năm 2015</v>
          </cell>
          <cell r="T49" t="str">
            <v>15h45</v>
          </cell>
          <cell r="U49" t="str">
            <v>15h45 Ngày 14/9/2015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Cán bộ TVGS</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t="str">
            <v>KC-62; KC-63; KT-100</v>
          </cell>
          <cell r="AQ49" t="str">
            <v>Ngày 14 Tháng 9 Năm 2015</v>
          </cell>
        </row>
        <row r="50">
          <cell r="D50" t="str">
            <v>………</v>
          </cell>
          <cell r="E50" t="str">
            <v>………</v>
          </cell>
          <cell r="F50" t="str">
            <v>………</v>
          </cell>
          <cell r="G50" t="str">
            <v>………</v>
          </cell>
          <cell r="H50">
            <v>2015</v>
          </cell>
          <cell r="I50" t="str">
            <v>Hà Nội, ngày ……… tháng ……… năm 2015</v>
          </cell>
          <cell r="J50" t="str">
            <v>……… ngày ……… tháng ……… năm 2015</v>
          </cell>
          <cell r="K50" t="str">
            <v>……… ngày ……… tháng ……… năm 2015</v>
          </cell>
          <cell r="L50" t="str">
            <v>………</v>
          </cell>
          <cell r="M50" t="str">
            <v>………</v>
          </cell>
          <cell r="N50" t="str">
            <v>………</v>
          </cell>
          <cell r="O50" t="str">
            <v>………</v>
          </cell>
          <cell r="P50">
            <v>2015</v>
          </cell>
          <cell r="Q50" t="str">
            <v>Hà Nội, ngày ……… tháng ……… năm 2015</v>
          </cell>
          <cell r="R50" t="str">
            <v>……… ngày ……… tháng ……… năm 2015</v>
          </cell>
          <cell r="S50" t="str">
            <v>……… ngày ……… tháng ……… năm 2015</v>
          </cell>
          <cell r="T50" t="str">
            <v>………</v>
          </cell>
          <cell r="U50" t="str">
            <v>……… Ngày ………/………/2015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Cán bộ TVGS</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Q50" t="str">
            <v>Ngày ……… Tháng ……… Năm 2015</v>
          </cell>
        </row>
        <row r="51">
          <cell r="A51" t="str">
            <v>XTC-01</v>
          </cell>
          <cell r="B51" t="str">
            <v>Xây gạch chỉ đặc bậc tam cấp TC1, TC3, TC3* vữa xi măng cát mác 75#</v>
          </cell>
          <cell r="C51" t="str">
            <v>XTC-01</v>
          </cell>
          <cell r="D51" t="str">
            <v>8h30</v>
          </cell>
          <cell r="E51" t="str">
            <v>9h00</v>
          </cell>
          <cell r="F51">
            <v>29</v>
          </cell>
          <cell r="G51">
            <v>11</v>
          </cell>
          <cell r="H51">
            <v>2015</v>
          </cell>
          <cell r="I51" t="str">
            <v>Hà Nội, ngày 29 tháng 11 năm 2015</v>
          </cell>
          <cell r="J51" t="str">
            <v>8h30 ngày 29 tháng 11 năm 2015</v>
          </cell>
          <cell r="K51" t="str">
            <v>9h00 ngày 29 tháng 11 năm 2015</v>
          </cell>
          <cell r="L51" t="str">
            <v>9h30</v>
          </cell>
          <cell r="M51" t="str">
            <v>10h00</v>
          </cell>
          <cell r="N51">
            <v>29</v>
          </cell>
          <cell r="O51">
            <v>11</v>
          </cell>
          <cell r="P51">
            <v>2015</v>
          </cell>
          <cell r="Q51" t="str">
            <v>Hà Nội, ngày 29 tháng 11 năm 2015</v>
          </cell>
          <cell r="R51" t="str">
            <v>9h30 ngày 29 tháng 11 năm 2015</v>
          </cell>
          <cell r="S51" t="str">
            <v>10h00 ngày 29 tháng 11 năm 2015</v>
          </cell>
          <cell r="T51" t="str">
            <v>9h30</v>
          </cell>
          <cell r="U51" t="str">
            <v>9h30 Ngày 29/11/2015</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Cán bộ TVGS</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N51" t="str">
            <v>KT-316; KT-317; KC-BS-01; KC-BS-02</v>
          </cell>
          <cell r="AQ51" t="str">
            <v>Ngày 29 Tháng 11 Năm 2015</v>
          </cell>
        </row>
        <row r="52">
          <cell r="D52" t="str">
            <v>………</v>
          </cell>
          <cell r="E52" t="str">
            <v>………</v>
          </cell>
          <cell r="F52" t="str">
            <v>………</v>
          </cell>
          <cell r="G52" t="str">
            <v>………</v>
          </cell>
          <cell r="H52">
            <v>2015</v>
          </cell>
          <cell r="I52" t="str">
            <v>Hà Nội, ngày ……… tháng ……… năm 2015</v>
          </cell>
          <cell r="J52" t="str">
            <v>……… ngày ……… tháng ……… năm 2015</v>
          </cell>
          <cell r="K52" t="str">
            <v>……… ngày ……… tháng ……… năm 2015</v>
          </cell>
          <cell r="L52" t="str">
            <v>………</v>
          </cell>
          <cell r="M52" t="str">
            <v>………</v>
          </cell>
          <cell r="N52" t="str">
            <v>………</v>
          </cell>
          <cell r="O52" t="str">
            <v>………</v>
          </cell>
          <cell r="P52">
            <v>2015</v>
          </cell>
          <cell r="Q52" t="str">
            <v>Hà Nội, ngày ……… tháng ……… năm 2015</v>
          </cell>
          <cell r="R52" t="str">
            <v>……… ngày ……… tháng ……… năm 2015</v>
          </cell>
          <cell r="S52" t="str">
            <v>……… ngày ……… tháng ……… năm 2015</v>
          </cell>
          <cell r="T52" t="str">
            <v>………</v>
          </cell>
          <cell r="U52" t="str">
            <v>……… Ngày ………/………/2015</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Cán bộ TVGS</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Q52" t="str">
            <v>Ngày ……… Tháng ……… Năm 2015</v>
          </cell>
        </row>
        <row r="53">
          <cell r="D53" t="str">
            <v>………</v>
          </cell>
          <cell r="E53" t="str">
            <v>………</v>
          </cell>
          <cell r="F53" t="str">
            <v>………</v>
          </cell>
          <cell r="G53" t="str">
            <v>………</v>
          </cell>
          <cell r="H53">
            <v>2015</v>
          </cell>
          <cell r="I53" t="str">
            <v>Hà Nội, ngày ……… tháng ……… năm 2015</v>
          </cell>
          <cell r="J53" t="str">
            <v>……… ngày ……… tháng ……… năm 2015</v>
          </cell>
          <cell r="K53" t="str">
            <v>……… ngày ……… tháng ……… năm 2015</v>
          </cell>
          <cell r="L53" t="str">
            <v>………</v>
          </cell>
          <cell r="M53" t="str">
            <v>………</v>
          </cell>
          <cell r="N53" t="str">
            <v>………</v>
          </cell>
          <cell r="O53" t="str">
            <v>………</v>
          </cell>
          <cell r="P53">
            <v>2015</v>
          </cell>
          <cell r="Q53" t="str">
            <v>Hà Nội, ngày ……… tháng ……… năm 2015</v>
          </cell>
          <cell r="R53" t="str">
            <v>……… ngày ……… tháng ……… năm 2015</v>
          </cell>
          <cell r="S53" t="str">
            <v>……… ngày ……… tháng ……… năm 2015</v>
          </cell>
          <cell r="T53" t="str">
            <v>………</v>
          </cell>
          <cell r="U53" t="str">
            <v>……… Ngày ………/………/2015</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Cán bộ TVGS</v>
          </cell>
          <cell r="AH53" t="str">
            <v>Nguyễn Ái Việt</v>
          </cell>
          <cell r="AI53" t="str">
            <v>Chỉ huy trưởng</v>
          </cell>
          <cell r="AJ53" t="str">
            <v>Hoàng Chiến Thắng</v>
          </cell>
          <cell r="AK53" t="str">
            <v>P. Chỉ huy trưởng</v>
          </cell>
          <cell r="AL53" t="str">
            <v>Trịnh Quang Đức</v>
          </cell>
          <cell r="AM53" t="str">
            <v>Cán bộ kỹ thuật</v>
          </cell>
        </row>
        <row r="54">
          <cell r="D54" t="str">
            <v>………</v>
          </cell>
          <cell r="E54" t="str">
            <v>………</v>
          </cell>
          <cell r="F54" t="str">
            <v>………</v>
          </cell>
          <cell r="G54" t="str">
            <v>………</v>
          </cell>
          <cell r="H54">
            <v>2015</v>
          </cell>
          <cell r="I54" t="str">
            <v>Hà Nội, ngày ……… tháng ……… năm 2015</v>
          </cell>
          <cell r="J54" t="str">
            <v>……… ngày ……… tháng ……… năm 2015</v>
          </cell>
          <cell r="K54" t="str">
            <v>……… ngày ……… tháng ……… năm 2015</v>
          </cell>
          <cell r="L54" t="str">
            <v>………</v>
          </cell>
          <cell r="M54" t="str">
            <v>………</v>
          </cell>
          <cell r="N54" t="str">
            <v>………</v>
          </cell>
          <cell r="O54" t="str">
            <v>………</v>
          </cell>
          <cell r="P54">
            <v>2015</v>
          </cell>
          <cell r="Q54" t="str">
            <v>Hà Nội, ngày ……… tháng ……… năm 2015</v>
          </cell>
          <cell r="R54" t="str">
            <v>……… ngày ……… tháng ……… năm 2015</v>
          </cell>
          <cell r="S54" t="str">
            <v>……… ngày ……… tháng ……… năm 2015</v>
          </cell>
          <cell r="T54" t="str">
            <v>………</v>
          </cell>
          <cell r="U54" t="str">
            <v>……… Ngày ………/………/2015</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Cán bộ TVGS</v>
          </cell>
          <cell r="AH54" t="str">
            <v>Nguyễn Ái Việt</v>
          </cell>
          <cell r="AI54" t="str">
            <v>Chỉ huy trưởng</v>
          </cell>
          <cell r="AJ54" t="str">
            <v>Hoàng Chiến Thắng</v>
          </cell>
          <cell r="AK54" t="str">
            <v>P. Chỉ huy trưởng</v>
          </cell>
          <cell r="AL54" t="str">
            <v>Trịnh Quang Đức</v>
          </cell>
          <cell r="AM54" t="str">
            <v>Cán bộ kỹ thuật</v>
          </cell>
        </row>
        <row r="55">
          <cell r="D55" t="str">
            <v>………</v>
          </cell>
          <cell r="E55" t="str">
            <v>………</v>
          </cell>
          <cell r="F55" t="str">
            <v>………</v>
          </cell>
          <cell r="G55" t="str">
            <v>………</v>
          </cell>
          <cell r="H55">
            <v>2015</v>
          </cell>
          <cell r="I55" t="str">
            <v>Hà Nội, ngày ……… tháng ……… năm 2015</v>
          </cell>
          <cell r="J55" t="str">
            <v>……… ngày ……… tháng ……… năm 2015</v>
          </cell>
          <cell r="K55" t="str">
            <v>……… ngày ……… tháng ……… năm 2015</v>
          </cell>
          <cell r="L55" t="str">
            <v>………</v>
          </cell>
          <cell r="M55" t="str">
            <v>………</v>
          </cell>
          <cell r="N55" t="str">
            <v>………</v>
          </cell>
          <cell r="O55" t="str">
            <v>………</v>
          </cell>
          <cell r="P55">
            <v>2015</v>
          </cell>
          <cell r="Q55" t="str">
            <v>Hà Nội, ngày ……… tháng ……… năm 2015</v>
          </cell>
          <cell r="R55" t="str">
            <v>……… ngày ……… tháng ……… năm 2015</v>
          </cell>
          <cell r="S55" t="str">
            <v>……… ngày ……… tháng ……… năm 2015</v>
          </cell>
          <cell r="T55" t="str">
            <v>………</v>
          </cell>
          <cell r="U55" t="str">
            <v>……… Ngày ………/………/2015</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Cán bộ TVGS</v>
          </cell>
          <cell r="AH55" t="str">
            <v>Nguyễn Ái Việt</v>
          </cell>
          <cell r="AI55" t="str">
            <v>Chỉ huy trưởng</v>
          </cell>
          <cell r="AJ55" t="str">
            <v>Hoàng Chiến Thắng</v>
          </cell>
          <cell r="AK55" t="str">
            <v>P. Chỉ huy trưởng</v>
          </cell>
          <cell r="AL55" t="str">
            <v>Trịnh Quang Đức</v>
          </cell>
          <cell r="AM55" t="str">
            <v>Cán bộ kỹ thuật</v>
          </cell>
        </row>
        <row r="56">
          <cell r="D56" t="str">
            <v>………</v>
          </cell>
          <cell r="E56" t="str">
            <v>………</v>
          </cell>
          <cell r="F56" t="str">
            <v>………</v>
          </cell>
          <cell r="G56" t="str">
            <v>………</v>
          </cell>
          <cell r="H56">
            <v>2015</v>
          </cell>
          <cell r="I56" t="str">
            <v>Hà Nội, ngày ……… tháng ……… năm 2015</v>
          </cell>
          <cell r="J56" t="str">
            <v>……… ngày ……… tháng ……… năm 2015</v>
          </cell>
          <cell r="K56" t="str">
            <v>……… ngày ……… tháng ……… năm 2015</v>
          </cell>
          <cell r="L56" t="str">
            <v>………</v>
          </cell>
          <cell r="M56" t="str">
            <v>………</v>
          </cell>
          <cell r="N56" t="str">
            <v>………</v>
          </cell>
          <cell r="O56" t="str">
            <v>………</v>
          </cell>
          <cell r="P56">
            <v>2015</v>
          </cell>
          <cell r="Q56" t="str">
            <v>Hà Nội, ngày ……… tháng ……… năm 2015</v>
          </cell>
          <cell r="R56" t="str">
            <v>……… ngày ……… tháng ……… năm 2015</v>
          </cell>
          <cell r="S56" t="str">
            <v>……… ngày ……… tháng ……… năm 2015</v>
          </cell>
          <cell r="T56" t="str">
            <v>………</v>
          </cell>
          <cell r="U56" t="str">
            <v>……… Ngày ………/………/2015</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Cán bộ TVGS</v>
          </cell>
          <cell r="AH56" t="str">
            <v>Nguyễn Ái Việt</v>
          </cell>
          <cell r="AI56" t="str">
            <v>Chỉ huy trưởng</v>
          </cell>
          <cell r="AJ56" t="str">
            <v>Hoàng Chiến Thắng</v>
          </cell>
          <cell r="AK56" t="str">
            <v>P. Chỉ huy trưởng</v>
          </cell>
          <cell r="AL56" t="str">
            <v>Trịnh Quang Đức</v>
          </cell>
          <cell r="AM56" t="str">
            <v>Cán bộ kỹ thuật</v>
          </cell>
        </row>
        <row r="57">
          <cell r="A57" t="str">
            <v>XT-06</v>
          </cell>
          <cell r="C57" t="str">
            <v>XT-06</v>
          </cell>
          <cell r="D57" t="str">
            <v>………</v>
          </cell>
          <cell r="E57" t="str">
            <v>………</v>
          </cell>
          <cell r="F57" t="str">
            <v>………</v>
          </cell>
          <cell r="G57" t="str">
            <v>………</v>
          </cell>
          <cell r="H57">
            <v>2015</v>
          </cell>
          <cell r="I57" t="str">
            <v>Hà Nội, ngày ……… tháng ……… năm 2015</v>
          </cell>
          <cell r="J57" t="str">
            <v>……… ngày ……… tháng ……… năm 2015</v>
          </cell>
          <cell r="K57" t="str">
            <v>……… ngày ……… tháng ……… năm 2015</v>
          </cell>
          <cell r="L57" t="str">
            <v>………</v>
          </cell>
          <cell r="M57" t="str">
            <v>………</v>
          </cell>
          <cell r="N57" t="str">
            <v>………</v>
          </cell>
          <cell r="O57" t="str">
            <v>………</v>
          </cell>
          <cell r="P57">
            <v>2015</v>
          </cell>
          <cell r="Q57" t="str">
            <v>Hà Nội, ngày ……… tháng ……… năm 2015</v>
          </cell>
          <cell r="R57" t="str">
            <v>……… ngày ……… tháng ……… năm 2015</v>
          </cell>
          <cell r="S57" t="str">
            <v>……… ngày ……… tháng ……… năm 2015</v>
          </cell>
          <cell r="T57" t="str">
            <v>………</v>
          </cell>
          <cell r="U57" t="str">
            <v>……… Ngày ………/………/2015</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Cán bộ TVGS</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Q57" t="str">
            <v>Ngày ……… Tháng ……… Năm 2015</v>
          </cell>
        </row>
        <row r="58">
          <cell r="D58" t="str">
            <v>………</v>
          </cell>
          <cell r="E58" t="str">
            <v>………</v>
          </cell>
          <cell r="F58" t="str">
            <v>………</v>
          </cell>
          <cell r="G58" t="str">
            <v>………</v>
          </cell>
          <cell r="H58">
            <v>2015</v>
          </cell>
          <cell r="I58" t="str">
            <v>Hà Nội, ngày ……… tháng ……… năm 2015</v>
          </cell>
          <cell r="J58" t="str">
            <v>……… ngày ……… tháng ……… năm 2015</v>
          </cell>
          <cell r="K58" t="str">
            <v>……… ngày ……… tháng ……… năm 2015</v>
          </cell>
        </row>
        <row r="66">
          <cell r="A66">
            <v>1</v>
          </cell>
          <cell r="B66">
            <v>2</v>
          </cell>
          <cell r="C66">
            <v>3</v>
          </cell>
          <cell r="D66">
            <v>4</v>
          </cell>
          <cell r="E66">
            <v>5</v>
          </cell>
          <cell r="F66">
            <v>6</v>
          </cell>
          <cell r="G66">
            <v>7</v>
          </cell>
          <cell r="H66">
            <v>8</v>
          </cell>
          <cell r="I66">
            <v>9</v>
          </cell>
          <cell r="J66">
            <v>10</v>
          </cell>
          <cell r="K66">
            <v>11</v>
          </cell>
          <cell r="L66">
            <v>12</v>
          </cell>
          <cell r="M66">
            <v>13</v>
          </cell>
          <cell r="N66">
            <v>14</v>
          </cell>
          <cell r="O66">
            <v>15</v>
          </cell>
          <cell r="P66">
            <v>16</v>
          </cell>
          <cell r="Q66">
            <v>17</v>
          </cell>
          <cell r="R66">
            <v>18</v>
          </cell>
          <cell r="S66">
            <v>19</v>
          </cell>
          <cell r="T66">
            <v>20</v>
          </cell>
          <cell r="U66">
            <v>21</v>
          </cell>
          <cell r="V66">
            <v>22</v>
          </cell>
          <cell r="W66">
            <v>23</v>
          </cell>
          <cell r="X66">
            <v>24</v>
          </cell>
          <cell r="Y66">
            <v>25</v>
          </cell>
          <cell r="Z66">
            <v>26</v>
          </cell>
          <cell r="AA66">
            <v>27</v>
          </cell>
          <cell r="AB66">
            <v>28</v>
          </cell>
          <cell r="AC66">
            <v>29</v>
          </cell>
          <cell r="AD66">
            <v>30</v>
          </cell>
          <cell r="AE66">
            <v>31</v>
          </cell>
          <cell r="AF66">
            <v>32</v>
          </cell>
          <cell r="AG66">
            <v>33</v>
          </cell>
          <cell r="AH66">
            <v>34</v>
          </cell>
          <cell r="AI66">
            <v>35</v>
          </cell>
          <cell r="AJ66">
            <v>36</v>
          </cell>
          <cell r="AK66">
            <v>37</v>
          </cell>
          <cell r="AL66">
            <v>38</v>
          </cell>
          <cell r="AM66">
            <v>39</v>
          </cell>
          <cell r="AN66">
            <v>40</v>
          </cell>
          <cell r="AO66">
            <v>41</v>
          </cell>
          <cell r="AP66">
            <v>42</v>
          </cell>
          <cell r="AQ66">
            <v>43</v>
          </cell>
        </row>
      </sheetData>
      <sheetData sheetId="27"/>
      <sheetData sheetId="28"/>
      <sheetData sheetId="29">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BCN-</v>
          </cell>
          <cell r="B11" t="str">
            <v>- Lắp đặt băng cản nước Sika Water bar V20 chân bể tự hoại trục (X5+4,65m)/Y5-Y8</v>
          </cell>
          <cell r="C11" t="str">
            <v>BCN-</v>
          </cell>
          <cell r="D11" t="str">
            <v>….h….</v>
          </cell>
          <cell r="E11" t="str">
            <v>….h….</v>
          </cell>
          <cell r="F11" t="str">
            <v>….</v>
          </cell>
          <cell r="G11" t="str">
            <v>….</v>
          </cell>
          <cell r="H11">
            <v>2014</v>
          </cell>
          <cell r="I11" t="str">
            <v>Hà Nội, ngày …. tháng …. năm 2014</v>
          </cell>
          <cell r="J11" t="str">
            <v>….h…. ngày …. tháng …. năm 2014</v>
          </cell>
          <cell r="K11" t="str">
            <v>….h…. ngày …. tháng …. năm 2014</v>
          </cell>
          <cell r="L11" t="str">
            <v>….h….</v>
          </cell>
          <cell r="M11" t="str">
            <v>….h….</v>
          </cell>
          <cell r="N11" t="str">
            <v>….</v>
          </cell>
          <cell r="O11" t="str">
            <v>….</v>
          </cell>
          <cell r="P11">
            <v>2014</v>
          </cell>
          <cell r="Q11" t="str">
            <v>Hà Nội, ngày …. tháng …. năm 2014</v>
          </cell>
          <cell r="R11" t="str">
            <v>….h…. ngày …. tháng …. năm 2014</v>
          </cell>
          <cell r="S11" t="str">
            <v>….h…. ngày …. tháng …. năm 2014</v>
          </cell>
          <cell r="T11" t="str">
            <v>….h….</v>
          </cell>
          <cell r="U11" t="str">
            <v>….h…. Ngày …./…./2014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KCB-03; KCB-04; KCB-05</v>
          </cell>
        </row>
        <row r="12">
          <cell r="A12" t="str">
            <v>BCN-</v>
          </cell>
          <cell r="B12" t="str">
            <v>- Lắp đặt băng cản nước Sika Water bar V20 chân bể tự hoại trục (X10+3,7m)/Y10-Y13</v>
          </cell>
          <cell r="C12" t="str">
            <v>BCN-</v>
          </cell>
          <cell r="D12" t="str">
            <v>….h….</v>
          </cell>
          <cell r="E12" t="str">
            <v>….h….</v>
          </cell>
          <cell r="F12" t="str">
            <v>….</v>
          </cell>
          <cell r="G12" t="str">
            <v>….</v>
          </cell>
          <cell r="H12">
            <v>2014</v>
          </cell>
          <cell r="I12" t="str">
            <v>Hà Nội, ngày …. tháng …. năm 2014</v>
          </cell>
          <cell r="J12" t="str">
            <v>….h…. ngày …. tháng …. năm 2014</v>
          </cell>
          <cell r="K12" t="str">
            <v>….h…. ngày …. tháng …. năm 2014</v>
          </cell>
          <cell r="L12" t="str">
            <v>….h….</v>
          </cell>
          <cell r="M12" t="str">
            <v>….h….</v>
          </cell>
          <cell r="N12" t="str">
            <v>….</v>
          </cell>
          <cell r="O12" t="str">
            <v>….</v>
          </cell>
          <cell r="P12">
            <v>2014</v>
          </cell>
          <cell r="Q12" t="str">
            <v>Hà Nội, ngày …. tháng …. năm 2014</v>
          </cell>
          <cell r="R12" t="str">
            <v>….h…. ngày …. tháng …. năm 2014</v>
          </cell>
          <cell r="S12" t="str">
            <v>….h…. ngày …. tháng …. năm 2014</v>
          </cell>
          <cell r="T12" t="str">
            <v>….h….</v>
          </cell>
          <cell r="U12" t="str">
            <v>….h…. Ngày …./…./2014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KCB-03; KCB-04; KCB-05</v>
          </cell>
        </row>
        <row r="13">
          <cell r="A13" t="str">
            <v>BCN-</v>
          </cell>
          <cell r="B13" t="str">
            <v>- Lắp đặt băng cản nước Sika Water bar V20 cổ tường  bể tự hoại trục (X5+4,65m)/Y5-Y8</v>
          </cell>
          <cell r="C13" t="str">
            <v>BCN-</v>
          </cell>
          <cell r="D13" t="str">
            <v>….h….</v>
          </cell>
          <cell r="E13" t="str">
            <v>….h….</v>
          </cell>
          <cell r="F13" t="str">
            <v>….</v>
          </cell>
          <cell r="G13" t="str">
            <v>….</v>
          </cell>
          <cell r="H13">
            <v>2014</v>
          </cell>
          <cell r="I13" t="str">
            <v>Hà Nội, ngày …. tháng …. năm 2014</v>
          </cell>
          <cell r="J13" t="str">
            <v>….h…. ngày …. tháng …. năm 2014</v>
          </cell>
          <cell r="K13" t="str">
            <v>….h…. ngày …. tháng …. năm 2014</v>
          </cell>
          <cell r="L13" t="str">
            <v>….h….</v>
          </cell>
          <cell r="M13" t="str">
            <v>….h….</v>
          </cell>
          <cell r="N13" t="str">
            <v>….</v>
          </cell>
          <cell r="O13" t="str">
            <v>….</v>
          </cell>
          <cell r="P13">
            <v>2014</v>
          </cell>
          <cell r="Q13" t="str">
            <v>Hà Nội, ngày …. tháng …. năm 2014</v>
          </cell>
          <cell r="R13" t="str">
            <v>….h…. ngày …. tháng …. năm 2014</v>
          </cell>
          <cell r="S13" t="str">
            <v>….h…. ngày …. tháng …. năm 2014</v>
          </cell>
          <cell r="T13" t="str">
            <v>….h….</v>
          </cell>
          <cell r="U13" t="str">
            <v>….h…. Ngày …./…./2014</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KCB-03; KCB-04; KCB-05</v>
          </cell>
        </row>
        <row r="14">
          <cell r="A14" t="str">
            <v>BCN-</v>
          </cell>
          <cell r="B14" t="str">
            <v>- Lắp đặt băng cản nước Sika Water bar V20 cổ tường  bể tự hoại trục (X1+2,6m)/Y1-Y3</v>
          </cell>
          <cell r="C14" t="str">
            <v>BCN-</v>
          </cell>
          <cell r="D14" t="str">
            <v>….h….</v>
          </cell>
          <cell r="E14" t="str">
            <v>….h….</v>
          </cell>
          <cell r="F14" t="str">
            <v>….</v>
          </cell>
          <cell r="G14" t="str">
            <v>….</v>
          </cell>
          <cell r="H14">
            <v>2014</v>
          </cell>
          <cell r="I14" t="str">
            <v>Hà Nội, ngày …. tháng …. năm 2014</v>
          </cell>
          <cell r="J14" t="str">
            <v>….h…. ngày …. tháng …. năm 2014</v>
          </cell>
          <cell r="K14" t="str">
            <v>….h…. ngày …. tháng …. năm 2014</v>
          </cell>
          <cell r="L14" t="str">
            <v>….h….</v>
          </cell>
          <cell r="M14" t="str">
            <v>….h….</v>
          </cell>
          <cell r="N14" t="str">
            <v>….</v>
          </cell>
          <cell r="O14" t="str">
            <v>….</v>
          </cell>
          <cell r="P14">
            <v>2014</v>
          </cell>
          <cell r="Q14" t="str">
            <v>Hà Nội, ngày …. tháng …. năm 2014</v>
          </cell>
          <cell r="R14" t="str">
            <v>….h…. ngày …. tháng …. năm 2014</v>
          </cell>
          <cell r="S14" t="str">
            <v>….h…. ngày …. tháng …. năm 2014</v>
          </cell>
          <cell r="T14" t="str">
            <v>….h….</v>
          </cell>
          <cell r="U14" t="str">
            <v>….h…. Ngày …./…./2014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KCB-03; KCB-04; KCB-05</v>
          </cell>
        </row>
        <row r="15">
          <cell r="A15" t="str">
            <v>BCN-</v>
          </cell>
          <cell r="B15" t="str">
            <v>- Lắp đặt băng cản nước Sika Water bar V20 cổ tường  bể tự hoại trục (X10+3,7m)/Y10-Y13</v>
          </cell>
          <cell r="C15" t="str">
            <v>BCN-</v>
          </cell>
          <cell r="D15" t="str">
            <v>….h….</v>
          </cell>
          <cell r="E15" t="str">
            <v>….h….</v>
          </cell>
          <cell r="F15" t="str">
            <v>….</v>
          </cell>
          <cell r="G15" t="str">
            <v>….</v>
          </cell>
          <cell r="H15">
            <v>2014</v>
          </cell>
          <cell r="I15" t="str">
            <v>Hà Nội, ngày …. tháng …. năm 2014</v>
          </cell>
          <cell r="J15" t="str">
            <v>….h…. ngày …. tháng …. năm 2014</v>
          </cell>
          <cell r="K15" t="str">
            <v>….h…. ngày …. tháng …. năm 2014</v>
          </cell>
          <cell r="L15" t="str">
            <v>….h….</v>
          </cell>
          <cell r="M15" t="str">
            <v>….h….</v>
          </cell>
          <cell r="N15" t="str">
            <v>….</v>
          </cell>
          <cell r="O15" t="str">
            <v>….</v>
          </cell>
          <cell r="P15">
            <v>2014</v>
          </cell>
          <cell r="Q15" t="str">
            <v>Hà Nội, ngày …. tháng …. năm 2014</v>
          </cell>
          <cell r="R15" t="str">
            <v>….h…. ngày …. tháng …. năm 2014</v>
          </cell>
          <cell r="S15" t="str">
            <v>….h…. ngày …. tháng …. năm 2014</v>
          </cell>
          <cell r="T15" t="str">
            <v>….h….</v>
          </cell>
          <cell r="U15" t="str">
            <v>….h…. Ngày …./…./2014</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KCB-03; KCB-04; KCB-05</v>
          </cell>
        </row>
        <row r="16">
          <cell r="A16" t="str">
            <v>BCN-01</v>
          </cell>
          <cell r="B16" t="str">
            <v>- Lắp đặt băng cản nước Sika Water bar V20 chân tường bể nước sạch.</v>
          </cell>
          <cell r="C16" t="str">
            <v>BCN-01</v>
          </cell>
          <cell r="D16" t="str">
            <v>8h00</v>
          </cell>
          <cell r="E16" t="str">
            <v>8h15</v>
          </cell>
          <cell r="F16">
            <v>22</v>
          </cell>
          <cell r="G16">
            <v>11</v>
          </cell>
          <cell r="H16">
            <v>2014</v>
          </cell>
          <cell r="I16" t="str">
            <v>Hà Nội, ngày 22 tháng 11 năm 2014</v>
          </cell>
          <cell r="J16" t="str">
            <v>8h00 ngày 22 tháng 11 năm 2014</v>
          </cell>
          <cell r="K16" t="str">
            <v>8h15 ngày 22 tháng 11 năm 2014</v>
          </cell>
          <cell r="L16" t="str">
            <v>8h15</v>
          </cell>
          <cell r="M16" t="str">
            <v>8h30</v>
          </cell>
          <cell r="N16">
            <v>22</v>
          </cell>
          <cell r="O16">
            <v>11</v>
          </cell>
          <cell r="P16">
            <v>2014</v>
          </cell>
          <cell r="Q16" t="str">
            <v>Hà Nội, ngày 22 tháng 11 năm 2014</v>
          </cell>
          <cell r="R16" t="str">
            <v>8h15 ngày 22 tháng 11 năm 2014</v>
          </cell>
          <cell r="S16" t="str">
            <v>8h30 ngày 22 tháng 11 năm 2014</v>
          </cell>
          <cell r="T16" t="str">
            <v>8h15</v>
          </cell>
          <cell r="U16" t="str">
            <v>8h15 Ngày 22/11/2014</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KC-69; KC-70.</v>
          </cell>
          <cell r="AQ16" t="str">
            <v>Ngày 22 Tháng 11 Năm 2014</v>
          </cell>
        </row>
        <row r="17">
          <cell r="A17" t="str">
            <v>BCN-02</v>
          </cell>
          <cell r="B17" t="str">
            <v>- Lắp đặt băng cản nước Sika Water bar V20 đỉnh thành bể nước sạch.</v>
          </cell>
          <cell r="C17" t="str">
            <v>BCN-02</v>
          </cell>
          <cell r="D17" t="str">
            <v>8h00</v>
          </cell>
          <cell r="E17" t="str">
            <v>8h15</v>
          </cell>
          <cell r="F17">
            <v>28</v>
          </cell>
          <cell r="G17">
            <v>11</v>
          </cell>
          <cell r="H17">
            <v>2014</v>
          </cell>
          <cell r="I17" t="str">
            <v>Hà Nội, ngày 28 tháng 11 năm 2014</v>
          </cell>
          <cell r="J17" t="str">
            <v>8h00 ngày 28 tháng 11 năm 2014</v>
          </cell>
          <cell r="K17" t="str">
            <v>8h15 ngày 28 tháng 11 năm 2014</v>
          </cell>
          <cell r="L17" t="str">
            <v>8h15</v>
          </cell>
          <cell r="M17" t="str">
            <v>8h30</v>
          </cell>
          <cell r="N17">
            <v>28</v>
          </cell>
          <cell r="O17">
            <v>11</v>
          </cell>
          <cell r="P17">
            <v>2014</v>
          </cell>
          <cell r="Q17" t="str">
            <v>Hà Nội, ngày 28 tháng 11 năm 2014</v>
          </cell>
          <cell r="R17" t="str">
            <v>8h15 ngày 28 tháng 11 năm 2014</v>
          </cell>
          <cell r="S17" t="str">
            <v>8h30 ngày 28 tháng 11 năm 2014</v>
          </cell>
          <cell r="T17" t="str">
            <v>8h15</v>
          </cell>
          <cell r="U17" t="str">
            <v>8h15 Ngày 28/11/2014</v>
          </cell>
          <cell r="V17" t="str">
            <v>Hoàng Chiến Thắng</v>
          </cell>
          <cell r="W17" t="str">
            <v>P. 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KC-69; KC-70.</v>
          </cell>
          <cell r="AQ17" t="str">
            <v>Ngày 28 Tháng 11 Năm 2014</v>
          </cell>
        </row>
        <row r="18">
          <cell r="A18" t="str">
            <v>BCN-03</v>
          </cell>
          <cell r="B18" t="str">
            <v>- Lắp đặt băng cản nước Sika Water bar V20 chân vách thang máy đài M4</v>
          </cell>
          <cell r="C18" t="str">
            <v>BCN-03</v>
          </cell>
          <cell r="D18" t="str">
            <v>8h00</v>
          </cell>
          <cell r="E18" t="str">
            <v>8h30</v>
          </cell>
          <cell r="F18">
            <v>11</v>
          </cell>
          <cell r="G18">
            <v>12</v>
          </cell>
          <cell r="H18">
            <v>2014</v>
          </cell>
          <cell r="I18" t="str">
            <v>Hà Nội, ngày 11 tháng 12 năm 2014</v>
          </cell>
          <cell r="J18" t="str">
            <v>8h00 ngày 11 tháng 12 năm 2014</v>
          </cell>
          <cell r="K18" t="str">
            <v>8h30 ngày 11 tháng 12 năm 2014</v>
          </cell>
          <cell r="L18" t="str">
            <v>8h30</v>
          </cell>
          <cell r="M18" t="str">
            <v>9h00</v>
          </cell>
          <cell r="N18">
            <v>11</v>
          </cell>
          <cell r="O18">
            <v>12</v>
          </cell>
          <cell r="P18">
            <v>2014</v>
          </cell>
          <cell r="Q18" t="str">
            <v>Hà Nội, ngày 11 tháng 12 năm 2014</v>
          </cell>
          <cell r="R18" t="str">
            <v>8h30 ngày 11 tháng 12 năm 2014</v>
          </cell>
          <cell r="S18" t="str">
            <v>9h00 ngày 11 tháng 12 năm 2014</v>
          </cell>
          <cell r="T18" t="str">
            <v>8h30</v>
          </cell>
          <cell r="U18" t="str">
            <v>8h30 Ngày 11/12/2014</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KC-08</v>
          </cell>
          <cell r="AQ18" t="str">
            <v>Ngày 11 Tháng 12 Năm 2014</v>
          </cell>
        </row>
        <row r="19">
          <cell r="A19" t="str">
            <v>BCN-04</v>
          </cell>
          <cell r="B19" t="str">
            <v>-Lắp đặt băng cản nước Sika Water bar V20 chân bể tự hoại 04</v>
          </cell>
          <cell r="C19" t="str">
            <v>BCN-04</v>
          </cell>
          <cell r="D19" t="str">
            <v>8h30</v>
          </cell>
          <cell r="E19" t="str">
            <v>8h45</v>
          </cell>
          <cell r="F19">
            <v>31</v>
          </cell>
          <cell r="G19">
            <v>12</v>
          </cell>
          <cell r="H19">
            <v>2014</v>
          </cell>
          <cell r="I19" t="str">
            <v>Hà Nội, ngày 31 tháng 12 năm 2014</v>
          </cell>
          <cell r="J19" t="str">
            <v>8h30 ngày 31 tháng 12 năm 2014</v>
          </cell>
          <cell r="K19" t="str">
            <v>8h45 ngày 31 tháng 12 năm 2014</v>
          </cell>
          <cell r="L19" t="str">
            <v>8h45</v>
          </cell>
          <cell r="M19" t="str">
            <v>9h00</v>
          </cell>
          <cell r="N19">
            <v>31</v>
          </cell>
          <cell r="O19">
            <v>12</v>
          </cell>
          <cell r="P19">
            <v>2014</v>
          </cell>
          <cell r="Q19" t="str">
            <v>Hà Nội, ngày 31 tháng 12 năm 2014</v>
          </cell>
          <cell r="R19" t="str">
            <v>8h45 ngày 31 tháng 12 năm 2014</v>
          </cell>
          <cell r="S19" t="str">
            <v>9h00 ngày 31 tháng 12 năm 2014</v>
          </cell>
          <cell r="T19" t="str">
            <v>8h45</v>
          </cell>
          <cell r="U19" t="str">
            <v>8h45 Ngày 31/12/2014</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KC-71÷KC-73</v>
          </cell>
          <cell r="AQ19" t="str">
            <v>Ngày 31 Tháng 12 Năm 2014</v>
          </cell>
        </row>
        <row r="20">
          <cell r="A20" t="str">
            <v>BCN-05</v>
          </cell>
          <cell r="B20" t="str">
            <v>-Lắp đặt băng cản nước Sika Water bar V20 cổ tường bể tự hoại 04, chân tường bể tự hoại 03</v>
          </cell>
          <cell r="C20" t="str">
            <v>BCN-05</v>
          </cell>
          <cell r="D20" t="str">
            <v>9h00</v>
          </cell>
          <cell r="E20" t="str">
            <v>9h15</v>
          </cell>
          <cell r="F20">
            <v>5</v>
          </cell>
          <cell r="G20">
            <v>1</v>
          </cell>
          <cell r="H20">
            <v>2014</v>
          </cell>
          <cell r="I20" t="str">
            <v>Hà Nội, ngày 5 tháng 1 năm 2014</v>
          </cell>
          <cell r="J20" t="str">
            <v>9h00 ngày 5 tháng 1 năm 2014</v>
          </cell>
          <cell r="K20" t="str">
            <v>9h15 ngày 5 tháng 1 năm 2014</v>
          </cell>
          <cell r="L20" t="str">
            <v>9h15</v>
          </cell>
          <cell r="M20" t="str">
            <v>9h30</v>
          </cell>
          <cell r="N20">
            <v>5</v>
          </cell>
          <cell r="O20">
            <v>1</v>
          </cell>
          <cell r="P20">
            <v>2014</v>
          </cell>
          <cell r="Q20" t="str">
            <v>Hà Nội, ngày 5 tháng 1 năm 2014</v>
          </cell>
          <cell r="R20" t="str">
            <v>9h15 ngày 5 tháng 1 năm 2014</v>
          </cell>
          <cell r="S20" t="str">
            <v>9h30 ngày 5 tháng 1 năm 2014</v>
          </cell>
          <cell r="T20" t="str">
            <v>9h15</v>
          </cell>
          <cell r="U20" t="str">
            <v>9h15 Ngày 5/1/2014</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KC-71÷KC-73</v>
          </cell>
          <cell r="AQ20" t="str">
            <v>Ngày 5 Tháng 1 Năm 2014</v>
          </cell>
        </row>
        <row r="21">
          <cell r="A21" t="str">
            <v>BCN-06</v>
          </cell>
          <cell r="B21" t="str">
            <v>-Lắp đặt băng cản nước Sika Water bar V20 chân bể tự hoại 01 và 02</v>
          </cell>
          <cell r="C21" t="str">
            <v>BCN-06</v>
          </cell>
          <cell r="D21" t="str">
            <v>8h00</v>
          </cell>
          <cell r="E21" t="str">
            <v>8h20</v>
          </cell>
          <cell r="F21">
            <v>8</v>
          </cell>
          <cell r="G21">
            <v>1</v>
          </cell>
          <cell r="H21">
            <v>2014</v>
          </cell>
          <cell r="I21" t="str">
            <v>Hà Nội, ngày 8 tháng 1 năm 2014</v>
          </cell>
          <cell r="J21" t="str">
            <v>8h00 ngày 8 tháng 1 năm 2014</v>
          </cell>
          <cell r="K21" t="str">
            <v>8h20 ngày 8 tháng 1 năm 2014</v>
          </cell>
          <cell r="L21" t="str">
            <v>8h20</v>
          </cell>
          <cell r="M21" t="str">
            <v>8h40</v>
          </cell>
          <cell r="N21">
            <v>8</v>
          </cell>
          <cell r="O21">
            <v>1</v>
          </cell>
          <cell r="P21">
            <v>2014</v>
          </cell>
          <cell r="Q21" t="str">
            <v>Hà Nội, ngày 8 tháng 1 năm 2014</v>
          </cell>
          <cell r="R21" t="str">
            <v>8h20 ngày 8 tháng 1 năm 2014</v>
          </cell>
          <cell r="S21" t="str">
            <v>8h40 ngày 8 tháng 1 năm 2014</v>
          </cell>
          <cell r="T21" t="str">
            <v>8h20</v>
          </cell>
          <cell r="U21" t="str">
            <v>8h20 Ngày 8/1/2014</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KC-71÷KC-73</v>
          </cell>
          <cell r="AQ21" t="str">
            <v>Ngày 8 Tháng 1 Năm 2014</v>
          </cell>
        </row>
        <row r="22">
          <cell r="A22" t="str">
            <v>QCT-01</v>
          </cell>
          <cell r="B22" t="str">
            <v>-Quét bitum chống thấm mặt ngoài tường bể nước sạch</v>
          </cell>
          <cell r="C22" t="str">
            <v>QCT-01</v>
          </cell>
          <cell r="D22" t="str">
            <v>14h00</v>
          </cell>
          <cell r="E22" t="str">
            <v>14h30</v>
          </cell>
          <cell r="F22">
            <v>1</v>
          </cell>
          <cell r="G22">
            <v>12</v>
          </cell>
          <cell r="H22">
            <v>2014</v>
          </cell>
          <cell r="I22" t="str">
            <v>Hà Nội, ngày 1 tháng 12 năm 2014</v>
          </cell>
          <cell r="J22" t="str">
            <v>14h00 ngày 1 tháng 12 năm 2014</v>
          </cell>
          <cell r="K22" t="str">
            <v>14h30 ngày 1 tháng 12 năm 2014</v>
          </cell>
          <cell r="L22" t="str">
            <v>14h30</v>
          </cell>
          <cell r="M22" t="str">
            <v>15h00</v>
          </cell>
          <cell r="N22">
            <v>1</v>
          </cell>
          <cell r="O22">
            <v>12</v>
          </cell>
          <cell r="P22">
            <v>2014</v>
          </cell>
          <cell r="Q22" t="str">
            <v>Hà Nội, ngày 1 tháng 12 năm 2014</v>
          </cell>
          <cell r="R22" t="str">
            <v>14h30 ngày 1 tháng 12 năm 2014</v>
          </cell>
          <cell r="S22" t="str">
            <v>15h00 ngày 1 tháng 12 năm 2014</v>
          </cell>
          <cell r="T22" t="str">
            <v>14h30</v>
          </cell>
          <cell r="U22" t="str">
            <v>14h30 Ngày 1/12/2014</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1 Tháng 12 Năm 2014</v>
          </cell>
        </row>
        <row r="23">
          <cell r="A23" t="str">
            <v>BCN-08</v>
          </cell>
          <cell r="C23" t="str">
            <v>BCN-08</v>
          </cell>
          <cell r="D23" t="str">
            <v>….h….</v>
          </cell>
          <cell r="E23" t="str">
            <v>….h….</v>
          </cell>
          <cell r="F23" t="str">
            <v>….</v>
          </cell>
          <cell r="G23" t="str">
            <v>….</v>
          </cell>
          <cell r="H23">
            <v>2014</v>
          </cell>
          <cell r="I23" t="str">
            <v>Hà Nội, ngày …. tháng …. năm 2014</v>
          </cell>
          <cell r="J23" t="str">
            <v>….h…. ngày …. tháng …. năm 2014</v>
          </cell>
          <cell r="K23" t="str">
            <v>….h…. ngày …. tháng …. năm 2014</v>
          </cell>
          <cell r="L23" t="str">
            <v>….h….</v>
          </cell>
          <cell r="M23" t="str">
            <v>…h….</v>
          </cell>
          <cell r="N23" t="str">
            <v>….</v>
          </cell>
          <cell r="O23" t="str">
            <v>….</v>
          </cell>
          <cell r="P23">
            <v>2014</v>
          </cell>
          <cell r="Q23" t="str">
            <v>Hà Nội, ngày …. tháng …. năm 2014</v>
          </cell>
          <cell r="R23" t="str">
            <v>….h…. ngày …. tháng …. năm 2014</v>
          </cell>
          <cell r="S23" t="str">
            <v>…h…. ngày …. tháng …. năm 2014</v>
          </cell>
          <cell r="T23" t="str">
            <v>….h….</v>
          </cell>
          <cell r="U23" t="str">
            <v>….h…. Ngày …./…./2014</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2014</v>
          </cell>
        </row>
        <row r="24">
          <cell r="A24" t="str">
            <v>BCN-09</v>
          </cell>
          <cell r="C24" t="str">
            <v>BCN-09</v>
          </cell>
          <cell r="D24" t="str">
            <v>….h….</v>
          </cell>
          <cell r="E24" t="str">
            <v>….h….</v>
          </cell>
          <cell r="F24" t="str">
            <v>….</v>
          </cell>
          <cell r="G24" t="str">
            <v>….</v>
          </cell>
          <cell r="H24">
            <v>2014</v>
          </cell>
          <cell r="I24" t="str">
            <v>Hà Nội, ngày …. tháng …. năm 2014</v>
          </cell>
          <cell r="J24" t="str">
            <v>….h…. ngày …. tháng …. năm 2014</v>
          </cell>
          <cell r="K24" t="str">
            <v>….h…. ngày …. tháng …. năm 2014</v>
          </cell>
          <cell r="L24" t="str">
            <v>….h….</v>
          </cell>
          <cell r="M24" t="str">
            <v>…h….</v>
          </cell>
          <cell r="N24" t="str">
            <v>….</v>
          </cell>
          <cell r="O24" t="str">
            <v>….</v>
          </cell>
          <cell r="P24">
            <v>2014</v>
          </cell>
          <cell r="Q24" t="str">
            <v>Hà Nội, ngày …. tháng …. năm 2014</v>
          </cell>
          <cell r="R24" t="str">
            <v>….h…. ngày …. tháng …. năm 2014</v>
          </cell>
          <cell r="S24" t="str">
            <v>…h…. ngày …. tháng …. năm 2014</v>
          </cell>
          <cell r="T24" t="str">
            <v>….h….</v>
          </cell>
          <cell r="U24" t="str">
            <v>….h…. Ngày …./…./2014</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2014</v>
          </cell>
        </row>
        <row r="25">
          <cell r="A25" t="str">
            <v>BCN-10</v>
          </cell>
          <cell r="C25" t="str">
            <v>BCN-10</v>
          </cell>
          <cell r="D25" t="str">
            <v>….h….</v>
          </cell>
          <cell r="E25" t="str">
            <v>….h….</v>
          </cell>
          <cell r="F25" t="str">
            <v>….</v>
          </cell>
          <cell r="G25" t="str">
            <v>….</v>
          </cell>
          <cell r="H25">
            <v>2014</v>
          </cell>
          <cell r="I25" t="str">
            <v>Hà Nội, ngày …. tháng …. năm 2014</v>
          </cell>
          <cell r="J25" t="str">
            <v>….h…. ngày …. tháng …. năm 2014</v>
          </cell>
          <cell r="K25" t="str">
            <v>….h…. ngày …. tháng …. năm 2014</v>
          </cell>
          <cell r="L25" t="str">
            <v>….h….</v>
          </cell>
          <cell r="M25" t="str">
            <v>…h….</v>
          </cell>
          <cell r="N25" t="str">
            <v>….</v>
          </cell>
          <cell r="O25" t="str">
            <v>….</v>
          </cell>
          <cell r="P25">
            <v>2014</v>
          </cell>
          <cell r="Q25" t="str">
            <v>Hà Nội, ngày …. tháng …. năm 2014</v>
          </cell>
          <cell r="R25" t="str">
            <v>….h…. ngày …. tháng …. năm 2014</v>
          </cell>
          <cell r="S25" t="str">
            <v>…h…. ngày …. tháng …. năm 2014</v>
          </cell>
          <cell r="T25" t="str">
            <v>….h….</v>
          </cell>
          <cell r="U25" t="str">
            <v>….h…. Ngày …./…./2014</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2014</v>
          </cell>
        </row>
        <row r="30">
          <cell r="A30">
            <v>1</v>
          </cell>
          <cell r="B30">
            <v>2</v>
          </cell>
          <cell r="C30">
            <v>3</v>
          </cell>
          <cell r="D30">
            <v>4</v>
          </cell>
          <cell r="E30">
            <v>5</v>
          </cell>
          <cell r="F30">
            <v>6</v>
          </cell>
          <cell r="G30">
            <v>7</v>
          </cell>
          <cell r="H30">
            <v>8</v>
          </cell>
          <cell r="I30">
            <v>9</v>
          </cell>
          <cell r="J30">
            <v>10</v>
          </cell>
          <cell r="K30">
            <v>11</v>
          </cell>
          <cell r="L30">
            <v>12</v>
          </cell>
          <cell r="M30">
            <v>13</v>
          </cell>
          <cell r="N30">
            <v>14</v>
          </cell>
          <cell r="O30">
            <v>15</v>
          </cell>
          <cell r="P30">
            <v>16</v>
          </cell>
          <cell r="Q30">
            <v>17</v>
          </cell>
          <cell r="R30">
            <v>18</v>
          </cell>
          <cell r="S30">
            <v>19</v>
          </cell>
          <cell r="T30">
            <v>20</v>
          </cell>
          <cell r="U30">
            <v>21</v>
          </cell>
          <cell r="V30">
            <v>22</v>
          </cell>
          <cell r="W30">
            <v>23</v>
          </cell>
          <cell r="X30">
            <v>24</v>
          </cell>
          <cell r="Y30">
            <v>25</v>
          </cell>
          <cell r="Z30">
            <v>26</v>
          </cell>
          <cell r="AA30">
            <v>27</v>
          </cell>
          <cell r="AB30">
            <v>28</v>
          </cell>
          <cell r="AC30">
            <v>29</v>
          </cell>
          <cell r="AD30">
            <v>30</v>
          </cell>
          <cell r="AE30">
            <v>31</v>
          </cell>
          <cell r="AF30">
            <v>32</v>
          </cell>
          <cell r="AG30">
            <v>33</v>
          </cell>
          <cell r="AH30">
            <v>34</v>
          </cell>
          <cell r="AI30">
            <v>35</v>
          </cell>
          <cell r="AJ30">
            <v>36</v>
          </cell>
          <cell r="AK30">
            <v>37</v>
          </cell>
          <cell r="AL30">
            <v>38</v>
          </cell>
          <cell r="AM30">
            <v>39</v>
          </cell>
          <cell r="AN30">
            <v>40</v>
          </cell>
          <cell r="AO30">
            <v>41</v>
          </cell>
          <cell r="AP30">
            <v>42</v>
          </cell>
        </row>
      </sheetData>
      <sheetData sheetId="30">
        <row r="10">
          <cell r="A10" t="str">
            <v>C.TRE-01</v>
          </cell>
          <cell r="B10" t="str">
            <v>- Cọc tre Fi 60 dài 1.5m gia cố móng bể nước ngầm,bể phốt,bể tách mỡ</v>
          </cell>
          <cell r="C10" t="str">
            <v>C.TRE-01</v>
          </cell>
          <cell r="D10" t="str">
            <v>9h00</v>
          </cell>
          <cell r="E10" t="str">
            <v>9h45</v>
          </cell>
          <cell r="F10">
            <v>19</v>
          </cell>
          <cell r="G10">
            <v>11</v>
          </cell>
          <cell r="H10">
            <v>2014</v>
          </cell>
          <cell r="I10" t="str">
            <v>Hà Nội, ngày 19 tháng 11 năm 2014</v>
          </cell>
          <cell r="J10" t="str">
            <v>9h00 ngày 19 tháng 11 năm 2014</v>
          </cell>
          <cell r="K10" t="str">
            <v>9h45 ngày 19 tháng 11 năm 2014</v>
          </cell>
          <cell r="L10" t="str">
            <v>9h45</v>
          </cell>
          <cell r="M10" t="str">
            <v>10h30</v>
          </cell>
          <cell r="N10">
            <v>19</v>
          </cell>
          <cell r="O10">
            <v>11</v>
          </cell>
          <cell r="P10">
            <v>2014</v>
          </cell>
          <cell r="Q10" t="str">
            <v>Hà Nội, ngày 19 tháng 11 năm 2014</v>
          </cell>
          <cell r="R10" t="str">
            <v>9h45 ngày 19 tháng 11 năm 2014</v>
          </cell>
          <cell r="S10" t="str">
            <v>10h30 ngày 19 tháng 11 năm 2014</v>
          </cell>
          <cell r="T10" t="str">
            <v>9h45</v>
          </cell>
          <cell r="U10" t="str">
            <v>9h45 Ngày 19/11/2014</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row>
        <row r="11">
          <cell r="A11" t="str">
            <v>C.TRE-02</v>
          </cell>
          <cell r="B11" t="str">
            <v>- Cọc tre D100, chiều dài 3m, số lượng: 100 đoạn kèm theo biên bản bàn giao vật tư ngày 06/09/2014</v>
          </cell>
          <cell r="C11" t="str">
            <v>C.TRE-02</v>
          </cell>
          <cell r="D11" t="str">
            <v>……….</v>
          </cell>
          <cell r="E11" t="str">
            <v>……….</v>
          </cell>
          <cell r="F11" t="str">
            <v>….</v>
          </cell>
          <cell r="G11" t="str">
            <v>….</v>
          </cell>
          <cell r="H11">
            <v>2014</v>
          </cell>
          <cell r="I11" t="str">
            <v>Hà Nội, ngày …. tháng …. năm 2014</v>
          </cell>
          <cell r="J11" t="str">
            <v>………. ngày …. tháng …. năm 2014</v>
          </cell>
          <cell r="K11" t="str">
            <v>………. ngày …. tháng …. năm 2014</v>
          </cell>
          <cell r="L11" t="str">
            <v>……….</v>
          </cell>
          <cell r="M11" t="str">
            <v>……….</v>
          </cell>
          <cell r="N11" t="str">
            <v>….</v>
          </cell>
          <cell r="O11" t="str">
            <v>….</v>
          </cell>
          <cell r="P11">
            <v>2014</v>
          </cell>
          <cell r="Q11" t="str">
            <v>Hà Nội, ngày …. tháng …. năm 2014</v>
          </cell>
          <cell r="R11" t="str">
            <v>………. ngày …. tháng …. năm 2014</v>
          </cell>
          <cell r="S11" t="str">
            <v>………. ngày …. tháng …. năm 2014</v>
          </cell>
          <cell r="T11" t="str">
            <v>……….</v>
          </cell>
          <cell r="U11" t="str">
            <v>………. Ngày …./…./2014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row>
        <row r="12">
          <cell r="A12" t="str">
            <v>C.TRE-03</v>
          </cell>
          <cell r="B12" t="str">
            <v>- Cọc tre D100, chiều dài 1,5m, số lượng: 600 đoạn kèm theo biên bản bàn giao vật tư ngày 08/09/2014</v>
          </cell>
          <cell r="C12" t="str">
            <v>C.TRE-03</v>
          </cell>
          <cell r="D12" t="str">
            <v>09h00'</v>
          </cell>
          <cell r="E12" t="str">
            <v>10h00'</v>
          </cell>
          <cell r="F12">
            <v>8</v>
          </cell>
          <cell r="G12">
            <v>9</v>
          </cell>
          <cell r="H12">
            <v>2014</v>
          </cell>
          <cell r="I12" t="str">
            <v>Hà Nội, ngày 8 tháng 9 năm 2014</v>
          </cell>
          <cell r="J12" t="str">
            <v>09h00' ngày 8 tháng 9 năm 2014</v>
          </cell>
          <cell r="K12" t="str">
            <v>10h00' ngày 8 tháng 9 năm 2014</v>
          </cell>
          <cell r="L12" t="str">
            <v>10h00'</v>
          </cell>
          <cell r="M12" t="str">
            <v>11h00'</v>
          </cell>
          <cell r="N12">
            <v>8</v>
          </cell>
          <cell r="O12">
            <v>9</v>
          </cell>
          <cell r="P12">
            <v>2014</v>
          </cell>
          <cell r="Q12" t="str">
            <v>Hà Nội, ngày 8 tháng 9 năm 2014</v>
          </cell>
          <cell r="R12" t="str">
            <v>10h00' ngày 8 tháng 9 năm 2014</v>
          </cell>
          <cell r="S12" t="str">
            <v>11h00' ngày 8 tháng 9 năm 2014</v>
          </cell>
          <cell r="T12" t="str">
            <v>10h00'</v>
          </cell>
          <cell r="U12" t="str">
            <v>10h00' Ngày 8/9/2014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row>
        <row r="13">
          <cell r="A13" t="str">
            <v>C.TRE-03A</v>
          </cell>
          <cell r="B13" t="str">
            <v>- Cọc tre D100, chiều dài 1,5m kèm theo biên bản bàn giao vật tư ngày 10/09/2014</v>
          </cell>
          <cell r="C13" t="str">
            <v>C.TRE-03A</v>
          </cell>
          <cell r="D13" t="str">
            <v>09h00'</v>
          </cell>
          <cell r="E13" t="str">
            <v>10h00'</v>
          </cell>
          <cell r="F13">
            <v>10</v>
          </cell>
          <cell r="G13">
            <v>9</v>
          </cell>
          <cell r="H13">
            <v>2014</v>
          </cell>
          <cell r="I13" t="str">
            <v>Hà Nội, ngày 10 tháng 9 năm 2014</v>
          </cell>
          <cell r="J13" t="str">
            <v>09h00' ngày 10 tháng 9 năm 2014</v>
          </cell>
          <cell r="K13" t="str">
            <v>10h00' ngày 10 tháng 9 năm 2014</v>
          </cell>
          <cell r="L13" t="str">
            <v>10h00'</v>
          </cell>
          <cell r="M13" t="str">
            <v>11h00'</v>
          </cell>
          <cell r="N13">
            <v>10</v>
          </cell>
          <cell r="O13">
            <v>9</v>
          </cell>
          <cell r="P13">
            <v>2014</v>
          </cell>
          <cell r="Q13" t="str">
            <v>Hà Nội, ngày 10 tháng 9 năm 2014</v>
          </cell>
          <cell r="R13" t="str">
            <v>10h00' ngày 10 tháng 9 năm 2014</v>
          </cell>
          <cell r="S13" t="str">
            <v>11h00' ngày 10 tháng 9 năm 2014</v>
          </cell>
          <cell r="T13" t="str">
            <v>10h00'</v>
          </cell>
          <cell r="U13" t="str">
            <v>10h00' Ngày 10/9/2014</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row>
        <row r="14">
          <cell r="A14" t="str">
            <v>C.TRE-03B</v>
          </cell>
          <cell r="B14" t="str">
            <v>- Cọc tre D100, chiều dài 1,5m, số lượng: 400 đoạn kèm theo biên bản bàn giao vật tư ngày 12/09/2014</v>
          </cell>
          <cell r="C14" t="str">
            <v>C.TRE-03B</v>
          </cell>
          <cell r="D14" t="str">
            <v>09h00'</v>
          </cell>
          <cell r="E14" t="str">
            <v>10h00'</v>
          </cell>
          <cell r="F14">
            <v>12</v>
          </cell>
          <cell r="G14">
            <v>9</v>
          </cell>
          <cell r="H14">
            <v>2014</v>
          </cell>
          <cell r="I14" t="str">
            <v>Hà Nội, ngày 12 tháng 9 năm 2014</v>
          </cell>
          <cell r="J14" t="str">
            <v>09h00' ngày 12 tháng 9 năm 2014</v>
          </cell>
          <cell r="K14" t="str">
            <v>10h00' ngày 12 tháng 9 năm 2014</v>
          </cell>
          <cell r="L14" t="str">
            <v>10h00'</v>
          </cell>
          <cell r="M14" t="str">
            <v>11h00'</v>
          </cell>
          <cell r="N14">
            <v>12</v>
          </cell>
          <cell r="O14">
            <v>9</v>
          </cell>
          <cell r="P14">
            <v>2014</v>
          </cell>
          <cell r="Q14" t="str">
            <v>Hà Nội, ngày 12 tháng 9 năm 2014</v>
          </cell>
          <cell r="R14" t="str">
            <v>10h00' ngày 12 tháng 9 năm 2014</v>
          </cell>
          <cell r="S14" t="str">
            <v>11h00' ngày 12 tháng 9 năm 2014</v>
          </cell>
          <cell r="T14" t="str">
            <v>10h00'</v>
          </cell>
          <cell r="U14" t="str">
            <v>10h00' Ngày 12/9/2014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row>
        <row r="15">
          <cell r="A15" t="str">
            <v>C.TRE-04</v>
          </cell>
          <cell r="B15" t="str">
            <v>- Cọc tre D100, chiều dài 1,5m, số lượng: 2248 đoạn kèm theo biên bản bàn giao vật tư ngày 12/09/2014</v>
          </cell>
          <cell r="C15" t="str">
            <v>C.TRE-04</v>
          </cell>
          <cell r="D15" t="str">
            <v>09h00'</v>
          </cell>
          <cell r="E15" t="str">
            <v>10h00'</v>
          </cell>
          <cell r="F15">
            <v>13</v>
          </cell>
          <cell r="G15">
            <v>9</v>
          </cell>
          <cell r="H15">
            <v>2014</v>
          </cell>
          <cell r="I15" t="str">
            <v>Hà Nội, ngày 13 tháng 9 năm 2014</v>
          </cell>
          <cell r="J15" t="str">
            <v>09h00' ngày 13 tháng 9 năm 2014</v>
          </cell>
          <cell r="K15" t="str">
            <v>10h00' ngày 13 tháng 9 năm 2014</v>
          </cell>
          <cell r="L15" t="str">
            <v>10h00'</v>
          </cell>
          <cell r="M15" t="str">
            <v>11h00'</v>
          </cell>
          <cell r="N15">
            <v>13</v>
          </cell>
          <cell r="O15">
            <v>9</v>
          </cell>
          <cell r="P15">
            <v>2014</v>
          </cell>
          <cell r="Q15" t="str">
            <v>Hà Nội, ngày 13 tháng 9 năm 2014</v>
          </cell>
          <cell r="R15" t="str">
            <v>10h00' ngày 13 tháng 9 năm 2014</v>
          </cell>
          <cell r="S15" t="str">
            <v>11h00' ngày 13 tháng 9 năm 2014</v>
          </cell>
          <cell r="T15" t="str">
            <v>10h00'</v>
          </cell>
          <cell r="U15" t="str">
            <v>10h00' Ngày 13/9/2014</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row>
        <row r="16">
          <cell r="A16" t="str">
            <v>C.TRE-05</v>
          </cell>
          <cell r="B16" t="str">
            <v>- Cọc tre D100, chiều dài 1,5m, số lượng: 1916 đoạn kèm theo biên bản bàn giao vật tư ngày 24/09/2014</v>
          </cell>
          <cell r="C16" t="str">
            <v>C.TRE-05</v>
          </cell>
          <cell r="D16" t="str">
            <v>10h00'</v>
          </cell>
          <cell r="E16" t="str">
            <v>10h30'</v>
          </cell>
          <cell r="F16">
            <v>25</v>
          </cell>
          <cell r="G16">
            <v>9</v>
          </cell>
          <cell r="H16">
            <v>2014</v>
          </cell>
          <cell r="I16" t="str">
            <v>Hà Nội, ngày 25 tháng 9 năm 2014</v>
          </cell>
          <cell r="J16" t="str">
            <v>10h00' ngày 25 tháng 9 năm 2014</v>
          </cell>
          <cell r="K16" t="str">
            <v>10h30' ngày 25 tháng 9 năm 2014</v>
          </cell>
          <cell r="L16" t="str">
            <v>10h30'</v>
          </cell>
          <cell r="M16" t="str">
            <v>11h30'</v>
          </cell>
          <cell r="N16">
            <v>25</v>
          </cell>
          <cell r="O16">
            <v>9</v>
          </cell>
          <cell r="P16">
            <v>2014</v>
          </cell>
          <cell r="Q16" t="str">
            <v>Hà Nội, ngày 25 tháng 9 năm 2014</v>
          </cell>
          <cell r="R16" t="str">
            <v>10h30' ngày 25 tháng 9 năm 2014</v>
          </cell>
          <cell r="S16" t="str">
            <v>11h30' ngày 25 tháng 9 năm 2014</v>
          </cell>
          <cell r="T16" t="str">
            <v>10h30'</v>
          </cell>
          <cell r="U16" t="str">
            <v>10h30' Ngày 25/9/2014</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row>
        <row r="17">
          <cell r="A17" t="str">
            <v>C.TRE-06</v>
          </cell>
          <cell r="B17" t="str">
            <v>- Cọc tre D100, chiều dài 1,5m, số lượng: 2740 đoạn kèm theo biên bản bàn giao vật tư ngày 28/09/2014</v>
          </cell>
          <cell r="C17" t="str">
            <v>C.TRE-06</v>
          </cell>
          <cell r="D17" t="str">
            <v>10h00'</v>
          </cell>
          <cell r="E17" t="str">
            <v>10h30'</v>
          </cell>
          <cell r="F17">
            <v>29</v>
          </cell>
          <cell r="G17">
            <v>9</v>
          </cell>
          <cell r="H17">
            <v>2014</v>
          </cell>
          <cell r="I17" t="str">
            <v>Hà Nội, ngày 29 tháng 9 năm 2014</v>
          </cell>
          <cell r="J17" t="str">
            <v>10h00' ngày 29 tháng 9 năm 2014</v>
          </cell>
          <cell r="K17" t="str">
            <v>10h30' ngày 29 tháng 9 năm 2014</v>
          </cell>
          <cell r="L17" t="str">
            <v>10h30'</v>
          </cell>
          <cell r="M17" t="str">
            <v>11h30'</v>
          </cell>
          <cell r="N17">
            <v>29</v>
          </cell>
          <cell r="O17">
            <v>9</v>
          </cell>
          <cell r="P17">
            <v>2014</v>
          </cell>
          <cell r="Q17" t="str">
            <v>Hà Nội, ngày 29 tháng 9 năm 2014</v>
          </cell>
          <cell r="R17" t="str">
            <v>10h30' ngày 29 tháng 9 năm 2014</v>
          </cell>
          <cell r="S17" t="str">
            <v>11h30' ngày 29 tháng 9 năm 2014</v>
          </cell>
          <cell r="T17" t="str">
            <v>10h30'</v>
          </cell>
          <cell r="U17" t="str">
            <v>10h30' Ngày 29/9/2014</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row>
        <row r="18">
          <cell r="A18" t="str">
            <v>C.TRE-07</v>
          </cell>
          <cell r="C18" t="str">
            <v>C.TRE-07</v>
          </cell>
          <cell r="D18" t="str">
            <v>10h30'</v>
          </cell>
          <cell r="E18" t="str">
            <v>11h30'</v>
          </cell>
          <cell r="I18" t="str">
            <v xml:space="preserve">Hà Nội, ngày  tháng  năm </v>
          </cell>
          <cell r="J18" t="str">
            <v xml:space="preserve">10h30' ngày  tháng  năm </v>
          </cell>
          <cell r="K18" t="str">
            <v xml:space="preserve">11h30' ngày  tháng  năm </v>
          </cell>
          <cell r="L18" t="str">
            <v>14h30'</v>
          </cell>
          <cell r="M18" t="str">
            <v>15h30'</v>
          </cell>
          <cell r="Q18" t="str">
            <v xml:space="preserve">Hà Nội, ngày  tháng  năm </v>
          </cell>
          <cell r="R18" t="str">
            <v xml:space="preserve">14h30' ngày  tháng  năm </v>
          </cell>
          <cell r="S18" t="str">
            <v xml:space="preserve">15h30' ngày  tháng  năm </v>
          </cell>
          <cell r="T18" t="str">
            <v>14h30'</v>
          </cell>
          <cell r="U18" t="str">
            <v>14h30' Ngày //</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row>
        <row r="19">
          <cell r="A19" t="str">
            <v>C.TRE-08</v>
          </cell>
          <cell r="C19" t="str">
            <v>C.TRE-08</v>
          </cell>
          <cell r="D19" t="str">
            <v>10h30'</v>
          </cell>
          <cell r="E19" t="str">
            <v>11h30'</v>
          </cell>
          <cell r="I19" t="str">
            <v xml:space="preserve">Hà Nội, ngày  tháng  năm </v>
          </cell>
          <cell r="J19" t="str">
            <v xml:space="preserve">10h30' ngày  tháng  năm </v>
          </cell>
          <cell r="K19" t="str">
            <v xml:space="preserve">11h30' ngày  tháng  năm </v>
          </cell>
          <cell r="L19" t="str">
            <v>14h30'</v>
          </cell>
          <cell r="M19" t="str">
            <v>15h30'</v>
          </cell>
          <cell r="Q19" t="str">
            <v xml:space="preserve">Hà Nội, ngày  tháng  năm </v>
          </cell>
          <cell r="R19" t="str">
            <v xml:space="preserve">14h30' ngày  tháng  năm </v>
          </cell>
          <cell r="S19" t="str">
            <v xml:space="preserve">15h30' ngày  tháng  năm </v>
          </cell>
          <cell r="T19" t="str">
            <v>14h30'</v>
          </cell>
          <cell r="U19" t="str">
            <v>14h30' Ngày //</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row>
        <row r="20">
          <cell r="A20" t="str">
            <v>C.TRE-09</v>
          </cell>
          <cell r="C20" t="str">
            <v>C.TRE-09</v>
          </cell>
          <cell r="D20" t="str">
            <v>10h30'</v>
          </cell>
          <cell r="E20" t="str">
            <v>11h30'</v>
          </cell>
          <cell r="I20" t="str">
            <v xml:space="preserve">Hà Nội, ngày  tháng  năm </v>
          </cell>
          <cell r="J20" t="str">
            <v xml:space="preserve">10h30' ngày  tháng  năm </v>
          </cell>
          <cell r="K20" t="str">
            <v xml:space="preserve">11h30' ngày  tháng  năm </v>
          </cell>
          <cell r="L20" t="str">
            <v>14h30'</v>
          </cell>
          <cell r="M20" t="str">
            <v>15h30'</v>
          </cell>
          <cell r="Q20" t="str">
            <v xml:space="preserve">Hà Nội, ngày  tháng  năm </v>
          </cell>
          <cell r="R20" t="str">
            <v xml:space="preserve">14h30' ngày  tháng  năm </v>
          </cell>
          <cell r="S20" t="str">
            <v xml:space="preserve">15h30' ngày  tháng  năm </v>
          </cell>
          <cell r="T20" t="str">
            <v>14h30'</v>
          </cell>
          <cell r="U20" t="str">
            <v>14h30' Ngày //</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row>
        <row r="21">
          <cell r="A21" t="str">
            <v>C.TRE-10</v>
          </cell>
          <cell r="C21" t="str">
            <v>C.TRE-10</v>
          </cell>
          <cell r="D21" t="str">
            <v>10h30'</v>
          </cell>
          <cell r="E21" t="str">
            <v>11h30'</v>
          </cell>
          <cell r="I21" t="str">
            <v xml:space="preserve">Hà Nội, ngày  tháng  năm </v>
          </cell>
          <cell r="J21" t="str">
            <v xml:space="preserve">10h30' ngày  tháng  năm </v>
          </cell>
          <cell r="K21" t="str">
            <v xml:space="preserve">11h30' ngày  tháng  năm </v>
          </cell>
          <cell r="L21" t="str">
            <v>14h30'</v>
          </cell>
          <cell r="M21" t="str">
            <v>15h30'</v>
          </cell>
          <cell r="Q21" t="str">
            <v xml:space="preserve">Hà Nội, ngày  tháng  năm </v>
          </cell>
          <cell r="R21" t="str">
            <v xml:space="preserve">14h30' ngày  tháng  năm </v>
          </cell>
          <cell r="S21" t="str">
            <v xml:space="preserve">15h30' ngày  tháng  năm </v>
          </cell>
          <cell r="T21" t="str">
            <v>14h30'</v>
          </cell>
          <cell r="U21" t="str">
            <v>14h30' Ngày //</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row>
        <row r="22">
          <cell r="A22" t="str">
            <v>C.TRE-11</v>
          </cell>
          <cell r="C22" t="str">
            <v>C.TRE-11</v>
          </cell>
          <cell r="D22" t="str">
            <v>10h30'</v>
          </cell>
          <cell r="E22" t="str">
            <v>11h30'</v>
          </cell>
          <cell r="I22" t="str">
            <v xml:space="preserve">Hà Nội, ngày  tháng  năm </v>
          </cell>
          <cell r="J22" t="str">
            <v xml:space="preserve">10h30' ngày  tháng  năm </v>
          </cell>
          <cell r="K22" t="str">
            <v xml:space="preserve">11h30' ngày  tháng  năm </v>
          </cell>
          <cell r="L22" t="str">
            <v>14h30'</v>
          </cell>
          <cell r="M22" t="str">
            <v>15h30'</v>
          </cell>
          <cell r="Q22" t="str">
            <v xml:space="preserve">Hà Nội, ngày  tháng  năm </v>
          </cell>
          <cell r="R22" t="str">
            <v xml:space="preserve">14h30' ngày  tháng  năm </v>
          </cell>
          <cell r="S22" t="str">
            <v xml:space="preserve">15h30' ngày  tháng  năm </v>
          </cell>
          <cell r="T22" t="str">
            <v>14h30'</v>
          </cell>
          <cell r="U22" t="str">
            <v>14h30'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row>
        <row r="23">
          <cell r="A23" t="str">
            <v>C.TRE-12</v>
          </cell>
          <cell r="C23" t="str">
            <v>C.TRE-12</v>
          </cell>
          <cell r="D23" t="str">
            <v>10h30'</v>
          </cell>
          <cell r="E23" t="str">
            <v>11h30'</v>
          </cell>
          <cell r="I23" t="str">
            <v xml:space="preserve">Hà Nội, ngày  tháng  năm </v>
          </cell>
          <cell r="J23" t="str">
            <v xml:space="preserve">10h30' ngày  tháng  năm </v>
          </cell>
          <cell r="K23" t="str">
            <v xml:space="preserve">11h30' ngày  tháng  năm </v>
          </cell>
          <cell r="L23" t="str">
            <v>14h30'</v>
          </cell>
          <cell r="M23" t="str">
            <v>15h30'</v>
          </cell>
          <cell r="Q23" t="str">
            <v xml:space="preserve">Hà Nội, ngày  tháng  năm </v>
          </cell>
          <cell r="R23" t="str">
            <v xml:space="preserve">14h30' ngày  tháng  năm </v>
          </cell>
          <cell r="S23" t="str">
            <v xml:space="preserve">15h30' ngày  tháng  năm </v>
          </cell>
          <cell r="T23" t="str">
            <v>14h30'</v>
          </cell>
          <cell r="U23" t="str">
            <v>14h30'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row>
        <row r="24">
          <cell r="A24" t="str">
            <v>C.TRE-13</v>
          </cell>
          <cell r="C24" t="str">
            <v>C.TRE-13</v>
          </cell>
          <cell r="D24" t="str">
            <v>10h30'</v>
          </cell>
          <cell r="E24" t="str">
            <v>11h30'</v>
          </cell>
          <cell r="I24" t="str">
            <v xml:space="preserve">Hà Nội, ngày  tháng  năm </v>
          </cell>
          <cell r="J24" t="str">
            <v xml:space="preserve">10h30' ngày  tháng  năm </v>
          </cell>
          <cell r="K24" t="str">
            <v xml:space="preserve">11h30' ngày  tháng  năm </v>
          </cell>
          <cell r="L24" t="str">
            <v>14h30'</v>
          </cell>
          <cell r="M24" t="str">
            <v>15h30'</v>
          </cell>
          <cell r="Q24" t="str">
            <v xml:space="preserve">Hà Nội, ngày  tháng  năm </v>
          </cell>
          <cell r="R24" t="str">
            <v xml:space="preserve">14h30' ngày  tháng  năm </v>
          </cell>
          <cell r="S24" t="str">
            <v xml:space="preserve">15h30' ngày  tháng  năm </v>
          </cell>
          <cell r="T24" t="str">
            <v>14h30'</v>
          </cell>
          <cell r="U24" t="str">
            <v>14h30'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row>
        <row r="25">
          <cell r="A25" t="str">
            <v>C.TRE-14</v>
          </cell>
          <cell r="C25" t="str">
            <v>C.TRE-14</v>
          </cell>
          <cell r="D25" t="str">
            <v>10h30'</v>
          </cell>
          <cell r="E25" t="str">
            <v>11h30'</v>
          </cell>
          <cell r="I25" t="str">
            <v xml:space="preserve">Hà Nội, ngày  tháng  năm </v>
          </cell>
          <cell r="J25" t="str">
            <v xml:space="preserve">10h30' ngày  tháng  năm </v>
          </cell>
          <cell r="K25" t="str">
            <v xml:space="preserve">11h30' ngày  tháng  năm </v>
          </cell>
          <cell r="L25" t="str">
            <v>14h30'</v>
          </cell>
          <cell r="M25" t="str">
            <v>15h30'</v>
          </cell>
          <cell r="Q25" t="str">
            <v xml:space="preserve">Hà Nội, ngày  tháng  năm </v>
          </cell>
          <cell r="R25" t="str">
            <v xml:space="preserve">14h30' ngày  tháng  năm </v>
          </cell>
          <cell r="S25" t="str">
            <v xml:space="preserve">15h30' ngày  tháng  năm </v>
          </cell>
          <cell r="T25" t="str">
            <v>14h30'</v>
          </cell>
          <cell r="U25" t="str">
            <v>14h30'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row>
        <row r="29">
          <cell r="A29">
            <v>1</v>
          </cell>
          <cell r="B29">
            <v>2</v>
          </cell>
          <cell r="C29">
            <v>3</v>
          </cell>
          <cell r="D29">
            <v>4</v>
          </cell>
          <cell r="E29">
            <v>5</v>
          </cell>
          <cell r="F29">
            <v>6</v>
          </cell>
          <cell r="G29">
            <v>7</v>
          </cell>
          <cell r="H29">
            <v>8</v>
          </cell>
          <cell r="I29">
            <v>9</v>
          </cell>
          <cell r="J29">
            <v>10</v>
          </cell>
          <cell r="K29">
            <v>11</v>
          </cell>
          <cell r="L29">
            <v>12</v>
          </cell>
          <cell r="M29">
            <v>13</v>
          </cell>
          <cell r="N29">
            <v>14</v>
          </cell>
          <cell r="O29">
            <v>15</v>
          </cell>
          <cell r="P29">
            <v>16</v>
          </cell>
          <cell r="Q29">
            <v>17</v>
          </cell>
          <cell r="R29">
            <v>18</v>
          </cell>
          <cell r="S29">
            <v>19</v>
          </cell>
          <cell r="T29">
            <v>20</v>
          </cell>
          <cell r="U29">
            <v>21</v>
          </cell>
          <cell r="V29">
            <v>22</v>
          </cell>
          <cell r="W29">
            <v>23</v>
          </cell>
          <cell r="X29">
            <v>24</v>
          </cell>
          <cell r="Y29">
            <v>25</v>
          </cell>
          <cell r="Z29">
            <v>26</v>
          </cell>
          <cell r="AA29">
            <v>27</v>
          </cell>
          <cell r="AB29">
            <v>28</v>
          </cell>
          <cell r="AC29">
            <v>29</v>
          </cell>
          <cell r="AD29">
            <v>30</v>
          </cell>
          <cell r="AE29">
            <v>31</v>
          </cell>
          <cell r="AF29">
            <v>32</v>
          </cell>
          <cell r="AG29">
            <v>33</v>
          </cell>
          <cell r="AH29">
            <v>34</v>
          </cell>
          <cell r="AI29">
            <v>35</v>
          </cell>
          <cell r="AJ29">
            <v>36</v>
          </cell>
          <cell r="AK29">
            <v>37</v>
          </cell>
          <cell r="AL29">
            <v>38</v>
          </cell>
          <cell r="AM29">
            <v>39</v>
          </cell>
          <cell r="AN29">
            <v>40</v>
          </cell>
          <cell r="AO29">
            <v>41</v>
          </cell>
          <cell r="AP29">
            <v>42</v>
          </cell>
        </row>
      </sheetData>
      <sheetData sheetId="31">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Đ.TRE-01</v>
          </cell>
          <cell r="B10" t="str">
            <v>-  Đóng cọc tre bể nước sạch</v>
          </cell>
          <cell r="C10" t="str">
            <v>Đ.TRE-01</v>
          </cell>
          <cell r="D10" t="str">
            <v>8h00</v>
          </cell>
          <cell r="E10" t="str">
            <v>8h45</v>
          </cell>
          <cell r="F10">
            <v>20</v>
          </cell>
          <cell r="G10">
            <v>11</v>
          </cell>
          <cell r="H10">
            <v>2014</v>
          </cell>
          <cell r="I10" t="str">
            <v>Hà Nội, ngày 20 tháng 11 năm 2014</v>
          </cell>
          <cell r="J10" t="str">
            <v>8h00 ngày 20 tháng 11 năm 2014</v>
          </cell>
          <cell r="K10" t="str">
            <v>8h45 ngày 20 tháng 11 năm 2014</v>
          </cell>
          <cell r="L10" t="str">
            <v>8h45</v>
          </cell>
          <cell r="M10" t="str">
            <v>9h30</v>
          </cell>
          <cell r="N10">
            <v>20</v>
          </cell>
          <cell r="O10">
            <v>11</v>
          </cell>
          <cell r="P10">
            <v>2014</v>
          </cell>
          <cell r="Q10" t="str">
            <v>Hà Nội, ngày 20 tháng 11 năm 2014</v>
          </cell>
          <cell r="R10" t="str">
            <v>8h45 ngày 20 tháng 11 năm 2014</v>
          </cell>
          <cell r="S10" t="str">
            <v>9h30 ngày 20 tháng 11 năm 2014</v>
          </cell>
          <cell r="T10" t="str">
            <v>8h45</v>
          </cell>
          <cell r="U10" t="str">
            <v>8h45 Ngày 20/11/2014</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Cán bộ TVGS</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KC-69; KC-70;</v>
          </cell>
        </row>
        <row r="11">
          <cell r="A11" t="str">
            <v>Đ.TRE-02</v>
          </cell>
          <cell r="B11" t="str">
            <v>-  Đóng cọc tre bể tách dầu mỡ và bể tự hoại số 04</v>
          </cell>
          <cell r="C11" t="str">
            <v>Đ.TRE-02</v>
          </cell>
          <cell r="D11" t="str">
            <v>13h30</v>
          </cell>
          <cell r="E11" t="str">
            <v>14h00</v>
          </cell>
          <cell r="F11">
            <v>29</v>
          </cell>
          <cell r="G11">
            <v>12</v>
          </cell>
          <cell r="H11">
            <v>2014</v>
          </cell>
          <cell r="I11" t="str">
            <v>Hà Nội, ngày 29 tháng 12 năm 2014</v>
          </cell>
          <cell r="J11" t="str">
            <v>13h30 ngày 29 tháng 12 năm 2014</v>
          </cell>
          <cell r="K11" t="str">
            <v>14h00 ngày 29 tháng 12 năm 2014</v>
          </cell>
          <cell r="L11" t="str">
            <v>14h00</v>
          </cell>
          <cell r="M11" t="str">
            <v>14h30</v>
          </cell>
          <cell r="N11">
            <v>29</v>
          </cell>
          <cell r="O11">
            <v>12</v>
          </cell>
          <cell r="P11">
            <v>2014</v>
          </cell>
          <cell r="Q11" t="str">
            <v>Hà Nội, ngày 29 tháng 12 năm 2014</v>
          </cell>
          <cell r="R11" t="str">
            <v>14h00 ngày 29 tháng 12 năm 2014</v>
          </cell>
          <cell r="S11" t="str">
            <v>14h30 ngày 29 tháng 12 năm 2014</v>
          </cell>
          <cell r="T11" t="str">
            <v>14h00</v>
          </cell>
          <cell r="U11" t="str">
            <v>14h00 Ngày 29/12/2014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KC71 ÷ KC73</v>
          </cell>
          <cell r="AQ11" t="str">
            <v>Ngày 29 Tháng 12 Năm 2014</v>
          </cell>
        </row>
        <row r="12">
          <cell r="A12" t="str">
            <v>Đ.TRE-03</v>
          </cell>
          <cell r="B12" t="str">
            <v>-  Đóng cọc tre bể tách dầu mỡ và bể tự hoại số 03</v>
          </cell>
          <cell r="C12" t="str">
            <v>Đ.TRE-03</v>
          </cell>
          <cell r="D12" t="str">
            <v>13h30</v>
          </cell>
          <cell r="E12" t="str">
            <v>14h00</v>
          </cell>
          <cell r="F12">
            <v>2</v>
          </cell>
          <cell r="G12">
            <v>1</v>
          </cell>
          <cell r="H12">
            <v>2015</v>
          </cell>
          <cell r="I12" t="str">
            <v>Hà Nội, ngày 2 tháng 1 năm 2015</v>
          </cell>
          <cell r="J12" t="str">
            <v>13h30 ngày 2 tháng 1 năm 2015</v>
          </cell>
          <cell r="K12" t="str">
            <v>14h00 ngày 2 tháng 1 năm 2015</v>
          </cell>
          <cell r="L12" t="str">
            <v>14h00</v>
          </cell>
          <cell r="M12" t="str">
            <v>14h30</v>
          </cell>
          <cell r="N12">
            <v>2</v>
          </cell>
          <cell r="O12">
            <v>1</v>
          </cell>
          <cell r="P12">
            <v>2015</v>
          </cell>
          <cell r="Q12" t="str">
            <v>Hà Nội, ngày 2 tháng 1 năm 2015</v>
          </cell>
          <cell r="R12" t="str">
            <v>14h00 ngày 2 tháng 1 năm 2015</v>
          </cell>
          <cell r="S12" t="str">
            <v>14h30 ngày 2 tháng 1 năm 2015</v>
          </cell>
          <cell r="T12" t="str">
            <v>14h00</v>
          </cell>
          <cell r="U12" t="str">
            <v>14h00 Ngày 2/1/2015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KC71 ÷ KC73</v>
          </cell>
          <cell r="AQ12" t="str">
            <v>Ngày 2 Tháng 1 Năm 2015</v>
          </cell>
        </row>
        <row r="13">
          <cell r="A13" t="str">
            <v>Đ.TRE-04</v>
          </cell>
          <cell r="B13" t="str">
            <v>-  Đóng cọc tre bể tách dầu mỡ và bể tự hoại số 01</v>
          </cell>
          <cell r="C13" t="str">
            <v>Đ.TRE-04</v>
          </cell>
          <cell r="D13" t="str">
            <v>13h30</v>
          </cell>
          <cell r="E13" t="str">
            <v>14h00</v>
          </cell>
          <cell r="F13">
            <v>5</v>
          </cell>
          <cell r="G13">
            <v>1</v>
          </cell>
          <cell r="H13">
            <v>2015</v>
          </cell>
          <cell r="I13" t="str">
            <v>Hà Nội, ngày 5 tháng 1 năm 2015</v>
          </cell>
          <cell r="J13" t="str">
            <v>13h30 ngày 5 tháng 1 năm 2015</v>
          </cell>
          <cell r="K13" t="str">
            <v>14h00 ngày 5 tháng 1 năm 2015</v>
          </cell>
          <cell r="L13" t="str">
            <v>14h00</v>
          </cell>
          <cell r="M13" t="str">
            <v>14h30</v>
          </cell>
          <cell r="N13">
            <v>5</v>
          </cell>
          <cell r="O13">
            <v>1</v>
          </cell>
          <cell r="P13">
            <v>2015</v>
          </cell>
          <cell r="Q13" t="str">
            <v>Hà Nội, ngày 5 tháng 1 năm 2015</v>
          </cell>
          <cell r="R13" t="str">
            <v>14h00 ngày 5 tháng 1 năm 2015</v>
          </cell>
          <cell r="S13" t="str">
            <v>14h30 ngày 5 tháng 1 năm 2015</v>
          </cell>
          <cell r="T13" t="str">
            <v>14h00</v>
          </cell>
          <cell r="U13" t="str">
            <v>14h00 Ngày 5/1/2015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KC71 ÷ KC73</v>
          </cell>
          <cell r="AQ13" t="str">
            <v>Ngày 5 Tháng 1 Năm 2015</v>
          </cell>
        </row>
        <row r="14">
          <cell r="A14" t="str">
            <v>Đ.TRE-05</v>
          </cell>
          <cell r="B14" t="str">
            <v>-  Đóng cọc tre bể tách dầu mỡ và bể tự hoại số 02</v>
          </cell>
          <cell r="C14" t="str">
            <v>Đ.TRE-05</v>
          </cell>
          <cell r="D14" t="str">
            <v>13h30</v>
          </cell>
          <cell r="E14" t="str">
            <v>14h00</v>
          </cell>
          <cell r="F14">
            <v>6</v>
          </cell>
          <cell r="G14">
            <v>1</v>
          </cell>
          <cell r="H14">
            <v>2015</v>
          </cell>
          <cell r="I14" t="str">
            <v>Hà Nội, ngày 6 tháng 1 năm 2015</v>
          </cell>
          <cell r="J14" t="str">
            <v>13h30 ngày 6 tháng 1 năm 2015</v>
          </cell>
          <cell r="K14" t="str">
            <v>14h00 ngày 6 tháng 1 năm 2015</v>
          </cell>
          <cell r="L14" t="str">
            <v>14h00</v>
          </cell>
          <cell r="M14" t="str">
            <v>14h30</v>
          </cell>
          <cell r="N14">
            <v>6</v>
          </cell>
          <cell r="O14">
            <v>1</v>
          </cell>
          <cell r="P14">
            <v>2015</v>
          </cell>
          <cell r="Q14" t="str">
            <v>Hà Nội, ngày 6 tháng 1 năm 2015</v>
          </cell>
          <cell r="R14" t="str">
            <v>14h00 ngày 6 tháng 1 năm 2015</v>
          </cell>
          <cell r="S14" t="str">
            <v>14h30 ngày 6 tháng 1 năm 2015</v>
          </cell>
          <cell r="T14" t="str">
            <v>14h00</v>
          </cell>
          <cell r="U14" t="str">
            <v>14h00 Ngày 6/1/2015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KC71 ÷ KC73</v>
          </cell>
          <cell r="AQ14" t="str">
            <v>Ngày 6 Tháng 1 Năm 2015</v>
          </cell>
        </row>
        <row r="15">
          <cell r="A15" t="str">
            <v>Đ.TRE-06</v>
          </cell>
          <cell r="C15" t="str">
            <v>Đ.TRE-06</v>
          </cell>
          <cell r="D15" t="str">
            <v>….h….</v>
          </cell>
          <cell r="E15" t="str">
            <v>….h….</v>
          </cell>
          <cell r="F15" t="str">
            <v>….</v>
          </cell>
          <cell r="G15" t="str">
            <v>….</v>
          </cell>
          <cell r="H15" t="str">
            <v>…..</v>
          </cell>
          <cell r="I15" t="str">
            <v>Hà Nội, ngày …. tháng …. năm …..</v>
          </cell>
          <cell r="J15" t="str">
            <v>….h…. ngày …. tháng …. năm …..</v>
          </cell>
          <cell r="K15" t="str">
            <v>….h…. ngày …. tháng …. năm …..</v>
          </cell>
          <cell r="L15" t="str">
            <v>….h….</v>
          </cell>
          <cell r="M15" t="str">
            <v>….h….</v>
          </cell>
          <cell r="N15" t="str">
            <v>….</v>
          </cell>
          <cell r="O15" t="str">
            <v>….</v>
          </cell>
          <cell r="P15" t="str">
            <v>…..</v>
          </cell>
          <cell r="Q15" t="str">
            <v>Hà Nội, ngày …. tháng …. năm …..</v>
          </cell>
          <cell r="R15" t="str">
            <v>….h…. ngày …. tháng …. năm …..</v>
          </cell>
          <cell r="S15" t="str">
            <v>….h…. ngày …. tháng …. năm …..</v>
          </cell>
          <cell r="T15" t="str">
            <v>….h….</v>
          </cell>
          <cell r="U15" t="str">
            <v>….h…. Ngày …./…./…..</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v>
          </cell>
        </row>
        <row r="16">
          <cell r="A16" t="str">
            <v>Đ.TRE-07</v>
          </cell>
          <cell r="C16" t="str">
            <v>Đ.TRE-07</v>
          </cell>
          <cell r="D16" t="str">
            <v>….h….</v>
          </cell>
          <cell r="E16" t="str">
            <v>….h….</v>
          </cell>
          <cell r="F16" t="str">
            <v>….</v>
          </cell>
          <cell r="G16" t="str">
            <v>….</v>
          </cell>
          <cell r="H16" t="str">
            <v>…..</v>
          </cell>
          <cell r="I16" t="str">
            <v>Hà Nội, ngày …. tháng …. năm …..</v>
          </cell>
          <cell r="J16" t="str">
            <v>….h…. ngày …. tháng …. năm …..</v>
          </cell>
          <cell r="K16" t="str">
            <v>….h…. ngày …. tháng …. năm …..</v>
          </cell>
          <cell r="L16" t="str">
            <v>….h….</v>
          </cell>
          <cell r="M16" t="str">
            <v>….h….</v>
          </cell>
          <cell r="N16" t="str">
            <v>….</v>
          </cell>
          <cell r="O16" t="str">
            <v>….</v>
          </cell>
          <cell r="P16" t="str">
            <v>…..</v>
          </cell>
          <cell r="Q16" t="str">
            <v>Hà Nội, ngày …. tháng …. năm …..</v>
          </cell>
          <cell r="R16" t="str">
            <v>….h…. ngày …. tháng …. năm …..</v>
          </cell>
          <cell r="S16" t="str">
            <v>….h…. ngày …. tháng …. năm …..</v>
          </cell>
          <cell r="T16" t="str">
            <v>….h….</v>
          </cell>
          <cell r="U16" t="str">
            <v>….h…. Ngày …./…./…..</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v>
          </cell>
        </row>
        <row r="17">
          <cell r="A17" t="str">
            <v>Đ.TRE-08</v>
          </cell>
          <cell r="C17" t="str">
            <v>Đ.TRE-08</v>
          </cell>
          <cell r="D17" t="str">
            <v>….h….</v>
          </cell>
          <cell r="E17" t="str">
            <v>….h….</v>
          </cell>
          <cell r="F17" t="str">
            <v>….</v>
          </cell>
          <cell r="G17" t="str">
            <v>….</v>
          </cell>
          <cell r="H17" t="str">
            <v>…..</v>
          </cell>
          <cell r="I17" t="str">
            <v>Hà Nội, ngày …. tháng …. năm …..</v>
          </cell>
          <cell r="J17" t="str">
            <v>….h…. ngày …. tháng …. năm …..</v>
          </cell>
          <cell r="K17" t="str">
            <v>….h…. ngày …. tháng …. năm …..</v>
          </cell>
          <cell r="L17" t="str">
            <v>….h….</v>
          </cell>
          <cell r="M17" t="str">
            <v>….h….</v>
          </cell>
          <cell r="N17" t="str">
            <v>….</v>
          </cell>
          <cell r="O17" t="str">
            <v>….</v>
          </cell>
          <cell r="P17" t="str">
            <v>…..</v>
          </cell>
          <cell r="Q17" t="str">
            <v>Hà Nội, ngày …. tháng …. năm …..</v>
          </cell>
          <cell r="R17" t="str">
            <v>….h…. ngày …. tháng …. năm …..</v>
          </cell>
          <cell r="S17" t="str">
            <v>….h…. ngày …. tháng …. năm …..</v>
          </cell>
          <cell r="T17" t="str">
            <v>….h….</v>
          </cell>
          <cell r="U17" t="str">
            <v>….h…. Ngày …./…./…..</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v>
          </cell>
        </row>
        <row r="18">
          <cell r="A18" t="str">
            <v>Đ.TRE-09</v>
          </cell>
          <cell r="C18" t="str">
            <v>Đ.TRE-09</v>
          </cell>
          <cell r="D18" t="str">
            <v>….h….</v>
          </cell>
          <cell r="E18" t="str">
            <v>….h….</v>
          </cell>
          <cell r="F18" t="str">
            <v>….</v>
          </cell>
          <cell r="G18" t="str">
            <v>….</v>
          </cell>
          <cell r="H18" t="str">
            <v>…..</v>
          </cell>
          <cell r="I18" t="str">
            <v>Hà Nội, ngày …. tháng …. năm …..</v>
          </cell>
          <cell r="J18" t="str">
            <v>….h…. ngày …. tháng …. năm …..</v>
          </cell>
          <cell r="K18" t="str">
            <v>….h…. ngày …. tháng …. năm …..</v>
          </cell>
          <cell r="L18" t="str">
            <v>….h….</v>
          </cell>
          <cell r="M18" t="str">
            <v>….h….</v>
          </cell>
          <cell r="N18" t="str">
            <v>….</v>
          </cell>
          <cell r="O18" t="str">
            <v>….</v>
          </cell>
          <cell r="P18" t="str">
            <v>…..</v>
          </cell>
          <cell r="Q18" t="str">
            <v>Hà Nội, ngày …. tháng …. năm …..</v>
          </cell>
          <cell r="R18" t="str">
            <v>….h…. ngày …. tháng …. năm …..</v>
          </cell>
          <cell r="S18" t="str">
            <v>….h…. ngày …. tháng …. năm …..</v>
          </cell>
          <cell r="T18" t="str">
            <v>….h….</v>
          </cell>
          <cell r="U18" t="str">
            <v>….h…. Ngày …./…./…..</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v>
          </cell>
        </row>
        <row r="19">
          <cell r="A19" t="str">
            <v>Đ.TRE-10</v>
          </cell>
          <cell r="C19" t="str">
            <v>Đ.TRE-10</v>
          </cell>
          <cell r="D19" t="str">
            <v>….h….</v>
          </cell>
          <cell r="E19" t="str">
            <v>….h….</v>
          </cell>
          <cell r="F19" t="str">
            <v>….</v>
          </cell>
          <cell r="G19" t="str">
            <v>….</v>
          </cell>
          <cell r="H19" t="str">
            <v>…..</v>
          </cell>
          <cell r="I19" t="str">
            <v>Hà Nội, ngày …. tháng …. năm …..</v>
          </cell>
          <cell r="J19" t="str">
            <v>….h…. ngày …. tháng …. năm …..</v>
          </cell>
          <cell r="K19" t="str">
            <v>….h…. ngày …. tháng …. năm …..</v>
          </cell>
          <cell r="L19" t="str">
            <v>….h….</v>
          </cell>
          <cell r="M19" t="str">
            <v>….h….</v>
          </cell>
          <cell r="N19" t="str">
            <v>….</v>
          </cell>
          <cell r="O19" t="str">
            <v>….</v>
          </cell>
          <cell r="P19" t="str">
            <v>…..</v>
          </cell>
          <cell r="Q19" t="str">
            <v>Hà Nội, ngày …. tháng …. năm …..</v>
          </cell>
          <cell r="R19" t="str">
            <v>….h…. ngày …. tháng …. năm …..</v>
          </cell>
          <cell r="S19" t="str">
            <v>….h…. ngày …. tháng …. năm …..</v>
          </cell>
          <cell r="T19" t="str">
            <v>….h….</v>
          </cell>
          <cell r="U19" t="str">
            <v>….h…. Ngày …./…./…..</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v>
          </cell>
        </row>
        <row r="20">
          <cell r="A20" t="str">
            <v>Đ.TRE-11</v>
          </cell>
          <cell r="C20" t="str">
            <v>Đ.TRE-11</v>
          </cell>
          <cell r="D20" t="str">
            <v>….h….</v>
          </cell>
          <cell r="E20" t="str">
            <v>….h….</v>
          </cell>
          <cell r="F20" t="str">
            <v>….</v>
          </cell>
          <cell r="G20" t="str">
            <v>….</v>
          </cell>
          <cell r="H20" t="str">
            <v>…..</v>
          </cell>
          <cell r="I20" t="str">
            <v>Hà Nội, ngày …. tháng …. năm …..</v>
          </cell>
          <cell r="J20" t="str">
            <v>….h…. ngày …. tháng …. năm …..</v>
          </cell>
          <cell r="K20" t="str">
            <v>….h…. ngày …. tháng …. năm …..</v>
          </cell>
          <cell r="L20" t="str">
            <v>….h….</v>
          </cell>
          <cell r="M20" t="str">
            <v>….h….</v>
          </cell>
          <cell r="N20" t="str">
            <v>….</v>
          </cell>
          <cell r="O20" t="str">
            <v>….</v>
          </cell>
          <cell r="P20" t="str">
            <v>…..</v>
          </cell>
          <cell r="Q20" t="str">
            <v>Hà Nội, ngày …. tháng …. năm …..</v>
          </cell>
          <cell r="R20" t="str">
            <v>….h…. ngày …. tháng …. năm …..</v>
          </cell>
          <cell r="S20" t="str">
            <v>….h…. ngày …. tháng …. năm …..</v>
          </cell>
          <cell r="T20" t="str">
            <v>….h….</v>
          </cell>
          <cell r="U20" t="str">
            <v>….h…. Ngày …./…./…..</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v>
          </cell>
        </row>
        <row r="21">
          <cell r="A21" t="str">
            <v>Đ.TRE-12</v>
          </cell>
          <cell r="C21" t="str">
            <v>Đ.TRE-12</v>
          </cell>
          <cell r="D21" t="str">
            <v>….h….</v>
          </cell>
          <cell r="E21" t="str">
            <v>….h….</v>
          </cell>
          <cell r="F21" t="str">
            <v>….</v>
          </cell>
          <cell r="G21" t="str">
            <v>….</v>
          </cell>
          <cell r="H21" t="str">
            <v>…..</v>
          </cell>
          <cell r="I21" t="str">
            <v>Hà Nội, ngày …. tháng …. năm …..</v>
          </cell>
          <cell r="J21" t="str">
            <v>….h…. ngày …. tháng …. năm …..</v>
          </cell>
          <cell r="K21" t="str">
            <v>….h…. ngày …. tháng …. năm …..</v>
          </cell>
          <cell r="L21" t="str">
            <v>….h….</v>
          </cell>
          <cell r="M21" t="str">
            <v>….h….</v>
          </cell>
          <cell r="N21" t="str">
            <v>….</v>
          </cell>
          <cell r="O21" t="str">
            <v>….</v>
          </cell>
          <cell r="P21" t="str">
            <v>…..</v>
          </cell>
          <cell r="Q21" t="str">
            <v>Hà Nội, ngày …. tháng …. năm …..</v>
          </cell>
          <cell r="R21" t="str">
            <v>….h…. ngày …. tháng …. năm …..</v>
          </cell>
          <cell r="S21" t="str">
            <v>….h…. ngày …. tháng …. năm …..</v>
          </cell>
          <cell r="T21" t="str">
            <v>….h….</v>
          </cell>
          <cell r="U21" t="str">
            <v>….h…. Ngày …./…./…..</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v>
          </cell>
        </row>
        <row r="25">
          <cell r="A25">
            <v>1</v>
          </cell>
          <cell r="B25">
            <v>2</v>
          </cell>
          <cell r="C25">
            <v>3</v>
          </cell>
          <cell r="D25">
            <v>4</v>
          </cell>
          <cell r="E25">
            <v>5</v>
          </cell>
          <cell r="F25">
            <v>6</v>
          </cell>
          <cell r="G25">
            <v>7</v>
          </cell>
          <cell r="H25">
            <v>8</v>
          </cell>
          <cell r="I25">
            <v>9</v>
          </cell>
          <cell r="J25">
            <v>10</v>
          </cell>
          <cell r="K25">
            <v>11</v>
          </cell>
          <cell r="L25">
            <v>12</v>
          </cell>
          <cell r="M25">
            <v>13</v>
          </cell>
          <cell r="N25">
            <v>14</v>
          </cell>
          <cell r="O25">
            <v>15</v>
          </cell>
          <cell r="P25">
            <v>16</v>
          </cell>
          <cell r="Q25">
            <v>17</v>
          </cell>
          <cell r="R25">
            <v>18</v>
          </cell>
          <cell r="S25">
            <v>19</v>
          </cell>
          <cell r="T25">
            <v>20</v>
          </cell>
          <cell r="U25">
            <v>21</v>
          </cell>
          <cell r="V25">
            <v>22</v>
          </cell>
          <cell r="W25">
            <v>23</v>
          </cell>
          <cell r="X25">
            <v>24</v>
          </cell>
          <cell r="Y25">
            <v>25</v>
          </cell>
          <cell r="Z25">
            <v>26</v>
          </cell>
          <cell r="AA25">
            <v>27</v>
          </cell>
          <cell r="AB25">
            <v>28</v>
          </cell>
          <cell r="AC25">
            <v>29</v>
          </cell>
          <cell r="AD25">
            <v>30</v>
          </cell>
          <cell r="AE25">
            <v>31</v>
          </cell>
          <cell r="AF25">
            <v>32</v>
          </cell>
          <cell r="AG25">
            <v>33</v>
          </cell>
          <cell r="AH25">
            <v>34</v>
          </cell>
          <cell r="AI25">
            <v>35</v>
          </cell>
          <cell r="AJ25">
            <v>36</v>
          </cell>
          <cell r="AK25">
            <v>37</v>
          </cell>
          <cell r="AL25">
            <v>38</v>
          </cell>
          <cell r="AM25">
            <v>39</v>
          </cell>
          <cell r="AN25">
            <v>40</v>
          </cell>
          <cell r="AO25">
            <v>41</v>
          </cell>
          <cell r="AP25">
            <v>42</v>
          </cell>
          <cell r="AQ25">
            <v>43</v>
          </cell>
        </row>
      </sheetData>
      <sheetData sheetId="32"/>
      <sheetData sheetId="33">
        <row r="11">
          <cell r="A11" t="str">
            <v>TN-</v>
          </cell>
          <cell r="B11" t="str">
            <v>Trát tường ngoài bể nước sạch</v>
          </cell>
          <cell r="C11" t="str">
            <v>TN-</v>
          </cell>
          <cell r="D11" t="str">
            <v>10h30</v>
          </cell>
          <cell r="E11" t="str">
            <v>11h00</v>
          </cell>
          <cell r="F11">
            <v>2</v>
          </cell>
          <cell r="G11">
            <v>1</v>
          </cell>
          <cell r="H11">
            <v>2015</v>
          </cell>
          <cell r="I11" t="str">
            <v>Hà Nội, ngày 2 tháng 1 năm 2015</v>
          </cell>
          <cell r="J11" t="str">
            <v>10h30 ngày 2 tháng 1 năm 2015</v>
          </cell>
          <cell r="K11" t="str">
            <v>11h00 ngày 2 tháng 1 năm 2015</v>
          </cell>
          <cell r="L11" t="str">
            <v>11h00</v>
          </cell>
          <cell r="M11" t="str">
            <v>11h30</v>
          </cell>
          <cell r="N11">
            <v>2</v>
          </cell>
          <cell r="O11">
            <v>1</v>
          </cell>
          <cell r="P11">
            <v>2015</v>
          </cell>
          <cell r="Q11" t="str">
            <v>Hà Nội, ngày 2 tháng 1 năm 2015</v>
          </cell>
          <cell r="R11" t="str">
            <v>11h00 ngày 2 tháng 1 năm 2015</v>
          </cell>
          <cell r="S11" t="str">
            <v>11h30 ngày 2 tháng 1 năm 2015</v>
          </cell>
          <cell r="T11" t="str">
            <v>11h00</v>
          </cell>
          <cell r="U11" t="str">
            <v>11h00 Ngày 2/1/2015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2 Tháng 1 Năm 2015</v>
          </cell>
        </row>
        <row r="12">
          <cell r="A12" t="str">
            <v>TN-</v>
          </cell>
          <cell r="B12" t="str">
            <v xml:space="preserve">Trát tường ngoài bể tự hoại, bể tách dầu mỡ 04 và 03                                                                                                                                                                                                           </v>
          </cell>
          <cell r="C12" t="str">
            <v>TN-</v>
          </cell>
          <cell r="D12" t="str">
            <v>13h30</v>
          </cell>
          <cell r="E12" t="str">
            <v>14h00</v>
          </cell>
          <cell r="F12">
            <v>10</v>
          </cell>
          <cell r="G12">
            <v>1</v>
          </cell>
          <cell r="H12">
            <v>2015</v>
          </cell>
          <cell r="I12" t="str">
            <v>Hà Nội, ngày 10 tháng 1 năm 2015</v>
          </cell>
          <cell r="J12" t="str">
            <v>13h30 ngày 10 tháng 1 năm 2015</v>
          </cell>
          <cell r="K12" t="str">
            <v>14h00 ngày 10 tháng 1 năm 2015</v>
          </cell>
          <cell r="L12" t="str">
            <v>14h00</v>
          </cell>
          <cell r="M12" t="str">
            <v>14h30</v>
          </cell>
          <cell r="N12">
            <v>10</v>
          </cell>
          <cell r="O12">
            <v>1</v>
          </cell>
          <cell r="P12">
            <v>2015</v>
          </cell>
          <cell r="Q12" t="str">
            <v>Hà Nội, ngày 10 tháng 1 năm 2015</v>
          </cell>
          <cell r="R12" t="str">
            <v>14h00 ngày 10 tháng 1 năm 2015</v>
          </cell>
          <cell r="S12" t="str">
            <v>14h30 ngày 10 tháng 1 năm 2015</v>
          </cell>
          <cell r="T12" t="str">
            <v>14h00</v>
          </cell>
          <cell r="U12" t="str">
            <v>14h0010/1/2015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10 Tháng 1 Năm 2015</v>
          </cell>
        </row>
        <row r="13">
          <cell r="A13" t="str">
            <v>TN-</v>
          </cell>
          <cell r="B13" t="str">
            <v>Trát tường ngoài bể tự hoại, bể tách dầu 01 và 02</v>
          </cell>
          <cell r="C13" t="str">
            <v>TN-</v>
          </cell>
          <cell r="D13" t="str">
            <v>14h00</v>
          </cell>
          <cell r="E13" t="str">
            <v>14h30</v>
          </cell>
          <cell r="F13">
            <v>19</v>
          </cell>
          <cell r="G13">
            <v>1</v>
          </cell>
          <cell r="H13">
            <v>2015</v>
          </cell>
          <cell r="I13" t="str">
            <v>Hà Nội, ngày 19 tháng 1 năm 2015</v>
          </cell>
          <cell r="J13" t="str">
            <v>14h00 ngày 19 tháng 1 năm 2015</v>
          </cell>
          <cell r="K13" t="str">
            <v>14h30 ngày 19 tháng 1 năm 2015</v>
          </cell>
          <cell r="L13" t="str">
            <v>14h30</v>
          </cell>
          <cell r="M13" t="str">
            <v>15h00</v>
          </cell>
          <cell r="N13">
            <v>19</v>
          </cell>
          <cell r="O13">
            <v>1</v>
          </cell>
          <cell r="P13">
            <v>2015</v>
          </cell>
          <cell r="Q13" t="str">
            <v>Hà Nội, ngày 19 tháng 1 năm 2015</v>
          </cell>
          <cell r="R13" t="str">
            <v>14h30 ngày 19 tháng 1 năm 2015</v>
          </cell>
          <cell r="S13" t="str">
            <v>15h00 ngày 19 tháng 1 năm 2015</v>
          </cell>
          <cell r="T13" t="str">
            <v>14h30</v>
          </cell>
          <cell r="U13" t="str">
            <v>14h3019/1/2015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19 Tháng 1 Năm 2015</v>
          </cell>
        </row>
        <row r="14">
          <cell r="A14" t="str">
            <v>TN-01</v>
          </cell>
          <cell r="B14" t="str">
            <v>Trát tường ngoài nhà tầng 03 đến tầng 06 (từ cos +6.4 đến cos +19.2)</v>
          </cell>
          <cell r="C14" t="str">
            <v>TN-01</v>
          </cell>
          <cell r="D14" t="str">
            <v>8h00</v>
          </cell>
          <cell r="E14" t="str">
            <v>9h00</v>
          </cell>
          <cell r="F14">
            <v>30</v>
          </cell>
          <cell r="G14">
            <v>7</v>
          </cell>
          <cell r="H14">
            <v>2015</v>
          </cell>
          <cell r="I14" t="str">
            <v>Hà Nội, ngày 30 tháng 7 năm 2015</v>
          </cell>
          <cell r="J14" t="str">
            <v>8h00 ngày 30 tháng 7 năm 2015</v>
          </cell>
          <cell r="K14" t="str">
            <v>9h30 ngày 26 tháng 8 năm 2015</v>
          </cell>
          <cell r="L14" t="str">
            <v>9h30</v>
          </cell>
          <cell r="M14" t="str">
            <v>10h30</v>
          </cell>
          <cell r="N14">
            <v>26</v>
          </cell>
          <cell r="O14">
            <v>8</v>
          </cell>
          <cell r="P14">
            <v>2015</v>
          </cell>
          <cell r="Q14" t="str">
            <v>Hà Nội, ngày 26 tháng 8 năm 2015</v>
          </cell>
          <cell r="R14" t="str">
            <v>9h00 ngày 30 tháng 7 năm 2015</v>
          </cell>
          <cell r="S14" t="str">
            <v>10h30 ngày 26 tháng 8 năm 2015</v>
          </cell>
          <cell r="T14" t="str">
            <v>9h00</v>
          </cell>
          <cell r="U14" t="str">
            <v>9h00 Ngày 30/7/2015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KT-107 ÷ KT-110</v>
          </cell>
          <cell r="AQ14" t="str">
            <v>Ngày 30 Tháng 7 Năm 2015</v>
          </cell>
        </row>
        <row r="15">
          <cell r="A15" t="str">
            <v>TN-02</v>
          </cell>
          <cell r="B15" t="str">
            <v>Trát tường ngoài nhà tầng 07 đến tầng hết tầng 11 (từ cos +19.2 đến cos +35.2)</v>
          </cell>
          <cell r="C15" t="str">
            <v>TN-02</v>
          </cell>
          <cell r="D15" t="str">
            <v>8h00</v>
          </cell>
          <cell r="E15" t="str">
            <v>9h00</v>
          </cell>
          <cell r="F15">
            <v>15</v>
          </cell>
          <cell r="G15">
            <v>9</v>
          </cell>
          <cell r="H15">
            <v>2015</v>
          </cell>
          <cell r="I15" t="str">
            <v>Hà Nội, ngày 15 tháng 9 năm 2015</v>
          </cell>
          <cell r="J15" t="str">
            <v>8h00 ngày 15 tháng 9 năm 2015</v>
          </cell>
          <cell r="K15" t="str">
            <v>9h30 ngày 13 tháng 10 năm 2015</v>
          </cell>
          <cell r="L15" t="str">
            <v>9h30</v>
          </cell>
          <cell r="M15" t="str">
            <v>10h30</v>
          </cell>
          <cell r="N15">
            <v>13</v>
          </cell>
          <cell r="O15">
            <v>10</v>
          </cell>
          <cell r="P15">
            <v>2015</v>
          </cell>
          <cell r="Q15" t="str">
            <v>Hà Nội, ngày 13 tháng 10 năm 2015</v>
          </cell>
          <cell r="R15" t="str">
            <v>9h00 ngày 15 tháng 9 năm 2015</v>
          </cell>
          <cell r="S15" t="str">
            <v>10h30 ngày 13 tháng 10 năm 2015</v>
          </cell>
          <cell r="T15" t="str">
            <v>9h00</v>
          </cell>
          <cell r="U15" t="str">
            <v>9h00 Ngày 15/9/2015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KT-107 ÷ KT-110</v>
          </cell>
          <cell r="AQ15" t="str">
            <v>Ngày 15 Tháng 9 Năm 2015</v>
          </cell>
        </row>
        <row r="16">
          <cell r="A16" t="str">
            <v>TN-03</v>
          </cell>
          <cell r="B16" t="str">
            <v>Trát tường ngoài nhà tầng áp mái đến hết tầng mái (từ cos +35.2 đến cos +39.80)</v>
          </cell>
          <cell r="C16" t="str">
            <v>TN-03</v>
          </cell>
          <cell r="D16" t="str">
            <v>14h00</v>
          </cell>
          <cell r="E16" t="str">
            <v>15h00</v>
          </cell>
          <cell r="F16">
            <v>25</v>
          </cell>
          <cell r="G16">
            <v>10</v>
          </cell>
          <cell r="H16">
            <v>2015</v>
          </cell>
          <cell r="I16" t="str">
            <v>Hà Nội, ngày 25 tháng 10 năm 2015</v>
          </cell>
          <cell r="J16" t="str">
            <v>14h00 ngày 25 tháng 10 năm 2015</v>
          </cell>
          <cell r="K16" t="str">
            <v>15h00 ngày 25 tháng 10 năm 2015</v>
          </cell>
          <cell r="L16" t="str">
            <v>15h10</v>
          </cell>
          <cell r="M16" t="str">
            <v>16h00</v>
          </cell>
          <cell r="N16">
            <v>25</v>
          </cell>
          <cell r="O16">
            <v>10</v>
          </cell>
          <cell r="P16">
            <v>2015</v>
          </cell>
          <cell r="Q16" t="str">
            <v>Hà Nội, ngày 25 tháng 10 năm 2015</v>
          </cell>
          <cell r="R16" t="str">
            <v>15h10 ngày 25 tháng 10 năm 2015</v>
          </cell>
          <cell r="S16" t="str">
            <v>16h00 ngày 25 tháng 10 năm 2015</v>
          </cell>
          <cell r="T16" t="str">
            <v>15h10</v>
          </cell>
          <cell r="U16" t="str">
            <v>15h1025/10/2015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KT-107 ÷ KT-110</v>
          </cell>
          <cell r="AQ16" t="str">
            <v>Ngày 25 Tháng 10 Năm 2015</v>
          </cell>
        </row>
        <row r="17">
          <cell r="A17" t="str">
            <v>TN-04</v>
          </cell>
          <cell r="B17" t="str">
            <v>Trát gờ chỉ vữa xi măng cát mịn mác 75 từ tầng 03 đến hết tầng mái (từ cos +6.400 đến cos +39.80)</v>
          </cell>
          <cell r="C17" t="str">
            <v>TN-04</v>
          </cell>
          <cell r="D17" t="str">
            <v>14h00</v>
          </cell>
          <cell r="E17" t="str">
            <v>15h00</v>
          </cell>
          <cell r="F17">
            <v>25</v>
          </cell>
          <cell r="G17">
            <v>10</v>
          </cell>
          <cell r="H17">
            <v>2015</v>
          </cell>
          <cell r="I17" t="str">
            <v>Hà Nội, ngày 25 tháng 10 năm 2015</v>
          </cell>
          <cell r="J17" t="str">
            <v>14h00 ngày 25 tháng 10 năm 2015</v>
          </cell>
          <cell r="K17" t="str">
            <v>15h00 ngày 25 tháng 10 năm 2015</v>
          </cell>
          <cell r="L17" t="str">
            <v>15h10</v>
          </cell>
          <cell r="M17" t="str">
            <v>16h00</v>
          </cell>
          <cell r="N17">
            <v>25</v>
          </cell>
          <cell r="O17">
            <v>10</v>
          </cell>
          <cell r="P17">
            <v>2015</v>
          </cell>
          <cell r="Q17" t="str">
            <v>Hà Nội, ngày 25 tháng 10 năm 2015</v>
          </cell>
          <cell r="R17" t="str">
            <v>15h10 ngày 25 tháng 10 năm 2015</v>
          </cell>
          <cell r="S17" t="str">
            <v>16h00 ngày 25 tháng 10 năm 2015</v>
          </cell>
          <cell r="T17" t="str">
            <v>15h10</v>
          </cell>
          <cell r="U17" t="str">
            <v>15h1025/10/2015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KT-107 ÷ KT-110</v>
          </cell>
          <cell r="AQ17" t="str">
            <v>Ngày 25 Tháng 10 Năm 2015</v>
          </cell>
        </row>
        <row r="18">
          <cell r="A18" t="str">
            <v>TN-05</v>
          </cell>
          <cell r="B18" t="str">
            <v>Trát tường ngoài nhà vữa xi măng cát mác 75 tầng 02 (từ cos +3.200 đến cos +6.400)</v>
          </cell>
          <cell r="C18" t="str">
            <v>TN-05</v>
          </cell>
          <cell r="D18" t="str">
            <v>8h30</v>
          </cell>
          <cell r="E18" t="str">
            <v>9h15</v>
          </cell>
          <cell r="F18">
            <v>10</v>
          </cell>
          <cell r="G18">
            <v>11</v>
          </cell>
          <cell r="H18">
            <v>2015</v>
          </cell>
          <cell r="I18" t="str">
            <v>Hà Nội, ngày 10 tháng 11 năm 2015</v>
          </cell>
          <cell r="J18" t="str">
            <v>8h30 ngày 10 tháng 11 năm 2015</v>
          </cell>
          <cell r="K18" t="str">
            <v>9h15 ngày 10 tháng 11 năm 2015</v>
          </cell>
          <cell r="L18" t="str">
            <v>9h30</v>
          </cell>
          <cell r="M18" t="str">
            <v>10h15</v>
          </cell>
          <cell r="N18">
            <v>10</v>
          </cell>
          <cell r="O18">
            <v>11</v>
          </cell>
          <cell r="P18">
            <v>2015</v>
          </cell>
          <cell r="Q18" t="str">
            <v>Hà Nội, ngày 10 tháng 11 năm 2015</v>
          </cell>
          <cell r="R18" t="str">
            <v>9h30 ngày 10 tháng 11 năm 2015</v>
          </cell>
          <cell r="S18" t="str">
            <v>10h15 ngày 10 tháng 11 năm 2015</v>
          </cell>
          <cell r="T18" t="str">
            <v>9h30</v>
          </cell>
          <cell r="U18" t="str">
            <v>9h3010/11/2015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KT-107 ÷ KT-110</v>
          </cell>
          <cell r="AQ18" t="str">
            <v>Ngày 10 Tháng 11 Năm 2015</v>
          </cell>
        </row>
        <row r="19">
          <cell r="A19" t="str">
            <v>TN-06</v>
          </cell>
          <cell r="B19" t="str">
            <v>Trát gờ chỉ vữa xi măng cát mịn mác 75 từ tầng 01 đến hết tầng 02 (từ cos +0.000 đến cos +6.400)</v>
          </cell>
          <cell r="C19" t="str">
            <v>TN-06</v>
          </cell>
          <cell r="D19" t="str">
            <v>8h00</v>
          </cell>
          <cell r="E19" t="str">
            <v>9h00</v>
          </cell>
          <cell r="F19">
            <v>11</v>
          </cell>
          <cell r="G19">
            <v>11</v>
          </cell>
          <cell r="H19">
            <v>2015</v>
          </cell>
          <cell r="I19" t="str">
            <v>Hà Nội, ngày 11 tháng 11 năm 2015</v>
          </cell>
          <cell r="J19" t="str">
            <v>8h00 ngày 11 tháng 11 năm 2015</v>
          </cell>
          <cell r="K19" t="str">
            <v>9h00 ngày 11 tháng 11 năm 2015</v>
          </cell>
          <cell r="L19" t="str">
            <v>9h15</v>
          </cell>
          <cell r="M19" t="str">
            <v>10h15</v>
          </cell>
          <cell r="N19">
            <v>11</v>
          </cell>
          <cell r="O19">
            <v>11</v>
          </cell>
          <cell r="P19">
            <v>2015</v>
          </cell>
          <cell r="Q19" t="str">
            <v>Hà Nội, ngày 11 tháng 11 năm 2015</v>
          </cell>
          <cell r="R19" t="str">
            <v>9h15 ngày 11 tháng 11 năm 2015</v>
          </cell>
          <cell r="S19" t="str">
            <v>10h15 ngày 11 tháng 11 năm 2015</v>
          </cell>
          <cell r="T19" t="str">
            <v>9h15</v>
          </cell>
          <cell r="U19" t="str">
            <v>9h1511/11/2015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KT-107 ÷ KT-110</v>
          </cell>
          <cell r="AQ19" t="str">
            <v>Ngày 11 Tháng 11 Năm 2015</v>
          </cell>
        </row>
        <row r="20">
          <cell r="A20" t="str">
            <v>TN-07</v>
          </cell>
          <cell r="B20" t="str">
            <v>Trát tường ngoài nhà vữa xi măng cát mác 75 tầng 01 (từ cos +0.000 đến cos +3.200)</v>
          </cell>
          <cell r="C20" t="str">
            <v>TN-07</v>
          </cell>
          <cell r="D20" t="str">
            <v>8h00</v>
          </cell>
          <cell r="E20" t="str">
            <v>9h00</v>
          </cell>
          <cell r="F20">
            <v>11</v>
          </cell>
          <cell r="G20">
            <v>11</v>
          </cell>
          <cell r="H20">
            <v>2015</v>
          </cell>
          <cell r="I20" t="str">
            <v>Hà Nội, ngày 11 tháng 11 năm 2015</v>
          </cell>
          <cell r="J20" t="str">
            <v>8h00 ngày 11 tháng 11 năm 2015</v>
          </cell>
          <cell r="K20" t="str">
            <v>9h00 ngày 11 tháng 11 năm 2015</v>
          </cell>
          <cell r="L20" t="str">
            <v>9h15</v>
          </cell>
          <cell r="M20" t="str">
            <v>10h15</v>
          </cell>
          <cell r="N20">
            <v>11</v>
          </cell>
          <cell r="O20">
            <v>11</v>
          </cell>
          <cell r="P20">
            <v>2015</v>
          </cell>
          <cell r="Q20" t="str">
            <v>Hà Nội, ngày 11 tháng 11 năm 2015</v>
          </cell>
          <cell r="R20" t="str">
            <v>9h15 ngày 11 tháng 11 năm 2015</v>
          </cell>
          <cell r="S20" t="str">
            <v>10h15 ngày 11 tháng 11 năm 2015</v>
          </cell>
          <cell r="T20" t="str">
            <v>9h15</v>
          </cell>
          <cell r="U20" t="str">
            <v>9h1511/11/2015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KT-107 ÷ KT-110</v>
          </cell>
          <cell r="AQ20" t="str">
            <v>Ngày 11 Tháng 11 Năm 2015</v>
          </cell>
        </row>
        <row r="21">
          <cell r="A21" t="str">
            <v>TN-08</v>
          </cell>
          <cell r="B21" t="str">
            <v>Trát hoàn thiện má cửa trong, ngoài vữa xi măng cát M75 tại vị trí cửa chớp tôn thang TB1, TB2 tầng: 01, 02, 03, 04, 05, 06, 07, 08, 09, 10, 11, áp mái</v>
          </cell>
          <cell r="C21" t="str">
            <v>TN-08</v>
          </cell>
          <cell r="D21" t="str">
            <v>14h00</v>
          </cell>
          <cell r="E21" t="str">
            <v>14h30</v>
          </cell>
          <cell r="F21">
            <v>3</v>
          </cell>
          <cell r="G21">
            <v>12</v>
          </cell>
          <cell r="H21">
            <v>2015</v>
          </cell>
          <cell r="I21" t="str">
            <v>Hà Nội, ngày 3 tháng 12 năm 2015</v>
          </cell>
          <cell r="J21" t="str">
            <v>14h00 ngày 3 tháng 12 năm 2015</v>
          </cell>
          <cell r="K21" t="str">
            <v>14h30 ngày 3 tháng 12 năm 2015</v>
          </cell>
          <cell r="L21" t="str">
            <v>15h00</v>
          </cell>
          <cell r="M21" t="str">
            <v>15h30</v>
          </cell>
          <cell r="N21">
            <v>3</v>
          </cell>
          <cell r="O21">
            <v>12</v>
          </cell>
          <cell r="P21">
            <v>2015</v>
          </cell>
          <cell r="Q21" t="str">
            <v>Hà Nội, ngày 3 tháng 12 năm 2015</v>
          </cell>
          <cell r="R21" t="str">
            <v>15h00 ngày 3 tháng 12 năm 2015</v>
          </cell>
          <cell r="S21" t="str">
            <v>15h30 ngày 3 tháng 12 năm 2015</v>
          </cell>
          <cell r="T21" t="str">
            <v>15h00</v>
          </cell>
          <cell r="U21" t="str">
            <v>15h003/12/2015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KT-109; KT-107</v>
          </cell>
          <cell r="AQ21" t="str">
            <v>Ngày 3 Tháng 12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Cán bộ TVGS</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Cán bộ TVGS</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Cán bộ TVGS</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Cán bộ TVGS</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Cán bộ TVGS</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sheetData>
      <sheetData sheetId="34"/>
      <sheetData sheetId="35">
        <row r="11">
          <cell r="A11" t="str">
            <v>TT-</v>
          </cell>
          <cell r="B11" t="str">
            <v xml:space="preserve">-Trát ngoài tường bể nước sạch </v>
          </cell>
          <cell r="C11" t="str">
            <v>TT-</v>
          </cell>
          <cell r="D11" t="str">
            <v>8h00</v>
          </cell>
          <cell r="E11" t="str">
            <v>8h30</v>
          </cell>
          <cell r="F11">
            <v>30</v>
          </cell>
          <cell r="G11">
            <v>12</v>
          </cell>
          <cell r="H11">
            <v>2014</v>
          </cell>
          <cell r="I11" t="str">
            <v>Hà Nội, ngày 30 tháng 12 năm 2014</v>
          </cell>
          <cell r="J11" t="str">
            <v>8h00 ngày 30 tháng 12 năm 2014</v>
          </cell>
          <cell r="K11" t="str">
            <v>8h30 ngày 30 tháng 12 năm 2014</v>
          </cell>
          <cell r="L11" t="str">
            <v>8h30</v>
          </cell>
          <cell r="M11" t="str">
            <v>9h00</v>
          </cell>
          <cell r="N11">
            <v>30</v>
          </cell>
          <cell r="O11">
            <v>12</v>
          </cell>
          <cell r="P11">
            <v>2014</v>
          </cell>
          <cell r="Q11" t="str">
            <v>Hà Nội, ngày 30 tháng 12 năm 2014</v>
          </cell>
          <cell r="R11" t="str">
            <v>8h30 ngày 30 tháng 12 năm 2014</v>
          </cell>
          <cell r="S11" t="str">
            <v>9h00 ngày 30 tháng 12 năm 2014</v>
          </cell>
          <cell r="T11" t="str">
            <v>8h30</v>
          </cell>
          <cell r="U11" t="str">
            <v>8h30 Ngày 30/12/2014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30 Tháng 12 Năm 2014</v>
          </cell>
        </row>
        <row r="12">
          <cell r="A12" t="str">
            <v>TT-</v>
          </cell>
          <cell r="B12" t="str">
            <v xml:space="preserve">-Trát trong và đánh màu tường bể nước sạch </v>
          </cell>
          <cell r="C12" t="str">
            <v>TT-</v>
          </cell>
          <cell r="D12" t="str">
            <v>9h00</v>
          </cell>
          <cell r="E12" t="str">
            <v>9h30</v>
          </cell>
          <cell r="F12">
            <v>9</v>
          </cell>
          <cell r="G12">
            <v>1</v>
          </cell>
          <cell r="H12">
            <v>2015</v>
          </cell>
          <cell r="I12" t="str">
            <v>Hà Nội, ngày 9 tháng 1 năm 2015</v>
          </cell>
          <cell r="J12" t="str">
            <v>9h00 ngày 9 tháng 1 năm 2015</v>
          </cell>
          <cell r="K12" t="str">
            <v>9h30 ngày 9 tháng 1 năm 2015</v>
          </cell>
          <cell r="L12" t="str">
            <v>9h30</v>
          </cell>
          <cell r="M12" t="str">
            <v>10h00</v>
          </cell>
          <cell r="N12">
            <v>9</v>
          </cell>
          <cell r="O12">
            <v>1</v>
          </cell>
          <cell r="P12">
            <v>2015</v>
          </cell>
          <cell r="Q12" t="str">
            <v>Hà Nội, ngày 9 tháng 1 năm 2015</v>
          </cell>
          <cell r="R12" t="str">
            <v>9h30 ngày 9 tháng 1 năm 2015</v>
          </cell>
          <cell r="S12" t="str">
            <v>10h00 ngày 9 tháng 1 năm 2015</v>
          </cell>
          <cell r="T12" t="str">
            <v>9h30</v>
          </cell>
          <cell r="U12" t="str">
            <v>9h30 Ngày 9/1/2015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9 Tháng 1 Năm 2015</v>
          </cell>
        </row>
        <row r="13">
          <cell r="A13" t="str">
            <v>TT-</v>
          </cell>
          <cell r="B13" t="str">
            <v>-Trát trong + trát ngoài bể tách dầu mỡ 01, 02, 03 và 04</v>
          </cell>
          <cell r="C13" t="str">
            <v>TT-</v>
          </cell>
          <cell r="D13" t="str">
            <v>8h30</v>
          </cell>
          <cell r="E13" t="str">
            <v>9h00</v>
          </cell>
          <cell r="F13">
            <v>19</v>
          </cell>
          <cell r="G13">
            <v>1</v>
          </cell>
          <cell r="H13">
            <v>2015</v>
          </cell>
          <cell r="I13" t="str">
            <v>Hà Nội, ngày 19 tháng 1 năm 2015</v>
          </cell>
          <cell r="J13" t="str">
            <v>8h30 ngày 19 tháng 1 năm 2015</v>
          </cell>
          <cell r="K13" t="str">
            <v>9h00 ngày 19 tháng 1 năm 2015</v>
          </cell>
          <cell r="L13" t="str">
            <v>9h00</v>
          </cell>
          <cell r="M13" t="str">
            <v>15h00</v>
          </cell>
          <cell r="N13">
            <v>19</v>
          </cell>
          <cell r="O13">
            <v>1</v>
          </cell>
          <cell r="P13">
            <v>2015</v>
          </cell>
          <cell r="Q13" t="str">
            <v>Hà Nội, ngày 19 tháng 1 năm 2015</v>
          </cell>
          <cell r="R13" t="str">
            <v>9h00 ngày 19 tháng 1 năm 2015</v>
          </cell>
          <cell r="S13" t="str">
            <v>15h00 ngày 19 tháng 1 năm 2015</v>
          </cell>
          <cell r="T13" t="str">
            <v>9h00</v>
          </cell>
          <cell r="U13" t="str">
            <v>9h00 Ngày 19/1/2015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19 Tháng 1 Năm 2015</v>
          </cell>
        </row>
        <row r="14">
          <cell r="A14" t="str">
            <v>TT-</v>
          </cell>
          <cell r="B14" t="str">
            <v>-Trát trong bể tự hoại 01, 02, 03, 04</v>
          </cell>
          <cell r="C14" t="str">
            <v>TT-</v>
          </cell>
          <cell r="D14" t="str">
            <v>8h00</v>
          </cell>
          <cell r="E14" t="str">
            <v>8h30</v>
          </cell>
          <cell r="F14">
            <v>21</v>
          </cell>
          <cell r="G14">
            <v>1</v>
          </cell>
          <cell r="H14">
            <v>2015</v>
          </cell>
          <cell r="I14" t="str">
            <v>Hà Nội, ngày 21 tháng 1 năm 2015</v>
          </cell>
          <cell r="J14" t="str">
            <v>8h00 ngày 21 tháng 1 năm 2015</v>
          </cell>
          <cell r="K14" t="str">
            <v>8h30 ngày 21 tháng 1 năm 2015</v>
          </cell>
          <cell r="L14" t="str">
            <v>8h30</v>
          </cell>
          <cell r="M14" t="str">
            <v>9h00</v>
          </cell>
          <cell r="N14">
            <v>21</v>
          </cell>
          <cell r="O14">
            <v>1</v>
          </cell>
          <cell r="P14">
            <v>2015</v>
          </cell>
          <cell r="Q14" t="str">
            <v>Hà Nội, ngày 21 tháng 1 năm 2015</v>
          </cell>
          <cell r="R14" t="str">
            <v>8h30 ngày 21 tháng 1 năm 2015</v>
          </cell>
          <cell r="S14" t="str">
            <v>9h00 ngày 21 tháng 1 năm 2015</v>
          </cell>
          <cell r="T14" t="str">
            <v>8h30</v>
          </cell>
          <cell r="U14" t="str">
            <v>8h30 Ngày 21/1/2015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21 Tháng 1 Năm 2015</v>
          </cell>
        </row>
        <row r="15">
          <cell r="A15" t="str">
            <v>TT-</v>
          </cell>
          <cell r="B15" t="str">
            <v>-Trát ngoài bể tự hoại 01, 02, 03, 04</v>
          </cell>
          <cell r="C15" t="str">
            <v>TT-</v>
          </cell>
          <cell r="D15" t="str">
            <v>8h15</v>
          </cell>
          <cell r="E15" t="str">
            <v>8h45</v>
          </cell>
          <cell r="F15">
            <v>21</v>
          </cell>
          <cell r="G15">
            <v>1</v>
          </cell>
          <cell r="H15">
            <v>2015</v>
          </cell>
          <cell r="I15" t="str">
            <v>Hà Nội, ngày 21 tháng 1 năm 2015</v>
          </cell>
          <cell r="J15" t="str">
            <v>8h15 ngày 21 tháng 1 năm 2015</v>
          </cell>
          <cell r="K15" t="str">
            <v>8h45 ngày 21 tháng 1 năm 2015</v>
          </cell>
          <cell r="L15" t="str">
            <v>8h45</v>
          </cell>
          <cell r="M15" t="str">
            <v>9h15</v>
          </cell>
          <cell r="N15">
            <v>21</v>
          </cell>
          <cell r="O15">
            <v>1</v>
          </cell>
          <cell r="P15">
            <v>2015</v>
          </cell>
          <cell r="Q15" t="str">
            <v>Hà Nội, ngày 21 tháng 1 năm 2015</v>
          </cell>
          <cell r="R15" t="str">
            <v>8h45 ngày 21 tháng 1 năm 2015</v>
          </cell>
          <cell r="S15" t="str">
            <v>9h15 ngày 21 tháng 1 năm 2015</v>
          </cell>
          <cell r="T15" t="str">
            <v>8h45</v>
          </cell>
          <cell r="U15" t="str">
            <v>8h45 Ngày 21/1/2015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21 Tháng 1 Năm 2015</v>
          </cell>
        </row>
        <row r="16">
          <cell r="A16" t="str">
            <v>TT-01</v>
          </cell>
          <cell r="B16" t="str">
            <v>Trát dầm, trần trong nhà tầng 01 vữa xi măng cát mác 75#</v>
          </cell>
          <cell r="C16" t="str">
            <v>TT-01</v>
          </cell>
          <cell r="D16" t="str">
            <v>8h15</v>
          </cell>
          <cell r="E16" t="str">
            <v>9h15</v>
          </cell>
          <cell r="F16">
            <v>12</v>
          </cell>
          <cell r="G16">
            <v>7</v>
          </cell>
          <cell r="H16">
            <v>2015</v>
          </cell>
          <cell r="I16" t="str">
            <v>Hà Nội, ngày 12 tháng 7 năm 2015</v>
          </cell>
          <cell r="J16" t="str">
            <v>8h15 ngày 12 tháng 7 năm 2015</v>
          </cell>
          <cell r="K16" t="str">
            <v>9h15 ngày 12 tháng 7 năm 2015</v>
          </cell>
          <cell r="L16" t="str">
            <v>9h20</v>
          </cell>
          <cell r="M16" t="str">
            <v>10h20</v>
          </cell>
          <cell r="N16">
            <v>12</v>
          </cell>
          <cell r="O16">
            <v>7</v>
          </cell>
          <cell r="P16">
            <v>2015</v>
          </cell>
          <cell r="Q16" t="str">
            <v>Hà Nội, ngày 12 tháng 7 năm 2015</v>
          </cell>
          <cell r="R16" t="str">
            <v>9h20 ngày 12 tháng 7 năm 2015</v>
          </cell>
          <cell r="S16" t="str">
            <v>10h20 ngày 12 tháng 7 năm 2015</v>
          </cell>
          <cell r="T16" t="str">
            <v>9h20</v>
          </cell>
          <cell r="U16" t="str">
            <v>9h20 Ngày 12/7/2015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KT-101; KT-101 ĐC1; KC-13</v>
          </cell>
          <cell r="AQ16" t="str">
            <v>Ngày 12 Tháng 7 Năm 2015</v>
          </cell>
        </row>
        <row r="17">
          <cell r="A17" t="str">
            <v>TT-25</v>
          </cell>
          <cell r="B17" t="str">
            <v>Trát trụ cột, lam đứng, tường trong nhà tầng 01 vữa Lipomax mác 50#</v>
          </cell>
          <cell r="C17" t="str">
            <v>TT-25</v>
          </cell>
          <cell r="D17" t="str">
            <v>8h00</v>
          </cell>
          <cell r="E17" t="str">
            <v>9h00</v>
          </cell>
          <cell r="F17">
            <v>6</v>
          </cell>
          <cell r="G17">
            <v>11</v>
          </cell>
          <cell r="H17">
            <v>2015</v>
          </cell>
          <cell r="I17" t="str">
            <v>Hà Nội, ngày 6 tháng 11 năm 2015</v>
          </cell>
          <cell r="J17" t="str">
            <v>8h00 ngày 6 tháng 11 năm 2015</v>
          </cell>
          <cell r="K17" t="str">
            <v>9h00 ngày 6 tháng 11 năm 2015</v>
          </cell>
          <cell r="L17" t="str">
            <v>9h15</v>
          </cell>
          <cell r="M17" t="str">
            <v>10h15</v>
          </cell>
          <cell r="N17">
            <v>6</v>
          </cell>
          <cell r="O17">
            <v>11</v>
          </cell>
          <cell r="P17">
            <v>2015</v>
          </cell>
          <cell r="Q17" t="str">
            <v>Hà Nội, ngày 6 tháng 11 năm 2015</v>
          </cell>
          <cell r="R17" t="str">
            <v>9h15 ngày 6 tháng 11 năm 2015</v>
          </cell>
          <cell r="S17" t="str">
            <v>10h15 ngày 6 tháng 11 năm 2015</v>
          </cell>
          <cell r="T17" t="str">
            <v>9h15</v>
          </cell>
          <cell r="U17" t="str">
            <v>9h15 Ngày 6/11/2015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KT-101; KT-101 ĐC1; KC-13</v>
          </cell>
          <cell r="AQ17" t="str">
            <v>Ngày 6 Tháng 11 Năm 2015</v>
          </cell>
        </row>
        <row r="18">
          <cell r="A18" t="str">
            <v>TT-03</v>
          </cell>
          <cell r="B18" t="str">
            <v>Trát dầm, trần trong nhà tầng 02 vữa xi măng cát mác 75#</v>
          </cell>
          <cell r="C18" t="str">
            <v>TT-03</v>
          </cell>
          <cell r="D18" t="str">
            <v>8h30</v>
          </cell>
          <cell r="E18" t="str">
            <v>9h30</v>
          </cell>
          <cell r="F18">
            <v>20</v>
          </cell>
          <cell r="G18">
            <v>7</v>
          </cell>
          <cell r="H18">
            <v>2015</v>
          </cell>
          <cell r="I18" t="str">
            <v>Hà Nội, ngày 20 tháng 7 năm 2015</v>
          </cell>
          <cell r="J18" t="str">
            <v>8h30 ngày 20 tháng 7 năm 2015</v>
          </cell>
          <cell r="K18" t="str">
            <v>9h30 ngày 20 tháng 7 năm 2015</v>
          </cell>
          <cell r="L18" t="str">
            <v>9h45</v>
          </cell>
          <cell r="M18" t="str">
            <v>10h45</v>
          </cell>
          <cell r="N18">
            <v>20</v>
          </cell>
          <cell r="O18">
            <v>7</v>
          </cell>
          <cell r="P18">
            <v>2015</v>
          </cell>
          <cell r="Q18" t="str">
            <v>Hà Nội, ngày 20 tháng 7 năm 2015</v>
          </cell>
          <cell r="R18" t="str">
            <v>9h45 ngày 20 tháng 7 năm 2015</v>
          </cell>
          <cell r="S18" t="str">
            <v>10h45 ngày 20 tháng 7 năm 2015</v>
          </cell>
          <cell r="T18" t="str">
            <v>9h45</v>
          </cell>
          <cell r="U18" t="str">
            <v>9h45 Ngày 20/7/2015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KT-102; KT-102 ĐC1; KC-13</v>
          </cell>
          <cell r="AQ18" t="str">
            <v>Ngày 20 Tháng 7 Năm 2015</v>
          </cell>
        </row>
        <row r="19">
          <cell r="A19" t="str">
            <v>TT-04</v>
          </cell>
          <cell r="B19" t="str">
            <v>Trát trụ cột, lam đứng, tường trong nhà tầng 02 vữa Lipomax mác 50#</v>
          </cell>
          <cell r="C19" t="str">
            <v>TT-04</v>
          </cell>
          <cell r="D19" t="str">
            <v>9h00</v>
          </cell>
          <cell r="E19" t="str">
            <v>10h00</v>
          </cell>
          <cell r="F19">
            <v>25</v>
          </cell>
          <cell r="G19">
            <v>7</v>
          </cell>
          <cell r="H19">
            <v>2015</v>
          </cell>
          <cell r="I19" t="str">
            <v>Hà Nội, ngày 25 tháng 7 năm 2015</v>
          </cell>
          <cell r="J19" t="str">
            <v>9h00 ngày 25 tháng 7 năm 2015</v>
          </cell>
          <cell r="K19" t="str">
            <v>10h00 ngày 25 tháng 7 năm 2015</v>
          </cell>
          <cell r="L19" t="str">
            <v>10h15</v>
          </cell>
          <cell r="M19" t="str">
            <v>11h15</v>
          </cell>
          <cell r="N19">
            <v>25</v>
          </cell>
          <cell r="O19">
            <v>7</v>
          </cell>
          <cell r="P19">
            <v>2015</v>
          </cell>
          <cell r="Q19" t="str">
            <v>Hà Nội, ngày 25 tháng 7 năm 2015</v>
          </cell>
          <cell r="R19" t="str">
            <v>10h15 ngày 25 tháng 7 năm 2015</v>
          </cell>
          <cell r="S19" t="str">
            <v>11h15 ngày 25 tháng 7 năm 2015</v>
          </cell>
          <cell r="T19" t="str">
            <v>10h15</v>
          </cell>
          <cell r="U19" t="str">
            <v>10h15 Ngày 25/7/2015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KT-102; KT-102 ĐC1; KC-13</v>
          </cell>
          <cell r="AQ19" t="str">
            <v>Ngày 25 Tháng 7 Năm 2015</v>
          </cell>
        </row>
        <row r="20">
          <cell r="A20" t="str">
            <v>TT-05</v>
          </cell>
          <cell r="B20" t="str">
            <v>Trát dầm, trần trong nhà tầng 03 vữa xi măng cát mác 75#</v>
          </cell>
          <cell r="C20" t="str">
            <v>TT-05</v>
          </cell>
          <cell r="D20" t="str">
            <v>8h30</v>
          </cell>
          <cell r="E20" t="str">
            <v>9h15</v>
          </cell>
          <cell r="F20">
            <v>1</v>
          </cell>
          <cell r="G20">
            <v>8</v>
          </cell>
          <cell r="H20">
            <v>2015</v>
          </cell>
          <cell r="I20" t="str">
            <v>Hà Nội, ngày 1 tháng 8 năm 2015</v>
          </cell>
          <cell r="J20" t="str">
            <v>8h30 ngày 1 tháng 8 năm 2015</v>
          </cell>
          <cell r="K20" t="str">
            <v>9h15 ngày 1 tháng 8 năm 2015</v>
          </cell>
          <cell r="L20" t="str">
            <v>9h15</v>
          </cell>
          <cell r="M20" t="str">
            <v>10h00</v>
          </cell>
          <cell r="N20">
            <v>1</v>
          </cell>
          <cell r="O20">
            <v>8</v>
          </cell>
          <cell r="P20">
            <v>2015</v>
          </cell>
          <cell r="Q20" t="str">
            <v>Hà Nội, ngày 1 tháng 8 năm 2015</v>
          </cell>
          <cell r="R20" t="str">
            <v>9h15 ngày 1 tháng 8 năm 2015</v>
          </cell>
          <cell r="S20" t="str">
            <v>10h00 ngày 1 tháng 8 năm 2015</v>
          </cell>
          <cell r="T20" t="str">
            <v>9h15</v>
          </cell>
          <cell r="U20" t="str">
            <v>9h15 Ngày 1/8/2015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KT-103; KT-103 ĐC1; KC-13</v>
          </cell>
          <cell r="AQ20" t="str">
            <v>Ngày 1 Tháng 8 Năm 2015</v>
          </cell>
        </row>
        <row r="21">
          <cell r="A21" t="str">
            <v>TT-06</v>
          </cell>
          <cell r="B21" t="str">
            <v>Trát trụ cột, lam đứng, tường trong nhà tầng 03 vữa Lipomax mác 50#</v>
          </cell>
          <cell r="C21" t="str">
            <v>TT-06</v>
          </cell>
          <cell r="D21" t="str">
            <v>8h00</v>
          </cell>
          <cell r="E21" t="str">
            <v>9h00</v>
          </cell>
          <cell r="F21">
            <v>5</v>
          </cell>
          <cell r="G21">
            <v>8</v>
          </cell>
          <cell r="H21">
            <v>2015</v>
          </cell>
          <cell r="I21" t="str">
            <v>Hà Nội, ngày 5 tháng 8 năm 2015</v>
          </cell>
          <cell r="J21" t="str">
            <v>8h00 ngày 5 tháng 8 năm 2015</v>
          </cell>
          <cell r="K21" t="str">
            <v>9h00 ngày 5 tháng 8 năm 2015</v>
          </cell>
          <cell r="L21" t="str">
            <v>9h00</v>
          </cell>
          <cell r="M21" t="str">
            <v>10h00</v>
          </cell>
          <cell r="N21">
            <v>5</v>
          </cell>
          <cell r="O21">
            <v>8</v>
          </cell>
          <cell r="P21">
            <v>2015</v>
          </cell>
          <cell r="Q21" t="str">
            <v>Hà Nội, ngày 5 tháng 8 năm 2015</v>
          </cell>
          <cell r="R21" t="str">
            <v>9h00 ngày 5 tháng 8 năm 2015</v>
          </cell>
          <cell r="S21" t="str">
            <v>10h00 ngày 5 tháng 8 năm 2015</v>
          </cell>
          <cell r="T21" t="str">
            <v>9h00</v>
          </cell>
          <cell r="U21" t="str">
            <v>9h00 Ngày 5/8/2015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KT-103; KT-103 ĐC1; KC-13</v>
          </cell>
          <cell r="AQ21" t="str">
            <v>Ngày 5 Tháng 8 Năm 2015</v>
          </cell>
        </row>
        <row r="22">
          <cell r="A22" t="str">
            <v>TT-07</v>
          </cell>
          <cell r="B22" t="str">
            <v>Trát dầm, trần trong nhà tầng 04 vữa xi măng cát mác 75#</v>
          </cell>
          <cell r="C22" t="str">
            <v>TT-07</v>
          </cell>
          <cell r="D22" t="str">
            <v>8h30</v>
          </cell>
          <cell r="E22" t="str">
            <v>9h15</v>
          </cell>
          <cell r="F22">
            <v>2</v>
          </cell>
          <cell r="G22">
            <v>8</v>
          </cell>
          <cell r="H22">
            <v>2015</v>
          </cell>
          <cell r="I22" t="str">
            <v>Hà Nội, ngày 2 tháng 8 năm 2015</v>
          </cell>
          <cell r="J22" t="str">
            <v>8h30 ngày 2 tháng 8 năm 2015</v>
          </cell>
          <cell r="K22" t="str">
            <v>9h15 ngày 2 tháng 8 năm 2015</v>
          </cell>
          <cell r="L22" t="str">
            <v>9h15</v>
          </cell>
          <cell r="M22" t="str">
            <v>10h00</v>
          </cell>
          <cell r="N22">
            <v>2</v>
          </cell>
          <cell r="O22">
            <v>8</v>
          </cell>
          <cell r="P22">
            <v>2015</v>
          </cell>
          <cell r="Q22" t="str">
            <v>Hà Nội, ngày 2 tháng 8 năm 2015</v>
          </cell>
          <cell r="R22" t="str">
            <v>9h15 ngày 2 tháng 8 năm 2015</v>
          </cell>
          <cell r="S22" t="str">
            <v>10h00 ngày 2 tháng 8 năm 2015</v>
          </cell>
          <cell r="T22" t="str">
            <v>9h15</v>
          </cell>
          <cell r="U22" t="str">
            <v>9h15 Ngày 2/8/2015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Cán bộ TVGS</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KT-104; KT-104 ĐC1; KC-14</v>
          </cell>
          <cell r="AQ22" t="str">
            <v>Ngày 2 Tháng 8 Năm 2015</v>
          </cell>
        </row>
        <row r="23">
          <cell r="A23" t="str">
            <v>TT-08</v>
          </cell>
          <cell r="B23" t="str">
            <v>Trát trụ cột, lam đứng, tường trong nhà tầng 04 vữa Lipomax mác 50#</v>
          </cell>
          <cell r="C23" t="str">
            <v>TT-08</v>
          </cell>
          <cell r="D23" t="str">
            <v>8h00</v>
          </cell>
          <cell r="E23" t="str">
            <v>9h00</v>
          </cell>
          <cell r="F23">
            <v>9</v>
          </cell>
          <cell r="G23">
            <v>8</v>
          </cell>
          <cell r="H23">
            <v>2015</v>
          </cell>
          <cell r="I23" t="str">
            <v>Hà Nội, ngày 9 tháng 8 năm 2015</v>
          </cell>
          <cell r="J23" t="str">
            <v>8h00 ngày 9 tháng 8 năm 2015</v>
          </cell>
          <cell r="K23" t="str">
            <v>9h00 ngày 9 tháng 8 năm 2015</v>
          </cell>
          <cell r="L23" t="str">
            <v>9h00</v>
          </cell>
          <cell r="M23" t="str">
            <v>10h00</v>
          </cell>
          <cell r="N23">
            <v>9</v>
          </cell>
          <cell r="O23">
            <v>8</v>
          </cell>
          <cell r="P23">
            <v>2015</v>
          </cell>
          <cell r="Q23" t="str">
            <v>Hà Nội, ngày 9 tháng 8 năm 2015</v>
          </cell>
          <cell r="R23" t="str">
            <v>9h00 ngày 9 tháng 8 năm 2015</v>
          </cell>
          <cell r="S23" t="str">
            <v>10h00 ngày 9 tháng 8 năm 2015</v>
          </cell>
          <cell r="T23" t="str">
            <v>9h00</v>
          </cell>
          <cell r="U23" t="str">
            <v>9h00 Ngày 9/8/2015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Cán bộ TVGS</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KT-104; KT-104 ĐC1; KC-14</v>
          </cell>
          <cell r="AQ23" t="str">
            <v>Ngày 9 Tháng 8 Năm 2015</v>
          </cell>
        </row>
        <row r="24">
          <cell r="A24" t="str">
            <v>TT-09</v>
          </cell>
          <cell r="B24" t="str">
            <v>Trát dầm, trần trong nhà tầng 05 vữa xi măng cát mác 75#</v>
          </cell>
          <cell r="C24" t="str">
            <v>TT-09</v>
          </cell>
          <cell r="D24" t="str">
            <v>8h30</v>
          </cell>
          <cell r="E24" t="str">
            <v>9h15</v>
          </cell>
          <cell r="F24">
            <v>10</v>
          </cell>
          <cell r="G24">
            <v>8</v>
          </cell>
          <cell r="H24">
            <v>2015</v>
          </cell>
          <cell r="I24" t="str">
            <v>Hà Nội, ngày 10 tháng 8 năm 2015</v>
          </cell>
          <cell r="J24" t="str">
            <v>8h30 ngày 10 tháng 8 năm 2015</v>
          </cell>
          <cell r="K24" t="str">
            <v>9h15 ngày 10 tháng 8 năm 2015</v>
          </cell>
          <cell r="L24" t="str">
            <v>9h15</v>
          </cell>
          <cell r="M24" t="str">
            <v>10h00</v>
          </cell>
          <cell r="N24">
            <v>10</v>
          </cell>
          <cell r="O24">
            <v>8</v>
          </cell>
          <cell r="P24">
            <v>2015</v>
          </cell>
          <cell r="Q24" t="str">
            <v>Hà Nội, ngày 10 tháng 8 năm 2015</v>
          </cell>
          <cell r="R24" t="str">
            <v>9h15 ngày 10 tháng 8 năm 2015</v>
          </cell>
          <cell r="S24" t="str">
            <v>10h00 ngày 10 tháng 8 năm 2015</v>
          </cell>
          <cell r="T24" t="str">
            <v>9h15</v>
          </cell>
          <cell r="U24" t="str">
            <v>9h15 Ngày 10/8/2015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Cán bộ TVGS</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KT-104; KT-104 ĐC1; KC-14</v>
          </cell>
          <cell r="AQ24" t="str">
            <v>Ngày 10 Tháng 8 Năm 2015</v>
          </cell>
        </row>
        <row r="25">
          <cell r="A25" t="str">
            <v>TT-10</v>
          </cell>
          <cell r="B25" t="str">
            <v>Trát trụ cột, lam đứng, tường trong nhà tầng 05 vữa Lipomax mác 50#</v>
          </cell>
          <cell r="C25" t="str">
            <v>TT-10</v>
          </cell>
          <cell r="D25" t="str">
            <v>8h00</v>
          </cell>
          <cell r="E25" t="str">
            <v>9h00</v>
          </cell>
          <cell r="F25">
            <v>12</v>
          </cell>
          <cell r="G25">
            <v>8</v>
          </cell>
          <cell r="H25">
            <v>2015</v>
          </cell>
          <cell r="I25" t="str">
            <v>Hà Nội, ngày 12 tháng 8 năm 2015</v>
          </cell>
          <cell r="J25" t="str">
            <v>8h00 ngày 12 tháng 8 năm 2015</v>
          </cell>
          <cell r="K25" t="str">
            <v>9h00 ngày 12 tháng 8 năm 2015</v>
          </cell>
          <cell r="L25" t="str">
            <v>9h00</v>
          </cell>
          <cell r="M25" t="str">
            <v>10h00</v>
          </cell>
          <cell r="N25">
            <v>12</v>
          </cell>
          <cell r="O25">
            <v>8</v>
          </cell>
          <cell r="P25">
            <v>2015</v>
          </cell>
          <cell r="Q25" t="str">
            <v>Hà Nội, ngày 12 tháng 8 năm 2015</v>
          </cell>
          <cell r="R25" t="str">
            <v>9h00 ngày 12 tháng 8 năm 2015</v>
          </cell>
          <cell r="S25" t="str">
            <v>10h00 ngày 12 tháng 8 năm 2015</v>
          </cell>
          <cell r="T25" t="str">
            <v>9h00</v>
          </cell>
          <cell r="U25" t="str">
            <v>9h00 Ngày 12/8/2015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Cán bộ TVGS</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KT-104; KT-104 ĐC1; KC-14</v>
          </cell>
          <cell r="AQ25" t="str">
            <v>Ngày 12 Tháng 8 Năm 2015</v>
          </cell>
        </row>
        <row r="26">
          <cell r="A26" t="str">
            <v>TT-11</v>
          </cell>
          <cell r="B26" t="str">
            <v>Trát dầm, trần trong nhà tầng 06 vữa xi măng cát mác 75#</v>
          </cell>
          <cell r="C26" t="str">
            <v>TT-11</v>
          </cell>
          <cell r="D26" t="str">
            <v>8h30</v>
          </cell>
          <cell r="E26" t="str">
            <v>9h15</v>
          </cell>
          <cell r="F26">
            <v>19</v>
          </cell>
          <cell r="G26">
            <v>8</v>
          </cell>
          <cell r="H26">
            <v>2015</v>
          </cell>
          <cell r="I26" t="str">
            <v>Hà Nội, ngày 19 tháng 8 năm 2015</v>
          </cell>
          <cell r="J26" t="str">
            <v>8h30 ngày 19 tháng 8 năm 2015</v>
          </cell>
          <cell r="K26" t="str">
            <v>9h15 ngày 19 tháng 8 năm 2015</v>
          </cell>
          <cell r="L26" t="str">
            <v>9h15</v>
          </cell>
          <cell r="M26" t="str">
            <v>10h00</v>
          </cell>
          <cell r="N26">
            <v>19</v>
          </cell>
          <cell r="O26">
            <v>8</v>
          </cell>
          <cell r="P26">
            <v>2015</v>
          </cell>
          <cell r="Q26" t="str">
            <v>Hà Nội, ngày 19 tháng 8 năm 2015</v>
          </cell>
          <cell r="R26" t="str">
            <v>9h15 ngày 19 tháng 8 năm 2015</v>
          </cell>
          <cell r="S26" t="str">
            <v>10h00 ngày 19 tháng 8 năm 2015</v>
          </cell>
          <cell r="T26" t="str">
            <v>9h15</v>
          </cell>
          <cell r="U26" t="str">
            <v>9h15 Ngày 19/8/2015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Cán bộ TVGS</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KT-104; KT-104 ĐC1; KC-14</v>
          </cell>
          <cell r="AQ26" t="str">
            <v>Ngày 19 Tháng 8 Năm 2015</v>
          </cell>
        </row>
        <row r="27">
          <cell r="A27" t="str">
            <v>TT-12</v>
          </cell>
          <cell r="B27" t="str">
            <v>Trát trụ cột, lam đứng, tường trong nhà tầng 06 vữa Lipomax mác 50#</v>
          </cell>
          <cell r="C27" t="str">
            <v>TT-12</v>
          </cell>
          <cell r="D27" t="str">
            <v>8h00</v>
          </cell>
          <cell r="E27" t="str">
            <v>9h00</v>
          </cell>
          <cell r="F27">
            <v>31</v>
          </cell>
          <cell r="G27">
            <v>8</v>
          </cell>
          <cell r="H27">
            <v>2015</v>
          </cell>
          <cell r="I27" t="str">
            <v>Hà Nội, ngày 31 tháng 8 năm 2015</v>
          </cell>
          <cell r="J27" t="str">
            <v>8h00 ngày 31 tháng 8 năm 2015</v>
          </cell>
          <cell r="K27" t="str">
            <v>9h00 ngày 31 tháng 8 năm 2015</v>
          </cell>
          <cell r="L27" t="str">
            <v>9h00</v>
          </cell>
          <cell r="M27" t="str">
            <v>10h00</v>
          </cell>
          <cell r="N27">
            <v>31</v>
          </cell>
          <cell r="O27">
            <v>8</v>
          </cell>
          <cell r="P27">
            <v>2015</v>
          </cell>
          <cell r="Q27" t="str">
            <v>Hà Nội, ngày 31 tháng 8 năm 2015</v>
          </cell>
          <cell r="R27" t="str">
            <v>9h00 ngày 31 tháng 8 năm 2015</v>
          </cell>
          <cell r="S27" t="str">
            <v>10h00 ngày 31 tháng 8 năm 2015</v>
          </cell>
          <cell r="T27" t="str">
            <v>9h00</v>
          </cell>
          <cell r="U27" t="str">
            <v>9h00 Ngày 31/8/2015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Cán bộ TVGS</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KT-104; KT-104 ĐC1; KC-14</v>
          </cell>
          <cell r="AQ27" t="str">
            <v>Ngày 31 Tháng 8 Năm 2015</v>
          </cell>
        </row>
        <row r="28">
          <cell r="A28" t="str">
            <v>TT-13</v>
          </cell>
          <cell r="B28" t="str">
            <v>Trát dầm, trần trong nhà tầng 07 vữa xi măng cát mác 75#</v>
          </cell>
          <cell r="C28" t="str">
            <v>TT-13</v>
          </cell>
          <cell r="D28" t="str">
            <v>8h30</v>
          </cell>
          <cell r="E28" t="str">
            <v>9h15</v>
          </cell>
          <cell r="F28">
            <v>29</v>
          </cell>
          <cell r="G28">
            <v>8</v>
          </cell>
          <cell r="H28">
            <v>2015</v>
          </cell>
          <cell r="I28" t="str">
            <v>Hà Nội, ngày 29 tháng 8 năm 2015</v>
          </cell>
          <cell r="J28" t="str">
            <v>8h30 ngày 29 tháng 8 năm 2015</v>
          </cell>
          <cell r="K28" t="str">
            <v>9h15 ngày 29 tháng 8 năm 2015</v>
          </cell>
          <cell r="L28" t="str">
            <v>9h15</v>
          </cell>
          <cell r="M28" t="str">
            <v>10h00</v>
          </cell>
          <cell r="N28">
            <v>29</v>
          </cell>
          <cell r="O28">
            <v>8</v>
          </cell>
          <cell r="P28">
            <v>2015</v>
          </cell>
          <cell r="Q28" t="str">
            <v>Hà Nội, ngày 29 tháng 8 năm 2015</v>
          </cell>
          <cell r="R28" t="str">
            <v>9h15 ngày 29 tháng 8 năm 2015</v>
          </cell>
          <cell r="S28" t="str">
            <v>10h00 ngày 29 tháng 8 năm 2015</v>
          </cell>
          <cell r="T28" t="str">
            <v>9h15</v>
          </cell>
          <cell r="U28" t="str">
            <v>9h15 Ngày 29/8/2015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Cán bộ TVGS</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KT-104; KT-104 ĐC1; KC-14</v>
          </cell>
          <cell r="AQ28" t="str">
            <v>Ngày 29 Tháng 8 Năm 2015</v>
          </cell>
        </row>
        <row r="29">
          <cell r="A29" t="str">
            <v>TT-14</v>
          </cell>
          <cell r="B29" t="str">
            <v>Trát trụ cột, lam đứng, tường trong nhà tầng 07 vữa Lipomax mác 50#</v>
          </cell>
          <cell r="C29" t="str">
            <v>TT-14</v>
          </cell>
          <cell r="D29" t="str">
            <v>8h00</v>
          </cell>
          <cell r="E29" t="str">
            <v>9h00</v>
          </cell>
          <cell r="F29">
            <v>13</v>
          </cell>
          <cell r="G29">
            <v>9</v>
          </cell>
          <cell r="H29">
            <v>2015</v>
          </cell>
          <cell r="I29" t="str">
            <v>Hà Nội, ngày 13 tháng 9 năm 2015</v>
          </cell>
          <cell r="J29" t="str">
            <v>8h00 ngày 13 tháng 9 năm 2015</v>
          </cell>
          <cell r="K29" t="str">
            <v>9h00 ngày 13 tháng 9 năm 2015</v>
          </cell>
          <cell r="L29" t="str">
            <v>9h00</v>
          </cell>
          <cell r="M29" t="str">
            <v>10h00</v>
          </cell>
          <cell r="N29">
            <v>13</v>
          </cell>
          <cell r="O29">
            <v>9</v>
          </cell>
          <cell r="P29">
            <v>2015</v>
          </cell>
          <cell r="Q29" t="str">
            <v>Hà Nội, ngày 13 tháng 9 năm 2015</v>
          </cell>
          <cell r="R29" t="str">
            <v>9h00 ngày 13 tháng 9 năm 2015</v>
          </cell>
          <cell r="S29" t="str">
            <v>10h00 ngày 13 tháng 9 năm 2015</v>
          </cell>
          <cell r="T29" t="str">
            <v>9h00</v>
          </cell>
          <cell r="U29" t="str">
            <v>9h00 Ngày 13/9/2015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Cán bộ TVGS</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KT-104; KT-104 ĐC1; KC-14</v>
          </cell>
          <cell r="AQ29" t="str">
            <v>Ngày 13 Tháng 9 Năm 2015</v>
          </cell>
        </row>
        <row r="30">
          <cell r="A30" t="str">
            <v>TT-15</v>
          </cell>
          <cell r="B30" t="str">
            <v>Trát dầm, trần trong nhà tầng 08 vữa xi măng cát mác 75#</v>
          </cell>
          <cell r="C30" t="str">
            <v>TT-15</v>
          </cell>
          <cell r="D30" t="str">
            <v>8h30</v>
          </cell>
          <cell r="E30" t="str">
            <v>9h15</v>
          </cell>
          <cell r="F30">
            <v>3</v>
          </cell>
          <cell r="G30">
            <v>9</v>
          </cell>
          <cell r="H30">
            <v>2015</v>
          </cell>
          <cell r="I30" t="str">
            <v>Hà Nội, ngày 3 tháng 9 năm 2015</v>
          </cell>
          <cell r="J30" t="str">
            <v>8h30 ngày 3 tháng 9 năm 2015</v>
          </cell>
          <cell r="K30" t="str">
            <v>9h15 ngày 3 tháng 9 năm 2015</v>
          </cell>
          <cell r="L30" t="str">
            <v>9h15</v>
          </cell>
          <cell r="M30" t="str">
            <v>10h00</v>
          </cell>
          <cell r="N30">
            <v>3</v>
          </cell>
          <cell r="O30">
            <v>9</v>
          </cell>
          <cell r="P30">
            <v>2015</v>
          </cell>
          <cell r="Q30" t="str">
            <v>Hà Nội, ngày 3 tháng 9 năm 2015</v>
          </cell>
          <cell r="R30" t="str">
            <v>9h15 ngày 3 tháng 9 năm 2015</v>
          </cell>
          <cell r="S30" t="str">
            <v>10h00 ngày 3 tháng 9 năm 2015</v>
          </cell>
          <cell r="T30" t="str">
            <v>9h15</v>
          </cell>
          <cell r="U30" t="str">
            <v>9h15 Ngày 3/9/2015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Cán bộ TVGS</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KT-104; KT-104 ĐC1; KC-14</v>
          </cell>
          <cell r="AQ30" t="str">
            <v>Ngày 3 Tháng 9 Năm 2015</v>
          </cell>
        </row>
        <row r="31">
          <cell r="A31" t="str">
            <v>TT-16</v>
          </cell>
          <cell r="B31" t="str">
            <v>Trát trụ cột, lam đứng, tường trong nhà tầng 08 vữa Lipomax mác 50#</v>
          </cell>
          <cell r="C31" t="str">
            <v>TT-16</v>
          </cell>
          <cell r="D31" t="str">
            <v>8h00</v>
          </cell>
          <cell r="E31" t="str">
            <v>9h00</v>
          </cell>
          <cell r="F31">
            <v>26</v>
          </cell>
          <cell r="G31">
            <v>9</v>
          </cell>
          <cell r="H31">
            <v>2015</v>
          </cell>
          <cell r="I31" t="str">
            <v>Hà Nội, ngày 26 tháng 9 năm 2015</v>
          </cell>
          <cell r="J31" t="str">
            <v>8h00 ngày 26 tháng 9 năm 2015</v>
          </cell>
          <cell r="K31" t="str">
            <v>9h00 ngày 26 tháng 9 năm 2015</v>
          </cell>
          <cell r="L31" t="str">
            <v>9h00</v>
          </cell>
          <cell r="M31" t="str">
            <v>10h00</v>
          </cell>
          <cell r="N31">
            <v>26</v>
          </cell>
          <cell r="O31">
            <v>9</v>
          </cell>
          <cell r="P31">
            <v>2015</v>
          </cell>
          <cell r="Q31" t="str">
            <v>Hà Nội, ngày 26 tháng 9 năm 2015</v>
          </cell>
          <cell r="R31" t="str">
            <v>9h00 ngày 26 tháng 9 năm 2015</v>
          </cell>
          <cell r="S31" t="str">
            <v>10h00 ngày 26 tháng 9 năm 2015</v>
          </cell>
          <cell r="T31" t="str">
            <v>9h00</v>
          </cell>
          <cell r="U31" t="str">
            <v>9h00 Ngày 26/9/2015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Cán bộ TVGS</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KT-104; KT-104 ĐC1; KC-14</v>
          </cell>
          <cell r="AQ31" t="str">
            <v>Ngày 26 Tháng 9 Năm 2015</v>
          </cell>
        </row>
        <row r="32">
          <cell r="A32" t="str">
            <v>TT-17</v>
          </cell>
          <cell r="B32" t="str">
            <v>Trát dầm, trần trong nhà tầng 09 vữa xi măng cát mác 75#</v>
          </cell>
          <cell r="C32" t="str">
            <v>TT-17</v>
          </cell>
          <cell r="D32" t="str">
            <v>8h30</v>
          </cell>
          <cell r="E32" t="str">
            <v>9h15</v>
          </cell>
          <cell r="F32">
            <v>10</v>
          </cell>
          <cell r="G32">
            <v>9</v>
          </cell>
          <cell r="H32">
            <v>2015</v>
          </cell>
          <cell r="I32" t="str">
            <v>Hà Nội, ngày 10 tháng 9 năm 2015</v>
          </cell>
          <cell r="J32" t="str">
            <v>8h30 ngày 10 tháng 9 năm 2015</v>
          </cell>
          <cell r="K32" t="str">
            <v>9h15 ngày 10 tháng 9 năm 2015</v>
          </cell>
          <cell r="L32" t="str">
            <v>9h15</v>
          </cell>
          <cell r="M32" t="str">
            <v>10h00</v>
          </cell>
          <cell r="N32">
            <v>10</v>
          </cell>
          <cell r="O32">
            <v>9</v>
          </cell>
          <cell r="P32">
            <v>2015</v>
          </cell>
          <cell r="Q32" t="str">
            <v>Hà Nội, ngày 10 tháng 9 năm 2015</v>
          </cell>
          <cell r="R32" t="str">
            <v>9h15 ngày 10 tháng 9 năm 2015</v>
          </cell>
          <cell r="S32" t="str">
            <v>10h00 ngày 10 tháng 9 năm 2015</v>
          </cell>
          <cell r="T32" t="str">
            <v>9h15</v>
          </cell>
          <cell r="U32" t="str">
            <v>9h15 Ngày 10/9/2015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Cán bộ TVGS</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KT-104; KT-104 ĐC1; KC-14</v>
          </cell>
          <cell r="AQ32" t="str">
            <v>Ngày 10 Tháng 9 Năm 2015</v>
          </cell>
        </row>
        <row r="33">
          <cell r="A33" t="str">
            <v>TT-18</v>
          </cell>
          <cell r="B33" t="str">
            <v>Trát trụ cột, lam đứng, tường trong nhà tầng 09 vữa Lipomax mác 50#</v>
          </cell>
          <cell r="C33" t="str">
            <v>TT-18</v>
          </cell>
          <cell r="D33" t="str">
            <v>8h00</v>
          </cell>
          <cell r="E33" t="str">
            <v>9h00</v>
          </cell>
          <cell r="F33">
            <v>3</v>
          </cell>
          <cell r="G33">
            <v>10</v>
          </cell>
          <cell r="H33">
            <v>2015</v>
          </cell>
          <cell r="I33" t="str">
            <v>Hà Nội, ngày 3 tháng 10 năm 2015</v>
          </cell>
          <cell r="J33" t="str">
            <v>8h00 ngày 3 tháng 10 năm 2015</v>
          </cell>
          <cell r="K33" t="str">
            <v>9h00 ngày 3 tháng 10 năm 2015</v>
          </cell>
          <cell r="L33" t="str">
            <v>9h00</v>
          </cell>
          <cell r="M33" t="str">
            <v>10h00</v>
          </cell>
          <cell r="N33">
            <v>3</v>
          </cell>
          <cell r="O33">
            <v>10</v>
          </cell>
          <cell r="P33">
            <v>2015</v>
          </cell>
          <cell r="Q33" t="str">
            <v>Hà Nội, ngày 3 tháng 10 năm 2015</v>
          </cell>
          <cell r="R33" t="str">
            <v>9h00 ngày 3 tháng 10 năm 2015</v>
          </cell>
          <cell r="S33" t="str">
            <v>10h00 ngày 3 tháng 10 năm 2015</v>
          </cell>
          <cell r="T33" t="str">
            <v>9h00</v>
          </cell>
          <cell r="U33" t="str">
            <v>9h00 Ngày 3/10/2015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Cán bộ TVGS</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KT-104; KT-104 ĐC1; KC-14</v>
          </cell>
          <cell r="AQ33" t="str">
            <v>Ngày 3 Tháng 10 Năm 2015</v>
          </cell>
        </row>
        <row r="34">
          <cell r="A34" t="str">
            <v>TT-19</v>
          </cell>
          <cell r="B34" t="str">
            <v>Trát dầm, trần trong nhà tầng 10 vữa xi măng cát mác 75#</v>
          </cell>
          <cell r="C34" t="str">
            <v>TT-19</v>
          </cell>
          <cell r="D34" t="str">
            <v>8h30</v>
          </cell>
          <cell r="E34" t="str">
            <v>9h15</v>
          </cell>
          <cell r="F34">
            <v>15</v>
          </cell>
          <cell r="G34">
            <v>9</v>
          </cell>
          <cell r="H34">
            <v>2015</v>
          </cell>
          <cell r="I34" t="str">
            <v>Hà Nội, ngày 15 tháng 9 năm 2015</v>
          </cell>
          <cell r="J34" t="str">
            <v>8h30 ngày 15 tháng 9 năm 2015</v>
          </cell>
          <cell r="K34" t="str">
            <v>9h15 ngày 15 tháng 9 năm 2015</v>
          </cell>
          <cell r="L34" t="str">
            <v>9h15</v>
          </cell>
          <cell r="M34" t="str">
            <v>10h00</v>
          </cell>
          <cell r="N34">
            <v>15</v>
          </cell>
          <cell r="O34">
            <v>9</v>
          </cell>
          <cell r="P34">
            <v>2015</v>
          </cell>
          <cell r="Q34" t="str">
            <v>Hà Nội, ngày 15 tháng 9 năm 2015</v>
          </cell>
          <cell r="R34" t="str">
            <v>9h15 ngày 15 tháng 9 năm 2015</v>
          </cell>
          <cell r="S34" t="str">
            <v>10h00 ngày 15 tháng 9 năm 2015</v>
          </cell>
          <cell r="T34" t="str">
            <v>9h15</v>
          </cell>
          <cell r="U34" t="str">
            <v>9h15 Ngày 15/9/2015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Cán bộ TVGS</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KT-104; KT-104 ĐC1; KC-14</v>
          </cell>
          <cell r="AQ34" t="str">
            <v>Ngày 15 Tháng 9 Năm 2015</v>
          </cell>
        </row>
        <row r="35">
          <cell r="A35" t="str">
            <v>TT-20</v>
          </cell>
          <cell r="B35" t="str">
            <v>Trát trụ cột, lam đứng, tường trong nhà tầng 10 vữa Lipomax mác 50#</v>
          </cell>
          <cell r="C35" t="str">
            <v>TT-20</v>
          </cell>
          <cell r="D35" t="str">
            <v>8h00</v>
          </cell>
          <cell r="E35" t="str">
            <v>9h00</v>
          </cell>
          <cell r="F35">
            <v>26</v>
          </cell>
          <cell r="G35">
            <v>10</v>
          </cell>
          <cell r="H35">
            <v>2015</v>
          </cell>
          <cell r="I35" t="str">
            <v>Hà Nội, ngày 26 tháng 10 năm 2015</v>
          </cell>
          <cell r="J35" t="str">
            <v>8h00 ngày 26 tháng 10 năm 2015</v>
          </cell>
          <cell r="K35" t="str">
            <v>9h00 ngày 26 tháng 10 năm 2015</v>
          </cell>
          <cell r="L35" t="str">
            <v>9h05</v>
          </cell>
          <cell r="M35" t="str">
            <v>10h00</v>
          </cell>
          <cell r="N35">
            <v>26</v>
          </cell>
          <cell r="O35">
            <v>10</v>
          </cell>
          <cell r="P35">
            <v>2015</v>
          </cell>
          <cell r="Q35" t="str">
            <v>Hà Nội, ngày 26 tháng 10 năm 2015</v>
          </cell>
          <cell r="R35" t="str">
            <v>9h05 ngày 26 tháng 10 năm 2015</v>
          </cell>
          <cell r="S35" t="str">
            <v>10h00 ngày 26 tháng 10 năm 2015</v>
          </cell>
          <cell r="T35" t="str">
            <v>9h05</v>
          </cell>
          <cell r="U35" t="str">
            <v>9h05 Ngày 26/10/2015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Cán bộ TVGS</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KT-104; KT-104 ĐC1; KC-14</v>
          </cell>
          <cell r="AQ35" t="str">
            <v>Ngày 26 Tháng 10 Năm 2015</v>
          </cell>
        </row>
        <row r="36">
          <cell r="A36" t="str">
            <v>TT-21</v>
          </cell>
          <cell r="B36" t="str">
            <v>Trát dầm, trần trong nhà tầng 11 vữa xi măng cát mác 75#</v>
          </cell>
          <cell r="C36" t="str">
            <v>TT-21</v>
          </cell>
          <cell r="D36" t="str">
            <v>8h30</v>
          </cell>
          <cell r="E36" t="str">
            <v>9h15</v>
          </cell>
          <cell r="F36">
            <v>21</v>
          </cell>
          <cell r="G36">
            <v>9</v>
          </cell>
          <cell r="H36">
            <v>2015</v>
          </cell>
          <cell r="I36" t="str">
            <v>Hà Nội, ngày 21 tháng 9 năm 2015</v>
          </cell>
          <cell r="J36" t="str">
            <v>8h30 ngày 21 tháng 9 năm 2015</v>
          </cell>
          <cell r="K36" t="str">
            <v>9h15 ngày 21 tháng 9 năm 2015</v>
          </cell>
          <cell r="L36" t="str">
            <v>9h15</v>
          </cell>
          <cell r="M36" t="str">
            <v>10h00</v>
          </cell>
          <cell r="N36">
            <v>21</v>
          </cell>
          <cell r="O36">
            <v>9</v>
          </cell>
          <cell r="P36">
            <v>2015</v>
          </cell>
          <cell r="Q36" t="str">
            <v>Hà Nội, ngày 21 tháng 9 năm 2015</v>
          </cell>
          <cell r="R36" t="str">
            <v>9h15 ngày 21 tháng 9 năm 2015</v>
          </cell>
          <cell r="S36" t="str">
            <v>10h00 ngày 21 tháng 9 năm 2015</v>
          </cell>
          <cell r="T36" t="str">
            <v>9h15</v>
          </cell>
          <cell r="U36" t="str">
            <v>9h15 Ngày 21/9/2015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Cán bộ TVGS</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KT-104; KT-104 ĐC1; KC-14</v>
          </cell>
          <cell r="AQ36" t="str">
            <v>Ngày 21 Tháng 9 Năm 2015</v>
          </cell>
        </row>
        <row r="37">
          <cell r="A37" t="str">
            <v>TT-22</v>
          </cell>
          <cell r="B37" t="str">
            <v>Trát trụ cột, lam đứng, tường trong nhà tầng 11 vữa Lipomax mác 50#</v>
          </cell>
          <cell r="C37" t="str">
            <v>TT-22</v>
          </cell>
          <cell r="D37" t="str">
            <v>8h00</v>
          </cell>
          <cell r="E37" t="str">
            <v>9h00</v>
          </cell>
          <cell r="F37">
            <v>28</v>
          </cell>
          <cell r="G37">
            <v>10</v>
          </cell>
          <cell r="H37">
            <v>2015</v>
          </cell>
          <cell r="I37" t="str">
            <v>Hà Nội, ngày 28 tháng 10 năm 2015</v>
          </cell>
          <cell r="J37" t="str">
            <v>8h00 ngày 28 tháng 10 năm 2015</v>
          </cell>
          <cell r="K37" t="str">
            <v>9h00 ngày 28 tháng 10 năm 2015</v>
          </cell>
          <cell r="L37" t="str">
            <v>9h05</v>
          </cell>
          <cell r="M37" t="str">
            <v>10h00</v>
          </cell>
          <cell r="N37">
            <v>28</v>
          </cell>
          <cell r="O37">
            <v>10</v>
          </cell>
          <cell r="P37">
            <v>2015</v>
          </cell>
          <cell r="Q37" t="str">
            <v>Hà Nội, ngày 28 tháng 10 năm 2015</v>
          </cell>
          <cell r="R37" t="str">
            <v>9h05 ngày 28 tháng 10 năm 2015</v>
          </cell>
          <cell r="S37" t="str">
            <v>10h00 ngày 28 tháng 10 năm 2015</v>
          </cell>
          <cell r="T37" t="str">
            <v>9h05</v>
          </cell>
          <cell r="U37" t="str">
            <v>9h05 Ngày 28/10/2015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Cán bộ TVGS</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KT-104; KT-104 ĐC1; KC-14</v>
          </cell>
          <cell r="AQ37" t="str">
            <v>Ngày 28 Tháng 10 Năm 2015</v>
          </cell>
        </row>
        <row r="38">
          <cell r="A38" t="str">
            <v>TT-23</v>
          </cell>
          <cell r="B38" t="str">
            <v>Trát dầm, trần trong nhà tầng áp mái vữa xi măng cát mác 75#</v>
          </cell>
          <cell r="C38" t="str">
            <v>TT-23</v>
          </cell>
          <cell r="D38" t="str">
            <v>8h30</v>
          </cell>
          <cell r="E38" t="str">
            <v>9h15</v>
          </cell>
          <cell r="F38">
            <v>28</v>
          </cell>
          <cell r="G38">
            <v>9</v>
          </cell>
          <cell r="H38">
            <v>2015</v>
          </cell>
          <cell r="I38" t="str">
            <v>Hà Nội, ngày 28 tháng 9 năm 2015</v>
          </cell>
          <cell r="J38" t="str">
            <v>8h30 ngày 28 tháng 9 năm 2015</v>
          </cell>
          <cell r="K38" t="str">
            <v>9h15 ngày 28 tháng 9 năm 2015</v>
          </cell>
          <cell r="L38" t="str">
            <v>9h15</v>
          </cell>
          <cell r="M38" t="str">
            <v>10h00</v>
          </cell>
          <cell r="N38">
            <v>28</v>
          </cell>
          <cell r="O38">
            <v>9</v>
          </cell>
          <cell r="P38">
            <v>2015</v>
          </cell>
          <cell r="Q38" t="str">
            <v>Hà Nội, ngày 28 tháng 9 năm 2015</v>
          </cell>
          <cell r="R38" t="str">
            <v>9h15 ngày 28 tháng 9 năm 2015</v>
          </cell>
          <cell r="S38" t="str">
            <v>10h00 ngày 28 tháng 9 năm 2015</v>
          </cell>
          <cell r="T38" t="str">
            <v>9h15</v>
          </cell>
          <cell r="U38" t="str">
            <v>9h15 Ngày 28/9/2015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Cán bộ TVGS</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KT-105; KT-105 ĐC1; KC-15</v>
          </cell>
          <cell r="AQ38" t="str">
            <v>Ngày 28 Tháng 9 Năm 2015</v>
          </cell>
        </row>
        <row r="39">
          <cell r="A39" t="str">
            <v>TT-24</v>
          </cell>
          <cell r="B39" t="str">
            <v>Trát trụ cột, lam đứng, tường trong nhà tầng áp mái vữa Lipomax mác 50#</v>
          </cell>
          <cell r="C39" t="str">
            <v>TT-24</v>
          </cell>
          <cell r="D39" t="str">
            <v>8h00</v>
          </cell>
          <cell r="E39" t="str">
            <v>9h00</v>
          </cell>
          <cell r="F39">
            <v>29</v>
          </cell>
          <cell r="G39">
            <v>10</v>
          </cell>
          <cell r="H39">
            <v>2015</v>
          </cell>
          <cell r="I39" t="str">
            <v>Hà Nội, ngày 29 tháng 10 năm 2015</v>
          </cell>
          <cell r="J39" t="str">
            <v>8h00 ngày 29 tháng 10 năm 2015</v>
          </cell>
          <cell r="K39" t="str">
            <v>9h00 ngày 29 tháng 10 năm 2015</v>
          </cell>
          <cell r="L39" t="str">
            <v>9h05</v>
          </cell>
          <cell r="M39" t="str">
            <v>10h00</v>
          </cell>
          <cell r="N39">
            <v>29</v>
          </cell>
          <cell r="O39">
            <v>10</v>
          </cell>
          <cell r="P39">
            <v>2015</v>
          </cell>
          <cell r="Q39" t="str">
            <v>Hà Nội, ngày 29 tháng 10 năm 2015</v>
          </cell>
          <cell r="R39" t="str">
            <v>9h05 ngày 29 tháng 10 năm 2015</v>
          </cell>
          <cell r="S39" t="str">
            <v>10h00 ngày 29 tháng 10 năm 2015</v>
          </cell>
          <cell r="T39" t="str">
            <v>9h05</v>
          </cell>
          <cell r="U39" t="str">
            <v>9h05 Ngày 29/10/2015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Cán bộ TVGS</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KT-105; KT-105 ĐC1; KC-15</v>
          </cell>
          <cell r="AQ39" t="str">
            <v>Ngày 29 Tháng 10 Năm 2015</v>
          </cell>
        </row>
        <row r="40">
          <cell r="D40" t="str">
            <v>……….</v>
          </cell>
          <cell r="E40" t="str">
            <v>……….</v>
          </cell>
          <cell r="F40" t="str">
            <v>……….</v>
          </cell>
          <cell r="G40" t="str">
            <v>……….</v>
          </cell>
          <cell r="H40" t="str">
            <v>……….</v>
          </cell>
          <cell r="I40" t="str">
            <v>Hà Nội, ngày ………. tháng ………. năm ……….</v>
          </cell>
          <cell r="J40" t="str">
            <v>………. ngày ………. tháng ………. năm ……….</v>
          </cell>
          <cell r="K40" t="str">
            <v>………. ngày ………. tháng ………. năm ……….</v>
          </cell>
          <cell r="L40" t="str">
            <v>……….</v>
          </cell>
          <cell r="M40" t="str">
            <v>……….</v>
          </cell>
          <cell r="N40" t="str">
            <v>……….</v>
          </cell>
          <cell r="O40" t="str">
            <v>……….</v>
          </cell>
          <cell r="P40" t="str">
            <v>……….</v>
          </cell>
          <cell r="Q40" t="str">
            <v>Hà Nội, ngày ………. tháng ………. năm ……….</v>
          </cell>
          <cell r="R40" t="str">
            <v>………. ngày ………. tháng ………. năm ……….</v>
          </cell>
          <cell r="S40" t="str">
            <v>………. ngày ………. tháng ………. năm ……….</v>
          </cell>
          <cell r="T40" t="str">
            <v>……….</v>
          </cell>
          <cell r="U40" t="str">
            <v>………. Ngày ………./………./……….</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Cán bộ TVGS</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Q40" t="str">
            <v>Ngày ………. Tháng ………. Năm ……….</v>
          </cell>
        </row>
        <row r="41">
          <cell r="D41" t="str">
            <v>……….</v>
          </cell>
          <cell r="E41" t="str">
            <v>……….</v>
          </cell>
          <cell r="F41" t="str">
            <v>……….</v>
          </cell>
          <cell r="G41" t="str">
            <v>……….</v>
          </cell>
          <cell r="H41" t="str">
            <v>……….</v>
          </cell>
          <cell r="I41" t="str">
            <v>Hà Nội, ngày ………. tháng ………. năm ……….</v>
          </cell>
          <cell r="J41" t="str">
            <v>………. ngày ………. tháng ………. năm ……….</v>
          </cell>
          <cell r="K41" t="str">
            <v>………. ngày ………. tháng ………. năm ……….</v>
          </cell>
          <cell r="L41" t="str">
            <v>……….</v>
          </cell>
          <cell r="M41" t="str">
            <v>……….</v>
          </cell>
          <cell r="N41" t="str">
            <v>……….</v>
          </cell>
          <cell r="O41" t="str">
            <v>……….</v>
          </cell>
          <cell r="P41" t="str">
            <v>……….</v>
          </cell>
          <cell r="Q41" t="str">
            <v>Hà Nội, ngày ………. tháng ………. năm ……….</v>
          </cell>
          <cell r="R41" t="str">
            <v>………. ngày ………. tháng ………. năm ……….</v>
          </cell>
          <cell r="S41" t="str">
            <v>………. ngày ………. tháng ………. năm ……….</v>
          </cell>
          <cell r="T41" t="str">
            <v>……….</v>
          </cell>
          <cell r="U41" t="str">
            <v>………. Ngày ………./………./……….</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Cán bộ TVGS</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Q41" t="str">
            <v>Ngày ………. Tháng ………. Năm ……….</v>
          </cell>
        </row>
        <row r="42">
          <cell r="A42" t="str">
            <v>TCT-01</v>
          </cell>
          <cell r="B42" t="str">
            <v>Trát thang bộ LT, TB, vách thang máy tầng 01, 02, 03 bằng vữa xi măng cát mác 75</v>
          </cell>
          <cell r="C42" t="str">
            <v>TCT-01</v>
          </cell>
          <cell r="D42" t="str">
            <v>14h00</v>
          </cell>
          <cell r="E42" t="str">
            <v>15h00</v>
          </cell>
          <cell r="F42">
            <v>14</v>
          </cell>
          <cell r="G42">
            <v>9</v>
          </cell>
          <cell r="H42">
            <v>2015</v>
          </cell>
          <cell r="I42" t="str">
            <v>Hà Nội, ngày 14 tháng 9 năm 2015</v>
          </cell>
          <cell r="J42" t="str">
            <v>14h00 ngày 14 tháng 9 năm 2015</v>
          </cell>
          <cell r="K42" t="str">
            <v>15h00 ngày 14 tháng 9 năm 2015</v>
          </cell>
          <cell r="L42" t="str">
            <v>15h00</v>
          </cell>
          <cell r="M42" t="str">
            <v>16h00</v>
          </cell>
          <cell r="N42">
            <v>14</v>
          </cell>
          <cell r="O42">
            <v>9</v>
          </cell>
          <cell r="P42">
            <v>2015</v>
          </cell>
          <cell r="Q42" t="str">
            <v>Hà Nội, ngày 14 tháng 9 năm 2015</v>
          </cell>
          <cell r="R42" t="str">
            <v>15h00 ngày 14 tháng 9 năm 2015</v>
          </cell>
          <cell r="S42" t="str">
            <v>16h00 ngày 14 tháng 9 năm 2015</v>
          </cell>
          <cell r="T42" t="str">
            <v>15h00</v>
          </cell>
          <cell r="U42" t="str">
            <v>15h00 Ngày 14/9/2015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Cán bộ TVGS</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KT-201; KT-202; KT-203</v>
          </cell>
          <cell r="AQ42" t="str">
            <v>Ngày 14 Tháng 9 Năm 2015</v>
          </cell>
        </row>
        <row r="43">
          <cell r="A43" t="str">
            <v>TCT-02</v>
          </cell>
          <cell r="B43" t="str">
            <v>Trát thang bộ LT, TB, vách thang máy tầng 04, 05, 06 bằng vữa xi măng cát mác 75</v>
          </cell>
          <cell r="C43" t="str">
            <v>TCT-02</v>
          </cell>
          <cell r="D43" t="str">
            <v>14h30</v>
          </cell>
          <cell r="E43" t="str">
            <v>15h30</v>
          </cell>
          <cell r="F43">
            <v>18</v>
          </cell>
          <cell r="G43">
            <v>9</v>
          </cell>
          <cell r="H43">
            <v>2015</v>
          </cell>
          <cell r="I43" t="str">
            <v>Hà Nội, ngày 18 tháng 9 năm 2015</v>
          </cell>
          <cell r="J43" t="str">
            <v>14h30 ngày 18 tháng 9 năm 2015</v>
          </cell>
          <cell r="K43" t="str">
            <v>15h30 ngày 18 tháng 9 năm 2015</v>
          </cell>
          <cell r="L43" t="str">
            <v>15h30</v>
          </cell>
          <cell r="M43" t="str">
            <v>16h30</v>
          </cell>
          <cell r="N43">
            <v>18</v>
          </cell>
          <cell r="O43">
            <v>9</v>
          </cell>
          <cell r="P43">
            <v>2015</v>
          </cell>
          <cell r="Q43" t="str">
            <v>Hà Nội, ngày 18 tháng 9 năm 2015</v>
          </cell>
          <cell r="R43" t="str">
            <v>15h30 ngày 18 tháng 9 năm 2015</v>
          </cell>
          <cell r="S43" t="str">
            <v>16h30 ngày 18 tháng 9 năm 2015</v>
          </cell>
          <cell r="T43" t="str">
            <v>15h30</v>
          </cell>
          <cell r="U43" t="str">
            <v>15h30 Ngày 18/9/2015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Cán bộ TVGS</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KT-201; KT-202; KT-203</v>
          </cell>
          <cell r="AQ43" t="str">
            <v>Ngày 18 Tháng 9 Năm 2015</v>
          </cell>
        </row>
        <row r="44">
          <cell r="A44" t="str">
            <v>TCT-03</v>
          </cell>
          <cell r="B44" t="str">
            <v>Trát thang bộ LT, TB, vách thang máy tầng 07, 08, 09 bằng vữa xi măng cát mác 75</v>
          </cell>
          <cell r="C44" t="str">
            <v>TCT-03</v>
          </cell>
          <cell r="D44" t="str">
            <v>14h00</v>
          </cell>
          <cell r="E44" t="str">
            <v>15h00</v>
          </cell>
          <cell r="F44">
            <v>22</v>
          </cell>
          <cell r="G44">
            <v>9</v>
          </cell>
          <cell r="H44">
            <v>2015</v>
          </cell>
          <cell r="I44" t="str">
            <v>Hà Nội, ngày 22 tháng 9 năm 2015</v>
          </cell>
          <cell r="J44" t="str">
            <v>14h00 ngày 22 tháng 9 năm 2015</v>
          </cell>
          <cell r="K44" t="str">
            <v>15h00 ngày 22 tháng 9 năm 2015</v>
          </cell>
          <cell r="L44" t="str">
            <v>15h00</v>
          </cell>
          <cell r="M44" t="str">
            <v>16h00</v>
          </cell>
          <cell r="N44">
            <v>22</v>
          </cell>
          <cell r="O44">
            <v>9</v>
          </cell>
          <cell r="P44">
            <v>2015</v>
          </cell>
          <cell r="Q44" t="str">
            <v>Hà Nội, ngày 22 tháng 9 năm 2015</v>
          </cell>
          <cell r="R44" t="str">
            <v>15h00 ngày 22 tháng 9 năm 2015</v>
          </cell>
          <cell r="S44" t="str">
            <v>16h00 ngày 22 tháng 9 năm 2015</v>
          </cell>
          <cell r="T44" t="str">
            <v>15h00</v>
          </cell>
          <cell r="U44" t="str">
            <v>15h00 Ngày 22/9/2015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Cán bộ TVGS</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KT-201; KT-202; KT-203</v>
          </cell>
          <cell r="AQ44" t="str">
            <v>Ngày 22 Tháng 9 Năm 2015</v>
          </cell>
        </row>
        <row r="45">
          <cell r="A45" t="str">
            <v>TCT-04</v>
          </cell>
          <cell r="B45" t="str">
            <v>Trát thang bộ LT, TB, vách thang máy tầng 10, 11 bằng vữa xi măng cát mác 75</v>
          </cell>
          <cell r="C45" t="str">
            <v>TCT-04</v>
          </cell>
          <cell r="D45" t="str">
            <v>14h30</v>
          </cell>
          <cell r="E45" t="str">
            <v>15h30</v>
          </cell>
          <cell r="F45">
            <v>3</v>
          </cell>
          <cell r="G45">
            <v>10</v>
          </cell>
          <cell r="H45">
            <v>2015</v>
          </cell>
          <cell r="I45" t="str">
            <v>Hà Nội, ngày 3 tháng 10 năm 2015</v>
          </cell>
          <cell r="J45" t="str">
            <v>14h30 ngày 3 tháng 10 năm 2015</v>
          </cell>
          <cell r="K45" t="str">
            <v>15h30 ngày 3 tháng 10 năm 2015</v>
          </cell>
          <cell r="L45" t="str">
            <v>15h30</v>
          </cell>
          <cell r="M45" t="str">
            <v>16h30</v>
          </cell>
          <cell r="N45">
            <v>3</v>
          </cell>
          <cell r="O45">
            <v>10</v>
          </cell>
          <cell r="P45">
            <v>2015</v>
          </cell>
          <cell r="Q45" t="str">
            <v>Hà Nội, ngày 3 tháng 10 năm 2015</v>
          </cell>
          <cell r="R45" t="str">
            <v>15h30 ngày 3 tháng 10 năm 2015</v>
          </cell>
          <cell r="S45" t="str">
            <v>16h30 ngày 3 tháng 10 năm 2015</v>
          </cell>
          <cell r="T45" t="str">
            <v>15h30</v>
          </cell>
          <cell r="U45" t="str">
            <v>15h30 Ngày 3/10/2015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Cán bộ TVGS</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KT-201; KT-202; KT-203</v>
          </cell>
          <cell r="AQ45" t="str">
            <v>Ngày 3 Tháng 10 Năm 2015</v>
          </cell>
        </row>
        <row r="46">
          <cell r="D46" t="str">
            <v>……….</v>
          </cell>
          <cell r="E46" t="str">
            <v>……….</v>
          </cell>
          <cell r="F46" t="str">
            <v>……….</v>
          </cell>
          <cell r="G46" t="str">
            <v>……….</v>
          </cell>
          <cell r="H46" t="str">
            <v>……….</v>
          </cell>
          <cell r="I46" t="str">
            <v>Hà Nội, ngày ………. tháng ………. năm ……….</v>
          </cell>
          <cell r="J46" t="str">
            <v>………. ngày ………. tháng ………. năm ……….</v>
          </cell>
          <cell r="K46" t="str">
            <v>………. ngày ………. tháng ………. năm ……….</v>
          </cell>
          <cell r="L46" t="str">
            <v>……….</v>
          </cell>
          <cell r="M46" t="str">
            <v>……….</v>
          </cell>
          <cell r="N46" t="str">
            <v>……….</v>
          </cell>
          <cell r="O46" t="str">
            <v>……….</v>
          </cell>
          <cell r="P46" t="str">
            <v>……….</v>
          </cell>
          <cell r="Q46" t="str">
            <v>Hà Nội, ngày ………. tháng ………. năm ……….</v>
          </cell>
          <cell r="R46" t="str">
            <v>………. ngày ………. tháng ………. năm ……….</v>
          </cell>
          <cell r="S46" t="str">
            <v>………. ngày ………. tháng ………. năm ……….</v>
          </cell>
          <cell r="T46" t="str">
            <v>……….</v>
          </cell>
          <cell r="U46" t="str">
            <v>………. Ngày ………./………./……….</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Cán bộ TVGS</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Q46" t="str">
            <v>Ngày ………. Tháng ………. Năm ……….</v>
          </cell>
        </row>
        <row r="47">
          <cell r="D47" t="str">
            <v>……….</v>
          </cell>
          <cell r="E47" t="str">
            <v>……….</v>
          </cell>
          <cell r="F47" t="str">
            <v>……….</v>
          </cell>
          <cell r="G47" t="str">
            <v>……….</v>
          </cell>
          <cell r="H47" t="str">
            <v>……….</v>
          </cell>
          <cell r="I47" t="str">
            <v>Hà Nội, ngày ………. tháng ………. năm ……….</v>
          </cell>
          <cell r="J47" t="str">
            <v>………. ngày ………. tháng ………. năm ……….</v>
          </cell>
          <cell r="K47" t="str">
            <v>………. ngày ………. tháng ………. năm ……….</v>
          </cell>
          <cell r="L47" t="str">
            <v>……….</v>
          </cell>
          <cell r="M47" t="str">
            <v>……….</v>
          </cell>
          <cell r="N47" t="str">
            <v>……….</v>
          </cell>
          <cell r="O47" t="str">
            <v>……….</v>
          </cell>
          <cell r="P47" t="str">
            <v>……….</v>
          </cell>
          <cell r="Q47" t="str">
            <v>Hà Nội, ngày ………. tháng ………. năm ……….</v>
          </cell>
          <cell r="R47" t="str">
            <v>………. ngày ………. tháng ………. năm ……….</v>
          </cell>
          <cell r="S47" t="str">
            <v>………. ngày ………. tháng ………. năm ……….</v>
          </cell>
          <cell r="T47" t="str">
            <v>……….</v>
          </cell>
          <cell r="U47" t="str">
            <v>………. Ngày ………./………./……….</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Cán bộ TVGS</v>
          </cell>
          <cell r="AH47" t="str">
            <v>Nguyễn Ái Việt</v>
          </cell>
          <cell r="AI47" t="str">
            <v>Chỉ huy trưởng</v>
          </cell>
          <cell r="AJ47" t="str">
            <v>Hoàng Chiến Thắng</v>
          </cell>
          <cell r="AK47" t="str">
            <v>P. Chỉ huy trưởng</v>
          </cell>
          <cell r="AL47" t="str">
            <v>Trịnh Quang Đức</v>
          </cell>
          <cell r="AM47" t="str">
            <v>Cán bộ kỹ thuật</v>
          </cell>
        </row>
        <row r="48">
          <cell r="D48" t="str">
            <v>……….</v>
          </cell>
          <cell r="E48" t="str">
            <v>……….</v>
          </cell>
          <cell r="F48" t="str">
            <v>……….</v>
          </cell>
          <cell r="G48" t="str">
            <v>……….</v>
          </cell>
          <cell r="H48" t="str">
            <v>……….</v>
          </cell>
          <cell r="I48" t="str">
            <v>Hà Nội, ngày ………. tháng ………. năm ……….</v>
          </cell>
          <cell r="J48" t="str">
            <v>………. ngày ………. tháng ………. năm ……….</v>
          </cell>
          <cell r="K48" t="str">
            <v>………. ngày ………. tháng ………. năm ……….</v>
          </cell>
          <cell r="L48" t="str">
            <v>……….</v>
          </cell>
          <cell r="M48" t="str">
            <v>……….</v>
          </cell>
          <cell r="N48" t="str">
            <v>……….</v>
          </cell>
          <cell r="O48" t="str">
            <v>……….</v>
          </cell>
          <cell r="P48" t="str">
            <v>……….</v>
          </cell>
          <cell r="Q48" t="str">
            <v>Hà Nội, ngày ………. tháng ………. năm ……….</v>
          </cell>
          <cell r="R48" t="str">
            <v>………. ngày ………. tháng ………. năm ……….</v>
          </cell>
          <cell r="S48" t="str">
            <v>………. ngày ………. tháng ………. năm ……….</v>
          </cell>
          <cell r="T48" t="str">
            <v>……….</v>
          </cell>
          <cell r="U48" t="str">
            <v>………. Ngày ………./………./……….</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Cán bộ TVGS</v>
          </cell>
          <cell r="AH48" t="str">
            <v>Nguyễn Ái Việt</v>
          </cell>
          <cell r="AI48" t="str">
            <v>Chỉ huy trưởng</v>
          </cell>
          <cell r="AJ48" t="str">
            <v>Hoàng Chiến Thắng</v>
          </cell>
          <cell r="AK48" t="str">
            <v>P. Chỉ huy trưởng</v>
          </cell>
          <cell r="AL48" t="str">
            <v>Trịnh Quang Đức</v>
          </cell>
          <cell r="AM48" t="str">
            <v>Cán bộ kỹ thuật</v>
          </cell>
        </row>
        <row r="49">
          <cell r="D49" t="str">
            <v>……….</v>
          </cell>
          <cell r="E49" t="str">
            <v>……….</v>
          </cell>
          <cell r="F49" t="str">
            <v>……….</v>
          </cell>
          <cell r="G49" t="str">
            <v>……….</v>
          </cell>
          <cell r="H49" t="str">
            <v>……….</v>
          </cell>
          <cell r="I49" t="str">
            <v>Hà Nội, ngày ………. tháng ………. năm ……….</v>
          </cell>
          <cell r="J49" t="str">
            <v>………. ngày ………. tháng ………. năm ……….</v>
          </cell>
          <cell r="K49" t="str">
            <v>………. ngày ………. tháng ………. năm ……….</v>
          </cell>
          <cell r="L49" t="str">
            <v>……….</v>
          </cell>
          <cell r="M49" t="str">
            <v>……….</v>
          </cell>
          <cell r="N49" t="str">
            <v>……….</v>
          </cell>
          <cell r="O49" t="str">
            <v>……….</v>
          </cell>
          <cell r="P49" t="str">
            <v>……….</v>
          </cell>
          <cell r="Q49" t="str">
            <v>Hà Nội, ngày ………. tháng ………. năm ……….</v>
          </cell>
          <cell r="R49" t="str">
            <v>………. ngày ………. tháng ………. năm ……….</v>
          </cell>
          <cell r="S49" t="str">
            <v>………. ngày ………. tháng ………. năm ……….</v>
          </cell>
          <cell r="T49" t="str">
            <v>……….</v>
          </cell>
          <cell r="U49" t="str">
            <v>………. Ngày ………./………./……….</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Cán bộ TVGS</v>
          </cell>
          <cell r="AH49" t="str">
            <v>Nguyễn Ái Việt</v>
          </cell>
          <cell r="AI49" t="str">
            <v>Chỉ huy trưởng</v>
          </cell>
          <cell r="AJ49" t="str">
            <v>Hoàng Chiến Thắng</v>
          </cell>
          <cell r="AK49" t="str">
            <v>P. Chỉ huy trưởng</v>
          </cell>
          <cell r="AL49" t="str">
            <v>Trịnh Quang Đức</v>
          </cell>
          <cell r="AM49" t="str">
            <v>Cán bộ kỹ thuật</v>
          </cell>
        </row>
        <row r="50">
          <cell r="D50" t="str">
            <v>……….</v>
          </cell>
          <cell r="E50" t="str">
            <v>……….</v>
          </cell>
          <cell r="F50" t="str">
            <v>……….</v>
          </cell>
          <cell r="G50" t="str">
            <v>……….</v>
          </cell>
          <cell r="H50" t="str">
            <v>……….</v>
          </cell>
          <cell r="I50" t="str">
            <v>Hà Nội, ngày ………. tháng ………. năm ……….</v>
          </cell>
          <cell r="J50" t="str">
            <v>………. ngày ………. tháng ………. năm ……….</v>
          </cell>
          <cell r="K50" t="str">
            <v>………. ngày ………. tháng ………. năm ……….</v>
          </cell>
          <cell r="L50" t="str">
            <v>……….</v>
          </cell>
          <cell r="M50" t="str">
            <v>……….</v>
          </cell>
          <cell r="N50" t="str">
            <v>……….</v>
          </cell>
          <cell r="O50" t="str">
            <v>……….</v>
          </cell>
          <cell r="P50" t="str">
            <v>……….</v>
          </cell>
          <cell r="Q50" t="str">
            <v>Hà Nội, ngày ………. tháng ………. năm ……….</v>
          </cell>
          <cell r="R50" t="str">
            <v>………. ngày ………. tháng ………. năm ……….</v>
          </cell>
          <cell r="S50" t="str">
            <v>………. ngày ………. tháng ………. năm ……….</v>
          </cell>
          <cell r="T50" t="str">
            <v>……….</v>
          </cell>
          <cell r="U50" t="str">
            <v>………. Ngày ………./………./……….</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Cán bộ TVGS</v>
          </cell>
          <cell r="AH50" t="str">
            <v>Nguyễn Ái Việt</v>
          </cell>
          <cell r="AI50" t="str">
            <v>Chỉ huy trưởng</v>
          </cell>
          <cell r="AJ50" t="str">
            <v>Hoàng Chiến Thắng</v>
          </cell>
          <cell r="AK50" t="str">
            <v>P. Chỉ huy trưởng</v>
          </cell>
          <cell r="AL50" t="str">
            <v>Trịnh Quang Đức</v>
          </cell>
          <cell r="AM50" t="str">
            <v>Cán bộ kỹ thuật</v>
          </cell>
        </row>
        <row r="58">
          <cell r="A58">
            <v>1</v>
          </cell>
          <cell r="B58">
            <v>2</v>
          </cell>
          <cell r="C58">
            <v>3</v>
          </cell>
          <cell r="D58">
            <v>4</v>
          </cell>
          <cell r="E58">
            <v>5</v>
          </cell>
          <cell r="F58">
            <v>6</v>
          </cell>
          <cell r="G58">
            <v>7</v>
          </cell>
          <cell r="H58">
            <v>8</v>
          </cell>
          <cell r="I58">
            <v>9</v>
          </cell>
          <cell r="J58">
            <v>10</v>
          </cell>
          <cell r="K58">
            <v>11</v>
          </cell>
          <cell r="L58">
            <v>12</v>
          </cell>
          <cell r="M58">
            <v>13</v>
          </cell>
          <cell r="N58">
            <v>14</v>
          </cell>
          <cell r="O58">
            <v>15</v>
          </cell>
          <cell r="P58">
            <v>16</v>
          </cell>
          <cell r="Q58">
            <v>17</v>
          </cell>
          <cell r="R58">
            <v>18</v>
          </cell>
          <cell r="S58">
            <v>19</v>
          </cell>
          <cell r="T58">
            <v>20</v>
          </cell>
          <cell r="U58">
            <v>21</v>
          </cell>
          <cell r="V58">
            <v>22</v>
          </cell>
          <cell r="W58">
            <v>23</v>
          </cell>
          <cell r="X58">
            <v>24</v>
          </cell>
          <cell r="Y58">
            <v>25</v>
          </cell>
          <cell r="Z58">
            <v>26</v>
          </cell>
          <cell r="AA58">
            <v>27</v>
          </cell>
          <cell r="AB58">
            <v>28</v>
          </cell>
          <cell r="AC58">
            <v>29</v>
          </cell>
          <cell r="AD58">
            <v>30</v>
          </cell>
          <cell r="AE58">
            <v>31</v>
          </cell>
          <cell r="AF58">
            <v>32</v>
          </cell>
          <cell r="AG58">
            <v>33</v>
          </cell>
          <cell r="AH58">
            <v>34</v>
          </cell>
          <cell r="AI58">
            <v>35</v>
          </cell>
          <cell r="AJ58">
            <v>36</v>
          </cell>
          <cell r="AK58">
            <v>37</v>
          </cell>
          <cell r="AL58">
            <v>38</v>
          </cell>
          <cell r="AM58">
            <v>39</v>
          </cell>
          <cell r="AN58">
            <v>40</v>
          </cell>
          <cell r="AO58">
            <v>41</v>
          </cell>
          <cell r="AP58">
            <v>42</v>
          </cell>
          <cell r="AQ58">
            <v>43</v>
          </cell>
        </row>
      </sheetData>
      <sheetData sheetId="36">
        <row r="11">
          <cell r="A11" t="str">
            <v>BT-01</v>
          </cell>
          <cell r="B11" t="str">
            <v>- Công tác đổ bê tông lót bể nước sạch</v>
          </cell>
          <cell r="C11" t="str">
            <v>BT-01</v>
          </cell>
          <cell r="D11" t="str">
            <v>8h00</v>
          </cell>
          <cell r="E11" t="str">
            <v>8h30</v>
          </cell>
          <cell r="F11">
            <v>21</v>
          </cell>
          <cell r="G11">
            <v>11</v>
          </cell>
          <cell r="H11">
            <v>2014</v>
          </cell>
          <cell r="I11" t="str">
            <v>Hà Nội, ngày 21 tháng 11 năm 2014</v>
          </cell>
          <cell r="J11" t="str">
            <v>8h00 ngày 21 tháng 11 năm 2014</v>
          </cell>
          <cell r="K11" t="str">
            <v>8h30 ngày 21 tháng 11 năm 2014</v>
          </cell>
          <cell r="L11" t="str">
            <v>8h30</v>
          </cell>
          <cell r="M11" t="str">
            <v>9h00</v>
          </cell>
          <cell r="N11">
            <v>21</v>
          </cell>
          <cell r="O11">
            <v>11</v>
          </cell>
          <cell r="P11">
            <v>2014</v>
          </cell>
          <cell r="Q11" t="str">
            <v>Hà Nội, ngày 21 tháng 11 năm 2014</v>
          </cell>
          <cell r="R11" t="str">
            <v>8h30 ngày 21 tháng 11 năm 2014</v>
          </cell>
          <cell r="S11" t="str">
            <v>9h00 ngày 21 tháng 11 năm 2014</v>
          </cell>
          <cell r="T11" t="str">
            <v>8h30</v>
          </cell>
          <cell r="U11" t="str">
            <v>8h30 Ngày 21/11/2014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KC-69 ; KC-70</v>
          </cell>
          <cell r="AS11" t="str">
            <v>Ngày 21 Tháng 11 Năm 2014</v>
          </cell>
        </row>
        <row r="12">
          <cell r="A12" t="str">
            <v>BT-02</v>
          </cell>
          <cell r="B12" t="str">
            <v>- Công tác đổ bê tông đáy bể nước sạch</v>
          </cell>
          <cell r="C12" t="str">
            <v>BT-02</v>
          </cell>
          <cell r="D12" t="str">
            <v>8h00</v>
          </cell>
          <cell r="E12" t="str">
            <v>8h30</v>
          </cell>
          <cell r="F12">
            <v>23</v>
          </cell>
          <cell r="G12">
            <v>11</v>
          </cell>
          <cell r="H12">
            <v>2014</v>
          </cell>
          <cell r="I12" t="str">
            <v>Hà Nội, ngày 23 tháng 11 năm 2014</v>
          </cell>
          <cell r="J12" t="str">
            <v>8h00 ngày 23 tháng 11 năm 2014</v>
          </cell>
          <cell r="K12" t="str">
            <v>8h30 ngày 23 tháng 11 năm 2014</v>
          </cell>
          <cell r="L12" t="str">
            <v>8h30</v>
          </cell>
          <cell r="M12" t="str">
            <v>9h00</v>
          </cell>
          <cell r="N12">
            <v>23</v>
          </cell>
          <cell r="O12">
            <v>11</v>
          </cell>
          <cell r="P12">
            <v>2014</v>
          </cell>
          <cell r="Q12" t="str">
            <v>Hà Nội, ngày 23 tháng 11 năm 2014</v>
          </cell>
          <cell r="R12" t="str">
            <v>8h30 ngày 23 tháng 11 năm 2014</v>
          </cell>
          <cell r="S12" t="str">
            <v>9h00 ngày 23 tháng 11 năm 2014</v>
          </cell>
          <cell r="T12" t="str">
            <v>8h30</v>
          </cell>
          <cell r="U12" t="str">
            <v>8h30 Ngày 23/11/2014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KC-69 ; KC-70</v>
          </cell>
          <cell r="AS12" t="str">
            <v>Ngày 23 Tháng 11 Năm 2014</v>
          </cell>
        </row>
        <row r="13">
          <cell r="A13" t="str">
            <v>BT-03</v>
          </cell>
          <cell r="B13" t="str">
            <v>- Công tác đổ bê tông lót móng M100 đài và giằng PĐ1 trục X4'-X8/Y5'-Y8</v>
          </cell>
          <cell r="C13" t="str">
            <v>BT-03</v>
          </cell>
          <cell r="D13" t="str">
            <v>8h30</v>
          </cell>
          <cell r="E13" t="str">
            <v>9h00</v>
          </cell>
          <cell r="F13">
            <v>27</v>
          </cell>
          <cell r="G13">
            <v>11</v>
          </cell>
          <cell r="H13">
            <v>2014</v>
          </cell>
          <cell r="I13" t="str">
            <v>Hà Nội, ngày 27 tháng 11 năm 2014</v>
          </cell>
          <cell r="J13" t="str">
            <v>8h30 ngày 27 tháng 11 năm 2014</v>
          </cell>
          <cell r="K13" t="str">
            <v>9h00 ngày 27 tháng 11 năm 2014</v>
          </cell>
          <cell r="L13" t="str">
            <v>9h00</v>
          </cell>
          <cell r="M13" t="str">
            <v>9h30</v>
          </cell>
          <cell r="N13">
            <v>27</v>
          </cell>
          <cell r="O13">
            <v>11</v>
          </cell>
          <cell r="P13">
            <v>2014</v>
          </cell>
          <cell r="Q13" t="str">
            <v>Hà Nội, ngày 27 tháng 11 năm 2014</v>
          </cell>
          <cell r="R13" t="str">
            <v>9h00 ngày 27 tháng 11 năm 2014</v>
          </cell>
          <cell r="S13" t="str">
            <v>9h30 ngày 27 tháng 11 năm 2014</v>
          </cell>
          <cell r="T13" t="str">
            <v>9h00</v>
          </cell>
          <cell r="U13" t="str">
            <v>9h00 Ngày 27/11/2014</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KC-05</v>
          </cell>
          <cell r="AS13" t="str">
            <v>Ngày 27 Tháng 11 Năm 2014</v>
          </cell>
        </row>
        <row r="14">
          <cell r="A14" t="str">
            <v>BT-04</v>
          </cell>
          <cell r="B14" t="str">
            <v>- Công tác đổ bê tông đầu cọc PĐ1 trục X4'-X8/Y5'-Y8</v>
          </cell>
          <cell r="C14" t="str">
            <v>BT-04</v>
          </cell>
          <cell r="D14" t="str">
            <v>10h00</v>
          </cell>
          <cell r="E14" t="str">
            <v>10h30</v>
          </cell>
          <cell r="F14">
            <v>27</v>
          </cell>
          <cell r="G14">
            <v>11</v>
          </cell>
          <cell r="H14">
            <v>2014</v>
          </cell>
          <cell r="I14" t="str">
            <v>Hà Nội, ngày 27 tháng 11 năm 2014</v>
          </cell>
          <cell r="J14" t="str">
            <v>10h00 ngày 27 tháng 11 năm 2014</v>
          </cell>
          <cell r="K14" t="str">
            <v>10h30 ngày 27 tháng 11 năm 2014</v>
          </cell>
          <cell r="L14" t="str">
            <v>10h30</v>
          </cell>
          <cell r="M14" t="str">
            <v>11h00</v>
          </cell>
          <cell r="N14">
            <v>27</v>
          </cell>
          <cell r="O14">
            <v>11</v>
          </cell>
          <cell r="P14">
            <v>2014</v>
          </cell>
          <cell r="Q14" t="str">
            <v>Hà Nội, ngày 27 tháng 11 năm 2014</v>
          </cell>
          <cell r="R14" t="str">
            <v>10h30 ngày 27 tháng 11 năm 2014</v>
          </cell>
          <cell r="S14" t="str">
            <v>11h00 ngày 27 tháng 11 năm 2014</v>
          </cell>
          <cell r="T14" t="str">
            <v>10h30</v>
          </cell>
          <cell r="U14" t="str">
            <v>10h30 Ngày 27/11/2014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KC-03 ÷ KC-05</v>
          </cell>
          <cell r="AS14" t="str">
            <v>Ngày 27 Tháng 11 Năm 2014</v>
          </cell>
        </row>
        <row r="15">
          <cell r="A15" t="str">
            <v>BT-05</v>
          </cell>
          <cell r="B15" t="str">
            <v>- Công tác đổ bê tông tường bể nước sạch</v>
          </cell>
          <cell r="C15" t="str">
            <v>BT-05</v>
          </cell>
          <cell r="D15" t="str">
            <v>14h00</v>
          </cell>
          <cell r="E15" t="str">
            <v>14h30</v>
          </cell>
          <cell r="F15">
            <v>29</v>
          </cell>
          <cell r="G15">
            <v>11</v>
          </cell>
          <cell r="H15">
            <v>2014</v>
          </cell>
          <cell r="I15" t="str">
            <v>Hà Nội, ngày 29 tháng 11 năm 2014</v>
          </cell>
          <cell r="J15" t="str">
            <v>14h00 ngày 29 tháng 11 năm 2014</v>
          </cell>
          <cell r="K15" t="str">
            <v>14h30 ngày 29 tháng 11 năm 2014</v>
          </cell>
          <cell r="L15" t="str">
            <v>14h30</v>
          </cell>
          <cell r="M15" t="str">
            <v>15h00</v>
          </cell>
          <cell r="N15">
            <v>29</v>
          </cell>
          <cell r="O15">
            <v>11</v>
          </cell>
          <cell r="P15">
            <v>2014</v>
          </cell>
          <cell r="Q15" t="str">
            <v>Hà Nội, ngày 29 tháng 11 năm 2014</v>
          </cell>
          <cell r="R15" t="str">
            <v>14h30 ngày 29 tháng 11 năm 2014</v>
          </cell>
          <cell r="S15" t="str">
            <v>15h00 ngày 29 tháng 11 năm 2014</v>
          </cell>
          <cell r="T15" t="str">
            <v>14h30</v>
          </cell>
          <cell r="U15" t="str">
            <v>14h30 Ngày 29/11/2014</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KC-69 ; KC-70</v>
          </cell>
          <cell r="AS15" t="str">
            <v>Ngày 29 Tháng 11 Năm 2014</v>
          </cell>
        </row>
        <row r="16">
          <cell r="A16" t="str">
            <v>BT-06</v>
          </cell>
          <cell r="B16" t="str">
            <v>- Công tác đổ bê tông lót móng M100 đài và giằng PĐ2 trục X1-X4'/Y5-Y8</v>
          </cell>
          <cell r="C16" t="str">
            <v>BT-06</v>
          </cell>
          <cell r="D16" t="str">
            <v>9h00</v>
          </cell>
          <cell r="E16" t="str">
            <v>9h30</v>
          </cell>
          <cell r="F16">
            <v>1</v>
          </cell>
          <cell r="G16">
            <v>12</v>
          </cell>
          <cell r="H16">
            <v>2014</v>
          </cell>
          <cell r="I16" t="str">
            <v>Hà Nội, ngày 1 tháng 12 năm 2014</v>
          </cell>
          <cell r="J16" t="str">
            <v>9h00 ngày 1 tháng 12 năm 2014</v>
          </cell>
          <cell r="K16" t="str">
            <v>9h30 ngày 1 tháng 12 năm 2014</v>
          </cell>
          <cell r="L16" t="str">
            <v>9h30</v>
          </cell>
          <cell r="M16" t="str">
            <v>10h00</v>
          </cell>
          <cell r="N16">
            <v>1</v>
          </cell>
          <cell r="O16">
            <v>12</v>
          </cell>
          <cell r="P16">
            <v>2014</v>
          </cell>
          <cell r="Q16" t="str">
            <v>Hà Nội, ngày 1 tháng 12 năm 2014</v>
          </cell>
          <cell r="R16" t="str">
            <v>9h30 ngày 1 tháng 12 năm 2014</v>
          </cell>
          <cell r="S16" t="str">
            <v>10h00 ngày 1 tháng 12 năm 2014</v>
          </cell>
          <cell r="T16" t="str">
            <v>9h30</v>
          </cell>
          <cell r="U16" t="str">
            <v>9h30 Ngày 1/12/2014</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KC-05</v>
          </cell>
          <cell r="AS16" t="str">
            <v>Ngày 1 Tháng 12 Năm 2014</v>
          </cell>
        </row>
        <row r="17">
          <cell r="A17" t="str">
            <v>BT-07</v>
          </cell>
          <cell r="B17" t="str">
            <v>- Công tác đổ bê tông đầu cọc PĐ2 trục X1-X4'/Y5-Y8</v>
          </cell>
          <cell r="C17" t="str">
            <v>BT-07</v>
          </cell>
          <cell r="D17" t="str">
            <v>10h00</v>
          </cell>
          <cell r="E17" t="str">
            <v>10h30</v>
          </cell>
          <cell r="F17">
            <v>1</v>
          </cell>
          <cell r="G17">
            <v>12</v>
          </cell>
          <cell r="H17">
            <v>2014</v>
          </cell>
          <cell r="I17" t="str">
            <v>Hà Nội, ngày 1 tháng 12 năm 2014</v>
          </cell>
          <cell r="J17" t="str">
            <v>10h00 ngày 1 tháng 12 năm 2014</v>
          </cell>
          <cell r="K17" t="str">
            <v>10h30 ngày 1 tháng 12 năm 2014</v>
          </cell>
          <cell r="L17" t="str">
            <v>10h30</v>
          </cell>
          <cell r="M17" t="str">
            <v>11h00</v>
          </cell>
          <cell r="N17">
            <v>1</v>
          </cell>
          <cell r="O17">
            <v>12</v>
          </cell>
          <cell r="P17">
            <v>2014</v>
          </cell>
          <cell r="Q17" t="str">
            <v>Hà Nội, ngày 1 tháng 12 năm 2014</v>
          </cell>
          <cell r="R17" t="str">
            <v>10h30 ngày 1 tháng 12 năm 2014</v>
          </cell>
          <cell r="S17" t="str">
            <v>11h00 ngày 1 tháng 12 năm 2014</v>
          </cell>
          <cell r="T17" t="str">
            <v>10h30</v>
          </cell>
          <cell r="U17" t="str">
            <v>10h30 Ngày 1/12/2014</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KC-03 ÷ KC-05</v>
          </cell>
          <cell r="AS17" t="str">
            <v>Ngày 1 Tháng 12 Năm 2014</v>
          </cell>
        </row>
        <row r="18">
          <cell r="A18" t="str">
            <v>BT-08</v>
          </cell>
          <cell r="B18" t="str">
            <v>- Công tác đổ bê tông lót móng M100 đài và giằng trục PĐ3 X1-X4/Y1-Y5</v>
          </cell>
          <cell r="C18" t="str">
            <v>BT-08</v>
          </cell>
          <cell r="D18" t="str">
            <v>9h00</v>
          </cell>
          <cell r="E18" t="str">
            <v>9h30</v>
          </cell>
          <cell r="F18">
            <v>5</v>
          </cell>
          <cell r="G18">
            <v>12</v>
          </cell>
          <cell r="H18">
            <v>2014</v>
          </cell>
          <cell r="I18" t="str">
            <v>Hà Nội, ngày 5 tháng 12 năm 2014</v>
          </cell>
          <cell r="J18" t="str">
            <v>9h00 ngày 5 tháng 12 năm 2014</v>
          </cell>
          <cell r="K18" t="str">
            <v>9h30 ngày 5 tháng 12 năm 2014</v>
          </cell>
          <cell r="L18" t="str">
            <v>9h30</v>
          </cell>
          <cell r="M18" t="str">
            <v>10h00</v>
          </cell>
          <cell r="N18">
            <v>5</v>
          </cell>
          <cell r="O18">
            <v>12</v>
          </cell>
          <cell r="P18">
            <v>2014</v>
          </cell>
          <cell r="Q18" t="str">
            <v>Hà Nội, ngày 5 tháng 12 năm 2014</v>
          </cell>
          <cell r="R18" t="str">
            <v>9h30 ngày 5 tháng 12 năm 2014</v>
          </cell>
          <cell r="S18" t="str">
            <v>10h00 ngày 5 tháng 12 năm 2014</v>
          </cell>
          <cell r="T18" t="str">
            <v>9h30</v>
          </cell>
          <cell r="U18" t="str">
            <v>9h30 Ngày 5/12/2014</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KC-05</v>
          </cell>
          <cell r="AS18" t="str">
            <v>Ngày 5 Tháng 12 Năm 2014</v>
          </cell>
        </row>
        <row r="19">
          <cell r="A19" t="str">
            <v>BT-09</v>
          </cell>
          <cell r="B19" t="str">
            <v>- Công tác đổ bê tông đầu cọc PĐ3 trục X1-X4/Y1-Y5</v>
          </cell>
          <cell r="C19" t="str">
            <v>BT-09</v>
          </cell>
          <cell r="D19" t="str">
            <v>10h30</v>
          </cell>
          <cell r="E19" t="str">
            <v>11h00</v>
          </cell>
          <cell r="F19">
            <v>5</v>
          </cell>
          <cell r="G19">
            <v>12</v>
          </cell>
          <cell r="H19">
            <v>2014</v>
          </cell>
          <cell r="I19" t="str">
            <v>Hà Nội, ngày 5 tháng 12 năm 2014</v>
          </cell>
          <cell r="J19" t="str">
            <v>10h30 ngày 5 tháng 12 năm 2014</v>
          </cell>
          <cell r="K19" t="str">
            <v>11h00 ngày 5 tháng 12 năm 2014</v>
          </cell>
          <cell r="L19" t="str">
            <v>11h00</v>
          </cell>
          <cell r="M19" t="str">
            <v>11h30</v>
          </cell>
          <cell r="N19">
            <v>5</v>
          </cell>
          <cell r="O19">
            <v>12</v>
          </cell>
          <cell r="P19">
            <v>2014</v>
          </cell>
          <cell r="Q19" t="str">
            <v>Hà Nội, ngày 5 tháng 12 năm 2014</v>
          </cell>
          <cell r="R19" t="str">
            <v>11h00 ngày 5 tháng 12 năm 2014</v>
          </cell>
          <cell r="S19" t="str">
            <v>11h30 ngày 5 tháng 12 năm 2014</v>
          </cell>
          <cell r="T19" t="str">
            <v>11h00</v>
          </cell>
          <cell r="U19" t="str">
            <v>11h00 Ngày 5/12/2014</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KC-03 ÷ KC-05</v>
          </cell>
          <cell r="AS19" t="str">
            <v>Ngày 5 Tháng 12 Năm 2014</v>
          </cell>
        </row>
        <row r="20">
          <cell r="A20" t="str">
            <v>BT-10</v>
          </cell>
          <cell r="B20" t="str">
            <v>- Công tác đổ bê tông đài và giằng PĐ1 trục X4'-X8/Y5'-Y8</v>
          </cell>
          <cell r="C20" t="str">
            <v>BT-10</v>
          </cell>
          <cell r="D20" t="str">
            <v>14h00</v>
          </cell>
          <cell r="E20" t="str">
            <v>15h00</v>
          </cell>
          <cell r="F20">
            <v>5</v>
          </cell>
          <cell r="G20">
            <v>12</v>
          </cell>
          <cell r="H20">
            <v>2014</v>
          </cell>
          <cell r="I20" t="str">
            <v>Hà Nội, ngày 5 tháng 12 năm 2014</v>
          </cell>
          <cell r="J20" t="str">
            <v>14h00 ngày 5 tháng 12 năm 2014</v>
          </cell>
          <cell r="K20" t="str">
            <v>15h00 ngày 5 tháng 12 năm 2014</v>
          </cell>
          <cell r="L20" t="str">
            <v>15h00</v>
          </cell>
          <cell r="M20" t="str">
            <v>16h00</v>
          </cell>
          <cell r="N20">
            <v>5</v>
          </cell>
          <cell r="O20">
            <v>12</v>
          </cell>
          <cell r="P20">
            <v>2014</v>
          </cell>
          <cell r="Q20" t="str">
            <v>Hà Nội, ngày 5 tháng 12 năm 2014</v>
          </cell>
          <cell r="R20" t="str">
            <v>15h00 ngày 5 tháng 12 năm 2014</v>
          </cell>
          <cell r="S20" t="str">
            <v>16h00 ngày 5 tháng 12 năm 2014</v>
          </cell>
          <cell r="T20" t="str">
            <v>15h00</v>
          </cell>
          <cell r="U20" t="str">
            <v>15h00 Ngày 5/12/2014</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KC-05;KC-07÷ KC-10</v>
          </cell>
          <cell r="AS20" t="str">
            <v>Ngày 5 Tháng 12 Năm 2014</v>
          </cell>
        </row>
        <row r="21">
          <cell r="A21" t="str">
            <v>BT-11</v>
          </cell>
          <cell r="B21" t="str">
            <v>- Công tác đổ bê tông đài và giằng PĐ2 trục X1-X4'/Y5-Y8</v>
          </cell>
          <cell r="C21" t="str">
            <v>BT-11</v>
          </cell>
          <cell r="D21" t="str">
            <v>8h00</v>
          </cell>
          <cell r="E21" t="str">
            <v>9h00</v>
          </cell>
          <cell r="F21">
            <v>12</v>
          </cell>
          <cell r="G21">
            <v>12</v>
          </cell>
          <cell r="H21">
            <v>2014</v>
          </cell>
          <cell r="I21" t="str">
            <v>Hà Nội, ngày 12 tháng 12 năm 2014</v>
          </cell>
          <cell r="J21" t="str">
            <v>8h00 ngày 12 tháng 12 năm 2014</v>
          </cell>
          <cell r="K21" t="str">
            <v>9h00 ngày 12 tháng 12 năm 2014</v>
          </cell>
          <cell r="L21" t="str">
            <v>9h00</v>
          </cell>
          <cell r="M21" t="str">
            <v>10h00</v>
          </cell>
          <cell r="N21">
            <v>12</v>
          </cell>
          <cell r="O21">
            <v>12</v>
          </cell>
          <cell r="P21">
            <v>2014</v>
          </cell>
          <cell r="Q21" t="str">
            <v>Hà Nội, ngày 12 tháng 12 năm 2014</v>
          </cell>
          <cell r="R21" t="str">
            <v>9h00 ngày 12 tháng 12 năm 2014</v>
          </cell>
          <cell r="S21" t="str">
            <v>10h00 ngày 12 tháng 12 năm 2014</v>
          </cell>
          <cell r="T21" t="str">
            <v>9h00</v>
          </cell>
          <cell r="U21" t="str">
            <v>9h00 Ngày 12/12/2014</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KC-05;KC-07÷ KC-10</v>
          </cell>
          <cell r="AS21" t="str">
            <v>Ngày 12 Tháng 12 Năm 2014</v>
          </cell>
        </row>
        <row r="22">
          <cell r="A22" t="str">
            <v>BT-12</v>
          </cell>
          <cell r="B22" t="str">
            <v>- Công tác đổ bê tông đài và giằng PĐ3 trục X1-X4/Y1-Y5</v>
          </cell>
          <cell r="C22" t="str">
            <v>BT-12</v>
          </cell>
          <cell r="D22" t="str">
            <v>8h30</v>
          </cell>
          <cell r="E22" t="str">
            <v>9h30</v>
          </cell>
          <cell r="F22">
            <v>16</v>
          </cell>
          <cell r="G22">
            <v>12</v>
          </cell>
          <cell r="H22">
            <v>2014</v>
          </cell>
          <cell r="I22" t="str">
            <v>Hà Nội, ngày 16 tháng 12 năm 2014</v>
          </cell>
          <cell r="J22" t="str">
            <v>8h30 ngày 16 tháng 12 năm 2014</v>
          </cell>
          <cell r="K22" t="str">
            <v>9h30 ngày 16 tháng 12 năm 2014</v>
          </cell>
          <cell r="L22" t="str">
            <v>9h30</v>
          </cell>
          <cell r="M22" t="str">
            <v>10h30</v>
          </cell>
          <cell r="N22">
            <v>16</v>
          </cell>
          <cell r="O22">
            <v>12</v>
          </cell>
          <cell r="P22">
            <v>2014</v>
          </cell>
          <cell r="Q22" t="str">
            <v>Hà Nội, ngày 16 tháng 12 năm 2014</v>
          </cell>
          <cell r="R22" t="str">
            <v>9h30 ngày 16 tháng 12 năm 2014</v>
          </cell>
          <cell r="S22" t="str">
            <v>10h30 ngày 16 tháng 12 năm 2014</v>
          </cell>
          <cell r="T22" t="str">
            <v>9h30</v>
          </cell>
          <cell r="U22" t="str">
            <v>9h30 Ngày 16/12/2014</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Cán bộ TVGS</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KC-05;KC-07÷ KC-10</v>
          </cell>
          <cell r="AS22" t="str">
            <v>Ngày 16 Tháng 12 Năm 2014</v>
          </cell>
        </row>
        <row r="23">
          <cell r="A23" t="str">
            <v>BT-13</v>
          </cell>
          <cell r="B23" t="str">
            <v>- Công tác đổ bê tông nắp bể nước sạch</v>
          </cell>
          <cell r="C23" t="str">
            <v>BT-13</v>
          </cell>
          <cell r="D23" t="str">
            <v>9h00</v>
          </cell>
          <cell r="E23" t="str">
            <v>9h30</v>
          </cell>
          <cell r="F23">
            <v>20</v>
          </cell>
          <cell r="G23">
            <v>12</v>
          </cell>
          <cell r="H23">
            <v>2014</v>
          </cell>
          <cell r="I23" t="str">
            <v>Hà Nội, ngày 20 tháng 12 năm 2014</v>
          </cell>
          <cell r="J23" t="str">
            <v>9h00 ngày 20 tháng 12 năm 2014</v>
          </cell>
          <cell r="K23" t="str">
            <v>9h30 ngày 20 tháng 12 năm 2014</v>
          </cell>
          <cell r="L23" t="str">
            <v>9h30</v>
          </cell>
          <cell r="M23" t="str">
            <v>10h00</v>
          </cell>
          <cell r="N23">
            <v>20</v>
          </cell>
          <cell r="O23">
            <v>12</v>
          </cell>
          <cell r="P23">
            <v>2014</v>
          </cell>
          <cell r="Q23" t="str">
            <v>Hà Nội, ngày 20 tháng 12 năm 2014</v>
          </cell>
          <cell r="R23" t="str">
            <v>9h30 ngày 20 tháng 12 năm 2014</v>
          </cell>
          <cell r="S23" t="str">
            <v>10h00 ngày 20 tháng 12 năm 2014</v>
          </cell>
          <cell r="T23" t="str">
            <v>9h30</v>
          </cell>
          <cell r="U23" t="str">
            <v>9h30 Ngày 20/12/2014</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Cán bộ TVGS</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KC-69 ; KC-70</v>
          </cell>
          <cell r="AS23" t="str">
            <v>Ngày 20 Tháng 12 Năm 2014</v>
          </cell>
        </row>
        <row r="24">
          <cell r="A24" t="str">
            <v>BT-14</v>
          </cell>
          <cell r="B24" t="str">
            <v>- Công tác đổ bê tông cổ cột, vách và dầm, giằng tường PĐ1 trục X4'-X8/Y5'Y8</v>
          </cell>
          <cell r="C24" t="str">
            <v>BT-14</v>
          </cell>
          <cell r="D24" t="str">
            <v>8h00</v>
          </cell>
          <cell r="E24" t="str">
            <v>9h00</v>
          </cell>
          <cell r="F24">
            <v>23</v>
          </cell>
          <cell r="G24">
            <v>12</v>
          </cell>
          <cell r="H24">
            <v>2014</v>
          </cell>
          <cell r="I24" t="str">
            <v>Hà Nội, ngày 23 tháng 12 năm 2014</v>
          </cell>
          <cell r="J24" t="str">
            <v>8h00 ngày 23 tháng 12 năm 2014</v>
          </cell>
          <cell r="K24" t="str">
            <v>9h00 ngày 23 tháng 12 năm 2014</v>
          </cell>
          <cell r="L24" t="str">
            <v>9h00</v>
          </cell>
          <cell r="M24" t="str">
            <v>10h00</v>
          </cell>
          <cell r="N24">
            <v>23</v>
          </cell>
          <cell r="O24">
            <v>12</v>
          </cell>
          <cell r="P24">
            <v>2014</v>
          </cell>
          <cell r="Q24" t="str">
            <v>Hà Nội, ngày 23 tháng 12 năm 2014</v>
          </cell>
          <cell r="R24" t="str">
            <v>9h00 ngày 23 tháng 12 năm 2014</v>
          </cell>
          <cell r="S24" t="str">
            <v>10h00 ngày 23 tháng 12 năm 2014</v>
          </cell>
          <cell r="T24" t="str">
            <v>9h00</v>
          </cell>
          <cell r="U24" t="str">
            <v>9h00 Ngày 23/12/2014</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Cán bộ TVGS</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KC-18;KC-21÷KC-26</v>
          </cell>
          <cell r="AS24" t="str">
            <v>Ngày 23 Tháng 12 Năm 2014</v>
          </cell>
        </row>
        <row r="25">
          <cell r="A25" t="str">
            <v>BT-15</v>
          </cell>
          <cell r="B25" t="str">
            <v>- Công tác đổ bê tông cổ cột, vách và dầm, giằng tường PĐ2 trục X1-X4'/Y5-Y8</v>
          </cell>
          <cell r="C25" t="str">
            <v>BT-15</v>
          </cell>
          <cell r="D25" t="str">
            <v>8h15</v>
          </cell>
          <cell r="E25" t="str">
            <v>9h15</v>
          </cell>
          <cell r="F25">
            <v>25</v>
          </cell>
          <cell r="G25">
            <v>12</v>
          </cell>
          <cell r="H25">
            <v>2014</v>
          </cell>
          <cell r="I25" t="str">
            <v>Hà Nội, ngày 25 tháng 12 năm 2014</v>
          </cell>
          <cell r="J25" t="str">
            <v>8h15 ngày 25 tháng 12 năm 2014</v>
          </cell>
          <cell r="K25" t="str">
            <v>9h15 ngày 25 tháng 12 năm 2014</v>
          </cell>
          <cell r="L25" t="str">
            <v>9h15</v>
          </cell>
          <cell r="M25" t="str">
            <v>10h15</v>
          </cell>
          <cell r="N25">
            <v>25</v>
          </cell>
          <cell r="O25">
            <v>12</v>
          </cell>
          <cell r="P25">
            <v>2014</v>
          </cell>
          <cell r="Q25" t="str">
            <v>Hà Nội, ngày 25 tháng 12 năm 2014</v>
          </cell>
          <cell r="R25" t="str">
            <v>9h15 ngày 25 tháng 12 năm 2014</v>
          </cell>
          <cell r="S25" t="str">
            <v>10h15 ngày 25 tháng 12 năm 2014</v>
          </cell>
          <cell r="T25" t="str">
            <v>9h15</v>
          </cell>
          <cell r="U25" t="str">
            <v>9h15 Ngày 25/12/2014</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Cán bộ TVGS</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KC-18;KC-21÷KC26</v>
          </cell>
          <cell r="AS25" t="str">
            <v>Ngày 25 Tháng 12 Năm 2014</v>
          </cell>
        </row>
        <row r="26">
          <cell r="A26" t="str">
            <v>BT-16</v>
          </cell>
          <cell r="B26" t="str">
            <v>- Công tác đổ bê tông lót bể tự hoại 04, bể tách dầu mỡ 04</v>
          </cell>
          <cell r="C26" t="str">
            <v>BT-16</v>
          </cell>
          <cell r="D26" t="str">
            <v>13h30</v>
          </cell>
          <cell r="E26" t="str">
            <v>13h45</v>
          </cell>
          <cell r="F26">
            <v>30</v>
          </cell>
          <cell r="G26">
            <v>12</v>
          </cell>
          <cell r="H26">
            <v>2014</v>
          </cell>
          <cell r="I26" t="str">
            <v>Hà Nội, ngày 30 tháng 12 năm 2014</v>
          </cell>
          <cell r="J26" t="str">
            <v>13h30 ngày 30 tháng 12 năm 2014</v>
          </cell>
          <cell r="K26" t="str">
            <v>13h45 ngày 30 tháng 12 năm 2014</v>
          </cell>
          <cell r="L26" t="str">
            <v>13h45</v>
          </cell>
          <cell r="M26" t="str">
            <v>14h00</v>
          </cell>
          <cell r="N26">
            <v>30</v>
          </cell>
          <cell r="O26">
            <v>12</v>
          </cell>
          <cell r="P26">
            <v>2014</v>
          </cell>
          <cell r="Q26" t="str">
            <v>Hà Nội, ngày 30 tháng 12 năm 2014</v>
          </cell>
          <cell r="R26" t="str">
            <v>13h45 ngày 30 tháng 12 năm 2014</v>
          </cell>
          <cell r="S26" t="str">
            <v>14h00 ngày 30 tháng 12 năm 2014</v>
          </cell>
          <cell r="T26" t="str">
            <v>13h45</v>
          </cell>
          <cell r="U26" t="str">
            <v>13h45 Ngày 30/12/2014</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Cán bộ TVGS</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KC-18;KC-21÷KC26</v>
          </cell>
          <cell r="AS26" t="str">
            <v>Ngày 30 Tháng 12 Năm 2014</v>
          </cell>
        </row>
        <row r="27">
          <cell r="A27" t="str">
            <v>BT-17</v>
          </cell>
          <cell r="B27" t="str">
            <v>Công tác đổ bê tông đáy bể tự hoại 04 và bể tách dầu mỡ 04 (đáy+tường)</v>
          </cell>
          <cell r="C27" t="str">
            <v>BT-17</v>
          </cell>
          <cell r="D27" t="str">
            <v>8h00</v>
          </cell>
          <cell r="E27" t="str">
            <v>8h45</v>
          </cell>
          <cell r="F27">
            <v>1</v>
          </cell>
          <cell r="G27">
            <v>1</v>
          </cell>
          <cell r="H27">
            <v>2015</v>
          </cell>
          <cell r="I27" t="str">
            <v>Hà Nội, ngày 1 tháng 1 năm 2015</v>
          </cell>
          <cell r="J27" t="str">
            <v>8h00 ngày 1 tháng 1 năm 2015</v>
          </cell>
          <cell r="K27" t="str">
            <v>8h45 ngày 1 tháng 1 năm 2015</v>
          </cell>
          <cell r="L27" t="str">
            <v>8h45</v>
          </cell>
          <cell r="M27" t="str">
            <v>9h30</v>
          </cell>
          <cell r="N27">
            <v>1</v>
          </cell>
          <cell r="O27">
            <v>1</v>
          </cell>
          <cell r="P27">
            <v>2015</v>
          </cell>
          <cell r="Q27" t="str">
            <v>Hà Nội, ngày 1 tháng 1 năm 2015</v>
          </cell>
          <cell r="R27" t="str">
            <v>8h45 ngày 1 tháng 1 năm 2015</v>
          </cell>
          <cell r="S27" t="str">
            <v>9h30 ngày 1 tháng 1 năm 2015</v>
          </cell>
          <cell r="T27" t="str">
            <v>8h45</v>
          </cell>
          <cell r="U27" t="str">
            <v>8h45 Ngày 1/1/2015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Cán bộ TVGS</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KC-18;KC-21÷KC26</v>
          </cell>
          <cell r="AS27" t="str">
            <v>Ngày 1 Tháng 1 Năm 2015</v>
          </cell>
        </row>
        <row r="28">
          <cell r="A28" t="str">
            <v>BT-18</v>
          </cell>
          <cell r="B28" t="str">
            <v>Công tác đổ bê tông lót bể tự hoại 03, bể tách dầu mỡ 03</v>
          </cell>
          <cell r="C28" t="str">
            <v>BT-18</v>
          </cell>
          <cell r="D28" t="str">
            <v>13h30</v>
          </cell>
          <cell r="E28" t="str">
            <v>14h00</v>
          </cell>
          <cell r="F28">
            <v>3</v>
          </cell>
          <cell r="G28">
            <v>1</v>
          </cell>
          <cell r="H28">
            <v>2015</v>
          </cell>
          <cell r="I28" t="str">
            <v>Hà Nội, ngày 3 tháng 1 năm 2015</v>
          </cell>
          <cell r="J28" t="str">
            <v>13h30 ngày 3 tháng 1 năm 2015</v>
          </cell>
          <cell r="K28" t="str">
            <v>14h00 ngày 3 tháng 1 năm 2015</v>
          </cell>
          <cell r="L28" t="str">
            <v>14h00</v>
          </cell>
          <cell r="M28" t="str">
            <v>14h30</v>
          </cell>
          <cell r="N28">
            <v>3</v>
          </cell>
          <cell r="O28">
            <v>1</v>
          </cell>
          <cell r="P28">
            <v>2015</v>
          </cell>
          <cell r="Q28" t="str">
            <v>Hà Nội, ngày 3 tháng 1 năm 2015</v>
          </cell>
          <cell r="R28" t="str">
            <v>14h00 ngày 3 tháng 1 năm 2015</v>
          </cell>
          <cell r="S28" t="str">
            <v>14h30 ngày 3 tháng 1 năm 2015</v>
          </cell>
          <cell r="T28" t="str">
            <v>14h00</v>
          </cell>
          <cell r="U28" t="str">
            <v>14h00 Ngày 3/1/2015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Cán bộ TVGS</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KC-18;KC-21÷KC26</v>
          </cell>
          <cell r="AS28" t="str">
            <v>Ngày 3 Tháng 1 Năm 2015</v>
          </cell>
        </row>
        <row r="29">
          <cell r="A29" t="str">
            <v>BT-19</v>
          </cell>
          <cell r="B29" t="str">
            <v>Công tác đổ bê tông tấm đan nắp bể tách dầu mỡ 03 và 04</v>
          </cell>
          <cell r="C29" t="str">
            <v>BT-19</v>
          </cell>
          <cell r="D29" t="str">
            <v>7h30</v>
          </cell>
          <cell r="E29" t="str">
            <v>7h45</v>
          </cell>
          <cell r="F29">
            <v>6</v>
          </cell>
          <cell r="G29">
            <v>1</v>
          </cell>
          <cell r="H29">
            <v>2015</v>
          </cell>
          <cell r="I29" t="str">
            <v>Hà Nội, ngày 6 tháng 1 năm 2015</v>
          </cell>
          <cell r="J29" t="str">
            <v>7h30 ngày 6 tháng 1 năm 2015</v>
          </cell>
          <cell r="K29" t="str">
            <v>7h45 ngày 6 tháng 1 năm 2015</v>
          </cell>
          <cell r="L29" t="str">
            <v>7h45</v>
          </cell>
          <cell r="M29" t="str">
            <v>8h00</v>
          </cell>
          <cell r="N29">
            <v>6</v>
          </cell>
          <cell r="O29">
            <v>1</v>
          </cell>
          <cell r="P29">
            <v>2015</v>
          </cell>
          <cell r="Q29" t="str">
            <v>Hà Nội, ngày 6 tháng 1 năm 2015</v>
          </cell>
          <cell r="R29" t="str">
            <v>7h45 ngày 6 tháng 1 năm 2015</v>
          </cell>
          <cell r="S29" t="str">
            <v>8h00 ngày 6 tháng 1 năm 2015</v>
          </cell>
          <cell r="T29" t="str">
            <v>7h45</v>
          </cell>
          <cell r="U29" t="str">
            <v>7h45 Ngày 6/1/2015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Cán bộ TVGS</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KC-18;KC-21÷KC26</v>
          </cell>
          <cell r="AS29" t="str">
            <v>Ngày 6 Tháng 1 Năm 2015</v>
          </cell>
        </row>
        <row r="30">
          <cell r="A30" t="str">
            <v>BT-20</v>
          </cell>
          <cell r="B30" t="str">
            <v>Công tác đổ bê tông tường bể tự hoại 04, bê tông đáy bể tự hoại 03, 
bê tông bể tách dầu mỡ 03 (đáy +tường)</v>
          </cell>
          <cell r="C30" t="str">
            <v>BT-20</v>
          </cell>
          <cell r="D30" t="str">
            <v>8h15</v>
          </cell>
          <cell r="E30" t="str">
            <v>8h45</v>
          </cell>
          <cell r="F30">
            <v>6</v>
          </cell>
          <cell r="G30">
            <v>1</v>
          </cell>
          <cell r="H30">
            <v>2015</v>
          </cell>
          <cell r="I30" t="str">
            <v>Hà Nội, ngày 6 tháng 1 năm 2015</v>
          </cell>
          <cell r="J30" t="str">
            <v>8h15 ngày 6 tháng 1 năm 2015</v>
          </cell>
          <cell r="K30" t="str">
            <v>8h45 ngày 6 tháng 1 năm 2015</v>
          </cell>
          <cell r="L30" t="str">
            <v>8h45</v>
          </cell>
          <cell r="M30" t="str">
            <v>9h15</v>
          </cell>
          <cell r="N30">
            <v>6</v>
          </cell>
          <cell r="O30">
            <v>1</v>
          </cell>
          <cell r="P30">
            <v>2015</v>
          </cell>
          <cell r="Q30" t="str">
            <v>Hà Nội, ngày 6 tháng 1 năm 2015</v>
          </cell>
          <cell r="R30" t="str">
            <v>8h45 ngày 6 tháng 1 năm 2015</v>
          </cell>
          <cell r="S30" t="str">
            <v>9h15 ngày 6 tháng 1 năm 2015</v>
          </cell>
          <cell r="T30" t="str">
            <v>8h45</v>
          </cell>
          <cell r="U30" t="str">
            <v>8h45 Ngày 6/1/2015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Cán bộ TVGS</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KC-18;KC-21÷KC26</v>
          </cell>
          <cell r="AS30" t="str">
            <v>Ngày 6 Tháng 1 Năm 2015</v>
          </cell>
        </row>
        <row r="31">
          <cell r="A31" t="str">
            <v>BT-21</v>
          </cell>
          <cell r="B31" t="str">
            <v>Công tác đổ bê tông lót bể tự hoại 01 và bể tách dầu mỡ 01</v>
          </cell>
          <cell r="C31" t="str">
            <v>BT-21</v>
          </cell>
          <cell r="D31" t="str">
            <v>13h30</v>
          </cell>
          <cell r="E31" t="str">
            <v>13h45</v>
          </cell>
          <cell r="F31">
            <v>6</v>
          </cell>
          <cell r="G31">
            <v>1</v>
          </cell>
          <cell r="H31">
            <v>2015</v>
          </cell>
          <cell r="I31" t="str">
            <v>Hà Nội, ngày 6 tháng 1 năm 2015</v>
          </cell>
          <cell r="J31" t="str">
            <v>13h30 ngày 6 tháng 1 năm 2015</v>
          </cell>
          <cell r="K31" t="str">
            <v>13h45 ngày 6 tháng 1 năm 2015</v>
          </cell>
          <cell r="L31" t="str">
            <v>13h45</v>
          </cell>
          <cell r="M31" t="str">
            <v>14h00</v>
          </cell>
          <cell r="N31">
            <v>6</v>
          </cell>
          <cell r="O31">
            <v>1</v>
          </cell>
          <cell r="P31">
            <v>2015</v>
          </cell>
          <cell r="Q31" t="str">
            <v>Hà Nội, ngày 6 tháng 1 năm 2015</v>
          </cell>
          <cell r="R31" t="str">
            <v>13h45 ngày 6 tháng 1 năm 2015</v>
          </cell>
          <cell r="S31" t="str">
            <v>14h00 ngày 6 tháng 1 năm 2015</v>
          </cell>
          <cell r="T31" t="str">
            <v>13h45</v>
          </cell>
          <cell r="U31" t="str">
            <v>13h45 Ngày 6/1/2015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Cán bộ TVGS</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KC-18;KC-21÷KC26</v>
          </cell>
          <cell r="AS31" t="str">
            <v>Ngày 6 Tháng 1 Năm 2015</v>
          </cell>
        </row>
        <row r="32">
          <cell r="A32" t="str">
            <v>BT-22</v>
          </cell>
          <cell r="B32" t="str">
            <v>Công tác đổ bê tông nắp bể tự hoại 04, bê tông bể tự hoại 03 (tường+nắp), bê tông đáy bể tự hoại 01</v>
          </cell>
          <cell r="C32" t="str">
            <v>BT-22</v>
          </cell>
          <cell r="D32" t="str">
            <v>8h00</v>
          </cell>
          <cell r="E32" t="str">
            <v>8h45</v>
          </cell>
          <cell r="F32">
            <v>9</v>
          </cell>
          <cell r="G32">
            <v>1</v>
          </cell>
          <cell r="H32">
            <v>2015</v>
          </cell>
          <cell r="I32" t="str">
            <v>Hà Nội, ngày 9 tháng 1 năm 2015</v>
          </cell>
          <cell r="J32" t="str">
            <v>8h00 ngày 9 tháng 1 năm 2015</v>
          </cell>
          <cell r="K32" t="str">
            <v>8h45 ngày 9 tháng 1 năm 2015</v>
          </cell>
          <cell r="L32" t="str">
            <v>8h45</v>
          </cell>
          <cell r="M32" t="str">
            <v>9h30</v>
          </cell>
          <cell r="N32">
            <v>9</v>
          </cell>
          <cell r="O32">
            <v>1</v>
          </cell>
          <cell r="P32">
            <v>2015</v>
          </cell>
          <cell r="Q32" t="str">
            <v>Hà Nội, ngày 9 tháng 1 năm 2015</v>
          </cell>
          <cell r="R32" t="str">
            <v>8h45 ngày 9 tháng 1 năm 2015</v>
          </cell>
          <cell r="S32" t="str">
            <v>9h30 ngày 9 tháng 1 năm 2015</v>
          </cell>
          <cell r="T32" t="str">
            <v>8h45</v>
          </cell>
          <cell r="U32" t="str">
            <v>8h45 Ngày 9/1/2015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Cán bộ TVGS</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KC-18;KC-21÷KC26</v>
          </cell>
          <cell r="AS32" t="str">
            <v>Ngày 9 Tháng 1 Năm 2015</v>
          </cell>
        </row>
        <row r="33">
          <cell r="A33" t="str">
            <v>BT-23</v>
          </cell>
          <cell r="B33" t="str">
            <v>Công tác đổ bê tông lót bể tự hoại 02, bể tách dầu mỡ 02</v>
          </cell>
          <cell r="C33" t="str">
            <v>BT-23</v>
          </cell>
          <cell r="D33" t="str">
            <v>13h45</v>
          </cell>
          <cell r="E33" t="str">
            <v>14h00</v>
          </cell>
          <cell r="F33">
            <v>9</v>
          </cell>
          <cell r="G33">
            <v>1</v>
          </cell>
          <cell r="H33">
            <v>2015</v>
          </cell>
          <cell r="I33" t="str">
            <v>Hà Nội, ngày 9 tháng 1 năm 2015</v>
          </cell>
          <cell r="J33" t="str">
            <v>13h45 ngày 9 tháng 1 năm 2015</v>
          </cell>
          <cell r="K33" t="str">
            <v>14h00 ngày 9 tháng 1 năm 2015</v>
          </cell>
          <cell r="L33" t="str">
            <v>14h00</v>
          </cell>
          <cell r="M33" t="str">
            <v>14h15</v>
          </cell>
          <cell r="N33">
            <v>9</v>
          </cell>
          <cell r="O33">
            <v>1</v>
          </cell>
          <cell r="P33">
            <v>2015</v>
          </cell>
          <cell r="Q33" t="str">
            <v>Hà Nội, ngày 9 tháng 1 năm 2015</v>
          </cell>
          <cell r="R33" t="str">
            <v>14h00 ngày 9 tháng 1 năm 2015</v>
          </cell>
          <cell r="S33" t="str">
            <v>14h15 ngày 9 tháng 1 năm 2015</v>
          </cell>
          <cell r="T33" t="str">
            <v>14h00</v>
          </cell>
          <cell r="U33" t="str">
            <v>14h00 Ngày 9/1/2015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Cán bộ TVGS</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KC-18;KC-21÷KC26</v>
          </cell>
          <cell r="AS33" t="str">
            <v>Ngày 9 Tháng 1 Năm 2015</v>
          </cell>
        </row>
        <row r="34">
          <cell r="A34" t="str">
            <v>BT-24</v>
          </cell>
          <cell r="B34" t="str">
            <v>Công tác đổ bê tông bể tách dầu mỡ 01 và 02 (đáy +tường), bê tông đáy bể tự hoại 02</v>
          </cell>
          <cell r="C34" t="str">
            <v>BT-24</v>
          </cell>
          <cell r="D34" t="str">
            <v>8h00</v>
          </cell>
          <cell r="E34" t="str">
            <v>8h45</v>
          </cell>
          <cell r="F34">
            <v>10</v>
          </cell>
          <cell r="G34">
            <v>1</v>
          </cell>
          <cell r="H34">
            <v>2015</v>
          </cell>
          <cell r="I34" t="str">
            <v>Hà Nội, ngày 10 tháng 1 năm 2015</v>
          </cell>
          <cell r="J34" t="str">
            <v>8h00 ngày 10 tháng 1 năm 2015</v>
          </cell>
          <cell r="K34" t="str">
            <v>8h45 ngày 10 tháng 1 năm 2015</v>
          </cell>
          <cell r="L34" t="str">
            <v>8h45</v>
          </cell>
          <cell r="M34" t="str">
            <v>9h30</v>
          </cell>
          <cell r="N34">
            <v>10</v>
          </cell>
          <cell r="O34">
            <v>1</v>
          </cell>
          <cell r="P34">
            <v>2015</v>
          </cell>
          <cell r="Q34" t="str">
            <v>Hà Nội, ngày 10 tháng 1 năm 2015</v>
          </cell>
          <cell r="R34" t="str">
            <v>8h45 ngày 10 tháng 1 năm 2015</v>
          </cell>
          <cell r="S34" t="str">
            <v>9h30 ngày 10 tháng 1 năm 2015</v>
          </cell>
          <cell r="T34" t="str">
            <v>8h45</v>
          </cell>
          <cell r="U34" t="str">
            <v>8h45 Ngày 10/1/2015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Cán bộ TVGS</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KC-18;KC-21÷KC26</v>
          </cell>
          <cell r="AS34" t="str">
            <v>Ngày 10 Tháng 1 Năm 2015</v>
          </cell>
        </row>
        <row r="35">
          <cell r="A35" t="str">
            <v>BT-25</v>
          </cell>
          <cell r="B35" t="str">
            <v>Công tác đổ bê tông tấm đan nắp bể tách dầu mỡ 01 và 02</v>
          </cell>
          <cell r="C35" t="str">
            <v>BT-25</v>
          </cell>
          <cell r="D35" t="str">
            <v>8h00</v>
          </cell>
          <cell r="E35" t="str">
            <v>8h15</v>
          </cell>
          <cell r="F35">
            <v>10</v>
          </cell>
          <cell r="G35">
            <v>1</v>
          </cell>
          <cell r="H35">
            <v>2015</v>
          </cell>
          <cell r="I35" t="str">
            <v>Hà Nội, ngày 10 tháng 1 năm 2015</v>
          </cell>
          <cell r="J35" t="str">
            <v>8h00 ngày 10 tháng 1 năm 2015</v>
          </cell>
          <cell r="K35" t="str">
            <v>8h15 ngày 10 tháng 1 năm 2015</v>
          </cell>
          <cell r="L35" t="str">
            <v>8h15</v>
          </cell>
          <cell r="M35" t="str">
            <v>8h30</v>
          </cell>
          <cell r="N35">
            <v>10</v>
          </cell>
          <cell r="O35">
            <v>1</v>
          </cell>
          <cell r="P35">
            <v>2015</v>
          </cell>
          <cell r="Q35" t="str">
            <v>Hà Nội, ngày 10 tháng 1 năm 2015</v>
          </cell>
          <cell r="R35" t="str">
            <v>8h15 ngày 10 tháng 1 năm 2015</v>
          </cell>
          <cell r="S35" t="str">
            <v>8h30 ngày 10 tháng 1 năm 2015</v>
          </cell>
          <cell r="T35" t="str">
            <v>8h15</v>
          </cell>
          <cell r="U35" t="str">
            <v>8h15 Ngày 10/1/2015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Cán bộ TVGS</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KC-18;KC-21÷KC26</v>
          </cell>
          <cell r="AS35" t="str">
            <v>Ngày 10 Tháng 1 Năm 2015</v>
          </cell>
        </row>
        <row r="36">
          <cell r="A36" t="str">
            <v>BT-26</v>
          </cell>
          <cell r="B36" t="str">
            <v>Công tác đổ bê tông bể tự hoại số 01 và 02 (tường + nắp)</v>
          </cell>
          <cell r="C36" t="str">
            <v>BT-26</v>
          </cell>
          <cell r="D36" t="str">
            <v>7h30</v>
          </cell>
          <cell r="E36" t="str">
            <v>8h00</v>
          </cell>
          <cell r="F36">
            <v>14</v>
          </cell>
          <cell r="G36">
            <v>1</v>
          </cell>
          <cell r="H36">
            <v>2015</v>
          </cell>
          <cell r="I36" t="str">
            <v>Hà Nội, ngày 14 tháng 1 năm 2015</v>
          </cell>
          <cell r="J36" t="str">
            <v>7h30 ngày 14 tháng 1 năm 2015</v>
          </cell>
          <cell r="K36" t="str">
            <v>8h00 ngày 14 tháng 1 năm 2015</v>
          </cell>
          <cell r="L36" t="str">
            <v>8h00</v>
          </cell>
          <cell r="M36" t="str">
            <v>8h30</v>
          </cell>
          <cell r="N36">
            <v>14</v>
          </cell>
          <cell r="O36">
            <v>1</v>
          </cell>
          <cell r="P36">
            <v>2015</v>
          </cell>
          <cell r="Q36" t="str">
            <v>Hà Nội, ngày 14 tháng 1 năm 2015</v>
          </cell>
          <cell r="R36" t="str">
            <v>8h00 ngày 14 tháng 1 năm 2015</v>
          </cell>
          <cell r="S36" t="str">
            <v>8h30 ngày 14 tháng 1 năm 2015</v>
          </cell>
          <cell r="T36" t="str">
            <v>8h00</v>
          </cell>
          <cell r="U36" t="str">
            <v>8h00 Ngày 14/1/2015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Cán bộ TVGS</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KC-18;KC-21÷KC26</v>
          </cell>
          <cell r="AS36" t="str">
            <v>Ngày 14 Tháng 1 Năm 2015</v>
          </cell>
        </row>
        <row r="37">
          <cell r="A37" t="str">
            <v>BT-27</v>
          </cell>
          <cell r="B37" t="str">
            <v>Công tác đổ bê tông cột, vách tầng 1 trục X5-X8/Y5'-Y8</v>
          </cell>
          <cell r="C37" t="str">
            <v>BT-27</v>
          </cell>
          <cell r="D37" t="str">
            <v>9h00</v>
          </cell>
          <cell r="E37" t="str">
            <v>9h45</v>
          </cell>
          <cell r="F37">
            <v>18</v>
          </cell>
          <cell r="G37">
            <v>1</v>
          </cell>
          <cell r="H37">
            <v>2015</v>
          </cell>
          <cell r="I37" t="str">
            <v>Hà Nội, ngày 18 tháng 1 năm 2015</v>
          </cell>
          <cell r="J37" t="str">
            <v>9h00 ngày 18 tháng 1 năm 2015</v>
          </cell>
          <cell r="K37" t="str">
            <v>9h45 ngày 18 tháng 1 năm 2015</v>
          </cell>
          <cell r="L37" t="str">
            <v>9h45</v>
          </cell>
          <cell r="M37" t="str">
            <v>10h30</v>
          </cell>
          <cell r="N37">
            <v>18</v>
          </cell>
          <cell r="O37">
            <v>1</v>
          </cell>
          <cell r="P37">
            <v>2015</v>
          </cell>
          <cell r="Q37" t="str">
            <v>Hà Nội, ngày 18 tháng 1 năm 2015</v>
          </cell>
          <cell r="R37" t="str">
            <v>9h45 ngày 18 tháng 1 năm 2015</v>
          </cell>
          <cell r="S37" t="str">
            <v>10h30 ngày 18 tháng 1 năm 2015</v>
          </cell>
          <cell r="T37" t="str">
            <v>9h45</v>
          </cell>
          <cell r="U37" t="str">
            <v>9h45 Ngày 18/1/2015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Cán bộ TVGS</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KC-18;KC-21÷KC-26</v>
          </cell>
          <cell r="AS37" t="str">
            <v>Ngày 18 Tháng 1 Năm 2015</v>
          </cell>
        </row>
        <row r="38">
          <cell r="A38" t="str">
            <v>BT-28</v>
          </cell>
          <cell r="B38" t="str">
            <v>Công tác đổ bê tông cột, vách tầng 1 trục X1-X4/Y1-Y4</v>
          </cell>
          <cell r="C38" t="str">
            <v>BT-28</v>
          </cell>
          <cell r="D38" t="str">
            <v>15h15</v>
          </cell>
          <cell r="E38" t="str">
            <v>16h00</v>
          </cell>
          <cell r="F38">
            <v>22</v>
          </cell>
          <cell r="G38">
            <v>1</v>
          </cell>
          <cell r="H38">
            <v>2015</v>
          </cell>
          <cell r="I38" t="str">
            <v>Hà Nội, ngày 22 tháng 1 năm 2015</v>
          </cell>
          <cell r="J38" t="str">
            <v>15h15 ngày 22 tháng 1 năm 2015</v>
          </cell>
          <cell r="K38" t="str">
            <v>16h00 ngày 22 tháng 1 năm 2015</v>
          </cell>
          <cell r="L38" t="str">
            <v>16h00</v>
          </cell>
          <cell r="M38" t="str">
            <v>16h45</v>
          </cell>
          <cell r="N38">
            <v>22</v>
          </cell>
          <cell r="O38">
            <v>1</v>
          </cell>
          <cell r="P38">
            <v>2015</v>
          </cell>
          <cell r="Q38" t="str">
            <v>Hà Nội, ngày 22 tháng 1 năm 2015</v>
          </cell>
          <cell r="R38" t="str">
            <v>16h00 ngày 22 tháng 1 năm 2015</v>
          </cell>
          <cell r="S38" t="str">
            <v>16h45 ngày 22 tháng 1 năm 2015</v>
          </cell>
          <cell r="T38" t="str">
            <v>16h00</v>
          </cell>
          <cell r="U38" t="str">
            <v>16h00 Ngày 22/1/2015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Cán bộ TVGS</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KC-18;KC-21÷KC-26</v>
          </cell>
          <cell r="AS38" t="str">
            <v>Ngày 22 Tháng 1 Năm 2015</v>
          </cell>
        </row>
        <row r="39">
          <cell r="A39" t="str">
            <v>BT-29</v>
          </cell>
          <cell r="B39" t="str">
            <v>Công tác đổ bê tông cột, vách tầng 1 trục X1-X4'/Y5-Y8</v>
          </cell>
          <cell r="C39" t="str">
            <v>BT-29</v>
          </cell>
          <cell r="D39" t="str">
            <v>15h45</v>
          </cell>
          <cell r="E39" t="str">
            <v>16h30</v>
          </cell>
          <cell r="F39">
            <v>24</v>
          </cell>
          <cell r="G39">
            <v>1</v>
          </cell>
          <cell r="H39">
            <v>2015</v>
          </cell>
          <cell r="I39" t="str">
            <v>Hà Nội, ngày 24 tháng 1 năm 2015</v>
          </cell>
          <cell r="J39" t="str">
            <v>15h45 ngày 24 tháng 1 năm 2015</v>
          </cell>
          <cell r="K39" t="str">
            <v>16h30 ngày 24 tháng 1 năm 2015</v>
          </cell>
          <cell r="L39" t="str">
            <v>16h30</v>
          </cell>
          <cell r="M39" t="str">
            <v>17h15</v>
          </cell>
          <cell r="N39">
            <v>24</v>
          </cell>
          <cell r="O39">
            <v>1</v>
          </cell>
          <cell r="P39">
            <v>2015</v>
          </cell>
          <cell r="Q39" t="str">
            <v>Hà Nội, ngày 24 tháng 1 năm 2015</v>
          </cell>
          <cell r="R39" t="str">
            <v>16h30 ngày 24 tháng 1 năm 2015</v>
          </cell>
          <cell r="S39" t="str">
            <v>17h15 ngày 24 tháng 1 năm 2015</v>
          </cell>
          <cell r="T39" t="str">
            <v>16h30</v>
          </cell>
          <cell r="U39" t="str">
            <v>16h30 Ngày 24/1/2015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Cán bộ TVGS</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KC-18;KC-21÷KC-26</v>
          </cell>
          <cell r="AS39" t="str">
            <v>Ngày 24 Tháng 1 Năm 2015</v>
          </cell>
        </row>
        <row r="40">
          <cell r="A40" t="str">
            <v>BT-30</v>
          </cell>
          <cell r="B40" t="str">
            <v>Công tác đổ bê tông dầm, sàn, đường dốc tầng 2 (trục X5-X8/Y5'-Y8) và (trục X1-X5/Y5-Y8)</v>
          </cell>
          <cell r="C40" t="str">
            <v>BT-30</v>
          </cell>
          <cell r="D40" t="str">
            <v>16h15</v>
          </cell>
          <cell r="E40" t="str">
            <v>17h00</v>
          </cell>
          <cell r="F40">
            <v>31</v>
          </cell>
          <cell r="G40">
            <v>1</v>
          </cell>
          <cell r="H40">
            <v>2015</v>
          </cell>
          <cell r="I40" t="str">
            <v>Hà Nội, ngày 31 tháng 1 năm 2015</v>
          </cell>
          <cell r="J40" t="str">
            <v>16h15 ngày 31 tháng 1 năm 2015</v>
          </cell>
          <cell r="K40" t="str">
            <v>17h00 ngày 31 tháng 1 năm 2015</v>
          </cell>
          <cell r="L40" t="str">
            <v>17h00</v>
          </cell>
          <cell r="M40" t="str">
            <v>17h45</v>
          </cell>
          <cell r="N40">
            <v>31</v>
          </cell>
          <cell r="O40">
            <v>1</v>
          </cell>
          <cell r="P40">
            <v>2015</v>
          </cell>
          <cell r="Q40" t="str">
            <v>Hà Nội, ngày 31 tháng 1 năm 2015</v>
          </cell>
          <cell r="R40" t="str">
            <v>17h00 ngày 31 tháng 1 năm 2015</v>
          </cell>
          <cell r="S40" t="str">
            <v>17h45 ngày 31 tháng 1 năm 2015</v>
          </cell>
          <cell r="T40" t="str">
            <v>17h00</v>
          </cell>
          <cell r="U40" t="str">
            <v>17h00 Ngày 31/1/2015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Cán bộ TVGS</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KC-12</v>
          </cell>
          <cell r="AS40" t="str">
            <v>Ngày 31 Tháng 1 Năm 2015</v>
          </cell>
        </row>
        <row r="41">
          <cell r="A41" t="str">
            <v>BT-31</v>
          </cell>
          <cell r="B41" t="str">
            <v>Công tác đổ bê tông dầm, sàn, đường dốc tầng 2 (trục X1-X4/Y1-Y5)</v>
          </cell>
          <cell r="C41" t="str">
            <v>BT-31</v>
          </cell>
          <cell r="D41" t="str">
            <v>14h15</v>
          </cell>
          <cell r="E41" t="str">
            <v>15h00</v>
          </cell>
          <cell r="F41">
            <v>2</v>
          </cell>
          <cell r="G41">
            <v>2</v>
          </cell>
          <cell r="H41">
            <v>2015</v>
          </cell>
          <cell r="I41" t="str">
            <v>Hà Nội, ngày 2 tháng 2 năm 2015</v>
          </cell>
          <cell r="J41" t="str">
            <v>14h15 ngày 2 tháng 2 năm 2015</v>
          </cell>
          <cell r="K41" t="str">
            <v>15h00 ngày 2 tháng 2 năm 2015</v>
          </cell>
          <cell r="L41" t="str">
            <v>15h00</v>
          </cell>
          <cell r="M41" t="str">
            <v>15h45</v>
          </cell>
          <cell r="N41">
            <v>2</v>
          </cell>
          <cell r="O41">
            <v>2</v>
          </cell>
          <cell r="P41">
            <v>2015</v>
          </cell>
          <cell r="Q41" t="str">
            <v>Hà Nội, ngày 2 tháng 2 năm 2015</v>
          </cell>
          <cell r="R41" t="str">
            <v>15h00 ngày 2 tháng 2 năm 2015</v>
          </cell>
          <cell r="S41" t="str">
            <v>15h45 ngày 2 tháng 2 năm 2015</v>
          </cell>
          <cell r="T41" t="str">
            <v>15h00</v>
          </cell>
          <cell r="U41" t="str">
            <v>15h00 Ngày 2/2/2015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Cán bộ TVGS</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KC-12</v>
          </cell>
          <cell r="AS41" t="str">
            <v>Ngày 2 Tháng 2 Năm 2015</v>
          </cell>
        </row>
        <row r="42">
          <cell r="A42" t="str">
            <v>BT-32</v>
          </cell>
          <cell r="B42" t="str">
            <v>Công tác đổ bê tông cột, vách tầng 2 trục X5-X8/Y5'-Y8</v>
          </cell>
          <cell r="C42" t="str">
            <v>BT-32</v>
          </cell>
          <cell r="D42" t="str">
            <v>15h00</v>
          </cell>
          <cell r="E42" t="str">
            <v>15h30</v>
          </cell>
          <cell r="F42">
            <v>3</v>
          </cell>
          <cell r="G42">
            <v>2</v>
          </cell>
          <cell r="H42">
            <v>2015</v>
          </cell>
          <cell r="I42" t="str">
            <v>Hà Nội, ngày 3 tháng 2 năm 2015</v>
          </cell>
          <cell r="J42" t="str">
            <v>15h00 ngày 3 tháng 2 năm 2015</v>
          </cell>
          <cell r="K42" t="str">
            <v>15h30 ngày 3 tháng 2 năm 2015</v>
          </cell>
          <cell r="L42" t="str">
            <v>15h30</v>
          </cell>
          <cell r="M42" t="str">
            <v>16h00</v>
          </cell>
          <cell r="N42">
            <v>3</v>
          </cell>
          <cell r="O42">
            <v>2</v>
          </cell>
          <cell r="P42">
            <v>2015</v>
          </cell>
          <cell r="Q42" t="str">
            <v>Hà Nội, ngày 3 tháng 2 năm 2015</v>
          </cell>
          <cell r="R42" t="str">
            <v>15h30 ngày 3 tháng 2 năm 2015</v>
          </cell>
          <cell r="S42" t="str">
            <v>16h00 ngày 3 tháng 2 năm 2015</v>
          </cell>
          <cell r="T42" t="str">
            <v>15h30</v>
          </cell>
          <cell r="U42" t="str">
            <v>15h30 Ngày 3/2/2015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Cán bộ TVGS</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KC-19;KC-21÷KC-26</v>
          </cell>
          <cell r="AS42" t="str">
            <v>Ngày 3 Tháng 2 Năm 2015</v>
          </cell>
        </row>
        <row r="43">
          <cell r="A43" t="str">
            <v>BT-33</v>
          </cell>
          <cell r="B43" t="str">
            <v>Công tác đổ bê tông cột, vách tầng 2 trục X1-X4'/Y5-Y8</v>
          </cell>
          <cell r="C43" t="str">
            <v>BT-33</v>
          </cell>
          <cell r="D43" t="str">
            <v>15h15</v>
          </cell>
          <cell r="E43" t="str">
            <v>15h45</v>
          </cell>
          <cell r="F43">
            <v>4</v>
          </cell>
          <cell r="G43">
            <v>2</v>
          </cell>
          <cell r="H43">
            <v>2015</v>
          </cell>
          <cell r="I43" t="str">
            <v>Hà Nội, ngày 4 tháng 2 năm 2015</v>
          </cell>
          <cell r="J43" t="str">
            <v>15h15 ngày 4 tháng 2 năm 2015</v>
          </cell>
          <cell r="K43" t="str">
            <v>15h45 ngày 4 tháng 2 năm 2015</v>
          </cell>
          <cell r="L43" t="str">
            <v>15h45</v>
          </cell>
          <cell r="M43" t="str">
            <v>16h15</v>
          </cell>
          <cell r="N43">
            <v>4</v>
          </cell>
          <cell r="O43">
            <v>2</v>
          </cell>
          <cell r="P43">
            <v>2015</v>
          </cell>
          <cell r="Q43" t="str">
            <v>Hà Nội, ngày 4 tháng 2 năm 2015</v>
          </cell>
          <cell r="R43" t="str">
            <v>15h45 ngày 4 tháng 2 năm 2015</v>
          </cell>
          <cell r="S43" t="str">
            <v>16h15 ngày 4 tháng 2 năm 2015</v>
          </cell>
          <cell r="T43" t="str">
            <v>15h45</v>
          </cell>
          <cell r="U43" t="str">
            <v>15h45 Ngày 4/2/2015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Cán bộ TVGS</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KC-19;KC-21÷KC-26</v>
          </cell>
          <cell r="AS43" t="str">
            <v>Ngày 4 Tháng 2 Năm 2015</v>
          </cell>
        </row>
        <row r="44">
          <cell r="A44" t="str">
            <v>BT-34</v>
          </cell>
          <cell r="B44" t="str">
            <v>Công tác đổ bê tông cột, vách tầng 2 trục X1-X4/Y1-Y5</v>
          </cell>
          <cell r="C44" t="str">
            <v>BT-34</v>
          </cell>
          <cell r="D44" t="str">
            <v>15h30</v>
          </cell>
          <cell r="E44" t="str">
            <v>16h00</v>
          </cell>
          <cell r="F44">
            <v>5</v>
          </cell>
          <cell r="G44">
            <v>2</v>
          </cell>
          <cell r="H44">
            <v>2015</v>
          </cell>
          <cell r="I44" t="str">
            <v>Hà Nội, ngày 5 tháng 2 năm 2015</v>
          </cell>
          <cell r="J44" t="str">
            <v>15h30 ngày 5 tháng 2 năm 2015</v>
          </cell>
          <cell r="K44" t="str">
            <v>16h00 ngày 5 tháng 2 năm 2015</v>
          </cell>
          <cell r="L44" t="str">
            <v>16h00</v>
          </cell>
          <cell r="M44" t="str">
            <v>16h30</v>
          </cell>
          <cell r="N44">
            <v>5</v>
          </cell>
          <cell r="O44">
            <v>2</v>
          </cell>
          <cell r="P44">
            <v>2015</v>
          </cell>
          <cell r="Q44" t="str">
            <v>Hà Nội, ngày 5 tháng 2 năm 2015</v>
          </cell>
          <cell r="R44" t="str">
            <v>16h00 ngày 5 tháng 2 năm 2015</v>
          </cell>
          <cell r="S44" t="str">
            <v>16h30 ngày 5 tháng 2 năm 2015</v>
          </cell>
          <cell r="T44" t="str">
            <v>16h00</v>
          </cell>
          <cell r="U44" t="str">
            <v>16h00 Ngày 5/2/2015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Cán bộ TVGS</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KC-19;KC-21÷KC-26</v>
          </cell>
          <cell r="AS44" t="str">
            <v>Ngày 5 Tháng 2 Năm 2015</v>
          </cell>
        </row>
        <row r="45">
          <cell r="A45" t="str">
            <v>BT-35</v>
          </cell>
          <cell r="B45" t="str">
            <v>Công tác đổ bê tông dầm, sàn tầng 3 (trục X5-X8/Y5'-Y8) và (trục X1-X5/Y5-Y8)</v>
          </cell>
          <cell r="C45" t="str">
            <v>BT-35</v>
          </cell>
          <cell r="D45" t="str">
            <v>16h00</v>
          </cell>
          <cell r="E45" t="str">
            <v>16h45</v>
          </cell>
          <cell r="F45">
            <v>11</v>
          </cell>
          <cell r="G45">
            <v>2</v>
          </cell>
          <cell r="H45">
            <v>2015</v>
          </cell>
          <cell r="I45" t="str">
            <v>Hà Nội, ngày 11 tháng 2 năm 2015</v>
          </cell>
          <cell r="J45" t="str">
            <v>16h00 ngày 11 tháng 2 năm 2015</v>
          </cell>
          <cell r="K45" t="str">
            <v>16h45 ngày 11 tháng 2 năm 2015</v>
          </cell>
          <cell r="L45" t="str">
            <v>16h45</v>
          </cell>
          <cell r="M45" t="str">
            <v>17h30</v>
          </cell>
          <cell r="N45">
            <v>11</v>
          </cell>
          <cell r="O45">
            <v>2</v>
          </cell>
          <cell r="P45">
            <v>2015</v>
          </cell>
          <cell r="Q45" t="str">
            <v>Hà Nội, ngày 11 tháng 2 năm 2015</v>
          </cell>
          <cell r="R45" t="str">
            <v>16h45 ngày 11 tháng 2 năm 2015</v>
          </cell>
          <cell r="S45" t="str">
            <v>17h30 ngày 11 tháng 2 năm 2015</v>
          </cell>
          <cell r="T45" t="str">
            <v>16h45</v>
          </cell>
          <cell r="U45" t="str">
            <v>16h45 Ngày 11/2/2015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Cán bộ TVGS</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KC-13</v>
          </cell>
          <cell r="AS45" t="str">
            <v>Ngày 11 Tháng 2 Năm 2015</v>
          </cell>
        </row>
        <row r="46">
          <cell r="A46" t="str">
            <v>BT-36</v>
          </cell>
          <cell r="B46" t="str">
            <v>Công tác đổ bê tông dầm, sàn tầng 3 (trục X1-X4/Y1-Y5)</v>
          </cell>
          <cell r="C46" t="str">
            <v>BT-36</v>
          </cell>
          <cell r="D46" t="str">
            <v>16h00</v>
          </cell>
          <cell r="E46" t="str">
            <v>16h45</v>
          </cell>
          <cell r="F46">
            <v>14</v>
          </cell>
          <cell r="G46">
            <v>2</v>
          </cell>
          <cell r="H46">
            <v>2015</v>
          </cell>
          <cell r="I46" t="str">
            <v>Hà Nội, ngày 14 tháng 2 năm 2015</v>
          </cell>
          <cell r="J46" t="str">
            <v>16h00 ngày 14 tháng 2 năm 2015</v>
          </cell>
          <cell r="K46" t="str">
            <v>16h45 ngày 14 tháng 2 năm 2015</v>
          </cell>
          <cell r="L46" t="str">
            <v>16h45</v>
          </cell>
          <cell r="M46" t="str">
            <v>17h30</v>
          </cell>
          <cell r="N46">
            <v>14</v>
          </cell>
          <cell r="O46">
            <v>2</v>
          </cell>
          <cell r="P46">
            <v>2015</v>
          </cell>
          <cell r="Q46" t="str">
            <v>Hà Nội, ngày 14 tháng 2 năm 2015</v>
          </cell>
          <cell r="R46" t="str">
            <v>16h45 ngày 14 tháng 2 năm 2015</v>
          </cell>
          <cell r="S46" t="str">
            <v>17h30 ngày 14 tháng 2 năm 2015</v>
          </cell>
          <cell r="T46" t="str">
            <v>16h45</v>
          </cell>
          <cell r="U46" t="str">
            <v>16h45 Ngày 14/2/2015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Cán bộ TVGS</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KC-13</v>
          </cell>
          <cell r="AS46" t="str">
            <v>Ngày 14 Tháng 2 Năm 2015</v>
          </cell>
        </row>
        <row r="47">
          <cell r="A47" t="str">
            <v>BT-37</v>
          </cell>
          <cell r="B47" t="str">
            <v>Công tác đổ bê tông cột, vách tầng 3 trục X5-X8/Y5'-Y8</v>
          </cell>
          <cell r="C47" t="str">
            <v>BT-37</v>
          </cell>
          <cell r="D47" t="str">
            <v>15h00</v>
          </cell>
          <cell r="E47" t="str">
            <v>16h00</v>
          </cell>
          <cell r="F47">
            <v>14</v>
          </cell>
          <cell r="G47">
            <v>2</v>
          </cell>
          <cell r="H47">
            <v>2015</v>
          </cell>
          <cell r="I47" t="str">
            <v>Hà Nội, ngày 14 tháng 2 năm 2015</v>
          </cell>
          <cell r="J47" t="str">
            <v>15h00 ngày 14 tháng 2 năm 2015</v>
          </cell>
          <cell r="K47" t="str">
            <v>16h00 ngày 14 tháng 2 năm 2015</v>
          </cell>
          <cell r="L47" t="str">
            <v>16h00</v>
          </cell>
          <cell r="M47" t="str">
            <v>17h00</v>
          </cell>
          <cell r="N47">
            <v>14</v>
          </cell>
          <cell r="O47">
            <v>2</v>
          </cell>
          <cell r="P47">
            <v>2015</v>
          </cell>
          <cell r="Q47" t="str">
            <v>Hà Nội, ngày 14 tháng 2 năm 2015</v>
          </cell>
          <cell r="R47" t="str">
            <v>16h00 ngày 14 tháng 2 năm 2015</v>
          </cell>
          <cell r="S47" t="str">
            <v>17h00 ngày 14 tháng 2 năm 2015</v>
          </cell>
          <cell r="T47" t="str">
            <v>16h00</v>
          </cell>
          <cell r="U47" t="str">
            <v>16h00 Ngày 14/2/2015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Cán bộ TVGS</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t="str">
            <v>KC-19;KC-21÷KC-26</v>
          </cell>
          <cell r="AS47" t="str">
            <v>Ngày 14 Tháng 2 Năm 2015</v>
          </cell>
        </row>
        <row r="48">
          <cell r="A48" t="str">
            <v>BT-38</v>
          </cell>
          <cell r="B48" t="str">
            <v>Công tác đổ bê tông cột, vách tầng 3 trục X1-X4'/Y5-Y8</v>
          </cell>
          <cell r="C48" t="str">
            <v>BT-38</v>
          </cell>
          <cell r="D48" t="str">
            <v>15h00</v>
          </cell>
          <cell r="E48" t="str">
            <v>16h00</v>
          </cell>
          <cell r="F48">
            <v>6</v>
          </cell>
          <cell r="G48">
            <v>3</v>
          </cell>
          <cell r="H48">
            <v>2015</v>
          </cell>
          <cell r="I48" t="str">
            <v>Hà Nội, ngày 6 tháng 3 năm 2015</v>
          </cell>
          <cell r="J48" t="str">
            <v>15h00 ngày 6 tháng 3 năm 2015</v>
          </cell>
          <cell r="K48" t="str">
            <v>16h00 ngày 6 tháng 3 năm 2015</v>
          </cell>
          <cell r="L48" t="str">
            <v>16h00</v>
          </cell>
          <cell r="M48" t="str">
            <v>17h00</v>
          </cell>
          <cell r="N48">
            <v>6</v>
          </cell>
          <cell r="O48">
            <v>3</v>
          </cell>
          <cell r="P48">
            <v>2015</v>
          </cell>
          <cell r="Q48" t="str">
            <v>Hà Nội, ngày 6 tháng 3 năm 2015</v>
          </cell>
          <cell r="R48" t="str">
            <v>16h00 ngày 6 tháng 3 năm 2015</v>
          </cell>
          <cell r="S48" t="str">
            <v>17h00 ngày 6 tháng 3 năm 2015</v>
          </cell>
          <cell r="T48" t="str">
            <v>16h00</v>
          </cell>
          <cell r="U48" t="str">
            <v>16h00 Ngày 6/3/2015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Cán bộ TVGS</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t="str">
            <v>KC-19;KC-21÷KC-26</v>
          </cell>
          <cell r="AS48" t="str">
            <v>Ngày 6 Tháng 3 Năm 2015</v>
          </cell>
        </row>
        <row r="49">
          <cell r="A49" t="str">
            <v>BT-39</v>
          </cell>
          <cell r="B49" t="str">
            <v>Công tác đổ bê tông cột, vách tầng 3 trục X1-X4/Y1-Y5</v>
          </cell>
          <cell r="C49" t="str">
            <v>BT-39</v>
          </cell>
          <cell r="D49" t="str">
            <v>15h30</v>
          </cell>
          <cell r="E49" t="str">
            <v>16h30</v>
          </cell>
          <cell r="F49">
            <v>8</v>
          </cell>
          <cell r="G49">
            <v>3</v>
          </cell>
          <cell r="H49">
            <v>2015</v>
          </cell>
          <cell r="I49" t="str">
            <v>Hà Nội, ngày 8 tháng 3 năm 2015</v>
          </cell>
          <cell r="J49" t="str">
            <v>15h30 ngày 8 tháng 3 năm 2015</v>
          </cell>
          <cell r="K49" t="str">
            <v>16h30 ngày 8 tháng 3 năm 2015</v>
          </cell>
          <cell r="L49" t="str">
            <v>16h30</v>
          </cell>
          <cell r="M49" t="str">
            <v>17h30</v>
          </cell>
          <cell r="N49">
            <v>8</v>
          </cell>
          <cell r="O49">
            <v>3</v>
          </cell>
          <cell r="P49">
            <v>2015</v>
          </cell>
          <cell r="Q49" t="str">
            <v>Hà Nội, ngày 8 tháng 3 năm 2015</v>
          </cell>
          <cell r="R49" t="str">
            <v>16h30 ngày 8 tháng 3 năm 2015</v>
          </cell>
          <cell r="S49" t="str">
            <v>17h30 ngày 8 tháng 3 năm 2015</v>
          </cell>
          <cell r="T49" t="str">
            <v>16h30</v>
          </cell>
          <cell r="U49" t="str">
            <v>16h30 Ngày 8/3/2015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Cán bộ TVGS</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t="str">
            <v>KC-19;KC-21÷KC-26</v>
          </cell>
          <cell r="AS49" t="str">
            <v>Ngày 8 Tháng 3 Năm 2015</v>
          </cell>
        </row>
        <row r="50">
          <cell r="A50" t="str">
            <v>BT-40</v>
          </cell>
          <cell r="B50" t="str">
            <v>Công tác đổ bê tông dầm, sàn tầng 4</v>
          </cell>
          <cell r="C50" t="str">
            <v>BT-40</v>
          </cell>
          <cell r="D50" t="str">
            <v>10h00</v>
          </cell>
          <cell r="E50" t="str">
            <v>10h45</v>
          </cell>
          <cell r="F50">
            <v>20</v>
          </cell>
          <cell r="G50">
            <v>3</v>
          </cell>
          <cell r="H50">
            <v>2015</v>
          </cell>
          <cell r="I50" t="str">
            <v>Hà Nội, ngày 20 tháng 3 năm 2015</v>
          </cell>
          <cell r="J50" t="str">
            <v>10h00 ngày 20 tháng 3 năm 2015</v>
          </cell>
          <cell r="K50" t="str">
            <v>10h45 ngày 20 tháng 3 năm 2015</v>
          </cell>
          <cell r="L50" t="str">
            <v>10h45</v>
          </cell>
          <cell r="M50" t="str">
            <v>11h30</v>
          </cell>
          <cell r="N50">
            <v>20</v>
          </cell>
          <cell r="O50">
            <v>3</v>
          </cell>
          <cell r="P50">
            <v>2015</v>
          </cell>
          <cell r="Q50" t="str">
            <v>Hà Nội, ngày 20 tháng 3 năm 2015</v>
          </cell>
          <cell r="R50" t="str">
            <v>10h45 ngày 20 tháng 3 năm 2015</v>
          </cell>
          <cell r="S50" t="str">
            <v>11h30 ngày 20 tháng 3 năm 2015</v>
          </cell>
          <cell r="T50" t="str">
            <v>10h45</v>
          </cell>
          <cell r="U50" t="str">
            <v>10h45 Ngày 20/3/2015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Cán bộ TVGS</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N50" t="str">
            <v>KC-14</v>
          </cell>
          <cell r="AS50" t="str">
            <v>Ngày 20 Tháng 3 Năm 2015</v>
          </cell>
        </row>
        <row r="51">
          <cell r="A51" t="str">
            <v>BT-41</v>
          </cell>
          <cell r="B51" t="str">
            <v>Công tác đổ bê tông cột, vách tầng 4</v>
          </cell>
          <cell r="C51" t="str">
            <v>BT-41</v>
          </cell>
          <cell r="D51" t="str">
            <v>8h00</v>
          </cell>
          <cell r="E51" t="str">
            <v>9h00</v>
          </cell>
          <cell r="F51">
            <v>24</v>
          </cell>
          <cell r="G51">
            <v>3</v>
          </cell>
          <cell r="H51">
            <v>2015</v>
          </cell>
          <cell r="I51" t="str">
            <v>Hà Nội, ngày 24 tháng 3 năm 2015</v>
          </cell>
          <cell r="J51" t="str">
            <v>8h00 ngày 24 tháng 3 năm 2015</v>
          </cell>
          <cell r="K51" t="str">
            <v>9h00 ngày 24 tháng 3 năm 2015</v>
          </cell>
          <cell r="L51" t="str">
            <v>9h00</v>
          </cell>
          <cell r="M51" t="str">
            <v>10h00</v>
          </cell>
          <cell r="N51">
            <v>24</v>
          </cell>
          <cell r="O51">
            <v>3</v>
          </cell>
          <cell r="P51">
            <v>2015</v>
          </cell>
          <cell r="Q51" t="str">
            <v>Hà Nội, ngày 24 tháng 3 năm 2015</v>
          </cell>
          <cell r="R51" t="str">
            <v>9h00 ngày 24 tháng 3 năm 2015</v>
          </cell>
          <cell r="S51" t="str">
            <v>10h00 ngày 24 tháng 3 năm 2015</v>
          </cell>
          <cell r="T51" t="str">
            <v>9h00</v>
          </cell>
          <cell r="U51" t="str">
            <v>9h00 Ngày 24/3/2015</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Cán bộ TVGS</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N51" t="str">
            <v>KC-19;KC-21÷KC-26</v>
          </cell>
          <cell r="AS51" t="str">
            <v>Ngày 24 Tháng 3 Năm 2015</v>
          </cell>
        </row>
        <row r="52">
          <cell r="A52" t="str">
            <v>BT-42</v>
          </cell>
          <cell r="B52" t="str">
            <v>Công tác đổ bê tông dầm, sàn tầng 5</v>
          </cell>
          <cell r="C52" t="str">
            <v>BT-42</v>
          </cell>
          <cell r="D52" t="str">
            <v>8h00</v>
          </cell>
          <cell r="E52" t="str">
            <v>9h00</v>
          </cell>
          <cell r="F52">
            <v>3</v>
          </cell>
          <cell r="G52">
            <v>4</v>
          </cell>
          <cell r="H52">
            <v>2015</v>
          </cell>
          <cell r="I52" t="str">
            <v>Hà Nội, ngày 3 tháng 4 năm 2015</v>
          </cell>
          <cell r="J52" t="str">
            <v>8h00 ngày 3 tháng 4 năm 2015</v>
          </cell>
          <cell r="K52" t="str">
            <v>9h00 ngày 3 tháng 4 năm 2015</v>
          </cell>
          <cell r="L52" t="str">
            <v>9h00</v>
          </cell>
          <cell r="M52" t="str">
            <v>10h00</v>
          </cell>
          <cell r="N52">
            <v>3</v>
          </cell>
          <cell r="O52">
            <v>4</v>
          </cell>
          <cell r="P52">
            <v>2015</v>
          </cell>
          <cell r="Q52" t="str">
            <v>Hà Nội, ngày 3 tháng 4 năm 2015</v>
          </cell>
          <cell r="R52" t="str">
            <v>9h00 ngày 3 tháng 4 năm 2015</v>
          </cell>
          <cell r="S52" t="str">
            <v>10h00 ngày 3 tháng 4 năm 2015</v>
          </cell>
          <cell r="T52" t="str">
            <v>9h00</v>
          </cell>
          <cell r="U52" t="str">
            <v>9h00 Ngày 3/4/2015</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Cán bộ TVGS</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N52" t="str">
            <v>KC-14</v>
          </cell>
          <cell r="AS52" t="str">
            <v>Ngày 3 Tháng 4 Năm 2015</v>
          </cell>
        </row>
        <row r="53">
          <cell r="A53" t="str">
            <v>BT-43</v>
          </cell>
          <cell r="B53" t="str">
            <v>Công tác đổ bê tông cột, vách tầng 5</v>
          </cell>
          <cell r="C53" t="str">
            <v>BT-43</v>
          </cell>
          <cell r="D53" t="str">
            <v>8h00</v>
          </cell>
          <cell r="E53" t="str">
            <v>8h45</v>
          </cell>
          <cell r="F53">
            <v>8</v>
          </cell>
          <cell r="G53">
            <v>4</v>
          </cell>
          <cell r="H53">
            <v>2015</v>
          </cell>
          <cell r="I53" t="str">
            <v>Hà Nội, ngày 8 tháng 4 năm 2015</v>
          </cell>
          <cell r="J53" t="str">
            <v>8h00 ngày 8 tháng 4 năm 2015</v>
          </cell>
          <cell r="K53" t="str">
            <v>8h45 ngày 8 tháng 4 năm 2015</v>
          </cell>
          <cell r="L53" t="str">
            <v>8h45</v>
          </cell>
          <cell r="M53" t="str">
            <v>9h30</v>
          </cell>
          <cell r="N53">
            <v>8</v>
          </cell>
          <cell r="O53">
            <v>4</v>
          </cell>
          <cell r="P53">
            <v>2015</v>
          </cell>
          <cell r="Q53" t="str">
            <v>Hà Nội, ngày 8 tháng 4 năm 2015</v>
          </cell>
          <cell r="R53" t="str">
            <v>8h45 ngày 8 tháng 4 năm 2015</v>
          </cell>
          <cell r="S53" t="str">
            <v>9h30 ngày 8 tháng 4 năm 2015</v>
          </cell>
          <cell r="T53" t="str">
            <v>8h45</v>
          </cell>
          <cell r="U53" t="str">
            <v>8h45 Ngày 8/4/2015</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Cán bộ TVGS</v>
          </cell>
          <cell r="AH53" t="str">
            <v>Nguyễn Ái Việt</v>
          </cell>
          <cell r="AI53" t="str">
            <v>Chỉ huy trưởng</v>
          </cell>
          <cell r="AJ53" t="str">
            <v>Hoàng Chiến Thắng</v>
          </cell>
          <cell r="AK53" t="str">
            <v>P. Chỉ huy trưởng</v>
          </cell>
          <cell r="AL53" t="str">
            <v>Trịnh Quang Đức</v>
          </cell>
          <cell r="AM53" t="str">
            <v>Cán bộ kỹ thuật</v>
          </cell>
          <cell r="AN53" t="str">
            <v>KC-19;KC-21÷KC-26</v>
          </cell>
          <cell r="AS53" t="str">
            <v>Ngày 8 Tháng 4 Năm 2015</v>
          </cell>
        </row>
        <row r="54">
          <cell r="A54" t="str">
            <v>BT-44</v>
          </cell>
          <cell r="B54" t="str">
            <v>Công tác đổ bê tông dầm, sàn tầng 6 trục (X1÷X4/Y1÷Y5) và (X1÷X2/Y5÷Y8)</v>
          </cell>
          <cell r="C54" t="str">
            <v>BT-44</v>
          </cell>
          <cell r="D54" t="str">
            <v>9h00</v>
          </cell>
          <cell r="E54" t="str">
            <v>9h45</v>
          </cell>
          <cell r="F54">
            <v>14</v>
          </cell>
          <cell r="G54">
            <v>4</v>
          </cell>
          <cell r="H54">
            <v>2015</v>
          </cell>
          <cell r="I54" t="str">
            <v>Hà Nội, ngày 14 tháng 4 năm 2015</v>
          </cell>
          <cell r="J54" t="str">
            <v>9h00 ngày 14 tháng 4 năm 2015</v>
          </cell>
          <cell r="K54" t="str">
            <v>9h45 ngày 14 tháng 4 năm 2015</v>
          </cell>
          <cell r="L54" t="str">
            <v>9h45</v>
          </cell>
          <cell r="M54" t="str">
            <v>10h30</v>
          </cell>
          <cell r="N54">
            <v>14</v>
          </cell>
          <cell r="O54">
            <v>4</v>
          </cell>
          <cell r="P54">
            <v>2015</v>
          </cell>
          <cell r="Q54" t="str">
            <v>Hà Nội, ngày 14 tháng 4 năm 2015</v>
          </cell>
          <cell r="R54" t="str">
            <v>9h45 ngày 14 tháng 4 năm 2015</v>
          </cell>
          <cell r="S54" t="str">
            <v>10h30 ngày 14 tháng 4 năm 2015</v>
          </cell>
          <cell r="T54" t="str">
            <v>9h45</v>
          </cell>
          <cell r="U54" t="str">
            <v>9h45 Ngày 14/4/2015</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Cán bộ TVGS</v>
          </cell>
          <cell r="AH54" t="str">
            <v>Nguyễn Ái Việt</v>
          </cell>
          <cell r="AI54" t="str">
            <v>Chỉ huy trưởng</v>
          </cell>
          <cell r="AJ54" t="str">
            <v>Hoàng Chiến Thắng</v>
          </cell>
          <cell r="AK54" t="str">
            <v>P. Chỉ huy trưởng</v>
          </cell>
          <cell r="AL54" t="str">
            <v>Trịnh Quang Đức</v>
          </cell>
          <cell r="AM54" t="str">
            <v>Cán bộ kỹ thuật</v>
          </cell>
          <cell r="AN54" t="str">
            <v>KC-14</v>
          </cell>
          <cell r="AS54" t="str">
            <v>Ngày 14 Tháng 4 Năm 2015</v>
          </cell>
        </row>
        <row r="55">
          <cell r="A55" t="str">
            <v>BT-45</v>
          </cell>
          <cell r="B55" t="str">
            <v>Công tác đổ bê tông dầm, sàn tầng 6 trục (X2÷X4'/Y5÷Y8) và (X4'-X8/Y5'-Y8)</v>
          </cell>
          <cell r="C55" t="str">
            <v>BT-45</v>
          </cell>
          <cell r="D55" t="str">
            <v>9h00</v>
          </cell>
          <cell r="E55" t="str">
            <v>9h45</v>
          </cell>
          <cell r="F55">
            <v>17</v>
          </cell>
          <cell r="G55">
            <v>4</v>
          </cell>
          <cell r="H55">
            <v>2015</v>
          </cell>
          <cell r="I55" t="str">
            <v>Hà Nội, ngày 17 tháng 4 năm 2015</v>
          </cell>
          <cell r="J55" t="str">
            <v>9h00 ngày 17 tháng 4 năm 2015</v>
          </cell>
          <cell r="K55" t="str">
            <v>9h45 ngày 17 tháng 4 năm 2015</v>
          </cell>
          <cell r="L55" t="str">
            <v>9h45</v>
          </cell>
          <cell r="M55" t="str">
            <v>10h30</v>
          </cell>
          <cell r="N55">
            <v>17</v>
          </cell>
          <cell r="O55">
            <v>4</v>
          </cell>
          <cell r="P55">
            <v>2015</v>
          </cell>
          <cell r="Q55" t="str">
            <v>Hà Nội, ngày 17 tháng 4 năm 2015</v>
          </cell>
          <cell r="R55" t="str">
            <v>9h45 ngày 17 tháng 4 năm 2015</v>
          </cell>
          <cell r="S55" t="str">
            <v>10h30 ngày 17 tháng 4 năm 2015</v>
          </cell>
          <cell r="T55" t="str">
            <v>9h45</v>
          </cell>
          <cell r="U55" t="str">
            <v>9h45 Ngày 17/4/2015</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Cán bộ TVGS</v>
          </cell>
          <cell r="AH55" t="str">
            <v>Nguyễn Ái Việt</v>
          </cell>
          <cell r="AI55" t="str">
            <v>Chỉ huy trưởng</v>
          </cell>
          <cell r="AJ55" t="str">
            <v>Hoàng Chiến Thắng</v>
          </cell>
          <cell r="AK55" t="str">
            <v>P. Chỉ huy trưởng</v>
          </cell>
          <cell r="AL55" t="str">
            <v>Trịnh Quang Đức</v>
          </cell>
          <cell r="AM55" t="str">
            <v>Cán bộ kỹ thuật</v>
          </cell>
          <cell r="AN55" t="str">
            <v>KC-14</v>
          </cell>
          <cell r="AS55" t="str">
            <v>Ngày 17 Tháng 4 Năm 2015</v>
          </cell>
        </row>
        <row r="56">
          <cell r="A56" t="str">
            <v>BT-46</v>
          </cell>
          <cell r="B56" t="str">
            <v>Công tác đổ bê tông cột, vách tầng 6</v>
          </cell>
          <cell r="C56" t="str">
            <v>BT-46</v>
          </cell>
          <cell r="D56" t="str">
            <v>9h00</v>
          </cell>
          <cell r="E56" t="str">
            <v>9h45</v>
          </cell>
          <cell r="F56">
            <v>21</v>
          </cell>
          <cell r="G56">
            <v>4</v>
          </cell>
          <cell r="H56">
            <v>2015</v>
          </cell>
          <cell r="I56" t="str">
            <v>Hà Nội, ngày 21 tháng 4 năm 2015</v>
          </cell>
          <cell r="J56" t="str">
            <v>9h00 ngày 21 tháng 4 năm 2015</v>
          </cell>
          <cell r="K56" t="str">
            <v>9h45 ngày 21 tháng 4 năm 2015</v>
          </cell>
          <cell r="L56" t="str">
            <v>9h45</v>
          </cell>
          <cell r="M56" t="str">
            <v>10h30</v>
          </cell>
          <cell r="N56">
            <v>21</v>
          </cell>
          <cell r="O56">
            <v>4</v>
          </cell>
          <cell r="P56">
            <v>2015</v>
          </cell>
          <cell r="Q56" t="str">
            <v>Hà Nội, ngày 21 tháng 4 năm 2015</v>
          </cell>
          <cell r="R56" t="str">
            <v>9h45 ngày 21 tháng 4 năm 2015</v>
          </cell>
          <cell r="S56" t="str">
            <v>10h30 ngày 21 tháng 4 năm 2015</v>
          </cell>
          <cell r="T56" t="str">
            <v>9h45</v>
          </cell>
          <cell r="U56" t="str">
            <v>9h45 Ngày 21/4/2015</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Cán bộ TVGS</v>
          </cell>
          <cell r="AH56" t="str">
            <v>Nguyễn Ái Việt</v>
          </cell>
          <cell r="AI56" t="str">
            <v>Chỉ huy trưởng</v>
          </cell>
          <cell r="AJ56" t="str">
            <v>Hoàng Chiến Thắng</v>
          </cell>
          <cell r="AK56" t="str">
            <v>P. Chỉ huy trưởng</v>
          </cell>
          <cell r="AL56" t="str">
            <v>Trịnh Quang Đức</v>
          </cell>
          <cell r="AM56" t="str">
            <v>Cán bộ kỹ thuật</v>
          </cell>
          <cell r="AN56" t="str">
            <v>KC-19;KC-21÷KC-26</v>
          </cell>
          <cell r="AS56" t="str">
            <v>Ngày 21 Tháng 4 Năm 2015</v>
          </cell>
        </row>
        <row r="57">
          <cell r="A57" t="str">
            <v>BT-47</v>
          </cell>
          <cell r="B57" t="str">
            <v>Công tác đổ bê tông dầm, sàn tầng 7 trục (X1÷X4/Y1÷Y5) và (X1÷X2/Y5÷Y8)</v>
          </cell>
          <cell r="C57" t="str">
            <v>BT-47</v>
          </cell>
          <cell r="D57" t="str">
            <v>9h00</v>
          </cell>
          <cell r="E57" t="str">
            <v>9h45</v>
          </cell>
          <cell r="F57">
            <v>25</v>
          </cell>
          <cell r="G57">
            <v>4</v>
          </cell>
          <cell r="H57">
            <v>2015</v>
          </cell>
          <cell r="I57" t="str">
            <v>Hà Nội, ngày 25 tháng 4 năm 2015</v>
          </cell>
          <cell r="J57" t="str">
            <v>9h00 ngày 25 tháng 4 năm 2015</v>
          </cell>
          <cell r="K57" t="str">
            <v>9h45 ngày 25 tháng 4 năm 2015</v>
          </cell>
          <cell r="L57" t="str">
            <v>9h45</v>
          </cell>
          <cell r="M57" t="str">
            <v>10h30</v>
          </cell>
          <cell r="N57">
            <v>25</v>
          </cell>
          <cell r="O57">
            <v>4</v>
          </cell>
          <cell r="P57">
            <v>2015</v>
          </cell>
          <cell r="Q57" t="str">
            <v>Hà Nội, ngày 25 tháng 4 năm 2015</v>
          </cell>
          <cell r="R57" t="str">
            <v>9h45 ngày 25 tháng 4 năm 2015</v>
          </cell>
          <cell r="S57" t="str">
            <v>10h30 ngày 25 tháng 4 năm 2015</v>
          </cell>
          <cell r="T57" t="str">
            <v>9h45</v>
          </cell>
          <cell r="U57" t="str">
            <v>9h45 Ngày 25/4/2015</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Cán bộ TVGS</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N57" t="str">
            <v>KC-14</v>
          </cell>
          <cell r="AS57" t="str">
            <v>Ngày 25 Tháng 4 Năm 2015</v>
          </cell>
        </row>
        <row r="58">
          <cell r="A58" t="str">
            <v>BT-48</v>
          </cell>
          <cell r="B58" t="str">
            <v>Công tác đổ bê tông dầm, sàn tầng 7 trục (X2÷X4'/Y5÷Y8) và (X4'-X8/Y5'-Y8)</v>
          </cell>
          <cell r="C58" t="str">
            <v>BT-48</v>
          </cell>
          <cell r="D58" t="str">
            <v>15h00</v>
          </cell>
          <cell r="E58" t="str">
            <v>15h30</v>
          </cell>
          <cell r="F58">
            <v>27</v>
          </cell>
          <cell r="G58">
            <v>4</v>
          </cell>
          <cell r="H58">
            <v>2015</v>
          </cell>
          <cell r="I58" t="str">
            <v>Hà Nội, ngày 27 tháng 4 năm 2015</v>
          </cell>
          <cell r="J58" t="str">
            <v>15h00 ngày 27 tháng 4 năm 2015</v>
          </cell>
          <cell r="K58" t="str">
            <v>15h30 ngày 27 tháng 4 năm 2015</v>
          </cell>
          <cell r="L58" t="str">
            <v>15h30</v>
          </cell>
          <cell r="M58" t="str">
            <v>16h00</v>
          </cell>
          <cell r="N58">
            <v>27</v>
          </cell>
          <cell r="O58">
            <v>4</v>
          </cell>
          <cell r="P58">
            <v>2015</v>
          </cell>
          <cell r="Q58" t="str">
            <v>Hà Nội, ngày 27 tháng 4 năm 2015</v>
          </cell>
          <cell r="R58" t="str">
            <v>15h30 ngày 27 tháng 4 năm 2015</v>
          </cell>
          <cell r="S58" t="str">
            <v>16h00 ngày 27 tháng 4 năm 2015</v>
          </cell>
          <cell r="T58" t="str">
            <v>15h30</v>
          </cell>
          <cell r="U58" t="str">
            <v>15h30 Ngày 27/4/2015</v>
          </cell>
          <cell r="V58" t="str">
            <v>Nguyễn Ái Việt</v>
          </cell>
          <cell r="W58" t="str">
            <v>Chỉ huy trưởng</v>
          </cell>
          <cell r="X58" t="str">
            <v>................................</v>
          </cell>
          <cell r="Y58" t="str">
            <v>................................</v>
          </cell>
          <cell r="Z58" t="str">
            <v>Nguyễn Văn Nghiễm</v>
          </cell>
          <cell r="AA58" t="str">
            <v>Cán bộ KCS</v>
          </cell>
          <cell r="AB58" t="str">
            <v>Vương Toàn Hiếu</v>
          </cell>
          <cell r="AC58" t="str">
            <v>Trưởng đoàn TVGS</v>
          </cell>
          <cell r="AD58" t="str">
            <v>Lê Thiều Nam</v>
          </cell>
          <cell r="AE58" t="str">
            <v>Cán bộ TVGS</v>
          </cell>
          <cell r="AF58" t="str">
            <v>................................</v>
          </cell>
          <cell r="AG58" t="str">
            <v>Cán bộ TVGS</v>
          </cell>
          <cell r="AH58" t="str">
            <v>Nguyễn Ái Việt</v>
          </cell>
          <cell r="AI58" t="str">
            <v>Chỉ huy trưởng</v>
          </cell>
          <cell r="AJ58" t="str">
            <v>Hoàng Chiến Thắng</v>
          </cell>
          <cell r="AK58" t="str">
            <v>P. Chỉ huy trưởng</v>
          </cell>
          <cell r="AL58" t="str">
            <v>Trịnh Quang Đức</v>
          </cell>
          <cell r="AM58" t="str">
            <v>Cán bộ kỹ thuật</v>
          </cell>
          <cell r="AN58" t="str">
            <v>KC-14</v>
          </cell>
          <cell r="AS58" t="str">
            <v>Ngày 27 Tháng 4 Năm 2015</v>
          </cell>
        </row>
        <row r="59">
          <cell r="A59" t="str">
            <v>BT-49</v>
          </cell>
          <cell r="B59" t="str">
            <v>Công tác đổ bê tông cột, vách tầng 7</v>
          </cell>
          <cell r="C59" t="str">
            <v>BT-49</v>
          </cell>
          <cell r="D59" t="str">
            <v>8h00</v>
          </cell>
          <cell r="E59" t="str">
            <v>8h45</v>
          </cell>
          <cell r="F59">
            <v>2</v>
          </cell>
          <cell r="G59">
            <v>5</v>
          </cell>
          <cell r="H59">
            <v>2015</v>
          </cell>
          <cell r="I59" t="str">
            <v>Hà Nội, ngày 2 tháng 5 năm 2015</v>
          </cell>
          <cell r="J59" t="str">
            <v>8h00 ngày 2 tháng 5 năm 2015</v>
          </cell>
          <cell r="K59" t="str">
            <v>8h45 ngày 2 tháng 5 năm 2015</v>
          </cell>
          <cell r="L59" t="str">
            <v>8h45</v>
          </cell>
          <cell r="M59" t="str">
            <v>9h30</v>
          </cell>
          <cell r="N59">
            <v>2</v>
          </cell>
          <cell r="O59">
            <v>5</v>
          </cell>
          <cell r="P59">
            <v>2015</v>
          </cell>
          <cell r="Q59" t="str">
            <v>Hà Nội, ngày 2 tháng 5 năm 2015</v>
          </cell>
          <cell r="R59" t="str">
            <v>8h45 ngày 2 tháng 5 năm 2015</v>
          </cell>
          <cell r="S59" t="str">
            <v>9h30 ngày 2 tháng 5 năm 2015</v>
          </cell>
          <cell r="T59" t="str">
            <v>8h45</v>
          </cell>
          <cell r="U59" t="str">
            <v>8h45 Ngày 2/5/2015</v>
          </cell>
          <cell r="V59" t="str">
            <v>Nguyễn Ái Việt</v>
          </cell>
          <cell r="W59" t="str">
            <v>Chỉ huy trưởng</v>
          </cell>
          <cell r="X59" t="str">
            <v>................................</v>
          </cell>
          <cell r="Y59" t="str">
            <v>................................</v>
          </cell>
          <cell r="Z59" t="str">
            <v>Nguyễn Văn Nghiễm</v>
          </cell>
          <cell r="AA59" t="str">
            <v>Cán bộ KCS</v>
          </cell>
          <cell r="AB59" t="str">
            <v>Vương Toàn Hiếu</v>
          </cell>
          <cell r="AC59" t="str">
            <v>Trưởng đoàn TVGS</v>
          </cell>
          <cell r="AD59" t="str">
            <v>Lê Thiều Nam</v>
          </cell>
          <cell r="AE59" t="str">
            <v>Cán bộ TVGS</v>
          </cell>
          <cell r="AF59" t="str">
            <v>................................</v>
          </cell>
          <cell r="AG59" t="str">
            <v>Cán bộ TVGS</v>
          </cell>
          <cell r="AH59" t="str">
            <v>Nguyễn Ái Việt</v>
          </cell>
          <cell r="AI59" t="str">
            <v>Chỉ huy trưởng</v>
          </cell>
          <cell r="AJ59" t="str">
            <v>Hoàng Chiến Thắng</v>
          </cell>
          <cell r="AK59" t="str">
            <v>P. Chỉ huy trưởng</v>
          </cell>
          <cell r="AL59" t="str">
            <v>Trịnh Quang Đức</v>
          </cell>
          <cell r="AM59" t="str">
            <v>Cán bộ kỹ thuật</v>
          </cell>
          <cell r="AN59" t="str">
            <v>KC-19;KC-21÷KC-26</v>
          </cell>
          <cell r="AS59" t="str">
            <v>Ngày 2 Tháng 5 Năm 2015</v>
          </cell>
        </row>
        <row r="60">
          <cell r="A60" t="str">
            <v>BT-50</v>
          </cell>
          <cell r="B60" t="str">
            <v>Công tác đổ bê tông dầm, sàn tầng 8 trục (X1÷X4/Y1÷Y5) và (X1÷X2/Y5÷Y8)</v>
          </cell>
          <cell r="C60" t="str">
            <v>BT-50</v>
          </cell>
          <cell r="D60" t="str">
            <v>8h00</v>
          </cell>
          <cell r="E60" t="str">
            <v>8h30</v>
          </cell>
          <cell r="F60">
            <v>10</v>
          </cell>
          <cell r="G60">
            <v>5</v>
          </cell>
          <cell r="H60">
            <v>2015</v>
          </cell>
          <cell r="I60" t="str">
            <v>Hà Nội, ngày 10 tháng 5 năm 2015</v>
          </cell>
          <cell r="J60" t="str">
            <v>8h00 ngày 10 tháng 5 năm 2015</v>
          </cell>
          <cell r="K60" t="str">
            <v>8h30 ngày 10 tháng 5 năm 2015</v>
          </cell>
          <cell r="L60" t="str">
            <v>8h30</v>
          </cell>
          <cell r="M60" t="str">
            <v>9h00</v>
          </cell>
          <cell r="N60">
            <v>10</v>
          </cell>
          <cell r="O60">
            <v>5</v>
          </cell>
          <cell r="P60">
            <v>2015</v>
          </cell>
          <cell r="Q60" t="str">
            <v>Hà Nội, ngày 10 tháng 5 năm 2015</v>
          </cell>
          <cell r="R60" t="str">
            <v>8h30 ngày 10 tháng 5 năm 2015</v>
          </cell>
          <cell r="S60" t="str">
            <v>9h00 ngày 10 tháng 5 năm 2015</v>
          </cell>
          <cell r="T60" t="str">
            <v>8h30</v>
          </cell>
          <cell r="U60" t="str">
            <v>8h30 Ngày 10/5/2015</v>
          </cell>
          <cell r="V60" t="str">
            <v>Nguyễn Ái Việt</v>
          </cell>
          <cell r="W60" t="str">
            <v>Chỉ huy trưởng</v>
          </cell>
          <cell r="X60" t="str">
            <v>................................</v>
          </cell>
          <cell r="Y60" t="str">
            <v>................................</v>
          </cell>
          <cell r="Z60" t="str">
            <v>Nguyễn Văn Nghiễm</v>
          </cell>
          <cell r="AA60" t="str">
            <v>Cán bộ KCS</v>
          </cell>
          <cell r="AB60" t="str">
            <v>Vương Toàn Hiếu</v>
          </cell>
          <cell r="AC60" t="str">
            <v>Trưởng đoàn TVGS</v>
          </cell>
          <cell r="AD60" t="str">
            <v>Lê Thiều Nam</v>
          </cell>
          <cell r="AE60" t="str">
            <v>Cán bộ TVGS</v>
          </cell>
          <cell r="AF60" t="str">
            <v>................................</v>
          </cell>
          <cell r="AG60" t="str">
            <v>Cán bộ TVGS</v>
          </cell>
          <cell r="AH60" t="str">
            <v>Nguyễn Ái Việt</v>
          </cell>
          <cell r="AI60" t="str">
            <v>Chỉ huy trưởng</v>
          </cell>
          <cell r="AJ60" t="str">
            <v>Hoàng Chiến Thắng</v>
          </cell>
          <cell r="AK60" t="str">
            <v>P. Chỉ huy trưởng</v>
          </cell>
          <cell r="AL60" t="str">
            <v>Trịnh Quang Đức</v>
          </cell>
          <cell r="AM60" t="str">
            <v>Cán bộ kỹ thuật</v>
          </cell>
          <cell r="AN60" t="str">
            <v>KC-14</v>
          </cell>
          <cell r="AS60" t="str">
            <v>Ngày 10 Tháng 5 Năm 2015</v>
          </cell>
        </row>
        <row r="61">
          <cell r="A61" t="str">
            <v>BT-51</v>
          </cell>
          <cell r="B61" t="str">
            <v>Công tác đổ bê tông dầm, sàn tầng 8 trục (X2÷X4'/Y5÷Y8) và (X4'-X8/Y5'-Y8)</v>
          </cell>
          <cell r="C61" t="str">
            <v>BT-51</v>
          </cell>
          <cell r="D61" t="str">
            <v>15h30</v>
          </cell>
          <cell r="E61" t="str">
            <v>16h00</v>
          </cell>
          <cell r="F61">
            <v>12</v>
          </cell>
          <cell r="G61">
            <v>5</v>
          </cell>
          <cell r="H61">
            <v>2015</v>
          </cell>
          <cell r="I61" t="str">
            <v>Hà Nội, ngày 12 tháng 5 năm 2015</v>
          </cell>
          <cell r="J61" t="str">
            <v>15h30 ngày 12 tháng 5 năm 2015</v>
          </cell>
          <cell r="K61" t="str">
            <v>16h00 ngày 12 tháng 5 năm 2015</v>
          </cell>
          <cell r="L61" t="str">
            <v>16h00</v>
          </cell>
          <cell r="M61" t="str">
            <v>16h30</v>
          </cell>
          <cell r="N61">
            <v>12</v>
          </cell>
          <cell r="O61">
            <v>5</v>
          </cell>
          <cell r="P61">
            <v>2015</v>
          </cell>
          <cell r="Q61" t="str">
            <v>Hà Nội, ngày 12 tháng 5 năm 2015</v>
          </cell>
          <cell r="R61" t="str">
            <v>16h00 ngày 12 tháng 5 năm 2015</v>
          </cell>
          <cell r="S61" t="str">
            <v>16h30 ngày 12 tháng 5 năm 2015</v>
          </cell>
          <cell r="T61" t="str">
            <v>16h00</v>
          </cell>
          <cell r="U61" t="str">
            <v>16h00 Ngày 12/5/2015</v>
          </cell>
          <cell r="V61" t="str">
            <v>Nguyễn Ái Việt</v>
          </cell>
          <cell r="W61" t="str">
            <v>Chỉ huy trưởng</v>
          </cell>
          <cell r="X61" t="str">
            <v>................................</v>
          </cell>
          <cell r="Y61" t="str">
            <v>................................</v>
          </cell>
          <cell r="Z61" t="str">
            <v>Nguyễn Văn Nghiễm</v>
          </cell>
          <cell r="AA61" t="str">
            <v>Cán bộ KCS</v>
          </cell>
          <cell r="AB61" t="str">
            <v>Vương Toàn Hiếu</v>
          </cell>
          <cell r="AC61" t="str">
            <v>Trưởng đoàn TVGS</v>
          </cell>
          <cell r="AD61" t="str">
            <v>Lê Thiều Nam</v>
          </cell>
          <cell r="AE61" t="str">
            <v>Cán bộ TVGS</v>
          </cell>
          <cell r="AF61" t="str">
            <v>................................</v>
          </cell>
          <cell r="AG61" t="str">
            <v>Cán bộ TVGS</v>
          </cell>
          <cell r="AH61" t="str">
            <v>Nguyễn Ái Việt</v>
          </cell>
          <cell r="AI61" t="str">
            <v>Chỉ huy trưởng</v>
          </cell>
          <cell r="AJ61" t="str">
            <v>Hoàng Chiến Thắng</v>
          </cell>
          <cell r="AK61" t="str">
            <v>P. Chỉ huy trưởng</v>
          </cell>
          <cell r="AL61" t="str">
            <v>Trịnh Quang Đức</v>
          </cell>
          <cell r="AM61" t="str">
            <v>Cán bộ kỹ thuật</v>
          </cell>
          <cell r="AN61" t="str">
            <v>KC-14</v>
          </cell>
          <cell r="AS61" t="str">
            <v>Ngày 12 Tháng 5 Năm 2015</v>
          </cell>
        </row>
        <row r="62">
          <cell r="A62" t="str">
            <v>BT-52</v>
          </cell>
          <cell r="B62" t="str">
            <v>Công tác đổ bê tông cột, vách tầng 8</v>
          </cell>
          <cell r="C62" t="str">
            <v>BT-52</v>
          </cell>
          <cell r="D62" t="str">
            <v>15h30</v>
          </cell>
          <cell r="E62" t="str">
            <v>16h30</v>
          </cell>
          <cell r="F62">
            <v>11</v>
          </cell>
          <cell r="G62">
            <v>5</v>
          </cell>
          <cell r="H62">
            <v>2015</v>
          </cell>
          <cell r="I62" t="str">
            <v>Hà Nội, ngày 16 tháng 5 năm 2015</v>
          </cell>
          <cell r="J62" t="str">
            <v>15h30 ngày 11 tháng 5 năm 2015</v>
          </cell>
          <cell r="K62" t="str">
            <v>16h30 ngày 16 tháng 5 năm 2015</v>
          </cell>
          <cell r="L62" t="str">
            <v>16h00</v>
          </cell>
          <cell r="M62" t="str">
            <v>17h00</v>
          </cell>
          <cell r="N62">
            <v>16</v>
          </cell>
          <cell r="O62">
            <v>5</v>
          </cell>
          <cell r="P62">
            <v>2015</v>
          </cell>
          <cell r="Q62" t="str">
            <v>Hà Nội, ngày 11 tháng 5 năm 2015</v>
          </cell>
          <cell r="R62" t="str">
            <v>16h00 ngày 11 tháng 5 năm 2015</v>
          </cell>
          <cell r="S62" t="str">
            <v>17h00 ngày 16 tháng 5 năm 2015</v>
          </cell>
          <cell r="T62" t="str">
            <v>16h00</v>
          </cell>
          <cell r="U62" t="str">
            <v>16h00 Ngày 11/5/2015</v>
          </cell>
          <cell r="V62" t="str">
            <v>Nguyễn Ái Việt</v>
          </cell>
          <cell r="W62" t="str">
            <v>Chỉ huy trưởng</v>
          </cell>
          <cell r="X62" t="str">
            <v>................................</v>
          </cell>
          <cell r="Y62" t="str">
            <v>................................</v>
          </cell>
          <cell r="Z62" t="str">
            <v>Nguyễn Văn Nghiễm</v>
          </cell>
          <cell r="AA62" t="str">
            <v>Cán bộ KCS</v>
          </cell>
          <cell r="AB62" t="str">
            <v>Vương Toàn Hiếu</v>
          </cell>
          <cell r="AC62" t="str">
            <v>Trưởng đoàn TVGS</v>
          </cell>
          <cell r="AD62" t="str">
            <v>Lê Thiều Nam</v>
          </cell>
          <cell r="AE62" t="str">
            <v>Cán bộ TVGS</v>
          </cell>
          <cell r="AF62" t="str">
            <v>................................</v>
          </cell>
          <cell r="AG62" t="str">
            <v>Cán bộ TVGS</v>
          </cell>
          <cell r="AH62" t="str">
            <v>Nguyễn Ái Việt</v>
          </cell>
          <cell r="AI62" t="str">
            <v>Chỉ huy trưởng</v>
          </cell>
          <cell r="AJ62" t="str">
            <v>Hoàng Chiến Thắng</v>
          </cell>
          <cell r="AK62" t="str">
            <v>P. Chỉ huy trưởng</v>
          </cell>
          <cell r="AL62" t="str">
            <v>Trịnh Quang Đức</v>
          </cell>
          <cell r="AM62" t="str">
            <v>Cán bộ kỹ thuật</v>
          </cell>
          <cell r="AN62" t="str">
            <v>KC-19;KC-21÷KC-26</v>
          </cell>
          <cell r="AS62" t="str">
            <v>Ngày 11 Tháng 5 Năm 2015</v>
          </cell>
        </row>
        <row r="63">
          <cell r="A63" t="str">
            <v>BT-53</v>
          </cell>
          <cell r="B63" t="str">
            <v>Công tác đổ bê tông thang bộ LT tầng 1</v>
          </cell>
          <cell r="C63" t="str">
            <v>BT-53</v>
          </cell>
          <cell r="D63" t="str">
            <v>15h00</v>
          </cell>
          <cell r="E63" t="str">
            <v>15h30</v>
          </cell>
          <cell r="F63">
            <v>9</v>
          </cell>
          <cell r="G63">
            <v>3</v>
          </cell>
          <cell r="H63">
            <v>2015</v>
          </cell>
          <cell r="I63" t="str">
            <v>Hà Nội, ngày 9 tháng 3 năm 2015</v>
          </cell>
          <cell r="J63" t="str">
            <v>15h00 ngày 9 tháng 3 năm 2015</v>
          </cell>
          <cell r="K63" t="str">
            <v>15h30 ngày 9 tháng 3 năm 2015</v>
          </cell>
          <cell r="L63" t="str">
            <v>15h30</v>
          </cell>
          <cell r="M63" t="str">
            <v>16h00</v>
          </cell>
          <cell r="N63">
            <v>9</v>
          </cell>
          <cell r="O63">
            <v>3</v>
          </cell>
          <cell r="P63">
            <v>2015</v>
          </cell>
          <cell r="Q63" t="str">
            <v>Hà Nội, ngày 9 tháng 3 năm 2015</v>
          </cell>
          <cell r="R63" t="str">
            <v>15h30 ngày 9 tháng 3 năm 2015</v>
          </cell>
          <cell r="S63" t="str">
            <v>16h00 ngày 9 tháng 3 năm 2015</v>
          </cell>
          <cell r="T63" t="str">
            <v>15h30</v>
          </cell>
          <cell r="U63" t="str">
            <v>15h30 Ngày 9/3/2015</v>
          </cell>
          <cell r="V63" t="str">
            <v>Nguyễn Ái Việt</v>
          </cell>
          <cell r="W63" t="str">
            <v>Chỉ huy trưởng</v>
          </cell>
          <cell r="X63" t="str">
            <v>................................</v>
          </cell>
          <cell r="Y63" t="str">
            <v>................................</v>
          </cell>
          <cell r="Z63" t="str">
            <v>Nguyễn Văn Nghiễm</v>
          </cell>
          <cell r="AA63" t="str">
            <v>Cán bộ KCS</v>
          </cell>
          <cell r="AB63" t="str">
            <v>Vương Toàn Hiếu</v>
          </cell>
          <cell r="AC63" t="str">
            <v>Trưởng đoàn TVGS</v>
          </cell>
          <cell r="AD63" t="str">
            <v>Lê Thiều Nam</v>
          </cell>
          <cell r="AE63" t="str">
            <v>Cán bộ TVGS</v>
          </cell>
          <cell r="AF63" t="str">
            <v>................................</v>
          </cell>
          <cell r="AG63" t="str">
            <v>Cán bộ TVGS</v>
          </cell>
          <cell r="AH63" t="str">
            <v>Nguyễn Ái Việt</v>
          </cell>
          <cell r="AI63" t="str">
            <v>Chỉ huy trưởng</v>
          </cell>
          <cell r="AJ63" t="str">
            <v>Hoàng Chiến Thắng</v>
          </cell>
          <cell r="AK63" t="str">
            <v>P. Chỉ huy trưởng</v>
          </cell>
          <cell r="AL63" t="str">
            <v>Trịnh Quang Đức</v>
          </cell>
          <cell r="AM63" t="str">
            <v>Cán bộ kỹ thuật</v>
          </cell>
          <cell r="AN63" t="str">
            <v>KC-62</v>
          </cell>
          <cell r="AS63" t="str">
            <v>Ngày 9 Tháng 3 Năm 2015</v>
          </cell>
        </row>
        <row r="64">
          <cell r="A64" t="str">
            <v>BT-54</v>
          </cell>
          <cell r="B64" t="str">
            <v>Công tác đổ bê tông thang bộ LT tầng 2</v>
          </cell>
          <cell r="C64" t="str">
            <v>BT-54</v>
          </cell>
          <cell r="D64" t="str">
            <v>15h00</v>
          </cell>
          <cell r="E64" t="str">
            <v>15h30</v>
          </cell>
          <cell r="F64">
            <v>16</v>
          </cell>
          <cell r="G64">
            <v>4</v>
          </cell>
          <cell r="H64">
            <v>2015</v>
          </cell>
          <cell r="I64" t="str">
            <v>Hà Nội, ngày 16 tháng 4 năm 2015</v>
          </cell>
          <cell r="J64" t="str">
            <v>15h00 ngày 16 tháng 4 năm 2015</v>
          </cell>
          <cell r="K64" t="str">
            <v>15h30 ngày 16 tháng 4 năm 2015</v>
          </cell>
          <cell r="L64" t="str">
            <v>15h30</v>
          </cell>
          <cell r="M64" t="str">
            <v>16h00</v>
          </cell>
          <cell r="N64">
            <v>16</v>
          </cell>
          <cell r="O64">
            <v>4</v>
          </cell>
          <cell r="P64">
            <v>2015</v>
          </cell>
          <cell r="Q64" t="str">
            <v>Hà Nội, ngày 16 tháng 4 năm 2015</v>
          </cell>
          <cell r="R64" t="str">
            <v>15h30 ngày 16 tháng 4 năm 2015</v>
          </cell>
          <cell r="S64" t="str">
            <v>16h00 ngày 16 tháng 4 năm 2015</v>
          </cell>
          <cell r="T64" t="str">
            <v>15h30</v>
          </cell>
          <cell r="U64" t="str">
            <v>15h30 Ngày 16/4/2015</v>
          </cell>
          <cell r="V64" t="str">
            <v>Nguyễn Ái Việt</v>
          </cell>
          <cell r="W64" t="str">
            <v>Chỉ huy trưởng</v>
          </cell>
          <cell r="X64" t="str">
            <v>................................</v>
          </cell>
          <cell r="Y64" t="str">
            <v>................................</v>
          </cell>
          <cell r="Z64" t="str">
            <v>Nguyễn Văn Nghiễm</v>
          </cell>
          <cell r="AA64" t="str">
            <v>Cán bộ KCS</v>
          </cell>
          <cell r="AB64" t="str">
            <v>Vương Toàn Hiếu</v>
          </cell>
          <cell r="AC64" t="str">
            <v>Trưởng đoàn TVGS</v>
          </cell>
          <cell r="AD64" t="str">
            <v>Lê Thiều Nam</v>
          </cell>
          <cell r="AE64" t="str">
            <v>Cán bộ TVGS</v>
          </cell>
          <cell r="AF64" t="str">
            <v>................................</v>
          </cell>
          <cell r="AG64" t="str">
            <v>Cán bộ TVGS</v>
          </cell>
          <cell r="AH64" t="str">
            <v>Nguyễn Ái Việt</v>
          </cell>
          <cell r="AI64" t="str">
            <v>Chỉ huy trưởng</v>
          </cell>
          <cell r="AJ64" t="str">
            <v>Hoàng Chiến Thắng</v>
          </cell>
          <cell r="AK64" t="str">
            <v>P. Chỉ huy trưởng</v>
          </cell>
          <cell r="AL64" t="str">
            <v>Trịnh Quang Đức</v>
          </cell>
          <cell r="AM64" t="str">
            <v>Cán bộ kỹ thuật</v>
          </cell>
          <cell r="AN64" t="str">
            <v>KC-62</v>
          </cell>
          <cell r="AS64" t="str">
            <v>Ngày 16 Tháng 4 Năm 2015</v>
          </cell>
        </row>
        <row r="65">
          <cell r="A65" t="str">
            <v>BT-55</v>
          </cell>
          <cell r="B65" t="str">
            <v>Công tác đổ bê tông thang bộ LT tầng 3</v>
          </cell>
          <cell r="C65" t="str">
            <v>BT-55</v>
          </cell>
          <cell r="D65" t="str">
            <v>15h00</v>
          </cell>
          <cell r="E65" t="str">
            <v>15h30</v>
          </cell>
          <cell r="F65">
            <v>16</v>
          </cell>
          <cell r="G65">
            <v>5</v>
          </cell>
          <cell r="H65">
            <v>2015</v>
          </cell>
          <cell r="I65" t="str">
            <v>Hà Nội, ngày 16 tháng 5 năm 2015</v>
          </cell>
          <cell r="J65" t="str">
            <v>15h00 ngày 16 tháng 5 năm 2015</v>
          </cell>
          <cell r="K65" t="str">
            <v>15h30 ngày 16 tháng 5 năm 2015</v>
          </cell>
          <cell r="L65" t="str">
            <v>15h30</v>
          </cell>
          <cell r="M65" t="str">
            <v>…h….</v>
          </cell>
          <cell r="N65">
            <v>16</v>
          </cell>
          <cell r="O65">
            <v>5</v>
          </cell>
          <cell r="P65">
            <v>2015</v>
          </cell>
          <cell r="Q65" t="str">
            <v>Hà Nội, ngày 16 tháng 5 năm 2015</v>
          </cell>
          <cell r="R65" t="str">
            <v>15h30 ngày 16 tháng 5 năm 2015</v>
          </cell>
          <cell r="S65" t="str">
            <v>…h…. ngày 16 tháng 5 năm 2015</v>
          </cell>
          <cell r="T65" t="str">
            <v>15h30</v>
          </cell>
          <cell r="U65" t="str">
            <v>15h30 Ngày 16/5/2015</v>
          </cell>
          <cell r="V65" t="str">
            <v>Nguyễn Ái Việt</v>
          </cell>
          <cell r="W65" t="str">
            <v>Chỉ huy trưởng</v>
          </cell>
          <cell r="X65" t="str">
            <v>................................</v>
          </cell>
          <cell r="Y65" t="str">
            <v>................................</v>
          </cell>
          <cell r="Z65" t="str">
            <v>Nguyễn Văn Nghiễm</v>
          </cell>
          <cell r="AA65" t="str">
            <v>Cán bộ KCS</v>
          </cell>
          <cell r="AB65" t="str">
            <v>Vương Toàn Hiếu</v>
          </cell>
          <cell r="AC65" t="str">
            <v>Trưởng đoàn TVGS</v>
          </cell>
          <cell r="AD65" t="str">
            <v>Lê Thiều Nam</v>
          </cell>
          <cell r="AE65" t="str">
            <v>Cán bộ TVGS</v>
          </cell>
          <cell r="AF65" t="str">
            <v>................................</v>
          </cell>
          <cell r="AG65" t="str">
            <v>Cán bộ TVGS</v>
          </cell>
          <cell r="AH65" t="str">
            <v>Nguyễn Ái Việt</v>
          </cell>
          <cell r="AI65" t="str">
            <v>Chỉ huy trưởng</v>
          </cell>
          <cell r="AJ65" t="str">
            <v>Hoàng Chiến Thắng</v>
          </cell>
          <cell r="AK65" t="str">
            <v>P. Chỉ huy trưởng</v>
          </cell>
          <cell r="AL65" t="str">
            <v>Trịnh Quang Đức</v>
          </cell>
          <cell r="AM65" t="str">
            <v>Cán bộ kỹ thuật</v>
          </cell>
          <cell r="AN65" t="str">
            <v>KC-62</v>
          </cell>
          <cell r="AS65" t="str">
            <v>Ngày 16 Tháng 5 Năm 2015</v>
          </cell>
        </row>
        <row r="66">
          <cell r="A66" t="str">
            <v>BT-</v>
          </cell>
          <cell r="B66" t="str">
            <v>Công tác đổ bê tông dầm, sàn tầng 9 trục (X1÷X4/Y1÷Y5) và (X1÷X2/Y5÷Y8)</v>
          </cell>
          <cell r="C66" t="str">
            <v>BT-</v>
          </cell>
          <cell r="D66" t="str">
            <v>16h00</v>
          </cell>
          <cell r="E66" t="str">
            <v>16h30</v>
          </cell>
          <cell r="F66">
            <v>20</v>
          </cell>
          <cell r="G66">
            <v>5</v>
          </cell>
          <cell r="H66">
            <v>2015</v>
          </cell>
          <cell r="I66" t="str">
            <v>Hà Nội, ngày 20 tháng 5 năm 2015</v>
          </cell>
          <cell r="J66" t="str">
            <v>16h00 ngày 20 tháng 5 năm 2015</v>
          </cell>
          <cell r="K66" t="str">
            <v>16h30 ngày 20 tháng 5 năm 2015</v>
          </cell>
          <cell r="L66" t="str">
            <v>16h30</v>
          </cell>
          <cell r="M66" t="str">
            <v>17h00</v>
          </cell>
          <cell r="N66">
            <v>20</v>
          </cell>
          <cell r="O66">
            <v>5</v>
          </cell>
          <cell r="P66">
            <v>2015</v>
          </cell>
          <cell r="Q66" t="str">
            <v>Hà Nội, ngày 20 tháng 5 năm 2015</v>
          </cell>
          <cell r="R66" t="str">
            <v>16h30 ngày 20 tháng 5 năm 2015</v>
          </cell>
          <cell r="S66" t="str">
            <v>17h00 ngày 20 tháng 5 năm 2015</v>
          </cell>
          <cell r="T66" t="str">
            <v>16h30</v>
          </cell>
          <cell r="U66" t="str">
            <v>16h30 Ngày 20/5/2015</v>
          </cell>
          <cell r="V66" t="str">
            <v>Nguyễn Ái Việt</v>
          </cell>
          <cell r="W66" t="str">
            <v>Chỉ huy trưởng</v>
          </cell>
          <cell r="X66" t="str">
            <v>................................</v>
          </cell>
          <cell r="Y66" t="str">
            <v>................................</v>
          </cell>
          <cell r="Z66" t="str">
            <v>Nguyễn Văn Nghiễm</v>
          </cell>
          <cell r="AA66" t="str">
            <v>Cán bộ KCS</v>
          </cell>
          <cell r="AB66" t="str">
            <v>Vương Toàn Hiếu</v>
          </cell>
          <cell r="AC66" t="str">
            <v>Trưởng đoàn TVGS</v>
          </cell>
          <cell r="AD66" t="str">
            <v>Lê Thiều Nam</v>
          </cell>
          <cell r="AE66" t="str">
            <v>Cán bộ TVGS</v>
          </cell>
          <cell r="AF66" t="str">
            <v>................................</v>
          </cell>
          <cell r="AG66" t="str">
            <v>Cán bộ TVGS</v>
          </cell>
          <cell r="AH66" t="str">
            <v>Nguyễn Ái Việt</v>
          </cell>
          <cell r="AI66" t="str">
            <v>Chỉ huy trưởng</v>
          </cell>
          <cell r="AJ66" t="str">
            <v>Hoàng Chiến Thắng</v>
          </cell>
          <cell r="AK66" t="str">
            <v>P. Chỉ huy trưởng</v>
          </cell>
          <cell r="AL66" t="str">
            <v>Trịnh Quang Đức</v>
          </cell>
          <cell r="AM66" t="str">
            <v>Cán bộ kỹ thuật</v>
          </cell>
          <cell r="AN66" t="str">
            <v>KC-14</v>
          </cell>
          <cell r="AS66" t="str">
            <v>Ngày 20 Tháng 5 Năm 2015</v>
          </cell>
        </row>
        <row r="67">
          <cell r="A67" t="str">
            <v>BT-57</v>
          </cell>
          <cell r="B67" t="str">
            <v>Công tác đổ bê tông dầm, sàn tầng 9 trục (X2÷X4'/Y5÷Y8) và (X4'-X8/Y5'-Y8)</v>
          </cell>
          <cell r="C67" t="str">
            <v>BT-57</v>
          </cell>
          <cell r="D67" t="str">
            <v>16h00</v>
          </cell>
          <cell r="E67" t="str">
            <v>16h30</v>
          </cell>
          <cell r="F67">
            <v>25</v>
          </cell>
          <cell r="G67">
            <v>5</v>
          </cell>
          <cell r="H67">
            <v>2015</v>
          </cell>
          <cell r="I67" t="str">
            <v>Hà Nội, ngày 25 tháng 5 năm 2015</v>
          </cell>
          <cell r="J67" t="str">
            <v>16h00 ngày 25 tháng 5 năm 2015</v>
          </cell>
          <cell r="K67" t="str">
            <v>16h30 ngày 25 tháng 5 năm 2015</v>
          </cell>
          <cell r="L67" t="str">
            <v>16h30</v>
          </cell>
          <cell r="M67" t="str">
            <v>17h00</v>
          </cell>
          <cell r="N67">
            <v>25</v>
          </cell>
          <cell r="O67">
            <v>5</v>
          </cell>
          <cell r="P67">
            <v>2015</v>
          </cell>
          <cell r="Q67" t="str">
            <v>Hà Nội, ngày 25 tháng 5 năm 2015</v>
          </cell>
          <cell r="R67" t="str">
            <v>16h30 ngày 25 tháng 5 năm 2015</v>
          </cell>
          <cell r="S67" t="str">
            <v>17h00 ngày 25 tháng 5 năm 2015</v>
          </cell>
          <cell r="T67" t="str">
            <v>16h30</v>
          </cell>
          <cell r="U67" t="str">
            <v>16h30 Ngày 25/5/2015</v>
          </cell>
          <cell r="V67" t="str">
            <v>Nguyễn Ái Việt</v>
          </cell>
          <cell r="W67" t="str">
            <v>Chỉ huy trưởng</v>
          </cell>
          <cell r="X67" t="str">
            <v>................................</v>
          </cell>
          <cell r="Y67" t="str">
            <v>................................</v>
          </cell>
          <cell r="Z67" t="str">
            <v>Nguyễn Văn Nghiễm</v>
          </cell>
          <cell r="AA67" t="str">
            <v>Cán bộ KCS</v>
          </cell>
          <cell r="AB67" t="str">
            <v>Vương Toàn Hiếu</v>
          </cell>
          <cell r="AC67" t="str">
            <v>Trưởng đoàn TVGS</v>
          </cell>
          <cell r="AD67" t="str">
            <v>Lê Thiều Nam</v>
          </cell>
          <cell r="AE67" t="str">
            <v>Cán bộ TVGS</v>
          </cell>
          <cell r="AF67" t="str">
            <v>................................</v>
          </cell>
          <cell r="AG67" t="str">
            <v>Cán bộ TVGS</v>
          </cell>
          <cell r="AH67" t="str">
            <v>Nguyễn Ái Việt</v>
          </cell>
          <cell r="AI67" t="str">
            <v>Chỉ huy trưởng</v>
          </cell>
          <cell r="AJ67" t="str">
            <v>Hoàng Chiến Thắng</v>
          </cell>
          <cell r="AK67" t="str">
            <v>P. Chỉ huy trưởng</v>
          </cell>
          <cell r="AL67" t="str">
            <v>Trịnh Quang Đức</v>
          </cell>
          <cell r="AM67" t="str">
            <v>Cán bộ kỹ thuật</v>
          </cell>
          <cell r="AN67" t="str">
            <v>KC-14</v>
          </cell>
          <cell r="AS67" t="str">
            <v>Ngày 25 Tháng 5 Năm 2015</v>
          </cell>
        </row>
        <row r="68">
          <cell r="A68" t="str">
            <v>BT-58</v>
          </cell>
          <cell r="B68" t="str">
            <v>Công tác đổ bê tông thang bộ TB tầng 3 và tầng 4 trục X8+2,55m/Y5'÷Y6'</v>
          </cell>
          <cell r="C68" t="str">
            <v>BT-58</v>
          </cell>
          <cell r="D68" t="str">
            <v>14h00</v>
          </cell>
          <cell r="E68" t="str">
            <v>14h45</v>
          </cell>
          <cell r="F68">
            <v>27</v>
          </cell>
          <cell r="G68">
            <v>5</v>
          </cell>
          <cell r="H68">
            <v>2015</v>
          </cell>
          <cell r="I68" t="str">
            <v>Hà Nội, ngày 27 tháng 5 năm 2015</v>
          </cell>
          <cell r="J68" t="str">
            <v>14h00 ngày 27 tháng 5 năm 2015</v>
          </cell>
          <cell r="K68" t="str">
            <v>14h45 ngày 27 tháng 5 năm 2015</v>
          </cell>
          <cell r="L68" t="str">
            <v>14h45</v>
          </cell>
          <cell r="M68" t="str">
            <v>15h30</v>
          </cell>
          <cell r="N68">
            <v>27</v>
          </cell>
          <cell r="O68">
            <v>5</v>
          </cell>
          <cell r="P68">
            <v>2015</v>
          </cell>
          <cell r="Q68" t="str">
            <v>Hà Nội, ngày 27 tháng 5 năm 2015</v>
          </cell>
          <cell r="R68" t="str">
            <v>14h45 ngày 27 tháng 5 năm 2015</v>
          </cell>
          <cell r="S68" t="str">
            <v>15h30 ngày 27 tháng 5 năm 2015</v>
          </cell>
          <cell r="T68" t="str">
            <v>14h45</v>
          </cell>
          <cell r="U68" t="str">
            <v>14h45 Ngày 27/5/2015</v>
          </cell>
          <cell r="V68" t="str">
            <v>Nguyễn Ái Việt</v>
          </cell>
          <cell r="W68" t="str">
            <v>Chỉ huy trưởng</v>
          </cell>
          <cell r="X68" t="str">
            <v>................................</v>
          </cell>
          <cell r="Y68" t="str">
            <v>................................</v>
          </cell>
          <cell r="Z68" t="str">
            <v>Nguyễn Văn Nghiễm</v>
          </cell>
          <cell r="AA68" t="str">
            <v>Cán bộ KCS</v>
          </cell>
          <cell r="AB68" t="str">
            <v>Vương Toàn Hiếu</v>
          </cell>
          <cell r="AC68" t="str">
            <v>Trưởng đoàn TVGS</v>
          </cell>
          <cell r="AD68" t="str">
            <v>Lê Thiều Nam</v>
          </cell>
          <cell r="AE68" t="str">
            <v>Cán bộ TVGS</v>
          </cell>
          <cell r="AF68" t="str">
            <v>................................</v>
          </cell>
          <cell r="AG68" t="str">
            <v>Cán bộ TVGS</v>
          </cell>
          <cell r="AH68" t="str">
            <v>Nguyễn Ái Việt</v>
          </cell>
          <cell r="AI68" t="str">
            <v>Chỉ huy trưởng</v>
          </cell>
          <cell r="AJ68" t="str">
            <v>Hoàng Chiến Thắng</v>
          </cell>
          <cell r="AK68" t="str">
            <v>P. Chỉ huy trưởng</v>
          </cell>
          <cell r="AL68" t="str">
            <v>Trịnh Quang Đức</v>
          </cell>
          <cell r="AM68" t="str">
            <v>Cán bộ kỹ thuật</v>
          </cell>
          <cell r="AN68" t="str">
            <v>KC-63</v>
          </cell>
          <cell r="AS68" t="str">
            <v>Ngày 27 Tháng 5 Năm 2015</v>
          </cell>
        </row>
        <row r="69">
          <cell r="A69" t="str">
            <v>BT-59</v>
          </cell>
          <cell r="B69" t="str">
            <v>Công tác đổ bê tông cột, vách tầng 9</v>
          </cell>
          <cell r="C69" t="str">
            <v>BT-59</v>
          </cell>
          <cell r="D69" t="str">
            <v>16h00</v>
          </cell>
          <cell r="E69" t="str">
            <v>16h30</v>
          </cell>
          <cell r="F69">
            <v>22</v>
          </cell>
          <cell r="G69">
            <v>5</v>
          </cell>
          <cell r="H69">
            <v>2015</v>
          </cell>
          <cell r="I69" t="str">
            <v>Hà Nội, ngày 29 tháng 5 năm 2015</v>
          </cell>
          <cell r="J69" t="str">
            <v>16h00 ngày 22 tháng 5 năm 2015</v>
          </cell>
          <cell r="K69" t="str">
            <v>16h30 ngày 29 tháng 5 năm 2015</v>
          </cell>
          <cell r="L69" t="str">
            <v>17h00</v>
          </cell>
          <cell r="M69" t="str">
            <v>17h15</v>
          </cell>
          <cell r="N69">
            <v>29</v>
          </cell>
          <cell r="O69">
            <v>5</v>
          </cell>
          <cell r="P69">
            <v>2015</v>
          </cell>
          <cell r="Q69" t="str">
            <v>Hà Nội, ngày 22 tháng 5 năm 2015</v>
          </cell>
          <cell r="R69" t="str">
            <v>17h00 ngày 22 tháng 5 năm 2015</v>
          </cell>
          <cell r="S69" t="str">
            <v>17h15 ngày 29 tháng 5 năm 2015</v>
          </cell>
          <cell r="T69" t="str">
            <v>17h00</v>
          </cell>
          <cell r="U69" t="str">
            <v>17h00 Ngày 22/5/2015</v>
          </cell>
          <cell r="V69" t="str">
            <v>Nguyễn Ái Việt</v>
          </cell>
          <cell r="W69" t="str">
            <v>Chỉ huy trưởng</v>
          </cell>
          <cell r="X69" t="str">
            <v>................................</v>
          </cell>
          <cell r="Y69" t="str">
            <v>................................</v>
          </cell>
          <cell r="Z69" t="str">
            <v>Nguyễn Văn Nghiễm</v>
          </cell>
          <cell r="AA69" t="str">
            <v>Cán bộ KCS</v>
          </cell>
          <cell r="AB69" t="str">
            <v>Vương Toàn Hiếu</v>
          </cell>
          <cell r="AC69" t="str">
            <v>Trưởng đoàn TVGS</v>
          </cell>
          <cell r="AD69" t="str">
            <v>Lê Thiều Nam</v>
          </cell>
          <cell r="AE69" t="str">
            <v>Cán bộ TVGS</v>
          </cell>
          <cell r="AF69" t="str">
            <v>................................</v>
          </cell>
          <cell r="AG69" t="str">
            <v>Cán bộ TVGS</v>
          </cell>
          <cell r="AH69" t="str">
            <v>Nguyễn Ái Việt</v>
          </cell>
          <cell r="AI69" t="str">
            <v>Chỉ huy trưởng</v>
          </cell>
          <cell r="AJ69" t="str">
            <v>Hoàng Chiến Thắng</v>
          </cell>
          <cell r="AK69" t="str">
            <v>P. Chỉ huy trưởng</v>
          </cell>
          <cell r="AL69" t="str">
            <v>Trịnh Quang Đức</v>
          </cell>
          <cell r="AM69" t="str">
            <v>Cán bộ kỹ thuật</v>
          </cell>
          <cell r="AN69" t="str">
            <v>KC-19;KC-21÷KC-26</v>
          </cell>
          <cell r="AS69" t="str">
            <v>Ngày 22 Tháng 5 Năm 2015</v>
          </cell>
        </row>
        <row r="70">
          <cell r="A70" t="str">
            <v>BT-60</v>
          </cell>
          <cell r="B70" t="str">
            <v>Công tác đổ bê tông dầm, sàn tầng 10 trục (X1÷X4/Y1÷Y5) và (X1÷X2/Y5÷Y8)</v>
          </cell>
          <cell r="C70" t="str">
            <v>BT-60</v>
          </cell>
          <cell r="D70" t="str">
            <v>8h00</v>
          </cell>
          <cell r="E70" t="str">
            <v>8h45</v>
          </cell>
          <cell r="F70">
            <v>2</v>
          </cell>
          <cell r="G70">
            <v>6</v>
          </cell>
          <cell r="H70">
            <v>2015</v>
          </cell>
          <cell r="I70" t="str">
            <v>Hà Nội, ngày 2 tháng 6 năm 2015</v>
          </cell>
          <cell r="J70" t="str">
            <v>8h00 ngày 2 tháng 6 năm 2015</v>
          </cell>
          <cell r="K70" t="str">
            <v>8h45 ngày 2 tháng 6 năm 2015</v>
          </cell>
          <cell r="L70" t="str">
            <v>8h45</v>
          </cell>
          <cell r="M70" t="str">
            <v>9h30</v>
          </cell>
          <cell r="N70">
            <v>2</v>
          </cell>
          <cell r="O70">
            <v>6</v>
          </cell>
          <cell r="P70">
            <v>2015</v>
          </cell>
          <cell r="Q70" t="str">
            <v>Hà Nội, ngày 2 tháng 6 năm 2015</v>
          </cell>
          <cell r="R70" t="str">
            <v>8h45 ngày 2 tháng 6 năm 2015</v>
          </cell>
          <cell r="S70" t="str">
            <v>9h30 ngày 2 tháng 6 năm 2015</v>
          </cell>
          <cell r="T70" t="str">
            <v>8h45</v>
          </cell>
          <cell r="U70" t="str">
            <v>8h45 Ngày 2/6/2015</v>
          </cell>
          <cell r="V70" t="str">
            <v>Nguyễn Ái Việt</v>
          </cell>
          <cell r="W70" t="str">
            <v>Chỉ huy trưởng</v>
          </cell>
          <cell r="X70" t="str">
            <v>................................</v>
          </cell>
          <cell r="Y70" t="str">
            <v>................................</v>
          </cell>
          <cell r="Z70" t="str">
            <v>Nguyễn Văn Nghiễm</v>
          </cell>
          <cell r="AA70" t="str">
            <v>Cán bộ KCS</v>
          </cell>
          <cell r="AB70" t="str">
            <v>Vương Toàn Hiếu</v>
          </cell>
          <cell r="AC70" t="str">
            <v>Trưởng đoàn TVGS</v>
          </cell>
          <cell r="AD70" t="str">
            <v>Lê Thiều Nam</v>
          </cell>
          <cell r="AE70" t="str">
            <v>Cán bộ TVGS</v>
          </cell>
          <cell r="AF70" t="str">
            <v>................................</v>
          </cell>
          <cell r="AG70" t="str">
            <v>Cán bộ TVGS</v>
          </cell>
          <cell r="AH70" t="str">
            <v>Nguyễn Ái Việt</v>
          </cell>
          <cell r="AI70" t="str">
            <v>Chỉ huy trưởng</v>
          </cell>
          <cell r="AJ70" t="str">
            <v>Hoàng Chiến Thắng</v>
          </cell>
          <cell r="AK70" t="str">
            <v>P. Chỉ huy trưởng</v>
          </cell>
          <cell r="AL70" t="str">
            <v>Trịnh Quang Đức</v>
          </cell>
          <cell r="AM70" t="str">
            <v>Cán bộ kỹ thuật</v>
          </cell>
          <cell r="AN70" t="str">
            <v>KC-14</v>
          </cell>
          <cell r="AS70" t="str">
            <v>Ngày 2 Tháng 6 Năm 2015</v>
          </cell>
        </row>
        <row r="71">
          <cell r="A71" t="str">
            <v>BT-61</v>
          </cell>
          <cell r="B71" t="str">
            <v>Công tác đổ bê tông dầm, sàn tầng 10 trục (X2÷X4'/Y5÷Y8) và (X4'-X8/Y5'-Y8)</v>
          </cell>
          <cell r="C71" t="str">
            <v>BT-61</v>
          </cell>
          <cell r="D71" t="str">
            <v>8h00</v>
          </cell>
          <cell r="E71" t="str">
            <v>8h45</v>
          </cell>
          <cell r="F71">
            <v>7</v>
          </cell>
          <cell r="G71">
            <v>6</v>
          </cell>
          <cell r="H71">
            <v>2015</v>
          </cell>
          <cell r="I71" t="str">
            <v>Hà Nội, ngày 7 tháng 6 năm 2015</v>
          </cell>
          <cell r="J71" t="str">
            <v>8h00 ngày 7 tháng 6 năm 2015</v>
          </cell>
          <cell r="K71" t="str">
            <v>8h45 ngày 7 tháng 6 năm 2015</v>
          </cell>
          <cell r="L71" t="str">
            <v>8h45</v>
          </cell>
          <cell r="M71" t="str">
            <v>9h30</v>
          </cell>
          <cell r="N71">
            <v>7</v>
          </cell>
          <cell r="O71">
            <v>6</v>
          </cell>
          <cell r="P71">
            <v>2015</v>
          </cell>
          <cell r="Q71" t="str">
            <v>Hà Nội, ngày 7 tháng 6 năm 2015</v>
          </cell>
          <cell r="R71" t="str">
            <v>8h45 ngày 7 tháng 6 năm 2015</v>
          </cell>
          <cell r="S71" t="str">
            <v>9h30 ngày 7 tháng 6 năm 2015</v>
          </cell>
          <cell r="T71" t="str">
            <v>8h45</v>
          </cell>
          <cell r="U71" t="str">
            <v>8h45 Ngày 7/6/2015</v>
          </cell>
          <cell r="V71" t="str">
            <v>Nguyễn Ái Việt</v>
          </cell>
          <cell r="W71" t="str">
            <v>Chỉ huy trưởng</v>
          </cell>
          <cell r="X71" t="str">
            <v>................................</v>
          </cell>
          <cell r="Y71" t="str">
            <v>................................</v>
          </cell>
          <cell r="Z71" t="str">
            <v>Nguyễn Văn Nghiễm</v>
          </cell>
          <cell r="AA71" t="str">
            <v>Cán bộ KCS</v>
          </cell>
          <cell r="AB71" t="str">
            <v>Vương Toàn Hiếu</v>
          </cell>
          <cell r="AC71" t="str">
            <v>Trưởng đoàn TVGS</v>
          </cell>
          <cell r="AD71" t="str">
            <v>Lê Thiều Nam</v>
          </cell>
          <cell r="AE71" t="str">
            <v>Cán bộ TVGS</v>
          </cell>
          <cell r="AF71" t="str">
            <v>................................</v>
          </cell>
          <cell r="AG71" t="str">
            <v>Cán bộ TVGS</v>
          </cell>
          <cell r="AH71" t="str">
            <v>Nguyễn Ái Việt</v>
          </cell>
          <cell r="AI71" t="str">
            <v>Chỉ huy trưởng</v>
          </cell>
          <cell r="AJ71" t="str">
            <v>Hoàng Chiến Thắng</v>
          </cell>
          <cell r="AK71" t="str">
            <v>P. Chỉ huy trưởng</v>
          </cell>
          <cell r="AL71" t="str">
            <v>Trịnh Quang Đức</v>
          </cell>
          <cell r="AM71" t="str">
            <v>Cán bộ kỹ thuật</v>
          </cell>
          <cell r="AN71" t="str">
            <v>KC-14</v>
          </cell>
          <cell r="AS71" t="str">
            <v>Ngày 7 Tháng 6 Năm 2015</v>
          </cell>
        </row>
        <row r="72">
          <cell r="A72" t="str">
            <v>BT-62</v>
          </cell>
          <cell r="B72" t="str">
            <v>Công tác đổ bê tông cột, vách tầng 10</v>
          </cell>
          <cell r="C72" t="str">
            <v>BT-62</v>
          </cell>
          <cell r="D72" t="str">
            <v>14h00</v>
          </cell>
          <cell r="E72" t="str">
            <v>14h15</v>
          </cell>
          <cell r="F72">
            <v>3</v>
          </cell>
          <cell r="G72">
            <v>6</v>
          </cell>
          <cell r="H72">
            <v>2015</v>
          </cell>
          <cell r="I72" t="str">
            <v>Hà Nội, ngày 11 tháng 6 năm 2015</v>
          </cell>
          <cell r="J72" t="str">
            <v>14h00 ngày 3 tháng 6 năm 2015</v>
          </cell>
          <cell r="K72" t="str">
            <v>14h15 ngày 11 tháng 6 năm 2015</v>
          </cell>
          <cell r="L72" t="str">
            <v>14h45</v>
          </cell>
          <cell r="M72" t="str">
            <v>15h00</v>
          </cell>
          <cell r="N72">
            <v>11</v>
          </cell>
          <cell r="O72">
            <v>6</v>
          </cell>
          <cell r="P72">
            <v>2015</v>
          </cell>
          <cell r="Q72" t="str">
            <v>Hà Nội, ngày 3 tháng 6 năm 2015</v>
          </cell>
          <cell r="R72" t="str">
            <v>14h45 ngày 3 tháng 6 năm 2015</v>
          </cell>
          <cell r="S72" t="str">
            <v>15h00 ngày 11 tháng 6 năm 2015</v>
          </cell>
          <cell r="T72" t="str">
            <v>14h45</v>
          </cell>
          <cell r="U72" t="str">
            <v>14h45 Ngày 3/6/2015</v>
          </cell>
          <cell r="V72" t="str">
            <v>Nguyễn Ái Việt</v>
          </cell>
          <cell r="W72" t="str">
            <v>Chỉ huy trưởng</v>
          </cell>
          <cell r="X72" t="str">
            <v>................................</v>
          </cell>
          <cell r="Y72" t="str">
            <v>................................</v>
          </cell>
          <cell r="Z72" t="str">
            <v>Nguyễn Văn Nghiễm</v>
          </cell>
          <cell r="AA72" t="str">
            <v>Cán bộ KCS</v>
          </cell>
          <cell r="AB72" t="str">
            <v>Vương Toàn Hiếu</v>
          </cell>
          <cell r="AC72" t="str">
            <v>Trưởng đoàn TVGS</v>
          </cell>
          <cell r="AD72" t="str">
            <v>Lê Thiều Nam</v>
          </cell>
          <cell r="AE72" t="str">
            <v>Cán bộ TVGS</v>
          </cell>
          <cell r="AF72" t="str">
            <v>................................</v>
          </cell>
          <cell r="AG72" t="str">
            <v>Cán bộ TVGS</v>
          </cell>
          <cell r="AH72" t="str">
            <v>Nguyễn Ái Việt</v>
          </cell>
          <cell r="AI72" t="str">
            <v>Chỉ huy trưởng</v>
          </cell>
          <cell r="AJ72" t="str">
            <v>Hoàng Chiến Thắng</v>
          </cell>
          <cell r="AK72" t="str">
            <v>P. Chỉ huy trưởng</v>
          </cell>
          <cell r="AL72" t="str">
            <v>Trịnh Quang Đức</v>
          </cell>
          <cell r="AM72" t="str">
            <v>Cán bộ kỹ thuật</v>
          </cell>
          <cell r="AN72" t="str">
            <v>KC-19;KC-21÷KC-26</v>
          </cell>
          <cell r="AS72" t="str">
            <v>Ngày 3 Tháng 6 Năm 2015</v>
          </cell>
        </row>
        <row r="73">
          <cell r="A73" t="str">
            <v>BT-63</v>
          </cell>
          <cell r="B73" t="str">
            <v>Công tác đổ bê tông thang bộ LT tầng 5, thang bộ TB tầng 5, 6 trục X8+2,55m/Y5'-Y7'</v>
          </cell>
          <cell r="C73" t="str">
            <v>BT-63</v>
          </cell>
          <cell r="D73" t="str">
            <v>8h00</v>
          </cell>
          <cell r="E73" t="str">
            <v>8h45</v>
          </cell>
          <cell r="F73">
            <v>13</v>
          </cell>
          <cell r="G73">
            <v>6</v>
          </cell>
          <cell r="H73">
            <v>2015</v>
          </cell>
          <cell r="I73" t="str">
            <v>Hà Nội, ngày 13 tháng 6 năm 2015</v>
          </cell>
          <cell r="J73" t="str">
            <v>8h00 ngày 13 tháng 6 năm 2015</v>
          </cell>
          <cell r="K73" t="str">
            <v>8h45 ngày 13 tháng 6 năm 2015</v>
          </cell>
          <cell r="L73" t="str">
            <v>8h45</v>
          </cell>
          <cell r="M73" t="str">
            <v>9h30</v>
          </cell>
          <cell r="N73">
            <v>13</v>
          </cell>
          <cell r="O73">
            <v>6</v>
          </cell>
          <cell r="P73">
            <v>2015</v>
          </cell>
          <cell r="Q73" t="str">
            <v>Hà Nội, ngày 13 tháng 6 năm 2015</v>
          </cell>
          <cell r="R73" t="str">
            <v>8h45 ngày 13 tháng 6 năm 2015</v>
          </cell>
          <cell r="S73" t="str">
            <v>9h30 ngày 13 tháng 6 năm 2015</v>
          </cell>
          <cell r="T73" t="str">
            <v>8h45</v>
          </cell>
          <cell r="U73" t="str">
            <v>8h45 Ngày 13/6/2015</v>
          </cell>
          <cell r="V73" t="str">
            <v>Nguyễn Ái Việt</v>
          </cell>
          <cell r="W73" t="str">
            <v>Chỉ huy trưởng</v>
          </cell>
          <cell r="X73" t="str">
            <v>................................</v>
          </cell>
          <cell r="Y73" t="str">
            <v>................................</v>
          </cell>
          <cell r="Z73" t="str">
            <v>Nguyễn Văn Nghiễm</v>
          </cell>
          <cell r="AA73" t="str">
            <v>Cán bộ KCS</v>
          </cell>
          <cell r="AB73" t="str">
            <v>Vương Toàn Hiếu</v>
          </cell>
          <cell r="AC73" t="str">
            <v>Trưởng đoàn TVGS</v>
          </cell>
          <cell r="AD73" t="str">
            <v>Lê Thiều Nam</v>
          </cell>
          <cell r="AE73" t="str">
            <v>Cán bộ TVGS</v>
          </cell>
          <cell r="AF73" t="str">
            <v>................................</v>
          </cell>
          <cell r="AG73" t="str">
            <v>Cán bộ TVGS</v>
          </cell>
          <cell r="AH73" t="str">
            <v>Nguyễn Ái Việt</v>
          </cell>
          <cell r="AI73" t="str">
            <v>Chỉ huy trưởng</v>
          </cell>
          <cell r="AJ73" t="str">
            <v>Hoàng Chiến Thắng</v>
          </cell>
          <cell r="AK73" t="str">
            <v>P. Chỉ huy trưởng</v>
          </cell>
          <cell r="AL73" t="str">
            <v>Trịnh Quang Đức</v>
          </cell>
          <cell r="AM73" t="str">
            <v>Cán bộ kỹ thuật</v>
          </cell>
          <cell r="AN73" t="str">
            <v>KC-62; KC-63</v>
          </cell>
          <cell r="AS73" t="str">
            <v>Ngày 13 Tháng 6 Năm 2015</v>
          </cell>
        </row>
        <row r="74">
          <cell r="A74" t="str">
            <v>BT-64</v>
          </cell>
          <cell r="B74" t="str">
            <v>Công tác đổ bê tông dầm, sàn tầng 11 trục (X1÷X4/Y1÷Y5) và (X1÷X2/Y5÷Y8)</v>
          </cell>
          <cell r="C74" t="str">
            <v>BT-64</v>
          </cell>
          <cell r="D74" t="str">
            <v>15h00</v>
          </cell>
          <cell r="E74" t="str">
            <v>16h45</v>
          </cell>
          <cell r="F74">
            <v>14</v>
          </cell>
          <cell r="G74">
            <v>6</v>
          </cell>
          <cell r="H74">
            <v>2015</v>
          </cell>
          <cell r="I74" t="str">
            <v>Hà Nội, ngày 14 tháng 6 năm 2015</v>
          </cell>
          <cell r="J74" t="str">
            <v>15h00 ngày 14 tháng 6 năm 2015</v>
          </cell>
          <cell r="K74" t="str">
            <v>16h45 ngày 14 tháng 6 năm 2015</v>
          </cell>
          <cell r="L74" t="str">
            <v>16h45</v>
          </cell>
          <cell r="M74" t="str">
            <v>17h30</v>
          </cell>
          <cell r="N74">
            <v>14</v>
          </cell>
          <cell r="O74">
            <v>6</v>
          </cell>
          <cell r="P74">
            <v>2015</v>
          </cell>
          <cell r="Q74" t="str">
            <v>Hà Nội, ngày 14 tháng 6 năm 2015</v>
          </cell>
          <cell r="R74" t="str">
            <v>16h45 ngày 14 tháng 6 năm 2015</v>
          </cell>
          <cell r="S74" t="str">
            <v>17h30 ngày 14 tháng 6 năm 2015</v>
          </cell>
          <cell r="T74" t="str">
            <v>16h45</v>
          </cell>
          <cell r="U74" t="str">
            <v>16h45 Ngày 14/6/2015</v>
          </cell>
          <cell r="V74" t="str">
            <v>Nguyễn Ái Việt</v>
          </cell>
          <cell r="W74" t="str">
            <v>Chỉ huy trưởng</v>
          </cell>
          <cell r="X74" t="str">
            <v>................................</v>
          </cell>
          <cell r="Y74" t="str">
            <v>................................</v>
          </cell>
          <cell r="Z74" t="str">
            <v>Nguyễn Văn Nghiễm</v>
          </cell>
          <cell r="AA74" t="str">
            <v>Cán bộ KCS</v>
          </cell>
          <cell r="AB74" t="str">
            <v>Vương Toàn Hiếu</v>
          </cell>
          <cell r="AC74" t="str">
            <v>Trưởng đoàn TVGS</v>
          </cell>
          <cell r="AD74" t="str">
            <v>Lê Thiều Nam</v>
          </cell>
          <cell r="AE74" t="str">
            <v>Cán bộ TVGS</v>
          </cell>
          <cell r="AF74" t="str">
            <v>................................</v>
          </cell>
          <cell r="AG74" t="str">
            <v>Cán bộ TVGS</v>
          </cell>
          <cell r="AH74" t="str">
            <v>Nguyễn Ái Việt</v>
          </cell>
          <cell r="AI74" t="str">
            <v>Chỉ huy trưởng</v>
          </cell>
          <cell r="AJ74" t="str">
            <v>Hoàng Chiến Thắng</v>
          </cell>
          <cell r="AK74" t="str">
            <v>P. Chỉ huy trưởng</v>
          </cell>
          <cell r="AL74" t="str">
            <v>Trịnh Quang Đức</v>
          </cell>
          <cell r="AM74" t="str">
            <v>Cán bộ kỹ thuật</v>
          </cell>
          <cell r="AN74" t="str">
            <v>KC-14</v>
          </cell>
          <cell r="AS74" t="str">
            <v>Ngày 14 Tháng 6 Năm 2015</v>
          </cell>
        </row>
        <row r="75">
          <cell r="A75" t="str">
            <v>BT-65</v>
          </cell>
          <cell r="B75" t="str">
            <v>Công tác đổ bê tông dầm, sàn tầng 11 trục (X2÷X4'/Y5÷Y8) và (X4'-X8/Y5'-Y8)</v>
          </cell>
          <cell r="C75" t="str">
            <v>BT-65</v>
          </cell>
          <cell r="D75" t="str">
            <v>16h00</v>
          </cell>
          <cell r="E75" t="str">
            <v>16h45</v>
          </cell>
          <cell r="F75">
            <v>18</v>
          </cell>
          <cell r="G75">
            <v>6</v>
          </cell>
          <cell r="H75">
            <v>2015</v>
          </cell>
          <cell r="I75" t="str">
            <v>Hà Nội, ngày 18 tháng 6 năm 2015</v>
          </cell>
          <cell r="J75" t="str">
            <v>16h00 ngày 18 tháng 6 năm 2015</v>
          </cell>
          <cell r="K75" t="str">
            <v>16h45 ngày 18 tháng 6 năm 2015</v>
          </cell>
          <cell r="L75" t="str">
            <v>16h45</v>
          </cell>
          <cell r="M75" t="str">
            <v>17h30</v>
          </cell>
          <cell r="N75">
            <v>18</v>
          </cell>
          <cell r="O75">
            <v>6</v>
          </cell>
          <cell r="P75">
            <v>2015</v>
          </cell>
          <cell r="Q75" t="str">
            <v>Hà Nội, ngày 18 tháng 6 năm 2015</v>
          </cell>
          <cell r="R75" t="str">
            <v>16h45 ngày 18 tháng 6 năm 2015</v>
          </cell>
          <cell r="S75" t="str">
            <v>17h30 ngày 18 tháng 6 năm 2015</v>
          </cell>
          <cell r="T75" t="str">
            <v>16h45</v>
          </cell>
          <cell r="U75" t="str">
            <v>16h45 Ngày 18/6/2015</v>
          </cell>
          <cell r="V75" t="str">
            <v>Nguyễn Ái Việt</v>
          </cell>
          <cell r="W75" t="str">
            <v>Chỉ huy trưởng</v>
          </cell>
          <cell r="X75" t="str">
            <v>................................</v>
          </cell>
          <cell r="Y75" t="str">
            <v>................................</v>
          </cell>
          <cell r="Z75" t="str">
            <v>Nguyễn Văn Nghiễm</v>
          </cell>
          <cell r="AA75" t="str">
            <v>Cán bộ KCS</v>
          </cell>
          <cell r="AB75" t="str">
            <v>Vương Toàn Hiếu</v>
          </cell>
          <cell r="AC75" t="str">
            <v>Trưởng đoàn TVGS</v>
          </cell>
          <cell r="AD75" t="str">
            <v>Lê Thiều Nam</v>
          </cell>
          <cell r="AE75" t="str">
            <v>Cán bộ TVGS</v>
          </cell>
          <cell r="AF75" t="str">
            <v>................................</v>
          </cell>
          <cell r="AG75" t="str">
            <v>Cán bộ TVGS</v>
          </cell>
          <cell r="AH75" t="str">
            <v>Nguyễn Ái Việt</v>
          </cell>
          <cell r="AI75" t="str">
            <v>Chỉ huy trưởng</v>
          </cell>
          <cell r="AJ75" t="str">
            <v>Hoàng Chiến Thắng</v>
          </cell>
          <cell r="AK75" t="str">
            <v>P. Chỉ huy trưởng</v>
          </cell>
          <cell r="AL75" t="str">
            <v>Trịnh Quang Đức</v>
          </cell>
          <cell r="AM75" t="str">
            <v>Cán bộ kỹ thuật</v>
          </cell>
          <cell r="AN75" t="str">
            <v>KC-14</v>
          </cell>
          <cell r="AS75" t="str">
            <v>Ngày 18 Tháng 6 Năm 2015</v>
          </cell>
        </row>
        <row r="76">
          <cell r="A76" t="str">
            <v>BT-66</v>
          </cell>
          <cell r="B76" t="str">
            <v>Công tác đổ bê tông cột, vách tầng 11</v>
          </cell>
          <cell r="C76" t="str">
            <v>BT-66</v>
          </cell>
          <cell r="D76" t="str">
            <v>15h00</v>
          </cell>
          <cell r="E76" t="str">
            <v>16h00</v>
          </cell>
          <cell r="F76">
            <v>18</v>
          </cell>
          <cell r="G76">
            <v>6</v>
          </cell>
          <cell r="H76">
            <v>2015</v>
          </cell>
          <cell r="I76" t="str">
            <v>Hà Nội, ngày 22 tháng 6 năm 2015</v>
          </cell>
          <cell r="J76" t="str">
            <v>15h00 ngày 18 tháng 6 năm 2015</v>
          </cell>
          <cell r="K76" t="str">
            <v>16h00 ngày 22 tháng 6 năm 2015</v>
          </cell>
          <cell r="L76" t="str">
            <v>15h30</v>
          </cell>
          <cell r="M76" t="str">
            <v>16h30</v>
          </cell>
          <cell r="N76">
            <v>22</v>
          </cell>
          <cell r="O76">
            <v>6</v>
          </cell>
          <cell r="P76">
            <v>2015</v>
          </cell>
          <cell r="Q76" t="str">
            <v>Hà Nội, ngày 18 tháng 6 năm 2015</v>
          </cell>
          <cell r="R76" t="str">
            <v>15h30 ngày 18 tháng 6 năm 2015</v>
          </cell>
          <cell r="S76" t="str">
            <v>16h30 ngày 22 tháng 6 năm 2015</v>
          </cell>
          <cell r="T76" t="str">
            <v>15h30</v>
          </cell>
          <cell r="U76" t="str">
            <v>15h30 Ngày 18/6/2015</v>
          </cell>
          <cell r="V76" t="str">
            <v>Nguyễn Ái Việt</v>
          </cell>
          <cell r="W76" t="str">
            <v>Chỉ huy trưởng</v>
          </cell>
          <cell r="X76" t="str">
            <v>................................</v>
          </cell>
          <cell r="Y76" t="str">
            <v>................................</v>
          </cell>
          <cell r="Z76" t="str">
            <v>Nguyễn Văn Nghiễm</v>
          </cell>
          <cell r="AA76" t="str">
            <v>Cán bộ KCS</v>
          </cell>
          <cell r="AB76" t="str">
            <v>Vương Toàn Hiếu</v>
          </cell>
          <cell r="AC76" t="str">
            <v>Trưởng đoàn TVGS</v>
          </cell>
          <cell r="AD76" t="str">
            <v>Lê Thiều Nam</v>
          </cell>
          <cell r="AE76" t="str">
            <v>Cán bộ TVGS</v>
          </cell>
          <cell r="AF76" t="str">
            <v>................................</v>
          </cell>
          <cell r="AG76" t="str">
            <v>Cán bộ TVGS</v>
          </cell>
          <cell r="AH76" t="str">
            <v>Nguyễn Ái Việt</v>
          </cell>
          <cell r="AI76" t="str">
            <v>Chỉ huy trưởng</v>
          </cell>
          <cell r="AJ76" t="str">
            <v>Hoàng Chiến Thắng</v>
          </cell>
          <cell r="AK76" t="str">
            <v>P. Chỉ huy trưởng</v>
          </cell>
          <cell r="AL76" t="str">
            <v>Trịnh Quang Đức</v>
          </cell>
          <cell r="AM76" t="str">
            <v>Cán bộ kỹ thuật</v>
          </cell>
          <cell r="AN76" t="str">
            <v>KC-19;KC-21÷KC-26</v>
          </cell>
          <cell r="AS76" t="str">
            <v>Ngày 18 Tháng 6 Năm 2015</v>
          </cell>
        </row>
        <row r="77">
          <cell r="A77" t="str">
            <v>BT-67</v>
          </cell>
          <cell r="B77" t="str">
            <v>Công tác đổ bê tông thang bộ LT tầng 6, tầng 7</v>
          </cell>
          <cell r="C77" t="str">
            <v>BT-67</v>
          </cell>
          <cell r="D77" t="str">
            <v>8h00</v>
          </cell>
          <cell r="E77" t="str">
            <v>8h45</v>
          </cell>
          <cell r="F77">
            <v>23</v>
          </cell>
          <cell r="G77">
            <v>6</v>
          </cell>
          <cell r="H77">
            <v>2015</v>
          </cell>
          <cell r="I77" t="str">
            <v>Hà Nội, ngày 23 tháng 6 năm 2015</v>
          </cell>
          <cell r="J77" t="str">
            <v>8h00 ngày 23 tháng 6 năm 2015</v>
          </cell>
          <cell r="K77" t="str">
            <v>8h45 ngày 23 tháng 6 năm 2015</v>
          </cell>
          <cell r="L77" t="str">
            <v>8h45</v>
          </cell>
          <cell r="M77" t="str">
            <v>9h30</v>
          </cell>
          <cell r="N77">
            <v>23</v>
          </cell>
          <cell r="O77">
            <v>6</v>
          </cell>
          <cell r="P77">
            <v>2015</v>
          </cell>
          <cell r="Q77" t="str">
            <v>Hà Nội, ngày 23 tháng 6 năm 2015</v>
          </cell>
          <cell r="R77" t="str">
            <v>8h45 ngày 23 tháng 6 năm 2015</v>
          </cell>
          <cell r="S77" t="str">
            <v>9h30 ngày 23 tháng 6 năm 2015</v>
          </cell>
          <cell r="T77" t="str">
            <v>8h45</v>
          </cell>
          <cell r="U77" t="str">
            <v>8h45 Ngày 23/6/2015</v>
          </cell>
          <cell r="V77" t="str">
            <v>Nguyễn Ái Việt</v>
          </cell>
          <cell r="W77" t="str">
            <v>Chỉ huy trưởng</v>
          </cell>
          <cell r="X77" t="str">
            <v>................................</v>
          </cell>
          <cell r="Y77" t="str">
            <v>................................</v>
          </cell>
          <cell r="Z77" t="str">
            <v>Nguyễn Văn Nghiễm</v>
          </cell>
          <cell r="AA77" t="str">
            <v>Cán bộ KCS</v>
          </cell>
          <cell r="AB77" t="str">
            <v>Vương Toàn Hiếu</v>
          </cell>
          <cell r="AC77" t="str">
            <v>Trưởng đoàn TVGS</v>
          </cell>
          <cell r="AD77" t="str">
            <v>Lê Thiều Nam</v>
          </cell>
          <cell r="AE77" t="str">
            <v>Cán bộ TVGS</v>
          </cell>
          <cell r="AF77" t="str">
            <v>................................</v>
          </cell>
          <cell r="AG77" t="str">
            <v>Cán bộ TVGS</v>
          </cell>
          <cell r="AH77" t="str">
            <v>Nguyễn Ái Việt</v>
          </cell>
          <cell r="AI77" t="str">
            <v>Chỉ huy trưởng</v>
          </cell>
          <cell r="AJ77" t="str">
            <v>Hoàng Chiến Thắng</v>
          </cell>
          <cell r="AK77" t="str">
            <v>P. Chỉ huy trưởng</v>
          </cell>
          <cell r="AL77" t="str">
            <v>Trịnh Quang Đức</v>
          </cell>
          <cell r="AM77" t="str">
            <v>Cán bộ kỹ thuật</v>
          </cell>
          <cell r="AN77" t="str">
            <v>KC-62</v>
          </cell>
          <cell r="AS77" t="str">
            <v>Ngày 23 Tháng 6 Năm 2015</v>
          </cell>
        </row>
        <row r="78">
          <cell r="A78" t="str">
            <v>BT-68</v>
          </cell>
          <cell r="B78" t="str">
            <v>Công tác đổ bê tông dầm, sàn tầng áp mái</v>
          </cell>
          <cell r="C78" t="str">
            <v>BT-68</v>
          </cell>
          <cell r="D78" t="str">
            <v>15h00</v>
          </cell>
          <cell r="E78" t="str">
            <v>16h00</v>
          </cell>
          <cell r="F78">
            <v>1</v>
          </cell>
          <cell r="G78">
            <v>7</v>
          </cell>
          <cell r="H78">
            <v>2015</v>
          </cell>
          <cell r="I78" t="str">
            <v>Hà Nội, ngày 1 tháng 7 năm 2015</v>
          </cell>
          <cell r="J78" t="str">
            <v>15h00 ngày 1 tháng 7 năm 2015</v>
          </cell>
          <cell r="K78" t="str">
            <v>16h00 ngày 1 tháng 7 năm 2015</v>
          </cell>
          <cell r="L78" t="str">
            <v>16h00</v>
          </cell>
          <cell r="M78" t="str">
            <v>17h00</v>
          </cell>
          <cell r="N78">
            <v>1</v>
          </cell>
          <cell r="O78">
            <v>7</v>
          </cell>
          <cell r="P78">
            <v>2015</v>
          </cell>
          <cell r="Q78" t="str">
            <v>Hà Nội, ngày 1 tháng 7 năm 2015</v>
          </cell>
          <cell r="R78" t="str">
            <v>16h00 ngày 1 tháng 7 năm 2015</v>
          </cell>
          <cell r="S78" t="str">
            <v>17h00 ngày 1 tháng 7 năm 2015</v>
          </cell>
          <cell r="T78" t="str">
            <v>16h00</v>
          </cell>
          <cell r="U78" t="str">
            <v>16h00 Ngày 1/7/2015</v>
          </cell>
          <cell r="V78" t="str">
            <v>Nguyễn Ái Việt</v>
          </cell>
          <cell r="W78" t="str">
            <v>Chỉ huy trưởng</v>
          </cell>
          <cell r="X78" t="str">
            <v>................................</v>
          </cell>
          <cell r="Y78" t="str">
            <v>................................</v>
          </cell>
          <cell r="Z78" t="str">
            <v>Nguyễn Văn Nghiễm</v>
          </cell>
          <cell r="AA78" t="str">
            <v>Cán bộ KCS</v>
          </cell>
          <cell r="AB78" t="str">
            <v>Vương Toàn Hiếu</v>
          </cell>
          <cell r="AC78" t="str">
            <v>Trưởng đoàn TVGS</v>
          </cell>
          <cell r="AD78" t="str">
            <v>Lê Thiều Nam</v>
          </cell>
          <cell r="AE78" t="str">
            <v>Cán bộ TVGS</v>
          </cell>
          <cell r="AF78" t="str">
            <v>................................</v>
          </cell>
          <cell r="AG78" t="str">
            <v>Cán bộ TVGS</v>
          </cell>
          <cell r="AH78" t="str">
            <v>Nguyễn Ái Việt</v>
          </cell>
          <cell r="AI78" t="str">
            <v>Chỉ huy trưởng</v>
          </cell>
          <cell r="AJ78" t="str">
            <v>Hoàng Chiến Thắng</v>
          </cell>
          <cell r="AK78" t="str">
            <v>P. Chỉ huy trưởng</v>
          </cell>
          <cell r="AL78" t="str">
            <v>Trịnh Quang Đức</v>
          </cell>
          <cell r="AM78" t="str">
            <v>Cán bộ kỹ thuật</v>
          </cell>
          <cell r="AN78" t="str">
            <v>KC-15</v>
          </cell>
          <cell r="AS78" t="str">
            <v>Ngày 1 Tháng 7 Năm 2015</v>
          </cell>
        </row>
        <row r="79">
          <cell r="A79" t="str">
            <v>BT-69</v>
          </cell>
          <cell r="B79" t="str">
            <v>Công tác đổ bê tông thang bộ TB tầng 7 trục X8+2,55m/Y5'-Y7', thang bộ LT tầng 8</v>
          </cell>
          <cell r="C79" t="str">
            <v>BT-69</v>
          </cell>
          <cell r="D79" t="str">
            <v>15h00</v>
          </cell>
          <cell r="E79" t="str">
            <v>16h00</v>
          </cell>
          <cell r="F79">
            <v>7</v>
          </cell>
          <cell r="G79">
            <v>7</v>
          </cell>
          <cell r="H79">
            <v>2015</v>
          </cell>
          <cell r="I79" t="str">
            <v>Hà Nội, ngày 7 tháng 7 năm 2015</v>
          </cell>
          <cell r="J79" t="str">
            <v>15h00 ngày 7 tháng 7 năm 2015</v>
          </cell>
          <cell r="K79" t="str">
            <v>16h00 ngày 7 tháng 7 năm 2015</v>
          </cell>
          <cell r="L79" t="str">
            <v>16h00</v>
          </cell>
          <cell r="M79" t="str">
            <v>17h00</v>
          </cell>
          <cell r="N79">
            <v>7</v>
          </cell>
          <cell r="O79">
            <v>7</v>
          </cell>
          <cell r="P79">
            <v>2015</v>
          </cell>
          <cell r="Q79" t="str">
            <v>Hà Nội, ngày 7 tháng 7 năm 2015</v>
          </cell>
          <cell r="R79" t="str">
            <v>16h00 ngày 7 tháng 7 năm 2015</v>
          </cell>
          <cell r="S79" t="str">
            <v>17h00 ngày 7 tháng 7 năm 2015</v>
          </cell>
          <cell r="T79" t="str">
            <v>16h00</v>
          </cell>
          <cell r="U79" t="str">
            <v>16h00 Ngày 7/7/2015</v>
          </cell>
          <cell r="V79" t="str">
            <v>Nguyễn Ái Việt</v>
          </cell>
          <cell r="W79" t="str">
            <v>Chỉ huy trưởng</v>
          </cell>
          <cell r="X79" t="str">
            <v>................................</v>
          </cell>
          <cell r="Y79" t="str">
            <v>................................</v>
          </cell>
          <cell r="Z79" t="str">
            <v>Nguyễn Văn Nghiễm</v>
          </cell>
          <cell r="AA79" t="str">
            <v>Cán bộ KCS</v>
          </cell>
          <cell r="AB79" t="str">
            <v>Vương Toàn Hiếu</v>
          </cell>
          <cell r="AC79" t="str">
            <v>Trưởng đoàn TVGS</v>
          </cell>
          <cell r="AD79" t="str">
            <v>Lê Thiều Nam</v>
          </cell>
          <cell r="AE79" t="str">
            <v>Cán bộ TVGS</v>
          </cell>
          <cell r="AF79" t="str">
            <v>................................</v>
          </cell>
          <cell r="AG79" t="str">
            <v>Cán bộ TVGS</v>
          </cell>
          <cell r="AH79" t="str">
            <v>Nguyễn Ái Việt</v>
          </cell>
          <cell r="AI79" t="str">
            <v>Chỉ huy trưởng</v>
          </cell>
          <cell r="AJ79" t="str">
            <v>Hoàng Chiến Thắng</v>
          </cell>
          <cell r="AK79" t="str">
            <v>P. Chỉ huy trưởng</v>
          </cell>
          <cell r="AL79" t="str">
            <v>Trịnh Quang Đức</v>
          </cell>
          <cell r="AM79" t="str">
            <v>Cán bộ kỹ thuật</v>
          </cell>
          <cell r="AN79" t="str">
            <v>KC-62; KC-63</v>
          </cell>
          <cell r="AS79" t="str">
            <v>Ngày 7 Tháng 7 Năm 2015</v>
          </cell>
        </row>
        <row r="80">
          <cell r="A80" t="str">
            <v>BT-70</v>
          </cell>
          <cell r="B80" t="str">
            <v>Công tác đổ bê tông cột, vách tầng áp mái</v>
          </cell>
          <cell r="C80" t="str">
            <v>BT-70</v>
          </cell>
          <cell r="D80" t="str">
            <v>14h00</v>
          </cell>
          <cell r="E80" t="str">
            <v>15h15</v>
          </cell>
          <cell r="F80">
            <v>6</v>
          </cell>
          <cell r="G80">
            <v>7</v>
          </cell>
          <cell r="H80">
            <v>2015</v>
          </cell>
          <cell r="I80" t="str">
            <v>Hà Nội, ngày 15 tháng 7 năm 2015</v>
          </cell>
          <cell r="J80" t="str">
            <v>14h00 ngày 6 tháng 7 năm 2015</v>
          </cell>
          <cell r="K80" t="str">
            <v>15h15 ngày 15 tháng 7 năm 2015</v>
          </cell>
          <cell r="L80" t="str">
            <v>15h00</v>
          </cell>
          <cell r="M80" t="str">
            <v>16h15</v>
          </cell>
          <cell r="N80">
            <v>15</v>
          </cell>
          <cell r="O80">
            <v>7</v>
          </cell>
          <cell r="P80">
            <v>2015</v>
          </cell>
          <cell r="Q80" t="str">
            <v>Hà Nội, ngày 6 tháng 7 năm 2015</v>
          </cell>
          <cell r="R80" t="str">
            <v>15h00 ngày 6 tháng 7 năm 2015</v>
          </cell>
          <cell r="S80" t="str">
            <v>16h15 ngày 15 tháng 7 năm 2015</v>
          </cell>
          <cell r="T80" t="str">
            <v>15h00</v>
          </cell>
          <cell r="U80" t="str">
            <v>15h00 Ngày 6/7/2015</v>
          </cell>
          <cell r="V80" t="str">
            <v>Nguyễn Ái Việt</v>
          </cell>
          <cell r="W80" t="str">
            <v>Chỉ huy trưởng</v>
          </cell>
          <cell r="X80" t="str">
            <v>................................</v>
          </cell>
          <cell r="Y80" t="str">
            <v>................................</v>
          </cell>
          <cell r="Z80" t="str">
            <v>Nguyễn Văn Nghiễm</v>
          </cell>
          <cell r="AA80" t="str">
            <v>Cán bộ KCS</v>
          </cell>
          <cell r="AB80" t="str">
            <v>Vương Toàn Hiếu</v>
          </cell>
          <cell r="AC80" t="str">
            <v>Trưởng đoàn TVGS</v>
          </cell>
          <cell r="AD80" t="str">
            <v>Lê Thiều Nam</v>
          </cell>
          <cell r="AE80" t="str">
            <v>Cán bộ TVGS</v>
          </cell>
          <cell r="AF80" t="str">
            <v>................................</v>
          </cell>
          <cell r="AG80" t="str">
            <v>Cán bộ TVGS</v>
          </cell>
          <cell r="AH80" t="str">
            <v>Nguyễn Ái Việt</v>
          </cell>
          <cell r="AI80" t="str">
            <v>Chỉ huy trưởng</v>
          </cell>
          <cell r="AJ80" t="str">
            <v>Hoàng Chiến Thắng</v>
          </cell>
          <cell r="AK80" t="str">
            <v>P. Chỉ huy trưởng</v>
          </cell>
          <cell r="AL80" t="str">
            <v>Trịnh Quang Đức</v>
          </cell>
          <cell r="AM80" t="str">
            <v>Cán bộ kỹ thuật</v>
          </cell>
          <cell r="AN80" t="str">
            <v>KC-20; KC-21÷KC-26</v>
          </cell>
          <cell r="AS80" t="str">
            <v>Ngày 6 Tháng 7 Năm 2015</v>
          </cell>
        </row>
        <row r="81">
          <cell r="A81" t="str">
            <v>BT-71</v>
          </cell>
          <cell r="B81" t="str">
            <v>Công tác đổ bê tông dầm, sàn trục X3'-X6/Y5'-Y7' tầng mái</v>
          </cell>
          <cell r="C81" t="str">
            <v>BT-71</v>
          </cell>
          <cell r="D81" t="str">
            <v>14h00</v>
          </cell>
          <cell r="E81" t="str">
            <v>14h45</v>
          </cell>
          <cell r="F81">
            <v>13</v>
          </cell>
          <cell r="G81">
            <v>7</v>
          </cell>
          <cell r="H81">
            <v>2015</v>
          </cell>
          <cell r="I81" t="str">
            <v>Hà Nội, ngày 13 tháng 7 năm 2015</v>
          </cell>
          <cell r="J81" t="str">
            <v>14h00 ngày 13 tháng 7 năm 2015</v>
          </cell>
          <cell r="K81" t="str">
            <v>14h45 ngày 13 tháng 7 năm 2015</v>
          </cell>
          <cell r="L81" t="str">
            <v>14h45</v>
          </cell>
          <cell r="M81" t="str">
            <v>15h30</v>
          </cell>
          <cell r="N81">
            <v>13</v>
          </cell>
          <cell r="O81">
            <v>7</v>
          </cell>
          <cell r="P81">
            <v>2015</v>
          </cell>
          <cell r="Q81" t="str">
            <v>Hà Nội, ngày 13 tháng 7 năm 2015</v>
          </cell>
          <cell r="R81" t="str">
            <v>14h45 ngày 13 tháng 7 năm 2015</v>
          </cell>
          <cell r="S81" t="str">
            <v>15h30 ngày 13 tháng 7 năm 2015</v>
          </cell>
          <cell r="T81" t="str">
            <v>14h45</v>
          </cell>
          <cell r="U81" t="str">
            <v>14h45 Ngày 13/7/2015</v>
          </cell>
          <cell r="V81" t="str">
            <v>Nguyễn Ái Việt</v>
          </cell>
          <cell r="W81" t="str">
            <v>Chỉ huy trưởng</v>
          </cell>
          <cell r="X81" t="str">
            <v>................................</v>
          </cell>
          <cell r="Y81" t="str">
            <v>................................</v>
          </cell>
          <cell r="Z81" t="str">
            <v>Nguyễn Văn Nghiễm</v>
          </cell>
          <cell r="AA81" t="str">
            <v>Cán bộ KCS</v>
          </cell>
          <cell r="AB81" t="str">
            <v>Vương Toàn Hiếu</v>
          </cell>
          <cell r="AC81" t="str">
            <v>Trưởng đoàn TVGS</v>
          </cell>
          <cell r="AD81" t="str">
            <v>Lê Thiều Nam</v>
          </cell>
          <cell r="AE81" t="str">
            <v>Cán bộ TVGS</v>
          </cell>
          <cell r="AF81" t="str">
            <v>................................</v>
          </cell>
          <cell r="AG81" t="str">
            <v>Cán bộ TVGS</v>
          </cell>
          <cell r="AH81" t="str">
            <v>Nguyễn Ái Việt</v>
          </cell>
          <cell r="AI81" t="str">
            <v>Chỉ huy trưởng</v>
          </cell>
          <cell r="AJ81" t="str">
            <v>Hoàng Chiến Thắng</v>
          </cell>
          <cell r="AK81" t="str">
            <v>P. Chỉ huy trưởng</v>
          </cell>
          <cell r="AL81" t="str">
            <v>Trịnh Quang Đức</v>
          </cell>
          <cell r="AM81" t="str">
            <v>Cán bộ kỹ thuật</v>
          </cell>
          <cell r="AN81" t="str">
            <v>KC-16</v>
          </cell>
          <cell r="AS81" t="str">
            <v>Ngày 13 Tháng 7 Năm 2015</v>
          </cell>
        </row>
        <row r="82">
          <cell r="A82" t="str">
            <v>BT-72</v>
          </cell>
          <cell r="B82" t="str">
            <v>Công tác đổ bê tông dầm, sàn tầng mái</v>
          </cell>
          <cell r="C82" t="str">
            <v>BT-72</v>
          </cell>
          <cell r="D82" t="str">
            <v>15h00</v>
          </cell>
          <cell r="E82" t="str">
            <v>8h30</v>
          </cell>
          <cell r="F82">
            <v>13</v>
          </cell>
          <cell r="G82">
            <v>7</v>
          </cell>
          <cell r="H82">
            <v>2015</v>
          </cell>
          <cell r="I82" t="str">
            <v>Hà Nội, ngày 31 tháng 7 năm 2015</v>
          </cell>
          <cell r="J82" t="str">
            <v>15h00 ngày 13 tháng 7 năm 2015</v>
          </cell>
          <cell r="K82" t="str">
            <v>8h30 ngày 31 tháng 7 năm 2015</v>
          </cell>
          <cell r="L82" t="str">
            <v>16h00</v>
          </cell>
          <cell r="M82" t="str">
            <v>9h30</v>
          </cell>
          <cell r="N82">
            <v>31</v>
          </cell>
          <cell r="O82">
            <v>7</v>
          </cell>
          <cell r="P82">
            <v>2015</v>
          </cell>
          <cell r="Q82" t="str">
            <v>Hà Nội, ngày 13 tháng 7 năm 2015</v>
          </cell>
          <cell r="R82" t="str">
            <v>16h00 ngày 13 tháng 7 năm 2015</v>
          </cell>
          <cell r="S82" t="str">
            <v>9h30 ngày 31 tháng 7 năm 2015</v>
          </cell>
          <cell r="T82" t="str">
            <v>16h00</v>
          </cell>
          <cell r="U82" t="str">
            <v>16h00 Ngày 13/7/2015</v>
          </cell>
          <cell r="V82" t="str">
            <v>Nguyễn Ái Việt</v>
          </cell>
          <cell r="W82" t="str">
            <v>Chỉ huy trưởng</v>
          </cell>
          <cell r="X82" t="str">
            <v>................................</v>
          </cell>
          <cell r="Y82" t="str">
            <v>................................</v>
          </cell>
          <cell r="Z82" t="str">
            <v>Nguyễn Văn Nghiễm</v>
          </cell>
          <cell r="AA82" t="str">
            <v>Cán bộ KCS</v>
          </cell>
          <cell r="AB82" t="str">
            <v>Vương Toàn Hiếu</v>
          </cell>
          <cell r="AC82" t="str">
            <v>Trưởng đoàn TVGS</v>
          </cell>
          <cell r="AD82" t="str">
            <v>Lê Thiều Nam</v>
          </cell>
          <cell r="AE82" t="str">
            <v>Cán bộ TVGS</v>
          </cell>
          <cell r="AF82" t="str">
            <v>................................</v>
          </cell>
          <cell r="AG82" t="str">
            <v>Cán bộ TVGS</v>
          </cell>
          <cell r="AH82" t="str">
            <v>Nguyễn Ái Việt</v>
          </cell>
          <cell r="AI82" t="str">
            <v>Chỉ huy trưởng</v>
          </cell>
          <cell r="AJ82" t="str">
            <v>Hoàng Chiến Thắng</v>
          </cell>
          <cell r="AK82" t="str">
            <v>P. Chỉ huy trưởng</v>
          </cell>
          <cell r="AL82" t="str">
            <v>Trịnh Quang Đức</v>
          </cell>
          <cell r="AM82" t="str">
            <v>Cán bộ kỹ thuật</v>
          </cell>
          <cell r="AN82" t="str">
            <v>KC-16</v>
          </cell>
          <cell r="AS82" t="str">
            <v>Ngày 13 Tháng 7 Năm 2015</v>
          </cell>
        </row>
        <row r="83">
          <cell r="A83" t="str">
            <v>BT-73</v>
          </cell>
          <cell r="B83" t="str">
            <v>Công tác đổ bê tông thang bộ LT tầng 09, tầng 10</v>
          </cell>
          <cell r="C83" t="str">
            <v>BT-73</v>
          </cell>
          <cell r="D83" t="str">
            <v>15h00</v>
          </cell>
          <cell r="E83" t="str">
            <v>15h45</v>
          </cell>
          <cell r="F83">
            <v>26</v>
          </cell>
          <cell r="G83">
            <v>7</v>
          </cell>
          <cell r="H83">
            <v>2015</v>
          </cell>
          <cell r="I83" t="str">
            <v>Hà Nội, ngày 26 tháng 7 năm 2015</v>
          </cell>
          <cell r="J83" t="str">
            <v>15h00 ngày 26 tháng 7 năm 2015</v>
          </cell>
          <cell r="K83" t="str">
            <v>15h45 ngày 26 tháng 7 năm 2015</v>
          </cell>
          <cell r="L83" t="str">
            <v>15h45</v>
          </cell>
          <cell r="M83" t="str">
            <v>16h30</v>
          </cell>
          <cell r="N83">
            <v>26</v>
          </cell>
          <cell r="O83">
            <v>7</v>
          </cell>
          <cell r="P83">
            <v>2015</v>
          </cell>
          <cell r="Q83" t="str">
            <v>Hà Nội, ngày 26 tháng 7 năm 2015</v>
          </cell>
          <cell r="R83" t="str">
            <v>15h45 ngày 26 tháng 7 năm 2015</v>
          </cell>
          <cell r="S83" t="str">
            <v>16h30 ngày 26 tháng 7 năm 2015</v>
          </cell>
          <cell r="T83" t="str">
            <v>15h45</v>
          </cell>
          <cell r="U83" t="str">
            <v>15h45 Ngày 26/7/2015</v>
          </cell>
          <cell r="V83" t="str">
            <v>Nguyễn Ái Việt</v>
          </cell>
          <cell r="W83" t="str">
            <v>Chỉ huy trưởng</v>
          </cell>
          <cell r="X83" t="str">
            <v>................................</v>
          </cell>
          <cell r="Y83" t="str">
            <v>................................</v>
          </cell>
          <cell r="Z83" t="str">
            <v>Nguyễn Văn Nghiễm</v>
          </cell>
          <cell r="AA83" t="str">
            <v>Cán bộ KCS</v>
          </cell>
          <cell r="AB83" t="str">
            <v>Vương Toàn Hiếu</v>
          </cell>
          <cell r="AC83" t="str">
            <v>Trưởng đoàn TVGS</v>
          </cell>
          <cell r="AD83" t="str">
            <v>Lê Thiều Nam</v>
          </cell>
          <cell r="AE83" t="str">
            <v>Cán bộ TVGS</v>
          </cell>
          <cell r="AF83" t="str">
            <v>................................</v>
          </cell>
          <cell r="AG83" t="str">
            <v>Cán bộ TVGS</v>
          </cell>
          <cell r="AH83" t="str">
            <v>Nguyễn Ái Việt</v>
          </cell>
          <cell r="AI83" t="str">
            <v>Chỉ huy trưởng</v>
          </cell>
          <cell r="AJ83" t="str">
            <v>Hoàng Chiến Thắng</v>
          </cell>
          <cell r="AK83" t="str">
            <v>P. Chỉ huy trưởng</v>
          </cell>
          <cell r="AL83" t="str">
            <v>Trịnh Quang Đức</v>
          </cell>
          <cell r="AM83" t="str">
            <v>Cán bộ kỹ thuật</v>
          </cell>
          <cell r="AN83" t="str">
            <v>KC-62</v>
          </cell>
          <cell r="AS83" t="str">
            <v>Ngày 26 Tháng 7 Năm 2015</v>
          </cell>
        </row>
        <row r="84">
          <cell r="A84" t="str">
            <v>BT-74</v>
          </cell>
          <cell r="B84" t="str">
            <v>Công tác đổ bê tông thang bộ TB tầng 04, tầng 05, tầng 06 trục X2÷X4/Y1+2,55m</v>
          </cell>
          <cell r="C84" t="str">
            <v>BT-74</v>
          </cell>
          <cell r="D84" t="str">
            <v>14h00</v>
          </cell>
          <cell r="E84" t="str">
            <v>15h00</v>
          </cell>
          <cell r="F84">
            <v>1</v>
          </cell>
          <cell r="G84">
            <v>8</v>
          </cell>
          <cell r="H84">
            <v>2015</v>
          </cell>
          <cell r="I84" t="str">
            <v>Hà Nội, ngày 1 tháng 8 năm 2015</v>
          </cell>
          <cell r="J84" t="str">
            <v>14h00 ngày 1 tháng 8 năm 2015</v>
          </cell>
          <cell r="K84" t="str">
            <v>15h00 ngày 1 tháng 8 năm 2015</v>
          </cell>
          <cell r="L84" t="str">
            <v>15h00</v>
          </cell>
          <cell r="M84" t="str">
            <v>16h00</v>
          </cell>
          <cell r="N84">
            <v>1</v>
          </cell>
          <cell r="O84">
            <v>8</v>
          </cell>
          <cell r="P84">
            <v>2015</v>
          </cell>
          <cell r="Q84" t="str">
            <v>Hà Nội, ngày 1 tháng 8 năm 2015</v>
          </cell>
          <cell r="R84" t="str">
            <v>15h00 ngày 1 tháng 8 năm 2015</v>
          </cell>
          <cell r="S84" t="str">
            <v>16h00 ngày 1 tháng 8 năm 2015</v>
          </cell>
          <cell r="T84" t="str">
            <v>15h00</v>
          </cell>
          <cell r="U84" t="str">
            <v>15h00 Ngày 1/8/2015</v>
          </cell>
          <cell r="V84" t="str">
            <v>Nguyễn Ái Việt</v>
          </cell>
          <cell r="W84" t="str">
            <v>Chỉ huy trưởng</v>
          </cell>
          <cell r="X84" t="str">
            <v>................................</v>
          </cell>
          <cell r="Y84" t="str">
            <v>................................</v>
          </cell>
          <cell r="Z84" t="str">
            <v>Nguyễn Văn Nghiễm</v>
          </cell>
          <cell r="AA84" t="str">
            <v>Cán bộ KCS</v>
          </cell>
          <cell r="AB84" t="str">
            <v>Vương Toàn Hiếu</v>
          </cell>
          <cell r="AC84" t="str">
            <v>Trưởng đoàn TVGS</v>
          </cell>
          <cell r="AD84" t="str">
            <v>Lê Thiều Nam</v>
          </cell>
          <cell r="AE84" t="str">
            <v>Cán bộ TVGS</v>
          </cell>
          <cell r="AF84" t="str">
            <v>................................</v>
          </cell>
          <cell r="AG84" t="str">
            <v>Cán bộ TVGS</v>
          </cell>
          <cell r="AH84" t="str">
            <v>Nguyễn Ái Việt</v>
          </cell>
          <cell r="AI84" t="str">
            <v>Chỉ huy trưởng</v>
          </cell>
          <cell r="AJ84" t="str">
            <v>Hoàng Chiến Thắng</v>
          </cell>
          <cell r="AK84" t="str">
            <v>P. Chỉ huy trưởng</v>
          </cell>
          <cell r="AL84" t="str">
            <v>Trịnh Quang Đức</v>
          </cell>
          <cell r="AM84" t="str">
            <v>Cán bộ kỹ thuật</v>
          </cell>
          <cell r="AN84" t="str">
            <v>KC-63</v>
          </cell>
          <cell r="AS84" t="str">
            <v>Ngày 1 Tháng 8 Năm 2015</v>
          </cell>
        </row>
        <row r="85">
          <cell r="A85" t="str">
            <v>BT-75</v>
          </cell>
          <cell r="B85" t="str">
            <v>Công tác đổ bê tông thang bộ TB tầng 07, tầng 08, tầng 09, tầng 10 trục X2÷X4/Y1+2,55m</v>
          </cell>
          <cell r="C85" t="str">
            <v>BT-75</v>
          </cell>
          <cell r="D85" t="str">
            <v>14h15</v>
          </cell>
          <cell r="E85" t="str">
            <v>15h15</v>
          </cell>
          <cell r="F85">
            <v>1</v>
          </cell>
          <cell r="G85">
            <v>8</v>
          </cell>
          <cell r="H85">
            <v>2015</v>
          </cell>
          <cell r="I85" t="str">
            <v>Hà Nội, ngày 1 tháng 8 năm 2015</v>
          </cell>
          <cell r="J85" t="str">
            <v>14h15 ngày 1 tháng 8 năm 2015</v>
          </cell>
          <cell r="K85" t="str">
            <v>15h15 ngày 1 tháng 8 năm 2015</v>
          </cell>
          <cell r="L85" t="str">
            <v>15h15</v>
          </cell>
          <cell r="M85" t="str">
            <v>16h15</v>
          </cell>
          <cell r="N85">
            <v>1</v>
          </cell>
          <cell r="O85">
            <v>8</v>
          </cell>
          <cell r="P85">
            <v>2015</v>
          </cell>
          <cell r="Q85" t="str">
            <v>Hà Nội, ngày 1 tháng 8 năm 2015</v>
          </cell>
          <cell r="R85" t="str">
            <v>15h15 ngày 1 tháng 8 năm 2015</v>
          </cell>
          <cell r="S85" t="str">
            <v>16h15 ngày 1 tháng 8 năm 2015</v>
          </cell>
          <cell r="T85" t="str">
            <v>15h15</v>
          </cell>
          <cell r="U85" t="str">
            <v>15h15 Ngày 1/8/2015</v>
          </cell>
          <cell r="V85" t="str">
            <v>Nguyễn Ái Việt</v>
          </cell>
          <cell r="W85" t="str">
            <v>Chỉ huy trưởng</v>
          </cell>
          <cell r="X85" t="str">
            <v>................................</v>
          </cell>
          <cell r="Y85" t="str">
            <v>................................</v>
          </cell>
          <cell r="Z85" t="str">
            <v>Nguyễn Văn Nghiễm</v>
          </cell>
          <cell r="AA85" t="str">
            <v>Cán bộ KCS</v>
          </cell>
          <cell r="AB85" t="str">
            <v>Vương Toàn Hiếu</v>
          </cell>
          <cell r="AC85" t="str">
            <v>Trưởng đoàn TVGS</v>
          </cell>
          <cell r="AD85" t="str">
            <v>Lê Thiều Nam</v>
          </cell>
          <cell r="AE85" t="str">
            <v>Cán bộ TVGS</v>
          </cell>
          <cell r="AF85" t="str">
            <v>................................</v>
          </cell>
          <cell r="AG85" t="str">
            <v>Cán bộ TVGS</v>
          </cell>
          <cell r="AH85" t="str">
            <v>Nguyễn Ái Việt</v>
          </cell>
          <cell r="AI85" t="str">
            <v>Chỉ huy trưởng</v>
          </cell>
          <cell r="AJ85" t="str">
            <v>Hoàng Chiến Thắng</v>
          </cell>
          <cell r="AK85" t="str">
            <v>P. Chỉ huy trưởng</v>
          </cell>
          <cell r="AL85" t="str">
            <v>Trịnh Quang Đức</v>
          </cell>
          <cell r="AM85" t="str">
            <v>Cán bộ kỹ thuật</v>
          </cell>
          <cell r="AN85" t="str">
            <v>KC-63</v>
          </cell>
          <cell r="AS85" t="str">
            <v>Ngày 1 Tháng 8 Năm 2015</v>
          </cell>
        </row>
        <row r="86">
          <cell r="A86" t="str">
            <v>BT-76</v>
          </cell>
          <cell r="B86" t="str">
            <v>Công tác đổ bê tông thang bộ TB tầng 08, tầng 09 trục X8+2,55m/Y5'÷Y7'</v>
          </cell>
          <cell r="C86" t="str">
            <v>BT-76</v>
          </cell>
          <cell r="D86" t="str">
            <v>16h30</v>
          </cell>
          <cell r="E86" t="str">
            <v>17h00</v>
          </cell>
          <cell r="F86">
            <v>1</v>
          </cell>
          <cell r="G86">
            <v>8</v>
          </cell>
          <cell r="H86">
            <v>2015</v>
          </cell>
          <cell r="I86" t="str">
            <v>Hà Nội, ngày 1 tháng 8 năm 2015</v>
          </cell>
          <cell r="J86" t="str">
            <v>16h30 ngày 1 tháng 8 năm 2015</v>
          </cell>
          <cell r="K86" t="str">
            <v>17h00 ngày 1 tháng 8 năm 2015</v>
          </cell>
          <cell r="L86" t="str">
            <v>17h00</v>
          </cell>
          <cell r="M86" t="str">
            <v>17h30</v>
          </cell>
          <cell r="N86">
            <v>1</v>
          </cell>
          <cell r="O86">
            <v>8</v>
          </cell>
          <cell r="P86">
            <v>2015</v>
          </cell>
          <cell r="Q86" t="str">
            <v>Hà Nội, ngày 1 tháng 8 năm 2015</v>
          </cell>
          <cell r="R86" t="str">
            <v>17h00 ngày 1 tháng 8 năm 2015</v>
          </cell>
          <cell r="S86" t="str">
            <v>17h30 ngày 1 tháng 8 năm 2015</v>
          </cell>
          <cell r="T86" t="str">
            <v>17h00</v>
          </cell>
          <cell r="U86" t="str">
            <v>17h00 Ngày 1/8/2015</v>
          </cell>
          <cell r="V86" t="str">
            <v>Nguyễn Ái Việt</v>
          </cell>
          <cell r="W86" t="str">
            <v>Chỉ huy trưởng</v>
          </cell>
          <cell r="X86" t="str">
            <v>................................</v>
          </cell>
          <cell r="Y86" t="str">
            <v>................................</v>
          </cell>
          <cell r="Z86" t="str">
            <v>Nguyễn Văn Nghiễm</v>
          </cell>
          <cell r="AA86" t="str">
            <v>Cán bộ KCS</v>
          </cell>
          <cell r="AB86" t="str">
            <v>Vương Toàn Hiếu</v>
          </cell>
          <cell r="AC86" t="str">
            <v>Trưởng đoàn TVGS</v>
          </cell>
          <cell r="AD86" t="str">
            <v>Lê Thiều Nam</v>
          </cell>
          <cell r="AE86" t="str">
            <v>Cán bộ TVGS</v>
          </cell>
          <cell r="AF86" t="str">
            <v>................................</v>
          </cell>
          <cell r="AG86" t="str">
            <v>Cán bộ TVGS</v>
          </cell>
          <cell r="AH86" t="str">
            <v>Nguyễn Ái Việt</v>
          </cell>
          <cell r="AI86" t="str">
            <v>Chỉ huy trưởng</v>
          </cell>
          <cell r="AJ86" t="str">
            <v>Hoàng Chiến Thắng</v>
          </cell>
          <cell r="AK86" t="str">
            <v>P. Chỉ huy trưởng</v>
          </cell>
          <cell r="AL86" t="str">
            <v>Trịnh Quang Đức</v>
          </cell>
          <cell r="AM86" t="str">
            <v>Cán bộ kỹ thuật</v>
          </cell>
          <cell r="AN86" t="str">
            <v>KC-63</v>
          </cell>
          <cell r="AS86" t="str">
            <v>Ngày 1 Tháng 8 Năm 2015</v>
          </cell>
        </row>
        <row r="87">
          <cell r="A87" t="str">
            <v>BT-77</v>
          </cell>
          <cell r="B87" t="str">
            <v>Công tác đổ bê tông thang bộ TB tầng 10, 11 trục X8+2,55m/Y5'÷Y7'; thang bộ TB tầng 11 trục X2÷X4/Y1+2,55m; thang bộ LT tầng 11</v>
          </cell>
          <cell r="C87" t="str">
            <v>BT-77</v>
          </cell>
          <cell r="D87" t="str">
            <v>15h00</v>
          </cell>
          <cell r="E87" t="str">
            <v>15h45</v>
          </cell>
          <cell r="F87">
            <v>11</v>
          </cell>
          <cell r="G87">
            <v>8</v>
          </cell>
          <cell r="H87">
            <v>2015</v>
          </cell>
          <cell r="I87" t="str">
            <v>Hà Nội, ngày 11 tháng 8 năm 2015</v>
          </cell>
          <cell r="J87" t="str">
            <v>15h00 ngày 11 tháng 8 năm 2015</v>
          </cell>
          <cell r="K87" t="str">
            <v>15h45 ngày 11 tháng 8 năm 2015</v>
          </cell>
          <cell r="L87" t="str">
            <v>15h45</v>
          </cell>
          <cell r="M87" t="str">
            <v>16h30</v>
          </cell>
          <cell r="N87">
            <v>11</v>
          </cell>
          <cell r="O87">
            <v>8</v>
          </cell>
          <cell r="P87">
            <v>2015</v>
          </cell>
          <cell r="Q87" t="str">
            <v>Hà Nội, ngày 11 tháng 8 năm 2015</v>
          </cell>
          <cell r="R87" t="str">
            <v>15h45 ngày 11 tháng 8 năm 2015</v>
          </cell>
          <cell r="S87" t="str">
            <v>16h30 ngày 11 tháng 8 năm 2015</v>
          </cell>
          <cell r="T87" t="str">
            <v>15h45</v>
          </cell>
          <cell r="U87" t="str">
            <v>15h45 Ngày 11/8/2015</v>
          </cell>
          <cell r="V87" t="str">
            <v>Nguyễn Ái Việt</v>
          </cell>
          <cell r="W87" t="str">
            <v>Chỉ huy trưởng</v>
          </cell>
          <cell r="X87" t="str">
            <v>................................</v>
          </cell>
          <cell r="Y87" t="str">
            <v>................................</v>
          </cell>
          <cell r="Z87" t="str">
            <v>Nguyễn Văn Nghiễm</v>
          </cell>
          <cell r="AA87" t="str">
            <v>Cán bộ KCS</v>
          </cell>
          <cell r="AB87" t="str">
            <v>Vương Toàn Hiếu</v>
          </cell>
          <cell r="AC87" t="str">
            <v>Trưởng đoàn TVGS</v>
          </cell>
          <cell r="AD87" t="str">
            <v>Lê Thiều Nam</v>
          </cell>
          <cell r="AE87" t="str">
            <v>Cán bộ TVGS</v>
          </cell>
          <cell r="AF87" t="str">
            <v>................................</v>
          </cell>
          <cell r="AG87" t="str">
            <v>Cán bộ TVGS</v>
          </cell>
          <cell r="AH87" t="str">
            <v>Nguyễn Ái Việt</v>
          </cell>
          <cell r="AI87" t="str">
            <v>Chỉ huy trưởng</v>
          </cell>
          <cell r="AJ87" t="str">
            <v>Hoàng Chiến Thắng</v>
          </cell>
          <cell r="AK87" t="str">
            <v>P. Chỉ huy trưởng</v>
          </cell>
          <cell r="AL87" t="str">
            <v>Trịnh Quang Đức</v>
          </cell>
          <cell r="AM87" t="str">
            <v>Cán bộ kỹ thuật</v>
          </cell>
          <cell r="AN87" t="str">
            <v>KC-62; KC-63</v>
          </cell>
          <cell r="AS87" t="str">
            <v>Ngày 11 Tháng 8 Năm 2015</v>
          </cell>
        </row>
        <row r="88">
          <cell r="A88" t="str">
            <v>BT-78</v>
          </cell>
          <cell r="B88" t="str">
            <v>Công tác đổ bê tông thang bộ LT tầng 4, thang bộ TB tầng 2 (trục X2÷X4/Y1+2,55m) 
và (trục X8+2,55m/Y5'÷Y7')</v>
          </cell>
          <cell r="C88" t="str">
            <v>BT-78</v>
          </cell>
          <cell r="D88" t="str">
            <v>16h00</v>
          </cell>
          <cell r="E88" t="str">
            <v>16h30</v>
          </cell>
          <cell r="F88">
            <v>5</v>
          </cell>
          <cell r="G88">
            <v>6</v>
          </cell>
          <cell r="H88">
            <v>2015</v>
          </cell>
          <cell r="I88" t="str">
            <v>Hà Nội, ngày 5 tháng 6 năm 2015</v>
          </cell>
          <cell r="J88" t="str">
            <v>16h00 ngày 5 tháng 6 năm 2015</v>
          </cell>
          <cell r="K88" t="str">
            <v>16h30 ngày 5 tháng 6 năm 2015</v>
          </cell>
          <cell r="L88" t="str">
            <v>16h30</v>
          </cell>
          <cell r="M88" t="str">
            <v>17h00</v>
          </cell>
          <cell r="N88">
            <v>5</v>
          </cell>
          <cell r="O88">
            <v>6</v>
          </cell>
          <cell r="P88">
            <v>2015</v>
          </cell>
          <cell r="Q88" t="str">
            <v>Hà Nội, ngày 5 tháng 6 năm 2015</v>
          </cell>
          <cell r="R88" t="str">
            <v>16h30 ngày 5 tháng 6 năm 2015</v>
          </cell>
          <cell r="S88" t="str">
            <v>17h00 ngày 5 tháng 6 năm 2015</v>
          </cell>
          <cell r="T88" t="str">
            <v>16h30</v>
          </cell>
          <cell r="U88" t="str">
            <v>16h30 Ngày 5/6/2015</v>
          </cell>
          <cell r="V88" t="str">
            <v>Nguyễn Ái Việt</v>
          </cell>
          <cell r="W88" t="str">
            <v>Chỉ huy trưởng</v>
          </cell>
          <cell r="X88" t="str">
            <v>................................</v>
          </cell>
          <cell r="Y88" t="str">
            <v>................................</v>
          </cell>
          <cell r="Z88" t="str">
            <v>Nguyễn Văn Nghiễm</v>
          </cell>
          <cell r="AA88" t="str">
            <v>Cán bộ KCS</v>
          </cell>
          <cell r="AB88" t="str">
            <v>Vương Toàn Hiếu</v>
          </cell>
          <cell r="AC88" t="str">
            <v>Trưởng đoàn TVGS</v>
          </cell>
          <cell r="AD88" t="str">
            <v>Lê Thiều Nam</v>
          </cell>
          <cell r="AE88" t="str">
            <v>Cán bộ TVGS</v>
          </cell>
          <cell r="AF88" t="str">
            <v>................................</v>
          </cell>
          <cell r="AG88" t="str">
            <v>Cán bộ TVGS</v>
          </cell>
          <cell r="AH88" t="str">
            <v>Nguyễn Ái Việt</v>
          </cell>
          <cell r="AI88" t="str">
            <v>Chỉ huy trưởng</v>
          </cell>
          <cell r="AJ88" t="str">
            <v>Hoàng Chiến Thắng</v>
          </cell>
          <cell r="AK88" t="str">
            <v>P. Chỉ huy trưởng</v>
          </cell>
          <cell r="AL88" t="str">
            <v>Trịnh Quang Đức</v>
          </cell>
          <cell r="AM88" t="str">
            <v>Cán bộ kỹ thuật</v>
          </cell>
          <cell r="AN88" t="str">
            <v>KC-62; KC-63</v>
          </cell>
          <cell r="AS88" t="str">
            <v>Ngày 5 Tháng 6 Năm 2015</v>
          </cell>
        </row>
        <row r="89">
          <cell r="A89" t="str">
            <v>BT-56</v>
          </cell>
          <cell r="B89" t="str">
            <v>Công tác đổ bê tông thang bộ TB tầng 1</v>
          </cell>
          <cell r="C89" t="str">
            <v>BT-56</v>
          </cell>
          <cell r="D89" t="str">
            <v>16h00</v>
          </cell>
          <cell r="E89" t="str">
            <v>16h30</v>
          </cell>
          <cell r="F89">
            <v>8</v>
          </cell>
          <cell r="G89">
            <v>5</v>
          </cell>
          <cell r="H89">
            <v>2015</v>
          </cell>
          <cell r="I89" t="str">
            <v>Hà Nội, ngày 8 tháng 5 năm 2015</v>
          </cell>
          <cell r="J89" t="str">
            <v>16h00 ngày 8 tháng 5 năm 2015</v>
          </cell>
          <cell r="K89" t="str">
            <v>16h30 ngày 8 tháng 5 năm 2015</v>
          </cell>
          <cell r="L89" t="str">
            <v>16h30</v>
          </cell>
          <cell r="M89" t="str">
            <v>17h00</v>
          </cell>
          <cell r="N89">
            <v>8</v>
          </cell>
          <cell r="O89">
            <v>5</v>
          </cell>
          <cell r="P89">
            <v>2015</v>
          </cell>
          <cell r="Q89" t="str">
            <v>Hà Nội, ngày 8 tháng 5 năm 2015</v>
          </cell>
          <cell r="R89" t="str">
            <v>16h30 ngày 8 tháng 5 năm 2015</v>
          </cell>
          <cell r="S89" t="str">
            <v>17h00 ngày 8 tháng 5 năm 2015</v>
          </cell>
          <cell r="T89" t="str">
            <v>16h30</v>
          </cell>
          <cell r="U89" t="str">
            <v>16h30 Ngày 8/5/2015</v>
          </cell>
          <cell r="V89" t="str">
            <v>Nguyễn Ái Việt</v>
          </cell>
          <cell r="W89" t="str">
            <v>Chỉ huy trưởng</v>
          </cell>
          <cell r="X89" t="str">
            <v>................................</v>
          </cell>
          <cell r="Y89" t="str">
            <v>................................</v>
          </cell>
          <cell r="Z89" t="str">
            <v>Nguyễn Văn Nghiễm</v>
          </cell>
          <cell r="AA89" t="str">
            <v>Cán bộ KCS</v>
          </cell>
          <cell r="AB89" t="str">
            <v>Vương Toàn Hiếu</v>
          </cell>
          <cell r="AC89" t="str">
            <v>Trưởng đoàn TVGS</v>
          </cell>
          <cell r="AD89" t="str">
            <v>Lê Thiều Nam</v>
          </cell>
          <cell r="AE89" t="str">
            <v>Cán bộ TVGS</v>
          </cell>
          <cell r="AF89" t="str">
            <v>................................</v>
          </cell>
          <cell r="AG89" t="str">
            <v>Cán bộ TVGS</v>
          </cell>
          <cell r="AH89" t="str">
            <v>Nguyễn Ái Việt</v>
          </cell>
          <cell r="AI89" t="str">
            <v>Chỉ huy trưởng</v>
          </cell>
          <cell r="AJ89" t="str">
            <v>Hoàng Chiến Thắng</v>
          </cell>
          <cell r="AK89" t="str">
            <v>P. Chỉ huy trưởng</v>
          </cell>
          <cell r="AL89" t="str">
            <v>Trịnh Quang Đức</v>
          </cell>
          <cell r="AM89" t="str">
            <v>Cán bộ kỹ thuật</v>
          </cell>
          <cell r="AN89" t="str">
            <v>KC-63</v>
          </cell>
          <cell r="AS89" t="str">
            <v>Ngày 8 Tháng 5 Năm 2015</v>
          </cell>
        </row>
        <row r="90">
          <cell r="A90" t="str">
            <v>BT-80</v>
          </cell>
          <cell r="B90" t="str">
            <v>Công tác đổ bê tông cột thang máy bổ sung tầng : 01, 02, 03, 04, 05, 06, 07, 08, 09, 10, 11</v>
          </cell>
          <cell r="C90" t="str">
            <v>BT-80</v>
          </cell>
          <cell r="D90" t="str">
            <v>14h00</v>
          </cell>
          <cell r="E90" t="str">
            <v>15h00</v>
          </cell>
          <cell r="F90">
            <v>1</v>
          </cell>
          <cell r="G90">
            <v>9</v>
          </cell>
          <cell r="H90">
            <v>2015</v>
          </cell>
          <cell r="I90" t="str">
            <v>Hà Nội, ngày 1 tháng 9 năm 2015</v>
          </cell>
          <cell r="J90" t="str">
            <v>14h00 ngày 1 tháng 9 năm 2015</v>
          </cell>
          <cell r="K90" t="str">
            <v>15h00 ngày 1 tháng 9 năm 2015</v>
          </cell>
          <cell r="L90" t="str">
            <v>15h15</v>
          </cell>
          <cell r="M90" t="str">
            <v>16h00</v>
          </cell>
          <cell r="N90">
            <v>1</v>
          </cell>
          <cell r="O90">
            <v>9</v>
          </cell>
          <cell r="P90">
            <v>2015</v>
          </cell>
          <cell r="Q90" t="str">
            <v>Hà Nội, ngày 1 tháng 9 năm 2015</v>
          </cell>
          <cell r="R90" t="str">
            <v>15h15 ngày 1 tháng 9 năm 2015</v>
          </cell>
          <cell r="S90" t="str">
            <v>16h00 ngày 1 tháng 9 năm 2015</v>
          </cell>
          <cell r="T90" t="str">
            <v>15h15</v>
          </cell>
          <cell r="U90" t="str">
            <v>15h15 Ngày 1/9/2015</v>
          </cell>
          <cell r="V90" t="str">
            <v>Nguyễn Ái Việt</v>
          </cell>
          <cell r="W90" t="str">
            <v>Chỉ huy trưởng</v>
          </cell>
          <cell r="X90" t="str">
            <v>................................</v>
          </cell>
          <cell r="Y90" t="str">
            <v>................................</v>
          </cell>
          <cell r="Z90" t="str">
            <v>Nguyễn Văn Nghiễm</v>
          </cell>
          <cell r="AA90" t="str">
            <v>Cán bộ KCS</v>
          </cell>
          <cell r="AB90" t="str">
            <v>Vương Toàn Hiếu</v>
          </cell>
          <cell r="AC90" t="str">
            <v>Trưởng đoàn TVGS</v>
          </cell>
          <cell r="AD90" t="str">
            <v>Lê Thiều Nam</v>
          </cell>
          <cell r="AE90" t="str">
            <v>Cán bộ TVGS</v>
          </cell>
          <cell r="AF90" t="str">
            <v>................................</v>
          </cell>
          <cell r="AG90" t="str">
            <v>Cán bộ TVGS</v>
          </cell>
          <cell r="AH90" t="str">
            <v>Nguyễn Ái Việt</v>
          </cell>
          <cell r="AI90" t="str">
            <v>Chỉ huy trưởng</v>
          </cell>
          <cell r="AJ90" t="str">
            <v>Hoàng Chiến Thắng</v>
          </cell>
          <cell r="AK90" t="str">
            <v>P. Chỉ huy trưởng</v>
          </cell>
          <cell r="AL90" t="str">
            <v>Trịnh Quang Đức</v>
          </cell>
          <cell r="AM90" t="str">
            <v>Cán bộ kỹ thuật</v>
          </cell>
          <cell r="AN90" t="str">
            <v>KCĐCBS-05</v>
          </cell>
          <cell r="AS90" t="str">
            <v>Ngày 1 Tháng 9 Năm 2015</v>
          </cell>
        </row>
        <row r="91">
          <cell r="A91" t="str">
            <v>BT-81</v>
          </cell>
          <cell r="B91" t="str">
            <v>Công tác đổ bê tông tạo dốc tầng áp mái, tầng mái</v>
          </cell>
          <cell r="C91" t="str">
            <v>BT-81</v>
          </cell>
          <cell r="D91" t="str">
            <v>14h00</v>
          </cell>
          <cell r="E91" t="str">
            <v>14h45</v>
          </cell>
          <cell r="F91">
            <v>6</v>
          </cell>
          <cell r="G91">
            <v>10</v>
          </cell>
          <cell r="H91">
            <v>2015</v>
          </cell>
          <cell r="I91" t="str">
            <v>Hà Nội, ngày 6 tháng 10 năm 2015</v>
          </cell>
          <cell r="J91" t="str">
            <v>14h00 ngày 6 tháng 10 năm 2015</v>
          </cell>
          <cell r="K91" t="str">
            <v>14h45 ngày 6 tháng 10 năm 2015</v>
          </cell>
          <cell r="L91" t="str">
            <v>15h00</v>
          </cell>
          <cell r="M91" t="str">
            <v>15h45</v>
          </cell>
          <cell r="N91">
            <v>6</v>
          </cell>
          <cell r="O91">
            <v>10</v>
          </cell>
          <cell r="P91">
            <v>2015</v>
          </cell>
          <cell r="Q91" t="str">
            <v>Hà Nội, ngày 6 tháng 10 năm 2015</v>
          </cell>
          <cell r="R91" t="str">
            <v>15h00 ngày 6 tháng 10 năm 2015</v>
          </cell>
          <cell r="S91" t="str">
            <v>15h45 ngày 6 tháng 10 năm 2015</v>
          </cell>
          <cell r="T91" t="str">
            <v>15h00</v>
          </cell>
          <cell r="U91" t="str">
            <v>15h00 Ngày 6/10/2015</v>
          </cell>
          <cell r="V91" t="str">
            <v>Nguyễn Ái Việt</v>
          </cell>
          <cell r="W91" t="str">
            <v>Chỉ huy trưởng</v>
          </cell>
          <cell r="X91" t="str">
            <v>................................</v>
          </cell>
          <cell r="Y91" t="str">
            <v>................................</v>
          </cell>
          <cell r="Z91" t="str">
            <v>Nguyễn Văn Nghiễm</v>
          </cell>
          <cell r="AA91" t="str">
            <v>Cán bộ KCS</v>
          </cell>
          <cell r="AB91" t="str">
            <v>Vương Toàn Hiếu</v>
          </cell>
          <cell r="AC91" t="str">
            <v>Trưởng đoàn TVGS</v>
          </cell>
          <cell r="AD91" t="str">
            <v>Lê Thiều Nam</v>
          </cell>
          <cell r="AE91" t="str">
            <v>Cán bộ TVGS</v>
          </cell>
          <cell r="AF91" t="str">
            <v>................................</v>
          </cell>
          <cell r="AG91" t="str">
            <v>Cán bộ TVGS</v>
          </cell>
          <cell r="AH91" t="str">
            <v>Nguyễn Ái Việt</v>
          </cell>
          <cell r="AI91" t="str">
            <v>Chỉ huy trưởng</v>
          </cell>
          <cell r="AJ91" t="str">
            <v>Hoàng Chiến Thắng</v>
          </cell>
          <cell r="AK91" t="str">
            <v>P. Chỉ huy trưởng</v>
          </cell>
          <cell r="AL91" t="str">
            <v>Trịnh Quang Đức</v>
          </cell>
          <cell r="AM91" t="str">
            <v>Cán bộ kỹ thuật</v>
          </cell>
          <cell r="AN91" t="str">
            <v>KT-105; KT-105DC; KT-100</v>
          </cell>
          <cell r="AS91" t="str">
            <v>Ngày 6 Tháng 10 Năm 2015</v>
          </cell>
        </row>
        <row r="92">
          <cell r="A92" t="str">
            <v>BT-82</v>
          </cell>
          <cell r="B92" t="str">
            <v>Công tác đổ bê tông nền nhà vệ sinh tầng áp mái</v>
          </cell>
          <cell r="C92" t="str">
            <v>BT-82</v>
          </cell>
          <cell r="D92" t="str">
            <v>15h00</v>
          </cell>
          <cell r="E92" t="str">
            <v>15h45</v>
          </cell>
          <cell r="F92">
            <v>13</v>
          </cell>
          <cell r="G92">
            <v>10</v>
          </cell>
          <cell r="H92">
            <v>2015</v>
          </cell>
          <cell r="I92" t="str">
            <v>Hà Nội, ngày 13 tháng 10 năm 2015</v>
          </cell>
          <cell r="J92" t="str">
            <v>15h00 ngày 13 tháng 10 năm 2015</v>
          </cell>
          <cell r="K92" t="str">
            <v>15h45 ngày 13 tháng 10 năm 2015</v>
          </cell>
          <cell r="L92" t="str">
            <v>16h00</v>
          </cell>
          <cell r="M92" t="str">
            <v>16h45</v>
          </cell>
          <cell r="N92">
            <v>13</v>
          </cell>
          <cell r="O92">
            <v>10</v>
          </cell>
          <cell r="P92">
            <v>2015</v>
          </cell>
          <cell r="Q92" t="str">
            <v>Hà Nội, ngày 13 tháng 10 năm 2015</v>
          </cell>
          <cell r="R92" t="str">
            <v>16h00 ngày 13 tháng 10 năm 2015</v>
          </cell>
          <cell r="S92" t="str">
            <v>16h45 ngày 13 tháng 10 năm 2015</v>
          </cell>
          <cell r="T92" t="str">
            <v>16h00</v>
          </cell>
          <cell r="U92" t="str">
            <v>16h00 Ngày 13/10/2015</v>
          </cell>
          <cell r="V92" t="str">
            <v>Nguyễn Ái Việt</v>
          </cell>
          <cell r="W92" t="str">
            <v>Chỉ huy trưởng</v>
          </cell>
          <cell r="X92" t="str">
            <v>................................</v>
          </cell>
          <cell r="Y92" t="str">
            <v>................................</v>
          </cell>
          <cell r="Z92" t="str">
            <v>Nguyễn Văn Nghiễm</v>
          </cell>
          <cell r="AA92" t="str">
            <v>Cán bộ KCS</v>
          </cell>
          <cell r="AB92" t="str">
            <v>Vương Toàn Hiếu</v>
          </cell>
          <cell r="AC92" t="str">
            <v>Trưởng đoàn TVGS</v>
          </cell>
          <cell r="AD92" t="str">
            <v>Lê Thiều Nam</v>
          </cell>
          <cell r="AE92" t="str">
            <v>Cán bộ TVGS</v>
          </cell>
          <cell r="AF92" t="str">
            <v>................................</v>
          </cell>
          <cell r="AG92" t="str">
            <v>Cán bộ TVGS</v>
          </cell>
          <cell r="AH92" t="str">
            <v>Nguyễn Ái Việt</v>
          </cell>
          <cell r="AI92" t="str">
            <v>Chỉ huy trưởng</v>
          </cell>
          <cell r="AJ92" t="str">
            <v>Hoàng Chiến Thắng</v>
          </cell>
          <cell r="AK92" t="str">
            <v>P. Chỉ huy trưởng</v>
          </cell>
          <cell r="AL92" t="str">
            <v>Trịnh Quang Đức</v>
          </cell>
          <cell r="AM92" t="str">
            <v>Cán bộ kỹ thuật</v>
          </cell>
          <cell r="AN92" t="str">
            <v>KTBS</v>
          </cell>
          <cell r="AS92" t="str">
            <v>Ngày 13 Tháng 10 Năm 2015</v>
          </cell>
        </row>
        <row r="93">
          <cell r="A93" t="str">
            <v>BT-83</v>
          </cell>
          <cell r="B93" t="str">
            <v>Công tác đổ bê tông nền tầng 2</v>
          </cell>
          <cell r="C93" t="str">
            <v>BT-83</v>
          </cell>
          <cell r="D93" t="str">
            <v>14h00</v>
          </cell>
          <cell r="E93" t="str">
            <v>14h45</v>
          </cell>
          <cell r="F93">
            <v>16</v>
          </cell>
          <cell r="G93">
            <v>10</v>
          </cell>
          <cell r="H93">
            <v>2015</v>
          </cell>
          <cell r="I93" t="str">
            <v>Hà Nội, ngày 16 tháng 10 năm 2015</v>
          </cell>
          <cell r="J93" t="str">
            <v>14h00 ngày 16 tháng 10 năm 2015</v>
          </cell>
          <cell r="K93" t="str">
            <v>14h45 ngày 16 tháng 10 năm 2015</v>
          </cell>
          <cell r="L93" t="str">
            <v>15h00</v>
          </cell>
          <cell r="M93" t="str">
            <v>15h45</v>
          </cell>
          <cell r="N93">
            <v>16</v>
          </cell>
          <cell r="O93">
            <v>10</v>
          </cell>
          <cell r="P93">
            <v>2015</v>
          </cell>
          <cell r="Q93" t="str">
            <v>Hà Nội, ngày 16 tháng 10 năm 2015</v>
          </cell>
          <cell r="R93" t="str">
            <v>15h00 ngày 16 tháng 10 năm 2015</v>
          </cell>
          <cell r="S93" t="str">
            <v>15h45 ngày 16 tháng 10 năm 2015</v>
          </cell>
          <cell r="T93" t="str">
            <v>15h00</v>
          </cell>
          <cell r="U93" t="str">
            <v>15h00 Ngày 16/10/2015</v>
          </cell>
          <cell r="V93" t="str">
            <v>Nguyễn Ái Việt</v>
          </cell>
          <cell r="W93" t="str">
            <v>Chỉ huy trưởng</v>
          </cell>
          <cell r="X93" t="str">
            <v>................................</v>
          </cell>
          <cell r="Y93" t="str">
            <v>................................</v>
          </cell>
          <cell r="Z93" t="str">
            <v>Nguyễn Văn Nghiễm</v>
          </cell>
          <cell r="AA93" t="str">
            <v>Cán bộ KCS</v>
          </cell>
          <cell r="AB93" t="str">
            <v>Vương Toàn Hiếu</v>
          </cell>
          <cell r="AC93" t="str">
            <v>Trưởng đoàn TVGS</v>
          </cell>
          <cell r="AD93" t="str">
            <v>Lê Thiều Nam</v>
          </cell>
          <cell r="AE93" t="str">
            <v>Cán bộ TVGS</v>
          </cell>
          <cell r="AF93" t="str">
            <v>................................</v>
          </cell>
          <cell r="AG93" t="str">
            <v>Cán bộ TVGS</v>
          </cell>
          <cell r="AH93" t="str">
            <v>Nguyễn Ái Việt</v>
          </cell>
          <cell r="AI93" t="str">
            <v>Chỉ huy trưởng</v>
          </cell>
          <cell r="AJ93" t="str">
            <v>Hoàng Chiến Thắng</v>
          </cell>
          <cell r="AK93" t="str">
            <v>P. Chỉ huy trưởng</v>
          </cell>
          <cell r="AL93" t="str">
            <v>Trịnh Quang Đức</v>
          </cell>
          <cell r="AM93" t="str">
            <v>Cán bộ kỹ thuật</v>
          </cell>
          <cell r="AN93" t="str">
            <v>KT-102DC</v>
          </cell>
          <cell r="AS93" t="str">
            <v>Ngày 16 Tháng 10 Năm 2015</v>
          </cell>
        </row>
        <row r="94">
          <cell r="A94" t="str">
            <v>BT-84</v>
          </cell>
          <cell r="C94" t="str">
            <v>BT-84</v>
          </cell>
          <cell r="D94" t="str">
            <v>….h….</v>
          </cell>
          <cell r="E94" t="str">
            <v>….h….</v>
          </cell>
          <cell r="F94" t="str">
            <v>….</v>
          </cell>
          <cell r="G94" t="str">
            <v>….</v>
          </cell>
          <cell r="H94" t="str">
            <v>…..</v>
          </cell>
          <cell r="I94" t="str">
            <v>Hà Nội, ngày …. tháng …. năm …..</v>
          </cell>
          <cell r="J94" t="str">
            <v>….h…. ngày …. tháng …. năm …..</v>
          </cell>
          <cell r="K94" t="str">
            <v>….h…. ngày …. tháng …. năm …..</v>
          </cell>
          <cell r="L94" t="str">
            <v>….h….</v>
          </cell>
          <cell r="M94" t="str">
            <v>…h….</v>
          </cell>
          <cell r="N94" t="str">
            <v>….</v>
          </cell>
          <cell r="O94" t="str">
            <v>….</v>
          </cell>
          <cell r="P94" t="str">
            <v>…..</v>
          </cell>
          <cell r="Q94" t="str">
            <v>Hà Nội, ngày …. tháng …. năm …..</v>
          </cell>
          <cell r="R94" t="str">
            <v>….h…. ngày …. tháng …. năm …..</v>
          </cell>
          <cell r="S94" t="str">
            <v>…h…. ngày …. tháng …. năm …..</v>
          </cell>
          <cell r="T94" t="str">
            <v>….h….</v>
          </cell>
          <cell r="U94" t="str">
            <v>….h…. Ngày …./…./…..</v>
          </cell>
          <cell r="V94" t="str">
            <v>Nguyễn Ái Việt</v>
          </cell>
          <cell r="W94" t="str">
            <v>Chỉ huy trưởng</v>
          </cell>
          <cell r="X94" t="str">
            <v>................................</v>
          </cell>
          <cell r="Y94" t="str">
            <v>................................</v>
          </cell>
          <cell r="Z94" t="str">
            <v>Nguyễn Văn Nghiễm</v>
          </cell>
          <cell r="AA94" t="str">
            <v>Cán bộ KCS</v>
          </cell>
          <cell r="AB94" t="str">
            <v>Vương Toàn Hiếu</v>
          </cell>
          <cell r="AC94" t="str">
            <v>Trưởng đoàn TVGS</v>
          </cell>
          <cell r="AD94" t="str">
            <v>Lê Thiều Nam</v>
          </cell>
          <cell r="AE94" t="str">
            <v>Cán bộ TVGS</v>
          </cell>
          <cell r="AF94" t="str">
            <v>................................</v>
          </cell>
          <cell r="AG94" t="str">
            <v>Cán bộ TVGS</v>
          </cell>
          <cell r="AH94" t="str">
            <v>Nguyễn Ái Việt</v>
          </cell>
          <cell r="AI94" t="str">
            <v>Chỉ huy trưởng</v>
          </cell>
          <cell r="AJ94" t="str">
            <v>Hoàng Chiến Thắng</v>
          </cell>
          <cell r="AK94" t="str">
            <v>P. Chỉ huy trưởng</v>
          </cell>
          <cell r="AL94" t="str">
            <v>Trịnh Quang Đức</v>
          </cell>
          <cell r="AM94" t="str">
            <v>Cán bộ kỹ thuật</v>
          </cell>
          <cell r="AS94" t="str">
            <v>Ngày …. Tháng …. Năm …..</v>
          </cell>
        </row>
        <row r="95">
          <cell r="A95" t="str">
            <v>BT-85</v>
          </cell>
          <cell r="C95" t="str">
            <v>BT-85</v>
          </cell>
          <cell r="D95" t="str">
            <v>….h….</v>
          </cell>
          <cell r="E95" t="str">
            <v>….h….</v>
          </cell>
          <cell r="F95" t="str">
            <v>….</v>
          </cell>
          <cell r="G95" t="str">
            <v>….</v>
          </cell>
          <cell r="H95" t="str">
            <v>…..</v>
          </cell>
          <cell r="I95" t="str">
            <v>Hà Nội, ngày …. tháng …. năm …..</v>
          </cell>
          <cell r="J95" t="str">
            <v>….h…. ngày …. tháng …. năm …..</v>
          </cell>
          <cell r="K95" t="str">
            <v>….h…. ngày …. tháng …. năm …..</v>
          </cell>
          <cell r="L95" t="str">
            <v>….h….</v>
          </cell>
          <cell r="M95" t="str">
            <v>…h….</v>
          </cell>
          <cell r="N95" t="str">
            <v>….</v>
          </cell>
          <cell r="O95" t="str">
            <v>….</v>
          </cell>
          <cell r="P95" t="str">
            <v>…..</v>
          </cell>
          <cell r="Q95" t="str">
            <v>Hà Nội, ngày …. tháng …. năm …..</v>
          </cell>
          <cell r="R95" t="str">
            <v>….h…. ngày …. tháng …. năm …..</v>
          </cell>
          <cell r="S95" t="str">
            <v>…h…. ngày …. tháng …. năm …..</v>
          </cell>
          <cell r="T95" t="str">
            <v>….h….</v>
          </cell>
          <cell r="U95" t="str">
            <v>….h…. Ngày …./…./…..</v>
          </cell>
          <cell r="V95" t="str">
            <v>Nguyễn Ái Việt</v>
          </cell>
          <cell r="W95" t="str">
            <v>Chỉ huy trưởng</v>
          </cell>
          <cell r="X95" t="str">
            <v>................................</v>
          </cell>
          <cell r="Y95" t="str">
            <v>................................</v>
          </cell>
          <cell r="Z95" t="str">
            <v>Nguyễn Văn Nghiễm</v>
          </cell>
          <cell r="AA95" t="str">
            <v>Cán bộ KCS</v>
          </cell>
          <cell r="AB95" t="str">
            <v>Vương Toàn Hiếu</v>
          </cell>
          <cell r="AC95" t="str">
            <v>Trưởng đoàn TVGS</v>
          </cell>
          <cell r="AD95" t="str">
            <v>Lê Thiều Nam</v>
          </cell>
          <cell r="AE95" t="str">
            <v>Cán bộ TVGS</v>
          </cell>
          <cell r="AF95" t="str">
            <v>................................</v>
          </cell>
          <cell r="AG95" t="str">
            <v>Cán bộ TVGS</v>
          </cell>
          <cell r="AH95" t="str">
            <v>Nguyễn Ái Việt</v>
          </cell>
          <cell r="AI95" t="str">
            <v>Chỉ huy trưởng</v>
          </cell>
          <cell r="AJ95" t="str">
            <v>Hoàng Chiến Thắng</v>
          </cell>
          <cell r="AK95" t="str">
            <v>P. Chỉ huy trưởng</v>
          </cell>
          <cell r="AL95" t="str">
            <v>Trịnh Quang Đức</v>
          </cell>
          <cell r="AM95" t="str">
            <v>Cán bộ kỹ thuật</v>
          </cell>
          <cell r="AS95" t="str">
            <v>Ngày …. Tháng …. Năm …..</v>
          </cell>
        </row>
        <row r="96">
          <cell r="A96" t="str">
            <v>BT-86</v>
          </cell>
          <cell r="C96" t="str">
            <v>BT-86</v>
          </cell>
          <cell r="D96" t="str">
            <v>….h….</v>
          </cell>
          <cell r="E96" t="str">
            <v>….h….</v>
          </cell>
          <cell r="F96" t="str">
            <v>….</v>
          </cell>
          <cell r="G96" t="str">
            <v>….</v>
          </cell>
          <cell r="H96" t="str">
            <v>…..</v>
          </cell>
          <cell r="I96" t="str">
            <v>Hà Nội, ngày …. tháng …. năm …..</v>
          </cell>
          <cell r="J96" t="str">
            <v>….h…. ngày …. tháng …. năm …..</v>
          </cell>
          <cell r="K96" t="str">
            <v>….h…. ngày …. tháng …. năm …..</v>
          </cell>
          <cell r="L96" t="str">
            <v>….h….</v>
          </cell>
          <cell r="M96" t="str">
            <v>…h….</v>
          </cell>
          <cell r="N96" t="str">
            <v>….</v>
          </cell>
          <cell r="O96" t="str">
            <v>….</v>
          </cell>
          <cell r="P96" t="str">
            <v>…..</v>
          </cell>
          <cell r="Q96" t="str">
            <v>Hà Nội, ngày …. tháng …. năm …..</v>
          </cell>
          <cell r="R96" t="str">
            <v>….h…. ngày …. tháng …. năm …..</v>
          </cell>
          <cell r="S96" t="str">
            <v>…h…. ngày …. tháng …. năm …..</v>
          </cell>
          <cell r="T96" t="str">
            <v>….h….</v>
          </cell>
          <cell r="U96" t="str">
            <v>….h…. Ngày …./…./…..</v>
          </cell>
          <cell r="V96" t="str">
            <v>Nguyễn Ái Việt</v>
          </cell>
          <cell r="W96" t="str">
            <v>Chỉ huy trưởng</v>
          </cell>
          <cell r="X96" t="str">
            <v>................................</v>
          </cell>
          <cell r="Y96" t="str">
            <v>................................</v>
          </cell>
          <cell r="Z96" t="str">
            <v>Nguyễn Văn Nghiễm</v>
          </cell>
          <cell r="AA96" t="str">
            <v>Cán bộ KCS</v>
          </cell>
          <cell r="AB96" t="str">
            <v>Vương Toàn Hiếu</v>
          </cell>
          <cell r="AC96" t="str">
            <v>Trưởng đoàn TVGS</v>
          </cell>
          <cell r="AD96" t="str">
            <v>Lê Thiều Nam</v>
          </cell>
          <cell r="AE96" t="str">
            <v>Cán bộ TVGS</v>
          </cell>
          <cell r="AF96" t="str">
            <v>................................</v>
          </cell>
          <cell r="AG96" t="str">
            <v>Cán bộ TVGS</v>
          </cell>
          <cell r="AH96" t="str">
            <v>Nguyễn Ái Việt</v>
          </cell>
          <cell r="AI96" t="str">
            <v>Chỉ huy trưởng</v>
          </cell>
          <cell r="AJ96" t="str">
            <v>Hoàng Chiến Thắng</v>
          </cell>
          <cell r="AK96" t="str">
            <v>P. Chỉ huy trưởng</v>
          </cell>
          <cell r="AL96" t="str">
            <v>Trịnh Quang Đức</v>
          </cell>
          <cell r="AM96" t="str">
            <v>Cán bộ kỹ thuật</v>
          </cell>
          <cell r="AS96" t="str">
            <v>Ngày …. Tháng …. Năm …..</v>
          </cell>
        </row>
        <row r="97">
          <cell r="A97" t="str">
            <v>BT-87</v>
          </cell>
          <cell r="C97" t="str">
            <v>BT-87</v>
          </cell>
          <cell r="D97" t="str">
            <v>….h….</v>
          </cell>
          <cell r="E97" t="str">
            <v>….h….</v>
          </cell>
          <cell r="F97" t="str">
            <v>….</v>
          </cell>
          <cell r="G97" t="str">
            <v>….</v>
          </cell>
          <cell r="H97" t="str">
            <v>…..</v>
          </cell>
          <cell r="I97" t="str">
            <v>Hà Nội, ngày …. tháng …. năm …..</v>
          </cell>
          <cell r="J97" t="str">
            <v>….h…. ngày …. tháng …. năm …..</v>
          </cell>
          <cell r="K97" t="str">
            <v>….h…. ngày …. tháng …. năm …..</v>
          </cell>
          <cell r="L97" t="str">
            <v>….h….</v>
          </cell>
          <cell r="M97" t="str">
            <v>…h….</v>
          </cell>
          <cell r="N97" t="str">
            <v>….</v>
          </cell>
          <cell r="O97" t="str">
            <v>….</v>
          </cell>
          <cell r="P97" t="str">
            <v>…..</v>
          </cell>
          <cell r="Q97" t="str">
            <v>Hà Nội, ngày …. tháng …. năm …..</v>
          </cell>
          <cell r="R97" t="str">
            <v>….h…. ngày …. tháng …. năm …..</v>
          </cell>
          <cell r="S97" t="str">
            <v>…h…. ngày …. tháng …. năm …..</v>
          </cell>
          <cell r="T97" t="str">
            <v>….h….</v>
          </cell>
          <cell r="U97" t="str">
            <v>….h…. Ngày …./…./…..</v>
          </cell>
          <cell r="V97" t="str">
            <v>Nguyễn Ái Việt</v>
          </cell>
          <cell r="W97" t="str">
            <v>Chỉ huy trưởng</v>
          </cell>
          <cell r="X97" t="str">
            <v>................................</v>
          </cell>
          <cell r="Y97" t="str">
            <v>................................</v>
          </cell>
          <cell r="Z97" t="str">
            <v>Nguyễn Văn Nghiễm</v>
          </cell>
          <cell r="AA97" t="str">
            <v>Cán bộ KCS</v>
          </cell>
          <cell r="AB97" t="str">
            <v>Vương Toàn Hiếu</v>
          </cell>
          <cell r="AC97" t="str">
            <v>Trưởng đoàn TVGS</v>
          </cell>
          <cell r="AD97" t="str">
            <v>Lê Thiều Nam</v>
          </cell>
          <cell r="AE97" t="str">
            <v>Cán bộ TVGS</v>
          </cell>
          <cell r="AF97" t="str">
            <v>................................</v>
          </cell>
          <cell r="AG97" t="str">
            <v>Cán bộ TVGS</v>
          </cell>
          <cell r="AH97" t="str">
            <v>Nguyễn Ái Việt</v>
          </cell>
          <cell r="AI97" t="str">
            <v>Chỉ huy trưởng</v>
          </cell>
          <cell r="AJ97" t="str">
            <v>Hoàng Chiến Thắng</v>
          </cell>
          <cell r="AK97" t="str">
            <v>P. Chỉ huy trưởng</v>
          </cell>
          <cell r="AL97" t="str">
            <v>Trịnh Quang Đức</v>
          </cell>
          <cell r="AM97" t="str">
            <v>Cán bộ kỹ thuật</v>
          </cell>
          <cell r="AS97" t="str">
            <v>Ngày …. Tháng …. Năm …..</v>
          </cell>
        </row>
        <row r="98">
          <cell r="A98" t="str">
            <v>BTDB-01</v>
          </cell>
          <cell r="B98" t="str">
            <v>Công tác đổ bê tông dầm đỡ bồn nước mái</v>
          </cell>
          <cell r="C98" t="str">
            <v>BTDB-01</v>
          </cell>
          <cell r="D98" t="str">
            <v>14h00</v>
          </cell>
          <cell r="E98" t="str">
            <v>14h30</v>
          </cell>
          <cell r="F98">
            <v>9</v>
          </cell>
          <cell r="G98">
            <v>10</v>
          </cell>
          <cell r="H98">
            <v>2015</v>
          </cell>
          <cell r="I98" t="str">
            <v>Hà Nội, ngày 9 tháng 10 năm 2015</v>
          </cell>
          <cell r="J98" t="str">
            <v>14h00 ngày 9 tháng 10 năm 2015</v>
          </cell>
          <cell r="K98" t="str">
            <v>14h30 ngày 9 tháng 10 năm 2015</v>
          </cell>
          <cell r="L98" t="str">
            <v>15h00</v>
          </cell>
          <cell r="M98" t="str">
            <v>15h30</v>
          </cell>
          <cell r="N98">
            <v>9</v>
          </cell>
          <cell r="O98">
            <v>10</v>
          </cell>
          <cell r="P98">
            <v>2015</v>
          </cell>
          <cell r="Q98" t="str">
            <v>Hà Nội, ngày 9 tháng 10 năm 2015</v>
          </cell>
          <cell r="R98" t="str">
            <v>15h00 ngày 9 tháng 10 năm 2015</v>
          </cell>
          <cell r="S98" t="str">
            <v>15h30 ngày 9 tháng 10 năm 2015</v>
          </cell>
          <cell r="T98" t="str">
            <v>15h00</v>
          </cell>
          <cell r="U98" t="str">
            <v>15h00 Ngày 9/10/2015</v>
          </cell>
          <cell r="V98" t="str">
            <v>Nguyễn Ái Việt</v>
          </cell>
          <cell r="W98" t="str">
            <v>Chỉ huy trưởng</v>
          </cell>
          <cell r="X98" t="str">
            <v>................................</v>
          </cell>
          <cell r="Y98" t="str">
            <v>................................</v>
          </cell>
          <cell r="Z98" t="str">
            <v>Nguyễn Văn Nghiễm</v>
          </cell>
          <cell r="AA98" t="str">
            <v>Cán bộ KCS</v>
          </cell>
          <cell r="AB98" t="str">
            <v>Vương Toàn Hiếu</v>
          </cell>
          <cell r="AC98" t="str">
            <v>Trưởng đoàn TVGS</v>
          </cell>
          <cell r="AD98" t="str">
            <v>Lê Thiều Nam</v>
          </cell>
          <cell r="AE98" t="str">
            <v>Cán bộ TVGS</v>
          </cell>
          <cell r="AF98" t="str">
            <v>................................</v>
          </cell>
          <cell r="AG98" t="str">
            <v>Cán bộ TVGS</v>
          </cell>
          <cell r="AH98" t="str">
            <v>Nguyễn Ái Việt</v>
          </cell>
          <cell r="AI98" t="str">
            <v>Chỉ huy trưởng</v>
          </cell>
          <cell r="AJ98" t="str">
            <v>Hoàng Chiến Thắng</v>
          </cell>
          <cell r="AK98" t="str">
            <v>P. Chỉ huy trưởng</v>
          </cell>
          <cell r="AL98" t="str">
            <v>Trịnh Quang Đức</v>
          </cell>
          <cell r="AM98" t="str">
            <v>Cán bộ kỹ thuật</v>
          </cell>
          <cell r="AN98" t="str">
            <v>KS-BS-04</v>
          </cell>
          <cell r="AS98" t="str">
            <v>Ngày 9 Tháng 10 Năm 2015</v>
          </cell>
        </row>
        <row r="99">
          <cell r="A99" t="str">
            <v>BTTĐ-01</v>
          </cell>
          <cell r="B99" t="str">
            <v>Công tác đổ bê tông tấm đan đậy hộp kỹ thuật tầng mái, áp mái</v>
          </cell>
          <cell r="C99" t="str">
            <v>BTTĐ-01</v>
          </cell>
          <cell r="D99" t="str">
            <v>14h30</v>
          </cell>
          <cell r="E99" t="str">
            <v>15h00</v>
          </cell>
          <cell r="F99">
            <v>16</v>
          </cell>
          <cell r="G99">
            <v>10</v>
          </cell>
          <cell r="H99">
            <v>2015</v>
          </cell>
          <cell r="I99" t="str">
            <v>Hà Nội, ngày 16 tháng 10 năm 2015</v>
          </cell>
          <cell r="J99" t="str">
            <v>14h30 ngày 16 tháng 10 năm 2015</v>
          </cell>
          <cell r="K99" t="str">
            <v>15h00 ngày 16 tháng 10 năm 2015</v>
          </cell>
          <cell r="L99" t="str">
            <v>15h30</v>
          </cell>
          <cell r="M99" t="str">
            <v>16h00</v>
          </cell>
          <cell r="N99">
            <v>16</v>
          </cell>
          <cell r="O99">
            <v>10</v>
          </cell>
          <cell r="P99">
            <v>2015</v>
          </cell>
          <cell r="Q99" t="str">
            <v>Hà Nội, ngày 16 tháng 10 năm 2015</v>
          </cell>
          <cell r="R99" t="str">
            <v>15h30 ngày 16 tháng 10 năm 2015</v>
          </cell>
          <cell r="S99" t="str">
            <v>16h00 ngày 16 tháng 10 năm 2015</v>
          </cell>
          <cell r="T99" t="str">
            <v>15h30</v>
          </cell>
          <cell r="U99" t="str">
            <v>15h30 Ngày 16/10/2015</v>
          </cell>
          <cell r="V99" t="str">
            <v>Nguyễn Ái Việt</v>
          </cell>
          <cell r="W99" t="str">
            <v>Chỉ huy trưởng</v>
          </cell>
          <cell r="X99" t="str">
            <v>................................</v>
          </cell>
          <cell r="Y99" t="str">
            <v>................................</v>
          </cell>
          <cell r="Z99" t="str">
            <v>Nguyễn Văn Nghiễm</v>
          </cell>
          <cell r="AA99" t="str">
            <v>Cán bộ KCS</v>
          </cell>
          <cell r="AB99" t="str">
            <v>Vương Toàn Hiếu</v>
          </cell>
          <cell r="AC99" t="str">
            <v>Trưởng đoàn TVGS</v>
          </cell>
          <cell r="AD99" t="str">
            <v>Lê Thiều Nam</v>
          </cell>
          <cell r="AE99" t="str">
            <v>Cán bộ TVGS</v>
          </cell>
          <cell r="AF99" t="str">
            <v>................................</v>
          </cell>
          <cell r="AG99" t="str">
            <v>Cán bộ TVGS</v>
          </cell>
          <cell r="AH99" t="str">
            <v>Nguyễn Ái Việt</v>
          </cell>
          <cell r="AI99" t="str">
            <v>Chỉ huy trưởng</v>
          </cell>
          <cell r="AJ99" t="str">
            <v>Hoàng Chiến Thắng</v>
          </cell>
          <cell r="AK99" t="str">
            <v>P. Chỉ huy trưởng</v>
          </cell>
          <cell r="AL99" t="str">
            <v>Trịnh Quang Đức</v>
          </cell>
          <cell r="AM99" t="str">
            <v>Cán bộ kỹ thuật</v>
          </cell>
          <cell r="AN99" t="str">
            <v>KC-BS-03</v>
          </cell>
          <cell r="AS99" t="str">
            <v>Ngày 16 Tháng 10 Năm 2015</v>
          </cell>
        </row>
        <row r="100">
          <cell r="A100" t="str">
            <v>BTTC-01</v>
          </cell>
          <cell r="B100" t="str">
            <v>Công tác đổ bê tông lót nền tam cấp TC1, TC3, TC3*, đường dốc DD1, DD2, DD3</v>
          </cell>
          <cell r="C100" t="str">
            <v>BTTC-01</v>
          </cell>
          <cell r="D100" t="str">
            <v>8h00</v>
          </cell>
          <cell r="E100" t="str">
            <v>8h30</v>
          </cell>
          <cell r="F100">
            <v>31</v>
          </cell>
          <cell r="G100">
            <v>10</v>
          </cell>
          <cell r="H100">
            <v>2015</v>
          </cell>
          <cell r="I100" t="str">
            <v>Hà Nội, ngày 31 tháng 10 năm 2015</v>
          </cell>
          <cell r="J100" t="str">
            <v>8h00 ngày 31 tháng 10 năm 2015</v>
          </cell>
          <cell r="K100" t="str">
            <v>8h30 ngày 31 tháng 10 năm 2015</v>
          </cell>
          <cell r="L100" t="str">
            <v>9h00</v>
          </cell>
          <cell r="M100" t="str">
            <v>9h30</v>
          </cell>
          <cell r="N100">
            <v>31</v>
          </cell>
          <cell r="O100">
            <v>10</v>
          </cell>
          <cell r="P100">
            <v>2015</v>
          </cell>
          <cell r="Q100" t="str">
            <v>Hà Nội, ngày 31 tháng 10 năm 2015</v>
          </cell>
          <cell r="R100" t="str">
            <v>9h00 ngày 31 tháng 10 năm 2015</v>
          </cell>
          <cell r="S100" t="str">
            <v>9h30 ngày 31 tháng 10 năm 2015</v>
          </cell>
          <cell r="T100" t="str">
            <v>9h00</v>
          </cell>
          <cell r="U100" t="str">
            <v>9h00 Ngày 31/10/2015</v>
          </cell>
          <cell r="V100" t="str">
            <v>Nguyễn Ái Việt</v>
          </cell>
          <cell r="W100" t="str">
            <v>Chỉ huy trưởng</v>
          </cell>
          <cell r="X100" t="str">
            <v>................................</v>
          </cell>
          <cell r="Y100" t="str">
            <v>................................</v>
          </cell>
          <cell r="Z100" t="str">
            <v>Nguyễn Văn Nghiễm</v>
          </cell>
          <cell r="AA100" t="str">
            <v>Cán bộ KCS</v>
          </cell>
          <cell r="AB100" t="str">
            <v>Vương Toàn Hiếu</v>
          </cell>
          <cell r="AC100" t="str">
            <v>Trưởng đoàn TVGS</v>
          </cell>
          <cell r="AD100" t="str">
            <v>Lê Thiều Nam</v>
          </cell>
          <cell r="AE100" t="str">
            <v>Cán bộ TVGS</v>
          </cell>
          <cell r="AF100" t="str">
            <v>................................</v>
          </cell>
          <cell r="AG100" t="str">
            <v>Cán bộ TVGS</v>
          </cell>
          <cell r="AH100" t="str">
            <v>Nguyễn Ái Việt</v>
          </cell>
          <cell r="AI100" t="str">
            <v>Chỉ huy trưởng</v>
          </cell>
          <cell r="AJ100" t="str">
            <v>Hoàng Chiến Thắng</v>
          </cell>
          <cell r="AK100" t="str">
            <v>P. Chỉ huy trưởng</v>
          </cell>
          <cell r="AL100" t="str">
            <v>Trịnh Quang Đức</v>
          </cell>
          <cell r="AM100" t="str">
            <v>Cán bộ kỹ thuật</v>
          </cell>
          <cell r="AN100" t="str">
            <v>KT-316; KT-317; KC-BS-01; KC-BS-02</v>
          </cell>
          <cell r="AS100" t="str">
            <v>Ngày 31 Tháng 10 Năm 2015</v>
          </cell>
        </row>
        <row r="101">
          <cell r="A101" t="str">
            <v>BTDD-01</v>
          </cell>
          <cell r="B101" t="str">
            <v xml:space="preserve">Công tác đổ bê tông bản, dầm đường dốc DD1, DD2, DD3 </v>
          </cell>
          <cell r="C101" t="str">
            <v>BTDD-01</v>
          </cell>
          <cell r="D101" t="str">
            <v>14h00</v>
          </cell>
          <cell r="E101" t="str">
            <v>14h30</v>
          </cell>
          <cell r="F101">
            <v>3</v>
          </cell>
          <cell r="G101">
            <v>11</v>
          </cell>
          <cell r="H101">
            <v>2015</v>
          </cell>
          <cell r="I101" t="str">
            <v>Hà Nội, ngày 3 tháng 11 năm 2015</v>
          </cell>
          <cell r="J101" t="str">
            <v>14h00 ngày 3 tháng 11 năm 2015</v>
          </cell>
          <cell r="K101" t="str">
            <v>14h30 ngày 3 tháng 11 năm 2015</v>
          </cell>
          <cell r="L101" t="str">
            <v>15h00</v>
          </cell>
          <cell r="M101" t="str">
            <v>15h30</v>
          </cell>
          <cell r="N101">
            <v>3</v>
          </cell>
          <cell r="O101">
            <v>11</v>
          </cell>
          <cell r="P101">
            <v>2015</v>
          </cell>
          <cell r="Q101" t="str">
            <v>Hà Nội, ngày 3 tháng 11 năm 2015</v>
          </cell>
          <cell r="R101" t="str">
            <v>15h00 ngày 3 tháng 11 năm 2015</v>
          </cell>
          <cell r="S101" t="str">
            <v>15h30 ngày 3 tháng 11 năm 2015</v>
          </cell>
          <cell r="T101" t="str">
            <v>15h00</v>
          </cell>
          <cell r="U101" t="str">
            <v>15h00 Ngày 3/11/2015</v>
          </cell>
          <cell r="V101" t="str">
            <v>Nguyễn Ái Việt</v>
          </cell>
          <cell r="W101" t="str">
            <v>Chỉ huy trưởng</v>
          </cell>
          <cell r="X101" t="str">
            <v>................................</v>
          </cell>
          <cell r="Y101" t="str">
            <v>................................</v>
          </cell>
          <cell r="Z101" t="str">
            <v>Nguyễn Văn Nghiễm</v>
          </cell>
          <cell r="AA101" t="str">
            <v>Cán bộ KCS</v>
          </cell>
          <cell r="AB101" t="str">
            <v>Vương Toàn Hiếu</v>
          </cell>
          <cell r="AC101" t="str">
            <v>Trưởng đoàn TVGS</v>
          </cell>
          <cell r="AD101" t="str">
            <v>Lê Thiều Nam</v>
          </cell>
          <cell r="AE101" t="str">
            <v>Cán bộ TVGS</v>
          </cell>
          <cell r="AF101" t="str">
            <v>................................</v>
          </cell>
          <cell r="AG101" t="str">
            <v>Cán bộ TVGS</v>
          </cell>
          <cell r="AH101" t="str">
            <v>Nguyễn Ái Việt</v>
          </cell>
          <cell r="AI101" t="str">
            <v>Chỉ huy trưởng</v>
          </cell>
          <cell r="AJ101" t="str">
            <v>Hoàng Chiến Thắng</v>
          </cell>
          <cell r="AK101" t="str">
            <v>P. Chỉ huy trưởng</v>
          </cell>
          <cell r="AL101" t="str">
            <v>Trịnh Quang Đức</v>
          </cell>
          <cell r="AM101" t="str">
            <v>Cán bộ kỹ thuật</v>
          </cell>
          <cell r="AN101" t="str">
            <v>KT-316; KT-317; KC-BS-01; KC-BS-02</v>
          </cell>
          <cell r="AS101" t="str">
            <v>Ngày 3 Tháng 11 Năm 2015</v>
          </cell>
        </row>
        <row r="102">
          <cell r="A102" t="str">
            <v>BTLDBS-01</v>
          </cell>
          <cell r="B102" t="str">
            <v>Công tác đổ bê tông lót móng dầm bổ sung tầng 01</v>
          </cell>
          <cell r="C102" t="str">
            <v>BTLDBS-01</v>
          </cell>
          <cell r="D102" t="str">
            <v>16h00</v>
          </cell>
          <cell r="E102" t="str">
            <v>16h30</v>
          </cell>
          <cell r="F102">
            <v>28</v>
          </cell>
          <cell r="G102">
            <v>9</v>
          </cell>
          <cell r="H102">
            <v>2015</v>
          </cell>
          <cell r="I102" t="str">
            <v>Hà Nội, ngày 28 tháng 9 năm 2015</v>
          </cell>
          <cell r="J102" t="str">
            <v>16h00 ngày 28 tháng 9 năm 2015</v>
          </cell>
          <cell r="K102" t="str">
            <v>16h30 ngày 28 tháng 9 năm 2015</v>
          </cell>
          <cell r="L102" t="str">
            <v>16h45</v>
          </cell>
          <cell r="M102" t="str">
            <v>15h15</v>
          </cell>
          <cell r="N102">
            <v>28</v>
          </cell>
          <cell r="O102">
            <v>9</v>
          </cell>
          <cell r="P102">
            <v>2015</v>
          </cell>
          <cell r="Q102" t="str">
            <v>Hà Nội, ngày 28 tháng 9 năm 2015</v>
          </cell>
          <cell r="R102" t="str">
            <v>16h45 ngày 28 tháng 9 năm 2015</v>
          </cell>
          <cell r="S102" t="str">
            <v>15h15 ngày 28 tháng 9 năm 2015</v>
          </cell>
          <cell r="T102" t="str">
            <v>16h45</v>
          </cell>
          <cell r="U102" t="str">
            <v>16h45 Ngày 28/9/2015</v>
          </cell>
          <cell r="V102" t="str">
            <v>Nguyễn Ái Việt</v>
          </cell>
          <cell r="W102" t="str">
            <v>Chỉ huy trưởng</v>
          </cell>
          <cell r="X102" t="str">
            <v>................................</v>
          </cell>
          <cell r="Y102" t="str">
            <v>................................</v>
          </cell>
          <cell r="Z102" t="str">
            <v>Nguyễn Văn Nghiễm</v>
          </cell>
          <cell r="AA102" t="str">
            <v>Cán bộ KCS</v>
          </cell>
          <cell r="AB102" t="str">
            <v>Vương Toàn Hiếu</v>
          </cell>
          <cell r="AC102" t="str">
            <v>Trưởng đoàn TVGS</v>
          </cell>
          <cell r="AD102" t="str">
            <v>Lê Thiều Nam</v>
          </cell>
          <cell r="AE102" t="str">
            <v>Cán bộ TVGS</v>
          </cell>
          <cell r="AF102" t="str">
            <v>................................</v>
          </cell>
          <cell r="AG102" t="str">
            <v>Cán bộ TVGS</v>
          </cell>
          <cell r="AH102" t="str">
            <v>Nguyễn Ái Việt</v>
          </cell>
          <cell r="AI102" t="str">
            <v>Chỉ huy trưởng</v>
          </cell>
          <cell r="AJ102" t="str">
            <v>Hoàng Chiến Thắng</v>
          </cell>
          <cell r="AK102" t="str">
            <v>P. Chỉ huy trưởng</v>
          </cell>
          <cell r="AL102" t="str">
            <v>Trịnh Quang Đức</v>
          </cell>
          <cell r="AM102" t="str">
            <v>Cán bộ kỹ thuật</v>
          </cell>
          <cell r="AN102" t="str">
            <v>KCBS-01; KCBS-02</v>
          </cell>
          <cell r="AS102" t="str">
            <v>Ngày 28 Tháng 9 Năm 2015</v>
          </cell>
        </row>
        <row r="103">
          <cell r="A103" t="str">
            <v>BTDBS-01</v>
          </cell>
          <cell r="B103" t="str">
            <v>Công tác đổ bê tông dầm móng bổ sung tầng 01</v>
          </cell>
          <cell r="C103" t="str">
            <v>BTDBS-01</v>
          </cell>
          <cell r="D103" t="str">
            <v>14h00</v>
          </cell>
          <cell r="E103" t="str">
            <v>14h30</v>
          </cell>
          <cell r="F103">
            <v>30</v>
          </cell>
          <cell r="G103">
            <v>9</v>
          </cell>
          <cell r="H103">
            <v>2015</v>
          </cell>
          <cell r="I103" t="str">
            <v>Hà Nội, ngày 30 tháng 9 năm 2015</v>
          </cell>
          <cell r="J103" t="str">
            <v>14h00 ngày 30 tháng 9 năm 2015</v>
          </cell>
          <cell r="K103" t="str">
            <v>14h30 ngày 30 tháng 9 năm 2015</v>
          </cell>
          <cell r="L103" t="str">
            <v>15h00</v>
          </cell>
          <cell r="M103" t="str">
            <v>15h30</v>
          </cell>
          <cell r="N103">
            <v>30</v>
          </cell>
          <cell r="O103">
            <v>9</v>
          </cell>
          <cell r="P103">
            <v>2015</v>
          </cell>
          <cell r="Q103" t="str">
            <v>Hà Nội, ngày 30 tháng 9 năm 2015</v>
          </cell>
          <cell r="R103" t="str">
            <v>15h00 ngày 30 tháng 9 năm 2015</v>
          </cell>
          <cell r="S103" t="str">
            <v>15h30 ngày 30 tháng 9 năm 2015</v>
          </cell>
          <cell r="T103" t="str">
            <v>15h00</v>
          </cell>
          <cell r="U103" t="str">
            <v>15h00 Ngày 30/9/2015</v>
          </cell>
          <cell r="V103" t="str">
            <v>Nguyễn Ái Việt</v>
          </cell>
          <cell r="W103" t="str">
            <v>Chỉ huy trưởng</v>
          </cell>
          <cell r="X103" t="str">
            <v>................................</v>
          </cell>
          <cell r="Y103" t="str">
            <v>................................</v>
          </cell>
          <cell r="Z103" t="str">
            <v>Nguyễn Văn Nghiễm</v>
          </cell>
          <cell r="AA103" t="str">
            <v>Cán bộ KCS</v>
          </cell>
          <cell r="AB103" t="str">
            <v>Vương Toàn Hiếu</v>
          </cell>
          <cell r="AC103" t="str">
            <v>Trưởng đoàn TVGS</v>
          </cell>
          <cell r="AD103" t="str">
            <v>Lê Thiều Nam</v>
          </cell>
          <cell r="AE103" t="str">
            <v>Cán bộ TVGS</v>
          </cell>
          <cell r="AF103" t="str">
            <v>................................</v>
          </cell>
          <cell r="AG103" t="str">
            <v>Cán bộ TVGS</v>
          </cell>
          <cell r="AH103" t="str">
            <v>Nguyễn Ái Việt</v>
          </cell>
          <cell r="AI103" t="str">
            <v>Chỉ huy trưởng</v>
          </cell>
          <cell r="AJ103" t="str">
            <v>Hoàng Chiến Thắng</v>
          </cell>
          <cell r="AK103" t="str">
            <v>P. Chỉ huy trưởng</v>
          </cell>
          <cell r="AL103" t="str">
            <v>Trịnh Quang Đức</v>
          </cell>
          <cell r="AM103" t="str">
            <v>Cán bộ kỹ thuật</v>
          </cell>
          <cell r="AN103" t="str">
            <v>KCBS-01; KCBS-02</v>
          </cell>
          <cell r="AS103" t="str">
            <v>Ngày 30 Tháng 9 Năm 2015</v>
          </cell>
        </row>
        <row r="104">
          <cell r="A104" t="str">
            <v>BTLNT1-01</v>
          </cell>
          <cell r="B104" t="str">
            <v>Công tác đổ bê tông lót nền tầng 01</v>
          </cell>
          <cell r="C104" t="str">
            <v>BTLNT1-01</v>
          </cell>
          <cell r="D104" t="str">
            <v>14h00</v>
          </cell>
          <cell r="E104" t="str">
            <v>14h45</v>
          </cell>
          <cell r="F104">
            <v>29</v>
          </cell>
          <cell r="G104">
            <v>10</v>
          </cell>
          <cell r="H104">
            <v>2015</v>
          </cell>
          <cell r="I104" t="str">
            <v>Hà Nội, ngày 29 tháng 10 năm 2015</v>
          </cell>
          <cell r="J104" t="str">
            <v>14h00 ngày 29 tháng 10 năm 2015</v>
          </cell>
          <cell r="K104" t="str">
            <v>14h45 ngày 29 tháng 10 năm 2015</v>
          </cell>
          <cell r="L104" t="str">
            <v>15h00</v>
          </cell>
          <cell r="M104" t="str">
            <v>15h45</v>
          </cell>
          <cell r="N104">
            <v>29</v>
          </cell>
          <cell r="O104">
            <v>10</v>
          </cell>
          <cell r="P104">
            <v>2015</v>
          </cell>
          <cell r="Q104" t="str">
            <v>Hà Nội, ngày 29 tháng 10 năm 2015</v>
          </cell>
          <cell r="R104" t="str">
            <v>15h00 ngày 29 tháng 10 năm 2015</v>
          </cell>
          <cell r="S104" t="str">
            <v>15h45 ngày 29 tháng 10 năm 2015</v>
          </cell>
          <cell r="T104" t="str">
            <v>15h00</v>
          </cell>
          <cell r="U104" t="str">
            <v>15h00 Ngày 29/10/2015</v>
          </cell>
          <cell r="V104" t="str">
            <v>Nguyễn Ái Việt</v>
          </cell>
          <cell r="W104" t="str">
            <v>Chỉ huy trưởng</v>
          </cell>
          <cell r="X104" t="str">
            <v>................................</v>
          </cell>
          <cell r="Y104" t="str">
            <v>................................</v>
          </cell>
          <cell r="Z104" t="str">
            <v>Nguyễn Văn Nghiễm</v>
          </cell>
          <cell r="AA104" t="str">
            <v>Cán bộ KCS</v>
          </cell>
          <cell r="AB104" t="str">
            <v>Vương Toàn Hiếu</v>
          </cell>
          <cell r="AC104" t="str">
            <v>Trưởng đoàn TVGS</v>
          </cell>
          <cell r="AD104" t="str">
            <v>Lê Thiều Nam</v>
          </cell>
          <cell r="AE104" t="str">
            <v>Cán bộ TVGS</v>
          </cell>
          <cell r="AF104" t="str">
            <v>................................</v>
          </cell>
          <cell r="AG104" t="str">
            <v>Cán bộ TVGS</v>
          </cell>
          <cell r="AH104" t="str">
            <v>Nguyễn Ái Việt</v>
          </cell>
          <cell r="AI104" t="str">
            <v>Chỉ huy trưởng</v>
          </cell>
          <cell r="AJ104" t="str">
            <v>Hoàng Chiến Thắng</v>
          </cell>
          <cell r="AK104" t="str">
            <v>P. Chỉ huy trưởng</v>
          </cell>
          <cell r="AL104" t="str">
            <v>Trịnh Quang Đức</v>
          </cell>
          <cell r="AM104" t="str">
            <v>Cán bộ kỹ thuật</v>
          </cell>
          <cell r="AN104" t="str">
            <v>KC-06; KT-100</v>
          </cell>
          <cell r="AS104" t="str">
            <v>Ngày 29 Tháng 10 Năm 2015</v>
          </cell>
        </row>
        <row r="105">
          <cell r="A105" t="str">
            <v>BTNT1-01</v>
          </cell>
          <cell r="B105" t="str">
            <v>Công tác đổ bê tông nền tầng 01</v>
          </cell>
          <cell r="C105" t="str">
            <v>BTNT1-01</v>
          </cell>
          <cell r="D105" t="str">
            <v>14h00</v>
          </cell>
          <cell r="E105" t="str">
            <v>15h00</v>
          </cell>
          <cell r="F105">
            <v>30</v>
          </cell>
          <cell r="G105">
            <v>10</v>
          </cell>
          <cell r="H105">
            <v>2015</v>
          </cell>
          <cell r="I105" t="str">
            <v>Hà Nội, ngày 30 tháng 10 năm 2015</v>
          </cell>
          <cell r="J105" t="str">
            <v>14h00 ngày 30 tháng 10 năm 2015</v>
          </cell>
          <cell r="K105" t="str">
            <v>15h00 ngày 30 tháng 10 năm 2015</v>
          </cell>
          <cell r="L105" t="str">
            <v>15h15</v>
          </cell>
          <cell r="M105" t="str">
            <v>16h00</v>
          </cell>
          <cell r="N105">
            <v>30</v>
          </cell>
          <cell r="O105">
            <v>10</v>
          </cell>
          <cell r="P105">
            <v>2015</v>
          </cell>
          <cell r="Q105" t="str">
            <v>Hà Nội, ngày 30 tháng 10 năm 2015</v>
          </cell>
          <cell r="R105" t="str">
            <v>15h15 ngày 30 tháng 10 năm 2015</v>
          </cell>
          <cell r="S105" t="str">
            <v>16h00 ngày 30 tháng 10 năm 2015</v>
          </cell>
          <cell r="T105" t="str">
            <v>15h15</v>
          </cell>
          <cell r="U105" t="str">
            <v>15h15 Ngày 30/10/2015</v>
          </cell>
          <cell r="V105" t="str">
            <v>Nguyễn Ái Việt</v>
          </cell>
          <cell r="W105" t="str">
            <v>Chỉ huy trưởng</v>
          </cell>
          <cell r="X105" t="str">
            <v>................................</v>
          </cell>
          <cell r="Y105" t="str">
            <v>................................</v>
          </cell>
          <cell r="Z105" t="str">
            <v>Nguyễn Văn Nghiễm</v>
          </cell>
          <cell r="AA105" t="str">
            <v>Cán bộ KCS</v>
          </cell>
          <cell r="AB105" t="str">
            <v>Vương Toàn Hiếu</v>
          </cell>
          <cell r="AC105" t="str">
            <v>Trưởng đoàn TVGS</v>
          </cell>
          <cell r="AD105" t="str">
            <v>Lê Thiều Nam</v>
          </cell>
          <cell r="AE105" t="str">
            <v>Cán bộ TVGS</v>
          </cell>
          <cell r="AF105" t="str">
            <v>................................</v>
          </cell>
          <cell r="AG105" t="str">
            <v>Cán bộ TVGS</v>
          </cell>
          <cell r="AH105" t="str">
            <v>Nguyễn Ái Việt</v>
          </cell>
          <cell r="AI105" t="str">
            <v>Chỉ huy trưởng</v>
          </cell>
          <cell r="AJ105" t="str">
            <v>Hoàng Chiến Thắng</v>
          </cell>
          <cell r="AK105" t="str">
            <v>P. Chỉ huy trưởng</v>
          </cell>
          <cell r="AL105" t="str">
            <v>Trịnh Quang Đức</v>
          </cell>
          <cell r="AM105" t="str">
            <v>Cán bộ kỹ thuật</v>
          </cell>
          <cell r="AN105" t="str">
            <v>KC-06; KT-100</v>
          </cell>
          <cell r="AS105" t="str">
            <v>Ngày 30 Tháng 10 Năm 2015</v>
          </cell>
        </row>
        <row r="106">
          <cell r="A106" t="str">
            <v>BTGT2-01</v>
          </cell>
          <cell r="B106" t="str">
            <v>Công tác đổ bê tông giằng chân lan can hành lang tầng 02</v>
          </cell>
          <cell r="C106" t="str">
            <v>BTGT2-01</v>
          </cell>
          <cell r="D106" t="str">
            <v>8h00</v>
          </cell>
          <cell r="E106" t="str">
            <v>8h45</v>
          </cell>
          <cell r="F106">
            <v>3</v>
          </cell>
          <cell r="G106">
            <v>11</v>
          </cell>
          <cell r="H106">
            <v>2015</v>
          </cell>
          <cell r="I106" t="str">
            <v>Hà Nội, ngày 3 tháng 11 năm 2015</v>
          </cell>
          <cell r="J106" t="str">
            <v>8h00 ngày 3 tháng 11 năm 2015</v>
          </cell>
          <cell r="K106" t="str">
            <v>8h45 ngày 3 tháng 11 năm 2015</v>
          </cell>
          <cell r="L106" t="str">
            <v>9h00</v>
          </cell>
          <cell r="M106" t="str">
            <v>9h45</v>
          </cell>
          <cell r="N106">
            <v>3</v>
          </cell>
          <cell r="O106">
            <v>11</v>
          </cell>
          <cell r="P106">
            <v>2015</v>
          </cell>
          <cell r="Q106" t="str">
            <v>Hà Nội, ngày 3 tháng 11 năm 2015</v>
          </cell>
          <cell r="R106" t="str">
            <v>9h00 ngày 3 tháng 11 năm 2015</v>
          </cell>
          <cell r="S106" t="str">
            <v>9h45 ngày 3 tháng 11 năm 2015</v>
          </cell>
          <cell r="T106" t="str">
            <v>9h00</v>
          </cell>
          <cell r="U106" t="str">
            <v>9h00 Ngày 3/11/2015</v>
          </cell>
          <cell r="V106" t="str">
            <v>Nguyễn Ái Việt</v>
          </cell>
          <cell r="W106" t="str">
            <v>Chỉ huy trưởng</v>
          </cell>
          <cell r="X106" t="str">
            <v>................................</v>
          </cell>
          <cell r="Y106" t="str">
            <v>................................</v>
          </cell>
          <cell r="Z106" t="str">
            <v>Nguyễn Văn Nghiễm</v>
          </cell>
          <cell r="AA106" t="str">
            <v>Cán bộ KCS</v>
          </cell>
          <cell r="AB106" t="str">
            <v>Vương Toàn Hiếu</v>
          </cell>
          <cell r="AC106" t="str">
            <v>Trưởng đoàn TVGS</v>
          </cell>
          <cell r="AD106" t="str">
            <v>Lê Thiều Nam</v>
          </cell>
          <cell r="AE106" t="str">
            <v>Cán bộ TVGS</v>
          </cell>
          <cell r="AF106" t="str">
            <v>................................</v>
          </cell>
          <cell r="AG106" t="str">
            <v>Cán bộ TVGS</v>
          </cell>
          <cell r="AH106" t="str">
            <v>Nguyễn Ái Việt</v>
          </cell>
          <cell r="AI106" t="str">
            <v>Chỉ huy trưởng</v>
          </cell>
          <cell r="AJ106" t="str">
            <v>Hoàng Chiến Thắng</v>
          </cell>
          <cell r="AK106" t="str">
            <v>P. Chỉ huy trưởng</v>
          </cell>
          <cell r="AL106" t="str">
            <v>Trịnh Quang Đức</v>
          </cell>
          <cell r="AM106" t="str">
            <v>Cán bộ kỹ thuật</v>
          </cell>
          <cell r="AN106" t="str">
            <v>KC-03BS; KC-04BS</v>
          </cell>
          <cell r="AS106" t="str">
            <v>Ngày 3 Tháng 11 Năm 2015</v>
          </cell>
        </row>
        <row r="107">
          <cell r="D107" t="str">
            <v>….h….</v>
          </cell>
          <cell r="E107" t="str">
            <v>….h….</v>
          </cell>
          <cell r="F107" t="str">
            <v>….</v>
          </cell>
          <cell r="G107" t="str">
            <v>….</v>
          </cell>
          <cell r="H107" t="str">
            <v>…..</v>
          </cell>
          <cell r="I107" t="str">
            <v>Hà Nội, ngày …. tháng …. năm …..</v>
          </cell>
          <cell r="J107" t="str">
            <v>….h…. ngày …. tháng …. năm …..</v>
          </cell>
          <cell r="K107" t="str">
            <v>….h…. ngày …. tháng …. năm …..</v>
          </cell>
          <cell r="L107" t="str">
            <v>….h….</v>
          </cell>
          <cell r="M107" t="str">
            <v>…h….</v>
          </cell>
          <cell r="N107" t="str">
            <v>….</v>
          </cell>
          <cell r="O107" t="str">
            <v>….</v>
          </cell>
          <cell r="P107" t="str">
            <v>…..</v>
          </cell>
          <cell r="Q107" t="str">
            <v>Hà Nội, ngày …. tháng …. năm …..</v>
          </cell>
          <cell r="R107" t="str">
            <v>….h…. ngày …. tháng …. năm …..</v>
          </cell>
          <cell r="S107" t="str">
            <v>…h…. ngày …. tháng …. năm …..</v>
          </cell>
          <cell r="T107" t="str">
            <v>….h….</v>
          </cell>
          <cell r="U107" t="str">
            <v>….h…. Ngày …./…./…..</v>
          </cell>
          <cell r="V107" t="str">
            <v>Nguyễn Ái Việt</v>
          </cell>
          <cell r="W107" t="str">
            <v>Chỉ huy trưởng</v>
          </cell>
          <cell r="X107" t="str">
            <v>................................</v>
          </cell>
          <cell r="Y107" t="str">
            <v>................................</v>
          </cell>
          <cell r="Z107" t="str">
            <v>Nguyễn Văn Nghiễm</v>
          </cell>
          <cell r="AA107" t="str">
            <v>Cán bộ KCS</v>
          </cell>
          <cell r="AB107" t="str">
            <v>Vương Toàn Hiếu</v>
          </cell>
          <cell r="AC107" t="str">
            <v>Trưởng đoàn TVGS</v>
          </cell>
          <cell r="AD107" t="str">
            <v>Lê Thiều Nam</v>
          </cell>
          <cell r="AE107" t="str">
            <v>Cán bộ TVGS</v>
          </cell>
          <cell r="AF107" t="str">
            <v>................................</v>
          </cell>
          <cell r="AG107" t="str">
            <v>Cán bộ TVGS</v>
          </cell>
          <cell r="AH107" t="str">
            <v>Nguyễn Ái Việt</v>
          </cell>
          <cell r="AI107" t="str">
            <v>Chỉ huy trưởng</v>
          </cell>
          <cell r="AJ107" t="str">
            <v>Hoàng Chiến Thắng</v>
          </cell>
          <cell r="AK107" t="str">
            <v>P. Chỉ huy trưởng</v>
          </cell>
          <cell r="AL107" t="str">
            <v>Trịnh Quang Đức</v>
          </cell>
          <cell r="AM107" t="str">
            <v>Cán bộ kỹ thuật</v>
          </cell>
          <cell r="AS107" t="str">
            <v>Ngày …. Tháng …. Năm …..</v>
          </cell>
        </row>
        <row r="108">
          <cell r="D108" t="str">
            <v>….h….</v>
          </cell>
          <cell r="E108" t="str">
            <v>….h….</v>
          </cell>
          <cell r="F108" t="str">
            <v>….</v>
          </cell>
          <cell r="G108" t="str">
            <v>….</v>
          </cell>
          <cell r="H108" t="str">
            <v>…..</v>
          </cell>
          <cell r="I108" t="str">
            <v>Hà Nội, ngày …. tháng …. năm …..</v>
          </cell>
          <cell r="J108" t="str">
            <v>….h…. ngày …. tháng …. năm …..</v>
          </cell>
          <cell r="K108" t="str">
            <v>….h…. ngày …. tháng …. năm …..</v>
          </cell>
          <cell r="L108" t="str">
            <v>….h….</v>
          </cell>
          <cell r="M108" t="str">
            <v>…h….</v>
          </cell>
          <cell r="N108" t="str">
            <v>….</v>
          </cell>
          <cell r="O108" t="str">
            <v>….</v>
          </cell>
          <cell r="P108" t="str">
            <v>…..</v>
          </cell>
          <cell r="Q108" t="str">
            <v>Hà Nội, ngày …. tháng …. năm …..</v>
          </cell>
          <cell r="R108" t="str">
            <v>….h…. ngày …. tháng …. năm …..</v>
          </cell>
          <cell r="S108" t="str">
            <v>…h…. ngày …. tháng …. năm …..</v>
          </cell>
          <cell r="T108" t="str">
            <v>….h….</v>
          </cell>
          <cell r="U108" t="str">
            <v>….h…. Ngày …./…./…..</v>
          </cell>
          <cell r="V108" t="str">
            <v>Nguyễn Ái Việt</v>
          </cell>
          <cell r="W108" t="str">
            <v>Chỉ huy trưởng</v>
          </cell>
          <cell r="X108" t="str">
            <v>................................</v>
          </cell>
          <cell r="Y108" t="str">
            <v>................................</v>
          </cell>
          <cell r="Z108" t="str">
            <v>Nguyễn Văn Nghiễm</v>
          </cell>
          <cell r="AA108" t="str">
            <v>Cán bộ KCS</v>
          </cell>
          <cell r="AB108" t="str">
            <v>Vương Toàn Hiếu</v>
          </cell>
          <cell r="AC108" t="str">
            <v>Trưởng đoàn TVGS</v>
          </cell>
          <cell r="AD108" t="str">
            <v>Lê Thiều Nam</v>
          </cell>
          <cell r="AE108" t="str">
            <v>Cán bộ TVGS</v>
          </cell>
          <cell r="AF108" t="str">
            <v>................................</v>
          </cell>
          <cell r="AG108" t="str">
            <v>Cán bộ TVGS</v>
          </cell>
          <cell r="AH108" t="str">
            <v>Nguyễn Ái Việt</v>
          </cell>
          <cell r="AI108" t="str">
            <v>Chỉ huy trưởng</v>
          </cell>
          <cell r="AJ108" t="str">
            <v>Hoàng Chiến Thắng</v>
          </cell>
          <cell r="AK108" t="str">
            <v>P. Chỉ huy trưởng</v>
          </cell>
          <cell r="AL108" t="str">
            <v>Trịnh Quang Đức</v>
          </cell>
          <cell r="AM108" t="str">
            <v>Cán bộ kỹ thuật</v>
          </cell>
          <cell r="AS108" t="str">
            <v>Ngày …. Tháng …. Năm …..</v>
          </cell>
        </row>
        <row r="109">
          <cell r="D109" t="str">
            <v>….h….</v>
          </cell>
          <cell r="E109" t="str">
            <v>….h….</v>
          </cell>
          <cell r="F109" t="str">
            <v>….</v>
          </cell>
          <cell r="G109" t="str">
            <v>….</v>
          </cell>
          <cell r="H109" t="str">
            <v>…..</v>
          </cell>
          <cell r="I109" t="str">
            <v>Hà Nội, ngày …. tháng …. năm …..</v>
          </cell>
          <cell r="J109" t="str">
            <v>….h…. ngày …. tháng …. năm …..</v>
          </cell>
          <cell r="K109" t="str">
            <v>….h…. ngày …. tháng …. năm …..</v>
          </cell>
          <cell r="L109" t="str">
            <v>….h….</v>
          </cell>
          <cell r="M109" t="str">
            <v>…h….</v>
          </cell>
          <cell r="N109" t="str">
            <v>….</v>
          </cell>
          <cell r="O109" t="str">
            <v>….</v>
          </cell>
          <cell r="P109" t="str">
            <v>…..</v>
          </cell>
          <cell r="Q109" t="str">
            <v>Hà Nội, ngày …. tháng …. năm …..</v>
          </cell>
          <cell r="R109" t="str">
            <v>….h…. ngày …. tháng …. năm …..</v>
          </cell>
          <cell r="S109" t="str">
            <v>…h…. ngày …. tháng …. năm …..</v>
          </cell>
          <cell r="T109" t="str">
            <v>….h….</v>
          </cell>
          <cell r="U109" t="str">
            <v>….h…. Ngày …./…./…..</v>
          </cell>
          <cell r="V109" t="str">
            <v>Nguyễn Ái Việt</v>
          </cell>
          <cell r="W109" t="str">
            <v>Chỉ huy trưởng</v>
          </cell>
          <cell r="X109" t="str">
            <v>................................</v>
          </cell>
          <cell r="Y109" t="str">
            <v>................................</v>
          </cell>
          <cell r="Z109" t="str">
            <v>Nguyễn Văn Nghiễm</v>
          </cell>
          <cell r="AA109" t="str">
            <v>Cán bộ KCS</v>
          </cell>
          <cell r="AB109" t="str">
            <v>Vương Toàn Hiếu</v>
          </cell>
          <cell r="AC109" t="str">
            <v>Trưởng đoàn TVGS</v>
          </cell>
          <cell r="AD109" t="str">
            <v>Lê Thiều Nam</v>
          </cell>
          <cell r="AE109" t="str">
            <v>Cán bộ TVGS</v>
          </cell>
          <cell r="AF109" t="str">
            <v>................................</v>
          </cell>
          <cell r="AG109" t="str">
            <v>Cán bộ TVGS</v>
          </cell>
          <cell r="AH109" t="str">
            <v>Nguyễn Ái Việt</v>
          </cell>
          <cell r="AI109" t="str">
            <v>Chỉ huy trưởng</v>
          </cell>
          <cell r="AJ109" t="str">
            <v>Hoàng Chiến Thắng</v>
          </cell>
          <cell r="AK109" t="str">
            <v>P. Chỉ huy trưởng</v>
          </cell>
          <cell r="AL109" t="str">
            <v>Trịnh Quang Đức</v>
          </cell>
          <cell r="AM109" t="str">
            <v>Cán bộ kỹ thuật</v>
          </cell>
          <cell r="AS109" t="str">
            <v>Ngày …. Tháng …. Năm …..</v>
          </cell>
        </row>
        <row r="110">
          <cell r="D110" t="str">
            <v>….h….</v>
          </cell>
          <cell r="E110" t="str">
            <v>….h….</v>
          </cell>
          <cell r="F110" t="str">
            <v>….</v>
          </cell>
          <cell r="G110" t="str">
            <v>….</v>
          </cell>
          <cell r="H110" t="str">
            <v>…..</v>
          </cell>
          <cell r="I110" t="str">
            <v>Hà Nội, ngày …. tháng …. năm …..</v>
          </cell>
          <cell r="J110" t="str">
            <v>….h…. ngày …. tháng …. năm …..</v>
          </cell>
          <cell r="K110" t="str">
            <v>….h…. ngày …. tháng …. năm …..</v>
          </cell>
          <cell r="L110" t="str">
            <v>….h….</v>
          </cell>
          <cell r="M110" t="str">
            <v>…h….</v>
          </cell>
          <cell r="N110" t="str">
            <v>….</v>
          </cell>
          <cell r="O110" t="str">
            <v>….</v>
          </cell>
          <cell r="P110" t="str">
            <v>…..</v>
          </cell>
          <cell r="Q110" t="str">
            <v>Hà Nội, ngày …. tháng …. năm …..</v>
          </cell>
          <cell r="R110" t="str">
            <v>….h…. ngày …. tháng …. năm …..</v>
          </cell>
          <cell r="S110" t="str">
            <v>…h…. ngày …. tháng …. năm …..</v>
          </cell>
          <cell r="T110" t="str">
            <v>….h….</v>
          </cell>
          <cell r="U110" t="str">
            <v>….h…. Ngày …./…./…..</v>
          </cell>
          <cell r="V110" t="str">
            <v>Nguyễn Ái Việt</v>
          </cell>
          <cell r="W110" t="str">
            <v>Chỉ huy trưởng</v>
          </cell>
          <cell r="X110" t="str">
            <v>................................</v>
          </cell>
          <cell r="Y110" t="str">
            <v>................................</v>
          </cell>
          <cell r="Z110" t="str">
            <v>Nguyễn Văn Nghiễm</v>
          </cell>
          <cell r="AA110" t="str">
            <v>Cán bộ KCS</v>
          </cell>
          <cell r="AB110" t="str">
            <v>Vương Toàn Hiếu</v>
          </cell>
          <cell r="AC110" t="str">
            <v>Trưởng đoàn TVGS</v>
          </cell>
          <cell r="AD110" t="str">
            <v>Lê Thiều Nam</v>
          </cell>
          <cell r="AE110" t="str">
            <v>Cán bộ TVGS</v>
          </cell>
          <cell r="AF110" t="str">
            <v>................................</v>
          </cell>
          <cell r="AG110" t="str">
            <v>Cán bộ TVGS</v>
          </cell>
          <cell r="AH110" t="str">
            <v>Nguyễn Ái Việt</v>
          </cell>
          <cell r="AI110" t="str">
            <v>Chỉ huy trưởng</v>
          </cell>
          <cell r="AJ110" t="str">
            <v>Hoàng Chiến Thắng</v>
          </cell>
          <cell r="AK110" t="str">
            <v>P. Chỉ huy trưởng</v>
          </cell>
          <cell r="AL110" t="str">
            <v>Trịnh Quang Đức</v>
          </cell>
          <cell r="AM110" t="str">
            <v>Cán bộ kỹ thuật</v>
          </cell>
          <cell r="AS110" t="str">
            <v>Ngày …. Tháng …. Năm …..</v>
          </cell>
        </row>
        <row r="111">
          <cell r="A111" t="str">
            <v>BTLT-01</v>
          </cell>
          <cell r="B111" t="str">
            <v>Công tác đổ bê tông lanh tô tầng 01, tầng 02</v>
          </cell>
          <cell r="C111" t="str">
            <v>BTLT-01</v>
          </cell>
          <cell r="D111" t="str">
            <v>15h00</v>
          </cell>
          <cell r="E111" t="str">
            <v>15h45</v>
          </cell>
          <cell r="F111">
            <v>11</v>
          </cell>
          <cell r="G111">
            <v>4</v>
          </cell>
          <cell r="H111">
            <v>2015</v>
          </cell>
          <cell r="I111" t="str">
            <v>Hà Nội, ngày 11 tháng 4 năm 2015</v>
          </cell>
          <cell r="J111" t="str">
            <v>15h00 ngày 11 tháng 4 năm 2015</v>
          </cell>
          <cell r="K111" t="str">
            <v>15h45 ngày 11 tháng 4 năm 2015</v>
          </cell>
          <cell r="L111" t="str">
            <v>15h45</v>
          </cell>
          <cell r="M111" t="str">
            <v>16h30</v>
          </cell>
          <cell r="N111">
            <v>11</v>
          </cell>
          <cell r="O111">
            <v>4</v>
          </cell>
          <cell r="P111">
            <v>2015</v>
          </cell>
          <cell r="Q111" t="str">
            <v>Hà Nội, ngày 11 tháng 4 năm 2015</v>
          </cell>
          <cell r="R111" t="str">
            <v>15h45 ngày 11 tháng 4 năm 2015</v>
          </cell>
          <cell r="S111" t="str">
            <v>16h30 ngày 11 tháng 4 năm 2015</v>
          </cell>
          <cell r="T111" t="str">
            <v>15h45</v>
          </cell>
          <cell r="U111" t="str">
            <v>15h45 Ngày 11/4/2015</v>
          </cell>
          <cell r="V111" t="str">
            <v>Nguyễn Ái Việt</v>
          </cell>
          <cell r="W111" t="str">
            <v>Chỉ huy trưởng</v>
          </cell>
          <cell r="X111" t="str">
            <v>................................</v>
          </cell>
          <cell r="Y111" t="str">
            <v>................................</v>
          </cell>
          <cell r="Z111" t="str">
            <v>Nguyễn Văn Nghiễm</v>
          </cell>
          <cell r="AA111" t="str">
            <v>Cán bộ KCS</v>
          </cell>
          <cell r="AB111" t="str">
            <v>Vương Toàn Hiếu</v>
          </cell>
          <cell r="AC111" t="str">
            <v>Trưởng đoàn TVGS</v>
          </cell>
          <cell r="AD111" t="str">
            <v>Lê Thiều Nam</v>
          </cell>
          <cell r="AE111" t="str">
            <v>Cán bộ TVGS</v>
          </cell>
          <cell r="AF111" t="str">
            <v>................................</v>
          </cell>
          <cell r="AG111" t="str">
            <v>Cán bộ TVGS</v>
          </cell>
          <cell r="AH111" t="str">
            <v>Nguyễn Ái Việt</v>
          </cell>
          <cell r="AI111" t="str">
            <v>Chỉ huy trưởng</v>
          </cell>
          <cell r="AJ111" t="str">
            <v>Hoàng Chiến Thắng</v>
          </cell>
          <cell r="AK111" t="str">
            <v>P. Chỉ huy trưởng</v>
          </cell>
          <cell r="AL111" t="str">
            <v>Trịnh Quang Đức</v>
          </cell>
          <cell r="AM111" t="str">
            <v>Cán bộ kỹ thuật</v>
          </cell>
          <cell r="AN111" t="str">
            <v>KCĐCBS-01A; KCĐCBS-01B; KCĐCBS-03</v>
          </cell>
          <cell r="AS111" t="str">
            <v>Ngày 11 Tháng 4 Năm 2015</v>
          </cell>
        </row>
        <row r="112">
          <cell r="A112" t="str">
            <v>BTLT-02</v>
          </cell>
          <cell r="B112" t="str">
            <v>Công tác đổ bê tông lanh tô tầng 03, tầng 04, tầng 05</v>
          </cell>
          <cell r="C112" t="str">
            <v>BTLT-02</v>
          </cell>
          <cell r="D112" t="str">
            <v>14h00</v>
          </cell>
          <cell r="E112" t="str">
            <v>15h00</v>
          </cell>
          <cell r="F112">
            <v>13</v>
          </cell>
          <cell r="G112">
            <v>6</v>
          </cell>
          <cell r="H112">
            <v>2015</v>
          </cell>
          <cell r="I112" t="str">
            <v>Hà Nội, ngày 29 tháng 6 năm 2015</v>
          </cell>
          <cell r="J112" t="str">
            <v>14h00 ngày 13 tháng 6 năm 2015</v>
          </cell>
          <cell r="K112" t="str">
            <v>15h00 ngày 29 tháng 6 năm 2015</v>
          </cell>
          <cell r="L112" t="str">
            <v>15h00</v>
          </cell>
          <cell r="M112" t="str">
            <v>16h00</v>
          </cell>
          <cell r="N112">
            <v>29</v>
          </cell>
          <cell r="O112">
            <v>6</v>
          </cell>
          <cell r="P112">
            <v>2015</v>
          </cell>
          <cell r="Q112" t="str">
            <v>Hà Nội, ngày 13 tháng 6 năm 2015</v>
          </cell>
          <cell r="R112" t="str">
            <v>15h00 ngày 13 tháng 6 năm 2015</v>
          </cell>
          <cell r="S112" t="str">
            <v>16h00 ngày 29 tháng 6 năm 2015</v>
          </cell>
          <cell r="T112" t="str">
            <v>15h00</v>
          </cell>
          <cell r="U112" t="str">
            <v>15h00 Ngày 13/6/2015</v>
          </cell>
          <cell r="V112" t="str">
            <v>Nguyễn Ái Việt</v>
          </cell>
          <cell r="W112" t="str">
            <v>Chỉ huy trưởng</v>
          </cell>
          <cell r="X112" t="str">
            <v>................................</v>
          </cell>
          <cell r="Y112" t="str">
            <v>................................</v>
          </cell>
          <cell r="Z112" t="str">
            <v>Nguyễn Văn Nghiễm</v>
          </cell>
          <cell r="AA112" t="str">
            <v>Cán bộ KCS</v>
          </cell>
          <cell r="AB112" t="str">
            <v>Vương Toàn Hiếu</v>
          </cell>
          <cell r="AC112" t="str">
            <v>Trưởng đoàn TVGS</v>
          </cell>
          <cell r="AD112" t="str">
            <v>Lê Thiều Nam</v>
          </cell>
          <cell r="AE112" t="str">
            <v>Cán bộ TVGS</v>
          </cell>
          <cell r="AF112" t="str">
            <v>................................</v>
          </cell>
          <cell r="AG112" t="str">
            <v>Cán bộ TVGS</v>
          </cell>
          <cell r="AH112" t="str">
            <v>Nguyễn Ái Việt</v>
          </cell>
          <cell r="AI112" t="str">
            <v>Chỉ huy trưởng</v>
          </cell>
          <cell r="AJ112" t="str">
            <v>Hoàng Chiến Thắng</v>
          </cell>
          <cell r="AK112" t="str">
            <v>P. Chỉ huy trưởng</v>
          </cell>
          <cell r="AL112" t="str">
            <v>Trịnh Quang Đức</v>
          </cell>
          <cell r="AM112" t="str">
            <v>Cán bộ kỹ thuật</v>
          </cell>
          <cell r="AN112" t="str">
            <v>KCĐCBS-01; KCĐCBS-03</v>
          </cell>
          <cell r="AS112" t="str">
            <v>Ngày 13 Tháng 6 Năm 2015</v>
          </cell>
        </row>
        <row r="113">
          <cell r="A113" t="str">
            <v>BTLT-03</v>
          </cell>
          <cell r="B113" t="str">
            <v>Công tác đổ bê tông lanh tô tầng 06, tầng 07, tầng 08</v>
          </cell>
          <cell r="C113" t="str">
            <v>BTLT-03</v>
          </cell>
          <cell r="D113" t="str">
            <v>8h00</v>
          </cell>
          <cell r="E113" t="str">
            <v>9h00</v>
          </cell>
          <cell r="F113">
            <v>16</v>
          </cell>
          <cell r="G113">
            <v>7</v>
          </cell>
          <cell r="H113">
            <v>2015</v>
          </cell>
          <cell r="I113" t="str">
            <v>Hà Nội, ngày 24 tháng 7 năm 2015</v>
          </cell>
          <cell r="J113" t="str">
            <v>8h00 ngày 16 tháng 7 năm 2015</v>
          </cell>
          <cell r="K113" t="str">
            <v>9h00 ngày 24 tháng 7 năm 2015</v>
          </cell>
          <cell r="L113" t="str">
            <v>9h00</v>
          </cell>
          <cell r="M113" t="str">
            <v>10h00</v>
          </cell>
          <cell r="N113">
            <v>24</v>
          </cell>
          <cell r="O113">
            <v>7</v>
          </cell>
          <cell r="P113">
            <v>2015</v>
          </cell>
          <cell r="Q113" t="str">
            <v>Hà Nội, ngày 16 tháng 7 năm 2015</v>
          </cell>
          <cell r="R113" t="str">
            <v>9h00 ngày 16 tháng 7 năm 2015</v>
          </cell>
          <cell r="S113" t="str">
            <v>10h00 ngày 24 tháng 7 năm 2015</v>
          </cell>
          <cell r="T113" t="str">
            <v>9h00</v>
          </cell>
          <cell r="U113" t="str">
            <v>9h00 Ngày 16/7/2015</v>
          </cell>
          <cell r="V113" t="str">
            <v>Nguyễn Ái Việt</v>
          </cell>
          <cell r="W113" t="str">
            <v>Chỉ huy trưởng</v>
          </cell>
          <cell r="X113" t="str">
            <v>................................</v>
          </cell>
          <cell r="Y113" t="str">
            <v>................................</v>
          </cell>
          <cell r="Z113" t="str">
            <v>Nguyễn Văn Nghiễm</v>
          </cell>
          <cell r="AA113" t="str">
            <v>Cán bộ KCS</v>
          </cell>
          <cell r="AB113" t="str">
            <v>Vương Toàn Hiếu</v>
          </cell>
          <cell r="AC113" t="str">
            <v>Trưởng đoàn TVGS</v>
          </cell>
          <cell r="AD113" t="str">
            <v>Lê Thiều Nam</v>
          </cell>
          <cell r="AE113" t="str">
            <v>Cán bộ TVGS</v>
          </cell>
          <cell r="AF113" t="str">
            <v>................................</v>
          </cell>
          <cell r="AG113" t="str">
            <v>Cán bộ TVGS</v>
          </cell>
          <cell r="AH113" t="str">
            <v>Nguyễn Ái Việt</v>
          </cell>
          <cell r="AI113" t="str">
            <v>Chỉ huy trưởng</v>
          </cell>
          <cell r="AJ113" t="str">
            <v>Hoàng Chiến Thắng</v>
          </cell>
          <cell r="AK113" t="str">
            <v>P. Chỉ huy trưởng</v>
          </cell>
          <cell r="AL113" t="str">
            <v>Trịnh Quang Đức</v>
          </cell>
          <cell r="AM113" t="str">
            <v>Cán bộ kỹ thuật</v>
          </cell>
          <cell r="AN113" t="str">
            <v>KCĐCBS-01; KCĐCBS-03</v>
          </cell>
          <cell r="AS113" t="str">
            <v>Ngày 16 Tháng 7 Năm 2015</v>
          </cell>
        </row>
        <row r="114">
          <cell r="A114" t="str">
            <v>BTLT-04</v>
          </cell>
          <cell r="B114" t="str">
            <v>Công tác đổ bê tông lanh tô tầng 09, tầng 10, tầng 11</v>
          </cell>
          <cell r="C114" t="str">
            <v>BTLT-04</v>
          </cell>
          <cell r="D114" t="str">
            <v>9h00</v>
          </cell>
          <cell r="E114" t="str">
            <v>10h00</v>
          </cell>
          <cell r="F114">
            <v>29</v>
          </cell>
          <cell r="G114">
            <v>7</v>
          </cell>
          <cell r="H114">
            <v>2015</v>
          </cell>
          <cell r="I114" t="str">
            <v>Hà Nội, ngày 11 tháng 8 năm 2015</v>
          </cell>
          <cell r="J114" t="str">
            <v>9h00 ngày 29 tháng 7 năm 2015</v>
          </cell>
          <cell r="K114" t="str">
            <v>10h00 ngày 11 tháng 8 năm 2015</v>
          </cell>
          <cell r="L114" t="str">
            <v>10h00</v>
          </cell>
          <cell r="M114" t="str">
            <v>11h00</v>
          </cell>
          <cell r="N114">
            <v>11</v>
          </cell>
          <cell r="O114">
            <v>8</v>
          </cell>
          <cell r="P114">
            <v>2015</v>
          </cell>
          <cell r="Q114" t="str">
            <v>Hà Nội, ngày 29 tháng 7 năm 2015</v>
          </cell>
          <cell r="R114" t="str">
            <v>10h00 ngày 29 tháng 7 năm 2015</v>
          </cell>
          <cell r="S114" t="str">
            <v>11h00 ngày 11 tháng 8 năm 2015</v>
          </cell>
          <cell r="T114" t="str">
            <v>10h00</v>
          </cell>
          <cell r="U114" t="str">
            <v>10h00 Ngày 29/7/2015</v>
          </cell>
          <cell r="V114" t="str">
            <v>Nguyễn Ái Việt</v>
          </cell>
          <cell r="W114" t="str">
            <v>Chỉ huy trưởng</v>
          </cell>
          <cell r="X114" t="str">
            <v>................................</v>
          </cell>
          <cell r="Y114" t="str">
            <v>................................</v>
          </cell>
          <cell r="Z114" t="str">
            <v>Nguyễn Văn Nghiễm</v>
          </cell>
          <cell r="AA114" t="str">
            <v>Cán bộ KCS</v>
          </cell>
          <cell r="AB114" t="str">
            <v>Vương Toàn Hiếu</v>
          </cell>
          <cell r="AC114" t="str">
            <v>Trưởng đoàn TVGS</v>
          </cell>
          <cell r="AD114" t="str">
            <v>Lê Thiều Nam</v>
          </cell>
          <cell r="AE114" t="str">
            <v>Cán bộ TVGS</v>
          </cell>
          <cell r="AF114" t="str">
            <v>................................</v>
          </cell>
          <cell r="AG114" t="str">
            <v>Cán bộ TVGS</v>
          </cell>
          <cell r="AH114" t="str">
            <v>Nguyễn Ái Việt</v>
          </cell>
          <cell r="AI114" t="str">
            <v>Chỉ huy trưởng</v>
          </cell>
          <cell r="AJ114" t="str">
            <v>Hoàng Chiến Thắng</v>
          </cell>
          <cell r="AK114" t="str">
            <v>P. Chỉ huy trưởng</v>
          </cell>
          <cell r="AL114" t="str">
            <v>Trịnh Quang Đức</v>
          </cell>
          <cell r="AM114" t="str">
            <v>Cán bộ kỹ thuật</v>
          </cell>
          <cell r="AN114" t="str">
            <v>KCĐCBS-01; KCĐCBS-03</v>
          </cell>
          <cell r="AS114" t="str">
            <v>Ngày 29 Tháng 7 Năm 2015</v>
          </cell>
        </row>
        <row r="115">
          <cell r="A115" t="str">
            <v>BTLT-05</v>
          </cell>
          <cell r="B115" t="str">
            <v>Công tác đổ bê tông lanh tô tầng áp mái</v>
          </cell>
          <cell r="C115" t="str">
            <v>BTLT-05</v>
          </cell>
          <cell r="D115" t="str">
            <v>14h00</v>
          </cell>
          <cell r="E115" t="str">
            <v>14h30</v>
          </cell>
          <cell r="F115">
            <v>15</v>
          </cell>
          <cell r="G115">
            <v>8</v>
          </cell>
          <cell r="H115">
            <v>2015</v>
          </cell>
          <cell r="I115" t="str">
            <v>Hà Nội, ngày 15 tháng 8 năm 2015</v>
          </cell>
          <cell r="J115" t="str">
            <v>14h00 ngày 15 tháng 8 năm 2015</v>
          </cell>
          <cell r="K115" t="str">
            <v>14h30 ngày 15 tháng 8 năm 2015</v>
          </cell>
          <cell r="L115" t="str">
            <v>14h30</v>
          </cell>
          <cell r="M115" t="str">
            <v>15h00</v>
          </cell>
          <cell r="N115">
            <v>15</v>
          </cell>
          <cell r="O115">
            <v>8</v>
          </cell>
          <cell r="P115">
            <v>2015</v>
          </cell>
          <cell r="Q115" t="str">
            <v>Hà Nội, ngày 15 tháng 8 năm 2015</v>
          </cell>
          <cell r="R115" t="str">
            <v>14h30 ngày 15 tháng 8 năm 2015</v>
          </cell>
          <cell r="S115" t="str">
            <v>15h00 ngày 15 tháng 8 năm 2015</v>
          </cell>
          <cell r="T115" t="str">
            <v>14h30</v>
          </cell>
          <cell r="U115" t="str">
            <v>14h30 Ngày 15/8/2015</v>
          </cell>
          <cell r="V115" t="str">
            <v>Nguyễn Ái Việt</v>
          </cell>
          <cell r="W115" t="str">
            <v>Chỉ huy trưởng</v>
          </cell>
          <cell r="X115" t="str">
            <v>................................</v>
          </cell>
          <cell r="Y115" t="str">
            <v>................................</v>
          </cell>
          <cell r="Z115" t="str">
            <v>Nguyễn Văn Nghiễm</v>
          </cell>
          <cell r="AA115" t="str">
            <v>Cán bộ KCS</v>
          </cell>
          <cell r="AB115" t="str">
            <v>Vương Toàn Hiếu</v>
          </cell>
          <cell r="AC115" t="str">
            <v>Trưởng đoàn TVGS</v>
          </cell>
          <cell r="AD115" t="str">
            <v>Lê Thiều Nam</v>
          </cell>
          <cell r="AE115" t="str">
            <v>Cán bộ TVGS</v>
          </cell>
          <cell r="AF115" t="str">
            <v>................................</v>
          </cell>
          <cell r="AG115" t="str">
            <v>Cán bộ TVGS</v>
          </cell>
          <cell r="AH115" t="str">
            <v>Nguyễn Ái Việt</v>
          </cell>
          <cell r="AI115" t="str">
            <v>Chỉ huy trưởng</v>
          </cell>
          <cell r="AJ115" t="str">
            <v>Hoàng Chiến Thắng</v>
          </cell>
          <cell r="AK115" t="str">
            <v>P. Chỉ huy trưởng</v>
          </cell>
          <cell r="AL115" t="str">
            <v>Trịnh Quang Đức</v>
          </cell>
          <cell r="AM115" t="str">
            <v>Cán bộ kỹ thuật</v>
          </cell>
          <cell r="AN115" t="str">
            <v>KCĐCBS-01; KCĐCBS-04</v>
          </cell>
          <cell r="AS115" t="str">
            <v>Ngày 15 Tháng 8 Năm 2015</v>
          </cell>
        </row>
        <row r="116">
          <cell r="A116" t="str">
            <v>BTGLC-01</v>
          </cell>
          <cell r="B116" t="str">
            <v>Công tác đổ bê tông giằng tường chân lan can lô gia căn hộ tầng 03, 04, 05</v>
          </cell>
          <cell r="C116" t="str">
            <v>BTGLC-01</v>
          </cell>
          <cell r="D116" t="str">
            <v>8h00</v>
          </cell>
          <cell r="E116" t="str">
            <v>9h00</v>
          </cell>
          <cell r="F116">
            <v>9</v>
          </cell>
          <cell r="G116">
            <v>6</v>
          </cell>
          <cell r="H116">
            <v>2015</v>
          </cell>
          <cell r="I116" t="str">
            <v>Hà Nội, ngày 1 tháng 7 năm 2015</v>
          </cell>
          <cell r="J116" t="str">
            <v>8h00 ngày 9 tháng 6 năm 2015</v>
          </cell>
          <cell r="K116" t="str">
            <v>9h00 ngày 1 tháng 7 năm 2015</v>
          </cell>
          <cell r="L116" t="str">
            <v>9h00</v>
          </cell>
          <cell r="M116" t="str">
            <v>10h00</v>
          </cell>
          <cell r="N116">
            <v>1</v>
          </cell>
          <cell r="O116">
            <v>7</v>
          </cell>
          <cell r="P116">
            <v>2015</v>
          </cell>
          <cell r="Q116" t="str">
            <v>Hà Nội, ngày 9 tháng 6 năm 2015</v>
          </cell>
          <cell r="R116" t="str">
            <v>9h00 ngày 9 tháng 6 năm 2015</v>
          </cell>
          <cell r="S116" t="str">
            <v>10h00 ngày 1 tháng 7 năm 2015</v>
          </cell>
          <cell r="T116" t="str">
            <v>9h00</v>
          </cell>
          <cell r="U116" t="str">
            <v>9h00 Ngày 9/6/2015</v>
          </cell>
          <cell r="V116" t="str">
            <v>Nguyễn Ái Việt</v>
          </cell>
          <cell r="W116" t="str">
            <v>Chỉ huy trưởng</v>
          </cell>
          <cell r="X116" t="str">
            <v>................................</v>
          </cell>
          <cell r="Y116" t="str">
            <v>................................</v>
          </cell>
          <cell r="Z116" t="str">
            <v>Nguyễn Văn Nghiễm</v>
          </cell>
          <cell r="AA116" t="str">
            <v>Cán bộ KCS</v>
          </cell>
          <cell r="AB116" t="str">
            <v>Vương Toàn Hiếu</v>
          </cell>
          <cell r="AC116" t="str">
            <v>Trưởng đoàn TVGS</v>
          </cell>
          <cell r="AD116" t="str">
            <v>Lê Thiều Nam</v>
          </cell>
          <cell r="AE116" t="str">
            <v>Cán bộ TVGS</v>
          </cell>
          <cell r="AF116" t="str">
            <v>................................</v>
          </cell>
          <cell r="AG116" t="str">
            <v>Cán bộ TVGS</v>
          </cell>
          <cell r="AH116" t="str">
            <v>Nguyễn Ái Việt</v>
          </cell>
          <cell r="AI116" t="str">
            <v>Chỉ huy trưởng</v>
          </cell>
          <cell r="AJ116" t="str">
            <v>Hoàng Chiến Thắng</v>
          </cell>
          <cell r="AK116" t="str">
            <v>P. Chỉ huy trưởng</v>
          </cell>
          <cell r="AL116" t="str">
            <v>Trịnh Quang Đức</v>
          </cell>
          <cell r="AM116" t="str">
            <v>Cán bộ kỹ thuật</v>
          </cell>
          <cell r="AN116" t="str">
            <v>KC-65; KT-502; KT-602</v>
          </cell>
          <cell r="AS116" t="str">
            <v>Ngày 9 Tháng 6 Năm 2015</v>
          </cell>
        </row>
        <row r="117">
          <cell r="A117" t="str">
            <v>BTGLC-02</v>
          </cell>
          <cell r="B117" t="str">
            <v>Công tác đổ bê tông giằng tường chân lan can lô gia căn hộ tầng 06, 07, 08</v>
          </cell>
          <cell r="C117" t="str">
            <v>BTGLC-02</v>
          </cell>
          <cell r="D117" t="str">
            <v>8h30</v>
          </cell>
          <cell r="E117" t="str">
            <v>9h30</v>
          </cell>
          <cell r="F117">
            <v>15</v>
          </cell>
          <cell r="G117">
            <v>7</v>
          </cell>
          <cell r="H117">
            <v>2015</v>
          </cell>
          <cell r="I117" t="str">
            <v>Hà Nội, ngày 21 tháng 7 năm 2015</v>
          </cell>
          <cell r="J117" t="str">
            <v>8h30 ngày 15 tháng 7 năm 2015</v>
          </cell>
          <cell r="K117" t="str">
            <v>9h30 ngày 21 tháng 7 năm 2015</v>
          </cell>
          <cell r="L117" t="str">
            <v>9h30</v>
          </cell>
          <cell r="M117" t="str">
            <v>10h30</v>
          </cell>
          <cell r="N117">
            <v>21</v>
          </cell>
          <cell r="O117">
            <v>7</v>
          </cell>
          <cell r="P117">
            <v>2015</v>
          </cell>
          <cell r="Q117" t="str">
            <v>Hà Nội, ngày 15 tháng 7 năm 2015</v>
          </cell>
          <cell r="R117" t="str">
            <v>9h30 ngày 15 tháng 7 năm 2015</v>
          </cell>
          <cell r="S117" t="str">
            <v>10h30 ngày 21 tháng 7 năm 2015</v>
          </cell>
          <cell r="T117" t="str">
            <v>9h30</v>
          </cell>
          <cell r="U117" t="str">
            <v>9h30 Ngày 15/7/2015</v>
          </cell>
          <cell r="V117" t="str">
            <v>Nguyễn Ái Việt</v>
          </cell>
          <cell r="W117" t="str">
            <v>Chỉ huy trưởng</v>
          </cell>
          <cell r="X117" t="str">
            <v>................................</v>
          </cell>
          <cell r="Y117" t="str">
            <v>................................</v>
          </cell>
          <cell r="Z117" t="str">
            <v>Nguyễn Văn Nghiễm</v>
          </cell>
          <cell r="AA117" t="str">
            <v>Cán bộ KCS</v>
          </cell>
          <cell r="AB117" t="str">
            <v>Vương Toàn Hiếu</v>
          </cell>
          <cell r="AC117" t="str">
            <v>Trưởng đoàn TVGS</v>
          </cell>
          <cell r="AD117" t="str">
            <v>Lê Thiều Nam</v>
          </cell>
          <cell r="AE117" t="str">
            <v>Cán bộ TVGS</v>
          </cell>
          <cell r="AF117" t="str">
            <v>................................</v>
          </cell>
          <cell r="AG117" t="str">
            <v>Cán bộ TVGS</v>
          </cell>
          <cell r="AH117" t="str">
            <v>Nguyễn Ái Việt</v>
          </cell>
          <cell r="AI117" t="str">
            <v>Chỉ huy trưởng</v>
          </cell>
          <cell r="AJ117" t="str">
            <v>Hoàng Chiến Thắng</v>
          </cell>
          <cell r="AK117" t="str">
            <v>P. Chỉ huy trưởng</v>
          </cell>
          <cell r="AL117" t="str">
            <v>Trịnh Quang Đức</v>
          </cell>
          <cell r="AM117" t="str">
            <v>Cán bộ kỹ thuật</v>
          </cell>
          <cell r="AN117" t="str">
            <v>KC-65; KT-502; KT-602</v>
          </cell>
          <cell r="AS117" t="str">
            <v>Ngày 15 Tháng 7 Năm 2015</v>
          </cell>
        </row>
        <row r="118">
          <cell r="A118" t="str">
            <v>BTGLC-03</v>
          </cell>
          <cell r="B118" t="str">
            <v>Công tác đổ bê tông giằng tường chân lan can lô gia căn hộ tầng 09, 10, 11</v>
          </cell>
          <cell r="C118" t="str">
            <v>BTGLC-03</v>
          </cell>
          <cell r="D118" t="str">
            <v>8h00</v>
          </cell>
          <cell r="E118" t="str">
            <v>9h00</v>
          </cell>
          <cell r="F118">
            <v>29</v>
          </cell>
          <cell r="G118">
            <v>7</v>
          </cell>
          <cell r="H118">
            <v>2015</v>
          </cell>
          <cell r="I118" t="str">
            <v>Hà Nội, ngày 9 tháng 8 năm 2015</v>
          </cell>
          <cell r="J118" t="str">
            <v>8h00 ngày 29 tháng 7 năm 2015</v>
          </cell>
          <cell r="K118" t="str">
            <v>9h00 ngày 9 tháng 8 năm 2015</v>
          </cell>
          <cell r="L118" t="str">
            <v>9h00</v>
          </cell>
          <cell r="M118" t="str">
            <v>10h00</v>
          </cell>
          <cell r="N118">
            <v>9</v>
          </cell>
          <cell r="O118">
            <v>8</v>
          </cell>
          <cell r="P118">
            <v>2015</v>
          </cell>
          <cell r="Q118" t="str">
            <v>Hà Nội, ngày 29 tháng 7 năm 2015</v>
          </cell>
          <cell r="R118" t="str">
            <v>9h00 ngày 29 tháng 7 năm 2015</v>
          </cell>
          <cell r="S118" t="str">
            <v>10h00 ngày 9 tháng 8 năm 2015</v>
          </cell>
          <cell r="T118" t="str">
            <v>9h00</v>
          </cell>
          <cell r="U118" t="str">
            <v>9h00 Ngày 29/7/2015</v>
          </cell>
          <cell r="V118" t="str">
            <v>Nguyễn Ái Việt</v>
          </cell>
          <cell r="W118" t="str">
            <v>Chỉ huy trưởng</v>
          </cell>
          <cell r="X118" t="str">
            <v>................................</v>
          </cell>
          <cell r="Y118" t="str">
            <v>................................</v>
          </cell>
          <cell r="Z118" t="str">
            <v>Nguyễn Văn Nghiễm</v>
          </cell>
          <cell r="AA118" t="str">
            <v>Cán bộ KCS</v>
          </cell>
          <cell r="AB118" t="str">
            <v>Vương Toàn Hiếu</v>
          </cell>
          <cell r="AC118" t="str">
            <v>Trưởng đoàn TVGS</v>
          </cell>
          <cell r="AD118" t="str">
            <v>Lê Thiều Nam</v>
          </cell>
          <cell r="AE118" t="str">
            <v>Cán bộ TVGS</v>
          </cell>
          <cell r="AF118" t="str">
            <v>................................</v>
          </cell>
          <cell r="AG118" t="str">
            <v>Cán bộ TVGS</v>
          </cell>
          <cell r="AH118" t="str">
            <v>Nguyễn Ái Việt</v>
          </cell>
          <cell r="AI118" t="str">
            <v>Chỉ huy trưởng</v>
          </cell>
          <cell r="AJ118" t="str">
            <v>Hoàng Chiến Thắng</v>
          </cell>
          <cell r="AK118" t="str">
            <v>P. Chỉ huy trưởng</v>
          </cell>
          <cell r="AL118" t="str">
            <v>Trịnh Quang Đức</v>
          </cell>
          <cell r="AM118" t="str">
            <v>Cán bộ kỹ thuật</v>
          </cell>
          <cell r="AN118" t="str">
            <v>KC-65; KT-502; KT-602</v>
          </cell>
          <cell r="AS118" t="str">
            <v>Ngày 29 Tháng 7 Năm 2015</v>
          </cell>
        </row>
        <row r="119">
          <cell r="A119" t="str">
            <v>BTGT-01</v>
          </cell>
          <cell r="B119" t="str">
            <v>Công tác đổ bê tông giằng tường tầng áp mái</v>
          </cell>
          <cell r="C119" t="str">
            <v>BTGT-01</v>
          </cell>
          <cell r="D119" t="str">
            <v>14h00</v>
          </cell>
          <cell r="E119" t="str">
            <v>14h30</v>
          </cell>
          <cell r="F119">
            <v>29</v>
          </cell>
          <cell r="G119">
            <v>8</v>
          </cell>
          <cell r="H119">
            <v>2015</v>
          </cell>
          <cell r="I119" t="str">
            <v>Hà Nội, ngày 29 tháng 8 năm 2015</v>
          </cell>
          <cell r="J119" t="str">
            <v>14h00 ngày 29 tháng 8 năm 2015</v>
          </cell>
          <cell r="K119" t="str">
            <v>14h30 ngày 29 tháng 8 năm 2015</v>
          </cell>
          <cell r="L119" t="str">
            <v>14h30</v>
          </cell>
          <cell r="M119" t="str">
            <v>15h00</v>
          </cell>
          <cell r="N119">
            <v>29</v>
          </cell>
          <cell r="O119">
            <v>8</v>
          </cell>
          <cell r="P119">
            <v>2015</v>
          </cell>
          <cell r="Q119" t="str">
            <v>Hà Nội, ngày 29 tháng 8 năm 2015</v>
          </cell>
          <cell r="R119" t="str">
            <v>14h30 ngày 29 tháng 8 năm 2015</v>
          </cell>
          <cell r="S119" t="str">
            <v>15h00 ngày 29 tháng 8 năm 2015</v>
          </cell>
          <cell r="T119" t="str">
            <v>14h30</v>
          </cell>
          <cell r="U119" t="str">
            <v>14h30 Ngày 29/8/2015</v>
          </cell>
          <cell r="V119" t="str">
            <v>Nguyễn Ái Việt</v>
          </cell>
          <cell r="W119" t="str">
            <v>Chỉ huy trưởng</v>
          </cell>
          <cell r="X119" t="str">
            <v>................................</v>
          </cell>
          <cell r="Y119" t="str">
            <v>................................</v>
          </cell>
          <cell r="Z119" t="str">
            <v>Nguyễn Văn Nghiễm</v>
          </cell>
          <cell r="AA119" t="str">
            <v>Cán bộ KCS</v>
          </cell>
          <cell r="AB119" t="str">
            <v>Vương Toàn Hiếu</v>
          </cell>
          <cell r="AC119" t="str">
            <v>Trưởng đoàn TVGS</v>
          </cell>
          <cell r="AD119" t="str">
            <v>Lê Thiều Nam</v>
          </cell>
          <cell r="AE119" t="str">
            <v>Cán bộ TVGS</v>
          </cell>
          <cell r="AF119" t="str">
            <v>................................</v>
          </cell>
          <cell r="AG119" t="str">
            <v>Cán bộ TVGS</v>
          </cell>
          <cell r="AH119" t="str">
            <v>Nguyễn Ái Việt</v>
          </cell>
          <cell r="AI119" t="str">
            <v>Chỉ huy trưởng</v>
          </cell>
          <cell r="AJ119" t="str">
            <v>Hoàng Chiến Thắng</v>
          </cell>
          <cell r="AK119" t="str">
            <v>P. Chỉ huy trưởng</v>
          </cell>
          <cell r="AL119" t="str">
            <v>Trịnh Quang Đức</v>
          </cell>
          <cell r="AM119" t="str">
            <v>Cán bộ kỹ thuật</v>
          </cell>
          <cell r="AN119" t="str">
            <v>KC-00; KC-71</v>
          </cell>
          <cell r="AS119" t="str">
            <v>Ngày 29 Tháng 8 Năm 2015</v>
          </cell>
        </row>
        <row r="120">
          <cell r="A120" t="str">
            <v>BTLT-10</v>
          </cell>
          <cell r="C120" t="str">
            <v>BTLT-10</v>
          </cell>
          <cell r="D120" t="str">
            <v>….h….</v>
          </cell>
          <cell r="E120" t="str">
            <v>….h….</v>
          </cell>
          <cell r="F120" t="str">
            <v>….</v>
          </cell>
          <cell r="G120" t="str">
            <v>….</v>
          </cell>
          <cell r="H120" t="str">
            <v>…..</v>
          </cell>
          <cell r="I120" t="str">
            <v>Hà Nội, ngày …. tháng …. năm …..</v>
          </cell>
          <cell r="J120" t="str">
            <v>….h…. ngày …. tháng …. năm …..</v>
          </cell>
          <cell r="K120" t="str">
            <v>….h…. ngày …. tháng …. năm …..</v>
          </cell>
          <cell r="L120" t="str">
            <v>….h….</v>
          </cell>
          <cell r="M120" t="str">
            <v>…h….</v>
          </cell>
          <cell r="N120" t="str">
            <v>….</v>
          </cell>
          <cell r="O120" t="str">
            <v>….</v>
          </cell>
          <cell r="P120" t="str">
            <v>…..</v>
          </cell>
          <cell r="Q120" t="str">
            <v>Hà Nội, ngày …. tháng …. năm …..</v>
          </cell>
          <cell r="R120" t="str">
            <v>….h…. ngày …. tháng …. năm …..</v>
          </cell>
          <cell r="S120" t="str">
            <v>…h…. ngày …. tháng …. năm …..</v>
          </cell>
          <cell r="T120" t="str">
            <v>….h….</v>
          </cell>
          <cell r="U120" t="str">
            <v>….h…. Ngày …./…./…..</v>
          </cell>
          <cell r="V120" t="str">
            <v>Nguyễn Ái Việt</v>
          </cell>
          <cell r="W120" t="str">
            <v>Chỉ huy trưởng</v>
          </cell>
          <cell r="X120" t="str">
            <v>................................</v>
          </cell>
          <cell r="Y120" t="str">
            <v>................................</v>
          </cell>
          <cell r="Z120" t="str">
            <v>Nguyễn Văn Nghiễm</v>
          </cell>
          <cell r="AA120" t="str">
            <v>Cán bộ KCS</v>
          </cell>
          <cell r="AB120" t="str">
            <v>Vương Toàn Hiếu</v>
          </cell>
          <cell r="AC120" t="str">
            <v>Trưởng đoàn TVGS</v>
          </cell>
          <cell r="AD120" t="str">
            <v>Lê Thiều Nam</v>
          </cell>
          <cell r="AE120" t="str">
            <v>Cán bộ TVGS</v>
          </cell>
          <cell r="AF120" t="str">
            <v>................................</v>
          </cell>
          <cell r="AG120" t="str">
            <v>Cán bộ TVGS</v>
          </cell>
          <cell r="AH120" t="str">
            <v>Nguyễn Ái Việt</v>
          </cell>
          <cell r="AI120" t="str">
            <v>Chỉ huy trưởng</v>
          </cell>
          <cell r="AJ120" t="str">
            <v>Hoàng Chiến Thắng</v>
          </cell>
          <cell r="AK120" t="str">
            <v>P. Chỉ huy trưởng</v>
          </cell>
          <cell r="AL120" t="str">
            <v>Trịnh Quang Đức</v>
          </cell>
          <cell r="AM120" t="str">
            <v>Cán bộ kỹ thuật</v>
          </cell>
          <cell r="AS120" t="str">
            <v>Ngày …. Tháng …. Năm …..</v>
          </cell>
        </row>
        <row r="125">
          <cell r="A125">
            <v>1</v>
          </cell>
          <cell r="B125">
            <v>2</v>
          </cell>
          <cell r="C125">
            <v>3</v>
          </cell>
          <cell r="D125">
            <v>4</v>
          </cell>
          <cell r="E125">
            <v>5</v>
          </cell>
          <cell r="F125">
            <v>6</v>
          </cell>
          <cell r="G125">
            <v>7</v>
          </cell>
          <cell r="H125">
            <v>8</v>
          </cell>
          <cell r="I125">
            <v>9</v>
          </cell>
          <cell r="J125">
            <v>10</v>
          </cell>
          <cell r="K125">
            <v>11</v>
          </cell>
          <cell r="L125">
            <v>12</v>
          </cell>
          <cell r="M125">
            <v>13</v>
          </cell>
          <cell r="N125">
            <v>14</v>
          </cell>
          <cell r="O125">
            <v>15</v>
          </cell>
          <cell r="P125">
            <v>16</v>
          </cell>
          <cell r="Q125">
            <v>17</v>
          </cell>
          <cell r="R125">
            <v>18</v>
          </cell>
          <cell r="S125">
            <v>19</v>
          </cell>
          <cell r="T125">
            <v>20</v>
          </cell>
          <cell r="U125">
            <v>21</v>
          </cell>
          <cell r="V125">
            <v>22</v>
          </cell>
          <cell r="W125">
            <v>23</v>
          </cell>
          <cell r="X125">
            <v>24</v>
          </cell>
          <cell r="Y125">
            <v>25</v>
          </cell>
          <cell r="Z125">
            <v>26</v>
          </cell>
          <cell r="AA125">
            <v>27</v>
          </cell>
          <cell r="AB125">
            <v>28</v>
          </cell>
          <cell r="AC125">
            <v>29</v>
          </cell>
          <cell r="AD125">
            <v>30</v>
          </cell>
          <cell r="AE125">
            <v>31</v>
          </cell>
          <cell r="AF125">
            <v>32</v>
          </cell>
          <cell r="AG125">
            <v>33</v>
          </cell>
          <cell r="AH125">
            <v>34</v>
          </cell>
          <cell r="AI125">
            <v>35</v>
          </cell>
          <cell r="AJ125">
            <v>36</v>
          </cell>
          <cell r="AK125">
            <v>37</v>
          </cell>
          <cell r="AL125">
            <v>38</v>
          </cell>
          <cell r="AM125">
            <v>39</v>
          </cell>
          <cell r="AN125">
            <v>40</v>
          </cell>
          <cell r="AO125">
            <v>41</v>
          </cell>
          <cell r="AP125">
            <v>42</v>
          </cell>
          <cell r="AQ125">
            <v>43</v>
          </cell>
          <cell r="AR125">
            <v>44</v>
          </cell>
          <cell r="AS125">
            <v>45</v>
          </cell>
        </row>
      </sheetData>
      <sheetData sheetId="37">
        <row r="2">
          <cell r="A2" t="str">
            <v>CÔNG TY CP HỒNG HÀ VIỆT NAM</v>
          </cell>
          <cell r="C2" t="str">
            <v>CỘNG HÒA XÃ HỘI CHỦ NGHĨA VIỆT NAM</v>
          </cell>
        </row>
        <row r="3">
          <cell r="C3" t="str">
            <v>ĐỘC LẬP-TỰ DO -HẠNH PHÚC</v>
          </cell>
        </row>
        <row r="4">
          <cell r="C4" t="str">
            <v>PYC</v>
          </cell>
        </row>
        <row r="5">
          <cell r="A5" t="str">
            <v>BB CỐT THÉP</v>
          </cell>
          <cell r="AO5" t="str">
            <v>FILE IN</v>
          </cell>
          <cell r="AP5" t="str">
            <v>LIST BBNT</v>
          </cell>
        </row>
        <row r="6">
          <cell r="A6" t="str">
            <v>XÂY DỰNG NHÀ Ở XÃ HỘI ĐỂ BÁN VÀ CHO THUÊ</v>
          </cell>
        </row>
        <row r="7">
          <cell r="A7" t="str">
            <v>CT6</v>
          </cell>
        </row>
        <row r="9">
          <cell r="A9" t="str">
            <v>Stt</v>
          </cell>
          <cell r="B9" t="str">
            <v>Nội dung</v>
          </cell>
          <cell r="C9" t="str">
            <v>Số biên bản</v>
          </cell>
          <cell r="D9" t="str">
            <v>Nghiệm Thu Nội Bộ</v>
          </cell>
          <cell r="I9" t="str">
            <v>Ngày tháng năm</v>
          </cell>
          <cell r="J9" t="str">
            <v>Bắt đầu</v>
          </cell>
          <cell r="K9" t="str">
            <v>Kết thúc</v>
          </cell>
          <cell r="L9" t="str">
            <v xml:space="preserve"> Nghiệm Thu Công Việc</v>
          </cell>
          <cell r="Q9" t="str">
            <v>Ngày tháng năm</v>
          </cell>
          <cell r="R9" t="str">
            <v>Bắt đầu</v>
          </cell>
          <cell r="S9" t="str">
            <v>Kết thúc</v>
          </cell>
          <cell r="T9" t="str">
            <v>Yêu Cầu Nghiệm Thu</v>
          </cell>
          <cell r="X9" t="str">
            <v>Người ký của BQLDA</v>
          </cell>
          <cell r="AB9" t="str">
            <v>Người ký của TVGS</v>
          </cell>
          <cell r="AH9" t="str">
            <v>Người ký của Nhà Thầu</v>
          </cell>
          <cell r="AN9" t="str">
            <v>Bản vẽ tham chiếu</v>
          </cell>
          <cell r="AO9" t="str">
            <v>Văn bản sửa đổi, bổ sung</v>
          </cell>
          <cell r="AP9" t="str">
            <v>Bản vẽ sửa đổi</v>
          </cell>
          <cell r="AQ9" t="str">
            <v>Thanh toán đợt</v>
          </cell>
          <cell r="AR9" t="str">
            <v>Vật tư</v>
          </cell>
        </row>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CT-01</v>
          </cell>
          <cell r="B11" t="str">
            <v>-Gia công,lắp dựng cốt thép đáy bể nước sạch.</v>
          </cell>
          <cell r="C11" t="str">
            <v>CT-01</v>
          </cell>
          <cell r="D11" t="str">
            <v>8h00</v>
          </cell>
          <cell r="E11" t="str">
            <v>9h00</v>
          </cell>
          <cell r="F11">
            <v>22</v>
          </cell>
          <cell r="G11">
            <v>11</v>
          </cell>
          <cell r="H11">
            <v>2014</v>
          </cell>
          <cell r="I11" t="str">
            <v>Hà Nội, ngày 22 tháng 11 năm 2014</v>
          </cell>
          <cell r="J11" t="str">
            <v>8h00 ngày 22 tháng 11 năm 2014</v>
          </cell>
          <cell r="K11" t="str">
            <v>9h00 ngày 22 tháng 11 năm 2014</v>
          </cell>
          <cell r="L11" t="str">
            <v>9h00</v>
          </cell>
          <cell r="M11" t="str">
            <v>10h00</v>
          </cell>
          <cell r="N11">
            <v>22</v>
          </cell>
          <cell r="O11">
            <v>11</v>
          </cell>
          <cell r="P11">
            <v>2014</v>
          </cell>
          <cell r="Q11" t="str">
            <v>Hà Nội, ngày 22 tháng 11 năm 2014</v>
          </cell>
          <cell r="R11" t="str">
            <v>9h00 ngày 22 tháng 11 năm 2014</v>
          </cell>
          <cell r="S11" t="str">
            <v>10h00 ngày 22 tháng 11 năm 2014</v>
          </cell>
          <cell r="T11" t="str">
            <v>9h00</v>
          </cell>
          <cell r="U11" t="str">
            <v>9h00 Ngày 22/11/2014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Cán bộ TVGS</v>
          </cell>
          <cell r="AH11" t="str">
            <v>Nguyễn Ái Việt</v>
          </cell>
          <cell r="AI11" t="str">
            <v>Chỉ huy trưởng</v>
          </cell>
          <cell r="AJ11" t="str">
            <v>Hoàng Chiến Thắng</v>
          </cell>
          <cell r="AK11" t="str">
            <v>P. Chỉ huy trưởng</v>
          </cell>
          <cell r="AL11" t="str">
            <v>Trần Ngọc Đại</v>
          </cell>
          <cell r="AM11" t="str">
            <v>Cán bộ kỹ thuật</v>
          </cell>
          <cell r="AN11" t="str">
            <v>KC-69; KC-70</v>
          </cell>
          <cell r="AR11" t="str">
            <v>Ngày 22 Tháng 11 Năm 2014</v>
          </cell>
        </row>
        <row r="12">
          <cell r="A12" t="str">
            <v>CT-02</v>
          </cell>
          <cell r="B12" t="str">
            <v>-Gia công, lắp dựng cốt thép tường bể nước sạch.</v>
          </cell>
          <cell r="C12" t="str">
            <v>CT-02</v>
          </cell>
          <cell r="D12" t="str">
            <v>8h15</v>
          </cell>
          <cell r="E12" t="str">
            <v>9h15</v>
          </cell>
          <cell r="F12">
            <v>28</v>
          </cell>
          <cell r="G12">
            <v>11</v>
          </cell>
          <cell r="H12">
            <v>2014</v>
          </cell>
          <cell r="I12" t="str">
            <v>Hà Nội, ngày 28 tháng 11 năm 2014</v>
          </cell>
          <cell r="J12" t="str">
            <v>8h15 ngày 28 tháng 11 năm 2014</v>
          </cell>
          <cell r="K12" t="str">
            <v>9h15 ngày 28 tháng 11 năm 2014</v>
          </cell>
          <cell r="L12" t="str">
            <v>9h15</v>
          </cell>
          <cell r="M12" t="str">
            <v>10h15</v>
          </cell>
          <cell r="N12">
            <v>28</v>
          </cell>
          <cell r="O12">
            <v>11</v>
          </cell>
          <cell r="P12">
            <v>2014</v>
          </cell>
          <cell r="Q12" t="str">
            <v>Hà Nội, ngày 28 tháng 11 năm 2014</v>
          </cell>
          <cell r="R12" t="str">
            <v>9h15 ngày 28 tháng 11 năm 2014</v>
          </cell>
          <cell r="S12" t="str">
            <v>10h15 ngày 28 tháng 11 năm 2014</v>
          </cell>
          <cell r="T12" t="str">
            <v>9h15</v>
          </cell>
          <cell r="U12" t="str">
            <v>9h15 Ngày 28/11/2014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Cán bộ TVGS</v>
          </cell>
          <cell r="AH12" t="str">
            <v>Nguyễn Ái Việt</v>
          </cell>
          <cell r="AI12" t="str">
            <v>Chỉ huy trưởng</v>
          </cell>
          <cell r="AJ12" t="str">
            <v>Hoàng Chiến Thắng</v>
          </cell>
          <cell r="AK12" t="str">
            <v>P. Chỉ huy trưởng</v>
          </cell>
          <cell r="AL12" t="str">
            <v>Trần Ngọc Đại</v>
          </cell>
          <cell r="AM12" t="str">
            <v>Cán bộ kỹ thuật</v>
          </cell>
          <cell r="AN12" t="str">
            <v>KC-69; KC-70</v>
          </cell>
          <cell r="AR12" t="str">
            <v>Ngày 28 Tháng 11 Năm 2014</v>
          </cell>
        </row>
        <row r="13">
          <cell r="A13" t="str">
            <v>CT-03</v>
          </cell>
          <cell r="B13" t="str">
            <v>-GCLD cốt thép liên kết đầu cọc PĐ1 trục X4'-X8/Y5'-Y8</v>
          </cell>
          <cell r="C13" t="str">
            <v>CT-03</v>
          </cell>
          <cell r="D13" t="str">
            <v>8h00</v>
          </cell>
          <cell r="E13" t="str">
            <v>9h00</v>
          </cell>
          <cell r="F13">
            <v>26</v>
          </cell>
          <cell r="G13">
            <v>11</v>
          </cell>
          <cell r="H13">
            <v>2014</v>
          </cell>
          <cell r="I13" t="str">
            <v>Hà Nội, ngày 26 tháng 11 năm 2014</v>
          </cell>
          <cell r="J13" t="str">
            <v>8h00 ngày 26 tháng 11 năm 2014</v>
          </cell>
          <cell r="K13" t="str">
            <v>9h00 ngày 26 tháng 11 năm 2014</v>
          </cell>
          <cell r="L13" t="str">
            <v>9h00</v>
          </cell>
          <cell r="M13" t="str">
            <v>10h00</v>
          </cell>
          <cell r="N13">
            <v>26</v>
          </cell>
          <cell r="O13">
            <v>11</v>
          </cell>
          <cell r="P13">
            <v>2014</v>
          </cell>
          <cell r="Q13" t="str">
            <v>Hà Nội, ngày 26 tháng 11 năm 2014</v>
          </cell>
          <cell r="R13" t="str">
            <v>9h00 ngày 26 tháng 11 năm 2014</v>
          </cell>
          <cell r="S13" t="str">
            <v>10h00 ngày 26 tháng 11 năm 2014</v>
          </cell>
          <cell r="T13" t="str">
            <v>9h00</v>
          </cell>
          <cell r="U13" t="str">
            <v>9h00 Ngày 26/11/2014</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Cán bộ TVGS</v>
          </cell>
          <cell r="AH13" t="str">
            <v>Nguyễn Ái Việt</v>
          </cell>
          <cell r="AI13" t="str">
            <v>Chỉ huy trưởng</v>
          </cell>
          <cell r="AJ13" t="str">
            <v>Hoàng Chiến Thắng</v>
          </cell>
          <cell r="AK13" t="str">
            <v>P. Chỉ huy trưởng</v>
          </cell>
          <cell r="AL13" t="str">
            <v>Trần Ngọc Đại</v>
          </cell>
          <cell r="AM13" t="str">
            <v>Cán bộ kỹ thuật</v>
          </cell>
          <cell r="AN13" t="str">
            <v>KC-03÷KC-05</v>
          </cell>
          <cell r="AR13" t="str">
            <v>Ngày 26 Tháng 11 Năm 2014</v>
          </cell>
        </row>
        <row r="14">
          <cell r="A14" t="str">
            <v>CT-04</v>
          </cell>
          <cell r="B14" t="str">
            <v>-GCLD cốt thép đài, giằng móng PĐ1 trục X4'-X8/Y5'-Y8</v>
          </cell>
          <cell r="C14" t="str">
            <v>CT-04</v>
          </cell>
          <cell r="D14" t="str">
            <v>8h00</v>
          </cell>
          <cell r="E14" t="str">
            <v>10h00</v>
          </cell>
          <cell r="F14">
            <v>4</v>
          </cell>
          <cell r="G14">
            <v>12</v>
          </cell>
          <cell r="H14">
            <v>2014</v>
          </cell>
          <cell r="I14" t="str">
            <v>Hà Nội, ngày 4 tháng 12 năm 2014</v>
          </cell>
          <cell r="J14" t="str">
            <v>8h00 ngày 4 tháng 12 năm 2014</v>
          </cell>
          <cell r="K14" t="str">
            <v>10h00 ngày 4 tháng 12 năm 2014</v>
          </cell>
          <cell r="L14" t="str">
            <v>10h00</v>
          </cell>
          <cell r="M14" t="str">
            <v>11h45</v>
          </cell>
          <cell r="N14">
            <v>4</v>
          </cell>
          <cell r="O14">
            <v>12</v>
          </cell>
          <cell r="P14">
            <v>2014</v>
          </cell>
          <cell r="Q14" t="str">
            <v>Hà Nội, ngày 4 tháng 12 năm 2014</v>
          </cell>
          <cell r="R14" t="str">
            <v>10h00 ngày 4 tháng 12 năm 2014</v>
          </cell>
          <cell r="S14" t="str">
            <v>11h45 ngày 4 tháng 12 năm 2014</v>
          </cell>
          <cell r="T14" t="str">
            <v>10h00</v>
          </cell>
          <cell r="U14" t="str">
            <v>10h00 Ngày 4/12/2014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Cán bộ TVGS</v>
          </cell>
          <cell r="AH14" t="str">
            <v>Nguyễn Ái Việt</v>
          </cell>
          <cell r="AI14" t="str">
            <v>Chỉ huy trưởng</v>
          </cell>
          <cell r="AJ14" t="str">
            <v>Hoàng Chiến Thắng</v>
          </cell>
          <cell r="AK14" t="str">
            <v>P. Chỉ huy trưởng</v>
          </cell>
          <cell r="AL14" t="str">
            <v>Trần Ngọc Đại</v>
          </cell>
          <cell r="AM14" t="str">
            <v>Cán bộ kỹ thuật</v>
          </cell>
          <cell r="AN14" t="str">
            <v>KC-05; KC-07 ÷KC-10</v>
          </cell>
          <cell r="AR14" t="str">
            <v>Ngày 4 Tháng 12 Năm 2014</v>
          </cell>
        </row>
        <row r="15">
          <cell r="A15" t="str">
            <v>CT-05</v>
          </cell>
          <cell r="B15" t="str">
            <v>-GCLD cốt thép liên kết đầu cọc PĐ2 trục X1-X4'/Y5-Y8</v>
          </cell>
          <cell r="C15" t="str">
            <v>CT-05</v>
          </cell>
          <cell r="D15" t="str">
            <v>8h00</v>
          </cell>
          <cell r="E15" t="str">
            <v>9h00</v>
          </cell>
          <cell r="F15">
            <v>30</v>
          </cell>
          <cell r="G15">
            <v>11</v>
          </cell>
          <cell r="H15">
            <v>2014</v>
          </cell>
          <cell r="I15" t="str">
            <v>Hà Nội, ngày 30 tháng 11 năm 2014</v>
          </cell>
          <cell r="J15" t="str">
            <v>8h00 ngày 30 tháng 11 năm 2014</v>
          </cell>
          <cell r="K15" t="str">
            <v>9h00 ngày 30 tháng 11 năm 2014</v>
          </cell>
          <cell r="L15" t="str">
            <v>9h00</v>
          </cell>
          <cell r="M15" t="str">
            <v>10h00</v>
          </cell>
          <cell r="N15">
            <v>30</v>
          </cell>
          <cell r="O15">
            <v>11</v>
          </cell>
          <cell r="P15">
            <v>2014</v>
          </cell>
          <cell r="Q15" t="str">
            <v>Hà Nội, ngày 30 tháng 11 năm 2014</v>
          </cell>
          <cell r="R15" t="str">
            <v>9h00 ngày 30 tháng 11 năm 2014</v>
          </cell>
          <cell r="S15" t="str">
            <v>10h00 ngày 30 tháng 11 năm 2014</v>
          </cell>
          <cell r="T15" t="str">
            <v>9h00</v>
          </cell>
          <cell r="U15" t="str">
            <v>9h00 Ngày 30/11/2014</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Cán bộ TVGS</v>
          </cell>
          <cell r="AH15" t="str">
            <v>Nguyễn Ái Việt</v>
          </cell>
          <cell r="AI15" t="str">
            <v>Chỉ huy trưởng</v>
          </cell>
          <cell r="AJ15" t="str">
            <v>Hoàng Chiến Thắng</v>
          </cell>
          <cell r="AK15" t="str">
            <v>P. Chỉ huy trưởng</v>
          </cell>
          <cell r="AL15" t="str">
            <v>Trần Ngọc Đại</v>
          </cell>
          <cell r="AM15" t="str">
            <v>Cán bộ kỹ thuật</v>
          </cell>
          <cell r="AN15" t="str">
            <v>KC-03÷KC-05</v>
          </cell>
          <cell r="AR15" t="str">
            <v>Ngày 30 Tháng 11 Năm 2014</v>
          </cell>
        </row>
        <row r="16">
          <cell r="A16" t="str">
            <v>CT-06</v>
          </cell>
          <cell r="B16" t="str">
            <v>-GCLD cốt thép đài, giằng móng PĐ2 trục X1-X4'/Y5-Y8</v>
          </cell>
          <cell r="C16" t="str">
            <v>CT-06</v>
          </cell>
          <cell r="D16" t="str">
            <v>7h30</v>
          </cell>
          <cell r="E16" t="str">
            <v>9h30</v>
          </cell>
          <cell r="F16">
            <v>11</v>
          </cell>
          <cell r="G16">
            <v>12</v>
          </cell>
          <cell r="H16">
            <v>2014</v>
          </cell>
          <cell r="I16" t="str">
            <v>Hà Nội, ngày 11 tháng 12 năm 2014</v>
          </cell>
          <cell r="J16" t="str">
            <v>7h30 ngày 11 tháng 12 năm 2014</v>
          </cell>
          <cell r="K16" t="str">
            <v>9h30 ngày 11 tháng 12 năm 2014</v>
          </cell>
          <cell r="L16" t="str">
            <v>9h30</v>
          </cell>
          <cell r="M16" t="str">
            <v>11h30</v>
          </cell>
          <cell r="N16">
            <v>11</v>
          </cell>
          <cell r="O16">
            <v>12</v>
          </cell>
          <cell r="P16">
            <v>2014</v>
          </cell>
          <cell r="Q16" t="str">
            <v>Hà Nội, ngày 11 tháng 12 năm 2014</v>
          </cell>
          <cell r="R16" t="str">
            <v>9h30 ngày 11 tháng 12 năm 2014</v>
          </cell>
          <cell r="S16" t="str">
            <v>11h30 ngày 11 tháng 12 năm 2014</v>
          </cell>
          <cell r="T16" t="str">
            <v>9h30</v>
          </cell>
          <cell r="U16" t="str">
            <v>9h30 Ngày 11/12/2014</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Cán bộ TVGS</v>
          </cell>
          <cell r="AH16" t="str">
            <v>Nguyễn Ái Việt</v>
          </cell>
          <cell r="AI16" t="str">
            <v>Chỉ huy trưởng</v>
          </cell>
          <cell r="AJ16" t="str">
            <v>Hoàng Chiến Thắng</v>
          </cell>
          <cell r="AK16" t="str">
            <v>P. Chỉ huy trưởng</v>
          </cell>
          <cell r="AL16" t="str">
            <v>Trần Ngọc Đại</v>
          </cell>
          <cell r="AM16" t="str">
            <v>Cán bộ kỹ thuật</v>
          </cell>
          <cell r="AN16" t="str">
            <v>KC-05; KC-07 ÷KC-10</v>
          </cell>
          <cell r="AR16" t="str">
            <v>Ngày 11 Tháng 12 Năm 2014</v>
          </cell>
        </row>
        <row r="17">
          <cell r="A17" t="str">
            <v>CT-07</v>
          </cell>
          <cell r="B17" t="str">
            <v>-GCLD cốt thép liên kết đầu cọc PĐ3 trục X1-X4/Y1-Y5</v>
          </cell>
          <cell r="C17" t="str">
            <v>CT-07</v>
          </cell>
          <cell r="D17" t="str">
            <v>8h15</v>
          </cell>
          <cell r="E17" t="str">
            <v>9h15</v>
          </cell>
          <cell r="F17">
            <v>4</v>
          </cell>
          <cell r="G17">
            <v>12</v>
          </cell>
          <cell r="H17">
            <v>2014</v>
          </cell>
          <cell r="I17" t="str">
            <v>Hà Nội, ngày 4 tháng 12 năm 2014</v>
          </cell>
          <cell r="J17" t="str">
            <v>8h15 ngày 4 tháng 12 năm 2014</v>
          </cell>
          <cell r="K17" t="str">
            <v>9h15 ngày 4 tháng 12 năm 2014</v>
          </cell>
          <cell r="L17" t="str">
            <v>9h15</v>
          </cell>
          <cell r="M17" t="str">
            <v>10h15</v>
          </cell>
          <cell r="N17">
            <v>4</v>
          </cell>
          <cell r="O17">
            <v>12</v>
          </cell>
          <cell r="P17">
            <v>2014</v>
          </cell>
          <cell r="Q17" t="str">
            <v>Hà Nội, ngày 4 tháng 12 năm 2014</v>
          </cell>
          <cell r="R17" t="str">
            <v>9h15 ngày 4 tháng 12 năm 2014</v>
          </cell>
          <cell r="S17" t="str">
            <v>10h15 ngày 4 tháng 12 năm 2014</v>
          </cell>
          <cell r="T17" t="str">
            <v>9h15</v>
          </cell>
          <cell r="U17" t="str">
            <v>9h15 Ngày 4/12/2014</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Cán bộ TVGS</v>
          </cell>
          <cell r="AH17" t="str">
            <v>Nguyễn Ái Việt</v>
          </cell>
          <cell r="AI17" t="str">
            <v>Chỉ huy trưởng</v>
          </cell>
          <cell r="AJ17" t="str">
            <v>Hoàng Chiến Thắng</v>
          </cell>
          <cell r="AK17" t="str">
            <v>P. Chỉ huy trưởng</v>
          </cell>
          <cell r="AL17" t="str">
            <v>Trần Ngọc Đại</v>
          </cell>
          <cell r="AM17" t="str">
            <v>Cán bộ kỹ thuật</v>
          </cell>
          <cell r="AN17" t="str">
            <v>KC-03÷KC-05</v>
          </cell>
          <cell r="AR17" t="str">
            <v>Ngày 4 Tháng 12 Năm 2014</v>
          </cell>
        </row>
        <row r="18">
          <cell r="A18" t="str">
            <v>CT-08</v>
          </cell>
          <cell r="B18" t="str">
            <v>-GCLD cốt thép đài, giằng móng PĐ3 trục X1-X4/Y1-Y5</v>
          </cell>
          <cell r="C18" t="str">
            <v>CT-08</v>
          </cell>
          <cell r="D18" t="str">
            <v>7h30</v>
          </cell>
          <cell r="E18" t="str">
            <v>9h30</v>
          </cell>
          <cell r="F18">
            <v>15</v>
          </cell>
          <cell r="G18">
            <v>12</v>
          </cell>
          <cell r="H18">
            <v>2014</v>
          </cell>
          <cell r="I18" t="str">
            <v>Hà Nội, ngày 15 tháng 12 năm 2014</v>
          </cell>
          <cell r="J18" t="str">
            <v>7h30 ngày 15 tháng 12 năm 2014</v>
          </cell>
          <cell r="K18" t="str">
            <v>9h30 ngày 15 tháng 12 năm 2014</v>
          </cell>
          <cell r="L18" t="str">
            <v>9h30</v>
          </cell>
          <cell r="M18" t="str">
            <v>11h30</v>
          </cell>
          <cell r="N18">
            <v>15</v>
          </cell>
          <cell r="O18">
            <v>12</v>
          </cell>
          <cell r="P18">
            <v>2014</v>
          </cell>
          <cell r="Q18" t="str">
            <v>Hà Nội, ngày 15 tháng 12 năm 2014</v>
          </cell>
          <cell r="R18" t="str">
            <v>9h30 ngày 15 tháng 12 năm 2014</v>
          </cell>
          <cell r="S18" t="str">
            <v>11h30 ngày 15 tháng 12 năm 2014</v>
          </cell>
          <cell r="T18" t="str">
            <v>9h30</v>
          </cell>
          <cell r="U18" t="str">
            <v>9h30 Ngày 15/12/2014</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Cán bộ TVGS</v>
          </cell>
          <cell r="AH18" t="str">
            <v>Nguyễn Ái Việt</v>
          </cell>
          <cell r="AI18" t="str">
            <v>Chỉ huy trưởng</v>
          </cell>
          <cell r="AJ18" t="str">
            <v>Hoàng Chiến Thắng</v>
          </cell>
          <cell r="AK18" t="str">
            <v>P. Chỉ huy trưởng</v>
          </cell>
          <cell r="AL18" t="str">
            <v>Trần Ngọc Đại</v>
          </cell>
          <cell r="AM18" t="str">
            <v>Cán bộ kỹ thuật</v>
          </cell>
          <cell r="AN18" t="str">
            <v>KC-05; KC-07 ÷KC-10</v>
          </cell>
          <cell r="AR18" t="str">
            <v>Ngày 15 Tháng 12 Năm 2014</v>
          </cell>
        </row>
        <row r="19">
          <cell r="A19" t="str">
            <v>CT-09</v>
          </cell>
          <cell r="B19" t="str">
            <v>-GCLD cốt thép nắp bể nước sạch.</v>
          </cell>
          <cell r="C19" t="str">
            <v>CT-09</v>
          </cell>
          <cell r="D19" t="str">
            <v>8h00</v>
          </cell>
          <cell r="E19" t="str">
            <v>8h45</v>
          </cell>
          <cell r="F19">
            <v>19</v>
          </cell>
          <cell r="G19">
            <v>12</v>
          </cell>
          <cell r="H19">
            <v>2014</v>
          </cell>
          <cell r="I19" t="str">
            <v>Hà Nội, ngày 19 tháng 12 năm 2014</v>
          </cell>
          <cell r="J19" t="str">
            <v>8h00 ngày 19 tháng 12 năm 2014</v>
          </cell>
          <cell r="K19" t="str">
            <v>8h45 ngày 19 tháng 12 năm 2014</v>
          </cell>
          <cell r="L19" t="str">
            <v>8h45</v>
          </cell>
          <cell r="M19" t="str">
            <v>9h30</v>
          </cell>
          <cell r="N19">
            <v>19</v>
          </cell>
          <cell r="O19">
            <v>12</v>
          </cell>
          <cell r="P19">
            <v>2014</v>
          </cell>
          <cell r="Q19" t="str">
            <v>Hà Nội, ngày 19 tháng 12 năm 2014</v>
          </cell>
          <cell r="R19" t="str">
            <v>8h45 ngày 19 tháng 12 năm 2014</v>
          </cell>
          <cell r="S19" t="str">
            <v>9h30 ngày 19 tháng 12 năm 2014</v>
          </cell>
          <cell r="T19" t="str">
            <v>8h45</v>
          </cell>
          <cell r="U19" t="str">
            <v>8h45 Ngày 19/12/2014</v>
          </cell>
          <cell r="V19" t="str">
            <v>Nguyễn Ái Việt</v>
          </cell>
          <cell r="W19" t="str">
            <v>P. 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Cán bộ TVGS</v>
          </cell>
          <cell r="AH19" t="str">
            <v>Nguyễn Ái Việt</v>
          </cell>
          <cell r="AI19" t="str">
            <v>Chỉ huy trưởng</v>
          </cell>
          <cell r="AJ19" t="str">
            <v>Hoàng Chiến Thắng</v>
          </cell>
          <cell r="AK19" t="str">
            <v>P. Chỉ huy trưởng</v>
          </cell>
          <cell r="AL19" t="str">
            <v>Trần Ngọc Đại</v>
          </cell>
          <cell r="AM19" t="str">
            <v>Cán bộ kỹ thuật</v>
          </cell>
          <cell r="AN19" t="str">
            <v>KC-69; KC-70</v>
          </cell>
          <cell r="AR19" t="str">
            <v>Ngày 19 Tháng 12 Năm 2014</v>
          </cell>
        </row>
        <row r="20">
          <cell r="A20" t="str">
            <v>CT-10</v>
          </cell>
          <cell r="B20" t="str">
            <v>-GCLD cốt thép cổ cột, vách và dầm, giằng tường trục X1-X4/Y1-Y5</v>
          </cell>
          <cell r="C20" t="str">
            <v>CT-10</v>
          </cell>
          <cell r="D20" t="str">
            <v>8h00</v>
          </cell>
          <cell r="E20" t="str">
            <v>9h30</v>
          </cell>
          <cell r="F20">
            <v>20</v>
          </cell>
          <cell r="G20">
            <v>12</v>
          </cell>
          <cell r="H20">
            <v>2014</v>
          </cell>
          <cell r="I20" t="str">
            <v>Hà Nội, ngày 20 tháng 12 năm 2014</v>
          </cell>
          <cell r="J20" t="str">
            <v>8h00 ngày 20 tháng 12 năm 2014</v>
          </cell>
          <cell r="K20" t="str">
            <v>9h30 ngày 20 tháng 12 năm 2014</v>
          </cell>
          <cell r="L20" t="str">
            <v>9h30</v>
          </cell>
          <cell r="M20" t="str">
            <v>11h00</v>
          </cell>
          <cell r="N20">
            <v>20</v>
          </cell>
          <cell r="O20">
            <v>12</v>
          </cell>
          <cell r="P20">
            <v>2014</v>
          </cell>
          <cell r="Q20" t="str">
            <v>Hà Nội, ngày 20 tháng 12 năm 2014</v>
          </cell>
          <cell r="R20" t="str">
            <v>9h30 ngày 20 tháng 12 năm 2014</v>
          </cell>
          <cell r="S20" t="str">
            <v>11h00 ngày 20 tháng 12 năm 2014</v>
          </cell>
          <cell r="T20" t="str">
            <v>9h30</v>
          </cell>
          <cell r="U20" t="str">
            <v>9h30 Ngày 20/12/2014</v>
          </cell>
          <cell r="V20" t="str">
            <v>Nguyễn Ái Việt</v>
          </cell>
          <cell r="W20" t="str">
            <v>P. 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Cán bộ TVGS</v>
          </cell>
          <cell r="AH20" t="str">
            <v>Nguyễn Ái Việt</v>
          </cell>
          <cell r="AI20" t="str">
            <v>Chỉ huy trưởng</v>
          </cell>
          <cell r="AJ20" t="str">
            <v>Hoàng Chiến Thắng</v>
          </cell>
          <cell r="AK20" t="str">
            <v>P. Chỉ huy trưởng</v>
          </cell>
          <cell r="AL20" t="str">
            <v>Trần Ngọc Đại</v>
          </cell>
          <cell r="AM20" t="str">
            <v>Cán bộ kỹ thuật</v>
          </cell>
          <cell r="AN20" t="str">
            <v>KC-18; KC-21÷KC-26</v>
          </cell>
          <cell r="AR20" t="str">
            <v>Ngày 20 Tháng 12 Năm 2014</v>
          </cell>
        </row>
        <row r="21">
          <cell r="A21" t="str">
            <v>CT-11</v>
          </cell>
          <cell r="B21" t="str">
            <v>-GCLD cốt thép cổ cột, vách và dầm, giằng tường trục X1-X8/Y5-Y8</v>
          </cell>
          <cell r="C21" t="str">
            <v>CT-11</v>
          </cell>
          <cell r="D21" t="str">
            <v>8h00</v>
          </cell>
          <cell r="E21" t="str">
            <v>9h30</v>
          </cell>
          <cell r="F21">
            <v>23</v>
          </cell>
          <cell r="G21">
            <v>12</v>
          </cell>
          <cell r="H21">
            <v>2014</v>
          </cell>
          <cell r="I21" t="str">
            <v>Hà Nội, ngày 23 tháng 12 năm 2014</v>
          </cell>
          <cell r="J21" t="str">
            <v>8h00 ngày 23 tháng 12 năm 2014</v>
          </cell>
          <cell r="K21" t="str">
            <v>9h30 ngày 23 tháng 12 năm 2014</v>
          </cell>
          <cell r="L21" t="str">
            <v>9h30</v>
          </cell>
          <cell r="M21" t="str">
            <v>11h00</v>
          </cell>
          <cell r="N21">
            <v>23</v>
          </cell>
          <cell r="O21">
            <v>12</v>
          </cell>
          <cell r="P21">
            <v>2014</v>
          </cell>
          <cell r="Q21" t="str">
            <v>Hà Nội, ngày 23 tháng 12 năm 2014</v>
          </cell>
          <cell r="R21" t="str">
            <v>9h30 ngày 23 tháng 12 năm 2014</v>
          </cell>
          <cell r="S21" t="str">
            <v>11h00 ngày 23 tháng 12 năm 2014</v>
          </cell>
          <cell r="T21" t="str">
            <v>9h30</v>
          </cell>
          <cell r="U21" t="str">
            <v>9h30 Ngày 23/12/2014</v>
          </cell>
          <cell r="V21" t="str">
            <v>Nguyễn Ái Việt</v>
          </cell>
          <cell r="W21" t="str">
            <v>P. 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Cán bộ TVGS</v>
          </cell>
          <cell r="AH21" t="str">
            <v>Nguyễn Ái Việt</v>
          </cell>
          <cell r="AI21" t="str">
            <v>Chỉ huy trưởng</v>
          </cell>
          <cell r="AJ21" t="str">
            <v>Hoàng Chiến Thắng</v>
          </cell>
          <cell r="AK21" t="str">
            <v>P. Chỉ huy trưởng</v>
          </cell>
          <cell r="AL21" t="str">
            <v>Trần Ngọc Đại</v>
          </cell>
          <cell r="AM21" t="str">
            <v>Cán bộ kỹ thuật</v>
          </cell>
          <cell r="AN21" t="str">
            <v>KC-18; KC-21÷KC-26</v>
          </cell>
          <cell r="AR21" t="str">
            <v>Ngày 23 Tháng 12 Năm 2014</v>
          </cell>
        </row>
        <row r="22">
          <cell r="A22" t="str">
            <v>CT-12</v>
          </cell>
          <cell r="B22" t="str">
            <v>GCLD cốt thép đáy bể tự hoại 04 và bể tách dầu mỡ 04 (đáy+tường)</v>
          </cell>
          <cell r="C22" t="str">
            <v>CT-12</v>
          </cell>
          <cell r="D22" t="str">
            <v>8h30</v>
          </cell>
          <cell r="E22" t="str">
            <v>9h00</v>
          </cell>
          <cell r="F22">
            <v>31</v>
          </cell>
          <cell r="G22">
            <v>12</v>
          </cell>
          <cell r="H22">
            <v>2014</v>
          </cell>
          <cell r="I22" t="str">
            <v>Hà Nội, ngày 31 tháng 12 năm 2014</v>
          </cell>
          <cell r="J22" t="str">
            <v>8h30 ngày 31 tháng 12 năm 2014</v>
          </cell>
          <cell r="K22" t="str">
            <v>9h00 ngày 31 tháng 12 năm 2014</v>
          </cell>
          <cell r="L22" t="str">
            <v>8h30</v>
          </cell>
          <cell r="M22" t="str">
            <v>9h00</v>
          </cell>
          <cell r="N22">
            <v>31</v>
          </cell>
          <cell r="O22">
            <v>12</v>
          </cell>
          <cell r="P22">
            <v>2014</v>
          </cell>
          <cell r="Q22" t="str">
            <v>Hà Nội, ngày 31 tháng 12 năm 2014</v>
          </cell>
          <cell r="R22" t="str">
            <v>8h30 ngày 31 tháng 12 năm 2014</v>
          </cell>
          <cell r="S22" t="str">
            <v>9h00 ngày 31 tháng 12 năm 2014</v>
          </cell>
          <cell r="T22" t="str">
            <v>8h30</v>
          </cell>
          <cell r="U22" t="str">
            <v>8h30 Ngày 31/12/2014</v>
          </cell>
          <cell r="V22" t="str">
            <v>Nguyễn Ái Việt</v>
          </cell>
          <cell r="W22" t="str">
            <v>P. 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Cán bộ TVGS</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 xml:space="preserve"> KC-71÷KC-73</v>
          </cell>
          <cell r="AR22" t="str">
            <v>Ngày 31 Tháng 12 Năm 2014</v>
          </cell>
        </row>
        <row r="23">
          <cell r="A23" t="str">
            <v>CT-13</v>
          </cell>
          <cell r="B23" t="str">
            <v>GCLD tấm đan nắp bể tách dầu mỡ 03 và 04</v>
          </cell>
          <cell r="C23" t="str">
            <v>CT-13</v>
          </cell>
          <cell r="D23" t="str">
            <v>9h00</v>
          </cell>
          <cell r="E23" t="str">
            <v>9h15</v>
          </cell>
          <cell r="F23">
            <v>5</v>
          </cell>
          <cell r="G23">
            <v>1</v>
          </cell>
          <cell r="H23">
            <v>2015</v>
          </cell>
          <cell r="I23" t="str">
            <v>Hà Nội, ngày 5 tháng 1 năm 2015</v>
          </cell>
          <cell r="J23" t="str">
            <v>9h00 ngày 5 tháng 1 năm 2015</v>
          </cell>
          <cell r="K23" t="str">
            <v>9h15 ngày 5 tháng 1 năm 2015</v>
          </cell>
          <cell r="L23" t="str">
            <v>9h15</v>
          </cell>
          <cell r="M23" t="str">
            <v>9h30</v>
          </cell>
          <cell r="N23">
            <v>5</v>
          </cell>
          <cell r="O23">
            <v>1</v>
          </cell>
          <cell r="P23">
            <v>2015</v>
          </cell>
          <cell r="Q23" t="str">
            <v>Hà Nội, ngày 5 tháng 1 năm 2015</v>
          </cell>
          <cell r="R23" t="str">
            <v>9h15 ngày 5 tháng 1 năm 2015</v>
          </cell>
          <cell r="S23" t="str">
            <v>9h30 ngày 5 tháng 1 năm 2015</v>
          </cell>
          <cell r="T23" t="str">
            <v>9h15</v>
          </cell>
          <cell r="U23" t="str">
            <v>9h15 Ngày 5/1/2015</v>
          </cell>
          <cell r="V23" t="str">
            <v>Nguyễn Ái Việt</v>
          </cell>
          <cell r="W23" t="str">
            <v>P. 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Cán bộ TVGS</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 xml:space="preserve"> KC-71÷KC-73</v>
          </cell>
          <cell r="AR23" t="str">
            <v>Ngày 5 Tháng 1 Năm 2015</v>
          </cell>
        </row>
        <row r="24">
          <cell r="A24" t="str">
            <v>CT-14</v>
          </cell>
          <cell r="B24" t="str">
            <v>GCLD cốt thép tường bể tự hoại 04, đáy bể tự hoại 03, bể tách dầu mỡ 03 (đáy+tường)
 từ ngày 3/1/12015 đến ngày 5/1/2015</v>
          </cell>
          <cell r="C24" t="str">
            <v>CT-14</v>
          </cell>
          <cell r="D24" t="str">
            <v>9h00</v>
          </cell>
          <cell r="E24" t="str">
            <v>9h45</v>
          </cell>
          <cell r="F24">
            <v>5</v>
          </cell>
          <cell r="G24">
            <v>1</v>
          </cell>
          <cell r="H24">
            <v>2015</v>
          </cell>
          <cell r="I24" t="str">
            <v>Hà Nội, ngày 5 tháng 1 năm 2015</v>
          </cell>
          <cell r="J24" t="str">
            <v>9h00 ngày 5 tháng 1 năm 2015</v>
          </cell>
          <cell r="K24" t="str">
            <v>9h45 ngày 5 tháng 1 năm 2015</v>
          </cell>
          <cell r="L24" t="str">
            <v>9h45</v>
          </cell>
          <cell r="M24" t="str">
            <v>10h30'</v>
          </cell>
          <cell r="N24">
            <v>5</v>
          </cell>
          <cell r="O24">
            <v>1</v>
          </cell>
          <cell r="P24">
            <v>2015</v>
          </cell>
          <cell r="Q24" t="str">
            <v>Hà Nội, ngày 5 tháng 1 năm 2015</v>
          </cell>
          <cell r="R24" t="str">
            <v>9h45 ngày 5 tháng 1 năm 2015</v>
          </cell>
          <cell r="S24" t="str">
            <v>10h30' ngày 5 tháng 1 năm 2015</v>
          </cell>
          <cell r="T24" t="str">
            <v>9h45</v>
          </cell>
          <cell r="U24" t="str">
            <v>9h45 Ngày 5/1/2015</v>
          </cell>
          <cell r="V24" t="str">
            <v>Nguyễn Ái Việt</v>
          </cell>
          <cell r="W24" t="str">
            <v>P. 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Cán bộ TVGS</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 xml:space="preserve"> KC-71÷KC-73</v>
          </cell>
          <cell r="AR24" t="str">
            <v>Ngày 5 Tháng 1 Năm 2015</v>
          </cell>
        </row>
        <row r="25">
          <cell r="A25" t="str">
            <v>CT-15</v>
          </cell>
          <cell r="B25" t="str">
            <v>GCLD cốt thép nắp bể tự hoại 04, bể tự hoại 03 (tường+nắp), đáy bể tự hoại 01
 từ ngày 7/1/2015 đến ngày 8/1/2015</v>
          </cell>
          <cell r="C25" t="str">
            <v>CT-15</v>
          </cell>
          <cell r="D25" t="str">
            <v>7h30</v>
          </cell>
          <cell r="E25" t="str">
            <v>8h15</v>
          </cell>
          <cell r="F25">
            <v>8</v>
          </cell>
          <cell r="G25">
            <v>1</v>
          </cell>
          <cell r="H25">
            <v>2015</v>
          </cell>
          <cell r="I25" t="str">
            <v>Hà Nội, ngày 8 tháng 1 năm 2015</v>
          </cell>
          <cell r="J25" t="str">
            <v>7h30 ngày 8 tháng 1 năm 2015</v>
          </cell>
          <cell r="K25" t="str">
            <v>8h15 ngày 8 tháng 1 năm 2015</v>
          </cell>
          <cell r="L25" t="str">
            <v>8h15</v>
          </cell>
          <cell r="M25" t="str">
            <v>8h30</v>
          </cell>
          <cell r="N25">
            <v>8</v>
          </cell>
          <cell r="O25">
            <v>1</v>
          </cell>
          <cell r="P25">
            <v>2015</v>
          </cell>
          <cell r="Q25" t="str">
            <v>Hà Nội, ngày 8 tháng 1 năm 2015</v>
          </cell>
          <cell r="R25" t="str">
            <v>8h15 ngày 8 tháng 1 năm 2015</v>
          </cell>
          <cell r="S25" t="str">
            <v>8h30 ngày 8 tháng 1 năm 2015</v>
          </cell>
          <cell r="T25" t="str">
            <v>8h15</v>
          </cell>
          <cell r="U25" t="str">
            <v>8h15 Ngày 8/1/2015</v>
          </cell>
          <cell r="V25" t="str">
            <v>Nguyễn Ái Việt</v>
          </cell>
          <cell r="W25" t="str">
            <v>P. 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Cán bộ TVGS</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 xml:space="preserve"> KC-71÷KC-73</v>
          </cell>
          <cell r="AR25" t="str">
            <v>Ngày 8 Tháng 1 Năm 2015</v>
          </cell>
        </row>
        <row r="26">
          <cell r="A26" t="str">
            <v>CT-16</v>
          </cell>
          <cell r="B26" t="str">
            <v>GCLD cốt thép bể tách dầu mỡ 01 và 02 (đáy+tường), đáy bể tự hoại 02</v>
          </cell>
          <cell r="C26" t="str">
            <v>CT-16</v>
          </cell>
          <cell r="D26" t="str">
            <v>9h00</v>
          </cell>
          <cell r="E26" t="str">
            <v>9h30</v>
          </cell>
          <cell r="F26">
            <v>8</v>
          </cell>
          <cell r="G26">
            <v>1</v>
          </cell>
          <cell r="H26">
            <v>2015</v>
          </cell>
          <cell r="I26" t="str">
            <v>Hà Nội, ngày 8 tháng 1 năm 2015</v>
          </cell>
          <cell r="J26" t="str">
            <v>9h00 ngày 8 tháng 1 năm 2015</v>
          </cell>
          <cell r="K26" t="str">
            <v>9h30 ngày 8 tháng 1 năm 2015</v>
          </cell>
          <cell r="L26" t="str">
            <v>9h30</v>
          </cell>
          <cell r="M26" t="str">
            <v>10h00</v>
          </cell>
          <cell r="N26">
            <v>8</v>
          </cell>
          <cell r="O26">
            <v>1</v>
          </cell>
          <cell r="P26">
            <v>2015</v>
          </cell>
          <cell r="Q26" t="str">
            <v>Hà Nội, ngày 8 tháng 1 năm 2015</v>
          </cell>
          <cell r="R26" t="str">
            <v>9h30 ngày 8 tháng 1 năm 2015</v>
          </cell>
          <cell r="S26" t="str">
            <v>10h00 ngày 8 tháng 1 năm 2015</v>
          </cell>
          <cell r="T26" t="str">
            <v>9h30</v>
          </cell>
          <cell r="U26" t="str">
            <v>9h30 Ngày 8/1/2015</v>
          </cell>
          <cell r="V26" t="str">
            <v>Nguyễn Ái Việt</v>
          </cell>
          <cell r="W26" t="str">
            <v>P. 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Cán bộ TVGS</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 xml:space="preserve"> KC-71÷KC-73</v>
          </cell>
          <cell r="AR26" t="str">
            <v>Ngày 8 Tháng 1 Năm 2015</v>
          </cell>
        </row>
        <row r="27">
          <cell r="A27" t="str">
            <v>CT-17</v>
          </cell>
          <cell r="B27" t="str">
            <v>GCLD tấm đan nắp bể tách dầu mỡ 01 và 02</v>
          </cell>
          <cell r="C27" t="str">
            <v>CT-17</v>
          </cell>
          <cell r="D27" t="str">
            <v>9h00</v>
          </cell>
          <cell r="E27" t="str">
            <v>9h15</v>
          </cell>
          <cell r="F27">
            <v>8</v>
          </cell>
          <cell r="G27">
            <v>1</v>
          </cell>
          <cell r="H27">
            <v>2015</v>
          </cell>
          <cell r="I27" t="str">
            <v>Hà Nội, ngày 8 tháng 1 năm 2015</v>
          </cell>
          <cell r="J27" t="str">
            <v>9h00 ngày 8 tháng 1 năm 2015</v>
          </cell>
          <cell r="K27" t="str">
            <v>9h15 ngày 8 tháng 1 năm 2015</v>
          </cell>
          <cell r="L27" t="str">
            <v>9h15</v>
          </cell>
          <cell r="M27" t="str">
            <v>9h30</v>
          </cell>
          <cell r="N27">
            <v>8</v>
          </cell>
          <cell r="O27">
            <v>1</v>
          </cell>
          <cell r="P27">
            <v>2015</v>
          </cell>
          <cell r="Q27" t="str">
            <v>Hà Nội, ngày 8 tháng 1 năm 2015</v>
          </cell>
          <cell r="R27" t="str">
            <v>9h15 ngày 8 tháng 1 năm 2015</v>
          </cell>
          <cell r="S27" t="str">
            <v>9h30 ngày 8 tháng 1 năm 2015</v>
          </cell>
          <cell r="T27" t="str">
            <v>9h15</v>
          </cell>
          <cell r="U27" t="str">
            <v>9h15 Ngày 8/1/2015</v>
          </cell>
          <cell r="V27" t="str">
            <v>Nguyễn Ái Việt</v>
          </cell>
          <cell r="W27" t="str">
            <v>P. 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Cán bộ TVGS</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 xml:space="preserve"> KC-71÷KC-73</v>
          </cell>
          <cell r="AR27" t="str">
            <v>Ngày 8 Tháng 1 Năm 2015</v>
          </cell>
        </row>
        <row r="28">
          <cell r="A28" t="str">
            <v>CT-18</v>
          </cell>
          <cell r="B28" t="str">
            <v>GCLD cốt thép bể tự hoại số 01 và 02 (đáy+tường)</v>
          </cell>
          <cell r="C28" t="str">
            <v>CT-18</v>
          </cell>
          <cell r="D28" t="str">
            <v>10h00</v>
          </cell>
          <cell r="E28" t="str">
            <v>10h45</v>
          </cell>
          <cell r="F28">
            <v>10</v>
          </cell>
          <cell r="G28">
            <v>1</v>
          </cell>
          <cell r="H28">
            <v>2015</v>
          </cell>
          <cell r="I28" t="str">
            <v>Hà Nội, ngày 10 tháng 1 năm 2015</v>
          </cell>
          <cell r="J28" t="str">
            <v>10h00 ngày 10 tháng 1 năm 2015</v>
          </cell>
          <cell r="K28" t="str">
            <v>10h45 ngày 10 tháng 1 năm 2015</v>
          </cell>
          <cell r="L28" t="str">
            <v>10h45</v>
          </cell>
          <cell r="M28" t="str">
            <v>11h30</v>
          </cell>
          <cell r="N28">
            <v>10</v>
          </cell>
          <cell r="O28">
            <v>1</v>
          </cell>
          <cell r="P28">
            <v>2015</v>
          </cell>
          <cell r="Q28" t="str">
            <v>Hà Nội, ngày 10 tháng 1 năm 2015</v>
          </cell>
          <cell r="R28" t="str">
            <v>10h45 ngày 10 tháng 1 năm 2015</v>
          </cell>
          <cell r="S28" t="str">
            <v>11h30 ngày 10 tháng 1 năm 2015</v>
          </cell>
          <cell r="T28" t="str">
            <v>10h45</v>
          </cell>
          <cell r="U28" t="str">
            <v>10h45 Ngày 10/1/2015</v>
          </cell>
          <cell r="V28" t="str">
            <v>Nguyễn Ái Việt</v>
          </cell>
          <cell r="W28" t="str">
            <v>P. 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Cán bộ TVGS</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 xml:space="preserve"> KC-71÷KC-73</v>
          </cell>
          <cell r="AR28" t="str">
            <v>Ngày 10 Tháng 1 Năm 2015</v>
          </cell>
        </row>
        <row r="29">
          <cell r="A29" t="str">
            <v>CT-19</v>
          </cell>
          <cell r="B29" t="str">
            <v>GCLD cốt thép cột, vách tầng 1 trục X5-X8/Y5'-Y8</v>
          </cell>
          <cell r="C29" t="str">
            <v>CT-19</v>
          </cell>
          <cell r="D29" t="str">
            <v>10h00</v>
          </cell>
          <cell r="E29" t="str">
            <v>10h00</v>
          </cell>
          <cell r="F29">
            <v>9</v>
          </cell>
          <cell r="G29">
            <v>1</v>
          </cell>
          <cell r="H29">
            <v>2015</v>
          </cell>
          <cell r="I29" t="str">
            <v>Hà Nội, ngày 9 tháng 1 năm 2015</v>
          </cell>
          <cell r="J29" t="str">
            <v>10h00 ngày 9 tháng 1 năm 2015</v>
          </cell>
          <cell r="K29" t="str">
            <v>10h00 ngày 13 tháng 1 năm 2015</v>
          </cell>
          <cell r="L29" t="str">
            <v>10h30</v>
          </cell>
          <cell r="M29" t="str">
            <v>10h30</v>
          </cell>
          <cell r="N29">
            <v>13</v>
          </cell>
          <cell r="O29">
            <v>1</v>
          </cell>
          <cell r="P29">
            <v>2015</v>
          </cell>
          <cell r="Q29" t="str">
            <v>Hà Nội, ngày 13 tháng 1 năm 2015</v>
          </cell>
          <cell r="R29" t="str">
            <v>10h30 ngày 9 tháng 1 năm 2015</v>
          </cell>
          <cell r="S29" t="str">
            <v>10h30 ngày 13 tháng 1 năm 2015</v>
          </cell>
          <cell r="T29" t="str">
            <v>10h00</v>
          </cell>
          <cell r="U29" t="str">
            <v>10h00 Ngày 13/1/2015</v>
          </cell>
          <cell r="V29" t="str">
            <v>Nguyễn Ái Việt</v>
          </cell>
          <cell r="W29" t="str">
            <v>P. 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Cán bộ TVGS</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KC-18;KC-21÷KC-26</v>
          </cell>
          <cell r="AR29" t="str">
            <v>Ngày 13 Tháng 1 Năm 2015</v>
          </cell>
        </row>
        <row r="30">
          <cell r="A30" t="str">
            <v>CT-20</v>
          </cell>
          <cell r="B30" t="str">
            <v>GCLD cốt thép cột, vách tầng 1 trục X1-X4/Y1-Y4</v>
          </cell>
          <cell r="C30" t="str">
            <v>CT-20</v>
          </cell>
          <cell r="D30" t="str">
            <v>9h00</v>
          </cell>
          <cell r="E30" t="str">
            <v>9h00</v>
          </cell>
          <cell r="F30">
            <v>13</v>
          </cell>
          <cell r="G30">
            <v>1</v>
          </cell>
          <cell r="H30">
            <v>2015</v>
          </cell>
          <cell r="I30" t="str">
            <v>Hà Nội, ngày 13 tháng 1 năm 2015</v>
          </cell>
          <cell r="J30" t="str">
            <v>9h00 ngày 13 tháng 1 năm 2015</v>
          </cell>
          <cell r="K30" t="str">
            <v>9h00 ngày 17 tháng 1 năm 2015</v>
          </cell>
          <cell r="L30" t="str">
            <v>9h30</v>
          </cell>
          <cell r="M30" t="str">
            <v>9h30</v>
          </cell>
          <cell r="N30">
            <v>17</v>
          </cell>
          <cell r="O30">
            <v>1</v>
          </cell>
          <cell r="P30">
            <v>2015</v>
          </cell>
          <cell r="Q30" t="str">
            <v>Hà Nội, ngày 17 tháng 1 năm 2015</v>
          </cell>
          <cell r="R30" t="str">
            <v>9h30 ngày 13 tháng 1 năm 2015</v>
          </cell>
          <cell r="S30" t="str">
            <v>9h30 ngày 17 tháng 1 năm 2015</v>
          </cell>
          <cell r="T30" t="str">
            <v>9h00</v>
          </cell>
          <cell r="U30" t="str">
            <v>9h00 Ngày 17/1/2015</v>
          </cell>
          <cell r="V30" t="str">
            <v>Nguyễn Ái Việt</v>
          </cell>
          <cell r="W30" t="str">
            <v>P. 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Cán bộ TVGS</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KC-18;KC-21÷KC-26</v>
          </cell>
          <cell r="AR30" t="str">
            <v>Ngày 17 Tháng 1 Năm 2015</v>
          </cell>
        </row>
        <row r="31">
          <cell r="A31" t="str">
            <v>CT-21</v>
          </cell>
          <cell r="B31" t="str">
            <v>GCLD cốt thép cột, vách tầng 1 trục X1-X4'/Y5-Y8</v>
          </cell>
          <cell r="C31" t="str">
            <v>CT-21</v>
          </cell>
          <cell r="D31" t="str">
            <v>9h30</v>
          </cell>
          <cell r="E31" t="str">
            <v>9h30</v>
          </cell>
          <cell r="F31">
            <v>17</v>
          </cell>
          <cell r="G31">
            <v>1</v>
          </cell>
          <cell r="H31">
            <v>2015</v>
          </cell>
          <cell r="I31" t="str">
            <v>Hà Nội, ngày 17 tháng 1 năm 2015</v>
          </cell>
          <cell r="J31" t="str">
            <v>9h30 ngày 17 tháng 1 năm 2015</v>
          </cell>
          <cell r="K31" t="str">
            <v>9h30 ngày 21 tháng 1 năm 2015</v>
          </cell>
          <cell r="L31" t="str">
            <v>10h00</v>
          </cell>
          <cell r="M31" t="str">
            <v>10h00</v>
          </cell>
          <cell r="N31">
            <v>21</v>
          </cell>
          <cell r="O31">
            <v>1</v>
          </cell>
          <cell r="P31">
            <v>2015</v>
          </cell>
          <cell r="Q31" t="str">
            <v>Hà Nội, ngày 21 tháng 1 năm 2015</v>
          </cell>
          <cell r="R31" t="str">
            <v>10h00 ngày 17 tháng 1 năm 2015</v>
          </cell>
          <cell r="S31" t="str">
            <v>10h00 ngày 21 tháng 1 năm 2015</v>
          </cell>
          <cell r="T31" t="str">
            <v>9h30</v>
          </cell>
          <cell r="U31" t="str">
            <v>9h30 Ngày 21/1/2015</v>
          </cell>
          <cell r="V31" t="str">
            <v>Nguyễn Ái Việt</v>
          </cell>
          <cell r="W31" t="str">
            <v>P. 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Cán bộ TVGS</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KC-18;KC-21÷KC-26</v>
          </cell>
          <cell r="AR31" t="str">
            <v>Ngày 21 Tháng 1 Năm 2015</v>
          </cell>
        </row>
        <row r="32">
          <cell r="A32" t="str">
            <v>CT-22</v>
          </cell>
          <cell r="B32" t="str">
            <v>GCLD cốt thép dầm, sàn, đường dốc tầng 2 (trục X5-X8/Y5'-Y8) và (trục X1-X5/Y5-Y8)</v>
          </cell>
          <cell r="C32" t="str">
            <v>CT-22</v>
          </cell>
          <cell r="D32" t="str">
            <v>13h15</v>
          </cell>
          <cell r="E32" t="str">
            <v>15h15</v>
          </cell>
          <cell r="F32">
            <v>30</v>
          </cell>
          <cell r="G32">
            <v>1</v>
          </cell>
          <cell r="H32">
            <v>2015</v>
          </cell>
          <cell r="I32" t="str">
            <v>Hà Nội, ngày 30 tháng 1 năm 2015</v>
          </cell>
          <cell r="J32" t="str">
            <v>13h15 ngày 30 tháng 1 năm 2015</v>
          </cell>
          <cell r="K32" t="str">
            <v>15h15 ngày 30 tháng 1 năm 2015</v>
          </cell>
          <cell r="L32" t="str">
            <v>15h15</v>
          </cell>
          <cell r="M32" t="str">
            <v>17h15</v>
          </cell>
          <cell r="N32">
            <v>30</v>
          </cell>
          <cell r="O32">
            <v>1</v>
          </cell>
          <cell r="P32">
            <v>2015</v>
          </cell>
          <cell r="Q32" t="str">
            <v>Hà Nội, ngày 30 tháng 1 năm 2015</v>
          </cell>
          <cell r="R32" t="str">
            <v>15h15 ngày 30 tháng 1 năm 2015</v>
          </cell>
          <cell r="S32" t="str">
            <v>17h15 ngày 30 tháng 1 năm 2015</v>
          </cell>
          <cell r="T32" t="str">
            <v>15h15</v>
          </cell>
          <cell r="U32" t="str">
            <v>15h15 Ngày 30/1/2015</v>
          </cell>
          <cell r="V32" t="str">
            <v>Nguyễn Ái Việt</v>
          </cell>
          <cell r="W32" t="str">
            <v>P. 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Cán bộ TVGS</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KC-29÷KC-32;KC-50÷KC-51;KC-61</v>
          </cell>
          <cell r="AR32" t="str">
            <v>Ngày 30 Tháng 1 Năm 2015</v>
          </cell>
        </row>
        <row r="33">
          <cell r="A33" t="str">
            <v>CT-23</v>
          </cell>
          <cell r="B33" t="str">
            <v>GCLD cốt thép dầm, sàn, đường dốc tầng 2 trục X1-X4/Y1-Y5</v>
          </cell>
          <cell r="C33" t="str">
            <v>CT-23</v>
          </cell>
          <cell r="D33" t="str">
            <v>14h00</v>
          </cell>
          <cell r="E33" t="str">
            <v>15h30</v>
          </cell>
          <cell r="F33">
            <v>1</v>
          </cell>
          <cell r="G33">
            <v>2</v>
          </cell>
          <cell r="H33">
            <v>2015</v>
          </cell>
          <cell r="I33" t="str">
            <v>Hà Nội, ngày 1 tháng 2 năm 2015</v>
          </cell>
          <cell r="J33" t="str">
            <v>14h00 ngày 1 tháng 2 năm 2015</v>
          </cell>
          <cell r="K33" t="str">
            <v>15h30 ngày 1 tháng 2 năm 2015</v>
          </cell>
          <cell r="L33" t="str">
            <v>15h30</v>
          </cell>
          <cell r="M33" t="str">
            <v>17h30</v>
          </cell>
          <cell r="N33">
            <v>1</v>
          </cell>
          <cell r="O33">
            <v>2</v>
          </cell>
          <cell r="P33">
            <v>2015</v>
          </cell>
          <cell r="Q33" t="str">
            <v>Hà Nội, ngày 1 tháng 2 năm 2015</v>
          </cell>
          <cell r="R33" t="str">
            <v>15h30 ngày 1 tháng 2 năm 2015</v>
          </cell>
          <cell r="S33" t="str">
            <v>17h30 ngày 1 tháng 2 năm 2015</v>
          </cell>
          <cell r="T33" t="str">
            <v>15h30</v>
          </cell>
          <cell r="U33" t="str">
            <v>15h30 Ngày 1/2/2015</v>
          </cell>
          <cell r="V33" t="str">
            <v>Nguyễn Ái Việt</v>
          </cell>
          <cell r="W33" t="str">
            <v>P. 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Cán bộ TVGS</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KC-29÷KC-32;KC-50÷KC-51;KC-61</v>
          </cell>
          <cell r="AR33" t="str">
            <v>Ngày 1 Tháng 2 Năm 2015</v>
          </cell>
        </row>
        <row r="34">
          <cell r="A34" t="str">
            <v>CT-24</v>
          </cell>
          <cell r="B34" t="str">
            <v>GCLD cốt thép cột, vách tầng 2 trục X5-X8/Y5'-Y8</v>
          </cell>
          <cell r="C34" t="str">
            <v>CT-24</v>
          </cell>
          <cell r="D34" t="str">
            <v>10h00</v>
          </cell>
          <cell r="E34" t="str">
            <v>14h30</v>
          </cell>
          <cell r="F34">
            <v>29</v>
          </cell>
          <cell r="G34">
            <v>1</v>
          </cell>
          <cell r="H34">
            <v>2015</v>
          </cell>
          <cell r="I34" t="str">
            <v>Hà Nội, ngày 29 tháng 1 năm 2015</v>
          </cell>
          <cell r="J34" t="str">
            <v>10h00 ngày 29 tháng 1 năm 2015</v>
          </cell>
          <cell r="K34" t="str">
            <v>14h30 ngày 31 tháng 1 năm 2015</v>
          </cell>
          <cell r="L34" t="str">
            <v>10h30</v>
          </cell>
          <cell r="M34" t="str">
            <v>15h00</v>
          </cell>
          <cell r="N34">
            <v>31</v>
          </cell>
          <cell r="O34">
            <v>1</v>
          </cell>
          <cell r="P34">
            <v>2015</v>
          </cell>
          <cell r="Q34" t="str">
            <v>Hà Nội, ngày 31 tháng 1 năm 2015</v>
          </cell>
          <cell r="R34" t="str">
            <v>10h30 ngày 29 tháng 1 năm 2015</v>
          </cell>
          <cell r="S34" t="str">
            <v>15h00 ngày 31 tháng 1 năm 2015</v>
          </cell>
          <cell r="T34" t="str">
            <v>14h30</v>
          </cell>
          <cell r="U34" t="str">
            <v>14h30 Ngày 31/1/2015</v>
          </cell>
          <cell r="V34" t="str">
            <v>Nguyễn Ái Việt</v>
          </cell>
          <cell r="W34" t="str">
            <v>P. 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Cán bộ TVGS</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KC-19;KC-21÷KC-26</v>
          </cell>
          <cell r="AR34" t="str">
            <v>Ngày 31 Tháng 1 Năm 2015</v>
          </cell>
        </row>
        <row r="35">
          <cell r="A35" t="str">
            <v>CT-25</v>
          </cell>
          <cell r="B35" t="str">
            <v>GCLD cốt thép cột, vách tầng 2 trục X1-X4'/Y5-Y8</v>
          </cell>
          <cell r="C35" t="str">
            <v>CT-25</v>
          </cell>
          <cell r="D35" t="str">
            <v>9h15</v>
          </cell>
          <cell r="E35" t="str">
            <v>15h30</v>
          </cell>
          <cell r="F35">
            <v>31</v>
          </cell>
          <cell r="G35">
            <v>1</v>
          </cell>
          <cell r="H35">
            <v>2015</v>
          </cell>
          <cell r="I35" t="str">
            <v>Hà Nội, ngày 31 tháng 1 năm 2015</v>
          </cell>
          <cell r="J35" t="str">
            <v>9h15 ngày 31 tháng 1 năm 2015</v>
          </cell>
          <cell r="K35" t="str">
            <v>15h30 ngày 1 tháng 2 năm 2015</v>
          </cell>
          <cell r="L35" t="str">
            <v>9h45</v>
          </cell>
          <cell r="M35" t="str">
            <v>16h00</v>
          </cell>
          <cell r="N35">
            <v>1</v>
          </cell>
          <cell r="O35">
            <v>2</v>
          </cell>
          <cell r="P35">
            <v>2015</v>
          </cell>
          <cell r="Q35" t="str">
            <v>Hà Nội, ngày 1 tháng 2 năm 2015</v>
          </cell>
          <cell r="R35" t="str">
            <v>9h45 ngày 31 tháng 1 năm 2015</v>
          </cell>
          <cell r="S35" t="str">
            <v>16h00 ngày 1 tháng 2 năm 2015</v>
          </cell>
          <cell r="T35" t="str">
            <v>15h30</v>
          </cell>
          <cell r="U35" t="str">
            <v>15h30 Ngày 1/2/2015</v>
          </cell>
          <cell r="V35" t="str">
            <v>Nguyễn Ái Việt</v>
          </cell>
          <cell r="W35" t="str">
            <v>P. 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Cán bộ TVGS</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KC-19;KC-21÷KC-26</v>
          </cell>
          <cell r="AR35" t="str">
            <v>Ngày 1 Tháng 2 Năm 2015</v>
          </cell>
        </row>
        <row r="36">
          <cell r="A36" t="str">
            <v>CT-26</v>
          </cell>
          <cell r="B36" t="str">
            <v>GCLD cốt thép cột, vách tầng 2 trục X1-X4/Y1-Y5</v>
          </cell>
          <cell r="C36" t="str">
            <v>CT-26</v>
          </cell>
          <cell r="D36" t="str">
            <v>10h00</v>
          </cell>
          <cell r="E36" t="str">
            <v>16h15</v>
          </cell>
          <cell r="F36">
            <v>1</v>
          </cell>
          <cell r="G36">
            <v>2</v>
          </cell>
          <cell r="H36">
            <v>2015</v>
          </cell>
          <cell r="I36" t="str">
            <v>Hà Nội, ngày 1 tháng 2 năm 2015</v>
          </cell>
          <cell r="J36" t="str">
            <v>10h00 ngày 1 tháng 2 năm 2015</v>
          </cell>
          <cell r="K36" t="str">
            <v>16h15 ngày 3 tháng 2 năm 2015</v>
          </cell>
          <cell r="L36" t="str">
            <v>10h30</v>
          </cell>
          <cell r="M36" t="str">
            <v>16h45</v>
          </cell>
          <cell r="N36">
            <v>3</v>
          </cell>
          <cell r="O36">
            <v>2</v>
          </cell>
          <cell r="P36">
            <v>2015</v>
          </cell>
          <cell r="Q36" t="str">
            <v>Hà Nội, ngày 3 tháng 2 năm 2015</v>
          </cell>
          <cell r="R36" t="str">
            <v>10h30 ngày 1 tháng 2 năm 2015</v>
          </cell>
          <cell r="S36" t="str">
            <v>16h45 ngày 3 tháng 2 năm 2015</v>
          </cell>
          <cell r="T36" t="str">
            <v>16h15</v>
          </cell>
          <cell r="U36" t="str">
            <v>16h15 Ngày 3/2/2015</v>
          </cell>
          <cell r="V36" t="str">
            <v>Nguyễn Ái Việt</v>
          </cell>
          <cell r="W36" t="str">
            <v>P. 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Cán bộ TVGS</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KC-19;KC-21÷KC-26</v>
          </cell>
          <cell r="AR36" t="str">
            <v>Ngày 3 Tháng 2 Năm 2015</v>
          </cell>
        </row>
        <row r="37">
          <cell r="A37" t="str">
            <v>CT-27</v>
          </cell>
          <cell r="B37" t="str">
            <v>GCLD cốt thép dầm, sàn tầng 3 (trục X5-X8/Y5'-Y8) và (trục X1-X5/Y5-Y8)</v>
          </cell>
          <cell r="C37" t="str">
            <v>CT-27</v>
          </cell>
          <cell r="D37" t="str">
            <v>14h00</v>
          </cell>
          <cell r="E37" t="str">
            <v>15h30</v>
          </cell>
          <cell r="F37">
            <v>10</v>
          </cell>
          <cell r="G37">
            <v>2</v>
          </cell>
          <cell r="H37">
            <v>2015</v>
          </cell>
          <cell r="I37" t="str">
            <v>Hà Nội, ngày 10 tháng 2 năm 2015</v>
          </cell>
          <cell r="J37" t="str">
            <v>14h00 ngày 10 tháng 2 năm 2015</v>
          </cell>
          <cell r="K37" t="str">
            <v>15h30 ngày 10 tháng 2 năm 2015</v>
          </cell>
          <cell r="L37" t="str">
            <v>15h30</v>
          </cell>
          <cell r="M37" t="str">
            <v>17h00</v>
          </cell>
          <cell r="N37">
            <v>10</v>
          </cell>
          <cell r="O37">
            <v>2</v>
          </cell>
          <cell r="P37">
            <v>2015</v>
          </cell>
          <cell r="Q37" t="str">
            <v>Hà Nội, ngày 10 tháng 2 năm 2015</v>
          </cell>
          <cell r="R37" t="str">
            <v>15h30 ngày 10 tháng 2 năm 2015</v>
          </cell>
          <cell r="S37" t="str">
            <v>17h00 ngày 10 tháng 2 năm 2015</v>
          </cell>
          <cell r="T37" t="str">
            <v>15h30</v>
          </cell>
          <cell r="U37" t="str">
            <v>15h30 Ngày 10/2/2015</v>
          </cell>
          <cell r="V37" t="str">
            <v>Nguyễn Ái Việt</v>
          </cell>
          <cell r="W37" t="str">
            <v>P. 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Cán bộ TVGS</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KC-35÷KC-38;KC-52÷KC-53</v>
          </cell>
          <cell r="AR37" t="str">
            <v>Ngày 10 Tháng 2 Năm 2015</v>
          </cell>
        </row>
        <row r="38">
          <cell r="A38" t="str">
            <v>CT-28</v>
          </cell>
          <cell r="B38" t="str">
            <v>GCLD cốt thép dầm, sàn tầng 3 trục X1-X4/Y1-Y5</v>
          </cell>
          <cell r="C38" t="str">
            <v>CT-28</v>
          </cell>
          <cell r="D38" t="str">
            <v>13h00</v>
          </cell>
          <cell r="E38" t="str">
            <v>15h00</v>
          </cell>
          <cell r="F38">
            <v>12</v>
          </cell>
          <cell r="G38">
            <v>2</v>
          </cell>
          <cell r="H38">
            <v>2015</v>
          </cell>
          <cell r="I38" t="str">
            <v>Hà Nội, ngày 12 tháng 2 năm 2015</v>
          </cell>
          <cell r="J38" t="str">
            <v>13h00 ngày 12 tháng 2 năm 2015</v>
          </cell>
          <cell r="K38" t="str">
            <v>15h00 ngày 12 tháng 2 năm 2015</v>
          </cell>
          <cell r="L38" t="str">
            <v>15h00</v>
          </cell>
          <cell r="M38" t="str">
            <v>16h30</v>
          </cell>
          <cell r="N38">
            <v>12</v>
          </cell>
          <cell r="O38">
            <v>2</v>
          </cell>
          <cell r="P38">
            <v>2015</v>
          </cell>
          <cell r="Q38" t="str">
            <v>Hà Nội, ngày 12 tháng 2 năm 2015</v>
          </cell>
          <cell r="R38" t="str">
            <v>15h00 ngày 12 tháng 2 năm 2015</v>
          </cell>
          <cell r="S38" t="str">
            <v>16h30 ngày 12 tháng 2 năm 2015</v>
          </cell>
          <cell r="T38" t="str">
            <v>15h00</v>
          </cell>
          <cell r="U38" t="str">
            <v>15h00 Ngày 12/2/2015</v>
          </cell>
          <cell r="V38" t="str">
            <v>Nguyễn Ái Việt</v>
          </cell>
          <cell r="W38" t="str">
            <v>P. 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Cán bộ TVGS</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KC-35÷KC-38;KC-52÷KC-53</v>
          </cell>
          <cell r="AR38" t="str">
            <v>Ngày 12 Tháng 2 Năm 2015</v>
          </cell>
        </row>
        <row r="39">
          <cell r="A39" t="str">
            <v>CT-29</v>
          </cell>
          <cell r="B39" t="str">
            <v>GCLD cột, vách tầng 3 trục X5-X8/Y5'-Y8</v>
          </cell>
          <cell r="C39" t="str">
            <v>CT-29</v>
          </cell>
          <cell r="D39" t="str">
            <v>13h30</v>
          </cell>
          <cell r="E39" t="str">
            <v>14h00</v>
          </cell>
          <cell r="F39">
            <v>11</v>
          </cell>
          <cell r="G39">
            <v>2</v>
          </cell>
          <cell r="H39">
            <v>2015</v>
          </cell>
          <cell r="I39" t="str">
            <v>Hà Nội, ngày 11 tháng 2 năm 2015</v>
          </cell>
          <cell r="J39" t="str">
            <v>13h30 ngày 11 tháng 2 năm 2015</v>
          </cell>
          <cell r="K39" t="str">
            <v>14h00 ngày 12 tháng 2 năm 2015</v>
          </cell>
          <cell r="L39" t="str">
            <v>14h00</v>
          </cell>
          <cell r="M39" t="str">
            <v>14h30</v>
          </cell>
          <cell r="N39">
            <v>12</v>
          </cell>
          <cell r="O39">
            <v>2</v>
          </cell>
          <cell r="P39">
            <v>2015</v>
          </cell>
          <cell r="Q39" t="str">
            <v>Hà Nội, ngày 12 tháng 2 năm 2015</v>
          </cell>
          <cell r="R39" t="str">
            <v>14h00 ngày 11 tháng 2 năm 2015</v>
          </cell>
          <cell r="S39" t="str">
            <v>14h30 ngày 12 tháng 2 năm 2015</v>
          </cell>
          <cell r="T39" t="str">
            <v>14h00</v>
          </cell>
          <cell r="U39" t="str">
            <v>14h00 Ngày 12/2/2015</v>
          </cell>
          <cell r="V39" t="str">
            <v>Nguyễn Ái Việt</v>
          </cell>
          <cell r="W39" t="str">
            <v>P. 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Cán bộ TVGS</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KC-19;KC-21÷KC-26</v>
          </cell>
          <cell r="AR39" t="str">
            <v>Ngày 12 Tháng 2 Năm 2015</v>
          </cell>
        </row>
        <row r="40">
          <cell r="A40" t="str">
            <v>CT-30</v>
          </cell>
          <cell r="B40" t="str">
            <v>GCLD cột, vách tầng 3 trục X1-X4'/Y5-Y8</v>
          </cell>
          <cell r="C40" t="str">
            <v>CT-30</v>
          </cell>
          <cell r="D40" t="str">
            <v>11h00</v>
          </cell>
          <cell r="E40" t="str">
            <v>11h00</v>
          </cell>
          <cell r="F40">
            <v>1</v>
          </cell>
          <cell r="G40">
            <v>3</v>
          </cell>
          <cell r="H40">
            <v>2015</v>
          </cell>
          <cell r="I40" t="str">
            <v>Hà Nội, ngày 1 tháng 3 năm 2015</v>
          </cell>
          <cell r="J40" t="str">
            <v>11h00 ngày 1 tháng 3 năm 2015</v>
          </cell>
          <cell r="K40" t="str">
            <v>11h00 ngày 5 tháng 3 năm 2015</v>
          </cell>
          <cell r="L40" t="str">
            <v>11h30</v>
          </cell>
          <cell r="M40" t="str">
            <v>11h30</v>
          </cell>
          <cell r="N40">
            <v>5</v>
          </cell>
          <cell r="O40">
            <v>3</v>
          </cell>
          <cell r="P40">
            <v>2015</v>
          </cell>
          <cell r="Q40" t="str">
            <v>Hà Nội, ngày 5 tháng 3 năm 2015</v>
          </cell>
          <cell r="R40" t="str">
            <v>11h30 ngày 1 tháng 3 năm 2015</v>
          </cell>
          <cell r="S40" t="str">
            <v>11h30 ngày 5 tháng 3 năm 2015</v>
          </cell>
          <cell r="T40" t="str">
            <v>11h00</v>
          </cell>
          <cell r="U40" t="str">
            <v>11h00 Ngày 5/3/2015</v>
          </cell>
          <cell r="V40" t="str">
            <v>Nguyễn Ái Việt</v>
          </cell>
          <cell r="W40" t="str">
            <v>P. 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Cán bộ TVGS</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KC-19;KC-21÷KC-27</v>
          </cell>
          <cell r="AR40" t="str">
            <v>Ngày 5 Tháng 3 Năm 2015</v>
          </cell>
        </row>
        <row r="41">
          <cell r="A41" t="str">
            <v>CT-31</v>
          </cell>
          <cell r="B41" t="str">
            <v>GCLD cột, vách tầng 3 trục X1-X4/Y1-Y4</v>
          </cell>
          <cell r="C41" t="str">
            <v>CT-31</v>
          </cell>
          <cell r="D41" t="str">
            <v>10h30</v>
          </cell>
          <cell r="E41" t="str">
            <v>10h45</v>
          </cell>
          <cell r="F41">
            <v>5</v>
          </cell>
          <cell r="G41">
            <v>3</v>
          </cell>
          <cell r="H41">
            <v>2015</v>
          </cell>
          <cell r="I41" t="str">
            <v>Hà Nội, ngày 5 tháng 3 năm 2015</v>
          </cell>
          <cell r="J41" t="str">
            <v>10h30 ngày 5 tháng 3 năm 2015</v>
          </cell>
          <cell r="K41" t="str">
            <v>10h45 ngày 7 tháng 3 năm 2015</v>
          </cell>
          <cell r="L41" t="str">
            <v>11h00</v>
          </cell>
          <cell r="M41" t="str">
            <v>11h15</v>
          </cell>
          <cell r="N41">
            <v>7</v>
          </cell>
          <cell r="O41">
            <v>3</v>
          </cell>
          <cell r="P41">
            <v>2015</v>
          </cell>
          <cell r="Q41" t="str">
            <v>Hà Nội, ngày 7 tháng 3 năm 2015</v>
          </cell>
          <cell r="R41" t="str">
            <v>11h00 ngày 5 tháng 3 năm 2015</v>
          </cell>
          <cell r="S41" t="str">
            <v>11h15 ngày 7 tháng 3 năm 2015</v>
          </cell>
          <cell r="T41" t="str">
            <v>10h45</v>
          </cell>
          <cell r="U41" t="str">
            <v>10h45 Ngày 7/3/2015</v>
          </cell>
          <cell r="V41" t="str">
            <v>Nguyễn Ái Việt</v>
          </cell>
          <cell r="W41" t="str">
            <v>P. 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Cán bộ TVGS</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KC-19;KC-21÷KC-28</v>
          </cell>
          <cell r="AR41" t="str">
            <v>Ngày 7 Tháng 3 Năm 2015</v>
          </cell>
        </row>
        <row r="42">
          <cell r="A42" t="str">
            <v>CT-32</v>
          </cell>
          <cell r="B42" t="str">
            <v>GCLD cốt thép dầm, sàn tầng 4</v>
          </cell>
          <cell r="C42" t="str">
            <v>CT-32</v>
          </cell>
          <cell r="D42" t="str">
            <v>8h00</v>
          </cell>
          <cell r="E42" t="str">
            <v>11h00</v>
          </cell>
          <cell r="F42">
            <v>18</v>
          </cell>
          <cell r="G42">
            <v>3</v>
          </cell>
          <cell r="H42">
            <v>2015</v>
          </cell>
          <cell r="I42" t="str">
            <v>Hà Nội, ngày 18 tháng 3 năm 2015</v>
          </cell>
          <cell r="J42" t="str">
            <v>8h00 ngày 18 tháng 3 năm 2015</v>
          </cell>
          <cell r="K42" t="str">
            <v>11h00 ngày 18 tháng 3 năm 2015</v>
          </cell>
          <cell r="L42" t="str">
            <v>11h00</v>
          </cell>
          <cell r="M42" t="str">
            <v>12h30</v>
          </cell>
          <cell r="N42">
            <v>18</v>
          </cell>
          <cell r="O42">
            <v>3</v>
          </cell>
          <cell r="P42">
            <v>2015</v>
          </cell>
          <cell r="Q42" t="str">
            <v>Hà Nội, ngày 18 tháng 3 năm 2015</v>
          </cell>
          <cell r="R42" t="str">
            <v>11h00 ngày 18 tháng 3 năm 2015</v>
          </cell>
          <cell r="S42" t="str">
            <v>12h30 ngày 18 tháng 3 năm 2015</v>
          </cell>
          <cell r="T42" t="str">
            <v>11h00</v>
          </cell>
          <cell r="U42" t="str">
            <v>11h00 Ngày 18/3/2015</v>
          </cell>
          <cell r="V42" t="str">
            <v>Nguyễn Ái Việt</v>
          </cell>
          <cell r="W42" t="str">
            <v>P. 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Cán bộ TVGS</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KC-35÷KC-38;KC-54÷KC-55</v>
          </cell>
          <cell r="AR42" t="str">
            <v>Ngày 18 Tháng 3 Năm 2015</v>
          </cell>
        </row>
        <row r="43">
          <cell r="A43" t="str">
            <v>CT-33</v>
          </cell>
          <cell r="B43" t="str">
            <v>GCLD cốt thép cột, vách tầng 4</v>
          </cell>
          <cell r="C43" t="str">
            <v>CT-33</v>
          </cell>
          <cell r="D43" t="str">
            <v>15h00</v>
          </cell>
          <cell r="E43" t="str">
            <v>16h00</v>
          </cell>
          <cell r="F43">
            <v>19</v>
          </cell>
          <cell r="G43">
            <v>3</v>
          </cell>
          <cell r="H43">
            <v>2015</v>
          </cell>
          <cell r="I43" t="str">
            <v>Hà Nội, ngày 19 tháng 3 năm 2015</v>
          </cell>
          <cell r="J43" t="str">
            <v>15h00 ngày 19 tháng 3 năm 2015</v>
          </cell>
          <cell r="K43" t="str">
            <v>16h00 ngày 21 tháng 3 năm 2015</v>
          </cell>
          <cell r="L43" t="str">
            <v>15h30</v>
          </cell>
          <cell r="M43" t="str">
            <v>16h30</v>
          </cell>
          <cell r="N43">
            <v>21</v>
          </cell>
          <cell r="O43">
            <v>3</v>
          </cell>
          <cell r="P43">
            <v>2015</v>
          </cell>
          <cell r="Q43" t="str">
            <v>Hà Nội, ngày 21 tháng 3 năm 2015</v>
          </cell>
          <cell r="R43" t="str">
            <v>15h30 ngày 19 tháng 3 năm 2015</v>
          </cell>
          <cell r="S43" t="str">
            <v>16h30 ngày 21 tháng 3 năm 2015</v>
          </cell>
          <cell r="T43" t="str">
            <v>15h30</v>
          </cell>
          <cell r="U43" t="str">
            <v>15h30 Ngày 19/3/2015</v>
          </cell>
          <cell r="V43" t="str">
            <v>Nguyễn Ái Việt</v>
          </cell>
          <cell r="W43" t="str">
            <v>P. 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Cán bộ TVGS</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KC-19;KC-21÷KC-26</v>
          </cell>
          <cell r="AR43" t="str">
            <v>Ngày 19 Tháng 3 Năm 2015</v>
          </cell>
        </row>
        <row r="44">
          <cell r="A44" t="str">
            <v>CT-34</v>
          </cell>
          <cell r="B44" t="str">
            <v>GCLD cốt thép dầm, sàn tầng 5</v>
          </cell>
          <cell r="C44" t="str">
            <v>CT-34</v>
          </cell>
          <cell r="D44" t="str">
            <v>15h00</v>
          </cell>
          <cell r="E44" t="str">
            <v>16h30</v>
          </cell>
          <cell r="F44">
            <v>31</v>
          </cell>
          <cell r="G44">
            <v>3</v>
          </cell>
          <cell r="H44">
            <v>2015</v>
          </cell>
          <cell r="I44" t="str">
            <v>Hà Nội, ngày 31 tháng 3 năm 2015</v>
          </cell>
          <cell r="J44" t="str">
            <v>15h00 ngày 31 tháng 3 năm 2015</v>
          </cell>
          <cell r="K44" t="str">
            <v>16h30 ngày 31 tháng 3 năm 2015</v>
          </cell>
          <cell r="L44" t="str">
            <v>16h00</v>
          </cell>
          <cell r="M44" t="str">
            <v>17h30</v>
          </cell>
          <cell r="N44">
            <v>31</v>
          </cell>
          <cell r="O44">
            <v>3</v>
          </cell>
          <cell r="P44">
            <v>2015</v>
          </cell>
          <cell r="Q44" t="str">
            <v>Hà Nội, ngày 31 tháng 3 năm 2015</v>
          </cell>
          <cell r="R44" t="str">
            <v>16h00 ngày 31 tháng 3 năm 2015</v>
          </cell>
          <cell r="S44" t="str">
            <v>17h30 ngày 31 tháng 3 năm 2015</v>
          </cell>
          <cell r="T44" t="str">
            <v>16h00</v>
          </cell>
          <cell r="U44" t="str">
            <v>16h00 Ngày 31/3/2015</v>
          </cell>
          <cell r="V44" t="str">
            <v>Nguyễn Ái Việt</v>
          </cell>
          <cell r="W44" t="str">
            <v>P. 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Cán bộ TVGS</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KC-35÷KC-38;KC-54÷KC-55</v>
          </cell>
          <cell r="AR44" t="str">
            <v>Ngày 31 Tháng 3 Năm 2015</v>
          </cell>
        </row>
        <row r="45">
          <cell r="A45" t="str">
            <v>CT-35</v>
          </cell>
          <cell r="B45" t="str">
            <v>GCLD cốt thép cột, vách tầng 5</v>
          </cell>
          <cell r="C45" t="str">
            <v>CT-35</v>
          </cell>
          <cell r="D45" t="str">
            <v>15h30</v>
          </cell>
          <cell r="E45" t="str">
            <v>16h00</v>
          </cell>
          <cell r="F45">
            <v>2</v>
          </cell>
          <cell r="G45">
            <v>4</v>
          </cell>
          <cell r="H45">
            <v>2015</v>
          </cell>
          <cell r="I45" t="str">
            <v>Hà Nội, ngày 2 tháng 4 năm 2015</v>
          </cell>
          <cell r="J45" t="str">
            <v>15h30 ngày 2 tháng 4 năm 2015</v>
          </cell>
          <cell r="K45" t="str">
            <v>16h00 ngày 5 tháng 4 năm 2015</v>
          </cell>
          <cell r="L45" t="str">
            <v>16h30</v>
          </cell>
          <cell r="M45" t="str">
            <v>17h00</v>
          </cell>
          <cell r="N45">
            <v>5</v>
          </cell>
          <cell r="O45">
            <v>4</v>
          </cell>
          <cell r="P45">
            <v>2015</v>
          </cell>
          <cell r="Q45" t="str">
            <v>Hà Nội, ngày 5 tháng 4 năm 2015</v>
          </cell>
          <cell r="R45" t="str">
            <v>16h30 ngày 2 tháng 4 năm 2015</v>
          </cell>
          <cell r="S45" t="str">
            <v>17h00 ngày 5 tháng 4 năm 2015</v>
          </cell>
          <cell r="T45" t="str">
            <v>16h30</v>
          </cell>
          <cell r="U45" t="str">
            <v>16h30 Ngày 2/4/2015</v>
          </cell>
          <cell r="V45" t="str">
            <v>Nguyễn Ái Việt</v>
          </cell>
          <cell r="W45" t="str">
            <v>P. 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Cán bộ TVGS</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KC-19;KC-21÷KC-26</v>
          </cell>
          <cell r="AR45" t="str">
            <v>Ngày 2 Tháng 4 Năm 2015</v>
          </cell>
        </row>
        <row r="46">
          <cell r="A46" t="str">
            <v>CT-36</v>
          </cell>
          <cell r="B46" t="str">
            <v>GCLD cốt thép dầm, sàn tầng 6 trục (X1÷X4/Y1÷Y5) và (X1÷X2/Y5÷Y8)</v>
          </cell>
          <cell r="C46" t="str">
            <v>CT-36</v>
          </cell>
          <cell r="D46" t="str">
            <v>16h00</v>
          </cell>
          <cell r="E46" t="str">
            <v>17h00</v>
          </cell>
          <cell r="F46">
            <v>13</v>
          </cell>
          <cell r="G46">
            <v>4</v>
          </cell>
          <cell r="H46">
            <v>2015</v>
          </cell>
          <cell r="I46" t="str">
            <v>Hà Nội, ngày 13 tháng 4 năm 2015</v>
          </cell>
          <cell r="J46" t="str">
            <v>16h00 ngày 13 tháng 4 năm 2015</v>
          </cell>
          <cell r="K46" t="str">
            <v>17h00 ngày 13 tháng 4 năm 2015</v>
          </cell>
          <cell r="L46" t="str">
            <v>17h00</v>
          </cell>
          <cell r="M46" t="str">
            <v>18h30</v>
          </cell>
          <cell r="N46">
            <v>13</v>
          </cell>
          <cell r="O46">
            <v>4</v>
          </cell>
          <cell r="P46">
            <v>2015</v>
          </cell>
          <cell r="Q46" t="str">
            <v>Hà Nội, ngày 13 tháng 4 năm 2015</v>
          </cell>
          <cell r="R46" t="str">
            <v>17h00 ngày 13 tháng 4 năm 2015</v>
          </cell>
          <cell r="S46" t="str">
            <v>18h30 ngày 13 tháng 4 năm 2015</v>
          </cell>
          <cell r="T46" t="str">
            <v>17h00</v>
          </cell>
          <cell r="U46" t="str">
            <v>17h00 Ngày 13/4/2015</v>
          </cell>
          <cell r="V46" t="str">
            <v>Nguyễn Ái Việt</v>
          </cell>
          <cell r="W46" t="str">
            <v>P. 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Cán bộ TVGS</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KC-35÷KC-38;KC-54÷KC-55</v>
          </cell>
          <cell r="AR46" t="str">
            <v>Ngày 13 Tháng 4 Năm 2015</v>
          </cell>
        </row>
        <row r="47">
          <cell r="A47" t="str">
            <v>CT-37</v>
          </cell>
          <cell r="B47" t="str">
            <v>GCLD cốt thép dầm, sàn tầng 6 trục (X2÷X4'/Y5÷Y8) và (X4'-X8/Y5'-Y8)</v>
          </cell>
          <cell r="C47" t="str">
            <v>CT-37</v>
          </cell>
          <cell r="D47" t="str">
            <v>15h30</v>
          </cell>
          <cell r="E47" t="str">
            <v>7h00</v>
          </cell>
          <cell r="F47">
            <v>14</v>
          </cell>
          <cell r="G47">
            <v>4</v>
          </cell>
          <cell r="H47">
            <v>2015</v>
          </cell>
          <cell r="I47" t="str">
            <v>Hà Nội, ngày 14 tháng 4 năm 2015</v>
          </cell>
          <cell r="J47" t="str">
            <v>15h30 ngày 14 tháng 4 năm 2015</v>
          </cell>
          <cell r="K47" t="str">
            <v>7h00 ngày 15 tháng 4 năm 2015</v>
          </cell>
          <cell r="L47" t="str">
            <v>16h30</v>
          </cell>
          <cell r="M47" t="str">
            <v>8h00</v>
          </cell>
          <cell r="N47">
            <v>15</v>
          </cell>
          <cell r="O47">
            <v>4</v>
          </cell>
          <cell r="P47">
            <v>2015</v>
          </cell>
          <cell r="Q47" t="str">
            <v>Hà Nội, ngày 15 tháng 4 năm 2015</v>
          </cell>
          <cell r="R47" t="str">
            <v>16h30 ngày 14 tháng 4 năm 2015</v>
          </cell>
          <cell r="S47" t="str">
            <v>8h00 ngày 15 tháng 4 năm 2015</v>
          </cell>
          <cell r="T47" t="str">
            <v>16h30</v>
          </cell>
          <cell r="U47" t="str">
            <v>16h30 Ngày 14/4/2015</v>
          </cell>
          <cell r="V47" t="str">
            <v>Nguyễn Ái Việt</v>
          </cell>
          <cell r="W47" t="str">
            <v>P. 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Cán bộ TVGS</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t="str">
            <v>KC-35÷KC-38;KC-54÷KC-55</v>
          </cell>
          <cell r="AR47" t="str">
            <v>Ngày 14 Tháng 4 Năm 2015</v>
          </cell>
        </row>
        <row r="48">
          <cell r="A48" t="str">
            <v>CT-38</v>
          </cell>
          <cell r="B48" t="str">
            <v>GCLD cốt thép cột, vách tầng 6</v>
          </cell>
          <cell r="C48" t="str">
            <v>CT-38</v>
          </cell>
          <cell r="D48" t="str">
            <v>8h30</v>
          </cell>
          <cell r="E48" t="str">
            <v>15h00</v>
          </cell>
          <cell r="F48">
            <v>15</v>
          </cell>
          <cell r="G48">
            <v>4</v>
          </cell>
          <cell r="H48">
            <v>2015</v>
          </cell>
          <cell r="I48" t="str">
            <v>Hà Nội, ngày 15 tháng 4 năm 2015</v>
          </cell>
          <cell r="J48" t="str">
            <v>8h30 ngày 15 tháng 4 năm 2015</v>
          </cell>
          <cell r="K48" t="str">
            <v>15h00 ngày 18 tháng 4 năm 2015</v>
          </cell>
          <cell r="L48" t="str">
            <v>9h30</v>
          </cell>
          <cell r="M48" t="str">
            <v>16h00</v>
          </cell>
          <cell r="N48">
            <v>18</v>
          </cell>
          <cell r="O48">
            <v>4</v>
          </cell>
          <cell r="P48">
            <v>2015</v>
          </cell>
          <cell r="Q48" t="str">
            <v>Hà Nội, ngày 18 tháng 4 năm 2015</v>
          </cell>
          <cell r="R48" t="str">
            <v>9h30 ngày 15 tháng 4 năm 2015</v>
          </cell>
          <cell r="S48" t="str">
            <v>16h00 ngày 18 tháng 4 năm 2015</v>
          </cell>
          <cell r="T48" t="str">
            <v>9h30</v>
          </cell>
          <cell r="U48" t="str">
            <v>9h30 Ngày 15/4/2015</v>
          </cell>
          <cell r="V48" t="str">
            <v>Nguyễn Ái Việt</v>
          </cell>
          <cell r="W48" t="str">
            <v>P. 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Cán bộ TVGS</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t="str">
            <v>KC-19;KC-21÷KC-26</v>
          </cell>
          <cell r="AR48" t="str">
            <v>Ngày 15 Tháng 4 Năm 2015</v>
          </cell>
        </row>
        <row r="49">
          <cell r="A49" t="str">
            <v>CT-39</v>
          </cell>
          <cell r="B49" t="str">
            <v>GCLD cốt thép dầm, sàn tầng 7 trục (X1÷X4/Y1÷Y5) và (X1÷X2/Y5÷Y8)</v>
          </cell>
          <cell r="C49" t="str">
            <v>CT-39</v>
          </cell>
          <cell r="D49" t="str">
            <v>8h00</v>
          </cell>
          <cell r="E49" t="str">
            <v>9h30</v>
          </cell>
          <cell r="F49">
            <v>24</v>
          </cell>
          <cell r="G49">
            <v>4</v>
          </cell>
          <cell r="H49">
            <v>2015</v>
          </cell>
          <cell r="I49" t="str">
            <v>Hà Nội, ngày 24 tháng 4 năm 2015</v>
          </cell>
          <cell r="J49" t="str">
            <v>8h00 ngày 24 tháng 4 năm 2015</v>
          </cell>
          <cell r="K49" t="str">
            <v>9h30 ngày 24 tháng 4 năm 2015</v>
          </cell>
          <cell r="L49" t="str">
            <v>9h30</v>
          </cell>
          <cell r="M49" t="str">
            <v>11h00</v>
          </cell>
          <cell r="N49">
            <v>24</v>
          </cell>
          <cell r="O49">
            <v>4</v>
          </cell>
          <cell r="P49">
            <v>2015</v>
          </cell>
          <cell r="Q49" t="str">
            <v>Hà Nội, ngày 24 tháng 4 năm 2015</v>
          </cell>
          <cell r="R49" t="str">
            <v>9h30 ngày 24 tháng 4 năm 2015</v>
          </cell>
          <cell r="S49" t="str">
            <v>11h00 ngày 24 tháng 4 năm 2015</v>
          </cell>
          <cell r="T49" t="str">
            <v>9h30</v>
          </cell>
          <cell r="U49" t="str">
            <v>9h30 Ngày 24/4/2015</v>
          </cell>
          <cell r="V49" t="str">
            <v>Nguyễn Ái Việt</v>
          </cell>
          <cell r="W49" t="str">
            <v>P. 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Cán bộ TVGS</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t="str">
            <v>KC-35÷KC-38;KC-54÷KC-55</v>
          </cell>
          <cell r="AR49" t="str">
            <v>Ngày 24 Tháng 4 Năm 2015</v>
          </cell>
        </row>
        <row r="50">
          <cell r="A50" t="str">
            <v>CT-40</v>
          </cell>
          <cell r="B50" t="str">
            <v>GCLD cốt thép dầm, sàn tầng 7 trục (X2÷X4'/Y5÷Y8) và (X4'-X8/Y5'-Y8)</v>
          </cell>
          <cell r="C50" t="str">
            <v>CT-40</v>
          </cell>
          <cell r="D50" t="str">
            <v>13h30</v>
          </cell>
          <cell r="E50" t="str">
            <v>15h00</v>
          </cell>
          <cell r="F50">
            <v>26</v>
          </cell>
          <cell r="G50">
            <v>4</v>
          </cell>
          <cell r="H50">
            <v>2015</v>
          </cell>
          <cell r="I50" t="str">
            <v>Hà Nội, ngày 26 tháng 4 năm 2015</v>
          </cell>
          <cell r="J50" t="str">
            <v>13h30 ngày 26 tháng 4 năm 2015</v>
          </cell>
          <cell r="K50" t="str">
            <v>15h00 ngày 26 tháng 4 năm 2015</v>
          </cell>
          <cell r="L50" t="str">
            <v>15h00</v>
          </cell>
          <cell r="M50" t="str">
            <v>16h30</v>
          </cell>
          <cell r="N50">
            <v>26</v>
          </cell>
          <cell r="O50">
            <v>4</v>
          </cell>
          <cell r="P50">
            <v>2015</v>
          </cell>
          <cell r="Q50" t="str">
            <v>Hà Nội, ngày 26 tháng 4 năm 2015</v>
          </cell>
          <cell r="R50" t="str">
            <v>15h00 ngày 26 tháng 4 năm 2015</v>
          </cell>
          <cell r="S50" t="str">
            <v>16h30 ngày 26 tháng 4 năm 2015</v>
          </cell>
          <cell r="T50" t="str">
            <v>15h00</v>
          </cell>
          <cell r="U50" t="str">
            <v>15h00 Ngày 26/4/2015</v>
          </cell>
          <cell r="V50" t="str">
            <v>Nguyễn Ái Việt</v>
          </cell>
          <cell r="W50" t="str">
            <v>P. 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Cán bộ TVGS</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N50" t="str">
            <v>KC-35÷KC-38;KC-54÷KC-55</v>
          </cell>
          <cell r="AR50" t="str">
            <v>Ngày 26 Tháng 4 Năm 2015</v>
          </cell>
        </row>
        <row r="51">
          <cell r="A51" t="str">
            <v>CT-41</v>
          </cell>
          <cell r="B51" t="str">
            <v>GCLD cốt thép cột, vách tầng 7</v>
          </cell>
          <cell r="C51" t="str">
            <v>CT-41</v>
          </cell>
          <cell r="D51" t="str">
            <v>15h00</v>
          </cell>
          <cell r="E51" t="str">
            <v>14h00</v>
          </cell>
          <cell r="F51">
            <v>25</v>
          </cell>
          <cell r="G51">
            <v>4</v>
          </cell>
          <cell r="H51">
            <v>2015</v>
          </cell>
          <cell r="I51" t="str">
            <v>Hà Nội, ngày 25 tháng 4 năm 2015</v>
          </cell>
          <cell r="J51" t="str">
            <v>15h00 ngày 25 tháng 4 năm 2015</v>
          </cell>
          <cell r="K51" t="str">
            <v>14h00 ngày 29 tháng 4 năm 2015</v>
          </cell>
          <cell r="L51" t="str">
            <v>15h30</v>
          </cell>
          <cell r="M51" t="str">
            <v>14h30</v>
          </cell>
          <cell r="N51">
            <v>29</v>
          </cell>
          <cell r="O51">
            <v>4</v>
          </cell>
          <cell r="P51">
            <v>2015</v>
          </cell>
          <cell r="Q51" t="str">
            <v>Hà Nội, ngày 29 tháng 4 năm 2015</v>
          </cell>
          <cell r="R51" t="str">
            <v>15h30 ngày 25 tháng 4 năm 2015</v>
          </cell>
          <cell r="S51" t="str">
            <v>14h30 ngày 29 tháng 4 năm 2015</v>
          </cell>
          <cell r="T51" t="str">
            <v>15h30</v>
          </cell>
          <cell r="U51" t="str">
            <v>15h30 Ngày 25/4/2015</v>
          </cell>
          <cell r="V51" t="str">
            <v>Nguyễn Ái Việt</v>
          </cell>
          <cell r="W51" t="str">
            <v>P. 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Cán bộ TVGS</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N51" t="str">
            <v>KC-19;KC-21÷KC-26</v>
          </cell>
          <cell r="AR51" t="str">
            <v>Ngày 25 Tháng 4 Năm 2015</v>
          </cell>
        </row>
        <row r="52">
          <cell r="A52" t="str">
            <v>CT-42</v>
          </cell>
          <cell r="B52" t="str">
            <v>GCLD cốt thép thang bộ TB tầng 1</v>
          </cell>
          <cell r="C52" t="str">
            <v>CT-42</v>
          </cell>
          <cell r="D52" t="str">
            <v>9h45</v>
          </cell>
          <cell r="E52" t="str">
            <v>10h30</v>
          </cell>
          <cell r="F52">
            <v>7</v>
          </cell>
          <cell r="G52">
            <v>5</v>
          </cell>
          <cell r="H52">
            <v>2015</v>
          </cell>
          <cell r="I52" t="str">
            <v>Hà Nội, ngày 7 tháng 5 năm 2015</v>
          </cell>
          <cell r="J52" t="str">
            <v>9h45 ngày 7 tháng 5 năm 2015</v>
          </cell>
          <cell r="K52" t="str">
            <v>10h30 ngày 7 tháng 5 năm 2015</v>
          </cell>
          <cell r="L52" t="str">
            <v>10h30</v>
          </cell>
          <cell r="M52" t="str">
            <v>11h15</v>
          </cell>
          <cell r="N52">
            <v>7</v>
          </cell>
          <cell r="O52">
            <v>5</v>
          </cell>
          <cell r="P52">
            <v>2015</v>
          </cell>
          <cell r="Q52" t="str">
            <v>Hà Nội, ngày 7 tháng 5 năm 2015</v>
          </cell>
          <cell r="R52" t="str">
            <v>10h30 ngày 7 tháng 5 năm 2015</v>
          </cell>
          <cell r="S52" t="str">
            <v>11h15 ngày 7 tháng 5 năm 2015</v>
          </cell>
          <cell r="T52" t="str">
            <v>10h30</v>
          </cell>
          <cell r="U52" t="str">
            <v>10h30 Ngày 7/5/2015</v>
          </cell>
          <cell r="V52" t="str">
            <v>Nguyễn Ái Việt</v>
          </cell>
          <cell r="W52" t="str">
            <v>P. 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Cán bộ TVGS</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N52" t="str">
            <v>KC-63</v>
          </cell>
          <cell r="AR52" t="str">
            <v>Ngày 7 Tháng 5 Năm 2015</v>
          </cell>
        </row>
        <row r="53">
          <cell r="A53" t="str">
            <v>CT-43</v>
          </cell>
          <cell r="B53" t="str">
            <v>GCLD cốt thép dầm, sàn tầng 8 trục (X1÷X4/Y1÷Y5) và (X1÷X2/Y5÷Y8)</v>
          </cell>
          <cell r="C53" t="str">
            <v>CT-43</v>
          </cell>
          <cell r="D53" t="str">
            <v>14h30</v>
          </cell>
          <cell r="E53" t="str">
            <v>16h00</v>
          </cell>
          <cell r="F53">
            <v>8</v>
          </cell>
          <cell r="G53">
            <v>5</v>
          </cell>
          <cell r="H53">
            <v>2015</v>
          </cell>
          <cell r="I53" t="str">
            <v>Hà Nội, ngày 8 tháng 5 năm 2015</v>
          </cell>
          <cell r="J53" t="str">
            <v>14h30 ngày 8 tháng 5 năm 2015</v>
          </cell>
          <cell r="K53" t="str">
            <v>16h00 ngày 8 tháng 5 năm 2015</v>
          </cell>
          <cell r="L53" t="str">
            <v>16h00</v>
          </cell>
          <cell r="M53" t="str">
            <v>17h30</v>
          </cell>
          <cell r="N53">
            <v>8</v>
          </cell>
          <cell r="O53">
            <v>5</v>
          </cell>
          <cell r="P53">
            <v>2015</v>
          </cell>
          <cell r="Q53" t="str">
            <v>Hà Nội, ngày 8 tháng 5 năm 2015</v>
          </cell>
          <cell r="R53" t="str">
            <v>16h00 ngày 8 tháng 5 năm 2015</v>
          </cell>
          <cell r="S53" t="str">
            <v>17h30 ngày 8 tháng 5 năm 2015</v>
          </cell>
          <cell r="T53" t="str">
            <v>16h00</v>
          </cell>
          <cell r="U53" t="str">
            <v>16h00 Ngày 8/5/2015</v>
          </cell>
          <cell r="V53" t="str">
            <v>Nguyễn Ái Việt</v>
          </cell>
          <cell r="W53" t="str">
            <v>P. 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Cán bộ TVGS</v>
          </cell>
          <cell r="AH53" t="str">
            <v>Nguyễn Ái Việt</v>
          </cell>
          <cell r="AI53" t="str">
            <v>Chỉ huy trưởng</v>
          </cell>
          <cell r="AJ53" t="str">
            <v>Hoàng Chiến Thắng</v>
          </cell>
          <cell r="AK53" t="str">
            <v>P. Chỉ huy trưởng</v>
          </cell>
          <cell r="AL53" t="str">
            <v>Trịnh Quang Đức</v>
          </cell>
          <cell r="AM53" t="str">
            <v>Cán bộ kỹ thuật</v>
          </cell>
          <cell r="AN53" t="str">
            <v>KC-35÷KC-38;KC-54÷KC-55</v>
          </cell>
          <cell r="AR53" t="str">
            <v>Ngày 8 Tháng 5 Năm 2015</v>
          </cell>
        </row>
        <row r="54">
          <cell r="A54" t="str">
            <v>CT-44</v>
          </cell>
          <cell r="B54" t="str">
            <v>GCLD cốt thép dầm, sàn tầng 8 trục (X2÷X4'/Y5÷Y8) và (X4'-X8/Y5'-Y8)</v>
          </cell>
          <cell r="C54" t="str">
            <v>CT-44</v>
          </cell>
          <cell r="D54" t="str">
            <v>15h00</v>
          </cell>
          <cell r="E54" t="str">
            <v>16h00</v>
          </cell>
          <cell r="F54">
            <v>11</v>
          </cell>
          <cell r="G54">
            <v>5</v>
          </cell>
          <cell r="H54">
            <v>2015</v>
          </cell>
          <cell r="I54" t="str">
            <v>Hà Nội, ngày 11 tháng 5 năm 2015</v>
          </cell>
          <cell r="J54" t="str">
            <v>15h00 ngày 11 tháng 5 năm 2015</v>
          </cell>
          <cell r="K54" t="str">
            <v>16h00 ngày 11 tháng 5 năm 2015</v>
          </cell>
          <cell r="L54" t="str">
            <v>16h00</v>
          </cell>
          <cell r="M54" t="str">
            <v>17h15</v>
          </cell>
          <cell r="N54">
            <v>11</v>
          </cell>
          <cell r="O54">
            <v>5</v>
          </cell>
          <cell r="P54">
            <v>2015</v>
          </cell>
          <cell r="Q54" t="str">
            <v>Hà Nội, ngày 11 tháng 5 năm 2015</v>
          </cell>
          <cell r="R54" t="str">
            <v>16h00 ngày 11 tháng 5 năm 2015</v>
          </cell>
          <cell r="S54" t="str">
            <v>17h15 ngày 11 tháng 5 năm 2015</v>
          </cell>
          <cell r="T54" t="str">
            <v>16h00</v>
          </cell>
          <cell r="U54" t="str">
            <v>16h00 Ngày 11/5/2015</v>
          </cell>
          <cell r="V54" t="str">
            <v>Nguyễn Ái Việt</v>
          </cell>
          <cell r="W54" t="str">
            <v>P. 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Cán bộ TVGS</v>
          </cell>
          <cell r="AH54" t="str">
            <v>Nguyễn Ái Việt</v>
          </cell>
          <cell r="AI54" t="str">
            <v>Chỉ huy trưởng</v>
          </cell>
          <cell r="AJ54" t="str">
            <v>Hoàng Chiến Thắng</v>
          </cell>
          <cell r="AK54" t="str">
            <v>P. Chỉ huy trưởng</v>
          </cell>
          <cell r="AL54" t="str">
            <v>Trịnh Quang Đức</v>
          </cell>
          <cell r="AM54" t="str">
            <v>Cán bộ kỹ thuật</v>
          </cell>
          <cell r="AN54" t="str">
            <v>KC-35÷KC-38;KC-54÷KC-55</v>
          </cell>
          <cell r="AR54" t="str">
            <v>Ngày 11 Tháng 5 Năm 2015</v>
          </cell>
        </row>
        <row r="55">
          <cell r="A55" t="str">
            <v>CT-45</v>
          </cell>
          <cell r="B55" t="str">
            <v>GCLD cốt thép cột, vách tầng 8</v>
          </cell>
          <cell r="C55" t="str">
            <v>CT-45</v>
          </cell>
          <cell r="D55" t="str">
            <v>8h00</v>
          </cell>
          <cell r="E55" t="str">
            <v>15h30</v>
          </cell>
          <cell r="F55">
            <v>10</v>
          </cell>
          <cell r="G55">
            <v>5</v>
          </cell>
          <cell r="H55">
            <v>2015</v>
          </cell>
          <cell r="I55" t="str">
            <v>Hà Nội, ngày 10 tháng 5 năm 2015</v>
          </cell>
          <cell r="J55" t="str">
            <v>8h00 ngày 10 tháng 5 năm 2015</v>
          </cell>
          <cell r="K55" t="str">
            <v>15h30 ngày 14 tháng 5 năm 2015</v>
          </cell>
          <cell r="L55" t="str">
            <v>9h00</v>
          </cell>
          <cell r="M55" t="str">
            <v>16h30</v>
          </cell>
          <cell r="N55">
            <v>14</v>
          </cell>
          <cell r="O55">
            <v>5</v>
          </cell>
          <cell r="P55">
            <v>2015</v>
          </cell>
          <cell r="Q55" t="str">
            <v>Hà Nội, ngày 14 tháng 5 năm 2015</v>
          </cell>
          <cell r="R55" t="str">
            <v>9h00 ngày 10 tháng 5 năm 2015</v>
          </cell>
          <cell r="S55" t="str">
            <v>16h30 ngày 14 tháng 5 năm 2015</v>
          </cell>
          <cell r="T55" t="str">
            <v>9h00</v>
          </cell>
          <cell r="U55" t="str">
            <v>9h00 Ngày 10/5/2015</v>
          </cell>
          <cell r="V55" t="str">
            <v>Nguyễn Ái Việt</v>
          </cell>
          <cell r="W55" t="str">
            <v>P. 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Cán bộ TVGS</v>
          </cell>
          <cell r="AH55" t="str">
            <v>Nguyễn Ái Việt</v>
          </cell>
          <cell r="AI55" t="str">
            <v>Chỉ huy trưởng</v>
          </cell>
          <cell r="AJ55" t="str">
            <v>Hoàng Chiến Thắng</v>
          </cell>
          <cell r="AK55" t="str">
            <v>P. Chỉ huy trưởng</v>
          </cell>
          <cell r="AL55" t="str">
            <v>Trịnh Quang Đức</v>
          </cell>
          <cell r="AM55" t="str">
            <v>Cán bộ kỹ thuật</v>
          </cell>
          <cell r="AN55" t="str">
            <v>KC-19;KC-21÷KC-26</v>
          </cell>
          <cell r="AR55" t="str">
            <v>Ngày 10 Tháng 5 Năm 2015</v>
          </cell>
        </row>
        <row r="56">
          <cell r="A56" t="str">
            <v>CT-46</v>
          </cell>
          <cell r="B56" t="str">
            <v>GCLD cốt thép thang bộ LT tầng 1</v>
          </cell>
          <cell r="C56" t="str">
            <v>CT-46</v>
          </cell>
          <cell r="D56" t="str">
            <v>9h00</v>
          </cell>
          <cell r="E56" t="str">
            <v>9h30</v>
          </cell>
          <cell r="F56">
            <v>8</v>
          </cell>
          <cell r="G56">
            <v>3</v>
          </cell>
          <cell r="H56">
            <v>2015</v>
          </cell>
          <cell r="I56" t="str">
            <v>Hà Nội, ngày 8 tháng 3 năm 2015</v>
          </cell>
          <cell r="J56" t="str">
            <v>9h00 ngày 8 tháng 3 năm 2015</v>
          </cell>
          <cell r="K56" t="str">
            <v>9h30 ngày 8 tháng 3 năm 2015</v>
          </cell>
          <cell r="L56" t="str">
            <v>9h30</v>
          </cell>
          <cell r="M56" t="str">
            <v>10h00</v>
          </cell>
          <cell r="N56">
            <v>8</v>
          </cell>
          <cell r="O56">
            <v>3</v>
          </cell>
          <cell r="P56">
            <v>2015</v>
          </cell>
          <cell r="Q56" t="str">
            <v>Hà Nội, ngày 8 tháng 3 năm 2015</v>
          </cell>
          <cell r="R56" t="str">
            <v>9h30 ngày 8 tháng 3 năm 2015</v>
          </cell>
          <cell r="S56" t="str">
            <v>10h00 ngày 8 tháng 3 năm 2015</v>
          </cell>
          <cell r="T56" t="str">
            <v>9h30</v>
          </cell>
          <cell r="U56" t="str">
            <v>9h30 Ngày 8/3/2015</v>
          </cell>
          <cell r="V56" t="str">
            <v>Nguyễn Ái Việt</v>
          </cell>
          <cell r="W56" t="str">
            <v>P. 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Cán bộ TVGS</v>
          </cell>
          <cell r="AH56" t="str">
            <v>Nguyễn Ái Việt</v>
          </cell>
          <cell r="AI56" t="str">
            <v>Chỉ huy trưởng</v>
          </cell>
          <cell r="AJ56" t="str">
            <v>Hoàng Chiến Thắng</v>
          </cell>
          <cell r="AK56" t="str">
            <v>P. Chỉ huy trưởng</v>
          </cell>
          <cell r="AL56" t="str">
            <v>Trịnh Quang Đức</v>
          </cell>
          <cell r="AM56" t="str">
            <v>Cán bộ kỹ thuật</v>
          </cell>
          <cell r="AN56" t="str">
            <v>KC-62</v>
          </cell>
          <cell r="AR56" t="str">
            <v>Ngày 8 Tháng 3 Năm 2015</v>
          </cell>
        </row>
        <row r="57">
          <cell r="A57" t="str">
            <v>CT-47</v>
          </cell>
          <cell r="B57" t="str">
            <v>GCLD cốt thép thang bộ LT tầng 2</v>
          </cell>
          <cell r="C57" t="str">
            <v>CT-47</v>
          </cell>
          <cell r="D57" t="str">
            <v>16h00</v>
          </cell>
          <cell r="E57" t="str">
            <v>16h30</v>
          </cell>
          <cell r="F57">
            <v>14</v>
          </cell>
          <cell r="G57">
            <v>4</v>
          </cell>
          <cell r="H57">
            <v>2015</v>
          </cell>
          <cell r="I57" t="str">
            <v>Hà Nội, ngày 14 tháng 4 năm 2015</v>
          </cell>
          <cell r="J57" t="str">
            <v>16h00 ngày 14 tháng 4 năm 2015</v>
          </cell>
          <cell r="K57" t="str">
            <v>16h30 ngày 14 tháng 4 năm 2015</v>
          </cell>
          <cell r="L57" t="str">
            <v>16h30</v>
          </cell>
          <cell r="M57" t="str">
            <v>17h00</v>
          </cell>
          <cell r="N57">
            <v>14</v>
          </cell>
          <cell r="O57">
            <v>4</v>
          </cell>
          <cell r="P57">
            <v>2015</v>
          </cell>
          <cell r="Q57" t="str">
            <v>Hà Nội, ngày 14 tháng 4 năm 2015</v>
          </cell>
          <cell r="R57" t="str">
            <v>16h30 ngày 14 tháng 4 năm 2015</v>
          </cell>
          <cell r="S57" t="str">
            <v>17h00 ngày 14 tháng 4 năm 2015</v>
          </cell>
          <cell r="T57" t="str">
            <v>16h30</v>
          </cell>
          <cell r="U57" t="str">
            <v>16h30 Ngày 14/4/2015</v>
          </cell>
          <cell r="V57" t="str">
            <v>Nguyễn Ái Việt</v>
          </cell>
          <cell r="W57" t="str">
            <v>P. 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Cán bộ TVGS</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N57" t="str">
            <v>KC-62</v>
          </cell>
          <cell r="AR57" t="str">
            <v>Ngày 14 Tháng 4 Năm 2015</v>
          </cell>
        </row>
        <row r="58">
          <cell r="A58" t="str">
            <v>CT-48</v>
          </cell>
          <cell r="B58" t="str">
            <v>GCLD cốt thép thang bộ LT tầng 3</v>
          </cell>
          <cell r="C58" t="str">
            <v>CT-48</v>
          </cell>
          <cell r="D58" t="str">
            <v>8h00</v>
          </cell>
          <cell r="E58" t="str">
            <v>8h30</v>
          </cell>
          <cell r="F58">
            <v>15</v>
          </cell>
          <cell r="G58">
            <v>5</v>
          </cell>
          <cell r="H58">
            <v>2015</v>
          </cell>
          <cell r="I58" t="str">
            <v>Hà Nội, ngày 15 tháng 5 năm 2015</v>
          </cell>
          <cell r="J58" t="str">
            <v>8h00 ngày 15 tháng 5 năm 2015</v>
          </cell>
          <cell r="K58" t="str">
            <v>8h30 ngày 15 tháng 5 năm 2015</v>
          </cell>
          <cell r="L58" t="str">
            <v>8h30</v>
          </cell>
          <cell r="M58" t="str">
            <v>9h00</v>
          </cell>
          <cell r="N58">
            <v>15</v>
          </cell>
          <cell r="O58">
            <v>5</v>
          </cell>
          <cell r="P58">
            <v>2015</v>
          </cell>
          <cell r="Q58" t="str">
            <v>Hà Nội, ngày 15 tháng 5 năm 2015</v>
          </cell>
          <cell r="R58" t="str">
            <v>8h30 ngày 15 tháng 5 năm 2015</v>
          </cell>
          <cell r="S58" t="str">
            <v>9h00 ngày 15 tháng 5 năm 2015</v>
          </cell>
          <cell r="T58" t="str">
            <v>8h30</v>
          </cell>
          <cell r="U58" t="str">
            <v>8h30 Ngày 15/5/2015</v>
          </cell>
          <cell r="V58" t="str">
            <v>Nguyễn Ái Việt</v>
          </cell>
          <cell r="W58" t="str">
            <v>P. Chỉ huy trưởng</v>
          </cell>
          <cell r="X58" t="str">
            <v>................................</v>
          </cell>
          <cell r="Y58" t="str">
            <v>................................</v>
          </cell>
          <cell r="Z58" t="str">
            <v>Nguyễn Văn Nghiễm</v>
          </cell>
          <cell r="AA58" t="str">
            <v>Cán bộ KCS</v>
          </cell>
          <cell r="AB58" t="str">
            <v>Vương Toàn Hiếu</v>
          </cell>
          <cell r="AC58" t="str">
            <v>Trưởng đoàn TVGS</v>
          </cell>
          <cell r="AD58" t="str">
            <v>Lê Thiều Nam</v>
          </cell>
          <cell r="AE58" t="str">
            <v>Cán bộ TVGS</v>
          </cell>
          <cell r="AF58" t="str">
            <v>................................</v>
          </cell>
          <cell r="AG58" t="str">
            <v>Cán bộ TVGS</v>
          </cell>
          <cell r="AH58" t="str">
            <v>Nguyễn Ái Việt</v>
          </cell>
          <cell r="AI58" t="str">
            <v>Chỉ huy trưởng</v>
          </cell>
          <cell r="AJ58" t="str">
            <v>Hoàng Chiến Thắng</v>
          </cell>
          <cell r="AK58" t="str">
            <v>P. Chỉ huy trưởng</v>
          </cell>
          <cell r="AL58" t="str">
            <v>Trịnh Quang Đức</v>
          </cell>
          <cell r="AM58" t="str">
            <v>Cán bộ kỹ thuật</v>
          </cell>
          <cell r="AN58" t="str">
            <v>KC-62</v>
          </cell>
          <cell r="AR58" t="str">
            <v>Ngày 15 Tháng 5 Năm 2015</v>
          </cell>
        </row>
        <row r="59">
          <cell r="A59" t="str">
            <v>CT-49</v>
          </cell>
          <cell r="B59" t="str">
            <v>GCLD cốt thép dầm, sàn tầng 9 trục (X1÷X4/Y1÷Y5) và (X1÷X2/Y5÷Y8)</v>
          </cell>
          <cell r="C59" t="str">
            <v>CT-49</v>
          </cell>
          <cell r="D59" t="str">
            <v>13h30</v>
          </cell>
          <cell r="E59" t="str">
            <v>14h30</v>
          </cell>
          <cell r="F59">
            <v>19</v>
          </cell>
          <cell r="G59">
            <v>5</v>
          </cell>
          <cell r="H59">
            <v>2015</v>
          </cell>
          <cell r="I59" t="str">
            <v>Hà Nội, ngày 19 tháng 5 năm 2015</v>
          </cell>
          <cell r="J59" t="str">
            <v>13h30 ngày 19 tháng 5 năm 2015</v>
          </cell>
          <cell r="K59" t="str">
            <v>14h30 ngày 19 tháng 5 năm 2015</v>
          </cell>
          <cell r="L59" t="str">
            <v>14h30</v>
          </cell>
          <cell r="M59" t="str">
            <v>15h30</v>
          </cell>
          <cell r="N59">
            <v>19</v>
          </cell>
          <cell r="O59">
            <v>5</v>
          </cell>
          <cell r="P59">
            <v>2015</v>
          </cell>
          <cell r="Q59" t="str">
            <v>Hà Nội, ngày 19 tháng 5 năm 2015</v>
          </cell>
          <cell r="R59" t="str">
            <v>14h30 ngày 19 tháng 5 năm 2015</v>
          </cell>
          <cell r="S59" t="str">
            <v>15h30 ngày 19 tháng 5 năm 2015</v>
          </cell>
          <cell r="T59" t="str">
            <v>14h30</v>
          </cell>
          <cell r="U59" t="str">
            <v>14h30 Ngày 19/5/2015</v>
          </cell>
          <cell r="V59" t="str">
            <v>Nguyễn Ái Việt</v>
          </cell>
          <cell r="W59" t="str">
            <v>P. Chỉ huy trưởng</v>
          </cell>
          <cell r="X59" t="str">
            <v>................................</v>
          </cell>
          <cell r="Y59" t="str">
            <v>................................</v>
          </cell>
          <cell r="Z59" t="str">
            <v>Nguyễn Văn Nghiễm</v>
          </cell>
          <cell r="AA59" t="str">
            <v>Cán bộ KCS</v>
          </cell>
          <cell r="AB59" t="str">
            <v>Vương Toàn Hiếu</v>
          </cell>
          <cell r="AC59" t="str">
            <v>Trưởng đoàn TVGS</v>
          </cell>
          <cell r="AD59" t="str">
            <v>Lê Thiều Nam</v>
          </cell>
          <cell r="AE59" t="str">
            <v>Cán bộ TVGS</v>
          </cell>
          <cell r="AF59" t="str">
            <v>................................</v>
          </cell>
          <cell r="AG59" t="str">
            <v>Cán bộ TVGS</v>
          </cell>
          <cell r="AH59" t="str">
            <v>Nguyễn Ái Việt</v>
          </cell>
          <cell r="AI59" t="str">
            <v>Chỉ huy trưởng</v>
          </cell>
          <cell r="AJ59" t="str">
            <v>Hoàng Chiến Thắng</v>
          </cell>
          <cell r="AK59" t="str">
            <v>P. Chỉ huy trưởng</v>
          </cell>
          <cell r="AL59" t="str">
            <v>Trịnh Quang Đức</v>
          </cell>
          <cell r="AM59" t="str">
            <v>Cán bộ kỹ thuật</v>
          </cell>
          <cell r="AN59" t="str">
            <v>KC-35÷KC-38;KC-54÷KC-55</v>
          </cell>
          <cell r="AR59" t="str">
            <v>Ngày 19 Tháng 5 Năm 2015</v>
          </cell>
        </row>
        <row r="60">
          <cell r="A60" t="str">
            <v>CT-50</v>
          </cell>
          <cell r="B60" t="str">
            <v>GCLD cốt thép dầm, sàn tầng 9 trục (X2÷X4'/Y5÷Y8) và (X4'-X8/Y5'-Y8)</v>
          </cell>
          <cell r="C60" t="str">
            <v>CT-50</v>
          </cell>
          <cell r="D60" t="str">
            <v>15h00</v>
          </cell>
          <cell r="E60" t="str">
            <v>16h00</v>
          </cell>
          <cell r="F60">
            <v>24</v>
          </cell>
          <cell r="G60">
            <v>5</v>
          </cell>
          <cell r="H60">
            <v>2015</v>
          </cell>
          <cell r="I60" t="str">
            <v>Hà Nội, ngày 24 tháng 5 năm 2015</v>
          </cell>
          <cell r="J60" t="str">
            <v>15h00 ngày 24 tháng 5 năm 2015</v>
          </cell>
          <cell r="K60" t="str">
            <v>16h00 ngày 24 tháng 5 năm 2015</v>
          </cell>
          <cell r="L60" t="str">
            <v>16h00</v>
          </cell>
          <cell r="M60" t="str">
            <v>17h00</v>
          </cell>
          <cell r="N60">
            <v>24</v>
          </cell>
          <cell r="O60">
            <v>5</v>
          </cell>
          <cell r="P60">
            <v>2015</v>
          </cell>
          <cell r="Q60" t="str">
            <v>Hà Nội, ngày 24 tháng 5 năm 2015</v>
          </cell>
          <cell r="R60" t="str">
            <v>16h00 ngày 24 tháng 5 năm 2015</v>
          </cell>
          <cell r="S60" t="str">
            <v>17h00 ngày 24 tháng 5 năm 2015</v>
          </cell>
          <cell r="T60" t="str">
            <v>16h00</v>
          </cell>
          <cell r="U60" t="str">
            <v>16h00 Ngày 24/5/2015</v>
          </cell>
          <cell r="V60" t="str">
            <v>Nguyễn Ái Việt</v>
          </cell>
          <cell r="W60" t="str">
            <v>P. Chỉ huy trưởng</v>
          </cell>
          <cell r="X60" t="str">
            <v>................................</v>
          </cell>
          <cell r="Y60" t="str">
            <v>................................</v>
          </cell>
          <cell r="Z60" t="str">
            <v>Nguyễn Văn Nghiễm</v>
          </cell>
          <cell r="AA60" t="str">
            <v>Cán bộ KCS</v>
          </cell>
          <cell r="AB60" t="str">
            <v>Vương Toàn Hiếu</v>
          </cell>
          <cell r="AC60" t="str">
            <v>Trưởng đoàn TVGS</v>
          </cell>
          <cell r="AD60" t="str">
            <v>Lê Thiều Nam</v>
          </cell>
          <cell r="AE60" t="str">
            <v>Cán bộ TVGS</v>
          </cell>
          <cell r="AF60" t="str">
            <v>................................</v>
          </cell>
          <cell r="AG60" t="str">
            <v>Cán bộ TVGS</v>
          </cell>
          <cell r="AH60" t="str">
            <v>Nguyễn Ái Việt</v>
          </cell>
          <cell r="AI60" t="str">
            <v>Chỉ huy trưởng</v>
          </cell>
          <cell r="AJ60" t="str">
            <v>Hoàng Chiến Thắng</v>
          </cell>
          <cell r="AK60" t="str">
            <v>P. Chỉ huy trưởng</v>
          </cell>
          <cell r="AL60" t="str">
            <v>Trịnh Quang Đức</v>
          </cell>
          <cell r="AM60" t="str">
            <v>Cán bộ kỹ thuật</v>
          </cell>
          <cell r="AN60" t="str">
            <v>KC-35÷KC-38;KC-54÷KC-55</v>
          </cell>
          <cell r="AR60" t="str">
            <v>Ngày 24 Tháng 5 Năm 2015</v>
          </cell>
        </row>
        <row r="61">
          <cell r="A61" t="str">
            <v>CT-51</v>
          </cell>
          <cell r="B61" t="str">
            <v>GCLD cốt thép thang bộ TB tầng 3 và tầng 4 trục X8+2,55m/Y5'÷Y6'</v>
          </cell>
          <cell r="C61" t="str">
            <v>CT-51</v>
          </cell>
          <cell r="D61" t="str">
            <v>13h30</v>
          </cell>
          <cell r="E61" t="str">
            <v>14h30</v>
          </cell>
          <cell r="F61">
            <v>26</v>
          </cell>
          <cell r="G61">
            <v>5</v>
          </cell>
          <cell r="H61">
            <v>2015</v>
          </cell>
          <cell r="I61" t="str">
            <v>Hà Nội, ngày 26 tháng 5 năm 2015</v>
          </cell>
          <cell r="J61" t="str">
            <v>13h30 ngày 26 tháng 5 năm 2015</v>
          </cell>
          <cell r="K61" t="str">
            <v>14h30 ngày 26 tháng 5 năm 2015</v>
          </cell>
          <cell r="L61" t="str">
            <v>14h30</v>
          </cell>
          <cell r="M61" t="str">
            <v>15h30</v>
          </cell>
          <cell r="N61">
            <v>26</v>
          </cell>
          <cell r="O61">
            <v>5</v>
          </cell>
          <cell r="P61">
            <v>2015</v>
          </cell>
          <cell r="Q61" t="str">
            <v>Hà Nội, ngày 26 tháng 5 năm 2015</v>
          </cell>
          <cell r="R61" t="str">
            <v>14h30 ngày 26 tháng 5 năm 2015</v>
          </cell>
          <cell r="S61" t="str">
            <v>15h30 ngày 26 tháng 5 năm 2015</v>
          </cell>
          <cell r="T61" t="str">
            <v>14h30</v>
          </cell>
          <cell r="U61" t="str">
            <v>14h30 Ngày 26/5/2015</v>
          </cell>
          <cell r="V61" t="str">
            <v>Nguyễn Ái Việt</v>
          </cell>
          <cell r="W61" t="str">
            <v>P. Chỉ huy trưởng</v>
          </cell>
          <cell r="X61" t="str">
            <v>................................</v>
          </cell>
          <cell r="Y61" t="str">
            <v>................................</v>
          </cell>
          <cell r="Z61" t="str">
            <v>Nguyễn Văn Nghiễm</v>
          </cell>
          <cell r="AA61" t="str">
            <v>Cán bộ KCS</v>
          </cell>
          <cell r="AB61" t="str">
            <v>Vương Toàn Hiếu</v>
          </cell>
          <cell r="AC61" t="str">
            <v>Trưởng đoàn TVGS</v>
          </cell>
          <cell r="AD61" t="str">
            <v>Lê Thiều Nam</v>
          </cell>
          <cell r="AE61" t="str">
            <v>Cán bộ TVGS</v>
          </cell>
          <cell r="AF61" t="str">
            <v>................................</v>
          </cell>
          <cell r="AG61" t="str">
            <v>Cán bộ TVGS</v>
          </cell>
          <cell r="AH61" t="str">
            <v>Nguyễn Ái Việt</v>
          </cell>
          <cell r="AI61" t="str">
            <v>Chỉ huy trưởng</v>
          </cell>
          <cell r="AJ61" t="str">
            <v>Hoàng Chiến Thắng</v>
          </cell>
          <cell r="AK61" t="str">
            <v>P. Chỉ huy trưởng</v>
          </cell>
          <cell r="AL61" t="str">
            <v>Trịnh Quang Đức</v>
          </cell>
          <cell r="AM61" t="str">
            <v>Cán bộ kỹ thuật</v>
          </cell>
          <cell r="AN61" t="str">
            <v>KC-63</v>
          </cell>
          <cell r="AR61" t="str">
            <v>Ngày 26 Tháng 5 Năm 2015</v>
          </cell>
        </row>
        <row r="62">
          <cell r="A62" t="str">
            <v>CT-52</v>
          </cell>
          <cell r="B62" t="str">
            <v>GCLD cốt thép thang bộ TB tầng 3 trục X3÷X4/Y1+2,55m</v>
          </cell>
          <cell r="C62" t="str">
            <v>CT-52</v>
          </cell>
          <cell r="D62" t="str">
            <v>15h30</v>
          </cell>
          <cell r="E62" t="str">
            <v>16h00</v>
          </cell>
          <cell r="F62">
            <v>28</v>
          </cell>
          <cell r="G62">
            <v>5</v>
          </cell>
          <cell r="H62">
            <v>2015</v>
          </cell>
          <cell r="I62" t="str">
            <v>Hà Nội, ngày 28 tháng 5 năm 2015</v>
          </cell>
          <cell r="J62" t="str">
            <v>15h30 ngày 28 tháng 5 năm 2015</v>
          </cell>
          <cell r="K62" t="str">
            <v>16h00 ngày 28 tháng 5 năm 2015</v>
          </cell>
          <cell r="L62" t="str">
            <v>16h00</v>
          </cell>
          <cell r="M62" t="str">
            <v>16h30</v>
          </cell>
          <cell r="N62">
            <v>28</v>
          </cell>
          <cell r="O62">
            <v>5</v>
          </cell>
          <cell r="P62">
            <v>2015</v>
          </cell>
          <cell r="Q62" t="str">
            <v>Hà Nội, ngày 28 tháng 5 năm 2015</v>
          </cell>
          <cell r="R62" t="str">
            <v>16h00 ngày 28 tháng 5 năm 2015</v>
          </cell>
          <cell r="S62" t="str">
            <v>16h30 ngày 28 tháng 5 năm 2015</v>
          </cell>
          <cell r="T62" t="str">
            <v>16h00</v>
          </cell>
          <cell r="U62" t="str">
            <v>16h00 Ngày 28/5/2015</v>
          </cell>
          <cell r="V62" t="str">
            <v>Nguyễn Ái Việt</v>
          </cell>
          <cell r="W62" t="str">
            <v>P. Chỉ huy trưởng</v>
          </cell>
          <cell r="X62" t="str">
            <v>................................</v>
          </cell>
          <cell r="Y62" t="str">
            <v>................................</v>
          </cell>
          <cell r="Z62" t="str">
            <v>Nguyễn Văn Nghiễm</v>
          </cell>
          <cell r="AA62" t="str">
            <v>Cán bộ KCS</v>
          </cell>
          <cell r="AB62" t="str">
            <v>Vương Toàn Hiếu</v>
          </cell>
          <cell r="AC62" t="str">
            <v>Trưởng đoàn TVGS</v>
          </cell>
          <cell r="AD62" t="str">
            <v>Lê Thiều Nam</v>
          </cell>
          <cell r="AE62" t="str">
            <v>Cán bộ TVGS</v>
          </cell>
          <cell r="AF62" t="str">
            <v>................................</v>
          </cell>
          <cell r="AG62" t="str">
            <v>Cán bộ TVGS</v>
          </cell>
          <cell r="AH62" t="str">
            <v>Nguyễn Ái Việt</v>
          </cell>
          <cell r="AI62" t="str">
            <v>Chỉ huy trưởng</v>
          </cell>
          <cell r="AJ62" t="str">
            <v>Hoàng Chiến Thắng</v>
          </cell>
          <cell r="AK62" t="str">
            <v>P. Chỉ huy trưởng</v>
          </cell>
          <cell r="AL62" t="str">
            <v>Trịnh Quang Đức</v>
          </cell>
          <cell r="AM62" t="str">
            <v>Cán bộ kỹ thuật</v>
          </cell>
          <cell r="AN62" t="str">
            <v>KC-63</v>
          </cell>
          <cell r="AR62" t="str">
            <v>Ngày 28 Tháng 5 Năm 2015</v>
          </cell>
        </row>
        <row r="63">
          <cell r="A63" t="str">
            <v>CT-53</v>
          </cell>
          <cell r="B63" t="str">
            <v>GCLD cốt thép cột, vách tầng 9</v>
          </cell>
          <cell r="C63" t="str">
            <v>CT-53</v>
          </cell>
          <cell r="D63" t="str">
            <v>14h15</v>
          </cell>
          <cell r="E63" t="str">
            <v>9h00</v>
          </cell>
          <cell r="F63">
            <v>20</v>
          </cell>
          <cell r="G63">
            <v>5</v>
          </cell>
          <cell r="H63">
            <v>2015</v>
          </cell>
          <cell r="I63" t="str">
            <v>Hà Nội, ngày 20 tháng 5 năm 2015</v>
          </cell>
          <cell r="J63" t="str">
            <v>14h15 ngày 20 tháng 5 năm 2015</v>
          </cell>
          <cell r="K63" t="str">
            <v>9h00 ngày 28 tháng 5 năm 2015</v>
          </cell>
          <cell r="L63" t="str">
            <v>15h00</v>
          </cell>
          <cell r="M63" t="str">
            <v>10h00</v>
          </cell>
          <cell r="N63">
            <v>28</v>
          </cell>
          <cell r="O63">
            <v>5</v>
          </cell>
          <cell r="P63">
            <v>2015</v>
          </cell>
          <cell r="Q63" t="str">
            <v>Hà Nội, ngày 28 tháng 5 năm 2015</v>
          </cell>
          <cell r="R63" t="str">
            <v>15h00 ngày 20 tháng 5 năm 2015</v>
          </cell>
          <cell r="S63" t="str">
            <v>10h00 ngày 28 tháng 5 năm 2015</v>
          </cell>
          <cell r="T63" t="str">
            <v>15h00</v>
          </cell>
          <cell r="U63" t="str">
            <v>15h00 Ngày 20/5/2015</v>
          </cell>
          <cell r="V63" t="str">
            <v>Nguyễn Ái Việt</v>
          </cell>
          <cell r="W63" t="str">
            <v>P. Chỉ huy trưởng</v>
          </cell>
          <cell r="X63" t="str">
            <v>................................</v>
          </cell>
          <cell r="Y63" t="str">
            <v>................................</v>
          </cell>
          <cell r="Z63" t="str">
            <v>Nguyễn Văn Nghiễm</v>
          </cell>
          <cell r="AA63" t="str">
            <v>Cán bộ KCS</v>
          </cell>
          <cell r="AB63" t="str">
            <v>Vương Toàn Hiếu</v>
          </cell>
          <cell r="AC63" t="str">
            <v>Trưởng đoàn TVGS</v>
          </cell>
          <cell r="AD63" t="str">
            <v>Lê Thiều Nam</v>
          </cell>
          <cell r="AE63" t="str">
            <v>Cán bộ TVGS</v>
          </cell>
          <cell r="AF63" t="str">
            <v>................................</v>
          </cell>
          <cell r="AG63" t="str">
            <v>Cán bộ TVGS</v>
          </cell>
          <cell r="AH63" t="str">
            <v>Nguyễn Ái Việt</v>
          </cell>
          <cell r="AI63" t="str">
            <v>Chỉ huy trưởng</v>
          </cell>
          <cell r="AJ63" t="str">
            <v>Hoàng Chiến Thắng</v>
          </cell>
          <cell r="AK63" t="str">
            <v>P. Chỉ huy trưởng</v>
          </cell>
          <cell r="AL63" t="str">
            <v>Trịnh Quang Đức</v>
          </cell>
          <cell r="AM63" t="str">
            <v>Cán bộ kỹ thuật</v>
          </cell>
          <cell r="AN63" t="str">
            <v>KC-19;KC-21÷KC-26</v>
          </cell>
          <cell r="AR63" t="str">
            <v>Ngày 20 Tháng 5 Năm 2015</v>
          </cell>
        </row>
        <row r="64">
          <cell r="A64" t="str">
            <v>CT-54</v>
          </cell>
          <cell r="B64" t="str">
            <v>GCLD cốt thép dầm, sàn tầng 10 trục (X1÷X4/Y1÷Y5) và (X1÷X2/Y5÷Y8)</v>
          </cell>
          <cell r="C64" t="str">
            <v>CT-54</v>
          </cell>
          <cell r="D64" t="str">
            <v>16h00</v>
          </cell>
          <cell r="E64" t="str">
            <v>17h00</v>
          </cell>
          <cell r="F64">
            <v>31</v>
          </cell>
          <cell r="G64">
            <v>5</v>
          </cell>
          <cell r="H64">
            <v>2015</v>
          </cell>
          <cell r="I64" t="str">
            <v>Hà Nội, ngày 31 tháng 5 năm 2015</v>
          </cell>
          <cell r="J64" t="str">
            <v>16h00 ngày 31 tháng 5 năm 2015</v>
          </cell>
          <cell r="K64" t="str">
            <v>17h00 ngày 31 tháng 5 năm 2015</v>
          </cell>
          <cell r="L64" t="str">
            <v>17h00</v>
          </cell>
          <cell r="M64" t="str">
            <v>18h00</v>
          </cell>
          <cell r="N64">
            <v>31</v>
          </cell>
          <cell r="O64">
            <v>5</v>
          </cell>
          <cell r="P64">
            <v>2015</v>
          </cell>
          <cell r="Q64" t="str">
            <v>Hà Nội, ngày 31 tháng 5 năm 2015</v>
          </cell>
          <cell r="R64" t="str">
            <v>17h00 ngày 31 tháng 5 năm 2015</v>
          </cell>
          <cell r="S64" t="str">
            <v>18h00 ngày 31 tháng 5 năm 2015</v>
          </cell>
          <cell r="T64" t="str">
            <v>17h00</v>
          </cell>
          <cell r="U64" t="str">
            <v>17h00 Ngày 31/5/2015</v>
          </cell>
          <cell r="V64" t="str">
            <v>Nguyễn Ái Việt</v>
          </cell>
          <cell r="W64" t="str">
            <v>P. Chỉ huy trưởng</v>
          </cell>
          <cell r="X64" t="str">
            <v>................................</v>
          </cell>
          <cell r="Y64" t="str">
            <v>................................</v>
          </cell>
          <cell r="Z64" t="str">
            <v>Nguyễn Văn Nghiễm</v>
          </cell>
          <cell r="AA64" t="str">
            <v>Cán bộ KCS</v>
          </cell>
          <cell r="AB64" t="str">
            <v>Vương Toàn Hiếu</v>
          </cell>
          <cell r="AC64" t="str">
            <v>Trưởng đoàn TVGS</v>
          </cell>
          <cell r="AD64" t="str">
            <v>Lê Thiều Nam</v>
          </cell>
          <cell r="AE64" t="str">
            <v>Cán bộ TVGS</v>
          </cell>
          <cell r="AF64" t="str">
            <v>................................</v>
          </cell>
          <cell r="AG64" t="str">
            <v>Cán bộ TVGS</v>
          </cell>
          <cell r="AH64" t="str">
            <v>Nguyễn Ái Việt</v>
          </cell>
          <cell r="AI64" t="str">
            <v>Chỉ huy trưởng</v>
          </cell>
          <cell r="AJ64" t="str">
            <v>Hoàng Chiến Thắng</v>
          </cell>
          <cell r="AK64" t="str">
            <v>P. Chỉ huy trưởng</v>
          </cell>
          <cell r="AL64" t="str">
            <v>Trịnh Quang Đức</v>
          </cell>
          <cell r="AM64" t="str">
            <v>Cán bộ kỹ thuật</v>
          </cell>
          <cell r="AN64" t="str">
            <v>KC-35÷KC-38;KC-54÷KC-55</v>
          </cell>
          <cell r="AR64" t="str">
            <v>Ngày 31 Tháng 5 Năm 2015</v>
          </cell>
        </row>
        <row r="65">
          <cell r="A65" t="str">
            <v>CT-55</v>
          </cell>
          <cell r="B65" t="str">
            <v>GCLD cốt thép dầm, sàn tầng 10 trục (X2÷X4'/Y5÷Y8) và (X4'-X8/Y5'-Y8)</v>
          </cell>
          <cell r="C65" t="str">
            <v>CT-55</v>
          </cell>
          <cell r="D65" t="str">
            <v>8h00</v>
          </cell>
          <cell r="E65" t="str">
            <v>9h00</v>
          </cell>
          <cell r="F65">
            <v>6</v>
          </cell>
          <cell r="G65">
            <v>6</v>
          </cell>
          <cell r="H65">
            <v>2015</v>
          </cell>
          <cell r="I65" t="str">
            <v>Hà Nội, ngày 6 tháng 6 năm 2015</v>
          </cell>
          <cell r="J65" t="str">
            <v>8h00 ngày 6 tháng 6 năm 2015</v>
          </cell>
          <cell r="K65" t="str">
            <v>9h00 ngày 6 tháng 6 năm 2015</v>
          </cell>
          <cell r="L65" t="str">
            <v>9h00</v>
          </cell>
          <cell r="M65" t="str">
            <v>10h00</v>
          </cell>
          <cell r="N65">
            <v>6</v>
          </cell>
          <cell r="O65">
            <v>6</v>
          </cell>
          <cell r="P65">
            <v>2015</v>
          </cell>
          <cell r="Q65" t="str">
            <v>Hà Nội, ngày 6 tháng 6 năm 2015</v>
          </cell>
          <cell r="R65" t="str">
            <v>9h00 ngày 6 tháng 6 năm 2015</v>
          </cell>
          <cell r="S65" t="str">
            <v>10h00 ngày 6 tháng 6 năm 2015</v>
          </cell>
          <cell r="T65" t="str">
            <v>9h00</v>
          </cell>
          <cell r="U65" t="str">
            <v>9h00 Ngày 6/6/2015</v>
          </cell>
          <cell r="V65" t="str">
            <v>Nguyễn Ái Việt</v>
          </cell>
          <cell r="W65" t="str">
            <v>P. Chỉ huy trưởng</v>
          </cell>
          <cell r="X65" t="str">
            <v>................................</v>
          </cell>
          <cell r="Y65" t="str">
            <v>................................</v>
          </cell>
          <cell r="Z65" t="str">
            <v>Nguyễn Văn Nghiễm</v>
          </cell>
          <cell r="AA65" t="str">
            <v>Cán bộ KCS</v>
          </cell>
          <cell r="AB65" t="str">
            <v>Vương Toàn Hiếu</v>
          </cell>
          <cell r="AC65" t="str">
            <v>Trưởng đoàn TVGS</v>
          </cell>
          <cell r="AD65" t="str">
            <v>Lê Thiều Nam</v>
          </cell>
          <cell r="AE65" t="str">
            <v>Cán bộ TVGS</v>
          </cell>
          <cell r="AF65" t="str">
            <v>................................</v>
          </cell>
          <cell r="AG65" t="str">
            <v>Cán bộ TVGS</v>
          </cell>
          <cell r="AH65" t="str">
            <v>Nguyễn Ái Việt</v>
          </cell>
          <cell r="AI65" t="str">
            <v>Chỉ huy trưởng</v>
          </cell>
          <cell r="AJ65" t="str">
            <v>Hoàng Chiến Thắng</v>
          </cell>
          <cell r="AK65" t="str">
            <v>P. Chỉ huy trưởng</v>
          </cell>
          <cell r="AL65" t="str">
            <v>Trịnh Quang Đức</v>
          </cell>
          <cell r="AM65" t="str">
            <v>Cán bộ kỹ thuật</v>
          </cell>
          <cell r="AN65" t="str">
            <v>KC-35÷KC-38;KC-54÷KC-55</v>
          </cell>
          <cell r="AR65" t="str">
            <v>Ngày 6 Tháng 6 Năm 2015</v>
          </cell>
        </row>
        <row r="66">
          <cell r="A66" t="str">
            <v>CT-56</v>
          </cell>
          <cell r="B66" t="str">
            <v>GCLD cốt thép cột, vách tầng 10</v>
          </cell>
          <cell r="C66" t="str">
            <v>CT-56</v>
          </cell>
          <cell r="D66" t="str">
            <v>15h00</v>
          </cell>
          <cell r="E66" t="str">
            <v>8h00</v>
          </cell>
          <cell r="F66">
            <v>1</v>
          </cell>
          <cell r="G66">
            <v>6</v>
          </cell>
          <cell r="H66">
            <v>2015</v>
          </cell>
          <cell r="I66" t="str">
            <v>Hà Nội, ngày 1 tháng 6 năm 2015</v>
          </cell>
          <cell r="J66" t="str">
            <v>15h00 ngày 1 tháng 6 năm 2015</v>
          </cell>
          <cell r="K66" t="str">
            <v>8h00 ngày 9 tháng 6 năm 2015</v>
          </cell>
          <cell r="L66" t="str">
            <v>16h00</v>
          </cell>
          <cell r="M66" t="str">
            <v>9h00</v>
          </cell>
          <cell r="N66">
            <v>9</v>
          </cell>
          <cell r="O66">
            <v>6</v>
          </cell>
          <cell r="P66">
            <v>2015</v>
          </cell>
          <cell r="Q66" t="str">
            <v>Hà Nội, ngày 9 tháng 6 năm 2015</v>
          </cell>
          <cell r="R66" t="str">
            <v>16h00 ngày 1 tháng 6 năm 2015</v>
          </cell>
          <cell r="S66" t="str">
            <v>9h00 ngày 9 tháng 6 năm 2015</v>
          </cell>
          <cell r="T66" t="str">
            <v>16h00</v>
          </cell>
          <cell r="U66" t="str">
            <v>16h00 Ngày 1/6/2015</v>
          </cell>
          <cell r="V66" t="str">
            <v>Nguyễn Ái Việt</v>
          </cell>
          <cell r="W66" t="str">
            <v>P. Chỉ huy trưởng</v>
          </cell>
          <cell r="X66" t="str">
            <v>................................</v>
          </cell>
          <cell r="Y66" t="str">
            <v>................................</v>
          </cell>
          <cell r="Z66" t="str">
            <v>Nguyễn Văn Nghiễm</v>
          </cell>
          <cell r="AA66" t="str">
            <v>Cán bộ KCS</v>
          </cell>
          <cell r="AB66" t="str">
            <v>Vương Toàn Hiếu</v>
          </cell>
          <cell r="AC66" t="str">
            <v>Trưởng đoàn TVGS</v>
          </cell>
          <cell r="AD66" t="str">
            <v>Lê Thiều Nam</v>
          </cell>
          <cell r="AE66" t="str">
            <v>Cán bộ TVGS</v>
          </cell>
          <cell r="AF66" t="str">
            <v>................................</v>
          </cell>
          <cell r="AG66" t="str">
            <v>Cán bộ TVGS</v>
          </cell>
          <cell r="AH66" t="str">
            <v>Nguyễn Ái Việt</v>
          </cell>
          <cell r="AI66" t="str">
            <v>Chỉ huy trưởng</v>
          </cell>
          <cell r="AJ66" t="str">
            <v>Hoàng Chiến Thắng</v>
          </cell>
          <cell r="AK66" t="str">
            <v>P. Chỉ huy trưởng</v>
          </cell>
          <cell r="AL66" t="str">
            <v>Trịnh Quang Đức</v>
          </cell>
          <cell r="AM66" t="str">
            <v>Cán bộ kỹ thuật</v>
          </cell>
          <cell r="AN66" t="str">
            <v>KC-19;KC-21÷KC-26</v>
          </cell>
          <cell r="AR66" t="str">
            <v>Ngày 1 Tháng 6 Năm 2015</v>
          </cell>
        </row>
        <row r="67">
          <cell r="A67" t="str">
            <v>CT-57</v>
          </cell>
          <cell r="B67" t="str">
            <v>GCLD cốt thép thang bộ LT tầng 5, thang bộ TB tầng 5, 6 trục X8+2,55m/Y5'-Y7'</v>
          </cell>
          <cell r="C67" t="str">
            <v>CT-57</v>
          </cell>
          <cell r="D67" t="str">
            <v>8h30</v>
          </cell>
          <cell r="E67" t="str">
            <v>9h30</v>
          </cell>
          <cell r="F67">
            <v>10</v>
          </cell>
          <cell r="G67">
            <v>6</v>
          </cell>
          <cell r="H67">
            <v>2015</v>
          </cell>
          <cell r="I67" t="str">
            <v>Hà Nội, ngày 10 tháng 6 năm 2015</v>
          </cell>
          <cell r="J67" t="str">
            <v>8h30 ngày 10 tháng 6 năm 2015</v>
          </cell>
          <cell r="K67" t="str">
            <v>9h30 ngày 10 tháng 6 năm 2015</v>
          </cell>
          <cell r="L67" t="str">
            <v>9h30</v>
          </cell>
          <cell r="M67" t="str">
            <v>10h30</v>
          </cell>
          <cell r="N67">
            <v>10</v>
          </cell>
          <cell r="O67">
            <v>6</v>
          </cell>
          <cell r="P67">
            <v>2015</v>
          </cell>
          <cell r="Q67" t="str">
            <v>Hà Nội, ngày 10 tháng 6 năm 2015</v>
          </cell>
          <cell r="R67" t="str">
            <v>9h30 ngày 10 tháng 6 năm 2015</v>
          </cell>
          <cell r="S67" t="str">
            <v>10h30 ngày 10 tháng 6 năm 2015</v>
          </cell>
          <cell r="T67" t="str">
            <v>9h30</v>
          </cell>
          <cell r="U67" t="str">
            <v>9h30 Ngày 10/6/2015</v>
          </cell>
          <cell r="V67" t="str">
            <v>Nguyễn Ái Việt</v>
          </cell>
          <cell r="W67" t="str">
            <v>P. Chỉ huy trưởng</v>
          </cell>
          <cell r="X67" t="str">
            <v>................................</v>
          </cell>
          <cell r="Y67" t="str">
            <v>................................</v>
          </cell>
          <cell r="Z67" t="str">
            <v>Nguyễn Văn Nghiễm</v>
          </cell>
          <cell r="AA67" t="str">
            <v>Cán bộ KCS</v>
          </cell>
          <cell r="AB67" t="str">
            <v>Vương Toàn Hiếu</v>
          </cell>
          <cell r="AC67" t="str">
            <v>Trưởng đoàn TVGS</v>
          </cell>
          <cell r="AD67" t="str">
            <v>Lê Thiều Nam</v>
          </cell>
          <cell r="AE67" t="str">
            <v>Cán bộ TVGS</v>
          </cell>
          <cell r="AF67" t="str">
            <v>................................</v>
          </cell>
          <cell r="AG67" t="str">
            <v>Cán bộ TVGS</v>
          </cell>
          <cell r="AH67" t="str">
            <v>Nguyễn Ái Việt</v>
          </cell>
          <cell r="AI67" t="str">
            <v>Chỉ huy trưởng</v>
          </cell>
          <cell r="AJ67" t="str">
            <v>Hoàng Chiến Thắng</v>
          </cell>
          <cell r="AK67" t="str">
            <v>P. Chỉ huy trưởng</v>
          </cell>
          <cell r="AL67" t="str">
            <v>Trịnh Quang Đức</v>
          </cell>
          <cell r="AM67" t="str">
            <v>Cán bộ kỹ thuật</v>
          </cell>
          <cell r="AN67" t="str">
            <v>KC-62; KC-63</v>
          </cell>
          <cell r="AR67" t="str">
            <v>Ngày 10 Tháng 6 Năm 2015</v>
          </cell>
        </row>
        <row r="68">
          <cell r="A68" t="str">
            <v>CT-58</v>
          </cell>
          <cell r="B68" t="str">
            <v>GCLD cốt thép dầm, sàn tầng 11 trục (X1÷X4/Y1÷Y5) và (X1÷X2/Y5÷Y8)</v>
          </cell>
          <cell r="C68" t="str">
            <v>CT-58</v>
          </cell>
          <cell r="D68" t="str">
            <v>15h00</v>
          </cell>
          <cell r="E68" t="str">
            <v>16h00</v>
          </cell>
          <cell r="F68">
            <v>13</v>
          </cell>
          <cell r="G68">
            <v>6</v>
          </cell>
          <cell r="H68">
            <v>2015</v>
          </cell>
          <cell r="I68" t="str">
            <v>Hà Nội, ngày 13 tháng 6 năm 2015</v>
          </cell>
          <cell r="J68" t="str">
            <v>15h00 ngày 13 tháng 6 năm 2015</v>
          </cell>
          <cell r="K68" t="str">
            <v>16h00 ngày 13 tháng 6 năm 2015</v>
          </cell>
          <cell r="L68" t="str">
            <v>16h00</v>
          </cell>
          <cell r="M68" t="str">
            <v>17h00</v>
          </cell>
          <cell r="N68">
            <v>13</v>
          </cell>
          <cell r="O68">
            <v>6</v>
          </cell>
          <cell r="P68">
            <v>2015</v>
          </cell>
          <cell r="Q68" t="str">
            <v>Hà Nội, ngày 13 tháng 6 năm 2015</v>
          </cell>
          <cell r="R68" t="str">
            <v>16h00 ngày 13 tháng 6 năm 2015</v>
          </cell>
          <cell r="S68" t="str">
            <v>17h00 ngày 13 tháng 6 năm 2015</v>
          </cell>
          <cell r="T68" t="str">
            <v>16h00</v>
          </cell>
          <cell r="U68" t="str">
            <v>16h00 Ngày 13/6/2015</v>
          </cell>
          <cell r="V68" t="str">
            <v>Nguyễn Ái Việt</v>
          </cell>
          <cell r="W68" t="str">
            <v>P. Chỉ huy trưởng</v>
          </cell>
          <cell r="X68" t="str">
            <v>................................</v>
          </cell>
          <cell r="Y68" t="str">
            <v>................................</v>
          </cell>
          <cell r="Z68" t="str">
            <v>Nguyễn Văn Nghiễm</v>
          </cell>
          <cell r="AA68" t="str">
            <v>Cán bộ KCS</v>
          </cell>
          <cell r="AB68" t="str">
            <v>Vương Toàn Hiếu</v>
          </cell>
          <cell r="AC68" t="str">
            <v>Trưởng đoàn TVGS</v>
          </cell>
          <cell r="AD68" t="str">
            <v>Lê Thiều Nam</v>
          </cell>
          <cell r="AE68" t="str">
            <v>Cán bộ TVGS</v>
          </cell>
          <cell r="AF68" t="str">
            <v>................................</v>
          </cell>
          <cell r="AG68" t="str">
            <v>Cán bộ TVGS</v>
          </cell>
          <cell r="AH68" t="str">
            <v>Nguyễn Ái Việt</v>
          </cell>
          <cell r="AI68" t="str">
            <v>Chỉ huy trưởng</v>
          </cell>
          <cell r="AJ68" t="str">
            <v>Hoàng Chiến Thắng</v>
          </cell>
          <cell r="AK68" t="str">
            <v>P. Chỉ huy trưởng</v>
          </cell>
          <cell r="AL68" t="str">
            <v>Trịnh Quang Đức</v>
          </cell>
          <cell r="AM68" t="str">
            <v>Cán bộ kỹ thuật</v>
          </cell>
          <cell r="AN68" t="str">
            <v>KC-35÷KC-38;KC-54÷KC-55</v>
          </cell>
          <cell r="AR68" t="str">
            <v>Ngày 13 Tháng 6 Năm 2015</v>
          </cell>
        </row>
        <row r="69">
          <cell r="A69" t="str">
            <v>CT-59</v>
          </cell>
          <cell r="B69" t="str">
            <v>GCLD cốt thép dầm, sàn tầng 11 trục (X2÷X4'/Y5÷Y8) và (X4'-X8/Y5'-Y8)</v>
          </cell>
          <cell r="C69" t="str">
            <v>CT-59</v>
          </cell>
          <cell r="D69" t="str">
            <v>9h00</v>
          </cell>
          <cell r="E69" t="str">
            <v>10h00</v>
          </cell>
          <cell r="F69">
            <v>17</v>
          </cell>
          <cell r="G69">
            <v>6</v>
          </cell>
          <cell r="H69">
            <v>2015</v>
          </cell>
          <cell r="I69" t="str">
            <v>Hà Nội, ngày 17 tháng 6 năm 2015</v>
          </cell>
          <cell r="J69" t="str">
            <v>9h00 ngày 17 tháng 6 năm 2015</v>
          </cell>
          <cell r="K69" t="str">
            <v>10h00 ngày 17 tháng 6 năm 2015</v>
          </cell>
          <cell r="L69" t="str">
            <v>10h00</v>
          </cell>
          <cell r="M69" t="str">
            <v>11h00</v>
          </cell>
          <cell r="N69">
            <v>17</v>
          </cell>
          <cell r="O69">
            <v>6</v>
          </cell>
          <cell r="P69">
            <v>2015</v>
          </cell>
          <cell r="Q69" t="str">
            <v>Hà Nội, ngày 17 tháng 6 năm 2015</v>
          </cell>
          <cell r="R69" t="str">
            <v>10h00 ngày 17 tháng 6 năm 2015</v>
          </cell>
          <cell r="S69" t="str">
            <v>11h00 ngày 17 tháng 6 năm 2015</v>
          </cell>
          <cell r="T69" t="str">
            <v>10h00</v>
          </cell>
          <cell r="U69" t="str">
            <v>10h00 Ngày 17/6/2015</v>
          </cell>
          <cell r="V69" t="str">
            <v>Nguyễn Ái Việt</v>
          </cell>
          <cell r="W69" t="str">
            <v>P. Chỉ huy trưởng</v>
          </cell>
          <cell r="X69" t="str">
            <v>................................</v>
          </cell>
          <cell r="Y69" t="str">
            <v>................................</v>
          </cell>
          <cell r="Z69" t="str">
            <v>Nguyễn Văn Nghiễm</v>
          </cell>
          <cell r="AA69" t="str">
            <v>Cán bộ KCS</v>
          </cell>
          <cell r="AB69" t="str">
            <v>Vương Toàn Hiếu</v>
          </cell>
          <cell r="AC69" t="str">
            <v>Trưởng đoàn TVGS</v>
          </cell>
          <cell r="AD69" t="str">
            <v>Lê Thiều Nam</v>
          </cell>
          <cell r="AE69" t="str">
            <v>Cán bộ TVGS</v>
          </cell>
          <cell r="AF69" t="str">
            <v>................................</v>
          </cell>
          <cell r="AG69" t="str">
            <v>Cán bộ TVGS</v>
          </cell>
          <cell r="AH69" t="str">
            <v>Nguyễn Ái Việt</v>
          </cell>
          <cell r="AI69" t="str">
            <v>Chỉ huy trưởng</v>
          </cell>
          <cell r="AJ69" t="str">
            <v>Hoàng Chiến Thắng</v>
          </cell>
          <cell r="AK69" t="str">
            <v>P. Chỉ huy trưởng</v>
          </cell>
          <cell r="AL69" t="str">
            <v>Trịnh Quang Đức</v>
          </cell>
          <cell r="AM69" t="str">
            <v>Cán bộ kỹ thuật</v>
          </cell>
          <cell r="AN69" t="str">
            <v>KC-35÷KC-38;KC-54÷KC-55</v>
          </cell>
          <cell r="AR69" t="str">
            <v>Ngày 17 Tháng 6 Năm 2015</v>
          </cell>
        </row>
        <row r="70">
          <cell r="A70" t="str">
            <v>CT-60</v>
          </cell>
          <cell r="B70" t="str">
            <v>GCLD cốt thép cột, vách tầng 11</v>
          </cell>
          <cell r="C70" t="str">
            <v>CT-60</v>
          </cell>
          <cell r="D70" t="str">
            <v>15h00</v>
          </cell>
          <cell r="E70" t="str">
            <v>16h00</v>
          </cell>
          <cell r="F70">
            <v>15</v>
          </cell>
          <cell r="G70">
            <v>6</v>
          </cell>
          <cell r="H70">
            <v>2015</v>
          </cell>
          <cell r="I70" t="str">
            <v>Hà Nội, ngày 15 tháng 6 năm 2015</v>
          </cell>
          <cell r="J70" t="str">
            <v>15h00 ngày 15 tháng 6 năm 2015</v>
          </cell>
          <cell r="K70" t="str">
            <v>16h00 ngày 20 tháng 6 năm 2015</v>
          </cell>
          <cell r="L70" t="str">
            <v>15h45</v>
          </cell>
          <cell r="M70" t="str">
            <v>16h45</v>
          </cell>
          <cell r="N70">
            <v>20</v>
          </cell>
          <cell r="O70">
            <v>6</v>
          </cell>
          <cell r="P70">
            <v>2015</v>
          </cell>
          <cell r="Q70" t="str">
            <v>Hà Nội, ngày 20 tháng 6 năm 2015</v>
          </cell>
          <cell r="R70" t="str">
            <v>15h45 ngày 15 tháng 6 năm 2015</v>
          </cell>
          <cell r="S70" t="str">
            <v>16h45 ngày 20 tháng 6 năm 2015</v>
          </cell>
          <cell r="T70" t="str">
            <v>15h45</v>
          </cell>
          <cell r="U70" t="str">
            <v>15h45 Ngày 15/6/2015</v>
          </cell>
          <cell r="V70" t="str">
            <v>Nguyễn Ái Việt</v>
          </cell>
          <cell r="W70" t="str">
            <v>P. Chỉ huy trưởng</v>
          </cell>
          <cell r="X70" t="str">
            <v>................................</v>
          </cell>
          <cell r="Y70" t="str">
            <v>................................</v>
          </cell>
          <cell r="Z70" t="str">
            <v>Nguyễn Văn Nghiễm</v>
          </cell>
          <cell r="AA70" t="str">
            <v>Cán bộ KCS</v>
          </cell>
          <cell r="AB70" t="str">
            <v>Vương Toàn Hiếu</v>
          </cell>
          <cell r="AC70" t="str">
            <v>Trưởng đoàn TVGS</v>
          </cell>
          <cell r="AD70" t="str">
            <v>Lê Thiều Nam</v>
          </cell>
          <cell r="AE70" t="str">
            <v>Cán bộ TVGS</v>
          </cell>
          <cell r="AF70" t="str">
            <v>................................</v>
          </cell>
          <cell r="AG70" t="str">
            <v>Cán bộ TVGS</v>
          </cell>
          <cell r="AH70" t="str">
            <v>Nguyễn Ái Việt</v>
          </cell>
          <cell r="AI70" t="str">
            <v>Chỉ huy trưởng</v>
          </cell>
          <cell r="AJ70" t="str">
            <v>Hoàng Chiến Thắng</v>
          </cell>
          <cell r="AK70" t="str">
            <v>P. Chỉ huy trưởng</v>
          </cell>
          <cell r="AL70" t="str">
            <v>Trịnh Quang Đức</v>
          </cell>
          <cell r="AM70" t="str">
            <v>Cán bộ kỹ thuật</v>
          </cell>
          <cell r="AN70" t="str">
            <v>KC-19;KC-21÷KC-26</v>
          </cell>
          <cell r="AR70" t="str">
            <v>Ngày 15 Tháng 6 Năm 2015</v>
          </cell>
        </row>
        <row r="71">
          <cell r="A71" t="str">
            <v>CT-61</v>
          </cell>
          <cell r="B71" t="str">
            <v>GCLD cốt thép thang bộ LT tầng 6, tầng 7</v>
          </cell>
          <cell r="C71" t="str">
            <v>CT-61</v>
          </cell>
          <cell r="D71" t="str">
            <v>10h00</v>
          </cell>
          <cell r="E71" t="str">
            <v>10h45</v>
          </cell>
          <cell r="F71">
            <v>22</v>
          </cell>
          <cell r="G71">
            <v>6</v>
          </cell>
          <cell r="H71">
            <v>2015</v>
          </cell>
          <cell r="I71" t="str">
            <v>Hà Nội, ngày 22 tháng 6 năm 2015</v>
          </cell>
          <cell r="J71" t="str">
            <v>10h00 ngày 22 tháng 6 năm 2015</v>
          </cell>
          <cell r="K71" t="str">
            <v>10h45 ngày 22 tháng 6 năm 2015</v>
          </cell>
          <cell r="L71" t="str">
            <v>10h45</v>
          </cell>
          <cell r="M71" t="str">
            <v>11h30</v>
          </cell>
          <cell r="N71">
            <v>22</v>
          </cell>
          <cell r="O71">
            <v>6</v>
          </cell>
          <cell r="P71">
            <v>2015</v>
          </cell>
          <cell r="Q71" t="str">
            <v>Hà Nội, ngày 22 tháng 6 năm 2015</v>
          </cell>
          <cell r="R71" t="str">
            <v>10h45 ngày 22 tháng 6 năm 2015</v>
          </cell>
          <cell r="S71" t="str">
            <v>11h30 ngày 22 tháng 6 năm 2015</v>
          </cell>
          <cell r="T71" t="str">
            <v>10h45</v>
          </cell>
          <cell r="U71" t="str">
            <v>10h45 Ngày 22/6/2015</v>
          </cell>
          <cell r="V71" t="str">
            <v>Nguyễn Ái Việt</v>
          </cell>
          <cell r="W71" t="str">
            <v>P. Chỉ huy trưởng</v>
          </cell>
          <cell r="X71" t="str">
            <v>................................</v>
          </cell>
          <cell r="Y71" t="str">
            <v>................................</v>
          </cell>
          <cell r="Z71" t="str">
            <v>Nguyễn Văn Nghiễm</v>
          </cell>
          <cell r="AA71" t="str">
            <v>Cán bộ KCS</v>
          </cell>
          <cell r="AB71" t="str">
            <v>Vương Toàn Hiếu</v>
          </cell>
          <cell r="AC71" t="str">
            <v>Trưởng đoàn TVGS</v>
          </cell>
          <cell r="AD71" t="str">
            <v>Lê Thiều Nam</v>
          </cell>
          <cell r="AE71" t="str">
            <v>Cán bộ TVGS</v>
          </cell>
          <cell r="AF71" t="str">
            <v>................................</v>
          </cell>
          <cell r="AG71" t="str">
            <v>Cán bộ TVGS</v>
          </cell>
          <cell r="AH71" t="str">
            <v>Nguyễn Ái Việt</v>
          </cell>
          <cell r="AI71" t="str">
            <v>Chỉ huy trưởng</v>
          </cell>
          <cell r="AJ71" t="str">
            <v>Hoàng Chiến Thắng</v>
          </cell>
          <cell r="AK71" t="str">
            <v>P. Chỉ huy trưởng</v>
          </cell>
          <cell r="AL71" t="str">
            <v>Trịnh Quang Đức</v>
          </cell>
          <cell r="AM71" t="str">
            <v>Cán bộ kỹ thuật</v>
          </cell>
          <cell r="AN71" t="str">
            <v>KC-62</v>
          </cell>
          <cell r="AR71" t="str">
            <v>Ngày 22 Tháng 6 Năm 2015</v>
          </cell>
        </row>
        <row r="72">
          <cell r="A72" t="str">
            <v>CT-62</v>
          </cell>
          <cell r="B72" t="str">
            <v>GCLD cốt thép dầm, sàn tầng áp mái</v>
          </cell>
          <cell r="C72" t="str">
            <v>CT-62</v>
          </cell>
          <cell r="D72" t="str">
            <v>15h00</v>
          </cell>
          <cell r="E72" t="str">
            <v>16h30</v>
          </cell>
          <cell r="F72">
            <v>29</v>
          </cell>
          <cell r="G72">
            <v>6</v>
          </cell>
          <cell r="H72">
            <v>2015</v>
          </cell>
          <cell r="I72" t="str">
            <v>Hà Nội, ngày 29 tháng 6 năm 2015</v>
          </cell>
          <cell r="J72" t="str">
            <v>15h00 ngày 29 tháng 6 năm 2015</v>
          </cell>
          <cell r="K72" t="str">
            <v>16h30 ngày 29 tháng 6 năm 2015</v>
          </cell>
          <cell r="L72" t="str">
            <v>16h30</v>
          </cell>
          <cell r="M72" t="str">
            <v>18h00</v>
          </cell>
          <cell r="N72">
            <v>29</v>
          </cell>
          <cell r="O72">
            <v>6</v>
          </cell>
          <cell r="P72">
            <v>2015</v>
          </cell>
          <cell r="Q72" t="str">
            <v>Hà Nội, ngày 29 tháng 6 năm 2015</v>
          </cell>
          <cell r="R72" t="str">
            <v>16h30 ngày 29 tháng 6 năm 2015</v>
          </cell>
          <cell r="S72" t="str">
            <v>18h00 ngày 29 tháng 6 năm 2015</v>
          </cell>
          <cell r="T72" t="str">
            <v>16h30</v>
          </cell>
          <cell r="U72" t="str">
            <v>16h30 Ngày 29/6/2015</v>
          </cell>
          <cell r="V72" t="str">
            <v>Nguyễn Ái Việt</v>
          </cell>
          <cell r="W72" t="str">
            <v>P. Chỉ huy trưởng</v>
          </cell>
          <cell r="X72" t="str">
            <v>................................</v>
          </cell>
          <cell r="Y72" t="str">
            <v>................................</v>
          </cell>
          <cell r="Z72" t="str">
            <v>Nguyễn Văn Nghiễm</v>
          </cell>
          <cell r="AA72" t="str">
            <v>Cán bộ KCS</v>
          </cell>
          <cell r="AB72" t="str">
            <v>Vương Toàn Hiếu</v>
          </cell>
          <cell r="AC72" t="str">
            <v>Trưởng đoàn TVGS</v>
          </cell>
          <cell r="AD72" t="str">
            <v>Lê Thiều Nam</v>
          </cell>
          <cell r="AE72" t="str">
            <v>Cán bộ TVGS</v>
          </cell>
          <cell r="AF72" t="str">
            <v>................................</v>
          </cell>
          <cell r="AG72" t="str">
            <v>Cán bộ TVGS</v>
          </cell>
          <cell r="AH72" t="str">
            <v>Nguyễn Ái Việt</v>
          </cell>
          <cell r="AI72" t="str">
            <v>Chỉ huy trưởng</v>
          </cell>
          <cell r="AJ72" t="str">
            <v>Hoàng Chiến Thắng</v>
          </cell>
          <cell r="AK72" t="str">
            <v>P. Chỉ huy trưởng</v>
          </cell>
          <cell r="AL72" t="str">
            <v>Trịnh Quang Đức</v>
          </cell>
          <cell r="AM72" t="str">
            <v>Cán bộ kỹ thuật</v>
          </cell>
          <cell r="AN72" t="str">
            <v>KC-41÷KC-45;KC-56÷KC-57</v>
          </cell>
          <cell r="AR72" t="str">
            <v>Ngày 29 Tháng 6 Năm 2015</v>
          </cell>
        </row>
        <row r="73">
          <cell r="A73" t="str">
            <v>CT-63</v>
          </cell>
          <cell r="B73" t="str">
            <v>GCLD cốt thép thang bộ TB tầng 7 trục X8+2,55m/Y5'-Y7'; thang bộ LT tầng 8</v>
          </cell>
          <cell r="C73" t="str">
            <v>CT-63</v>
          </cell>
          <cell r="D73" t="str">
            <v>8h15</v>
          </cell>
          <cell r="E73" t="str">
            <v>9h00</v>
          </cell>
          <cell r="F73">
            <v>5</v>
          </cell>
          <cell r="G73">
            <v>7</v>
          </cell>
          <cell r="H73">
            <v>2015</v>
          </cell>
          <cell r="I73" t="str">
            <v>Hà Nội, ngày 5 tháng 7 năm 2015</v>
          </cell>
          <cell r="J73" t="str">
            <v>8h15 ngày 5 tháng 7 năm 2015</v>
          </cell>
          <cell r="K73" t="str">
            <v>9h00 ngày 5 tháng 7 năm 2015</v>
          </cell>
          <cell r="L73" t="str">
            <v>9h00</v>
          </cell>
          <cell r="M73" t="str">
            <v>9h45</v>
          </cell>
          <cell r="N73">
            <v>5</v>
          </cell>
          <cell r="O73">
            <v>7</v>
          </cell>
          <cell r="P73">
            <v>2015</v>
          </cell>
          <cell r="Q73" t="str">
            <v>Hà Nội, ngày 5 tháng 7 năm 2015</v>
          </cell>
          <cell r="R73" t="str">
            <v>9h00 ngày 5 tháng 7 năm 2015</v>
          </cell>
          <cell r="S73" t="str">
            <v>9h45 ngày 5 tháng 7 năm 2015</v>
          </cell>
          <cell r="T73" t="str">
            <v>9h00</v>
          </cell>
          <cell r="U73" t="str">
            <v>9h00 Ngày 5/7/2015</v>
          </cell>
          <cell r="V73" t="str">
            <v>Nguyễn Ái Việt</v>
          </cell>
          <cell r="W73" t="str">
            <v>P. Chỉ huy trưởng</v>
          </cell>
          <cell r="X73" t="str">
            <v>................................</v>
          </cell>
          <cell r="Y73" t="str">
            <v>................................</v>
          </cell>
          <cell r="Z73" t="str">
            <v>Nguyễn Văn Nghiễm</v>
          </cell>
          <cell r="AA73" t="str">
            <v>Cán bộ KCS</v>
          </cell>
          <cell r="AB73" t="str">
            <v>Vương Toàn Hiếu</v>
          </cell>
          <cell r="AC73" t="str">
            <v>Trưởng đoàn TVGS</v>
          </cell>
          <cell r="AD73" t="str">
            <v>Lê Thiều Nam</v>
          </cell>
          <cell r="AE73" t="str">
            <v>Cán bộ TVGS</v>
          </cell>
          <cell r="AF73" t="str">
            <v>................................</v>
          </cell>
          <cell r="AG73" t="str">
            <v>Cán bộ TVGS</v>
          </cell>
          <cell r="AH73" t="str">
            <v>Nguyễn Ái Việt</v>
          </cell>
          <cell r="AI73" t="str">
            <v>Chỉ huy trưởng</v>
          </cell>
          <cell r="AJ73" t="str">
            <v>Hoàng Chiến Thắng</v>
          </cell>
          <cell r="AK73" t="str">
            <v>P. Chỉ huy trưởng</v>
          </cell>
          <cell r="AL73" t="str">
            <v>Trịnh Quang Đức</v>
          </cell>
          <cell r="AM73" t="str">
            <v>Cán bộ kỹ thuật</v>
          </cell>
          <cell r="AN73" t="str">
            <v>KC-62; KC-63</v>
          </cell>
          <cell r="AR73" t="str">
            <v>Ngày 5 Tháng 7 Năm 2015</v>
          </cell>
        </row>
        <row r="74">
          <cell r="A74" t="str">
            <v>CT-64</v>
          </cell>
          <cell r="B74" t="str">
            <v>GCLD cốt thép cột, vách tầng áp mái</v>
          </cell>
          <cell r="C74" t="str">
            <v>CT-64</v>
          </cell>
          <cell r="D74" t="str">
            <v>8h00</v>
          </cell>
          <cell r="E74" t="str">
            <v>9h00</v>
          </cell>
          <cell r="F74">
            <v>5</v>
          </cell>
          <cell r="G74">
            <v>7</v>
          </cell>
          <cell r="H74">
            <v>2015</v>
          </cell>
          <cell r="I74" t="str">
            <v>Hà Nội, ngày 5 tháng 7 năm 2015</v>
          </cell>
          <cell r="J74" t="str">
            <v>8h00 ngày 5 tháng 7 năm 2015</v>
          </cell>
          <cell r="K74" t="str">
            <v>9h00 ngày 14 tháng 7 năm 2015</v>
          </cell>
          <cell r="L74" t="str">
            <v>9h00</v>
          </cell>
          <cell r="M74" t="str">
            <v>10h00</v>
          </cell>
          <cell r="N74">
            <v>14</v>
          </cell>
          <cell r="O74">
            <v>7</v>
          </cell>
          <cell r="P74">
            <v>2015</v>
          </cell>
          <cell r="Q74" t="str">
            <v>Hà Nội, ngày 14 tháng 7 năm 2015</v>
          </cell>
          <cell r="R74" t="str">
            <v>9h00 ngày 5 tháng 7 năm 2015</v>
          </cell>
          <cell r="S74" t="str">
            <v>10h00 ngày 14 tháng 7 năm 2015</v>
          </cell>
          <cell r="T74" t="str">
            <v>9h00</v>
          </cell>
          <cell r="U74" t="str">
            <v>9h00 Ngày 5/7/2015</v>
          </cell>
          <cell r="V74" t="str">
            <v>Nguyễn Ái Việt</v>
          </cell>
          <cell r="W74" t="str">
            <v>P. Chỉ huy trưởng</v>
          </cell>
          <cell r="X74" t="str">
            <v>................................</v>
          </cell>
          <cell r="Y74" t="str">
            <v>................................</v>
          </cell>
          <cell r="Z74" t="str">
            <v>Nguyễn Văn Nghiễm</v>
          </cell>
          <cell r="AA74" t="str">
            <v>Cán bộ KCS</v>
          </cell>
          <cell r="AB74" t="str">
            <v>Vương Toàn Hiếu</v>
          </cell>
          <cell r="AC74" t="str">
            <v>Trưởng đoàn TVGS</v>
          </cell>
          <cell r="AD74" t="str">
            <v>Lê Thiều Nam</v>
          </cell>
          <cell r="AE74" t="str">
            <v>Cán bộ TVGS</v>
          </cell>
          <cell r="AF74" t="str">
            <v>................................</v>
          </cell>
          <cell r="AG74" t="str">
            <v>Cán bộ TVGS</v>
          </cell>
          <cell r="AH74" t="str">
            <v>Nguyễn Ái Việt</v>
          </cell>
          <cell r="AI74" t="str">
            <v>Chỉ huy trưởng</v>
          </cell>
          <cell r="AJ74" t="str">
            <v>Hoàng Chiến Thắng</v>
          </cell>
          <cell r="AK74" t="str">
            <v>P. Chỉ huy trưởng</v>
          </cell>
          <cell r="AL74" t="str">
            <v>Trịnh Quang Đức</v>
          </cell>
          <cell r="AM74" t="str">
            <v>Cán bộ kỹ thuật</v>
          </cell>
          <cell r="AN74" t="str">
            <v>KC-20; KC-21÷KC-26</v>
          </cell>
          <cell r="AR74" t="str">
            <v>Ngày 5 Tháng 7 Năm 2015</v>
          </cell>
        </row>
        <row r="75">
          <cell r="A75" t="str">
            <v>CT-65</v>
          </cell>
          <cell r="B75" t="str">
            <v>GCLD cốt thép dầm, sàn trục X3'-X6/Y5'-Y7' tầng mái</v>
          </cell>
          <cell r="C75" t="str">
            <v>CT-65</v>
          </cell>
          <cell r="D75" t="str">
            <v>15h00</v>
          </cell>
          <cell r="E75" t="str">
            <v>15h45</v>
          </cell>
          <cell r="F75">
            <v>12</v>
          </cell>
          <cell r="G75">
            <v>7</v>
          </cell>
          <cell r="H75">
            <v>2015</v>
          </cell>
          <cell r="I75" t="str">
            <v>Hà Nội, ngày 12 tháng 7 năm 2015</v>
          </cell>
          <cell r="J75" t="str">
            <v>15h00 ngày 12 tháng 7 năm 2015</v>
          </cell>
          <cell r="K75" t="str">
            <v>15h45 ngày 12 tháng 7 năm 2015</v>
          </cell>
          <cell r="L75" t="str">
            <v>15h45</v>
          </cell>
          <cell r="M75" t="str">
            <v>16h30</v>
          </cell>
          <cell r="N75">
            <v>12</v>
          </cell>
          <cell r="O75">
            <v>7</v>
          </cell>
          <cell r="P75">
            <v>2015</v>
          </cell>
          <cell r="Q75" t="str">
            <v>Hà Nội, ngày 12 tháng 7 năm 2015</v>
          </cell>
          <cell r="R75" t="str">
            <v>15h45 ngày 12 tháng 7 năm 2015</v>
          </cell>
          <cell r="S75" t="str">
            <v>16h30 ngày 12 tháng 7 năm 2015</v>
          </cell>
          <cell r="T75" t="str">
            <v>15h45</v>
          </cell>
          <cell r="U75" t="str">
            <v>15h45 Ngày 12/7/2015</v>
          </cell>
          <cell r="V75" t="str">
            <v>Nguyễn Ái Việt</v>
          </cell>
          <cell r="W75" t="str">
            <v>P. Chỉ huy trưởng</v>
          </cell>
          <cell r="X75" t="str">
            <v>................................</v>
          </cell>
          <cell r="Y75" t="str">
            <v>................................</v>
          </cell>
          <cell r="Z75" t="str">
            <v>Nguyễn Văn Nghiễm</v>
          </cell>
          <cell r="AA75" t="str">
            <v>Cán bộ KCS</v>
          </cell>
          <cell r="AB75" t="str">
            <v>Vương Toàn Hiếu</v>
          </cell>
          <cell r="AC75" t="str">
            <v>Trưởng đoàn TVGS</v>
          </cell>
          <cell r="AD75" t="str">
            <v>Lê Thiều Nam</v>
          </cell>
          <cell r="AE75" t="str">
            <v>Cán bộ TVGS</v>
          </cell>
          <cell r="AF75" t="str">
            <v>................................</v>
          </cell>
          <cell r="AG75" t="str">
            <v>Cán bộ TVGS</v>
          </cell>
          <cell r="AH75" t="str">
            <v>Nguyễn Ái Việt</v>
          </cell>
          <cell r="AI75" t="str">
            <v>Chỉ huy trưởng</v>
          </cell>
          <cell r="AJ75" t="str">
            <v>Hoàng Chiến Thắng</v>
          </cell>
          <cell r="AK75" t="str">
            <v>P. Chỉ huy trưởng</v>
          </cell>
          <cell r="AL75" t="str">
            <v>Trịnh Quang Đức</v>
          </cell>
          <cell r="AM75" t="str">
            <v>Cán bộ kỹ thuật</v>
          </cell>
          <cell r="AN75" t="str">
            <v>KC-48÷KC-49;KC-58</v>
          </cell>
          <cell r="AR75" t="str">
            <v>Ngày 12 Tháng 7 Năm 2015</v>
          </cell>
        </row>
        <row r="76">
          <cell r="A76" t="str">
            <v>CT-66</v>
          </cell>
          <cell r="B76" t="str">
            <v>GCLD cốt thép thang bộ LT tầng 09, tầng 10</v>
          </cell>
          <cell r="C76" t="str">
            <v>CT-66</v>
          </cell>
          <cell r="D76" t="str">
            <v>8h00</v>
          </cell>
          <cell r="E76" t="str">
            <v>9h00</v>
          </cell>
          <cell r="F76">
            <v>25</v>
          </cell>
          <cell r="G76">
            <v>7</v>
          </cell>
          <cell r="H76">
            <v>2015</v>
          </cell>
          <cell r="I76" t="str">
            <v>Hà Nội, ngày 25 tháng 7 năm 2015</v>
          </cell>
          <cell r="J76" t="str">
            <v>8h00 ngày 25 tháng 7 năm 2015</v>
          </cell>
          <cell r="K76" t="str">
            <v>9h00 ngày 25 tháng 7 năm 2015</v>
          </cell>
          <cell r="L76" t="str">
            <v>9h00</v>
          </cell>
          <cell r="M76" t="str">
            <v>9h45</v>
          </cell>
          <cell r="N76">
            <v>25</v>
          </cell>
          <cell r="O76">
            <v>7</v>
          </cell>
          <cell r="P76">
            <v>2015</v>
          </cell>
          <cell r="Q76" t="str">
            <v>Hà Nội, ngày 25 tháng 7 năm 2015</v>
          </cell>
          <cell r="R76" t="str">
            <v>9h00 ngày 25 tháng 7 năm 2015</v>
          </cell>
          <cell r="S76" t="str">
            <v>9h45 ngày 25 tháng 7 năm 2015</v>
          </cell>
          <cell r="T76" t="str">
            <v>9h00</v>
          </cell>
          <cell r="U76" t="str">
            <v>9h00 Ngày 25/7/2015</v>
          </cell>
          <cell r="V76" t="str">
            <v>Nguyễn Ái Việt</v>
          </cell>
          <cell r="W76" t="str">
            <v>P. Chỉ huy trưởng</v>
          </cell>
          <cell r="X76" t="str">
            <v>................................</v>
          </cell>
          <cell r="Y76" t="str">
            <v>................................</v>
          </cell>
          <cell r="Z76" t="str">
            <v>Nguyễn Văn Nghiễm</v>
          </cell>
          <cell r="AA76" t="str">
            <v>Cán bộ KCS</v>
          </cell>
          <cell r="AB76" t="str">
            <v>Vương Toàn Hiếu</v>
          </cell>
          <cell r="AC76" t="str">
            <v>Trưởng đoàn TVGS</v>
          </cell>
          <cell r="AD76" t="str">
            <v>Lê Thiều Nam</v>
          </cell>
          <cell r="AE76" t="str">
            <v>Cán bộ TVGS</v>
          </cell>
          <cell r="AF76" t="str">
            <v>................................</v>
          </cell>
          <cell r="AG76" t="str">
            <v>Cán bộ TVGS</v>
          </cell>
          <cell r="AH76" t="str">
            <v>Nguyễn Ái Việt</v>
          </cell>
          <cell r="AI76" t="str">
            <v>Chỉ huy trưởng</v>
          </cell>
          <cell r="AJ76" t="str">
            <v>Hoàng Chiến Thắng</v>
          </cell>
          <cell r="AK76" t="str">
            <v>P. Chỉ huy trưởng</v>
          </cell>
          <cell r="AL76" t="str">
            <v>Trịnh Quang Đức</v>
          </cell>
          <cell r="AM76" t="str">
            <v>Cán bộ kỹ thuật</v>
          </cell>
          <cell r="AN76" t="str">
            <v>KC-62</v>
          </cell>
          <cell r="AR76" t="str">
            <v>Ngày 25 Tháng 7 Năm 2015</v>
          </cell>
        </row>
        <row r="77">
          <cell r="A77" t="str">
            <v>CT-67</v>
          </cell>
          <cell r="B77" t="str">
            <v>GCLD cốt thép dầm, sàn tầng mái</v>
          </cell>
          <cell r="C77" t="str">
            <v>CT-67</v>
          </cell>
          <cell r="D77" t="str">
            <v>15h00</v>
          </cell>
          <cell r="E77" t="str">
            <v>9h00</v>
          </cell>
          <cell r="F77">
            <v>12</v>
          </cell>
          <cell r="G77">
            <v>7</v>
          </cell>
          <cell r="H77">
            <v>2015</v>
          </cell>
          <cell r="I77" t="str">
            <v>Hà Nội, ngày 12 tháng 7 năm 2015</v>
          </cell>
          <cell r="J77" t="str">
            <v>15h00 ngày 12 tháng 7 năm 2015</v>
          </cell>
          <cell r="K77" t="str">
            <v>9h00 ngày 30 tháng 7 năm 2015</v>
          </cell>
          <cell r="L77" t="str">
            <v>15h45</v>
          </cell>
          <cell r="M77" t="str">
            <v>9h45</v>
          </cell>
          <cell r="N77">
            <v>30</v>
          </cell>
          <cell r="O77">
            <v>7</v>
          </cell>
          <cell r="P77">
            <v>2015</v>
          </cell>
          <cell r="Q77" t="str">
            <v>Hà Nội, ngày 30 tháng 7 năm 2015</v>
          </cell>
          <cell r="R77" t="str">
            <v>15h45 ngày 12 tháng 7 năm 2015</v>
          </cell>
          <cell r="S77" t="str">
            <v>9h45 ngày 30 tháng 7 năm 2015</v>
          </cell>
          <cell r="T77" t="str">
            <v>15h45</v>
          </cell>
          <cell r="U77" t="str">
            <v>15h45 Ngày 12/7/2015</v>
          </cell>
          <cell r="V77" t="str">
            <v>Nguyễn Ái Việt</v>
          </cell>
          <cell r="W77" t="str">
            <v>P. Chỉ huy trưởng</v>
          </cell>
          <cell r="X77" t="str">
            <v>................................</v>
          </cell>
          <cell r="Y77" t="str">
            <v>................................</v>
          </cell>
          <cell r="Z77" t="str">
            <v>Nguyễn Văn Nghiễm</v>
          </cell>
          <cell r="AA77" t="str">
            <v>Cán bộ KCS</v>
          </cell>
          <cell r="AB77" t="str">
            <v>Vương Toàn Hiếu</v>
          </cell>
          <cell r="AC77" t="str">
            <v>Trưởng đoàn TVGS</v>
          </cell>
          <cell r="AD77" t="str">
            <v>Lê Thiều Nam</v>
          </cell>
          <cell r="AE77" t="str">
            <v>Cán bộ TVGS</v>
          </cell>
          <cell r="AF77" t="str">
            <v>................................</v>
          </cell>
          <cell r="AG77" t="str">
            <v>Cán bộ TVGS</v>
          </cell>
          <cell r="AH77" t="str">
            <v>Nguyễn Ái Việt</v>
          </cell>
          <cell r="AI77" t="str">
            <v>Chỉ huy trưởng</v>
          </cell>
          <cell r="AJ77" t="str">
            <v>Hoàng Chiến Thắng</v>
          </cell>
          <cell r="AK77" t="str">
            <v>P. Chỉ huy trưởng</v>
          </cell>
          <cell r="AL77" t="str">
            <v>Trịnh Quang Đức</v>
          </cell>
          <cell r="AM77" t="str">
            <v>Cán bộ kỹ thuật</v>
          </cell>
          <cell r="AN77" t="str">
            <v>KC-48÷KC-49;KC-58</v>
          </cell>
          <cell r="AR77" t="str">
            <v>Ngày 12 Tháng 7 Năm 2015</v>
          </cell>
        </row>
        <row r="78">
          <cell r="A78" t="str">
            <v>CT-68</v>
          </cell>
          <cell r="B78" t="str">
            <v>GCLD cốt thép thang bộ TB tầng 04, tầng 05, tầng 06 trục X2÷X4/Y1+2,55m</v>
          </cell>
          <cell r="C78" t="str">
            <v>CT-68</v>
          </cell>
          <cell r="D78" t="str">
            <v>9h00</v>
          </cell>
          <cell r="E78" t="str">
            <v>10h00</v>
          </cell>
          <cell r="F78">
            <v>28</v>
          </cell>
          <cell r="G78">
            <v>7</v>
          </cell>
          <cell r="H78">
            <v>2015</v>
          </cell>
          <cell r="I78" t="str">
            <v>Hà Nội, ngày 28 tháng 7 năm 2015</v>
          </cell>
          <cell r="J78" t="str">
            <v>9h00 ngày 28 tháng 7 năm 2015</v>
          </cell>
          <cell r="K78" t="str">
            <v>10h00 ngày 28 tháng 7 năm 2015</v>
          </cell>
          <cell r="L78" t="str">
            <v>10h00</v>
          </cell>
          <cell r="M78" t="str">
            <v>11h00</v>
          </cell>
          <cell r="N78">
            <v>28</v>
          </cell>
          <cell r="O78">
            <v>7</v>
          </cell>
          <cell r="P78">
            <v>2015</v>
          </cell>
          <cell r="Q78" t="str">
            <v>Hà Nội, ngày 28 tháng 7 năm 2015</v>
          </cell>
          <cell r="R78" t="str">
            <v>10h00 ngày 28 tháng 7 năm 2015</v>
          </cell>
          <cell r="S78" t="str">
            <v>11h00 ngày 28 tháng 7 năm 2015</v>
          </cell>
          <cell r="T78" t="str">
            <v>10h00</v>
          </cell>
          <cell r="U78" t="str">
            <v>10h00 Ngày 28/7/2015</v>
          </cell>
          <cell r="V78" t="str">
            <v>Nguyễn Ái Việt</v>
          </cell>
          <cell r="W78" t="str">
            <v>P. Chỉ huy trưởng</v>
          </cell>
          <cell r="X78" t="str">
            <v>................................</v>
          </cell>
          <cell r="Y78" t="str">
            <v>................................</v>
          </cell>
          <cell r="Z78" t="str">
            <v>Nguyễn Văn Nghiễm</v>
          </cell>
          <cell r="AA78" t="str">
            <v>Cán bộ KCS</v>
          </cell>
          <cell r="AB78" t="str">
            <v>Vương Toàn Hiếu</v>
          </cell>
          <cell r="AC78" t="str">
            <v>Trưởng đoàn TVGS</v>
          </cell>
          <cell r="AD78" t="str">
            <v>Lê Thiều Nam</v>
          </cell>
          <cell r="AE78" t="str">
            <v>Cán bộ TVGS</v>
          </cell>
          <cell r="AF78" t="str">
            <v>................................</v>
          </cell>
          <cell r="AG78" t="str">
            <v>Cán bộ TVGS</v>
          </cell>
          <cell r="AH78" t="str">
            <v>Nguyễn Ái Việt</v>
          </cell>
          <cell r="AI78" t="str">
            <v>Chỉ huy trưởng</v>
          </cell>
          <cell r="AJ78" t="str">
            <v>Hoàng Chiến Thắng</v>
          </cell>
          <cell r="AK78" t="str">
            <v>P. Chỉ huy trưởng</v>
          </cell>
          <cell r="AL78" t="str">
            <v>Trịnh Quang Đức</v>
          </cell>
          <cell r="AM78" t="str">
            <v>Cán bộ kỹ thuật</v>
          </cell>
          <cell r="AN78" t="str">
            <v>KC-63</v>
          </cell>
          <cell r="AR78" t="str">
            <v>Ngày 28 Tháng 7 Năm 2015</v>
          </cell>
        </row>
        <row r="79">
          <cell r="A79" t="str">
            <v>CT-69</v>
          </cell>
          <cell r="B79" t="str">
            <v>GCLD cốt thép thang bộ TB tầng 07, tầng 08, tầng 09, tầng 10 trục X2÷X4/Y1+2,55m</v>
          </cell>
          <cell r="C79" t="str">
            <v>CT-69</v>
          </cell>
          <cell r="D79" t="str">
            <v>14h00</v>
          </cell>
          <cell r="E79" t="str">
            <v>15h00</v>
          </cell>
          <cell r="F79">
            <v>28</v>
          </cell>
          <cell r="G79">
            <v>7</v>
          </cell>
          <cell r="H79">
            <v>2015</v>
          </cell>
          <cell r="I79" t="str">
            <v>Hà Nội, ngày 28 tháng 7 năm 2015</v>
          </cell>
          <cell r="J79" t="str">
            <v>14h00 ngày 28 tháng 7 năm 2015</v>
          </cell>
          <cell r="K79" t="str">
            <v>15h00 ngày 28 tháng 7 năm 2015</v>
          </cell>
          <cell r="L79" t="str">
            <v>15h00</v>
          </cell>
          <cell r="M79" t="str">
            <v>16h00</v>
          </cell>
          <cell r="N79">
            <v>28</v>
          </cell>
          <cell r="O79">
            <v>7</v>
          </cell>
          <cell r="P79">
            <v>2015</v>
          </cell>
          <cell r="Q79" t="str">
            <v>Hà Nội, ngày 28 tháng 7 năm 2015</v>
          </cell>
          <cell r="R79" t="str">
            <v>15h00 ngày 28 tháng 7 năm 2015</v>
          </cell>
          <cell r="S79" t="str">
            <v>16h00 ngày 28 tháng 7 năm 2015</v>
          </cell>
          <cell r="T79" t="str">
            <v>15h00</v>
          </cell>
          <cell r="U79" t="str">
            <v>15h00 Ngày 28/7/2015</v>
          </cell>
          <cell r="V79" t="str">
            <v>Nguyễn Ái Việt</v>
          </cell>
          <cell r="W79" t="str">
            <v>P. Chỉ huy trưởng</v>
          </cell>
          <cell r="X79" t="str">
            <v>................................</v>
          </cell>
          <cell r="Y79" t="str">
            <v>................................</v>
          </cell>
          <cell r="Z79" t="str">
            <v>Nguyễn Văn Nghiễm</v>
          </cell>
          <cell r="AA79" t="str">
            <v>Cán bộ KCS</v>
          </cell>
          <cell r="AB79" t="str">
            <v>Vương Toàn Hiếu</v>
          </cell>
          <cell r="AC79" t="str">
            <v>Trưởng đoàn TVGS</v>
          </cell>
          <cell r="AD79" t="str">
            <v>Lê Thiều Nam</v>
          </cell>
          <cell r="AE79" t="str">
            <v>Cán bộ TVGS</v>
          </cell>
          <cell r="AF79" t="str">
            <v>................................</v>
          </cell>
          <cell r="AG79" t="str">
            <v>Cán bộ TVGS</v>
          </cell>
          <cell r="AH79" t="str">
            <v>Nguyễn Ái Việt</v>
          </cell>
          <cell r="AI79" t="str">
            <v>Chỉ huy trưởng</v>
          </cell>
          <cell r="AJ79" t="str">
            <v>Hoàng Chiến Thắng</v>
          </cell>
          <cell r="AK79" t="str">
            <v>P. Chỉ huy trưởng</v>
          </cell>
          <cell r="AL79" t="str">
            <v>Trịnh Quang Đức</v>
          </cell>
          <cell r="AM79" t="str">
            <v>Cán bộ kỹ thuật</v>
          </cell>
          <cell r="AN79" t="str">
            <v>KC-63</v>
          </cell>
          <cell r="AR79" t="str">
            <v>Ngày 28 Tháng 7 Năm 2015</v>
          </cell>
        </row>
        <row r="80">
          <cell r="A80" t="str">
            <v>CT-70</v>
          </cell>
          <cell r="B80" t="str">
            <v>GCLD cốt thép thang bộ TB tầng 08, tầng 09 trục X8+2,55m/Y5'÷Y7'</v>
          </cell>
          <cell r="C80" t="str">
            <v>CT-70</v>
          </cell>
          <cell r="D80" t="str">
            <v>15h30</v>
          </cell>
          <cell r="E80" t="str">
            <v>16h00</v>
          </cell>
          <cell r="F80">
            <v>28</v>
          </cell>
          <cell r="G80">
            <v>7</v>
          </cell>
          <cell r="H80">
            <v>2015</v>
          </cell>
          <cell r="I80" t="str">
            <v>Hà Nội, ngày 28 tháng 7 năm 2015</v>
          </cell>
          <cell r="J80" t="str">
            <v>15h30 ngày 28 tháng 7 năm 2015</v>
          </cell>
          <cell r="K80" t="str">
            <v>16h00 ngày 28 tháng 7 năm 2015</v>
          </cell>
          <cell r="L80" t="str">
            <v>16h00</v>
          </cell>
          <cell r="M80" t="str">
            <v>16h30</v>
          </cell>
          <cell r="N80">
            <v>28</v>
          </cell>
          <cell r="O80">
            <v>7</v>
          </cell>
          <cell r="P80">
            <v>2015</v>
          </cell>
          <cell r="Q80" t="str">
            <v>Hà Nội, ngày 28 tháng 7 năm 2015</v>
          </cell>
          <cell r="R80" t="str">
            <v>16h00 ngày 28 tháng 7 năm 2015</v>
          </cell>
          <cell r="S80" t="str">
            <v>16h30 ngày 28 tháng 7 năm 2015</v>
          </cell>
          <cell r="T80" t="str">
            <v>16h00</v>
          </cell>
          <cell r="U80" t="str">
            <v>16h00 Ngày 28/7/2015</v>
          </cell>
          <cell r="V80" t="str">
            <v>Nguyễn Ái Việt</v>
          </cell>
          <cell r="W80" t="str">
            <v>P. Chỉ huy trưởng</v>
          </cell>
          <cell r="X80" t="str">
            <v>................................</v>
          </cell>
          <cell r="Y80" t="str">
            <v>................................</v>
          </cell>
          <cell r="Z80" t="str">
            <v>Nguyễn Văn Nghiễm</v>
          </cell>
          <cell r="AA80" t="str">
            <v>Cán bộ KCS</v>
          </cell>
          <cell r="AB80" t="str">
            <v>Vương Toàn Hiếu</v>
          </cell>
          <cell r="AC80" t="str">
            <v>Trưởng đoàn TVGS</v>
          </cell>
          <cell r="AD80" t="str">
            <v>Lê Thiều Nam</v>
          </cell>
          <cell r="AE80" t="str">
            <v>Cán bộ TVGS</v>
          </cell>
          <cell r="AF80" t="str">
            <v>................................</v>
          </cell>
          <cell r="AG80" t="str">
            <v>Cán bộ TVGS</v>
          </cell>
          <cell r="AH80" t="str">
            <v>Nguyễn Ái Việt</v>
          </cell>
          <cell r="AI80" t="str">
            <v>Chỉ huy trưởng</v>
          </cell>
          <cell r="AJ80" t="str">
            <v>Hoàng Chiến Thắng</v>
          </cell>
          <cell r="AK80" t="str">
            <v>P. Chỉ huy trưởng</v>
          </cell>
          <cell r="AL80" t="str">
            <v>Trịnh Quang Đức</v>
          </cell>
          <cell r="AM80" t="str">
            <v>Cán bộ kỹ thuật</v>
          </cell>
          <cell r="AN80" t="str">
            <v>KC-63</v>
          </cell>
          <cell r="AR80" t="str">
            <v>Ngày 28 Tháng 7 Năm 2015</v>
          </cell>
        </row>
        <row r="81">
          <cell r="A81" t="str">
            <v>CT-71</v>
          </cell>
          <cell r="B81" t="str">
            <v>GCLD cốt thép thang bộ TB tầng 10, 11 trục X8+2,55m/Y5'÷Y7'; thang bộ TB tầng 11 trục X2÷X4/Y1+2,55m; thang bộ LT tầng 11</v>
          </cell>
          <cell r="C81" t="str">
            <v>CT-71</v>
          </cell>
          <cell r="D81" t="str">
            <v>8h00</v>
          </cell>
          <cell r="E81" t="str">
            <v>9h00</v>
          </cell>
          <cell r="F81">
            <v>10</v>
          </cell>
          <cell r="G81">
            <v>8</v>
          </cell>
          <cell r="H81">
            <v>2015</v>
          </cell>
          <cell r="I81" t="str">
            <v>Hà Nội, ngày 10 tháng 8 năm 2015</v>
          </cell>
          <cell r="J81" t="str">
            <v>8h00 ngày 10 tháng 8 năm 2015</v>
          </cell>
          <cell r="K81" t="str">
            <v>9h00 ngày 10 tháng 8 năm 2015</v>
          </cell>
          <cell r="L81" t="str">
            <v>9h00</v>
          </cell>
          <cell r="M81" t="str">
            <v>10h00</v>
          </cell>
          <cell r="N81">
            <v>10</v>
          </cell>
          <cell r="O81">
            <v>8</v>
          </cell>
          <cell r="P81">
            <v>2015</v>
          </cell>
          <cell r="Q81" t="str">
            <v>Hà Nội, ngày 10 tháng 8 năm 2015</v>
          </cell>
          <cell r="R81" t="str">
            <v>9h00 ngày 10 tháng 8 năm 2015</v>
          </cell>
          <cell r="S81" t="str">
            <v>10h00 ngày 10 tháng 8 năm 2015</v>
          </cell>
          <cell r="T81" t="str">
            <v>9h00</v>
          </cell>
          <cell r="U81" t="str">
            <v>9h00 Ngày 10/8/2015</v>
          </cell>
          <cell r="V81" t="str">
            <v>Nguyễn Ái Việt</v>
          </cell>
          <cell r="W81" t="str">
            <v>P. Chỉ huy trưởng</v>
          </cell>
          <cell r="X81" t="str">
            <v>................................</v>
          </cell>
          <cell r="Y81" t="str">
            <v>................................</v>
          </cell>
          <cell r="Z81" t="str">
            <v>Nguyễn Văn Nghiễm</v>
          </cell>
          <cell r="AA81" t="str">
            <v>Cán bộ KCS</v>
          </cell>
          <cell r="AB81" t="str">
            <v>Vương Toàn Hiếu</v>
          </cell>
          <cell r="AC81" t="str">
            <v>Trưởng đoàn TVGS</v>
          </cell>
          <cell r="AD81" t="str">
            <v>Lê Thiều Nam</v>
          </cell>
          <cell r="AE81" t="str">
            <v>Cán bộ TVGS</v>
          </cell>
          <cell r="AF81" t="str">
            <v>................................</v>
          </cell>
          <cell r="AG81" t="str">
            <v>Cán bộ TVGS</v>
          </cell>
          <cell r="AH81" t="str">
            <v>Nguyễn Ái Việt</v>
          </cell>
          <cell r="AI81" t="str">
            <v>Chỉ huy trưởng</v>
          </cell>
          <cell r="AJ81" t="str">
            <v>Hoàng Chiến Thắng</v>
          </cell>
          <cell r="AK81" t="str">
            <v>P. Chỉ huy trưởng</v>
          </cell>
          <cell r="AL81" t="str">
            <v>Trịnh Quang Đức</v>
          </cell>
          <cell r="AM81" t="str">
            <v>Cán bộ kỹ thuật</v>
          </cell>
          <cell r="AN81" t="str">
            <v>KC-62; KC-63</v>
          </cell>
          <cell r="AR81" t="str">
            <v>Ngày 10 Tháng 8 Năm 2015</v>
          </cell>
        </row>
        <row r="82">
          <cell r="A82" t="str">
            <v>CT-72</v>
          </cell>
          <cell r="B82" t="str">
            <v>GCLD cốt thép thang bộ LT tầng 4, thang bộ TB tầng 2 (trục X2÷X4/Y1+2,55m) 
và (trục X8+2,55m/Y5'÷Y7')</v>
          </cell>
          <cell r="C82" t="str">
            <v>CT-72</v>
          </cell>
          <cell r="D82" t="str">
            <v>15h00</v>
          </cell>
          <cell r="E82" t="str">
            <v>16h00</v>
          </cell>
          <cell r="F82">
            <v>3</v>
          </cell>
          <cell r="G82">
            <v>6</v>
          </cell>
          <cell r="H82">
            <v>2015</v>
          </cell>
          <cell r="I82" t="str">
            <v>Hà Nội, ngày 3 tháng 6 năm 2015</v>
          </cell>
          <cell r="J82" t="str">
            <v>15h00 ngày 3 tháng 6 năm 2015</v>
          </cell>
          <cell r="K82" t="str">
            <v>16h00 ngày 3 tháng 6 năm 2015</v>
          </cell>
          <cell r="L82" t="str">
            <v>16h00</v>
          </cell>
          <cell r="M82" t="str">
            <v>17h00</v>
          </cell>
          <cell r="N82">
            <v>3</v>
          </cell>
          <cell r="O82">
            <v>6</v>
          </cell>
          <cell r="P82">
            <v>2015</v>
          </cell>
          <cell r="Q82" t="str">
            <v>Hà Nội, ngày 3 tháng 6 năm 2015</v>
          </cell>
          <cell r="R82" t="str">
            <v>16h00 ngày 3 tháng 6 năm 2015</v>
          </cell>
          <cell r="S82" t="str">
            <v>17h00 ngày 3 tháng 6 năm 2015</v>
          </cell>
          <cell r="T82" t="str">
            <v>16h00</v>
          </cell>
          <cell r="U82" t="str">
            <v>16h00 Ngày 3/6/2015</v>
          </cell>
          <cell r="V82" t="str">
            <v>Nguyễn Ái Việt</v>
          </cell>
          <cell r="W82" t="str">
            <v>P. Chỉ huy trưởng</v>
          </cell>
          <cell r="X82" t="str">
            <v>................................</v>
          </cell>
          <cell r="Y82" t="str">
            <v>................................</v>
          </cell>
          <cell r="Z82" t="str">
            <v>Nguyễn Văn Nghiễm</v>
          </cell>
          <cell r="AA82" t="str">
            <v>Cán bộ KCS</v>
          </cell>
          <cell r="AB82" t="str">
            <v>Vương Toàn Hiếu</v>
          </cell>
          <cell r="AC82" t="str">
            <v>Trưởng đoàn TVGS</v>
          </cell>
          <cell r="AD82" t="str">
            <v>Lê Thiều Nam</v>
          </cell>
          <cell r="AE82" t="str">
            <v>Cán bộ TVGS</v>
          </cell>
          <cell r="AF82" t="str">
            <v>................................</v>
          </cell>
          <cell r="AG82" t="str">
            <v>Cán bộ TVGS</v>
          </cell>
          <cell r="AH82" t="str">
            <v>Nguyễn Ái Việt</v>
          </cell>
          <cell r="AI82" t="str">
            <v>Chỉ huy trưởng</v>
          </cell>
          <cell r="AJ82" t="str">
            <v>Hoàng Chiến Thắng</v>
          </cell>
          <cell r="AK82" t="str">
            <v>P. Chỉ huy trưởng</v>
          </cell>
          <cell r="AL82" t="str">
            <v>Trịnh Quang Đức</v>
          </cell>
          <cell r="AM82" t="str">
            <v>Cán bộ kỹ thuật</v>
          </cell>
          <cell r="AN82" t="str">
            <v>KC-62; KC-63</v>
          </cell>
          <cell r="AR82" t="str">
            <v>Ngày 3 Tháng 6 Năm 2015</v>
          </cell>
        </row>
        <row r="83">
          <cell r="A83" t="str">
            <v>CT-73</v>
          </cell>
          <cell r="B83" t="str">
            <v>Rải lưới thép hàn xây dựng D4/A200 tầng áp mái, tầng mái</v>
          </cell>
          <cell r="C83" t="str">
            <v>CT-73</v>
          </cell>
          <cell r="D83" t="str">
            <v>8h00</v>
          </cell>
          <cell r="E83" t="str">
            <v>9h00</v>
          </cell>
          <cell r="F83">
            <v>5</v>
          </cell>
          <cell r="G83">
            <v>10</v>
          </cell>
          <cell r="H83">
            <v>2015</v>
          </cell>
          <cell r="I83" t="str">
            <v>Hà Nội, ngày 5 tháng 10 năm 2015</v>
          </cell>
          <cell r="J83" t="str">
            <v>8h00 ngày 5 tháng 10 năm 2015</v>
          </cell>
          <cell r="K83" t="str">
            <v>9h00 ngày 5 tháng 10 năm 2015</v>
          </cell>
          <cell r="L83" t="str">
            <v>9h00</v>
          </cell>
          <cell r="M83" t="str">
            <v>10h00</v>
          </cell>
          <cell r="N83">
            <v>5</v>
          </cell>
          <cell r="O83">
            <v>10</v>
          </cell>
          <cell r="P83">
            <v>2015</v>
          </cell>
          <cell r="Q83" t="str">
            <v>Hà Nội, ngày 5 tháng 10 năm 2015</v>
          </cell>
          <cell r="R83" t="str">
            <v>9h00 ngày 5 tháng 10 năm 2015</v>
          </cell>
          <cell r="S83" t="str">
            <v>10h00 ngày 5 tháng 10 năm 2015</v>
          </cell>
          <cell r="T83" t="str">
            <v>9h00</v>
          </cell>
          <cell r="U83" t="str">
            <v>9h00 Ngày 5/10/2015</v>
          </cell>
          <cell r="V83" t="str">
            <v>Nguyễn Ái Việt</v>
          </cell>
          <cell r="W83" t="str">
            <v>P. Chỉ huy trưởng</v>
          </cell>
          <cell r="X83" t="str">
            <v>................................</v>
          </cell>
          <cell r="Y83" t="str">
            <v>................................</v>
          </cell>
          <cell r="Z83" t="str">
            <v>Nguyễn Văn Nghiễm</v>
          </cell>
          <cell r="AA83" t="str">
            <v>Cán bộ KCS</v>
          </cell>
          <cell r="AB83" t="str">
            <v>Vương Toàn Hiếu</v>
          </cell>
          <cell r="AC83" t="str">
            <v>Trưởng đoàn TVGS</v>
          </cell>
          <cell r="AD83" t="str">
            <v>Lê Thiều Nam</v>
          </cell>
          <cell r="AE83" t="str">
            <v>Cán bộ TVGS</v>
          </cell>
          <cell r="AF83" t="str">
            <v>................................</v>
          </cell>
          <cell r="AG83" t="str">
            <v>Cán bộ TVGS</v>
          </cell>
          <cell r="AH83" t="str">
            <v>Nguyễn Ái Việt</v>
          </cell>
          <cell r="AI83" t="str">
            <v>Chỉ huy trưởng</v>
          </cell>
          <cell r="AJ83" t="str">
            <v>Hoàng Chiến Thắng</v>
          </cell>
          <cell r="AK83" t="str">
            <v>P. Chỉ huy trưởng</v>
          </cell>
          <cell r="AL83" t="str">
            <v>Trịnh Quang Đức</v>
          </cell>
          <cell r="AM83" t="str">
            <v>Cán bộ kỹ thuật</v>
          </cell>
          <cell r="AN83" t="str">
            <v>KT-105; KT-105DC; KT-100</v>
          </cell>
          <cell r="AR83" t="str">
            <v>Ngày 5 Tháng 10 Năm 2015</v>
          </cell>
        </row>
        <row r="84">
          <cell r="A84" t="str">
            <v>CT-74</v>
          </cell>
          <cell r="B84" t="str">
            <v>GCLD cốt thép cột thang máy bổ sung tầng : 01, 02, 03, 04, 05, 06, 07, 08, 09, 10, 11</v>
          </cell>
          <cell r="C84" t="str">
            <v>CT-74</v>
          </cell>
          <cell r="D84" t="str">
            <v>8h00</v>
          </cell>
          <cell r="E84" t="str">
            <v>9h00</v>
          </cell>
          <cell r="F84">
            <v>31</v>
          </cell>
          <cell r="G84">
            <v>8</v>
          </cell>
          <cell r="H84">
            <v>2015</v>
          </cell>
          <cell r="I84" t="str">
            <v>Hà Nội, ngày 31 tháng 8 năm 2015</v>
          </cell>
          <cell r="J84" t="str">
            <v>8h00 ngày 31 tháng 8 năm 2015</v>
          </cell>
          <cell r="K84" t="str">
            <v>9h00 ngày 31 tháng 8 năm 2015</v>
          </cell>
          <cell r="L84" t="str">
            <v>9h10</v>
          </cell>
          <cell r="M84" t="str">
            <v>10h00</v>
          </cell>
          <cell r="N84">
            <v>31</v>
          </cell>
          <cell r="O84">
            <v>8</v>
          </cell>
          <cell r="P84">
            <v>2015</v>
          </cell>
          <cell r="Q84" t="str">
            <v>Hà Nội, ngày 31 tháng 8 năm 2015</v>
          </cell>
          <cell r="R84" t="str">
            <v>9h10 ngày 31 tháng 8 năm 2015</v>
          </cell>
          <cell r="S84" t="str">
            <v>10h00 ngày 31 tháng 8 năm 2015</v>
          </cell>
          <cell r="T84" t="str">
            <v>9h10</v>
          </cell>
          <cell r="U84" t="str">
            <v>9h10 Ngày 31/8/2015</v>
          </cell>
          <cell r="V84" t="str">
            <v>Nguyễn Ái Việt</v>
          </cell>
          <cell r="W84" t="str">
            <v>P. Chỉ huy trưởng</v>
          </cell>
          <cell r="X84" t="str">
            <v>................................</v>
          </cell>
          <cell r="Y84" t="str">
            <v>................................</v>
          </cell>
          <cell r="Z84" t="str">
            <v>Nguyễn Văn Nghiễm</v>
          </cell>
          <cell r="AA84" t="str">
            <v>Cán bộ KCS</v>
          </cell>
          <cell r="AB84" t="str">
            <v>Vương Toàn Hiếu</v>
          </cell>
          <cell r="AC84" t="str">
            <v>Trưởng đoàn TVGS</v>
          </cell>
          <cell r="AD84" t="str">
            <v>Lê Thiều Nam</v>
          </cell>
          <cell r="AE84" t="str">
            <v>Cán bộ TVGS</v>
          </cell>
          <cell r="AF84" t="str">
            <v>................................</v>
          </cell>
          <cell r="AG84" t="str">
            <v>Cán bộ TVGS</v>
          </cell>
          <cell r="AH84" t="str">
            <v>Nguyễn Ái Việt</v>
          </cell>
          <cell r="AI84" t="str">
            <v>Chỉ huy trưởng</v>
          </cell>
          <cell r="AJ84" t="str">
            <v>Hoàng Chiến Thắng</v>
          </cell>
          <cell r="AK84" t="str">
            <v>P. Chỉ huy trưởng</v>
          </cell>
          <cell r="AL84" t="str">
            <v>Trịnh Quang Đức</v>
          </cell>
          <cell r="AM84" t="str">
            <v>Cán bộ kỹ thuật</v>
          </cell>
          <cell r="AN84" t="str">
            <v>KCĐCBS-05</v>
          </cell>
          <cell r="AR84" t="str">
            <v>Ngày 31 Tháng 8 Năm 2015</v>
          </cell>
        </row>
        <row r="85">
          <cell r="A85" t="str">
            <v>CT-75</v>
          </cell>
          <cell r="B85" t="str">
            <v>Rải lưới thép hàn xây dựng D4/A200 phòng vệ sinh tầng áp mái</v>
          </cell>
          <cell r="C85" t="str">
            <v>CT-75</v>
          </cell>
          <cell r="D85" t="str">
            <v>8h00</v>
          </cell>
          <cell r="E85" t="str">
            <v>8h45</v>
          </cell>
          <cell r="F85">
            <v>12</v>
          </cell>
          <cell r="G85">
            <v>10</v>
          </cell>
          <cell r="H85">
            <v>2015</v>
          </cell>
          <cell r="I85" t="str">
            <v>Hà Nội, ngày 12 tháng 10 năm 2015</v>
          </cell>
          <cell r="J85" t="str">
            <v>8h00 ngày 12 tháng 10 năm 2015</v>
          </cell>
          <cell r="K85" t="str">
            <v>8h45 ngày 12 tháng 10 năm 2015</v>
          </cell>
          <cell r="L85" t="str">
            <v>9h00</v>
          </cell>
          <cell r="M85" t="str">
            <v>9h45</v>
          </cell>
          <cell r="N85">
            <v>12</v>
          </cell>
          <cell r="O85">
            <v>10</v>
          </cell>
          <cell r="P85">
            <v>2015</v>
          </cell>
          <cell r="Q85" t="str">
            <v>Hà Nội, ngày 12 tháng 10 năm 2015</v>
          </cell>
          <cell r="R85" t="str">
            <v>9h00 ngày 12 tháng 10 năm 2015</v>
          </cell>
          <cell r="S85" t="str">
            <v>9h45 ngày 12 tháng 10 năm 2015</v>
          </cell>
          <cell r="T85" t="str">
            <v>9h00</v>
          </cell>
          <cell r="U85" t="str">
            <v>9h00 Ngày 12/10/2015</v>
          </cell>
          <cell r="V85" t="str">
            <v>Nguyễn Ái Việt</v>
          </cell>
          <cell r="W85" t="str">
            <v>P. Chỉ huy trưởng</v>
          </cell>
          <cell r="X85" t="str">
            <v>................................</v>
          </cell>
          <cell r="Y85" t="str">
            <v>................................</v>
          </cell>
          <cell r="Z85" t="str">
            <v>Nguyễn Văn Nghiễm</v>
          </cell>
          <cell r="AA85" t="str">
            <v>Cán bộ KCS</v>
          </cell>
          <cell r="AB85" t="str">
            <v>Vương Toàn Hiếu</v>
          </cell>
          <cell r="AC85" t="str">
            <v>Trưởng đoàn TVGS</v>
          </cell>
          <cell r="AD85" t="str">
            <v>Lê Thiều Nam</v>
          </cell>
          <cell r="AE85" t="str">
            <v>Cán bộ TVGS</v>
          </cell>
          <cell r="AF85" t="str">
            <v>................................</v>
          </cell>
          <cell r="AG85" t="str">
            <v>Cán bộ TVGS</v>
          </cell>
          <cell r="AH85" t="str">
            <v>Nguyễn Ái Việt</v>
          </cell>
          <cell r="AI85" t="str">
            <v>Chỉ huy trưởng</v>
          </cell>
          <cell r="AJ85" t="str">
            <v>Hoàng Chiến Thắng</v>
          </cell>
          <cell r="AK85" t="str">
            <v>P. Chỉ huy trưởng</v>
          </cell>
          <cell r="AL85" t="str">
            <v>Trịnh Quang Đức</v>
          </cell>
          <cell r="AM85" t="str">
            <v>Cán bộ kỹ thuật</v>
          </cell>
          <cell r="AN85" t="str">
            <v>KTBS</v>
          </cell>
          <cell r="AR85" t="str">
            <v>Ngày 12 Tháng 10 Năm 2015</v>
          </cell>
        </row>
        <row r="86">
          <cell r="A86" t="str">
            <v>CT-76</v>
          </cell>
          <cell r="B86" t="str">
            <v>Rải lưới thép hàn xây dựng D4/A200 nền tầng 02</v>
          </cell>
          <cell r="C86" t="str">
            <v>CT-76</v>
          </cell>
          <cell r="D86" t="str">
            <v>8h00</v>
          </cell>
          <cell r="E86" t="str">
            <v>9h00</v>
          </cell>
          <cell r="F86">
            <v>15</v>
          </cell>
          <cell r="G86">
            <v>10</v>
          </cell>
          <cell r="H86">
            <v>2015</v>
          </cell>
          <cell r="I86" t="str">
            <v>Hà Nội, ngày 15 tháng 10 năm 2015</v>
          </cell>
          <cell r="J86" t="str">
            <v>8h00 ngày 15 tháng 10 năm 2015</v>
          </cell>
          <cell r="K86" t="str">
            <v>9h00 ngày 15 tháng 10 năm 2015</v>
          </cell>
          <cell r="L86" t="str">
            <v>9h15</v>
          </cell>
          <cell r="M86" t="str">
            <v>10h15</v>
          </cell>
          <cell r="N86">
            <v>15</v>
          </cell>
          <cell r="O86">
            <v>10</v>
          </cell>
          <cell r="P86">
            <v>2015</v>
          </cell>
          <cell r="Q86" t="str">
            <v>Hà Nội, ngày 15 tháng 10 năm 2015</v>
          </cell>
          <cell r="R86" t="str">
            <v>9h15 ngày 15 tháng 10 năm 2015</v>
          </cell>
          <cell r="S86" t="str">
            <v>10h15 ngày 15 tháng 10 năm 2015</v>
          </cell>
          <cell r="T86" t="str">
            <v>9h15</v>
          </cell>
          <cell r="U86" t="str">
            <v>9h15 Ngày 15/10/2015</v>
          </cell>
          <cell r="V86" t="str">
            <v>Nguyễn Ái Việt</v>
          </cell>
          <cell r="W86" t="str">
            <v>P. Chỉ huy trưởng</v>
          </cell>
          <cell r="X86" t="str">
            <v>................................</v>
          </cell>
          <cell r="Y86" t="str">
            <v>................................</v>
          </cell>
          <cell r="Z86" t="str">
            <v>Nguyễn Văn Nghiễm</v>
          </cell>
          <cell r="AA86" t="str">
            <v>Cán bộ KCS</v>
          </cell>
          <cell r="AB86" t="str">
            <v>Vương Toàn Hiếu</v>
          </cell>
          <cell r="AC86" t="str">
            <v>Trưởng đoàn TVGS</v>
          </cell>
          <cell r="AD86" t="str">
            <v>Lê Thiều Nam</v>
          </cell>
          <cell r="AE86" t="str">
            <v>Cán bộ TVGS</v>
          </cell>
          <cell r="AF86" t="str">
            <v>................................</v>
          </cell>
          <cell r="AG86" t="str">
            <v>Cán bộ TVGS</v>
          </cell>
          <cell r="AH86" t="str">
            <v>Nguyễn Ái Việt</v>
          </cell>
          <cell r="AI86" t="str">
            <v>Chỉ huy trưởng</v>
          </cell>
          <cell r="AJ86" t="str">
            <v>Hoàng Chiến Thắng</v>
          </cell>
          <cell r="AK86" t="str">
            <v>P. Chỉ huy trưởng</v>
          </cell>
          <cell r="AL86" t="str">
            <v>Trịnh Quang Đức</v>
          </cell>
          <cell r="AM86" t="str">
            <v>Cán bộ kỹ thuật</v>
          </cell>
          <cell r="AN86" t="str">
            <v>KT-102DC</v>
          </cell>
          <cell r="AR86" t="str">
            <v>Ngày 15 Tháng 10 Năm 2015</v>
          </cell>
        </row>
        <row r="87">
          <cell r="A87" t="str">
            <v>CT-77</v>
          </cell>
          <cell r="C87" t="str">
            <v>CT-77</v>
          </cell>
          <cell r="D87" t="str">
            <v>.........</v>
          </cell>
          <cell r="E87" t="str">
            <v>.........</v>
          </cell>
          <cell r="F87" t="str">
            <v>….</v>
          </cell>
          <cell r="G87" t="str">
            <v>….</v>
          </cell>
          <cell r="H87" t="str">
            <v>…..</v>
          </cell>
          <cell r="I87" t="str">
            <v>Hà Nội, ngày …. tháng …. năm …..</v>
          </cell>
          <cell r="J87" t="str">
            <v>......... ngày …. tháng …. năm …..</v>
          </cell>
          <cell r="K87" t="str">
            <v>......... ngày ….. tháng …. năm …..</v>
          </cell>
          <cell r="L87" t="str">
            <v>.........</v>
          </cell>
          <cell r="M87" t="str">
            <v>.........</v>
          </cell>
          <cell r="N87" t="str">
            <v>…..</v>
          </cell>
          <cell r="O87" t="str">
            <v>….</v>
          </cell>
          <cell r="P87" t="str">
            <v>…..</v>
          </cell>
          <cell r="Q87" t="str">
            <v>Hà Nội, ngày ….. tháng …. năm …..</v>
          </cell>
          <cell r="R87" t="str">
            <v>......... ngày …. tháng …. năm …..</v>
          </cell>
          <cell r="S87" t="str">
            <v>......... ngày ….. tháng …. năm …..</v>
          </cell>
          <cell r="T87" t="str">
            <v>.........</v>
          </cell>
          <cell r="U87" t="str">
            <v>......... Ngày …./…./…..</v>
          </cell>
          <cell r="V87" t="str">
            <v>Nguyễn Ái Việt</v>
          </cell>
          <cell r="W87" t="str">
            <v>P. Chỉ huy trưởng</v>
          </cell>
          <cell r="X87" t="str">
            <v>................................</v>
          </cell>
          <cell r="Y87" t="str">
            <v>................................</v>
          </cell>
          <cell r="Z87" t="str">
            <v>Nguyễn Văn Nghiễm</v>
          </cell>
          <cell r="AA87" t="str">
            <v>Cán bộ KCS</v>
          </cell>
          <cell r="AB87" t="str">
            <v>Vương Toàn Hiếu</v>
          </cell>
          <cell r="AC87" t="str">
            <v>Trưởng đoàn TVGS</v>
          </cell>
          <cell r="AD87" t="str">
            <v>Lê Thiều Nam</v>
          </cell>
          <cell r="AE87" t="str">
            <v>Cán bộ TVGS</v>
          </cell>
          <cell r="AF87" t="str">
            <v>................................</v>
          </cell>
          <cell r="AG87" t="str">
            <v>Cán bộ TVGS</v>
          </cell>
          <cell r="AH87" t="str">
            <v>Nguyễn Ái Việt</v>
          </cell>
          <cell r="AI87" t="str">
            <v>Chỉ huy trưởng</v>
          </cell>
          <cell r="AJ87" t="str">
            <v>Hoàng Chiến Thắng</v>
          </cell>
          <cell r="AK87" t="str">
            <v>P. Chỉ huy trưởng</v>
          </cell>
          <cell r="AL87" t="str">
            <v>Trịnh Quang Đức</v>
          </cell>
          <cell r="AM87" t="str">
            <v>Cán bộ kỹ thuật</v>
          </cell>
          <cell r="AR87" t="str">
            <v>Ngày …. Tháng …. Năm …..</v>
          </cell>
        </row>
        <row r="88">
          <cell r="A88" t="str">
            <v>CT-78</v>
          </cell>
          <cell r="C88" t="str">
            <v>CT-78</v>
          </cell>
          <cell r="D88" t="str">
            <v>.........</v>
          </cell>
          <cell r="E88" t="str">
            <v>.........</v>
          </cell>
          <cell r="F88" t="str">
            <v>….</v>
          </cell>
          <cell r="G88" t="str">
            <v>….</v>
          </cell>
          <cell r="H88" t="str">
            <v>…..</v>
          </cell>
          <cell r="I88" t="str">
            <v>Hà Nội, ngày …. tháng …. năm …..</v>
          </cell>
          <cell r="J88" t="str">
            <v>......... ngày …. tháng …. năm …..</v>
          </cell>
          <cell r="K88" t="str">
            <v>......... ngày ….. tháng …. năm …..</v>
          </cell>
          <cell r="L88" t="str">
            <v>.........</v>
          </cell>
          <cell r="M88" t="str">
            <v>.........</v>
          </cell>
          <cell r="N88" t="str">
            <v>…..</v>
          </cell>
          <cell r="O88" t="str">
            <v>….</v>
          </cell>
          <cell r="P88" t="str">
            <v>…..</v>
          </cell>
          <cell r="Q88" t="str">
            <v>Hà Nội, ngày ….. tháng …. năm …..</v>
          </cell>
          <cell r="R88" t="str">
            <v>......... ngày …. tháng …. năm …..</v>
          </cell>
          <cell r="S88" t="str">
            <v>......... ngày ….. tháng …. năm …..</v>
          </cell>
          <cell r="T88" t="str">
            <v>.........</v>
          </cell>
          <cell r="U88" t="str">
            <v>......... Ngày …./…./…..</v>
          </cell>
          <cell r="V88" t="str">
            <v>Nguyễn Ái Việt</v>
          </cell>
          <cell r="W88" t="str">
            <v>P. Chỉ huy trưởng</v>
          </cell>
          <cell r="X88" t="str">
            <v>................................</v>
          </cell>
          <cell r="Y88" t="str">
            <v>................................</v>
          </cell>
          <cell r="Z88" t="str">
            <v>Nguyễn Văn Nghiễm</v>
          </cell>
          <cell r="AA88" t="str">
            <v>Cán bộ KCS</v>
          </cell>
          <cell r="AB88" t="str">
            <v>Vương Toàn Hiếu</v>
          </cell>
          <cell r="AC88" t="str">
            <v>Trưởng đoàn TVGS</v>
          </cell>
          <cell r="AD88" t="str">
            <v>Lê Thiều Nam</v>
          </cell>
          <cell r="AE88" t="str">
            <v>Cán bộ TVGS</v>
          </cell>
          <cell r="AF88" t="str">
            <v>................................</v>
          </cell>
          <cell r="AG88" t="str">
            <v>Cán bộ TVGS</v>
          </cell>
          <cell r="AH88" t="str">
            <v>Nguyễn Ái Việt</v>
          </cell>
          <cell r="AI88" t="str">
            <v>Chỉ huy trưởng</v>
          </cell>
          <cell r="AJ88" t="str">
            <v>Hoàng Chiến Thắng</v>
          </cell>
          <cell r="AK88" t="str">
            <v>P. Chỉ huy trưởng</v>
          </cell>
          <cell r="AL88" t="str">
            <v>Trịnh Quang Đức</v>
          </cell>
          <cell r="AM88" t="str">
            <v>Cán bộ kỹ thuật</v>
          </cell>
          <cell r="AR88" t="str">
            <v>Ngày …. Tháng …. Năm …..</v>
          </cell>
        </row>
        <row r="89">
          <cell r="A89" t="str">
            <v>CT-79</v>
          </cell>
          <cell r="C89" t="str">
            <v>CT-79</v>
          </cell>
          <cell r="D89" t="str">
            <v>.........</v>
          </cell>
          <cell r="E89" t="str">
            <v>.........</v>
          </cell>
          <cell r="F89" t="str">
            <v>….</v>
          </cell>
          <cell r="G89" t="str">
            <v>….</v>
          </cell>
          <cell r="H89" t="str">
            <v>…..</v>
          </cell>
          <cell r="I89" t="str">
            <v>Hà Nội, ngày …. tháng …. năm …..</v>
          </cell>
          <cell r="J89" t="str">
            <v>......... ngày …. tháng …. năm …..</v>
          </cell>
          <cell r="K89" t="str">
            <v>......... ngày ….. tháng …. năm …..</v>
          </cell>
          <cell r="L89" t="str">
            <v>.........</v>
          </cell>
          <cell r="M89" t="str">
            <v>.........</v>
          </cell>
          <cell r="N89" t="str">
            <v>…..</v>
          </cell>
          <cell r="O89" t="str">
            <v>….</v>
          </cell>
          <cell r="P89" t="str">
            <v>…..</v>
          </cell>
          <cell r="Q89" t="str">
            <v>Hà Nội, ngày ….. tháng …. năm …..</v>
          </cell>
          <cell r="R89" t="str">
            <v>......... ngày …. tháng …. năm …..</v>
          </cell>
          <cell r="S89" t="str">
            <v>......... ngày ….. tháng …. năm …..</v>
          </cell>
          <cell r="T89" t="str">
            <v>.........</v>
          </cell>
          <cell r="U89" t="str">
            <v>......... Ngày …./…./…..</v>
          </cell>
          <cell r="V89" t="str">
            <v>Nguyễn Ái Việt</v>
          </cell>
          <cell r="W89" t="str">
            <v>P. Chỉ huy trưởng</v>
          </cell>
          <cell r="X89" t="str">
            <v>................................</v>
          </cell>
          <cell r="Y89" t="str">
            <v>................................</v>
          </cell>
          <cell r="Z89" t="str">
            <v>Nguyễn Văn Nghiễm</v>
          </cell>
          <cell r="AA89" t="str">
            <v>Cán bộ KCS</v>
          </cell>
          <cell r="AB89" t="str">
            <v>Vương Toàn Hiếu</v>
          </cell>
          <cell r="AC89" t="str">
            <v>Trưởng đoàn TVGS</v>
          </cell>
          <cell r="AD89" t="str">
            <v>Lê Thiều Nam</v>
          </cell>
          <cell r="AE89" t="str">
            <v>Cán bộ TVGS</v>
          </cell>
          <cell r="AF89" t="str">
            <v>................................</v>
          </cell>
          <cell r="AG89" t="str">
            <v>Cán bộ TVGS</v>
          </cell>
          <cell r="AH89" t="str">
            <v>Nguyễn Ái Việt</v>
          </cell>
          <cell r="AI89" t="str">
            <v>Chỉ huy trưởng</v>
          </cell>
          <cell r="AJ89" t="str">
            <v>Hoàng Chiến Thắng</v>
          </cell>
          <cell r="AK89" t="str">
            <v>P. Chỉ huy trưởng</v>
          </cell>
          <cell r="AL89" t="str">
            <v>Trịnh Quang Đức</v>
          </cell>
          <cell r="AM89" t="str">
            <v>Cán bộ kỹ thuật</v>
          </cell>
          <cell r="AR89" t="str">
            <v>Ngày …. Tháng …. Năm …..</v>
          </cell>
        </row>
        <row r="90">
          <cell r="A90" t="str">
            <v>CTLT-01</v>
          </cell>
          <cell r="B90" t="str">
            <v>GCLD cốt thép lanh tô tầng 01, tầng 02</v>
          </cell>
          <cell r="C90" t="str">
            <v>CTLT-01</v>
          </cell>
          <cell r="D90" t="str">
            <v>8h30</v>
          </cell>
          <cell r="E90" t="str">
            <v>9h30</v>
          </cell>
          <cell r="F90">
            <v>10</v>
          </cell>
          <cell r="G90">
            <v>4</v>
          </cell>
          <cell r="H90">
            <v>2015</v>
          </cell>
          <cell r="I90" t="str">
            <v>Hà Nội, ngày 10 tháng 4 năm 2015</v>
          </cell>
          <cell r="J90" t="str">
            <v>8h30 ngày 10 tháng 4 năm 2015</v>
          </cell>
          <cell r="K90" t="str">
            <v>9h30 ngày 10 tháng 4 năm 2015</v>
          </cell>
          <cell r="L90" t="str">
            <v>9h30</v>
          </cell>
          <cell r="M90" t="str">
            <v>10h30</v>
          </cell>
          <cell r="N90">
            <v>10</v>
          </cell>
          <cell r="O90">
            <v>4</v>
          </cell>
          <cell r="P90">
            <v>2015</v>
          </cell>
          <cell r="Q90" t="str">
            <v>Hà Nội, ngày 10 tháng 4 năm 2015</v>
          </cell>
          <cell r="R90" t="str">
            <v>9h30 ngày 10 tháng 4 năm 2015</v>
          </cell>
          <cell r="S90" t="str">
            <v>10h30 ngày 10 tháng 4 năm 2015</v>
          </cell>
          <cell r="T90" t="str">
            <v>9h30</v>
          </cell>
          <cell r="U90" t="str">
            <v>9h30 Ngày 10/4/2015</v>
          </cell>
          <cell r="V90" t="str">
            <v>Nguyễn Ái Việt</v>
          </cell>
          <cell r="W90" t="str">
            <v>P. Chỉ huy trưởng</v>
          </cell>
          <cell r="X90" t="str">
            <v>................................</v>
          </cell>
          <cell r="Y90" t="str">
            <v>................................</v>
          </cell>
          <cell r="Z90" t="str">
            <v>Nguyễn Văn Nghiễm</v>
          </cell>
          <cell r="AA90" t="str">
            <v>Cán bộ KCS</v>
          </cell>
          <cell r="AB90" t="str">
            <v>Vương Toàn Hiếu</v>
          </cell>
          <cell r="AC90" t="str">
            <v>Trưởng đoàn TVGS</v>
          </cell>
          <cell r="AD90" t="str">
            <v>Lê Thiều Nam</v>
          </cell>
          <cell r="AE90" t="str">
            <v>Cán bộ TVGS</v>
          </cell>
          <cell r="AF90" t="str">
            <v>................................</v>
          </cell>
          <cell r="AG90" t="str">
            <v>Cán bộ TVGS</v>
          </cell>
          <cell r="AH90" t="str">
            <v>Nguyễn Ái Việt</v>
          </cell>
          <cell r="AI90" t="str">
            <v>Chỉ huy trưởng</v>
          </cell>
          <cell r="AJ90" t="str">
            <v>Hoàng Chiến Thắng</v>
          </cell>
          <cell r="AK90" t="str">
            <v>P. Chỉ huy trưởng</v>
          </cell>
          <cell r="AL90" t="str">
            <v>Trịnh Quang Đức</v>
          </cell>
          <cell r="AM90" t="str">
            <v>Cán bộ kỹ thuật</v>
          </cell>
          <cell r="AN90" t="str">
            <v>KCĐCBS-01A; KCĐCBS-01B; KCĐCBS-03</v>
          </cell>
          <cell r="AR90" t="str">
            <v>Ngày 10 Tháng 4 Năm 2015</v>
          </cell>
        </row>
        <row r="91">
          <cell r="A91" t="str">
            <v>CTLT-02</v>
          </cell>
          <cell r="B91" t="str">
            <v>GCLD cốt thép lanh tô tầng 03, tầng 04, tầng 05</v>
          </cell>
          <cell r="C91" t="str">
            <v>CTLT-02</v>
          </cell>
          <cell r="D91" t="str">
            <v>9h00</v>
          </cell>
          <cell r="E91" t="str">
            <v>10h00</v>
          </cell>
          <cell r="F91">
            <v>12</v>
          </cell>
          <cell r="G91">
            <v>6</v>
          </cell>
          <cell r="H91">
            <v>2015</v>
          </cell>
          <cell r="I91" t="str">
            <v>Hà Nội, ngày 12 tháng 6 năm 2015</v>
          </cell>
          <cell r="J91" t="str">
            <v>9h00 ngày 12 tháng 6 năm 2015</v>
          </cell>
          <cell r="K91" t="str">
            <v>10h00 ngày 28 tháng 6 năm 2015</v>
          </cell>
          <cell r="L91" t="str">
            <v>10h00</v>
          </cell>
          <cell r="M91" t="str">
            <v>11h00</v>
          </cell>
          <cell r="N91">
            <v>28</v>
          </cell>
          <cell r="O91">
            <v>6</v>
          </cell>
          <cell r="P91">
            <v>2015</v>
          </cell>
          <cell r="Q91" t="str">
            <v>Hà Nội, ngày 28 tháng 6 năm 2015</v>
          </cell>
          <cell r="R91" t="str">
            <v>10h00 ngày 12 tháng 6 năm 2015</v>
          </cell>
          <cell r="S91" t="str">
            <v>11h00 ngày 28 tháng 6 năm 2015</v>
          </cell>
          <cell r="T91" t="str">
            <v>10h00</v>
          </cell>
          <cell r="U91" t="str">
            <v>10h00 Ngày 12/6/2015</v>
          </cell>
          <cell r="V91" t="str">
            <v>Nguyễn Ái Việt</v>
          </cell>
          <cell r="W91" t="str">
            <v>P. Chỉ huy trưởng</v>
          </cell>
          <cell r="X91" t="str">
            <v>................................</v>
          </cell>
          <cell r="Y91" t="str">
            <v>................................</v>
          </cell>
          <cell r="Z91" t="str">
            <v>Nguyễn Văn Nghiễm</v>
          </cell>
          <cell r="AA91" t="str">
            <v>Cán bộ KCS</v>
          </cell>
          <cell r="AB91" t="str">
            <v>Vương Toàn Hiếu</v>
          </cell>
          <cell r="AC91" t="str">
            <v>Trưởng đoàn TVGS</v>
          </cell>
          <cell r="AD91" t="str">
            <v>Lê Thiều Nam</v>
          </cell>
          <cell r="AE91" t="str">
            <v>Cán bộ TVGS</v>
          </cell>
          <cell r="AF91" t="str">
            <v>................................</v>
          </cell>
          <cell r="AG91" t="str">
            <v>Cán bộ TVGS</v>
          </cell>
          <cell r="AH91" t="str">
            <v>Nguyễn Ái Việt</v>
          </cell>
          <cell r="AI91" t="str">
            <v>Chỉ huy trưởng</v>
          </cell>
          <cell r="AJ91" t="str">
            <v>Hoàng Chiến Thắng</v>
          </cell>
          <cell r="AK91" t="str">
            <v>P. Chỉ huy trưởng</v>
          </cell>
          <cell r="AL91" t="str">
            <v>Trịnh Quang Đức</v>
          </cell>
          <cell r="AM91" t="str">
            <v>Cán bộ kỹ thuật</v>
          </cell>
          <cell r="AN91" t="str">
            <v>KCĐCBS-01; KCĐCBS-03</v>
          </cell>
          <cell r="AR91" t="str">
            <v>Ngày 12 Tháng 6 Năm 2015</v>
          </cell>
        </row>
        <row r="92">
          <cell r="A92" t="str">
            <v>CTLT-03</v>
          </cell>
          <cell r="B92" t="str">
            <v>GCLD cốt thép lanh tô tầng 06, tầng 07, tầng 08</v>
          </cell>
          <cell r="C92" t="str">
            <v>CTLT-03</v>
          </cell>
          <cell r="D92" t="str">
            <v>8h00</v>
          </cell>
          <cell r="E92" t="str">
            <v>9h00</v>
          </cell>
          <cell r="F92">
            <v>15</v>
          </cell>
          <cell r="G92">
            <v>7</v>
          </cell>
          <cell r="H92">
            <v>2015</v>
          </cell>
          <cell r="I92" t="str">
            <v>Hà Nội, ngày 15 tháng 7 năm 2015</v>
          </cell>
          <cell r="J92" t="str">
            <v>8h00 ngày 15 tháng 7 năm 2015</v>
          </cell>
          <cell r="K92" t="str">
            <v>9h00 ngày 23 tháng 7 năm 2015</v>
          </cell>
          <cell r="L92" t="str">
            <v>9h00</v>
          </cell>
          <cell r="M92" t="str">
            <v>10h00</v>
          </cell>
          <cell r="N92">
            <v>23</v>
          </cell>
          <cell r="O92">
            <v>7</v>
          </cell>
          <cell r="P92">
            <v>2015</v>
          </cell>
          <cell r="Q92" t="str">
            <v>Hà Nội, ngày 23 tháng 7 năm 2015</v>
          </cell>
          <cell r="R92" t="str">
            <v>9h00 ngày 15 tháng 7 năm 2015</v>
          </cell>
          <cell r="S92" t="str">
            <v>10h00 ngày 23 tháng 7 năm 2015</v>
          </cell>
          <cell r="T92" t="str">
            <v>9h00</v>
          </cell>
          <cell r="U92" t="str">
            <v>9h00 Ngày 15/7/2015</v>
          </cell>
          <cell r="V92" t="str">
            <v>Nguyễn Ái Việt</v>
          </cell>
          <cell r="W92" t="str">
            <v>P. Chỉ huy trưởng</v>
          </cell>
          <cell r="X92" t="str">
            <v>................................</v>
          </cell>
          <cell r="Y92" t="str">
            <v>................................</v>
          </cell>
          <cell r="Z92" t="str">
            <v>Nguyễn Văn Nghiễm</v>
          </cell>
          <cell r="AA92" t="str">
            <v>Cán bộ KCS</v>
          </cell>
          <cell r="AB92" t="str">
            <v>Vương Toàn Hiếu</v>
          </cell>
          <cell r="AC92" t="str">
            <v>Trưởng đoàn TVGS</v>
          </cell>
          <cell r="AD92" t="str">
            <v>Lê Thiều Nam</v>
          </cell>
          <cell r="AE92" t="str">
            <v>Cán bộ TVGS</v>
          </cell>
          <cell r="AF92" t="str">
            <v>................................</v>
          </cell>
          <cell r="AG92" t="str">
            <v>Cán bộ TVGS</v>
          </cell>
          <cell r="AH92" t="str">
            <v>Nguyễn Ái Việt</v>
          </cell>
          <cell r="AI92" t="str">
            <v>Chỉ huy trưởng</v>
          </cell>
          <cell r="AJ92" t="str">
            <v>Hoàng Chiến Thắng</v>
          </cell>
          <cell r="AK92" t="str">
            <v>P. Chỉ huy trưởng</v>
          </cell>
          <cell r="AL92" t="str">
            <v>Trịnh Quang Đức</v>
          </cell>
          <cell r="AM92" t="str">
            <v>Cán bộ kỹ thuật</v>
          </cell>
          <cell r="AN92" t="str">
            <v>KCĐCBS-01; KCĐCBS-03</v>
          </cell>
          <cell r="AR92" t="str">
            <v>Ngày 15 Tháng 7 Năm 2015</v>
          </cell>
        </row>
        <row r="93">
          <cell r="A93" t="str">
            <v>CTLT-04</v>
          </cell>
          <cell r="B93" t="str">
            <v>GCLD cốt thép lanh tô tầng 09, tầng 10, tầng 11</v>
          </cell>
          <cell r="C93" t="str">
            <v>CTLT-04</v>
          </cell>
          <cell r="D93" t="str">
            <v>9h00</v>
          </cell>
          <cell r="E93" t="str">
            <v>10h00</v>
          </cell>
          <cell r="F93">
            <v>28</v>
          </cell>
          <cell r="G93">
            <v>7</v>
          </cell>
          <cell r="H93">
            <v>2015</v>
          </cell>
          <cell r="I93" t="str">
            <v>Hà Nội, ngày 28 tháng 7 năm 2015</v>
          </cell>
          <cell r="J93" t="str">
            <v>9h00 ngày 28 tháng 7 năm 2015</v>
          </cell>
          <cell r="K93" t="str">
            <v>10h00 ngày 10 tháng 8 năm 2015</v>
          </cell>
          <cell r="L93" t="str">
            <v>10h00</v>
          </cell>
          <cell r="M93" t="str">
            <v>11h00</v>
          </cell>
          <cell r="N93">
            <v>10</v>
          </cell>
          <cell r="O93">
            <v>8</v>
          </cell>
          <cell r="P93">
            <v>2015</v>
          </cell>
          <cell r="Q93" t="str">
            <v>Hà Nội, ngày 10 tháng 8 năm 2015</v>
          </cell>
          <cell r="R93" t="str">
            <v>10h00 ngày 28 tháng 7 năm 2015</v>
          </cell>
          <cell r="S93" t="str">
            <v>11h00 ngày 10 tháng 8 năm 2015</v>
          </cell>
          <cell r="T93" t="str">
            <v>10h00</v>
          </cell>
          <cell r="U93" t="str">
            <v>10h00 Ngày 28/7/2015</v>
          </cell>
          <cell r="V93" t="str">
            <v>Nguyễn Ái Việt</v>
          </cell>
          <cell r="W93" t="str">
            <v>P. Chỉ huy trưởng</v>
          </cell>
          <cell r="X93" t="str">
            <v>................................</v>
          </cell>
          <cell r="Y93" t="str">
            <v>................................</v>
          </cell>
          <cell r="Z93" t="str">
            <v>Nguyễn Văn Nghiễm</v>
          </cell>
          <cell r="AA93" t="str">
            <v>Cán bộ KCS</v>
          </cell>
          <cell r="AB93" t="str">
            <v>Vương Toàn Hiếu</v>
          </cell>
          <cell r="AC93" t="str">
            <v>Trưởng đoàn TVGS</v>
          </cell>
          <cell r="AD93" t="str">
            <v>Lê Thiều Nam</v>
          </cell>
          <cell r="AE93" t="str">
            <v>Cán bộ TVGS</v>
          </cell>
          <cell r="AF93" t="str">
            <v>................................</v>
          </cell>
          <cell r="AG93" t="str">
            <v>Cán bộ TVGS</v>
          </cell>
          <cell r="AH93" t="str">
            <v>Nguyễn Ái Việt</v>
          </cell>
          <cell r="AI93" t="str">
            <v>Chỉ huy trưởng</v>
          </cell>
          <cell r="AJ93" t="str">
            <v>Hoàng Chiến Thắng</v>
          </cell>
          <cell r="AK93" t="str">
            <v>P. Chỉ huy trưởng</v>
          </cell>
          <cell r="AL93" t="str">
            <v>Trịnh Quang Đức</v>
          </cell>
          <cell r="AM93" t="str">
            <v>Cán bộ kỹ thuật</v>
          </cell>
          <cell r="AN93" t="str">
            <v>KCĐCBS-01; KCĐCBS-03</v>
          </cell>
          <cell r="AR93" t="str">
            <v>Ngày 28 Tháng 7 Năm 2015</v>
          </cell>
        </row>
        <row r="94">
          <cell r="A94" t="str">
            <v>CTLT-05</v>
          </cell>
          <cell r="B94" t="str">
            <v>GCLD cốt thép lanh tô tầng áp mái</v>
          </cell>
          <cell r="C94" t="str">
            <v>CTLT-05</v>
          </cell>
          <cell r="D94" t="str">
            <v>9h00</v>
          </cell>
          <cell r="E94" t="str">
            <v>9h45</v>
          </cell>
          <cell r="F94">
            <v>14</v>
          </cell>
          <cell r="G94">
            <v>8</v>
          </cell>
          <cell r="H94">
            <v>2015</v>
          </cell>
          <cell r="I94" t="str">
            <v>Hà Nội, ngày 14 tháng 8 năm 2015</v>
          </cell>
          <cell r="J94" t="str">
            <v>9h00 ngày 14 tháng 8 năm 2015</v>
          </cell>
          <cell r="K94" t="str">
            <v>9h45 ngày 14 tháng 8 năm 2015</v>
          </cell>
          <cell r="L94" t="str">
            <v>9h45</v>
          </cell>
          <cell r="M94" t="str">
            <v>10h30</v>
          </cell>
          <cell r="N94">
            <v>14</v>
          </cell>
          <cell r="O94">
            <v>8</v>
          </cell>
          <cell r="P94">
            <v>2015</v>
          </cell>
          <cell r="Q94" t="str">
            <v>Hà Nội, ngày 14 tháng 8 năm 2015</v>
          </cell>
          <cell r="R94" t="str">
            <v>9h45 ngày 14 tháng 8 năm 2015</v>
          </cell>
          <cell r="S94" t="str">
            <v>10h30 ngày 14 tháng 8 năm 2015</v>
          </cell>
          <cell r="T94" t="str">
            <v>9h45</v>
          </cell>
          <cell r="U94" t="str">
            <v>9h45 Ngày 14/8/2015</v>
          </cell>
          <cell r="V94" t="str">
            <v>Nguyễn Ái Việt</v>
          </cell>
          <cell r="W94" t="str">
            <v>P. Chỉ huy trưởng</v>
          </cell>
          <cell r="X94" t="str">
            <v>................................</v>
          </cell>
          <cell r="Y94" t="str">
            <v>................................</v>
          </cell>
          <cell r="Z94" t="str">
            <v>Nguyễn Văn Nghiễm</v>
          </cell>
          <cell r="AA94" t="str">
            <v>Cán bộ KCS</v>
          </cell>
          <cell r="AB94" t="str">
            <v>Vương Toàn Hiếu</v>
          </cell>
          <cell r="AC94" t="str">
            <v>Trưởng đoàn TVGS</v>
          </cell>
          <cell r="AD94" t="str">
            <v>Lê Thiều Nam</v>
          </cell>
          <cell r="AE94" t="str">
            <v>Cán bộ TVGS</v>
          </cell>
          <cell r="AF94" t="str">
            <v>................................</v>
          </cell>
          <cell r="AG94" t="str">
            <v>Cán bộ TVGS</v>
          </cell>
          <cell r="AH94" t="str">
            <v>Nguyễn Ái Việt</v>
          </cell>
          <cell r="AI94" t="str">
            <v>Chỉ huy trưởng</v>
          </cell>
          <cell r="AJ94" t="str">
            <v>Hoàng Chiến Thắng</v>
          </cell>
          <cell r="AK94" t="str">
            <v>P. Chỉ huy trưởng</v>
          </cell>
          <cell r="AL94" t="str">
            <v>Trịnh Quang Đức</v>
          </cell>
          <cell r="AM94" t="str">
            <v>Cán bộ kỹ thuật</v>
          </cell>
          <cell r="AN94" t="str">
            <v>KCĐCBS-01; KCĐCBS-04</v>
          </cell>
          <cell r="AR94" t="str">
            <v>Ngày 14 Tháng 8 Năm 2015</v>
          </cell>
        </row>
        <row r="95">
          <cell r="A95" t="str">
            <v>CTGLC-01</v>
          </cell>
          <cell r="B95" t="str">
            <v>GCLD cốt thép giằng tường chân lan can lô gia căn hộ tầng 03, 04, 05</v>
          </cell>
          <cell r="C95" t="str">
            <v>CTGLC-01</v>
          </cell>
          <cell r="D95" t="str">
            <v>8h30</v>
          </cell>
          <cell r="E95" t="str">
            <v>9h30</v>
          </cell>
          <cell r="F95">
            <v>8</v>
          </cell>
          <cell r="G95">
            <v>6</v>
          </cell>
          <cell r="H95">
            <v>2015</v>
          </cell>
          <cell r="I95" t="str">
            <v>Hà Nội, ngày 8 tháng 6 năm 2015</v>
          </cell>
          <cell r="J95" t="str">
            <v>8h30 ngày 8 tháng 6 năm 2015</v>
          </cell>
          <cell r="K95" t="str">
            <v>9h30 ngày 30 tháng 6 năm 2015</v>
          </cell>
          <cell r="L95" t="str">
            <v>9h30</v>
          </cell>
          <cell r="M95" t="str">
            <v>10h30</v>
          </cell>
          <cell r="N95">
            <v>30</v>
          </cell>
          <cell r="O95">
            <v>6</v>
          </cell>
          <cell r="P95">
            <v>2015</v>
          </cell>
          <cell r="Q95" t="str">
            <v>Hà Nội, ngày 30 tháng 6 năm 2015</v>
          </cell>
          <cell r="R95" t="str">
            <v>9h30 ngày 8 tháng 6 năm 2015</v>
          </cell>
          <cell r="S95" t="str">
            <v>10h30 ngày 30 tháng 6 năm 2015</v>
          </cell>
          <cell r="T95" t="str">
            <v>9h30</v>
          </cell>
          <cell r="U95" t="str">
            <v>9h30 Ngày 8/6/2015</v>
          </cell>
          <cell r="V95" t="str">
            <v>Nguyễn Ái Việt</v>
          </cell>
          <cell r="W95" t="str">
            <v>P. Chỉ huy trưởng</v>
          </cell>
          <cell r="X95" t="str">
            <v>................................</v>
          </cell>
          <cell r="Y95" t="str">
            <v>................................</v>
          </cell>
          <cell r="Z95" t="str">
            <v>Nguyễn Văn Nghiễm</v>
          </cell>
          <cell r="AA95" t="str">
            <v>Cán bộ KCS</v>
          </cell>
          <cell r="AB95" t="str">
            <v>Vương Toàn Hiếu</v>
          </cell>
          <cell r="AC95" t="str">
            <v>Trưởng đoàn TVGS</v>
          </cell>
          <cell r="AD95" t="str">
            <v>Lê Thiều Nam</v>
          </cell>
          <cell r="AE95" t="str">
            <v>Cán bộ TVGS</v>
          </cell>
          <cell r="AF95" t="str">
            <v>................................</v>
          </cell>
          <cell r="AG95" t="str">
            <v>Cán bộ TVGS</v>
          </cell>
          <cell r="AH95" t="str">
            <v>Nguyễn Ái Việt</v>
          </cell>
          <cell r="AI95" t="str">
            <v>Chỉ huy trưởng</v>
          </cell>
          <cell r="AJ95" t="str">
            <v>Hoàng Chiến Thắng</v>
          </cell>
          <cell r="AK95" t="str">
            <v>P. Chỉ huy trưởng</v>
          </cell>
          <cell r="AL95" t="str">
            <v>Trịnh Quang Đức</v>
          </cell>
          <cell r="AM95" t="str">
            <v>Cán bộ kỹ thuật</v>
          </cell>
          <cell r="AN95" t="str">
            <v>KC-65; KT-502; KT-602</v>
          </cell>
          <cell r="AR95" t="str">
            <v>Ngày 8 Tháng 6 Năm 2015</v>
          </cell>
        </row>
        <row r="96">
          <cell r="A96" t="str">
            <v>CTGLC-02</v>
          </cell>
          <cell r="B96" t="str">
            <v>GCLD cốt thép giằng tường chân lan can lô gia căn hộ tầng 06, 07, 08</v>
          </cell>
          <cell r="C96" t="str">
            <v>CTGLC-02</v>
          </cell>
          <cell r="D96" t="str">
            <v>9h00</v>
          </cell>
          <cell r="E96" t="str">
            <v>10h00</v>
          </cell>
          <cell r="F96">
            <v>14</v>
          </cell>
          <cell r="G96">
            <v>7</v>
          </cell>
          <cell r="H96">
            <v>2015</v>
          </cell>
          <cell r="I96" t="str">
            <v>Hà Nội, ngày 14 tháng 7 năm 2015</v>
          </cell>
          <cell r="J96" t="str">
            <v>9h00 ngày 14 tháng 7 năm 2015</v>
          </cell>
          <cell r="K96" t="str">
            <v>10h00 ngày 20 tháng 7 năm 2015</v>
          </cell>
          <cell r="L96" t="str">
            <v>10h00</v>
          </cell>
          <cell r="M96" t="str">
            <v>11h00</v>
          </cell>
          <cell r="N96">
            <v>20</v>
          </cell>
          <cell r="O96">
            <v>7</v>
          </cell>
          <cell r="P96">
            <v>2015</v>
          </cell>
          <cell r="Q96" t="str">
            <v>Hà Nội, ngày 20 tháng 7 năm 2015</v>
          </cell>
          <cell r="R96" t="str">
            <v>10h00 ngày 14 tháng 7 năm 2015</v>
          </cell>
          <cell r="S96" t="str">
            <v>11h00 ngày 20 tháng 7 năm 2015</v>
          </cell>
          <cell r="T96" t="str">
            <v>10h00</v>
          </cell>
          <cell r="U96" t="str">
            <v>10h00 Ngày 14/7/2015</v>
          </cell>
          <cell r="V96" t="str">
            <v>Nguyễn Ái Việt</v>
          </cell>
          <cell r="W96" t="str">
            <v>P. Chỉ huy trưởng</v>
          </cell>
          <cell r="X96" t="str">
            <v>................................</v>
          </cell>
          <cell r="Y96" t="str">
            <v>................................</v>
          </cell>
          <cell r="Z96" t="str">
            <v>Nguyễn Văn Nghiễm</v>
          </cell>
          <cell r="AA96" t="str">
            <v>Cán bộ KCS</v>
          </cell>
          <cell r="AB96" t="str">
            <v>Vương Toàn Hiếu</v>
          </cell>
          <cell r="AC96" t="str">
            <v>Trưởng đoàn TVGS</v>
          </cell>
          <cell r="AD96" t="str">
            <v>Lê Thiều Nam</v>
          </cell>
          <cell r="AE96" t="str">
            <v>Cán bộ TVGS</v>
          </cell>
          <cell r="AF96" t="str">
            <v>................................</v>
          </cell>
          <cell r="AG96" t="str">
            <v>Cán bộ TVGS</v>
          </cell>
          <cell r="AH96" t="str">
            <v>Nguyễn Ái Việt</v>
          </cell>
          <cell r="AI96" t="str">
            <v>Chỉ huy trưởng</v>
          </cell>
          <cell r="AJ96" t="str">
            <v>Hoàng Chiến Thắng</v>
          </cell>
          <cell r="AK96" t="str">
            <v>P. Chỉ huy trưởng</v>
          </cell>
          <cell r="AL96" t="str">
            <v>Trịnh Quang Đức</v>
          </cell>
          <cell r="AM96" t="str">
            <v>Cán bộ kỹ thuật</v>
          </cell>
          <cell r="AN96" t="str">
            <v>KC-65; KT-502; KT-602</v>
          </cell>
          <cell r="AR96" t="str">
            <v>Ngày 14 Tháng 7 Năm 2015</v>
          </cell>
        </row>
        <row r="97">
          <cell r="A97" t="str">
            <v>CTGLC-03</v>
          </cell>
          <cell r="B97" t="str">
            <v>GCLD cốt thép giằng tường chân lan can lô gia căn hộ tầng 09, 10, 11</v>
          </cell>
          <cell r="C97" t="str">
            <v>CTGLC-03</v>
          </cell>
          <cell r="D97" t="str">
            <v>8h00</v>
          </cell>
          <cell r="E97" t="str">
            <v>9h00</v>
          </cell>
          <cell r="F97">
            <v>28</v>
          </cell>
          <cell r="G97">
            <v>7</v>
          </cell>
          <cell r="H97">
            <v>2015</v>
          </cell>
          <cell r="I97" t="str">
            <v>Hà Nội, ngày 28 tháng 7 năm 2015</v>
          </cell>
          <cell r="J97" t="str">
            <v>8h00 ngày 28 tháng 7 năm 2015</v>
          </cell>
          <cell r="K97" t="str">
            <v>9h00 ngày 8 tháng 8 năm 2015</v>
          </cell>
          <cell r="L97" t="str">
            <v>9h00</v>
          </cell>
          <cell r="M97" t="str">
            <v>10h00</v>
          </cell>
          <cell r="N97">
            <v>8</v>
          </cell>
          <cell r="O97">
            <v>8</v>
          </cell>
          <cell r="P97">
            <v>2015</v>
          </cell>
          <cell r="Q97" t="str">
            <v>Hà Nội, ngày 8 tháng 8 năm 2015</v>
          </cell>
          <cell r="R97" t="str">
            <v>9h00 ngày 28 tháng 7 năm 2015</v>
          </cell>
          <cell r="S97" t="str">
            <v>10h00 ngày 8 tháng 8 năm 2015</v>
          </cell>
          <cell r="T97" t="str">
            <v>9h00</v>
          </cell>
          <cell r="U97" t="str">
            <v>9h00 Ngày 28/7/2015</v>
          </cell>
          <cell r="V97" t="str">
            <v>Nguyễn Ái Việt</v>
          </cell>
          <cell r="W97" t="str">
            <v>P. Chỉ huy trưởng</v>
          </cell>
          <cell r="X97" t="str">
            <v>................................</v>
          </cell>
          <cell r="Y97" t="str">
            <v>................................</v>
          </cell>
          <cell r="Z97" t="str">
            <v>Nguyễn Văn Nghiễm</v>
          </cell>
          <cell r="AA97" t="str">
            <v>Cán bộ KCS</v>
          </cell>
          <cell r="AB97" t="str">
            <v>Vương Toàn Hiếu</v>
          </cell>
          <cell r="AC97" t="str">
            <v>Trưởng đoàn TVGS</v>
          </cell>
          <cell r="AD97" t="str">
            <v>Lê Thiều Nam</v>
          </cell>
          <cell r="AE97" t="str">
            <v>Cán bộ TVGS</v>
          </cell>
          <cell r="AF97" t="str">
            <v>................................</v>
          </cell>
          <cell r="AG97" t="str">
            <v>Cán bộ TVGS</v>
          </cell>
          <cell r="AH97" t="str">
            <v>Nguyễn Ái Việt</v>
          </cell>
          <cell r="AI97" t="str">
            <v>Chỉ huy trưởng</v>
          </cell>
          <cell r="AJ97" t="str">
            <v>Hoàng Chiến Thắng</v>
          </cell>
          <cell r="AK97" t="str">
            <v>P. Chỉ huy trưởng</v>
          </cell>
          <cell r="AL97" t="str">
            <v>Trịnh Quang Đức</v>
          </cell>
          <cell r="AM97" t="str">
            <v>Cán bộ kỹ thuật</v>
          </cell>
          <cell r="AN97" t="str">
            <v>KC-65; KT-502; KT-602</v>
          </cell>
          <cell r="AR97" t="str">
            <v>Ngày 28 Tháng 7 Năm 2015</v>
          </cell>
        </row>
        <row r="98">
          <cell r="A98" t="str">
            <v>CTGT-01</v>
          </cell>
          <cell r="B98" t="str">
            <v>GCLD cốt thép giằng tường tầng áp mái</v>
          </cell>
          <cell r="C98" t="str">
            <v>CTGT-01</v>
          </cell>
          <cell r="D98" t="str">
            <v>8h00</v>
          </cell>
          <cell r="E98" t="str">
            <v>9h00</v>
          </cell>
          <cell r="F98">
            <v>28</v>
          </cell>
          <cell r="G98">
            <v>8</v>
          </cell>
          <cell r="H98">
            <v>2015</v>
          </cell>
          <cell r="I98" t="str">
            <v>Hà Nội, ngày 28 tháng 8 năm 2015</v>
          </cell>
          <cell r="J98" t="str">
            <v>8h00 ngày 28 tháng 8 năm 2015</v>
          </cell>
          <cell r="K98" t="str">
            <v>9h00 ngày 28 tháng 8 năm 2015</v>
          </cell>
          <cell r="L98" t="str">
            <v>9h00</v>
          </cell>
          <cell r="M98" t="str">
            <v>10h00</v>
          </cell>
          <cell r="N98">
            <v>28</v>
          </cell>
          <cell r="O98">
            <v>8</v>
          </cell>
          <cell r="P98">
            <v>2015</v>
          </cell>
          <cell r="Q98" t="str">
            <v>Hà Nội, ngày 28 tháng 8 năm 2015</v>
          </cell>
          <cell r="R98" t="str">
            <v>9h00 ngày 28 tháng 8 năm 2015</v>
          </cell>
          <cell r="S98" t="str">
            <v>10h00 ngày 28 tháng 8 năm 2015</v>
          </cell>
          <cell r="T98" t="str">
            <v>9h00</v>
          </cell>
          <cell r="U98" t="str">
            <v>9h00 Ngày 28/8/2015</v>
          </cell>
          <cell r="V98" t="str">
            <v>Nguyễn Ái Việt</v>
          </cell>
          <cell r="W98" t="str">
            <v>P. Chỉ huy trưởng</v>
          </cell>
          <cell r="X98" t="str">
            <v>................................</v>
          </cell>
          <cell r="Y98" t="str">
            <v>................................</v>
          </cell>
          <cell r="Z98" t="str">
            <v>Nguyễn Văn Nghiễm</v>
          </cell>
          <cell r="AA98" t="str">
            <v>Cán bộ KCS</v>
          </cell>
          <cell r="AB98" t="str">
            <v>Vương Toàn Hiếu</v>
          </cell>
          <cell r="AC98" t="str">
            <v>Trưởng đoàn TVGS</v>
          </cell>
          <cell r="AD98" t="str">
            <v>Lê Thiều Nam</v>
          </cell>
          <cell r="AE98" t="str">
            <v>Cán bộ TVGS</v>
          </cell>
          <cell r="AF98" t="str">
            <v>................................</v>
          </cell>
          <cell r="AG98" t="str">
            <v>Cán bộ TVGS</v>
          </cell>
          <cell r="AH98" t="str">
            <v>Nguyễn Ái Việt</v>
          </cell>
          <cell r="AI98" t="str">
            <v>Chỉ huy trưởng</v>
          </cell>
          <cell r="AJ98" t="str">
            <v>Hoàng Chiến Thắng</v>
          </cell>
          <cell r="AK98" t="str">
            <v>P. Chỉ huy trưởng</v>
          </cell>
          <cell r="AL98" t="str">
            <v>Trịnh Quang Đức</v>
          </cell>
          <cell r="AM98" t="str">
            <v>Cán bộ kỹ thuật</v>
          </cell>
          <cell r="AN98" t="str">
            <v>KC-71</v>
          </cell>
          <cell r="AR98" t="str">
            <v>Ngày 28 Tháng 8 Năm 2015</v>
          </cell>
        </row>
        <row r="99">
          <cell r="A99">
            <v>0</v>
          </cell>
          <cell r="D99" t="str">
            <v>.........</v>
          </cell>
          <cell r="E99" t="str">
            <v>.........</v>
          </cell>
          <cell r="F99" t="str">
            <v>….</v>
          </cell>
          <cell r="G99" t="str">
            <v>….</v>
          </cell>
          <cell r="H99" t="str">
            <v>…..</v>
          </cell>
          <cell r="I99" t="str">
            <v>Hà Nội, ngày …. tháng …. năm …..</v>
          </cell>
          <cell r="J99" t="str">
            <v>......... ngày …. tháng …. năm …..</v>
          </cell>
          <cell r="K99" t="str">
            <v>......... ngày ….. tháng …. năm …..</v>
          </cell>
          <cell r="L99" t="str">
            <v>.........</v>
          </cell>
          <cell r="M99" t="str">
            <v>.........</v>
          </cell>
          <cell r="N99" t="str">
            <v>…..</v>
          </cell>
          <cell r="O99" t="str">
            <v>….</v>
          </cell>
          <cell r="P99" t="str">
            <v>…..</v>
          </cell>
          <cell r="Q99" t="str">
            <v>Hà Nội, ngày ….. tháng …. năm …..</v>
          </cell>
          <cell r="R99" t="str">
            <v>......... ngày …. tháng …. năm …..</v>
          </cell>
          <cell r="S99" t="str">
            <v>......... ngày ….. tháng …. năm …..</v>
          </cell>
          <cell r="T99" t="str">
            <v>.........</v>
          </cell>
          <cell r="U99" t="str">
            <v>......... Ngày …./…./…..</v>
          </cell>
          <cell r="V99" t="str">
            <v>Nguyễn Ái Việt</v>
          </cell>
          <cell r="W99" t="str">
            <v>P. Chỉ huy trưởng</v>
          </cell>
          <cell r="X99" t="str">
            <v>................................</v>
          </cell>
          <cell r="Y99" t="str">
            <v>................................</v>
          </cell>
          <cell r="Z99" t="str">
            <v>Nguyễn Văn Nghiễm</v>
          </cell>
          <cell r="AA99" t="str">
            <v>Cán bộ KCS</v>
          </cell>
          <cell r="AB99" t="str">
            <v>Vương Toàn Hiếu</v>
          </cell>
          <cell r="AC99" t="str">
            <v>Trưởng đoàn TVGS</v>
          </cell>
          <cell r="AD99" t="str">
            <v>Lê Thiều Nam</v>
          </cell>
          <cell r="AE99" t="str">
            <v>Cán bộ TVGS</v>
          </cell>
          <cell r="AF99" t="str">
            <v>................................</v>
          </cell>
          <cell r="AG99" t="str">
            <v>Cán bộ TVGS</v>
          </cell>
          <cell r="AH99" t="str">
            <v>Nguyễn Ái Việt</v>
          </cell>
          <cell r="AI99" t="str">
            <v>Chỉ huy trưởng</v>
          </cell>
          <cell r="AJ99" t="str">
            <v>Hoàng Chiến Thắng</v>
          </cell>
          <cell r="AK99" t="str">
            <v>P. Chỉ huy trưởng</v>
          </cell>
          <cell r="AL99" t="str">
            <v>Trịnh Quang Đức</v>
          </cell>
          <cell r="AM99" t="str">
            <v>Cán bộ kỹ thuật</v>
          </cell>
          <cell r="AR99" t="str">
            <v>Ngày …. Tháng …. Năm …..</v>
          </cell>
        </row>
        <row r="100">
          <cell r="A100">
            <v>0</v>
          </cell>
          <cell r="D100" t="str">
            <v>.........</v>
          </cell>
          <cell r="E100" t="str">
            <v>.........</v>
          </cell>
          <cell r="F100" t="str">
            <v>….</v>
          </cell>
          <cell r="G100" t="str">
            <v>….</v>
          </cell>
          <cell r="H100" t="str">
            <v>…..</v>
          </cell>
          <cell r="I100" t="str">
            <v>Hà Nội, ngày …. tháng …. năm …..</v>
          </cell>
          <cell r="J100" t="str">
            <v>......... ngày …. tháng …. năm …..</v>
          </cell>
          <cell r="K100" t="str">
            <v>......... ngày ….. tháng …. năm …..</v>
          </cell>
          <cell r="L100" t="str">
            <v>.........</v>
          </cell>
          <cell r="M100" t="str">
            <v>.........</v>
          </cell>
          <cell r="N100" t="str">
            <v>…..</v>
          </cell>
          <cell r="O100" t="str">
            <v>….</v>
          </cell>
          <cell r="P100" t="str">
            <v>…..</v>
          </cell>
          <cell r="Q100" t="str">
            <v>Hà Nội, ngày ….. tháng …. năm …..</v>
          </cell>
          <cell r="R100" t="str">
            <v>......... ngày …. tháng …. năm …..</v>
          </cell>
          <cell r="S100" t="str">
            <v>......... ngày ….. tháng …. năm …..</v>
          </cell>
          <cell r="T100" t="str">
            <v>.........</v>
          </cell>
          <cell r="U100" t="str">
            <v>......... Ngày …./…./…..</v>
          </cell>
          <cell r="V100" t="str">
            <v>Nguyễn Ái Việt</v>
          </cell>
          <cell r="W100" t="str">
            <v>P. Chỉ huy trưởng</v>
          </cell>
          <cell r="X100" t="str">
            <v>................................</v>
          </cell>
          <cell r="Y100" t="str">
            <v>................................</v>
          </cell>
          <cell r="Z100" t="str">
            <v>Nguyễn Văn Nghiễm</v>
          </cell>
          <cell r="AA100" t="str">
            <v>Cán bộ KCS</v>
          </cell>
          <cell r="AB100" t="str">
            <v>Vương Toàn Hiếu</v>
          </cell>
          <cell r="AC100" t="str">
            <v>Trưởng đoàn TVGS</v>
          </cell>
          <cell r="AD100" t="str">
            <v>Lê Thiều Nam</v>
          </cell>
          <cell r="AE100" t="str">
            <v>Cán bộ TVGS</v>
          </cell>
          <cell r="AF100" t="str">
            <v>................................</v>
          </cell>
          <cell r="AG100" t="str">
            <v>Cán bộ TVGS</v>
          </cell>
          <cell r="AH100" t="str">
            <v>Nguyễn Ái Việt</v>
          </cell>
          <cell r="AI100" t="str">
            <v>Chỉ huy trưởng</v>
          </cell>
          <cell r="AJ100" t="str">
            <v>Hoàng Chiến Thắng</v>
          </cell>
          <cell r="AK100" t="str">
            <v>P. Chỉ huy trưởng</v>
          </cell>
          <cell r="AL100" t="str">
            <v>Trịnh Quang Đức</v>
          </cell>
          <cell r="AM100" t="str">
            <v>Cán bộ kỹ thuật</v>
          </cell>
          <cell r="AR100" t="str">
            <v>Ngày …. Tháng …. Năm …..</v>
          </cell>
        </row>
        <row r="101">
          <cell r="A101" t="str">
            <v>CTDB-01</v>
          </cell>
          <cell r="B101" t="str">
            <v>Gia công, lắp dựng cốt thép dầm đỡ bồn nước mái</v>
          </cell>
          <cell r="C101" t="str">
            <v>CTDB-01</v>
          </cell>
          <cell r="D101" t="str">
            <v>8h00</v>
          </cell>
          <cell r="E101" t="str">
            <v>8h30</v>
          </cell>
          <cell r="F101">
            <v>8</v>
          </cell>
          <cell r="G101">
            <v>10</v>
          </cell>
          <cell r="H101">
            <v>2015</v>
          </cell>
          <cell r="I101" t="str">
            <v>Hà Nội, ngày 8 tháng 10 năm 2015</v>
          </cell>
          <cell r="J101" t="str">
            <v>8h00 ngày 8 tháng 10 năm 2015</v>
          </cell>
          <cell r="K101" t="str">
            <v>8h30 ngày 8 tháng 10 năm 2015</v>
          </cell>
          <cell r="L101" t="str">
            <v>9h00</v>
          </cell>
          <cell r="M101" t="str">
            <v>9h30</v>
          </cell>
          <cell r="N101">
            <v>8</v>
          </cell>
          <cell r="O101">
            <v>10</v>
          </cell>
          <cell r="P101">
            <v>2015</v>
          </cell>
          <cell r="Q101" t="str">
            <v>Hà Nội, ngày 8 tháng 10 năm 2015</v>
          </cell>
          <cell r="R101" t="str">
            <v>9h00 ngày 8 tháng 10 năm 2015</v>
          </cell>
          <cell r="S101" t="str">
            <v>9h30 ngày 8 tháng 10 năm 2015</v>
          </cell>
          <cell r="T101" t="str">
            <v>9h00</v>
          </cell>
          <cell r="U101" t="str">
            <v>9h00 Ngày 8/10/2015</v>
          </cell>
          <cell r="V101" t="str">
            <v>Nguyễn Ái Việt</v>
          </cell>
          <cell r="W101" t="str">
            <v>P. Chỉ huy trưởng</v>
          </cell>
          <cell r="X101" t="str">
            <v>................................</v>
          </cell>
          <cell r="Y101" t="str">
            <v>................................</v>
          </cell>
          <cell r="Z101" t="str">
            <v>Nguyễn Văn Nghiễm</v>
          </cell>
          <cell r="AA101" t="str">
            <v>Cán bộ KCS</v>
          </cell>
          <cell r="AB101" t="str">
            <v>Vương Toàn Hiếu</v>
          </cell>
          <cell r="AC101" t="str">
            <v>Trưởng đoàn TVGS</v>
          </cell>
          <cell r="AD101" t="str">
            <v>Lê Thiều Nam</v>
          </cell>
          <cell r="AE101" t="str">
            <v>Cán bộ TVGS</v>
          </cell>
          <cell r="AF101" t="str">
            <v>................................</v>
          </cell>
          <cell r="AG101" t="str">
            <v>Cán bộ TVGS</v>
          </cell>
          <cell r="AH101" t="str">
            <v>Nguyễn Ái Việt</v>
          </cell>
          <cell r="AI101" t="str">
            <v>Chỉ huy trưởng</v>
          </cell>
          <cell r="AJ101" t="str">
            <v>Hoàng Chiến Thắng</v>
          </cell>
          <cell r="AK101" t="str">
            <v>P. Chỉ huy trưởng</v>
          </cell>
          <cell r="AL101" t="str">
            <v>Trịnh Quang Đức</v>
          </cell>
          <cell r="AM101" t="str">
            <v>Cán bộ kỹ thuật</v>
          </cell>
          <cell r="AN101" t="str">
            <v>KS-BS-04</v>
          </cell>
          <cell r="AR101" t="str">
            <v>Ngày 8 Tháng 10 Năm 2015</v>
          </cell>
        </row>
        <row r="102">
          <cell r="A102" t="str">
            <v>CTTĐ-01</v>
          </cell>
          <cell r="B102" t="str">
            <v>Gia công, lắp dựng cốt thép tấm đan đậy hộp kỹ thuật tầng mái, áp mái</v>
          </cell>
          <cell r="C102" t="str">
            <v>CTTĐ-01</v>
          </cell>
          <cell r="D102" t="str">
            <v>8h30</v>
          </cell>
          <cell r="E102" t="str">
            <v>9h00</v>
          </cell>
          <cell r="F102">
            <v>15</v>
          </cell>
          <cell r="G102">
            <v>10</v>
          </cell>
          <cell r="H102">
            <v>2015</v>
          </cell>
          <cell r="I102" t="str">
            <v>Hà Nội, ngày 15 tháng 10 năm 2015</v>
          </cell>
          <cell r="J102" t="str">
            <v>8h30 ngày 15 tháng 10 năm 2015</v>
          </cell>
          <cell r="K102" t="str">
            <v>9h00 ngày 15 tháng 10 năm 2015</v>
          </cell>
          <cell r="L102" t="str">
            <v>9h30</v>
          </cell>
          <cell r="M102" t="str">
            <v>10h00</v>
          </cell>
          <cell r="N102">
            <v>15</v>
          </cell>
          <cell r="O102">
            <v>10</v>
          </cell>
          <cell r="P102">
            <v>2015</v>
          </cell>
          <cell r="Q102" t="str">
            <v>Hà Nội, ngày 15 tháng 10 năm 2015</v>
          </cell>
          <cell r="R102" t="str">
            <v>9h30 ngày 15 tháng 10 năm 2015</v>
          </cell>
          <cell r="S102" t="str">
            <v>10h00 ngày 15 tháng 10 năm 2015</v>
          </cell>
          <cell r="T102" t="str">
            <v>9h30</v>
          </cell>
          <cell r="U102" t="str">
            <v>9h30 Ngày 15/10/2015</v>
          </cell>
          <cell r="V102" t="str">
            <v>Nguyễn Ái Việt</v>
          </cell>
          <cell r="W102" t="str">
            <v>P. Chỉ huy trưởng</v>
          </cell>
          <cell r="X102" t="str">
            <v>................................</v>
          </cell>
          <cell r="Y102" t="str">
            <v>................................</v>
          </cell>
          <cell r="Z102" t="str">
            <v>Nguyễn Văn Nghiễm</v>
          </cell>
          <cell r="AA102" t="str">
            <v>Cán bộ KCS</v>
          </cell>
          <cell r="AB102" t="str">
            <v>Vương Toàn Hiếu</v>
          </cell>
          <cell r="AC102" t="str">
            <v>Trưởng đoàn TVGS</v>
          </cell>
          <cell r="AD102" t="str">
            <v>Lê Thiều Nam</v>
          </cell>
          <cell r="AE102" t="str">
            <v>Cán bộ TVGS</v>
          </cell>
          <cell r="AF102" t="str">
            <v>................................</v>
          </cell>
          <cell r="AG102" t="str">
            <v>Cán bộ TVGS</v>
          </cell>
          <cell r="AH102" t="str">
            <v>Nguyễn Ái Việt</v>
          </cell>
          <cell r="AI102" t="str">
            <v>Chỉ huy trưởng</v>
          </cell>
          <cell r="AJ102" t="str">
            <v>Hoàng Chiến Thắng</v>
          </cell>
          <cell r="AK102" t="str">
            <v>P. Chỉ huy trưởng</v>
          </cell>
          <cell r="AL102" t="str">
            <v>Trịnh Quang Đức</v>
          </cell>
          <cell r="AM102" t="str">
            <v>Cán bộ kỹ thuật</v>
          </cell>
          <cell r="AN102" t="str">
            <v>KC-BS-03</v>
          </cell>
          <cell r="AR102" t="str">
            <v>Ngày 15 Tháng 10 Năm 2015</v>
          </cell>
        </row>
        <row r="103">
          <cell r="A103" t="str">
            <v>CTDD-01</v>
          </cell>
          <cell r="B103" t="str">
            <v>GCLD cốt thép bản, dầm đường dốc DD1, DD2, DD3</v>
          </cell>
          <cell r="C103" t="str">
            <v>CTDD-01</v>
          </cell>
          <cell r="D103" t="str">
            <v>8h00</v>
          </cell>
          <cell r="E103" t="str">
            <v>8h45</v>
          </cell>
          <cell r="F103">
            <v>2</v>
          </cell>
          <cell r="G103">
            <v>11</v>
          </cell>
          <cell r="H103">
            <v>2015</v>
          </cell>
          <cell r="I103" t="str">
            <v>Hà Nội, ngày 2 tháng 11 năm 2015</v>
          </cell>
          <cell r="J103" t="str">
            <v>8h00 ngày 2 tháng 11 năm 2015</v>
          </cell>
          <cell r="K103" t="str">
            <v>8h45 ngày 2 tháng 11 năm 2015</v>
          </cell>
          <cell r="L103" t="str">
            <v>9h00</v>
          </cell>
          <cell r="M103" t="str">
            <v>9h45</v>
          </cell>
          <cell r="N103">
            <v>2</v>
          </cell>
          <cell r="O103">
            <v>11</v>
          </cell>
          <cell r="P103">
            <v>2015</v>
          </cell>
          <cell r="Q103" t="str">
            <v>Hà Nội, ngày 2 tháng 11 năm 2015</v>
          </cell>
          <cell r="R103" t="str">
            <v>9h00 ngày 2 tháng 11 năm 2015</v>
          </cell>
          <cell r="S103" t="str">
            <v>9h45 ngày 2 tháng 11 năm 2015</v>
          </cell>
          <cell r="T103" t="str">
            <v>9h00</v>
          </cell>
          <cell r="U103" t="str">
            <v>9h00 Ngày 2/11/2015</v>
          </cell>
          <cell r="V103" t="str">
            <v>Nguyễn Ái Việt</v>
          </cell>
          <cell r="W103" t="str">
            <v>P. Chỉ huy trưởng</v>
          </cell>
          <cell r="X103" t="str">
            <v>................................</v>
          </cell>
          <cell r="Y103" t="str">
            <v>................................</v>
          </cell>
          <cell r="Z103" t="str">
            <v>Nguyễn Văn Nghiễm</v>
          </cell>
          <cell r="AA103" t="str">
            <v>Cán bộ KCS</v>
          </cell>
          <cell r="AB103" t="str">
            <v>Vương Toàn Hiếu</v>
          </cell>
          <cell r="AC103" t="str">
            <v>Trưởng đoàn TVGS</v>
          </cell>
          <cell r="AD103" t="str">
            <v>Lê Thiều Nam</v>
          </cell>
          <cell r="AE103" t="str">
            <v>Cán bộ TVGS</v>
          </cell>
          <cell r="AF103" t="str">
            <v>................................</v>
          </cell>
          <cell r="AG103" t="str">
            <v>Cán bộ TVGS</v>
          </cell>
          <cell r="AH103" t="str">
            <v>Nguyễn Ái Việt</v>
          </cell>
          <cell r="AI103" t="str">
            <v>Chỉ huy trưởng</v>
          </cell>
          <cell r="AJ103" t="str">
            <v>Hoàng Chiến Thắng</v>
          </cell>
          <cell r="AK103" t="str">
            <v>P. Chỉ huy trưởng</v>
          </cell>
          <cell r="AL103" t="str">
            <v>Trịnh Quang Đức</v>
          </cell>
          <cell r="AM103" t="str">
            <v>Cán bộ kỹ thuật</v>
          </cell>
          <cell r="AN103" t="str">
            <v>KT-316; KT-317; KC-BS-01; KC-BS-02</v>
          </cell>
          <cell r="AR103" t="str">
            <v>Ngày 2 Tháng 11 Năm 2015</v>
          </cell>
        </row>
        <row r="104">
          <cell r="A104" t="str">
            <v>CTDBS-01</v>
          </cell>
          <cell r="B104" t="str">
            <v>GCLD cốt thép dầm móng bổ sung tầng 01</v>
          </cell>
          <cell r="C104" t="str">
            <v>CTDBS-01</v>
          </cell>
          <cell r="D104" t="str">
            <v>8h30</v>
          </cell>
          <cell r="E104" t="str">
            <v>9h30</v>
          </cell>
          <cell r="F104">
            <v>29</v>
          </cell>
          <cell r="G104">
            <v>9</v>
          </cell>
          <cell r="H104">
            <v>2015</v>
          </cell>
          <cell r="I104" t="str">
            <v>Hà Nội, ngày 29 tháng 9 năm 2015</v>
          </cell>
          <cell r="J104" t="str">
            <v>8h30 ngày 29 tháng 9 năm 2015</v>
          </cell>
          <cell r="K104" t="str">
            <v>9h30 ngày 29 tháng 9 năm 2015</v>
          </cell>
          <cell r="L104" t="str">
            <v>10h00</v>
          </cell>
          <cell r="M104" t="str">
            <v>11h00</v>
          </cell>
          <cell r="N104">
            <v>29</v>
          </cell>
          <cell r="O104">
            <v>9</v>
          </cell>
          <cell r="P104">
            <v>2015</v>
          </cell>
          <cell r="Q104" t="str">
            <v>Hà Nội, ngày 29 tháng 9 năm 2015</v>
          </cell>
          <cell r="R104" t="str">
            <v>10h00 ngày 29 tháng 9 năm 2015</v>
          </cell>
          <cell r="S104" t="str">
            <v>11h00 ngày 29 tháng 9 năm 2015</v>
          </cell>
          <cell r="T104" t="str">
            <v>10h00</v>
          </cell>
          <cell r="U104" t="str">
            <v>10h00 Ngày 29/9/2015</v>
          </cell>
          <cell r="V104" t="str">
            <v>Nguyễn Ái Việt</v>
          </cell>
          <cell r="W104" t="str">
            <v>P. Chỉ huy trưởng</v>
          </cell>
          <cell r="X104" t="str">
            <v>................................</v>
          </cell>
          <cell r="Y104" t="str">
            <v>................................</v>
          </cell>
          <cell r="Z104" t="str">
            <v>Nguyễn Văn Nghiễm</v>
          </cell>
          <cell r="AA104" t="str">
            <v>Cán bộ KCS</v>
          </cell>
          <cell r="AB104" t="str">
            <v>Vương Toàn Hiếu</v>
          </cell>
          <cell r="AC104" t="str">
            <v>Trưởng đoàn TVGS</v>
          </cell>
          <cell r="AD104" t="str">
            <v>Lê Thiều Nam</v>
          </cell>
          <cell r="AE104" t="str">
            <v>Cán bộ TVGS</v>
          </cell>
          <cell r="AF104" t="str">
            <v>................................</v>
          </cell>
          <cell r="AG104" t="str">
            <v>Cán bộ TVGS</v>
          </cell>
          <cell r="AH104" t="str">
            <v>Nguyễn Ái Việt</v>
          </cell>
          <cell r="AI104" t="str">
            <v>Chỉ huy trưởng</v>
          </cell>
          <cell r="AJ104" t="str">
            <v>Hoàng Chiến Thắng</v>
          </cell>
          <cell r="AK104" t="str">
            <v>P. Chỉ huy trưởng</v>
          </cell>
          <cell r="AL104" t="str">
            <v>Trịnh Quang Đức</v>
          </cell>
          <cell r="AM104" t="str">
            <v>Cán bộ kỹ thuật</v>
          </cell>
          <cell r="AN104" t="str">
            <v>KCBS-01; KCBS-02</v>
          </cell>
          <cell r="AR104" t="str">
            <v>Ngày 29 Tháng 9 Năm 2015</v>
          </cell>
        </row>
        <row r="105">
          <cell r="A105" t="str">
            <v>CTNT1-01</v>
          </cell>
          <cell r="B105" t="str">
            <v>Gia công, lắp dựng cốt thép nền tầng 01</v>
          </cell>
          <cell r="C105" t="str">
            <v>CTNT1-01</v>
          </cell>
          <cell r="D105" t="str">
            <v>8h00</v>
          </cell>
          <cell r="E105" t="str">
            <v>9h30</v>
          </cell>
          <cell r="F105">
            <v>29</v>
          </cell>
          <cell r="G105">
            <v>10</v>
          </cell>
          <cell r="H105">
            <v>2015</v>
          </cell>
          <cell r="I105" t="str">
            <v>Hà Nội, ngày 29 tháng 10 năm 2015</v>
          </cell>
          <cell r="J105" t="str">
            <v>8h00 ngày 29 tháng 10 năm 2015</v>
          </cell>
          <cell r="K105" t="str">
            <v>9h30 ngày 29 tháng 10 năm 2015</v>
          </cell>
          <cell r="L105" t="str">
            <v>10h00</v>
          </cell>
          <cell r="M105" t="str">
            <v>11h30</v>
          </cell>
          <cell r="N105">
            <v>29</v>
          </cell>
          <cell r="O105">
            <v>10</v>
          </cell>
          <cell r="P105">
            <v>2015</v>
          </cell>
          <cell r="Q105" t="str">
            <v>Hà Nội, ngày 29 tháng 10 năm 2015</v>
          </cell>
          <cell r="R105" t="str">
            <v>10h00 ngày 29 tháng 10 năm 2015</v>
          </cell>
          <cell r="S105" t="str">
            <v>11h30 ngày 29 tháng 10 năm 2015</v>
          </cell>
          <cell r="T105" t="str">
            <v>10h00</v>
          </cell>
          <cell r="U105" t="str">
            <v>10h00 Ngày 29/10/2015</v>
          </cell>
          <cell r="V105" t="str">
            <v>Nguyễn Ái Việt</v>
          </cell>
          <cell r="W105" t="str">
            <v>P. Chỉ huy trưởng</v>
          </cell>
          <cell r="X105" t="str">
            <v>................................</v>
          </cell>
          <cell r="Y105" t="str">
            <v>................................</v>
          </cell>
          <cell r="Z105" t="str">
            <v>Nguyễn Văn Nghiễm</v>
          </cell>
          <cell r="AA105" t="str">
            <v>Cán bộ KCS</v>
          </cell>
          <cell r="AB105" t="str">
            <v>Vương Toàn Hiếu</v>
          </cell>
          <cell r="AC105" t="str">
            <v>Trưởng đoàn TVGS</v>
          </cell>
          <cell r="AD105" t="str">
            <v>Lê Thiều Nam</v>
          </cell>
          <cell r="AE105" t="str">
            <v>Cán bộ TVGS</v>
          </cell>
          <cell r="AF105" t="str">
            <v>................................</v>
          </cell>
          <cell r="AG105" t="str">
            <v>Cán bộ TVGS</v>
          </cell>
          <cell r="AH105" t="str">
            <v>Nguyễn Ái Việt</v>
          </cell>
          <cell r="AI105" t="str">
            <v>Chỉ huy trưởng</v>
          </cell>
          <cell r="AJ105" t="str">
            <v>Hoàng Chiến Thắng</v>
          </cell>
          <cell r="AK105" t="str">
            <v>P. Chỉ huy trưởng</v>
          </cell>
          <cell r="AL105" t="str">
            <v>Trịnh Quang Đức</v>
          </cell>
          <cell r="AM105" t="str">
            <v>Cán bộ kỹ thuật</v>
          </cell>
          <cell r="AN105" t="str">
            <v>KC-06; KT-100</v>
          </cell>
          <cell r="AR105" t="str">
            <v>Ngày 29 Tháng 10 Năm 2015</v>
          </cell>
        </row>
        <row r="106">
          <cell r="A106" t="str">
            <v>CTGT2-01</v>
          </cell>
          <cell r="B106" t="str">
            <v>Gia công, lắp dựng cốt thép giằng chân lan can hành lang tầng 02</v>
          </cell>
          <cell r="C106" t="str">
            <v>CTGT2-01</v>
          </cell>
          <cell r="D106" t="str">
            <v>8h00</v>
          </cell>
          <cell r="E106" t="str">
            <v>8h45</v>
          </cell>
          <cell r="F106">
            <v>2</v>
          </cell>
          <cell r="G106">
            <v>11</v>
          </cell>
          <cell r="H106">
            <v>2015</v>
          </cell>
          <cell r="I106" t="str">
            <v>Hà Nội, ngày 2 tháng 11 năm 2015</v>
          </cell>
          <cell r="J106" t="str">
            <v>8h00 ngày 2 tháng 11 năm 2015</v>
          </cell>
          <cell r="K106" t="str">
            <v>8h45 ngày 2 tháng 11 năm 2015</v>
          </cell>
          <cell r="L106" t="str">
            <v>9h15</v>
          </cell>
          <cell r="M106" t="str">
            <v>10h00</v>
          </cell>
          <cell r="N106">
            <v>2</v>
          </cell>
          <cell r="O106">
            <v>11</v>
          </cell>
          <cell r="P106">
            <v>2015</v>
          </cell>
          <cell r="Q106" t="str">
            <v>Hà Nội, ngày 2 tháng 11 năm 2015</v>
          </cell>
          <cell r="R106" t="str">
            <v>9h15 ngày 2 tháng 11 năm 2015</v>
          </cell>
          <cell r="S106" t="str">
            <v>10h00 ngày 2 tháng 11 năm 2015</v>
          </cell>
          <cell r="T106" t="str">
            <v>9h15</v>
          </cell>
          <cell r="U106" t="str">
            <v>9h15 Ngày 2/11/2015</v>
          </cell>
          <cell r="V106" t="str">
            <v>Nguyễn Ái Việt</v>
          </cell>
          <cell r="W106" t="str">
            <v>P. Chỉ huy trưởng</v>
          </cell>
          <cell r="X106" t="str">
            <v>................................</v>
          </cell>
          <cell r="Y106" t="str">
            <v>................................</v>
          </cell>
          <cell r="Z106" t="str">
            <v>Nguyễn Văn Nghiễm</v>
          </cell>
          <cell r="AA106" t="str">
            <v>Cán bộ KCS</v>
          </cell>
          <cell r="AB106" t="str">
            <v>Vương Toàn Hiếu</v>
          </cell>
          <cell r="AC106" t="str">
            <v>Trưởng đoàn TVGS</v>
          </cell>
          <cell r="AD106" t="str">
            <v>Lê Thiều Nam</v>
          </cell>
          <cell r="AE106" t="str">
            <v>Cán bộ TVGS</v>
          </cell>
          <cell r="AF106" t="str">
            <v>................................</v>
          </cell>
          <cell r="AG106" t="str">
            <v>Cán bộ TVGS</v>
          </cell>
          <cell r="AH106" t="str">
            <v>Nguyễn Ái Việt</v>
          </cell>
          <cell r="AI106" t="str">
            <v>Chỉ huy trưởng</v>
          </cell>
          <cell r="AJ106" t="str">
            <v>Hoàng Chiến Thắng</v>
          </cell>
          <cell r="AK106" t="str">
            <v>P. Chỉ huy trưởng</v>
          </cell>
          <cell r="AL106" t="str">
            <v>Trịnh Quang Đức</v>
          </cell>
          <cell r="AM106" t="str">
            <v>Cán bộ kỹ thuật</v>
          </cell>
          <cell r="AN106" t="str">
            <v>KC-03BS; KC-04BS</v>
          </cell>
          <cell r="AR106" t="str">
            <v>Ngày 2 Tháng 11 Năm 2015</v>
          </cell>
        </row>
        <row r="107">
          <cell r="A107">
            <v>0</v>
          </cell>
          <cell r="D107" t="str">
            <v>.........</v>
          </cell>
          <cell r="E107" t="str">
            <v>.........</v>
          </cell>
          <cell r="F107" t="str">
            <v>….</v>
          </cell>
          <cell r="G107" t="str">
            <v>….</v>
          </cell>
          <cell r="H107" t="str">
            <v>…..</v>
          </cell>
          <cell r="I107" t="str">
            <v>Hà Nội, ngày …. tháng …. năm …..</v>
          </cell>
          <cell r="J107" t="str">
            <v>......... ngày …. tháng …. năm …..</v>
          </cell>
          <cell r="K107" t="str">
            <v>......... ngày ….. tháng …. năm …..</v>
          </cell>
          <cell r="L107" t="str">
            <v>.........</v>
          </cell>
          <cell r="M107" t="str">
            <v>.........</v>
          </cell>
          <cell r="N107" t="str">
            <v>…..</v>
          </cell>
          <cell r="O107" t="str">
            <v>….</v>
          </cell>
          <cell r="P107" t="str">
            <v>…..</v>
          </cell>
          <cell r="Q107" t="str">
            <v>Hà Nội, ngày ….. tháng …. năm …..</v>
          </cell>
          <cell r="R107" t="str">
            <v>......... ngày …. tháng …. năm …..</v>
          </cell>
          <cell r="S107" t="str">
            <v>......... ngày ….. tháng …. năm …..</v>
          </cell>
          <cell r="T107" t="str">
            <v>.........</v>
          </cell>
          <cell r="U107" t="str">
            <v>......... Ngày …./…./…..</v>
          </cell>
          <cell r="V107" t="str">
            <v>Nguyễn Ái Việt</v>
          </cell>
          <cell r="W107" t="str">
            <v>P. Chỉ huy trưởng</v>
          </cell>
          <cell r="X107" t="str">
            <v>................................</v>
          </cell>
          <cell r="Y107" t="str">
            <v>................................</v>
          </cell>
          <cell r="Z107" t="str">
            <v>Nguyễn Văn Nghiễm</v>
          </cell>
          <cell r="AA107" t="str">
            <v>Cán bộ KCS</v>
          </cell>
          <cell r="AB107" t="str">
            <v>Vương Toàn Hiếu</v>
          </cell>
          <cell r="AC107" t="str">
            <v>Trưởng đoàn TVGS</v>
          </cell>
          <cell r="AD107" t="str">
            <v>Lê Thiều Nam</v>
          </cell>
          <cell r="AE107" t="str">
            <v>Cán bộ TVGS</v>
          </cell>
          <cell r="AF107" t="str">
            <v>................................</v>
          </cell>
          <cell r="AG107" t="str">
            <v>Cán bộ TVGS</v>
          </cell>
          <cell r="AH107" t="str">
            <v>Nguyễn Ái Việt</v>
          </cell>
          <cell r="AI107" t="str">
            <v>Chỉ huy trưởng</v>
          </cell>
          <cell r="AJ107" t="str">
            <v>Hoàng Chiến Thắng</v>
          </cell>
          <cell r="AK107" t="str">
            <v>P. Chỉ huy trưởng</v>
          </cell>
          <cell r="AL107" t="str">
            <v>Trịnh Quang Đức</v>
          </cell>
          <cell r="AM107" t="str">
            <v>Cán bộ kỹ thuật</v>
          </cell>
          <cell r="AR107" t="str">
            <v>Ngày …. Tháng …. Năm …..</v>
          </cell>
        </row>
        <row r="108">
          <cell r="A108" t="str">
            <v>TTCC-01</v>
          </cell>
          <cell r="B108" t="str">
            <v>Gia công, lắp dựng trụ thép chia cửa cuốn phòng dịch vụ thương mại tầng 1</v>
          </cell>
          <cell r="C108" t="str">
            <v>TTCC-01</v>
          </cell>
          <cell r="D108" t="str">
            <v>8h30</v>
          </cell>
          <cell r="E108" t="str">
            <v>9h30</v>
          </cell>
          <cell r="F108">
            <v>2</v>
          </cell>
          <cell r="G108">
            <v>12</v>
          </cell>
          <cell r="H108">
            <v>2015</v>
          </cell>
          <cell r="I108" t="str">
            <v>Hà Nội, ngày 2 tháng 12 năm 2015</v>
          </cell>
          <cell r="J108" t="str">
            <v>8h30 ngày 2 tháng 12 năm 2015</v>
          </cell>
          <cell r="K108" t="str">
            <v>9h30 ngày 2 tháng 12 năm 2015</v>
          </cell>
          <cell r="L108" t="str">
            <v>10h00</v>
          </cell>
          <cell r="M108" t="str">
            <v>11h00</v>
          </cell>
          <cell r="N108">
            <v>2</v>
          </cell>
          <cell r="O108">
            <v>12</v>
          </cell>
          <cell r="P108">
            <v>2015</v>
          </cell>
          <cell r="Q108" t="str">
            <v>Hà Nội, ngày 2 tháng 12 năm 2015</v>
          </cell>
          <cell r="R108" t="str">
            <v>10h00 ngày 2 tháng 12 năm 2015</v>
          </cell>
          <cell r="S108" t="str">
            <v>11h00 ngày 2 tháng 12 năm 2015</v>
          </cell>
          <cell r="T108" t="str">
            <v>10h00</v>
          </cell>
          <cell r="U108" t="str">
            <v>10h00 Ngày 2/12/2015</v>
          </cell>
          <cell r="V108" t="str">
            <v>Nguyễn Ái Việt</v>
          </cell>
          <cell r="W108" t="str">
            <v>P. Chỉ huy trưởng</v>
          </cell>
          <cell r="X108" t="str">
            <v>................................</v>
          </cell>
          <cell r="Y108" t="str">
            <v>................................</v>
          </cell>
          <cell r="Z108" t="str">
            <v>Nguyễn Văn Nghiễm</v>
          </cell>
          <cell r="AA108" t="str">
            <v>Cán bộ KCS</v>
          </cell>
          <cell r="AB108" t="str">
            <v>Vương Toàn Hiếu</v>
          </cell>
          <cell r="AC108" t="str">
            <v>Trưởng đoàn TVGS</v>
          </cell>
          <cell r="AD108" t="str">
            <v>Lê Thiều Nam</v>
          </cell>
          <cell r="AE108" t="str">
            <v>Cán bộ TVGS</v>
          </cell>
          <cell r="AF108" t="str">
            <v>................................</v>
          </cell>
          <cell r="AG108" t="str">
            <v>Cán bộ TVGS</v>
          </cell>
          <cell r="AH108" t="str">
            <v>Nguyễn Ái Việt</v>
          </cell>
          <cell r="AI108" t="str">
            <v>Chỉ huy trưởng</v>
          </cell>
          <cell r="AJ108" t="str">
            <v>Hoàng Chiến Thắng</v>
          </cell>
          <cell r="AK108" t="str">
            <v>P. Chỉ huy trưởng</v>
          </cell>
          <cell r="AL108" t="str">
            <v>Trịnh Quang Đức</v>
          </cell>
          <cell r="AM108" t="str">
            <v>Cán bộ kỹ thuật</v>
          </cell>
          <cell r="AN108" t="str">
            <v>KC 456-BS</v>
          </cell>
          <cell r="AR108" t="str">
            <v>Ngày 2 Tháng 12 Năm 2015</v>
          </cell>
        </row>
        <row r="109">
          <cell r="A109">
            <v>0</v>
          </cell>
          <cell r="D109" t="str">
            <v>.........</v>
          </cell>
          <cell r="E109" t="str">
            <v>.........</v>
          </cell>
          <cell r="F109" t="str">
            <v>….</v>
          </cell>
          <cell r="G109" t="str">
            <v>….</v>
          </cell>
          <cell r="H109" t="str">
            <v>…..</v>
          </cell>
          <cell r="I109" t="str">
            <v>Hà Nội, ngày …. tháng …. năm …..</v>
          </cell>
          <cell r="J109" t="str">
            <v>......... ngày …. tháng …. năm …..</v>
          </cell>
          <cell r="K109" t="str">
            <v>......... ngày ….. tháng …. năm …..</v>
          </cell>
          <cell r="L109" t="str">
            <v>.........</v>
          </cell>
          <cell r="M109" t="str">
            <v>.........</v>
          </cell>
          <cell r="N109" t="str">
            <v>…..</v>
          </cell>
          <cell r="O109" t="str">
            <v>….</v>
          </cell>
          <cell r="P109" t="str">
            <v>…..</v>
          </cell>
          <cell r="Q109" t="str">
            <v>Hà Nội, ngày ….. tháng …. năm …..</v>
          </cell>
          <cell r="R109" t="str">
            <v>......... ngày …. tháng …. năm …..</v>
          </cell>
          <cell r="S109" t="str">
            <v>......... ngày ….. tháng …. năm …..</v>
          </cell>
          <cell r="T109" t="str">
            <v>.........</v>
          </cell>
          <cell r="U109" t="str">
            <v>......... Ngày …./…./…..</v>
          </cell>
          <cell r="V109" t="str">
            <v>Nguyễn Ái Việt</v>
          </cell>
          <cell r="W109" t="str">
            <v>P. Chỉ huy trưởng</v>
          </cell>
          <cell r="X109" t="str">
            <v>................................</v>
          </cell>
          <cell r="Y109" t="str">
            <v>................................</v>
          </cell>
          <cell r="Z109" t="str">
            <v>Nguyễn Văn Nghiễm</v>
          </cell>
          <cell r="AA109" t="str">
            <v>Cán bộ KCS</v>
          </cell>
          <cell r="AB109" t="str">
            <v>Vương Toàn Hiếu</v>
          </cell>
          <cell r="AC109" t="str">
            <v>Trưởng đoàn TVGS</v>
          </cell>
          <cell r="AD109" t="str">
            <v>Lê Thiều Nam</v>
          </cell>
          <cell r="AE109" t="str">
            <v>Cán bộ TVGS</v>
          </cell>
          <cell r="AF109" t="str">
            <v>................................</v>
          </cell>
          <cell r="AG109" t="str">
            <v>Cán bộ TVGS</v>
          </cell>
          <cell r="AH109" t="str">
            <v>Nguyễn Ái Việt</v>
          </cell>
          <cell r="AI109" t="str">
            <v>Chỉ huy trưởng</v>
          </cell>
          <cell r="AJ109" t="str">
            <v>Hoàng Chiến Thắng</v>
          </cell>
          <cell r="AK109" t="str">
            <v>P. Chỉ huy trưởng</v>
          </cell>
          <cell r="AL109" t="str">
            <v>Trịnh Quang Đức</v>
          </cell>
          <cell r="AM109" t="str">
            <v>Cán bộ kỹ thuật</v>
          </cell>
          <cell r="AR109" t="str">
            <v>Ngày …. Tháng …. Năm …..</v>
          </cell>
        </row>
        <row r="110">
          <cell r="A110">
            <v>0</v>
          </cell>
          <cell r="D110" t="str">
            <v>.........</v>
          </cell>
          <cell r="E110" t="str">
            <v>.........</v>
          </cell>
          <cell r="F110" t="str">
            <v>….</v>
          </cell>
          <cell r="G110" t="str">
            <v>….</v>
          </cell>
          <cell r="H110" t="str">
            <v>…..</v>
          </cell>
          <cell r="I110" t="str">
            <v>Hà Nội, ngày …. tháng …. năm …..</v>
          </cell>
          <cell r="J110" t="str">
            <v>......... ngày …. tháng …. năm …..</v>
          </cell>
          <cell r="K110" t="str">
            <v>......... ngày ….. tháng …. năm …..</v>
          </cell>
          <cell r="L110" t="str">
            <v>.........</v>
          </cell>
          <cell r="M110" t="str">
            <v>.........</v>
          </cell>
          <cell r="N110" t="str">
            <v>…..</v>
          </cell>
          <cell r="O110" t="str">
            <v>….</v>
          </cell>
          <cell r="P110" t="str">
            <v>…..</v>
          </cell>
          <cell r="Q110" t="str">
            <v>Hà Nội, ngày ….. tháng …. năm …..</v>
          </cell>
          <cell r="R110" t="str">
            <v>......... ngày …. tháng …. năm …..</v>
          </cell>
          <cell r="S110" t="str">
            <v>......... ngày ….. tháng …. năm …..</v>
          </cell>
          <cell r="T110" t="str">
            <v>.........</v>
          </cell>
          <cell r="U110" t="str">
            <v>......... Ngày …./…./…..</v>
          </cell>
          <cell r="V110" t="str">
            <v>Nguyễn Ái Việt</v>
          </cell>
          <cell r="W110" t="str">
            <v>P. Chỉ huy trưởng</v>
          </cell>
          <cell r="X110" t="str">
            <v>................................</v>
          </cell>
          <cell r="Y110" t="str">
            <v>................................</v>
          </cell>
          <cell r="Z110" t="str">
            <v>Nguyễn Văn Nghiễm</v>
          </cell>
          <cell r="AA110" t="str">
            <v>Cán bộ KCS</v>
          </cell>
          <cell r="AB110" t="str">
            <v>Vương Toàn Hiếu</v>
          </cell>
          <cell r="AC110" t="str">
            <v>Trưởng đoàn TVGS</v>
          </cell>
          <cell r="AD110" t="str">
            <v>Lê Thiều Nam</v>
          </cell>
          <cell r="AE110" t="str">
            <v>Cán bộ TVGS</v>
          </cell>
          <cell r="AF110" t="str">
            <v>................................</v>
          </cell>
          <cell r="AG110" t="str">
            <v>Cán bộ TVGS</v>
          </cell>
          <cell r="AH110" t="str">
            <v>Nguyễn Ái Việt</v>
          </cell>
          <cell r="AI110" t="str">
            <v>Chỉ huy trưởng</v>
          </cell>
          <cell r="AJ110" t="str">
            <v>Hoàng Chiến Thắng</v>
          </cell>
          <cell r="AK110" t="str">
            <v>P. Chỉ huy trưởng</v>
          </cell>
          <cell r="AL110" t="str">
            <v>Trịnh Quang Đức</v>
          </cell>
          <cell r="AM110" t="str">
            <v>Cán bộ kỹ thuật</v>
          </cell>
          <cell r="AR110" t="str">
            <v>Ngày …. Tháng …. Năm …..</v>
          </cell>
        </row>
        <row r="111">
          <cell r="A111" t="str">
            <v>CT-92</v>
          </cell>
          <cell r="C111" t="str">
            <v>CT-92</v>
          </cell>
          <cell r="D111" t="str">
            <v>.........</v>
          </cell>
          <cell r="E111" t="str">
            <v>.........</v>
          </cell>
          <cell r="F111" t="str">
            <v>….</v>
          </cell>
          <cell r="G111" t="str">
            <v>….</v>
          </cell>
          <cell r="H111" t="str">
            <v>…..</v>
          </cell>
          <cell r="I111" t="str">
            <v>Hà Nội, ngày …. tháng …. năm …..</v>
          </cell>
          <cell r="J111" t="str">
            <v>......... ngày …. tháng …. năm …..</v>
          </cell>
          <cell r="K111" t="str">
            <v>......... ngày ….. tháng …. năm …..</v>
          </cell>
          <cell r="L111" t="str">
            <v>.........</v>
          </cell>
          <cell r="M111" t="str">
            <v>.........</v>
          </cell>
          <cell r="N111" t="str">
            <v>…..</v>
          </cell>
          <cell r="O111" t="str">
            <v>….</v>
          </cell>
          <cell r="P111" t="str">
            <v>…..</v>
          </cell>
          <cell r="Q111" t="str">
            <v>Hà Nội, ngày ….. tháng …. năm …..</v>
          </cell>
          <cell r="R111" t="str">
            <v>......... ngày …. tháng …. năm …..</v>
          </cell>
          <cell r="S111" t="str">
            <v>......... ngày ….. tháng …. năm …..</v>
          </cell>
          <cell r="T111" t="str">
            <v>.........</v>
          </cell>
          <cell r="U111" t="str">
            <v>......... Ngày …./…./…..</v>
          </cell>
          <cell r="V111" t="str">
            <v>Nguyễn Ái Việt</v>
          </cell>
          <cell r="W111" t="str">
            <v>P. Chỉ huy trưởng</v>
          </cell>
          <cell r="X111" t="str">
            <v>................................</v>
          </cell>
          <cell r="Y111" t="str">
            <v>................................</v>
          </cell>
          <cell r="Z111" t="str">
            <v>Nguyễn Văn Nghiễm</v>
          </cell>
          <cell r="AA111" t="str">
            <v>Cán bộ KCS</v>
          </cell>
          <cell r="AB111" t="str">
            <v>Vương Toàn Hiếu</v>
          </cell>
          <cell r="AC111" t="str">
            <v>Trưởng đoàn TVGS</v>
          </cell>
          <cell r="AD111" t="str">
            <v>Lê Thiều Nam</v>
          </cell>
          <cell r="AE111" t="str">
            <v>Cán bộ TVGS</v>
          </cell>
          <cell r="AF111" t="str">
            <v>................................</v>
          </cell>
          <cell r="AG111" t="str">
            <v>Cán bộ TVGS</v>
          </cell>
          <cell r="AH111" t="str">
            <v>Nguyễn Ái Việt</v>
          </cell>
          <cell r="AI111" t="str">
            <v>Chỉ huy trưởng</v>
          </cell>
          <cell r="AJ111" t="str">
            <v>Hoàng Chiến Thắng</v>
          </cell>
          <cell r="AK111" t="str">
            <v>P. Chỉ huy trưởng</v>
          </cell>
          <cell r="AL111" t="str">
            <v>Trịnh Quang Đức</v>
          </cell>
          <cell r="AM111" t="str">
            <v>Cán bộ kỹ thuật</v>
          </cell>
          <cell r="AR111" t="str">
            <v>Ngày …. Tháng …. Năm …..</v>
          </cell>
        </row>
        <row r="115">
          <cell r="A115">
            <v>1</v>
          </cell>
          <cell r="B115">
            <v>2</v>
          </cell>
          <cell r="C115">
            <v>3</v>
          </cell>
          <cell r="D115">
            <v>4</v>
          </cell>
          <cell r="E115">
            <v>5</v>
          </cell>
          <cell r="F115">
            <v>6</v>
          </cell>
          <cell r="G115">
            <v>7</v>
          </cell>
          <cell r="H115">
            <v>8</v>
          </cell>
          <cell r="I115">
            <v>9</v>
          </cell>
          <cell r="J115">
            <v>10</v>
          </cell>
          <cell r="K115">
            <v>11</v>
          </cell>
          <cell r="L115">
            <v>12</v>
          </cell>
          <cell r="M115">
            <v>13</v>
          </cell>
          <cell r="N115">
            <v>14</v>
          </cell>
          <cell r="O115">
            <v>15</v>
          </cell>
          <cell r="P115">
            <v>16</v>
          </cell>
          <cell r="Q115">
            <v>17</v>
          </cell>
          <cell r="R115">
            <v>18</v>
          </cell>
          <cell r="S115">
            <v>19</v>
          </cell>
          <cell r="T115">
            <v>20</v>
          </cell>
          <cell r="U115">
            <v>21</v>
          </cell>
          <cell r="V115">
            <v>22</v>
          </cell>
          <cell r="W115">
            <v>23</v>
          </cell>
          <cell r="X115">
            <v>24</v>
          </cell>
          <cell r="Y115">
            <v>25</v>
          </cell>
          <cell r="Z115">
            <v>26</v>
          </cell>
          <cell r="AA115">
            <v>27</v>
          </cell>
          <cell r="AB115">
            <v>28</v>
          </cell>
          <cell r="AC115">
            <v>29</v>
          </cell>
          <cell r="AD115">
            <v>30</v>
          </cell>
          <cell r="AE115">
            <v>31</v>
          </cell>
          <cell r="AF115">
            <v>32</v>
          </cell>
          <cell r="AG115">
            <v>33</v>
          </cell>
          <cell r="AH115">
            <v>34</v>
          </cell>
          <cell r="AI115">
            <v>35</v>
          </cell>
          <cell r="AJ115">
            <v>36</v>
          </cell>
          <cell r="AK115">
            <v>37</v>
          </cell>
          <cell r="AL115">
            <v>38</v>
          </cell>
          <cell r="AM115">
            <v>39</v>
          </cell>
          <cell r="AN115">
            <v>40</v>
          </cell>
          <cell r="AO115">
            <v>41</v>
          </cell>
          <cell r="AP115">
            <v>42</v>
          </cell>
          <cell r="AQ115">
            <v>43</v>
          </cell>
          <cell r="AR115">
            <v>44</v>
          </cell>
        </row>
      </sheetData>
      <sheetData sheetId="38">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CP-01</v>
          </cell>
          <cell r="B11" t="str">
            <v>-Cốp pha bê tông lót bể nước sạch .</v>
          </cell>
          <cell r="C11" t="str">
            <v>CP-01</v>
          </cell>
          <cell r="D11" t="str">
            <v>8h00</v>
          </cell>
          <cell r="E11" t="str">
            <v>8h30</v>
          </cell>
          <cell r="F11">
            <v>21</v>
          </cell>
          <cell r="G11">
            <v>11</v>
          </cell>
          <cell r="H11">
            <v>2014</v>
          </cell>
          <cell r="I11" t="str">
            <v>Hà Nội, ngày 21 tháng 11 năm 2014</v>
          </cell>
          <cell r="J11" t="str">
            <v>8h00 ngày 21 tháng 11 năm 2014</v>
          </cell>
          <cell r="K11" t="str">
            <v>8h30 ngày 21 tháng 11 năm 2014</v>
          </cell>
          <cell r="L11" t="str">
            <v>8h30</v>
          </cell>
          <cell r="M11" t="str">
            <v>9h00</v>
          </cell>
          <cell r="N11">
            <v>21</v>
          </cell>
          <cell r="O11">
            <v>11</v>
          </cell>
          <cell r="P11">
            <v>2014</v>
          </cell>
          <cell r="Q11" t="str">
            <v>Hà Nội, ngày 21 tháng 11 năm 2014</v>
          </cell>
          <cell r="R11" t="str">
            <v>8h30 ngày 21 tháng 11 năm 2014</v>
          </cell>
          <cell r="S11" t="str">
            <v>9h00 ngày 21 tháng 11 năm 2014</v>
          </cell>
          <cell r="T11" t="str">
            <v>8h30</v>
          </cell>
          <cell r="U11" t="str">
            <v>8h30 Ngày 21/11/2014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KC-69; KC-70.</v>
          </cell>
          <cell r="AQ11" t="str">
            <v>Ngày 21 Tháng 11 Năm 2014</v>
          </cell>
        </row>
        <row r="12">
          <cell r="A12" t="str">
            <v>CP-02</v>
          </cell>
          <cell r="B12" t="str">
            <v>-Cốp pha đáy bể nước sạch.</v>
          </cell>
          <cell r="C12" t="str">
            <v>CP-02</v>
          </cell>
          <cell r="D12" t="str">
            <v>8h00</v>
          </cell>
          <cell r="E12" t="str">
            <v>8h30</v>
          </cell>
          <cell r="F12">
            <v>22</v>
          </cell>
          <cell r="G12">
            <v>11</v>
          </cell>
          <cell r="H12">
            <v>2014</v>
          </cell>
          <cell r="I12" t="str">
            <v>Hà Nội, ngày 22 tháng 11 năm 2014</v>
          </cell>
          <cell r="J12" t="str">
            <v>8h00 ngày 22 tháng 11 năm 2014</v>
          </cell>
          <cell r="K12" t="str">
            <v>8h30 ngày 22 tháng 11 năm 2014</v>
          </cell>
          <cell r="L12" t="str">
            <v>8h30</v>
          </cell>
          <cell r="M12" t="str">
            <v>9h00</v>
          </cell>
          <cell r="N12">
            <v>22</v>
          </cell>
          <cell r="O12">
            <v>11</v>
          </cell>
          <cell r="P12">
            <v>2014</v>
          </cell>
          <cell r="Q12" t="str">
            <v>Hà Nội, ngày 22 tháng 11 năm 2014</v>
          </cell>
          <cell r="R12" t="str">
            <v>8h30 ngày 22 tháng 11 năm 2014</v>
          </cell>
          <cell r="S12" t="str">
            <v>9h00 ngày 22 tháng 11 năm 2014</v>
          </cell>
          <cell r="T12" t="str">
            <v>8h30</v>
          </cell>
          <cell r="U12" t="str">
            <v>8h30 Ngày 22/11/2014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KC-69; KC-70.</v>
          </cell>
          <cell r="AQ12" t="str">
            <v>Ngày 22 Tháng 11 Năm 2014</v>
          </cell>
        </row>
        <row r="13">
          <cell r="A13" t="str">
            <v>CP-03</v>
          </cell>
          <cell r="B13" t="str">
            <v>-Cốp pha tường bể nước sạch.</v>
          </cell>
          <cell r="C13" t="str">
            <v>CP-03</v>
          </cell>
          <cell r="D13" t="str">
            <v>8h30</v>
          </cell>
          <cell r="E13" t="str">
            <v>9h30</v>
          </cell>
          <cell r="F13">
            <v>28</v>
          </cell>
          <cell r="G13">
            <v>11</v>
          </cell>
          <cell r="H13">
            <v>2014</v>
          </cell>
          <cell r="I13" t="str">
            <v>Hà Nội, ngày 28 tháng 11 năm 2014</v>
          </cell>
          <cell r="J13" t="str">
            <v>8h30 ngày 28 tháng 11 năm 2014</v>
          </cell>
          <cell r="K13" t="str">
            <v>9h30 ngày 28 tháng 11 năm 2014</v>
          </cell>
          <cell r="L13" t="str">
            <v>9h30</v>
          </cell>
          <cell r="M13" t="str">
            <v>10h30</v>
          </cell>
          <cell r="N13">
            <v>28</v>
          </cell>
          <cell r="O13">
            <v>11</v>
          </cell>
          <cell r="P13">
            <v>2014</v>
          </cell>
          <cell r="Q13" t="str">
            <v>Hà Nội, ngày 28 tháng 11 năm 2014</v>
          </cell>
          <cell r="R13" t="str">
            <v>9h30 ngày 28 tháng 11 năm 2014</v>
          </cell>
          <cell r="S13" t="str">
            <v>10h30 ngày 28 tháng 11 năm 2014</v>
          </cell>
          <cell r="T13" t="str">
            <v>9h30</v>
          </cell>
          <cell r="U13" t="str">
            <v>9h30 Ngày 28/11/2014</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KC-69; KC-70.</v>
          </cell>
          <cell r="AQ13" t="str">
            <v>Ngày 28 Tháng 11 Năm 2014</v>
          </cell>
        </row>
        <row r="14">
          <cell r="A14" t="str">
            <v>CP-04</v>
          </cell>
          <cell r="B14" t="str">
            <v>-Cốp pha bê tông lót đáy đài và giằng móng PĐ1 trục X4'-X8/Y5'-Y8</v>
          </cell>
          <cell r="C14" t="str">
            <v>CP-04</v>
          </cell>
          <cell r="D14" t="str">
            <v>8h30</v>
          </cell>
          <cell r="E14" t="str">
            <v>9h00</v>
          </cell>
          <cell r="F14">
            <v>27</v>
          </cell>
          <cell r="G14">
            <v>11</v>
          </cell>
          <cell r="H14">
            <v>2014</v>
          </cell>
          <cell r="I14" t="str">
            <v>Hà Nội, ngày 27 tháng 11 năm 2014</v>
          </cell>
          <cell r="J14" t="str">
            <v>8h30 ngày 27 tháng 11 năm 2014</v>
          </cell>
          <cell r="K14" t="str">
            <v>9h00 ngày 27 tháng 11 năm 2014</v>
          </cell>
          <cell r="L14" t="str">
            <v>9h00</v>
          </cell>
          <cell r="M14" t="str">
            <v>9h30</v>
          </cell>
          <cell r="N14">
            <v>27</v>
          </cell>
          <cell r="O14">
            <v>11</v>
          </cell>
          <cell r="P14">
            <v>2014</v>
          </cell>
          <cell r="Q14" t="str">
            <v>Hà Nội, ngày 27 tháng 11 năm 2014</v>
          </cell>
          <cell r="R14" t="str">
            <v>9h00 ngày 27 tháng 11 năm 2014</v>
          </cell>
          <cell r="S14" t="str">
            <v>9h30 ngày 27 tháng 11 năm 2014</v>
          </cell>
          <cell r="T14" t="str">
            <v>9h00</v>
          </cell>
          <cell r="U14" t="str">
            <v>9h00 Ngày 27/11/2014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KC-05;KC-07÷KC-10</v>
          </cell>
          <cell r="AQ14" t="str">
            <v>Ngày 27 Tháng 11 Năm 2014</v>
          </cell>
        </row>
        <row r="15">
          <cell r="A15" t="str">
            <v>CP-05</v>
          </cell>
          <cell r="B15" t="str">
            <v>-Cốp pha đài, giằng móng PĐ1 trục X4'-X8/Y5'-Y8</v>
          </cell>
          <cell r="C15" t="str">
            <v>CP-05</v>
          </cell>
          <cell r="D15" t="str">
            <v>7h30</v>
          </cell>
          <cell r="E15" t="str">
            <v>9h00</v>
          </cell>
          <cell r="F15">
            <v>4</v>
          </cell>
          <cell r="G15">
            <v>12</v>
          </cell>
          <cell r="H15">
            <v>2014</v>
          </cell>
          <cell r="I15" t="str">
            <v>Hà Nội, ngày 4 tháng 12 năm 2014</v>
          </cell>
          <cell r="J15" t="str">
            <v>7h30 ngày 4 tháng 12 năm 2014</v>
          </cell>
          <cell r="K15" t="str">
            <v>9h00 ngày 4 tháng 12 năm 2014</v>
          </cell>
          <cell r="L15" t="str">
            <v>9h00</v>
          </cell>
          <cell r="M15" t="str">
            <v>10h30</v>
          </cell>
          <cell r="N15">
            <v>4</v>
          </cell>
          <cell r="O15">
            <v>12</v>
          </cell>
          <cell r="P15">
            <v>2014</v>
          </cell>
          <cell r="Q15" t="str">
            <v>Hà Nội, ngày 4 tháng 12 năm 2014</v>
          </cell>
          <cell r="R15" t="str">
            <v>9h00 ngày 4 tháng 12 năm 2014</v>
          </cell>
          <cell r="S15" t="str">
            <v>10h30 ngày 4 tháng 12 năm 2014</v>
          </cell>
          <cell r="T15" t="str">
            <v>9h00</v>
          </cell>
          <cell r="U15" t="str">
            <v>9h00 Ngày 4/12/2014</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e">
            <v>#REF!</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KC-05;KC-07÷KC-10</v>
          </cell>
          <cell r="AQ15" t="str">
            <v>Ngày 4 Tháng 12 Năm 2014</v>
          </cell>
        </row>
        <row r="16">
          <cell r="A16" t="str">
            <v>CP-06</v>
          </cell>
          <cell r="B16" t="str">
            <v>-Cốp pha bê tông lót đáy đài và giằng móng PĐ2 trục X1-X4'/Y5-Y8</v>
          </cell>
          <cell r="C16" t="str">
            <v>CP-06</v>
          </cell>
          <cell r="D16" t="str">
            <v>9h00</v>
          </cell>
          <cell r="E16" t="str">
            <v>9h30</v>
          </cell>
          <cell r="F16">
            <v>1</v>
          </cell>
          <cell r="G16">
            <v>12</v>
          </cell>
          <cell r="H16">
            <v>2014</v>
          </cell>
          <cell r="I16" t="str">
            <v>Hà Nội, ngày 1 tháng 12 năm 2014</v>
          </cell>
          <cell r="J16" t="str">
            <v>9h00 ngày 1 tháng 12 năm 2014</v>
          </cell>
          <cell r="K16" t="str">
            <v>9h30 ngày 1 tháng 12 năm 2014</v>
          </cell>
          <cell r="L16" t="str">
            <v>9h30</v>
          </cell>
          <cell r="M16" t="str">
            <v>10h00</v>
          </cell>
          <cell r="N16">
            <v>1</v>
          </cell>
          <cell r="O16">
            <v>12</v>
          </cell>
          <cell r="P16">
            <v>2014</v>
          </cell>
          <cell r="Q16" t="str">
            <v>Hà Nội, ngày 1 tháng 12 năm 2014</v>
          </cell>
          <cell r="R16" t="str">
            <v>9h30 ngày 1 tháng 12 năm 2014</v>
          </cell>
          <cell r="S16" t="str">
            <v>10h00 ngày 1 tháng 12 năm 2014</v>
          </cell>
          <cell r="T16" t="str">
            <v>9h30</v>
          </cell>
          <cell r="U16" t="str">
            <v>9h30 Ngày 1/12/2014</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e">
            <v>#REF!</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KC-05;KC-07÷KC-10</v>
          </cell>
          <cell r="AQ16" t="str">
            <v>Ngày 1 Tháng 12 Năm 2014</v>
          </cell>
        </row>
        <row r="17">
          <cell r="A17" t="str">
            <v>CP-07</v>
          </cell>
          <cell r="B17" t="str">
            <v>-Cốp pha đài, giằng móng PĐ2 trục X1-X4'/Y5-Y8</v>
          </cell>
          <cell r="C17" t="str">
            <v>CP-07</v>
          </cell>
          <cell r="D17" t="str">
            <v>8h00</v>
          </cell>
          <cell r="E17" t="str">
            <v>9h30</v>
          </cell>
          <cell r="F17">
            <v>11</v>
          </cell>
          <cell r="G17">
            <v>12</v>
          </cell>
          <cell r="H17">
            <v>2014</v>
          </cell>
          <cell r="I17" t="str">
            <v>Hà Nội, ngày 11 tháng 12 năm 2014</v>
          </cell>
          <cell r="J17" t="str">
            <v>8h00 ngày 11 tháng 12 năm 2014</v>
          </cell>
          <cell r="K17" t="str">
            <v>9h30 ngày 11 tháng 12 năm 2014</v>
          </cell>
          <cell r="L17" t="str">
            <v>9h30</v>
          </cell>
          <cell r="M17" t="str">
            <v>11h00</v>
          </cell>
          <cell r="N17">
            <v>11</v>
          </cell>
          <cell r="O17">
            <v>12</v>
          </cell>
          <cell r="P17">
            <v>2014</v>
          </cell>
          <cell r="Q17" t="str">
            <v>Hà Nội, ngày 11 tháng 12 năm 2014</v>
          </cell>
          <cell r="R17" t="str">
            <v>9h30 ngày 11 tháng 12 năm 2014</v>
          </cell>
          <cell r="S17" t="str">
            <v>11h00 ngày 11 tháng 12 năm 2014</v>
          </cell>
          <cell r="T17" t="str">
            <v>9h30</v>
          </cell>
          <cell r="U17" t="str">
            <v>9h30 Ngày 11/12/2014</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e">
            <v>#REF!</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KC-05;KC-07÷KC-10</v>
          </cell>
          <cell r="AQ17" t="str">
            <v>Ngày 11 Tháng 12 Năm 2014</v>
          </cell>
        </row>
        <row r="18">
          <cell r="A18" t="str">
            <v>CP-08</v>
          </cell>
          <cell r="B18" t="str">
            <v>-Cốp pha bê tông lót đáy đài và giằng móng PĐ3 trục X1-X4/Y1-Y5</v>
          </cell>
          <cell r="C18" t="str">
            <v>CP-08</v>
          </cell>
          <cell r="D18" t="str">
            <v>8h30</v>
          </cell>
          <cell r="E18" t="str">
            <v>9h00</v>
          </cell>
          <cell r="F18">
            <v>5</v>
          </cell>
          <cell r="G18">
            <v>12</v>
          </cell>
          <cell r="H18">
            <v>2014</v>
          </cell>
          <cell r="I18" t="str">
            <v>Hà Nội, ngày 5 tháng 12 năm 2014</v>
          </cell>
          <cell r="J18" t="str">
            <v>8h30 ngày 5 tháng 12 năm 2014</v>
          </cell>
          <cell r="K18" t="str">
            <v>9h00 ngày 5 tháng 12 năm 2014</v>
          </cell>
          <cell r="L18" t="str">
            <v>9h00</v>
          </cell>
          <cell r="M18" t="str">
            <v>9h30</v>
          </cell>
          <cell r="N18">
            <v>5</v>
          </cell>
          <cell r="O18">
            <v>12</v>
          </cell>
          <cell r="P18">
            <v>2014</v>
          </cell>
          <cell r="Q18" t="str">
            <v>Hà Nội, ngày 5 tháng 12 năm 2014</v>
          </cell>
          <cell r="R18" t="str">
            <v>9h00 ngày 5 tháng 12 năm 2014</v>
          </cell>
          <cell r="S18" t="str">
            <v>9h30 ngày 5 tháng 12 năm 2014</v>
          </cell>
          <cell r="T18" t="str">
            <v>9h00</v>
          </cell>
          <cell r="U18" t="str">
            <v>9h00 Ngày 5/12/2014</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e">
            <v>#REF!</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KC-05;KC-07÷KC-10</v>
          </cell>
          <cell r="AQ18" t="str">
            <v>Ngày 5 Tháng 12 Năm 2014</v>
          </cell>
        </row>
        <row r="19">
          <cell r="A19" t="str">
            <v>CP-09</v>
          </cell>
          <cell r="B19" t="str">
            <v>-Cốp pha đài, giằng móng PĐ3 trục X1-X4/Y1-Y5</v>
          </cell>
          <cell r="C19" t="str">
            <v>CP-09</v>
          </cell>
          <cell r="D19" t="str">
            <v>8h00</v>
          </cell>
          <cell r="E19" t="str">
            <v>9h30</v>
          </cell>
          <cell r="F19">
            <v>15</v>
          </cell>
          <cell r="G19">
            <v>12</v>
          </cell>
          <cell r="H19">
            <v>2014</v>
          </cell>
          <cell r="I19" t="str">
            <v>Hà Nội, ngày 15 tháng 12 năm 2014</v>
          </cell>
          <cell r="J19" t="str">
            <v>8h00 ngày 15 tháng 12 năm 2014</v>
          </cell>
          <cell r="K19" t="str">
            <v>9h30 ngày 15 tháng 12 năm 2014</v>
          </cell>
          <cell r="L19" t="str">
            <v>9h30</v>
          </cell>
          <cell r="M19" t="str">
            <v>11h00</v>
          </cell>
          <cell r="N19">
            <v>15</v>
          </cell>
          <cell r="O19">
            <v>12</v>
          </cell>
          <cell r="P19">
            <v>2014</v>
          </cell>
          <cell r="Q19" t="str">
            <v>Hà Nội, ngày 15 tháng 12 năm 2014</v>
          </cell>
          <cell r="R19" t="str">
            <v>9h30 ngày 15 tháng 12 năm 2014</v>
          </cell>
          <cell r="S19" t="str">
            <v>11h00 ngày 15 tháng 12 năm 2014</v>
          </cell>
          <cell r="T19" t="str">
            <v>9h30</v>
          </cell>
          <cell r="U19" t="str">
            <v>9h30 Ngày 15/12/2014</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e">
            <v>#REF!</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KC-05;KC-07÷KC-10</v>
          </cell>
          <cell r="AQ19" t="str">
            <v>Ngày 15 Tháng 12 Năm 2014</v>
          </cell>
        </row>
        <row r="20">
          <cell r="A20" t="str">
            <v>CP-10</v>
          </cell>
          <cell r="B20" t="str">
            <v>-Cốp pha nắp bể nước sạch.</v>
          </cell>
          <cell r="C20" t="str">
            <v>CP-10</v>
          </cell>
          <cell r="D20" t="str">
            <v>9h00</v>
          </cell>
          <cell r="E20" t="str">
            <v>9h45</v>
          </cell>
          <cell r="F20">
            <v>19</v>
          </cell>
          <cell r="G20">
            <v>12</v>
          </cell>
          <cell r="H20">
            <v>2014</v>
          </cell>
          <cell r="I20" t="str">
            <v>Hà Nội, ngày 19 tháng 12 năm 2014</v>
          </cell>
          <cell r="J20" t="str">
            <v>9h00 ngày 19 tháng 12 năm 2014</v>
          </cell>
          <cell r="K20" t="str">
            <v>9h45 ngày 19 tháng 12 năm 2014</v>
          </cell>
          <cell r="L20" t="str">
            <v>9h45</v>
          </cell>
          <cell r="M20" t="str">
            <v>10h30</v>
          </cell>
          <cell r="N20">
            <v>19</v>
          </cell>
          <cell r="O20">
            <v>12</v>
          </cell>
          <cell r="P20">
            <v>2014</v>
          </cell>
          <cell r="Q20" t="str">
            <v>Hà Nội, ngày 19 tháng 12 năm 2014</v>
          </cell>
          <cell r="R20" t="str">
            <v>9h45 ngày 19 tháng 12 năm 2014</v>
          </cell>
          <cell r="S20" t="str">
            <v>10h30 ngày 19 tháng 12 năm 2014</v>
          </cell>
          <cell r="T20" t="str">
            <v>9h45</v>
          </cell>
          <cell r="U20" t="str">
            <v>9h45 Ngày 19/12/2014</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KC-69; KC-70.</v>
          </cell>
          <cell r="AQ20" t="str">
            <v>Ngày 19 Tháng 12 Năm 2014</v>
          </cell>
        </row>
        <row r="21">
          <cell r="A21" t="str">
            <v>CP-11</v>
          </cell>
          <cell r="B21" t="str">
            <v>-Cốp pha cổ cột, vách và dầm, giằng tường trục X1-X4/Y1-Y5</v>
          </cell>
          <cell r="C21" t="str">
            <v>CP-11</v>
          </cell>
          <cell r="D21" t="str">
            <v>8h00</v>
          </cell>
          <cell r="E21" t="str">
            <v>9h30</v>
          </cell>
          <cell r="F21">
            <v>20</v>
          </cell>
          <cell r="G21">
            <v>12</v>
          </cell>
          <cell r="H21">
            <v>2014</v>
          </cell>
          <cell r="I21" t="str">
            <v>Hà Nội, ngày 20 tháng 12 năm 2014</v>
          </cell>
          <cell r="J21" t="str">
            <v>8h00 ngày 20 tháng 12 năm 2014</v>
          </cell>
          <cell r="K21" t="str">
            <v>9h30 ngày 20 tháng 12 năm 2014</v>
          </cell>
          <cell r="L21" t="str">
            <v>9h30</v>
          </cell>
          <cell r="M21" t="str">
            <v>11h00</v>
          </cell>
          <cell r="N21">
            <v>20</v>
          </cell>
          <cell r="O21">
            <v>12</v>
          </cell>
          <cell r="P21">
            <v>2014</v>
          </cell>
          <cell r="Q21" t="str">
            <v>Hà Nội, ngày 20 tháng 12 năm 2014</v>
          </cell>
          <cell r="R21" t="str">
            <v>9h30 ngày 20 tháng 12 năm 2014</v>
          </cell>
          <cell r="S21" t="str">
            <v>11h00 ngày 20 tháng 12 năm 2014</v>
          </cell>
          <cell r="T21" t="str">
            <v>9h30</v>
          </cell>
          <cell r="U21" t="str">
            <v>9h30 Ngày 20/12/2014</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KC-18; KC-21÷KC-26</v>
          </cell>
          <cell r="AQ21" t="str">
            <v>Ngày 20 Tháng 12 Năm 2014</v>
          </cell>
        </row>
        <row r="22">
          <cell r="A22" t="str">
            <v>CP-12</v>
          </cell>
          <cell r="B22" t="str">
            <v>-Cốp pha cổ cột, vách và dầm, giằng tường trục X1-X8/Y5-Y8</v>
          </cell>
          <cell r="C22" t="str">
            <v>CP-12</v>
          </cell>
          <cell r="D22" t="str">
            <v>8h00</v>
          </cell>
          <cell r="E22" t="str">
            <v>9h30</v>
          </cell>
          <cell r="F22">
            <v>23</v>
          </cell>
          <cell r="G22">
            <v>12</v>
          </cell>
          <cell r="H22">
            <v>2014</v>
          </cell>
          <cell r="I22" t="str">
            <v>Hà Nội, ngày 23 tháng 12 năm 2014</v>
          </cell>
          <cell r="J22" t="str">
            <v>8h00 ngày 23 tháng 12 năm 2014</v>
          </cell>
          <cell r="K22" t="str">
            <v>9h30 ngày 23 tháng 12 năm 2014</v>
          </cell>
          <cell r="L22" t="str">
            <v>9h30</v>
          </cell>
          <cell r="M22" t="str">
            <v>11h00</v>
          </cell>
          <cell r="N22">
            <v>23</v>
          </cell>
          <cell r="O22">
            <v>12</v>
          </cell>
          <cell r="P22">
            <v>2014</v>
          </cell>
          <cell r="Q22" t="str">
            <v>Hà Nội, ngày 23 tháng 12 năm 2014</v>
          </cell>
          <cell r="R22" t="str">
            <v>9h30 ngày 23 tháng 12 năm 2014</v>
          </cell>
          <cell r="S22" t="str">
            <v>11h00 ngày 23 tháng 12 năm 2014</v>
          </cell>
          <cell r="T22" t="str">
            <v>9h30</v>
          </cell>
          <cell r="U22" t="str">
            <v>9h30 Ngày 23/12/2014</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KC-18; KC-21÷KC-26</v>
          </cell>
          <cell r="AQ22" t="str">
            <v>Ngày 23 Tháng 12 Năm 2014</v>
          </cell>
        </row>
        <row r="23">
          <cell r="A23" t="str">
            <v>CP-13</v>
          </cell>
          <cell r="B23" t="str">
            <v>Cốp pha bê tông lót bể tự hoại và bể tách dầu mỡ số 04</v>
          </cell>
          <cell r="C23" t="str">
            <v>CP-13</v>
          </cell>
          <cell r="D23" t="str">
            <v>9h00</v>
          </cell>
          <cell r="E23" t="str">
            <v>9h15</v>
          </cell>
          <cell r="F23">
            <v>30</v>
          </cell>
          <cell r="G23">
            <v>12</v>
          </cell>
          <cell r="H23">
            <v>2014</v>
          </cell>
          <cell r="I23" t="str">
            <v>Hà Nội, ngày 30 tháng 12 năm 2014</v>
          </cell>
          <cell r="J23" t="str">
            <v>9h00 ngày 30 tháng 12 năm 2014</v>
          </cell>
          <cell r="K23" t="str">
            <v>9h15 ngày 30 tháng 12 năm 2014</v>
          </cell>
          <cell r="L23" t="str">
            <v>9h15</v>
          </cell>
          <cell r="M23" t="str">
            <v>9h30</v>
          </cell>
          <cell r="N23">
            <v>30</v>
          </cell>
          <cell r="O23">
            <v>12</v>
          </cell>
          <cell r="P23">
            <v>2014</v>
          </cell>
          <cell r="Q23" t="str">
            <v>Hà Nội, ngày 30 tháng 12 năm 2014</v>
          </cell>
          <cell r="R23" t="str">
            <v>9h15 ngày 30 tháng 12 năm 2014</v>
          </cell>
          <cell r="S23" t="str">
            <v>9h30 ngày 30 tháng 12 năm 2014</v>
          </cell>
          <cell r="T23" t="str">
            <v>9h15</v>
          </cell>
          <cell r="U23" t="str">
            <v>9h15 Ngày 30/12/2014</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KC-71÷KC-73</v>
          </cell>
          <cell r="AQ23" t="str">
            <v>Ngày 30 Tháng 12 Năm 2014</v>
          </cell>
        </row>
        <row r="24">
          <cell r="A24" t="str">
            <v>CP-14</v>
          </cell>
          <cell r="B24" t="str">
            <v>Cốp pha đáy bể tự hoại và bể tách dầu mỡ số 04 (đáy+tường)</v>
          </cell>
          <cell r="C24" t="str">
            <v>CP-14</v>
          </cell>
          <cell r="D24" t="str">
            <v>14h00</v>
          </cell>
          <cell r="E24" t="str">
            <v>14h30</v>
          </cell>
          <cell r="F24">
            <v>31</v>
          </cell>
          <cell r="G24">
            <v>12</v>
          </cell>
          <cell r="H24">
            <v>2014</v>
          </cell>
          <cell r="I24" t="str">
            <v>Hà Nội, ngày 31 tháng 12 năm 2014</v>
          </cell>
          <cell r="J24" t="str">
            <v>14h00 ngày 31 tháng 12 năm 2014</v>
          </cell>
          <cell r="K24" t="str">
            <v>14h30 ngày 31 tháng 12 năm 2014</v>
          </cell>
          <cell r="L24" t="str">
            <v>14h30</v>
          </cell>
          <cell r="M24" t="str">
            <v>15h00'</v>
          </cell>
          <cell r="N24">
            <v>31</v>
          </cell>
          <cell r="O24">
            <v>12</v>
          </cell>
          <cell r="P24">
            <v>2014</v>
          </cell>
          <cell r="Q24" t="str">
            <v>Hà Nội, ngày 31 tháng 12 năm 2014</v>
          </cell>
          <cell r="R24" t="str">
            <v>14h30 ngày 31 tháng 12 năm 2014</v>
          </cell>
          <cell r="S24" t="str">
            <v>15h00' ngày 31 tháng 12 năm 2014</v>
          </cell>
          <cell r="T24" t="str">
            <v>14h30</v>
          </cell>
          <cell r="U24" t="str">
            <v>14h30 Ngày 31/12/2014</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KC-71÷KC-73</v>
          </cell>
          <cell r="AQ24" t="str">
            <v>Ngày 31 Tháng 12 Năm 2014</v>
          </cell>
        </row>
        <row r="25">
          <cell r="A25" t="str">
            <v>CP-15</v>
          </cell>
          <cell r="B25" t="str">
            <v>Cốp pha bê tông lót bể tự hoại 03 và bể tách dầu mỡ 03</v>
          </cell>
          <cell r="C25" t="str">
            <v>CP-15</v>
          </cell>
          <cell r="D25" t="str">
            <v>9h00</v>
          </cell>
          <cell r="E25" t="str">
            <v>9h30</v>
          </cell>
          <cell r="F25">
            <v>3</v>
          </cell>
          <cell r="G25">
            <v>1</v>
          </cell>
          <cell r="H25">
            <v>2015</v>
          </cell>
          <cell r="I25" t="str">
            <v>Hà Nội, ngày 3 tháng 1 năm 2015</v>
          </cell>
          <cell r="J25" t="str">
            <v>9h00 ngày 3 tháng 1 năm 2015</v>
          </cell>
          <cell r="K25" t="str">
            <v>9h30 ngày 3 tháng 1 năm 2015</v>
          </cell>
          <cell r="L25" t="str">
            <v>9h30</v>
          </cell>
          <cell r="M25" t="str">
            <v>10h00</v>
          </cell>
          <cell r="N25">
            <v>3</v>
          </cell>
          <cell r="O25">
            <v>1</v>
          </cell>
          <cell r="P25">
            <v>2015</v>
          </cell>
          <cell r="Q25" t="str">
            <v>Hà Nội, ngày 3 tháng 1 năm 2015</v>
          </cell>
          <cell r="R25" t="str">
            <v>9h30 ngày 3 tháng 1 năm 2015</v>
          </cell>
          <cell r="S25" t="str">
            <v>10h00 ngày 3 tháng 1 năm 2015</v>
          </cell>
          <cell r="T25" t="str">
            <v>9h30</v>
          </cell>
          <cell r="U25" t="str">
            <v>9h30 Ngày 3/1/2015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KC-71÷KC-73</v>
          </cell>
          <cell r="AQ25" t="str">
            <v>Ngày 3 Tháng 1 Năm 2015</v>
          </cell>
        </row>
        <row r="26">
          <cell r="A26" t="str">
            <v>CP-16</v>
          </cell>
          <cell r="B26" t="str">
            <v>Cốp pha tường bể tự hoại 04, đáy bể tự hoại 03, bể tách dầu mỡ 03 (đáy+tường)
từ ngày 3/1/2015 đến ngày 5/1/2015</v>
          </cell>
          <cell r="C26" t="str">
            <v>CP-16</v>
          </cell>
          <cell r="D26" t="str">
            <v>14h00</v>
          </cell>
          <cell r="E26" t="str">
            <v>14h30</v>
          </cell>
          <cell r="F26">
            <v>5</v>
          </cell>
          <cell r="G26">
            <v>1</v>
          </cell>
          <cell r="H26">
            <v>2015</v>
          </cell>
          <cell r="I26" t="str">
            <v>Hà Nội, ngày 5 tháng 1 năm 2015</v>
          </cell>
          <cell r="J26" t="str">
            <v>14h00 ngày 5 tháng 1 năm 2015</v>
          </cell>
          <cell r="K26" t="str">
            <v>14h30 ngày 5 tháng 1 năm 2015</v>
          </cell>
          <cell r="L26" t="str">
            <v>14h30</v>
          </cell>
          <cell r="M26" t="str">
            <v>15h00</v>
          </cell>
          <cell r="N26">
            <v>5</v>
          </cell>
          <cell r="O26">
            <v>1</v>
          </cell>
          <cell r="P26">
            <v>2015</v>
          </cell>
          <cell r="Q26" t="str">
            <v>Hà Nội, ngày 5 tháng 1 năm 2015</v>
          </cell>
          <cell r="R26" t="str">
            <v>14h30 ngày 5 tháng 1 năm 2015</v>
          </cell>
          <cell r="S26" t="str">
            <v>15h00 ngày 5 tháng 1 năm 2015</v>
          </cell>
          <cell r="T26" t="str">
            <v>14h30</v>
          </cell>
          <cell r="U26" t="str">
            <v>14h30 Ngày 5/1/2015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KC-71÷KC-73</v>
          </cell>
          <cell r="AQ26" t="str">
            <v>Ngày 5 Tháng 1 Năm 2015</v>
          </cell>
        </row>
        <row r="27">
          <cell r="A27" t="str">
            <v>CP-17</v>
          </cell>
          <cell r="B27" t="str">
            <v>Cốp pha bê tông lót bể tự hoại 01 và bể tách dầu mỡ 01</v>
          </cell>
          <cell r="C27" t="str">
            <v>CP-17</v>
          </cell>
          <cell r="D27" t="str">
            <v>9h00</v>
          </cell>
          <cell r="E27" t="str">
            <v>9h15</v>
          </cell>
          <cell r="F27">
            <v>6</v>
          </cell>
          <cell r="G27">
            <v>1</v>
          </cell>
          <cell r="H27">
            <v>2015</v>
          </cell>
          <cell r="I27" t="str">
            <v>Hà Nội, ngày 6 tháng 1 năm 2015</v>
          </cell>
          <cell r="J27" t="str">
            <v>9h00 ngày 6 tháng 1 năm 2015</v>
          </cell>
          <cell r="K27" t="str">
            <v>9h15 ngày 6 tháng 1 năm 2015</v>
          </cell>
          <cell r="L27" t="str">
            <v>9h15</v>
          </cell>
          <cell r="M27" t="str">
            <v>9h30</v>
          </cell>
          <cell r="N27">
            <v>6</v>
          </cell>
          <cell r="O27">
            <v>1</v>
          </cell>
          <cell r="P27">
            <v>2015</v>
          </cell>
          <cell r="Q27" t="str">
            <v>Hà Nội, ngày 6 tháng 1 năm 2015</v>
          </cell>
          <cell r="R27" t="str">
            <v>9h15 ngày 6 tháng 1 năm 2015</v>
          </cell>
          <cell r="S27" t="str">
            <v>9h30 ngày 6 tháng 1 năm 2015</v>
          </cell>
          <cell r="T27" t="str">
            <v>9h15</v>
          </cell>
          <cell r="U27" t="str">
            <v>9h15 Ngày 6/1/2015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KC-71÷KC-73</v>
          </cell>
          <cell r="AQ27" t="str">
            <v>Ngày 6 Tháng 1 Năm 2015</v>
          </cell>
        </row>
        <row r="28">
          <cell r="A28" t="str">
            <v>CP-18</v>
          </cell>
          <cell r="B28" t="str">
            <v>Cốp pha nắp bể tự hoại 04, bể tự hoại 03 (tường+nắp), đáy bể tự hoại 01 
từ ngày 7/1/2015 đến ngày 8/1/2015</v>
          </cell>
          <cell r="C28" t="str">
            <v>CP-18</v>
          </cell>
          <cell r="D28" t="str">
            <v>14h00</v>
          </cell>
          <cell r="E28" t="str">
            <v>14h30</v>
          </cell>
          <cell r="F28">
            <v>8</v>
          </cell>
          <cell r="G28">
            <v>1</v>
          </cell>
          <cell r="H28">
            <v>2015</v>
          </cell>
          <cell r="I28" t="str">
            <v>Hà Nội, ngày 8 tháng 1 năm 2015</v>
          </cell>
          <cell r="J28" t="str">
            <v>14h00 ngày 8 tháng 1 năm 2015</v>
          </cell>
          <cell r="K28" t="str">
            <v>14h30 ngày 8 tháng 1 năm 2015</v>
          </cell>
          <cell r="L28" t="str">
            <v>14h30</v>
          </cell>
          <cell r="M28" t="str">
            <v>15h00</v>
          </cell>
          <cell r="N28">
            <v>8</v>
          </cell>
          <cell r="O28">
            <v>1</v>
          </cell>
          <cell r="P28">
            <v>2015</v>
          </cell>
          <cell r="Q28" t="str">
            <v>Hà Nội, ngày 8 tháng 1 năm 2015</v>
          </cell>
          <cell r="R28" t="str">
            <v>14h30 ngày 8 tháng 1 năm 2015</v>
          </cell>
          <cell r="S28" t="str">
            <v>15h00 ngày 8 tháng 1 năm 2015</v>
          </cell>
          <cell r="T28" t="str">
            <v>14h30</v>
          </cell>
          <cell r="U28" t="str">
            <v>14h30 Ngày 8/1/2015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KC-71÷KC-73</v>
          </cell>
          <cell r="AQ28" t="str">
            <v>Ngày 8 Tháng 1 Năm 2015</v>
          </cell>
        </row>
        <row r="29">
          <cell r="A29" t="str">
            <v>CP-19</v>
          </cell>
          <cell r="B29" t="str">
            <v>Cốp pha bê tông lót bể tự hoại số 02 và bể tách dầu mỡ số 02</v>
          </cell>
          <cell r="C29" t="str">
            <v>CP-19</v>
          </cell>
          <cell r="D29" t="str">
            <v>9h45</v>
          </cell>
          <cell r="E29" t="str">
            <v>10h00</v>
          </cell>
          <cell r="F29">
            <v>9</v>
          </cell>
          <cell r="G29">
            <v>1</v>
          </cell>
          <cell r="H29">
            <v>2015</v>
          </cell>
          <cell r="I29" t="str">
            <v>Hà Nội, ngày 9 tháng 1 năm 2015</v>
          </cell>
          <cell r="J29" t="str">
            <v>9h45 ngày 9 tháng 1 năm 2015</v>
          </cell>
          <cell r="K29" t="str">
            <v>10h00 ngày 9 tháng 1 năm 2015</v>
          </cell>
          <cell r="L29" t="str">
            <v>10h00</v>
          </cell>
          <cell r="M29" t="str">
            <v>10h15</v>
          </cell>
          <cell r="N29">
            <v>9</v>
          </cell>
          <cell r="O29">
            <v>1</v>
          </cell>
          <cell r="P29">
            <v>2015</v>
          </cell>
          <cell r="Q29" t="str">
            <v>Hà Nội, ngày 9 tháng 1 năm 2015</v>
          </cell>
          <cell r="R29" t="str">
            <v>10h00 ngày 9 tháng 1 năm 2015</v>
          </cell>
          <cell r="S29" t="str">
            <v>10h15 ngày 9 tháng 1 năm 2015</v>
          </cell>
          <cell r="T29" t="str">
            <v>10h00</v>
          </cell>
          <cell r="U29" t="str">
            <v>10h00 Ngày 9/1/2015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KC-71÷KC-73</v>
          </cell>
          <cell r="AQ29" t="str">
            <v>Ngày 9 Tháng 1 Năm 2015</v>
          </cell>
        </row>
        <row r="30">
          <cell r="A30" t="str">
            <v>CP-20</v>
          </cell>
          <cell r="B30" t="str">
            <v>Cốp pha đáy bể tự hoại 02 và bể tách dầu mỡ số 01, 02 (đáy+tường)</v>
          </cell>
          <cell r="C30" t="str">
            <v>CP-20</v>
          </cell>
          <cell r="D30" t="str">
            <v>15h00</v>
          </cell>
          <cell r="E30" t="str">
            <v>15h30</v>
          </cell>
          <cell r="F30">
            <v>9</v>
          </cell>
          <cell r="G30">
            <v>1</v>
          </cell>
          <cell r="H30">
            <v>2015</v>
          </cell>
          <cell r="I30" t="str">
            <v>Hà Nội, ngày 9 tháng 1 năm 2015</v>
          </cell>
          <cell r="J30" t="str">
            <v>15h00 ngày 9 tháng 1 năm 2015</v>
          </cell>
          <cell r="K30" t="str">
            <v>15h30 ngày 9 tháng 1 năm 2015</v>
          </cell>
          <cell r="L30" t="str">
            <v>15h30</v>
          </cell>
          <cell r="M30" t="str">
            <v>16h00</v>
          </cell>
          <cell r="N30">
            <v>9</v>
          </cell>
          <cell r="O30">
            <v>1</v>
          </cell>
          <cell r="P30">
            <v>2015</v>
          </cell>
          <cell r="Q30" t="str">
            <v>Hà Nội, ngày 9 tháng 1 năm 2015</v>
          </cell>
          <cell r="R30" t="str">
            <v>15h30 ngày 9 tháng 1 năm 2015</v>
          </cell>
          <cell r="S30" t="str">
            <v>16h00 ngày 9 tháng 1 năm 2015</v>
          </cell>
          <cell r="T30" t="str">
            <v>15h30</v>
          </cell>
          <cell r="U30" t="str">
            <v>15h30 Ngày 9/1/2015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KC-71÷KC-73</v>
          </cell>
          <cell r="AQ30" t="str">
            <v>Ngày 9 Tháng 1 Năm 2015</v>
          </cell>
        </row>
        <row r="31">
          <cell r="A31" t="str">
            <v>CP-21</v>
          </cell>
          <cell r="B31" t="str">
            <v>Cốp pha bể tự hoại số 01 và 02 (tường+nắp)</v>
          </cell>
          <cell r="C31" t="str">
            <v>CP-21</v>
          </cell>
          <cell r="D31" t="str">
            <v>8h00</v>
          </cell>
          <cell r="E31" t="str">
            <v>8h30</v>
          </cell>
          <cell r="F31">
            <v>12</v>
          </cell>
          <cell r="G31">
            <v>1</v>
          </cell>
          <cell r="H31">
            <v>2015</v>
          </cell>
          <cell r="I31" t="str">
            <v>Hà Nội, ngày 12 tháng 1 năm 2015</v>
          </cell>
          <cell r="J31" t="str">
            <v>8h00 ngày 12 tháng 1 năm 2015</v>
          </cell>
          <cell r="K31" t="str">
            <v>8h30 ngày 12 tháng 1 năm 2015</v>
          </cell>
          <cell r="L31" t="str">
            <v>8h30</v>
          </cell>
          <cell r="M31" t="str">
            <v>9h00</v>
          </cell>
          <cell r="N31">
            <v>12</v>
          </cell>
          <cell r="O31">
            <v>1</v>
          </cell>
          <cell r="P31">
            <v>2015</v>
          </cell>
          <cell r="Q31" t="str">
            <v>Hà Nội, ngày 12 tháng 1 năm 2015</v>
          </cell>
          <cell r="R31" t="str">
            <v>8h30 ngày 12 tháng 1 năm 2015</v>
          </cell>
          <cell r="S31" t="str">
            <v>9h00 ngày 12 tháng 1 năm 2015</v>
          </cell>
          <cell r="T31" t="str">
            <v>8h30</v>
          </cell>
          <cell r="U31" t="str">
            <v>8h30 Ngày 12/1/2015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KC-71÷KC-73</v>
          </cell>
          <cell r="AQ31" t="str">
            <v>Ngày 12 Tháng 1 Năm 2015</v>
          </cell>
        </row>
        <row r="32">
          <cell r="A32" t="str">
            <v>CP-22</v>
          </cell>
          <cell r="B32" t="str">
            <v>Cốp pha cột, vách tầng 1 trục X5-X8/Y5'-Y8</v>
          </cell>
          <cell r="C32" t="str">
            <v>CP-22</v>
          </cell>
          <cell r="D32" t="str">
            <v>15h00</v>
          </cell>
          <cell r="E32" t="str">
            <v>15h30</v>
          </cell>
          <cell r="F32">
            <v>14</v>
          </cell>
          <cell r="G32">
            <v>1</v>
          </cell>
          <cell r="H32">
            <v>2015</v>
          </cell>
          <cell r="I32" t="str">
            <v>Hà Nội, ngày 14 tháng 1 năm 2015</v>
          </cell>
          <cell r="J32" t="str">
            <v>15h00 ngày 14 tháng 1 năm 2015</v>
          </cell>
          <cell r="K32" t="str">
            <v>15h30 ngày 17 tháng 1 năm 2015</v>
          </cell>
          <cell r="L32" t="str">
            <v>15h30</v>
          </cell>
          <cell r="M32" t="str">
            <v>16h00</v>
          </cell>
          <cell r="N32">
            <v>17</v>
          </cell>
          <cell r="O32">
            <v>1</v>
          </cell>
          <cell r="P32">
            <v>2015</v>
          </cell>
          <cell r="Q32" t="str">
            <v>Hà Nội, ngày 17 tháng 1 năm 2015</v>
          </cell>
          <cell r="R32" t="str">
            <v>15h30 ngày 14 tháng 1 năm 2015</v>
          </cell>
          <cell r="S32" t="str">
            <v>16h00 ngày 17 tháng 1 năm 2015</v>
          </cell>
          <cell r="T32" t="str">
            <v>15h30</v>
          </cell>
          <cell r="U32" t="str">
            <v>15h30 Ngày 17/1/2015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KC-18; KC-21÷KC-26</v>
          </cell>
          <cell r="AQ32" t="str">
            <v>Ngày 17 Tháng 1 Năm 2015</v>
          </cell>
        </row>
        <row r="33">
          <cell r="A33" t="str">
            <v>CP-23</v>
          </cell>
          <cell r="B33" t="str">
            <v>Cốp pha cột, vách tầng 1 trục X1-X4/Y1-Y4</v>
          </cell>
          <cell r="C33" t="str">
            <v>CP-23</v>
          </cell>
          <cell r="D33" t="str">
            <v>15h15</v>
          </cell>
          <cell r="E33" t="str">
            <v>14h00</v>
          </cell>
          <cell r="F33">
            <v>17</v>
          </cell>
          <cell r="G33">
            <v>1</v>
          </cell>
          <cell r="H33">
            <v>2015</v>
          </cell>
          <cell r="I33" t="str">
            <v>Hà Nội, ngày 17 tháng 1 năm 2015</v>
          </cell>
          <cell r="J33" t="str">
            <v>15h15 ngày 17 tháng 1 năm 2015</v>
          </cell>
          <cell r="K33" t="str">
            <v>14h00 ngày 21 tháng 1 năm 2015</v>
          </cell>
          <cell r="L33" t="str">
            <v>15h45</v>
          </cell>
          <cell r="M33" t="str">
            <v>14h30</v>
          </cell>
          <cell r="N33">
            <v>21</v>
          </cell>
          <cell r="O33">
            <v>1</v>
          </cell>
          <cell r="P33">
            <v>2015</v>
          </cell>
          <cell r="Q33" t="str">
            <v>Hà Nội, ngày 21 tháng 1 năm 2015</v>
          </cell>
          <cell r="R33" t="str">
            <v>15h45 ngày 17 tháng 1 năm 2015</v>
          </cell>
          <cell r="S33" t="str">
            <v>14h30 ngày 21 tháng 1 năm 2015</v>
          </cell>
          <cell r="T33" t="str">
            <v>14h00</v>
          </cell>
          <cell r="U33" t="str">
            <v>14h00 Ngày 21/1/2015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KC-18; KC-21÷KC-26</v>
          </cell>
          <cell r="AQ33" t="str">
            <v>Ngày 21 Tháng 1 Năm 2015</v>
          </cell>
        </row>
        <row r="34">
          <cell r="A34" t="str">
            <v>CP-24</v>
          </cell>
          <cell r="B34" t="str">
            <v>Cốp pha cột, vách tầng 1 trục X1-X4'/Y5-Y8</v>
          </cell>
          <cell r="C34" t="str">
            <v>CP-24</v>
          </cell>
          <cell r="D34" t="str">
            <v>16h00</v>
          </cell>
          <cell r="E34" t="str">
            <v>15h30</v>
          </cell>
          <cell r="F34">
            <v>21</v>
          </cell>
          <cell r="G34">
            <v>1</v>
          </cell>
          <cell r="H34">
            <v>2015</v>
          </cell>
          <cell r="I34" t="str">
            <v>Hà Nội, ngày 21 tháng 1 năm 2015</v>
          </cell>
          <cell r="J34" t="str">
            <v>16h00 ngày 21 tháng 1 năm 2015</v>
          </cell>
          <cell r="K34" t="str">
            <v>15h30 ngày 23 tháng 1 năm 2015</v>
          </cell>
          <cell r="L34" t="str">
            <v>16h30</v>
          </cell>
          <cell r="M34" t="str">
            <v>16h00</v>
          </cell>
          <cell r="N34">
            <v>23</v>
          </cell>
          <cell r="O34">
            <v>1</v>
          </cell>
          <cell r="P34">
            <v>2015</v>
          </cell>
          <cell r="Q34" t="str">
            <v>Hà Nội, ngày 23 tháng 1 năm 2015</v>
          </cell>
          <cell r="R34" t="str">
            <v>16h30 ngày 21 tháng 1 năm 2015</v>
          </cell>
          <cell r="S34" t="str">
            <v>16h00 ngày 23 tháng 1 năm 2015</v>
          </cell>
          <cell r="T34" t="str">
            <v>15h30</v>
          </cell>
          <cell r="U34" t="str">
            <v>15h30 Ngày 23/1/2015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KC-18; KC-21÷KC-26</v>
          </cell>
          <cell r="AQ34" t="str">
            <v>Ngày 23 Tháng 1 Năm 2015</v>
          </cell>
        </row>
        <row r="35">
          <cell r="A35" t="str">
            <v>CP-25</v>
          </cell>
          <cell r="B35" t="str">
            <v>Cốp pha dầm, sàn, đường dốc tầng 2 (trục X5-X8/Y5'-Y8) và (trục X1-X5/Y5-Y8)</v>
          </cell>
          <cell r="C35" t="str">
            <v>CP-25</v>
          </cell>
          <cell r="D35" t="str">
            <v>13h15</v>
          </cell>
          <cell r="E35" t="str">
            <v>15h15</v>
          </cell>
          <cell r="F35">
            <v>30</v>
          </cell>
          <cell r="G35">
            <v>1</v>
          </cell>
          <cell r="H35">
            <v>2015</v>
          </cell>
          <cell r="I35" t="str">
            <v>Hà Nội, ngày 30 tháng 1 năm 2015</v>
          </cell>
          <cell r="J35" t="str">
            <v>13h15 ngày 30 tháng 1 năm 2015</v>
          </cell>
          <cell r="K35" t="str">
            <v>15h15 ngày 30 tháng 1 năm 2015</v>
          </cell>
          <cell r="L35" t="str">
            <v>15h15</v>
          </cell>
          <cell r="M35" t="str">
            <v>17h15</v>
          </cell>
          <cell r="N35">
            <v>30</v>
          </cell>
          <cell r="O35">
            <v>1</v>
          </cell>
          <cell r="P35">
            <v>2015</v>
          </cell>
          <cell r="Q35" t="str">
            <v>Hà Nội, ngày 30 tháng 1 năm 2015</v>
          </cell>
          <cell r="R35" t="str">
            <v>15h15 ngày 30 tháng 1 năm 2015</v>
          </cell>
          <cell r="S35" t="str">
            <v>17h15 ngày 30 tháng 1 năm 2015</v>
          </cell>
          <cell r="T35" t="str">
            <v>15h15</v>
          </cell>
          <cell r="U35" t="str">
            <v>15h15 Ngày 30/1/2015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KC-29÷KC-32;KC-50÷KC-51;KC-61</v>
          </cell>
          <cell r="AQ35" t="str">
            <v>Ngày 30 Tháng 1 Năm 2015</v>
          </cell>
        </row>
        <row r="36">
          <cell r="A36" t="str">
            <v>CP-26</v>
          </cell>
          <cell r="B36" t="str">
            <v>Cốp pha dầm, sàn, đường dốc tầng 2 trục X1-X4/Y1-Y5</v>
          </cell>
          <cell r="C36" t="str">
            <v>CP-26</v>
          </cell>
          <cell r="D36" t="str">
            <v>14h00</v>
          </cell>
          <cell r="E36" t="str">
            <v>15h30</v>
          </cell>
          <cell r="F36">
            <v>1</v>
          </cell>
          <cell r="G36">
            <v>2</v>
          </cell>
          <cell r="H36">
            <v>2015</v>
          </cell>
          <cell r="I36" t="str">
            <v>Hà Nội, ngày 1 tháng 2 năm 2015</v>
          </cell>
          <cell r="J36" t="str">
            <v>14h00 ngày 1 tháng 2 năm 2015</v>
          </cell>
          <cell r="K36" t="str">
            <v>15h30 ngày 1 tháng 2 năm 2015</v>
          </cell>
          <cell r="L36" t="str">
            <v>15h30</v>
          </cell>
          <cell r="M36" t="str">
            <v>17h30</v>
          </cell>
          <cell r="N36">
            <v>1</v>
          </cell>
          <cell r="O36">
            <v>2</v>
          </cell>
          <cell r="P36">
            <v>2015</v>
          </cell>
          <cell r="Q36" t="str">
            <v>Hà Nội, ngày 1 tháng 2 năm 2015</v>
          </cell>
          <cell r="R36" t="str">
            <v>15h30 ngày 1 tháng 2 năm 2015</v>
          </cell>
          <cell r="S36" t="str">
            <v>17h30 ngày 1 tháng 2 năm 2015</v>
          </cell>
          <cell r="T36" t="str">
            <v>15h30</v>
          </cell>
          <cell r="U36" t="str">
            <v>15h30 Ngày 1/2/2015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KC-29÷KC-32;KC-50÷KC-51;KC-61</v>
          </cell>
          <cell r="AQ36" t="str">
            <v>Ngày 1 Tháng 2 Năm 2015</v>
          </cell>
        </row>
        <row r="37">
          <cell r="A37" t="str">
            <v>CP-27</v>
          </cell>
          <cell r="B37" t="str">
            <v>Cốp pha cột, vách tầng 2 trục X5-X8/Y5'-Y8</v>
          </cell>
          <cell r="C37" t="str">
            <v>CP-27</v>
          </cell>
          <cell r="D37" t="str">
            <v>14h30</v>
          </cell>
          <cell r="E37" t="str">
            <v>16h00</v>
          </cell>
          <cell r="F37">
            <v>31</v>
          </cell>
          <cell r="G37">
            <v>1</v>
          </cell>
          <cell r="H37">
            <v>2015</v>
          </cell>
          <cell r="I37" t="str">
            <v>Hà Nội, ngày 31 tháng 1 năm 2015</v>
          </cell>
          <cell r="J37" t="str">
            <v>14h30 ngày 31 tháng 1 năm 2015</v>
          </cell>
          <cell r="K37" t="str">
            <v>16h00 ngày 1 tháng 2 năm 2015</v>
          </cell>
          <cell r="L37" t="str">
            <v>15h00</v>
          </cell>
          <cell r="M37" t="str">
            <v>16h30</v>
          </cell>
          <cell r="N37">
            <v>1</v>
          </cell>
          <cell r="O37">
            <v>2</v>
          </cell>
          <cell r="P37">
            <v>2015</v>
          </cell>
          <cell r="Q37" t="str">
            <v>Hà Nội, ngày 1 tháng 2 năm 2015</v>
          </cell>
          <cell r="R37" t="str">
            <v>15h00 ngày 31 tháng 1 năm 2015</v>
          </cell>
          <cell r="S37" t="str">
            <v>16h30 ngày 1 tháng 2 năm 2015</v>
          </cell>
          <cell r="T37" t="str">
            <v>16h00</v>
          </cell>
          <cell r="U37" t="str">
            <v>16h00 Ngày 1/2/2015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KC-19; KC-21÷KC-26</v>
          </cell>
          <cell r="AQ37" t="str">
            <v>Ngày 1 Tháng 2 Năm 2015</v>
          </cell>
        </row>
        <row r="38">
          <cell r="A38" t="str">
            <v>CP-28</v>
          </cell>
          <cell r="B38" t="str">
            <v>Cốp pha cột, vách tầng 2 trục X1-X4'/Y5-Y8</v>
          </cell>
          <cell r="C38" t="str">
            <v>CP-28</v>
          </cell>
          <cell r="D38" t="str">
            <v>15h00</v>
          </cell>
          <cell r="E38" t="str">
            <v>16h00</v>
          </cell>
          <cell r="F38">
            <v>1</v>
          </cell>
          <cell r="G38">
            <v>1</v>
          </cell>
          <cell r="H38">
            <v>2015</v>
          </cell>
          <cell r="I38" t="str">
            <v>Hà Nội, ngày 1 tháng 1 năm 2015</v>
          </cell>
          <cell r="J38" t="str">
            <v>15h00 ngày 1 tháng 1 năm 2015</v>
          </cell>
          <cell r="K38" t="str">
            <v>16h00 ngày 1 tháng 2 năm 2015</v>
          </cell>
          <cell r="L38" t="str">
            <v>16h00</v>
          </cell>
          <cell r="M38" t="str">
            <v>16h30</v>
          </cell>
          <cell r="N38">
            <v>1</v>
          </cell>
          <cell r="O38">
            <v>2</v>
          </cell>
          <cell r="P38">
            <v>2015</v>
          </cell>
          <cell r="Q38" t="str">
            <v>Hà Nội, ngày 1 tháng 2 năm 2015</v>
          </cell>
          <cell r="R38" t="str">
            <v>16h00 ngày 1 tháng 1 năm 2015</v>
          </cell>
          <cell r="S38" t="str">
            <v>16h30 ngày 1 tháng 2 năm 2015</v>
          </cell>
          <cell r="T38" t="str">
            <v>16h00</v>
          </cell>
          <cell r="U38" t="str">
            <v>16h00 Ngày 1/2/2015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KC-19; KC-21÷KC-26</v>
          </cell>
          <cell r="AQ38" t="str">
            <v>Ngày 1 Tháng 2 Năm 2015</v>
          </cell>
        </row>
        <row r="39">
          <cell r="A39" t="str">
            <v>CP-29</v>
          </cell>
          <cell r="B39" t="str">
            <v>Cốp pha cột, vách tầng 2 trục X1-X4/Y1-Y5</v>
          </cell>
          <cell r="C39" t="str">
            <v>CP-29</v>
          </cell>
          <cell r="D39" t="str">
            <v>14h45</v>
          </cell>
          <cell r="E39" t="str">
            <v>16h30</v>
          </cell>
          <cell r="F39">
            <v>1</v>
          </cell>
          <cell r="G39">
            <v>2</v>
          </cell>
          <cell r="H39">
            <v>2015</v>
          </cell>
          <cell r="I39" t="str">
            <v>Hà Nội, ngày 1 tháng 2 năm 2015</v>
          </cell>
          <cell r="J39" t="str">
            <v>14h45 ngày 1 tháng 2 năm 2015</v>
          </cell>
          <cell r="K39" t="str">
            <v>16h30 ngày 3 tháng 2 năm 2015</v>
          </cell>
          <cell r="L39" t="str">
            <v>15h30</v>
          </cell>
          <cell r="M39" t="str">
            <v>17h00</v>
          </cell>
          <cell r="N39">
            <v>3</v>
          </cell>
          <cell r="O39">
            <v>2</v>
          </cell>
          <cell r="P39">
            <v>2015</v>
          </cell>
          <cell r="Q39" t="str">
            <v>Hà Nội, ngày 3 tháng 2 năm 2015</v>
          </cell>
          <cell r="R39" t="str">
            <v>15h30 ngày 1 tháng 2 năm 2015</v>
          </cell>
          <cell r="S39" t="str">
            <v>17h00 ngày 3 tháng 2 năm 2015</v>
          </cell>
          <cell r="T39" t="str">
            <v>16h30</v>
          </cell>
          <cell r="U39" t="str">
            <v>16h30 Ngày 3/2/2015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KC-19; KC-21÷KC-26</v>
          </cell>
          <cell r="AQ39" t="str">
            <v>Ngày 3 Tháng 2 Năm 2015</v>
          </cell>
        </row>
        <row r="40">
          <cell r="A40" t="str">
            <v>CP-30</v>
          </cell>
          <cell r="B40" t="str">
            <v>Cốp pha dầm, sàn tầng 3 (trục X5-X8/Y5'-Y8) và (trục X1-X5/Y5-Y8)</v>
          </cell>
          <cell r="C40" t="str">
            <v>CP-30</v>
          </cell>
          <cell r="D40" t="str">
            <v>14h00</v>
          </cell>
          <cell r="E40" t="str">
            <v>15h30</v>
          </cell>
          <cell r="F40">
            <v>10</v>
          </cell>
          <cell r="G40">
            <v>2</v>
          </cell>
          <cell r="H40">
            <v>2015</v>
          </cell>
          <cell r="I40" t="str">
            <v>Hà Nội, ngày 10 tháng 2 năm 2015</v>
          </cell>
          <cell r="J40" t="str">
            <v>14h00 ngày 10 tháng 2 năm 2015</v>
          </cell>
          <cell r="K40" t="str">
            <v>15h30 ngày 10 tháng 2 năm 2015</v>
          </cell>
          <cell r="L40" t="str">
            <v>15h30</v>
          </cell>
          <cell r="M40" t="str">
            <v>17h00</v>
          </cell>
          <cell r="N40">
            <v>10</v>
          </cell>
          <cell r="O40">
            <v>2</v>
          </cell>
          <cell r="P40">
            <v>2015</v>
          </cell>
          <cell r="Q40" t="str">
            <v>Hà Nội, ngày 10 tháng 2 năm 2015</v>
          </cell>
          <cell r="R40" t="str">
            <v>15h30 ngày 10 tháng 2 năm 2015</v>
          </cell>
          <cell r="S40" t="str">
            <v>17h00 ngày 10 tháng 2 năm 2015</v>
          </cell>
          <cell r="T40" t="str">
            <v>15h30</v>
          </cell>
          <cell r="U40" t="str">
            <v>15h30 Ngày 10/2/2015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KC-35÷KC-38;KC-52÷KC-53</v>
          </cell>
          <cell r="AQ40" t="str">
            <v>Ngày 10 Tháng 2 Năm 2015</v>
          </cell>
        </row>
        <row r="41">
          <cell r="A41" t="str">
            <v>CP-31</v>
          </cell>
          <cell r="B41" t="str">
            <v>Cốp pha dầm, sàn tầng 3 trục X1-X4/Y1-Y5</v>
          </cell>
          <cell r="C41" t="str">
            <v>CP-31</v>
          </cell>
          <cell r="D41" t="str">
            <v>13h00</v>
          </cell>
          <cell r="E41" t="str">
            <v>15h00</v>
          </cell>
          <cell r="F41">
            <v>8</v>
          </cell>
          <cell r="G41">
            <v>2</v>
          </cell>
          <cell r="H41">
            <v>2015</v>
          </cell>
          <cell r="I41" t="str">
            <v>Hà Nội, ngày 8 tháng 2 năm 2015</v>
          </cell>
          <cell r="J41" t="str">
            <v>13h00 ngày 8 tháng 2 năm 2015</v>
          </cell>
          <cell r="K41" t="str">
            <v>15h00 ngày 12 tháng 2 năm 2015</v>
          </cell>
          <cell r="L41" t="str">
            <v>15h00</v>
          </cell>
          <cell r="M41" t="str">
            <v>16h30</v>
          </cell>
          <cell r="N41">
            <v>12</v>
          </cell>
          <cell r="O41">
            <v>2</v>
          </cell>
          <cell r="P41">
            <v>2015</v>
          </cell>
          <cell r="Q41" t="str">
            <v>Hà Nội, ngày 12 tháng 2 năm 2015</v>
          </cell>
          <cell r="R41" t="str">
            <v>15h00 ngày 8 tháng 2 năm 2015</v>
          </cell>
          <cell r="S41" t="str">
            <v>16h30 ngày 12 tháng 2 năm 2015</v>
          </cell>
          <cell r="T41" t="str">
            <v>15h00</v>
          </cell>
          <cell r="U41" t="str">
            <v>15h00 Ngày 12/2/2015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KC-35÷KC-38;KC-52÷KC-53</v>
          </cell>
          <cell r="AQ41" t="str">
            <v>Ngày 12 Tháng 2 Năm 2015</v>
          </cell>
        </row>
        <row r="42">
          <cell r="A42" t="str">
            <v>CP-32</v>
          </cell>
          <cell r="B42" t="str">
            <v>Cốp pha cột, vách tầng 3 trục X5-X8/Y5'-Y8</v>
          </cell>
          <cell r="C42" t="str">
            <v>CP-32</v>
          </cell>
          <cell r="D42" t="str">
            <v>14h00</v>
          </cell>
          <cell r="E42" t="str">
            <v>15h00</v>
          </cell>
          <cell r="F42">
            <v>11</v>
          </cell>
          <cell r="G42">
            <v>2</v>
          </cell>
          <cell r="H42">
            <v>2015</v>
          </cell>
          <cell r="I42" t="str">
            <v>Hà Nội, ngày 11 tháng 2 năm 2015</v>
          </cell>
          <cell r="J42" t="str">
            <v>14h00 ngày 11 tháng 2 năm 2015</v>
          </cell>
          <cell r="K42" t="str">
            <v>15h00 ngày 12 tháng 2 năm 2015</v>
          </cell>
          <cell r="L42" t="str">
            <v>14h30</v>
          </cell>
          <cell r="M42" t="str">
            <v>15h30</v>
          </cell>
          <cell r="N42">
            <v>12</v>
          </cell>
          <cell r="O42">
            <v>2</v>
          </cell>
          <cell r="P42">
            <v>2015</v>
          </cell>
          <cell r="Q42" t="str">
            <v>Hà Nội, ngày 12 tháng 2 năm 2015</v>
          </cell>
          <cell r="R42" t="str">
            <v>14h30 ngày 11 tháng 2 năm 2015</v>
          </cell>
          <cell r="S42" t="str">
            <v>15h30 ngày 12 tháng 2 năm 2015</v>
          </cell>
          <cell r="T42" t="str">
            <v>15h00</v>
          </cell>
          <cell r="U42" t="str">
            <v>15h00 Ngày 12/2/2015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KC-19;KC-21÷KC-26</v>
          </cell>
          <cell r="AQ42" t="str">
            <v>Ngày 12 Tháng 2 Năm 2015</v>
          </cell>
        </row>
        <row r="43">
          <cell r="A43" t="str">
            <v>CP-33</v>
          </cell>
          <cell r="B43" t="str">
            <v>Cốp pha cột, vách tầng 3 trục X1-X4'/Y5-Y8</v>
          </cell>
          <cell r="C43" t="str">
            <v>CP-33</v>
          </cell>
          <cell r="D43" t="str">
            <v>15h00</v>
          </cell>
          <cell r="E43" t="str">
            <v>15h30</v>
          </cell>
          <cell r="F43">
            <v>2</v>
          </cell>
          <cell r="G43">
            <v>3</v>
          </cell>
          <cell r="H43">
            <v>2015</v>
          </cell>
          <cell r="I43" t="str">
            <v>Hà Nội, ngày 2 tháng 3 năm 2015</v>
          </cell>
          <cell r="J43" t="str">
            <v>15h00 ngày 2 tháng 3 năm 2015</v>
          </cell>
          <cell r="K43" t="str">
            <v>15h30 ngày 5 tháng 3 năm 2015</v>
          </cell>
          <cell r="L43" t="str">
            <v>15h30</v>
          </cell>
          <cell r="M43" t="str">
            <v>16h00</v>
          </cell>
          <cell r="N43">
            <v>5</v>
          </cell>
          <cell r="O43">
            <v>3</v>
          </cell>
          <cell r="P43">
            <v>2015</v>
          </cell>
          <cell r="Q43" t="str">
            <v>Hà Nội, ngày 5 tháng 3 năm 2015</v>
          </cell>
          <cell r="R43" t="str">
            <v>15h30 ngày 2 tháng 3 năm 2015</v>
          </cell>
          <cell r="S43" t="str">
            <v>16h00 ngày 5 tháng 3 năm 2015</v>
          </cell>
          <cell r="T43" t="str">
            <v>15h30</v>
          </cell>
          <cell r="U43" t="str">
            <v>15h30 Ngày 5/3/2015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KC-19;KC-21÷KC-26</v>
          </cell>
          <cell r="AQ43" t="str">
            <v>Ngày 5 Tháng 3 Năm 2015</v>
          </cell>
        </row>
        <row r="44">
          <cell r="A44" t="str">
            <v>CP-34</v>
          </cell>
          <cell r="B44" t="str">
            <v>Cốp pha cột, vách tầng 3 trục X1-X4/Y1-Y5</v>
          </cell>
          <cell r="C44" t="str">
            <v>CP-34</v>
          </cell>
          <cell r="D44" t="str">
            <v>14h30</v>
          </cell>
          <cell r="E44" t="str">
            <v>16h00</v>
          </cell>
          <cell r="F44">
            <v>5</v>
          </cell>
          <cell r="G44">
            <v>3</v>
          </cell>
          <cell r="H44">
            <v>2015</v>
          </cell>
          <cell r="I44" t="str">
            <v>Hà Nội, ngày 5 tháng 3 năm 2015</v>
          </cell>
          <cell r="J44" t="str">
            <v>14h30 ngày 5 tháng 3 năm 2015</v>
          </cell>
          <cell r="K44" t="str">
            <v>16h00 ngày 7 tháng 3 năm 2015</v>
          </cell>
          <cell r="L44" t="str">
            <v>15h00</v>
          </cell>
          <cell r="M44" t="str">
            <v>16h30</v>
          </cell>
          <cell r="N44">
            <v>7</v>
          </cell>
          <cell r="O44">
            <v>3</v>
          </cell>
          <cell r="P44">
            <v>2015</v>
          </cell>
          <cell r="Q44" t="str">
            <v>Hà Nội, ngày 7 tháng 3 năm 2015</v>
          </cell>
          <cell r="R44" t="str">
            <v>15h00 ngày 5 tháng 3 năm 2015</v>
          </cell>
          <cell r="S44" t="str">
            <v>16h30 ngày 7 tháng 3 năm 2015</v>
          </cell>
          <cell r="T44" t="str">
            <v>16h00</v>
          </cell>
          <cell r="U44" t="str">
            <v>16h00 Ngày 7/3/2015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KC-19;KC-21÷KC-26</v>
          </cell>
          <cell r="AQ44" t="str">
            <v>Ngày 7 Tháng 3 Năm 2015</v>
          </cell>
        </row>
        <row r="45">
          <cell r="A45" t="str">
            <v>CP-35</v>
          </cell>
          <cell r="B45" t="str">
            <v xml:space="preserve">Cốp pha dầm, sàn tầng 4 </v>
          </cell>
          <cell r="C45" t="str">
            <v>CP-35</v>
          </cell>
          <cell r="D45" t="str">
            <v>8h00</v>
          </cell>
          <cell r="E45" t="str">
            <v>11h00</v>
          </cell>
          <cell r="F45">
            <v>3</v>
          </cell>
          <cell r="G45">
            <v>3</v>
          </cell>
          <cell r="H45">
            <v>2015</v>
          </cell>
          <cell r="I45" t="str">
            <v>Hà Nội, ngày 3 tháng 3 năm 2015</v>
          </cell>
          <cell r="J45" t="str">
            <v>8h00 ngày 3 tháng 3 năm 2015</v>
          </cell>
          <cell r="K45" t="str">
            <v>11h00 ngày 18 tháng 3 năm 2015</v>
          </cell>
          <cell r="L45" t="str">
            <v>11h00</v>
          </cell>
          <cell r="M45" t="str">
            <v>12h30</v>
          </cell>
          <cell r="N45">
            <v>18</v>
          </cell>
          <cell r="O45">
            <v>3</v>
          </cell>
          <cell r="P45">
            <v>2015</v>
          </cell>
          <cell r="Q45" t="str">
            <v>Hà Nội, ngày 18 tháng 3 năm 2015</v>
          </cell>
          <cell r="R45" t="str">
            <v>11h00 ngày 3 tháng 3 năm 2015</v>
          </cell>
          <cell r="S45" t="str">
            <v>12h30 ngày 18 tháng 3 năm 2015</v>
          </cell>
          <cell r="T45" t="str">
            <v>11h00</v>
          </cell>
          <cell r="U45" t="str">
            <v>11h00 Ngày 3/3/2015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KC-35÷KC-38;KC-54÷KC-55</v>
          </cell>
          <cell r="AQ45" t="str">
            <v>Ngày 3 Tháng 3 Năm 2015</v>
          </cell>
        </row>
        <row r="46">
          <cell r="A46" t="str">
            <v>CP-36</v>
          </cell>
          <cell r="B46" t="str">
            <v>Cốp pha cột, vách tầng 4</v>
          </cell>
          <cell r="C46" t="str">
            <v>CP-36</v>
          </cell>
          <cell r="D46" t="str">
            <v>9h00</v>
          </cell>
          <cell r="E46" t="str">
            <v>11h00</v>
          </cell>
          <cell r="F46">
            <v>20</v>
          </cell>
          <cell r="G46">
            <v>3</v>
          </cell>
          <cell r="H46">
            <v>2015</v>
          </cell>
          <cell r="I46" t="str">
            <v>Hà Nội, ngày 20 tháng 3 năm 2015</v>
          </cell>
          <cell r="J46" t="str">
            <v>9h00 ngày 20 tháng 3 năm 2015</v>
          </cell>
          <cell r="K46" t="str">
            <v>11h00 ngày 22 tháng 3 năm 2015</v>
          </cell>
          <cell r="L46" t="str">
            <v>9h30</v>
          </cell>
          <cell r="M46" t="str">
            <v>11h30</v>
          </cell>
          <cell r="N46">
            <v>22</v>
          </cell>
          <cell r="O46">
            <v>3</v>
          </cell>
          <cell r="P46">
            <v>2015</v>
          </cell>
          <cell r="Q46" t="str">
            <v>Hà Nội, ngày 22 tháng 3 năm 2015</v>
          </cell>
          <cell r="R46" t="str">
            <v>9h30 ngày 20 tháng 3 năm 2015</v>
          </cell>
          <cell r="S46" t="str">
            <v>11h30 ngày 22 tháng 3 năm 2015</v>
          </cell>
          <cell r="T46" t="str">
            <v>9h30</v>
          </cell>
          <cell r="U46" t="str">
            <v>9h30 Ngày 20/3/2015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KC-19;KC-21÷KC-26</v>
          </cell>
          <cell r="AQ46" t="str">
            <v>Ngày 20 Tháng 3 Năm 2015</v>
          </cell>
        </row>
        <row r="47">
          <cell r="A47" t="str">
            <v>CP-37</v>
          </cell>
          <cell r="B47" t="str">
            <v>Cốp pha dầm, sàn tầng 5</v>
          </cell>
          <cell r="C47" t="str">
            <v>CP-37</v>
          </cell>
          <cell r="D47" t="str">
            <v>15h00</v>
          </cell>
          <cell r="E47" t="str">
            <v>16h30</v>
          </cell>
          <cell r="F47">
            <v>31</v>
          </cell>
          <cell r="G47">
            <v>3</v>
          </cell>
          <cell r="H47">
            <v>2015</v>
          </cell>
          <cell r="I47" t="str">
            <v>Hà Nội, ngày 31 tháng 3 năm 2015</v>
          </cell>
          <cell r="J47" t="str">
            <v>15h00 ngày 31 tháng 3 năm 2015</v>
          </cell>
          <cell r="K47" t="str">
            <v>16h30 ngày 31 tháng 3 năm 2015</v>
          </cell>
          <cell r="L47" t="str">
            <v>16h00</v>
          </cell>
          <cell r="M47" t="str">
            <v>17h30</v>
          </cell>
          <cell r="N47">
            <v>31</v>
          </cell>
          <cell r="O47">
            <v>3</v>
          </cell>
          <cell r="P47">
            <v>2015</v>
          </cell>
          <cell r="Q47" t="str">
            <v>Hà Nội, ngày 31 tháng 3 năm 2015</v>
          </cell>
          <cell r="R47" t="str">
            <v>16h00 ngày 31 tháng 3 năm 2015</v>
          </cell>
          <cell r="S47" t="str">
            <v>17h30 ngày 31 tháng 3 năm 2015</v>
          </cell>
          <cell r="T47" t="str">
            <v>16h00</v>
          </cell>
          <cell r="U47" t="str">
            <v>16h00 Ngày 31/3/2015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t="str">
            <v>KC-35÷KC-38;KC-54÷KC-55</v>
          </cell>
          <cell r="AQ47" t="str">
            <v>Ngày 31 Tháng 3 Năm 2015</v>
          </cell>
        </row>
        <row r="48">
          <cell r="A48" t="str">
            <v>CP-38</v>
          </cell>
          <cell r="B48" t="str">
            <v>Cốp pha cột, vách tầng 5</v>
          </cell>
          <cell r="C48" t="str">
            <v>CP-38</v>
          </cell>
          <cell r="D48" t="str">
            <v>15h30</v>
          </cell>
          <cell r="E48" t="str">
            <v>9h00</v>
          </cell>
          <cell r="F48">
            <v>3</v>
          </cell>
          <cell r="G48">
            <v>4</v>
          </cell>
          <cell r="H48">
            <v>2015</v>
          </cell>
          <cell r="I48" t="str">
            <v>Hà Nội, ngày 3 tháng 4 năm 2015</v>
          </cell>
          <cell r="J48" t="str">
            <v>15h30 ngày 3 tháng 4 năm 2015</v>
          </cell>
          <cell r="K48" t="str">
            <v>9h00 ngày 6 tháng 4 năm 2015</v>
          </cell>
          <cell r="L48" t="str">
            <v>16h30</v>
          </cell>
          <cell r="M48" t="str">
            <v>10h00</v>
          </cell>
          <cell r="N48">
            <v>6</v>
          </cell>
          <cell r="O48">
            <v>4</v>
          </cell>
          <cell r="P48">
            <v>2015</v>
          </cell>
          <cell r="Q48" t="str">
            <v>Hà Nội, ngày 6 tháng 4 năm 2015</v>
          </cell>
          <cell r="R48" t="str">
            <v>16h30 ngày 3 tháng 4 năm 2015</v>
          </cell>
          <cell r="S48" t="str">
            <v>10h00 ngày 6 tháng 4 năm 2015</v>
          </cell>
          <cell r="T48" t="str">
            <v>16h30</v>
          </cell>
          <cell r="U48" t="str">
            <v>16h30 Ngày 3/4/2015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t="str">
            <v>KC-19;KC-21÷KC-26</v>
          </cell>
          <cell r="AQ48" t="str">
            <v>Ngày 3 Tháng 4 Năm 2015</v>
          </cell>
        </row>
        <row r="49">
          <cell r="A49" t="str">
            <v>CP-39</v>
          </cell>
          <cell r="B49" t="str">
            <v>Cốp pha dầm, sàn tầng 6 trục (X1÷X4/Y1÷Y5) và (X1÷X2/Y5÷Y8)</v>
          </cell>
          <cell r="C49" t="str">
            <v>CP-39</v>
          </cell>
          <cell r="D49" t="str">
            <v>16h00</v>
          </cell>
          <cell r="E49" t="str">
            <v>17h00</v>
          </cell>
          <cell r="F49">
            <v>13</v>
          </cell>
          <cell r="G49">
            <v>4</v>
          </cell>
          <cell r="H49">
            <v>2015</v>
          </cell>
          <cell r="I49" t="str">
            <v>Hà Nội, ngày 13 tháng 4 năm 2015</v>
          </cell>
          <cell r="J49" t="str">
            <v>16h00 ngày 13 tháng 4 năm 2015</v>
          </cell>
          <cell r="K49" t="str">
            <v>17h00 ngày 13 tháng 4 năm 2015</v>
          </cell>
          <cell r="L49" t="str">
            <v>17h00</v>
          </cell>
          <cell r="M49" t="str">
            <v>18h30</v>
          </cell>
          <cell r="N49">
            <v>13</v>
          </cell>
          <cell r="O49">
            <v>4</v>
          </cell>
          <cell r="P49">
            <v>2015</v>
          </cell>
          <cell r="Q49" t="str">
            <v>Hà Nội, ngày 13 tháng 4 năm 2015</v>
          </cell>
          <cell r="R49" t="str">
            <v>17h00 ngày 13 tháng 4 năm 2015</v>
          </cell>
          <cell r="S49" t="str">
            <v>18h30 ngày 13 tháng 4 năm 2015</v>
          </cell>
          <cell r="T49" t="str">
            <v>17h00</v>
          </cell>
          <cell r="U49" t="str">
            <v>17h00 Ngày 13/4/2015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t="str">
            <v>KC-35÷KC-38;KC-54÷KC-55</v>
          </cell>
          <cell r="AQ49" t="str">
            <v>Ngày 13 Tháng 4 Năm 2015</v>
          </cell>
        </row>
        <row r="50">
          <cell r="A50" t="str">
            <v>CP-40</v>
          </cell>
          <cell r="B50" t="str">
            <v>Cốp pha dầm, sàn tầng 6 trục (X2÷X4'/Y5÷Y8) và (X4'-X8/Y5'-Y8)</v>
          </cell>
          <cell r="C50" t="str">
            <v>CP-40</v>
          </cell>
          <cell r="D50" t="str">
            <v>15h30</v>
          </cell>
          <cell r="E50" t="str">
            <v>7h00</v>
          </cell>
          <cell r="F50">
            <v>14</v>
          </cell>
          <cell r="G50">
            <v>4</v>
          </cell>
          <cell r="H50">
            <v>2015</v>
          </cell>
          <cell r="I50" t="str">
            <v>Hà Nội, ngày 14 tháng 4 năm 2015</v>
          </cell>
          <cell r="J50" t="str">
            <v>15h30 ngày 14 tháng 4 năm 2015</v>
          </cell>
          <cell r="K50" t="str">
            <v>7h00 ngày 15 tháng 4 năm 2015</v>
          </cell>
          <cell r="L50" t="str">
            <v>16h30</v>
          </cell>
          <cell r="M50" t="str">
            <v>8h00</v>
          </cell>
          <cell r="N50">
            <v>15</v>
          </cell>
          <cell r="O50">
            <v>4</v>
          </cell>
          <cell r="P50">
            <v>2015</v>
          </cell>
          <cell r="Q50" t="str">
            <v>Hà Nội, ngày 15 tháng 4 năm 2015</v>
          </cell>
          <cell r="R50" t="str">
            <v>16h30 ngày 14 tháng 4 năm 2015</v>
          </cell>
          <cell r="S50" t="str">
            <v>8h00 ngày 15 tháng 4 năm 2015</v>
          </cell>
          <cell r="T50" t="str">
            <v>16h30</v>
          </cell>
          <cell r="U50" t="str">
            <v>16h30 Ngày 14/4/2015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N50" t="str">
            <v>KC-35÷KC-38;KC-54÷KC-56</v>
          </cell>
          <cell r="AQ50" t="str">
            <v>Ngày 14 Tháng 4 Năm 2015</v>
          </cell>
        </row>
        <row r="51">
          <cell r="A51" t="str">
            <v>CP-41</v>
          </cell>
          <cell r="B51" t="str">
            <v>Cốp pha cột, vách tầng 6</v>
          </cell>
          <cell r="C51" t="str">
            <v>CP-41</v>
          </cell>
          <cell r="D51" t="str">
            <v>9h30</v>
          </cell>
          <cell r="E51" t="str">
            <v>15h30</v>
          </cell>
          <cell r="F51">
            <v>16</v>
          </cell>
          <cell r="G51">
            <v>4</v>
          </cell>
          <cell r="H51">
            <v>2015</v>
          </cell>
          <cell r="I51" t="str">
            <v>Hà Nội, ngày 16 tháng 4 năm 2015</v>
          </cell>
          <cell r="J51" t="str">
            <v>9h30 ngày 16 tháng 4 năm 2015</v>
          </cell>
          <cell r="K51" t="str">
            <v>15h30 ngày 19 tháng 4 năm 2015</v>
          </cell>
          <cell r="L51" t="str">
            <v>10h30</v>
          </cell>
          <cell r="M51" t="str">
            <v>16h30</v>
          </cell>
          <cell r="N51">
            <v>19</v>
          </cell>
          <cell r="O51">
            <v>4</v>
          </cell>
          <cell r="P51">
            <v>2015</v>
          </cell>
          <cell r="Q51" t="str">
            <v>Hà Nội, ngày 19 tháng 4 năm 2015</v>
          </cell>
          <cell r="R51" t="str">
            <v>10h30 ngày 16 tháng 4 năm 2015</v>
          </cell>
          <cell r="S51" t="str">
            <v>16h30 ngày 19 tháng 4 năm 2015</v>
          </cell>
          <cell r="T51" t="str">
            <v>10h30</v>
          </cell>
          <cell r="U51" t="str">
            <v>10h30 Ngày 16/4/2015</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N51" t="str">
            <v>KC-19;KC-21÷KC-26</v>
          </cell>
          <cell r="AQ51" t="str">
            <v>Ngày 16 Tháng 4 Năm 2015</v>
          </cell>
        </row>
        <row r="52">
          <cell r="A52" t="str">
            <v>CP-42</v>
          </cell>
          <cell r="B52" t="str">
            <v>Cốp pha dầm, sàn tầng 7 trục (X1÷X4/Y1÷Y5) và (X1÷X2/Y5÷Y8)</v>
          </cell>
          <cell r="C52" t="str">
            <v>CP-42</v>
          </cell>
          <cell r="D52" t="str">
            <v>8h00</v>
          </cell>
          <cell r="E52" t="str">
            <v>9h30</v>
          </cell>
          <cell r="F52">
            <v>24</v>
          </cell>
          <cell r="G52">
            <v>4</v>
          </cell>
          <cell r="H52">
            <v>2015</v>
          </cell>
          <cell r="I52" t="str">
            <v>Hà Nội, ngày 24 tháng 4 năm 2015</v>
          </cell>
          <cell r="J52" t="str">
            <v>8h00 ngày 24 tháng 4 năm 2015</v>
          </cell>
          <cell r="K52" t="str">
            <v>9h30 ngày 24 tháng 4 năm 2015</v>
          </cell>
          <cell r="L52" t="str">
            <v>9h30</v>
          </cell>
          <cell r="M52" t="str">
            <v>11h00</v>
          </cell>
          <cell r="N52">
            <v>24</v>
          </cell>
          <cell r="O52">
            <v>4</v>
          </cell>
          <cell r="P52">
            <v>2015</v>
          </cell>
          <cell r="Q52" t="str">
            <v>Hà Nội, ngày 24 tháng 4 năm 2015</v>
          </cell>
          <cell r="R52" t="str">
            <v>9h30 ngày 24 tháng 4 năm 2015</v>
          </cell>
          <cell r="S52" t="str">
            <v>11h00 ngày 24 tháng 4 năm 2015</v>
          </cell>
          <cell r="T52" t="str">
            <v>9h30</v>
          </cell>
          <cell r="U52" t="str">
            <v>9h30 Ngày 24/4/2015</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N52" t="str">
            <v>KC-35÷KC-38;KC-54÷KC-55</v>
          </cell>
          <cell r="AQ52" t="str">
            <v>Ngày 24 Tháng 4 Năm 2015</v>
          </cell>
        </row>
        <row r="53">
          <cell r="A53" t="str">
            <v>CP-43</v>
          </cell>
          <cell r="B53" t="str">
            <v>Cốp pha dầm, sàn tầng 7 trục (X2÷X4'/Y5÷Y8) và (X4'-X8/Y5'-Y8)</v>
          </cell>
          <cell r="C53" t="str">
            <v>CP-43</v>
          </cell>
          <cell r="D53" t="str">
            <v>13h30</v>
          </cell>
          <cell r="E53" t="str">
            <v>15h00</v>
          </cell>
          <cell r="F53">
            <v>26</v>
          </cell>
          <cell r="G53">
            <v>4</v>
          </cell>
          <cell r="H53">
            <v>2015</v>
          </cell>
          <cell r="I53" t="str">
            <v>Hà Nội, ngày 26 tháng 4 năm 2015</v>
          </cell>
          <cell r="J53" t="str">
            <v>13h30 ngày 26 tháng 4 năm 2015</v>
          </cell>
          <cell r="K53" t="str">
            <v>15h00 ngày 26 tháng 4 năm 2015</v>
          </cell>
          <cell r="L53" t="str">
            <v>15h00</v>
          </cell>
          <cell r="M53" t="str">
            <v>16h30</v>
          </cell>
          <cell r="N53">
            <v>26</v>
          </cell>
          <cell r="O53">
            <v>4</v>
          </cell>
          <cell r="P53">
            <v>2015</v>
          </cell>
          <cell r="Q53" t="str">
            <v>Hà Nội, ngày 26 tháng 4 năm 2015</v>
          </cell>
          <cell r="R53" t="str">
            <v>15h00 ngày 26 tháng 4 năm 2015</v>
          </cell>
          <cell r="S53" t="str">
            <v>16h30 ngày 26 tháng 4 năm 2015</v>
          </cell>
          <cell r="T53" t="str">
            <v>15h00</v>
          </cell>
          <cell r="U53" t="str">
            <v>15h00 Ngày 26/4/2015</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v>
          </cell>
          <cell r="AH53" t="str">
            <v>Nguyễn Ái Việt</v>
          </cell>
          <cell r="AI53" t="str">
            <v>Chỉ huy trưởng</v>
          </cell>
          <cell r="AJ53" t="str">
            <v>Hoàng Chiến Thắng</v>
          </cell>
          <cell r="AK53" t="str">
            <v>P. Chỉ huy trưởng</v>
          </cell>
          <cell r="AL53" t="str">
            <v>Trịnh Quang Đức</v>
          </cell>
          <cell r="AM53" t="str">
            <v>Cán bộ kỹ thuật</v>
          </cell>
          <cell r="AN53" t="str">
            <v>KC-35÷KC-38;KC-54÷KC-55</v>
          </cell>
          <cell r="AQ53" t="str">
            <v>Ngày 26 Tháng 4 Năm 2015</v>
          </cell>
        </row>
        <row r="54">
          <cell r="A54" t="str">
            <v>CP-44</v>
          </cell>
          <cell r="B54" t="str">
            <v>Cốp pha cột, vách tầng 7</v>
          </cell>
          <cell r="C54" t="str">
            <v>CP-44</v>
          </cell>
          <cell r="D54" t="str">
            <v>10h00</v>
          </cell>
          <cell r="E54" t="str">
            <v>9h00</v>
          </cell>
          <cell r="F54">
            <v>26</v>
          </cell>
          <cell r="G54">
            <v>4</v>
          </cell>
          <cell r="H54">
            <v>2015</v>
          </cell>
          <cell r="I54" t="str">
            <v>Hà Nội, ngày 26 tháng 4 năm 2015</v>
          </cell>
          <cell r="J54" t="str">
            <v>10h00 ngày 26 tháng 4 năm 2015</v>
          </cell>
          <cell r="K54" t="str">
            <v>9h00 ngày 30 tháng 4 năm 2015</v>
          </cell>
          <cell r="L54" t="str">
            <v>10h45</v>
          </cell>
          <cell r="M54" t="str">
            <v>9h45</v>
          </cell>
          <cell r="N54">
            <v>30</v>
          </cell>
          <cell r="O54">
            <v>4</v>
          </cell>
          <cell r="P54">
            <v>2015</v>
          </cell>
          <cell r="Q54" t="str">
            <v>Hà Nội, ngày 30 tháng 4 năm 2015</v>
          </cell>
          <cell r="R54" t="str">
            <v>10h45 ngày 26 tháng 4 năm 2015</v>
          </cell>
          <cell r="S54" t="str">
            <v>9h45 ngày 30 tháng 4 năm 2015</v>
          </cell>
          <cell r="T54" t="str">
            <v>10h45</v>
          </cell>
          <cell r="U54" t="str">
            <v>10h45 Ngày 26/4/2015</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v>
          </cell>
          <cell r="AH54" t="str">
            <v>Nguyễn Ái Việt</v>
          </cell>
          <cell r="AI54" t="str">
            <v>Chỉ huy trưởng</v>
          </cell>
          <cell r="AJ54" t="str">
            <v>Hoàng Chiến Thắng</v>
          </cell>
          <cell r="AK54" t="str">
            <v>P. Chỉ huy trưởng</v>
          </cell>
          <cell r="AL54" t="str">
            <v>Trịnh Quang Đức</v>
          </cell>
          <cell r="AM54" t="str">
            <v>Cán bộ kỹ thuật</v>
          </cell>
          <cell r="AN54" t="str">
            <v>KC-19;KC-21÷KC-26</v>
          </cell>
          <cell r="AQ54" t="str">
            <v>Ngày 26 Tháng 4 Năm 2015</v>
          </cell>
        </row>
        <row r="55">
          <cell r="A55" t="str">
            <v>CP-45</v>
          </cell>
          <cell r="B55" t="str">
            <v>Cốp pha thang bộ TB tầng 1</v>
          </cell>
          <cell r="C55" t="str">
            <v>CP-45</v>
          </cell>
          <cell r="D55" t="str">
            <v>9h45</v>
          </cell>
          <cell r="E55" t="str">
            <v>10h30</v>
          </cell>
          <cell r="F55">
            <v>7</v>
          </cell>
          <cell r="G55">
            <v>5</v>
          </cell>
          <cell r="H55">
            <v>2015</v>
          </cell>
          <cell r="I55" t="str">
            <v>Hà Nội, ngày 7 tháng 5 năm 2015</v>
          </cell>
          <cell r="J55" t="str">
            <v>9h45 ngày 7 tháng 5 năm 2015</v>
          </cell>
          <cell r="K55" t="str">
            <v>10h30 ngày 7 tháng 5 năm 2015</v>
          </cell>
          <cell r="L55" t="str">
            <v>10h30</v>
          </cell>
          <cell r="M55" t="str">
            <v>11h15</v>
          </cell>
          <cell r="N55">
            <v>7</v>
          </cell>
          <cell r="O55">
            <v>5</v>
          </cell>
          <cell r="P55">
            <v>2015</v>
          </cell>
          <cell r="Q55" t="str">
            <v>Hà Nội, ngày 7 tháng 5 năm 2015</v>
          </cell>
          <cell r="R55" t="str">
            <v>10h30 ngày 7 tháng 5 năm 2015</v>
          </cell>
          <cell r="S55" t="str">
            <v>11h15 ngày 7 tháng 5 năm 2015</v>
          </cell>
          <cell r="T55" t="str">
            <v>10h30</v>
          </cell>
          <cell r="U55" t="str">
            <v>10h30 Ngày 7/5/2015</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v>
          </cell>
          <cell r="AH55" t="str">
            <v>Nguyễn Ái Việt</v>
          </cell>
          <cell r="AI55" t="str">
            <v>Chỉ huy trưởng</v>
          </cell>
          <cell r="AJ55" t="str">
            <v>Hoàng Chiến Thắng</v>
          </cell>
          <cell r="AK55" t="str">
            <v>P. Chỉ huy trưởng</v>
          </cell>
          <cell r="AL55" t="str">
            <v>Trịnh Quang Đức</v>
          </cell>
          <cell r="AM55" t="str">
            <v>Cán bộ kỹ thuật</v>
          </cell>
          <cell r="AN55" t="str">
            <v>KC-63</v>
          </cell>
          <cell r="AQ55" t="str">
            <v>Ngày 7 Tháng 5 Năm 2015</v>
          </cell>
        </row>
        <row r="56">
          <cell r="A56" t="str">
            <v>CP-46</v>
          </cell>
          <cell r="B56" t="str">
            <v>Cốp pha dầm, sàn tầng 8 trục (X1÷X4/Y1÷Y5) và (X1÷X2/Y5÷Y8)</v>
          </cell>
          <cell r="C56" t="str">
            <v>CP-46</v>
          </cell>
          <cell r="D56" t="str">
            <v>14h30</v>
          </cell>
          <cell r="E56" t="str">
            <v>16h00</v>
          </cell>
          <cell r="F56">
            <v>8</v>
          </cell>
          <cell r="G56">
            <v>5</v>
          </cell>
          <cell r="H56">
            <v>2015</v>
          </cell>
          <cell r="I56" t="str">
            <v>Hà Nội, ngày 8 tháng 5 năm 2015</v>
          </cell>
          <cell r="J56" t="str">
            <v>14h30 ngày 8 tháng 5 năm 2015</v>
          </cell>
          <cell r="K56" t="str">
            <v>16h00 ngày 8 tháng 5 năm 2015</v>
          </cell>
          <cell r="L56" t="str">
            <v>16h00</v>
          </cell>
          <cell r="M56" t="str">
            <v>17h30</v>
          </cell>
          <cell r="N56">
            <v>8</v>
          </cell>
          <cell r="O56">
            <v>5</v>
          </cell>
          <cell r="P56">
            <v>2015</v>
          </cell>
          <cell r="Q56" t="str">
            <v>Hà Nội, ngày 8 tháng 5 năm 2015</v>
          </cell>
          <cell r="R56" t="str">
            <v>16h00 ngày 8 tháng 5 năm 2015</v>
          </cell>
          <cell r="S56" t="str">
            <v>17h30 ngày 8 tháng 5 năm 2015</v>
          </cell>
          <cell r="T56" t="str">
            <v>16h00</v>
          </cell>
          <cell r="U56" t="str">
            <v>16h00 Ngày 8/5/2015</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v>
          </cell>
          <cell r="AH56" t="str">
            <v>Nguyễn Ái Việt</v>
          </cell>
          <cell r="AI56" t="str">
            <v>Chỉ huy trưởng</v>
          </cell>
          <cell r="AJ56" t="str">
            <v>Hoàng Chiến Thắng</v>
          </cell>
          <cell r="AK56" t="str">
            <v>P. Chỉ huy trưởng</v>
          </cell>
          <cell r="AL56" t="str">
            <v>Trịnh Quang Đức</v>
          </cell>
          <cell r="AM56" t="str">
            <v>Cán bộ kỹ thuật</v>
          </cell>
          <cell r="AN56" t="str">
            <v>KC-35÷KC-38;KC-54÷KC-55</v>
          </cell>
          <cell r="AQ56" t="str">
            <v>Ngày 8 Tháng 5 Năm 2015</v>
          </cell>
        </row>
        <row r="57">
          <cell r="A57" t="str">
            <v>CP-47</v>
          </cell>
          <cell r="B57" t="str">
            <v>Cốp pha dầm, sàn tầng 8 trục (X2÷X4'/Y5÷Y8) và (X4'-X8/Y5'-Y8)</v>
          </cell>
          <cell r="C57" t="str">
            <v>CP-47</v>
          </cell>
          <cell r="D57" t="str">
            <v>15h00</v>
          </cell>
          <cell r="E57" t="str">
            <v>16h00</v>
          </cell>
          <cell r="F57">
            <v>11</v>
          </cell>
          <cell r="G57">
            <v>5</v>
          </cell>
          <cell r="H57">
            <v>2015</v>
          </cell>
          <cell r="I57" t="str">
            <v>Hà Nội, ngày 11 tháng 5 năm 2015</v>
          </cell>
          <cell r="J57" t="str">
            <v>15h00 ngày 11 tháng 5 năm 2015</v>
          </cell>
          <cell r="K57" t="str">
            <v>16h00 ngày 11 tháng 5 năm 2015</v>
          </cell>
          <cell r="L57" t="str">
            <v>16h00</v>
          </cell>
          <cell r="M57" t="str">
            <v>17h15</v>
          </cell>
          <cell r="N57">
            <v>11</v>
          </cell>
          <cell r="O57">
            <v>5</v>
          </cell>
          <cell r="P57">
            <v>2015</v>
          </cell>
          <cell r="Q57" t="str">
            <v>Hà Nội, ngày 11 tháng 5 năm 2015</v>
          </cell>
          <cell r="R57" t="str">
            <v>16h00 ngày 11 tháng 5 năm 2015</v>
          </cell>
          <cell r="S57" t="str">
            <v>17h15 ngày 11 tháng 5 năm 2015</v>
          </cell>
          <cell r="T57" t="str">
            <v>16h00</v>
          </cell>
          <cell r="U57" t="str">
            <v>16h00 Ngày 11/5/2015</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N57" t="str">
            <v>KC-35÷KC-38;KC-54÷KC-55</v>
          </cell>
          <cell r="AQ57" t="str">
            <v>Ngày 11 Tháng 5 Năm 2015</v>
          </cell>
        </row>
        <row r="58">
          <cell r="A58" t="str">
            <v>CP-48</v>
          </cell>
          <cell r="B58" t="str">
            <v>Cốp pha cột, vách tầng 8</v>
          </cell>
          <cell r="C58" t="str">
            <v>CP-48</v>
          </cell>
          <cell r="D58" t="str">
            <v>13h30</v>
          </cell>
          <cell r="E58" t="str">
            <v>9h00</v>
          </cell>
          <cell r="F58">
            <v>10</v>
          </cell>
          <cell r="G58">
            <v>5</v>
          </cell>
          <cell r="H58">
            <v>2015</v>
          </cell>
          <cell r="I58" t="str">
            <v>Hà Nội, ngày 10 tháng 5 năm 2015</v>
          </cell>
          <cell r="J58" t="str">
            <v>13h30 ngày 10 tháng 5 năm 2015</v>
          </cell>
          <cell r="K58" t="str">
            <v>9h00 ngày 15 tháng 5 năm 2015</v>
          </cell>
          <cell r="L58" t="str">
            <v>14h30</v>
          </cell>
          <cell r="M58" t="str">
            <v>10h00</v>
          </cell>
          <cell r="N58">
            <v>15</v>
          </cell>
          <cell r="O58">
            <v>5</v>
          </cell>
          <cell r="P58">
            <v>2015</v>
          </cell>
          <cell r="Q58" t="str">
            <v>Hà Nội, ngày 15 tháng 5 năm 2015</v>
          </cell>
          <cell r="R58" t="str">
            <v>14h30 ngày 10 tháng 5 năm 2015</v>
          </cell>
          <cell r="S58" t="str">
            <v>10h00 ngày 15 tháng 5 năm 2015</v>
          </cell>
          <cell r="T58" t="str">
            <v>14h30</v>
          </cell>
          <cell r="U58" t="str">
            <v>14h30 Ngày 10/5/2015</v>
          </cell>
          <cell r="V58" t="str">
            <v>Nguyễn Ái Việt</v>
          </cell>
          <cell r="W58" t="str">
            <v>Chỉ huy trưởng</v>
          </cell>
          <cell r="X58" t="str">
            <v>................................</v>
          </cell>
          <cell r="Y58" t="str">
            <v>................................</v>
          </cell>
          <cell r="Z58" t="str">
            <v>Nguyễn Văn Nghiễm</v>
          </cell>
          <cell r="AA58" t="str">
            <v>Cán bộ KCS</v>
          </cell>
          <cell r="AB58" t="str">
            <v>Vương Toàn Hiếu</v>
          </cell>
          <cell r="AC58" t="str">
            <v>Trưởng đoàn TVGS</v>
          </cell>
          <cell r="AD58" t="str">
            <v>Lê Thiều Nam</v>
          </cell>
          <cell r="AE58" t="str">
            <v>Cán bộ TVGS</v>
          </cell>
          <cell r="AF58" t="str">
            <v>................................</v>
          </cell>
          <cell r="AG58" t="str">
            <v>................................</v>
          </cell>
          <cell r="AH58" t="str">
            <v>Nguyễn Ái Việt</v>
          </cell>
          <cell r="AI58" t="str">
            <v>Chỉ huy trưởng</v>
          </cell>
          <cell r="AJ58" t="str">
            <v>Hoàng Chiến Thắng</v>
          </cell>
          <cell r="AK58" t="str">
            <v>P. Chỉ huy trưởng</v>
          </cell>
          <cell r="AL58" t="str">
            <v>Trịnh Quang Đức</v>
          </cell>
          <cell r="AM58" t="str">
            <v>Cán bộ kỹ thuật</v>
          </cell>
          <cell r="AN58" t="str">
            <v>KC-19;KC-21÷KC-26</v>
          </cell>
          <cell r="AQ58" t="str">
            <v>Ngày 10 Tháng 5 Năm 2015</v>
          </cell>
        </row>
        <row r="59">
          <cell r="A59" t="str">
            <v>CP-49</v>
          </cell>
          <cell r="B59" t="str">
            <v>Cốp pha thang bộ LT tầng 1</v>
          </cell>
          <cell r="C59" t="str">
            <v>CP-49</v>
          </cell>
          <cell r="D59" t="str">
            <v>9h00</v>
          </cell>
          <cell r="E59" t="str">
            <v>9h30</v>
          </cell>
          <cell r="F59">
            <v>8</v>
          </cell>
          <cell r="G59">
            <v>3</v>
          </cell>
          <cell r="H59">
            <v>2015</v>
          </cell>
          <cell r="I59" t="str">
            <v>Hà Nội, ngày 8 tháng 3 năm 2015</v>
          </cell>
          <cell r="J59" t="str">
            <v>9h00 ngày 8 tháng 3 năm 2015</v>
          </cell>
          <cell r="K59" t="str">
            <v>9h30 ngày 8 tháng 3 năm 2015</v>
          </cell>
          <cell r="L59" t="str">
            <v>9h30</v>
          </cell>
          <cell r="M59" t="str">
            <v>10h00</v>
          </cell>
          <cell r="N59">
            <v>8</v>
          </cell>
          <cell r="O59">
            <v>3</v>
          </cell>
          <cell r="P59">
            <v>2015</v>
          </cell>
          <cell r="Q59" t="str">
            <v>Hà Nội, ngày 8 tháng 3 năm 2015</v>
          </cell>
          <cell r="R59" t="str">
            <v>9h30 ngày 8 tháng 3 năm 2015</v>
          </cell>
          <cell r="S59" t="str">
            <v>10h00 ngày 8 tháng 3 năm 2015</v>
          </cell>
          <cell r="T59" t="str">
            <v>9h30</v>
          </cell>
          <cell r="U59" t="str">
            <v>9h30 Ngày 8/3/2015</v>
          </cell>
          <cell r="V59" t="str">
            <v>Nguyễn Ái Việt</v>
          </cell>
          <cell r="W59" t="str">
            <v>Chỉ huy trưởng</v>
          </cell>
          <cell r="X59" t="str">
            <v>................................</v>
          </cell>
          <cell r="Y59" t="str">
            <v>................................</v>
          </cell>
          <cell r="Z59" t="str">
            <v>Nguyễn Văn Nghiễm</v>
          </cell>
          <cell r="AA59" t="str">
            <v>Cán bộ KCS</v>
          </cell>
          <cell r="AB59" t="str">
            <v>Vương Toàn Hiếu</v>
          </cell>
          <cell r="AC59" t="str">
            <v>Trưởng đoàn TVGS</v>
          </cell>
          <cell r="AD59" t="str">
            <v>Lê Thiều Nam</v>
          </cell>
          <cell r="AE59" t="str">
            <v>Cán bộ TVGS</v>
          </cell>
          <cell r="AF59" t="str">
            <v>................................</v>
          </cell>
          <cell r="AG59" t="str">
            <v>................................</v>
          </cell>
          <cell r="AH59" t="str">
            <v>Nguyễn Ái Việt</v>
          </cell>
          <cell r="AI59" t="str">
            <v>Chỉ huy trưởng</v>
          </cell>
          <cell r="AJ59" t="str">
            <v>Hoàng Chiến Thắng</v>
          </cell>
          <cell r="AK59" t="str">
            <v>P. Chỉ huy trưởng</v>
          </cell>
          <cell r="AL59" t="str">
            <v>Trịnh Quang Đức</v>
          </cell>
          <cell r="AM59" t="str">
            <v>Cán bộ kỹ thuật</v>
          </cell>
          <cell r="AN59" t="str">
            <v>KC-62</v>
          </cell>
          <cell r="AQ59" t="str">
            <v>Ngày 8 Tháng 3 Năm 2015</v>
          </cell>
        </row>
        <row r="60">
          <cell r="A60" t="str">
            <v>CP-50</v>
          </cell>
          <cell r="B60" t="str">
            <v>Cốp pha thang bộ LT tầng 2</v>
          </cell>
          <cell r="C60" t="str">
            <v>CP-50</v>
          </cell>
          <cell r="D60" t="str">
            <v>16h00</v>
          </cell>
          <cell r="E60" t="str">
            <v>16h30</v>
          </cell>
          <cell r="F60">
            <v>14</v>
          </cell>
          <cell r="G60">
            <v>4</v>
          </cell>
          <cell r="H60">
            <v>2015</v>
          </cell>
          <cell r="I60" t="str">
            <v>Hà Nội, ngày 14 tháng 4 năm 2015</v>
          </cell>
          <cell r="J60" t="str">
            <v>16h00 ngày 14 tháng 4 năm 2015</v>
          </cell>
          <cell r="K60" t="str">
            <v>16h30 ngày 14 tháng 4 năm 2015</v>
          </cell>
          <cell r="L60" t="str">
            <v>16h30</v>
          </cell>
          <cell r="M60" t="str">
            <v>17h00</v>
          </cell>
          <cell r="N60">
            <v>14</v>
          </cell>
          <cell r="O60">
            <v>4</v>
          </cell>
          <cell r="P60">
            <v>2015</v>
          </cell>
          <cell r="Q60" t="str">
            <v>Hà Nội, ngày 14 tháng 4 năm 2015</v>
          </cell>
          <cell r="R60" t="str">
            <v>16h30 ngày 14 tháng 4 năm 2015</v>
          </cell>
          <cell r="S60" t="str">
            <v>17h00 ngày 14 tháng 4 năm 2015</v>
          </cell>
          <cell r="T60" t="str">
            <v>16h30</v>
          </cell>
          <cell r="U60" t="str">
            <v>16h30 Ngày 14/4/2015</v>
          </cell>
          <cell r="V60" t="str">
            <v>Nguyễn Ái Việt</v>
          </cell>
          <cell r="W60" t="str">
            <v>Chỉ huy trưởng</v>
          </cell>
          <cell r="X60" t="str">
            <v>................................</v>
          </cell>
          <cell r="Y60" t="str">
            <v>................................</v>
          </cell>
          <cell r="Z60" t="str">
            <v>Nguyễn Văn Nghiễm</v>
          </cell>
          <cell r="AA60" t="str">
            <v>Cán bộ KCS</v>
          </cell>
          <cell r="AB60" t="str">
            <v>Vương Toàn Hiếu</v>
          </cell>
          <cell r="AC60" t="str">
            <v>Trưởng đoàn TVGS</v>
          </cell>
          <cell r="AD60" t="str">
            <v>Lê Thiều Nam</v>
          </cell>
          <cell r="AE60" t="str">
            <v>Cán bộ TVGS</v>
          </cell>
          <cell r="AF60" t="str">
            <v>................................</v>
          </cell>
          <cell r="AG60" t="str">
            <v>................................</v>
          </cell>
          <cell r="AH60" t="str">
            <v>Nguyễn Ái Việt</v>
          </cell>
          <cell r="AI60" t="str">
            <v>Chỉ huy trưởng</v>
          </cell>
          <cell r="AJ60" t="str">
            <v>Hoàng Chiến Thắng</v>
          </cell>
          <cell r="AK60" t="str">
            <v>P. Chỉ huy trưởng</v>
          </cell>
          <cell r="AL60" t="str">
            <v>Trịnh Quang Đức</v>
          </cell>
          <cell r="AM60" t="str">
            <v>Cán bộ kỹ thuật</v>
          </cell>
          <cell r="AN60" t="str">
            <v>KC-62</v>
          </cell>
          <cell r="AQ60" t="str">
            <v>Ngày 14 Tháng 4 Năm 2015</v>
          </cell>
        </row>
        <row r="61">
          <cell r="A61" t="str">
            <v>CP-51</v>
          </cell>
          <cell r="B61" t="str">
            <v>Cốp pha thang bộ LT tầng 3</v>
          </cell>
          <cell r="C61" t="str">
            <v>CP-51</v>
          </cell>
          <cell r="D61" t="str">
            <v>8h00</v>
          </cell>
          <cell r="E61" t="str">
            <v>8h30</v>
          </cell>
          <cell r="F61">
            <v>15</v>
          </cell>
          <cell r="G61">
            <v>5</v>
          </cell>
          <cell r="H61">
            <v>2015</v>
          </cell>
          <cell r="I61" t="str">
            <v>Hà Nội, ngày 15 tháng 5 năm 2015</v>
          </cell>
          <cell r="J61" t="str">
            <v>8h00 ngày 15 tháng 5 năm 2015</v>
          </cell>
          <cell r="K61" t="str">
            <v>8h30 ngày 15 tháng 5 năm 2015</v>
          </cell>
          <cell r="L61" t="str">
            <v>8h30</v>
          </cell>
          <cell r="M61" t="str">
            <v>9h00</v>
          </cell>
          <cell r="N61">
            <v>15</v>
          </cell>
          <cell r="O61">
            <v>5</v>
          </cell>
          <cell r="P61">
            <v>2015</v>
          </cell>
          <cell r="Q61" t="str">
            <v>Hà Nội, ngày 15 tháng 5 năm 2015</v>
          </cell>
          <cell r="R61" t="str">
            <v>8h30 ngày 15 tháng 5 năm 2015</v>
          </cell>
          <cell r="S61" t="str">
            <v>9h00 ngày 15 tháng 5 năm 2015</v>
          </cell>
          <cell r="T61" t="str">
            <v>8h30</v>
          </cell>
          <cell r="U61" t="str">
            <v>8h30 Ngày 15/5/2015</v>
          </cell>
          <cell r="V61" t="str">
            <v>Nguyễn Ái Việt</v>
          </cell>
          <cell r="W61" t="str">
            <v>Chỉ huy trưởng</v>
          </cell>
          <cell r="X61" t="str">
            <v>................................</v>
          </cell>
          <cell r="Y61" t="str">
            <v>................................</v>
          </cell>
          <cell r="Z61" t="str">
            <v>Nguyễn Văn Nghiễm</v>
          </cell>
          <cell r="AA61" t="str">
            <v>Cán bộ KCS</v>
          </cell>
          <cell r="AB61" t="str">
            <v>Vương Toàn Hiếu</v>
          </cell>
          <cell r="AC61" t="str">
            <v>Trưởng đoàn TVGS</v>
          </cell>
          <cell r="AD61" t="str">
            <v>Lê Thiều Nam</v>
          </cell>
          <cell r="AE61" t="str">
            <v>Cán bộ TVGS</v>
          </cell>
          <cell r="AF61" t="str">
            <v>................................</v>
          </cell>
          <cell r="AG61" t="str">
            <v>................................</v>
          </cell>
          <cell r="AH61" t="str">
            <v>Nguyễn Ái Việt</v>
          </cell>
          <cell r="AI61" t="str">
            <v>Chỉ huy trưởng</v>
          </cell>
          <cell r="AJ61" t="str">
            <v>Hoàng Chiến Thắng</v>
          </cell>
          <cell r="AK61" t="str">
            <v>P. Chỉ huy trưởng</v>
          </cell>
          <cell r="AL61" t="str">
            <v>Trịnh Quang Đức</v>
          </cell>
          <cell r="AM61" t="str">
            <v>Cán bộ kỹ thuật</v>
          </cell>
          <cell r="AN61" t="str">
            <v>KC-62</v>
          </cell>
          <cell r="AQ61" t="str">
            <v>Ngày 15 Tháng 5 Năm 2015</v>
          </cell>
        </row>
        <row r="62">
          <cell r="A62" t="str">
            <v>CP-52</v>
          </cell>
          <cell r="B62" t="str">
            <v>Cốp pha dầm, sàn tầng 9 trục (X1÷X4/Y1÷Y5) và (X1÷X2/Y5÷Y8)</v>
          </cell>
          <cell r="C62" t="str">
            <v>CP-52</v>
          </cell>
          <cell r="D62" t="str">
            <v>13h30</v>
          </cell>
          <cell r="E62" t="str">
            <v>14h30</v>
          </cell>
          <cell r="F62">
            <v>19</v>
          </cell>
          <cell r="G62">
            <v>5</v>
          </cell>
          <cell r="H62">
            <v>2015</v>
          </cell>
          <cell r="I62" t="str">
            <v>Hà Nội, ngày 19 tháng 5 năm 2015</v>
          </cell>
          <cell r="J62" t="str">
            <v>13h30 ngày 19 tháng 5 năm 2015</v>
          </cell>
          <cell r="K62" t="str">
            <v>14h30 ngày 19 tháng 5 năm 2015</v>
          </cell>
          <cell r="L62" t="str">
            <v>14h30</v>
          </cell>
          <cell r="M62" t="str">
            <v>15h30</v>
          </cell>
          <cell r="N62">
            <v>19</v>
          </cell>
          <cell r="O62">
            <v>5</v>
          </cell>
          <cell r="P62">
            <v>2015</v>
          </cell>
          <cell r="Q62" t="str">
            <v>Hà Nội, ngày 19 tháng 5 năm 2015</v>
          </cell>
          <cell r="R62" t="str">
            <v>14h30 ngày 19 tháng 5 năm 2015</v>
          </cell>
          <cell r="S62" t="str">
            <v>15h30 ngày 19 tháng 5 năm 2015</v>
          </cell>
          <cell r="T62" t="str">
            <v>14h30</v>
          </cell>
          <cell r="U62" t="str">
            <v>14h30 Ngày 19/5/2015</v>
          </cell>
          <cell r="V62" t="str">
            <v>Nguyễn Ái Việt</v>
          </cell>
          <cell r="W62" t="str">
            <v>Chỉ huy trưởng</v>
          </cell>
          <cell r="X62" t="str">
            <v>................................</v>
          </cell>
          <cell r="Y62" t="str">
            <v>................................</v>
          </cell>
          <cell r="Z62" t="str">
            <v>Nguyễn Văn Nghiễm</v>
          </cell>
          <cell r="AA62" t="str">
            <v>Cán bộ KCS</v>
          </cell>
          <cell r="AB62" t="str">
            <v>Vương Toàn Hiếu</v>
          </cell>
          <cell r="AC62" t="str">
            <v>Trưởng đoàn TVGS</v>
          </cell>
          <cell r="AD62" t="str">
            <v>Lê Thiều Nam</v>
          </cell>
          <cell r="AE62" t="str">
            <v>Cán bộ TVGS</v>
          </cell>
          <cell r="AF62" t="str">
            <v>................................</v>
          </cell>
          <cell r="AG62" t="str">
            <v>................................</v>
          </cell>
          <cell r="AH62" t="str">
            <v>Nguyễn Ái Việt</v>
          </cell>
          <cell r="AI62" t="str">
            <v>Chỉ huy trưởng</v>
          </cell>
          <cell r="AJ62" t="str">
            <v>Hoàng Chiến Thắng</v>
          </cell>
          <cell r="AK62" t="str">
            <v>P. Chỉ huy trưởng</v>
          </cell>
          <cell r="AL62" t="str">
            <v>Trịnh Quang Đức</v>
          </cell>
          <cell r="AM62" t="str">
            <v>Cán bộ kỹ thuật</v>
          </cell>
          <cell r="AN62" t="str">
            <v>KC-35÷KC-38;KC-54÷KC-55</v>
          </cell>
          <cell r="AQ62" t="str">
            <v>Ngày 19 Tháng 5 Năm 2015</v>
          </cell>
        </row>
        <row r="63">
          <cell r="A63" t="str">
            <v>CP-53</v>
          </cell>
          <cell r="B63" t="str">
            <v>Cốp pha dầm, sàn tầng 9 trục (X2÷X4'/Y5÷Y8) và (X4'-X8/Y5'-Y8)</v>
          </cell>
          <cell r="C63" t="str">
            <v>CP-53</v>
          </cell>
          <cell r="D63" t="str">
            <v>15h00</v>
          </cell>
          <cell r="E63" t="str">
            <v>16h00</v>
          </cell>
          <cell r="F63">
            <v>24</v>
          </cell>
          <cell r="G63">
            <v>5</v>
          </cell>
          <cell r="H63">
            <v>2015</v>
          </cell>
          <cell r="I63" t="str">
            <v>Hà Nội, ngày 24 tháng 5 năm 2015</v>
          </cell>
          <cell r="J63" t="str">
            <v>15h00 ngày 24 tháng 5 năm 2015</v>
          </cell>
          <cell r="K63" t="str">
            <v>16h00 ngày 24 tháng 5 năm 2015</v>
          </cell>
          <cell r="L63" t="str">
            <v>16h00</v>
          </cell>
          <cell r="M63" t="str">
            <v>17h00</v>
          </cell>
          <cell r="N63">
            <v>24</v>
          </cell>
          <cell r="O63">
            <v>5</v>
          </cell>
          <cell r="P63">
            <v>2015</v>
          </cell>
          <cell r="Q63" t="str">
            <v>Hà Nội, ngày 24 tháng 5 năm 2015</v>
          </cell>
          <cell r="R63" t="str">
            <v>16h00 ngày 24 tháng 5 năm 2015</v>
          </cell>
          <cell r="S63" t="str">
            <v>17h00 ngày 24 tháng 5 năm 2015</v>
          </cell>
          <cell r="T63" t="str">
            <v>16h00</v>
          </cell>
          <cell r="U63" t="str">
            <v>16h00 Ngày 24/5/2015</v>
          </cell>
          <cell r="V63" t="str">
            <v>Nguyễn Ái Việt</v>
          </cell>
          <cell r="W63" t="str">
            <v>Chỉ huy trưởng</v>
          </cell>
          <cell r="X63" t="str">
            <v>................................</v>
          </cell>
          <cell r="Y63" t="str">
            <v>................................</v>
          </cell>
          <cell r="Z63" t="str">
            <v>Nguyễn Văn Nghiễm</v>
          </cell>
          <cell r="AA63" t="str">
            <v>Cán bộ KCS</v>
          </cell>
          <cell r="AB63" t="str">
            <v>Vương Toàn Hiếu</v>
          </cell>
          <cell r="AC63" t="str">
            <v>Trưởng đoàn TVGS</v>
          </cell>
          <cell r="AD63" t="str">
            <v>Lê Thiều Nam</v>
          </cell>
          <cell r="AE63" t="str">
            <v>Cán bộ TVGS</v>
          </cell>
          <cell r="AF63" t="str">
            <v>................................</v>
          </cell>
          <cell r="AG63" t="str">
            <v>................................</v>
          </cell>
          <cell r="AH63" t="str">
            <v>Nguyễn Ái Việt</v>
          </cell>
          <cell r="AI63" t="str">
            <v>Chỉ huy trưởng</v>
          </cell>
          <cell r="AJ63" t="str">
            <v>Hoàng Chiến Thắng</v>
          </cell>
          <cell r="AK63" t="str">
            <v>P. Chỉ huy trưởng</v>
          </cell>
          <cell r="AL63" t="str">
            <v>Trịnh Quang Đức</v>
          </cell>
          <cell r="AM63" t="str">
            <v>Cán bộ kỹ thuật</v>
          </cell>
          <cell r="AN63" t="str">
            <v>KC-35÷KC-38;KC-54÷KC-55</v>
          </cell>
          <cell r="AQ63" t="str">
            <v>Ngày 24 Tháng 5 Năm 2015</v>
          </cell>
        </row>
        <row r="64">
          <cell r="A64" t="str">
            <v>CP-54</v>
          </cell>
          <cell r="B64" t="str">
            <v>Cốp pha thang bộ TB tầng 3 và tầng 4 trục X8+2,55m/Y5'÷Y6'</v>
          </cell>
          <cell r="C64" t="str">
            <v>CP-54</v>
          </cell>
          <cell r="D64" t="str">
            <v>13h30</v>
          </cell>
          <cell r="E64" t="str">
            <v>14h30</v>
          </cell>
          <cell r="F64">
            <v>26</v>
          </cell>
          <cell r="G64">
            <v>5</v>
          </cell>
          <cell r="H64">
            <v>2015</v>
          </cell>
          <cell r="I64" t="str">
            <v>Hà Nội, ngày 26 tháng 5 năm 2015</v>
          </cell>
          <cell r="J64" t="str">
            <v>13h30 ngày 26 tháng 5 năm 2015</v>
          </cell>
          <cell r="K64" t="str">
            <v>14h30 ngày 26 tháng 5 năm 2015</v>
          </cell>
          <cell r="L64" t="str">
            <v>14h30</v>
          </cell>
          <cell r="M64" t="str">
            <v>15h30</v>
          </cell>
          <cell r="N64">
            <v>26</v>
          </cell>
          <cell r="O64">
            <v>5</v>
          </cell>
          <cell r="P64">
            <v>2015</v>
          </cell>
          <cell r="Q64" t="str">
            <v>Hà Nội, ngày 26 tháng 5 năm 2015</v>
          </cell>
          <cell r="R64" t="str">
            <v>14h30 ngày 26 tháng 5 năm 2015</v>
          </cell>
          <cell r="S64" t="str">
            <v>15h30 ngày 26 tháng 5 năm 2015</v>
          </cell>
          <cell r="T64" t="str">
            <v>14h30</v>
          </cell>
          <cell r="U64" t="str">
            <v>14h30 Ngày 26/5/2015</v>
          </cell>
          <cell r="V64" t="str">
            <v>Nguyễn Ái Việt</v>
          </cell>
          <cell r="W64" t="str">
            <v>Chỉ huy trưởng</v>
          </cell>
          <cell r="X64" t="str">
            <v>................................</v>
          </cell>
          <cell r="Y64" t="str">
            <v>................................</v>
          </cell>
          <cell r="Z64" t="str">
            <v>Nguyễn Văn Nghiễm</v>
          </cell>
          <cell r="AA64" t="str">
            <v>Cán bộ KCS</v>
          </cell>
          <cell r="AB64" t="str">
            <v>Vương Toàn Hiếu</v>
          </cell>
          <cell r="AC64" t="str">
            <v>Trưởng đoàn TVGS</v>
          </cell>
          <cell r="AD64" t="str">
            <v>Lê Thiều Nam</v>
          </cell>
          <cell r="AE64" t="str">
            <v>Cán bộ TVGS</v>
          </cell>
          <cell r="AF64" t="str">
            <v>................................</v>
          </cell>
          <cell r="AG64" t="str">
            <v>................................</v>
          </cell>
          <cell r="AH64" t="str">
            <v>Nguyễn Ái Việt</v>
          </cell>
          <cell r="AI64" t="str">
            <v>Chỉ huy trưởng</v>
          </cell>
          <cell r="AJ64" t="str">
            <v>Hoàng Chiến Thắng</v>
          </cell>
          <cell r="AK64" t="str">
            <v>P. Chỉ huy trưởng</v>
          </cell>
          <cell r="AL64" t="str">
            <v>Trịnh Quang Đức</v>
          </cell>
          <cell r="AM64" t="str">
            <v>Cán bộ kỹ thuật</v>
          </cell>
          <cell r="AN64" t="str">
            <v>KC-63</v>
          </cell>
          <cell r="AQ64" t="str">
            <v>Ngày 26 Tháng 5 Năm 2015</v>
          </cell>
        </row>
        <row r="65">
          <cell r="A65" t="str">
            <v>CP-55</v>
          </cell>
          <cell r="B65" t="str">
            <v>Cốp pha cột, vách tầng 9</v>
          </cell>
          <cell r="C65" t="str">
            <v>CP-55</v>
          </cell>
          <cell r="D65" t="str">
            <v>9h00</v>
          </cell>
          <cell r="E65" t="str">
            <v>15h00</v>
          </cell>
          <cell r="F65">
            <v>21</v>
          </cell>
          <cell r="G65">
            <v>5</v>
          </cell>
          <cell r="H65">
            <v>2015</v>
          </cell>
          <cell r="I65" t="str">
            <v>Hà Nội, ngày 21 tháng 5 năm 2015</v>
          </cell>
          <cell r="J65" t="str">
            <v>9h00 ngày 21 tháng 5 năm 2015</v>
          </cell>
          <cell r="K65" t="str">
            <v>15h00 ngày 28 tháng 5 năm 2015</v>
          </cell>
          <cell r="L65" t="str">
            <v>9h45</v>
          </cell>
          <cell r="M65" t="str">
            <v>16h00</v>
          </cell>
          <cell r="N65">
            <v>28</v>
          </cell>
          <cell r="O65">
            <v>5</v>
          </cell>
          <cell r="P65">
            <v>2015</v>
          </cell>
          <cell r="Q65" t="str">
            <v>Hà Nội, ngày 28 tháng 5 năm 2015</v>
          </cell>
          <cell r="R65" t="str">
            <v>9h45 ngày 21 tháng 5 năm 2015</v>
          </cell>
          <cell r="S65" t="str">
            <v>16h00 ngày 28 tháng 5 năm 2015</v>
          </cell>
          <cell r="T65" t="str">
            <v>9h45</v>
          </cell>
          <cell r="U65" t="str">
            <v>9h45 Ngày 21/5/2015</v>
          </cell>
          <cell r="V65" t="str">
            <v>Nguyễn Ái Việt</v>
          </cell>
          <cell r="W65" t="str">
            <v>Chỉ huy trưởng</v>
          </cell>
          <cell r="X65" t="str">
            <v>................................</v>
          </cell>
          <cell r="Y65" t="str">
            <v>................................</v>
          </cell>
          <cell r="Z65" t="str">
            <v>Nguyễn Văn Nghiễm</v>
          </cell>
          <cell r="AA65" t="str">
            <v>Cán bộ KCS</v>
          </cell>
          <cell r="AB65" t="str">
            <v>Vương Toàn Hiếu</v>
          </cell>
          <cell r="AC65" t="str">
            <v>Trưởng đoàn TVGS</v>
          </cell>
          <cell r="AD65" t="str">
            <v>Lê Thiều Nam</v>
          </cell>
          <cell r="AE65" t="str">
            <v>Cán bộ TVGS</v>
          </cell>
          <cell r="AF65" t="str">
            <v>................................</v>
          </cell>
          <cell r="AG65" t="str">
            <v>................................</v>
          </cell>
          <cell r="AH65" t="str">
            <v>Nguyễn Ái Việt</v>
          </cell>
          <cell r="AI65" t="str">
            <v>Chỉ huy trưởng</v>
          </cell>
          <cell r="AJ65" t="str">
            <v>Hoàng Chiến Thắng</v>
          </cell>
          <cell r="AK65" t="str">
            <v>P. Chỉ huy trưởng</v>
          </cell>
          <cell r="AL65" t="str">
            <v>Trịnh Quang Đức</v>
          </cell>
          <cell r="AM65" t="str">
            <v>Cán bộ kỹ thuật</v>
          </cell>
          <cell r="AN65" t="str">
            <v>KC-19;KC-21÷KC-26</v>
          </cell>
          <cell r="AQ65" t="str">
            <v>Ngày 21 Tháng 5 Năm 2015</v>
          </cell>
        </row>
        <row r="66">
          <cell r="A66" t="str">
            <v>CP-56</v>
          </cell>
          <cell r="B66" t="str">
            <v>Cốp pha dầm, sàn tầng 10 trục (X1÷X4/Y1÷Y5) và (X1÷X2/Y5÷Y8)</v>
          </cell>
          <cell r="C66" t="str">
            <v>CP-56</v>
          </cell>
          <cell r="D66" t="str">
            <v>16h00</v>
          </cell>
          <cell r="E66" t="str">
            <v>17h00</v>
          </cell>
          <cell r="F66">
            <v>31</v>
          </cell>
          <cell r="G66">
            <v>5</v>
          </cell>
          <cell r="H66">
            <v>2015</v>
          </cell>
          <cell r="I66" t="str">
            <v>Hà Nội, ngày 31 tháng 5 năm 2015</v>
          </cell>
          <cell r="J66" t="str">
            <v>16h00 ngày 31 tháng 5 năm 2015</v>
          </cell>
          <cell r="K66" t="str">
            <v>17h00 ngày 31 tháng 5 năm 2015</v>
          </cell>
          <cell r="L66" t="str">
            <v>17h00</v>
          </cell>
          <cell r="M66" t="str">
            <v>18h00</v>
          </cell>
          <cell r="N66">
            <v>31</v>
          </cell>
          <cell r="O66">
            <v>5</v>
          </cell>
          <cell r="P66">
            <v>2015</v>
          </cell>
          <cell r="Q66" t="str">
            <v>Hà Nội, ngày 31 tháng 5 năm 2015</v>
          </cell>
          <cell r="R66" t="str">
            <v>17h00 ngày 31 tháng 5 năm 2015</v>
          </cell>
          <cell r="S66" t="str">
            <v>18h00 ngày 31 tháng 5 năm 2015</v>
          </cell>
          <cell r="T66" t="str">
            <v>17h00</v>
          </cell>
          <cell r="U66" t="str">
            <v>17h00 Ngày 31/5/2015</v>
          </cell>
          <cell r="V66" t="str">
            <v>Nguyễn Ái Việt</v>
          </cell>
          <cell r="W66" t="str">
            <v>Chỉ huy trưởng</v>
          </cell>
          <cell r="X66" t="str">
            <v>................................</v>
          </cell>
          <cell r="Y66" t="str">
            <v>................................</v>
          </cell>
          <cell r="Z66" t="str">
            <v>Nguyễn Văn Nghiễm</v>
          </cell>
          <cell r="AA66" t="str">
            <v>Cán bộ KCS</v>
          </cell>
          <cell r="AB66" t="str">
            <v>Vương Toàn Hiếu</v>
          </cell>
          <cell r="AC66" t="str">
            <v>Trưởng đoàn TVGS</v>
          </cell>
          <cell r="AD66" t="str">
            <v>Lê Thiều Nam</v>
          </cell>
          <cell r="AE66" t="str">
            <v>Cán bộ TVGS</v>
          </cell>
          <cell r="AF66" t="str">
            <v>................................</v>
          </cell>
          <cell r="AG66" t="str">
            <v>................................</v>
          </cell>
          <cell r="AH66" t="str">
            <v>Nguyễn Ái Việt</v>
          </cell>
          <cell r="AI66" t="str">
            <v>Chỉ huy trưởng</v>
          </cell>
          <cell r="AJ66" t="str">
            <v>Hoàng Chiến Thắng</v>
          </cell>
          <cell r="AK66" t="str">
            <v>P. Chỉ huy trưởng</v>
          </cell>
          <cell r="AL66" t="str">
            <v>Trịnh Quang Đức</v>
          </cell>
          <cell r="AM66" t="str">
            <v>Cán bộ kỹ thuật</v>
          </cell>
          <cell r="AN66" t="str">
            <v>KC-35÷KC-38;KC-54÷KC-55</v>
          </cell>
          <cell r="AQ66" t="str">
            <v>Ngày 31 Tháng 5 Năm 2015</v>
          </cell>
        </row>
        <row r="67">
          <cell r="A67" t="str">
            <v>CP-57</v>
          </cell>
          <cell r="B67" t="str">
            <v>Cốp pha dầm, sàn tầng 10 trục (X2÷X4'/Y5÷Y8) và (X4'-X8/Y5'-Y8)</v>
          </cell>
          <cell r="C67" t="str">
            <v>CP-57</v>
          </cell>
          <cell r="D67" t="str">
            <v>8h00</v>
          </cell>
          <cell r="E67" t="str">
            <v>9h00</v>
          </cell>
          <cell r="F67">
            <v>6</v>
          </cell>
          <cell r="G67">
            <v>6</v>
          </cell>
          <cell r="H67">
            <v>2015</v>
          </cell>
          <cell r="I67" t="str">
            <v>Hà Nội, ngày 6 tháng 6 năm 2015</v>
          </cell>
          <cell r="J67" t="str">
            <v>8h00 ngày 6 tháng 6 năm 2015</v>
          </cell>
          <cell r="K67" t="str">
            <v>9h00 ngày 6 tháng 6 năm 2015</v>
          </cell>
          <cell r="L67" t="str">
            <v>9h00</v>
          </cell>
          <cell r="M67" t="str">
            <v>10h00</v>
          </cell>
          <cell r="N67">
            <v>6</v>
          </cell>
          <cell r="O67">
            <v>6</v>
          </cell>
          <cell r="P67">
            <v>2015</v>
          </cell>
          <cell r="Q67" t="str">
            <v>Hà Nội, ngày 6 tháng 6 năm 2015</v>
          </cell>
          <cell r="R67" t="str">
            <v>9h00 ngày 6 tháng 6 năm 2015</v>
          </cell>
          <cell r="S67" t="str">
            <v>10h00 ngày 6 tháng 6 năm 2015</v>
          </cell>
          <cell r="T67" t="str">
            <v>9h00</v>
          </cell>
          <cell r="U67" t="str">
            <v>9h00 Ngày 6/6/2015</v>
          </cell>
          <cell r="V67" t="str">
            <v>Nguyễn Ái Việt</v>
          </cell>
          <cell r="W67" t="str">
            <v>Chỉ huy trưởng</v>
          </cell>
          <cell r="X67" t="str">
            <v>................................</v>
          </cell>
          <cell r="Y67" t="str">
            <v>................................</v>
          </cell>
          <cell r="Z67" t="str">
            <v>Nguyễn Văn Nghiễm</v>
          </cell>
          <cell r="AA67" t="str">
            <v>Cán bộ KCS</v>
          </cell>
          <cell r="AB67" t="str">
            <v>Vương Toàn Hiếu</v>
          </cell>
          <cell r="AC67" t="str">
            <v>Trưởng đoàn TVGS</v>
          </cell>
          <cell r="AD67" t="str">
            <v>Lê Thiều Nam</v>
          </cell>
          <cell r="AE67" t="str">
            <v>Cán bộ TVGS</v>
          </cell>
          <cell r="AF67" t="str">
            <v>................................</v>
          </cell>
          <cell r="AG67" t="str">
            <v>................................</v>
          </cell>
          <cell r="AH67" t="str">
            <v>Nguyễn Ái Việt</v>
          </cell>
          <cell r="AI67" t="str">
            <v>Chỉ huy trưởng</v>
          </cell>
          <cell r="AJ67" t="str">
            <v>Hoàng Chiến Thắng</v>
          </cell>
          <cell r="AK67" t="str">
            <v>P. Chỉ huy trưởng</v>
          </cell>
          <cell r="AL67" t="str">
            <v>Trịnh Quang Đức</v>
          </cell>
          <cell r="AM67" t="str">
            <v>Cán bộ kỹ thuật</v>
          </cell>
          <cell r="AN67" t="str">
            <v>KC-35÷KC-38;KC-54÷KC-55</v>
          </cell>
          <cell r="AQ67" t="str">
            <v>Ngày 6 Tháng 6 Năm 2015</v>
          </cell>
        </row>
        <row r="68">
          <cell r="A68" t="str">
            <v>CP-58</v>
          </cell>
          <cell r="B68" t="str">
            <v>Cốp pha cột, vách tầng 10</v>
          </cell>
          <cell r="C68" t="str">
            <v>CP-58</v>
          </cell>
          <cell r="D68" t="str">
            <v>14h00</v>
          </cell>
          <cell r="E68" t="str">
            <v>15h00</v>
          </cell>
          <cell r="F68">
            <v>2</v>
          </cell>
          <cell r="G68">
            <v>6</v>
          </cell>
          <cell r="H68">
            <v>2015</v>
          </cell>
          <cell r="I68" t="str">
            <v>Hà Nội, ngày 2 tháng 6 năm 2015</v>
          </cell>
          <cell r="J68" t="str">
            <v>14h00 ngày 2 tháng 6 năm 2015</v>
          </cell>
          <cell r="K68" t="str">
            <v>15h00 ngày 10 tháng 6 năm 2015</v>
          </cell>
          <cell r="L68" t="str">
            <v>15h00</v>
          </cell>
          <cell r="M68" t="str">
            <v>16h00</v>
          </cell>
          <cell r="N68">
            <v>10</v>
          </cell>
          <cell r="O68">
            <v>6</v>
          </cell>
          <cell r="P68">
            <v>2015</v>
          </cell>
          <cell r="Q68" t="str">
            <v>Hà Nội, ngày 10 tháng 6 năm 2015</v>
          </cell>
          <cell r="R68" t="str">
            <v>15h00 ngày 2 tháng 6 năm 2015</v>
          </cell>
          <cell r="S68" t="str">
            <v>16h00 ngày 10 tháng 6 năm 2015</v>
          </cell>
          <cell r="T68" t="str">
            <v>15h00</v>
          </cell>
          <cell r="U68" t="str">
            <v>15h00 Ngày 2/6/2015</v>
          </cell>
          <cell r="V68" t="str">
            <v>Nguyễn Ái Việt</v>
          </cell>
          <cell r="W68" t="str">
            <v>Chỉ huy trưởng</v>
          </cell>
          <cell r="X68" t="str">
            <v>................................</v>
          </cell>
          <cell r="Y68" t="str">
            <v>................................</v>
          </cell>
          <cell r="Z68" t="str">
            <v>Nguyễn Văn Nghiễm</v>
          </cell>
          <cell r="AA68" t="str">
            <v>Cán bộ KCS</v>
          </cell>
          <cell r="AB68" t="str">
            <v>Vương Toàn Hiếu</v>
          </cell>
          <cell r="AC68" t="str">
            <v>Trưởng đoàn TVGS</v>
          </cell>
          <cell r="AD68" t="str">
            <v>Lê Thiều Nam</v>
          </cell>
          <cell r="AE68" t="str">
            <v>Cán bộ TVGS</v>
          </cell>
          <cell r="AF68" t="str">
            <v>................................</v>
          </cell>
          <cell r="AG68" t="str">
            <v>................................</v>
          </cell>
          <cell r="AH68" t="str">
            <v>Nguyễn Ái Việt</v>
          </cell>
          <cell r="AI68" t="str">
            <v>Chỉ huy trưởng</v>
          </cell>
          <cell r="AJ68" t="str">
            <v>Hoàng Chiến Thắng</v>
          </cell>
          <cell r="AK68" t="str">
            <v>P. Chỉ huy trưởng</v>
          </cell>
          <cell r="AL68" t="str">
            <v>Trịnh Quang Đức</v>
          </cell>
          <cell r="AM68" t="str">
            <v>Cán bộ kỹ thuật</v>
          </cell>
          <cell r="AN68" t="str">
            <v>KC-19;KC-21÷KC-26</v>
          </cell>
          <cell r="AQ68" t="str">
            <v>Ngày 2 Tháng 6 Năm 2015</v>
          </cell>
        </row>
        <row r="69">
          <cell r="A69" t="str">
            <v>CP-59</v>
          </cell>
          <cell r="B69" t="str">
            <v>Cốp pha thang bộ LT tầng 5, thang bộ TB tầng 5, 6 trục X8+2,55m/Y5'-Y7'</v>
          </cell>
          <cell r="C69" t="str">
            <v>CP-59</v>
          </cell>
          <cell r="D69" t="str">
            <v>8h30</v>
          </cell>
          <cell r="E69" t="str">
            <v>9h30</v>
          </cell>
          <cell r="F69">
            <v>10</v>
          </cell>
          <cell r="G69">
            <v>6</v>
          </cell>
          <cell r="H69">
            <v>2015</v>
          </cell>
          <cell r="I69" t="str">
            <v>Hà Nội, ngày 10 tháng 6 năm 2015</v>
          </cell>
          <cell r="J69" t="str">
            <v>8h30 ngày 10 tháng 6 năm 2015</v>
          </cell>
          <cell r="K69" t="str">
            <v>9h30 ngày 10 tháng 6 năm 2015</v>
          </cell>
          <cell r="L69" t="str">
            <v>9h30</v>
          </cell>
          <cell r="M69" t="str">
            <v>10h30</v>
          </cell>
          <cell r="N69">
            <v>10</v>
          </cell>
          <cell r="O69">
            <v>6</v>
          </cell>
          <cell r="P69">
            <v>2015</v>
          </cell>
          <cell r="Q69" t="str">
            <v>Hà Nội, ngày 10 tháng 6 năm 2015</v>
          </cell>
          <cell r="R69" t="str">
            <v>9h30 ngày 10 tháng 6 năm 2015</v>
          </cell>
          <cell r="S69" t="str">
            <v>10h30 ngày 10 tháng 6 năm 2015</v>
          </cell>
          <cell r="T69" t="str">
            <v>9h30</v>
          </cell>
          <cell r="U69" t="str">
            <v>9h30 Ngày 10/6/2015</v>
          </cell>
          <cell r="V69" t="str">
            <v>Nguyễn Ái Việt</v>
          </cell>
          <cell r="W69" t="str">
            <v>Chỉ huy trưởng</v>
          </cell>
          <cell r="X69" t="str">
            <v>................................</v>
          </cell>
          <cell r="Y69" t="str">
            <v>................................</v>
          </cell>
          <cell r="Z69" t="str">
            <v>Nguyễn Văn Nghiễm</v>
          </cell>
          <cell r="AA69" t="str">
            <v>Cán bộ KCS</v>
          </cell>
          <cell r="AB69" t="str">
            <v>Vương Toàn Hiếu</v>
          </cell>
          <cell r="AC69" t="str">
            <v>Trưởng đoàn TVGS</v>
          </cell>
          <cell r="AD69" t="str">
            <v>Lê Thiều Nam</v>
          </cell>
          <cell r="AE69" t="str">
            <v>Cán bộ TVGS</v>
          </cell>
          <cell r="AF69" t="str">
            <v>................................</v>
          </cell>
          <cell r="AG69" t="str">
            <v>................................</v>
          </cell>
          <cell r="AH69" t="str">
            <v>Nguyễn Ái Việt</v>
          </cell>
          <cell r="AI69" t="str">
            <v>Chỉ huy trưởng</v>
          </cell>
          <cell r="AJ69" t="str">
            <v>Hoàng Chiến Thắng</v>
          </cell>
          <cell r="AK69" t="str">
            <v>P. Chỉ huy trưởng</v>
          </cell>
          <cell r="AL69" t="str">
            <v>Trịnh Quang Đức</v>
          </cell>
          <cell r="AM69" t="str">
            <v>Cán bộ kỹ thuật</v>
          </cell>
          <cell r="AN69" t="str">
            <v>KC-62; KC-63</v>
          </cell>
          <cell r="AQ69" t="str">
            <v>Ngày 10 Tháng 6 Năm 2015</v>
          </cell>
        </row>
        <row r="70">
          <cell r="A70" t="str">
            <v>CP-60</v>
          </cell>
          <cell r="B70" t="str">
            <v>Cốp pha dầm, sàn tầng 11 trục (X1÷X4/Y1÷Y5) và (X1÷X2/Y5÷Y8)</v>
          </cell>
          <cell r="C70" t="str">
            <v>CP-60</v>
          </cell>
          <cell r="D70" t="str">
            <v>15h00</v>
          </cell>
          <cell r="E70" t="str">
            <v>16h00</v>
          </cell>
          <cell r="F70">
            <v>13</v>
          </cell>
          <cell r="G70">
            <v>6</v>
          </cell>
          <cell r="H70">
            <v>2015</v>
          </cell>
          <cell r="I70" t="str">
            <v>Hà Nội, ngày 13 tháng 6 năm 2015</v>
          </cell>
          <cell r="J70" t="str">
            <v>15h00 ngày 13 tháng 6 năm 2015</v>
          </cell>
          <cell r="K70" t="str">
            <v>16h00 ngày 13 tháng 6 năm 2015</v>
          </cell>
          <cell r="L70" t="str">
            <v>16h00</v>
          </cell>
          <cell r="M70" t="str">
            <v>17h00</v>
          </cell>
          <cell r="N70">
            <v>13</v>
          </cell>
          <cell r="O70">
            <v>6</v>
          </cell>
          <cell r="P70">
            <v>2015</v>
          </cell>
          <cell r="Q70" t="str">
            <v>Hà Nội, ngày 13 tháng 6 năm 2015</v>
          </cell>
          <cell r="R70" t="str">
            <v>16h00 ngày 13 tháng 6 năm 2015</v>
          </cell>
          <cell r="S70" t="str">
            <v>17h00 ngày 13 tháng 6 năm 2015</v>
          </cell>
          <cell r="T70" t="str">
            <v>16h00</v>
          </cell>
          <cell r="U70" t="str">
            <v>16h00 Ngày 13/6/2015</v>
          </cell>
          <cell r="V70" t="str">
            <v>Nguyễn Ái Việt</v>
          </cell>
          <cell r="W70" t="str">
            <v>Chỉ huy trưởng</v>
          </cell>
          <cell r="X70" t="str">
            <v>................................</v>
          </cell>
          <cell r="Y70" t="str">
            <v>................................</v>
          </cell>
          <cell r="Z70" t="str">
            <v>Nguyễn Văn Nghiễm</v>
          </cell>
          <cell r="AA70" t="str">
            <v>Cán bộ KCS</v>
          </cell>
          <cell r="AB70" t="str">
            <v>Vương Toàn Hiếu</v>
          </cell>
          <cell r="AC70" t="str">
            <v>Trưởng đoàn TVGS</v>
          </cell>
          <cell r="AD70" t="str">
            <v>Lê Thiều Nam</v>
          </cell>
          <cell r="AE70" t="str">
            <v>Cán bộ TVGS</v>
          </cell>
          <cell r="AF70" t="str">
            <v>................................</v>
          </cell>
          <cell r="AG70" t="str">
            <v>................................</v>
          </cell>
          <cell r="AH70" t="str">
            <v>Nguyễn Ái Việt</v>
          </cell>
          <cell r="AI70" t="str">
            <v>Chỉ huy trưởng</v>
          </cell>
          <cell r="AJ70" t="str">
            <v>Hoàng Chiến Thắng</v>
          </cell>
          <cell r="AK70" t="str">
            <v>P. Chỉ huy trưởng</v>
          </cell>
          <cell r="AL70" t="str">
            <v>Trịnh Quang Đức</v>
          </cell>
          <cell r="AM70" t="str">
            <v>Cán bộ kỹ thuật</v>
          </cell>
          <cell r="AN70" t="str">
            <v>KC-35÷KC-38;KC-54÷KC-55</v>
          </cell>
          <cell r="AQ70" t="str">
            <v>Ngày 13 Tháng 6 Năm 2015</v>
          </cell>
        </row>
        <row r="71">
          <cell r="A71" t="str">
            <v>CP-61</v>
          </cell>
          <cell r="B71" t="str">
            <v>Cốp pha dầm, sàn tầng 11 trục (X2÷X4'/Y5÷Y8) và (X4'-X8/Y5'-Y8)</v>
          </cell>
          <cell r="C71" t="str">
            <v>CP-61</v>
          </cell>
          <cell r="D71" t="str">
            <v>9h00</v>
          </cell>
          <cell r="E71" t="str">
            <v>10h00</v>
          </cell>
          <cell r="F71">
            <v>17</v>
          </cell>
          <cell r="G71">
            <v>6</v>
          </cell>
          <cell r="H71">
            <v>2015</v>
          </cell>
          <cell r="I71" t="str">
            <v>Hà Nội, ngày 17 tháng 6 năm 2015</v>
          </cell>
          <cell r="J71" t="str">
            <v>9h00 ngày 17 tháng 6 năm 2015</v>
          </cell>
          <cell r="K71" t="str">
            <v>10h00 ngày 17 tháng 6 năm 2015</v>
          </cell>
          <cell r="L71" t="str">
            <v>10h00</v>
          </cell>
          <cell r="M71" t="str">
            <v>11h00</v>
          </cell>
          <cell r="N71">
            <v>17</v>
          </cell>
          <cell r="O71">
            <v>6</v>
          </cell>
          <cell r="P71">
            <v>2015</v>
          </cell>
          <cell r="Q71" t="str">
            <v>Hà Nội, ngày 17 tháng 6 năm 2015</v>
          </cell>
          <cell r="R71" t="str">
            <v>10h00 ngày 17 tháng 6 năm 2015</v>
          </cell>
          <cell r="S71" t="str">
            <v>11h00 ngày 17 tháng 6 năm 2015</v>
          </cell>
          <cell r="T71" t="str">
            <v>10h00</v>
          </cell>
          <cell r="U71" t="str">
            <v>10h00 Ngày 17/6/2015</v>
          </cell>
          <cell r="V71" t="str">
            <v>Nguyễn Ái Việt</v>
          </cell>
          <cell r="W71" t="str">
            <v>Chỉ huy trưởng</v>
          </cell>
          <cell r="X71" t="str">
            <v>................................</v>
          </cell>
          <cell r="Y71" t="str">
            <v>................................</v>
          </cell>
          <cell r="Z71" t="str">
            <v>Nguyễn Văn Nghiễm</v>
          </cell>
          <cell r="AA71" t="str">
            <v>Cán bộ KCS</v>
          </cell>
          <cell r="AB71" t="str">
            <v>Vương Toàn Hiếu</v>
          </cell>
          <cell r="AC71" t="str">
            <v>Trưởng đoàn TVGS</v>
          </cell>
          <cell r="AD71" t="str">
            <v>Lê Thiều Nam</v>
          </cell>
          <cell r="AE71" t="str">
            <v>Cán bộ TVGS</v>
          </cell>
          <cell r="AF71" t="str">
            <v>................................</v>
          </cell>
          <cell r="AG71" t="str">
            <v>................................</v>
          </cell>
          <cell r="AH71" t="str">
            <v>Nguyễn Ái Việt</v>
          </cell>
          <cell r="AI71" t="str">
            <v>Chỉ huy trưởng</v>
          </cell>
          <cell r="AJ71" t="str">
            <v>Hoàng Chiến Thắng</v>
          </cell>
          <cell r="AK71" t="str">
            <v>P. Chỉ huy trưởng</v>
          </cell>
          <cell r="AL71" t="str">
            <v>Trịnh Quang Đức</v>
          </cell>
          <cell r="AM71" t="str">
            <v>Cán bộ kỹ thuật</v>
          </cell>
          <cell r="AN71" t="str">
            <v>KC-35÷KC-38;KC-54÷KC-55</v>
          </cell>
          <cell r="AQ71" t="str">
            <v>Ngày 17 Tháng 6 Năm 2015</v>
          </cell>
        </row>
        <row r="72">
          <cell r="A72" t="str">
            <v>CP-62</v>
          </cell>
          <cell r="B72" t="str">
            <v>Cốp pha cột, vách tầng 11</v>
          </cell>
          <cell r="C72" t="str">
            <v>CP-62</v>
          </cell>
          <cell r="D72" t="str">
            <v>8h30</v>
          </cell>
          <cell r="E72" t="str">
            <v>15h15</v>
          </cell>
          <cell r="F72">
            <v>17</v>
          </cell>
          <cell r="G72">
            <v>6</v>
          </cell>
          <cell r="H72">
            <v>2015</v>
          </cell>
          <cell r="I72" t="str">
            <v>Hà Nội, ngày 17 tháng 6 năm 2015</v>
          </cell>
          <cell r="J72" t="str">
            <v>8h30 ngày 17 tháng 6 năm 2015</v>
          </cell>
          <cell r="K72" t="str">
            <v>15h15 ngày 21 tháng 6 năm 2015</v>
          </cell>
          <cell r="L72" t="str">
            <v>9h15</v>
          </cell>
          <cell r="M72" t="str">
            <v>16h00</v>
          </cell>
          <cell r="N72">
            <v>21</v>
          </cell>
          <cell r="O72">
            <v>6</v>
          </cell>
          <cell r="P72">
            <v>2015</v>
          </cell>
          <cell r="Q72" t="str">
            <v>Hà Nội, ngày 21 tháng 6 năm 2015</v>
          </cell>
          <cell r="R72" t="str">
            <v>9h15 ngày 17 tháng 6 năm 2015</v>
          </cell>
          <cell r="S72" t="str">
            <v>16h00 ngày 21 tháng 6 năm 2015</v>
          </cell>
          <cell r="T72" t="str">
            <v>9h15</v>
          </cell>
          <cell r="U72" t="str">
            <v>9h15 Ngày 17/6/2015</v>
          </cell>
          <cell r="V72" t="str">
            <v>Nguyễn Ái Việt</v>
          </cell>
          <cell r="W72" t="str">
            <v>Chỉ huy trưởng</v>
          </cell>
          <cell r="X72" t="str">
            <v>................................</v>
          </cell>
          <cell r="Y72" t="str">
            <v>................................</v>
          </cell>
          <cell r="Z72" t="str">
            <v>Nguyễn Văn Nghiễm</v>
          </cell>
          <cell r="AA72" t="str">
            <v>Cán bộ KCS</v>
          </cell>
          <cell r="AB72" t="str">
            <v>Vương Toàn Hiếu</v>
          </cell>
          <cell r="AC72" t="str">
            <v>Trưởng đoàn TVGS</v>
          </cell>
          <cell r="AD72" t="str">
            <v>Lê Thiều Nam</v>
          </cell>
          <cell r="AE72" t="str">
            <v>Cán bộ TVGS</v>
          </cell>
          <cell r="AF72" t="str">
            <v>................................</v>
          </cell>
          <cell r="AG72" t="str">
            <v>................................</v>
          </cell>
          <cell r="AH72" t="str">
            <v>Nguyễn Ái Việt</v>
          </cell>
          <cell r="AI72" t="str">
            <v>Chỉ huy trưởng</v>
          </cell>
          <cell r="AJ72" t="str">
            <v>Hoàng Chiến Thắng</v>
          </cell>
          <cell r="AK72" t="str">
            <v>P. Chỉ huy trưởng</v>
          </cell>
          <cell r="AL72" t="str">
            <v>Trịnh Quang Đức</v>
          </cell>
          <cell r="AM72" t="str">
            <v>Cán bộ kỹ thuật</v>
          </cell>
          <cell r="AN72" t="str">
            <v>KC-19;KC-21÷KC-26</v>
          </cell>
          <cell r="AQ72" t="str">
            <v>Ngày 17 Tháng 6 Năm 2015</v>
          </cell>
        </row>
        <row r="73">
          <cell r="A73" t="str">
            <v>CP-63</v>
          </cell>
          <cell r="B73" t="str">
            <v>Cốp pha thang bộ LT tầng 6, tầng 7</v>
          </cell>
          <cell r="C73" t="str">
            <v>CP-63</v>
          </cell>
          <cell r="D73" t="str">
            <v>10h00</v>
          </cell>
          <cell r="E73" t="str">
            <v>10h45</v>
          </cell>
          <cell r="F73">
            <v>22</v>
          </cell>
          <cell r="G73">
            <v>6</v>
          </cell>
          <cell r="H73">
            <v>2015</v>
          </cell>
          <cell r="I73" t="str">
            <v>Hà Nội, ngày 22 tháng 6 năm 2015</v>
          </cell>
          <cell r="J73" t="str">
            <v>10h00 ngày 22 tháng 6 năm 2015</v>
          </cell>
          <cell r="K73" t="str">
            <v>10h45 ngày 22 tháng 6 năm 2015</v>
          </cell>
          <cell r="L73" t="str">
            <v>10h45</v>
          </cell>
          <cell r="M73" t="str">
            <v>11h30</v>
          </cell>
          <cell r="N73">
            <v>22</v>
          </cell>
          <cell r="O73">
            <v>6</v>
          </cell>
          <cell r="P73">
            <v>2015</v>
          </cell>
          <cell r="Q73" t="str">
            <v>Hà Nội, ngày 22 tháng 6 năm 2015</v>
          </cell>
          <cell r="R73" t="str">
            <v>10h45 ngày 22 tháng 6 năm 2015</v>
          </cell>
          <cell r="S73" t="str">
            <v>11h30 ngày 22 tháng 6 năm 2015</v>
          </cell>
          <cell r="T73" t="str">
            <v>10h45</v>
          </cell>
          <cell r="U73" t="str">
            <v>10h45 Ngày 22/6/2015</v>
          </cell>
          <cell r="V73" t="str">
            <v>Nguyễn Ái Việt</v>
          </cell>
          <cell r="W73" t="str">
            <v>Chỉ huy trưởng</v>
          </cell>
          <cell r="X73" t="str">
            <v>................................</v>
          </cell>
          <cell r="Y73" t="str">
            <v>................................</v>
          </cell>
          <cell r="Z73" t="str">
            <v>Nguyễn Văn Nghiễm</v>
          </cell>
          <cell r="AA73" t="str">
            <v>Cán bộ KCS</v>
          </cell>
          <cell r="AB73" t="str">
            <v>Vương Toàn Hiếu</v>
          </cell>
          <cell r="AC73" t="str">
            <v>Trưởng đoàn TVGS</v>
          </cell>
          <cell r="AD73" t="str">
            <v>Lê Thiều Nam</v>
          </cell>
          <cell r="AE73" t="str">
            <v>Cán bộ TVGS</v>
          </cell>
          <cell r="AF73" t="str">
            <v>................................</v>
          </cell>
          <cell r="AG73" t="str">
            <v>................................</v>
          </cell>
          <cell r="AH73" t="str">
            <v>Nguyễn Ái Việt</v>
          </cell>
          <cell r="AI73" t="str">
            <v>Chỉ huy trưởng</v>
          </cell>
          <cell r="AJ73" t="str">
            <v>Hoàng Chiến Thắng</v>
          </cell>
          <cell r="AK73" t="str">
            <v>P. Chỉ huy trưởng</v>
          </cell>
          <cell r="AL73" t="str">
            <v>Trịnh Quang Đức</v>
          </cell>
          <cell r="AM73" t="str">
            <v>Cán bộ kỹ thuật</v>
          </cell>
          <cell r="AN73" t="str">
            <v>KC-62</v>
          </cell>
          <cell r="AQ73" t="str">
            <v>Ngày 22 Tháng 6 Năm 2015</v>
          </cell>
        </row>
        <row r="74">
          <cell r="A74" t="str">
            <v>CP-64</v>
          </cell>
          <cell r="B74" t="str">
            <v>Cốp pha dầm, sàn tầng áp mái</v>
          </cell>
          <cell r="C74" t="str">
            <v>CP-64</v>
          </cell>
          <cell r="D74" t="str">
            <v>15h00</v>
          </cell>
          <cell r="E74" t="str">
            <v>16h30</v>
          </cell>
          <cell r="F74">
            <v>29</v>
          </cell>
          <cell r="G74">
            <v>6</v>
          </cell>
          <cell r="H74">
            <v>2015</v>
          </cell>
          <cell r="I74" t="str">
            <v>Hà Nội, ngày 29 tháng 6 năm 2015</v>
          </cell>
          <cell r="J74" t="str">
            <v>15h00 ngày 29 tháng 6 năm 2015</v>
          </cell>
          <cell r="K74" t="str">
            <v>16h30 ngày 29 tháng 6 năm 2015</v>
          </cell>
          <cell r="L74" t="str">
            <v>16h30</v>
          </cell>
          <cell r="M74" t="str">
            <v>18h00</v>
          </cell>
          <cell r="N74">
            <v>29</v>
          </cell>
          <cell r="O74">
            <v>6</v>
          </cell>
          <cell r="P74">
            <v>2015</v>
          </cell>
          <cell r="Q74" t="str">
            <v>Hà Nội, ngày 29 tháng 6 năm 2015</v>
          </cell>
          <cell r="R74" t="str">
            <v>16h30 ngày 29 tháng 6 năm 2015</v>
          </cell>
          <cell r="S74" t="str">
            <v>18h00 ngày 29 tháng 6 năm 2015</v>
          </cell>
          <cell r="T74" t="str">
            <v>16h30</v>
          </cell>
          <cell r="U74" t="str">
            <v>16h30 Ngày 29/6/2015</v>
          </cell>
          <cell r="V74" t="str">
            <v>Nguyễn Ái Việt</v>
          </cell>
          <cell r="W74" t="str">
            <v>Chỉ huy trưởng</v>
          </cell>
          <cell r="X74" t="str">
            <v>................................</v>
          </cell>
          <cell r="Y74" t="str">
            <v>................................</v>
          </cell>
          <cell r="Z74" t="str">
            <v>Nguyễn Văn Nghiễm</v>
          </cell>
          <cell r="AA74" t="str">
            <v>Cán bộ KCS</v>
          </cell>
          <cell r="AB74" t="str">
            <v>Vương Toàn Hiếu</v>
          </cell>
          <cell r="AC74" t="str">
            <v>Trưởng đoàn TVGS</v>
          </cell>
          <cell r="AD74" t="str">
            <v>Lê Thiều Nam</v>
          </cell>
          <cell r="AE74" t="str">
            <v>Cán bộ TVGS</v>
          </cell>
          <cell r="AF74" t="str">
            <v>................................</v>
          </cell>
          <cell r="AG74" t="str">
            <v>................................</v>
          </cell>
          <cell r="AH74" t="str">
            <v>Nguyễn Ái Việt</v>
          </cell>
          <cell r="AI74" t="str">
            <v>Chỉ huy trưởng</v>
          </cell>
          <cell r="AJ74" t="str">
            <v>Hoàng Chiến Thắng</v>
          </cell>
          <cell r="AK74" t="str">
            <v>P. Chỉ huy trưởng</v>
          </cell>
          <cell r="AL74" t="str">
            <v>Trịnh Quang Đức</v>
          </cell>
          <cell r="AM74" t="str">
            <v>Cán bộ kỹ thuật</v>
          </cell>
          <cell r="AN74" t="str">
            <v>KC-41÷KC-45;KC-56÷KC-57</v>
          </cell>
          <cell r="AQ74" t="str">
            <v>Ngày 29 Tháng 6 Năm 2015</v>
          </cell>
        </row>
        <row r="75">
          <cell r="A75" t="str">
            <v>CP-65</v>
          </cell>
          <cell r="B75" t="str">
            <v>Cốp pha thang bộ TB tầng 7 trục X8+2,55m/Y5'-Y7'; thang bộ LT tầng 8</v>
          </cell>
          <cell r="C75" t="str">
            <v>CP-65</v>
          </cell>
          <cell r="D75" t="str">
            <v>8h15</v>
          </cell>
          <cell r="E75" t="str">
            <v>9h00</v>
          </cell>
          <cell r="F75">
            <v>5</v>
          </cell>
          <cell r="G75">
            <v>7</v>
          </cell>
          <cell r="H75">
            <v>2015</v>
          </cell>
          <cell r="I75" t="str">
            <v>Hà Nội, ngày 5 tháng 7 năm 2015</v>
          </cell>
          <cell r="J75" t="str">
            <v>8h15 ngày 5 tháng 7 năm 2015</v>
          </cell>
          <cell r="K75" t="str">
            <v>9h00 ngày 5 tháng 7 năm 2015</v>
          </cell>
          <cell r="L75" t="str">
            <v>9h00</v>
          </cell>
          <cell r="M75" t="str">
            <v>9h45</v>
          </cell>
          <cell r="N75">
            <v>5</v>
          </cell>
          <cell r="O75">
            <v>7</v>
          </cell>
          <cell r="P75">
            <v>2015</v>
          </cell>
          <cell r="Q75" t="str">
            <v>Hà Nội, ngày 5 tháng 7 năm 2015</v>
          </cell>
          <cell r="R75" t="str">
            <v>9h00 ngày 5 tháng 7 năm 2015</v>
          </cell>
          <cell r="S75" t="str">
            <v>9h45 ngày 5 tháng 7 năm 2015</v>
          </cell>
          <cell r="T75" t="str">
            <v>9h00</v>
          </cell>
          <cell r="U75" t="str">
            <v>9h00 Ngày 5/7/2015</v>
          </cell>
          <cell r="V75" t="str">
            <v>Nguyễn Ái Việt</v>
          </cell>
          <cell r="W75" t="str">
            <v>Chỉ huy trưởng</v>
          </cell>
          <cell r="X75" t="str">
            <v>................................</v>
          </cell>
          <cell r="Y75" t="str">
            <v>................................</v>
          </cell>
          <cell r="Z75" t="str">
            <v>Nguyễn Văn Nghiễm</v>
          </cell>
          <cell r="AA75" t="str">
            <v>Cán bộ KCS</v>
          </cell>
          <cell r="AB75" t="str">
            <v>Vương Toàn Hiếu</v>
          </cell>
          <cell r="AC75" t="str">
            <v>Trưởng đoàn TVGS</v>
          </cell>
          <cell r="AD75" t="str">
            <v>Lê Thiều Nam</v>
          </cell>
          <cell r="AE75" t="str">
            <v>Cán bộ TVGS</v>
          </cell>
          <cell r="AF75" t="str">
            <v>................................</v>
          </cell>
          <cell r="AG75" t="str">
            <v>................................</v>
          </cell>
          <cell r="AH75" t="str">
            <v>Nguyễn Ái Việt</v>
          </cell>
          <cell r="AI75" t="str">
            <v>Chỉ huy trưởng</v>
          </cell>
          <cell r="AJ75" t="str">
            <v>Hoàng Chiến Thắng</v>
          </cell>
          <cell r="AK75" t="str">
            <v>P. Chỉ huy trưởng</v>
          </cell>
          <cell r="AL75" t="str">
            <v>Trịnh Quang Đức</v>
          </cell>
          <cell r="AM75" t="str">
            <v>Cán bộ kỹ thuật</v>
          </cell>
          <cell r="AN75" t="str">
            <v>KC-62; KC-63</v>
          </cell>
          <cell r="AQ75" t="str">
            <v>Ngày 5 Tháng 7 Năm 2015</v>
          </cell>
        </row>
        <row r="76">
          <cell r="A76" t="str">
            <v>CP-66</v>
          </cell>
          <cell r="B76" t="str">
            <v>Cốp pha cột, vách tầng áp mái</v>
          </cell>
          <cell r="C76" t="str">
            <v>CP-66</v>
          </cell>
          <cell r="D76" t="str">
            <v>14h00</v>
          </cell>
          <cell r="E76" t="str">
            <v>15h00</v>
          </cell>
          <cell r="F76">
            <v>5</v>
          </cell>
          <cell r="G76">
            <v>7</v>
          </cell>
          <cell r="H76">
            <v>2015</v>
          </cell>
          <cell r="I76" t="str">
            <v>Hà Nội, ngày 5 tháng 7 năm 2015</v>
          </cell>
          <cell r="J76" t="str">
            <v>14h00 ngày 5 tháng 7 năm 2015</v>
          </cell>
          <cell r="K76" t="str">
            <v>15h00 ngày 14 tháng 7 năm 2015</v>
          </cell>
          <cell r="L76" t="str">
            <v>15h00</v>
          </cell>
          <cell r="M76" t="str">
            <v>16h00</v>
          </cell>
          <cell r="N76">
            <v>14</v>
          </cell>
          <cell r="O76">
            <v>7</v>
          </cell>
          <cell r="P76">
            <v>2015</v>
          </cell>
          <cell r="Q76" t="str">
            <v>Hà Nội, ngày 14 tháng 7 năm 2015</v>
          </cell>
          <cell r="R76" t="str">
            <v>15h00 ngày 5 tháng 7 năm 2015</v>
          </cell>
          <cell r="S76" t="str">
            <v>16h00 ngày 14 tháng 7 năm 2015</v>
          </cell>
          <cell r="T76" t="str">
            <v>15h00</v>
          </cell>
          <cell r="U76" t="str">
            <v>15h00 Ngày 5/7/2015</v>
          </cell>
          <cell r="V76" t="str">
            <v>Nguyễn Ái Việt</v>
          </cell>
          <cell r="W76" t="str">
            <v>Chỉ huy trưởng</v>
          </cell>
          <cell r="X76" t="str">
            <v>................................</v>
          </cell>
          <cell r="Y76" t="str">
            <v>................................</v>
          </cell>
          <cell r="Z76" t="str">
            <v>Nguyễn Văn Nghiễm</v>
          </cell>
          <cell r="AA76" t="str">
            <v>Cán bộ KCS</v>
          </cell>
          <cell r="AB76" t="str">
            <v>Vương Toàn Hiếu</v>
          </cell>
          <cell r="AC76" t="str">
            <v>Trưởng đoàn TVGS</v>
          </cell>
          <cell r="AD76" t="str">
            <v>Lê Thiều Nam</v>
          </cell>
          <cell r="AE76" t="str">
            <v>Cán bộ TVGS</v>
          </cell>
          <cell r="AF76" t="str">
            <v>................................</v>
          </cell>
          <cell r="AG76" t="str">
            <v>................................</v>
          </cell>
          <cell r="AH76" t="str">
            <v>Nguyễn Ái Việt</v>
          </cell>
          <cell r="AI76" t="str">
            <v>Chỉ huy trưởng</v>
          </cell>
          <cell r="AJ76" t="str">
            <v>Hoàng Chiến Thắng</v>
          </cell>
          <cell r="AK76" t="str">
            <v>P. Chỉ huy trưởng</v>
          </cell>
          <cell r="AL76" t="str">
            <v>Trịnh Quang Đức</v>
          </cell>
          <cell r="AM76" t="str">
            <v>Cán bộ kỹ thuật</v>
          </cell>
          <cell r="AN76" t="str">
            <v>KC-20; KC-21÷KC-26</v>
          </cell>
          <cell r="AQ76" t="str">
            <v>Ngày 5 Tháng 7 Năm 2015</v>
          </cell>
        </row>
        <row r="77">
          <cell r="A77" t="str">
            <v>CP-67</v>
          </cell>
          <cell r="B77" t="str">
            <v>Cốp pha dầm, sàn trục X3'-X6/Y5'-Y7' tầng mái</v>
          </cell>
          <cell r="C77" t="str">
            <v>CP-67</v>
          </cell>
          <cell r="D77" t="str">
            <v>15h00</v>
          </cell>
          <cell r="E77" t="str">
            <v>15h45</v>
          </cell>
          <cell r="F77">
            <v>12</v>
          </cell>
          <cell r="G77">
            <v>7</v>
          </cell>
          <cell r="H77">
            <v>2015</v>
          </cell>
          <cell r="I77" t="str">
            <v>Hà Nội, ngày 12 tháng 7 năm 2015</v>
          </cell>
          <cell r="J77" t="str">
            <v>15h00 ngày 12 tháng 7 năm 2015</v>
          </cell>
          <cell r="K77" t="str">
            <v>15h45 ngày 12 tháng 7 năm 2015</v>
          </cell>
          <cell r="L77" t="str">
            <v>15h45</v>
          </cell>
          <cell r="M77" t="str">
            <v>16h30</v>
          </cell>
          <cell r="N77">
            <v>12</v>
          </cell>
          <cell r="O77">
            <v>7</v>
          </cell>
          <cell r="P77">
            <v>2015</v>
          </cell>
          <cell r="Q77" t="str">
            <v>Hà Nội, ngày 12 tháng 7 năm 2015</v>
          </cell>
          <cell r="R77" t="str">
            <v>15h45 ngày 12 tháng 7 năm 2015</v>
          </cell>
          <cell r="S77" t="str">
            <v>16h30 ngày 12 tháng 7 năm 2015</v>
          </cell>
          <cell r="T77" t="str">
            <v>15h45</v>
          </cell>
          <cell r="U77" t="str">
            <v>15h45 Ngày 12/7/2015</v>
          </cell>
          <cell r="V77" t="str">
            <v>Nguyễn Ái Việt</v>
          </cell>
          <cell r="W77" t="str">
            <v>Chỉ huy trưởng</v>
          </cell>
          <cell r="X77" t="str">
            <v>................................</v>
          </cell>
          <cell r="Y77" t="str">
            <v>................................</v>
          </cell>
          <cell r="Z77" t="str">
            <v>Nguyễn Văn Nghiễm</v>
          </cell>
          <cell r="AA77" t="str">
            <v>Cán bộ KCS</v>
          </cell>
          <cell r="AB77" t="str">
            <v>Vương Toàn Hiếu</v>
          </cell>
          <cell r="AC77" t="str">
            <v>Trưởng đoàn TVGS</v>
          </cell>
          <cell r="AD77" t="str">
            <v>Lê Thiều Nam</v>
          </cell>
          <cell r="AE77" t="str">
            <v>Cán bộ TVGS</v>
          </cell>
          <cell r="AF77" t="str">
            <v>................................</v>
          </cell>
          <cell r="AG77" t="str">
            <v>................................</v>
          </cell>
          <cell r="AH77" t="str">
            <v>Nguyễn Ái Việt</v>
          </cell>
          <cell r="AI77" t="str">
            <v>Chỉ huy trưởng</v>
          </cell>
          <cell r="AJ77" t="str">
            <v>Hoàng Chiến Thắng</v>
          </cell>
          <cell r="AK77" t="str">
            <v>P. Chỉ huy trưởng</v>
          </cell>
          <cell r="AL77" t="str">
            <v>Trịnh Quang Đức</v>
          </cell>
          <cell r="AM77" t="str">
            <v>Cán bộ kỹ thuật</v>
          </cell>
          <cell r="AN77" t="str">
            <v>KC-48÷KC-49;KC-58</v>
          </cell>
          <cell r="AQ77" t="str">
            <v>Ngày 12 Tháng 7 Năm 2015</v>
          </cell>
        </row>
        <row r="78">
          <cell r="A78" t="str">
            <v>CP-68</v>
          </cell>
          <cell r="B78" t="str">
            <v>Cốp pha dầm, sàn tầng mái</v>
          </cell>
          <cell r="C78" t="str">
            <v>CP-68</v>
          </cell>
          <cell r="D78" t="str">
            <v>15h00</v>
          </cell>
          <cell r="E78" t="str">
            <v>9h00</v>
          </cell>
          <cell r="F78">
            <v>12</v>
          </cell>
          <cell r="G78">
            <v>7</v>
          </cell>
          <cell r="H78">
            <v>2015</v>
          </cell>
          <cell r="I78" t="str">
            <v>Hà Nội, ngày 12 tháng 7 năm 2015</v>
          </cell>
          <cell r="J78" t="str">
            <v>15h00 ngày 12 tháng 7 năm 2015</v>
          </cell>
          <cell r="K78" t="str">
            <v>9h00 ngày 30 tháng 7 năm 2015</v>
          </cell>
          <cell r="L78" t="str">
            <v>15h45</v>
          </cell>
          <cell r="M78" t="str">
            <v>9h45</v>
          </cell>
          <cell r="N78">
            <v>30</v>
          </cell>
          <cell r="O78">
            <v>7</v>
          </cell>
          <cell r="P78">
            <v>2015</v>
          </cell>
          <cell r="Q78" t="str">
            <v>Hà Nội, ngày 30 tháng 7 năm 2015</v>
          </cell>
          <cell r="R78" t="str">
            <v>15h45 ngày 12 tháng 7 năm 2015</v>
          </cell>
          <cell r="S78" t="str">
            <v>9h45 ngày 30 tháng 7 năm 2015</v>
          </cell>
          <cell r="T78" t="str">
            <v>15h45</v>
          </cell>
          <cell r="U78" t="str">
            <v>15h45 Ngày 12/7/2015</v>
          </cell>
          <cell r="V78" t="str">
            <v>Nguyễn Ái Việt</v>
          </cell>
          <cell r="W78" t="str">
            <v>Chỉ huy trưởng</v>
          </cell>
          <cell r="X78" t="str">
            <v>................................</v>
          </cell>
          <cell r="Y78" t="str">
            <v>................................</v>
          </cell>
          <cell r="Z78" t="str">
            <v>Nguyễn Văn Nghiễm</v>
          </cell>
          <cell r="AA78" t="str">
            <v>Cán bộ KCS</v>
          </cell>
          <cell r="AB78" t="str">
            <v>Vương Toàn Hiếu</v>
          </cell>
          <cell r="AC78" t="str">
            <v>Trưởng đoàn TVGS</v>
          </cell>
          <cell r="AD78" t="str">
            <v>Lê Thiều Nam</v>
          </cell>
          <cell r="AE78" t="str">
            <v>Cán bộ TVGS</v>
          </cell>
          <cell r="AF78" t="str">
            <v>................................</v>
          </cell>
          <cell r="AG78" t="str">
            <v>................................</v>
          </cell>
          <cell r="AH78" t="str">
            <v>Nguyễn Ái Việt</v>
          </cell>
          <cell r="AI78" t="str">
            <v>Chỉ huy trưởng</v>
          </cell>
          <cell r="AJ78" t="str">
            <v>Hoàng Chiến Thắng</v>
          </cell>
          <cell r="AK78" t="str">
            <v>P. Chỉ huy trưởng</v>
          </cell>
          <cell r="AL78" t="str">
            <v>Trịnh Quang Đức</v>
          </cell>
          <cell r="AM78" t="str">
            <v>Cán bộ kỹ thuật</v>
          </cell>
          <cell r="AN78" t="str">
            <v>KC-48÷KC-49;KC-58</v>
          </cell>
          <cell r="AQ78" t="str">
            <v>Ngày 12 Tháng 7 Năm 2015</v>
          </cell>
        </row>
        <row r="79">
          <cell r="A79" t="str">
            <v>CP-69</v>
          </cell>
          <cell r="B79" t="str">
            <v>Cốp pha thang bộ LT tầng 09, tầng 10</v>
          </cell>
          <cell r="C79" t="str">
            <v>CP-69</v>
          </cell>
          <cell r="D79" t="str">
            <v>8h00</v>
          </cell>
          <cell r="E79" t="str">
            <v>9h00</v>
          </cell>
          <cell r="F79">
            <v>25</v>
          </cell>
          <cell r="G79">
            <v>7</v>
          </cell>
          <cell r="H79">
            <v>2015</v>
          </cell>
          <cell r="I79" t="str">
            <v>Hà Nội, ngày 25 tháng 7 năm 2015</v>
          </cell>
          <cell r="J79" t="str">
            <v>8h00 ngày 25 tháng 7 năm 2015</v>
          </cell>
          <cell r="K79" t="str">
            <v>9h00 ngày 25 tháng 7 năm 2015</v>
          </cell>
          <cell r="L79" t="str">
            <v>9h00</v>
          </cell>
          <cell r="M79" t="str">
            <v>9h45</v>
          </cell>
          <cell r="N79">
            <v>25</v>
          </cell>
          <cell r="O79">
            <v>7</v>
          </cell>
          <cell r="P79">
            <v>2015</v>
          </cell>
          <cell r="Q79" t="str">
            <v>Hà Nội, ngày 25 tháng 7 năm 2015</v>
          </cell>
          <cell r="R79" t="str">
            <v>9h00 ngày 25 tháng 7 năm 2015</v>
          </cell>
          <cell r="S79" t="str">
            <v>9h45 ngày 25 tháng 7 năm 2015</v>
          </cell>
          <cell r="T79" t="str">
            <v>9h00</v>
          </cell>
          <cell r="U79" t="str">
            <v>9h00 Ngày 25/7/2015</v>
          </cell>
          <cell r="V79" t="str">
            <v>Nguyễn Ái Việt</v>
          </cell>
          <cell r="W79" t="str">
            <v>Chỉ huy trưởng</v>
          </cell>
          <cell r="X79" t="str">
            <v>................................</v>
          </cell>
          <cell r="Y79" t="str">
            <v>................................</v>
          </cell>
          <cell r="Z79" t="str">
            <v>Nguyễn Văn Nghiễm</v>
          </cell>
          <cell r="AA79" t="str">
            <v>Cán bộ KCS</v>
          </cell>
          <cell r="AB79" t="str">
            <v>Vương Toàn Hiếu</v>
          </cell>
          <cell r="AC79" t="str">
            <v>Trưởng đoàn TVGS</v>
          </cell>
          <cell r="AD79" t="str">
            <v>Lê Thiều Nam</v>
          </cell>
          <cell r="AE79" t="str">
            <v>Cán bộ TVGS</v>
          </cell>
          <cell r="AF79" t="str">
            <v>................................</v>
          </cell>
          <cell r="AG79" t="str">
            <v>................................</v>
          </cell>
          <cell r="AH79" t="str">
            <v>Nguyễn Ái Việt</v>
          </cell>
          <cell r="AI79" t="str">
            <v>Chỉ huy trưởng</v>
          </cell>
          <cell r="AJ79" t="str">
            <v>Hoàng Chiến Thắng</v>
          </cell>
          <cell r="AK79" t="str">
            <v>P. Chỉ huy trưởng</v>
          </cell>
          <cell r="AL79" t="str">
            <v>Trịnh Quang Đức</v>
          </cell>
          <cell r="AM79" t="str">
            <v>Cán bộ kỹ thuật</v>
          </cell>
          <cell r="AN79" t="str">
            <v>KC-62</v>
          </cell>
          <cell r="AQ79" t="str">
            <v>Ngày 25 Tháng 7 Năm 2015</v>
          </cell>
        </row>
        <row r="80">
          <cell r="A80" t="str">
            <v>CP-70</v>
          </cell>
          <cell r="B80" t="str">
            <v>Cốp pha thang bộ TB tầng 04, tầng 05, tầng 06 trục X2÷X4/Y1+2,55m</v>
          </cell>
          <cell r="C80" t="str">
            <v>CP-70</v>
          </cell>
          <cell r="D80" t="str">
            <v>9h00</v>
          </cell>
          <cell r="E80" t="str">
            <v>10h00</v>
          </cell>
          <cell r="F80">
            <v>28</v>
          </cell>
          <cell r="G80">
            <v>7</v>
          </cell>
          <cell r="H80">
            <v>2015</v>
          </cell>
          <cell r="I80" t="str">
            <v>Hà Nội, ngày 28 tháng 7 năm 2015</v>
          </cell>
          <cell r="J80" t="str">
            <v>9h00 ngày 28 tháng 7 năm 2015</v>
          </cell>
          <cell r="K80" t="str">
            <v>10h00 ngày 28 tháng 7 năm 2015</v>
          </cell>
          <cell r="L80" t="str">
            <v>10h00</v>
          </cell>
          <cell r="M80" t="str">
            <v>11h00</v>
          </cell>
          <cell r="N80">
            <v>28</v>
          </cell>
          <cell r="O80">
            <v>7</v>
          </cell>
          <cell r="P80">
            <v>2015</v>
          </cell>
          <cell r="Q80" t="str">
            <v>Hà Nội, ngày 28 tháng 7 năm 2015</v>
          </cell>
          <cell r="R80" t="str">
            <v>10h00 ngày 28 tháng 7 năm 2015</v>
          </cell>
          <cell r="S80" t="str">
            <v>11h00 ngày 28 tháng 7 năm 2015</v>
          </cell>
          <cell r="T80" t="str">
            <v>10h00</v>
          </cell>
          <cell r="U80" t="str">
            <v>10h00 Ngày 28/7/2015</v>
          </cell>
          <cell r="V80" t="str">
            <v>Nguyễn Ái Việt</v>
          </cell>
          <cell r="W80" t="str">
            <v>Chỉ huy trưởng</v>
          </cell>
          <cell r="X80" t="str">
            <v>................................</v>
          </cell>
          <cell r="Y80" t="str">
            <v>................................</v>
          </cell>
          <cell r="Z80" t="str">
            <v>Nguyễn Văn Nghiễm</v>
          </cell>
          <cell r="AA80" t="str">
            <v>Cán bộ KCS</v>
          </cell>
          <cell r="AB80" t="str">
            <v>Vương Toàn Hiếu</v>
          </cell>
          <cell r="AC80" t="str">
            <v>Trưởng đoàn TVGS</v>
          </cell>
          <cell r="AD80" t="str">
            <v>Lê Thiều Nam</v>
          </cell>
          <cell r="AE80" t="str">
            <v>Cán bộ TVGS</v>
          </cell>
          <cell r="AF80" t="str">
            <v>................................</v>
          </cell>
          <cell r="AG80" t="str">
            <v>................................</v>
          </cell>
          <cell r="AH80" t="str">
            <v>Nguyễn Ái Việt</v>
          </cell>
          <cell r="AI80" t="str">
            <v>Chỉ huy trưởng</v>
          </cell>
          <cell r="AJ80" t="str">
            <v>Hoàng Chiến Thắng</v>
          </cell>
          <cell r="AK80" t="str">
            <v>P. Chỉ huy trưởng</v>
          </cell>
          <cell r="AL80" t="str">
            <v>Trịnh Quang Đức</v>
          </cell>
          <cell r="AM80" t="str">
            <v>Cán bộ kỹ thuật</v>
          </cell>
          <cell r="AN80" t="str">
            <v>KC-63</v>
          </cell>
          <cell r="AQ80" t="str">
            <v>Ngày 28 Tháng 7 Năm 2015</v>
          </cell>
        </row>
        <row r="81">
          <cell r="A81" t="str">
            <v>CP-71</v>
          </cell>
          <cell r="B81" t="str">
            <v>Cốp pha thang bộ TB tầng 07, tầng 08, tầng 09, tầng 10 trục X2÷X4/Y1+2,55m</v>
          </cell>
          <cell r="C81" t="str">
            <v>CP-71</v>
          </cell>
          <cell r="D81" t="str">
            <v>14h00</v>
          </cell>
          <cell r="E81" t="str">
            <v>15h00</v>
          </cell>
          <cell r="F81">
            <v>28</v>
          </cell>
          <cell r="G81">
            <v>7</v>
          </cell>
          <cell r="H81">
            <v>2015</v>
          </cell>
          <cell r="I81" t="str">
            <v>Hà Nội, ngày 28 tháng 7 năm 2015</v>
          </cell>
          <cell r="J81" t="str">
            <v>14h00 ngày 28 tháng 7 năm 2015</v>
          </cell>
          <cell r="K81" t="str">
            <v>15h00 ngày 28 tháng 7 năm 2015</v>
          </cell>
          <cell r="L81" t="str">
            <v>15h00</v>
          </cell>
          <cell r="M81" t="str">
            <v>16h00</v>
          </cell>
          <cell r="N81">
            <v>28</v>
          </cell>
          <cell r="O81">
            <v>7</v>
          </cell>
          <cell r="P81">
            <v>2015</v>
          </cell>
          <cell r="Q81" t="str">
            <v>Hà Nội, ngày 28 tháng 7 năm 2015</v>
          </cell>
          <cell r="R81" t="str">
            <v>15h00 ngày 28 tháng 7 năm 2015</v>
          </cell>
          <cell r="S81" t="str">
            <v>16h00 ngày 28 tháng 7 năm 2015</v>
          </cell>
          <cell r="T81" t="str">
            <v>15h00</v>
          </cell>
          <cell r="U81" t="str">
            <v>15h00 Ngày 28/7/2015</v>
          </cell>
          <cell r="V81" t="str">
            <v>Nguyễn Ái Việt</v>
          </cell>
          <cell r="W81" t="str">
            <v>Chỉ huy trưởng</v>
          </cell>
          <cell r="X81" t="str">
            <v>................................</v>
          </cell>
          <cell r="Y81" t="str">
            <v>................................</v>
          </cell>
          <cell r="Z81" t="str">
            <v>Nguyễn Văn Nghiễm</v>
          </cell>
          <cell r="AA81" t="str">
            <v>Cán bộ KCS</v>
          </cell>
          <cell r="AB81" t="str">
            <v>Vương Toàn Hiếu</v>
          </cell>
          <cell r="AC81" t="str">
            <v>Trưởng đoàn TVGS</v>
          </cell>
          <cell r="AD81" t="str">
            <v>Lê Thiều Nam</v>
          </cell>
          <cell r="AE81" t="str">
            <v>Cán bộ TVGS</v>
          </cell>
          <cell r="AF81" t="str">
            <v>................................</v>
          </cell>
          <cell r="AG81" t="str">
            <v>................................</v>
          </cell>
          <cell r="AH81" t="str">
            <v>Nguyễn Ái Việt</v>
          </cell>
          <cell r="AI81" t="str">
            <v>Chỉ huy trưởng</v>
          </cell>
          <cell r="AJ81" t="str">
            <v>Hoàng Chiến Thắng</v>
          </cell>
          <cell r="AK81" t="str">
            <v>P. Chỉ huy trưởng</v>
          </cell>
          <cell r="AL81" t="str">
            <v>Trịnh Quang Đức</v>
          </cell>
          <cell r="AM81" t="str">
            <v>Cán bộ kỹ thuật</v>
          </cell>
          <cell r="AN81" t="str">
            <v>KC-63</v>
          </cell>
          <cell r="AQ81" t="str">
            <v>Ngày 28 Tháng 7 Năm 2015</v>
          </cell>
        </row>
        <row r="82">
          <cell r="A82" t="str">
            <v>CP-72</v>
          </cell>
          <cell r="B82" t="str">
            <v>Cốp pha thang bộ TB tầng 08, tầng 09 trục X8+2,55m/Y5'÷Y7'</v>
          </cell>
          <cell r="C82" t="str">
            <v>CP-72</v>
          </cell>
          <cell r="D82" t="str">
            <v>15h30</v>
          </cell>
          <cell r="E82" t="str">
            <v>16h00</v>
          </cell>
          <cell r="F82">
            <v>28</v>
          </cell>
          <cell r="G82">
            <v>7</v>
          </cell>
          <cell r="H82">
            <v>2015</v>
          </cell>
          <cell r="I82" t="str">
            <v>Hà Nội, ngày 28 tháng 7 năm 2015</v>
          </cell>
          <cell r="J82" t="str">
            <v>15h30 ngày 28 tháng 7 năm 2015</v>
          </cell>
          <cell r="K82" t="str">
            <v>16h00 ngày 28 tháng 7 năm 2015</v>
          </cell>
          <cell r="L82" t="str">
            <v>16h00</v>
          </cell>
          <cell r="M82" t="str">
            <v>16h30</v>
          </cell>
          <cell r="N82">
            <v>28</v>
          </cell>
          <cell r="O82">
            <v>7</v>
          </cell>
          <cell r="P82">
            <v>2015</v>
          </cell>
          <cell r="Q82" t="str">
            <v>Hà Nội, ngày 28 tháng 7 năm 2015</v>
          </cell>
          <cell r="R82" t="str">
            <v>16h00 ngày 28 tháng 7 năm 2015</v>
          </cell>
          <cell r="S82" t="str">
            <v>16h30 ngày 28 tháng 7 năm 2015</v>
          </cell>
          <cell r="T82" t="str">
            <v>16h00</v>
          </cell>
          <cell r="U82" t="str">
            <v>16h00 Ngày 28/7/2015</v>
          </cell>
          <cell r="V82" t="str">
            <v>Nguyễn Ái Việt</v>
          </cell>
          <cell r="W82" t="str">
            <v>Chỉ huy trưởng</v>
          </cell>
          <cell r="X82" t="str">
            <v>................................</v>
          </cell>
          <cell r="Y82" t="str">
            <v>................................</v>
          </cell>
          <cell r="Z82" t="str">
            <v>Nguyễn Văn Nghiễm</v>
          </cell>
          <cell r="AA82" t="str">
            <v>Cán bộ KCS</v>
          </cell>
          <cell r="AB82" t="str">
            <v>Vương Toàn Hiếu</v>
          </cell>
          <cell r="AC82" t="str">
            <v>Trưởng đoàn TVGS</v>
          </cell>
          <cell r="AD82" t="str">
            <v>Lê Thiều Nam</v>
          </cell>
          <cell r="AE82" t="str">
            <v>Cán bộ TVGS</v>
          </cell>
          <cell r="AF82" t="str">
            <v>................................</v>
          </cell>
          <cell r="AG82" t="str">
            <v>................................</v>
          </cell>
          <cell r="AH82" t="str">
            <v>Nguyễn Ái Việt</v>
          </cell>
          <cell r="AI82" t="str">
            <v>Chỉ huy trưởng</v>
          </cell>
          <cell r="AJ82" t="str">
            <v>Hoàng Chiến Thắng</v>
          </cell>
          <cell r="AK82" t="str">
            <v>P. Chỉ huy trưởng</v>
          </cell>
          <cell r="AL82" t="str">
            <v>Trịnh Quang Đức</v>
          </cell>
          <cell r="AM82" t="str">
            <v>Cán bộ kỹ thuật</v>
          </cell>
          <cell r="AN82" t="str">
            <v>KC-63</v>
          </cell>
          <cell r="AQ82" t="str">
            <v>Ngày 28 Tháng 7 Năm 2015</v>
          </cell>
        </row>
        <row r="83">
          <cell r="A83" t="str">
            <v>CP-73</v>
          </cell>
          <cell r="B83" t="str">
            <v>Cốp pha thang bộ TB tầng 10, 11 trục X8+2,55m/Y5'÷Y7'; thang bộ TB tầng 11 trục X2÷X4/Y1+2,55m; thang bộ LT tầng 11</v>
          </cell>
          <cell r="C83" t="str">
            <v>CP-73</v>
          </cell>
          <cell r="D83" t="str">
            <v>8h00</v>
          </cell>
          <cell r="E83" t="str">
            <v>9h00</v>
          </cell>
          <cell r="F83">
            <v>10</v>
          </cell>
          <cell r="G83">
            <v>8</v>
          </cell>
          <cell r="H83">
            <v>2015</v>
          </cell>
          <cell r="I83" t="str">
            <v>Hà Nội, ngày 10 tháng 8 năm 2015</v>
          </cell>
          <cell r="J83" t="str">
            <v>8h00 ngày 10 tháng 8 năm 2015</v>
          </cell>
          <cell r="K83" t="str">
            <v>9h00 ngày 10 tháng 8 năm 2015</v>
          </cell>
          <cell r="L83" t="str">
            <v>9h00</v>
          </cell>
          <cell r="M83" t="str">
            <v>10h00</v>
          </cell>
          <cell r="N83">
            <v>10</v>
          </cell>
          <cell r="O83">
            <v>8</v>
          </cell>
          <cell r="P83">
            <v>2015</v>
          </cell>
          <cell r="Q83" t="str">
            <v>Hà Nội, ngày 10 tháng 8 năm 2015</v>
          </cell>
          <cell r="R83" t="str">
            <v>9h00 ngày 10 tháng 8 năm 2015</v>
          </cell>
          <cell r="S83" t="str">
            <v>10h00 ngày 10 tháng 8 năm 2015</v>
          </cell>
          <cell r="T83" t="str">
            <v>9h00</v>
          </cell>
          <cell r="U83" t="str">
            <v>9h00 Ngày 10/8/2015</v>
          </cell>
          <cell r="V83" t="str">
            <v>Nguyễn Ái Việt</v>
          </cell>
          <cell r="W83" t="str">
            <v>Chỉ huy trưởng</v>
          </cell>
          <cell r="X83" t="str">
            <v>................................</v>
          </cell>
          <cell r="Y83" t="str">
            <v>................................</v>
          </cell>
          <cell r="Z83" t="str">
            <v>Nguyễn Văn Nghiễm</v>
          </cell>
          <cell r="AA83" t="str">
            <v>Cán bộ KCS</v>
          </cell>
          <cell r="AB83" t="str">
            <v>Vương Toàn Hiếu</v>
          </cell>
          <cell r="AC83" t="str">
            <v>Trưởng đoàn TVGS</v>
          </cell>
          <cell r="AD83" t="str">
            <v>Lê Thiều Nam</v>
          </cell>
          <cell r="AE83" t="str">
            <v>Cán bộ TVGS</v>
          </cell>
          <cell r="AF83" t="str">
            <v>................................</v>
          </cell>
          <cell r="AG83" t="str">
            <v>................................</v>
          </cell>
          <cell r="AH83" t="str">
            <v>Nguyễn Ái Việt</v>
          </cell>
          <cell r="AI83" t="str">
            <v>Chỉ huy trưởng</v>
          </cell>
          <cell r="AJ83" t="str">
            <v>Hoàng Chiến Thắng</v>
          </cell>
          <cell r="AK83" t="str">
            <v>P. Chỉ huy trưởng</v>
          </cell>
          <cell r="AL83" t="str">
            <v>Trịnh Quang Đức</v>
          </cell>
          <cell r="AM83" t="str">
            <v>Cán bộ kỹ thuật</v>
          </cell>
          <cell r="AN83" t="str">
            <v>KC-62; KC-63</v>
          </cell>
          <cell r="AQ83" t="str">
            <v>Ngày 10 Tháng 8 Năm 2015</v>
          </cell>
        </row>
        <row r="84">
          <cell r="A84" t="str">
            <v>CP-74</v>
          </cell>
          <cell r="B84" t="str">
            <v>Cốp pha thang bộ LT tầng 4, thang bộ TB tầng 2 (trục X2÷X4/Y1+2,55m) 
và (trục X8+2,55m/Y5'÷Y7')</v>
          </cell>
          <cell r="C84" t="str">
            <v>CP-74</v>
          </cell>
          <cell r="D84" t="str">
            <v>15h00</v>
          </cell>
          <cell r="E84" t="str">
            <v>16h00</v>
          </cell>
          <cell r="F84">
            <v>3</v>
          </cell>
          <cell r="G84">
            <v>6</v>
          </cell>
          <cell r="H84">
            <v>2015</v>
          </cell>
          <cell r="I84" t="str">
            <v>Hà Nội, ngày 3 tháng 6 năm 2015</v>
          </cell>
          <cell r="J84" t="str">
            <v>15h00 ngày 3 tháng 6 năm 2015</v>
          </cell>
          <cell r="K84" t="str">
            <v>16h00 ngày 3 tháng 6 năm 2015</v>
          </cell>
          <cell r="L84" t="str">
            <v>16h00</v>
          </cell>
          <cell r="M84" t="str">
            <v>17h00</v>
          </cell>
          <cell r="N84">
            <v>3</v>
          </cell>
          <cell r="O84">
            <v>6</v>
          </cell>
          <cell r="P84">
            <v>2015</v>
          </cell>
          <cell r="Q84" t="str">
            <v>Hà Nội, ngày 3 tháng 6 năm 2015</v>
          </cell>
          <cell r="R84" t="str">
            <v>16h00 ngày 3 tháng 6 năm 2015</v>
          </cell>
          <cell r="S84" t="str">
            <v>17h00 ngày 3 tháng 6 năm 2015</v>
          </cell>
          <cell r="T84" t="str">
            <v>16h00</v>
          </cell>
          <cell r="U84" t="str">
            <v>16h00 Ngày 3/6/2015</v>
          </cell>
          <cell r="V84" t="str">
            <v>Nguyễn Ái Việt</v>
          </cell>
          <cell r="W84" t="str">
            <v>Chỉ huy trưởng</v>
          </cell>
          <cell r="X84" t="str">
            <v>................................</v>
          </cell>
          <cell r="Y84" t="str">
            <v>................................</v>
          </cell>
          <cell r="Z84" t="str">
            <v>Nguyễn Văn Nghiễm</v>
          </cell>
          <cell r="AA84" t="str">
            <v>Cán bộ KCS</v>
          </cell>
          <cell r="AB84" t="str">
            <v>Vương Toàn Hiếu</v>
          </cell>
          <cell r="AC84" t="str">
            <v>Trưởng đoàn TVGS</v>
          </cell>
          <cell r="AD84" t="str">
            <v>Lê Thiều Nam</v>
          </cell>
          <cell r="AE84" t="str">
            <v>Cán bộ TVGS</v>
          </cell>
          <cell r="AF84" t="str">
            <v>................................</v>
          </cell>
          <cell r="AG84" t="str">
            <v>................................</v>
          </cell>
          <cell r="AH84" t="str">
            <v>Nguyễn Ái Việt</v>
          </cell>
          <cell r="AI84" t="str">
            <v>Chỉ huy trưởng</v>
          </cell>
          <cell r="AJ84" t="str">
            <v>Hoàng Chiến Thắng</v>
          </cell>
          <cell r="AK84" t="str">
            <v>P. Chỉ huy trưởng</v>
          </cell>
          <cell r="AL84" t="str">
            <v>Trịnh Quang Đức</v>
          </cell>
          <cell r="AM84" t="str">
            <v>Cán bộ kỹ thuật</v>
          </cell>
          <cell r="AN84" t="str">
            <v>KC-62; KC-63</v>
          </cell>
          <cell r="AQ84" t="str">
            <v>Ngày 3 Tháng 6 Năm 2015</v>
          </cell>
        </row>
        <row r="85">
          <cell r="A85" t="str">
            <v>CP-75</v>
          </cell>
          <cell r="B85" t="str">
            <v>Cốp pha lưới thép hàn xây dựng D4/A200 tầng áp mái, tầng mái</v>
          </cell>
          <cell r="C85" t="str">
            <v>CP-75</v>
          </cell>
          <cell r="D85" t="str">
            <v>8h00</v>
          </cell>
          <cell r="E85" t="str">
            <v>9h00</v>
          </cell>
          <cell r="F85">
            <v>5</v>
          </cell>
          <cell r="G85">
            <v>10</v>
          </cell>
          <cell r="H85">
            <v>2015</v>
          </cell>
          <cell r="I85" t="str">
            <v>Hà Nội, ngày 5 tháng 10 năm 2015</v>
          </cell>
          <cell r="J85" t="str">
            <v>8h00 ngày 5 tháng 10 năm 2015</v>
          </cell>
          <cell r="K85" t="str">
            <v>9h00 ngày 5 tháng 10 năm 2015</v>
          </cell>
          <cell r="L85" t="str">
            <v>9h00</v>
          </cell>
          <cell r="M85" t="str">
            <v>10h00</v>
          </cell>
          <cell r="N85">
            <v>5</v>
          </cell>
          <cell r="O85">
            <v>10</v>
          </cell>
          <cell r="P85">
            <v>2015</v>
          </cell>
          <cell r="Q85" t="str">
            <v>Hà Nội, ngày 5 tháng 10 năm 2015</v>
          </cell>
          <cell r="R85" t="str">
            <v>9h00 ngày 5 tháng 10 năm 2015</v>
          </cell>
          <cell r="S85" t="str">
            <v>10h00 ngày 5 tháng 10 năm 2015</v>
          </cell>
          <cell r="T85" t="str">
            <v>9h00</v>
          </cell>
          <cell r="U85" t="str">
            <v>9h00 Ngày 5/10/2015</v>
          </cell>
          <cell r="V85" t="str">
            <v>Nguyễn Ái Việt</v>
          </cell>
          <cell r="W85" t="str">
            <v>Chỉ huy trưởng</v>
          </cell>
          <cell r="X85" t="str">
            <v>................................</v>
          </cell>
          <cell r="Y85" t="str">
            <v>................................</v>
          </cell>
          <cell r="Z85" t="str">
            <v>Nguyễn Văn Nghiễm</v>
          </cell>
          <cell r="AA85" t="str">
            <v>Cán bộ KCS</v>
          </cell>
          <cell r="AB85" t="str">
            <v>Vương Toàn Hiếu</v>
          </cell>
          <cell r="AC85" t="str">
            <v>Trưởng đoàn TVGS</v>
          </cell>
          <cell r="AD85" t="str">
            <v>Lê Thiều Nam</v>
          </cell>
          <cell r="AE85" t="str">
            <v>Cán bộ TVGS</v>
          </cell>
          <cell r="AF85" t="str">
            <v>................................</v>
          </cell>
          <cell r="AG85" t="str">
            <v>................................</v>
          </cell>
          <cell r="AH85" t="str">
            <v>Nguyễn Ái Việt</v>
          </cell>
          <cell r="AI85" t="str">
            <v>Chỉ huy trưởng</v>
          </cell>
          <cell r="AJ85" t="str">
            <v>Hoàng Chiến Thắng</v>
          </cell>
          <cell r="AK85" t="str">
            <v>P. Chỉ huy trưởng</v>
          </cell>
          <cell r="AL85" t="str">
            <v>Trịnh Quang Đức</v>
          </cell>
          <cell r="AM85" t="str">
            <v>Cán bộ kỹ thuật</v>
          </cell>
          <cell r="AN85" t="str">
            <v>KT-105; KT-105DC; KT-100</v>
          </cell>
          <cell r="AQ85" t="str">
            <v>Ngày 5 Tháng 10 Năm 2015</v>
          </cell>
        </row>
        <row r="86">
          <cell r="A86" t="str">
            <v>CP-76</v>
          </cell>
          <cell r="B86" t="str">
            <v>Cốp pha cột thang máy bổ sung tầng : 01, 02, 03, 04, 05, 06, 07, 08, 09, 10, 11</v>
          </cell>
          <cell r="C86" t="str">
            <v>CP-76</v>
          </cell>
          <cell r="D86" t="str">
            <v>15h00</v>
          </cell>
          <cell r="E86" t="str">
            <v>16h00</v>
          </cell>
          <cell r="F86">
            <v>31</v>
          </cell>
          <cell r="G86">
            <v>8</v>
          </cell>
          <cell r="H86">
            <v>2015</v>
          </cell>
          <cell r="I86" t="str">
            <v>Hà Nội, ngày 31 tháng 8 năm 2015</v>
          </cell>
          <cell r="J86" t="str">
            <v>15h00 ngày 31 tháng 8 năm 2015</v>
          </cell>
          <cell r="K86" t="str">
            <v>16h00 ngày 31 tháng 8 năm 2015</v>
          </cell>
          <cell r="L86" t="str">
            <v>16h10</v>
          </cell>
          <cell r="M86" t="str">
            <v>17h00</v>
          </cell>
          <cell r="N86">
            <v>31</v>
          </cell>
          <cell r="O86">
            <v>8</v>
          </cell>
          <cell r="P86">
            <v>2015</v>
          </cell>
          <cell r="Q86" t="str">
            <v>Hà Nội, ngày 31 tháng 8 năm 2015</v>
          </cell>
          <cell r="R86" t="str">
            <v>16h10 ngày 31 tháng 8 năm 2015</v>
          </cell>
          <cell r="S86" t="str">
            <v>17h00 ngày 31 tháng 8 năm 2015</v>
          </cell>
          <cell r="T86" t="str">
            <v>16h10</v>
          </cell>
          <cell r="U86" t="str">
            <v>16h10 Ngày 31/8/2015</v>
          </cell>
          <cell r="V86" t="str">
            <v>Nguyễn Ái Việt</v>
          </cell>
          <cell r="W86" t="str">
            <v>Chỉ huy trưởng</v>
          </cell>
          <cell r="X86" t="str">
            <v>................................</v>
          </cell>
          <cell r="Y86" t="str">
            <v>................................</v>
          </cell>
          <cell r="Z86" t="str">
            <v>Nguyễn Văn Nghiễm</v>
          </cell>
          <cell r="AA86" t="str">
            <v>Cán bộ KCS</v>
          </cell>
          <cell r="AB86" t="str">
            <v>Vương Toàn Hiếu</v>
          </cell>
          <cell r="AC86" t="str">
            <v>Trưởng đoàn TVGS</v>
          </cell>
          <cell r="AD86" t="str">
            <v>Lê Thiều Nam</v>
          </cell>
          <cell r="AE86" t="str">
            <v>Cán bộ TVGS</v>
          </cell>
          <cell r="AF86" t="str">
            <v>................................</v>
          </cell>
          <cell r="AG86" t="str">
            <v>................................</v>
          </cell>
          <cell r="AH86" t="str">
            <v>Nguyễn Ái Việt</v>
          </cell>
          <cell r="AI86" t="str">
            <v>Chỉ huy trưởng</v>
          </cell>
          <cell r="AJ86" t="str">
            <v>Hoàng Chiến Thắng</v>
          </cell>
          <cell r="AK86" t="str">
            <v>P. Chỉ huy trưởng</v>
          </cell>
          <cell r="AL86" t="str">
            <v>Trịnh Quang Đức</v>
          </cell>
          <cell r="AM86" t="str">
            <v>Cán bộ kỹ thuật</v>
          </cell>
          <cell r="AN86" t="str">
            <v>KCĐCBS-05</v>
          </cell>
          <cell r="AQ86" t="str">
            <v>Ngày 31 Tháng 8 Năm 2015</v>
          </cell>
        </row>
        <row r="87">
          <cell r="A87" t="str">
            <v>CP-77</v>
          </cell>
          <cell r="B87" t="str">
            <v>Cốp pha bê tông nền tầng 02</v>
          </cell>
          <cell r="C87" t="str">
            <v>CP-77</v>
          </cell>
          <cell r="D87" t="str">
            <v>8h00</v>
          </cell>
          <cell r="E87" t="str">
            <v>9h00</v>
          </cell>
          <cell r="F87">
            <v>15</v>
          </cell>
          <cell r="G87">
            <v>10</v>
          </cell>
          <cell r="H87">
            <v>2015</v>
          </cell>
          <cell r="I87" t="str">
            <v>Hà Nội, ngày 15 tháng 10 năm 2015</v>
          </cell>
          <cell r="J87" t="str">
            <v>8h00 ngày 15 tháng 10 năm 2015</v>
          </cell>
          <cell r="K87" t="str">
            <v>9h00 ngày 15 tháng 10 năm 2015</v>
          </cell>
          <cell r="L87" t="str">
            <v>9h15</v>
          </cell>
          <cell r="M87" t="str">
            <v>10h15</v>
          </cell>
          <cell r="N87">
            <v>15</v>
          </cell>
          <cell r="O87">
            <v>10</v>
          </cell>
          <cell r="P87">
            <v>2015</v>
          </cell>
          <cell r="Q87" t="str">
            <v>Hà Nội, ngày 15 tháng 10 năm 2015</v>
          </cell>
          <cell r="R87" t="str">
            <v>9h15 ngày 15 tháng 10 năm 2015</v>
          </cell>
          <cell r="S87" t="str">
            <v>10h15 ngày 15 tháng 10 năm 2015</v>
          </cell>
          <cell r="T87" t="str">
            <v>9h15</v>
          </cell>
          <cell r="U87" t="str">
            <v>9h15 Ngày 15/10/2015</v>
          </cell>
          <cell r="V87" t="str">
            <v>Nguyễn Ái Việt</v>
          </cell>
          <cell r="W87" t="str">
            <v>Chỉ huy trưởng</v>
          </cell>
          <cell r="X87" t="str">
            <v>................................</v>
          </cell>
          <cell r="Y87" t="str">
            <v>................................</v>
          </cell>
          <cell r="Z87" t="str">
            <v>Nguyễn Văn Nghiễm</v>
          </cell>
          <cell r="AA87" t="str">
            <v>Cán bộ KCS</v>
          </cell>
          <cell r="AB87" t="str">
            <v>Vương Toàn Hiếu</v>
          </cell>
          <cell r="AC87" t="str">
            <v>Trưởng đoàn TVGS</v>
          </cell>
          <cell r="AD87" t="str">
            <v>Lê Thiều Nam</v>
          </cell>
          <cell r="AE87" t="str">
            <v>Cán bộ TVGS</v>
          </cell>
          <cell r="AF87" t="str">
            <v>................................</v>
          </cell>
          <cell r="AG87" t="str">
            <v>................................</v>
          </cell>
          <cell r="AH87" t="str">
            <v>Nguyễn Ái Việt</v>
          </cell>
          <cell r="AI87" t="str">
            <v>Chỉ huy trưởng</v>
          </cell>
          <cell r="AJ87" t="str">
            <v>Hoàng Chiến Thắng</v>
          </cell>
          <cell r="AK87" t="str">
            <v>P. Chỉ huy trưởng</v>
          </cell>
          <cell r="AL87" t="str">
            <v>Trịnh Quang Đức</v>
          </cell>
          <cell r="AM87" t="str">
            <v>Cán bộ kỹ thuật</v>
          </cell>
          <cell r="AN87" t="str">
            <v>KT-102DC</v>
          </cell>
          <cell r="AQ87" t="str">
            <v>Ngày 15 Tháng 10 Năm 2015</v>
          </cell>
        </row>
        <row r="88">
          <cell r="A88" t="str">
            <v>CP-78</v>
          </cell>
          <cell r="C88" t="str">
            <v>CP-78</v>
          </cell>
          <cell r="D88" t="str">
            <v>……</v>
          </cell>
          <cell r="E88" t="str">
            <v>……</v>
          </cell>
          <cell r="F88" t="str">
            <v>……</v>
          </cell>
          <cell r="G88" t="str">
            <v>……</v>
          </cell>
          <cell r="H88" t="str">
            <v>……</v>
          </cell>
          <cell r="I88" t="str">
            <v>Hà Nội, ngày …… tháng …… năm ……</v>
          </cell>
          <cell r="J88" t="str">
            <v>…… ngày …… tháng …… năm ……</v>
          </cell>
          <cell r="K88" t="str">
            <v>…… ngày …… tháng …… năm ……</v>
          </cell>
          <cell r="L88" t="str">
            <v>……</v>
          </cell>
          <cell r="M88" t="str">
            <v>……</v>
          </cell>
          <cell r="N88" t="str">
            <v>……</v>
          </cell>
          <cell r="O88" t="str">
            <v>……</v>
          </cell>
          <cell r="P88" t="str">
            <v>……</v>
          </cell>
          <cell r="Q88" t="str">
            <v>Hà Nội, ngày …… tháng …… năm ……</v>
          </cell>
          <cell r="R88" t="str">
            <v>…… ngày …… tháng …… năm ……</v>
          </cell>
          <cell r="S88" t="str">
            <v>…… ngày …… tháng …… năm ……</v>
          </cell>
          <cell r="T88" t="str">
            <v>……</v>
          </cell>
          <cell r="U88" t="str">
            <v>…… Ngày ……/……/……</v>
          </cell>
          <cell r="V88" t="str">
            <v>Nguyễn Ái Việt</v>
          </cell>
          <cell r="W88" t="str">
            <v>Chỉ huy trưởng</v>
          </cell>
          <cell r="X88" t="str">
            <v>................................</v>
          </cell>
          <cell r="Y88" t="str">
            <v>................................</v>
          </cell>
          <cell r="Z88" t="str">
            <v>Nguyễn Văn Nghiễm</v>
          </cell>
          <cell r="AA88" t="str">
            <v>Cán bộ KCS</v>
          </cell>
          <cell r="AB88" t="str">
            <v>Vương Toàn Hiếu</v>
          </cell>
          <cell r="AC88" t="str">
            <v>Trưởng đoàn TVGS</v>
          </cell>
          <cell r="AD88" t="str">
            <v>Lê Thiều Nam</v>
          </cell>
          <cell r="AE88" t="str">
            <v>Cán bộ TVGS</v>
          </cell>
          <cell r="AF88" t="str">
            <v>................................</v>
          </cell>
          <cell r="AG88" t="str">
            <v>................................</v>
          </cell>
          <cell r="AH88" t="str">
            <v>Nguyễn Ái Việt</v>
          </cell>
          <cell r="AI88" t="str">
            <v>Chỉ huy trưởng</v>
          </cell>
          <cell r="AJ88" t="str">
            <v>Hoàng Chiến Thắng</v>
          </cell>
          <cell r="AK88" t="str">
            <v>P. Chỉ huy trưởng</v>
          </cell>
          <cell r="AL88" t="str">
            <v>Trịnh Quang Đức</v>
          </cell>
          <cell r="AM88" t="str">
            <v>Cán bộ kỹ thuật</v>
          </cell>
          <cell r="AQ88" t="str">
            <v>Ngày …… Tháng …… Năm ……</v>
          </cell>
        </row>
        <row r="89">
          <cell r="A89" t="str">
            <v>CP-79</v>
          </cell>
          <cell r="C89" t="str">
            <v>CP-79</v>
          </cell>
          <cell r="D89" t="str">
            <v>……</v>
          </cell>
          <cell r="E89" t="str">
            <v>……</v>
          </cell>
          <cell r="F89" t="str">
            <v>……</v>
          </cell>
          <cell r="G89" t="str">
            <v>……</v>
          </cell>
          <cell r="H89" t="str">
            <v>……</v>
          </cell>
          <cell r="I89" t="str">
            <v>Hà Nội, ngày …… tháng …… năm ……</v>
          </cell>
          <cell r="J89" t="str">
            <v>…… ngày …… tháng …… năm ……</v>
          </cell>
          <cell r="K89" t="str">
            <v>…… ngày …… tháng …… năm ……</v>
          </cell>
          <cell r="L89" t="str">
            <v>……</v>
          </cell>
          <cell r="M89" t="str">
            <v>……</v>
          </cell>
          <cell r="N89" t="str">
            <v>……</v>
          </cell>
          <cell r="O89" t="str">
            <v>……</v>
          </cell>
          <cell r="P89" t="str">
            <v>……</v>
          </cell>
          <cell r="Q89" t="str">
            <v>Hà Nội, ngày …… tháng …… năm ……</v>
          </cell>
          <cell r="R89" t="str">
            <v>…… ngày …… tháng …… năm ……</v>
          </cell>
          <cell r="S89" t="str">
            <v>…… ngày …… tháng …… năm ……</v>
          </cell>
          <cell r="T89" t="str">
            <v>……</v>
          </cell>
          <cell r="U89" t="str">
            <v>…… Ngày ……/……/……</v>
          </cell>
          <cell r="V89" t="str">
            <v>Nguyễn Ái Việt</v>
          </cell>
          <cell r="W89" t="str">
            <v>Chỉ huy trưởng</v>
          </cell>
          <cell r="X89" t="str">
            <v>................................</v>
          </cell>
          <cell r="Y89" t="str">
            <v>................................</v>
          </cell>
          <cell r="Z89" t="str">
            <v>Nguyễn Văn Nghiễm</v>
          </cell>
          <cell r="AA89" t="str">
            <v>Cán bộ KCS</v>
          </cell>
          <cell r="AB89" t="str">
            <v>Vương Toàn Hiếu</v>
          </cell>
          <cell r="AC89" t="str">
            <v>Trưởng đoàn TVGS</v>
          </cell>
          <cell r="AD89" t="str">
            <v>Lê Thiều Nam</v>
          </cell>
          <cell r="AE89" t="str">
            <v>Cán bộ TVGS</v>
          </cell>
          <cell r="AF89" t="str">
            <v>................................</v>
          </cell>
          <cell r="AG89" t="str">
            <v>................................</v>
          </cell>
          <cell r="AH89" t="str">
            <v>Nguyễn Ái Việt</v>
          </cell>
          <cell r="AI89" t="str">
            <v>Chỉ huy trưởng</v>
          </cell>
          <cell r="AJ89" t="str">
            <v>Hoàng Chiến Thắng</v>
          </cell>
          <cell r="AK89" t="str">
            <v>P. Chỉ huy trưởng</v>
          </cell>
          <cell r="AL89" t="str">
            <v>Trịnh Quang Đức</v>
          </cell>
          <cell r="AM89" t="str">
            <v>Cán bộ kỹ thuật</v>
          </cell>
          <cell r="AQ89" t="str">
            <v>Ngày …… Tháng …… Năm ……</v>
          </cell>
        </row>
        <row r="90">
          <cell r="D90" t="str">
            <v>……</v>
          </cell>
          <cell r="E90" t="str">
            <v>……</v>
          </cell>
          <cell r="F90" t="str">
            <v>……</v>
          </cell>
          <cell r="G90" t="str">
            <v>……</v>
          </cell>
          <cell r="H90" t="str">
            <v>……</v>
          </cell>
          <cell r="I90" t="str">
            <v>Hà Nội, ngày …… tháng …… năm ……</v>
          </cell>
          <cell r="J90" t="str">
            <v>…… ngày …… tháng …… năm ……</v>
          </cell>
          <cell r="K90" t="str">
            <v>…… ngày …… tháng …… năm ……</v>
          </cell>
          <cell r="L90" t="str">
            <v>……</v>
          </cell>
          <cell r="M90" t="str">
            <v>……</v>
          </cell>
          <cell r="N90" t="str">
            <v>……</v>
          </cell>
          <cell r="O90" t="str">
            <v>……</v>
          </cell>
          <cell r="P90" t="str">
            <v>……</v>
          </cell>
          <cell r="Q90" t="str">
            <v>Hà Nội, ngày …… tháng …… năm ……</v>
          </cell>
          <cell r="R90" t="str">
            <v>…… ngày …… tháng …… năm ……</v>
          </cell>
          <cell r="S90" t="str">
            <v>…… ngày …… tháng …… năm ……</v>
          </cell>
          <cell r="T90" t="str">
            <v>……</v>
          </cell>
          <cell r="U90" t="str">
            <v>…… Ngày ……/……/……</v>
          </cell>
          <cell r="V90" t="str">
            <v>Nguyễn Ái Việt</v>
          </cell>
          <cell r="W90" t="str">
            <v>Chỉ huy trưởng</v>
          </cell>
          <cell r="X90" t="str">
            <v>................................</v>
          </cell>
          <cell r="Y90" t="str">
            <v>................................</v>
          </cell>
          <cell r="Z90" t="str">
            <v>Nguyễn Văn Nghiễm</v>
          </cell>
          <cell r="AA90" t="str">
            <v>Cán bộ KCS</v>
          </cell>
          <cell r="AB90" t="str">
            <v>Vương Toàn Hiếu</v>
          </cell>
          <cell r="AC90" t="str">
            <v>Trưởng đoàn TVGS</v>
          </cell>
          <cell r="AD90" t="str">
            <v>Lê Thiều Nam</v>
          </cell>
          <cell r="AE90" t="str">
            <v>Cán bộ TVGS</v>
          </cell>
          <cell r="AF90" t="str">
            <v>................................</v>
          </cell>
          <cell r="AG90" t="str">
            <v>................................</v>
          </cell>
          <cell r="AH90" t="str">
            <v>Nguyễn Ái Việt</v>
          </cell>
          <cell r="AI90" t="str">
            <v>Chỉ huy trưởng</v>
          </cell>
          <cell r="AJ90" t="str">
            <v>Hoàng Chiến Thắng</v>
          </cell>
          <cell r="AK90" t="str">
            <v>P. Chỉ huy trưởng</v>
          </cell>
          <cell r="AL90" t="str">
            <v>Trịnh Quang Đức</v>
          </cell>
          <cell r="AM90" t="str">
            <v>Cán bộ kỹ thuật</v>
          </cell>
          <cell r="AQ90" t="str">
            <v>Ngày …… Tháng …… Năm ……</v>
          </cell>
        </row>
        <row r="91">
          <cell r="D91" t="str">
            <v>……</v>
          </cell>
          <cell r="E91" t="str">
            <v>……</v>
          </cell>
          <cell r="F91" t="str">
            <v>……</v>
          </cell>
          <cell r="G91" t="str">
            <v>……</v>
          </cell>
          <cell r="H91" t="str">
            <v>……</v>
          </cell>
          <cell r="I91" t="str">
            <v>Hà Nội, ngày …… tháng …… năm ……</v>
          </cell>
          <cell r="J91" t="str">
            <v>…… ngày …… tháng …… năm ……</v>
          </cell>
          <cell r="K91" t="str">
            <v>…… ngày …… tháng …… năm ……</v>
          </cell>
          <cell r="L91" t="str">
            <v>……</v>
          </cell>
          <cell r="M91" t="str">
            <v>……</v>
          </cell>
          <cell r="N91" t="str">
            <v>……</v>
          </cell>
          <cell r="O91" t="str">
            <v>……</v>
          </cell>
          <cell r="P91" t="str">
            <v>……</v>
          </cell>
          <cell r="Q91" t="str">
            <v>Hà Nội, ngày …… tháng …… năm ……</v>
          </cell>
          <cell r="R91" t="str">
            <v>…… ngày …… tháng …… năm ……</v>
          </cell>
          <cell r="S91" t="str">
            <v>…… ngày …… tháng …… năm ……</v>
          </cell>
          <cell r="T91" t="str">
            <v>……</v>
          </cell>
          <cell r="U91" t="str">
            <v>…… Ngày ……/……/……</v>
          </cell>
          <cell r="V91" t="str">
            <v>Nguyễn Ái Việt</v>
          </cell>
          <cell r="W91" t="str">
            <v>Chỉ huy trưởng</v>
          </cell>
          <cell r="X91" t="str">
            <v>................................</v>
          </cell>
          <cell r="Y91" t="str">
            <v>................................</v>
          </cell>
          <cell r="Z91" t="str">
            <v>Nguyễn Văn Nghiễm</v>
          </cell>
          <cell r="AA91" t="str">
            <v>Cán bộ KCS</v>
          </cell>
          <cell r="AB91" t="str">
            <v>Vương Toàn Hiếu</v>
          </cell>
          <cell r="AC91" t="str">
            <v>Trưởng đoàn TVGS</v>
          </cell>
          <cell r="AD91" t="str">
            <v>Lê Thiều Nam</v>
          </cell>
          <cell r="AE91" t="str">
            <v>Cán bộ TVGS</v>
          </cell>
          <cell r="AF91" t="str">
            <v>................................</v>
          </cell>
          <cell r="AG91" t="str">
            <v>................................</v>
          </cell>
          <cell r="AH91" t="str">
            <v>Nguyễn Ái Việt</v>
          </cell>
          <cell r="AI91" t="str">
            <v>Chỉ huy trưởng</v>
          </cell>
          <cell r="AJ91" t="str">
            <v>Hoàng Chiến Thắng</v>
          </cell>
          <cell r="AK91" t="str">
            <v>P. Chỉ huy trưởng</v>
          </cell>
          <cell r="AL91" t="str">
            <v>Trịnh Quang Đức</v>
          </cell>
          <cell r="AM91" t="str">
            <v>Cán bộ kỹ thuật</v>
          </cell>
          <cell r="AQ91" t="str">
            <v>Ngày …… Tháng …… Năm ……</v>
          </cell>
        </row>
        <row r="92">
          <cell r="A92" t="str">
            <v>CPLT-01</v>
          </cell>
          <cell r="B92" t="str">
            <v>Cốp pha lanh tô tầng 01, tầng 02</v>
          </cell>
          <cell r="C92" t="str">
            <v>CPLT-01</v>
          </cell>
          <cell r="D92" t="str">
            <v>8h30</v>
          </cell>
          <cell r="E92" t="str">
            <v>9h30</v>
          </cell>
          <cell r="F92">
            <v>10</v>
          </cell>
          <cell r="G92">
            <v>4</v>
          </cell>
          <cell r="H92">
            <v>2015</v>
          </cell>
          <cell r="I92" t="str">
            <v>Hà Nội, ngày 10 tháng 4 năm 2015</v>
          </cell>
          <cell r="J92" t="str">
            <v>8h30 ngày 10 tháng 4 năm 2015</v>
          </cell>
          <cell r="K92" t="str">
            <v>9h30 ngày 10 tháng 4 năm 2015</v>
          </cell>
          <cell r="L92" t="str">
            <v>9h30</v>
          </cell>
          <cell r="M92" t="str">
            <v>10h30</v>
          </cell>
          <cell r="N92">
            <v>10</v>
          </cell>
          <cell r="O92">
            <v>4</v>
          </cell>
          <cell r="P92">
            <v>2015</v>
          </cell>
          <cell r="Q92" t="str">
            <v>Hà Nội, ngày 10 tháng 4 năm 2015</v>
          </cell>
          <cell r="R92" t="str">
            <v>9h30 ngày 10 tháng 4 năm 2015</v>
          </cell>
          <cell r="S92" t="str">
            <v>10h30 ngày 10 tháng 4 năm 2015</v>
          </cell>
          <cell r="T92" t="str">
            <v>9h30</v>
          </cell>
          <cell r="U92" t="str">
            <v>9h30 Ngày 10/4/2015</v>
          </cell>
          <cell r="V92" t="str">
            <v>Nguyễn Ái Việt</v>
          </cell>
          <cell r="W92" t="str">
            <v>Chỉ huy trưởng</v>
          </cell>
          <cell r="X92" t="str">
            <v>................................</v>
          </cell>
          <cell r="Y92" t="str">
            <v>................................</v>
          </cell>
          <cell r="Z92" t="str">
            <v>Nguyễn Văn Nghiễm</v>
          </cell>
          <cell r="AA92" t="str">
            <v>Cán bộ KCS</v>
          </cell>
          <cell r="AB92" t="str">
            <v>Vương Toàn Hiếu</v>
          </cell>
          <cell r="AC92" t="str">
            <v>Trưởng đoàn TVGS</v>
          </cell>
          <cell r="AD92" t="str">
            <v>Lê Thiều Nam</v>
          </cell>
          <cell r="AE92" t="str">
            <v>Cán bộ TVGS</v>
          </cell>
          <cell r="AF92" t="str">
            <v>................................</v>
          </cell>
          <cell r="AG92" t="str">
            <v>................................</v>
          </cell>
          <cell r="AH92" t="str">
            <v>Nguyễn Ái Việt</v>
          </cell>
          <cell r="AI92" t="str">
            <v>Chỉ huy trưởng</v>
          </cell>
          <cell r="AJ92" t="str">
            <v>Hoàng Chiến Thắng</v>
          </cell>
          <cell r="AK92" t="str">
            <v>P. Chỉ huy trưởng</v>
          </cell>
          <cell r="AL92" t="str">
            <v>Trịnh Quang Đức</v>
          </cell>
          <cell r="AM92" t="str">
            <v>Cán bộ kỹ thuật</v>
          </cell>
          <cell r="AN92" t="str">
            <v>KCĐCBS-01A; KCĐCBS-01B; KCĐCBS-03</v>
          </cell>
          <cell r="AQ92" t="str">
            <v>Ngày 10 Tháng 4 Năm 2015</v>
          </cell>
        </row>
        <row r="93">
          <cell r="A93" t="str">
            <v>CPLT-02</v>
          </cell>
          <cell r="B93" t="str">
            <v>Cốp pha lanh tô tầng 03, tầng 04, tầng 05</v>
          </cell>
          <cell r="C93" t="str">
            <v>CPLT-02</v>
          </cell>
          <cell r="D93" t="str">
            <v>9h00</v>
          </cell>
          <cell r="E93" t="str">
            <v>10h00</v>
          </cell>
          <cell r="F93">
            <v>12</v>
          </cell>
          <cell r="G93">
            <v>6</v>
          </cell>
          <cell r="H93">
            <v>2015</v>
          </cell>
          <cell r="I93" t="str">
            <v>Hà Nội, ngày 12 tháng 6 năm 2015</v>
          </cell>
          <cell r="J93" t="str">
            <v>9h00 ngày 12 tháng 6 năm 2015</v>
          </cell>
          <cell r="K93" t="str">
            <v>10h00 ngày 28 tháng 6 năm 2015</v>
          </cell>
          <cell r="L93" t="str">
            <v>10h00</v>
          </cell>
          <cell r="M93" t="str">
            <v>11h00</v>
          </cell>
          <cell r="N93">
            <v>28</v>
          </cell>
          <cell r="O93">
            <v>6</v>
          </cell>
          <cell r="P93">
            <v>2015</v>
          </cell>
          <cell r="Q93" t="str">
            <v>Hà Nội, ngày 28 tháng 6 năm 2015</v>
          </cell>
          <cell r="R93" t="str">
            <v>10h00 ngày 12 tháng 6 năm 2015</v>
          </cell>
          <cell r="S93" t="str">
            <v>11h00 ngày 28 tháng 6 năm 2015</v>
          </cell>
          <cell r="T93" t="str">
            <v>10h00</v>
          </cell>
          <cell r="U93" t="str">
            <v>10h00 Ngày 12/6/2015</v>
          </cell>
          <cell r="V93" t="str">
            <v>Nguyễn Ái Việt</v>
          </cell>
          <cell r="W93" t="str">
            <v>Chỉ huy trưởng</v>
          </cell>
          <cell r="X93" t="str">
            <v>................................</v>
          </cell>
          <cell r="Y93" t="str">
            <v>................................</v>
          </cell>
          <cell r="Z93" t="str">
            <v>Nguyễn Văn Nghiễm</v>
          </cell>
          <cell r="AA93" t="str">
            <v>Cán bộ KCS</v>
          </cell>
          <cell r="AB93" t="str">
            <v>Vương Toàn Hiếu</v>
          </cell>
          <cell r="AC93" t="str">
            <v>Trưởng đoàn TVGS</v>
          </cell>
          <cell r="AD93" t="str">
            <v>Lê Thiều Nam</v>
          </cell>
          <cell r="AE93" t="str">
            <v>Cán bộ TVGS</v>
          </cell>
          <cell r="AF93" t="str">
            <v>................................</v>
          </cell>
          <cell r="AG93" t="str">
            <v>................................</v>
          </cell>
          <cell r="AH93" t="str">
            <v>Nguyễn Ái Việt</v>
          </cell>
          <cell r="AI93" t="str">
            <v>Chỉ huy trưởng</v>
          </cell>
          <cell r="AJ93" t="str">
            <v>Hoàng Chiến Thắng</v>
          </cell>
          <cell r="AK93" t="str">
            <v>P. Chỉ huy trưởng</v>
          </cell>
          <cell r="AL93" t="str">
            <v>Trịnh Quang Đức</v>
          </cell>
          <cell r="AM93" t="str">
            <v>Cán bộ kỹ thuật</v>
          </cell>
          <cell r="AN93" t="str">
            <v>KCĐCBS-01; KCĐCBS-03</v>
          </cell>
          <cell r="AQ93" t="str">
            <v>Ngày 12 Tháng 6 Năm 2015</v>
          </cell>
        </row>
        <row r="94">
          <cell r="A94" t="str">
            <v>CPLT-03</v>
          </cell>
          <cell r="B94" t="str">
            <v>Cốp pha lanh tô tầng 06, tầng 07, tầng 08</v>
          </cell>
          <cell r="C94" t="str">
            <v>CPLT-03</v>
          </cell>
          <cell r="D94" t="str">
            <v>8h00</v>
          </cell>
          <cell r="E94" t="str">
            <v>9h00</v>
          </cell>
          <cell r="F94">
            <v>15</v>
          </cell>
          <cell r="G94">
            <v>7</v>
          </cell>
          <cell r="H94">
            <v>2015</v>
          </cell>
          <cell r="I94" t="str">
            <v>Hà Nội, ngày 15 tháng 7 năm 2015</v>
          </cell>
          <cell r="J94" t="str">
            <v>8h00 ngày 15 tháng 7 năm 2015</v>
          </cell>
          <cell r="K94" t="str">
            <v>9h00 ngày 23 tháng 7 năm 2015</v>
          </cell>
          <cell r="L94" t="str">
            <v>9h00</v>
          </cell>
          <cell r="M94" t="str">
            <v>10h00</v>
          </cell>
          <cell r="N94">
            <v>23</v>
          </cell>
          <cell r="O94">
            <v>7</v>
          </cell>
          <cell r="P94">
            <v>2015</v>
          </cell>
          <cell r="Q94" t="str">
            <v>Hà Nội, ngày 23 tháng 7 năm 2015</v>
          </cell>
          <cell r="R94" t="str">
            <v>9h00 ngày 15 tháng 7 năm 2015</v>
          </cell>
          <cell r="S94" t="str">
            <v>10h00 ngày 23 tháng 7 năm 2015</v>
          </cell>
          <cell r="T94" t="str">
            <v>9h00</v>
          </cell>
          <cell r="U94" t="str">
            <v>9h00 Ngày 15/7/2015</v>
          </cell>
          <cell r="V94" t="str">
            <v>Nguyễn Ái Việt</v>
          </cell>
          <cell r="W94" t="str">
            <v>Chỉ huy trưởng</v>
          </cell>
          <cell r="X94" t="str">
            <v>................................</v>
          </cell>
          <cell r="Y94" t="str">
            <v>................................</v>
          </cell>
          <cell r="Z94" t="str">
            <v>Nguyễn Văn Nghiễm</v>
          </cell>
          <cell r="AA94" t="str">
            <v>Cán bộ KCS</v>
          </cell>
          <cell r="AB94" t="str">
            <v>Vương Toàn Hiếu</v>
          </cell>
          <cell r="AC94" t="str">
            <v>Trưởng đoàn TVGS</v>
          </cell>
          <cell r="AD94" t="str">
            <v>Lê Thiều Nam</v>
          </cell>
          <cell r="AE94" t="str">
            <v>Cán bộ TVGS</v>
          </cell>
          <cell r="AF94" t="str">
            <v>................................</v>
          </cell>
          <cell r="AG94" t="str">
            <v>................................</v>
          </cell>
          <cell r="AH94" t="str">
            <v>Nguyễn Ái Việt</v>
          </cell>
          <cell r="AI94" t="str">
            <v>Chỉ huy trưởng</v>
          </cell>
          <cell r="AJ94" t="str">
            <v>Hoàng Chiến Thắng</v>
          </cell>
          <cell r="AK94" t="str">
            <v>P. Chỉ huy trưởng</v>
          </cell>
          <cell r="AL94" t="str">
            <v>Trịnh Quang Đức</v>
          </cell>
          <cell r="AM94" t="str">
            <v>Cán bộ kỹ thuật</v>
          </cell>
          <cell r="AN94" t="str">
            <v>KCĐCBS-01; KCĐCBS-03</v>
          </cell>
          <cell r="AQ94" t="str">
            <v>Ngày 15 Tháng 7 Năm 2015</v>
          </cell>
        </row>
        <row r="95">
          <cell r="A95" t="str">
            <v>CPLT-04</v>
          </cell>
          <cell r="B95" t="str">
            <v>Cốp pha lanh tô tầng 09, tầng 10, tầng 11</v>
          </cell>
          <cell r="C95" t="str">
            <v>CPLT-04</v>
          </cell>
          <cell r="D95" t="str">
            <v>9h00</v>
          </cell>
          <cell r="E95" t="str">
            <v>10h00</v>
          </cell>
          <cell r="F95">
            <v>28</v>
          </cell>
          <cell r="G95">
            <v>7</v>
          </cell>
          <cell r="H95">
            <v>2015</v>
          </cell>
          <cell r="I95" t="str">
            <v>Hà Nội, ngày 28 tháng 7 năm 2015</v>
          </cell>
          <cell r="J95" t="str">
            <v>9h00 ngày 28 tháng 7 năm 2015</v>
          </cell>
          <cell r="K95" t="str">
            <v>10h00 ngày 10 tháng 8 năm 2015</v>
          </cell>
          <cell r="L95" t="str">
            <v>10h00</v>
          </cell>
          <cell r="M95" t="str">
            <v>11h00</v>
          </cell>
          <cell r="N95">
            <v>10</v>
          </cell>
          <cell r="O95">
            <v>8</v>
          </cell>
          <cell r="P95">
            <v>2015</v>
          </cell>
          <cell r="Q95" t="str">
            <v>Hà Nội, ngày 10 tháng 8 năm 2015</v>
          </cell>
          <cell r="R95" t="str">
            <v>10h00 ngày 28 tháng 7 năm 2015</v>
          </cell>
          <cell r="S95" t="str">
            <v>11h00 ngày 10 tháng 8 năm 2015</v>
          </cell>
          <cell r="T95" t="str">
            <v>10h00</v>
          </cell>
          <cell r="U95" t="str">
            <v>10h00 Ngày 28/7/2015</v>
          </cell>
          <cell r="V95" t="str">
            <v>Nguyễn Ái Việt</v>
          </cell>
          <cell r="W95" t="str">
            <v>Chỉ huy trưởng</v>
          </cell>
          <cell r="X95" t="str">
            <v>................................</v>
          </cell>
          <cell r="Y95" t="str">
            <v>................................</v>
          </cell>
          <cell r="Z95" t="str">
            <v>Nguyễn Văn Nghiễm</v>
          </cell>
          <cell r="AA95" t="str">
            <v>Cán bộ KCS</v>
          </cell>
          <cell r="AB95" t="str">
            <v>Vương Toàn Hiếu</v>
          </cell>
          <cell r="AC95" t="str">
            <v>Trưởng đoàn TVGS</v>
          </cell>
          <cell r="AD95" t="str">
            <v>Lê Thiều Nam</v>
          </cell>
          <cell r="AE95" t="str">
            <v>Cán bộ TVGS</v>
          </cell>
          <cell r="AF95" t="str">
            <v>................................</v>
          </cell>
          <cell r="AG95" t="str">
            <v>................................</v>
          </cell>
          <cell r="AH95" t="str">
            <v>Nguyễn Ái Việt</v>
          </cell>
          <cell r="AI95" t="str">
            <v>Chỉ huy trưởng</v>
          </cell>
          <cell r="AJ95" t="str">
            <v>Hoàng Chiến Thắng</v>
          </cell>
          <cell r="AK95" t="str">
            <v>P. Chỉ huy trưởng</v>
          </cell>
          <cell r="AL95" t="str">
            <v>Trịnh Quang Đức</v>
          </cell>
          <cell r="AM95" t="str">
            <v>Cán bộ kỹ thuật</v>
          </cell>
          <cell r="AN95" t="str">
            <v>KCĐCBS-01; KCĐCBS-03</v>
          </cell>
          <cell r="AQ95" t="str">
            <v>Ngày 28 Tháng 7 Năm 2015</v>
          </cell>
        </row>
        <row r="96">
          <cell r="A96" t="str">
            <v>CPLT-05</v>
          </cell>
          <cell r="B96" t="str">
            <v>Cốp pha lanh tô tầng áp mái</v>
          </cell>
          <cell r="C96" t="str">
            <v>CPLT-05</v>
          </cell>
          <cell r="D96" t="str">
            <v>9h00</v>
          </cell>
          <cell r="E96" t="str">
            <v>9h45</v>
          </cell>
          <cell r="F96">
            <v>14</v>
          </cell>
          <cell r="G96">
            <v>8</v>
          </cell>
          <cell r="H96">
            <v>2015</v>
          </cell>
          <cell r="I96" t="str">
            <v>Hà Nội, ngày 14 tháng 8 năm 2015</v>
          </cell>
          <cell r="J96" t="str">
            <v>9h00 ngày 14 tháng 8 năm 2015</v>
          </cell>
          <cell r="K96" t="str">
            <v>9h45 ngày 14 tháng 8 năm 2015</v>
          </cell>
          <cell r="L96" t="str">
            <v>9h45</v>
          </cell>
          <cell r="M96" t="str">
            <v>10h30</v>
          </cell>
          <cell r="N96">
            <v>14</v>
          </cell>
          <cell r="O96">
            <v>8</v>
          </cell>
          <cell r="P96">
            <v>2015</v>
          </cell>
          <cell r="Q96" t="str">
            <v>Hà Nội, ngày 14 tháng 8 năm 2015</v>
          </cell>
          <cell r="R96" t="str">
            <v>9h45 ngày 14 tháng 8 năm 2015</v>
          </cell>
          <cell r="S96" t="str">
            <v>10h30 ngày 14 tháng 8 năm 2015</v>
          </cell>
          <cell r="T96" t="str">
            <v>9h45</v>
          </cell>
          <cell r="U96" t="str">
            <v>9h45 Ngày 14/8/2015</v>
          </cell>
          <cell r="V96" t="str">
            <v>Nguyễn Ái Việt</v>
          </cell>
          <cell r="W96" t="str">
            <v>Chỉ huy trưởng</v>
          </cell>
          <cell r="X96" t="str">
            <v>................................</v>
          </cell>
          <cell r="Y96" t="str">
            <v>................................</v>
          </cell>
          <cell r="Z96" t="str">
            <v>Nguyễn Văn Nghiễm</v>
          </cell>
          <cell r="AA96" t="str">
            <v>Cán bộ KCS</v>
          </cell>
          <cell r="AB96" t="str">
            <v>Vương Toàn Hiếu</v>
          </cell>
          <cell r="AC96" t="str">
            <v>Trưởng đoàn TVGS</v>
          </cell>
          <cell r="AD96" t="str">
            <v>Lê Thiều Nam</v>
          </cell>
          <cell r="AE96" t="str">
            <v>Cán bộ TVGS</v>
          </cell>
          <cell r="AF96" t="str">
            <v>................................</v>
          </cell>
          <cell r="AG96" t="str">
            <v>................................</v>
          </cell>
          <cell r="AH96" t="str">
            <v>Nguyễn Ái Việt</v>
          </cell>
          <cell r="AI96" t="str">
            <v>Chỉ huy trưởng</v>
          </cell>
          <cell r="AJ96" t="str">
            <v>Hoàng Chiến Thắng</v>
          </cell>
          <cell r="AK96" t="str">
            <v>P. Chỉ huy trưởng</v>
          </cell>
          <cell r="AL96" t="str">
            <v>Trịnh Quang Đức</v>
          </cell>
          <cell r="AM96" t="str">
            <v>Cán bộ kỹ thuật</v>
          </cell>
          <cell r="AN96" t="str">
            <v>KCĐCBS-01; KCĐCBS-04</v>
          </cell>
          <cell r="AQ96" t="str">
            <v>Ngày 14 Tháng 8 Năm 2015</v>
          </cell>
        </row>
        <row r="97">
          <cell r="A97" t="str">
            <v>CPGLC-01</v>
          </cell>
          <cell r="B97" t="str">
            <v>Cốp pha giằng tường chân lan can lô gia căn hộ tầng 03, 04, 05</v>
          </cell>
          <cell r="C97" t="str">
            <v>CPGLC-01</v>
          </cell>
          <cell r="D97" t="str">
            <v>8h30</v>
          </cell>
          <cell r="E97" t="str">
            <v>9h30</v>
          </cell>
          <cell r="F97">
            <v>8</v>
          </cell>
          <cell r="G97">
            <v>6</v>
          </cell>
          <cell r="H97">
            <v>2015</v>
          </cell>
          <cell r="I97" t="str">
            <v>Hà Nội, ngày 8 tháng 6 năm 2015</v>
          </cell>
          <cell r="J97" t="str">
            <v>8h30 ngày 8 tháng 6 năm 2015</v>
          </cell>
          <cell r="K97" t="str">
            <v>9h30 ngày 30 tháng 6 năm 2015</v>
          </cell>
          <cell r="L97" t="str">
            <v>9h30</v>
          </cell>
          <cell r="M97" t="str">
            <v>10h30</v>
          </cell>
          <cell r="N97">
            <v>30</v>
          </cell>
          <cell r="O97">
            <v>6</v>
          </cell>
          <cell r="P97">
            <v>2015</v>
          </cell>
          <cell r="Q97" t="str">
            <v>Hà Nội, ngày 30 tháng 6 năm 2015</v>
          </cell>
          <cell r="R97" t="str">
            <v>9h30 ngày 8 tháng 6 năm 2015</v>
          </cell>
          <cell r="S97" t="str">
            <v>10h30 ngày 30 tháng 6 năm 2015</v>
          </cell>
          <cell r="T97" t="str">
            <v>9h30</v>
          </cell>
          <cell r="U97" t="str">
            <v>9h30 Ngày 8/6/2015</v>
          </cell>
          <cell r="V97" t="str">
            <v>Nguyễn Ái Việt</v>
          </cell>
          <cell r="W97" t="str">
            <v>Chỉ huy trưởng</v>
          </cell>
          <cell r="X97" t="str">
            <v>................................</v>
          </cell>
          <cell r="Y97" t="str">
            <v>................................</v>
          </cell>
          <cell r="Z97" t="str">
            <v>Nguyễn Văn Nghiễm</v>
          </cell>
          <cell r="AA97" t="str">
            <v>Cán bộ KCS</v>
          </cell>
          <cell r="AB97" t="str">
            <v>Vương Toàn Hiếu</v>
          </cell>
          <cell r="AC97" t="str">
            <v>Trưởng đoàn TVGS</v>
          </cell>
          <cell r="AD97" t="str">
            <v>Lê Thiều Nam</v>
          </cell>
          <cell r="AE97" t="str">
            <v>Cán bộ TVGS</v>
          </cell>
          <cell r="AF97" t="str">
            <v>................................</v>
          </cell>
          <cell r="AG97" t="str">
            <v>................................</v>
          </cell>
          <cell r="AH97" t="str">
            <v>Nguyễn Ái Việt</v>
          </cell>
          <cell r="AI97" t="str">
            <v>Chỉ huy trưởng</v>
          </cell>
          <cell r="AJ97" t="str">
            <v>Hoàng Chiến Thắng</v>
          </cell>
          <cell r="AK97" t="str">
            <v>P. Chỉ huy trưởng</v>
          </cell>
          <cell r="AL97" t="str">
            <v>Trịnh Quang Đức</v>
          </cell>
          <cell r="AM97" t="str">
            <v>Cán bộ kỹ thuật</v>
          </cell>
          <cell r="AN97" t="str">
            <v>KC-65; KT-502; KT-602</v>
          </cell>
          <cell r="AQ97" t="str">
            <v>Ngày 8 Tháng 6 Năm 2015</v>
          </cell>
        </row>
        <row r="98">
          <cell r="A98" t="str">
            <v>CPGLC-02</v>
          </cell>
          <cell r="B98" t="str">
            <v>Cốp pha giằng tường chân lan can lô gia căn hộ tầng 06, 07, 08</v>
          </cell>
          <cell r="C98" t="str">
            <v>CPGLC-02</v>
          </cell>
          <cell r="D98" t="str">
            <v>9h00</v>
          </cell>
          <cell r="E98" t="str">
            <v>10h00</v>
          </cell>
          <cell r="F98">
            <v>14</v>
          </cell>
          <cell r="G98">
            <v>7</v>
          </cell>
          <cell r="H98">
            <v>2015</v>
          </cell>
          <cell r="I98" t="str">
            <v>Hà Nội, ngày 14 tháng 7 năm 2015</v>
          </cell>
          <cell r="J98" t="str">
            <v>9h00 ngày 14 tháng 7 năm 2015</v>
          </cell>
          <cell r="K98" t="str">
            <v>10h00 ngày 20 tháng 7 năm 2015</v>
          </cell>
          <cell r="L98" t="str">
            <v>10h00</v>
          </cell>
          <cell r="M98" t="str">
            <v>11h00</v>
          </cell>
          <cell r="N98">
            <v>20</v>
          </cell>
          <cell r="O98">
            <v>7</v>
          </cell>
          <cell r="P98">
            <v>2015</v>
          </cell>
          <cell r="Q98" t="str">
            <v>Hà Nội, ngày 20 tháng 7 năm 2015</v>
          </cell>
          <cell r="R98" t="str">
            <v>10h00 ngày 14 tháng 7 năm 2015</v>
          </cell>
          <cell r="S98" t="str">
            <v>11h00 ngày 20 tháng 7 năm 2015</v>
          </cell>
          <cell r="T98" t="str">
            <v>10h00</v>
          </cell>
          <cell r="U98" t="str">
            <v>10h00 Ngày 14/7/2015</v>
          </cell>
          <cell r="V98" t="str">
            <v>Nguyễn Ái Việt</v>
          </cell>
          <cell r="W98" t="str">
            <v>Chỉ huy trưởng</v>
          </cell>
          <cell r="X98" t="str">
            <v>................................</v>
          </cell>
          <cell r="Y98" t="str">
            <v>................................</v>
          </cell>
          <cell r="Z98" t="str">
            <v>Nguyễn Văn Nghiễm</v>
          </cell>
          <cell r="AA98" t="str">
            <v>Cán bộ KCS</v>
          </cell>
          <cell r="AB98" t="str">
            <v>Vương Toàn Hiếu</v>
          </cell>
          <cell r="AC98" t="str">
            <v>Trưởng đoàn TVGS</v>
          </cell>
          <cell r="AD98" t="str">
            <v>Lê Thiều Nam</v>
          </cell>
          <cell r="AE98" t="str">
            <v>Cán bộ TVGS</v>
          </cell>
          <cell r="AF98" t="str">
            <v>................................</v>
          </cell>
          <cell r="AG98" t="str">
            <v>................................</v>
          </cell>
          <cell r="AH98" t="str">
            <v>Nguyễn Ái Việt</v>
          </cell>
          <cell r="AI98" t="str">
            <v>Chỉ huy trưởng</v>
          </cell>
          <cell r="AJ98" t="str">
            <v>Hoàng Chiến Thắng</v>
          </cell>
          <cell r="AK98" t="str">
            <v>P. Chỉ huy trưởng</v>
          </cell>
          <cell r="AL98" t="str">
            <v>Trịnh Quang Đức</v>
          </cell>
          <cell r="AM98" t="str">
            <v>Cán bộ kỹ thuật</v>
          </cell>
          <cell r="AN98" t="str">
            <v>KC-65; KT-502; KT-602</v>
          </cell>
          <cell r="AQ98" t="str">
            <v>Ngày 14 Tháng 7 Năm 2015</v>
          </cell>
        </row>
        <row r="99">
          <cell r="A99" t="str">
            <v>CPGLC-03</v>
          </cell>
          <cell r="B99" t="str">
            <v>Cốp pha giằng tường chân lan can lô gia căn hộ tầng 09, 10, 11</v>
          </cell>
          <cell r="C99" t="str">
            <v>CPGLC-03</v>
          </cell>
          <cell r="D99" t="str">
            <v>8h00</v>
          </cell>
          <cell r="E99" t="str">
            <v>9h00</v>
          </cell>
          <cell r="F99">
            <v>28</v>
          </cell>
          <cell r="G99">
            <v>7</v>
          </cell>
          <cell r="H99">
            <v>2015</v>
          </cell>
          <cell r="I99" t="str">
            <v>Hà Nội, ngày 28 tháng 7 năm 2015</v>
          </cell>
          <cell r="J99" t="str">
            <v>8h00 ngày 28 tháng 7 năm 2015</v>
          </cell>
          <cell r="K99" t="str">
            <v>9h00 ngày 8 tháng 8 năm 2015</v>
          </cell>
          <cell r="L99" t="str">
            <v>9h00</v>
          </cell>
          <cell r="M99" t="str">
            <v>10h00</v>
          </cell>
          <cell r="N99">
            <v>8</v>
          </cell>
          <cell r="O99">
            <v>8</v>
          </cell>
          <cell r="P99">
            <v>2015</v>
          </cell>
          <cell r="Q99" t="str">
            <v>Hà Nội, ngày 8 tháng 8 năm 2015</v>
          </cell>
          <cell r="R99" t="str">
            <v>9h00 ngày 28 tháng 7 năm 2015</v>
          </cell>
          <cell r="S99" t="str">
            <v>10h00 ngày 8 tháng 8 năm 2015</v>
          </cell>
          <cell r="T99" t="str">
            <v>9h00</v>
          </cell>
          <cell r="U99" t="str">
            <v>9h00 Ngày 28/7/2015</v>
          </cell>
          <cell r="V99" t="str">
            <v>Nguyễn Ái Việt</v>
          </cell>
          <cell r="W99" t="str">
            <v>Chỉ huy trưởng</v>
          </cell>
          <cell r="X99" t="str">
            <v>................................</v>
          </cell>
          <cell r="Y99" t="str">
            <v>................................</v>
          </cell>
          <cell r="Z99" t="str">
            <v>Nguyễn Văn Nghiễm</v>
          </cell>
          <cell r="AA99" t="str">
            <v>Cán bộ KCS</v>
          </cell>
          <cell r="AB99" t="str">
            <v>Vương Toàn Hiếu</v>
          </cell>
          <cell r="AC99" t="str">
            <v>Trưởng đoàn TVGS</v>
          </cell>
          <cell r="AD99" t="str">
            <v>Lê Thiều Nam</v>
          </cell>
          <cell r="AE99" t="str">
            <v>Cán bộ TVGS</v>
          </cell>
          <cell r="AF99" t="str">
            <v>................................</v>
          </cell>
          <cell r="AG99" t="str">
            <v>................................</v>
          </cell>
          <cell r="AH99" t="str">
            <v>Nguyễn Ái Việt</v>
          </cell>
          <cell r="AI99" t="str">
            <v>Chỉ huy trưởng</v>
          </cell>
          <cell r="AJ99" t="str">
            <v>Hoàng Chiến Thắng</v>
          </cell>
          <cell r="AK99" t="str">
            <v>P. Chỉ huy trưởng</v>
          </cell>
          <cell r="AL99" t="str">
            <v>Trịnh Quang Đức</v>
          </cell>
          <cell r="AM99" t="str">
            <v>Cán bộ kỹ thuật</v>
          </cell>
          <cell r="AN99" t="str">
            <v>KC-65; KT-502; KT-602</v>
          </cell>
          <cell r="AQ99" t="str">
            <v>Ngày 28 Tháng 7 Năm 2015</v>
          </cell>
        </row>
        <row r="100">
          <cell r="A100" t="str">
            <v>CPGT-01</v>
          </cell>
          <cell r="B100" t="str">
            <v>Cốp pha giằng tường tầng áp mái</v>
          </cell>
          <cell r="C100" t="str">
            <v>CPGT-01</v>
          </cell>
          <cell r="D100" t="str">
            <v>8h00</v>
          </cell>
          <cell r="E100" t="str">
            <v>9h00</v>
          </cell>
          <cell r="F100">
            <v>28</v>
          </cell>
          <cell r="G100">
            <v>8</v>
          </cell>
          <cell r="H100">
            <v>2015</v>
          </cell>
          <cell r="I100" t="str">
            <v>Hà Nội, ngày 28 tháng 8 năm 2015</v>
          </cell>
          <cell r="J100" t="str">
            <v>8h00 ngày 28 tháng 8 năm 2015</v>
          </cell>
          <cell r="K100" t="str">
            <v>9h00 ngày 28 tháng 8 năm 2015</v>
          </cell>
          <cell r="L100" t="str">
            <v>9h00</v>
          </cell>
          <cell r="M100" t="str">
            <v>10h00</v>
          </cell>
          <cell r="N100">
            <v>28</v>
          </cell>
          <cell r="O100">
            <v>8</v>
          </cell>
          <cell r="P100">
            <v>2015</v>
          </cell>
          <cell r="Q100" t="str">
            <v>Hà Nội, ngày 28 tháng 8 năm 2015</v>
          </cell>
          <cell r="R100" t="str">
            <v>9h00 ngày 28 tháng 8 năm 2015</v>
          </cell>
          <cell r="S100" t="str">
            <v>10h00 ngày 28 tháng 8 năm 2015</v>
          </cell>
          <cell r="T100" t="str">
            <v>9h00</v>
          </cell>
          <cell r="U100" t="str">
            <v>9h00 Ngày 28/8/2015</v>
          </cell>
          <cell r="V100" t="str">
            <v>Nguyễn Ái Việt</v>
          </cell>
          <cell r="W100" t="str">
            <v>Chỉ huy trưởng</v>
          </cell>
          <cell r="X100" t="str">
            <v>................................</v>
          </cell>
          <cell r="Y100" t="str">
            <v>................................</v>
          </cell>
          <cell r="Z100" t="str">
            <v>Nguyễn Văn Nghiễm</v>
          </cell>
          <cell r="AA100" t="str">
            <v>Cán bộ KCS</v>
          </cell>
          <cell r="AB100" t="str">
            <v>Vương Toàn Hiếu</v>
          </cell>
          <cell r="AC100" t="str">
            <v>Trưởng đoàn TVGS</v>
          </cell>
          <cell r="AD100" t="str">
            <v>Lê Thiều Nam</v>
          </cell>
          <cell r="AE100" t="str">
            <v>Cán bộ TVGS</v>
          </cell>
          <cell r="AF100" t="str">
            <v>................................</v>
          </cell>
          <cell r="AG100" t="str">
            <v>................................</v>
          </cell>
          <cell r="AH100" t="str">
            <v>Nguyễn Ái Việt</v>
          </cell>
          <cell r="AI100" t="str">
            <v>Chỉ huy trưởng</v>
          </cell>
          <cell r="AJ100" t="str">
            <v>Hoàng Chiến Thắng</v>
          </cell>
          <cell r="AK100" t="str">
            <v>P. Chỉ huy trưởng</v>
          </cell>
          <cell r="AL100" t="str">
            <v>Trịnh Quang Đức</v>
          </cell>
          <cell r="AM100" t="str">
            <v>Cán bộ kỹ thuật</v>
          </cell>
          <cell r="AN100" t="str">
            <v>KC-71</v>
          </cell>
          <cell r="AQ100" t="str">
            <v>Ngày 28 Tháng 8 Năm 2015</v>
          </cell>
        </row>
        <row r="101">
          <cell r="D101" t="str">
            <v>……</v>
          </cell>
          <cell r="E101" t="str">
            <v>……</v>
          </cell>
          <cell r="F101" t="str">
            <v>……</v>
          </cell>
          <cell r="G101" t="str">
            <v>……</v>
          </cell>
          <cell r="H101" t="str">
            <v>……</v>
          </cell>
          <cell r="I101" t="str">
            <v>Hà Nội, ngày …… tháng …… năm ……</v>
          </cell>
          <cell r="J101" t="str">
            <v>…… ngày …… tháng …… năm ……</v>
          </cell>
          <cell r="K101" t="str">
            <v>…… ngày …… tháng …… năm ……</v>
          </cell>
          <cell r="L101" t="str">
            <v>……</v>
          </cell>
          <cell r="M101" t="str">
            <v>……</v>
          </cell>
          <cell r="N101" t="str">
            <v>……</v>
          </cell>
          <cell r="O101" t="str">
            <v>……</v>
          </cell>
          <cell r="P101" t="str">
            <v>……</v>
          </cell>
          <cell r="Q101" t="str">
            <v>Hà Nội, ngày …… tháng …… năm ……</v>
          </cell>
          <cell r="R101" t="str">
            <v>…… ngày …… tháng …… năm ……</v>
          </cell>
          <cell r="S101" t="str">
            <v>…… ngày …… tháng …… năm ……</v>
          </cell>
          <cell r="T101" t="str">
            <v>……</v>
          </cell>
          <cell r="U101" t="str">
            <v>…… Ngày ……/……/……</v>
          </cell>
          <cell r="V101" t="str">
            <v>Nguyễn Ái Việt</v>
          </cell>
          <cell r="W101" t="str">
            <v>Chỉ huy trưởng</v>
          </cell>
          <cell r="X101" t="str">
            <v>................................</v>
          </cell>
          <cell r="Y101" t="str">
            <v>................................</v>
          </cell>
          <cell r="Z101" t="str">
            <v>Nguyễn Văn Nghiễm</v>
          </cell>
          <cell r="AA101" t="str">
            <v>Cán bộ KCS</v>
          </cell>
          <cell r="AB101" t="str">
            <v>Vương Toàn Hiếu</v>
          </cell>
          <cell r="AC101" t="str">
            <v>Trưởng đoàn TVGS</v>
          </cell>
          <cell r="AD101" t="str">
            <v>Lê Thiều Nam</v>
          </cell>
          <cell r="AE101" t="str">
            <v>Cán bộ TVGS</v>
          </cell>
          <cell r="AF101" t="str">
            <v>................................</v>
          </cell>
          <cell r="AG101" t="str">
            <v>................................</v>
          </cell>
          <cell r="AH101" t="str">
            <v>Nguyễn Ái Việt</v>
          </cell>
          <cell r="AI101" t="str">
            <v>Chỉ huy trưởng</v>
          </cell>
          <cell r="AJ101" t="str">
            <v>Hoàng Chiến Thắng</v>
          </cell>
          <cell r="AK101" t="str">
            <v>P. Chỉ huy trưởng</v>
          </cell>
          <cell r="AL101" t="str">
            <v>Trịnh Quang Đức</v>
          </cell>
          <cell r="AM101" t="str">
            <v>Cán bộ kỹ thuật</v>
          </cell>
          <cell r="AQ101" t="str">
            <v>Ngày …… Tháng …… Năm ……</v>
          </cell>
        </row>
        <row r="102">
          <cell r="D102" t="str">
            <v>……</v>
          </cell>
          <cell r="E102" t="str">
            <v>……</v>
          </cell>
          <cell r="F102" t="str">
            <v>……</v>
          </cell>
          <cell r="G102" t="str">
            <v>……</v>
          </cell>
          <cell r="H102" t="str">
            <v>……</v>
          </cell>
          <cell r="I102" t="str">
            <v>Hà Nội, ngày …… tháng …… năm ……</v>
          </cell>
          <cell r="J102" t="str">
            <v>…… ngày …… tháng …… năm ……</v>
          </cell>
          <cell r="K102" t="str">
            <v>…… ngày …… tháng …… năm ……</v>
          </cell>
          <cell r="L102" t="str">
            <v>……</v>
          </cell>
          <cell r="M102" t="str">
            <v>……</v>
          </cell>
          <cell r="N102" t="str">
            <v>……</v>
          </cell>
          <cell r="O102" t="str">
            <v>……</v>
          </cell>
          <cell r="P102" t="str">
            <v>……</v>
          </cell>
          <cell r="Q102" t="str">
            <v>Hà Nội, ngày …… tháng …… năm ……</v>
          </cell>
          <cell r="R102" t="str">
            <v>…… ngày …… tháng …… năm ……</v>
          </cell>
          <cell r="S102" t="str">
            <v>…… ngày …… tháng …… năm ……</v>
          </cell>
          <cell r="T102" t="str">
            <v>……</v>
          </cell>
          <cell r="U102" t="str">
            <v>…… Ngày ……/……/……</v>
          </cell>
          <cell r="V102" t="str">
            <v>Nguyễn Ái Việt</v>
          </cell>
          <cell r="W102" t="str">
            <v>Chỉ huy trưởng</v>
          </cell>
          <cell r="X102" t="str">
            <v>................................</v>
          </cell>
          <cell r="Y102" t="str">
            <v>................................</v>
          </cell>
          <cell r="Z102" t="str">
            <v>Nguyễn Văn Nghiễm</v>
          </cell>
          <cell r="AA102" t="str">
            <v>Cán bộ KCS</v>
          </cell>
          <cell r="AB102" t="str">
            <v>Vương Toàn Hiếu</v>
          </cell>
          <cell r="AC102" t="str">
            <v>Trưởng đoàn TVGS</v>
          </cell>
          <cell r="AD102" t="str">
            <v>Lê Thiều Nam</v>
          </cell>
          <cell r="AE102" t="str">
            <v>Cán bộ TVGS</v>
          </cell>
          <cell r="AF102" t="str">
            <v>................................</v>
          </cell>
          <cell r="AG102" t="str">
            <v>................................</v>
          </cell>
          <cell r="AH102" t="str">
            <v>Nguyễn Ái Việt</v>
          </cell>
          <cell r="AI102" t="str">
            <v>Chỉ huy trưởng</v>
          </cell>
          <cell r="AJ102" t="str">
            <v>Hoàng Chiến Thắng</v>
          </cell>
          <cell r="AK102" t="str">
            <v>P. Chỉ huy trưởng</v>
          </cell>
          <cell r="AL102" t="str">
            <v>Trịnh Quang Đức</v>
          </cell>
          <cell r="AM102" t="str">
            <v>Cán bộ kỹ thuật</v>
          </cell>
          <cell r="AQ102" t="str">
            <v>Ngày …… Tháng …… Năm ……</v>
          </cell>
        </row>
        <row r="103">
          <cell r="A103" t="str">
            <v>CPDB-01</v>
          </cell>
          <cell r="B103" t="str">
            <v>Gia công, lắp dựng ván khuôn dầm đỡ bồn nước mái</v>
          </cell>
          <cell r="C103" t="str">
            <v>CPDB-01</v>
          </cell>
          <cell r="D103" t="str">
            <v>8h00</v>
          </cell>
          <cell r="E103" t="str">
            <v>8h30</v>
          </cell>
          <cell r="F103">
            <v>8</v>
          </cell>
          <cell r="G103">
            <v>10</v>
          </cell>
          <cell r="H103">
            <v>2015</v>
          </cell>
          <cell r="I103" t="str">
            <v>Hà Nội, ngày 8 tháng 10 năm 2015</v>
          </cell>
          <cell r="J103" t="str">
            <v>8h00 ngày 8 tháng 10 năm 2015</v>
          </cell>
          <cell r="K103" t="str">
            <v>8h30 ngày 8 tháng 10 năm 2015</v>
          </cell>
          <cell r="L103" t="str">
            <v>9h00</v>
          </cell>
          <cell r="M103" t="str">
            <v>9h30</v>
          </cell>
          <cell r="N103">
            <v>8</v>
          </cell>
          <cell r="O103">
            <v>10</v>
          </cell>
          <cell r="P103">
            <v>2015</v>
          </cell>
          <cell r="Q103" t="str">
            <v>Hà Nội, ngày 8 tháng 10 năm 2015</v>
          </cell>
          <cell r="R103" t="str">
            <v>9h00 ngày 8 tháng 10 năm 2015</v>
          </cell>
          <cell r="S103" t="str">
            <v>9h30 ngày 8 tháng 10 năm 2015</v>
          </cell>
          <cell r="T103" t="str">
            <v>9h00</v>
          </cell>
          <cell r="U103" t="str">
            <v>9h00 Ngày 8/10/2015</v>
          </cell>
          <cell r="V103" t="str">
            <v>Nguyễn Ái Việt</v>
          </cell>
          <cell r="W103" t="str">
            <v>Chỉ huy trưởng</v>
          </cell>
          <cell r="X103" t="str">
            <v>................................</v>
          </cell>
          <cell r="Y103" t="str">
            <v>................................</v>
          </cell>
          <cell r="Z103" t="str">
            <v>Nguyễn Văn Nghiễm</v>
          </cell>
          <cell r="AA103" t="str">
            <v>Cán bộ KCS</v>
          </cell>
          <cell r="AB103" t="str">
            <v>Vương Toàn Hiếu</v>
          </cell>
          <cell r="AC103" t="str">
            <v>Trưởng đoàn TVGS</v>
          </cell>
          <cell r="AD103" t="str">
            <v>Lê Thiều Nam</v>
          </cell>
          <cell r="AE103" t="str">
            <v>Cán bộ TVGS</v>
          </cell>
          <cell r="AF103" t="str">
            <v>................................</v>
          </cell>
          <cell r="AG103" t="str">
            <v>................................</v>
          </cell>
          <cell r="AH103" t="str">
            <v>Nguyễn Ái Việt</v>
          </cell>
          <cell r="AI103" t="str">
            <v>Chỉ huy trưởng</v>
          </cell>
          <cell r="AJ103" t="str">
            <v>Hoàng Chiến Thắng</v>
          </cell>
          <cell r="AK103" t="str">
            <v>P. Chỉ huy trưởng</v>
          </cell>
          <cell r="AL103" t="str">
            <v>Trịnh Quang Đức</v>
          </cell>
          <cell r="AM103" t="str">
            <v>Cán bộ kỹ thuật</v>
          </cell>
          <cell r="AN103" t="str">
            <v>KC-BS-04</v>
          </cell>
          <cell r="AQ103" t="str">
            <v>Ngày 8 Tháng 10 Năm 2015</v>
          </cell>
        </row>
        <row r="104">
          <cell r="A104" t="str">
            <v>CPTĐ-01</v>
          </cell>
          <cell r="B104" t="str">
            <v>Gia công, lắp dựng ván khuôn tấm đan đậy hộp kỹ thuật tầng mái, áp mái</v>
          </cell>
          <cell r="C104" t="str">
            <v>CPTĐ-01</v>
          </cell>
          <cell r="D104" t="str">
            <v>8h30</v>
          </cell>
          <cell r="E104" t="str">
            <v>9h00</v>
          </cell>
          <cell r="F104">
            <v>15</v>
          </cell>
          <cell r="G104">
            <v>10</v>
          </cell>
          <cell r="H104">
            <v>2015</v>
          </cell>
          <cell r="I104" t="str">
            <v>Hà Nội, ngày 15 tháng 10 năm 2015</v>
          </cell>
          <cell r="J104" t="str">
            <v>8h30 ngày 15 tháng 10 năm 2015</v>
          </cell>
          <cell r="K104" t="str">
            <v>9h00 ngày 15 tháng 10 năm 2015</v>
          </cell>
          <cell r="L104" t="str">
            <v>9h30</v>
          </cell>
          <cell r="M104" t="str">
            <v>10h00</v>
          </cell>
          <cell r="N104">
            <v>15</v>
          </cell>
          <cell r="O104">
            <v>10</v>
          </cell>
          <cell r="P104">
            <v>2015</v>
          </cell>
          <cell r="Q104" t="str">
            <v>Hà Nội, ngày 15 tháng 10 năm 2015</v>
          </cell>
          <cell r="R104" t="str">
            <v>9h30 ngày 15 tháng 10 năm 2015</v>
          </cell>
          <cell r="S104" t="str">
            <v>10h00 ngày 15 tháng 10 năm 2015</v>
          </cell>
          <cell r="T104" t="str">
            <v>9h30</v>
          </cell>
          <cell r="U104" t="str">
            <v>9h30 Ngày 15/10/2015</v>
          </cell>
          <cell r="V104" t="str">
            <v>Nguyễn Ái Việt</v>
          </cell>
          <cell r="W104" t="str">
            <v>Chỉ huy trưởng</v>
          </cell>
          <cell r="X104" t="str">
            <v>................................</v>
          </cell>
          <cell r="Y104" t="str">
            <v>................................</v>
          </cell>
          <cell r="Z104" t="str">
            <v>Nguyễn Văn Nghiễm</v>
          </cell>
          <cell r="AA104" t="str">
            <v>Cán bộ KCS</v>
          </cell>
          <cell r="AB104" t="str">
            <v>Vương Toàn Hiếu</v>
          </cell>
          <cell r="AC104" t="str">
            <v>Trưởng đoàn TVGS</v>
          </cell>
          <cell r="AD104" t="str">
            <v>Lê Thiều Nam</v>
          </cell>
          <cell r="AE104" t="str">
            <v>Cán bộ TVGS</v>
          </cell>
          <cell r="AF104" t="str">
            <v>................................</v>
          </cell>
          <cell r="AG104" t="str">
            <v>................................</v>
          </cell>
          <cell r="AH104" t="str">
            <v>Nguyễn Ái Việt</v>
          </cell>
          <cell r="AI104" t="str">
            <v>Chỉ huy trưởng</v>
          </cell>
          <cell r="AJ104" t="str">
            <v>Hoàng Chiến Thắng</v>
          </cell>
          <cell r="AK104" t="str">
            <v>P. Chỉ huy trưởng</v>
          </cell>
          <cell r="AL104" t="str">
            <v>Trịnh Quang Đức</v>
          </cell>
          <cell r="AM104" t="str">
            <v>Cán bộ kỹ thuật</v>
          </cell>
          <cell r="AN104" t="str">
            <v>KC-BS-03</v>
          </cell>
          <cell r="AQ104" t="str">
            <v>Ngày 15 Tháng 10 Năm 2015</v>
          </cell>
        </row>
        <row r="105">
          <cell r="A105" t="str">
            <v>CPTC-01</v>
          </cell>
          <cell r="B105" t="str">
            <v xml:space="preserve">GCLD cốp pha bê tông lót nền tam cấp TC1, TC3, TC3*, đường dốc DD1, DD2, DD3 </v>
          </cell>
          <cell r="C105" t="str">
            <v>CPTC-01</v>
          </cell>
          <cell r="D105" t="str">
            <v>8h00</v>
          </cell>
          <cell r="E105" t="str">
            <v>8h30</v>
          </cell>
          <cell r="F105">
            <v>30</v>
          </cell>
          <cell r="G105">
            <v>10</v>
          </cell>
          <cell r="H105">
            <v>2015</v>
          </cell>
          <cell r="I105" t="str">
            <v>Hà Nội, ngày 30 tháng 10 năm 2015</v>
          </cell>
          <cell r="J105" t="str">
            <v>8h00 ngày 30 tháng 10 năm 2015</v>
          </cell>
          <cell r="K105" t="str">
            <v>8h30 ngày 30 tháng 10 năm 2015</v>
          </cell>
          <cell r="L105" t="str">
            <v>9h00</v>
          </cell>
          <cell r="M105" t="str">
            <v>9h30</v>
          </cell>
          <cell r="N105">
            <v>30</v>
          </cell>
          <cell r="O105">
            <v>10</v>
          </cell>
          <cell r="P105">
            <v>2015</v>
          </cell>
          <cell r="Q105" t="str">
            <v>Hà Nội, ngày 30 tháng 10 năm 2015</v>
          </cell>
          <cell r="R105" t="str">
            <v>9h00 ngày 30 tháng 10 năm 2015</v>
          </cell>
          <cell r="S105" t="str">
            <v>9h30 ngày 30 tháng 10 năm 2015</v>
          </cell>
          <cell r="T105" t="str">
            <v>9h00</v>
          </cell>
          <cell r="U105" t="str">
            <v>9h00 Ngày 30/10/2015</v>
          </cell>
          <cell r="V105" t="str">
            <v>Nguyễn Ái Việt</v>
          </cell>
          <cell r="W105" t="str">
            <v>Chỉ huy trưởng</v>
          </cell>
          <cell r="X105" t="str">
            <v>................................</v>
          </cell>
          <cell r="Y105" t="str">
            <v>................................</v>
          </cell>
          <cell r="Z105" t="str">
            <v>Nguyễn Văn Nghiễm</v>
          </cell>
          <cell r="AA105" t="str">
            <v>Cán bộ KCS</v>
          </cell>
          <cell r="AB105" t="str">
            <v>Vương Toàn Hiếu</v>
          </cell>
          <cell r="AC105" t="str">
            <v>Trưởng đoàn TVGS</v>
          </cell>
          <cell r="AD105" t="str">
            <v>Lê Thiều Nam</v>
          </cell>
          <cell r="AE105" t="str">
            <v>Cán bộ TVGS</v>
          </cell>
          <cell r="AF105" t="str">
            <v>................................</v>
          </cell>
          <cell r="AG105" t="str">
            <v>................................</v>
          </cell>
          <cell r="AH105" t="str">
            <v>Nguyễn Ái Việt</v>
          </cell>
          <cell r="AI105" t="str">
            <v>Chỉ huy trưởng</v>
          </cell>
          <cell r="AJ105" t="str">
            <v>Hoàng Chiến Thắng</v>
          </cell>
          <cell r="AK105" t="str">
            <v>P. Chỉ huy trưởng</v>
          </cell>
          <cell r="AL105" t="str">
            <v>Trịnh Quang Đức</v>
          </cell>
          <cell r="AM105" t="str">
            <v>Cán bộ kỹ thuật</v>
          </cell>
          <cell r="AN105" t="str">
            <v>KT-316; KT-317; KC-BS-01; KC-BS-02</v>
          </cell>
          <cell r="AQ105" t="str">
            <v>Ngày 30 Tháng 10 Năm 2015</v>
          </cell>
        </row>
        <row r="106">
          <cell r="A106" t="str">
            <v>CPDD-01</v>
          </cell>
          <cell r="B106" t="str">
            <v>GCLD cốp pha bản, dầm đường dốc DD1, DD2, DD3</v>
          </cell>
          <cell r="C106" t="str">
            <v>CPDD-01</v>
          </cell>
          <cell r="D106" t="str">
            <v>8h00</v>
          </cell>
          <cell r="E106" t="str">
            <v>8h45</v>
          </cell>
          <cell r="F106">
            <v>2</v>
          </cell>
          <cell r="G106">
            <v>11</v>
          </cell>
          <cell r="H106">
            <v>2015</v>
          </cell>
          <cell r="I106" t="str">
            <v>Hà Nội, ngày 2 tháng 11 năm 2015</v>
          </cell>
          <cell r="J106" t="str">
            <v>8h00 ngày 2 tháng 11 năm 2015</v>
          </cell>
          <cell r="K106" t="str">
            <v>8h45 ngày 2 tháng 11 năm 2015</v>
          </cell>
          <cell r="L106" t="str">
            <v>9h00</v>
          </cell>
          <cell r="M106" t="str">
            <v>9h45</v>
          </cell>
          <cell r="N106">
            <v>2</v>
          </cell>
          <cell r="O106">
            <v>11</v>
          </cell>
          <cell r="P106">
            <v>2015</v>
          </cell>
          <cell r="Q106" t="str">
            <v>Hà Nội, ngày 2 tháng 11 năm 2015</v>
          </cell>
          <cell r="R106" t="str">
            <v>9h00 ngày 2 tháng 11 năm 2015</v>
          </cell>
          <cell r="S106" t="str">
            <v>9h45 ngày 2 tháng 11 năm 2015</v>
          </cell>
          <cell r="T106" t="str">
            <v>9h00</v>
          </cell>
          <cell r="U106" t="str">
            <v>9h00 Ngày 2/11/2015</v>
          </cell>
          <cell r="V106" t="str">
            <v>Nguyễn Ái Việt</v>
          </cell>
          <cell r="W106" t="str">
            <v>Chỉ huy trưởng</v>
          </cell>
          <cell r="X106" t="str">
            <v>................................</v>
          </cell>
          <cell r="Y106" t="str">
            <v>................................</v>
          </cell>
          <cell r="Z106" t="str">
            <v>Nguyễn Văn Nghiễm</v>
          </cell>
          <cell r="AA106" t="str">
            <v>Cán bộ KCS</v>
          </cell>
          <cell r="AB106" t="str">
            <v>Vương Toàn Hiếu</v>
          </cell>
          <cell r="AC106" t="str">
            <v>Trưởng đoàn TVGS</v>
          </cell>
          <cell r="AD106" t="str">
            <v>Lê Thiều Nam</v>
          </cell>
          <cell r="AE106" t="str">
            <v>Cán bộ TVGS</v>
          </cell>
          <cell r="AF106" t="str">
            <v>................................</v>
          </cell>
          <cell r="AG106" t="str">
            <v>................................</v>
          </cell>
          <cell r="AH106" t="str">
            <v>Nguyễn Ái Việt</v>
          </cell>
          <cell r="AI106" t="str">
            <v>Chỉ huy trưởng</v>
          </cell>
          <cell r="AJ106" t="str">
            <v>Hoàng Chiến Thắng</v>
          </cell>
          <cell r="AK106" t="str">
            <v>P. Chỉ huy trưởng</v>
          </cell>
          <cell r="AL106" t="str">
            <v>Trịnh Quang Đức</v>
          </cell>
          <cell r="AM106" t="str">
            <v>Cán bộ kỹ thuật</v>
          </cell>
          <cell r="AN106" t="str">
            <v>KT-316; KT-317; KC-BS-01; KC-BS-02</v>
          </cell>
          <cell r="AQ106" t="str">
            <v>Ngày 2 Tháng 11 Năm 2015</v>
          </cell>
        </row>
        <row r="107">
          <cell r="A107" t="str">
            <v>CPLDBS-01</v>
          </cell>
          <cell r="B107" t="str">
            <v>Cốp pha bê tông lót móng dầm bổ sung tầng 01</v>
          </cell>
          <cell r="C107" t="str">
            <v>CPLDBS-01</v>
          </cell>
          <cell r="D107" t="str">
            <v>8h00</v>
          </cell>
          <cell r="E107" t="str">
            <v>9h00</v>
          </cell>
          <cell r="F107">
            <v>28</v>
          </cell>
          <cell r="G107">
            <v>9</v>
          </cell>
          <cell r="H107">
            <v>2015</v>
          </cell>
          <cell r="I107" t="str">
            <v>Hà Nội, ngày 28 tháng 9 năm 2015</v>
          </cell>
          <cell r="J107" t="str">
            <v>8h00 ngày 28 tháng 9 năm 2015</v>
          </cell>
          <cell r="K107" t="str">
            <v>9h00 ngày 28 tháng 9 năm 2015</v>
          </cell>
          <cell r="L107" t="str">
            <v>9h15</v>
          </cell>
          <cell r="M107" t="str">
            <v>10h15</v>
          </cell>
          <cell r="N107">
            <v>28</v>
          </cell>
          <cell r="O107">
            <v>9</v>
          </cell>
          <cell r="P107">
            <v>2015</v>
          </cell>
          <cell r="Q107" t="str">
            <v>Hà Nội, ngày 28 tháng 9 năm 2015</v>
          </cell>
          <cell r="R107" t="str">
            <v>9h15 ngày 28 tháng 9 năm 2015</v>
          </cell>
          <cell r="S107" t="str">
            <v>10h15 ngày 28 tháng 9 năm 2015</v>
          </cell>
          <cell r="T107" t="str">
            <v>9h15</v>
          </cell>
          <cell r="U107" t="str">
            <v>9h15 Ngày 28/9/2015</v>
          </cell>
          <cell r="V107" t="str">
            <v>Nguyễn Ái Việt</v>
          </cell>
          <cell r="W107" t="str">
            <v>Chỉ huy trưởng</v>
          </cell>
          <cell r="X107" t="str">
            <v>................................</v>
          </cell>
          <cell r="Y107" t="str">
            <v>................................</v>
          </cell>
          <cell r="Z107" t="str">
            <v>Nguyễn Văn Nghiễm</v>
          </cell>
          <cell r="AA107" t="str">
            <v>Cán bộ KCS</v>
          </cell>
          <cell r="AB107" t="str">
            <v>Vương Toàn Hiếu</v>
          </cell>
          <cell r="AC107" t="str">
            <v>Trưởng đoàn TVGS</v>
          </cell>
          <cell r="AD107" t="str">
            <v>Lê Thiều Nam</v>
          </cell>
          <cell r="AE107" t="str">
            <v>Cán bộ TVGS</v>
          </cell>
          <cell r="AF107" t="str">
            <v>................................</v>
          </cell>
          <cell r="AG107" t="str">
            <v>................................</v>
          </cell>
          <cell r="AH107" t="str">
            <v>Nguyễn Ái Việt</v>
          </cell>
          <cell r="AI107" t="str">
            <v>Chỉ huy trưởng</v>
          </cell>
          <cell r="AJ107" t="str">
            <v>Hoàng Chiến Thắng</v>
          </cell>
          <cell r="AK107" t="str">
            <v>P. Chỉ huy trưởng</v>
          </cell>
          <cell r="AL107" t="str">
            <v>Trịnh Quang Đức</v>
          </cell>
          <cell r="AM107" t="str">
            <v>Cán bộ kỹ thuật</v>
          </cell>
          <cell r="AN107" t="str">
            <v>KCBS-01; KCBS-02</v>
          </cell>
          <cell r="AQ107" t="str">
            <v>Ngày 28 Tháng 9 Năm 2015</v>
          </cell>
        </row>
        <row r="108">
          <cell r="A108" t="str">
            <v>CPDBS-01</v>
          </cell>
          <cell r="B108" t="str">
            <v>Cốp pha bê tông dầm móng bổ sung tầng 01</v>
          </cell>
          <cell r="C108" t="str">
            <v>CPDBS-01</v>
          </cell>
          <cell r="D108" t="str">
            <v>8h30</v>
          </cell>
          <cell r="E108" t="str">
            <v>9h30</v>
          </cell>
          <cell r="F108">
            <v>29</v>
          </cell>
          <cell r="G108">
            <v>9</v>
          </cell>
          <cell r="H108">
            <v>2015</v>
          </cell>
          <cell r="I108" t="str">
            <v>Hà Nội, ngày 29 tháng 9 năm 2015</v>
          </cell>
          <cell r="J108" t="str">
            <v>8h30 ngày 29 tháng 9 năm 2015</v>
          </cell>
          <cell r="K108" t="str">
            <v>9h30 ngày 29 tháng 9 năm 2015</v>
          </cell>
          <cell r="L108" t="str">
            <v>10h00</v>
          </cell>
          <cell r="M108" t="str">
            <v>11h00</v>
          </cell>
          <cell r="N108">
            <v>29</v>
          </cell>
          <cell r="O108">
            <v>9</v>
          </cell>
          <cell r="P108">
            <v>2015</v>
          </cell>
          <cell r="Q108" t="str">
            <v>Hà Nội, ngày 29 tháng 9 năm 2015</v>
          </cell>
          <cell r="R108" t="str">
            <v>10h00 ngày 29 tháng 9 năm 2015</v>
          </cell>
          <cell r="S108" t="str">
            <v>11h00 ngày 29 tháng 9 năm 2015</v>
          </cell>
          <cell r="T108" t="str">
            <v>10h00</v>
          </cell>
          <cell r="U108" t="str">
            <v>10h00 Ngày 29/9/2015</v>
          </cell>
          <cell r="V108" t="str">
            <v>Nguyễn Ái Việt</v>
          </cell>
          <cell r="W108" t="str">
            <v>Chỉ huy trưởng</v>
          </cell>
          <cell r="X108" t="str">
            <v>................................</v>
          </cell>
          <cell r="Y108" t="str">
            <v>................................</v>
          </cell>
          <cell r="Z108" t="str">
            <v>Nguyễn Văn Nghiễm</v>
          </cell>
          <cell r="AA108" t="str">
            <v>Cán bộ KCS</v>
          </cell>
          <cell r="AB108" t="str">
            <v>Vương Toàn Hiếu</v>
          </cell>
          <cell r="AC108" t="str">
            <v>Trưởng đoàn TVGS</v>
          </cell>
          <cell r="AD108" t="str">
            <v>Lê Thiều Nam</v>
          </cell>
          <cell r="AE108" t="str">
            <v>Cán bộ TVGS</v>
          </cell>
          <cell r="AF108" t="str">
            <v>................................</v>
          </cell>
          <cell r="AG108" t="str">
            <v>................................</v>
          </cell>
          <cell r="AH108" t="str">
            <v>Nguyễn Ái Việt</v>
          </cell>
          <cell r="AI108" t="str">
            <v>Chỉ huy trưởng</v>
          </cell>
          <cell r="AJ108" t="str">
            <v>Hoàng Chiến Thắng</v>
          </cell>
          <cell r="AK108" t="str">
            <v>P. Chỉ huy trưởng</v>
          </cell>
          <cell r="AL108" t="str">
            <v>Trịnh Quang Đức</v>
          </cell>
          <cell r="AM108" t="str">
            <v>Cán bộ kỹ thuật</v>
          </cell>
          <cell r="AN108" t="str">
            <v>KCBS-01; KCBS-02</v>
          </cell>
          <cell r="AQ108" t="str">
            <v>Ngày 29 Tháng 9 Năm 2015</v>
          </cell>
        </row>
        <row r="109">
          <cell r="A109" t="str">
            <v>CPGT2-01</v>
          </cell>
          <cell r="B109" t="str">
            <v>Cốp pha bê tông giằng chân lan can hành lang tầng 02</v>
          </cell>
          <cell r="C109" t="str">
            <v>CPGT2-01</v>
          </cell>
          <cell r="D109" t="str">
            <v>8h00</v>
          </cell>
          <cell r="E109" t="str">
            <v>8h45</v>
          </cell>
          <cell r="F109">
            <v>2</v>
          </cell>
          <cell r="G109">
            <v>11</v>
          </cell>
          <cell r="H109">
            <v>2015</v>
          </cell>
          <cell r="I109" t="str">
            <v>Hà Nội, ngày 2 tháng 11 năm 2015</v>
          </cell>
          <cell r="J109" t="str">
            <v>8h00 ngày 2 tháng 11 năm 2015</v>
          </cell>
          <cell r="K109" t="str">
            <v>8h45 ngày 2 tháng 11 năm 2015</v>
          </cell>
          <cell r="L109" t="str">
            <v>9h15</v>
          </cell>
          <cell r="M109" t="str">
            <v>10h00</v>
          </cell>
          <cell r="N109">
            <v>2</v>
          </cell>
          <cell r="O109">
            <v>11</v>
          </cell>
          <cell r="P109">
            <v>2015</v>
          </cell>
          <cell r="Q109" t="str">
            <v>Hà Nội, ngày 2 tháng 11 năm 2015</v>
          </cell>
          <cell r="R109" t="str">
            <v>9h15 ngày 2 tháng 11 năm 2015</v>
          </cell>
          <cell r="S109" t="str">
            <v>10h00 ngày 2 tháng 11 năm 2015</v>
          </cell>
          <cell r="T109" t="str">
            <v>9h15</v>
          </cell>
          <cell r="U109" t="str">
            <v>9h15 Ngày 2/11/2015</v>
          </cell>
          <cell r="V109" t="str">
            <v>Nguyễn Ái Việt</v>
          </cell>
          <cell r="W109" t="str">
            <v>Chỉ huy trưởng</v>
          </cell>
          <cell r="X109" t="str">
            <v>................................</v>
          </cell>
          <cell r="Y109" t="str">
            <v>................................</v>
          </cell>
          <cell r="Z109" t="str">
            <v>Nguyễn Văn Nghiễm</v>
          </cell>
          <cell r="AA109" t="str">
            <v>Cán bộ KCS</v>
          </cell>
          <cell r="AB109" t="str">
            <v>Vương Toàn Hiếu</v>
          </cell>
          <cell r="AC109" t="str">
            <v>Trưởng đoàn TVGS</v>
          </cell>
          <cell r="AD109" t="str">
            <v>Lê Thiều Nam</v>
          </cell>
          <cell r="AE109" t="str">
            <v>Cán bộ TVGS</v>
          </cell>
          <cell r="AF109" t="str">
            <v>................................</v>
          </cell>
          <cell r="AG109" t="str">
            <v>................................</v>
          </cell>
          <cell r="AH109" t="str">
            <v>Nguyễn Ái Việt</v>
          </cell>
          <cell r="AI109" t="str">
            <v>Chỉ huy trưởng</v>
          </cell>
          <cell r="AJ109" t="str">
            <v>Hoàng Chiến Thắng</v>
          </cell>
          <cell r="AK109" t="str">
            <v>P. Chỉ huy trưởng</v>
          </cell>
          <cell r="AL109" t="str">
            <v>Trịnh Quang Đức</v>
          </cell>
          <cell r="AM109" t="str">
            <v>Cán bộ kỹ thuật</v>
          </cell>
          <cell r="AN109" t="str">
            <v>KC-03BS; KC-04BS</v>
          </cell>
          <cell r="AQ109" t="str">
            <v>Ngày 2 Tháng 11 Năm 2015</v>
          </cell>
        </row>
        <row r="110">
          <cell r="H110">
            <v>2015</v>
          </cell>
          <cell r="I110" t="str">
            <v>Hà Nội, ngày  tháng  năm 2015</v>
          </cell>
          <cell r="J110" t="str">
            <v xml:space="preserve"> ngày  tháng  năm 2015</v>
          </cell>
          <cell r="K110" t="str">
            <v xml:space="preserve"> ngày …… tháng …… năm 2015</v>
          </cell>
          <cell r="L110" t="str">
            <v>9h15</v>
          </cell>
          <cell r="M110" t="str">
            <v>10h15</v>
          </cell>
          <cell r="N110" t="str">
            <v>……</v>
          </cell>
          <cell r="O110" t="str">
            <v>……</v>
          </cell>
          <cell r="P110">
            <v>2015</v>
          </cell>
          <cell r="Q110" t="str">
            <v>Hà Nội, ngày …… tháng …… năm 2015</v>
          </cell>
          <cell r="R110" t="str">
            <v>9h15 ngày  tháng  năm 2015</v>
          </cell>
          <cell r="S110" t="str">
            <v>10h15 ngày …… tháng …… năm 2015</v>
          </cell>
          <cell r="T110" t="str">
            <v>9h15</v>
          </cell>
          <cell r="U110" t="str">
            <v>9h15 Ngày //2015</v>
          </cell>
          <cell r="V110" t="str">
            <v>Nguyễn Ái Việt</v>
          </cell>
          <cell r="W110" t="str">
            <v>Chỉ huy trưởng</v>
          </cell>
          <cell r="X110" t="str">
            <v>................................</v>
          </cell>
          <cell r="Y110" t="str">
            <v>................................</v>
          </cell>
          <cell r="Z110" t="str">
            <v>Nguyễn Văn Nghiễm</v>
          </cell>
          <cell r="AA110" t="str">
            <v>Cán bộ KCS</v>
          </cell>
          <cell r="AB110" t="str">
            <v>Vương Toàn Hiếu</v>
          </cell>
          <cell r="AC110" t="str">
            <v>Trưởng đoàn TVGS</v>
          </cell>
          <cell r="AD110" t="str">
            <v>Lê Thiều Nam</v>
          </cell>
          <cell r="AE110" t="str">
            <v>Cán bộ TVGS</v>
          </cell>
          <cell r="AF110" t="str">
            <v>................................</v>
          </cell>
          <cell r="AG110" t="str">
            <v>................................</v>
          </cell>
          <cell r="AH110" t="str">
            <v>Nguyễn Ái Việt</v>
          </cell>
          <cell r="AI110" t="str">
            <v>Chỉ huy trưởng</v>
          </cell>
          <cell r="AJ110" t="str">
            <v>Hoàng Chiến Thắng</v>
          </cell>
          <cell r="AK110" t="str">
            <v>P. Chỉ huy trưởng</v>
          </cell>
          <cell r="AL110" t="str">
            <v>Trịnh Quang Đức</v>
          </cell>
          <cell r="AM110" t="str">
            <v>Cán bộ kỹ thuật</v>
          </cell>
          <cell r="AN110" t="str">
            <v>KCBS-01; KCBS-02</v>
          </cell>
          <cell r="AQ110" t="str">
            <v>Ngày  Tháng  Năm 2015</v>
          </cell>
        </row>
        <row r="111">
          <cell r="H111">
            <v>2015</v>
          </cell>
          <cell r="I111" t="str">
            <v>Hà Nội, ngày  tháng  năm 2015</v>
          </cell>
          <cell r="J111" t="str">
            <v xml:space="preserve"> ngày  tháng  năm 2015</v>
          </cell>
          <cell r="K111" t="str">
            <v xml:space="preserve"> ngày …… tháng …… năm 2015</v>
          </cell>
          <cell r="L111" t="str">
            <v>9h15</v>
          </cell>
          <cell r="M111" t="str">
            <v>10h15</v>
          </cell>
          <cell r="N111" t="str">
            <v>……</v>
          </cell>
          <cell r="O111" t="str">
            <v>……</v>
          </cell>
          <cell r="P111">
            <v>2015</v>
          </cell>
          <cell r="Q111" t="str">
            <v>Hà Nội, ngày …… tháng …… năm 2015</v>
          </cell>
          <cell r="R111" t="str">
            <v>9h15 ngày  tháng  năm 2015</v>
          </cell>
          <cell r="S111" t="str">
            <v>10h15 ngày …… tháng …… năm 2015</v>
          </cell>
          <cell r="T111" t="str">
            <v>9h15</v>
          </cell>
          <cell r="U111" t="str">
            <v>9h15 Ngày //2015</v>
          </cell>
          <cell r="V111" t="str">
            <v>Nguyễn Ái Việt</v>
          </cell>
          <cell r="W111" t="str">
            <v>Chỉ huy trưởng</v>
          </cell>
          <cell r="X111" t="str">
            <v>................................</v>
          </cell>
          <cell r="Y111" t="str">
            <v>................................</v>
          </cell>
          <cell r="Z111" t="str">
            <v>Nguyễn Văn Nghiễm</v>
          </cell>
          <cell r="AA111" t="str">
            <v>Cán bộ KCS</v>
          </cell>
          <cell r="AB111" t="str">
            <v>Vương Toàn Hiếu</v>
          </cell>
          <cell r="AC111" t="str">
            <v>Trưởng đoàn TVGS</v>
          </cell>
          <cell r="AD111" t="str">
            <v>Lê Thiều Nam</v>
          </cell>
          <cell r="AE111" t="str">
            <v>Cán bộ TVGS</v>
          </cell>
          <cell r="AF111" t="str">
            <v>................................</v>
          </cell>
          <cell r="AG111" t="str">
            <v>................................</v>
          </cell>
          <cell r="AH111" t="str">
            <v>Nguyễn Ái Việt</v>
          </cell>
          <cell r="AI111" t="str">
            <v>Chỉ huy trưởng</v>
          </cell>
          <cell r="AJ111" t="str">
            <v>Hoàng Chiến Thắng</v>
          </cell>
          <cell r="AK111" t="str">
            <v>P. Chỉ huy trưởng</v>
          </cell>
          <cell r="AL111" t="str">
            <v>Trịnh Quang Đức</v>
          </cell>
          <cell r="AM111" t="str">
            <v>Cán bộ kỹ thuật</v>
          </cell>
          <cell r="AN111" t="str">
            <v>KCBS-01; KCBS-02</v>
          </cell>
          <cell r="AQ111" t="str">
            <v>Ngày  Tháng  Năm 2015</v>
          </cell>
        </row>
        <row r="112">
          <cell r="H112">
            <v>2015</v>
          </cell>
          <cell r="I112" t="str">
            <v>Hà Nội, ngày  tháng  năm 2015</v>
          </cell>
          <cell r="J112" t="str">
            <v xml:space="preserve"> ngày  tháng  năm 2015</v>
          </cell>
          <cell r="K112" t="str">
            <v xml:space="preserve"> ngày …… tháng …… năm 2015</v>
          </cell>
          <cell r="L112" t="str">
            <v>9h15</v>
          </cell>
          <cell r="M112" t="str">
            <v>10h15</v>
          </cell>
          <cell r="N112" t="str">
            <v>……</v>
          </cell>
          <cell r="O112" t="str">
            <v>……</v>
          </cell>
          <cell r="P112">
            <v>2015</v>
          </cell>
          <cell r="Q112" t="str">
            <v>Hà Nội, ngày …… tháng …… năm 2015</v>
          </cell>
          <cell r="R112" t="str">
            <v>9h15 ngày  tháng  năm 2015</v>
          </cell>
          <cell r="S112" t="str">
            <v>10h15 ngày …… tháng …… năm 2015</v>
          </cell>
          <cell r="T112" t="str">
            <v>9h15</v>
          </cell>
          <cell r="U112" t="str">
            <v>9h15 Ngày //2015</v>
          </cell>
          <cell r="V112" t="str">
            <v>Nguyễn Ái Việt</v>
          </cell>
          <cell r="W112" t="str">
            <v>Chỉ huy trưởng</v>
          </cell>
          <cell r="X112" t="str">
            <v>................................</v>
          </cell>
          <cell r="Y112" t="str">
            <v>................................</v>
          </cell>
          <cell r="Z112" t="str">
            <v>Nguyễn Văn Nghiễm</v>
          </cell>
          <cell r="AA112" t="str">
            <v>Cán bộ KCS</v>
          </cell>
          <cell r="AB112" t="str">
            <v>Vương Toàn Hiếu</v>
          </cell>
          <cell r="AC112" t="str">
            <v>Trưởng đoàn TVGS</v>
          </cell>
          <cell r="AD112" t="str">
            <v>Lê Thiều Nam</v>
          </cell>
          <cell r="AE112" t="str">
            <v>Cán bộ TVGS</v>
          </cell>
          <cell r="AF112" t="str">
            <v>................................</v>
          </cell>
          <cell r="AG112" t="str">
            <v>................................</v>
          </cell>
          <cell r="AH112" t="str">
            <v>Nguyễn Ái Việt</v>
          </cell>
          <cell r="AI112" t="str">
            <v>Chỉ huy trưởng</v>
          </cell>
          <cell r="AJ112" t="str">
            <v>Hoàng Chiến Thắng</v>
          </cell>
          <cell r="AK112" t="str">
            <v>P. Chỉ huy trưởng</v>
          </cell>
          <cell r="AL112" t="str">
            <v>Trịnh Quang Đức</v>
          </cell>
          <cell r="AM112" t="str">
            <v>Cán bộ kỹ thuật</v>
          </cell>
          <cell r="AN112" t="str">
            <v>KCBS-01; KCBS-02</v>
          </cell>
          <cell r="AQ112" t="str">
            <v>Ngày  Tháng  Năm 2015</v>
          </cell>
        </row>
        <row r="113">
          <cell r="H113">
            <v>2015</v>
          </cell>
          <cell r="I113" t="str">
            <v>Hà Nội, ngày  tháng  năm 2015</v>
          </cell>
          <cell r="J113" t="str">
            <v xml:space="preserve"> ngày  tháng  năm 2015</v>
          </cell>
          <cell r="K113" t="str">
            <v xml:space="preserve"> ngày …… tháng …… năm 2015</v>
          </cell>
          <cell r="L113" t="str">
            <v>9h15</v>
          </cell>
          <cell r="M113" t="str">
            <v>10h15</v>
          </cell>
          <cell r="N113" t="str">
            <v>……</v>
          </cell>
          <cell r="O113" t="str">
            <v>……</v>
          </cell>
          <cell r="P113">
            <v>2015</v>
          </cell>
          <cell r="Q113" t="str">
            <v>Hà Nội, ngày …… tháng …… năm 2015</v>
          </cell>
          <cell r="R113" t="str">
            <v>9h15 ngày  tháng  năm 2015</v>
          </cell>
          <cell r="S113" t="str">
            <v>10h15 ngày …… tháng …… năm 2015</v>
          </cell>
          <cell r="T113" t="str">
            <v>9h15</v>
          </cell>
          <cell r="U113" t="str">
            <v>9h15 Ngày //2015</v>
          </cell>
          <cell r="V113" t="str">
            <v>Nguyễn Ái Việt</v>
          </cell>
          <cell r="W113" t="str">
            <v>Chỉ huy trưởng</v>
          </cell>
          <cell r="X113" t="str">
            <v>................................</v>
          </cell>
          <cell r="Y113" t="str">
            <v>................................</v>
          </cell>
          <cell r="Z113" t="str">
            <v>Nguyễn Văn Nghiễm</v>
          </cell>
          <cell r="AA113" t="str">
            <v>Cán bộ KCS</v>
          </cell>
          <cell r="AB113" t="str">
            <v>Vương Toàn Hiếu</v>
          </cell>
          <cell r="AC113" t="str">
            <v>Trưởng đoàn TVGS</v>
          </cell>
          <cell r="AD113" t="str">
            <v>Lê Thiều Nam</v>
          </cell>
          <cell r="AE113" t="str">
            <v>Cán bộ TVGS</v>
          </cell>
          <cell r="AF113" t="str">
            <v>................................</v>
          </cell>
          <cell r="AG113" t="str">
            <v>................................</v>
          </cell>
          <cell r="AH113" t="str">
            <v>Nguyễn Ái Việt</v>
          </cell>
          <cell r="AI113" t="str">
            <v>Chỉ huy trưởng</v>
          </cell>
          <cell r="AJ113" t="str">
            <v>Hoàng Chiến Thắng</v>
          </cell>
          <cell r="AK113" t="str">
            <v>P. Chỉ huy trưởng</v>
          </cell>
          <cell r="AL113" t="str">
            <v>Trịnh Quang Đức</v>
          </cell>
          <cell r="AM113" t="str">
            <v>Cán bộ kỹ thuật</v>
          </cell>
          <cell r="AN113" t="str">
            <v>KCBS-01; KCBS-02</v>
          </cell>
          <cell r="AQ113" t="str">
            <v>Ngày  Tháng  Năm 2015</v>
          </cell>
        </row>
        <row r="114">
          <cell r="H114">
            <v>2015</v>
          </cell>
          <cell r="I114" t="str">
            <v>Hà Nội, ngày  tháng  năm 2015</v>
          </cell>
          <cell r="J114" t="str">
            <v xml:space="preserve"> ngày  tháng  năm 2015</v>
          </cell>
          <cell r="K114" t="str">
            <v xml:space="preserve"> ngày …… tháng …… năm 2015</v>
          </cell>
          <cell r="L114" t="str">
            <v>9h15</v>
          </cell>
          <cell r="M114" t="str">
            <v>10h15</v>
          </cell>
          <cell r="N114" t="str">
            <v>……</v>
          </cell>
          <cell r="O114" t="str">
            <v>……</v>
          </cell>
          <cell r="P114">
            <v>2015</v>
          </cell>
          <cell r="Q114" t="str">
            <v>Hà Nội, ngày …… tháng …… năm 2015</v>
          </cell>
          <cell r="R114" t="str">
            <v>9h15 ngày  tháng  năm 2015</v>
          </cell>
          <cell r="S114" t="str">
            <v>10h15 ngày …… tháng …… năm 2015</v>
          </cell>
          <cell r="T114" t="str">
            <v>9h15</v>
          </cell>
          <cell r="U114" t="str">
            <v>9h15 Ngày //2015</v>
          </cell>
          <cell r="V114" t="str">
            <v>Nguyễn Ái Việt</v>
          </cell>
          <cell r="W114" t="str">
            <v>Chỉ huy trưởng</v>
          </cell>
          <cell r="X114" t="str">
            <v>................................</v>
          </cell>
          <cell r="Y114" t="str">
            <v>................................</v>
          </cell>
          <cell r="Z114" t="str">
            <v>Nguyễn Văn Nghiễm</v>
          </cell>
          <cell r="AA114" t="str">
            <v>Cán bộ KCS</v>
          </cell>
          <cell r="AB114" t="str">
            <v>Vương Toàn Hiếu</v>
          </cell>
          <cell r="AC114" t="str">
            <v>Trưởng đoàn TVGS</v>
          </cell>
          <cell r="AD114" t="str">
            <v>Lê Thiều Nam</v>
          </cell>
          <cell r="AE114" t="str">
            <v>Cán bộ TVGS</v>
          </cell>
          <cell r="AF114" t="str">
            <v>................................</v>
          </cell>
          <cell r="AG114" t="str">
            <v>................................</v>
          </cell>
          <cell r="AH114" t="str">
            <v>Nguyễn Ái Việt</v>
          </cell>
          <cell r="AI114" t="str">
            <v>Chỉ huy trưởng</v>
          </cell>
          <cell r="AJ114" t="str">
            <v>Hoàng Chiến Thắng</v>
          </cell>
          <cell r="AK114" t="str">
            <v>P. Chỉ huy trưởng</v>
          </cell>
          <cell r="AL114" t="str">
            <v>Trịnh Quang Đức</v>
          </cell>
          <cell r="AM114" t="str">
            <v>Cán bộ kỹ thuật</v>
          </cell>
          <cell r="AN114" t="str">
            <v>KCBS-01; KCBS-02</v>
          </cell>
          <cell r="AQ114" t="str">
            <v>Ngày  Tháng  Năm 2015</v>
          </cell>
        </row>
        <row r="115">
          <cell r="H115">
            <v>2015</v>
          </cell>
          <cell r="I115" t="str">
            <v>Hà Nội, ngày  tháng  năm 2015</v>
          </cell>
          <cell r="J115" t="str">
            <v xml:space="preserve"> ngày  tháng  năm 2015</v>
          </cell>
          <cell r="K115" t="str">
            <v xml:space="preserve"> ngày …… tháng …… năm 2015</v>
          </cell>
          <cell r="L115" t="str">
            <v>9h15</v>
          </cell>
          <cell r="M115" t="str">
            <v>10h15</v>
          </cell>
          <cell r="N115" t="str">
            <v>……</v>
          </cell>
          <cell r="O115" t="str">
            <v>……</v>
          </cell>
          <cell r="P115">
            <v>2015</v>
          </cell>
          <cell r="Q115" t="str">
            <v>Hà Nội, ngày …… tháng …… năm 2015</v>
          </cell>
          <cell r="R115" t="str">
            <v>9h15 ngày  tháng  năm 2015</v>
          </cell>
          <cell r="S115" t="str">
            <v>10h15 ngày …… tháng …… năm 2015</v>
          </cell>
          <cell r="T115" t="str">
            <v>9h15</v>
          </cell>
          <cell r="U115" t="str">
            <v>9h15 Ngày //2015</v>
          </cell>
          <cell r="V115" t="str">
            <v>Nguyễn Ái Việt</v>
          </cell>
          <cell r="W115" t="str">
            <v>Chỉ huy trưởng</v>
          </cell>
          <cell r="X115" t="str">
            <v>................................</v>
          </cell>
          <cell r="Y115" t="str">
            <v>................................</v>
          </cell>
          <cell r="Z115" t="str">
            <v>Nguyễn Văn Nghiễm</v>
          </cell>
          <cell r="AA115" t="str">
            <v>Cán bộ KCS</v>
          </cell>
          <cell r="AB115" t="str">
            <v>Vương Toàn Hiếu</v>
          </cell>
          <cell r="AC115" t="str">
            <v>Trưởng đoàn TVGS</v>
          </cell>
          <cell r="AD115" t="str">
            <v>Lê Thiều Nam</v>
          </cell>
          <cell r="AE115" t="str">
            <v>Cán bộ TVGS</v>
          </cell>
          <cell r="AF115" t="str">
            <v>................................</v>
          </cell>
          <cell r="AG115" t="str">
            <v>................................</v>
          </cell>
          <cell r="AH115" t="str">
            <v>Nguyễn Ái Việt</v>
          </cell>
          <cell r="AI115" t="str">
            <v>Chỉ huy trưởng</v>
          </cell>
          <cell r="AJ115" t="str">
            <v>Hoàng Chiến Thắng</v>
          </cell>
          <cell r="AK115" t="str">
            <v>P. Chỉ huy trưởng</v>
          </cell>
          <cell r="AL115" t="str">
            <v>Trịnh Quang Đức</v>
          </cell>
          <cell r="AM115" t="str">
            <v>Cán bộ kỹ thuật</v>
          </cell>
          <cell r="AN115" t="str">
            <v>KCBS-01; KCBS-02</v>
          </cell>
          <cell r="AQ115" t="str">
            <v>Ngày  Tháng  Năm 2015</v>
          </cell>
        </row>
        <row r="116">
          <cell r="H116">
            <v>2015</v>
          </cell>
          <cell r="I116" t="str">
            <v>Hà Nội, ngày  tháng  năm 2015</v>
          </cell>
          <cell r="J116" t="str">
            <v xml:space="preserve"> ngày  tháng  năm 2015</v>
          </cell>
          <cell r="K116" t="str">
            <v xml:space="preserve"> ngày …… tháng …… năm 2015</v>
          </cell>
          <cell r="L116" t="str">
            <v>9h15</v>
          </cell>
          <cell r="M116" t="str">
            <v>10h15</v>
          </cell>
          <cell r="N116" t="str">
            <v>……</v>
          </cell>
          <cell r="O116" t="str">
            <v>……</v>
          </cell>
          <cell r="P116">
            <v>2015</v>
          </cell>
          <cell r="Q116" t="str">
            <v>Hà Nội, ngày …… tháng …… năm 2015</v>
          </cell>
          <cell r="R116" t="str">
            <v>9h15 ngày  tháng  năm 2015</v>
          </cell>
          <cell r="S116" t="str">
            <v>10h15 ngày …… tháng …… năm 2015</v>
          </cell>
          <cell r="T116" t="str">
            <v>9h15</v>
          </cell>
          <cell r="U116" t="str">
            <v>9h15 Ngày //2015</v>
          </cell>
          <cell r="V116" t="str">
            <v>Nguyễn Ái Việt</v>
          </cell>
          <cell r="W116" t="str">
            <v>Chỉ huy trưởng</v>
          </cell>
          <cell r="X116" t="str">
            <v>................................</v>
          </cell>
          <cell r="Y116" t="str">
            <v>................................</v>
          </cell>
          <cell r="Z116" t="str">
            <v>Nguyễn Văn Nghiễm</v>
          </cell>
          <cell r="AA116" t="str">
            <v>Cán bộ KCS</v>
          </cell>
          <cell r="AB116" t="str">
            <v>Vương Toàn Hiếu</v>
          </cell>
          <cell r="AC116" t="str">
            <v>Trưởng đoàn TVGS</v>
          </cell>
          <cell r="AD116" t="str">
            <v>Lê Thiều Nam</v>
          </cell>
          <cell r="AE116" t="str">
            <v>Cán bộ TVGS</v>
          </cell>
          <cell r="AF116" t="str">
            <v>................................</v>
          </cell>
          <cell r="AG116" t="str">
            <v>................................</v>
          </cell>
          <cell r="AH116" t="str">
            <v>Nguyễn Ái Việt</v>
          </cell>
          <cell r="AI116" t="str">
            <v>Chỉ huy trưởng</v>
          </cell>
          <cell r="AJ116" t="str">
            <v>Hoàng Chiến Thắng</v>
          </cell>
          <cell r="AK116" t="str">
            <v>P. Chỉ huy trưởng</v>
          </cell>
          <cell r="AL116" t="str">
            <v>Trịnh Quang Đức</v>
          </cell>
          <cell r="AM116" t="str">
            <v>Cán bộ kỹ thuật</v>
          </cell>
          <cell r="AN116" t="str">
            <v>KCBS-01; KCBS-02</v>
          </cell>
          <cell r="AQ116" t="str">
            <v>Ngày  Tháng  Năm 2015</v>
          </cell>
        </row>
        <row r="123">
          <cell r="A123">
            <v>1</v>
          </cell>
          <cell r="B123">
            <v>2</v>
          </cell>
          <cell r="C123">
            <v>3</v>
          </cell>
          <cell r="D123">
            <v>4</v>
          </cell>
          <cell r="E123">
            <v>5</v>
          </cell>
          <cell r="F123">
            <v>6</v>
          </cell>
          <cell r="G123">
            <v>7</v>
          </cell>
          <cell r="H123">
            <v>8</v>
          </cell>
          <cell r="I123">
            <v>9</v>
          </cell>
          <cell r="J123">
            <v>10</v>
          </cell>
          <cell r="K123">
            <v>11</v>
          </cell>
          <cell r="L123">
            <v>12</v>
          </cell>
          <cell r="M123">
            <v>13</v>
          </cell>
          <cell r="N123">
            <v>14</v>
          </cell>
          <cell r="O123">
            <v>15</v>
          </cell>
          <cell r="P123">
            <v>16</v>
          </cell>
          <cell r="Q123">
            <v>17</v>
          </cell>
          <cell r="R123">
            <v>18</v>
          </cell>
          <cell r="S123">
            <v>19</v>
          </cell>
          <cell r="T123">
            <v>20</v>
          </cell>
          <cell r="U123">
            <v>21</v>
          </cell>
          <cell r="V123">
            <v>22</v>
          </cell>
          <cell r="W123">
            <v>23</v>
          </cell>
          <cell r="X123">
            <v>24</v>
          </cell>
          <cell r="Y123">
            <v>25</v>
          </cell>
          <cell r="Z123">
            <v>26</v>
          </cell>
          <cell r="AA123">
            <v>27</v>
          </cell>
          <cell r="AB123">
            <v>28</v>
          </cell>
          <cell r="AC123">
            <v>29</v>
          </cell>
          <cell r="AD123">
            <v>30</v>
          </cell>
          <cell r="AE123">
            <v>31</v>
          </cell>
          <cell r="AF123">
            <v>32</v>
          </cell>
          <cell r="AG123">
            <v>33</v>
          </cell>
          <cell r="AH123">
            <v>34</v>
          </cell>
          <cell r="AI123">
            <v>35</v>
          </cell>
          <cell r="AJ123">
            <v>36</v>
          </cell>
          <cell r="AK123">
            <v>37</v>
          </cell>
          <cell r="AL123">
            <v>38</v>
          </cell>
          <cell r="AM123">
            <v>39</v>
          </cell>
          <cell r="AN123">
            <v>40</v>
          </cell>
          <cell r="AO123">
            <v>41</v>
          </cell>
          <cell r="AP123">
            <v>42</v>
          </cell>
          <cell r="AQ123">
            <v>43</v>
          </cell>
        </row>
      </sheetData>
      <sheetData sheetId="39">
        <row r="11">
          <cell r="A11" t="str">
            <v>ĐCAT-01</v>
          </cell>
          <cell r="B11" t="str">
            <v>- Công tác đắp cát vàng đáy bể nước sạch độ chặt K&gt;=0,9</v>
          </cell>
          <cell r="C11" t="str">
            <v>ĐCAT-01</v>
          </cell>
          <cell r="D11" t="str">
            <v>13h30</v>
          </cell>
          <cell r="E11" t="str">
            <v>14h00</v>
          </cell>
          <cell r="F11">
            <v>20</v>
          </cell>
          <cell r="G11">
            <v>11</v>
          </cell>
          <cell r="H11">
            <v>2014</v>
          </cell>
          <cell r="I11" t="str">
            <v>Hà Nội, ngày 20 tháng 11 năm 2014</v>
          </cell>
          <cell r="J11" t="str">
            <v>13h30 ngày 20 tháng 11 năm 2014</v>
          </cell>
          <cell r="K11" t="str">
            <v>14h00 ngày 20 tháng 11 năm 2014</v>
          </cell>
          <cell r="L11" t="str">
            <v>14h00</v>
          </cell>
          <cell r="M11" t="str">
            <v>14h30</v>
          </cell>
          <cell r="N11">
            <v>20</v>
          </cell>
          <cell r="O11">
            <v>11</v>
          </cell>
          <cell r="P11">
            <v>2014</v>
          </cell>
          <cell r="Q11" t="str">
            <v>Hà Nội, ngày 20 tháng 11 năm 2014</v>
          </cell>
          <cell r="R11" t="str">
            <v>14h00 ngày 20 tháng 11 năm 2014</v>
          </cell>
          <cell r="S11" t="str">
            <v>14h30 ngày 20 tháng 11 năm 2014</v>
          </cell>
          <cell r="T11" t="str">
            <v>14h00</v>
          </cell>
          <cell r="U11" t="str">
            <v>14h00 Ngày 20/11/2014</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KC-69;KC-70</v>
          </cell>
          <cell r="AQ11" t="str">
            <v>Ngày 20 Tháng 11 Năm 2014</v>
          </cell>
        </row>
        <row r="12">
          <cell r="A12" t="str">
            <v>ĐCAT-02</v>
          </cell>
          <cell r="C12" t="str">
            <v>ĐCAT-02</v>
          </cell>
          <cell r="D12" t="str">
            <v>….h….</v>
          </cell>
          <cell r="E12" t="str">
            <v>….h….</v>
          </cell>
          <cell r="F12" t="str">
            <v>….</v>
          </cell>
          <cell r="G12" t="str">
            <v>….</v>
          </cell>
          <cell r="H12">
            <v>2014</v>
          </cell>
          <cell r="I12" t="str">
            <v>Hà Nội, ngày …. tháng …. năm 2014</v>
          </cell>
          <cell r="J12" t="str">
            <v>….h…. ngày …. tháng …. năm 2014</v>
          </cell>
          <cell r="K12" t="str">
            <v>….h…. ngày …. tháng …. năm 2014</v>
          </cell>
          <cell r="L12" t="str">
            <v>….h….</v>
          </cell>
          <cell r="M12" t="str">
            <v>….h….</v>
          </cell>
          <cell r="N12" t="str">
            <v>….</v>
          </cell>
          <cell r="O12" t="str">
            <v>….</v>
          </cell>
          <cell r="P12">
            <v>2014</v>
          </cell>
          <cell r="Q12" t="str">
            <v>Hà Nội, ngày …. tháng …. năm 2014</v>
          </cell>
          <cell r="R12" t="str">
            <v>….h…. ngày …. tháng …. năm 2014</v>
          </cell>
          <cell r="S12" t="str">
            <v>….h…. ngày …. tháng …. năm 2014</v>
          </cell>
          <cell r="T12" t="str">
            <v>….h….</v>
          </cell>
          <cell r="U12" t="str">
            <v>….h…. Ngày …./…./2014</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KC-05;KC-07÷KC-10</v>
          </cell>
          <cell r="AQ12" t="str">
            <v>Ngày …. Tháng …. Năm 2014</v>
          </cell>
        </row>
        <row r="13">
          <cell r="A13" t="str">
            <v>ĐCAT-03</v>
          </cell>
          <cell r="B13" t="str">
            <v>- Đắp cát nền móng công trình độ chặt K &gt;=0,90</v>
          </cell>
          <cell r="C13" t="str">
            <v>ĐCAT-03</v>
          </cell>
          <cell r="D13" t="str">
            <v>9h00</v>
          </cell>
          <cell r="E13" t="str">
            <v>10h00</v>
          </cell>
          <cell r="F13" t="str">
            <v>……..</v>
          </cell>
          <cell r="G13" t="str">
            <v>……..</v>
          </cell>
          <cell r="H13" t="str">
            <v>20…</v>
          </cell>
          <cell r="I13" t="str">
            <v>Hà Nội, ngày …….. tháng …….. năm 20…</v>
          </cell>
          <cell r="J13" t="str">
            <v>9h00 ngày …….. tháng …….. năm 20…</v>
          </cell>
          <cell r="K13" t="str">
            <v>10h00 ngày …….. tháng …….. năm 20…</v>
          </cell>
          <cell r="L13" t="str">
            <v>10h00</v>
          </cell>
          <cell r="M13" t="str">
            <v>11h00</v>
          </cell>
          <cell r="N13" t="str">
            <v>……..</v>
          </cell>
          <cell r="O13" t="str">
            <v>……..</v>
          </cell>
          <cell r="P13" t="str">
            <v>20…</v>
          </cell>
          <cell r="Q13" t="str">
            <v>Hà Nội, ngày …….. tháng …….. năm 20…</v>
          </cell>
          <cell r="R13" t="str">
            <v>10h00 ngày …….. tháng …….. năm 20…</v>
          </cell>
          <cell r="S13" t="str">
            <v>11h00 ngày …….. tháng …….. năm 20…</v>
          </cell>
          <cell r="T13" t="str">
            <v>10h00</v>
          </cell>
          <cell r="U13" t="str">
            <v>10h00 Ngày ……../……../20…</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KC-06</v>
          </cell>
          <cell r="AQ13" t="str">
            <v>Ngày …….. Tháng …….. Năm 20…</v>
          </cell>
        </row>
        <row r="14">
          <cell r="A14" t="str">
            <v>ĐCAT-04</v>
          </cell>
          <cell r="B14" t="str">
            <v>- Đắp cát vàng đáy bể tách dầu mỡ và bể tự hoại số 04 độ chặt K&gt;=0,90</v>
          </cell>
          <cell r="C14" t="str">
            <v>ĐCAT-04</v>
          </cell>
          <cell r="D14" t="str">
            <v>16h30</v>
          </cell>
          <cell r="E14" t="str">
            <v>17h00</v>
          </cell>
          <cell r="F14">
            <v>29</v>
          </cell>
          <cell r="G14">
            <v>12</v>
          </cell>
          <cell r="H14">
            <v>2014</v>
          </cell>
          <cell r="I14" t="str">
            <v>Hà Nội, ngày 29 tháng 12 năm 2014</v>
          </cell>
          <cell r="J14" t="str">
            <v>16h30 ngày 29 tháng 12 năm 2014</v>
          </cell>
          <cell r="K14" t="str">
            <v>17h00 ngày 29 tháng 12 năm 2014</v>
          </cell>
          <cell r="L14" t="str">
            <v>17h00</v>
          </cell>
          <cell r="M14" t="str">
            <v>17h30</v>
          </cell>
          <cell r="N14">
            <v>29</v>
          </cell>
          <cell r="O14">
            <v>12</v>
          </cell>
          <cell r="P14">
            <v>2014</v>
          </cell>
          <cell r="Q14" t="str">
            <v>Hà Nội, ngày 29 tháng 12 năm 2014</v>
          </cell>
          <cell r="R14" t="str">
            <v>17h00 ngày 29 tháng 12 năm 2014</v>
          </cell>
          <cell r="S14" t="str">
            <v>17h30 ngày 29 tháng 12 năm 2014</v>
          </cell>
          <cell r="T14" t="str">
            <v>17h00</v>
          </cell>
          <cell r="U14" t="str">
            <v>17h00 Ngày 29/12/2014</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KC-71÷KC-73</v>
          </cell>
          <cell r="AQ14" t="str">
            <v>Ngày 29 Tháng 12 Năm 2014</v>
          </cell>
        </row>
        <row r="15">
          <cell r="A15" t="str">
            <v>ĐCAT-05</v>
          </cell>
          <cell r="B15" t="str">
            <v>- Đắp cát vàng đáy bể tách dầu mỡ và bể tự hoại số 03 độ chặt K&gt;=0,90</v>
          </cell>
          <cell r="C15" t="str">
            <v>ĐCAT-05</v>
          </cell>
          <cell r="D15" t="str">
            <v>16h15</v>
          </cell>
          <cell r="E15" t="str">
            <v>16h45</v>
          </cell>
          <cell r="F15">
            <v>2</v>
          </cell>
          <cell r="G15">
            <v>1</v>
          </cell>
          <cell r="H15">
            <v>2015</v>
          </cell>
          <cell r="I15" t="str">
            <v>Hà Nội, ngày 2 tháng 1 năm 2015</v>
          </cell>
          <cell r="J15" t="str">
            <v>16h15 ngày 2 tháng 1 năm 2015</v>
          </cell>
          <cell r="K15" t="str">
            <v>16h45 ngày 2 tháng 1 năm 2015</v>
          </cell>
          <cell r="L15" t="str">
            <v>16h45</v>
          </cell>
          <cell r="M15" t="str">
            <v>17h15</v>
          </cell>
          <cell r="N15">
            <v>2</v>
          </cell>
          <cell r="O15">
            <v>1</v>
          </cell>
          <cell r="P15">
            <v>2015</v>
          </cell>
          <cell r="Q15" t="str">
            <v>Hà Nội, ngày 2 tháng 1 năm 2015</v>
          </cell>
          <cell r="R15" t="str">
            <v>16h45 ngày 2 tháng 1 năm 2015</v>
          </cell>
          <cell r="S15" t="str">
            <v>17h15 ngày 2 tháng 1 năm 2015</v>
          </cell>
          <cell r="T15" t="str">
            <v>16h45</v>
          </cell>
          <cell r="U15" t="str">
            <v>16h45 Ngày 2/1/2015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KC-71÷KC-73</v>
          </cell>
          <cell r="AQ15" t="str">
            <v>Ngày 2 Tháng 1 Năm 2015</v>
          </cell>
        </row>
        <row r="16">
          <cell r="A16" t="str">
            <v>ĐCAT-06</v>
          </cell>
          <cell r="B16" t="str">
            <v>- Đắp cát vàng đáy bể tách dầu mỡ và bể tự hoại số 01 độ chặt K&gt;=0,90</v>
          </cell>
          <cell r="C16" t="str">
            <v>ĐCAT-06</v>
          </cell>
          <cell r="D16" t="str">
            <v>16h30</v>
          </cell>
          <cell r="E16" t="str">
            <v>17h00</v>
          </cell>
          <cell r="F16">
            <v>5</v>
          </cell>
          <cell r="G16">
            <v>1</v>
          </cell>
          <cell r="H16">
            <v>2015</v>
          </cell>
          <cell r="I16" t="str">
            <v>Hà Nội, ngày 5 tháng 1 năm 2015</v>
          </cell>
          <cell r="J16" t="str">
            <v>16h30 ngày 5 tháng 1 năm 2015</v>
          </cell>
          <cell r="K16" t="str">
            <v>17h00 ngày 5 tháng 1 năm 2015</v>
          </cell>
          <cell r="L16" t="str">
            <v>17h00</v>
          </cell>
          <cell r="M16" t="str">
            <v>17h30</v>
          </cell>
          <cell r="N16">
            <v>5</v>
          </cell>
          <cell r="O16">
            <v>1</v>
          </cell>
          <cell r="P16">
            <v>2015</v>
          </cell>
          <cell r="Q16" t="str">
            <v>Hà Nội, ngày 5 tháng 1 năm 2015</v>
          </cell>
          <cell r="R16" t="str">
            <v>17h00 ngày 5 tháng 1 năm 2015</v>
          </cell>
          <cell r="S16" t="str">
            <v>17h30 ngày 5 tháng 1 năm 2015</v>
          </cell>
          <cell r="T16" t="str">
            <v>17h00</v>
          </cell>
          <cell r="U16" t="str">
            <v>17h00 Ngày 5/1/2015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KC-71÷KC-73</v>
          </cell>
          <cell r="AQ16" t="str">
            <v>Ngày 5 Tháng 1 Năm 2015</v>
          </cell>
        </row>
        <row r="17">
          <cell r="A17" t="str">
            <v>ĐCAT-07</v>
          </cell>
          <cell r="B17" t="str">
            <v>- Đắp cát vàng đáy bể tách dầu mỡ và bể tự hoại số 02 độ chặt K&gt;=0,90</v>
          </cell>
          <cell r="C17" t="str">
            <v>ĐCAT-07</v>
          </cell>
          <cell r="D17" t="str">
            <v>16h15</v>
          </cell>
          <cell r="E17" t="str">
            <v>16h45</v>
          </cell>
          <cell r="F17">
            <v>6</v>
          </cell>
          <cell r="G17">
            <v>1</v>
          </cell>
          <cell r="H17">
            <v>2015</v>
          </cell>
          <cell r="I17" t="str">
            <v>Hà Nội, ngày 6 tháng 1 năm 2015</v>
          </cell>
          <cell r="J17" t="str">
            <v>16h15 ngày 6 tháng 1 năm 2015</v>
          </cell>
          <cell r="K17" t="str">
            <v>16h45 ngày 6 tháng 1 năm 2015</v>
          </cell>
          <cell r="L17" t="str">
            <v>16h45</v>
          </cell>
          <cell r="M17" t="str">
            <v>17h15</v>
          </cell>
          <cell r="N17">
            <v>6</v>
          </cell>
          <cell r="O17">
            <v>1</v>
          </cell>
          <cell r="P17">
            <v>2015</v>
          </cell>
          <cell r="Q17" t="str">
            <v>Hà Nội, ngày 6 tháng 1 năm 2015</v>
          </cell>
          <cell r="R17" t="str">
            <v>16h45 ngày 6 tháng 1 năm 2015</v>
          </cell>
          <cell r="S17" t="str">
            <v>17h15 ngày 6 tháng 1 năm 2015</v>
          </cell>
          <cell r="T17" t="str">
            <v>16h45</v>
          </cell>
          <cell r="U17" t="str">
            <v>16h45 Ngày 6/1/2015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KC-71÷KC-73</v>
          </cell>
          <cell r="AQ17" t="str">
            <v>Ngày 6 Tháng 1 Năm 2015</v>
          </cell>
        </row>
        <row r="18">
          <cell r="AQ18" t="str">
            <v xml:space="preserve">Ngày  Tháng  Năm </v>
          </cell>
        </row>
        <row r="19">
          <cell r="A19" t="str">
            <v>ĐCTN-01</v>
          </cell>
          <cell r="B19" t="str">
            <v>Đắp cát tôn nền nhà vệ sinh tầng áp mái dày 1,5 cm</v>
          </cell>
          <cell r="C19" t="str">
            <v>ĐCTN-01</v>
          </cell>
          <cell r="D19" t="str">
            <v>8h00</v>
          </cell>
          <cell r="E19" t="str">
            <v>8h30</v>
          </cell>
          <cell r="F19">
            <v>12</v>
          </cell>
          <cell r="G19">
            <v>10</v>
          </cell>
          <cell r="H19">
            <v>2015</v>
          </cell>
          <cell r="I19" t="str">
            <v>Hà Nội, ngày 12 tháng 10 năm 2015</v>
          </cell>
          <cell r="J19" t="str">
            <v>8h00 ngày 12 tháng 10 năm 2015</v>
          </cell>
          <cell r="K19" t="str">
            <v>8h30 ngày 12 tháng 10 năm 2015</v>
          </cell>
          <cell r="L19" t="str">
            <v>8h40</v>
          </cell>
          <cell r="M19" t="str">
            <v>9h20</v>
          </cell>
          <cell r="N19">
            <v>12</v>
          </cell>
          <cell r="O19">
            <v>10</v>
          </cell>
          <cell r="P19">
            <v>2015</v>
          </cell>
          <cell r="Q19" t="str">
            <v>Hà Nội, ngày 12 tháng 10 năm 2015</v>
          </cell>
          <cell r="R19" t="str">
            <v>8h40 ngày 12 tháng 10 năm 2015</v>
          </cell>
          <cell r="S19" t="str">
            <v>9h20 ngày 12 tháng 10 năm 2015</v>
          </cell>
          <cell r="T19" t="str">
            <v>8h40</v>
          </cell>
          <cell r="U19" t="str">
            <v>8h40 Ngày 12/10/2015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12 Tháng 10 Năm 2015</v>
          </cell>
        </row>
        <row r="31">
          <cell r="A31">
            <v>1</v>
          </cell>
          <cell r="B31">
            <v>2</v>
          </cell>
          <cell r="C31">
            <v>3</v>
          </cell>
          <cell r="D31">
            <v>4</v>
          </cell>
          <cell r="E31">
            <v>5</v>
          </cell>
          <cell r="F31">
            <v>6</v>
          </cell>
          <cell r="G31">
            <v>7</v>
          </cell>
          <cell r="H31">
            <v>8</v>
          </cell>
          <cell r="I31">
            <v>9</v>
          </cell>
          <cell r="J31">
            <v>10</v>
          </cell>
          <cell r="K31">
            <v>11</v>
          </cell>
          <cell r="L31">
            <v>12</v>
          </cell>
          <cell r="M31">
            <v>13</v>
          </cell>
          <cell r="N31">
            <v>14</v>
          </cell>
          <cell r="O31">
            <v>15</v>
          </cell>
          <cell r="P31">
            <v>16</v>
          </cell>
          <cell r="Q31">
            <v>17</v>
          </cell>
          <cell r="R31">
            <v>18</v>
          </cell>
          <cell r="S31">
            <v>19</v>
          </cell>
          <cell r="T31">
            <v>20</v>
          </cell>
          <cell r="U31">
            <v>21</v>
          </cell>
          <cell r="V31">
            <v>22</v>
          </cell>
          <cell r="W31">
            <v>23</v>
          </cell>
          <cell r="X31">
            <v>24</v>
          </cell>
          <cell r="Y31">
            <v>25</v>
          </cell>
          <cell r="Z31">
            <v>26</v>
          </cell>
          <cell r="AA31">
            <v>27</v>
          </cell>
          <cell r="AB31">
            <v>28</v>
          </cell>
          <cell r="AC31">
            <v>29</v>
          </cell>
          <cell r="AD31">
            <v>30</v>
          </cell>
          <cell r="AE31">
            <v>31</v>
          </cell>
          <cell r="AF31">
            <v>32</v>
          </cell>
          <cell r="AG31">
            <v>33</v>
          </cell>
          <cell r="AH31">
            <v>34</v>
          </cell>
          <cell r="AI31">
            <v>35</v>
          </cell>
          <cell r="AJ31">
            <v>36</v>
          </cell>
          <cell r="AK31">
            <v>37</v>
          </cell>
          <cell r="AL31">
            <v>38</v>
          </cell>
          <cell r="AM31">
            <v>39</v>
          </cell>
          <cell r="AN31">
            <v>40</v>
          </cell>
          <cell r="AO31">
            <v>41</v>
          </cell>
          <cell r="AP31">
            <v>42</v>
          </cell>
          <cell r="AQ31">
            <v>43</v>
          </cell>
        </row>
      </sheetData>
      <sheetData sheetId="40"/>
      <sheetData sheetId="41">
        <row r="20">
          <cell r="A20" t="str">
            <v>CKBT-10</v>
          </cell>
          <cell r="B20" t="str">
            <v>-Cấu kiện bê tông cổ cột, vách và dầm, giằng tường trục X1-X4/Y1-Y5</v>
          </cell>
          <cell r="C20" t="str">
            <v>CKBT-10</v>
          </cell>
          <cell r="D20" t="str">
            <v>13h30</v>
          </cell>
          <cell r="E20" t="str">
            <v>14h15</v>
          </cell>
          <cell r="F20">
            <v>19</v>
          </cell>
          <cell r="G20">
            <v>1</v>
          </cell>
          <cell r="H20">
            <v>2015</v>
          </cell>
          <cell r="I20" t="str">
            <v>Hà Nội, ngày 19 tháng 1 năm 2015</v>
          </cell>
          <cell r="J20" t="str">
            <v>13h30 ngày 19 tháng 1 năm 2015</v>
          </cell>
          <cell r="K20" t="str">
            <v>14h15 ngày 19 tháng 1 năm 2015</v>
          </cell>
          <cell r="L20" t="str">
            <v>14h15</v>
          </cell>
          <cell r="M20" t="str">
            <v>15h00</v>
          </cell>
          <cell r="N20">
            <v>19</v>
          </cell>
          <cell r="O20">
            <v>1</v>
          </cell>
          <cell r="P20">
            <v>2015</v>
          </cell>
          <cell r="Q20" t="str">
            <v>Hà Nội, ngày 19 tháng 1 năm 2015</v>
          </cell>
          <cell r="R20" t="str">
            <v>14h15 ngày 19 tháng 1 năm 2015</v>
          </cell>
          <cell r="S20" t="str">
            <v>15h00 ngày 19 tháng 1 năm 2015</v>
          </cell>
          <cell r="T20" t="str">
            <v>14h15</v>
          </cell>
          <cell r="U20" t="str">
            <v>14h15 Ngày 19/1/2015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Phạm Trung Dũng</v>
          </cell>
          <cell r="AM20" t="str">
            <v>Cán bộ kỹ thuật</v>
          </cell>
          <cell r="AN20" t="str">
            <v>KC-05;KC-07÷ KC-10;KC-18</v>
          </cell>
          <cell r="AQ20" t="str">
            <v>Ngày 19 Tháng 1 Năm 2015</v>
          </cell>
        </row>
        <row r="21">
          <cell r="A21" t="str">
            <v>CKBT-11</v>
          </cell>
          <cell r="B21" t="str">
            <v>-Cấu kiện bê tông cổ cột, vách và dầm, giằng tường trục X1-X8/Y5-Y8</v>
          </cell>
          <cell r="C21" t="str">
            <v>CKBT-11</v>
          </cell>
          <cell r="D21" t="str">
            <v>14h00</v>
          </cell>
          <cell r="E21" t="str">
            <v>14h30</v>
          </cell>
          <cell r="F21">
            <v>21</v>
          </cell>
          <cell r="G21">
            <v>1</v>
          </cell>
          <cell r="H21">
            <v>2015</v>
          </cell>
          <cell r="I21" t="str">
            <v>Hà Nội, ngày 21 tháng 1 năm 2015</v>
          </cell>
          <cell r="J21" t="str">
            <v>14h00 ngày 21 tháng 1 năm 2015</v>
          </cell>
          <cell r="K21" t="str">
            <v>14h30 ngày 21 tháng 1 năm 2015</v>
          </cell>
          <cell r="L21" t="str">
            <v>14h30</v>
          </cell>
          <cell r="M21" t="str">
            <v>15h00</v>
          </cell>
          <cell r="N21">
            <v>21</v>
          </cell>
          <cell r="O21">
            <v>1</v>
          </cell>
          <cell r="P21">
            <v>2015</v>
          </cell>
          <cell r="Q21" t="str">
            <v>Hà Nội, ngày 21 tháng 1 năm 2015</v>
          </cell>
          <cell r="R21" t="str">
            <v>14h30 ngày 21 tháng 1 năm 2015</v>
          </cell>
          <cell r="S21" t="str">
            <v>15h00 ngày 21 tháng 1 năm 2015</v>
          </cell>
          <cell r="T21" t="str">
            <v>14h30</v>
          </cell>
          <cell r="U21" t="str">
            <v>14h30 Ngày 21/1/2015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Phạm Trung Dũng</v>
          </cell>
          <cell r="AM21" t="str">
            <v>Cán bộ kỹ thuật</v>
          </cell>
          <cell r="AN21" t="str">
            <v>KC-05;KC-07÷ KC-10;KC-18</v>
          </cell>
          <cell r="AQ21" t="str">
            <v>Ngày 21 Tháng 1 Năm 2015</v>
          </cell>
        </row>
        <row r="22">
          <cell r="A22" t="str">
            <v>CKBT-12</v>
          </cell>
          <cell r="B22" t="str">
            <v>-Cấu kiện bê tông tường bể tự hoại 04, bê tông đáy bể tự hoại 03,
bê tông bể tách dầu mỡ 03 (đáy+tường)</v>
          </cell>
          <cell r="C22" t="str">
            <v>CKBT-12</v>
          </cell>
          <cell r="D22" t="str">
            <v>13h30</v>
          </cell>
          <cell r="E22" t="str">
            <v>14h00</v>
          </cell>
          <cell r="F22">
            <v>2</v>
          </cell>
          <cell r="G22">
            <v>2</v>
          </cell>
          <cell r="H22">
            <v>2015</v>
          </cell>
          <cell r="I22" t="str">
            <v>Hà Nội, ngày 2 tháng 2 năm 2015</v>
          </cell>
          <cell r="J22" t="str">
            <v>13h30 ngày 2 tháng 2 năm 2015</v>
          </cell>
          <cell r="K22" t="str">
            <v>14h00 ngày 2 tháng 2 năm 2015</v>
          </cell>
          <cell r="L22" t="str">
            <v>14h00</v>
          </cell>
          <cell r="M22" t="str">
            <v>14h30</v>
          </cell>
          <cell r="N22">
            <v>2</v>
          </cell>
          <cell r="O22">
            <v>2</v>
          </cell>
          <cell r="P22">
            <v>2015</v>
          </cell>
          <cell r="Q22" t="str">
            <v>Hà Nội, ngày 2 tháng 2 năm 2015</v>
          </cell>
          <cell r="R22" t="str">
            <v>14h00 ngày 2 tháng 2 năm 2015</v>
          </cell>
          <cell r="S22" t="str">
            <v>14h30 ngày 2 tháng 2 năm 2015</v>
          </cell>
          <cell r="T22" t="str">
            <v>14h00</v>
          </cell>
          <cell r="U22" t="str">
            <v>14h00 Ngày 2/2/2015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Phạm Trung Dũng</v>
          </cell>
          <cell r="AM22" t="str">
            <v>Cán bộ kỹ thuật</v>
          </cell>
          <cell r="AN22" t="str">
            <v>KC-71÷ KC-73</v>
          </cell>
          <cell r="AQ22" t="str">
            <v>Ngày 2 Tháng 2 Năm 2015</v>
          </cell>
        </row>
        <row r="23">
          <cell r="A23" t="str">
            <v>CKBT-13</v>
          </cell>
          <cell r="B23" t="str">
            <v>-Cấu kiện bê tông nắp bể tự hoại 04,  bê tông bể tự hoại 03 (tường+nắp), bê tông đáy bể tự hoại 01</v>
          </cell>
          <cell r="C23" t="str">
            <v>CKBT-13</v>
          </cell>
          <cell r="D23" t="str">
            <v>14h15</v>
          </cell>
          <cell r="E23" t="str">
            <v>14h45</v>
          </cell>
          <cell r="F23">
            <v>5</v>
          </cell>
          <cell r="G23">
            <v>2</v>
          </cell>
          <cell r="H23">
            <v>2015</v>
          </cell>
          <cell r="I23" t="str">
            <v>Hà Nội, ngày 5 tháng 2 năm 2015</v>
          </cell>
          <cell r="J23" t="str">
            <v>14h15 ngày 5 tháng 2 năm 2015</v>
          </cell>
          <cell r="K23" t="str">
            <v>14h45 ngày 5 tháng 2 năm 2015</v>
          </cell>
          <cell r="L23" t="str">
            <v>14h45</v>
          </cell>
          <cell r="M23" t="str">
            <v>15h15</v>
          </cell>
          <cell r="N23">
            <v>5</v>
          </cell>
          <cell r="O23">
            <v>2</v>
          </cell>
          <cell r="P23">
            <v>2015</v>
          </cell>
          <cell r="Q23" t="str">
            <v>Hà Nội, ngày 5 tháng 2 năm 2015</v>
          </cell>
          <cell r="R23" t="str">
            <v>14h45 ngày 5 tháng 2 năm 2015</v>
          </cell>
          <cell r="S23" t="str">
            <v>15h15 ngày 5 tháng 2 năm 2015</v>
          </cell>
          <cell r="T23" t="str">
            <v>14h45</v>
          </cell>
          <cell r="U23" t="str">
            <v>14h45 Ngày 5/2/2015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Phạm Trung Dũng</v>
          </cell>
          <cell r="AM23" t="str">
            <v>Cán bộ kỹ thuật</v>
          </cell>
          <cell r="AN23" t="str">
            <v>KC-71÷ KC-73</v>
          </cell>
          <cell r="AQ23" t="str">
            <v>Ngày 5 Tháng 2 Năm 2015</v>
          </cell>
        </row>
        <row r="24">
          <cell r="A24" t="str">
            <v>CKBT-14</v>
          </cell>
          <cell r="B24" t="str">
            <v>-Cấu kiện bê tông bể tách dầu mỡ 01 và 02 (đáy+tường), bê tông đáy bể tự hoại 02</v>
          </cell>
          <cell r="C24" t="str">
            <v>CKBT-14</v>
          </cell>
          <cell r="D24" t="str">
            <v>14h30</v>
          </cell>
          <cell r="E24" t="str">
            <v>15h00</v>
          </cell>
          <cell r="F24">
            <v>6</v>
          </cell>
          <cell r="G24">
            <v>2</v>
          </cell>
          <cell r="H24">
            <v>2015</v>
          </cell>
          <cell r="I24" t="str">
            <v>Hà Nội, ngày 6 tháng 2 năm 2015</v>
          </cell>
          <cell r="J24" t="str">
            <v>14h30 ngày 6 tháng 2 năm 2015</v>
          </cell>
          <cell r="K24" t="str">
            <v>15h00 ngày 6 tháng 2 năm 2015</v>
          </cell>
          <cell r="L24" t="str">
            <v>15h00</v>
          </cell>
          <cell r="M24" t="str">
            <v>15h30</v>
          </cell>
          <cell r="N24">
            <v>6</v>
          </cell>
          <cell r="O24">
            <v>2</v>
          </cell>
          <cell r="P24">
            <v>2015</v>
          </cell>
          <cell r="Q24" t="str">
            <v>Hà Nội, ngày 6 tháng 2 năm 2015</v>
          </cell>
          <cell r="R24" t="str">
            <v>15h00 ngày 6 tháng 2 năm 2015</v>
          </cell>
          <cell r="S24" t="str">
            <v>15h30 ngày 6 tháng 2 năm 2015</v>
          </cell>
          <cell r="T24" t="str">
            <v>15h00</v>
          </cell>
          <cell r="U24" t="str">
            <v>15h00 Ngày 6/2/2015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Phạm Trung Dũng</v>
          </cell>
          <cell r="AM24" t="str">
            <v>Cán bộ kỹ thuật</v>
          </cell>
          <cell r="AN24" t="str">
            <v>KC-71÷ KC-73</v>
          </cell>
          <cell r="AQ24" t="str">
            <v>Ngày 6 Tháng 2 Năm 2015</v>
          </cell>
        </row>
        <row r="25">
          <cell r="A25" t="str">
            <v>CKBT-15</v>
          </cell>
          <cell r="B25" t="str">
            <v>-Cấu kiện bê tông bể tự hoại số 01 và 02 (nắp +tường)</v>
          </cell>
          <cell r="C25" t="str">
            <v>CKBT-15</v>
          </cell>
          <cell r="D25" t="str">
            <v>14h00</v>
          </cell>
          <cell r="E25" t="str">
            <v>14h30</v>
          </cell>
          <cell r="F25">
            <v>10</v>
          </cell>
          <cell r="G25">
            <v>2</v>
          </cell>
          <cell r="H25">
            <v>2015</v>
          </cell>
          <cell r="I25" t="str">
            <v>Hà Nội, ngày 10 tháng 2 năm 2015</v>
          </cell>
          <cell r="J25" t="str">
            <v>14h00 ngày 10 tháng 2 năm 2015</v>
          </cell>
          <cell r="K25" t="str">
            <v>14h30 ngày 10 tháng 2 năm 2015</v>
          </cell>
          <cell r="L25" t="str">
            <v>14h30</v>
          </cell>
          <cell r="M25" t="str">
            <v>15h00</v>
          </cell>
          <cell r="N25">
            <v>10</v>
          </cell>
          <cell r="O25">
            <v>2</v>
          </cell>
          <cell r="P25">
            <v>2015</v>
          </cell>
          <cell r="Q25" t="str">
            <v>Hà Nội, ngày 10 tháng 2 năm 2015</v>
          </cell>
          <cell r="R25" t="str">
            <v>14h30 ngày 10 tháng 2 năm 2015</v>
          </cell>
          <cell r="S25" t="str">
            <v>15h00 ngày 10 tháng 2 năm 2015</v>
          </cell>
          <cell r="T25" t="str">
            <v>14h30</v>
          </cell>
          <cell r="U25" t="str">
            <v>14h30 Ngày 10/2/2015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Phạm Trung Dũng</v>
          </cell>
          <cell r="AM25" t="str">
            <v>Cán bộ kỹ thuật</v>
          </cell>
          <cell r="AN25" t="str">
            <v>KC-71÷ KC-73</v>
          </cell>
          <cell r="AQ25" t="str">
            <v>Ngày 10 Tháng 2 Năm 2015</v>
          </cell>
        </row>
        <row r="26">
          <cell r="A26" t="str">
            <v>CKBT-16</v>
          </cell>
          <cell r="B26" t="str">
            <v>-Cấu kiện bê tông đáy bể tự hoại 04 + bê tông bể tách dầu mỡ 04 (đáy+tường)</v>
          </cell>
          <cell r="C26" t="str">
            <v>CKBT-16</v>
          </cell>
          <cell r="D26" t="str">
            <v>14h30</v>
          </cell>
          <cell r="E26" t="str">
            <v>15h00</v>
          </cell>
          <cell r="F26">
            <v>28</v>
          </cell>
          <cell r="G26">
            <v>1</v>
          </cell>
          <cell r="H26">
            <v>2015</v>
          </cell>
          <cell r="I26" t="str">
            <v>Hà Nội, ngày 28 tháng 1 năm 2015</v>
          </cell>
          <cell r="J26" t="str">
            <v>14h30 ngày 28 tháng 1 năm 2015</v>
          </cell>
          <cell r="K26" t="str">
            <v>15h00 ngày 28 tháng 1 năm 2015</v>
          </cell>
          <cell r="L26" t="str">
            <v>15h00</v>
          </cell>
          <cell r="M26" t="str">
            <v>15h30</v>
          </cell>
          <cell r="N26">
            <v>28</v>
          </cell>
          <cell r="O26">
            <v>1</v>
          </cell>
          <cell r="P26">
            <v>2015</v>
          </cell>
          <cell r="Q26" t="str">
            <v>Hà Nội, ngày 28 tháng 1 năm 2015</v>
          </cell>
          <cell r="R26" t="str">
            <v>15h00 ngày 28 tháng 1 năm 2015</v>
          </cell>
          <cell r="S26" t="str">
            <v>15h30 ngày 28 tháng 1 năm 2015</v>
          </cell>
          <cell r="T26" t="str">
            <v>15h00</v>
          </cell>
          <cell r="U26" t="str">
            <v>15h00 Ngày 28/1/2015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Phạm Trung Dũng</v>
          </cell>
          <cell r="AM26" t="str">
            <v>Cán bộ kỹ thuật</v>
          </cell>
          <cell r="AN26" t="str">
            <v>KC-71÷ KC-73</v>
          </cell>
          <cell r="AQ26" t="str">
            <v>Ngày 28 Tháng 1 Năm 2015</v>
          </cell>
        </row>
        <row r="27">
          <cell r="A27" t="str">
            <v>CKBT-17</v>
          </cell>
          <cell r="B27" t="str">
            <v>-Cấu kiện bê tông tấm đan nắp bể tách dầu, mỡ số 01, 02, 03, 04</v>
          </cell>
          <cell r="C27" t="str">
            <v>CKBT-17</v>
          </cell>
          <cell r="D27" t="str">
            <v>8h00</v>
          </cell>
          <cell r="E27" t="str">
            <v>8h30</v>
          </cell>
          <cell r="F27">
            <v>6</v>
          </cell>
          <cell r="G27">
            <v>2</v>
          </cell>
          <cell r="H27">
            <v>2015</v>
          </cell>
          <cell r="I27" t="str">
            <v>Hà Nội, ngày 6 tháng 2 năm 2015</v>
          </cell>
          <cell r="J27" t="str">
            <v>8h00 ngày 6 tháng 2 năm 2015</v>
          </cell>
          <cell r="K27" t="str">
            <v>8h30 ngày 6 tháng 2 năm 2015</v>
          </cell>
          <cell r="L27" t="str">
            <v>8h30</v>
          </cell>
          <cell r="M27" t="str">
            <v>9h00</v>
          </cell>
          <cell r="N27">
            <v>6</v>
          </cell>
          <cell r="O27">
            <v>2</v>
          </cell>
          <cell r="P27">
            <v>2015</v>
          </cell>
          <cell r="Q27" t="str">
            <v>Hà Nội, ngày 6 tháng 2 năm 2015</v>
          </cell>
          <cell r="R27" t="str">
            <v>8h30 ngày 6 tháng 2 năm 2015</v>
          </cell>
          <cell r="S27" t="str">
            <v>9h00 ngày 6 tháng 2 năm 2015</v>
          </cell>
          <cell r="T27" t="str">
            <v>8h30</v>
          </cell>
          <cell r="U27" t="str">
            <v>8h30 Ngày 6/2/2015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KC-70</v>
          </cell>
          <cell r="AQ27" t="str">
            <v>Ngày 6 Tháng 2 Năm 2015</v>
          </cell>
        </row>
        <row r="28">
          <cell r="A28" t="str">
            <v>CKBT-18</v>
          </cell>
          <cell r="B28" t="str">
            <v>-Cấu kiện bê tông cột, vách tầng 1 trục X5-X8/Y5'-Y8</v>
          </cell>
          <cell r="C28" t="str">
            <v>CKBT-18</v>
          </cell>
          <cell r="D28" t="str">
            <v>15h00</v>
          </cell>
          <cell r="E28" t="str">
            <v>15h30</v>
          </cell>
          <cell r="F28">
            <v>14</v>
          </cell>
          <cell r="G28">
            <v>2</v>
          </cell>
          <cell r="H28">
            <v>2015</v>
          </cell>
          <cell r="I28" t="str">
            <v>Hà Nội, ngày 14 tháng 2 năm 2015</v>
          </cell>
          <cell r="J28" t="str">
            <v>15h00 ngày 14 tháng 2 năm 2015</v>
          </cell>
          <cell r="K28" t="str">
            <v>15h30 ngày 14 tháng 2 năm 2015</v>
          </cell>
          <cell r="L28" t="str">
            <v>15h30</v>
          </cell>
          <cell r="M28" t="str">
            <v>16h00</v>
          </cell>
          <cell r="N28">
            <v>14</v>
          </cell>
          <cell r="O28">
            <v>2</v>
          </cell>
          <cell r="P28">
            <v>2015</v>
          </cell>
          <cell r="Q28" t="str">
            <v>Hà Nội, ngày 14 tháng 2 năm 2015</v>
          </cell>
          <cell r="R28" t="str">
            <v>15h30 ngày 14 tháng 2 năm 2015</v>
          </cell>
          <cell r="S28" t="str">
            <v>16h00 ngày 14 tháng 2 năm 2015</v>
          </cell>
          <cell r="T28" t="str">
            <v>15h30</v>
          </cell>
          <cell r="U28" t="str">
            <v>15h30 Ngày 14/2/2015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KC-00</v>
          </cell>
          <cell r="AQ28" t="str">
            <v>Ngày 14 Tháng 2 Năm 2015</v>
          </cell>
        </row>
        <row r="29">
          <cell r="A29" t="str">
            <v>CKBT-19</v>
          </cell>
          <cell r="B29" t="str">
            <v>-Cấu kiện bê tông cột, vách tầng 1 trục X1-X4/Y1-Y4</v>
          </cell>
          <cell r="C29" t="str">
            <v>CKBT-19</v>
          </cell>
          <cell r="D29" t="str">
            <v>16h00</v>
          </cell>
          <cell r="E29" t="str">
            <v>16h30</v>
          </cell>
          <cell r="F29">
            <v>18</v>
          </cell>
          <cell r="G29">
            <v>2</v>
          </cell>
          <cell r="H29">
            <v>2015</v>
          </cell>
          <cell r="I29" t="str">
            <v>Hà Nội, ngày 18 tháng 2 năm 2015</v>
          </cell>
          <cell r="J29" t="str">
            <v>16h00 ngày 18 tháng 2 năm 2015</v>
          </cell>
          <cell r="K29" t="str">
            <v>16h30 ngày 18 tháng 2 năm 2015</v>
          </cell>
          <cell r="L29" t="str">
            <v>16h30</v>
          </cell>
          <cell r="M29" t="str">
            <v>17h00</v>
          </cell>
          <cell r="N29">
            <v>18</v>
          </cell>
          <cell r="O29">
            <v>2</v>
          </cell>
          <cell r="P29">
            <v>2015</v>
          </cell>
          <cell r="Q29" t="str">
            <v>Hà Nội, ngày 18 tháng 2 năm 2015</v>
          </cell>
          <cell r="R29" t="str">
            <v>16h30 ngày 18 tháng 2 năm 2015</v>
          </cell>
          <cell r="S29" t="str">
            <v>17h00 ngày 18 tháng 2 năm 2015</v>
          </cell>
          <cell r="T29" t="str">
            <v>16h30</v>
          </cell>
          <cell r="U29" t="str">
            <v>16h30 Ngày 18/2/2015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KC-00</v>
          </cell>
          <cell r="AQ29" t="str">
            <v>Ngày 18 Tháng 2 Năm 2015</v>
          </cell>
        </row>
        <row r="30">
          <cell r="A30" t="str">
            <v>CKBT-20</v>
          </cell>
          <cell r="B30" t="str">
            <v>-Cấu kiện bê tông cột, vách tầng 1 trục X1-X4'/Y5-Y8</v>
          </cell>
          <cell r="C30" t="str">
            <v>CKBT-20</v>
          </cell>
          <cell r="D30" t="str">
            <v>16h00</v>
          </cell>
          <cell r="E30" t="str">
            <v>16h30</v>
          </cell>
          <cell r="F30">
            <v>20</v>
          </cell>
          <cell r="G30">
            <v>2</v>
          </cell>
          <cell r="H30">
            <v>2015</v>
          </cell>
          <cell r="I30" t="str">
            <v>Hà Nội, ngày 20 tháng 2 năm 2015</v>
          </cell>
          <cell r="J30" t="str">
            <v>16h00 ngày 20 tháng 2 năm 2015</v>
          </cell>
          <cell r="K30" t="str">
            <v>16h30 ngày 20 tháng 2 năm 2015</v>
          </cell>
          <cell r="L30" t="str">
            <v>16h30</v>
          </cell>
          <cell r="M30" t="str">
            <v>17h00</v>
          </cell>
          <cell r="N30">
            <v>20</v>
          </cell>
          <cell r="O30">
            <v>2</v>
          </cell>
          <cell r="P30">
            <v>2015</v>
          </cell>
          <cell r="Q30" t="str">
            <v>Hà Nội, ngày 20 tháng 2 năm 2015</v>
          </cell>
          <cell r="R30" t="str">
            <v>16h30 ngày 20 tháng 2 năm 2015</v>
          </cell>
          <cell r="S30" t="str">
            <v>17h00 ngày 20 tháng 2 năm 2015</v>
          </cell>
          <cell r="T30" t="str">
            <v>16h30</v>
          </cell>
          <cell r="U30" t="str">
            <v>16h30 Ngày 20/2/2015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KC-00</v>
          </cell>
          <cell r="AQ30" t="str">
            <v>Ngày 20 Tháng 2 Năm 2015</v>
          </cell>
        </row>
        <row r="31">
          <cell r="A31" t="str">
            <v>CKBT-21</v>
          </cell>
          <cell r="B31" t="str">
            <v>-Cấu kiện bê tông dầm, sàn, đường dốc tầng 2 (trục X5-X8/Y5'-Y8) và (trục X1-X5/Y5-Y8)</v>
          </cell>
          <cell r="C31" t="str">
            <v>CKBT-21</v>
          </cell>
          <cell r="D31" t="str">
            <v>15h30</v>
          </cell>
          <cell r="E31" t="str">
            <v>16h00</v>
          </cell>
          <cell r="F31">
            <v>27</v>
          </cell>
          <cell r="G31">
            <v>2</v>
          </cell>
          <cell r="H31">
            <v>2015</v>
          </cell>
          <cell r="I31" t="str">
            <v>Hà Nội, ngày 27 tháng 2 năm 2015</v>
          </cell>
          <cell r="J31" t="str">
            <v>15h30 ngày 27 tháng 2 năm 2015</v>
          </cell>
          <cell r="K31" t="str">
            <v>16h00 ngày 27 tháng 2 năm 2015</v>
          </cell>
          <cell r="L31" t="str">
            <v>16h00</v>
          </cell>
          <cell r="M31" t="str">
            <v>16h30</v>
          </cell>
          <cell r="N31">
            <v>27</v>
          </cell>
          <cell r="O31">
            <v>2</v>
          </cell>
          <cell r="P31">
            <v>2015</v>
          </cell>
          <cell r="Q31" t="str">
            <v>Hà Nội, ngày 27 tháng 2 năm 2015</v>
          </cell>
          <cell r="R31" t="str">
            <v>16h00 ngày 27 tháng 2 năm 2015</v>
          </cell>
          <cell r="S31" t="str">
            <v>16h30 ngày 27 tháng 2 năm 2015</v>
          </cell>
          <cell r="T31" t="str">
            <v>16h00</v>
          </cell>
          <cell r="U31" t="str">
            <v>16h00 Ngày 27/2/2015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KC-00</v>
          </cell>
          <cell r="AQ31" t="str">
            <v>Ngày 27 Tháng 2 Năm 2015</v>
          </cell>
        </row>
        <row r="32">
          <cell r="A32" t="str">
            <v>CKBT-22</v>
          </cell>
          <cell r="B32" t="str">
            <v>-Cấu kiện bê tông dầm, sàn, đường dốc tầng 2 trục X1-X4/Y1-Y5</v>
          </cell>
          <cell r="C32" t="str">
            <v>CKBT-22</v>
          </cell>
          <cell r="D32" t="str">
            <v>15h15</v>
          </cell>
          <cell r="E32" t="str">
            <v>16h00</v>
          </cell>
          <cell r="F32">
            <v>1</v>
          </cell>
          <cell r="G32">
            <v>3</v>
          </cell>
          <cell r="H32">
            <v>2015</v>
          </cell>
          <cell r="I32" t="str">
            <v>Hà Nội, ngày 1 tháng 3 năm 2015</v>
          </cell>
          <cell r="J32" t="str">
            <v>15h15 ngày 1 tháng 3 năm 2015</v>
          </cell>
          <cell r="K32" t="str">
            <v>16h00 ngày 1 tháng 3 năm 2015</v>
          </cell>
          <cell r="L32" t="str">
            <v>16h00</v>
          </cell>
          <cell r="M32" t="str">
            <v>16h45</v>
          </cell>
          <cell r="N32">
            <v>1</v>
          </cell>
          <cell r="O32">
            <v>3</v>
          </cell>
          <cell r="P32">
            <v>2015</v>
          </cell>
          <cell r="Q32" t="str">
            <v>Hà Nội, ngày 1 tháng 3 năm 2015</v>
          </cell>
          <cell r="R32" t="str">
            <v>16h00 ngày 1 tháng 3 năm 2015</v>
          </cell>
          <cell r="S32" t="str">
            <v>16h45 ngày 1 tháng 3 năm 2015</v>
          </cell>
          <cell r="T32" t="str">
            <v>16h00</v>
          </cell>
          <cell r="U32" t="str">
            <v>16h00 Ngày 1/3/2015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KC-00</v>
          </cell>
          <cell r="AQ32" t="str">
            <v>Ngày 1 Tháng 3 Năm 2015</v>
          </cell>
        </row>
        <row r="33">
          <cell r="A33" t="str">
            <v>CKBT-23</v>
          </cell>
          <cell r="B33" t="str">
            <v>-Cấu kiện bê tông cột, vách tầng 2 trục X5-X8/Y5'-Y8</v>
          </cell>
          <cell r="C33" t="str">
            <v>CKBT-23</v>
          </cell>
          <cell r="D33" t="str">
            <v>9h00</v>
          </cell>
          <cell r="E33" t="str">
            <v>9h30</v>
          </cell>
          <cell r="F33">
            <v>1</v>
          </cell>
          <cell r="G33">
            <v>3</v>
          </cell>
          <cell r="H33">
            <v>2015</v>
          </cell>
          <cell r="I33" t="str">
            <v>Hà Nội, ngày 1 tháng 3 năm 2015</v>
          </cell>
          <cell r="J33" t="str">
            <v>9h00 ngày 1 tháng 3 năm 2015</v>
          </cell>
          <cell r="K33" t="str">
            <v>9h30 ngày 1 tháng 3 năm 2015</v>
          </cell>
          <cell r="L33" t="str">
            <v>9h30</v>
          </cell>
          <cell r="M33" t="str">
            <v>10h00</v>
          </cell>
          <cell r="N33">
            <v>1</v>
          </cell>
          <cell r="O33">
            <v>3</v>
          </cell>
          <cell r="P33">
            <v>2015</v>
          </cell>
          <cell r="Q33" t="str">
            <v>Hà Nội, ngày 1 tháng 3 năm 2015</v>
          </cell>
          <cell r="R33" t="str">
            <v>9h30 ngày 1 tháng 3 năm 2015</v>
          </cell>
          <cell r="S33" t="str">
            <v>10h00 ngày 1 tháng 3 năm 2015</v>
          </cell>
          <cell r="T33" t="str">
            <v>9h30</v>
          </cell>
          <cell r="U33" t="str">
            <v>9h30 Ngày 1/3/2015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KC-00</v>
          </cell>
          <cell r="AQ33" t="str">
            <v>Ngày 1 Tháng 3 Năm 2015</v>
          </cell>
        </row>
        <row r="34">
          <cell r="A34" t="str">
            <v>CKBT-24</v>
          </cell>
          <cell r="B34" t="str">
            <v>-Cấu kiện bê tông cột, vách tầng 2 trục X1-X4'/Y5-Y8</v>
          </cell>
          <cell r="C34" t="str">
            <v>CKBT-24</v>
          </cell>
          <cell r="D34" t="str">
            <v>8h00</v>
          </cell>
          <cell r="E34" t="str">
            <v>8h30</v>
          </cell>
          <cell r="F34">
            <v>2</v>
          </cell>
          <cell r="G34">
            <v>3</v>
          </cell>
          <cell r="H34">
            <v>2015</v>
          </cell>
          <cell r="I34" t="str">
            <v>Hà Nội, ngày 2 tháng 3 năm 2015</v>
          </cell>
          <cell r="J34" t="str">
            <v>8h00 ngày 2 tháng 3 năm 2015</v>
          </cell>
          <cell r="K34" t="str">
            <v>8h30 ngày 2 tháng 3 năm 2015</v>
          </cell>
          <cell r="L34" t="str">
            <v>8h30</v>
          </cell>
          <cell r="M34" t="str">
            <v>9h00</v>
          </cell>
          <cell r="N34">
            <v>2</v>
          </cell>
          <cell r="O34">
            <v>3</v>
          </cell>
          <cell r="P34">
            <v>2015</v>
          </cell>
          <cell r="Q34" t="str">
            <v>Hà Nội, ngày 2 tháng 3 năm 2015</v>
          </cell>
          <cell r="R34" t="str">
            <v>8h30 ngày 2 tháng 3 năm 2015</v>
          </cell>
          <cell r="S34" t="str">
            <v>9h00 ngày 2 tháng 3 năm 2015</v>
          </cell>
          <cell r="T34" t="str">
            <v>8h30</v>
          </cell>
          <cell r="U34" t="str">
            <v>8h30 Ngày 2/3/2015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KC-00</v>
          </cell>
          <cell r="AQ34" t="str">
            <v>Ngày 2 Tháng 3 Năm 2015</v>
          </cell>
        </row>
        <row r="35">
          <cell r="A35" t="str">
            <v>CKBT-25</v>
          </cell>
          <cell r="B35" t="str">
            <v>-Cấu kiện bê tông cột, vách tầng 2 trục X1-X4/Y1-Y5</v>
          </cell>
          <cell r="C35" t="str">
            <v>CKBT-25</v>
          </cell>
          <cell r="D35" t="str">
            <v>8h30</v>
          </cell>
          <cell r="E35" t="str">
            <v>9h00</v>
          </cell>
          <cell r="F35">
            <v>3</v>
          </cell>
          <cell r="G35">
            <v>3</v>
          </cell>
          <cell r="H35">
            <v>2015</v>
          </cell>
          <cell r="I35" t="str">
            <v>Hà Nội, ngày 3 tháng 3 năm 2015</v>
          </cell>
          <cell r="J35" t="str">
            <v>8h30 ngày 3 tháng 3 năm 2015</v>
          </cell>
          <cell r="K35" t="str">
            <v>9h00 ngày 3 tháng 3 năm 2015</v>
          </cell>
          <cell r="L35" t="str">
            <v>9h00</v>
          </cell>
          <cell r="M35" t="str">
            <v>9h30</v>
          </cell>
          <cell r="N35">
            <v>3</v>
          </cell>
          <cell r="O35">
            <v>3</v>
          </cell>
          <cell r="P35">
            <v>2015</v>
          </cell>
          <cell r="Q35" t="str">
            <v>Hà Nội, ngày 3 tháng 3 năm 2015</v>
          </cell>
          <cell r="R35" t="str">
            <v>9h00 ngày 3 tháng 3 năm 2015</v>
          </cell>
          <cell r="S35" t="str">
            <v>9h30 ngày 3 tháng 3 năm 2015</v>
          </cell>
          <cell r="T35" t="str">
            <v>9h00</v>
          </cell>
          <cell r="U35" t="str">
            <v>9h00 Ngày 3/3/2015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KC-00</v>
          </cell>
          <cell r="AQ35" t="str">
            <v>Ngày 3 Tháng 3 Năm 2015</v>
          </cell>
        </row>
        <row r="36">
          <cell r="A36" t="str">
            <v>CKBT-26</v>
          </cell>
          <cell r="B36" t="str">
            <v>-Cấu kiện bê tông dầm, sàn tầng 3 (trục X5-X8/Y5'-Y8) và (trục X1-X5/Y5-Y8)</v>
          </cell>
          <cell r="C36" t="str">
            <v>CKBT-26</v>
          </cell>
          <cell r="D36" t="str">
            <v>10h00</v>
          </cell>
          <cell r="E36" t="str">
            <v>10h30</v>
          </cell>
          <cell r="F36">
            <v>10</v>
          </cell>
          <cell r="G36">
            <v>3</v>
          </cell>
          <cell r="H36">
            <v>2015</v>
          </cell>
          <cell r="I36" t="str">
            <v>Hà Nội, ngày 10 tháng 3 năm 2015</v>
          </cell>
          <cell r="J36" t="str">
            <v>10h00 ngày 10 tháng 3 năm 2015</v>
          </cell>
          <cell r="K36" t="str">
            <v>10h30 ngày 10 tháng 3 năm 2015</v>
          </cell>
          <cell r="L36" t="str">
            <v>10h30</v>
          </cell>
          <cell r="M36" t="str">
            <v>11h00</v>
          </cell>
          <cell r="N36">
            <v>10</v>
          </cell>
          <cell r="O36">
            <v>3</v>
          </cell>
          <cell r="P36">
            <v>2015</v>
          </cell>
          <cell r="Q36" t="str">
            <v>Hà Nội, ngày 10 tháng 3 năm 2015</v>
          </cell>
          <cell r="R36" t="str">
            <v>10h30 ngày 10 tháng 3 năm 2015</v>
          </cell>
          <cell r="S36" t="str">
            <v>11h00 ngày 10 tháng 3 năm 2015</v>
          </cell>
          <cell r="T36" t="str">
            <v>10h30</v>
          </cell>
          <cell r="U36" t="str">
            <v>10h30 Ngày 10/3/2015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KC-00</v>
          </cell>
          <cell r="AQ36" t="str">
            <v>Ngày 10 Tháng 3 Năm 2015</v>
          </cell>
        </row>
        <row r="37">
          <cell r="A37" t="str">
            <v>CKBT-27</v>
          </cell>
          <cell r="B37" t="str">
            <v>-Cấu kiện bê tông dầm, sàn tầng 3 trục X1-X4/Y1-Y5</v>
          </cell>
          <cell r="C37" t="str">
            <v>CKBT-27</v>
          </cell>
          <cell r="D37" t="str">
            <v>9h30</v>
          </cell>
          <cell r="E37" t="str">
            <v>10h00</v>
          </cell>
          <cell r="F37">
            <v>12</v>
          </cell>
          <cell r="G37">
            <v>3</v>
          </cell>
          <cell r="H37">
            <v>2015</v>
          </cell>
          <cell r="I37" t="str">
            <v>Hà Nội, ngày 12 tháng 3 năm 2015</v>
          </cell>
          <cell r="J37" t="str">
            <v>9h30 ngày 12 tháng 3 năm 2015</v>
          </cell>
          <cell r="K37" t="str">
            <v>10h00 ngày 12 tháng 3 năm 2015</v>
          </cell>
          <cell r="L37" t="str">
            <v>10h00</v>
          </cell>
          <cell r="M37" t="str">
            <v>10h30</v>
          </cell>
          <cell r="N37">
            <v>12</v>
          </cell>
          <cell r="O37">
            <v>3</v>
          </cell>
          <cell r="P37">
            <v>2015</v>
          </cell>
          <cell r="Q37" t="str">
            <v>Hà Nội, ngày 12 tháng 3 năm 2015</v>
          </cell>
          <cell r="R37" t="str">
            <v>10h00 ngày 12 tháng 3 năm 2015</v>
          </cell>
          <cell r="S37" t="str">
            <v>10h30 ngày 12 tháng 3 năm 2015</v>
          </cell>
          <cell r="T37" t="str">
            <v>10h00</v>
          </cell>
          <cell r="U37" t="str">
            <v>10h00 Ngày 12/3/2015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KC-00</v>
          </cell>
          <cell r="AQ37" t="str">
            <v>Ngày 12 Tháng 3 Năm 2015</v>
          </cell>
        </row>
        <row r="38">
          <cell r="A38" t="str">
            <v>CKBT-28</v>
          </cell>
          <cell r="B38" t="str">
            <v>-Cấu kiện bê tông cột, vách tầng 3 trục X5-X8/Y5'-Y8</v>
          </cell>
          <cell r="C38" t="str">
            <v>CKBT-28</v>
          </cell>
          <cell r="D38" t="str">
            <v>10h00</v>
          </cell>
          <cell r="E38" t="str">
            <v>10h30</v>
          </cell>
          <cell r="F38">
            <v>12</v>
          </cell>
          <cell r="G38">
            <v>3</v>
          </cell>
          <cell r="H38">
            <v>2015</v>
          </cell>
          <cell r="I38" t="str">
            <v>Hà Nội, ngày 12 tháng 3 năm 2015</v>
          </cell>
          <cell r="J38" t="str">
            <v>10h00 ngày 12 tháng 3 năm 2015</v>
          </cell>
          <cell r="K38" t="str">
            <v>10h30 ngày 12 tháng 3 năm 2015</v>
          </cell>
          <cell r="L38" t="str">
            <v>10h30</v>
          </cell>
          <cell r="M38" t="str">
            <v>11h00</v>
          </cell>
          <cell r="N38">
            <v>12</v>
          </cell>
          <cell r="O38">
            <v>3</v>
          </cell>
          <cell r="P38">
            <v>2015</v>
          </cell>
          <cell r="Q38" t="str">
            <v>Hà Nội, ngày 12 tháng 3 năm 2015</v>
          </cell>
          <cell r="R38" t="str">
            <v>10h30 ngày 12 tháng 3 năm 2015</v>
          </cell>
          <cell r="S38" t="str">
            <v>11h00 ngày 12 tháng 3 năm 2015</v>
          </cell>
          <cell r="T38" t="str">
            <v>10h30</v>
          </cell>
          <cell r="U38" t="str">
            <v>10h30 Ngày 12/3/2015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KC-00</v>
          </cell>
          <cell r="AQ38" t="str">
            <v>Ngày 12 Tháng 3 Năm 2015</v>
          </cell>
        </row>
        <row r="39">
          <cell r="A39" t="str">
            <v>CKBT-29</v>
          </cell>
          <cell r="B39" t="str">
            <v>-Cấu kiện bê tông cột, vách tầng 3 trục X1-X4'/Y5-Y8</v>
          </cell>
          <cell r="C39" t="str">
            <v>CKBT-29</v>
          </cell>
          <cell r="D39" t="str">
            <v>7h30</v>
          </cell>
          <cell r="E39" t="str">
            <v>8h00</v>
          </cell>
          <cell r="F39">
            <v>2</v>
          </cell>
          <cell r="G39">
            <v>4</v>
          </cell>
          <cell r="H39">
            <v>2015</v>
          </cell>
          <cell r="I39" t="str">
            <v>Hà Nội, ngày 2 tháng 4 năm 2015</v>
          </cell>
          <cell r="J39" t="str">
            <v>7h30 ngày 2 tháng 4 năm 2015</v>
          </cell>
          <cell r="K39" t="str">
            <v>8h00 ngày 2 tháng 4 năm 2015</v>
          </cell>
          <cell r="L39" t="str">
            <v>8h00</v>
          </cell>
          <cell r="M39" t="str">
            <v>8h30</v>
          </cell>
          <cell r="N39">
            <v>2</v>
          </cell>
          <cell r="O39">
            <v>4</v>
          </cell>
          <cell r="P39">
            <v>2015</v>
          </cell>
          <cell r="Q39" t="str">
            <v>Hà Nội, ngày 2 tháng 4 năm 2015</v>
          </cell>
          <cell r="R39" t="str">
            <v>8h00 ngày 2 tháng 4 năm 2015</v>
          </cell>
          <cell r="S39" t="str">
            <v>8h30 ngày 2 tháng 4 năm 2015</v>
          </cell>
          <cell r="T39" t="str">
            <v>8h00</v>
          </cell>
          <cell r="U39" t="str">
            <v>8h00 Ngày 2/4/2015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KC-00</v>
          </cell>
          <cell r="AQ39" t="str">
            <v>Ngày 2 Tháng 4 Năm 2015</v>
          </cell>
        </row>
        <row r="40">
          <cell r="A40" t="str">
            <v>CKBT-30</v>
          </cell>
          <cell r="B40" t="str">
            <v>-Cấu kiện bê tông cột, vách tầng 3 trục X1-X4/Y1-Y4</v>
          </cell>
          <cell r="C40" t="str">
            <v>CKBT-30</v>
          </cell>
          <cell r="D40" t="str">
            <v>8h00</v>
          </cell>
          <cell r="E40" t="str">
            <v>8h30</v>
          </cell>
          <cell r="F40">
            <v>4</v>
          </cell>
          <cell r="G40">
            <v>4</v>
          </cell>
          <cell r="H40">
            <v>2015</v>
          </cell>
          <cell r="I40" t="str">
            <v>Hà Nội, ngày 4 tháng 4 năm 2015</v>
          </cell>
          <cell r="J40" t="str">
            <v>8h00 ngày 4 tháng 4 năm 2015</v>
          </cell>
          <cell r="K40" t="str">
            <v>8h30 ngày 4 tháng 4 năm 2015</v>
          </cell>
          <cell r="L40" t="str">
            <v>8h30</v>
          </cell>
          <cell r="M40" t="str">
            <v>9h00</v>
          </cell>
          <cell r="N40">
            <v>4</v>
          </cell>
          <cell r="O40">
            <v>4</v>
          </cell>
          <cell r="P40">
            <v>2015</v>
          </cell>
          <cell r="Q40" t="str">
            <v>Hà Nội, ngày 4 tháng 4 năm 2015</v>
          </cell>
          <cell r="R40" t="str">
            <v>8h30 ngày 4 tháng 4 năm 2015</v>
          </cell>
          <cell r="S40" t="str">
            <v>9h00 ngày 4 tháng 4 năm 2015</v>
          </cell>
          <cell r="T40" t="str">
            <v>8h30</v>
          </cell>
          <cell r="U40" t="str">
            <v>8h30 Ngày 4/4/2015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KC-00</v>
          </cell>
          <cell r="AQ40" t="str">
            <v>Ngày 4 Tháng 4 Năm 2015</v>
          </cell>
        </row>
        <row r="41">
          <cell r="A41" t="str">
            <v>CKBT-31</v>
          </cell>
          <cell r="B41" t="str">
            <v xml:space="preserve">-Cấu kiện bê tông dầm, sàn tầng 4 </v>
          </cell>
          <cell r="C41" t="str">
            <v>CKBT-31</v>
          </cell>
          <cell r="D41" t="str">
            <v>9h00</v>
          </cell>
          <cell r="E41" t="str">
            <v>9h30</v>
          </cell>
          <cell r="F41">
            <v>15</v>
          </cell>
          <cell r="G41">
            <v>4</v>
          </cell>
          <cell r="H41">
            <v>2015</v>
          </cell>
          <cell r="I41" t="str">
            <v>Hà Nội, ngày 15 tháng 4 năm 2015</v>
          </cell>
          <cell r="J41" t="str">
            <v>9h00 ngày 15 tháng 4 năm 2015</v>
          </cell>
          <cell r="K41" t="str">
            <v>9h30 ngày 15 tháng 4 năm 2015</v>
          </cell>
          <cell r="L41" t="str">
            <v>9h30</v>
          </cell>
          <cell r="M41" t="str">
            <v>10h00</v>
          </cell>
          <cell r="N41">
            <v>15</v>
          </cell>
          <cell r="O41">
            <v>4</v>
          </cell>
          <cell r="P41">
            <v>2015</v>
          </cell>
          <cell r="Q41" t="str">
            <v>Hà Nội, ngày 15 tháng 4 năm 2015</v>
          </cell>
          <cell r="R41" t="str">
            <v>9h30 ngày 15 tháng 4 năm 2015</v>
          </cell>
          <cell r="S41" t="str">
            <v>10h00 ngày 15 tháng 4 năm 2015</v>
          </cell>
          <cell r="T41" t="str">
            <v>9h30</v>
          </cell>
          <cell r="U41" t="str">
            <v>9h30 Ngày 15/4/2015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KC-00</v>
          </cell>
          <cell r="AQ41" t="str">
            <v>Ngày 15 Tháng 4 Năm 2015</v>
          </cell>
        </row>
        <row r="42">
          <cell r="A42" t="str">
            <v>CKBT-32</v>
          </cell>
          <cell r="B42" t="str">
            <v>-Cấu kiện bê tông cột, vách tầng 4</v>
          </cell>
          <cell r="C42" t="str">
            <v>CKBT-32</v>
          </cell>
          <cell r="D42" t="str">
            <v>9h00</v>
          </cell>
          <cell r="E42" t="str">
            <v>9h30</v>
          </cell>
          <cell r="F42">
            <v>20</v>
          </cell>
          <cell r="G42">
            <v>4</v>
          </cell>
          <cell r="H42">
            <v>2015</v>
          </cell>
          <cell r="I42" t="str">
            <v>Hà Nội, ngày 20 tháng 4 năm 2015</v>
          </cell>
          <cell r="J42" t="str">
            <v>9h00 ngày 20 tháng 4 năm 2015</v>
          </cell>
          <cell r="K42" t="str">
            <v>9h30 ngày 20 tháng 4 năm 2015</v>
          </cell>
          <cell r="L42" t="str">
            <v>9h30</v>
          </cell>
          <cell r="M42" t="str">
            <v>10h00</v>
          </cell>
          <cell r="N42">
            <v>20</v>
          </cell>
          <cell r="O42">
            <v>4</v>
          </cell>
          <cell r="P42">
            <v>2015</v>
          </cell>
          <cell r="Q42" t="str">
            <v>Hà Nội, ngày 20 tháng 4 năm 2015</v>
          </cell>
          <cell r="R42" t="str">
            <v>9h30 ngày 20 tháng 4 năm 2015</v>
          </cell>
          <cell r="S42" t="str">
            <v>10h00 ngày 20 tháng 4 năm 2015</v>
          </cell>
          <cell r="T42" t="str">
            <v>9h30</v>
          </cell>
          <cell r="U42" t="str">
            <v>9h30 Ngày 20/4/2015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KC-00</v>
          </cell>
          <cell r="AQ42" t="str">
            <v>Ngày 20 Tháng 4 Năm 2015</v>
          </cell>
        </row>
        <row r="43">
          <cell r="A43" t="str">
            <v>CKBT-33</v>
          </cell>
          <cell r="B43" t="str">
            <v>-Cấu kiện bê tông dầm, sàn tầng 5</v>
          </cell>
          <cell r="C43" t="str">
            <v>CKBT-33</v>
          </cell>
          <cell r="D43" t="str">
            <v>8h00</v>
          </cell>
          <cell r="E43" t="str">
            <v>8h30</v>
          </cell>
          <cell r="F43">
            <v>29</v>
          </cell>
          <cell r="G43">
            <v>4</v>
          </cell>
          <cell r="H43">
            <v>2015</v>
          </cell>
          <cell r="I43" t="str">
            <v>Hà Nội, ngày 29 tháng 4 năm 2015</v>
          </cell>
          <cell r="J43" t="str">
            <v>8h00 ngày 29 tháng 4 năm 2015</v>
          </cell>
          <cell r="K43" t="str">
            <v>8h30 ngày 29 tháng 4 năm 2015</v>
          </cell>
          <cell r="L43" t="str">
            <v>8h30</v>
          </cell>
          <cell r="M43" t="str">
            <v>9h00</v>
          </cell>
          <cell r="N43">
            <v>29</v>
          </cell>
          <cell r="O43">
            <v>4</v>
          </cell>
          <cell r="P43">
            <v>2015</v>
          </cell>
          <cell r="Q43" t="str">
            <v>Hà Nội, ngày 29 tháng 4 năm 2015</v>
          </cell>
          <cell r="R43" t="str">
            <v>8h30 ngày 29 tháng 4 năm 2015</v>
          </cell>
          <cell r="S43" t="str">
            <v>9h00 ngày 29 tháng 4 năm 2015</v>
          </cell>
          <cell r="T43" t="str">
            <v>8h30</v>
          </cell>
          <cell r="U43" t="str">
            <v>8h30 Ngày 29/4/2015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N43" t="str">
            <v>KC-00</v>
          </cell>
          <cell r="AQ43" t="str">
            <v>Ngày 29 Tháng 4 Năm 2015</v>
          </cell>
        </row>
        <row r="44">
          <cell r="A44" t="str">
            <v>CKBT-34</v>
          </cell>
          <cell r="B44" t="str">
            <v>-Cấu kiện bê tông cột, vách tầng 5</v>
          </cell>
          <cell r="C44" t="str">
            <v>CKBT-34</v>
          </cell>
          <cell r="D44" t="str">
            <v>8h00</v>
          </cell>
          <cell r="E44" t="str">
            <v>8h30</v>
          </cell>
          <cell r="F44">
            <v>4</v>
          </cell>
          <cell r="G44">
            <v>5</v>
          </cell>
          <cell r="H44">
            <v>2015</v>
          </cell>
          <cell r="I44" t="str">
            <v>Hà Nội, ngày 4 tháng 5 năm 2015</v>
          </cell>
          <cell r="J44" t="str">
            <v>8h00 ngày 4 tháng 5 năm 2015</v>
          </cell>
          <cell r="K44" t="str">
            <v>8h30 ngày 4 tháng 5 năm 2015</v>
          </cell>
          <cell r="L44" t="str">
            <v>8h30</v>
          </cell>
          <cell r="M44" t="str">
            <v>9h00</v>
          </cell>
          <cell r="N44">
            <v>4</v>
          </cell>
          <cell r="O44">
            <v>5</v>
          </cell>
          <cell r="P44">
            <v>2015</v>
          </cell>
          <cell r="Q44" t="str">
            <v>Hà Nội, ngày 4 tháng 5 năm 2015</v>
          </cell>
          <cell r="R44" t="str">
            <v>8h30 ngày 4 tháng 5 năm 2015</v>
          </cell>
          <cell r="S44" t="str">
            <v>9h00 ngày 4 tháng 5 năm 2015</v>
          </cell>
          <cell r="T44" t="str">
            <v>8h30</v>
          </cell>
          <cell r="U44" t="str">
            <v>8h30 Ngày 4/5/2015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N44" t="str">
            <v>KC-00</v>
          </cell>
          <cell r="AQ44" t="str">
            <v>Ngày 4 Tháng 5 Năm 2015</v>
          </cell>
        </row>
        <row r="45">
          <cell r="A45" t="str">
            <v>CKBT-35</v>
          </cell>
          <cell r="B45" t="str">
            <v>-Cấu kiện bê tông dầm, sàn tầng 6 trục (X1÷X4/Y1÷Y5) và (X1÷X2/Y5÷Y8)</v>
          </cell>
          <cell r="C45" t="str">
            <v>CKBT-35</v>
          </cell>
          <cell r="D45" t="str">
            <v>9h00</v>
          </cell>
          <cell r="E45" t="str">
            <v>9h30</v>
          </cell>
          <cell r="F45">
            <v>11</v>
          </cell>
          <cell r="G45">
            <v>5</v>
          </cell>
          <cell r="H45">
            <v>2015</v>
          </cell>
          <cell r="I45" t="str">
            <v>Hà Nội, ngày 11 tháng 5 năm 2015</v>
          </cell>
          <cell r="J45" t="str">
            <v>9h00 ngày 11 tháng 5 năm 2015</v>
          </cell>
          <cell r="K45" t="str">
            <v>9h30 ngày 11 tháng 5 năm 2015</v>
          </cell>
          <cell r="L45" t="str">
            <v>9h30</v>
          </cell>
          <cell r="M45" t="str">
            <v>10h00</v>
          </cell>
          <cell r="N45">
            <v>11</v>
          </cell>
          <cell r="O45">
            <v>5</v>
          </cell>
          <cell r="P45">
            <v>2015</v>
          </cell>
          <cell r="Q45" t="str">
            <v>Hà Nội, ngày 11 tháng 5 năm 2015</v>
          </cell>
          <cell r="R45" t="str">
            <v>9h30 ngày 11 tháng 5 năm 2015</v>
          </cell>
          <cell r="S45" t="str">
            <v>10h00 ngày 11 tháng 5 năm 2015</v>
          </cell>
          <cell r="T45" t="str">
            <v>9h30</v>
          </cell>
          <cell r="U45" t="str">
            <v>9h30 Ngày 11/5/2015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N45" t="str">
            <v>KC-00</v>
          </cell>
          <cell r="AQ45" t="str">
            <v>Ngày 11 Tháng 5 Năm 2015</v>
          </cell>
        </row>
        <row r="46">
          <cell r="A46" t="str">
            <v>CKBT-36</v>
          </cell>
          <cell r="B46" t="str">
            <v>-Cấu kiện bê tông dầm, sàn tầng 6 trục (X2÷X4'/Y5÷Y8) và (X4'÷X8/Y5'÷Y8)</v>
          </cell>
          <cell r="C46" t="str">
            <v>CKBT-36</v>
          </cell>
          <cell r="D46" t="str">
            <v>9h30</v>
          </cell>
          <cell r="E46" t="str">
            <v>10h00</v>
          </cell>
          <cell r="F46">
            <v>13</v>
          </cell>
          <cell r="G46">
            <v>5</v>
          </cell>
          <cell r="H46">
            <v>2015</v>
          </cell>
          <cell r="I46" t="str">
            <v>Hà Nội, ngày 13 tháng 5 năm 2015</v>
          </cell>
          <cell r="J46" t="str">
            <v>9h30 ngày 13 tháng 5 năm 2015</v>
          </cell>
          <cell r="K46" t="str">
            <v>10h00 ngày 13 tháng 5 năm 2015</v>
          </cell>
          <cell r="L46" t="str">
            <v>10h00</v>
          </cell>
          <cell r="M46" t="str">
            <v>10h30</v>
          </cell>
          <cell r="N46">
            <v>13</v>
          </cell>
          <cell r="O46">
            <v>5</v>
          </cell>
          <cell r="P46">
            <v>2015</v>
          </cell>
          <cell r="Q46" t="str">
            <v>Hà Nội, ngày 13 tháng 5 năm 2015</v>
          </cell>
          <cell r="R46" t="str">
            <v>10h00 ngày 13 tháng 5 năm 2015</v>
          </cell>
          <cell r="S46" t="str">
            <v>10h30 ngày 13 tháng 5 năm 2015</v>
          </cell>
          <cell r="T46" t="str">
            <v>10h00</v>
          </cell>
          <cell r="U46" t="str">
            <v>10h00 Ngày 13/5/2015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N46" t="str">
            <v>KC-00</v>
          </cell>
          <cell r="AQ46" t="str">
            <v>Ngày 13 Tháng 5 Năm 2015</v>
          </cell>
        </row>
        <row r="47">
          <cell r="A47" t="str">
            <v>CKBT-37</v>
          </cell>
          <cell r="B47" t="str">
            <v>-Cấu kiện bê tông cột, vách tầng 6</v>
          </cell>
          <cell r="C47" t="str">
            <v>CKBT-37</v>
          </cell>
          <cell r="D47" t="str">
            <v>9h30</v>
          </cell>
          <cell r="E47" t="str">
            <v>10h00</v>
          </cell>
          <cell r="F47">
            <v>18</v>
          </cell>
          <cell r="G47">
            <v>5</v>
          </cell>
          <cell r="H47">
            <v>2015</v>
          </cell>
          <cell r="I47" t="str">
            <v>Hà Nội, ngày 18 tháng 5 năm 2015</v>
          </cell>
          <cell r="J47" t="str">
            <v>9h30 ngày 18 tháng 5 năm 2015</v>
          </cell>
          <cell r="K47" t="str">
            <v>10h00 ngày 18 tháng 5 năm 2015</v>
          </cell>
          <cell r="L47" t="str">
            <v>10h00</v>
          </cell>
          <cell r="M47" t="str">
            <v>10h30</v>
          </cell>
          <cell r="N47">
            <v>18</v>
          </cell>
          <cell r="O47">
            <v>5</v>
          </cell>
          <cell r="P47">
            <v>2015</v>
          </cell>
          <cell r="Q47" t="str">
            <v>Hà Nội, ngày 18 tháng 5 năm 2015</v>
          </cell>
          <cell r="R47" t="str">
            <v>10h00 ngày 18 tháng 5 năm 2015</v>
          </cell>
          <cell r="S47" t="str">
            <v>10h30 ngày 18 tháng 5 năm 2015</v>
          </cell>
          <cell r="T47" t="str">
            <v>10h00</v>
          </cell>
          <cell r="U47" t="str">
            <v>10h00 Ngày 18/5/2015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N47" t="str">
            <v>KC-00</v>
          </cell>
          <cell r="AQ47" t="str">
            <v>Ngày 18 Tháng 5 Năm 2015</v>
          </cell>
        </row>
        <row r="48">
          <cell r="A48" t="str">
            <v>CKBT-38</v>
          </cell>
          <cell r="B48" t="str">
            <v>-Cấu kiện bê tông thang bộ LT tầng 1</v>
          </cell>
          <cell r="C48" t="str">
            <v>CKBT-38</v>
          </cell>
          <cell r="D48" t="str">
            <v>8h00</v>
          </cell>
          <cell r="E48" t="str">
            <v>8h30</v>
          </cell>
          <cell r="F48">
            <v>5</v>
          </cell>
          <cell r="G48">
            <v>4</v>
          </cell>
          <cell r="H48">
            <v>2015</v>
          </cell>
          <cell r="I48" t="str">
            <v>Hà Nội, ngày 5 tháng 4 năm 2015</v>
          </cell>
          <cell r="J48" t="str">
            <v>8h00 ngày 5 tháng 4 năm 2015</v>
          </cell>
          <cell r="K48" t="str">
            <v>8h30 ngày 5 tháng 4 năm 2015</v>
          </cell>
          <cell r="L48" t="str">
            <v>8h30</v>
          </cell>
          <cell r="M48" t="str">
            <v>9h00</v>
          </cell>
          <cell r="N48">
            <v>5</v>
          </cell>
          <cell r="O48">
            <v>4</v>
          </cell>
          <cell r="P48">
            <v>2015</v>
          </cell>
          <cell r="Q48" t="str">
            <v>Hà Nội, ngày 5 tháng 4 năm 2015</v>
          </cell>
          <cell r="R48" t="str">
            <v>8h30 ngày 5 tháng 4 năm 2015</v>
          </cell>
          <cell r="S48" t="str">
            <v>9h00 ngày 5 tháng 4 năm 2015</v>
          </cell>
          <cell r="T48" t="str">
            <v>8h30</v>
          </cell>
          <cell r="U48" t="str">
            <v>8h30 Ngày 5/4/2015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N48" t="str">
            <v>KC-00</v>
          </cell>
          <cell r="AQ48" t="str">
            <v>Ngày 5 Tháng 4 Năm 2015</v>
          </cell>
        </row>
        <row r="49">
          <cell r="A49" t="str">
            <v>CKBT-39</v>
          </cell>
          <cell r="B49" t="str">
            <v>-Cấu kiện bê tông thang bộ LT tầng 2</v>
          </cell>
          <cell r="C49" t="str">
            <v>CKBT-39</v>
          </cell>
          <cell r="D49" t="str">
            <v>9h00</v>
          </cell>
          <cell r="E49" t="str">
            <v>9h30</v>
          </cell>
          <cell r="F49">
            <v>13</v>
          </cell>
          <cell r="G49">
            <v>5</v>
          </cell>
          <cell r="H49">
            <v>2015</v>
          </cell>
          <cell r="I49" t="str">
            <v>Hà Nội, ngày 13 tháng 5 năm 2015</v>
          </cell>
          <cell r="J49" t="str">
            <v>9h00 ngày 13 tháng 5 năm 2015</v>
          </cell>
          <cell r="K49" t="str">
            <v>9h30 ngày 13 tháng 5 năm 2015</v>
          </cell>
          <cell r="L49" t="str">
            <v>9h30</v>
          </cell>
          <cell r="M49" t="str">
            <v>9h00</v>
          </cell>
          <cell r="N49">
            <v>13</v>
          </cell>
          <cell r="O49">
            <v>5</v>
          </cell>
          <cell r="P49">
            <v>2015</v>
          </cell>
          <cell r="Q49" t="str">
            <v>Hà Nội, ngày 13 tháng 5 năm 2015</v>
          </cell>
          <cell r="R49" t="str">
            <v>9h30 ngày 13 tháng 5 năm 2015</v>
          </cell>
          <cell r="S49" t="str">
            <v>9h00 ngày 13 tháng 5 năm 2015</v>
          </cell>
          <cell r="T49" t="str">
            <v>9h30</v>
          </cell>
          <cell r="U49" t="str">
            <v>9h30 Ngày 13/5/2015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N49" t="str">
            <v>KC-00</v>
          </cell>
          <cell r="AQ49" t="str">
            <v>Ngày 13 Tháng 5 Năm 2015</v>
          </cell>
        </row>
        <row r="50">
          <cell r="A50" t="str">
            <v>CKBT-40</v>
          </cell>
          <cell r="B50" t="str">
            <v>-Cấu kiện bê tông dầm, sàn tầng 7 trục (X1÷X4/Y1÷Y5) và (X1÷X2/Y5÷Y8)</v>
          </cell>
          <cell r="C50" t="str">
            <v>CKBT-40</v>
          </cell>
          <cell r="D50" t="str">
            <v>9h00</v>
          </cell>
          <cell r="E50" t="str">
            <v>9h30</v>
          </cell>
          <cell r="F50">
            <v>22</v>
          </cell>
          <cell r="G50">
            <v>5</v>
          </cell>
          <cell r="H50">
            <v>2015</v>
          </cell>
          <cell r="I50" t="str">
            <v>Hà Nội, ngày 22 tháng 5 năm 2015</v>
          </cell>
          <cell r="J50" t="str">
            <v>9h00 ngày 22 tháng 5 năm 2015</v>
          </cell>
          <cell r="K50" t="str">
            <v>9h30 ngày 22 tháng 5 năm 2015</v>
          </cell>
          <cell r="L50" t="str">
            <v>9h30</v>
          </cell>
          <cell r="M50" t="str">
            <v>9h00</v>
          </cell>
          <cell r="N50">
            <v>22</v>
          </cell>
          <cell r="O50">
            <v>5</v>
          </cell>
          <cell r="P50">
            <v>2015</v>
          </cell>
          <cell r="Q50" t="str">
            <v>Hà Nội, ngày 22 tháng 5 năm 2015</v>
          </cell>
          <cell r="R50" t="str">
            <v>9h30 ngày 22 tháng 5 năm 2015</v>
          </cell>
          <cell r="S50" t="str">
            <v>9h00 ngày 22 tháng 5 năm 2015</v>
          </cell>
          <cell r="T50" t="str">
            <v>9h30</v>
          </cell>
          <cell r="U50" t="str">
            <v>9h30 Ngày 22/5/2015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N50" t="str">
            <v>KC-00</v>
          </cell>
          <cell r="AQ50" t="str">
            <v>Ngày 22 Tháng 5 Năm 2015</v>
          </cell>
        </row>
        <row r="51">
          <cell r="A51" t="str">
            <v>CKBT-41</v>
          </cell>
          <cell r="B51" t="str">
            <v>-Cấu kiện bê tông dầm, sàn tầng 7 trục (X2÷X4'/Y5÷Y8) và (X4'÷X8/Y5'÷Y8)</v>
          </cell>
          <cell r="C51" t="str">
            <v>CKBT-41</v>
          </cell>
          <cell r="D51" t="str">
            <v>8h00</v>
          </cell>
          <cell r="E51" t="str">
            <v>8h30</v>
          </cell>
          <cell r="F51">
            <v>24</v>
          </cell>
          <cell r="G51">
            <v>5</v>
          </cell>
          <cell r="H51">
            <v>2015</v>
          </cell>
          <cell r="I51" t="str">
            <v>Hà Nội, ngày 24 tháng 5 năm 2015</v>
          </cell>
          <cell r="J51" t="str">
            <v>8h00 ngày 24 tháng 5 năm 2015</v>
          </cell>
          <cell r="K51" t="str">
            <v>8h30 ngày 24 tháng 5 năm 2015</v>
          </cell>
          <cell r="L51" t="str">
            <v>8h30</v>
          </cell>
          <cell r="M51" t="str">
            <v>9h00</v>
          </cell>
          <cell r="N51">
            <v>24</v>
          </cell>
          <cell r="O51">
            <v>5</v>
          </cell>
          <cell r="P51">
            <v>2015</v>
          </cell>
          <cell r="Q51" t="str">
            <v>Hà Nội, ngày 24 tháng 5 năm 2015</v>
          </cell>
          <cell r="R51" t="str">
            <v>8h30 ngày 24 tháng 5 năm 2015</v>
          </cell>
          <cell r="S51" t="str">
            <v>9h00 ngày 24 tháng 5 năm 2015</v>
          </cell>
          <cell r="T51" t="str">
            <v>8h30</v>
          </cell>
          <cell r="U51" t="str">
            <v>8h30 Ngày 24/5/2015</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N51" t="str">
            <v>KC-00</v>
          </cell>
          <cell r="AQ51" t="str">
            <v>Ngày 24 Tháng 5 Năm 2015</v>
          </cell>
        </row>
        <row r="52">
          <cell r="A52" t="str">
            <v>CKBT-42</v>
          </cell>
          <cell r="B52" t="str">
            <v xml:space="preserve">-Cấu kiện bê tông cột, vách tầng 7 </v>
          </cell>
          <cell r="C52" t="str">
            <v>CKBT-42</v>
          </cell>
          <cell r="D52" t="str">
            <v>8h00</v>
          </cell>
          <cell r="E52" t="str">
            <v>8h30</v>
          </cell>
          <cell r="F52">
            <v>28</v>
          </cell>
          <cell r="G52">
            <v>5</v>
          </cell>
          <cell r="H52">
            <v>2015</v>
          </cell>
          <cell r="I52" t="str">
            <v>Hà Nội, ngày 28 tháng 5 năm 2015</v>
          </cell>
          <cell r="J52" t="str">
            <v>8h00 ngày 28 tháng 5 năm 2015</v>
          </cell>
          <cell r="K52" t="str">
            <v>8h30 ngày 28 tháng 5 năm 2015</v>
          </cell>
          <cell r="L52" t="str">
            <v>8h30</v>
          </cell>
          <cell r="M52" t="str">
            <v>9h00</v>
          </cell>
          <cell r="N52">
            <v>28</v>
          </cell>
          <cell r="O52">
            <v>5</v>
          </cell>
          <cell r="P52">
            <v>2015</v>
          </cell>
          <cell r="Q52" t="str">
            <v>Hà Nội, ngày 28 tháng 5 năm 2015</v>
          </cell>
          <cell r="R52" t="str">
            <v>8h30 ngày 28 tháng 5 năm 2015</v>
          </cell>
          <cell r="S52" t="str">
            <v>9h00 ngày 28 tháng 5 năm 2015</v>
          </cell>
          <cell r="T52" t="str">
            <v>8h30</v>
          </cell>
          <cell r="U52" t="str">
            <v>8h30 Ngày 28/5/2015</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N52" t="str">
            <v>KC-00</v>
          </cell>
          <cell r="AQ52" t="str">
            <v>Ngày 28 Tháng 5 Năm 2015</v>
          </cell>
        </row>
        <row r="53">
          <cell r="A53" t="str">
            <v>CKBT-43</v>
          </cell>
          <cell r="B53" t="str">
            <v>-Cấu kiện bê tông thang bộ TB tầng 1</v>
          </cell>
          <cell r="C53" t="str">
            <v>CKBT-43</v>
          </cell>
          <cell r="D53" t="str">
            <v>8h30</v>
          </cell>
          <cell r="E53" t="str">
            <v>9h00</v>
          </cell>
          <cell r="F53">
            <v>4</v>
          </cell>
          <cell r="G53">
            <v>6</v>
          </cell>
          <cell r="H53">
            <v>2015</v>
          </cell>
          <cell r="I53" t="str">
            <v>Hà Nội, ngày 4 tháng 6 năm 2015</v>
          </cell>
          <cell r="J53" t="str">
            <v>8h30 ngày 4 tháng 6 năm 2015</v>
          </cell>
          <cell r="K53" t="str">
            <v>9h00 ngày 4 tháng 6 năm 2015</v>
          </cell>
          <cell r="L53" t="str">
            <v>9h00</v>
          </cell>
          <cell r="M53" t="str">
            <v>9h30</v>
          </cell>
          <cell r="N53">
            <v>4</v>
          </cell>
          <cell r="O53">
            <v>6</v>
          </cell>
          <cell r="P53">
            <v>2015</v>
          </cell>
          <cell r="Q53" t="str">
            <v>Hà Nội, ngày 4 tháng 6 năm 2015</v>
          </cell>
          <cell r="R53" t="str">
            <v>9h00 ngày 4 tháng 6 năm 2015</v>
          </cell>
          <cell r="S53" t="str">
            <v>9h30 ngày 4 tháng 6 năm 2015</v>
          </cell>
          <cell r="T53" t="str">
            <v>9h00</v>
          </cell>
          <cell r="U53" t="str">
            <v>9h00 Ngày 4/6/2015</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v>
          </cell>
          <cell r="AH53" t="str">
            <v>Nguyễn Ái Việt</v>
          </cell>
          <cell r="AI53" t="str">
            <v>Chỉ huy trưởng</v>
          </cell>
          <cell r="AJ53" t="str">
            <v>Hoàng Chiến Thắng</v>
          </cell>
          <cell r="AK53" t="str">
            <v>P. Chỉ huy trưởng</v>
          </cell>
          <cell r="AL53" t="str">
            <v>Trịnh Quang Đức</v>
          </cell>
          <cell r="AM53" t="str">
            <v>Cán bộ kỹ thuật</v>
          </cell>
          <cell r="AN53" t="str">
            <v>KC-00</v>
          </cell>
          <cell r="AQ53" t="str">
            <v>Ngày 4 Tháng 6 Năm 2015</v>
          </cell>
        </row>
        <row r="54">
          <cell r="A54" t="str">
            <v>CKBT-44</v>
          </cell>
          <cell r="B54" t="str">
            <v>-Cấu kiện bê tông dầm, sàn tầng 8 trục (X1÷X4/Y1÷Y5) và (X1÷X2/Y5÷Y8)</v>
          </cell>
          <cell r="C54" t="str">
            <v>CKBT-44</v>
          </cell>
          <cell r="D54" t="str">
            <v>8h00</v>
          </cell>
          <cell r="E54" t="str">
            <v>8h30</v>
          </cell>
          <cell r="F54">
            <v>5</v>
          </cell>
          <cell r="G54">
            <v>6</v>
          </cell>
          <cell r="H54">
            <v>2015</v>
          </cell>
          <cell r="I54" t="str">
            <v>Hà Nội, ngày 5 tháng 6 năm 2015</v>
          </cell>
          <cell r="J54" t="str">
            <v>8h00 ngày 5 tháng 6 năm 2015</v>
          </cell>
          <cell r="K54" t="str">
            <v>8h30 ngày 5 tháng 6 năm 2015</v>
          </cell>
          <cell r="L54" t="str">
            <v>8h30</v>
          </cell>
          <cell r="M54" t="str">
            <v>9h00</v>
          </cell>
          <cell r="N54">
            <v>5</v>
          </cell>
          <cell r="O54">
            <v>6</v>
          </cell>
          <cell r="P54">
            <v>2015</v>
          </cell>
          <cell r="Q54" t="str">
            <v>Hà Nội, ngày 5 tháng 6 năm 2015</v>
          </cell>
          <cell r="R54" t="str">
            <v>8h30 ngày 5 tháng 6 năm 2015</v>
          </cell>
          <cell r="S54" t="str">
            <v>9h00 ngày 5 tháng 6 năm 2015</v>
          </cell>
          <cell r="T54" t="str">
            <v>8h30</v>
          </cell>
          <cell r="U54" t="str">
            <v>8h30 Ngày 5/6/2015</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v>
          </cell>
          <cell r="AH54" t="str">
            <v>Nguyễn Ái Việt</v>
          </cell>
          <cell r="AI54" t="str">
            <v>Chỉ huy trưởng</v>
          </cell>
          <cell r="AJ54" t="str">
            <v>Hoàng Chiến Thắng</v>
          </cell>
          <cell r="AK54" t="str">
            <v>P. Chỉ huy trưởng</v>
          </cell>
          <cell r="AL54" t="str">
            <v>Trịnh Quang Đức</v>
          </cell>
          <cell r="AM54" t="str">
            <v>Cán bộ kỹ thuật</v>
          </cell>
          <cell r="AN54" t="str">
            <v>KC-00</v>
          </cell>
          <cell r="AQ54" t="str">
            <v>Ngày 5 Tháng 6 Năm 2015</v>
          </cell>
        </row>
        <row r="55">
          <cell r="A55" t="str">
            <v>CKBT-45</v>
          </cell>
          <cell r="B55" t="str">
            <v>-Cấu kiện bê tông dầm, sàn tầng 8 trục (X2÷X4'/Y5÷Y8) và (X4'-X8/Y5'-Y8)</v>
          </cell>
          <cell r="C55" t="str">
            <v>CKBT-45</v>
          </cell>
          <cell r="D55" t="str">
            <v>8h30</v>
          </cell>
          <cell r="E55" t="str">
            <v>9h00</v>
          </cell>
          <cell r="F55">
            <v>8</v>
          </cell>
          <cell r="G55">
            <v>6</v>
          </cell>
          <cell r="H55">
            <v>2015</v>
          </cell>
          <cell r="I55" t="str">
            <v>Hà Nội, ngày 8 tháng 6 năm 2015</v>
          </cell>
          <cell r="J55" t="str">
            <v>8h30 ngày 8 tháng 6 năm 2015</v>
          </cell>
          <cell r="K55" t="str">
            <v>9h00 ngày 8 tháng 6 năm 2015</v>
          </cell>
          <cell r="L55" t="str">
            <v>9h00</v>
          </cell>
          <cell r="M55" t="str">
            <v>9h30</v>
          </cell>
          <cell r="N55">
            <v>8</v>
          </cell>
          <cell r="O55">
            <v>6</v>
          </cell>
          <cell r="P55">
            <v>2015</v>
          </cell>
          <cell r="Q55" t="str">
            <v>Hà Nội, ngày 8 tháng 6 năm 2015</v>
          </cell>
          <cell r="R55" t="str">
            <v>9h00 ngày 8 tháng 6 năm 2015</v>
          </cell>
          <cell r="S55" t="str">
            <v>9h30 ngày 8 tháng 6 năm 2015</v>
          </cell>
          <cell r="T55" t="str">
            <v>9h00</v>
          </cell>
          <cell r="U55" t="str">
            <v>9h00 Ngày 8/6/2015</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v>
          </cell>
          <cell r="AH55" t="str">
            <v>Nguyễn Ái Việt</v>
          </cell>
          <cell r="AI55" t="str">
            <v>Chỉ huy trưởng</v>
          </cell>
          <cell r="AJ55" t="str">
            <v>Hoàng Chiến Thắng</v>
          </cell>
          <cell r="AK55" t="str">
            <v>P. Chỉ huy trưởng</v>
          </cell>
          <cell r="AL55" t="str">
            <v>Trịnh Quang Đức</v>
          </cell>
          <cell r="AM55" t="str">
            <v>Cán bộ kỹ thuật</v>
          </cell>
          <cell r="AN55" t="str">
            <v>KC-00</v>
          </cell>
          <cell r="AQ55" t="str">
            <v>Ngày 8 Tháng 6 Năm 2015</v>
          </cell>
        </row>
        <row r="56">
          <cell r="A56" t="str">
            <v>CKBT-46</v>
          </cell>
          <cell r="B56" t="str">
            <v>-Cấu kiện bê tông cột, vách tầng 8</v>
          </cell>
          <cell r="C56" t="str">
            <v>CKBT-46</v>
          </cell>
          <cell r="D56" t="str">
            <v>14h00</v>
          </cell>
          <cell r="E56" t="str">
            <v>15h00</v>
          </cell>
          <cell r="F56">
            <v>7</v>
          </cell>
          <cell r="G56">
            <v>6</v>
          </cell>
          <cell r="H56">
            <v>2015</v>
          </cell>
          <cell r="I56" t="str">
            <v>Hà Nội, ngày 7 tháng 6 năm 2015</v>
          </cell>
          <cell r="J56" t="str">
            <v>14h00 ngày 7 tháng 6 năm 2015</v>
          </cell>
          <cell r="K56" t="str">
            <v>15h00 ngày 12 tháng 6 năm 2015</v>
          </cell>
          <cell r="L56" t="str">
            <v>14h45</v>
          </cell>
          <cell r="M56" t="str">
            <v>15h30</v>
          </cell>
          <cell r="N56">
            <v>12</v>
          </cell>
          <cell r="O56">
            <v>6</v>
          </cell>
          <cell r="P56">
            <v>2015</v>
          </cell>
          <cell r="Q56" t="str">
            <v>Hà Nội, ngày 12 tháng 6 năm 2015</v>
          </cell>
          <cell r="R56" t="str">
            <v>14h45 ngày 7 tháng 6 năm 2015</v>
          </cell>
          <cell r="S56" t="str">
            <v>15h30 ngày 12 tháng 6 năm 2015</v>
          </cell>
          <cell r="T56" t="str">
            <v>14h45</v>
          </cell>
          <cell r="U56" t="str">
            <v>14h45 Ngày 7/6/2015</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v>
          </cell>
          <cell r="AH56" t="str">
            <v>Nguyễn Ái Việt</v>
          </cell>
          <cell r="AI56" t="str">
            <v>Chỉ huy trưởng</v>
          </cell>
          <cell r="AJ56" t="str">
            <v>Hoàng Chiến Thắng</v>
          </cell>
          <cell r="AK56" t="str">
            <v>P. Chỉ huy trưởng</v>
          </cell>
          <cell r="AL56" t="str">
            <v>Trịnh Quang Đức</v>
          </cell>
          <cell r="AM56" t="str">
            <v>Cán bộ kỹ thuật</v>
          </cell>
          <cell r="AN56" t="str">
            <v>KC-00</v>
          </cell>
          <cell r="AQ56" t="str">
            <v>Ngày 7 Tháng 6 Năm 2015</v>
          </cell>
        </row>
        <row r="57">
          <cell r="A57" t="str">
            <v>CKBT-47</v>
          </cell>
          <cell r="B57" t="str">
            <v>-Cấu kiện bê tông dầm, sàn tầng 9 trục (X1÷X4/Y1÷Y5) và (X1÷X2/Y5÷Y8)</v>
          </cell>
          <cell r="C57" t="str">
            <v>CKBT-47</v>
          </cell>
          <cell r="D57" t="str">
            <v>15h00</v>
          </cell>
          <cell r="E57" t="str">
            <v>15h45</v>
          </cell>
          <cell r="F57">
            <v>16</v>
          </cell>
          <cell r="G57">
            <v>6</v>
          </cell>
          <cell r="H57">
            <v>2015</v>
          </cell>
          <cell r="I57" t="str">
            <v>Hà Nội, ngày 16 tháng 6 năm 2015</v>
          </cell>
          <cell r="J57" t="str">
            <v>15h00 ngày 16 tháng 6 năm 2015</v>
          </cell>
          <cell r="K57" t="str">
            <v>15h45 ngày 16 tháng 6 năm 2015</v>
          </cell>
          <cell r="L57" t="str">
            <v>15h45</v>
          </cell>
          <cell r="M57" t="str">
            <v>16h30</v>
          </cell>
          <cell r="N57">
            <v>16</v>
          </cell>
          <cell r="O57">
            <v>6</v>
          </cell>
          <cell r="P57">
            <v>2015</v>
          </cell>
          <cell r="Q57" t="str">
            <v>Hà Nội, ngày 16 tháng 6 năm 2015</v>
          </cell>
          <cell r="R57" t="str">
            <v>15h45 ngày 16 tháng 6 năm 2015</v>
          </cell>
          <cell r="S57" t="str">
            <v>16h30 ngày 16 tháng 6 năm 2015</v>
          </cell>
          <cell r="T57" t="str">
            <v>15h45</v>
          </cell>
          <cell r="U57" t="str">
            <v>15h45 Ngày 16/6/2015</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N57" t="str">
            <v>KC-00</v>
          </cell>
          <cell r="AQ57" t="str">
            <v>Ngày 16 Tháng 6 Năm 2015</v>
          </cell>
        </row>
        <row r="58">
          <cell r="A58" t="str">
            <v>CKBT-48</v>
          </cell>
          <cell r="B58" t="str">
            <v>-Cấu kiện bê tông dầm, sàn tầng 9 trục (X2÷X4'/Y5÷Y8) và (X4'-X8/Y5'-Y8)</v>
          </cell>
          <cell r="C58" t="str">
            <v>CKBT-48</v>
          </cell>
          <cell r="D58" t="str">
            <v>14h00</v>
          </cell>
          <cell r="E58" t="str">
            <v>14h30</v>
          </cell>
          <cell r="F58">
            <v>21</v>
          </cell>
          <cell r="G58">
            <v>6</v>
          </cell>
          <cell r="H58">
            <v>2015</v>
          </cell>
          <cell r="I58" t="str">
            <v>Hà Nội, ngày 21 tháng 6 năm 2015</v>
          </cell>
          <cell r="J58" t="str">
            <v>14h00 ngày 21 tháng 6 năm 2015</v>
          </cell>
          <cell r="K58" t="str">
            <v>14h30 ngày 21 tháng 6 năm 2015</v>
          </cell>
          <cell r="L58" t="str">
            <v>14h30</v>
          </cell>
          <cell r="M58" t="str">
            <v>15h00</v>
          </cell>
          <cell r="N58">
            <v>21</v>
          </cell>
          <cell r="O58">
            <v>6</v>
          </cell>
          <cell r="P58">
            <v>2015</v>
          </cell>
          <cell r="Q58" t="str">
            <v>Hà Nội, ngày 21 tháng 6 năm 2015</v>
          </cell>
          <cell r="R58" t="str">
            <v>14h30 ngày 21 tháng 6 năm 2015</v>
          </cell>
          <cell r="S58" t="str">
            <v>15h00 ngày 21 tháng 6 năm 2015</v>
          </cell>
          <cell r="T58" t="str">
            <v>14h30</v>
          </cell>
          <cell r="U58" t="str">
            <v>14h30 Ngày 21/6/2015</v>
          </cell>
          <cell r="V58" t="str">
            <v>Nguyễn Ái Việt</v>
          </cell>
          <cell r="W58" t="str">
            <v>Chỉ huy trưởng</v>
          </cell>
          <cell r="X58" t="str">
            <v>................................</v>
          </cell>
          <cell r="Y58" t="str">
            <v>................................</v>
          </cell>
          <cell r="Z58" t="str">
            <v>Nguyễn Văn Nghiễm</v>
          </cell>
          <cell r="AA58" t="str">
            <v>Cán bộ KCS</v>
          </cell>
          <cell r="AB58" t="str">
            <v>Vương Toàn Hiếu</v>
          </cell>
          <cell r="AC58" t="str">
            <v>Trưởng đoàn TVGS</v>
          </cell>
          <cell r="AD58" t="str">
            <v>Lê Thiều Nam</v>
          </cell>
          <cell r="AE58" t="str">
            <v>Cán bộ TVGS</v>
          </cell>
          <cell r="AF58" t="str">
            <v>................................</v>
          </cell>
          <cell r="AG58" t="str">
            <v>................................</v>
          </cell>
          <cell r="AH58" t="str">
            <v>Nguyễn Ái Việt</v>
          </cell>
          <cell r="AI58" t="str">
            <v>Chỉ huy trưởng</v>
          </cell>
          <cell r="AJ58" t="str">
            <v>Hoàng Chiến Thắng</v>
          </cell>
          <cell r="AK58" t="str">
            <v>P. Chỉ huy trưởng</v>
          </cell>
          <cell r="AL58" t="str">
            <v>Trịnh Quang Đức</v>
          </cell>
          <cell r="AM58" t="str">
            <v>Cán bộ kỹ thuật</v>
          </cell>
          <cell r="AN58" t="str">
            <v>KC-00</v>
          </cell>
          <cell r="AQ58" t="str">
            <v>Ngày 21 Tháng 6 Năm 2015</v>
          </cell>
        </row>
        <row r="59">
          <cell r="A59" t="str">
            <v>CKBT-49</v>
          </cell>
          <cell r="B59" t="str">
            <v>-Cấu kiện bê tông cột, vách tầng 9</v>
          </cell>
          <cell r="C59" t="str">
            <v>CKBT-49</v>
          </cell>
          <cell r="D59" t="str">
            <v>14h00</v>
          </cell>
          <cell r="E59" t="str">
            <v>14h30</v>
          </cell>
          <cell r="F59">
            <v>18</v>
          </cell>
          <cell r="G59">
            <v>6</v>
          </cell>
          <cell r="H59">
            <v>2015</v>
          </cell>
          <cell r="I59" t="str">
            <v>Hà Nội, ngày 18 tháng 6 năm 2015</v>
          </cell>
          <cell r="J59" t="str">
            <v>14h00 ngày 18 tháng 6 năm 2015</v>
          </cell>
          <cell r="K59" t="str">
            <v>14h30 ngày 25 tháng 6 năm 2015</v>
          </cell>
          <cell r="L59" t="str">
            <v>14h30</v>
          </cell>
          <cell r="M59" t="str">
            <v>15h00</v>
          </cell>
          <cell r="N59">
            <v>25</v>
          </cell>
          <cell r="O59">
            <v>6</v>
          </cell>
          <cell r="P59">
            <v>2015</v>
          </cell>
          <cell r="Q59" t="str">
            <v>Hà Nội, ngày 25 tháng 6 năm 2015</v>
          </cell>
          <cell r="R59" t="str">
            <v>14h30 ngày 18 tháng 6 năm 2015</v>
          </cell>
          <cell r="S59" t="str">
            <v>15h00 ngày 25 tháng 6 năm 2015</v>
          </cell>
          <cell r="T59" t="str">
            <v>14h30</v>
          </cell>
          <cell r="U59" t="str">
            <v>14h30 Ngày 18/6/2015</v>
          </cell>
          <cell r="V59" t="str">
            <v>Nguyễn Ái Việt</v>
          </cell>
          <cell r="W59" t="str">
            <v>Chỉ huy trưởng</v>
          </cell>
          <cell r="X59" t="str">
            <v>................................</v>
          </cell>
          <cell r="Y59" t="str">
            <v>................................</v>
          </cell>
          <cell r="Z59" t="str">
            <v>Nguyễn Văn Nghiễm</v>
          </cell>
          <cell r="AA59" t="str">
            <v>Cán bộ KCS</v>
          </cell>
          <cell r="AB59" t="str">
            <v>Vương Toàn Hiếu</v>
          </cell>
          <cell r="AC59" t="str">
            <v>Trưởng đoàn TVGS</v>
          </cell>
          <cell r="AD59" t="str">
            <v>Lê Thiều Nam</v>
          </cell>
          <cell r="AE59" t="str">
            <v>Cán bộ TVGS</v>
          </cell>
          <cell r="AF59" t="str">
            <v>................................</v>
          </cell>
          <cell r="AG59" t="str">
            <v>................................</v>
          </cell>
          <cell r="AH59" t="str">
            <v>Nguyễn Ái Việt</v>
          </cell>
          <cell r="AI59" t="str">
            <v>Chỉ huy trưởng</v>
          </cell>
          <cell r="AJ59" t="str">
            <v>Hoàng Chiến Thắng</v>
          </cell>
          <cell r="AK59" t="str">
            <v>P. Chỉ huy trưởng</v>
          </cell>
          <cell r="AL59" t="str">
            <v>Trịnh Quang Đức</v>
          </cell>
          <cell r="AM59" t="str">
            <v>Cán bộ kỹ thuật</v>
          </cell>
          <cell r="AN59" t="str">
            <v>KC-00</v>
          </cell>
          <cell r="AQ59" t="str">
            <v>Ngày 18 Tháng 6 Năm 2015</v>
          </cell>
        </row>
        <row r="60">
          <cell r="A60" t="str">
            <v>CKBT-50</v>
          </cell>
          <cell r="B60" t="str">
            <v>-Cấu kiện bê tông dầm, sàn tầng 10 trục (X1÷X4/Y1÷Y5) và (X1÷X2/Y5÷Y8)</v>
          </cell>
          <cell r="C60" t="str">
            <v>CKBT-50</v>
          </cell>
          <cell r="D60" t="str">
            <v>15h00</v>
          </cell>
          <cell r="E60" t="str">
            <v>15h45</v>
          </cell>
          <cell r="F60">
            <v>28</v>
          </cell>
          <cell r="G60">
            <v>6</v>
          </cell>
          <cell r="H60">
            <v>2015</v>
          </cell>
          <cell r="I60" t="str">
            <v>Hà Nội, ngày 28 tháng 6 năm 2015</v>
          </cell>
          <cell r="J60" t="str">
            <v>15h00 ngày 28 tháng 6 năm 2015</v>
          </cell>
          <cell r="K60" t="str">
            <v>15h45 ngày 28 tháng 6 năm 2015</v>
          </cell>
          <cell r="L60" t="str">
            <v>15h45</v>
          </cell>
          <cell r="M60" t="str">
            <v>16h30</v>
          </cell>
          <cell r="N60">
            <v>28</v>
          </cell>
          <cell r="O60">
            <v>6</v>
          </cell>
          <cell r="P60">
            <v>2015</v>
          </cell>
          <cell r="Q60" t="str">
            <v>Hà Nội, ngày 28 tháng 6 năm 2015</v>
          </cell>
          <cell r="R60" t="str">
            <v>15h45 ngày 28 tháng 6 năm 2015</v>
          </cell>
          <cell r="S60" t="str">
            <v>16h30 ngày 28 tháng 6 năm 2015</v>
          </cell>
          <cell r="T60" t="str">
            <v>15h45</v>
          </cell>
          <cell r="U60" t="str">
            <v>15h45 Ngày 28/6/2015</v>
          </cell>
          <cell r="V60" t="str">
            <v>Nguyễn Ái Việt</v>
          </cell>
          <cell r="W60" t="str">
            <v>Chỉ huy trưởng</v>
          </cell>
          <cell r="X60" t="str">
            <v>................................</v>
          </cell>
          <cell r="Y60" t="str">
            <v>................................</v>
          </cell>
          <cell r="Z60" t="str">
            <v>Nguyễn Văn Nghiễm</v>
          </cell>
          <cell r="AA60" t="str">
            <v>Cán bộ KCS</v>
          </cell>
          <cell r="AB60" t="str">
            <v>Vương Toàn Hiếu</v>
          </cell>
          <cell r="AC60" t="str">
            <v>Trưởng đoàn TVGS</v>
          </cell>
          <cell r="AD60" t="str">
            <v>Lê Thiều Nam</v>
          </cell>
          <cell r="AE60" t="str">
            <v>Cán bộ TVGS</v>
          </cell>
          <cell r="AF60" t="str">
            <v>................................</v>
          </cell>
          <cell r="AG60" t="str">
            <v>................................</v>
          </cell>
          <cell r="AH60" t="str">
            <v>Nguyễn Ái Việt</v>
          </cell>
          <cell r="AI60" t="str">
            <v>Chỉ huy trưởng</v>
          </cell>
          <cell r="AJ60" t="str">
            <v>Hoàng Chiến Thắng</v>
          </cell>
          <cell r="AK60" t="str">
            <v>P. Chỉ huy trưởng</v>
          </cell>
          <cell r="AL60" t="str">
            <v>Trịnh Quang Đức</v>
          </cell>
          <cell r="AM60" t="str">
            <v>Cán bộ kỹ thuật</v>
          </cell>
          <cell r="AN60" t="str">
            <v>KC-00</v>
          </cell>
          <cell r="AQ60" t="str">
            <v>Ngày 28 Tháng 6 Năm 2015</v>
          </cell>
        </row>
        <row r="61">
          <cell r="A61" t="str">
            <v>CKBT-51</v>
          </cell>
          <cell r="B61" t="str">
            <v>-Cấu kiện bê tông dầm, sàn tầng 10 trục (X2÷X4'/Y5÷Y8) và (X4'-X8/Y5'-Y8)</v>
          </cell>
          <cell r="C61" t="str">
            <v>CKBT-51</v>
          </cell>
          <cell r="D61" t="str">
            <v>14h00</v>
          </cell>
          <cell r="E61" t="str">
            <v>14h45</v>
          </cell>
          <cell r="F61">
            <v>4</v>
          </cell>
          <cell r="G61">
            <v>7</v>
          </cell>
          <cell r="H61">
            <v>2015</v>
          </cell>
          <cell r="I61" t="str">
            <v>Hà Nội, ngày 4 tháng 7 năm 2015</v>
          </cell>
          <cell r="J61" t="str">
            <v>14h00 ngày 4 tháng 7 năm 2015</v>
          </cell>
          <cell r="K61" t="str">
            <v>14h45 ngày 4 tháng 7 năm 2015</v>
          </cell>
          <cell r="L61" t="str">
            <v>14h45</v>
          </cell>
          <cell r="M61" t="str">
            <v>15h30</v>
          </cell>
          <cell r="N61">
            <v>4</v>
          </cell>
          <cell r="O61">
            <v>7</v>
          </cell>
          <cell r="P61">
            <v>2015</v>
          </cell>
          <cell r="Q61" t="str">
            <v>Hà Nội, ngày 4 tháng 7 năm 2015</v>
          </cell>
          <cell r="R61" t="str">
            <v>14h45 ngày 4 tháng 7 năm 2015</v>
          </cell>
          <cell r="S61" t="str">
            <v>15h30 ngày 4 tháng 7 năm 2015</v>
          </cell>
          <cell r="T61" t="str">
            <v>14h45</v>
          </cell>
          <cell r="U61" t="str">
            <v>14h45 Ngày 4/7/2015</v>
          </cell>
          <cell r="V61" t="str">
            <v>Nguyễn Ái Việt</v>
          </cell>
          <cell r="W61" t="str">
            <v>Chỉ huy trưởng</v>
          </cell>
          <cell r="X61" t="str">
            <v>................................</v>
          </cell>
          <cell r="Y61" t="str">
            <v>................................</v>
          </cell>
          <cell r="Z61" t="str">
            <v>Nguyễn Văn Nghiễm</v>
          </cell>
          <cell r="AA61" t="str">
            <v>Cán bộ KCS</v>
          </cell>
          <cell r="AB61" t="str">
            <v>Vương Toàn Hiếu</v>
          </cell>
          <cell r="AC61" t="str">
            <v>Trưởng đoàn TVGS</v>
          </cell>
          <cell r="AD61" t="str">
            <v>Lê Thiều Nam</v>
          </cell>
          <cell r="AE61" t="str">
            <v>Cán bộ TVGS</v>
          </cell>
          <cell r="AF61" t="str">
            <v>................................</v>
          </cell>
          <cell r="AG61" t="str">
            <v>................................</v>
          </cell>
          <cell r="AH61" t="str">
            <v>Nguyễn Ái Việt</v>
          </cell>
          <cell r="AI61" t="str">
            <v>Chỉ huy trưởng</v>
          </cell>
          <cell r="AJ61" t="str">
            <v>Hoàng Chiến Thắng</v>
          </cell>
          <cell r="AK61" t="str">
            <v>P. Chỉ huy trưởng</v>
          </cell>
          <cell r="AL61" t="str">
            <v>Trịnh Quang Đức</v>
          </cell>
          <cell r="AM61" t="str">
            <v>Cán bộ kỹ thuật</v>
          </cell>
          <cell r="AN61" t="str">
            <v>KC-00</v>
          </cell>
          <cell r="AQ61" t="str">
            <v>Ngày 4 Tháng 7 Năm 2015</v>
          </cell>
        </row>
        <row r="62">
          <cell r="A62" t="str">
            <v>CKBT-52</v>
          </cell>
          <cell r="B62" t="str">
            <v>- Cấu kiện bê tông cột, vách tầng 10</v>
          </cell>
          <cell r="C62" t="str">
            <v>CKBT-52</v>
          </cell>
          <cell r="D62" t="str">
            <v>14h30</v>
          </cell>
          <cell r="E62" t="str">
            <v>15h00</v>
          </cell>
          <cell r="F62">
            <v>30</v>
          </cell>
          <cell r="G62">
            <v>6</v>
          </cell>
          <cell r="H62">
            <v>2015</v>
          </cell>
          <cell r="I62" t="str">
            <v>Hà Nội, ngày 30 tháng 6 năm 2015</v>
          </cell>
          <cell r="J62" t="str">
            <v>14h30 ngày 30 tháng 6 năm 2015</v>
          </cell>
          <cell r="K62" t="str">
            <v>15h00 ngày 8 tháng 7 năm 2015</v>
          </cell>
          <cell r="L62" t="str">
            <v>15h00</v>
          </cell>
          <cell r="M62" t="str">
            <v>15h45</v>
          </cell>
          <cell r="N62">
            <v>8</v>
          </cell>
          <cell r="O62">
            <v>7</v>
          </cell>
          <cell r="P62">
            <v>2015</v>
          </cell>
          <cell r="Q62" t="str">
            <v>Hà Nội, ngày 8 tháng 7 năm 2015</v>
          </cell>
          <cell r="R62" t="str">
            <v>15h00 ngày 30 tháng 6 năm 2015</v>
          </cell>
          <cell r="S62" t="str">
            <v>15h45 ngày 8 tháng 7 năm 2015</v>
          </cell>
          <cell r="T62" t="str">
            <v>15h00</v>
          </cell>
          <cell r="U62" t="str">
            <v>15h00 Ngày 30/6/2015</v>
          </cell>
          <cell r="V62" t="str">
            <v>Nguyễn Ái Việt</v>
          </cell>
          <cell r="W62" t="str">
            <v>Chỉ huy trưởng</v>
          </cell>
          <cell r="X62" t="str">
            <v>................................</v>
          </cell>
          <cell r="Y62" t="str">
            <v>................................</v>
          </cell>
          <cell r="Z62" t="str">
            <v>Nguyễn Văn Nghiễm</v>
          </cell>
          <cell r="AA62" t="str">
            <v>Cán bộ KCS</v>
          </cell>
          <cell r="AB62" t="str">
            <v>Vương Toàn Hiếu</v>
          </cell>
          <cell r="AC62" t="str">
            <v>Trưởng đoàn TVGS</v>
          </cell>
          <cell r="AD62" t="str">
            <v>Lê Thiều Nam</v>
          </cell>
          <cell r="AE62" t="str">
            <v>Cán bộ TVGS</v>
          </cell>
          <cell r="AF62" t="str">
            <v>................................</v>
          </cell>
          <cell r="AG62" t="str">
            <v>................................</v>
          </cell>
          <cell r="AH62" t="str">
            <v>Nguyễn Ái Việt</v>
          </cell>
          <cell r="AI62" t="str">
            <v>Chỉ huy trưởng</v>
          </cell>
          <cell r="AJ62" t="str">
            <v>Hoàng Chiến Thắng</v>
          </cell>
          <cell r="AK62" t="str">
            <v>P. Chỉ huy trưởng</v>
          </cell>
          <cell r="AL62" t="str">
            <v>Trịnh Quang Đức</v>
          </cell>
          <cell r="AM62" t="str">
            <v>Cán bộ kỹ thuật</v>
          </cell>
          <cell r="AN62" t="str">
            <v>KC-00</v>
          </cell>
          <cell r="AQ62" t="str">
            <v>Ngày 30 Tháng 6 Năm 2015</v>
          </cell>
        </row>
        <row r="63">
          <cell r="A63" t="str">
            <v>CKBT-53</v>
          </cell>
          <cell r="B63" t="str">
            <v>-Cấu kiện bê tông dầm, sàn tầng 11 trục (X1÷X4/Y1÷Y5) và (X1÷X2/Y5÷Y8)</v>
          </cell>
          <cell r="C63" t="str">
            <v>CKBT-53</v>
          </cell>
          <cell r="D63" t="str">
            <v>14h00</v>
          </cell>
          <cell r="E63" t="str">
            <v>15h00</v>
          </cell>
          <cell r="F63">
            <v>27</v>
          </cell>
          <cell r="G63">
            <v>6</v>
          </cell>
          <cell r="H63">
            <v>2015</v>
          </cell>
          <cell r="I63" t="str">
            <v>Hà Nội, ngày 27 tháng 6 năm 2015</v>
          </cell>
          <cell r="J63" t="str">
            <v>14h00 ngày 27 tháng 6 năm 2015</v>
          </cell>
          <cell r="K63" t="str">
            <v>15h00 ngày 27 tháng 6 năm 2015</v>
          </cell>
          <cell r="L63" t="str">
            <v>15h00</v>
          </cell>
          <cell r="M63" t="str">
            <v>16h00</v>
          </cell>
          <cell r="N63">
            <v>27</v>
          </cell>
          <cell r="O63">
            <v>6</v>
          </cell>
          <cell r="P63">
            <v>2015</v>
          </cell>
          <cell r="Q63" t="str">
            <v>Hà Nội, ngày 27 tháng 6 năm 2015</v>
          </cell>
          <cell r="R63" t="str">
            <v>15h00 ngày 27 tháng 6 năm 2015</v>
          </cell>
          <cell r="S63" t="str">
            <v>16h00 ngày 27 tháng 6 năm 2015</v>
          </cell>
          <cell r="T63" t="str">
            <v>15h00</v>
          </cell>
          <cell r="U63" t="str">
            <v>15h00 Ngày 27/6/2015</v>
          </cell>
          <cell r="V63" t="str">
            <v>Nguyễn Ái Việt</v>
          </cell>
          <cell r="W63" t="str">
            <v>Chỉ huy trưởng</v>
          </cell>
          <cell r="X63" t="str">
            <v>................................</v>
          </cell>
          <cell r="Y63" t="str">
            <v>................................</v>
          </cell>
          <cell r="Z63" t="str">
            <v>Nguyễn Văn Nghiễm</v>
          </cell>
          <cell r="AA63" t="str">
            <v>Cán bộ KCS</v>
          </cell>
          <cell r="AB63" t="str">
            <v>Vương Toàn Hiếu</v>
          </cell>
          <cell r="AC63" t="str">
            <v>Trưởng đoàn TVGS</v>
          </cell>
          <cell r="AD63" t="str">
            <v>Lê Thiều Nam</v>
          </cell>
          <cell r="AE63" t="str">
            <v>Cán bộ TVGS</v>
          </cell>
          <cell r="AF63" t="str">
            <v>................................</v>
          </cell>
          <cell r="AG63" t="str">
            <v>................................</v>
          </cell>
          <cell r="AH63" t="str">
            <v>Nguyễn Ái Việt</v>
          </cell>
          <cell r="AI63" t="str">
            <v>Chỉ huy trưởng</v>
          </cell>
          <cell r="AJ63" t="str">
            <v>Hoàng Chiến Thắng</v>
          </cell>
          <cell r="AK63" t="str">
            <v>P. Chỉ huy trưởng</v>
          </cell>
          <cell r="AL63" t="str">
            <v>Trịnh Quang Đức</v>
          </cell>
          <cell r="AM63" t="str">
            <v>Cán bộ kỹ thuật</v>
          </cell>
          <cell r="AN63" t="str">
            <v>KC-00</v>
          </cell>
          <cell r="AO63" t="str">
            <v>Kết quả R14</v>
          </cell>
          <cell r="AQ63" t="str">
            <v>Ngày 27 Tháng 6 Năm 2015</v>
          </cell>
        </row>
        <row r="64">
          <cell r="A64" t="str">
            <v>CKBT-54</v>
          </cell>
          <cell r="B64" t="str">
            <v>-Cấu kiện bê tông dầm, sàn tầng 11 trục (X2÷X4'/Y5÷Y8) và (X4'-X8/Y5'-Y8)</v>
          </cell>
          <cell r="C64" t="str">
            <v>CKBT-54</v>
          </cell>
          <cell r="D64" t="str">
            <v>14h30</v>
          </cell>
          <cell r="E64" t="str">
            <v>15h15</v>
          </cell>
          <cell r="F64">
            <v>1</v>
          </cell>
          <cell r="G64">
            <v>7</v>
          </cell>
          <cell r="H64">
            <v>2015</v>
          </cell>
          <cell r="I64" t="str">
            <v>Hà Nội, ngày 1 tháng 7 năm 2015</v>
          </cell>
          <cell r="J64" t="str">
            <v>14h30 ngày 1 tháng 7 năm 2015</v>
          </cell>
          <cell r="K64" t="str">
            <v>15h15 ngày 1 tháng 7 năm 2015</v>
          </cell>
          <cell r="L64" t="str">
            <v>15h15</v>
          </cell>
          <cell r="M64" t="str">
            <v>16h00</v>
          </cell>
          <cell r="N64">
            <v>1</v>
          </cell>
          <cell r="O64">
            <v>7</v>
          </cell>
          <cell r="P64">
            <v>2015</v>
          </cell>
          <cell r="Q64" t="str">
            <v>Hà Nội, ngày 1 tháng 7 năm 2015</v>
          </cell>
          <cell r="R64" t="str">
            <v>15h15 ngày 1 tháng 7 năm 2015</v>
          </cell>
          <cell r="S64" t="str">
            <v>16h00 ngày 1 tháng 7 năm 2015</v>
          </cell>
          <cell r="T64" t="str">
            <v>15h15</v>
          </cell>
          <cell r="U64" t="str">
            <v>15h15 Ngày 1/7/2015</v>
          </cell>
          <cell r="V64" t="str">
            <v>Nguyễn Ái Việt</v>
          </cell>
          <cell r="W64" t="str">
            <v>Chỉ huy trưởng</v>
          </cell>
          <cell r="X64" t="str">
            <v>................................</v>
          </cell>
          <cell r="Y64" t="str">
            <v>................................</v>
          </cell>
          <cell r="Z64" t="str">
            <v>Nguyễn Văn Nghiễm</v>
          </cell>
          <cell r="AA64" t="str">
            <v>Cán bộ KCS</v>
          </cell>
          <cell r="AB64" t="str">
            <v>Vương Toàn Hiếu</v>
          </cell>
          <cell r="AC64" t="str">
            <v>Trưởng đoàn TVGS</v>
          </cell>
          <cell r="AD64" t="str">
            <v>Lê Thiều Nam</v>
          </cell>
          <cell r="AE64" t="str">
            <v>Cán bộ TVGS</v>
          </cell>
          <cell r="AF64" t="str">
            <v>................................</v>
          </cell>
          <cell r="AG64" t="str">
            <v>................................</v>
          </cell>
          <cell r="AH64" t="str">
            <v>Nguyễn Ái Việt</v>
          </cell>
          <cell r="AI64" t="str">
            <v>Chỉ huy trưởng</v>
          </cell>
          <cell r="AJ64" t="str">
            <v>Hoàng Chiến Thắng</v>
          </cell>
          <cell r="AK64" t="str">
            <v>P. Chỉ huy trưởng</v>
          </cell>
          <cell r="AL64" t="str">
            <v>Trịnh Quang Đức</v>
          </cell>
          <cell r="AM64" t="str">
            <v>Cán bộ kỹ thuật</v>
          </cell>
          <cell r="AN64" t="str">
            <v>KC-00</v>
          </cell>
          <cell r="AQ64" t="str">
            <v>Ngày 1 Tháng 7 Năm 2015</v>
          </cell>
        </row>
        <row r="65">
          <cell r="A65" t="str">
            <v>CKBT-55</v>
          </cell>
          <cell r="B65" t="str">
            <v>-Cấu kiện bê tông cột, vách tầng 11</v>
          </cell>
          <cell r="C65" t="str">
            <v>CKBT-55</v>
          </cell>
          <cell r="D65" t="str">
            <v>14h00</v>
          </cell>
          <cell r="E65" t="str">
            <v>15h00</v>
          </cell>
          <cell r="F65">
            <v>15</v>
          </cell>
          <cell r="G65">
            <v>7</v>
          </cell>
          <cell r="H65">
            <v>2015</v>
          </cell>
          <cell r="I65" t="str">
            <v>Hà Nội, ngày 15 tháng 7 năm 2015</v>
          </cell>
          <cell r="J65" t="str">
            <v>14h00 ngày 15 tháng 7 năm 2015</v>
          </cell>
          <cell r="K65" t="str">
            <v>15h00 ngày 19 tháng 7 năm 2015</v>
          </cell>
          <cell r="L65" t="str">
            <v>14h30</v>
          </cell>
          <cell r="M65" t="str">
            <v>15h30</v>
          </cell>
          <cell r="N65">
            <v>19</v>
          </cell>
          <cell r="O65">
            <v>7</v>
          </cell>
          <cell r="P65">
            <v>2015</v>
          </cell>
          <cell r="Q65" t="str">
            <v>Hà Nội, ngày 19 tháng 7 năm 2015</v>
          </cell>
          <cell r="R65" t="str">
            <v>14h30 ngày 15 tháng 7 năm 2015</v>
          </cell>
          <cell r="S65" t="str">
            <v>15h30 ngày 19 tháng 7 năm 2015</v>
          </cell>
          <cell r="T65" t="str">
            <v>14h30</v>
          </cell>
          <cell r="U65" t="str">
            <v>14h30 Ngày 15/7/2015</v>
          </cell>
          <cell r="V65" t="str">
            <v>Nguyễn Ái Việt</v>
          </cell>
          <cell r="W65" t="str">
            <v>Chỉ huy trưởng</v>
          </cell>
          <cell r="X65" t="str">
            <v>................................</v>
          </cell>
          <cell r="Y65" t="str">
            <v>................................</v>
          </cell>
          <cell r="Z65" t="str">
            <v>Nguyễn Văn Nghiễm</v>
          </cell>
          <cell r="AA65" t="str">
            <v>Cán bộ KCS</v>
          </cell>
          <cell r="AB65" t="str">
            <v>Vương Toàn Hiếu</v>
          </cell>
          <cell r="AC65" t="str">
            <v>Trưởng đoàn TVGS</v>
          </cell>
          <cell r="AD65" t="str">
            <v>Lê Thiều Nam</v>
          </cell>
          <cell r="AE65" t="str">
            <v>Cán bộ TVGS</v>
          </cell>
          <cell r="AF65" t="str">
            <v>................................</v>
          </cell>
          <cell r="AG65" t="str">
            <v>................................</v>
          </cell>
          <cell r="AH65" t="str">
            <v>Nguyễn Ái Việt</v>
          </cell>
          <cell r="AI65" t="str">
            <v>Chỉ huy trưởng</v>
          </cell>
          <cell r="AJ65" t="str">
            <v>Hoàng Chiến Thắng</v>
          </cell>
          <cell r="AK65" t="str">
            <v>P. Chỉ huy trưởng</v>
          </cell>
          <cell r="AL65" t="str">
            <v>Trịnh Quang Đức</v>
          </cell>
          <cell r="AM65" t="str">
            <v>Cán bộ kỹ thuật</v>
          </cell>
          <cell r="AN65" t="str">
            <v>KC-00</v>
          </cell>
          <cell r="AQ65" t="str">
            <v>Ngày 15 Tháng 7 Năm 2015</v>
          </cell>
        </row>
        <row r="66">
          <cell r="A66" t="str">
            <v>CKBT-56</v>
          </cell>
          <cell r="B66" t="str">
            <v>-Cấu kiện bê tông dầm, sàn tầng áp mái</v>
          </cell>
          <cell r="C66" t="str">
            <v>CKBT-56</v>
          </cell>
          <cell r="D66" t="str">
            <v>14h30</v>
          </cell>
          <cell r="E66" t="str">
            <v>15h00</v>
          </cell>
          <cell r="F66">
            <v>28</v>
          </cell>
          <cell r="G66">
            <v>7</v>
          </cell>
          <cell r="H66">
            <v>2015</v>
          </cell>
          <cell r="I66" t="str">
            <v>Hà Nội, ngày 28 tháng 7 năm 2015</v>
          </cell>
          <cell r="J66" t="str">
            <v>14h30 ngày 28 tháng 7 năm 2015</v>
          </cell>
          <cell r="K66" t="str">
            <v>15h00 ngày 28 tháng 7 năm 2015</v>
          </cell>
          <cell r="L66" t="str">
            <v>15h00</v>
          </cell>
          <cell r="M66" t="str">
            <v>15h30</v>
          </cell>
          <cell r="N66">
            <v>28</v>
          </cell>
          <cell r="O66">
            <v>7</v>
          </cell>
          <cell r="P66">
            <v>2015</v>
          </cell>
          <cell r="Q66" t="str">
            <v>Hà Nội, ngày 28 tháng 7 năm 2015</v>
          </cell>
          <cell r="R66" t="str">
            <v>15h00 ngày 28 tháng 7 năm 2015</v>
          </cell>
          <cell r="S66" t="str">
            <v>15h30 ngày 28 tháng 7 năm 2015</v>
          </cell>
          <cell r="T66" t="str">
            <v>15h00</v>
          </cell>
          <cell r="U66" t="str">
            <v>15h00 Ngày 28/7/2015</v>
          </cell>
          <cell r="V66" t="str">
            <v>Nguyễn Ái Việt</v>
          </cell>
          <cell r="W66" t="str">
            <v>Chỉ huy trưởng</v>
          </cell>
          <cell r="X66" t="str">
            <v>................................</v>
          </cell>
          <cell r="Y66" t="str">
            <v>................................</v>
          </cell>
          <cell r="Z66" t="str">
            <v>Nguyễn Văn Nghiễm</v>
          </cell>
          <cell r="AA66" t="str">
            <v>Cán bộ KCS</v>
          </cell>
          <cell r="AB66" t="str">
            <v>Vương Toàn Hiếu</v>
          </cell>
          <cell r="AC66" t="str">
            <v>Trưởng đoàn TVGS</v>
          </cell>
          <cell r="AD66" t="str">
            <v>Lê Thiều Nam</v>
          </cell>
          <cell r="AE66" t="str">
            <v>Cán bộ TVGS</v>
          </cell>
          <cell r="AF66" t="str">
            <v>................................</v>
          </cell>
          <cell r="AG66" t="str">
            <v>................................</v>
          </cell>
          <cell r="AH66" t="str">
            <v>Nguyễn Ái Việt</v>
          </cell>
          <cell r="AI66" t="str">
            <v>Chỉ huy trưởng</v>
          </cell>
          <cell r="AJ66" t="str">
            <v>Hoàng Chiến Thắng</v>
          </cell>
          <cell r="AK66" t="str">
            <v>P. Chỉ huy trưởng</v>
          </cell>
          <cell r="AL66" t="str">
            <v>Trịnh Quang Đức</v>
          </cell>
          <cell r="AM66" t="str">
            <v>Cán bộ kỹ thuật</v>
          </cell>
          <cell r="AN66" t="str">
            <v>KC-00</v>
          </cell>
          <cell r="AQ66" t="str">
            <v>Ngày 28 Tháng 7 Năm 2015</v>
          </cell>
        </row>
        <row r="67">
          <cell r="A67" t="str">
            <v>CKBT-57</v>
          </cell>
          <cell r="B67" t="str">
            <v>-Cấu kiện bê tông cột, trụ tầng áp mái</v>
          </cell>
          <cell r="C67" t="str">
            <v>CKBT-57</v>
          </cell>
          <cell r="D67" t="str">
            <v>15h00</v>
          </cell>
          <cell r="E67" t="str">
            <v>16h00</v>
          </cell>
          <cell r="F67">
            <v>2</v>
          </cell>
          <cell r="G67">
            <v>8</v>
          </cell>
          <cell r="H67">
            <v>2015</v>
          </cell>
          <cell r="I67" t="str">
            <v>Hà Nội, ngày 2 tháng 8 năm 2015</v>
          </cell>
          <cell r="J67" t="str">
            <v>15h00 ngày 2 tháng 8 năm 2015</v>
          </cell>
          <cell r="K67" t="str">
            <v>16h00 ngày 11 tháng 8 năm 2015</v>
          </cell>
          <cell r="L67" t="str">
            <v>15h30</v>
          </cell>
          <cell r="M67" t="str">
            <v>16h30</v>
          </cell>
          <cell r="N67">
            <v>11</v>
          </cell>
          <cell r="O67">
            <v>8</v>
          </cell>
          <cell r="P67">
            <v>2015</v>
          </cell>
          <cell r="Q67" t="str">
            <v>Hà Nội, ngày 11 tháng 8 năm 2015</v>
          </cell>
          <cell r="R67" t="str">
            <v>15h30 ngày 2 tháng 8 năm 2015</v>
          </cell>
          <cell r="S67" t="str">
            <v>16h30 ngày 11 tháng 8 năm 2015</v>
          </cell>
          <cell r="T67" t="str">
            <v>15h30</v>
          </cell>
          <cell r="U67" t="str">
            <v>15h30 Ngày 2/8/2015</v>
          </cell>
          <cell r="V67" t="str">
            <v>Nguyễn Ái Việt</v>
          </cell>
          <cell r="W67" t="str">
            <v>Chỉ huy trưởng</v>
          </cell>
          <cell r="X67" t="str">
            <v>................................</v>
          </cell>
          <cell r="Y67" t="str">
            <v>................................</v>
          </cell>
          <cell r="Z67" t="str">
            <v>Nguyễn Văn Nghiễm</v>
          </cell>
          <cell r="AA67" t="str">
            <v>Cán bộ KCS</v>
          </cell>
          <cell r="AB67" t="str">
            <v>Vương Toàn Hiếu</v>
          </cell>
          <cell r="AC67" t="str">
            <v>Trưởng đoàn TVGS</v>
          </cell>
          <cell r="AD67" t="str">
            <v>Lê Thiều Nam</v>
          </cell>
          <cell r="AE67" t="str">
            <v>Cán bộ TVGS</v>
          </cell>
          <cell r="AF67" t="str">
            <v>................................</v>
          </cell>
          <cell r="AG67" t="str">
            <v>................................</v>
          </cell>
          <cell r="AH67" t="str">
            <v>Nguyễn Ái Việt</v>
          </cell>
          <cell r="AI67" t="str">
            <v>Chỉ huy trưởng</v>
          </cell>
          <cell r="AJ67" t="str">
            <v>Hoàng Chiến Thắng</v>
          </cell>
          <cell r="AK67" t="str">
            <v>P. Chỉ huy trưởng</v>
          </cell>
          <cell r="AL67" t="str">
            <v>Trịnh Quang Đức</v>
          </cell>
          <cell r="AM67" t="str">
            <v>Cán bộ kỹ thuật</v>
          </cell>
          <cell r="AN67" t="str">
            <v>KC-00</v>
          </cell>
          <cell r="AQ67" t="str">
            <v>Ngày 2 Tháng 8 Năm 2015</v>
          </cell>
        </row>
        <row r="68">
          <cell r="A68" t="str">
            <v>CKBT-58</v>
          </cell>
          <cell r="B68" t="str">
            <v>-Cấu kiện bê tông dầm, sàn tầng mái</v>
          </cell>
          <cell r="C68" t="str">
            <v>CKBT-58</v>
          </cell>
          <cell r="D68" t="str">
            <v>14h00</v>
          </cell>
          <cell r="E68" t="str">
            <v>15h00</v>
          </cell>
          <cell r="F68">
            <v>9</v>
          </cell>
          <cell r="G68">
            <v>8</v>
          </cell>
          <cell r="H68">
            <v>2015</v>
          </cell>
          <cell r="I68" t="str">
            <v>Hà Nội, ngày 9 tháng 8 năm 2015</v>
          </cell>
          <cell r="J68" t="str">
            <v>14h00 ngày 9 tháng 8 năm 2015</v>
          </cell>
          <cell r="K68" t="str">
            <v>15h00 ngày 27 tháng 8 năm 2015</v>
          </cell>
          <cell r="L68" t="str">
            <v>14h30</v>
          </cell>
          <cell r="M68" t="str">
            <v>15h30</v>
          </cell>
          <cell r="N68">
            <v>27</v>
          </cell>
          <cell r="O68">
            <v>8</v>
          </cell>
          <cell r="P68">
            <v>2015</v>
          </cell>
          <cell r="Q68" t="str">
            <v>Hà Nội, ngày 27 tháng 8 năm 2015</v>
          </cell>
          <cell r="R68" t="str">
            <v>14h30 ngày 9 tháng 8 năm 2015</v>
          </cell>
          <cell r="S68" t="str">
            <v>15h30 ngày 27 tháng 8 năm 2015</v>
          </cell>
          <cell r="T68" t="str">
            <v>14h30</v>
          </cell>
          <cell r="U68" t="str">
            <v>14h30 Ngày 9/8/2015</v>
          </cell>
          <cell r="V68" t="str">
            <v>Nguyễn Ái Việt</v>
          </cell>
          <cell r="W68" t="str">
            <v>Chỉ huy trưởng</v>
          </cell>
          <cell r="X68" t="str">
            <v>................................</v>
          </cell>
          <cell r="Y68" t="str">
            <v>................................</v>
          </cell>
          <cell r="Z68" t="str">
            <v>Nguyễn Văn Nghiễm</v>
          </cell>
          <cell r="AA68" t="str">
            <v>Cán bộ KCS</v>
          </cell>
          <cell r="AB68" t="str">
            <v>Vương Toàn Hiếu</v>
          </cell>
          <cell r="AC68" t="str">
            <v>Trưởng đoàn TVGS</v>
          </cell>
          <cell r="AD68" t="str">
            <v>Lê Thiều Nam</v>
          </cell>
          <cell r="AE68" t="str">
            <v>Cán bộ TVGS</v>
          </cell>
          <cell r="AF68" t="str">
            <v>................................</v>
          </cell>
          <cell r="AG68" t="str">
            <v>................................</v>
          </cell>
          <cell r="AH68" t="str">
            <v>Nguyễn Ái Việt</v>
          </cell>
          <cell r="AI68" t="str">
            <v>Chỉ huy trưởng</v>
          </cell>
          <cell r="AJ68" t="str">
            <v>Hoàng Chiến Thắng</v>
          </cell>
          <cell r="AK68" t="str">
            <v>P. Chỉ huy trưởng</v>
          </cell>
          <cell r="AL68" t="str">
            <v>Trịnh Quang Đức</v>
          </cell>
          <cell r="AM68" t="str">
            <v>Cán bộ kỹ thuật</v>
          </cell>
          <cell r="AN68" t="str">
            <v>KC-00</v>
          </cell>
          <cell r="AQ68" t="str">
            <v>Ngày 9 Tháng 8 Năm 2015</v>
          </cell>
        </row>
        <row r="69">
          <cell r="A69" t="str">
            <v>CKBT-59</v>
          </cell>
          <cell r="B69" t="str">
            <v>-Cấu kiện bê tông cột thang máy bổ sung tầng 01, 02, 03, 04, 05, 06, 07, 08, 09, 10, 11</v>
          </cell>
          <cell r="C69" t="str">
            <v>CKBT-59</v>
          </cell>
          <cell r="D69" t="str">
            <v>8h00</v>
          </cell>
          <cell r="E69" t="str">
            <v>8h45</v>
          </cell>
          <cell r="F69">
            <v>29</v>
          </cell>
          <cell r="G69">
            <v>9</v>
          </cell>
          <cell r="H69">
            <v>2015</v>
          </cell>
          <cell r="I69" t="str">
            <v>Hà Nội, ngày 29 tháng 9 năm 2015</v>
          </cell>
          <cell r="J69" t="str">
            <v>8h00 ngày 29 tháng 9 năm 2015</v>
          </cell>
          <cell r="K69" t="str">
            <v>8h45 ngày 29 tháng 9 năm 2015</v>
          </cell>
          <cell r="L69" t="str">
            <v>9h00</v>
          </cell>
          <cell r="M69" t="str">
            <v>9h45</v>
          </cell>
          <cell r="N69">
            <v>29</v>
          </cell>
          <cell r="O69">
            <v>9</v>
          </cell>
          <cell r="P69">
            <v>2015</v>
          </cell>
          <cell r="Q69" t="str">
            <v>Hà Nội, ngày 29 tháng 9 năm 2015</v>
          </cell>
          <cell r="R69" t="str">
            <v>9h00 ngày 29 tháng 9 năm 2015</v>
          </cell>
          <cell r="S69" t="str">
            <v>9h45 ngày 29 tháng 9 năm 2015</v>
          </cell>
          <cell r="T69" t="str">
            <v>9h00</v>
          </cell>
          <cell r="U69" t="str">
            <v>9h00 Ngày 29/9/2015</v>
          </cell>
          <cell r="V69" t="str">
            <v>Nguyễn Ái Việt</v>
          </cell>
          <cell r="W69" t="str">
            <v>Chỉ huy trưởng</v>
          </cell>
          <cell r="X69" t="str">
            <v>................................</v>
          </cell>
          <cell r="Y69" t="str">
            <v>................................</v>
          </cell>
          <cell r="Z69" t="str">
            <v>Nguyễn Văn Nghiễm</v>
          </cell>
          <cell r="AA69" t="str">
            <v>Cán bộ KCS</v>
          </cell>
          <cell r="AB69" t="str">
            <v>Vương Toàn Hiếu</v>
          </cell>
          <cell r="AC69" t="str">
            <v>Trưởng đoàn TVGS</v>
          </cell>
          <cell r="AD69" t="str">
            <v>Lê Thiều Nam</v>
          </cell>
          <cell r="AE69" t="str">
            <v>Cán bộ TVGS</v>
          </cell>
          <cell r="AF69" t="str">
            <v>................................</v>
          </cell>
          <cell r="AG69" t="str">
            <v>................................</v>
          </cell>
          <cell r="AH69" t="str">
            <v>Nguyễn Ái Việt</v>
          </cell>
          <cell r="AI69" t="str">
            <v>Chỉ huy trưởng</v>
          </cell>
          <cell r="AJ69" t="str">
            <v>Hoàng Chiến Thắng</v>
          </cell>
          <cell r="AK69" t="str">
            <v>P. Chỉ huy trưởng</v>
          </cell>
          <cell r="AL69" t="str">
            <v>Trịnh Quang Đức</v>
          </cell>
          <cell r="AM69" t="str">
            <v>Cán bộ kỹ thuật</v>
          </cell>
          <cell r="AN69" t="str">
            <v>KCĐCBS-05</v>
          </cell>
          <cell r="AQ69" t="str">
            <v>Ngày 29 Tháng 9 Năm 2015</v>
          </cell>
        </row>
        <row r="70">
          <cell r="A70" t="str">
            <v>CKBT-60</v>
          </cell>
          <cell r="B70" t="str">
            <v>Cấu kiện bê tông tạo dốc tầng áp mái, tầng mái</v>
          </cell>
          <cell r="C70" t="str">
            <v>CKBT-60</v>
          </cell>
          <cell r="D70" t="str">
            <v>14h00</v>
          </cell>
          <cell r="E70" t="str">
            <v>14h30</v>
          </cell>
          <cell r="F70">
            <v>2</v>
          </cell>
          <cell r="G70">
            <v>11</v>
          </cell>
          <cell r="H70">
            <v>2015</v>
          </cell>
          <cell r="I70" t="str">
            <v>Hà Nội, ngày 2 tháng 11 năm 2015</v>
          </cell>
          <cell r="J70" t="str">
            <v>14h00 ngày 2 tháng 11 năm 2015</v>
          </cell>
          <cell r="K70" t="str">
            <v>14h30 ngày 2 tháng 11 năm 2015</v>
          </cell>
          <cell r="L70" t="str">
            <v>15h00</v>
          </cell>
          <cell r="M70" t="str">
            <v>15h30</v>
          </cell>
          <cell r="N70">
            <v>2</v>
          </cell>
          <cell r="O70">
            <v>11</v>
          </cell>
          <cell r="P70">
            <v>2015</v>
          </cell>
          <cell r="Q70" t="str">
            <v>Hà Nội, ngày 2 tháng 11 năm 2015</v>
          </cell>
          <cell r="R70" t="str">
            <v>15h00 ngày 2 tháng 11 năm 2015</v>
          </cell>
          <cell r="S70" t="str">
            <v>15h30 ngày 2 tháng 11 năm 2015</v>
          </cell>
          <cell r="T70" t="str">
            <v>15h00</v>
          </cell>
          <cell r="U70" t="str">
            <v>15h00 Ngày 2/11/2015</v>
          </cell>
          <cell r="V70" t="str">
            <v>Nguyễn Ái Việt</v>
          </cell>
          <cell r="W70" t="str">
            <v>Chỉ huy trưởng</v>
          </cell>
          <cell r="X70" t="str">
            <v>................................</v>
          </cell>
          <cell r="Y70" t="str">
            <v>................................</v>
          </cell>
          <cell r="Z70" t="str">
            <v>Nguyễn Văn Nghiễm</v>
          </cell>
          <cell r="AA70" t="str">
            <v>Cán bộ KCS</v>
          </cell>
          <cell r="AB70" t="str">
            <v>Vương Toàn Hiếu</v>
          </cell>
          <cell r="AC70" t="str">
            <v>Trưởng đoàn TVGS</v>
          </cell>
          <cell r="AD70" t="str">
            <v>Lê Thiều Nam</v>
          </cell>
          <cell r="AE70" t="str">
            <v>Cán bộ TVGS</v>
          </cell>
          <cell r="AF70" t="str">
            <v>................................</v>
          </cell>
          <cell r="AG70" t="str">
            <v>................................</v>
          </cell>
          <cell r="AH70" t="str">
            <v>Nguyễn Ái Việt</v>
          </cell>
          <cell r="AI70" t="str">
            <v>Chỉ huy trưởng</v>
          </cell>
          <cell r="AJ70" t="str">
            <v>Hoàng Chiến Thắng</v>
          </cell>
          <cell r="AK70" t="str">
            <v>P. Chỉ huy trưởng</v>
          </cell>
          <cell r="AL70" t="str">
            <v>Trịnh Quang Đức</v>
          </cell>
          <cell r="AM70" t="str">
            <v>Cán bộ kỹ thuật</v>
          </cell>
          <cell r="AN70" t="str">
            <v>KC-00</v>
          </cell>
          <cell r="AQ70" t="str">
            <v>Ngày 2 Tháng 11 Năm 2015</v>
          </cell>
        </row>
        <row r="71">
          <cell r="A71" t="str">
            <v>CKBT-61</v>
          </cell>
          <cell r="B71" t="str">
            <v>Cấu kiện bê tông nền nhà vệ sinh tầng áp mái</v>
          </cell>
          <cell r="C71" t="str">
            <v>CKBT-61</v>
          </cell>
          <cell r="D71" t="str">
            <v>9h00</v>
          </cell>
          <cell r="E71" t="str">
            <v>9h45</v>
          </cell>
          <cell r="F71">
            <v>9</v>
          </cell>
          <cell r="G71">
            <v>11</v>
          </cell>
          <cell r="H71">
            <v>2015</v>
          </cell>
          <cell r="I71" t="str">
            <v>Hà Nội, ngày 9 tháng 11 năm 2015</v>
          </cell>
          <cell r="J71" t="str">
            <v>9h00 ngày 9 tháng 11 năm 2015</v>
          </cell>
          <cell r="K71" t="str">
            <v>9h45 ngày 9 tháng 11 năm 2015</v>
          </cell>
          <cell r="L71" t="str">
            <v>10h00</v>
          </cell>
          <cell r="M71" t="str">
            <v>10h45</v>
          </cell>
          <cell r="N71">
            <v>9</v>
          </cell>
          <cell r="O71">
            <v>11</v>
          </cell>
          <cell r="P71">
            <v>2015</v>
          </cell>
          <cell r="Q71" t="str">
            <v>Hà Nội, ngày 9 tháng 11 năm 2015</v>
          </cell>
          <cell r="R71" t="str">
            <v>10h00 ngày 9 tháng 11 năm 2015</v>
          </cell>
          <cell r="S71" t="str">
            <v>10h45 ngày 9 tháng 11 năm 2015</v>
          </cell>
          <cell r="T71" t="str">
            <v>10h00</v>
          </cell>
          <cell r="U71" t="str">
            <v>10h00 Ngày 9/11/2015</v>
          </cell>
          <cell r="V71" t="str">
            <v>Nguyễn Ái Việt</v>
          </cell>
          <cell r="W71" t="str">
            <v>Chỉ huy trưởng</v>
          </cell>
          <cell r="X71" t="str">
            <v>................................</v>
          </cell>
          <cell r="Y71" t="str">
            <v>................................</v>
          </cell>
          <cell r="Z71" t="str">
            <v>Nguyễn Văn Nghiễm</v>
          </cell>
          <cell r="AA71" t="str">
            <v>Cán bộ KCS</v>
          </cell>
          <cell r="AB71" t="str">
            <v>Vương Toàn Hiếu</v>
          </cell>
          <cell r="AC71" t="str">
            <v>Trưởng đoàn TVGS</v>
          </cell>
          <cell r="AD71" t="str">
            <v>Lê Thiều Nam</v>
          </cell>
          <cell r="AE71" t="str">
            <v>Cán bộ TVGS</v>
          </cell>
          <cell r="AF71" t="str">
            <v>................................</v>
          </cell>
          <cell r="AG71" t="str">
            <v>................................</v>
          </cell>
          <cell r="AH71" t="str">
            <v>Nguyễn Ái Việt</v>
          </cell>
          <cell r="AI71" t="str">
            <v>Chỉ huy trưởng</v>
          </cell>
          <cell r="AJ71" t="str">
            <v>Hoàng Chiến Thắng</v>
          </cell>
          <cell r="AK71" t="str">
            <v>P. Chỉ huy trưởng</v>
          </cell>
          <cell r="AL71" t="str">
            <v>Trịnh Quang Đức</v>
          </cell>
          <cell r="AM71" t="str">
            <v>Cán bộ kỹ thuật</v>
          </cell>
          <cell r="AN71" t="str">
            <v>KTBS</v>
          </cell>
          <cell r="AQ71" t="str">
            <v>Ngày 9 Tháng 11 Năm 2015</v>
          </cell>
        </row>
        <row r="72">
          <cell r="AQ72" t="str">
            <v xml:space="preserve">Ngày  Tháng  Năm </v>
          </cell>
        </row>
        <row r="73">
          <cell r="AQ73" t="str">
            <v xml:space="preserve">Ngày  Tháng  Năm </v>
          </cell>
        </row>
        <row r="74">
          <cell r="AQ74" t="str">
            <v xml:space="preserve">Ngày  Tháng  Năm </v>
          </cell>
        </row>
        <row r="75">
          <cell r="AQ75" t="str">
            <v xml:space="preserve">Ngày  Tháng  Năm </v>
          </cell>
        </row>
        <row r="76">
          <cell r="AQ76" t="str">
            <v xml:space="preserve">Ngày  Tháng  Năm </v>
          </cell>
        </row>
        <row r="77">
          <cell r="A77" t="str">
            <v>CKBTGLC-01</v>
          </cell>
          <cell r="B77" t="str">
            <v>Cấu kiện bê tông giằng tường chân lan can lô gia căn hộ tầng 03, 04, 05</v>
          </cell>
          <cell r="C77" t="str">
            <v>CKBTGLC-01</v>
          </cell>
          <cell r="D77" t="str">
            <v>14h00</v>
          </cell>
          <cell r="E77" t="str">
            <v>14h30</v>
          </cell>
          <cell r="F77">
            <v>7</v>
          </cell>
          <cell r="G77">
            <v>7</v>
          </cell>
          <cell r="H77">
            <v>2015</v>
          </cell>
          <cell r="I77" t="str">
            <v>Hà Nội, ngày 7 tháng 7 năm 2015</v>
          </cell>
          <cell r="J77" t="str">
            <v>14h00 ngày 7 tháng 7 năm 2015</v>
          </cell>
          <cell r="K77" t="str">
            <v>14h30 ngày 29 tháng 7 năm 2015</v>
          </cell>
          <cell r="L77" t="str">
            <v>14h30</v>
          </cell>
          <cell r="M77" t="str">
            <v>15h00</v>
          </cell>
          <cell r="N77">
            <v>29</v>
          </cell>
          <cell r="O77">
            <v>7</v>
          </cell>
          <cell r="P77">
            <v>2015</v>
          </cell>
          <cell r="Q77" t="str">
            <v>Hà Nội, ngày 29 tháng 7 năm 2015</v>
          </cell>
          <cell r="R77" t="str">
            <v>14h30 ngày 7 tháng 7 năm 2015</v>
          </cell>
          <cell r="S77" t="str">
            <v>15h00 ngày 29 tháng 7 năm 2015</v>
          </cell>
          <cell r="T77" t="str">
            <v>14h30</v>
          </cell>
          <cell r="U77" t="str">
            <v>14h30 Ngày 7/7/2015</v>
          </cell>
          <cell r="V77" t="str">
            <v>Nguyễn Ái Việt</v>
          </cell>
          <cell r="W77" t="str">
            <v>Chỉ huy trưởng</v>
          </cell>
          <cell r="X77" t="str">
            <v>................................</v>
          </cell>
          <cell r="Y77" t="str">
            <v>................................</v>
          </cell>
          <cell r="Z77" t="str">
            <v>Nguyễn Văn Nghiễm</v>
          </cell>
          <cell r="AA77" t="str">
            <v>Cán bộ KCS</v>
          </cell>
          <cell r="AB77" t="str">
            <v>Vương Toàn Hiếu</v>
          </cell>
          <cell r="AC77" t="str">
            <v>Trưởng đoàn TVGS</v>
          </cell>
          <cell r="AD77" t="str">
            <v>Lê Thiều Nam</v>
          </cell>
          <cell r="AE77" t="str">
            <v>Cán bộ TVGS</v>
          </cell>
          <cell r="AF77" t="str">
            <v>................................</v>
          </cell>
          <cell r="AG77" t="str">
            <v>................................</v>
          </cell>
          <cell r="AH77" t="str">
            <v>Nguyễn Ái Việt</v>
          </cell>
          <cell r="AI77" t="str">
            <v>Chỉ huy trưởng</v>
          </cell>
          <cell r="AJ77" t="str">
            <v>Hoàng Chiến Thắng</v>
          </cell>
          <cell r="AK77" t="str">
            <v>P. Chỉ huy trưởng</v>
          </cell>
          <cell r="AL77" t="str">
            <v>Trịnh Quang Đức</v>
          </cell>
          <cell r="AM77" t="str">
            <v>Cán bộ kỹ thuật</v>
          </cell>
          <cell r="AN77" t="str">
            <v>KC-00</v>
          </cell>
          <cell r="AQ77" t="str">
            <v>Ngày 7 Tháng 7 Năm 2015</v>
          </cell>
        </row>
        <row r="78">
          <cell r="A78" t="str">
            <v>CKBTGLC-02</v>
          </cell>
          <cell r="B78" t="str">
            <v>Cấu kiện bê tông giằng tường chân lan can lô gia căn hộ tầng 06, 07, 08</v>
          </cell>
          <cell r="C78" t="str">
            <v>CKBTGLC-02</v>
          </cell>
          <cell r="D78" t="str">
            <v>14h30</v>
          </cell>
          <cell r="E78" t="str">
            <v>15h00</v>
          </cell>
          <cell r="F78">
            <v>12</v>
          </cell>
          <cell r="G78">
            <v>8</v>
          </cell>
          <cell r="H78">
            <v>2015</v>
          </cell>
          <cell r="I78" t="str">
            <v>Hà Nội, ngày 12 tháng 8 năm 2015</v>
          </cell>
          <cell r="J78" t="str">
            <v>14h30 ngày 12 tháng 8 năm 2015</v>
          </cell>
          <cell r="K78" t="str">
            <v>15h00 ngày 18 tháng 8 năm 2015</v>
          </cell>
          <cell r="L78" t="str">
            <v>15h00</v>
          </cell>
          <cell r="M78" t="str">
            <v>15h30</v>
          </cell>
          <cell r="N78">
            <v>18</v>
          </cell>
          <cell r="O78">
            <v>8</v>
          </cell>
          <cell r="P78">
            <v>2015</v>
          </cell>
          <cell r="Q78" t="str">
            <v>Hà Nội, ngày 18 tháng 8 năm 2015</v>
          </cell>
          <cell r="R78" t="str">
            <v>15h00 ngày 12 tháng 8 năm 2015</v>
          </cell>
          <cell r="S78" t="str">
            <v>15h30 ngày 18 tháng 8 năm 2015</v>
          </cell>
          <cell r="T78" t="str">
            <v>15h00</v>
          </cell>
          <cell r="U78" t="str">
            <v>15h00 Ngày 12/8/2015</v>
          </cell>
          <cell r="V78" t="str">
            <v>Nguyễn Ái Việt</v>
          </cell>
          <cell r="W78" t="str">
            <v>Chỉ huy trưởng</v>
          </cell>
          <cell r="X78" t="str">
            <v>................................</v>
          </cell>
          <cell r="Y78" t="str">
            <v>................................</v>
          </cell>
          <cell r="Z78" t="str">
            <v>Nguyễn Văn Nghiễm</v>
          </cell>
          <cell r="AA78" t="str">
            <v>Cán bộ KCS</v>
          </cell>
          <cell r="AB78" t="str">
            <v>Vương Toàn Hiếu</v>
          </cell>
          <cell r="AC78" t="str">
            <v>Trưởng đoàn TVGS</v>
          </cell>
          <cell r="AD78" t="str">
            <v>Lê Thiều Nam</v>
          </cell>
          <cell r="AE78" t="str">
            <v>Cán bộ TVGS</v>
          </cell>
          <cell r="AF78" t="str">
            <v>................................</v>
          </cell>
          <cell r="AG78" t="str">
            <v>................................</v>
          </cell>
          <cell r="AH78" t="str">
            <v>Nguyễn Ái Việt</v>
          </cell>
          <cell r="AI78" t="str">
            <v>Chỉ huy trưởng</v>
          </cell>
          <cell r="AJ78" t="str">
            <v>Hoàng Chiến Thắng</v>
          </cell>
          <cell r="AK78" t="str">
            <v>P. Chỉ huy trưởng</v>
          </cell>
          <cell r="AL78" t="str">
            <v>Trịnh Quang Đức</v>
          </cell>
          <cell r="AM78" t="str">
            <v>Cán bộ kỹ thuật</v>
          </cell>
          <cell r="AN78" t="str">
            <v>KC-00</v>
          </cell>
          <cell r="AQ78" t="str">
            <v>Ngày 12 Tháng 8 Năm 2015</v>
          </cell>
        </row>
        <row r="79">
          <cell r="A79" t="str">
            <v>CKBTGLC-03</v>
          </cell>
          <cell r="B79" t="str">
            <v>Cấu kiện bê tông giằng tường chân lan can lô gia căn hộ tầng 09, 10, 11</v>
          </cell>
          <cell r="C79" t="str">
            <v>CKBTGLC-03</v>
          </cell>
          <cell r="D79" t="str">
            <v>15h00</v>
          </cell>
          <cell r="E79" t="str">
            <v>15h30</v>
          </cell>
          <cell r="F79">
            <v>26</v>
          </cell>
          <cell r="G79">
            <v>8</v>
          </cell>
          <cell r="H79">
            <v>2015</v>
          </cell>
          <cell r="I79" t="str">
            <v>Hà Nội, ngày 26 tháng 8 năm 2015</v>
          </cell>
          <cell r="J79" t="str">
            <v>15h00 ngày 26 tháng 8 năm 2015</v>
          </cell>
          <cell r="K79" t="str">
            <v>15h30 ngày 6 tháng 9 năm 2015</v>
          </cell>
          <cell r="L79" t="str">
            <v>15h30</v>
          </cell>
          <cell r="M79" t="str">
            <v>16h00</v>
          </cell>
          <cell r="N79">
            <v>6</v>
          </cell>
          <cell r="O79">
            <v>9</v>
          </cell>
          <cell r="P79">
            <v>2015</v>
          </cell>
          <cell r="Q79" t="str">
            <v>Hà Nội, ngày 6 tháng 9 năm 2015</v>
          </cell>
          <cell r="R79" t="str">
            <v>15h30 ngày 26 tháng 8 năm 2015</v>
          </cell>
          <cell r="S79" t="str">
            <v>16h00 ngày 6 tháng 9 năm 2015</v>
          </cell>
          <cell r="T79" t="str">
            <v>15h30</v>
          </cell>
          <cell r="U79" t="str">
            <v>15h30 Ngày 26/8/2015</v>
          </cell>
          <cell r="V79" t="str">
            <v>Nguyễn Ái Việt</v>
          </cell>
          <cell r="W79" t="str">
            <v>Chỉ huy trưởng</v>
          </cell>
          <cell r="X79" t="str">
            <v>................................</v>
          </cell>
          <cell r="Y79" t="str">
            <v>................................</v>
          </cell>
          <cell r="Z79" t="str">
            <v>Nguyễn Văn Nghiễm</v>
          </cell>
          <cell r="AA79" t="str">
            <v>Cán bộ KCS</v>
          </cell>
          <cell r="AB79" t="str">
            <v>Vương Toàn Hiếu</v>
          </cell>
          <cell r="AC79" t="str">
            <v>Trưởng đoàn TVGS</v>
          </cell>
          <cell r="AD79" t="str">
            <v>Lê Thiều Nam</v>
          </cell>
          <cell r="AE79" t="str">
            <v>Cán bộ TVGS</v>
          </cell>
          <cell r="AF79" t="str">
            <v>................................</v>
          </cell>
          <cell r="AG79" t="str">
            <v>................................</v>
          </cell>
          <cell r="AH79" t="str">
            <v>Nguyễn Ái Việt</v>
          </cell>
          <cell r="AI79" t="str">
            <v>Chỉ huy trưởng</v>
          </cell>
          <cell r="AJ79" t="str">
            <v>Hoàng Chiến Thắng</v>
          </cell>
          <cell r="AK79" t="str">
            <v>P. Chỉ huy trưởng</v>
          </cell>
          <cell r="AL79" t="str">
            <v>Trịnh Quang Đức</v>
          </cell>
          <cell r="AM79" t="str">
            <v>Cán bộ kỹ thuật</v>
          </cell>
          <cell r="AN79" t="str">
            <v>KC-00</v>
          </cell>
          <cell r="AQ79" t="str">
            <v>Ngày 26 Tháng 8 Năm 2015</v>
          </cell>
        </row>
        <row r="80">
          <cell r="A80" t="str">
            <v>CKBTGT-01</v>
          </cell>
          <cell r="B80" t="str">
            <v>Cấu kiện bê tông giằng tường tầng áp mái</v>
          </cell>
          <cell r="C80" t="str">
            <v>CKBTGT-01</v>
          </cell>
          <cell r="D80" t="str">
            <v>15h00</v>
          </cell>
          <cell r="E80" t="str">
            <v>16h00</v>
          </cell>
          <cell r="F80">
            <v>26</v>
          </cell>
          <cell r="G80">
            <v>9</v>
          </cell>
          <cell r="H80">
            <v>2015</v>
          </cell>
          <cell r="I80" t="str">
            <v>Hà Nội, ngày 26 tháng 9 năm 2015</v>
          </cell>
          <cell r="J80" t="str">
            <v>15h00 ngày 26 tháng 9 năm 2015</v>
          </cell>
          <cell r="K80" t="str">
            <v>16h00 ngày 26 tháng 9 năm 2015</v>
          </cell>
          <cell r="L80" t="str">
            <v>16h00</v>
          </cell>
          <cell r="M80" t="str">
            <v>17h00</v>
          </cell>
          <cell r="N80">
            <v>26</v>
          </cell>
          <cell r="O80">
            <v>9</v>
          </cell>
          <cell r="P80">
            <v>2015</v>
          </cell>
          <cell r="Q80" t="str">
            <v>Hà Nội, ngày 26 tháng 9 năm 2015</v>
          </cell>
          <cell r="R80" t="str">
            <v>16h00 ngày 26 tháng 9 năm 2015</v>
          </cell>
          <cell r="S80" t="str">
            <v>17h00 ngày 26 tháng 9 năm 2015</v>
          </cell>
          <cell r="T80" t="str">
            <v>16h00</v>
          </cell>
          <cell r="U80" t="str">
            <v>16h00 Ngày 26/9/2015</v>
          </cell>
          <cell r="V80" t="str">
            <v>Nguyễn Ái Việt</v>
          </cell>
          <cell r="W80" t="str">
            <v>Chỉ huy trưởng</v>
          </cell>
          <cell r="X80" t="str">
            <v>................................</v>
          </cell>
          <cell r="Y80" t="str">
            <v>................................</v>
          </cell>
          <cell r="Z80" t="str">
            <v>Nguyễn Văn Nghiễm</v>
          </cell>
          <cell r="AA80" t="str">
            <v>Cán bộ KCS</v>
          </cell>
          <cell r="AB80" t="str">
            <v>Vương Toàn Hiếu</v>
          </cell>
          <cell r="AC80" t="str">
            <v>Trưởng đoàn TVGS</v>
          </cell>
          <cell r="AD80" t="str">
            <v>Lê Thiều Nam</v>
          </cell>
          <cell r="AE80" t="str">
            <v>Cán bộ TVGS</v>
          </cell>
          <cell r="AF80" t="str">
            <v>................................</v>
          </cell>
          <cell r="AG80" t="str">
            <v>................................</v>
          </cell>
          <cell r="AH80" t="str">
            <v>Nguyễn Ái Việt</v>
          </cell>
          <cell r="AI80" t="str">
            <v>Chỉ huy trưởng</v>
          </cell>
          <cell r="AJ80" t="str">
            <v>Hoàng Chiến Thắng</v>
          </cell>
          <cell r="AK80" t="str">
            <v>P. Chỉ huy trưởng</v>
          </cell>
          <cell r="AL80" t="str">
            <v>Trịnh Quang Đức</v>
          </cell>
          <cell r="AM80" t="str">
            <v>Cán bộ kỹ thuật</v>
          </cell>
          <cell r="AN80" t="str">
            <v>KC-00; KC-71</v>
          </cell>
          <cell r="AQ80" t="str">
            <v>Ngày 26 Tháng 9 Năm 2015</v>
          </cell>
        </row>
        <row r="81">
          <cell r="A81" t="str">
            <v>CKBTDBS-01</v>
          </cell>
          <cell r="B81" t="str">
            <v>Cấu kiện bê tông dầm móng bổ sung tầng 01</v>
          </cell>
          <cell r="C81" t="str">
            <v>CKBTDBS-01</v>
          </cell>
          <cell r="D81" t="str">
            <v>8h00</v>
          </cell>
          <cell r="E81" t="str">
            <v>8h30</v>
          </cell>
          <cell r="F81">
            <v>27</v>
          </cell>
          <cell r="G81">
            <v>10</v>
          </cell>
          <cell r="H81">
            <v>2015</v>
          </cell>
          <cell r="I81" t="str">
            <v>Hà Nội, ngày 27 tháng 10 năm 2015</v>
          </cell>
          <cell r="J81" t="str">
            <v>8h00 ngày 27 tháng 10 năm 2015</v>
          </cell>
          <cell r="K81" t="str">
            <v>8h30 ngày 27 tháng 10 năm 2015</v>
          </cell>
          <cell r="L81" t="str">
            <v>9h00</v>
          </cell>
          <cell r="M81" t="str">
            <v>9h30</v>
          </cell>
          <cell r="N81">
            <v>27</v>
          </cell>
          <cell r="O81">
            <v>10</v>
          </cell>
          <cell r="P81">
            <v>2015</v>
          </cell>
          <cell r="Q81" t="str">
            <v>Hà Nội, ngày 27 tháng 10 năm 2015</v>
          </cell>
          <cell r="R81" t="str">
            <v>9h00 ngày 27 tháng 10 năm 2015</v>
          </cell>
          <cell r="S81" t="str">
            <v>9h30 ngày 27 tháng 10 năm 2015</v>
          </cell>
          <cell r="T81" t="str">
            <v>9h00</v>
          </cell>
          <cell r="U81" t="str">
            <v>9h00 Ngày 27/10/2015</v>
          </cell>
          <cell r="V81" t="str">
            <v>Nguyễn Ái Việt</v>
          </cell>
          <cell r="W81" t="str">
            <v>Chỉ huy trưởng</v>
          </cell>
          <cell r="X81" t="str">
            <v>................................</v>
          </cell>
          <cell r="Y81" t="str">
            <v>................................</v>
          </cell>
          <cell r="Z81" t="str">
            <v>Nguyễn Văn Nghiễm</v>
          </cell>
          <cell r="AA81" t="str">
            <v>Cán bộ KCS</v>
          </cell>
          <cell r="AB81" t="str">
            <v>Vương Toàn Hiếu</v>
          </cell>
          <cell r="AC81" t="str">
            <v>Trưởng đoàn TVGS</v>
          </cell>
          <cell r="AD81" t="str">
            <v>Lê Thiều Nam</v>
          </cell>
          <cell r="AE81" t="str">
            <v>Cán bộ TVGS</v>
          </cell>
          <cell r="AF81" t="str">
            <v>................................</v>
          </cell>
          <cell r="AG81" t="str">
            <v>................................</v>
          </cell>
          <cell r="AH81" t="str">
            <v>Nguyễn Ái Việt</v>
          </cell>
          <cell r="AI81" t="str">
            <v>Chỉ huy trưởng</v>
          </cell>
          <cell r="AJ81" t="str">
            <v>Hoàng Chiến Thắng</v>
          </cell>
          <cell r="AK81" t="str">
            <v>P. Chỉ huy trưởng</v>
          </cell>
          <cell r="AL81" t="str">
            <v>Trịnh Quang Đức</v>
          </cell>
          <cell r="AM81" t="str">
            <v>Cán bộ kỹ thuật</v>
          </cell>
          <cell r="AN81" t="str">
            <v>KC-00; KC-71</v>
          </cell>
          <cell r="AQ81" t="str">
            <v>Ngày 27 Tháng 10 Năm 2015</v>
          </cell>
        </row>
        <row r="82">
          <cell r="A82" t="str">
            <v>CKBTNT1-01</v>
          </cell>
          <cell r="B82" t="str">
            <v>Cấu kiện bê tông nền tầng 01</v>
          </cell>
          <cell r="C82" t="str">
            <v>CKBTNT1-01</v>
          </cell>
          <cell r="D82" t="str">
            <v>8h30</v>
          </cell>
          <cell r="E82" t="str">
            <v>9h00</v>
          </cell>
          <cell r="F82">
            <v>27</v>
          </cell>
          <cell r="G82">
            <v>11</v>
          </cell>
          <cell r="H82">
            <v>2015</v>
          </cell>
          <cell r="I82" t="str">
            <v>Hà Nội, ngày 27 tháng 11 năm 2015</v>
          </cell>
          <cell r="J82" t="str">
            <v>8h30 ngày 27 tháng 11 năm 2015</v>
          </cell>
          <cell r="K82" t="str">
            <v>9h00 ngày 27 tháng 11 năm 2015</v>
          </cell>
          <cell r="L82" t="str">
            <v>9h30</v>
          </cell>
          <cell r="M82" t="str">
            <v>10h00</v>
          </cell>
          <cell r="N82">
            <v>27</v>
          </cell>
          <cell r="O82">
            <v>11</v>
          </cell>
          <cell r="P82">
            <v>2015</v>
          </cell>
          <cell r="Q82" t="str">
            <v>Hà Nội, ngày 27 tháng 11 năm 2015</v>
          </cell>
          <cell r="R82" t="str">
            <v>9h30 ngày 27 tháng 11 năm 2015</v>
          </cell>
          <cell r="S82" t="str">
            <v>10h00 ngày 27 tháng 11 năm 2015</v>
          </cell>
          <cell r="T82" t="str">
            <v>9h30</v>
          </cell>
          <cell r="U82" t="str">
            <v>9h30 Ngày 27/11/2015</v>
          </cell>
          <cell r="V82" t="str">
            <v>Nguyễn Ái Việt</v>
          </cell>
          <cell r="W82" t="str">
            <v>Chỉ huy trưởng</v>
          </cell>
          <cell r="X82" t="str">
            <v>................................</v>
          </cell>
          <cell r="Y82" t="str">
            <v>................................</v>
          </cell>
          <cell r="Z82" t="str">
            <v>Nguyễn Văn Nghiễm</v>
          </cell>
          <cell r="AA82" t="str">
            <v>Cán bộ KCS</v>
          </cell>
          <cell r="AB82" t="str">
            <v>Vương Toàn Hiếu</v>
          </cell>
          <cell r="AC82" t="str">
            <v>Trưởng đoàn TVGS</v>
          </cell>
          <cell r="AD82" t="str">
            <v>Lê Thiều Nam</v>
          </cell>
          <cell r="AE82" t="str">
            <v>Cán bộ TVGS</v>
          </cell>
          <cell r="AF82" t="str">
            <v>................................</v>
          </cell>
          <cell r="AG82" t="str">
            <v>................................</v>
          </cell>
          <cell r="AH82" t="str">
            <v>Nguyễn Ái Việt</v>
          </cell>
          <cell r="AI82" t="str">
            <v>Chỉ huy trưởng</v>
          </cell>
          <cell r="AJ82" t="str">
            <v>Hoàng Chiến Thắng</v>
          </cell>
          <cell r="AK82" t="str">
            <v>P. Chỉ huy trưởng</v>
          </cell>
          <cell r="AL82" t="str">
            <v>Trịnh Quang Đức</v>
          </cell>
          <cell r="AM82" t="str">
            <v>Cán bộ kỹ thuật</v>
          </cell>
          <cell r="AN82" t="str">
            <v>KC-06</v>
          </cell>
          <cell r="AQ82" t="str">
            <v>Ngày 27 Tháng 11 Năm 2015</v>
          </cell>
        </row>
        <row r="83">
          <cell r="A83" t="str">
            <v>CKBTNT2-01</v>
          </cell>
          <cell r="B83" t="str">
            <v>Cấu kiện bê tông nền tầng 02</v>
          </cell>
          <cell r="C83" t="str">
            <v>CKBTNT2-01</v>
          </cell>
          <cell r="D83" t="str">
            <v>8h00</v>
          </cell>
          <cell r="E83" t="str">
            <v>8h45</v>
          </cell>
          <cell r="F83">
            <v>12</v>
          </cell>
          <cell r="G83">
            <v>11</v>
          </cell>
          <cell r="H83">
            <v>2015</v>
          </cell>
          <cell r="I83" t="str">
            <v>Hà Nội, ngày 12 tháng 11 năm 2015</v>
          </cell>
          <cell r="J83" t="str">
            <v>8h00 ngày 12 tháng 11 năm 2015</v>
          </cell>
          <cell r="K83" t="str">
            <v>8h45 ngày 12 tháng 11 năm 2015</v>
          </cell>
          <cell r="L83" t="str">
            <v>9h30</v>
          </cell>
          <cell r="M83" t="str">
            <v>10h00</v>
          </cell>
          <cell r="N83">
            <v>12</v>
          </cell>
          <cell r="O83">
            <v>11</v>
          </cell>
          <cell r="P83">
            <v>2015</v>
          </cell>
          <cell r="Q83" t="str">
            <v>Hà Nội, ngày 12 tháng 11 năm 2015</v>
          </cell>
          <cell r="R83" t="str">
            <v>9h30 ngày 12 tháng 11 năm 2015</v>
          </cell>
          <cell r="S83" t="str">
            <v>10h00 ngày 12 tháng 11 năm 2015</v>
          </cell>
          <cell r="T83" t="str">
            <v>9h30</v>
          </cell>
          <cell r="U83" t="str">
            <v>9h30 Ngày 12/11/2015</v>
          </cell>
          <cell r="V83" t="str">
            <v>Nguyễn Ái Việt</v>
          </cell>
          <cell r="W83" t="str">
            <v>Chỉ huy trưởng</v>
          </cell>
          <cell r="X83" t="str">
            <v>................................</v>
          </cell>
          <cell r="Y83" t="str">
            <v>................................</v>
          </cell>
          <cell r="Z83" t="str">
            <v>Nguyễn Văn Nghiễm</v>
          </cell>
          <cell r="AA83" t="str">
            <v>Cán bộ KCS</v>
          </cell>
          <cell r="AB83" t="str">
            <v>Vương Toàn Hiếu</v>
          </cell>
          <cell r="AC83" t="str">
            <v>Trưởng đoàn TVGS</v>
          </cell>
          <cell r="AD83" t="str">
            <v>Lê Thiều Nam</v>
          </cell>
          <cell r="AE83" t="str">
            <v>Cán bộ TVGS</v>
          </cell>
          <cell r="AF83" t="str">
            <v>................................</v>
          </cell>
          <cell r="AG83" t="str">
            <v>................................</v>
          </cell>
          <cell r="AH83" t="str">
            <v>Nguyễn Ái Việt</v>
          </cell>
          <cell r="AI83" t="str">
            <v>Chỉ huy trưởng</v>
          </cell>
          <cell r="AJ83" t="str">
            <v>Hoàng Chiến Thắng</v>
          </cell>
          <cell r="AK83" t="str">
            <v>P. Chỉ huy trưởng</v>
          </cell>
          <cell r="AL83" t="str">
            <v>Trịnh Quang Đức</v>
          </cell>
          <cell r="AM83" t="str">
            <v>Cán bộ kỹ thuật</v>
          </cell>
          <cell r="AN83" t="str">
            <v>KT-102DC</v>
          </cell>
          <cell r="AQ83" t="str">
            <v>Ngày 12 Tháng 11 Năm 2015</v>
          </cell>
        </row>
        <row r="94">
          <cell r="A94" t="str">
            <v>CKBTDB-01</v>
          </cell>
          <cell r="B94" t="str">
            <v>Cấu kiện bê tông dầm đỡ bồn nước mái</v>
          </cell>
          <cell r="C94" t="str">
            <v>CKBTDB-01</v>
          </cell>
          <cell r="D94" t="str">
            <v>8h00</v>
          </cell>
          <cell r="E94" t="str">
            <v>8h30</v>
          </cell>
          <cell r="F94">
            <v>5</v>
          </cell>
          <cell r="G94">
            <v>11</v>
          </cell>
          <cell r="H94">
            <v>2015</v>
          </cell>
          <cell r="I94" t="str">
            <v>Hà Nội, ngày 5 tháng 11 năm 2015</v>
          </cell>
          <cell r="J94" t="str">
            <v>8h00 ngày 5 tháng 11 năm 2015</v>
          </cell>
          <cell r="K94" t="str">
            <v>8h30 ngày 5 tháng 11 năm 2015</v>
          </cell>
          <cell r="L94" t="str">
            <v>9h00</v>
          </cell>
          <cell r="M94" t="str">
            <v>9h30</v>
          </cell>
          <cell r="N94">
            <v>5</v>
          </cell>
          <cell r="O94">
            <v>11</v>
          </cell>
          <cell r="P94">
            <v>2015</v>
          </cell>
          <cell r="Q94" t="str">
            <v>Hà Nội, ngày 5 tháng 11 năm 2015</v>
          </cell>
          <cell r="R94" t="str">
            <v>9h00 ngày 5 tháng 11 năm 2015</v>
          </cell>
          <cell r="S94" t="str">
            <v>9h30 ngày 5 tháng 11 năm 2015</v>
          </cell>
          <cell r="T94" t="str">
            <v>9h00</v>
          </cell>
          <cell r="U94" t="str">
            <v>9h00 Ngày 5/11/2015</v>
          </cell>
          <cell r="V94" t="str">
            <v>Nguyễn Ái Việt</v>
          </cell>
          <cell r="W94" t="str">
            <v>Chỉ huy trưởng</v>
          </cell>
          <cell r="X94" t="str">
            <v>................................</v>
          </cell>
          <cell r="Y94" t="str">
            <v>................................</v>
          </cell>
          <cell r="Z94" t="str">
            <v>Nguyễn Văn Nghiễm</v>
          </cell>
          <cell r="AA94" t="str">
            <v>Cán bộ KCS</v>
          </cell>
          <cell r="AB94" t="str">
            <v>Vương Toàn Hiếu</v>
          </cell>
          <cell r="AC94" t="str">
            <v>Trưởng đoàn TVGS</v>
          </cell>
          <cell r="AD94" t="str">
            <v>Lê Thiều Nam</v>
          </cell>
          <cell r="AE94" t="str">
            <v>Cán bộ TVGS</v>
          </cell>
          <cell r="AF94" t="str">
            <v>................................</v>
          </cell>
          <cell r="AG94" t="str">
            <v>................................</v>
          </cell>
          <cell r="AH94" t="str">
            <v>Nguyễn Ái Việt</v>
          </cell>
          <cell r="AI94" t="str">
            <v>Chỉ huy trưởng</v>
          </cell>
          <cell r="AJ94" t="str">
            <v>Hoàng Chiến Thắng</v>
          </cell>
          <cell r="AK94" t="str">
            <v>P. Chỉ huy trưởng</v>
          </cell>
          <cell r="AL94" t="str">
            <v>Trịnh Quang Đức</v>
          </cell>
          <cell r="AM94" t="str">
            <v>Cán bộ kỹ thuật</v>
          </cell>
          <cell r="AN94" t="str">
            <v>KS-BS-04</v>
          </cell>
          <cell r="AQ94" t="str">
            <v>Ngày 5 Tháng 11 Năm 2015</v>
          </cell>
        </row>
        <row r="95">
          <cell r="A95" t="str">
            <v>CKBTTĐ-01</v>
          </cell>
          <cell r="B95" t="str">
            <v>Cấu kiện bê tông tấm đan đậy hộp kỹ thuật tầng mái, áp mái</v>
          </cell>
          <cell r="C95" t="str">
            <v>CKBTTĐ-01</v>
          </cell>
          <cell r="D95" t="str">
            <v>8h30</v>
          </cell>
          <cell r="E95" t="str">
            <v>9h00</v>
          </cell>
          <cell r="F95">
            <v>12</v>
          </cell>
          <cell r="G95">
            <v>11</v>
          </cell>
          <cell r="H95">
            <v>2015</v>
          </cell>
          <cell r="I95" t="str">
            <v>Hà Nội, ngày 12 tháng 11 năm 2015</v>
          </cell>
          <cell r="J95" t="str">
            <v>8h30 ngày 12 tháng 11 năm 2015</v>
          </cell>
          <cell r="K95" t="str">
            <v>9h00 ngày 12 tháng 11 năm 2015</v>
          </cell>
          <cell r="L95" t="str">
            <v>9h30</v>
          </cell>
          <cell r="M95" t="str">
            <v>10h00</v>
          </cell>
          <cell r="N95">
            <v>12</v>
          </cell>
          <cell r="O95">
            <v>11</v>
          </cell>
          <cell r="P95">
            <v>2015</v>
          </cell>
          <cell r="Q95" t="str">
            <v>Hà Nội, ngày 12 tháng 11 năm 2015</v>
          </cell>
          <cell r="R95" t="str">
            <v>9h30 ngày 12 tháng 11 năm 2015</v>
          </cell>
          <cell r="S95" t="str">
            <v>10h00 ngày 12 tháng 11 năm 2015</v>
          </cell>
          <cell r="T95" t="str">
            <v>9h30</v>
          </cell>
          <cell r="U95" t="str">
            <v>9h30 Ngày 12/11/2015</v>
          </cell>
          <cell r="V95" t="str">
            <v>Nguyễn Ái Việt</v>
          </cell>
          <cell r="W95" t="str">
            <v>Chỉ huy trưởng</v>
          </cell>
          <cell r="X95" t="str">
            <v>................................</v>
          </cell>
          <cell r="Y95" t="str">
            <v>................................</v>
          </cell>
          <cell r="Z95" t="str">
            <v>Nguyễn Văn Nghiễm</v>
          </cell>
          <cell r="AA95" t="str">
            <v>Cán bộ KCS</v>
          </cell>
          <cell r="AB95" t="str">
            <v>Vương Toàn Hiếu</v>
          </cell>
          <cell r="AC95" t="str">
            <v>Trưởng đoàn TVGS</v>
          </cell>
          <cell r="AD95" t="str">
            <v>Lê Thiều Nam</v>
          </cell>
          <cell r="AE95" t="str">
            <v>Cán bộ TVGS</v>
          </cell>
          <cell r="AF95" t="str">
            <v>................................</v>
          </cell>
          <cell r="AG95" t="str">
            <v>................................</v>
          </cell>
          <cell r="AH95" t="str">
            <v>Nguyễn Ái Việt</v>
          </cell>
          <cell r="AI95" t="str">
            <v>Chỉ huy trưởng</v>
          </cell>
          <cell r="AJ95" t="str">
            <v>Hoàng Chiến Thắng</v>
          </cell>
          <cell r="AK95" t="str">
            <v>P. Chỉ huy trưởng</v>
          </cell>
          <cell r="AL95" t="str">
            <v>Trịnh Quang Đức</v>
          </cell>
          <cell r="AM95" t="str">
            <v>Cán bộ kỹ thuật</v>
          </cell>
          <cell r="AN95" t="str">
            <v>KC-BS-03</v>
          </cell>
          <cell r="AQ95" t="str">
            <v>Ngày 12 Tháng 11 Năm 2015</v>
          </cell>
        </row>
        <row r="96">
          <cell r="A96" t="str">
            <v>LDTĐ-01</v>
          </cell>
          <cell r="B96" t="str">
            <v>Lắp dựng tấm đan đậy hộp kỹ thuật tầng mái, áp mái</v>
          </cell>
          <cell r="C96" t="str">
            <v>LDTĐ-01</v>
          </cell>
          <cell r="D96" t="str">
            <v>9h00</v>
          </cell>
          <cell r="E96" t="str">
            <v>9h30</v>
          </cell>
          <cell r="F96">
            <v>23</v>
          </cell>
          <cell r="G96">
            <v>10</v>
          </cell>
          <cell r="H96">
            <v>2015</v>
          </cell>
          <cell r="I96" t="str">
            <v>Hà Nội, ngày 23 tháng 10 năm 2015</v>
          </cell>
          <cell r="J96" t="str">
            <v>9h00 ngày 23 tháng 10 năm 2015</v>
          </cell>
          <cell r="K96" t="str">
            <v>9h30 ngày 23 tháng 10 năm 2015</v>
          </cell>
          <cell r="L96" t="str">
            <v>10h00</v>
          </cell>
          <cell r="M96" t="str">
            <v>10h30</v>
          </cell>
          <cell r="N96">
            <v>23</v>
          </cell>
          <cell r="O96">
            <v>10</v>
          </cell>
          <cell r="P96">
            <v>2015</v>
          </cell>
          <cell r="Q96" t="str">
            <v>Hà Nội, ngày 23 tháng 10 năm 2015</v>
          </cell>
          <cell r="R96" t="str">
            <v>10h00 ngày 23 tháng 10 năm 2015</v>
          </cell>
          <cell r="S96" t="str">
            <v>10h30 ngày 23 tháng 10 năm 2015</v>
          </cell>
          <cell r="T96" t="str">
            <v>10h00</v>
          </cell>
          <cell r="U96" t="str">
            <v>10h00 Ngày 23/10/2015</v>
          </cell>
          <cell r="V96" t="str">
            <v>Nguyễn Ái Việt</v>
          </cell>
          <cell r="W96" t="str">
            <v>Chỉ huy trưởng</v>
          </cell>
          <cell r="X96" t="str">
            <v>................................</v>
          </cell>
          <cell r="Y96" t="str">
            <v>................................</v>
          </cell>
          <cell r="Z96" t="str">
            <v>Nguyễn Văn Nghiễm</v>
          </cell>
          <cell r="AA96" t="str">
            <v>Cán bộ KCS</v>
          </cell>
          <cell r="AB96" t="str">
            <v>Vương Toàn Hiếu</v>
          </cell>
          <cell r="AC96" t="str">
            <v>Trưởng đoàn TVGS</v>
          </cell>
          <cell r="AD96" t="str">
            <v>Lê Thiều Nam</v>
          </cell>
          <cell r="AE96" t="str">
            <v>Cán bộ TVGS</v>
          </cell>
          <cell r="AF96" t="str">
            <v>................................</v>
          </cell>
          <cell r="AG96" t="str">
            <v>................................</v>
          </cell>
          <cell r="AH96" t="str">
            <v>Nguyễn Ái Việt</v>
          </cell>
          <cell r="AI96" t="str">
            <v>Chỉ huy trưởng</v>
          </cell>
          <cell r="AJ96" t="str">
            <v>Hoàng Chiến Thắng</v>
          </cell>
          <cell r="AK96" t="str">
            <v>P. Chỉ huy trưởng</v>
          </cell>
          <cell r="AL96" t="str">
            <v>Trịnh Quang Đức</v>
          </cell>
          <cell r="AM96" t="str">
            <v>Cán bộ kỹ thuật</v>
          </cell>
          <cell r="AN96" t="str">
            <v>KC-BS-03</v>
          </cell>
          <cell r="AQ96" t="str">
            <v>Ngày 23 Tháng 10 Năm 2015</v>
          </cell>
        </row>
        <row r="97">
          <cell r="A97" t="str">
            <v>CKBTDD-01</v>
          </cell>
          <cell r="B97" t="str">
            <v xml:space="preserve">Cấu kiện bê tông bản, dầm đường dốc DD1, DD2, DD3 </v>
          </cell>
          <cell r="C97" t="str">
            <v>CKBTDD-01</v>
          </cell>
          <cell r="D97" t="str">
            <v>8h00</v>
          </cell>
          <cell r="E97" t="str">
            <v>8h30</v>
          </cell>
          <cell r="F97">
            <v>30</v>
          </cell>
          <cell r="G97">
            <v>11</v>
          </cell>
          <cell r="H97">
            <v>2015</v>
          </cell>
          <cell r="I97" t="str">
            <v>Hà Nội, ngày 30 tháng 11 năm 2015</v>
          </cell>
          <cell r="J97" t="str">
            <v>8h00 ngày 30 tháng 11 năm 2015</v>
          </cell>
          <cell r="K97" t="str">
            <v>8h30 ngày 30 tháng 11 năm 2015</v>
          </cell>
          <cell r="L97" t="str">
            <v>9h00</v>
          </cell>
          <cell r="M97" t="str">
            <v>9h30</v>
          </cell>
          <cell r="N97">
            <v>30</v>
          </cell>
          <cell r="O97">
            <v>11</v>
          </cell>
          <cell r="P97">
            <v>2015</v>
          </cell>
          <cell r="Q97" t="str">
            <v>Hà Nội, ngày 30 tháng 11 năm 2015</v>
          </cell>
          <cell r="R97" t="str">
            <v>9h00 ngày 30 tháng 11 năm 2015</v>
          </cell>
          <cell r="S97" t="str">
            <v>9h30 ngày 30 tháng 11 năm 2015</v>
          </cell>
          <cell r="T97" t="str">
            <v>9h00</v>
          </cell>
          <cell r="U97" t="str">
            <v>9h00 Ngày 30/11/2015</v>
          </cell>
          <cell r="V97" t="str">
            <v>Nguyễn Ái Việt</v>
          </cell>
          <cell r="W97" t="str">
            <v>Chỉ huy trưởng</v>
          </cell>
          <cell r="X97" t="str">
            <v>................................</v>
          </cell>
          <cell r="Y97" t="str">
            <v>................................</v>
          </cell>
          <cell r="Z97" t="str">
            <v>Nguyễn Văn Nghiễm</v>
          </cell>
          <cell r="AA97" t="str">
            <v>Cán bộ KCS</v>
          </cell>
          <cell r="AB97" t="str">
            <v>Vương Toàn Hiếu</v>
          </cell>
          <cell r="AC97" t="str">
            <v>Trưởng đoàn TVGS</v>
          </cell>
          <cell r="AD97" t="str">
            <v>Lê Thiều Nam</v>
          </cell>
          <cell r="AE97" t="str">
            <v>Cán bộ TVGS</v>
          </cell>
          <cell r="AF97" t="str">
            <v>................................</v>
          </cell>
          <cell r="AG97" t="str">
            <v>................................</v>
          </cell>
          <cell r="AH97" t="str">
            <v>Nguyễn Ái Việt</v>
          </cell>
          <cell r="AI97" t="str">
            <v>Chỉ huy trưởng</v>
          </cell>
          <cell r="AJ97" t="str">
            <v>Hoàng Chiến Thắng</v>
          </cell>
          <cell r="AK97" t="str">
            <v>P. Chỉ huy trưởng</v>
          </cell>
          <cell r="AL97" t="str">
            <v>Trịnh Quang Đức</v>
          </cell>
          <cell r="AM97" t="str">
            <v>Cán bộ kỹ thuật</v>
          </cell>
          <cell r="AN97" t="str">
            <v>KT-316; KT-317; KC-BS-01; KC-BS-02</v>
          </cell>
          <cell r="AQ97" t="str">
            <v>Ngày 30 Tháng 11 Năm 2015</v>
          </cell>
        </row>
        <row r="98">
          <cell r="A98" t="str">
            <v>ĐMNT1-01</v>
          </cell>
          <cell r="B98" t="str">
            <v>Đánh mặt nền nhà để xe tầng 01</v>
          </cell>
          <cell r="C98" t="str">
            <v>ĐMNT1-01</v>
          </cell>
          <cell r="D98" t="str">
            <v>8h00</v>
          </cell>
          <cell r="E98" t="str">
            <v>8h45</v>
          </cell>
          <cell r="F98">
            <v>1</v>
          </cell>
          <cell r="G98">
            <v>11</v>
          </cell>
          <cell r="H98">
            <v>2015</v>
          </cell>
          <cell r="I98" t="str">
            <v>Hà Nội, ngày 1 tháng 11 năm 2015</v>
          </cell>
          <cell r="J98" t="str">
            <v>8h00 ngày 1 tháng 11 năm 2015</v>
          </cell>
          <cell r="K98" t="str">
            <v>8h45 ngày 1 tháng 11 năm 2015</v>
          </cell>
          <cell r="L98" t="str">
            <v>9h00</v>
          </cell>
          <cell r="M98" t="str">
            <v>9h45</v>
          </cell>
          <cell r="N98">
            <v>1</v>
          </cell>
          <cell r="O98">
            <v>11</v>
          </cell>
          <cell r="P98">
            <v>2015</v>
          </cell>
          <cell r="Q98" t="str">
            <v>Hà Nội, ngày 1 tháng 11 năm 2015</v>
          </cell>
          <cell r="R98" t="str">
            <v>9h00 ngày 1 tháng 11 năm 2015</v>
          </cell>
          <cell r="S98" t="str">
            <v>9h45 ngày 1 tháng 11 năm 2015</v>
          </cell>
          <cell r="T98" t="str">
            <v>9h00</v>
          </cell>
          <cell r="U98" t="str">
            <v>9h00 Ngày 1/11/2015</v>
          </cell>
          <cell r="V98" t="str">
            <v>Nguyễn Ái Việt</v>
          </cell>
          <cell r="W98" t="str">
            <v>Chỉ huy trưởng</v>
          </cell>
          <cell r="X98" t="str">
            <v>................................</v>
          </cell>
          <cell r="Y98" t="str">
            <v>................................</v>
          </cell>
          <cell r="Z98" t="str">
            <v>Nguyễn Văn Nghiễm</v>
          </cell>
          <cell r="AA98" t="str">
            <v>Cán bộ KCS</v>
          </cell>
          <cell r="AB98" t="str">
            <v>Vương Toàn Hiếu</v>
          </cell>
          <cell r="AC98" t="str">
            <v>Trưởng đoàn TVGS</v>
          </cell>
          <cell r="AD98" t="str">
            <v>Lê Thiều Nam</v>
          </cell>
          <cell r="AE98" t="str">
            <v>Cán bộ TVGS</v>
          </cell>
          <cell r="AF98" t="str">
            <v>................................</v>
          </cell>
          <cell r="AG98" t="str">
            <v>................................</v>
          </cell>
          <cell r="AH98" t="str">
            <v>Nguyễn Ái Việt</v>
          </cell>
          <cell r="AI98" t="str">
            <v>Chỉ huy trưởng</v>
          </cell>
          <cell r="AJ98" t="str">
            <v>Hoàng Chiến Thắng</v>
          </cell>
          <cell r="AK98" t="str">
            <v>P. Chỉ huy trưởng</v>
          </cell>
          <cell r="AL98" t="str">
            <v>Trịnh Quang Đức</v>
          </cell>
          <cell r="AM98" t="str">
            <v>Cán bộ kỹ thuật</v>
          </cell>
          <cell r="AN98" t="str">
            <v xml:space="preserve"> </v>
          </cell>
          <cell r="AQ98" t="str">
            <v>Ngày 1 Tháng 11 Năm 2015</v>
          </cell>
        </row>
        <row r="99">
          <cell r="A99" t="str">
            <v>ĐMNT1-02</v>
          </cell>
          <cell r="B99" t="str">
            <v>Đánh mặt bê tông nền tầng 02</v>
          </cell>
          <cell r="C99" t="str">
            <v>ĐMNT1-02</v>
          </cell>
          <cell r="D99" t="str">
            <v>8h15</v>
          </cell>
          <cell r="E99" t="str">
            <v>9h15</v>
          </cell>
          <cell r="F99">
            <v>17</v>
          </cell>
          <cell r="G99">
            <v>10</v>
          </cell>
          <cell r="H99">
            <v>2015</v>
          </cell>
          <cell r="I99" t="str">
            <v>Hà Nội, ngày 17 tháng 10 năm 2015</v>
          </cell>
          <cell r="J99" t="str">
            <v>8h15 ngày 17 tháng 10 năm 2015</v>
          </cell>
          <cell r="K99" t="str">
            <v>9h15 ngày 17 tháng 10 năm 2015</v>
          </cell>
          <cell r="L99" t="str">
            <v>10h15</v>
          </cell>
          <cell r="M99" t="str">
            <v>11h15</v>
          </cell>
          <cell r="N99">
            <v>17</v>
          </cell>
          <cell r="O99">
            <v>10</v>
          </cell>
          <cell r="P99">
            <v>2015</v>
          </cell>
          <cell r="Q99" t="str">
            <v>Hà Nội, ngày 17 tháng 10 năm 2015</v>
          </cell>
          <cell r="R99" t="str">
            <v>10h15 ngày 17 tháng 10 năm 2015</v>
          </cell>
          <cell r="S99" t="str">
            <v>11h15 ngày 17 tháng 10 năm 2015</v>
          </cell>
          <cell r="T99" t="str">
            <v>10h15</v>
          </cell>
          <cell r="U99" t="str">
            <v>10h15 Ngày 17/10/2015</v>
          </cell>
          <cell r="V99" t="str">
            <v>Nguyễn Ái Việt</v>
          </cell>
          <cell r="W99" t="str">
            <v>Chỉ huy trưởng</v>
          </cell>
          <cell r="X99" t="str">
            <v>................................</v>
          </cell>
          <cell r="Y99" t="str">
            <v>................................</v>
          </cell>
          <cell r="Z99" t="str">
            <v>Nguyễn Văn Nghiễm</v>
          </cell>
          <cell r="AA99" t="str">
            <v>Cán bộ KCS</v>
          </cell>
          <cell r="AB99" t="str">
            <v>Vương Toàn Hiếu</v>
          </cell>
          <cell r="AC99" t="str">
            <v>Trưởng đoàn TVGS</v>
          </cell>
          <cell r="AD99" t="str">
            <v>Lê Thiều Nam</v>
          </cell>
          <cell r="AE99" t="str">
            <v>Cán bộ TVGS</v>
          </cell>
          <cell r="AF99" t="str">
            <v>................................</v>
          </cell>
          <cell r="AG99" t="str">
            <v>................................</v>
          </cell>
          <cell r="AH99" t="str">
            <v>Nguyễn Ái Việt</v>
          </cell>
          <cell r="AI99" t="str">
            <v>Chỉ huy trưởng</v>
          </cell>
          <cell r="AJ99" t="str">
            <v>Hoàng Chiến Thắng</v>
          </cell>
          <cell r="AK99" t="str">
            <v>P. Chỉ huy trưởng</v>
          </cell>
          <cell r="AL99" t="str">
            <v>Trịnh Quang Đức</v>
          </cell>
          <cell r="AM99" t="str">
            <v>Cán bộ kỹ thuật</v>
          </cell>
          <cell r="AN99" t="str">
            <v>KT-102DC</v>
          </cell>
          <cell r="AQ99" t="str">
            <v>Ngày 17 Tháng 10 Năm 2015</v>
          </cell>
        </row>
        <row r="100">
          <cell r="A100" t="str">
            <v>CKBTGT2-01</v>
          </cell>
          <cell r="B100" t="str">
            <v>Cấu kiện bê tông giằng chân lan can hành lang tầng 02</v>
          </cell>
          <cell r="C100" t="str">
            <v>CKBTGT2-01</v>
          </cell>
          <cell r="D100" t="str">
            <v>8h00</v>
          </cell>
          <cell r="E100" t="str">
            <v>8h30</v>
          </cell>
          <cell r="F100">
            <v>30</v>
          </cell>
          <cell r="G100">
            <v>11</v>
          </cell>
          <cell r="H100">
            <v>2015</v>
          </cell>
          <cell r="I100" t="str">
            <v>Hà Nội, ngày 30 tháng 11 năm 2015</v>
          </cell>
          <cell r="J100" t="str">
            <v>8h00 ngày 30 tháng 11 năm 2015</v>
          </cell>
          <cell r="K100" t="str">
            <v>8h30 ngày 30 tháng 11 năm 2015</v>
          </cell>
          <cell r="L100" t="str">
            <v>9h00</v>
          </cell>
          <cell r="M100" t="str">
            <v>9h30</v>
          </cell>
          <cell r="N100">
            <v>30</v>
          </cell>
          <cell r="O100">
            <v>11</v>
          </cell>
          <cell r="P100">
            <v>2015</v>
          </cell>
          <cell r="Q100" t="str">
            <v>Hà Nội, ngày 30 tháng 11 năm 2015</v>
          </cell>
          <cell r="R100" t="str">
            <v>9h00 ngày 30 tháng 11 năm 2015</v>
          </cell>
          <cell r="S100" t="str">
            <v>9h30 ngày 30 tháng 11 năm 2015</v>
          </cell>
          <cell r="T100" t="str">
            <v>9h00</v>
          </cell>
          <cell r="U100" t="str">
            <v>9h00 Ngày 30/11/2015</v>
          </cell>
          <cell r="V100" t="str">
            <v>Nguyễn Ái Việt</v>
          </cell>
          <cell r="W100" t="str">
            <v>Chỉ huy trưởng</v>
          </cell>
          <cell r="X100" t="str">
            <v>................................</v>
          </cell>
          <cell r="Y100" t="str">
            <v>................................</v>
          </cell>
          <cell r="Z100" t="str">
            <v>Nguyễn Văn Nghiễm</v>
          </cell>
          <cell r="AA100" t="str">
            <v>Cán bộ KCS</v>
          </cell>
          <cell r="AB100" t="str">
            <v>Vương Toàn Hiếu</v>
          </cell>
          <cell r="AC100" t="str">
            <v>Trưởng đoàn TVGS</v>
          </cell>
          <cell r="AD100" t="str">
            <v>Lê Thiều Nam</v>
          </cell>
          <cell r="AE100" t="str">
            <v>Cán bộ TVGS</v>
          </cell>
          <cell r="AF100" t="str">
            <v>................................</v>
          </cell>
          <cell r="AG100" t="str">
            <v>................................</v>
          </cell>
          <cell r="AH100" t="str">
            <v>Nguyễn Ái Việt</v>
          </cell>
          <cell r="AI100" t="str">
            <v>Chỉ huy trưởng</v>
          </cell>
          <cell r="AJ100" t="str">
            <v>Hoàng Chiến Thắng</v>
          </cell>
          <cell r="AK100" t="str">
            <v>P. Chỉ huy trưởng</v>
          </cell>
          <cell r="AL100" t="str">
            <v>Trịnh Quang Đức</v>
          </cell>
          <cell r="AM100" t="str">
            <v>Cán bộ kỹ thuật</v>
          </cell>
          <cell r="AN100" t="str">
            <v>KC-03BS; KC-04BS</v>
          </cell>
          <cell r="AQ100" t="str">
            <v>Ngày 30 Tháng 11 Năm 2015</v>
          </cell>
        </row>
        <row r="101">
          <cell r="H101">
            <v>2015</v>
          </cell>
          <cell r="I101" t="str">
            <v>Hà Nội, ngày  tháng  năm 2015</v>
          </cell>
          <cell r="J101" t="str">
            <v xml:space="preserve"> ngày  tháng  năm 2015</v>
          </cell>
          <cell r="K101" t="str">
            <v xml:space="preserve"> ngày 0 tháng 0 năm 2015</v>
          </cell>
          <cell r="L101" t="str">
            <v>10h00</v>
          </cell>
          <cell r="M101" t="str">
            <v>10h30</v>
          </cell>
          <cell r="N101">
            <v>0</v>
          </cell>
          <cell r="O101">
            <v>0</v>
          </cell>
          <cell r="P101">
            <v>2015</v>
          </cell>
          <cell r="Q101" t="str">
            <v>Hà Nội, ngày 0 tháng 0 năm 2015</v>
          </cell>
          <cell r="R101" t="str">
            <v>10h00 ngày  tháng  năm 2015</v>
          </cell>
          <cell r="S101" t="str">
            <v>10h30 ngày 0 tháng 0 năm 2015</v>
          </cell>
          <cell r="T101" t="str">
            <v>10h00</v>
          </cell>
          <cell r="U101" t="str">
            <v>10h00 Ngày //2015</v>
          </cell>
          <cell r="V101" t="str">
            <v>Nguyễn Ái Việt</v>
          </cell>
          <cell r="W101" t="str">
            <v>Chỉ huy trưởng</v>
          </cell>
          <cell r="X101" t="str">
            <v>................................</v>
          </cell>
          <cell r="Y101" t="str">
            <v>................................</v>
          </cell>
          <cell r="Z101" t="str">
            <v>Nguyễn Văn Nghiễm</v>
          </cell>
          <cell r="AA101" t="str">
            <v>Cán bộ KCS</v>
          </cell>
          <cell r="AB101" t="str">
            <v>Vương Toàn Hiếu</v>
          </cell>
          <cell r="AC101" t="str">
            <v>Trưởng đoàn TVGS</v>
          </cell>
          <cell r="AD101" t="str">
            <v>Lê Thiều Nam</v>
          </cell>
          <cell r="AE101" t="str">
            <v>Cán bộ TVGS</v>
          </cell>
          <cell r="AF101" t="str">
            <v>................................</v>
          </cell>
          <cell r="AG101" t="str">
            <v>................................</v>
          </cell>
          <cell r="AH101" t="str">
            <v>Nguyễn Ái Việt</v>
          </cell>
          <cell r="AI101" t="str">
            <v>Chỉ huy trưởng</v>
          </cell>
          <cell r="AJ101" t="str">
            <v>Hoàng Chiến Thắng</v>
          </cell>
          <cell r="AK101" t="str">
            <v>P. Chỉ huy trưởng</v>
          </cell>
          <cell r="AL101" t="str">
            <v>Trịnh Quang Đức</v>
          </cell>
          <cell r="AM101" t="str">
            <v>Cán bộ kỹ thuật</v>
          </cell>
          <cell r="AQ101" t="str">
            <v>Ngày  Tháng  Năm 2015</v>
          </cell>
        </row>
        <row r="102">
          <cell r="A102" t="str">
            <v>CKBTLT-00</v>
          </cell>
          <cell r="B102" t="str">
            <v>Cấu kiện bê tông lanh tô tầng 01, 02</v>
          </cell>
          <cell r="C102" t="str">
            <v>CKBTLT-00</v>
          </cell>
          <cell r="D102" t="str">
            <v>15h00</v>
          </cell>
          <cell r="E102" t="str">
            <v>15h30</v>
          </cell>
          <cell r="F102">
            <v>8</v>
          </cell>
          <cell r="G102">
            <v>5</v>
          </cell>
          <cell r="H102">
            <v>2015</v>
          </cell>
          <cell r="I102" t="str">
            <v>Hà Nội, ngày 8 tháng 5 năm 2015</v>
          </cell>
          <cell r="J102" t="str">
            <v>15h00 ngày 8 tháng 5 năm 2015</v>
          </cell>
          <cell r="K102" t="str">
            <v>15h30 ngày 8 tháng 5 năm 2015</v>
          </cell>
          <cell r="L102" t="str">
            <v>16h00</v>
          </cell>
          <cell r="M102" t="str">
            <v>16h30</v>
          </cell>
          <cell r="N102">
            <v>8</v>
          </cell>
          <cell r="O102">
            <v>5</v>
          </cell>
          <cell r="P102">
            <v>2015</v>
          </cell>
          <cell r="Q102" t="str">
            <v>Hà Nội, ngày 8 tháng 5 năm 2015</v>
          </cell>
          <cell r="R102" t="str">
            <v>16h00 ngày 8 tháng 5 năm 2015</v>
          </cell>
          <cell r="S102" t="str">
            <v>16h30 ngày 8 tháng 5 năm 2015</v>
          </cell>
          <cell r="T102" t="str">
            <v>16h00</v>
          </cell>
          <cell r="U102" t="str">
            <v>16h00 Ngày 8/5/2015</v>
          </cell>
          <cell r="V102" t="str">
            <v>Nguyễn Ái Việt</v>
          </cell>
          <cell r="W102" t="str">
            <v>Chỉ huy trưởng</v>
          </cell>
          <cell r="X102" t="str">
            <v>................................</v>
          </cell>
          <cell r="Y102" t="str">
            <v>................................</v>
          </cell>
          <cell r="Z102" t="str">
            <v>Nguyễn Văn Nghiễm</v>
          </cell>
          <cell r="AA102" t="str">
            <v>Cán bộ KCS</v>
          </cell>
          <cell r="AB102" t="str">
            <v>Vương Toàn Hiếu</v>
          </cell>
          <cell r="AC102" t="str">
            <v>Trưởng đoàn TVGS</v>
          </cell>
          <cell r="AD102" t="str">
            <v>Lê Thiều Nam</v>
          </cell>
          <cell r="AE102" t="str">
            <v>Cán bộ TVGS</v>
          </cell>
          <cell r="AF102" t="str">
            <v>................................</v>
          </cell>
          <cell r="AG102" t="str">
            <v>................................</v>
          </cell>
          <cell r="AH102" t="str">
            <v>Nguyễn Ái Việt</v>
          </cell>
          <cell r="AI102" t="str">
            <v>Chỉ huy trưởng</v>
          </cell>
          <cell r="AJ102" t="str">
            <v>Hoàng Chiến Thắng</v>
          </cell>
          <cell r="AK102" t="str">
            <v>P. Chỉ huy trưởng</v>
          </cell>
          <cell r="AL102" t="str">
            <v>Trịnh Quang Đức</v>
          </cell>
          <cell r="AM102" t="str">
            <v>Cán bộ kỹ thuật</v>
          </cell>
          <cell r="AN102" t="str">
            <v>KC-00</v>
          </cell>
          <cell r="AQ102" t="str">
            <v>Ngày 8 Tháng 5 Năm 2015</v>
          </cell>
        </row>
        <row r="103">
          <cell r="A103" t="str">
            <v>CKBTLT-01</v>
          </cell>
          <cell r="B103" t="str">
            <v>-Cấu kiện bê tông lanh tô tầng 3, tầng 4, tầng 5</v>
          </cell>
          <cell r="C103" t="str">
            <v>CKBTLT-01</v>
          </cell>
          <cell r="D103" t="str">
            <v>14h00</v>
          </cell>
          <cell r="E103" t="str">
            <v>14h30</v>
          </cell>
          <cell r="F103">
            <v>10</v>
          </cell>
          <cell r="G103">
            <v>7</v>
          </cell>
          <cell r="H103">
            <v>2015</v>
          </cell>
          <cell r="I103" t="str">
            <v>Hà Nội, ngày 10 tháng 7 năm 2015</v>
          </cell>
          <cell r="J103" t="str">
            <v>14h00 ngày 10 tháng 7 năm 2015</v>
          </cell>
          <cell r="K103" t="str">
            <v>14h30 ngày 26 tháng 7 năm 2015</v>
          </cell>
          <cell r="L103" t="str">
            <v>14h30</v>
          </cell>
          <cell r="M103" t="str">
            <v>15h00</v>
          </cell>
          <cell r="N103">
            <v>26</v>
          </cell>
          <cell r="O103">
            <v>7</v>
          </cell>
          <cell r="P103">
            <v>2015</v>
          </cell>
          <cell r="Q103" t="str">
            <v>Hà Nội, ngày 26 tháng 7 năm 2015</v>
          </cell>
          <cell r="R103" t="str">
            <v>14h30 ngày 10 tháng 7 năm 2015</v>
          </cell>
          <cell r="S103" t="str">
            <v>15h00 ngày 26 tháng 7 năm 2015</v>
          </cell>
          <cell r="T103" t="str">
            <v>14h30</v>
          </cell>
          <cell r="U103" t="str">
            <v>14h30 Ngày 10/7/2015</v>
          </cell>
          <cell r="V103" t="str">
            <v>Nguyễn Ái Việt</v>
          </cell>
          <cell r="W103" t="str">
            <v>Chỉ huy trưởng</v>
          </cell>
          <cell r="X103" t="str">
            <v>................................</v>
          </cell>
          <cell r="Y103" t="str">
            <v>................................</v>
          </cell>
          <cell r="Z103" t="str">
            <v>Nguyễn Văn Nghiễm</v>
          </cell>
          <cell r="AA103" t="str">
            <v>Cán bộ KCS</v>
          </cell>
          <cell r="AB103" t="str">
            <v>Vương Toàn Hiếu</v>
          </cell>
          <cell r="AC103" t="str">
            <v>Trưởng đoàn TVGS</v>
          </cell>
          <cell r="AD103" t="str">
            <v>Lê Thiều Nam</v>
          </cell>
          <cell r="AE103" t="str">
            <v>Cán bộ TVGS</v>
          </cell>
          <cell r="AF103" t="str">
            <v>................................</v>
          </cell>
          <cell r="AG103" t="str">
            <v>................................</v>
          </cell>
          <cell r="AH103" t="str">
            <v>Nguyễn Ái Việt</v>
          </cell>
          <cell r="AI103" t="str">
            <v>Chỉ huy trưởng</v>
          </cell>
          <cell r="AJ103" t="str">
            <v>Hoàng Chiến Thắng</v>
          </cell>
          <cell r="AK103" t="str">
            <v>P. Chỉ huy trưởng</v>
          </cell>
          <cell r="AL103" t="str">
            <v>Trịnh Quang Đức</v>
          </cell>
          <cell r="AM103" t="str">
            <v>Cán bộ kỹ thuật</v>
          </cell>
          <cell r="AN103" t="str">
            <v>KC-00</v>
          </cell>
          <cell r="AQ103" t="str">
            <v>Ngày 10 Tháng 7 Năm 2015</v>
          </cell>
        </row>
        <row r="104">
          <cell r="A104" t="str">
            <v>CKBTLT-02</v>
          </cell>
          <cell r="B104" t="str">
            <v>-Cấu kiện bê tông lanh tô tầng 6, tầng 7, tầng 8</v>
          </cell>
          <cell r="C104" t="str">
            <v>CKBTLT-02</v>
          </cell>
          <cell r="D104" t="str">
            <v>15h00</v>
          </cell>
          <cell r="E104" t="str">
            <v>16h00</v>
          </cell>
          <cell r="F104">
            <v>12</v>
          </cell>
          <cell r="G104">
            <v>8</v>
          </cell>
          <cell r="H104">
            <v>2015</v>
          </cell>
          <cell r="I104" t="str">
            <v>Hà Nội, ngày 12 tháng 8 năm 2015</v>
          </cell>
          <cell r="J104" t="str">
            <v>15h00 ngày 12 tháng 8 năm 2015</v>
          </cell>
          <cell r="K104" t="str">
            <v>16h00 ngày 20 tháng 8 năm 2015</v>
          </cell>
          <cell r="L104" t="str">
            <v>15h30</v>
          </cell>
          <cell r="M104" t="str">
            <v>16h30</v>
          </cell>
          <cell r="N104">
            <v>20</v>
          </cell>
          <cell r="O104">
            <v>8</v>
          </cell>
          <cell r="P104">
            <v>2015</v>
          </cell>
          <cell r="Q104" t="str">
            <v>Hà Nội, ngày 20 tháng 8 năm 2015</v>
          </cell>
          <cell r="R104" t="str">
            <v>15h30 ngày 12 tháng 8 năm 2015</v>
          </cell>
          <cell r="S104" t="str">
            <v>16h30 ngày 20 tháng 8 năm 2015</v>
          </cell>
          <cell r="T104" t="str">
            <v>15h30</v>
          </cell>
          <cell r="U104" t="str">
            <v>15h30 Ngày 12/8/2015</v>
          </cell>
          <cell r="V104" t="str">
            <v>Nguyễn Ái Việt</v>
          </cell>
          <cell r="W104" t="str">
            <v>Chỉ huy trưởng</v>
          </cell>
          <cell r="X104" t="str">
            <v>................................</v>
          </cell>
          <cell r="Y104" t="str">
            <v>................................</v>
          </cell>
          <cell r="Z104" t="str">
            <v>Nguyễn Văn Nghiễm</v>
          </cell>
          <cell r="AA104" t="str">
            <v>Cán bộ KCS</v>
          </cell>
          <cell r="AB104" t="str">
            <v>Vương Toàn Hiếu</v>
          </cell>
          <cell r="AC104" t="str">
            <v>Trưởng đoàn TVGS</v>
          </cell>
          <cell r="AD104" t="str">
            <v>Lê Thiều Nam</v>
          </cell>
          <cell r="AE104" t="str">
            <v>Cán bộ TVGS</v>
          </cell>
          <cell r="AF104" t="str">
            <v>................................</v>
          </cell>
          <cell r="AG104" t="str">
            <v>................................</v>
          </cell>
          <cell r="AH104" t="str">
            <v>Nguyễn Ái Việt</v>
          </cell>
          <cell r="AI104" t="str">
            <v>Chỉ huy trưởng</v>
          </cell>
          <cell r="AJ104" t="str">
            <v>Hoàng Chiến Thắng</v>
          </cell>
          <cell r="AK104" t="str">
            <v>P. Chỉ huy trưởng</v>
          </cell>
          <cell r="AL104" t="str">
            <v>Trịnh Quang Đức</v>
          </cell>
          <cell r="AM104" t="str">
            <v>Cán bộ kỹ thuật</v>
          </cell>
          <cell r="AN104" t="str">
            <v>KC-00</v>
          </cell>
          <cell r="AQ104" t="str">
            <v>Ngày 12 Tháng 8 Năm 2015</v>
          </cell>
        </row>
        <row r="105">
          <cell r="A105" t="str">
            <v>CKBTLT-03</v>
          </cell>
          <cell r="B105" t="str">
            <v>-Cấu kiện bê tông lanh tô tầng 9, tầng 10, tầng 11</v>
          </cell>
          <cell r="C105" t="str">
            <v>CKBTLT-03</v>
          </cell>
          <cell r="D105" t="str">
            <v>14h30</v>
          </cell>
          <cell r="E105" t="str">
            <v>15h00</v>
          </cell>
          <cell r="F105">
            <v>25</v>
          </cell>
          <cell r="G105">
            <v>8</v>
          </cell>
          <cell r="H105">
            <v>2015</v>
          </cell>
          <cell r="I105" t="str">
            <v>Hà Nội, ngày 25 tháng 8 năm 2015</v>
          </cell>
          <cell r="J105" t="str">
            <v>14h30 ngày 25 tháng 8 năm 2015</v>
          </cell>
          <cell r="K105" t="str">
            <v>15h00 ngày 7 tháng 9 năm 2015</v>
          </cell>
          <cell r="L105" t="str">
            <v>15h00</v>
          </cell>
          <cell r="M105" t="str">
            <v>15h30</v>
          </cell>
          <cell r="N105">
            <v>7</v>
          </cell>
          <cell r="O105">
            <v>9</v>
          </cell>
          <cell r="P105">
            <v>2015</v>
          </cell>
          <cell r="Q105" t="str">
            <v>Hà Nội, ngày 7 tháng 9 năm 2015</v>
          </cell>
          <cell r="R105" t="str">
            <v>15h00 ngày 25 tháng 8 năm 2015</v>
          </cell>
          <cell r="S105" t="str">
            <v>15h30 ngày 7 tháng 9 năm 2015</v>
          </cell>
          <cell r="T105" t="str">
            <v>15h00</v>
          </cell>
          <cell r="U105" t="str">
            <v>15h00 Ngày 25/8/2015</v>
          </cell>
          <cell r="V105" t="str">
            <v>Nguyễn Ái Việt</v>
          </cell>
          <cell r="W105" t="str">
            <v>Chỉ huy trưởng</v>
          </cell>
          <cell r="X105" t="str">
            <v>................................</v>
          </cell>
          <cell r="Y105" t="str">
            <v>................................</v>
          </cell>
          <cell r="Z105" t="str">
            <v>Nguyễn Văn Nghiễm</v>
          </cell>
          <cell r="AA105" t="str">
            <v>Cán bộ KCS</v>
          </cell>
          <cell r="AB105" t="str">
            <v>Vương Toàn Hiếu</v>
          </cell>
          <cell r="AC105" t="str">
            <v>Trưởng đoàn TVGS</v>
          </cell>
          <cell r="AD105" t="str">
            <v>Lê Thiều Nam</v>
          </cell>
          <cell r="AE105" t="str">
            <v>Cán bộ TVGS</v>
          </cell>
          <cell r="AF105" t="str">
            <v>................................</v>
          </cell>
          <cell r="AG105" t="str">
            <v>................................</v>
          </cell>
          <cell r="AH105" t="str">
            <v>Nguyễn Ái Việt</v>
          </cell>
          <cell r="AI105" t="str">
            <v>Chỉ huy trưởng</v>
          </cell>
          <cell r="AJ105" t="str">
            <v>Hoàng Chiến Thắng</v>
          </cell>
          <cell r="AK105" t="str">
            <v>P. Chỉ huy trưởng</v>
          </cell>
          <cell r="AL105" t="str">
            <v>Trịnh Quang Đức</v>
          </cell>
          <cell r="AM105" t="str">
            <v>Cán bộ kỹ thuật</v>
          </cell>
          <cell r="AN105" t="str">
            <v>KC-00</v>
          </cell>
          <cell r="AQ105" t="str">
            <v>Ngày 25 Tháng 8 Năm 2015</v>
          </cell>
        </row>
        <row r="106">
          <cell r="A106" t="str">
            <v>CKBTLT-04</v>
          </cell>
          <cell r="B106" t="str">
            <v>-Cấu kiện bê tông lanh tô tầng áp mái</v>
          </cell>
          <cell r="C106" t="str">
            <v>CKBTLT-04</v>
          </cell>
          <cell r="D106" t="str">
            <v>14h00</v>
          </cell>
          <cell r="E106" t="str">
            <v>14h30</v>
          </cell>
          <cell r="F106">
            <v>11</v>
          </cell>
          <cell r="G106">
            <v>9</v>
          </cell>
          <cell r="H106">
            <v>2015</v>
          </cell>
          <cell r="I106" t="str">
            <v>Hà Nội, ngày 11 tháng 9 năm 2015</v>
          </cell>
          <cell r="J106" t="str">
            <v>14h00 ngày 11 tháng 9 năm 2015</v>
          </cell>
          <cell r="K106" t="str">
            <v>14h30 ngày 11 tháng 9 năm 2015</v>
          </cell>
          <cell r="L106" t="str">
            <v>14h30</v>
          </cell>
          <cell r="M106" t="str">
            <v>15h00</v>
          </cell>
          <cell r="N106">
            <v>11</v>
          </cell>
          <cell r="O106">
            <v>9</v>
          </cell>
          <cell r="P106">
            <v>2015</v>
          </cell>
          <cell r="Q106" t="str">
            <v>Hà Nội, ngày 11 tháng 9 năm 2015</v>
          </cell>
          <cell r="R106" t="str">
            <v>14h30 ngày 11 tháng 9 năm 2015</v>
          </cell>
          <cell r="S106" t="str">
            <v>15h00 ngày 11 tháng 9 năm 2015</v>
          </cell>
          <cell r="T106" t="str">
            <v>14h30</v>
          </cell>
          <cell r="U106" t="str">
            <v>14h30 Ngày 11/9/2015</v>
          </cell>
          <cell r="V106" t="str">
            <v>Nguyễn Ái Việt</v>
          </cell>
          <cell r="W106" t="str">
            <v>Chỉ huy trưởng</v>
          </cell>
          <cell r="X106" t="str">
            <v>................................</v>
          </cell>
          <cell r="Y106" t="str">
            <v>................................</v>
          </cell>
          <cell r="Z106" t="str">
            <v>Nguyễn Văn Nghiễm</v>
          </cell>
          <cell r="AA106" t="str">
            <v>Cán bộ KCS</v>
          </cell>
          <cell r="AB106" t="str">
            <v>Vương Toàn Hiếu</v>
          </cell>
          <cell r="AC106" t="str">
            <v>Trưởng đoàn TVGS</v>
          </cell>
          <cell r="AD106" t="str">
            <v>Lê Thiều Nam</v>
          </cell>
          <cell r="AE106" t="str">
            <v>Cán bộ TVGS</v>
          </cell>
          <cell r="AF106" t="str">
            <v>................................</v>
          </cell>
          <cell r="AG106" t="str">
            <v>................................</v>
          </cell>
          <cell r="AH106" t="str">
            <v>Nguyễn Ái Việt</v>
          </cell>
          <cell r="AI106" t="str">
            <v>Chỉ huy trưởng</v>
          </cell>
          <cell r="AJ106" t="str">
            <v>Hoàng Chiến Thắng</v>
          </cell>
          <cell r="AK106" t="str">
            <v>P. Chỉ huy trưởng</v>
          </cell>
          <cell r="AL106" t="str">
            <v>Trịnh Quang Đức</v>
          </cell>
          <cell r="AM106" t="str">
            <v>Cán bộ kỹ thuật</v>
          </cell>
          <cell r="AN106" t="str">
            <v>KC-00</v>
          </cell>
          <cell r="AQ106" t="str">
            <v>Ngày 11 Tháng 9 Năm 2015</v>
          </cell>
        </row>
        <row r="107">
          <cell r="V107" t="str">
            <v>Nguyễn Ái Việt</v>
          </cell>
          <cell r="W107" t="str">
            <v>Chỉ huy trưởng</v>
          </cell>
          <cell r="X107" t="str">
            <v>................................</v>
          </cell>
          <cell r="Y107" t="str">
            <v>................................</v>
          </cell>
          <cell r="Z107" t="str">
            <v>Nguyễn Văn Nghiễm</v>
          </cell>
          <cell r="AA107" t="str">
            <v>Cán bộ KCS</v>
          </cell>
          <cell r="AB107" t="str">
            <v>Vương Toàn Hiếu</v>
          </cell>
          <cell r="AC107" t="str">
            <v>Trưởng đoàn TVGS</v>
          </cell>
          <cell r="AD107" t="str">
            <v>Lê Thiều Nam</v>
          </cell>
          <cell r="AE107" t="str">
            <v>Cán bộ TVGS</v>
          </cell>
          <cell r="AF107" t="str">
            <v>................................</v>
          </cell>
          <cell r="AG107" t="str">
            <v>................................</v>
          </cell>
          <cell r="AH107" t="str">
            <v>Nguyễn Ái Việt</v>
          </cell>
          <cell r="AI107" t="str">
            <v>Chỉ huy trưởng</v>
          </cell>
          <cell r="AJ107" t="str">
            <v>Hoàng Chiến Thắng</v>
          </cell>
          <cell r="AK107" t="str">
            <v>P. Chỉ huy trưởng</v>
          </cell>
          <cell r="AL107" t="str">
            <v>Trịnh Quang Đức</v>
          </cell>
          <cell r="AM107" t="str">
            <v>Cán bộ kỹ thuật</v>
          </cell>
          <cell r="AQ107" t="str">
            <v xml:space="preserve">Ngày  Tháng  Năm </v>
          </cell>
        </row>
        <row r="108">
          <cell r="V108" t="str">
            <v>Nguyễn Ái Việt</v>
          </cell>
          <cell r="W108" t="str">
            <v>Chỉ huy trưởng</v>
          </cell>
          <cell r="X108" t="str">
            <v>................................</v>
          </cell>
          <cell r="Y108" t="str">
            <v>................................</v>
          </cell>
          <cell r="Z108" t="str">
            <v>Nguyễn Văn Nghiễm</v>
          </cell>
          <cell r="AA108" t="str">
            <v>Cán bộ KCS</v>
          </cell>
          <cell r="AB108" t="str">
            <v>Vương Toàn Hiếu</v>
          </cell>
          <cell r="AC108" t="str">
            <v>Trưởng đoàn TVGS</v>
          </cell>
          <cell r="AD108" t="str">
            <v>Lê Thiều Nam</v>
          </cell>
          <cell r="AE108" t="str">
            <v>Cán bộ TVGS</v>
          </cell>
          <cell r="AF108" t="str">
            <v>................................</v>
          </cell>
          <cell r="AG108" t="str">
            <v>................................</v>
          </cell>
          <cell r="AH108" t="str">
            <v>Nguyễn Ái Việt</v>
          </cell>
          <cell r="AI108" t="str">
            <v>Chỉ huy trưởng</v>
          </cell>
          <cell r="AJ108" t="str">
            <v>Hoàng Chiến Thắng</v>
          </cell>
          <cell r="AK108" t="str">
            <v>P. Chỉ huy trưởng</v>
          </cell>
          <cell r="AL108" t="str">
            <v>Trịnh Quang Đức</v>
          </cell>
          <cell r="AM108" t="str">
            <v>Cán bộ kỹ thuật</v>
          </cell>
          <cell r="AQ108" t="str">
            <v xml:space="preserve">Ngày  Tháng  Năm </v>
          </cell>
        </row>
        <row r="109">
          <cell r="V109" t="str">
            <v>Nguyễn Ái Việt</v>
          </cell>
          <cell r="W109" t="str">
            <v>Chỉ huy trưởng</v>
          </cell>
          <cell r="X109" t="str">
            <v>................................</v>
          </cell>
          <cell r="Y109" t="str">
            <v>................................</v>
          </cell>
          <cell r="Z109" t="str">
            <v>Nguyễn Văn Nghiễm</v>
          </cell>
          <cell r="AA109" t="str">
            <v>Cán bộ KCS</v>
          </cell>
          <cell r="AB109" t="str">
            <v>Vương Toàn Hiếu</v>
          </cell>
          <cell r="AC109" t="str">
            <v>Trưởng đoàn TVGS</v>
          </cell>
          <cell r="AD109" t="str">
            <v>Lê Thiều Nam</v>
          </cell>
          <cell r="AE109" t="str">
            <v>Cán bộ TVGS</v>
          </cell>
          <cell r="AF109" t="str">
            <v>................................</v>
          </cell>
          <cell r="AG109" t="str">
            <v>................................</v>
          </cell>
          <cell r="AH109" t="str">
            <v>Nguyễn Ái Việt</v>
          </cell>
          <cell r="AI109" t="str">
            <v>Chỉ huy trưởng</v>
          </cell>
          <cell r="AJ109" t="str">
            <v>Hoàng Chiến Thắng</v>
          </cell>
          <cell r="AK109" t="str">
            <v>P. Chỉ huy trưởng</v>
          </cell>
          <cell r="AL109" t="str">
            <v>Trịnh Quang Đức</v>
          </cell>
          <cell r="AM109" t="str">
            <v>Cán bộ kỹ thuật</v>
          </cell>
          <cell r="AQ109" t="str">
            <v xml:space="preserve">Ngày  Tháng  Năm </v>
          </cell>
        </row>
        <row r="110">
          <cell r="A110" t="str">
            <v>CKBTTB-01</v>
          </cell>
          <cell r="B110" t="str">
            <v>Cấu kiện bê tông thang bộ LT tầng 1</v>
          </cell>
          <cell r="C110" t="str">
            <v>CKBTTB-01</v>
          </cell>
          <cell r="D110" t="str">
            <v>8h00</v>
          </cell>
          <cell r="E110" t="str">
            <v>8h30</v>
          </cell>
          <cell r="F110">
            <v>5</v>
          </cell>
          <cell r="G110">
            <v>4</v>
          </cell>
          <cell r="H110">
            <v>2015</v>
          </cell>
          <cell r="I110" t="str">
            <v>Hà Nội, ngày 5 tháng 4 năm 2015</v>
          </cell>
          <cell r="J110" t="str">
            <v>8h00 ngày 5 tháng 4 năm 2015</v>
          </cell>
          <cell r="K110" t="str">
            <v>8h30 ngày 5 tháng 4 năm 2015</v>
          </cell>
          <cell r="L110" t="str">
            <v>8h30</v>
          </cell>
          <cell r="M110" t="str">
            <v>9h00</v>
          </cell>
          <cell r="N110">
            <v>5</v>
          </cell>
          <cell r="O110">
            <v>4</v>
          </cell>
          <cell r="P110">
            <v>2015</v>
          </cell>
          <cell r="Q110" t="str">
            <v>Hà Nội, ngày 5 tháng 4 năm 2015</v>
          </cell>
          <cell r="R110" t="str">
            <v>8h30 ngày 5 tháng 4 năm 2015</v>
          </cell>
          <cell r="S110" t="str">
            <v>9h00 ngày 5 tháng 4 năm 2015</v>
          </cell>
          <cell r="T110" t="str">
            <v>8h30</v>
          </cell>
          <cell r="U110" t="str">
            <v>8h30 Ngày 5/4/2015</v>
          </cell>
          <cell r="V110" t="str">
            <v>Nguyễn Ái Việt</v>
          </cell>
          <cell r="W110" t="str">
            <v>Chỉ huy trưởng</v>
          </cell>
          <cell r="X110" t="str">
            <v>................................</v>
          </cell>
          <cell r="Y110" t="str">
            <v>................................</v>
          </cell>
          <cell r="Z110" t="str">
            <v>Nguyễn Văn Nghiễm</v>
          </cell>
          <cell r="AA110" t="str">
            <v>Cán bộ KCS</v>
          </cell>
          <cell r="AB110" t="str">
            <v>Vương Toàn Hiếu</v>
          </cell>
          <cell r="AC110" t="str">
            <v>Trưởng đoàn TVGS</v>
          </cell>
          <cell r="AD110" t="str">
            <v>Lê Thiều Nam</v>
          </cell>
          <cell r="AE110" t="str">
            <v>Cán bộ TVGS</v>
          </cell>
          <cell r="AF110" t="str">
            <v>................................</v>
          </cell>
          <cell r="AG110" t="str">
            <v>................................</v>
          </cell>
          <cell r="AH110" t="str">
            <v>Nguyễn Ái Việt</v>
          </cell>
          <cell r="AI110" t="str">
            <v>Chỉ huy trưởng</v>
          </cell>
          <cell r="AJ110" t="str">
            <v>Hoàng Chiến Thắng</v>
          </cell>
          <cell r="AK110" t="str">
            <v>P. Chỉ huy trưởng</v>
          </cell>
          <cell r="AL110" t="str">
            <v>Trịnh Quang Đức</v>
          </cell>
          <cell r="AM110" t="str">
            <v>Cán bộ kỹ thuật</v>
          </cell>
          <cell r="AN110" t="str">
            <v>KC-00</v>
          </cell>
          <cell r="AQ110" t="str">
            <v>Ngày 5 Tháng 4 Năm 2015</v>
          </cell>
        </row>
        <row r="111">
          <cell r="A111" t="str">
            <v>CKBTTB-02</v>
          </cell>
          <cell r="B111" t="str">
            <v>Cấu kiện bê tông thang bộ LT tầng 2</v>
          </cell>
          <cell r="C111" t="str">
            <v>CKBTTB-02</v>
          </cell>
          <cell r="D111" t="str">
            <v>9h00</v>
          </cell>
          <cell r="E111" t="str">
            <v>9h30</v>
          </cell>
          <cell r="F111">
            <v>13</v>
          </cell>
          <cell r="G111">
            <v>5</v>
          </cell>
          <cell r="H111">
            <v>2015</v>
          </cell>
          <cell r="I111" t="str">
            <v>Hà Nội, ngày 13 tháng 5 năm 2015</v>
          </cell>
          <cell r="J111" t="str">
            <v>9h00 ngày 13 tháng 5 năm 2015</v>
          </cell>
          <cell r="K111" t="str">
            <v>9h30 ngày 13 tháng 5 năm 2015</v>
          </cell>
          <cell r="L111" t="str">
            <v>9h30</v>
          </cell>
          <cell r="M111" t="str">
            <v>10h00</v>
          </cell>
          <cell r="N111">
            <v>13</v>
          </cell>
          <cell r="O111">
            <v>5</v>
          </cell>
          <cell r="P111">
            <v>2015</v>
          </cell>
          <cell r="Q111" t="str">
            <v>Hà Nội, ngày 13 tháng 5 năm 2015</v>
          </cell>
          <cell r="R111" t="str">
            <v>9h30 ngày 13 tháng 5 năm 2015</v>
          </cell>
          <cell r="S111" t="str">
            <v>10h00 ngày 13 tháng 5 năm 2015</v>
          </cell>
          <cell r="T111" t="str">
            <v>9h30</v>
          </cell>
          <cell r="U111" t="str">
            <v>9h30 Ngày 13/5/2015</v>
          </cell>
          <cell r="V111" t="str">
            <v>Nguyễn Ái Việt</v>
          </cell>
          <cell r="W111" t="str">
            <v>Chỉ huy trưởng</v>
          </cell>
          <cell r="X111" t="str">
            <v>................................</v>
          </cell>
          <cell r="Y111" t="str">
            <v>................................</v>
          </cell>
          <cell r="Z111" t="str">
            <v>Nguyễn Văn Nghiễm</v>
          </cell>
          <cell r="AA111" t="str">
            <v>Cán bộ KCS</v>
          </cell>
          <cell r="AB111" t="str">
            <v>Vương Toàn Hiếu</v>
          </cell>
          <cell r="AC111" t="str">
            <v>Trưởng đoàn TVGS</v>
          </cell>
          <cell r="AD111" t="str">
            <v>Lê Thiều Nam</v>
          </cell>
          <cell r="AE111" t="str">
            <v>Cán bộ TVGS</v>
          </cell>
          <cell r="AF111" t="str">
            <v>................................</v>
          </cell>
          <cell r="AG111" t="str">
            <v>................................</v>
          </cell>
          <cell r="AH111" t="str">
            <v>Nguyễn Ái Việt</v>
          </cell>
          <cell r="AI111" t="str">
            <v>Chỉ huy trưởng</v>
          </cell>
          <cell r="AJ111" t="str">
            <v>Hoàng Chiến Thắng</v>
          </cell>
          <cell r="AK111" t="str">
            <v>P. Chỉ huy trưởng</v>
          </cell>
          <cell r="AL111" t="str">
            <v>Trịnh Quang Đức</v>
          </cell>
          <cell r="AM111" t="str">
            <v>Cán bộ kỹ thuật</v>
          </cell>
          <cell r="AN111" t="str">
            <v>KC-00</v>
          </cell>
          <cell r="AQ111" t="str">
            <v>Ngày 13 Tháng 5 Năm 2015</v>
          </cell>
        </row>
        <row r="112">
          <cell r="A112" t="str">
            <v>CKBTTB-03</v>
          </cell>
          <cell r="B112" t="str">
            <v>Cấu kiện bê tông thang bộ TB tầng 1 (trục X2÷X4/Y1+2,55m) và (trục X8+2,55m/Y5'÷Y7')</v>
          </cell>
          <cell r="C112" t="str">
            <v>CKBTTB-03</v>
          </cell>
          <cell r="D112" t="str">
            <v>8h30</v>
          </cell>
          <cell r="E112" t="str">
            <v>9h00</v>
          </cell>
          <cell r="F112">
            <v>4</v>
          </cell>
          <cell r="G112">
            <v>6</v>
          </cell>
          <cell r="H112">
            <v>2015</v>
          </cell>
          <cell r="I112" t="str">
            <v>Hà Nội, ngày 4 tháng 6 năm 2015</v>
          </cell>
          <cell r="J112" t="str">
            <v>8h30 ngày 4 tháng 6 năm 2015</v>
          </cell>
          <cell r="K112" t="str">
            <v>9h00 ngày 4 tháng 6 năm 2015</v>
          </cell>
          <cell r="L112" t="str">
            <v>9h00</v>
          </cell>
          <cell r="M112" t="str">
            <v>9h30</v>
          </cell>
          <cell r="N112">
            <v>4</v>
          </cell>
          <cell r="O112">
            <v>6</v>
          </cell>
          <cell r="P112">
            <v>2015</v>
          </cell>
          <cell r="Q112" t="str">
            <v>Hà Nội, ngày 4 tháng 6 năm 2015</v>
          </cell>
          <cell r="R112" t="str">
            <v>9h00 ngày 4 tháng 6 năm 2015</v>
          </cell>
          <cell r="S112" t="str">
            <v>9h30 ngày 4 tháng 6 năm 2015</v>
          </cell>
          <cell r="T112" t="str">
            <v>9h00</v>
          </cell>
          <cell r="U112" t="str">
            <v>9h00 Ngày 4/6/2015</v>
          </cell>
          <cell r="V112" t="str">
            <v>Nguyễn Ái Việt</v>
          </cell>
          <cell r="W112" t="str">
            <v>Chỉ huy trưởng</v>
          </cell>
          <cell r="X112" t="str">
            <v>................................</v>
          </cell>
          <cell r="Y112" t="str">
            <v>................................</v>
          </cell>
          <cell r="Z112" t="str">
            <v>Nguyễn Văn Nghiễm</v>
          </cell>
          <cell r="AA112" t="str">
            <v>Cán bộ KCS</v>
          </cell>
          <cell r="AB112" t="str">
            <v>Vương Toàn Hiếu</v>
          </cell>
          <cell r="AC112" t="str">
            <v>Trưởng đoàn TVGS</v>
          </cell>
          <cell r="AD112" t="str">
            <v>Lê Thiều Nam</v>
          </cell>
          <cell r="AE112" t="str">
            <v>Cán bộ TVGS</v>
          </cell>
          <cell r="AF112" t="str">
            <v>................................</v>
          </cell>
          <cell r="AG112" t="str">
            <v>................................</v>
          </cell>
          <cell r="AH112" t="str">
            <v>Nguyễn Ái Việt</v>
          </cell>
          <cell r="AI112" t="str">
            <v>Chỉ huy trưởng</v>
          </cell>
          <cell r="AJ112" t="str">
            <v>Hoàng Chiến Thắng</v>
          </cell>
          <cell r="AK112" t="str">
            <v>P. Chỉ huy trưởng</v>
          </cell>
          <cell r="AL112" t="str">
            <v>Trịnh Quang Đức</v>
          </cell>
          <cell r="AM112" t="str">
            <v>Cán bộ kỹ thuật</v>
          </cell>
          <cell r="AN112" t="str">
            <v>KC-00</v>
          </cell>
          <cell r="AQ112" t="str">
            <v>Ngày 4 Tháng 6 Năm 2015</v>
          </cell>
        </row>
        <row r="113">
          <cell r="A113" t="str">
            <v>CKBTTB-04</v>
          </cell>
          <cell r="B113" t="str">
            <v>Cấu kiện bê tông thang bộ LT tầng 3</v>
          </cell>
          <cell r="C113" t="str">
            <v>CKBTTB-04</v>
          </cell>
          <cell r="D113" t="str">
            <v>8h00</v>
          </cell>
          <cell r="E113" t="str">
            <v>9h30</v>
          </cell>
          <cell r="F113">
            <v>13</v>
          </cell>
          <cell r="G113">
            <v>6</v>
          </cell>
          <cell r="H113">
            <v>2015</v>
          </cell>
          <cell r="I113" t="str">
            <v>Hà Nội, ngày 13 tháng 6 năm 2015</v>
          </cell>
          <cell r="J113" t="str">
            <v>8h00 ngày 13 tháng 6 năm 2015</v>
          </cell>
          <cell r="K113" t="str">
            <v>9h30 ngày 13 tháng 6 năm 2015</v>
          </cell>
          <cell r="L113" t="str">
            <v>9h30</v>
          </cell>
          <cell r="M113" t="str">
            <v>10h00</v>
          </cell>
          <cell r="N113">
            <v>13</v>
          </cell>
          <cell r="O113">
            <v>6</v>
          </cell>
          <cell r="P113">
            <v>2015</v>
          </cell>
          <cell r="Q113" t="str">
            <v>Hà Nội, ngày 13 tháng 6 năm 2015</v>
          </cell>
          <cell r="R113" t="str">
            <v>9h30 ngày 13 tháng 6 năm 2015</v>
          </cell>
          <cell r="S113" t="str">
            <v>10h00 ngày 13 tháng 6 năm 2015</v>
          </cell>
          <cell r="T113" t="str">
            <v>9h30</v>
          </cell>
          <cell r="U113" t="str">
            <v>9h30 Ngày 13/6/2015</v>
          </cell>
          <cell r="V113" t="str">
            <v>Nguyễn Ái Việt</v>
          </cell>
          <cell r="W113" t="str">
            <v>Chỉ huy trưởng</v>
          </cell>
          <cell r="X113" t="str">
            <v>................................</v>
          </cell>
          <cell r="Y113" t="str">
            <v>................................</v>
          </cell>
          <cell r="Z113" t="str">
            <v>Nguyễn Văn Nghiễm</v>
          </cell>
          <cell r="AA113" t="str">
            <v>Cán bộ KCS</v>
          </cell>
          <cell r="AB113" t="str">
            <v>Vương Toàn Hiếu</v>
          </cell>
          <cell r="AC113" t="str">
            <v>Trưởng đoàn TVGS</v>
          </cell>
          <cell r="AD113" t="str">
            <v>Lê Thiều Nam</v>
          </cell>
          <cell r="AE113" t="str">
            <v>Cán bộ TVGS</v>
          </cell>
          <cell r="AF113" t="str">
            <v>................................</v>
          </cell>
          <cell r="AG113" t="str">
            <v>................................</v>
          </cell>
          <cell r="AH113" t="str">
            <v>Nguyễn Ái Việt</v>
          </cell>
          <cell r="AI113" t="str">
            <v>Chỉ huy trưởng</v>
          </cell>
          <cell r="AJ113" t="str">
            <v>Hoàng Chiến Thắng</v>
          </cell>
          <cell r="AK113" t="str">
            <v>P. Chỉ huy trưởng</v>
          </cell>
          <cell r="AL113" t="str">
            <v>Trịnh Quang Đức</v>
          </cell>
          <cell r="AM113" t="str">
            <v>Cán bộ kỹ thuật</v>
          </cell>
          <cell r="AN113" t="str">
            <v>KC-00</v>
          </cell>
          <cell r="AQ113" t="str">
            <v>Ngày 13 Tháng 6 Năm 2015</v>
          </cell>
        </row>
        <row r="114">
          <cell r="A114" t="str">
            <v>CKBTTB-05</v>
          </cell>
          <cell r="B114" t="str">
            <v>Cấu kiện bê tông thang bộ TB tầng 3, 4 trục X8+2,55m/Y5'÷Y6'</v>
          </cell>
          <cell r="C114" t="str">
            <v>CKBTTB-05</v>
          </cell>
          <cell r="D114" t="str">
            <v>9h00</v>
          </cell>
          <cell r="E114" t="str">
            <v>10h00</v>
          </cell>
          <cell r="F114">
            <v>24</v>
          </cell>
          <cell r="G114">
            <v>6</v>
          </cell>
          <cell r="H114">
            <v>2015</v>
          </cell>
          <cell r="I114" t="str">
            <v>Hà Nội, ngày 24 tháng 6 năm 2015</v>
          </cell>
          <cell r="J114" t="str">
            <v>9h00 ngày 24 tháng 6 năm 2015</v>
          </cell>
          <cell r="K114" t="str">
            <v>10h00 ngày 24 tháng 6 năm 2015</v>
          </cell>
          <cell r="L114" t="str">
            <v>10h00</v>
          </cell>
          <cell r="M114" t="str">
            <v>11h00</v>
          </cell>
          <cell r="N114">
            <v>24</v>
          </cell>
          <cell r="O114">
            <v>6</v>
          </cell>
          <cell r="P114">
            <v>2015</v>
          </cell>
          <cell r="Q114" t="str">
            <v>Hà Nội, ngày 24 tháng 6 năm 2015</v>
          </cell>
          <cell r="R114" t="str">
            <v>10h00 ngày 24 tháng 6 năm 2015</v>
          </cell>
          <cell r="S114" t="str">
            <v>11h00 ngày 24 tháng 6 năm 2015</v>
          </cell>
          <cell r="T114" t="str">
            <v>10h00</v>
          </cell>
          <cell r="U114" t="str">
            <v>10h00 Ngày 24/6/2015</v>
          </cell>
          <cell r="V114" t="str">
            <v>Nguyễn Ái Việt</v>
          </cell>
          <cell r="W114" t="str">
            <v>Chỉ huy trưởng</v>
          </cell>
          <cell r="X114" t="str">
            <v>................................</v>
          </cell>
          <cell r="Y114" t="str">
            <v>................................</v>
          </cell>
          <cell r="Z114" t="str">
            <v>Nguyễn Văn Nghiễm</v>
          </cell>
          <cell r="AA114" t="str">
            <v>Cán bộ KCS</v>
          </cell>
          <cell r="AB114" t="str">
            <v>Vương Toàn Hiếu</v>
          </cell>
          <cell r="AC114" t="str">
            <v>Trưởng đoàn TVGS</v>
          </cell>
          <cell r="AD114" t="str">
            <v>Lê Thiều Nam</v>
          </cell>
          <cell r="AE114" t="str">
            <v>Cán bộ TVGS</v>
          </cell>
          <cell r="AF114" t="str">
            <v>................................</v>
          </cell>
          <cell r="AG114" t="str">
            <v>................................</v>
          </cell>
          <cell r="AH114" t="str">
            <v>Nguyễn Ái Việt</v>
          </cell>
          <cell r="AI114" t="str">
            <v>Chỉ huy trưởng</v>
          </cell>
          <cell r="AJ114" t="str">
            <v>Hoàng Chiến Thắng</v>
          </cell>
          <cell r="AK114" t="str">
            <v>P. Chỉ huy trưởng</v>
          </cell>
          <cell r="AL114" t="str">
            <v>Trịnh Quang Đức</v>
          </cell>
          <cell r="AM114" t="str">
            <v>Cán bộ kỹ thuật</v>
          </cell>
          <cell r="AN114" t="str">
            <v>KC-00</v>
          </cell>
          <cell r="AQ114" t="str">
            <v>Ngày 24 Tháng 6 Năm 2015</v>
          </cell>
        </row>
        <row r="115">
          <cell r="A115" t="str">
            <v>CKBTTB-06</v>
          </cell>
          <cell r="B115" t="str">
            <v>Cấu kiện bê tông thang bộ TB tầng 3 trục X3÷X4/Y1+2,55m</v>
          </cell>
          <cell r="C115" t="str">
            <v>CKBTTB-06</v>
          </cell>
          <cell r="D115" t="str">
            <v>8h30</v>
          </cell>
          <cell r="E115" t="str">
            <v>9h00</v>
          </cell>
          <cell r="F115">
            <v>26</v>
          </cell>
          <cell r="G115">
            <v>6</v>
          </cell>
          <cell r="H115">
            <v>2015</v>
          </cell>
          <cell r="I115" t="str">
            <v>Hà Nội, ngày 26 tháng 6 năm 2015</v>
          </cell>
          <cell r="J115" t="str">
            <v>8h30 ngày 26 tháng 6 năm 2015</v>
          </cell>
          <cell r="K115" t="str">
            <v>9h00 ngày 26 tháng 6 năm 2015</v>
          </cell>
          <cell r="L115" t="str">
            <v>9h00</v>
          </cell>
          <cell r="M115" t="str">
            <v>9h30</v>
          </cell>
          <cell r="N115">
            <v>26</v>
          </cell>
          <cell r="O115">
            <v>6</v>
          </cell>
          <cell r="P115">
            <v>2015</v>
          </cell>
          <cell r="Q115" t="str">
            <v>Hà Nội, ngày 26 tháng 6 năm 2015</v>
          </cell>
          <cell r="R115" t="str">
            <v>9h00 ngày 26 tháng 6 năm 2015</v>
          </cell>
          <cell r="S115" t="str">
            <v>9h30 ngày 26 tháng 6 năm 2015</v>
          </cell>
          <cell r="T115" t="str">
            <v>9h00</v>
          </cell>
          <cell r="U115" t="str">
            <v>9h00 Ngày 26/6/2015</v>
          </cell>
          <cell r="V115" t="str">
            <v>Nguyễn Ái Việt</v>
          </cell>
          <cell r="W115" t="str">
            <v>Chỉ huy trưởng</v>
          </cell>
          <cell r="X115" t="str">
            <v>................................</v>
          </cell>
          <cell r="Y115" t="str">
            <v>................................</v>
          </cell>
          <cell r="Z115" t="str">
            <v>Nguyễn Văn Nghiễm</v>
          </cell>
          <cell r="AA115" t="str">
            <v>Cán bộ KCS</v>
          </cell>
          <cell r="AB115" t="str">
            <v>Vương Toàn Hiếu</v>
          </cell>
          <cell r="AC115" t="str">
            <v>Trưởng đoàn TVGS</v>
          </cell>
          <cell r="AD115" t="str">
            <v>Lê Thiều Nam</v>
          </cell>
          <cell r="AE115" t="str">
            <v>Cán bộ TVGS</v>
          </cell>
          <cell r="AF115" t="str">
            <v>................................</v>
          </cell>
          <cell r="AG115" t="str">
            <v>................................</v>
          </cell>
          <cell r="AH115" t="str">
            <v>Nguyễn Ái Việt</v>
          </cell>
          <cell r="AI115" t="str">
            <v>Chỉ huy trưởng</v>
          </cell>
          <cell r="AJ115" t="str">
            <v>Hoàng Chiến Thắng</v>
          </cell>
          <cell r="AK115" t="str">
            <v>P. Chỉ huy trưởng</v>
          </cell>
          <cell r="AL115" t="str">
            <v>Trịnh Quang Đức</v>
          </cell>
          <cell r="AM115" t="str">
            <v>Cán bộ kỹ thuật</v>
          </cell>
          <cell r="AN115" t="str">
            <v>KC-00</v>
          </cell>
          <cell r="AQ115" t="str">
            <v>Ngày 26 Tháng 6 Năm 2015</v>
          </cell>
        </row>
        <row r="116">
          <cell r="A116" t="str">
            <v>CKBTTB-07</v>
          </cell>
          <cell r="B116" t="str">
            <v>Cấu kiện bê tông thang bộ LT tầng 4, thang bộ TB tầng 2 trục X2÷X4/Y1+2,55 m 
và trục X8+2,55m/Y5'÷Y7'</v>
          </cell>
          <cell r="C116" t="str">
            <v>CKBTTB-07</v>
          </cell>
          <cell r="D116" t="str">
            <v>8h00</v>
          </cell>
          <cell r="E116" t="str">
            <v>9h00</v>
          </cell>
          <cell r="F116">
            <v>3</v>
          </cell>
          <cell r="G116">
            <v>7</v>
          </cell>
          <cell r="H116">
            <v>2015</v>
          </cell>
          <cell r="I116" t="str">
            <v>Hà Nội, ngày 3 tháng 7 năm 2015</v>
          </cell>
          <cell r="J116" t="str">
            <v>8h00 ngày 3 tháng 7 năm 2015</v>
          </cell>
          <cell r="K116" t="str">
            <v>9h00 ngày 3 tháng 7 năm 2015</v>
          </cell>
          <cell r="L116" t="str">
            <v>9h00</v>
          </cell>
          <cell r="M116" t="str">
            <v>10h00</v>
          </cell>
          <cell r="N116">
            <v>3</v>
          </cell>
          <cell r="O116">
            <v>7</v>
          </cell>
          <cell r="P116">
            <v>2015</v>
          </cell>
          <cell r="Q116" t="str">
            <v>Hà Nội, ngày 3 tháng 7 năm 2015</v>
          </cell>
          <cell r="R116" t="str">
            <v>9h00 ngày 3 tháng 7 năm 2015</v>
          </cell>
          <cell r="S116" t="str">
            <v>10h00 ngày 3 tháng 7 năm 2015</v>
          </cell>
          <cell r="T116" t="str">
            <v>9h00</v>
          </cell>
          <cell r="U116" t="str">
            <v>9h00 Ngày 3/7/2015</v>
          </cell>
          <cell r="V116" t="str">
            <v>Nguyễn Ái Việt</v>
          </cell>
          <cell r="W116" t="str">
            <v>Chỉ huy trưởng</v>
          </cell>
          <cell r="X116" t="str">
            <v>................................</v>
          </cell>
          <cell r="Y116" t="str">
            <v>................................</v>
          </cell>
          <cell r="Z116" t="str">
            <v>Nguyễn Văn Nghiễm</v>
          </cell>
          <cell r="AA116" t="str">
            <v>Cán bộ KCS</v>
          </cell>
          <cell r="AB116" t="str">
            <v>Vương Toàn Hiếu</v>
          </cell>
          <cell r="AC116" t="str">
            <v>Trưởng đoàn TVGS</v>
          </cell>
          <cell r="AD116" t="str">
            <v>Lê Thiều Nam</v>
          </cell>
          <cell r="AE116" t="str">
            <v>Cán bộ TVGS</v>
          </cell>
          <cell r="AF116" t="str">
            <v>................................</v>
          </cell>
          <cell r="AG116" t="str">
            <v>................................</v>
          </cell>
          <cell r="AH116" t="str">
            <v>Nguyễn Ái Việt</v>
          </cell>
          <cell r="AI116" t="str">
            <v>Chỉ huy trưởng</v>
          </cell>
          <cell r="AJ116" t="str">
            <v>Hoàng Chiến Thắng</v>
          </cell>
          <cell r="AK116" t="str">
            <v>P. Chỉ huy trưởng</v>
          </cell>
          <cell r="AL116" t="str">
            <v>Trịnh Quang Đức</v>
          </cell>
          <cell r="AM116" t="str">
            <v>Cán bộ kỹ thuật</v>
          </cell>
          <cell r="AN116" t="str">
            <v>KC-00</v>
          </cell>
          <cell r="AQ116" t="str">
            <v>Ngày 3 Tháng 7 Năm 2015</v>
          </cell>
        </row>
        <row r="117">
          <cell r="A117" t="str">
            <v>CKBTTB-08</v>
          </cell>
          <cell r="B117" t="str">
            <v>Cấu kiện bê tông thang bộ LT tầng 5 , thang bộ TB tầng 5, 6 trục X8+2,55m/Y5'÷Y7'</v>
          </cell>
          <cell r="C117" t="str">
            <v>CKBTTB-08</v>
          </cell>
          <cell r="D117" t="str">
            <v>8h30</v>
          </cell>
          <cell r="E117" t="str">
            <v>9h30</v>
          </cell>
          <cell r="F117">
            <v>11</v>
          </cell>
          <cell r="G117">
            <v>7</v>
          </cell>
          <cell r="H117">
            <v>2015</v>
          </cell>
          <cell r="I117" t="str">
            <v>Hà Nội, ngày 11 tháng 7 năm 2015</v>
          </cell>
          <cell r="J117" t="str">
            <v>8h30 ngày 11 tháng 7 năm 2015</v>
          </cell>
          <cell r="K117" t="str">
            <v>9h30 ngày 11 tháng 7 năm 2015</v>
          </cell>
          <cell r="L117" t="str">
            <v>9h30</v>
          </cell>
          <cell r="M117" t="str">
            <v>10h30</v>
          </cell>
          <cell r="N117">
            <v>11</v>
          </cell>
          <cell r="O117">
            <v>7</v>
          </cell>
          <cell r="P117">
            <v>2015</v>
          </cell>
          <cell r="Q117" t="str">
            <v>Hà Nội, ngày 11 tháng 7 năm 2015</v>
          </cell>
          <cell r="R117" t="str">
            <v>9h30 ngày 11 tháng 7 năm 2015</v>
          </cell>
          <cell r="S117" t="str">
            <v>10h30 ngày 11 tháng 7 năm 2015</v>
          </cell>
          <cell r="T117" t="str">
            <v>9h30</v>
          </cell>
          <cell r="U117" t="str">
            <v>9h30 Ngày 11/7/2015</v>
          </cell>
          <cell r="V117" t="str">
            <v>Nguyễn Ái Việt</v>
          </cell>
          <cell r="W117" t="str">
            <v>Chỉ huy trưởng</v>
          </cell>
          <cell r="X117" t="str">
            <v>................................</v>
          </cell>
          <cell r="Y117" t="str">
            <v>................................</v>
          </cell>
          <cell r="Z117" t="str">
            <v>Nguyễn Văn Nghiễm</v>
          </cell>
          <cell r="AA117" t="str">
            <v>Cán bộ KCS</v>
          </cell>
          <cell r="AB117" t="str">
            <v>Vương Toàn Hiếu</v>
          </cell>
          <cell r="AC117" t="str">
            <v>Trưởng đoàn TVGS</v>
          </cell>
          <cell r="AD117" t="str">
            <v>Lê Thiều Nam</v>
          </cell>
          <cell r="AE117" t="str">
            <v>Cán bộ TVGS</v>
          </cell>
          <cell r="AF117" t="str">
            <v>................................</v>
          </cell>
          <cell r="AG117" t="str">
            <v>................................</v>
          </cell>
          <cell r="AH117" t="str">
            <v>Nguyễn Ái Việt</v>
          </cell>
          <cell r="AI117" t="str">
            <v>Chỉ huy trưởng</v>
          </cell>
          <cell r="AJ117" t="str">
            <v>Hoàng Chiến Thắng</v>
          </cell>
          <cell r="AK117" t="str">
            <v>P. Chỉ huy trưởng</v>
          </cell>
          <cell r="AL117" t="str">
            <v>Trịnh Quang Đức</v>
          </cell>
          <cell r="AM117" t="str">
            <v>Cán bộ kỹ thuật</v>
          </cell>
          <cell r="AN117" t="str">
            <v>KC-00</v>
          </cell>
          <cell r="AQ117" t="str">
            <v>Ngày 11 Tháng 7 Năm 2015</v>
          </cell>
        </row>
        <row r="118">
          <cell r="A118" t="str">
            <v>CKBTTB-09</v>
          </cell>
          <cell r="B118" t="str">
            <v>Cấu kiện bê tông thang bộ LT tầng 6, tầng 7</v>
          </cell>
          <cell r="C118" t="str">
            <v>CKBTTB-09</v>
          </cell>
          <cell r="D118" t="str">
            <v>8h00</v>
          </cell>
          <cell r="E118" t="str">
            <v>8h30</v>
          </cell>
          <cell r="F118">
            <v>21</v>
          </cell>
          <cell r="G118">
            <v>7</v>
          </cell>
          <cell r="H118">
            <v>2015</v>
          </cell>
          <cell r="I118" t="str">
            <v>Hà Nội, ngày 21 tháng 7 năm 2015</v>
          </cell>
          <cell r="J118" t="str">
            <v>8h00 ngày 21 tháng 7 năm 2015</v>
          </cell>
          <cell r="K118" t="str">
            <v>8h30 ngày 21 tháng 7 năm 2015</v>
          </cell>
          <cell r="L118" t="str">
            <v>8h30</v>
          </cell>
          <cell r="M118" t="str">
            <v>9h00</v>
          </cell>
          <cell r="N118">
            <v>21</v>
          </cell>
          <cell r="O118">
            <v>7</v>
          </cell>
          <cell r="P118">
            <v>2015</v>
          </cell>
          <cell r="Q118" t="str">
            <v>Hà Nội, ngày 21 tháng 7 năm 2015</v>
          </cell>
          <cell r="R118" t="str">
            <v>8h30 ngày 21 tháng 7 năm 2015</v>
          </cell>
          <cell r="S118" t="str">
            <v>9h00 ngày 21 tháng 7 năm 2015</v>
          </cell>
          <cell r="T118" t="str">
            <v>8h30</v>
          </cell>
          <cell r="U118" t="str">
            <v>8h30 Ngày 21/7/2015</v>
          </cell>
          <cell r="V118" t="str">
            <v>Nguyễn Ái Việt</v>
          </cell>
          <cell r="W118" t="str">
            <v>Chỉ huy trưởng</v>
          </cell>
          <cell r="X118" t="str">
            <v>................................</v>
          </cell>
          <cell r="Y118" t="str">
            <v>................................</v>
          </cell>
          <cell r="Z118" t="str">
            <v>Nguyễn Văn Nghiễm</v>
          </cell>
          <cell r="AA118" t="str">
            <v>Cán bộ KCS</v>
          </cell>
          <cell r="AB118" t="str">
            <v>Vương Toàn Hiếu</v>
          </cell>
          <cell r="AC118" t="str">
            <v>Trưởng đoàn TVGS</v>
          </cell>
          <cell r="AD118" t="str">
            <v>Lê Thiều Nam</v>
          </cell>
          <cell r="AE118" t="str">
            <v>Cán bộ TVGS</v>
          </cell>
          <cell r="AF118" t="str">
            <v>................................</v>
          </cell>
          <cell r="AG118" t="str">
            <v>................................</v>
          </cell>
          <cell r="AH118" t="str">
            <v>Nguyễn Ái Việt</v>
          </cell>
          <cell r="AI118" t="str">
            <v>Chỉ huy trưởng</v>
          </cell>
          <cell r="AJ118" t="str">
            <v>Hoàng Chiến Thắng</v>
          </cell>
          <cell r="AK118" t="str">
            <v>P. Chỉ huy trưởng</v>
          </cell>
          <cell r="AL118" t="str">
            <v>Trịnh Quang Đức</v>
          </cell>
          <cell r="AM118" t="str">
            <v>Cán bộ kỹ thuật</v>
          </cell>
          <cell r="AN118" t="str">
            <v>KC-00</v>
          </cell>
          <cell r="AQ118" t="str">
            <v>Ngày 21 Tháng 7 Năm 2015</v>
          </cell>
        </row>
        <row r="119">
          <cell r="A119" t="str">
            <v>CKBTTB-10</v>
          </cell>
          <cell r="B119" t="str">
            <v>Cấu kiện bê tông thang bộ TB tầng 7 trục X8+2,55m/Y5'÷Y7', thang bộ LT tầng 8</v>
          </cell>
          <cell r="C119" t="str">
            <v>CKBTTB-10</v>
          </cell>
          <cell r="D119" t="str">
            <v>9h00</v>
          </cell>
          <cell r="E119" t="str">
            <v>10h00</v>
          </cell>
          <cell r="F119">
            <v>4</v>
          </cell>
          <cell r="G119">
            <v>8</v>
          </cell>
          <cell r="H119">
            <v>2015</v>
          </cell>
          <cell r="I119" t="str">
            <v>Hà Nội, ngày 4 tháng 8 năm 2015</v>
          </cell>
          <cell r="J119" t="str">
            <v>9h00 ngày 4 tháng 8 năm 2015</v>
          </cell>
          <cell r="K119" t="str">
            <v>10h00 ngày 4 tháng 8 năm 2015</v>
          </cell>
          <cell r="L119" t="str">
            <v>10h00</v>
          </cell>
          <cell r="M119" t="str">
            <v>11h00</v>
          </cell>
          <cell r="N119">
            <v>4</v>
          </cell>
          <cell r="O119">
            <v>8</v>
          </cell>
          <cell r="P119">
            <v>2015</v>
          </cell>
          <cell r="Q119" t="str">
            <v>Hà Nội, ngày 4 tháng 8 năm 2015</v>
          </cell>
          <cell r="R119" t="str">
            <v>10h00 ngày 4 tháng 8 năm 2015</v>
          </cell>
          <cell r="S119" t="str">
            <v>11h00 ngày 4 tháng 8 năm 2015</v>
          </cell>
          <cell r="T119" t="str">
            <v>10h00</v>
          </cell>
          <cell r="U119" t="str">
            <v>10h00 Ngày 4/8/2015</v>
          </cell>
          <cell r="V119" t="str">
            <v>Nguyễn Ái Việt</v>
          </cell>
          <cell r="W119" t="str">
            <v>Chỉ huy trưởng</v>
          </cell>
          <cell r="X119" t="str">
            <v>................................</v>
          </cell>
          <cell r="Y119" t="str">
            <v>................................</v>
          </cell>
          <cell r="Z119" t="str">
            <v>Nguyễn Văn Nghiễm</v>
          </cell>
          <cell r="AA119" t="str">
            <v>Cán bộ KCS</v>
          </cell>
          <cell r="AB119" t="str">
            <v>Vương Toàn Hiếu</v>
          </cell>
          <cell r="AC119" t="str">
            <v>Trưởng đoàn TVGS</v>
          </cell>
          <cell r="AD119" t="str">
            <v>Lê Thiều Nam</v>
          </cell>
          <cell r="AE119" t="str">
            <v>Cán bộ TVGS</v>
          </cell>
          <cell r="AF119" t="str">
            <v>................................</v>
          </cell>
          <cell r="AG119" t="str">
            <v>................................</v>
          </cell>
          <cell r="AH119" t="str">
            <v>Nguyễn Ái Việt</v>
          </cell>
          <cell r="AI119" t="str">
            <v>Chỉ huy trưởng</v>
          </cell>
          <cell r="AJ119" t="str">
            <v>Hoàng Chiến Thắng</v>
          </cell>
          <cell r="AK119" t="str">
            <v>P. Chỉ huy trưởng</v>
          </cell>
          <cell r="AL119" t="str">
            <v>Trịnh Quang Đức</v>
          </cell>
          <cell r="AM119" t="str">
            <v>Cán bộ kỹ thuật</v>
          </cell>
          <cell r="AN119" t="str">
            <v>KC-00</v>
          </cell>
          <cell r="AQ119" t="str">
            <v>Ngày 4 Tháng 8 Năm 2015</v>
          </cell>
        </row>
        <row r="120">
          <cell r="A120" t="str">
            <v>CKBTTB-11</v>
          </cell>
          <cell r="B120" t="str">
            <v>Cấu kiện bê tông thang bộ LT tầng 9, tầng 10</v>
          </cell>
          <cell r="C120" t="str">
            <v>CKBTTB-11</v>
          </cell>
          <cell r="D120" t="str">
            <v>8h30</v>
          </cell>
          <cell r="E120" t="str">
            <v>9h00</v>
          </cell>
          <cell r="F120">
            <v>24</v>
          </cell>
          <cell r="G120">
            <v>8</v>
          </cell>
          <cell r="H120">
            <v>2015</v>
          </cell>
          <cell r="I120" t="str">
            <v>Hà Nội, ngày 24 tháng 8 năm 2015</v>
          </cell>
          <cell r="J120" t="str">
            <v>8h30 ngày 24 tháng 8 năm 2015</v>
          </cell>
          <cell r="K120" t="str">
            <v>9h00 ngày 24 tháng 8 năm 2015</v>
          </cell>
          <cell r="L120" t="str">
            <v>9h00</v>
          </cell>
          <cell r="M120" t="str">
            <v>9h30</v>
          </cell>
          <cell r="N120">
            <v>24</v>
          </cell>
          <cell r="O120">
            <v>8</v>
          </cell>
          <cell r="P120">
            <v>2015</v>
          </cell>
          <cell r="Q120" t="str">
            <v>Hà Nội, ngày 24 tháng 8 năm 2015</v>
          </cell>
          <cell r="R120" t="str">
            <v>9h00 ngày 24 tháng 8 năm 2015</v>
          </cell>
          <cell r="S120" t="str">
            <v>9h30 ngày 24 tháng 8 năm 2015</v>
          </cell>
          <cell r="T120" t="str">
            <v>9h00</v>
          </cell>
          <cell r="U120" t="str">
            <v>9h00 Ngày 24/8/2015</v>
          </cell>
          <cell r="V120" t="str">
            <v>Nguyễn Ái Việt</v>
          </cell>
          <cell r="W120" t="str">
            <v>Chỉ huy trưởng</v>
          </cell>
          <cell r="X120" t="str">
            <v>................................</v>
          </cell>
          <cell r="Y120" t="str">
            <v>................................</v>
          </cell>
          <cell r="Z120" t="str">
            <v>Nguyễn Văn Nghiễm</v>
          </cell>
          <cell r="AA120" t="str">
            <v>Cán bộ KCS</v>
          </cell>
          <cell r="AB120" t="str">
            <v>Vương Toàn Hiếu</v>
          </cell>
          <cell r="AC120" t="str">
            <v>Trưởng đoàn TVGS</v>
          </cell>
          <cell r="AD120" t="str">
            <v>Lê Thiều Nam</v>
          </cell>
          <cell r="AE120" t="str">
            <v>Cán bộ TVGS</v>
          </cell>
          <cell r="AF120" t="str">
            <v>................................</v>
          </cell>
          <cell r="AG120" t="str">
            <v>................................</v>
          </cell>
          <cell r="AH120" t="str">
            <v>Nguyễn Ái Việt</v>
          </cell>
          <cell r="AI120" t="str">
            <v>Chỉ huy trưởng</v>
          </cell>
          <cell r="AJ120" t="str">
            <v>Hoàng Chiến Thắng</v>
          </cell>
          <cell r="AK120" t="str">
            <v>P. Chỉ huy trưởng</v>
          </cell>
          <cell r="AL120" t="str">
            <v>Trịnh Quang Đức</v>
          </cell>
          <cell r="AM120" t="str">
            <v>Cán bộ kỹ thuật</v>
          </cell>
          <cell r="AN120" t="str">
            <v>KC-00</v>
          </cell>
          <cell r="AQ120" t="str">
            <v>Ngày 24 Tháng 8 Năm 2015</v>
          </cell>
        </row>
        <row r="121">
          <cell r="A121" t="str">
            <v>CKBTTB-12</v>
          </cell>
          <cell r="B121" t="str">
            <v>Cấu kiện bê tông thang bộ TB tầng 04, tầng 05, tầng 06 trục X2÷X4/Y1+2,55m</v>
          </cell>
          <cell r="C121" t="str">
            <v>CKBTTB-12</v>
          </cell>
          <cell r="D121" t="str">
            <v>8h00</v>
          </cell>
          <cell r="E121" t="str">
            <v>9h00</v>
          </cell>
          <cell r="F121">
            <v>29</v>
          </cell>
          <cell r="G121">
            <v>8</v>
          </cell>
          <cell r="H121">
            <v>2015</v>
          </cell>
          <cell r="I121" t="str">
            <v>Hà Nội, ngày 29 tháng 8 năm 2015</v>
          </cell>
          <cell r="J121" t="str">
            <v>8h00 ngày 29 tháng 8 năm 2015</v>
          </cell>
          <cell r="K121" t="str">
            <v>9h00 ngày 29 tháng 8 năm 2015</v>
          </cell>
          <cell r="L121" t="str">
            <v>9h00</v>
          </cell>
          <cell r="M121" t="str">
            <v>10h00</v>
          </cell>
          <cell r="N121">
            <v>29</v>
          </cell>
          <cell r="O121">
            <v>8</v>
          </cell>
          <cell r="P121">
            <v>2015</v>
          </cell>
          <cell r="Q121" t="str">
            <v>Hà Nội, ngày 29 tháng 8 năm 2015</v>
          </cell>
          <cell r="R121" t="str">
            <v>9h00 ngày 29 tháng 8 năm 2015</v>
          </cell>
          <cell r="S121" t="str">
            <v>10h00 ngày 29 tháng 8 năm 2015</v>
          </cell>
          <cell r="T121" t="str">
            <v>9h00</v>
          </cell>
          <cell r="U121" t="str">
            <v>9h00 Ngày 29/8/2015</v>
          </cell>
          <cell r="V121" t="str">
            <v>Nguyễn Ái Việt</v>
          </cell>
          <cell r="W121" t="str">
            <v>Chỉ huy trưởng</v>
          </cell>
          <cell r="X121" t="str">
            <v>................................</v>
          </cell>
          <cell r="Y121" t="str">
            <v>................................</v>
          </cell>
          <cell r="Z121" t="str">
            <v>Nguyễn Văn Nghiễm</v>
          </cell>
          <cell r="AA121" t="str">
            <v>Cán bộ KCS</v>
          </cell>
          <cell r="AB121" t="str">
            <v>Vương Toàn Hiếu</v>
          </cell>
          <cell r="AC121" t="str">
            <v>Trưởng đoàn TVGS</v>
          </cell>
          <cell r="AD121" t="str">
            <v>Lê Thiều Nam</v>
          </cell>
          <cell r="AE121" t="str">
            <v>Cán bộ TVGS</v>
          </cell>
          <cell r="AF121" t="str">
            <v>................................</v>
          </cell>
          <cell r="AG121" t="str">
            <v>................................</v>
          </cell>
          <cell r="AH121" t="str">
            <v>Nguyễn Ái Việt</v>
          </cell>
          <cell r="AI121" t="str">
            <v>Chỉ huy trưởng</v>
          </cell>
          <cell r="AJ121" t="str">
            <v>Hoàng Chiến Thắng</v>
          </cell>
          <cell r="AK121" t="str">
            <v>P. Chỉ huy trưởng</v>
          </cell>
          <cell r="AL121" t="str">
            <v>Trịnh Quang Đức</v>
          </cell>
          <cell r="AM121" t="str">
            <v>Cán bộ kỹ thuật</v>
          </cell>
          <cell r="AN121" t="str">
            <v>KC-00</v>
          </cell>
          <cell r="AQ121" t="str">
            <v>Ngày 29 Tháng 8 Năm 2015</v>
          </cell>
        </row>
        <row r="122">
          <cell r="A122" t="str">
            <v>CKBTTB-13</v>
          </cell>
          <cell r="B122" t="str">
            <v>Cấu kiện bê tông thang bộ TB tầng 07, tầng 08, tầng 09, tầng 10 trục X2÷X4/Y1+2,55m</v>
          </cell>
          <cell r="C122" t="str">
            <v>CKBTTB-13</v>
          </cell>
          <cell r="D122" t="str">
            <v>8h30</v>
          </cell>
          <cell r="E122" t="str">
            <v>9h30</v>
          </cell>
          <cell r="F122">
            <v>29</v>
          </cell>
          <cell r="G122">
            <v>8</v>
          </cell>
          <cell r="H122">
            <v>2015</v>
          </cell>
          <cell r="I122" t="str">
            <v>Hà Nội, ngày 29 tháng 8 năm 2015</v>
          </cell>
          <cell r="J122" t="str">
            <v>8h30 ngày 29 tháng 8 năm 2015</v>
          </cell>
          <cell r="K122" t="str">
            <v>9h30 ngày 29 tháng 8 năm 2015</v>
          </cell>
          <cell r="L122" t="str">
            <v>9h30</v>
          </cell>
          <cell r="M122" t="str">
            <v>10h30</v>
          </cell>
          <cell r="N122">
            <v>29</v>
          </cell>
          <cell r="O122">
            <v>8</v>
          </cell>
          <cell r="P122">
            <v>2015</v>
          </cell>
          <cell r="Q122" t="str">
            <v>Hà Nội, ngày 29 tháng 8 năm 2015</v>
          </cell>
          <cell r="R122" t="str">
            <v>9h30 ngày 29 tháng 8 năm 2015</v>
          </cell>
          <cell r="S122" t="str">
            <v>10h30 ngày 29 tháng 8 năm 2015</v>
          </cell>
          <cell r="T122" t="str">
            <v>9h30</v>
          </cell>
          <cell r="U122" t="str">
            <v>9h30 Ngày 29/8/2015</v>
          </cell>
          <cell r="V122" t="str">
            <v>Nguyễn Ái Việt</v>
          </cell>
          <cell r="W122" t="str">
            <v>Chỉ huy trưởng</v>
          </cell>
          <cell r="X122" t="str">
            <v>................................</v>
          </cell>
          <cell r="Y122" t="str">
            <v>................................</v>
          </cell>
          <cell r="Z122" t="str">
            <v>Nguyễn Văn Nghiễm</v>
          </cell>
          <cell r="AA122" t="str">
            <v>Cán bộ KCS</v>
          </cell>
          <cell r="AB122" t="str">
            <v>Vương Toàn Hiếu</v>
          </cell>
          <cell r="AC122" t="str">
            <v>Trưởng đoàn TVGS</v>
          </cell>
          <cell r="AD122" t="str">
            <v>Lê Thiều Nam</v>
          </cell>
          <cell r="AE122" t="str">
            <v>Cán bộ TVGS</v>
          </cell>
          <cell r="AF122" t="str">
            <v>................................</v>
          </cell>
          <cell r="AG122" t="str">
            <v>................................</v>
          </cell>
          <cell r="AH122" t="str">
            <v>Nguyễn Ái Việt</v>
          </cell>
          <cell r="AI122" t="str">
            <v>Chỉ huy trưởng</v>
          </cell>
          <cell r="AJ122" t="str">
            <v>Hoàng Chiến Thắng</v>
          </cell>
          <cell r="AK122" t="str">
            <v>P. Chỉ huy trưởng</v>
          </cell>
          <cell r="AL122" t="str">
            <v>Trịnh Quang Đức</v>
          </cell>
          <cell r="AM122" t="str">
            <v>Cán bộ kỹ thuật</v>
          </cell>
          <cell r="AN122" t="str">
            <v>KC-00</v>
          </cell>
          <cell r="AQ122" t="str">
            <v>Ngày 29 Tháng 8 Năm 2015</v>
          </cell>
        </row>
        <row r="123">
          <cell r="A123" t="str">
            <v>CKBTTB-14</v>
          </cell>
          <cell r="B123" t="str">
            <v>Cấu kiện bê tông thang bộ TB tầng 08, 09 trục X8+2,55m/Y5'÷Y7'</v>
          </cell>
          <cell r="C123" t="str">
            <v>CKBTTB-14</v>
          </cell>
          <cell r="D123" t="str">
            <v>8h30</v>
          </cell>
          <cell r="E123" t="str">
            <v>9h00</v>
          </cell>
          <cell r="F123">
            <v>29</v>
          </cell>
          <cell r="G123">
            <v>8</v>
          </cell>
          <cell r="H123">
            <v>2015</v>
          </cell>
          <cell r="I123" t="str">
            <v>Hà Nội, ngày 29 tháng 8 năm 2015</v>
          </cell>
          <cell r="J123" t="str">
            <v>8h30 ngày 29 tháng 8 năm 2015</v>
          </cell>
          <cell r="K123" t="str">
            <v>9h00 ngày 29 tháng 8 năm 2015</v>
          </cell>
          <cell r="L123" t="str">
            <v>9h00</v>
          </cell>
          <cell r="M123" t="str">
            <v>9h30</v>
          </cell>
          <cell r="N123">
            <v>29</v>
          </cell>
          <cell r="O123">
            <v>8</v>
          </cell>
          <cell r="P123">
            <v>2015</v>
          </cell>
          <cell r="Q123" t="str">
            <v>Hà Nội, ngày 29 tháng 8 năm 2015</v>
          </cell>
          <cell r="R123" t="str">
            <v>9h00 ngày 29 tháng 8 năm 2015</v>
          </cell>
          <cell r="S123" t="str">
            <v>9h30 ngày 29 tháng 8 năm 2015</v>
          </cell>
          <cell r="T123" t="str">
            <v>9h00</v>
          </cell>
          <cell r="U123" t="str">
            <v>9h00 Ngày 29/8/2015</v>
          </cell>
          <cell r="V123" t="str">
            <v>Nguyễn Ái Việt</v>
          </cell>
          <cell r="W123" t="str">
            <v>Chỉ huy trưởng</v>
          </cell>
          <cell r="X123" t="str">
            <v>................................</v>
          </cell>
          <cell r="Y123" t="str">
            <v>................................</v>
          </cell>
          <cell r="Z123" t="str">
            <v>Nguyễn Văn Nghiễm</v>
          </cell>
          <cell r="AA123" t="str">
            <v>Cán bộ KCS</v>
          </cell>
          <cell r="AB123" t="str">
            <v>Vương Toàn Hiếu</v>
          </cell>
          <cell r="AC123" t="str">
            <v>Trưởng đoàn TVGS</v>
          </cell>
          <cell r="AD123" t="str">
            <v>Lê Thiều Nam</v>
          </cell>
          <cell r="AE123" t="str">
            <v>Cán bộ TVGS</v>
          </cell>
          <cell r="AF123" t="str">
            <v>................................</v>
          </cell>
          <cell r="AG123" t="str">
            <v>................................</v>
          </cell>
          <cell r="AH123" t="str">
            <v>Nguyễn Ái Việt</v>
          </cell>
          <cell r="AI123" t="str">
            <v>Chỉ huy trưởng</v>
          </cell>
          <cell r="AJ123" t="str">
            <v>Hoàng Chiến Thắng</v>
          </cell>
          <cell r="AK123" t="str">
            <v>P. Chỉ huy trưởng</v>
          </cell>
          <cell r="AL123" t="str">
            <v>Trịnh Quang Đức</v>
          </cell>
          <cell r="AM123" t="str">
            <v>Cán bộ kỹ thuật</v>
          </cell>
          <cell r="AN123" t="str">
            <v>KC-00</v>
          </cell>
          <cell r="AQ123" t="str">
            <v>Ngày 29 Tháng 8 Năm 2015</v>
          </cell>
        </row>
        <row r="124">
          <cell r="A124" t="str">
            <v>CKBTTB-15</v>
          </cell>
          <cell r="B124" t="str">
            <v>Cấu kiện bê tông thang bộ TB tầng 10, 11 trục Y5'÷Y7'/X8+2,55m; thang bộ TB tầng 11 trục X2÷X4/Y1+2,55m; thang bộ LT tầng 11</v>
          </cell>
          <cell r="C124" t="str">
            <v>CKBTTB-15</v>
          </cell>
          <cell r="D124" t="str">
            <v>8h00</v>
          </cell>
          <cell r="E124" t="str">
            <v>9h00</v>
          </cell>
          <cell r="F124">
            <v>7</v>
          </cell>
          <cell r="G124">
            <v>9</v>
          </cell>
          <cell r="H124">
            <v>2015</v>
          </cell>
          <cell r="I124" t="str">
            <v>Hà Nội, ngày 7 tháng 9 năm 2015</v>
          </cell>
          <cell r="J124" t="str">
            <v>8h00 ngày 7 tháng 9 năm 2015</v>
          </cell>
          <cell r="K124" t="str">
            <v>9h00 ngày 7 tháng 9 năm 2015</v>
          </cell>
          <cell r="L124" t="str">
            <v>9h00</v>
          </cell>
          <cell r="M124" t="str">
            <v>10h00</v>
          </cell>
          <cell r="N124">
            <v>7</v>
          </cell>
          <cell r="O124">
            <v>9</v>
          </cell>
          <cell r="P124">
            <v>2015</v>
          </cell>
          <cell r="Q124" t="str">
            <v>Hà Nội, ngày 7 tháng 9 năm 2015</v>
          </cell>
          <cell r="R124" t="str">
            <v>9h00 ngày 7 tháng 9 năm 2015</v>
          </cell>
          <cell r="S124" t="str">
            <v>10h00 ngày 7 tháng 9 năm 2015</v>
          </cell>
          <cell r="T124" t="str">
            <v>9h00</v>
          </cell>
          <cell r="U124" t="str">
            <v>9h00 Ngày 7/9/2015</v>
          </cell>
          <cell r="V124" t="str">
            <v>Nguyễn Ái Việt</v>
          </cell>
          <cell r="W124" t="str">
            <v>Chỉ huy trưởng</v>
          </cell>
          <cell r="X124" t="str">
            <v>................................</v>
          </cell>
          <cell r="Y124" t="str">
            <v>................................</v>
          </cell>
          <cell r="Z124" t="str">
            <v>Nguyễn Văn Nghiễm</v>
          </cell>
          <cell r="AA124" t="str">
            <v>Cán bộ KCS</v>
          </cell>
          <cell r="AB124" t="str">
            <v>Vương Toàn Hiếu</v>
          </cell>
          <cell r="AC124" t="str">
            <v>Trưởng đoàn TVGS</v>
          </cell>
          <cell r="AD124" t="str">
            <v>Lê Thiều Nam</v>
          </cell>
          <cell r="AE124" t="str">
            <v>Cán bộ TVGS</v>
          </cell>
          <cell r="AF124" t="str">
            <v>................................</v>
          </cell>
          <cell r="AG124" t="str">
            <v>................................</v>
          </cell>
          <cell r="AH124" t="str">
            <v>Nguyễn Ái Việt</v>
          </cell>
          <cell r="AI124" t="str">
            <v>Chỉ huy trưởng</v>
          </cell>
          <cell r="AJ124" t="str">
            <v>Hoàng Chiến Thắng</v>
          </cell>
          <cell r="AK124" t="str">
            <v>P. Chỉ huy trưởng</v>
          </cell>
          <cell r="AL124" t="str">
            <v>Trịnh Quang Đức</v>
          </cell>
          <cell r="AM124" t="str">
            <v>Cán bộ kỹ thuật</v>
          </cell>
          <cell r="AN124" t="str">
            <v>KC-00</v>
          </cell>
          <cell r="AQ124" t="str">
            <v>Ngày 7 Tháng 9 Năm 2015</v>
          </cell>
        </row>
        <row r="125">
          <cell r="X125" t="str">
            <v>................................</v>
          </cell>
          <cell r="Y125" t="str">
            <v>................................</v>
          </cell>
          <cell r="Z125" t="str">
            <v>Nguyễn Văn Nghiễm</v>
          </cell>
          <cell r="AA125" t="str">
            <v>Cán bộ KCS</v>
          </cell>
          <cell r="AB125" t="str">
            <v>Vương Toàn Hiếu</v>
          </cell>
          <cell r="AC125" t="str">
            <v>Trưởng đoàn TVGS</v>
          </cell>
          <cell r="AD125" t="str">
            <v>Lê Thiều Nam</v>
          </cell>
          <cell r="AE125" t="str">
            <v>Cán bộ TVGS</v>
          </cell>
          <cell r="AF125" t="str">
            <v>................................</v>
          </cell>
          <cell r="AG125" t="str">
            <v>................................</v>
          </cell>
          <cell r="AH125" t="str">
            <v>Nguyễn Ái Việt</v>
          </cell>
          <cell r="AI125" t="str">
            <v>Chỉ huy trưởng</v>
          </cell>
          <cell r="AJ125" t="str">
            <v>Hoàng Chiến Thắng</v>
          </cell>
          <cell r="AK125" t="str">
            <v>P. Chỉ huy trưởng</v>
          </cell>
          <cell r="AL125" t="str">
            <v>Trịnh Quang Đức</v>
          </cell>
          <cell r="AM125" t="str">
            <v>Cán bộ kỹ thuật</v>
          </cell>
          <cell r="AQ125" t="str">
            <v xml:space="preserve">Ngày  Tháng  Năm </v>
          </cell>
        </row>
        <row r="129">
          <cell r="A129">
            <v>1</v>
          </cell>
          <cell r="B129">
            <v>2</v>
          </cell>
          <cell r="C129">
            <v>3</v>
          </cell>
          <cell r="D129">
            <v>4</v>
          </cell>
          <cell r="E129">
            <v>5</v>
          </cell>
          <cell r="F129">
            <v>6</v>
          </cell>
          <cell r="G129">
            <v>7</v>
          </cell>
          <cell r="H129">
            <v>8</v>
          </cell>
          <cell r="I129">
            <v>9</v>
          </cell>
          <cell r="J129">
            <v>10</v>
          </cell>
          <cell r="K129">
            <v>11</v>
          </cell>
          <cell r="L129">
            <v>12</v>
          </cell>
          <cell r="M129">
            <v>13</v>
          </cell>
          <cell r="N129">
            <v>14</v>
          </cell>
          <cell r="O129">
            <v>15</v>
          </cell>
          <cell r="P129">
            <v>16</v>
          </cell>
          <cell r="Q129">
            <v>17</v>
          </cell>
          <cell r="R129">
            <v>18</v>
          </cell>
          <cell r="S129">
            <v>19</v>
          </cell>
          <cell r="T129">
            <v>20</v>
          </cell>
          <cell r="U129">
            <v>21</v>
          </cell>
          <cell r="V129">
            <v>22</v>
          </cell>
          <cell r="W129">
            <v>23</v>
          </cell>
          <cell r="X129">
            <v>24</v>
          </cell>
          <cell r="Y129">
            <v>25</v>
          </cell>
          <cell r="Z129">
            <v>26</v>
          </cell>
          <cell r="AA129">
            <v>27</v>
          </cell>
          <cell r="AB129">
            <v>28</v>
          </cell>
          <cell r="AC129">
            <v>29</v>
          </cell>
          <cell r="AD129">
            <v>30</v>
          </cell>
          <cell r="AE129">
            <v>31</v>
          </cell>
          <cell r="AF129">
            <v>32</v>
          </cell>
          <cell r="AG129">
            <v>33</v>
          </cell>
          <cell r="AH129">
            <v>34</v>
          </cell>
          <cell r="AI129">
            <v>35</v>
          </cell>
          <cell r="AJ129">
            <v>36</v>
          </cell>
          <cell r="AK129">
            <v>37</v>
          </cell>
          <cell r="AL129">
            <v>38</v>
          </cell>
          <cell r="AM129">
            <v>39</v>
          </cell>
          <cell r="AN129">
            <v>40</v>
          </cell>
          <cell r="AO129">
            <v>41</v>
          </cell>
          <cell r="AP129">
            <v>42</v>
          </cell>
        </row>
      </sheetData>
      <sheetData sheetId="42">
        <row r="2">
          <cell r="A2" t="str">
            <v>CÔNG TY CP HỒNG HÀ VIỆT NAM</v>
          </cell>
          <cell r="M2" t="str">
            <v>CỘNG HÒA XÃ HỘI CHỦ NGHĨA VIỆT NAM</v>
          </cell>
        </row>
        <row r="3">
          <cell r="M3" t="str">
            <v>ĐỘC LẬP-TỰ DO -HẠNH PHÚC</v>
          </cell>
        </row>
        <row r="5">
          <cell r="A5" t="str">
            <v>BBNT TRAC DAC TX</v>
          </cell>
          <cell r="AO5" t="str">
            <v>FILE IN</v>
          </cell>
          <cell r="AP5" t="str">
            <v>List BBNT</v>
          </cell>
          <cell r="AR5" t="str">
            <v>DANH MỤC</v>
          </cell>
        </row>
        <row r="6">
          <cell r="A6" t="str">
            <v>XÂY DỰNG NHÀ Ở XÃ HỘI ĐỂ BÁN VÀ CHO THUÊ</v>
          </cell>
        </row>
        <row r="7">
          <cell r="A7" t="str">
            <v>CT6</v>
          </cell>
        </row>
        <row r="9">
          <cell r="A9" t="str">
            <v>Stt</v>
          </cell>
          <cell r="B9" t="str">
            <v>Nội dung</v>
          </cell>
          <cell r="C9" t="str">
            <v>Số biên bản</v>
          </cell>
          <cell r="D9" t="str">
            <v>Nghiệm Thu Nội Bộ</v>
          </cell>
          <cell r="I9" t="str">
            <v>Ngày tháng năm</v>
          </cell>
          <cell r="J9" t="str">
            <v>Bắt đầu</v>
          </cell>
          <cell r="K9" t="str">
            <v>Kết thúc</v>
          </cell>
          <cell r="L9" t="str">
            <v xml:space="preserve"> Nghiệm Thu Công Việc</v>
          </cell>
          <cell r="Q9" t="str">
            <v>Ngày tháng năm</v>
          </cell>
          <cell r="R9" t="str">
            <v>Bắt đầu</v>
          </cell>
          <cell r="S9" t="str">
            <v>Kết thúc</v>
          </cell>
          <cell r="T9" t="str">
            <v>Yêu Cầu Nghiệm Thu</v>
          </cell>
          <cell r="X9" t="str">
            <v>Người ký của BQLDA</v>
          </cell>
          <cell r="AB9" t="str">
            <v>Người ký của TVGS</v>
          </cell>
          <cell r="AH9" t="str">
            <v>Người ký của Nhà Thầu</v>
          </cell>
          <cell r="AN9" t="str">
            <v>Bản vẽ tham chiếu</v>
          </cell>
          <cell r="AO9" t="str">
            <v>Bản vẽ (phiếu xử lý)</v>
          </cell>
          <cell r="AP9" t="str">
            <v>Thanh toán đợt</v>
          </cell>
          <cell r="AQ9" t="str">
            <v>Vật tư</v>
          </cell>
        </row>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TĐTX-01</v>
          </cell>
          <cell r="B11" t="str">
            <v>-Trắc đạc định vị tường xây tầng 01</v>
          </cell>
          <cell r="C11" t="str">
            <v>TĐTX-01</v>
          </cell>
          <cell r="D11" t="str">
            <v>9h00</v>
          </cell>
          <cell r="E11" t="str">
            <v>10h00</v>
          </cell>
          <cell r="F11">
            <v>5</v>
          </cell>
          <cell r="G11">
            <v>3</v>
          </cell>
          <cell r="H11">
            <v>2015</v>
          </cell>
          <cell r="I11" t="str">
            <v>Hà Nội, ngày 5 tháng 3 năm 2015</v>
          </cell>
          <cell r="J11" t="str">
            <v>9h00 ngày 5 tháng 3 năm 2015</v>
          </cell>
          <cell r="K11" t="str">
            <v>10h00 ngày 5 tháng 3 năm 2015</v>
          </cell>
          <cell r="L11" t="str">
            <v>10h00</v>
          </cell>
          <cell r="M11" t="str">
            <v>11h00</v>
          </cell>
          <cell r="N11">
            <v>5</v>
          </cell>
          <cell r="O11">
            <v>3</v>
          </cell>
          <cell r="P11">
            <v>2015</v>
          </cell>
          <cell r="Q11" t="str">
            <v>Hà Nội, ngày 5 tháng 3 năm 2015</v>
          </cell>
          <cell r="R11" t="str">
            <v>10h00 ngày 5 tháng 3 năm 2015</v>
          </cell>
          <cell r="S11" t="str">
            <v>11h00 ngày 5 tháng 3 năm 2015</v>
          </cell>
          <cell r="T11" t="str">
            <v>10h00</v>
          </cell>
          <cell r="U11" t="str">
            <v>5/3/2015; Giờ 10h00</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KT-101 ĐC1; KT-101</v>
          </cell>
          <cell r="AQ11" t="str">
            <v>Ngày 5 Tháng 3 Năm 2015</v>
          </cell>
        </row>
        <row r="12">
          <cell r="A12" t="str">
            <v>TĐTX-02</v>
          </cell>
          <cell r="B12" t="str">
            <v>-Trắc đạc định vị tường xây tầng 02</v>
          </cell>
          <cell r="C12" t="str">
            <v>TĐTX-02</v>
          </cell>
          <cell r="D12" t="str">
            <v>9h00</v>
          </cell>
          <cell r="E12" t="str">
            <v>10h00</v>
          </cell>
          <cell r="F12">
            <v>4</v>
          </cell>
          <cell r="G12">
            <v>4</v>
          </cell>
          <cell r="H12">
            <v>2015</v>
          </cell>
          <cell r="I12" t="str">
            <v>Hà Nội, ngày 4 tháng 4 năm 2015</v>
          </cell>
          <cell r="J12" t="str">
            <v>9h00 ngày 4 tháng 4 năm 2015</v>
          </cell>
          <cell r="K12" t="str">
            <v>10h00 ngày 4 tháng 4 năm 2015</v>
          </cell>
          <cell r="L12" t="str">
            <v>10h00</v>
          </cell>
          <cell r="M12" t="str">
            <v>11h00</v>
          </cell>
          <cell r="N12">
            <v>4</v>
          </cell>
          <cell r="O12">
            <v>4</v>
          </cell>
          <cell r="P12">
            <v>2015</v>
          </cell>
          <cell r="Q12" t="str">
            <v>Hà Nội, ngày 4 tháng 4 năm 2015</v>
          </cell>
          <cell r="R12" t="str">
            <v>10h00 ngày 4 tháng 4 năm 2015</v>
          </cell>
          <cell r="S12" t="str">
            <v>11h00 ngày 4 tháng 4 năm 2015</v>
          </cell>
          <cell r="T12" t="str">
            <v>10h00</v>
          </cell>
          <cell r="U12" t="str">
            <v>4/4/2015; Giờ 10h00</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KT-102 ĐC1; KT-102</v>
          </cell>
          <cell r="AQ12" t="str">
            <v>Ngày 4 Tháng 4 Năm 2015</v>
          </cell>
        </row>
        <row r="13">
          <cell r="A13" t="str">
            <v>TĐTX-03</v>
          </cell>
          <cell r="B13" t="str">
            <v>-Trắc đạc định vị tường xây tầng 03</v>
          </cell>
          <cell r="C13" t="str">
            <v>TĐTX-03</v>
          </cell>
          <cell r="D13" t="str">
            <v>8h00</v>
          </cell>
          <cell r="E13" t="str">
            <v>9h00</v>
          </cell>
          <cell r="F13">
            <v>14</v>
          </cell>
          <cell r="G13">
            <v>4</v>
          </cell>
          <cell r="H13">
            <v>2015</v>
          </cell>
          <cell r="I13" t="str">
            <v>Hà Nội, ngày 14 tháng 4 năm 2015</v>
          </cell>
          <cell r="J13" t="str">
            <v>8h00 ngày 14 tháng 4 năm 2015</v>
          </cell>
          <cell r="K13" t="str">
            <v>9h00 ngày 14 tháng 4 năm 2015</v>
          </cell>
          <cell r="L13" t="str">
            <v>9h00</v>
          </cell>
          <cell r="M13" t="str">
            <v>10h00</v>
          </cell>
          <cell r="N13">
            <v>14</v>
          </cell>
          <cell r="O13">
            <v>4</v>
          </cell>
          <cell r="P13">
            <v>2015</v>
          </cell>
          <cell r="Q13" t="str">
            <v>Hà Nội, ngày 14 tháng 4 năm 2015</v>
          </cell>
          <cell r="R13" t="str">
            <v>9h00 ngày 14 tháng 4 năm 2015</v>
          </cell>
          <cell r="S13" t="str">
            <v>10h00 ngày 14 tháng 4 năm 2015</v>
          </cell>
          <cell r="T13" t="str">
            <v>9h00</v>
          </cell>
          <cell r="U13" t="str">
            <v>14/4/2015; Giờ 9h00</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KT-103 ĐC1; KT-103</v>
          </cell>
          <cell r="AQ13" t="str">
            <v>Ngày 14 Tháng 4 Năm 2015</v>
          </cell>
        </row>
        <row r="14">
          <cell r="A14" t="str">
            <v>TĐTX-04</v>
          </cell>
          <cell r="B14" t="str">
            <v>-Trắc đạc định vị tường xây tầng 04</v>
          </cell>
          <cell r="C14" t="str">
            <v>TĐTX-04</v>
          </cell>
          <cell r="D14" t="str">
            <v>8h30</v>
          </cell>
          <cell r="E14" t="str">
            <v>9h30</v>
          </cell>
          <cell r="F14">
            <v>3</v>
          </cell>
          <cell r="G14">
            <v>5</v>
          </cell>
          <cell r="H14">
            <v>2015</v>
          </cell>
          <cell r="I14" t="str">
            <v>Hà Nội, ngày 3 tháng 5 năm 2015</v>
          </cell>
          <cell r="J14" t="str">
            <v>8h30 ngày 3 tháng 5 năm 2015</v>
          </cell>
          <cell r="K14" t="str">
            <v>9h30 ngày 3 tháng 5 năm 2015</v>
          </cell>
          <cell r="L14" t="str">
            <v>9h30</v>
          </cell>
          <cell r="M14" t="str">
            <v>10h30</v>
          </cell>
          <cell r="N14">
            <v>3</v>
          </cell>
          <cell r="O14">
            <v>5</v>
          </cell>
          <cell r="P14">
            <v>2015</v>
          </cell>
          <cell r="Q14" t="str">
            <v>Hà Nội, ngày 3 tháng 5 năm 2015</v>
          </cell>
          <cell r="R14" t="str">
            <v>9h30 ngày 3 tháng 5 năm 2015</v>
          </cell>
          <cell r="S14" t="str">
            <v>10h30 ngày 3 tháng 5 năm 2015</v>
          </cell>
          <cell r="T14" t="str">
            <v>9h30</v>
          </cell>
          <cell r="U14" t="str">
            <v>3/5/2015; Giờ 9h30</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KT-104 ĐC1; KT-104</v>
          </cell>
          <cell r="AQ14" t="str">
            <v>Ngày 3 Tháng 5 Năm 2015</v>
          </cell>
        </row>
        <row r="15">
          <cell r="A15" t="str">
            <v>TĐTX-05</v>
          </cell>
          <cell r="B15" t="str">
            <v>-Trắc đạc định vị tường xây tầng 05</v>
          </cell>
          <cell r="C15" t="str">
            <v>TĐTX-05</v>
          </cell>
          <cell r="D15" t="str">
            <v>9h00</v>
          </cell>
          <cell r="E15" t="str">
            <v>10h00</v>
          </cell>
          <cell r="F15">
            <v>16</v>
          </cell>
          <cell r="G15">
            <v>5</v>
          </cell>
          <cell r="H15">
            <v>2015</v>
          </cell>
          <cell r="I15" t="str">
            <v>Hà Nội, ngày 16 tháng 5 năm 2015</v>
          </cell>
          <cell r="J15" t="str">
            <v>9h00 ngày 16 tháng 5 năm 2015</v>
          </cell>
          <cell r="K15" t="str">
            <v>10h00 ngày 16 tháng 5 năm 2015</v>
          </cell>
          <cell r="L15" t="str">
            <v>10h00</v>
          </cell>
          <cell r="M15" t="str">
            <v>11h00</v>
          </cell>
          <cell r="N15">
            <v>16</v>
          </cell>
          <cell r="O15">
            <v>5</v>
          </cell>
          <cell r="P15">
            <v>2015</v>
          </cell>
          <cell r="Q15" t="str">
            <v>Hà Nội, ngày 16 tháng 5 năm 2015</v>
          </cell>
          <cell r="R15" t="str">
            <v>10h00 ngày 16 tháng 5 năm 2015</v>
          </cell>
          <cell r="S15" t="str">
            <v>11h00 ngày 16 tháng 5 năm 2015</v>
          </cell>
          <cell r="T15" t="str">
            <v>10h00</v>
          </cell>
          <cell r="U15" t="str">
            <v>16/5/2015; Giờ 10h00</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KT-104 ĐC1; KT-104</v>
          </cell>
          <cell r="AQ15" t="str">
            <v>Ngày 16 Tháng 5 Năm 2015</v>
          </cell>
        </row>
        <row r="16">
          <cell r="A16" t="str">
            <v>TĐTX-06</v>
          </cell>
          <cell r="B16" t="str">
            <v>-Trắc đạc định vị tường xây tầng 06</v>
          </cell>
          <cell r="C16" t="str">
            <v>TĐTX-06</v>
          </cell>
          <cell r="D16" t="str">
            <v>8h30</v>
          </cell>
          <cell r="E16" t="str">
            <v>9h30</v>
          </cell>
          <cell r="F16">
            <v>28</v>
          </cell>
          <cell r="G16">
            <v>5</v>
          </cell>
          <cell r="H16">
            <v>2015</v>
          </cell>
          <cell r="I16" t="str">
            <v>Hà Nội, ngày 28 tháng 5 năm 2015</v>
          </cell>
          <cell r="J16" t="str">
            <v>8h30 ngày 28 tháng 5 năm 2015</v>
          </cell>
          <cell r="K16" t="str">
            <v>9h30 ngày 28 tháng 5 năm 2015</v>
          </cell>
          <cell r="L16" t="str">
            <v>9h30</v>
          </cell>
          <cell r="M16" t="str">
            <v>10h30</v>
          </cell>
          <cell r="N16">
            <v>28</v>
          </cell>
          <cell r="O16">
            <v>5</v>
          </cell>
          <cell r="P16">
            <v>2015</v>
          </cell>
          <cell r="Q16" t="str">
            <v>Hà Nội, ngày 28 tháng 5 năm 2015</v>
          </cell>
          <cell r="R16" t="str">
            <v>9h30 ngày 28 tháng 5 năm 2015</v>
          </cell>
          <cell r="S16" t="str">
            <v>10h30 ngày 28 tháng 5 năm 2015</v>
          </cell>
          <cell r="T16" t="str">
            <v>9h30</v>
          </cell>
          <cell r="U16" t="str">
            <v>28/5/2015; Giờ 9h30</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KT-104 ĐC1; KT-104</v>
          </cell>
          <cell r="AQ16" t="str">
            <v>Ngày 28 Tháng 5 Năm 2015</v>
          </cell>
        </row>
        <row r="17">
          <cell r="A17" t="str">
            <v>TĐTX-07</v>
          </cell>
          <cell r="B17" t="str">
            <v>-Trắc đạc định vị tường xây tầng 07</v>
          </cell>
          <cell r="C17" t="str">
            <v>TĐTX-07</v>
          </cell>
          <cell r="D17" t="str">
            <v>8h00</v>
          </cell>
          <cell r="E17" t="str">
            <v>9h00</v>
          </cell>
          <cell r="F17">
            <v>13</v>
          </cell>
          <cell r="G17">
            <v>6</v>
          </cell>
          <cell r="H17">
            <v>2015</v>
          </cell>
          <cell r="I17" t="str">
            <v>Hà Nội, ngày 13 tháng 6 năm 2015</v>
          </cell>
          <cell r="J17" t="str">
            <v>8h00 ngày 13 tháng 6 năm 2015</v>
          </cell>
          <cell r="K17" t="str">
            <v>9h00 ngày 13 tháng 6 năm 2015</v>
          </cell>
          <cell r="L17" t="str">
            <v>9h00</v>
          </cell>
          <cell r="M17" t="str">
            <v>10h00</v>
          </cell>
          <cell r="N17">
            <v>13</v>
          </cell>
          <cell r="O17">
            <v>6</v>
          </cell>
          <cell r="P17">
            <v>2015</v>
          </cell>
          <cell r="Q17" t="str">
            <v>Hà Nội, ngày 13 tháng 6 năm 2015</v>
          </cell>
          <cell r="R17" t="str">
            <v>9h00 ngày 13 tháng 6 năm 2015</v>
          </cell>
          <cell r="S17" t="str">
            <v>10h00 ngày 13 tháng 6 năm 2015</v>
          </cell>
          <cell r="T17" t="str">
            <v>9h00</v>
          </cell>
          <cell r="U17" t="str">
            <v>13/6/2015; Giờ 9h00</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KT-104 ĐC1; KT-104</v>
          </cell>
          <cell r="AQ17" t="str">
            <v>Ngày 13 Tháng 6 Năm 2015</v>
          </cell>
        </row>
        <row r="18">
          <cell r="A18" t="str">
            <v>TĐTX-08</v>
          </cell>
          <cell r="B18" t="str">
            <v>-Trắc đạc định vị tường xây tầng 08</v>
          </cell>
          <cell r="C18" t="str">
            <v>TĐTX-08</v>
          </cell>
          <cell r="D18" t="str">
            <v>8h30</v>
          </cell>
          <cell r="E18" t="str">
            <v>9h30</v>
          </cell>
          <cell r="F18">
            <v>7</v>
          </cell>
          <cell r="G18">
            <v>7</v>
          </cell>
          <cell r="H18">
            <v>2015</v>
          </cell>
          <cell r="I18" t="str">
            <v>Hà Nội, ngày 7 tháng 7 năm 2015</v>
          </cell>
          <cell r="J18" t="str">
            <v>8h30 ngày 7 tháng 7 năm 2015</v>
          </cell>
          <cell r="K18" t="str">
            <v>9h30 ngày 7 tháng 7 năm 2015</v>
          </cell>
          <cell r="L18" t="str">
            <v>9h30</v>
          </cell>
          <cell r="M18" t="str">
            <v>10h30</v>
          </cell>
          <cell r="N18">
            <v>7</v>
          </cell>
          <cell r="O18">
            <v>7</v>
          </cell>
          <cell r="P18">
            <v>2015</v>
          </cell>
          <cell r="Q18" t="str">
            <v>Hà Nội, ngày 7 tháng 7 năm 2015</v>
          </cell>
          <cell r="R18" t="str">
            <v>9h30 ngày 7 tháng 7 năm 2015</v>
          </cell>
          <cell r="S18" t="str">
            <v>10h30 ngày 7 tháng 7 năm 2015</v>
          </cell>
          <cell r="T18" t="str">
            <v>9h30</v>
          </cell>
          <cell r="U18" t="str">
            <v>7/7/2015; Giờ 9h30</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KT-104 ĐC1; KT-104</v>
          </cell>
          <cell r="AQ18" t="str">
            <v>Ngày 7 Tháng 7 Năm 2015</v>
          </cell>
        </row>
        <row r="19">
          <cell r="A19" t="str">
            <v>TĐTX-09</v>
          </cell>
          <cell r="B19" t="str">
            <v>-Trắc đạc định vị tường xây tầng 09</v>
          </cell>
          <cell r="C19" t="str">
            <v>TĐTX-09</v>
          </cell>
          <cell r="D19" t="str">
            <v>9h30</v>
          </cell>
          <cell r="E19" t="str">
            <v>10h30</v>
          </cell>
          <cell r="F19">
            <v>8</v>
          </cell>
          <cell r="G19">
            <v>7</v>
          </cell>
          <cell r="H19">
            <v>2015</v>
          </cell>
          <cell r="I19" t="str">
            <v>Hà Nội, ngày 8 tháng 7 năm 2015</v>
          </cell>
          <cell r="J19" t="str">
            <v>9h30 ngày 8 tháng 7 năm 2015</v>
          </cell>
          <cell r="K19" t="str">
            <v>10h30 ngày 8 tháng 7 năm 2015</v>
          </cell>
          <cell r="L19" t="str">
            <v>10h30</v>
          </cell>
          <cell r="M19" t="str">
            <v>11h30</v>
          </cell>
          <cell r="N19">
            <v>8</v>
          </cell>
          <cell r="O19">
            <v>7</v>
          </cell>
          <cell r="P19">
            <v>2015</v>
          </cell>
          <cell r="Q19" t="str">
            <v>Hà Nội, ngày 8 tháng 7 năm 2015</v>
          </cell>
          <cell r="R19" t="str">
            <v>10h30 ngày 8 tháng 7 năm 2015</v>
          </cell>
          <cell r="S19" t="str">
            <v>11h30 ngày 8 tháng 7 năm 2015</v>
          </cell>
          <cell r="T19" t="str">
            <v>10h30</v>
          </cell>
          <cell r="U19" t="str">
            <v>8/7/2015; Giờ 10h30</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KT-104 ĐC1; KT-104</v>
          </cell>
          <cell r="AQ19" t="str">
            <v>Ngày 8 Tháng 7 Năm 2015</v>
          </cell>
        </row>
        <row r="20">
          <cell r="A20" t="str">
            <v>TĐTX-10</v>
          </cell>
          <cell r="B20" t="str">
            <v>-Trắc đạc định vị tường xây tầng 10</v>
          </cell>
          <cell r="C20" t="str">
            <v>TĐTX-10</v>
          </cell>
          <cell r="D20" t="str">
            <v>8h00</v>
          </cell>
          <cell r="E20" t="str">
            <v>9h00</v>
          </cell>
          <cell r="F20">
            <v>14</v>
          </cell>
          <cell r="G20">
            <v>7</v>
          </cell>
          <cell r="H20">
            <v>2015</v>
          </cell>
          <cell r="I20" t="str">
            <v>Hà Nội, ngày 14 tháng 7 năm 2015</v>
          </cell>
          <cell r="J20" t="str">
            <v>8h00 ngày 14 tháng 7 năm 2015</v>
          </cell>
          <cell r="K20" t="str">
            <v>9h00 ngày 14 tháng 7 năm 2015</v>
          </cell>
          <cell r="L20" t="str">
            <v>9h00</v>
          </cell>
          <cell r="M20" t="str">
            <v>10h00</v>
          </cell>
          <cell r="N20">
            <v>14</v>
          </cell>
          <cell r="O20">
            <v>7</v>
          </cell>
          <cell r="P20">
            <v>2015</v>
          </cell>
          <cell r="Q20" t="str">
            <v>Hà Nội, ngày 14 tháng 7 năm 2015</v>
          </cell>
          <cell r="R20" t="str">
            <v>9h00 ngày 14 tháng 7 năm 2015</v>
          </cell>
          <cell r="S20" t="str">
            <v>10h00 ngày 14 tháng 7 năm 2015</v>
          </cell>
          <cell r="T20" t="str">
            <v>9h00</v>
          </cell>
          <cell r="U20" t="str">
            <v>14/7/2015; Giờ 9h00</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KT-104 ĐC1; KT-104</v>
          </cell>
          <cell r="AQ20" t="str">
            <v>Ngày 14 Tháng 7 Năm 2015</v>
          </cell>
        </row>
        <row r="21">
          <cell r="A21" t="str">
            <v>TĐTX-11</v>
          </cell>
          <cell r="B21" t="str">
            <v>-Trắc đạc định vị tường xây tầng 11</v>
          </cell>
          <cell r="C21" t="str">
            <v>TĐTX-11</v>
          </cell>
          <cell r="D21" t="str">
            <v>9h00</v>
          </cell>
          <cell r="E21" t="str">
            <v>10h00</v>
          </cell>
          <cell r="F21">
            <v>24</v>
          </cell>
          <cell r="G21">
            <v>7</v>
          </cell>
          <cell r="H21">
            <v>2015</v>
          </cell>
          <cell r="I21" t="str">
            <v>Hà Nội, ngày 24 tháng 7 năm 2015</v>
          </cell>
          <cell r="J21" t="str">
            <v>9h00 ngày 24 tháng 7 năm 2015</v>
          </cell>
          <cell r="K21" t="str">
            <v>10h00 ngày 24 tháng 7 năm 2015</v>
          </cell>
          <cell r="L21" t="str">
            <v>10h00</v>
          </cell>
          <cell r="M21" t="str">
            <v>11h00</v>
          </cell>
          <cell r="N21">
            <v>24</v>
          </cell>
          <cell r="O21">
            <v>7</v>
          </cell>
          <cell r="P21">
            <v>2015</v>
          </cell>
          <cell r="Q21" t="str">
            <v>Hà Nội, ngày 24 tháng 7 năm 2015</v>
          </cell>
          <cell r="R21" t="str">
            <v>10h00 ngày 24 tháng 7 năm 2015</v>
          </cell>
          <cell r="S21" t="str">
            <v>11h00 ngày 24 tháng 7 năm 2015</v>
          </cell>
          <cell r="T21" t="str">
            <v>10h00</v>
          </cell>
          <cell r="U21" t="str">
            <v>24/7/2015; Giờ 10h00</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KT-104 ĐC1; KT-104</v>
          </cell>
          <cell r="AQ21" t="str">
            <v>Ngày 24 Tháng 7 Năm 2015</v>
          </cell>
        </row>
        <row r="22">
          <cell r="A22" t="str">
            <v>TĐTX-12</v>
          </cell>
          <cell r="B22" t="str">
            <v>-Trắc đạc định vị tường xây tầng áp mái</v>
          </cell>
          <cell r="C22" t="str">
            <v>TĐTX-12</v>
          </cell>
          <cell r="D22" t="str">
            <v>8h30</v>
          </cell>
          <cell r="E22" t="str">
            <v>9h30</v>
          </cell>
          <cell r="F22">
            <v>8</v>
          </cell>
          <cell r="G22">
            <v>8</v>
          </cell>
          <cell r="H22">
            <v>2015</v>
          </cell>
          <cell r="I22" t="str">
            <v>Hà Nội, ngày 8 tháng 8 năm 2015</v>
          </cell>
          <cell r="J22" t="str">
            <v>8h30 ngày 8 tháng 8 năm 2015</v>
          </cell>
          <cell r="K22" t="str">
            <v>9h30 ngày 8 tháng 8 năm 2015</v>
          </cell>
          <cell r="L22" t="str">
            <v>9h30</v>
          </cell>
          <cell r="M22" t="str">
            <v>10h30</v>
          </cell>
          <cell r="N22">
            <v>8</v>
          </cell>
          <cell r="O22">
            <v>8</v>
          </cell>
          <cell r="P22">
            <v>2015</v>
          </cell>
          <cell r="Q22" t="str">
            <v>Hà Nội, ngày 8 tháng 8 năm 2015</v>
          </cell>
          <cell r="R22" t="str">
            <v>9h30 ngày 8 tháng 8 năm 2015</v>
          </cell>
          <cell r="S22" t="str">
            <v>10h30 ngày 8 tháng 8 năm 2015</v>
          </cell>
          <cell r="T22" t="str">
            <v>9h30</v>
          </cell>
          <cell r="U22" t="str">
            <v>8/8/2015; Giờ 9h30</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KT-105 ĐC1; KT-105</v>
          </cell>
          <cell r="AQ22" t="str">
            <v>Ngày 8 Tháng 8 Năm 2015</v>
          </cell>
        </row>
        <row r="23">
          <cell r="A23" t="str">
            <v>TĐTX-13</v>
          </cell>
          <cell r="B23" t="str">
            <v>-Trắc đạc định vị tường xây tầng mái</v>
          </cell>
          <cell r="C23" t="str">
            <v>TĐTX-13</v>
          </cell>
          <cell r="D23" t="str">
            <v>14h00</v>
          </cell>
          <cell r="E23" t="str">
            <v>14h30</v>
          </cell>
          <cell r="F23">
            <v>19</v>
          </cell>
          <cell r="G23">
            <v>8</v>
          </cell>
          <cell r="H23">
            <v>2015</v>
          </cell>
          <cell r="I23" t="str">
            <v>Hà Nội, ngày 19 tháng 8 năm 2015</v>
          </cell>
          <cell r="J23" t="str">
            <v>14h00 ngày 19 tháng 8 năm 2015</v>
          </cell>
          <cell r="K23" t="str">
            <v>14h30 ngày 19 tháng 8 năm 2015</v>
          </cell>
          <cell r="L23" t="str">
            <v>14h30</v>
          </cell>
          <cell r="M23" t="str">
            <v>15h00</v>
          </cell>
          <cell r="N23">
            <v>19</v>
          </cell>
          <cell r="O23">
            <v>8</v>
          </cell>
          <cell r="P23">
            <v>2015</v>
          </cell>
          <cell r="Q23" t="str">
            <v>Hà Nội, ngày 19 tháng 8 năm 2015</v>
          </cell>
          <cell r="R23" t="str">
            <v>14h30 ngày 19 tháng 8 năm 2015</v>
          </cell>
          <cell r="S23" t="str">
            <v>15h00 ngày 19 tháng 8 năm 2015</v>
          </cell>
          <cell r="T23" t="str">
            <v>14h30</v>
          </cell>
          <cell r="U23" t="str">
            <v>19/8/2015; Giờ 14h30</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KT-106; KT-112; KT-113</v>
          </cell>
          <cell r="AQ23" t="str">
            <v>Ngày 19 Tháng 8 Năm 2015</v>
          </cell>
        </row>
        <row r="24">
          <cell r="A24" t="str">
            <v>TĐTX-14</v>
          </cell>
          <cell r="B24" t="str">
            <v>Định vị tường xây tầng 01 (phần xây bổ sung)</v>
          </cell>
          <cell r="C24" t="str">
            <v>TĐTX-14</v>
          </cell>
          <cell r="D24" t="str">
            <v>8h00</v>
          </cell>
          <cell r="E24" t="str">
            <v>8h30</v>
          </cell>
          <cell r="F24">
            <v>2</v>
          </cell>
          <cell r="G24">
            <v>10</v>
          </cell>
          <cell r="H24">
            <v>2015</v>
          </cell>
          <cell r="I24" t="str">
            <v>Hà Nội, ngày 2 tháng 10 năm 2015</v>
          </cell>
          <cell r="J24" t="str">
            <v>8h00 ngày 2 tháng 10 năm 2015</v>
          </cell>
          <cell r="K24" t="str">
            <v>8h30 ngày 2 tháng 10 năm 2015</v>
          </cell>
          <cell r="L24" t="str">
            <v>9h00</v>
          </cell>
          <cell r="M24" t="str">
            <v>9h30</v>
          </cell>
          <cell r="N24">
            <v>2</v>
          </cell>
          <cell r="O24">
            <v>10</v>
          </cell>
          <cell r="P24">
            <v>2015</v>
          </cell>
          <cell r="Q24" t="str">
            <v>Hà Nội, ngày 2 tháng 10 năm 2015</v>
          </cell>
          <cell r="R24" t="str">
            <v>9h00 ngày 2 tháng 10 năm 2015</v>
          </cell>
          <cell r="S24" t="str">
            <v>9h30 ngày 2 tháng 10 năm 2015</v>
          </cell>
          <cell r="T24" t="str">
            <v>9h00</v>
          </cell>
          <cell r="U24" t="str">
            <v>2/10/2015; Giờ 9h00</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KT-101 ĐC1</v>
          </cell>
          <cell r="AQ24" t="str">
            <v>Ngày 2 Tháng 10 Năm 2015</v>
          </cell>
        </row>
        <row r="25">
          <cell r="A25" t="str">
            <v>TĐTX-15</v>
          </cell>
          <cell r="C25" t="str">
            <v>TĐTX-15</v>
          </cell>
          <cell r="D25" t="str">
            <v>….h….</v>
          </cell>
          <cell r="E25" t="str">
            <v>….h….</v>
          </cell>
          <cell r="F25" t="str">
            <v>….</v>
          </cell>
          <cell r="G25" t="str">
            <v>….</v>
          </cell>
          <cell r="H25">
            <v>2015</v>
          </cell>
          <cell r="I25" t="str">
            <v>Hà Nội, ngày …. tháng …. năm 2015</v>
          </cell>
          <cell r="J25" t="str">
            <v>….h…. ngày …. tháng …. năm 2015</v>
          </cell>
          <cell r="K25" t="str">
            <v>….h…. ngày …. tháng …. năm 2015</v>
          </cell>
          <cell r="L25" t="str">
            <v>….h….</v>
          </cell>
          <cell r="M25" t="str">
            <v>….h….</v>
          </cell>
          <cell r="N25" t="str">
            <v>….</v>
          </cell>
          <cell r="O25" t="str">
            <v>….</v>
          </cell>
          <cell r="P25">
            <v>2015</v>
          </cell>
          <cell r="Q25" t="str">
            <v>Hà Nội, ngày …. tháng …. năm 2015</v>
          </cell>
          <cell r="R25" t="str">
            <v>….h…. ngày …. tháng …. năm 2015</v>
          </cell>
          <cell r="S25" t="str">
            <v>….h…. ngày …. tháng …. năm 2015</v>
          </cell>
          <cell r="T25" t="str">
            <v>….h….</v>
          </cell>
          <cell r="U25" t="str">
            <v>…./…./2015; Giờ ….h….</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KC-19</v>
          </cell>
          <cell r="AQ25" t="str">
            <v>Ngày …. Tháng …. Năm 2015</v>
          </cell>
        </row>
        <row r="26">
          <cell r="A26" t="str">
            <v>TĐTX-16</v>
          </cell>
          <cell r="C26" t="str">
            <v>TĐTX-16</v>
          </cell>
          <cell r="D26" t="str">
            <v>….h….</v>
          </cell>
          <cell r="E26" t="str">
            <v>….h….</v>
          </cell>
          <cell r="F26" t="str">
            <v>….</v>
          </cell>
          <cell r="G26" t="str">
            <v>….</v>
          </cell>
          <cell r="H26">
            <v>2015</v>
          </cell>
          <cell r="I26" t="str">
            <v>Hà Nội, ngày …. tháng …. năm 2015</v>
          </cell>
          <cell r="J26" t="str">
            <v>….h…. ngày …. tháng …. năm 2015</v>
          </cell>
          <cell r="K26" t="str">
            <v>….h…. ngày …. tháng …. năm 2015</v>
          </cell>
          <cell r="L26" t="str">
            <v>….h….</v>
          </cell>
          <cell r="M26" t="str">
            <v>….h….</v>
          </cell>
          <cell r="N26" t="str">
            <v>….</v>
          </cell>
          <cell r="O26" t="str">
            <v>….</v>
          </cell>
          <cell r="P26">
            <v>2015</v>
          </cell>
          <cell r="Q26" t="str">
            <v>Hà Nội, ngày …. tháng …. năm 2015</v>
          </cell>
          <cell r="R26" t="str">
            <v>….h…. ngày …. tháng …. năm 2015</v>
          </cell>
          <cell r="S26" t="str">
            <v>….h…. ngày …. tháng …. năm 2015</v>
          </cell>
          <cell r="T26" t="str">
            <v>….h….</v>
          </cell>
          <cell r="U26" t="str">
            <v>…./…./2015; Giờ ….h….</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KC-19</v>
          </cell>
          <cell r="AQ26" t="str">
            <v>Ngày …. Tháng …. Năm 2015</v>
          </cell>
        </row>
        <row r="27">
          <cell r="A27" t="str">
            <v>TĐTX-17</v>
          </cell>
          <cell r="C27" t="str">
            <v>TĐTX-17</v>
          </cell>
          <cell r="D27" t="str">
            <v>….h….</v>
          </cell>
          <cell r="E27" t="str">
            <v>….h….</v>
          </cell>
          <cell r="F27" t="str">
            <v>….</v>
          </cell>
          <cell r="G27" t="str">
            <v>….</v>
          </cell>
          <cell r="H27">
            <v>2015</v>
          </cell>
          <cell r="I27" t="str">
            <v>Hà Nội, ngày …. tháng …. năm 2015</v>
          </cell>
          <cell r="J27" t="str">
            <v>….h…. ngày …. tháng …. năm 2015</v>
          </cell>
          <cell r="K27" t="str">
            <v>….h…. ngày …. tháng …. năm 2015</v>
          </cell>
          <cell r="L27" t="str">
            <v>….h….</v>
          </cell>
          <cell r="M27" t="str">
            <v>….h….</v>
          </cell>
          <cell r="N27" t="str">
            <v>….</v>
          </cell>
          <cell r="O27" t="str">
            <v>….</v>
          </cell>
          <cell r="P27">
            <v>2015</v>
          </cell>
          <cell r="Q27" t="str">
            <v>Hà Nội, ngày …. tháng …. năm 2015</v>
          </cell>
          <cell r="R27" t="str">
            <v>….h…. ngày …. tháng …. năm 2015</v>
          </cell>
          <cell r="S27" t="str">
            <v>….h…. ngày …. tháng …. năm 2015</v>
          </cell>
          <cell r="T27" t="str">
            <v>….h….</v>
          </cell>
          <cell r="U27" t="str">
            <v>…./…./2015; Giờ ….h….</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KC-19</v>
          </cell>
          <cell r="AQ27" t="str">
            <v>Ngày …. Tháng …. Năm 2015</v>
          </cell>
        </row>
        <row r="28">
          <cell r="A28" t="str">
            <v>TĐTX-18</v>
          </cell>
          <cell r="C28" t="str">
            <v>TĐTX-18</v>
          </cell>
          <cell r="D28" t="str">
            <v>….h….</v>
          </cell>
          <cell r="E28" t="str">
            <v>….h….</v>
          </cell>
          <cell r="F28" t="str">
            <v>….</v>
          </cell>
          <cell r="G28" t="str">
            <v>….</v>
          </cell>
          <cell r="H28">
            <v>2015</v>
          </cell>
          <cell r="I28" t="str">
            <v>Hà Nội, ngày …. tháng …. năm 2015</v>
          </cell>
          <cell r="J28" t="str">
            <v>….h…. ngày …. tháng …. năm 2015</v>
          </cell>
          <cell r="K28" t="str">
            <v>….h…. ngày …. tháng …. năm 2015</v>
          </cell>
          <cell r="L28" t="str">
            <v>….h….</v>
          </cell>
          <cell r="M28" t="str">
            <v>….h….</v>
          </cell>
          <cell r="N28" t="str">
            <v>….</v>
          </cell>
          <cell r="O28" t="str">
            <v>….</v>
          </cell>
          <cell r="P28">
            <v>2015</v>
          </cell>
          <cell r="Q28" t="str">
            <v>Hà Nội, ngày …. tháng …. năm 2015</v>
          </cell>
          <cell r="R28" t="str">
            <v>….h…. ngày …. tháng …. năm 2015</v>
          </cell>
          <cell r="S28" t="str">
            <v>….h…. ngày …. tháng …. năm 2015</v>
          </cell>
          <cell r="T28" t="str">
            <v>….h….</v>
          </cell>
          <cell r="U28" t="str">
            <v>…./…./2015; Giờ ….h….</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KC-19</v>
          </cell>
          <cell r="AQ28" t="str">
            <v>Ngày …. Tháng …. Năm 2015</v>
          </cell>
        </row>
        <row r="29">
          <cell r="A29" t="str">
            <v>TĐTX-19</v>
          </cell>
          <cell r="C29" t="str">
            <v>TĐTX-19</v>
          </cell>
          <cell r="D29" t="str">
            <v>….h….</v>
          </cell>
          <cell r="E29" t="str">
            <v>….h….</v>
          </cell>
          <cell r="F29" t="str">
            <v>….</v>
          </cell>
          <cell r="G29" t="str">
            <v>….</v>
          </cell>
          <cell r="H29">
            <v>2015</v>
          </cell>
          <cell r="I29" t="str">
            <v>Hà Nội, ngày …. tháng …. năm 2015</v>
          </cell>
          <cell r="J29" t="str">
            <v>….h…. ngày …. tháng …. năm 2015</v>
          </cell>
          <cell r="K29" t="str">
            <v>….h…. ngày …. tháng …. năm 2015</v>
          </cell>
          <cell r="L29" t="str">
            <v>….h….</v>
          </cell>
          <cell r="M29" t="str">
            <v>….h….</v>
          </cell>
          <cell r="N29" t="str">
            <v>….</v>
          </cell>
          <cell r="O29" t="str">
            <v>….</v>
          </cell>
          <cell r="P29">
            <v>2015</v>
          </cell>
          <cell r="Q29" t="str">
            <v>Hà Nội, ngày …. tháng …. năm 2015</v>
          </cell>
          <cell r="R29" t="str">
            <v>….h…. ngày …. tháng …. năm 2015</v>
          </cell>
          <cell r="S29" t="str">
            <v>….h…. ngày …. tháng …. năm 2015</v>
          </cell>
          <cell r="T29" t="str">
            <v>….h….</v>
          </cell>
          <cell r="U29" t="str">
            <v>…./…./2015; Giờ ….h….</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KC-19</v>
          </cell>
          <cell r="AQ29" t="str">
            <v>Ngày …. Tháng …. Năm 2015</v>
          </cell>
        </row>
        <row r="30">
          <cell r="A30" t="str">
            <v>TĐTX-20</v>
          </cell>
          <cell r="C30" t="str">
            <v>TĐTX-20</v>
          </cell>
          <cell r="D30" t="str">
            <v>….h….</v>
          </cell>
          <cell r="E30" t="str">
            <v>….h….</v>
          </cell>
          <cell r="F30" t="str">
            <v>….</v>
          </cell>
          <cell r="G30" t="str">
            <v>….</v>
          </cell>
          <cell r="H30">
            <v>2015</v>
          </cell>
          <cell r="I30" t="str">
            <v>Hà Nội, ngày …. tháng …. năm 2015</v>
          </cell>
          <cell r="J30" t="str">
            <v>….h…. ngày …. tháng …. năm 2015</v>
          </cell>
          <cell r="K30" t="str">
            <v>….h…. ngày …. tháng …. năm 2015</v>
          </cell>
          <cell r="L30" t="str">
            <v>….h….</v>
          </cell>
          <cell r="M30" t="str">
            <v>….h….</v>
          </cell>
          <cell r="N30" t="str">
            <v>….</v>
          </cell>
          <cell r="O30" t="str">
            <v>….</v>
          </cell>
          <cell r="P30">
            <v>2015</v>
          </cell>
          <cell r="Q30" t="str">
            <v>Hà Nội, ngày …. tháng …. năm 2015</v>
          </cell>
          <cell r="R30" t="str">
            <v>….h…. ngày …. tháng …. năm 2015</v>
          </cell>
          <cell r="S30" t="str">
            <v>….h…. ngày …. tháng …. năm 2015</v>
          </cell>
          <cell r="T30" t="str">
            <v>….h….</v>
          </cell>
          <cell r="U30" t="str">
            <v>…./…./2015; Giờ ….h….</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KC-20</v>
          </cell>
          <cell r="AQ30" t="str">
            <v>Ngày …. Tháng …. Năm 2015</v>
          </cell>
        </row>
        <row r="31">
          <cell r="D31" t="str">
            <v>….h….</v>
          </cell>
          <cell r="E31" t="str">
            <v>….h….</v>
          </cell>
          <cell r="F31" t="str">
            <v>….</v>
          </cell>
          <cell r="G31" t="str">
            <v>….</v>
          </cell>
          <cell r="H31">
            <v>2015</v>
          </cell>
          <cell r="I31" t="str">
            <v>Hà Nội, ngày …. tháng …. năm 2015</v>
          </cell>
          <cell r="J31" t="str">
            <v>….h…. ngày …. tháng …. năm 2015</v>
          </cell>
          <cell r="K31" t="str">
            <v>….h…. ngày …. tháng …. năm 2015</v>
          </cell>
          <cell r="L31" t="str">
            <v>….h….</v>
          </cell>
          <cell r="M31" t="str">
            <v>….h….</v>
          </cell>
          <cell r="N31" t="str">
            <v>….</v>
          </cell>
          <cell r="O31" t="str">
            <v>….</v>
          </cell>
          <cell r="P31">
            <v>2015</v>
          </cell>
          <cell r="Q31" t="str">
            <v>Hà Nội, ngày …. tháng …. năm 2015</v>
          </cell>
          <cell r="R31" t="str">
            <v>….h…. ngày …. tháng …. năm 2015</v>
          </cell>
          <cell r="S31" t="str">
            <v>….h…. ngày …. tháng …. năm 2015</v>
          </cell>
          <cell r="T31" t="str">
            <v>….h….</v>
          </cell>
          <cell r="U31" t="str">
            <v>…./…./2015; Giờ ….h….</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2015</v>
          </cell>
        </row>
        <row r="32">
          <cell r="D32" t="str">
            <v>….h….</v>
          </cell>
          <cell r="E32" t="str">
            <v>….h….</v>
          </cell>
          <cell r="F32" t="str">
            <v>….</v>
          </cell>
          <cell r="G32" t="str">
            <v>….</v>
          </cell>
          <cell r="H32">
            <v>2015</v>
          </cell>
          <cell r="I32" t="str">
            <v>Hà Nội, ngày …. tháng …. năm 2015</v>
          </cell>
          <cell r="J32" t="str">
            <v>….h…. ngày …. tháng …. năm 2015</v>
          </cell>
          <cell r="K32" t="str">
            <v>….h…. ngày …. tháng …. năm 2015</v>
          </cell>
          <cell r="L32" t="str">
            <v>….h….</v>
          </cell>
          <cell r="M32" t="str">
            <v>….h….</v>
          </cell>
          <cell r="N32" t="str">
            <v>….</v>
          </cell>
          <cell r="O32" t="str">
            <v>….</v>
          </cell>
          <cell r="P32">
            <v>2015</v>
          </cell>
          <cell r="Q32" t="str">
            <v>Hà Nội, ngày …. tháng …. năm 2015</v>
          </cell>
          <cell r="R32" t="str">
            <v>….h…. ngày …. tháng …. năm 2015</v>
          </cell>
          <cell r="S32" t="str">
            <v>….h…. ngày …. tháng …. năm 2015</v>
          </cell>
          <cell r="T32" t="str">
            <v>….h….</v>
          </cell>
          <cell r="U32" t="str">
            <v>…./…./2015; Giờ ….h….</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2015</v>
          </cell>
        </row>
        <row r="33">
          <cell r="D33" t="str">
            <v>….h….</v>
          </cell>
          <cell r="E33" t="str">
            <v>….h….</v>
          </cell>
          <cell r="F33" t="str">
            <v>….</v>
          </cell>
          <cell r="G33" t="str">
            <v>….</v>
          </cell>
          <cell r="H33">
            <v>2015</v>
          </cell>
          <cell r="I33" t="str">
            <v>Hà Nội, ngày …. tháng …. năm 2015</v>
          </cell>
          <cell r="J33" t="str">
            <v>….h…. ngày …. tháng …. năm 2015</v>
          </cell>
          <cell r="K33" t="str">
            <v>….h…. ngày …. tháng …. năm 2015</v>
          </cell>
          <cell r="L33" t="str">
            <v>….h….</v>
          </cell>
          <cell r="M33" t="str">
            <v>….h….</v>
          </cell>
          <cell r="N33" t="str">
            <v>….</v>
          </cell>
          <cell r="O33" t="str">
            <v>….</v>
          </cell>
          <cell r="P33">
            <v>2015</v>
          </cell>
          <cell r="Q33" t="str">
            <v>Hà Nội, ngày …. tháng …. năm 2015</v>
          </cell>
          <cell r="R33" t="str">
            <v>….h…. ngày …. tháng …. năm 2015</v>
          </cell>
          <cell r="S33" t="str">
            <v>….h…. ngày …. tháng …. năm 2015</v>
          </cell>
          <cell r="T33" t="str">
            <v>….h….</v>
          </cell>
          <cell r="U33" t="str">
            <v>…./…./2015; Giờ ….h….</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 Tháng …. Năm 2015</v>
          </cell>
        </row>
        <row r="34">
          <cell r="D34" t="str">
            <v>….h….</v>
          </cell>
          <cell r="E34" t="str">
            <v>….h….</v>
          </cell>
          <cell r="F34" t="str">
            <v>….</v>
          </cell>
          <cell r="G34" t="str">
            <v>….</v>
          </cell>
          <cell r="H34">
            <v>2015</v>
          </cell>
          <cell r="I34" t="str">
            <v>Hà Nội, ngày …. tháng …. năm 2015</v>
          </cell>
          <cell r="J34" t="str">
            <v>….h…. ngày …. tháng …. năm 2015</v>
          </cell>
          <cell r="K34" t="str">
            <v>….h…. ngày …. tháng …. năm 2015</v>
          </cell>
          <cell r="L34" t="str">
            <v>….h….</v>
          </cell>
          <cell r="M34" t="str">
            <v>….h….</v>
          </cell>
          <cell r="N34" t="str">
            <v>….</v>
          </cell>
          <cell r="O34" t="str">
            <v>….</v>
          </cell>
          <cell r="P34">
            <v>2015</v>
          </cell>
          <cell r="Q34" t="str">
            <v>Hà Nội, ngày …. tháng …. năm 2015</v>
          </cell>
          <cell r="R34" t="str">
            <v>….h…. ngày …. tháng …. năm 2015</v>
          </cell>
          <cell r="S34" t="str">
            <v>….h…. ngày …. tháng …. năm 2015</v>
          </cell>
          <cell r="T34" t="str">
            <v>….h….</v>
          </cell>
          <cell r="U34" t="str">
            <v>…./…./2015; Giờ ….h….</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Q34" t="str">
            <v>Ngày …. Tháng …. Năm 2015</v>
          </cell>
        </row>
        <row r="35">
          <cell r="D35" t="str">
            <v>….h….</v>
          </cell>
          <cell r="E35" t="str">
            <v>….h….</v>
          </cell>
          <cell r="F35" t="str">
            <v>….</v>
          </cell>
          <cell r="G35" t="str">
            <v>….</v>
          </cell>
          <cell r="H35">
            <v>2015</v>
          </cell>
          <cell r="I35" t="str">
            <v>Hà Nội, ngày …. tháng …. năm 2015</v>
          </cell>
          <cell r="J35" t="str">
            <v>….h…. ngày …. tháng …. năm 2015</v>
          </cell>
          <cell r="K35" t="str">
            <v>….h…. ngày …. tháng …. năm 2015</v>
          </cell>
          <cell r="L35" t="str">
            <v>….h….</v>
          </cell>
          <cell r="M35" t="str">
            <v>….h….</v>
          </cell>
          <cell r="N35" t="str">
            <v>….</v>
          </cell>
          <cell r="O35" t="str">
            <v>….</v>
          </cell>
          <cell r="P35">
            <v>2015</v>
          </cell>
          <cell r="Q35" t="str">
            <v>Hà Nội, ngày …. tháng …. năm 2015</v>
          </cell>
          <cell r="R35" t="str">
            <v>….h…. ngày …. tháng …. năm 2015</v>
          </cell>
          <cell r="S35" t="str">
            <v>….h…. ngày …. tháng …. năm 2015</v>
          </cell>
          <cell r="T35" t="str">
            <v>….h….</v>
          </cell>
          <cell r="U35" t="str">
            <v>…./…./2015; Giờ ….h….</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Q35" t="str">
            <v>Ngày …. Tháng …. Năm 2015</v>
          </cell>
        </row>
        <row r="36">
          <cell r="D36" t="str">
            <v>….h….</v>
          </cell>
          <cell r="E36" t="str">
            <v>….h….</v>
          </cell>
          <cell r="F36" t="str">
            <v>….</v>
          </cell>
          <cell r="G36" t="str">
            <v>….</v>
          </cell>
          <cell r="H36">
            <v>2015</v>
          </cell>
          <cell r="I36" t="str">
            <v>Hà Nội, ngày …. tháng …. năm 2015</v>
          </cell>
          <cell r="J36" t="str">
            <v>….h…. ngày …. tháng …. năm 2015</v>
          </cell>
          <cell r="K36" t="str">
            <v>….h…. ngày …. tháng …. năm 2015</v>
          </cell>
          <cell r="L36" t="str">
            <v>….h….</v>
          </cell>
          <cell r="M36" t="str">
            <v>….h….</v>
          </cell>
          <cell r="N36" t="str">
            <v>….</v>
          </cell>
          <cell r="O36" t="str">
            <v>….</v>
          </cell>
          <cell r="P36">
            <v>2015</v>
          </cell>
          <cell r="Q36" t="str">
            <v>Hà Nội, ngày …. tháng …. năm 2015</v>
          </cell>
          <cell r="R36" t="str">
            <v>….h…. ngày …. tháng …. năm 2015</v>
          </cell>
          <cell r="S36" t="str">
            <v>….h…. ngày …. tháng …. năm 2015</v>
          </cell>
          <cell r="T36" t="str">
            <v>….h….</v>
          </cell>
          <cell r="U36" t="str">
            <v>…./…./2015; Giờ ….h….</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Q36" t="str">
            <v>Ngày …. Tháng …. Năm 2015</v>
          </cell>
        </row>
        <row r="37">
          <cell r="D37" t="str">
            <v>….h….</v>
          </cell>
          <cell r="E37" t="str">
            <v>….h….</v>
          </cell>
          <cell r="F37" t="str">
            <v>….</v>
          </cell>
          <cell r="G37" t="str">
            <v>….</v>
          </cell>
          <cell r="H37">
            <v>2015</v>
          </cell>
          <cell r="I37" t="str">
            <v>Hà Nội, ngày …. tháng …. năm 2015</v>
          </cell>
          <cell r="J37" t="str">
            <v>….h…. ngày …. tháng …. năm 2015</v>
          </cell>
          <cell r="K37" t="str">
            <v>….h…. ngày …. tháng …. năm 2015</v>
          </cell>
          <cell r="L37" t="str">
            <v>….h….</v>
          </cell>
          <cell r="M37" t="str">
            <v>….h….</v>
          </cell>
          <cell r="N37" t="str">
            <v>….</v>
          </cell>
          <cell r="O37" t="str">
            <v>….</v>
          </cell>
          <cell r="P37">
            <v>2015</v>
          </cell>
          <cell r="Q37" t="str">
            <v>Hà Nội, ngày …. tháng …. năm 2015</v>
          </cell>
          <cell r="R37" t="str">
            <v>….h…. ngày …. tháng …. năm 2015</v>
          </cell>
          <cell r="S37" t="str">
            <v>….h…. ngày …. tháng …. năm 2015</v>
          </cell>
          <cell r="T37" t="str">
            <v>….h….</v>
          </cell>
          <cell r="U37" t="str">
            <v>…./…./2015; Giờ ….h….</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Q37" t="str">
            <v>Ngày …. Tháng …. Năm 2015</v>
          </cell>
        </row>
        <row r="38">
          <cell r="D38" t="str">
            <v>….h….</v>
          </cell>
          <cell r="E38" t="str">
            <v>….h….</v>
          </cell>
          <cell r="F38" t="str">
            <v>….</v>
          </cell>
          <cell r="G38" t="str">
            <v>….</v>
          </cell>
          <cell r="H38">
            <v>2015</v>
          </cell>
          <cell r="I38" t="str">
            <v>Hà Nội, ngày …. tháng …. năm 2015</v>
          </cell>
          <cell r="J38" t="str">
            <v>….h…. ngày …. tháng …. năm 2015</v>
          </cell>
          <cell r="K38" t="str">
            <v>….h…. ngày …. tháng …. năm 2015</v>
          </cell>
          <cell r="L38" t="str">
            <v>….h….</v>
          </cell>
          <cell r="M38" t="str">
            <v>….h….</v>
          </cell>
          <cell r="N38" t="str">
            <v>….</v>
          </cell>
          <cell r="O38" t="str">
            <v>….</v>
          </cell>
          <cell r="P38">
            <v>2015</v>
          </cell>
          <cell r="Q38" t="str">
            <v>Hà Nội, ngày …. tháng …. năm 2015</v>
          </cell>
          <cell r="R38" t="str">
            <v>….h…. ngày …. tháng …. năm 2015</v>
          </cell>
          <cell r="S38" t="str">
            <v>….h…. ngày …. tháng …. năm 2015</v>
          </cell>
          <cell r="T38" t="str">
            <v>….h….</v>
          </cell>
          <cell r="U38" t="str">
            <v>…./…./2015; Giờ ….h….</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Q38" t="str">
            <v>Ngày …. Tháng …. Năm 2015</v>
          </cell>
        </row>
        <row r="39">
          <cell r="A39" t="str">
            <v>TĐ-20</v>
          </cell>
          <cell r="C39" t="str">
            <v>TĐ-20</v>
          </cell>
          <cell r="D39" t="str">
            <v>….h….</v>
          </cell>
          <cell r="E39" t="str">
            <v>….h….</v>
          </cell>
          <cell r="F39" t="str">
            <v>….</v>
          </cell>
          <cell r="G39" t="str">
            <v>….</v>
          </cell>
          <cell r="H39">
            <v>2015</v>
          </cell>
          <cell r="I39" t="str">
            <v>Hà Nội, ngày …. tháng …. năm 2015</v>
          </cell>
          <cell r="J39" t="str">
            <v>….h…. ngày …. tháng …. năm 2015</v>
          </cell>
          <cell r="K39" t="str">
            <v>….h…. ngày …. tháng …. năm 2015</v>
          </cell>
          <cell r="L39" t="str">
            <v>….h….</v>
          </cell>
          <cell r="M39" t="str">
            <v>….h….</v>
          </cell>
          <cell r="N39" t="str">
            <v>….</v>
          </cell>
          <cell r="O39" t="str">
            <v>….</v>
          </cell>
          <cell r="P39">
            <v>2015</v>
          </cell>
          <cell r="Q39" t="str">
            <v>Hà Nội, ngày …. tháng …. năm 2015</v>
          </cell>
          <cell r="R39" t="str">
            <v>….h…. ngày …. tháng …. năm 2015</v>
          </cell>
          <cell r="S39" t="str">
            <v>….h…. ngày …. tháng …. năm 2015</v>
          </cell>
          <cell r="T39" t="str">
            <v>….h….</v>
          </cell>
          <cell r="U39" t="str">
            <v>…./…./2015; Giờ ….h….</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v>0</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Q39" t="str">
            <v>Ngày …. Tháng …. Năm 2015</v>
          </cell>
        </row>
        <row r="43">
          <cell r="A43">
            <v>1</v>
          </cell>
          <cell r="B43">
            <v>2</v>
          </cell>
          <cell r="C43">
            <v>3</v>
          </cell>
          <cell r="D43">
            <v>4</v>
          </cell>
          <cell r="E43">
            <v>5</v>
          </cell>
          <cell r="F43">
            <v>6</v>
          </cell>
          <cell r="G43">
            <v>7</v>
          </cell>
          <cell r="H43">
            <v>8</v>
          </cell>
          <cell r="I43">
            <v>9</v>
          </cell>
          <cell r="J43">
            <v>10</v>
          </cell>
          <cell r="K43">
            <v>11</v>
          </cell>
          <cell r="L43">
            <v>12</v>
          </cell>
          <cell r="M43">
            <v>13</v>
          </cell>
          <cell r="N43">
            <v>14</v>
          </cell>
          <cell r="O43">
            <v>15</v>
          </cell>
          <cell r="P43">
            <v>16</v>
          </cell>
          <cell r="Q43">
            <v>17</v>
          </cell>
          <cell r="R43">
            <v>18</v>
          </cell>
          <cell r="S43">
            <v>19</v>
          </cell>
          <cell r="T43">
            <v>20</v>
          </cell>
          <cell r="U43">
            <v>21</v>
          </cell>
          <cell r="V43">
            <v>22</v>
          </cell>
          <cell r="W43">
            <v>23</v>
          </cell>
          <cell r="X43">
            <v>24</v>
          </cell>
          <cell r="Y43">
            <v>25</v>
          </cell>
          <cell r="Z43">
            <v>26</v>
          </cell>
          <cell r="AA43">
            <v>27</v>
          </cell>
          <cell r="AB43">
            <v>28</v>
          </cell>
          <cell r="AC43">
            <v>29</v>
          </cell>
          <cell r="AD43">
            <v>30</v>
          </cell>
          <cell r="AE43">
            <v>31</v>
          </cell>
          <cell r="AF43">
            <v>32</v>
          </cell>
          <cell r="AG43">
            <v>33</v>
          </cell>
          <cell r="AH43">
            <v>34</v>
          </cell>
          <cell r="AI43">
            <v>35</v>
          </cell>
          <cell r="AJ43">
            <v>36</v>
          </cell>
          <cell r="AK43">
            <v>37</v>
          </cell>
          <cell r="AL43">
            <v>38</v>
          </cell>
          <cell r="AM43">
            <v>39</v>
          </cell>
          <cell r="AN43">
            <v>40</v>
          </cell>
          <cell r="AO43">
            <v>41</v>
          </cell>
          <cell r="AP43">
            <v>42</v>
          </cell>
          <cell r="AQ43">
            <v>43</v>
          </cell>
          <cell r="AR43">
            <v>44</v>
          </cell>
        </row>
      </sheetData>
      <sheetData sheetId="43">
        <row r="2">
          <cell r="A2" t="str">
            <v>CÔNG TY CP HỒNG HÀ VIỆT NAM</v>
          </cell>
          <cell r="M2" t="str">
            <v>CỘNG HÒA XÃ HỘI CHỦ NGHĨA VIỆT NAM</v>
          </cell>
        </row>
        <row r="3">
          <cell r="M3" t="str">
            <v>ĐỘC LẬP-TỰ DO -HẠNH PHÚC</v>
          </cell>
        </row>
        <row r="5">
          <cell r="A5" t="str">
            <v>BBNT TRẮC ĐẠC</v>
          </cell>
          <cell r="AO5" t="str">
            <v>FILE IN</v>
          </cell>
          <cell r="AP5" t="str">
            <v>List BBNT</v>
          </cell>
          <cell r="AR5" t="str">
            <v>DANH MỤC</v>
          </cell>
        </row>
        <row r="6">
          <cell r="A6" t="str">
            <v>XÂY DỰNG NHÀ Ở XÃ HỘI ĐỂ BÁN VÀ CHO THUÊ</v>
          </cell>
        </row>
        <row r="7">
          <cell r="A7" t="str">
            <v>CT6</v>
          </cell>
        </row>
        <row r="9">
          <cell r="A9" t="str">
            <v>Stt</v>
          </cell>
          <cell r="B9" t="str">
            <v>Nội dung</v>
          </cell>
          <cell r="C9" t="str">
            <v>Số biên bản</v>
          </cell>
          <cell r="D9" t="str">
            <v>Nghiệm Thu Nội Bộ</v>
          </cell>
          <cell r="I9" t="str">
            <v>Ngày tháng năm</v>
          </cell>
          <cell r="J9" t="str">
            <v>Bắt đầu</v>
          </cell>
          <cell r="K9" t="str">
            <v>Kết thúc</v>
          </cell>
          <cell r="L9" t="str">
            <v xml:space="preserve"> Nghiệm Thu Công Việc</v>
          </cell>
          <cell r="Q9" t="str">
            <v>Ngày tháng năm</v>
          </cell>
          <cell r="R9" t="str">
            <v>Bắt đầu</v>
          </cell>
          <cell r="S9" t="str">
            <v>Kết thúc</v>
          </cell>
          <cell r="T9" t="str">
            <v>Yêu Cầu Nghiệm Thu</v>
          </cell>
          <cell r="X9" t="str">
            <v>Người ký của BQLDA</v>
          </cell>
          <cell r="AB9" t="str">
            <v>Người ký của TVGS</v>
          </cell>
          <cell r="AH9" t="str">
            <v>Người ký của Nhà Thầu</v>
          </cell>
          <cell r="AN9" t="str">
            <v>Bản vẽ tham chiếu</v>
          </cell>
          <cell r="AO9" t="str">
            <v>Bản vẽ (phiếu xử lý)</v>
          </cell>
          <cell r="AP9" t="str">
            <v>Thanh toán đợt</v>
          </cell>
          <cell r="AQ9" t="str">
            <v>Vật tư</v>
          </cell>
        </row>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TĐ-01</v>
          </cell>
          <cell r="B11" t="str">
            <v>-Định vị công trình</v>
          </cell>
          <cell r="C11" t="str">
            <v>TĐ-01</v>
          </cell>
          <cell r="D11" t="str">
            <v>9h00</v>
          </cell>
          <cell r="E11" t="str">
            <v>10h00</v>
          </cell>
          <cell r="F11">
            <v>4</v>
          </cell>
          <cell r="G11">
            <v>11</v>
          </cell>
          <cell r="H11">
            <v>2014</v>
          </cell>
          <cell r="I11" t="str">
            <v>Hà Nội, ngày 4 tháng 11 năm 2014</v>
          </cell>
          <cell r="J11" t="str">
            <v>9h00 ngày 4 tháng 11 năm 2014</v>
          </cell>
          <cell r="K11" t="str">
            <v>10h00 ngày 4 tháng 11 năm 2014</v>
          </cell>
          <cell r="L11" t="str">
            <v>10h00</v>
          </cell>
          <cell r="M11" t="str">
            <v>11h00</v>
          </cell>
          <cell r="N11">
            <v>4</v>
          </cell>
          <cell r="O11">
            <v>11</v>
          </cell>
          <cell r="P11">
            <v>2014</v>
          </cell>
          <cell r="Q11" t="str">
            <v>Hà Nội, ngày 4 tháng 11 năm 2014</v>
          </cell>
          <cell r="R11" t="str">
            <v>10h00 ngày 4 tháng 11 năm 2014</v>
          </cell>
          <cell r="S11" t="str">
            <v>11h00 ngày 4 tháng 11 năm 2014</v>
          </cell>
          <cell r="T11" t="str">
            <v>10h00</v>
          </cell>
          <cell r="U11" t="str">
            <v>4/11/2014; Giờ 10h00</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ĐV-01</v>
          </cell>
          <cell r="AQ11" t="str">
            <v>Ngày 4 Tháng 11 Năm 2014</v>
          </cell>
        </row>
        <row r="12">
          <cell r="A12" t="str">
            <v>TĐ-02</v>
          </cell>
          <cell r="B12" t="str">
            <v>-Định vị cọc</v>
          </cell>
          <cell r="C12" t="str">
            <v>TĐ-02</v>
          </cell>
          <cell r="D12" t="str">
            <v>8h30</v>
          </cell>
          <cell r="E12" t="str">
            <v>9h30</v>
          </cell>
          <cell r="F12">
            <v>5</v>
          </cell>
          <cell r="G12">
            <v>11</v>
          </cell>
          <cell r="H12">
            <v>2014</v>
          </cell>
          <cell r="I12" t="str">
            <v>Hà Nội, ngày 5 tháng 11 năm 2014</v>
          </cell>
          <cell r="J12" t="str">
            <v>8h30 ngày 5 tháng 11 năm 2014</v>
          </cell>
          <cell r="K12" t="str">
            <v>9h30 ngày 5 tháng 11 năm 2014</v>
          </cell>
          <cell r="L12" t="str">
            <v>9h30</v>
          </cell>
          <cell r="M12" t="str">
            <v>10h30</v>
          </cell>
          <cell r="N12">
            <v>5</v>
          </cell>
          <cell r="O12">
            <v>11</v>
          </cell>
          <cell r="P12">
            <v>2014</v>
          </cell>
          <cell r="Q12" t="str">
            <v>Hà Nội, ngày 5 tháng 11 năm 2014</v>
          </cell>
          <cell r="R12" t="str">
            <v>9h30 ngày 5 tháng 11 năm 2014</v>
          </cell>
          <cell r="S12" t="str">
            <v>10h30 ngày 5 tháng 11 năm 2014</v>
          </cell>
          <cell r="T12" t="str">
            <v>9h30</v>
          </cell>
          <cell r="U12" t="str">
            <v>5/11/2014; Giờ 9h30</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KC-02</v>
          </cell>
          <cell r="AQ12" t="str">
            <v>Ngày 5 Tháng 11 Năm 2014</v>
          </cell>
        </row>
        <row r="13">
          <cell r="A13" t="str">
            <v>TĐ-03</v>
          </cell>
          <cell r="B13" t="str">
            <v>-Định vị vị trí bể nước sạch.</v>
          </cell>
          <cell r="C13" t="str">
            <v>TĐ-03</v>
          </cell>
          <cell r="D13" t="str">
            <v>8h00</v>
          </cell>
          <cell r="E13" t="str">
            <v>8h45</v>
          </cell>
          <cell r="F13">
            <v>18</v>
          </cell>
          <cell r="G13">
            <v>11</v>
          </cell>
          <cell r="H13">
            <v>2014</v>
          </cell>
          <cell r="I13" t="str">
            <v>Hà Nội, ngày 18 tháng 11 năm 2014</v>
          </cell>
          <cell r="J13" t="str">
            <v>8h00 ngày 18 tháng 11 năm 2014</v>
          </cell>
          <cell r="K13" t="str">
            <v>8h45 ngày 18 tháng 11 năm 2014</v>
          </cell>
          <cell r="L13" t="str">
            <v>8h45</v>
          </cell>
          <cell r="M13" t="str">
            <v>9h30</v>
          </cell>
          <cell r="N13">
            <v>18</v>
          </cell>
          <cell r="O13">
            <v>11</v>
          </cell>
          <cell r="P13">
            <v>2014</v>
          </cell>
          <cell r="Q13" t="str">
            <v>Hà Nội, ngày 18 tháng 11 năm 2014</v>
          </cell>
          <cell r="R13" t="str">
            <v>8h45 ngày 18 tháng 11 năm 2014</v>
          </cell>
          <cell r="S13" t="str">
            <v>9h30 ngày 18 tháng 11 năm 2014</v>
          </cell>
          <cell r="T13" t="str">
            <v>8h45</v>
          </cell>
          <cell r="U13" t="str">
            <v>18/11/2014; Giờ 8h45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N-01,NTT-01</v>
          </cell>
          <cell r="AQ13" t="str">
            <v>Ngày 18 Tháng 11 Năm 2014</v>
          </cell>
        </row>
        <row r="14">
          <cell r="A14" t="str">
            <v>TĐ-04</v>
          </cell>
          <cell r="B14" t="str">
            <v>-Định vị tim trục cổ cột, vách trục X1-X4/Y1-Y5</v>
          </cell>
          <cell r="C14" t="str">
            <v>TĐ-04</v>
          </cell>
          <cell r="D14" t="str">
            <v>8h00</v>
          </cell>
          <cell r="E14" t="str">
            <v>8h45</v>
          </cell>
          <cell r="F14">
            <v>16</v>
          </cell>
          <cell r="G14">
            <v>12</v>
          </cell>
          <cell r="H14">
            <v>2014</v>
          </cell>
          <cell r="I14" t="str">
            <v>Hà Nội, ngày 16 tháng 12 năm 2014</v>
          </cell>
          <cell r="J14" t="str">
            <v>8h00 ngày 16 tháng 12 năm 2014</v>
          </cell>
          <cell r="K14" t="str">
            <v>8h45 ngày 16 tháng 12 năm 2014</v>
          </cell>
          <cell r="L14" t="str">
            <v>8h45</v>
          </cell>
          <cell r="M14" t="str">
            <v>9h30</v>
          </cell>
          <cell r="N14">
            <v>16</v>
          </cell>
          <cell r="O14">
            <v>12</v>
          </cell>
          <cell r="P14">
            <v>2014</v>
          </cell>
          <cell r="Q14" t="str">
            <v>Hà Nội, ngày 16 tháng 12 năm 2014</v>
          </cell>
          <cell r="R14" t="str">
            <v>8h45 ngày 16 tháng 12 năm 2014</v>
          </cell>
          <cell r="S14" t="str">
            <v>9h30 ngày 16 tháng 12 năm 2014</v>
          </cell>
          <cell r="T14" t="str">
            <v>8h45</v>
          </cell>
          <cell r="U14" t="str">
            <v>16/12/2014; Giờ 8h45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KC-05;KC-07÷KC-10</v>
          </cell>
          <cell r="AQ14" t="str">
            <v>Ngày 16 Tháng 12 Năm 2014</v>
          </cell>
        </row>
        <row r="15">
          <cell r="A15" t="str">
            <v>TĐ-05</v>
          </cell>
          <cell r="B15" t="str">
            <v>-Định vị tim trục cổ cột, vách trục X1-X8/Y5-Y8</v>
          </cell>
          <cell r="C15" t="str">
            <v>TĐ-05</v>
          </cell>
          <cell r="D15" t="str">
            <v>9h00</v>
          </cell>
          <cell r="E15" t="str">
            <v>10h00</v>
          </cell>
          <cell r="F15">
            <v>16</v>
          </cell>
          <cell r="G15">
            <v>12</v>
          </cell>
          <cell r="H15">
            <v>2014</v>
          </cell>
          <cell r="I15" t="str">
            <v>Hà Nội, ngày 16 tháng 12 năm 2014</v>
          </cell>
          <cell r="J15" t="str">
            <v>9h00 ngày 16 tháng 12 năm 2014</v>
          </cell>
          <cell r="K15" t="str">
            <v>10h00 ngày 16 tháng 12 năm 2014</v>
          </cell>
          <cell r="L15" t="str">
            <v>10h00</v>
          </cell>
          <cell r="M15" t="str">
            <v>11h00</v>
          </cell>
          <cell r="N15">
            <v>16</v>
          </cell>
          <cell r="O15">
            <v>12</v>
          </cell>
          <cell r="P15">
            <v>2014</v>
          </cell>
          <cell r="Q15" t="str">
            <v>Hà Nội, ngày 16 tháng 12 năm 2014</v>
          </cell>
          <cell r="R15" t="str">
            <v>10h00 ngày 16 tháng 12 năm 2014</v>
          </cell>
          <cell r="S15" t="str">
            <v>11h00 ngày 16 tháng 12 năm 2014</v>
          </cell>
          <cell r="T15" t="str">
            <v>10h00</v>
          </cell>
          <cell r="U15" t="str">
            <v>16/12/2014; Giờ 10h00</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KC-05;KC-07÷KC-10</v>
          </cell>
          <cell r="AQ15" t="str">
            <v>Ngày 16 Tháng 12 Năm 2014</v>
          </cell>
        </row>
        <row r="16">
          <cell r="A16" t="str">
            <v>TĐ-06</v>
          </cell>
          <cell r="B16" t="str">
            <v>-Định vị tường xây cổ móng trục X1-X4/Y1-Y5</v>
          </cell>
          <cell r="C16" t="str">
            <v>TĐ-06</v>
          </cell>
          <cell r="D16" t="str">
            <v>8h00</v>
          </cell>
          <cell r="E16" t="str">
            <v>8h45</v>
          </cell>
          <cell r="F16">
            <v>19</v>
          </cell>
          <cell r="G16">
            <v>12</v>
          </cell>
          <cell r="H16">
            <v>2014</v>
          </cell>
          <cell r="I16" t="str">
            <v>Hà Nội, ngày 19 tháng 12 năm 2014</v>
          </cell>
          <cell r="J16" t="str">
            <v>8h00 ngày 19 tháng 12 năm 2014</v>
          </cell>
          <cell r="K16" t="str">
            <v>8h45 ngày 19 tháng 12 năm 2014</v>
          </cell>
          <cell r="L16" t="str">
            <v>8h45</v>
          </cell>
          <cell r="M16" t="str">
            <v>9h30</v>
          </cell>
          <cell r="N16">
            <v>19</v>
          </cell>
          <cell r="O16">
            <v>12</v>
          </cell>
          <cell r="P16">
            <v>2014</v>
          </cell>
          <cell r="Q16" t="str">
            <v>Hà Nội, ngày 19 tháng 12 năm 2014</v>
          </cell>
          <cell r="R16" t="str">
            <v>8h45 ngày 19 tháng 12 năm 2014</v>
          </cell>
          <cell r="S16" t="str">
            <v>9h30 ngày 19 tháng 12 năm 2014</v>
          </cell>
          <cell r="T16" t="str">
            <v>8h45</v>
          </cell>
          <cell r="U16" t="str">
            <v>19/12/2014; Giờ 8h45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KC-06</v>
          </cell>
          <cell r="AQ16" t="str">
            <v>Ngày 19 Tháng 12 Năm 2014</v>
          </cell>
        </row>
        <row r="17">
          <cell r="A17" t="str">
            <v>TĐ-07</v>
          </cell>
          <cell r="B17" t="str">
            <v>-Định vị tường xây cổ móng trục X1-X8/Y5-Y8</v>
          </cell>
          <cell r="C17" t="str">
            <v>TĐ-07</v>
          </cell>
          <cell r="D17" t="str">
            <v>9h00</v>
          </cell>
          <cell r="E17" t="str">
            <v>10h00</v>
          </cell>
          <cell r="F17">
            <v>19</v>
          </cell>
          <cell r="G17">
            <v>12</v>
          </cell>
          <cell r="H17">
            <v>2014</v>
          </cell>
          <cell r="I17" t="str">
            <v>Hà Nội, ngày 19 tháng 12 năm 2014</v>
          </cell>
          <cell r="J17" t="str">
            <v>9h00 ngày 19 tháng 12 năm 2014</v>
          </cell>
          <cell r="K17" t="str">
            <v>10h00 ngày 19 tháng 12 năm 2014</v>
          </cell>
          <cell r="L17" t="str">
            <v>10h00</v>
          </cell>
          <cell r="M17" t="str">
            <v>11h00</v>
          </cell>
          <cell r="N17">
            <v>19</v>
          </cell>
          <cell r="O17">
            <v>12</v>
          </cell>
          <cell r="P17">
            <v>2014</v>
          </cell>
          <cell r="Q17" t="str">
            <v>Hà Nội, ngày 19 tháng 12 năm 2014</v>
          </cell>
          <cell r="R17" t="str">
            <v>10h00 ngày 19 tháng 12 năm 2014</v>
          </cell>
          <cell r="S17" t="str">
            <v>11h00 ngày 19 tháng 12 năm 2014</v>
          </cell>
          <cell r="T17" t="str">
            <v>10h00</v>
          </cell>
          <cell r="U17" t="str">
            <v>19/12/2014; Giờ 10h00</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KC-06</v>
          </cell>
          <cell r="AQ17" t="str">
            <v>Ngày 19 Tháng 12 Năm 2014</v>
          </cell>
        </row>
        <row r="18">
          <cell r="A18" t="str">
            <v>TĐ-08</v>
          </cell>
          <cell r="B18" t="str">
            <v>-Định vị vị trí bể tách dầu mỡ, bể tự hoại số 03 và 04</v>
          </cell>
          <cell r="C18" t="str">
            <v>TĐ-08</v>
          </cell>
          <cell r="D18" t="str">
            <v>7h30</v>
          </cell>
          <cell r="E18" t="str">
            <v>7h50</v>
          </cell>
          <cell r="F18">
            <v>29</v>
          </cell>
          <cell r="G18">
            <v>12</v>
          </cell>
          <cell r="H18">
            <v>2014</v>
          </cell>
          <cell r="I18" t="str">
            <v>Hà Nội, ngày 29 tháng 12 năm 2014</v>
          </cell>
          <cell r="J18" t="str">
            <v>7h30 ngày 29 tháng 12 năm 2014</v>
          </cell>
          <cell r="K18" t="str">
            <v>7h50 ngày 29 tháng 12 năm 2014</v>
          </cell>
          <cell r="L18" t="str">
            <v>7h50</v>
          </cell>
          <cell r="M18" t="str">
            <v>8h10</v>
          </cell>
          <cell r="N18">
            <v>29</v>
          </cell>
          <cell r="O18">
            <v>12</v>
          </cell>
          <cell r="P18">
            <v>2014</v>
          </cell>
          <cell r="Q18" t="str">
            <v>Hà Nội, ngày 29 tháng 12 năm 2014</v>
          </cell>
          <cell r="R18" t="str">
            <v>7h50 ngày 29 tháng 12 năm 2014</v>
          </cell>
          <cell r="S18" t="str">
            <v>8h10 ngày 29 tháng 12 năm 2014</v>
          </cell>
          <cell r="T18" t="str">
            <v>7h50</v>
          </cell>
          <cell r="U18" t="str">
            <v>29/12/2014; Giờ 7h50</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N-01,NTT-01</v>
          </cell>
          <cell r="AQ18" t="str">
            <v>Ngày 29 Tháng 12 Năm 2014</v>
          </cell>
        </row>
        <row r="19">
          <cell r="A19" t="str">
            <v>TĐ-09</v>
          </cell>
          <cell r="B19" t="str">
            <v>-Định vị vị trí bể tách dầu mỡ, bể tự hoại số 01 và 02</v>
          </cell>
          <cell r="C19" t="str">
            <v>TĐ-09</v>
          </cell>
          <cell r="D19" t="str">
            <v>8h00</v>
          </cell>
          <cell r="E19" t="str">
            <v>8h20</v>
          </cell>
          <cell r="F19">
            <v>5</v>
          </cell>
          <cell r="G19">
            <v>1</v>
          </cell>
          <cell r="H19">
            <v>2015</v>
          </cell>
          <cell r="I19" t="str">
            <v>Hà Nội, ngày 5 tháng 1 năm 2015</v>
          </cell>
          <cell r="J19" t="str">
            <v>8h00 ngày 5 tháng 1 năm 2015</v>
          </cell>
          <cell r="K19" t="str">
            <v>8h20 ngày 5 tháng 1 năm 2015</v>
          </cell>
          <cell r="L19" t="str">
            <v>8h20</v>
          </cell>
          <cell r="M19" t="str">
            <v>8h40</v>
          </cell>
          <cell r="N19">
            <v>5</v>
          </cell>
          <cell r="O19">
            <v>1</v>
          </cell>
          <cell r="P19">
            <v>2015</v>
          </cell>
          <cell r="Q19" t="str">
            <v>Hà Nội, ngày 5 tháng 1 năm 2015</v>
          </cell>
          <cell r="R19" t="str">
            <v>8h20 ngày 5 tháng 1 năm 2015</v>
          </cell>
          <cell r="S19" t="str">
            <v>8h40 ngày 5 tháng 1 năm 2015</v>
          </cell>
          <cell r="T19" t="str">
            <v>8h20</v>
          </cell>
          <cell r="U19" t="str">
            <v>5/1/2015; Giờ 8h20</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N-01,NTT-01</v>
          </cell>
          <cell r="AQ19" t="str">
            <v>Ngày 5 Tháng 1 Năm 2015</v>
          </cell>
        </row>
        <row r="20">
          <cell r="A20" t="str">
            <v>TĐ-10</v>
          </cell>
          <cell r="B20" t="str">
            <v>Định vị tim trục cột, vách, lõi thang tầng 2</v>
          </cell>
          <cell r="C20" t="str">
            <v>TĐ-10</v>
          </cell>
          <cell r="D20" t="str">
            <v>8h00</v>
          </cell>
          <cell r="E20" t="str">
            <v>9h00</v>
          </cell>
          <cell r="F20">
            <v>2</v>
          </cell>
          <cell r="G20">
            <v>2</v>
          </cell>
          <cell r="H20">
            <v>2015</v>
          </cell>
          <cell r="I20" t="str">
            <v>Hà Nội, ngày 2 tháng 2 năm 2015</v>
          </cell>
          <cell r="J20" t="str">
            <v>8h00 ngày 2 tháng 2 năm 2015</v>
          </cell>
          <cell r="K20" t="str">
            <v>9h00 ngày 2 tháng 2 năm 2015</v>
          </cell>
          <cell r="L20" t="str">
            <v>9h00</v>
          </cell>
          <cell r="M20" t="str">
            <v>10h00</v>
          </cell>
          <cell r="N20">
            <v>2</v>
          </cell>
          <cell r="O20">
            <v>2</v>
          </cell>
          <cell r="P20">
            <v>2015</v>
          </cell>
          <cell r="Q20" t="str">
            <v>Hà Nội, ngày 2 tháng 2 năm 2015</v>
          </cell>
          <cell r="R20" t="str">
            <v>9h00 ngày 2 tháng 2 năm 2015</v>
          </cell>
          <cell r="S20" t="str">
            <v>10h00 ngày 2 tháng 2 năm 2015</v>
          </cell>
          <cell r="T20" t="str">
            <v>9h00</v>
          </cell>
          <cell r="U20" t="str">
            <v>2/2/2015; Giờ 9h00</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KC-19</v>
          </cell>
          <cell r="AQ20" t="str">
            <v>Ngày 2 Tháng 2 Năm 2015</v>
          </cell>
        </row>
        <row r="21">
          <cell r="A21" t="str">
            <v>TĐ-11</v>
          </cell>
          <cell r="B21" t="str">
            <v>Định vị tim trục cột, vách, lõi thang tầng 3</v>
          </cell>
          <cell r="C21" t="str">
            <v>TĐ-11</v>
          </cell>
          <cell r="D21" t="str">
            <v>8h00</v>
          </cell>
          <cell r="E21" t="str">
            <v>9h30</v>
          </cell>
          <cell r="F21">
            <v>13</v>
          </cell>
          <cell r="G21">
            <v>2</v>
          </cell>
          <cell r="H21">
            <v>2015</v>
          </cell>
          <cell r="I21" t="str">
            <v>Hà Nội, ngày 13 tháng 2 năm 2015</v>
          </cell>
          <cell r="J21" t="str">
            <v>8h00 ngày 13 tháng 2 năm 2015</v>
          </cell>
          <cell r="K21" t="str">
            <v>9h30 ngày 13 tháng 2 năm 2015</v>
          </cell>
          <cell r="L21" t="str">
            <v>9h30</v>
          </cell>
          <cell r="M21" t="str">
            <v>11h00</v>
          </cell>
          <cell r="N21">
            <v>13</v>
          </cell>
          <cell r="O21">
            <v>2</v>
          </cell>
          <cell r="P21">
            <v>2015</v>
          </cell>
          <cell r="Q21" t="str">
            <v>Hà Nội, ngày 13 tháng 2 năm 2015</v>
          </cell>
          <cell r="R21" t="str">
            <v>9h30 ngày 13 tháng 2 năm 2015</v>
          </cell>
          <cell r="S21" t="str">
            <v>11h00 ngày 13 tháng 2 năm 2015</v>
          </cell>
          <cell r="T21" t="str">
            <v>9h30</v>
          </cell>
          <cell r="U21" t="str">
            <v>13/2/2015; Giờ 9h30</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KC-19</v>
          </cell>
          <cell r="AQ21" t="str">
            <v>Ngày 13 Tháng 2 Năm 2015</v>
          </cell>
        </row>
        <row r="22">
          <cell r="A22" t="str">
            <v>TĐ-12</v>
          </cell>
          <cell r="B22" t="str">
            <v>Định vị tim trục cột, vách, lõi thang tầng 4</v>
          </cell>
          <cell r="C22" t="str">
            <v>TĐ-12</v>
          </cell>
          <cell r="D22" t="str">
            <v>13h30</v>
          </cell>
          <cell r="E22" t="str">
            <v>14h15</v>
          </cell>
          <cell r="F22">
            <v>19</v>
          </cell>
          <cell r="G22">
            <v>3</v>
          </cell>
          <cell r="H22">
            <v>2015</v>
          </cell>
          <cell r="I22" t="str">
            <v>Hà Nội, ngày 19 tháng 3 năm 2015</v>
          </cell>
          <cell r="J22" t="str">
            <v>13h30 ngày 19 tháng 3 năm 2015</v>
          </cell>
          <cell r="K22" t="str">
            <v>14h15 ngày 19 tháng 3 năm 2015</v>
          </cell>
          <cell r="L22" t="str">
            <v>14h15</v>
          </cell>
          <cell r="M22" t="str">
            <v>15h00</v>
          </cell>
          <cell r="N22">
            <v>19</v>
          </cell>
          <cell r="O22">
            <v>3</v>
          </cell>
          <cell r="P22">
            <v>2015</v>
          </cell>
          <cell r="Q22" t="str">
            <v>Hà Nội, ngày 19 tháng 3 năm 2015</v>
          </cell>
          <cell r="R22" t="str">
            <v>14h15 ngày 19 tháng 3 năm 2015</v>
          </cell>
          <cell r="S22" t="str">
            <v>15h00 ngày 19 tháng 3 năm 2015</v>
          </cell>
          <cell r="T22" t="str">
            <v>14h15</v>
          </cell>
          <cell r="U22" t="str">
            <v>19/3/2015; Giờ 14h15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KC-19</v>
          </cell>
          <cell r="AQ22" t="str">
            <v>Ngày 19 Tháng 3 Năm 2015</v>
          </cell>
        </row>
        <row r="23">
          <cell r="A23" t="str">
            <v>TĐ-13</v>
          </cell>
          <cell r="B23" t="str">
            <v>Định vị tim trục cột, vách, lõi thang tầng 5</v>
          </cell>
          <cell r="C23" t="str">
            <v>TĐ-13</v>
          </cell>
          <cell r="D23" t="str">
            <v>10h00</v>
          </cell>
          <cell r="E23" t="str">
            <v>10h45</v>
          </cell>
          <cell r="F23">
            <v>2</v>
          </cell>
          <cell r="G23">
            <v>4</v>
          </cell>
          <cell r="H23">
            <v>2015</v>
          </cell>
          <cell r="I23" t="str">
            <v>Hà Nội, ngày 2 tháng 4 năm 2015</v>
          </cell>
          <cell r="J23" t="str">
            <v>10h00 ngày 2 tháng 4 năm 2015</v>
          </cell>
          <cell r="K23" t="str">
            <v>10h45 ngày 2 tháng 4 năm 2015</v>
          </cell>
          <cell r="L23" t="str">
            <v>10h45</v>
          </cell>
          <cell r="M23" t="str">
            <v>11h30</v>
          </cell>
          <cell r="N23">
            <v>2</v>
          </cell>
          <cell r="O23">
            <v>4</v>
          </cell>
          <cell r="P23">
            <v>2015</v>
          </cell>
          <cell r="Q23" t="str">
            <v>Hà Nội, ngày 2 tháng 4 năm 2015</v>
          </cell>
          <cell r="R23" t="str">
            <v>10h45 ngày 2 tháng 4 năm 2015</v>
          </cell>
          <cell r="S23" t="str">
            <v>11h30 ngày 2 tháng 4 năm 2015</v>
          </cell>
          <cell r="T23" t="str">
            <v>10h45</v>
          </cell>
          <cell r="U23" t="str">
            <v>2/4/2015; Giờ 10h45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KC-19</v>
          </cell>
          <cell r="AQ23" t="str">
            <v>Ngày 2 Tháng 4 Năm 2015</v>
          </cell>
        </row>
        <row r="24">
          <cell r="A24" t="str">
            <v>TĐ-14</v>
          </cell>
          <cell r="B24" t="str">
            <v>Định vị tim trục cột, vách, lõi thang tầng 6</v>
          </cell>
          <cell r="C24" t="str">
            <v>TĐ-14</v>
          </cell>
          <cell r="D24" t="str">
            <v>8h30</v>
          </cell>
          <cell r="E24" t="str">
            <v>9h00</v>
          </cell>
          <cell r="F24">
            <v>21</v>
          </cell>
          <cell r="G24">
            <v>4</v>
          </cell>
          <cell r="H24">
            <v>2015</v>
          </cell>
          <cell r="I24" t="str">
            <v>Hà Nội, ngày 21 tháng 4 năm 2015</v>
          </cell>
          <cell r="J24" t="str">
            <v>8h30 ngày 21 tháng 4 năm 2015</v>
          </cell>
          <cell r="K24" t="str">
            <v>9h00 ngày 23 tháng 4 năm 2015</v>
          </cell>
          <cell r="L24" t="str">
            <v>9h00</v>
          </cell>
          <cell r="M24" t="str">
            <v>9h30</v>
          </cell>
          <cell r="N24">
            <v>23</v>
          </cell>
          <cell r="O24">
            <v>4</v>
          </cell>
          <cell r="P24">
            <v>2015</v>
          </cell>
          <cell r="Q24" t="str">
            <v>Hà Nội, ngày 23 tháng 4 năm 2015</v>
          </cell>
          <cell r="R24" t="str">
            <v>9h00 ngày 21 tháng 4 năm 2015</v>
          </cell>
          <cell r="S24" t="str">
            <v>9h30 ngày 23 tháng 4 năm 2015</v>
          </cell>
          <cell r="T24" t="str">
            <v>9h00</v>
          </cell>
          <cell r="U24" t="str">
            <v>23/4/2015; Giờ 9h00</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KC-19</v>
          </cell>
          <cell r="AQ24" t="str">
            <v>Ngày 21 Tháng 4 Năm 2015</v>
          </cell>
        </row>
        <row r="25">
          <cell r="A25" t="str">
            <v>TĐ-15</v>
          </cell>
          <cell r="B25" t="str">
            <v>Định vị tim trục cột, vách, lõi thang tầng 7</v>
          </cell>
          <cell r="C25" t="str">
            <v>TĐ-15</v>
          </cell>
          <cell r="D25" t="str">
            <v>15h00</v>
          </cell>
          <cell r="E25" t="str">
            <v>15h00</v>
          </cell>
          <cell r="F25">
            <v>25</v>
          </cell>
          <cell r="G25">
            <v>4</v>
          </cell>
          <cell r="H25">
            <v>2015</v>
          </cell>
          <cell r="I25" t="str">
            <v>Hà Nội, ngày 25 tháng 4 năm 2015</v>
          </cell>
          <cell r="J25" t="str">
            <v>15h00 ngày 25 tháng 4 năm 2015</v>
          </cell>
          <cell r="K25" t="str">
            <v>15h00 ngày 27 tháng 4 năm 2015</v>
          </cell>
          <cell r="L25" t="str">
            <v>15h45</v>
          </cell>
          <cell r="M25" t="str">
            <v>15h45</v>
          </cell>
          <cell r="N25">
            <v>27</v>
          </cell>
          <cell r="O25">
            <v>4</v>
          </cell>
          <cell r="P25">
            <v>2015</v>
          </cell>
          <cell r="Q25" t="str">
            <v>Hà Nội, ngày 27 tháng 4 năm 2015</v>
          </cell>
          <cell r="R25" t="str">
            <v>15h45 ngày 25 tháng 4 năm 2015</v>
          </cell>
          <cell r="S25" t="str">
            <v>15h45 ngày 27 tháng 4 năm 2015</v>
          </cell>
          <cell r="T25" t="str">
            <v>15h45</v>
          </cell>
          <cell r="U25" t="str">
            <v>27/4/2015; Giờ 15h45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KC-19</v>
          </cell>
          <cell r="AQ25" t="str">
            <v>Ngày 25 Tháng 4 Năm 2015</v>
          </cell>
        </row>
        <row r="26">
          <cell r="A26" t="str">
            <v>TĐ-16</v>
          </cell>
          <cell r="B26" t="str">
            <v>Định vị tim trục cột, vách, lõi thang tầng 8</v>
          </cell>
          <cell r="C26" t="str">
            <v>TĐ-16</v>
          </cell>
          <cell r="D26" t="str">
            <v>14h30</v>
          </cell>
          <cell r="E26" t="str">
            <v>14h30</v>
          </cell>
          <cell r="F26">
            <v>9</v>
          </cell>
          <cell r="G26">
            <v>5</v>
          </cell>
          <cell r="H26">
            <v>2015</v>
          </cell>
          <cell r="I26" t="str">
            <v>Hà Nội, ngày 9 tháng 5 năm 2015</v>
          </cell>
          <cell r="J26" t="str">
            <v>14h30 ngày 9 tháng 5 năm 2015</v>
          </cell>
          <cell r="K26" t="str">
            <v>14h30 ngày 12 tháng 5 năm 2015</v>
          </cell>
          <cell r="L26" t="str">
            <v>15h15</v>
          </cell>
          <cell r="M26" t="str">
            <v>15h15</v>
          </cell>
          <cell r="N26">
            <v>12</v>
          </cell>
          <cell r="O26">
            <v>5</v>
          </cell>
          <cell r="P26">
            <v>2015</v>
          </cell>
          <cell r="Q26" t="str">
            <v>Hà Nội, ngày 12 tháng 5 năm 2015</v>
          </cell>
          <cell r="R26" t="str">
            <v>15h15 ngày 9 tháng 5 năm 2015</v>
          </cell>
          <cell r="S26" t="str">
            <v>15h15 ngày 12 tháng 5 năm 2015</v>
          </cell>
          <cell r="T26" t="str">
            <v>15h15</v>
          </cell>
          <cell r="U26" t="str">
            <v>12/5/2015; Giờ 15h15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KC-19</v>
          </cell>
          <cell r="AQ26" t="str">
            <v>Ngày 9 Tháng 5 Năm 2015</v>
          </cell>
        </row>
        <row r="27">
          <cell r="A27" t="str">
            <v>TĐ-17</v>
          </cell>
          <cell r="B27" t="str">
            <v>Định vị tim trục cột, vách, lõi thang tầng 9</v>
          </cell>
          <cell r="C27" t="str">
            <v>TĐ-17</v>
          </cell>
          <cell r="D27" t="str">
            <v>15h00</v>
          </cell>
          <cell r="E27" t="str">
            <v>15h45</v>
          </cell>
          <cell r="F27">
            <v>19</v>
          </cell>
          <cell r="G27">
            <v>5</v>
          </cell>
          <cell r="H27">
            <v>2015</v>
          </cell>
          <cell r="I27" t="str">
            <v>Hà Nội, ngày 19 tháng 5 năm 2015</v>
          </cell>
          <cell r="J27" t="str">
            <v>15h00 ngày 19 tháng 5 năm 2015</v>
          </cell>
          <cell r="K27" t="str">
            <v>15h45 ngày 25 tháng 5 năm 2015</v>
          </cell>
          <cell r="L27" t="str">
            <v>15h45</v>
          </cell>
          <cell r="M27" t="str">
            <v>16h30</v>
          </cell>
          <cell r="N27">
            <v>25</v>
          </cell>
          <cell r="O27">
            <v>5</v>
          </cell>
          <cell r="P27">
            <v>2015</v>
          </cell>
          <cell r="Q27" t="str">
            <v>Hà Nội, ngày 25 tháng 5 năm 2015</v>
          </cell>
          <cell r="R27" t="str">
            <v>15h45 ngày 19 tháng 5 năm 2015</v>
          </cell>
          <cell r="S27" t="str">
            <v>16h30 ngày 25 tháng 5 năm 2015</v>
          </cell>
          <cell r="T27" t="str">
            <v>15h45</v>
          </cell>
          <cell r="U27" t="str">
            <v>25/5/2015; Giờ 15h45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KC-19</v>
          </cell>
          <cell r="AQ27" t="str">
            <v>Ngày 19 Tháng 5 Năm 2015</v>
          </cell>
        </row>
        <row r="28">
          <cell r="A28" t="str">
            <v>TĐ-18</v>
          </cell>
          <cell r="B28" t="str">
            <v>Định vị tim trục cột, vách, lõi thang tầng 10</v>
          </cell>
          <cell r="C28" t="str">
            <v>TĐ-18</v>
          </cell>
          <cell r="D28" t="str">
            <v>15h00</v>
          </cell>
          <cell r="E28" t="str">
            <v>14h00</v>
          </cell>
          <cell r="F28">
            <v>31</v>
          </cell>
          <cell r="G28">
            <v>5</v>
          </cell>
          <cell r="H28">
            <v>2015</v>
          </cell>
          <cell r="I28" t="str">
            <v>Hà Nội, ngày 31 tháng 5 năm 2015</v>
          </cell>
          <cell r="J28" t="str">
            <v>15h00 ngày 31 tháng 5 năm 2015</v>
          </cell>
          <cell r="K28" t="str">
            <v>14h00 ngày 6 tháng 6 năm 2015</v>
          </cell>
          <cell r="L28" t="str">
            <v>15h45</v>
          </cell>
          <cell r="M28" t="str">
            <v>14h45</v>
          </cell>
          <cell r="N28">
            <v>6</v>
          </cell>
          <cell r="O28">
            <v>6</v>
          </cell>
          <cell r="P28">
            <v>2015</v>
          </cell>
          <cell r="Q28" t="str">
            <v>Hà Nội, ngày 6 tháng 6 năm 2015</v>
          </cell>
          <cell r="R28" t="str">
            <v>15h45 ngày 31 tháng 5 năm 2015</v>
          </cell>
          <cell r="S28" t="str">
            <v>14h45 ngày 6 tháng 6 năm 2015</v>
          </cell>
          <cell r="T28" t="str">
            <v>15h45</v>
          </cell>
          <cell r="U28" t="str">
            <v>6/6/2015; Giờ 15h45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KC-19</v>
          </cell>
          <cell r="AQ28" t="str">
            <v>Ngày 31 Tháng 5 Năm 2015</v>
          </cell>
        </row>
        <row r="29">
          <cell r="A29" t="str">
            <v>TĐ-19</v>
          </cell>
          <cell r="B29" t="str">
            <v>Định vị tim trục cột, vách, lõi thang tầng 11</v>
          </cell>
          <cell r="C29" t="str">
            <v>TĐ-19</v>
          </cell>
          <cell r="D29" t="str">
            <v>15h30</v>
          </cell>
          <cell r="E29" t="str">
            <v>10h00</v>
          </cell>
          <cell r="F29">
            <v>14</v>
          </cell>
          <cell r="G29">
            <v>6</v>
          </cell>
          <cell r="H29">
            <v>2015</v>
          </cell>
          <cell r="I29" t="str">
            <v>Hà Nội, ngày 14 tháng 6 năm 2015</v>
          </cell>
          <cell r="J29" t="str">
            <v>15h30 ngày 14 tháng 6 năm 2015</v>
          </cell>
          <cell r="K29" t="str">
            <v>10h00 ngày 18 tháng 6 năm 2015</v>
          </cell>
          <cell r="L29" t="str">
            <v>16h15</v>
          </cell>
          <cell r="M29" t="str">
            <v>10h45</v>
          </cell>
          <cell r="N29">
            <v>18</v>
          </cell>
          <cell r="O29">
            <v>6</v>
          </cell>
          <cell r="P29">
            <v>2015</v>
          </cell>
          <cell r="Q29" t="str">
            <v>Hà Nội, ngày 18 tháng 6 năm 2015</v>
          </cell>
          <cell r="R29" t="str">
            <v>16h15 ngày 14 tháng 6 năm 2015</v>
          </cell>
          <cell r="S29" t="str">
            <v>10h45 ngày 18 tháng 6 năm 2015</v>
          </cell>
          <cell r="T29" t="str">
            <v>16h15</v>
          </cell>
          <cell r="U29" t="str">
            <v>18/6/2015; Giờ 16h15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KC-19</v>
          </cell>
          <cell r="AQ29" t="str">
            <v>Ngày 14 Tháng 6 Năm 2015</v>
          </cell>
        </row>
        <row r="30">
          <cell r="A30" t="str">
            <v>TĐ-20</v>
          </cell>
          <cell r="B30" t="str">
            <v>Định vị tim trục cột, vách, lõi thang tầng áp mái</v>
          </cell>
          <cell r="C30" t="str">
            <v>TĐ-20</v>
          </cell>
          <cell r="D30" t="str">
            <v>8h30</v>
          </cell>
          <cell r="E30" t="str">
            <v>9h30</v>
          </cell>
          <cell r="F30">
            <v>1</v>
          </cell>
          <cell r="G30">
            <v>7</v>
          </cell>
          <cell r="H30">
            <v>2015</v>
          </cell>
          <cell r="I30" t="str">
            <v>Hà Nội, ngày 1 tháng 7 năm 2015</v>
          </cell>
          <cell r="J30" t="str">
            <v>8h30 ngày 1 tháng 7 năm 2015</v>
          </cell>
          <cell r="K30" t="str">
            <v>9h30 ngày 1 tháng 7 năm 2015</v>
          </cell>
          <cell r="L30" t="str">
            <v>9h30</v>
          </cell>
          <cell r="M30" t="str">
            <v>10h30</v>
          </cell>
          <cell r="N30">
            <v>1</v>
          </cell>
          <cell r="O30">
            <v>7</v>
          </cell>
          <cell r="P30">
            <v>2015</v>
          </cell>
          <cell r="Q30" t="str">
            <v>Hà Nội, ngày 1 tháng 7 năm 2015</v>
          </cell>
          <cell r="R30" t="str">
            <v>9h30 ngày 1 tháng 7 năm 2015</v>
          </cell>
          <cell r="S30" t="str">
            <v>10h30 ngày 1 tháng 7 năm 2015</v>
          </cell>
          <cell r="T30" t="str">
            <v>9h30</v>
          </cell>
          <cell r="U30" t="str">
            <v>1/7/2015; Giờ 9h30</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KC-20</v>
          </cell>
          <cell r="AQ30" t="str">
            <v>Ngày 1 Tháng 7 Năm 2015</v>
          </cell>
        </row>
        <row r="31">
          <cell r="D31" t="str">
            <v>….h….</v>
          </cell>
          <cell r="E31" t="str">
            <v>….h….</v>
          </cell>
          <cell r="F31" t="str">
            <v>….</v>
          </cell>
          <cell r="G31" t="str">
            <v>….</v>
          </cell>
          <cell r="H31">
            <v>2015</v>
          </cell>
          <cell r="I31" t="str">
            <v>Hà Nội, ngày …. tháng …. năm 2015</v>
          </cell>
          <cell r="J31" t="str">
            <v>….h…. ngày …. tháng …. năm 2015</v>
          </cell>
          <cell r="K31" t="str">
            <v>….h…. ngày …. tháng …. năm 2015</v>
          </cell>
          <cell r="L31" t="str">
            <v>….h….</v>
          </cell>
          <cell r="M31" t="str">
            <v>….h….</v>
          </cell>
          <cell r="N31" t="str">
            <v>….</v>
          </cell>
          <cell r="O31" t="str">
            <v>….</v>
          </cell>
          <cell r="P31">
            <v>2015</v>
          </cell>
          <cell r="Q31" t="str">
            <v>Hà Nội, ngày …. tháng …. năm 2015</v>
          </cell>
          <cell r="R31" t="str">
            <v>….h…. ngày …. tháng …. năm 2015</v>
          </cell>
          <cell r="S31" t="str">
            <v>….h…. ngày …. tháng …. năm 2015</v>
          </cell>
          <cell r="T31" t="str">
            <v>….h….</v>
          </cell>
          <cell r="U31" t="str">
            <v>…./…./2015; Giờ ….h….</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2015</v>
          </cell>
        </row>
        <row r="32">
          <cell r="D32" t="str">
            <v>….h….</v>
          </cell>
          <cell r="E32" t="str">
            <v>….h….</v>
          </cell>
          <cell r="F32" t="str">
            <v>….</v>
          </cell>
          <cell r="G32" t="str">
            <v>….</v>
          </cell>
          <cell r="H32">
            <v>2015</v>
          </cell>
          <cell r="I32" t="str">
            <v>Hà Nội, ngày …. tháng …. năm 2015</v>
          </cell>
          <cell r="J32" t="str">
            <v>….h…. ngày …. tháng …. năm 2015</v>
          </cell>
          <cell r="K32" t="str">
            <v>….h…. ngày …. tháng …. năm 2015</v>
          </cell>
          <cell r="L32" t="str">
            <v>….h….</v>
          </cell>
          <cell r="M32" t="str">
            <v>….h….</v>
          </cell>
          <cell r="N32" t="str">
            <v>….</v>
          </cell>
          <cell r="O32" t="str">
            <v>….</v>
          </cell>
          <cell r="P32">
            <v>2015</v>
          </cell>
          <cell r="Q32" t="str">
            <v>Hà Nội, ngày …. tháng …. năm 2015</v>
          </cell>
          <cell r="R32" t="str">
            <v>….h…. ngày …. tháng …. năm 2015</v>
          </cell>
          <cell r="S32" t="str">
            <v>….h…. ngày …. tháng …. năm 2015</v>
          </cell>
          <cell r="T32" t="str">
            <v>….h….</v>
          </cell>
          <cell r="U32" t="str">
            <v>…./…./2015; Giờ ….h….</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2015</v>
          </cell>
        </row>
        <row r="33">
          <cell r="D33" t="str">
            <v>….h….</v>
          </cell>
          <cell r="E33" t="str">
            <v>….h….</v>
          </cell>
          <cell r="F33" t="str">
            <v>….</v>
          </cell>
          <cell r="G33" t="str">
            <v>….</v>
          </cell>
          <cell r="H33">
            <v>2015</v>
          </cell>
          <cell r="I33" t="str">
            <v>Hà Nội, ngày …. tháng …. năm 2015</v>
          </cell>
          <cell r="J33" t="str">
            <v>….h…. ngày …. tháng …. năm 2015</v>
          </cell>
          <cell r="K33" t="str">
            <v>….h…. ngày …. tháng …. năm 2015</v>
          </cell>
          <cell r="L33" t="str">
            <v>….h….</v>
          </cell>
          <cell r="M33" t="str">
            <v>….h….</v>
          </cell>
          <cell r="N33" t="str">
            <v>….</v>
          </cell>
          <cell r="O33" t="str">
            <v>….</v>
          </cell>
          <cell r="P33">
            <v>2015</v>
          </cell>
          <cell r="Q33" t="str">
            <v>Hà Nội, ngày …. tháng …. năm 2015</v>
          </cell>
          <cell r="R33" t="str">
            <v>….h…. ngày …. tháng …. năm 2015</v>
          </cell>
          <cell r="S33" t="str">
            <v>….h…. ngày …. tháng …. năm 2015</v>
          </cell>
          <cell r="T33" t="str">
            <v>….h….</v>
          </cell>
          <cell r="U33" t="str">
            <v>…./…./2015; Giờ ….h….</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 Tháng …. Năm 2015</v>
          </cell>
        </row>
        <row r="34">
          <cell r="D34" t="str">
            <v>….h….</v>
          </cell>
          <cell r="E34" t="str">
            <v>….h….</v>
          </cell>
          <cell r="F34" t="str">
            <v>….</v>
          </cell>
          <cell r="G34" t="str">
            <v>….</v>
          </cell>
          <cell r="H34">
            <v>2015</v>
          </cell>
          <cell r="I34" t="str">
            <v>Hà Nội, ngày …. tháng …. năm 2015</v>
          </cell>
          <cell r="J34" t="str">
            <v>….h…. ngày …. tháng …. năm 2015</v>
          </cell>
          <cell r="K34" t="str">
            <v>….h…. ngày …. tháng …. năm 2015</v>
          </cell>
          <cell r="L34" t="str">
            <v>….h….</v>
          </cell>
          <cell r="M34" t="str">
            <v>….h….</v>
          </cell>
          <cell r="N34" t="str">
            <v>….</v>
          </cell>
          <cell r="O34" t="str">
            <v>….</v>
          </cell>
          <cell r="P34">
            <v>2015</v>
          </cell>
          <cell r="Q34" t="str">
            <v>Hà Nội, ngày …. tháng …. năm 2015</v>
          </cell>
          <cell r="R34" t="str">
            <v>….h…. ngày …. tháng …. năm 2015</v>
          </cell>
          <cell r="S34" t="str">
            <v>….h…. ngày …. tháng …. năm 2015</v>
          </cell>
          <cell r="T34" t="str">
            <v>….h….</v>
          </cell>
          <cell r="U34" t="str">
            <v>…./…./2015; Giờ ….h….</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Q34" t="str">
            <v>Ngày …. Tháng …. Năm 2015</v>
          </cell>
        </row>
        <row r="35">
          <cell r="D35" t="str">
            <v>….h….</v>
          </cell>
          <cell r="E35" t="str">
            <v>….h….</v>
          </cell>
          <cell r="F35" t="str">
            <v>….</v>
          </cell>
          <cell r="G35" t="str">
            <v>….</v>
          </cell>
          <cell r="H35">
            <v>2015</v>
          </cell>
          <cell r="I35" t="str">
            <v>Hà Nội, ngày …. tháng …. năm 2015</v>
          </cell>
          <cell r="J35" t="str">
            <v>….h…. ngày …. tháng …. năm 2015</v>
          </cell>
          <cell r="K35" t="str">
            <v>….h…. ngày …. tháng …. năm 2015</v>
          </cell>
          <cell r="L35" t="str">
            <v>….h….</v>
          </cell>
          <cell r="M35" t="str">
            <v>….h….</v>
          </cell>
          <cell r="N35" t="str">
            <v>….</v>
          </cell>
          <cell r="O35" t="str">
            <v>….</v>
          </cell>
          <cell r="P35">
            <v>2015</v>
          </cell>
          <cell r="Q35" t="str">
            <v>Hà Nội, ngày …. tháng …. năm 2015</v>
          </cell>
          <cell r="R35" t="str">
            <v>….h…. ngày …. tháng …. năm 2015</v>
          </cell>
          <cell r="S35" t="str">
            <v>….h…. ngày …. tháng …. năm 2015</v>
          </cell>
          <cell r="T35" t="str">
            <v>….h….</v>
          </cell>
          <cell r="U35" t="str">
            <v>…./…./2015; Giờ ….h….</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Q35" t="str">
            <v>Ngày …. Tháng …. Năm 2015</v>
          </cell>
        </row>
        <row r="36">
          <cell r="D36" t="str">
            <v>….h….</v>
          </cell>
          <cell r="E36" t="str">
            <v>….h….</v>
          </cell>
          <cell r="F36" t="str">
            <v>….</v>
          </cell>
          <cell r="G36" t="str">
            <v>….</v>
          </cell>
          <cell r="H36">
            <v>2015</v>
          </cell>
          <cell r="I36" t="str">
            <v>Hà Nội, ngày …. tháng …. năm 2015</v>
          </cell>
          <cell r="J36" t="str">
            <v>….h…. ngày …. tháng …. năm 2015</v>
          </cell>
          <cell r="K36" t="str">
            <v>….h…. ngày …. tháng …. năm 2015</v>
          </cell>
          <cell r="L36" t="str">
            <v>….h….</v>
          </cell>
          <cell r="M36" t="str">
            <v>….h….</v>
          </cell>
          <cell r="N36" t="str">
            <v>….</v>
          </cell>
          <cell r="O36" t="str">
            <v>….</v>
          </cell>
          <cell r="P36">
            <v>2015</v>
          </cell>
          <cell r="Q36" t="str">
            <v>Hà Nội, ngày …. tháng …. năm 2015</v>
          </cell>
          <cell r="R36" t="str">
            <v>….h…. ngày …. tháng …. năm 2015</v>
          </cell>
          <cell r="S36" t="str">
            <v>….h…. ngày …. tháng …. năm 2015</v>
          </cell>
          <cell r="T36" t="str">
            <v>….h….</v>
          </cell>
          <cell r="U36" t="str">
            <v>…./…./2015; Giờ ….h….</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Q36" t="str">
            <v>Ngày …. Tháng …. Năm 2015</v>
          </cell>
        </row>
        <row r="37">
          <cell r="D37" t="str">
            <v>….h….</v>
          </cell>
          <cell r="E37" t="str">
            <v>….h….</v>
          </cell>
          <cell r="F37" t="str">
            <v>….</v>
          </cell>
          <cell r="G37" t="str">
            <v>….</v>
          </cell>
          <cell r="H37">
            <v>2015</v>
          </cell>
          <cell r="I37" t="str">
            <v>Hà Nội, ngày …. tháng …. năm 2015</v>
          </cell>
          <cell r="J37" t="str">
            <v>….h…. ngày …. tháng …. năm 2015</v>
          </cell>
          <cell r="K37" t="str">
            <v>….h…. ngày …. tháng …. năm 2015</v>
          </cell>
          <cell r="L37" t="str">
            <v>….h….</v>
          </cell>
          <cell r="M37" t="str">
            <v>….h….</v>
          </cell>
          <cell r="N37" t="str">
            <v>….</v>
          </cell>
          <cell r="O37" t="str">
            <v>….</v>
          </cell>
          <cell r="P37">
            <v>2015</v>
          </cell>
          <cell r="Q37" t="str">
            <v>Hà Nội, ngày …. tháng …. năm 2015</v>
          </cell>
          <cell r="R37" t="str">
            <v>….h…. ngày …. tháng …. năm 2015</v>
          </cell>
          <cell r="S37" t="str">
            <v>….h…. ngày …. tháng …. năm 2015</v>
          </cell>
          <cell r="T37" t="str">
            <v>….h….</v>
          </cell>
          <cell r="U37" t="str">
            <v>…./…./2015; Giờ ….h….</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Q37" t="str">
            <v>Ngày …. Tháng …. Năm 2015</v>
          </cell>
        </row>
        <row r="38">
          <cell r="D38" t="str">
            <v>….h….</v>
          </cell>
          <cell r="E38" t="str">
            <v>….h….</v>
          </cell>
          <cell r="F38" t="str">
            <v>….</v>
          </cell>
          <cell r="G38" t="str">
            <v>….</v>
          </cell>
          <cell r="H38">
            <v>2015</v>
          </cell>
          <cell r="I38" t="str">
            <v>Hà Nội, ngày …. tháng …. năm 2015</v>
          </cell>
          <cell r="J38" t="str">
            <v>….h…. ngày …. tháng …. năm 2015</v>
          </cell>
          <cell r="K38" t="str">
            <v>….h…. ngày …. tháng …. năm 2015</v>
          </cell>
          <cell r="L38" t="str">
            <v>….h….</v>
          </cell>
          <cell r="M38" t="str">
            <v>….h….</v>
          </cell>
          <cell r="N38" t="str">
            <v>….</v>
          </cell>
          <cell r="O38" t="str">
            <v>….</v>
          </cell>
          <cell r="P38">
            <v>2015</v>
          </cell>
          <cell r="Q38" t="str">
            <v>Hà Nội, ngày …. tháng …. năm 2015</v>
          </cell>
          <cell r="R38" t="str">
            <v>….h…. ngày …. tháng …. năm 2015</v>
          </cell>
          <cell r="S38" t="str">
            <v>….h…. ngày …. tháng …. năm 2015</v>
          </cell>
          <cell r="T38" t="str">
            <v>….h….</v>
          </cell>
          <cell r="U38" t="str">
            <v>…./…./2015; Giờ ….h….</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Q38" t="str">
            <v>Ngày …. Tháng …. Năm 2015</v>
          </cell>
        </row>
        <row r="39">
          <cell r="A39" t="str">
            <v>TĐ-20</v>
          </cell>
          <cell r="C39" t="str">
            <v>TĐ-20</v>
          </cell>
          <cell r="D39" t="str">
            <v>….h….</v>
          </cell>
          <cell r="E39" t="str">
            <v>….h….</v>
          </cell>
          <cell r="F39" t="str">
            <v>….</v>
          </cell>
          <cell r="G39" t="str">
            <v>….</v>
          </cell>
          <cell r="H39">
            <v>2015</v>
          </cell>
          <cell r="I39" t="str">
            <v>Hà Nội, ngày …. tháng …. năm 2015</v>
          </cell>
          <cell r="J39" t="str">
            <v>….h…. ngày …. tháng …. năm 2015</v>
          </cell>
          <cell r="K39" t="str">
            <v>….h…. ngày …. tháng …. năm 2015</v>
          </cell>
          <cell r="L39" t="str">
            <v>….h….</v>
          </cell>
          <cell r="M39" t="str">
            <v>….h….</v>
          </cell>
          <cell r="N39" t="str">
            <v>….</v>
          </cell>
          <cell r="O39" t="str">
            <v>….</v>
          </cell>
          <cell r="P39">
            <v>2015</v>
          </cell>
          <cell r="Q39" t="str">
            <v>Hà Nội, ngày …. tháng …. năm 2015</v>
          </cell>
          <cell r="R39" t="str">
            <v>….h…. ngày …. tháng …. năm 2015</v>
          </cell>
          <cell r="S39" t="str">
            <v>….h…. ngày …. tháng …. năm 2015</v>
          </cell>
          <cell r="T39" t="str">
            <v>….h….</v>
          </cell>
          <cell r="U39" t="str">
            <v>…./…./2015; Giờ ….h….</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v>0</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Q39" t="str">
            <v>Ngày …. Tháng …. Năm 2015</v>
          </cell>
        </row>
        <row r="43">
          <cell r="A43">
            <v>1</v>
          </cell>
          <cell r="B43">
            <v>2</v>
          </cell>
          <cell r="C43">
            <v>3</v>
          </cell>
          <cell r="D43">
            <v>4</v>
          </cell>
          <cell r="E43">
            <v>5</v>
          </cell>
          <cell r="F43">
            <v>6</v>
          </cell>
          <cell r="G43">
            <v>7</v>
          </cell>
          <cell r="H43">
            <v>8</v>
          </cell>
          <cell r="I43">
            <v>9</v>
          </cell>
          <cell r="J43">
            <v>10</v>
          </cell>
          <cell r="K43">
            <v>11</v>
          </cell>
          <cell r="L43">
            <v>12</v>
          </cell>
          <cell r="M43">
            <v>13</v>
          </cell>
          <cell r="N43">
            <v>14</v>
          </cell>
          <cell r="O43">
            <v>15</v>
          </cell>
          <cell r="P43">
            <v>16</v>
          </cell>
          <cell r="Q43">
            <v>17</v>
          </cell>
          <cell r="R43">
            <v>18</v>
          </cell>
          <cell r="S43">
            <v>19</v>
          </cell>
          <cell r="T43">
            <v>20</v>
          </cell>
          <cell r="U43">
            <v>21</v>
          </cell>
          <cell r="V43">
            <v>22</v>
          </cell>
          <cell r="W43">
            <v>23</v>
          </cell>
          <cell r="X43">
            <v>24</v>
          </cell>
          <cell r="Y43">
            <v>25</v>
          </cell>
          <cell r="Z43">
            <v>26</v>
          </cell>
          <cell r="AA43">
            <v>27</v>
          </cell>
          <cell r="AB43">
            <v>28</v>
          </cell>
          <cell r="AC43">
            <v>29</v>
          </cell>
          <cell r="AD43">
            <v>30</v>
          </cell>
          <cell r="AE43">
            <v>31</v>
          </cell>
          <cell r="AF43">
            <v>32</v>
          </cell>
          <cell r="AG43">
            <v>33</v>
          </cell>
          <cell r="AH43">
            <v>34</v>
          </cell>
          <cell r="AI43">
            <v>35</v>
          </cell>
          <cell r="AJ43">
            <v>36</v>
          </cell>
          <cell r="AK43">
            <v>37</v>
          </cell>
          <cell r="AL43">
            <v>38</v>
          </cell>
          <cell r="AM43">
            <v>39</v>
          </cell>
          <cell r="AN43">
            <v>40</v>
          </cell>
          <cell r="AO43">
            <v>41</v>
          </cell>
          <cell r="AP43">
            <v>42</v>
          </cell>
          <cell r="AQ43">
            <v>43</v>
          </cell>
          <cell r="AR43">
            <v>44</v>
          </cell>
        </row>
      </sheetData>
      <sheetData sheetId="44">
        <row r="11">
          <cell r="A11" t="str">
            <v>Đ-01</v>
          </cell>
          <cell r="B11" t="str">
            <v>-Lăp điện ống ghen tầng...</v>
          </cell>
          <cell r="C11" t="str">
            <v>Đ-01</v>
          </cell>
          <cell r="D11" t="str">
            <v>15h30'</v>
          </cell>
          <cell r="E11" t="str">
            <v>16h30'</v>
          </cell>
          <cell r="F11">
            <v>3</v>
          </cell>
          <cell r="G11">
            <v>12</v>
          </cell>
          <cell r="H11">
            <v>2012</v>
          </cell>
          <cell r="I11" t="str">
            <v>Hà Nội, ngày 3 tháng 12 năm 2012</v>
          </cell>
          <cell r="J11" t="str">
            <v>15h30' ngày 3 tháng 12 năm 2012</v>
          </cell>
          <cell r="K11" t="str">
            <v>16h30' ngày 3 tháng 12 năm 2012</v>
          </cell>
          <cell r="L11" t="str">
            <v>8h30'</v>
          </cell>
          <cell r="M11" t="str">
            <v>9h30'</v>
          </cell>
          <cell r="N11">
            <v>4</v>
          </cell>
          <cell r="O11">
            <v>12</v>
          </cell>
          <cell r="P11">
            <v>2012</v>
          </cell>
          <cell r="Q11" t="str">
            <v>Hà Nội, ngày 4 tháng 12 năm 2012</v>
          </cell>
          <cell r="R11" t="str">
            <v>8h30' ngày 4 tháng 12 năm 2012</v>
          </cell>
          <cell r="S11" t="str">
            <v>9h30' ngày 4 tháng 12 năm 2012</v>
          </cell>
          <cell r="T11" t="str">
            <v>8h30'</v>
          </cell>
          <cell r="U11" t="str">
            <v>4/12/2012; Giờ 8h30'</v>
          </cell>
          <cell r="V11" t="str">
            <v>Nguyễn Ái Việt</v>
          </cell>
          <cell r="W11" t="str">
            <v>Chỉ huy trưởng</v>
          </cell>
          <cell r="X11">
            <v>0</v>
          </cell>
          <cell r="Y11" t="str">
            <v>Cán bộ Ban QLDA</v>
          </cell>
          <cell r="Z11" t="str">
            <v>................................</v>
          </cell>
          <cell r="AA11" t="str">
            <v>................................</v>
          </cell>
          <cell r="AB11" t="str">
            <v>Vương Toàn Hiếu</v>
          </cell>
          <cell r="AC11" t="str">
            <v>Trưởng đoàn TVGS</v>
          </cell>
          <cell r="AD11" t="str">
            <v>Lê Thiều Nam</v>
          </cell>
          <cell r="AE11" t="str">
            <v>Cán bộ TVGS</v>
          </cell>
          <cell r="AF11">
            <v>0</v>
          </cell>
          <cell r="AG11" t="str">
            <v>CB TVGS</v>
          </cell>
          <cell r="AH11" t="str">
            <v>Nguyễn Ái Việt</v>
          </cell>
          <cell r="AI11" t="str">
            <v>Chỉ huy trưởng</v>
          </cell>
          <cell r="AJ11" t="str">
            <v>Hoàng Chiến Thắng</v>
          </cell>
          <cell r="AK11" t="str">
            <v>P. Chỉ huy trưởng</v>
          </cell>
          <cell r="AL11" t="str">
            <v>Trần Ngọc Đại</v>
          </cell>
          <cell r="AM11" t="str">
            <v>Cán bộ kỹ thuật</v>
          </cell>
        </row>
        <row r="19">
          <cell r="A19">
            <v>1</v>
          </cell>
          <cell r="B19">
            <v>2</v>
          </cell>
          <cell r="C19">
            <v>3</v>
          </cell>
          <cell r="D19">
            <v>4</v>
          </cell>
          <cell r="E19">
            <v>5</v>
          </cell>
          <cell r="F19">
            <v>6</v>
          </cell>
          <cell r="G19">
            <v>7</v>
          </cell>
          <cell r="H19">
            <v>8</v>
          </cell>
          <cell r="I19">
            <v>9</v>
          </cell>
          <cell r="J19">
            <v>10</v>
          </cell>
          <cell r="K19">
            <v>11</v>
          </cell>
          <cell r="L19">
            <v>12</v>
          </cell>
          <cell r="M19">
            <v>13</v>
          </cell>
          <cell r="N19">
            <v>14</v>
          </cell>
          <cell r="O19">
            <v>15</v>
          </cell>
          <cell r="P19">
            <v>16</v>
          </cell>
          <cell r="Q19">
            <v>17</v>
          </cell>
          <cell r="R19">
            <v>18</v>
          </cell>
          <cell r="S19">
            <v>19</v>
          </cell>
          <cell r="T19">
            <v>20</v>
          </cell>
          <cell r="U19">
            <v>21</v>
          </cell>
          <cell r="V19">
            <v>22</v>
          </cell>
          <cell r="W19">
            <v>23</v>
          </cell>
          <cell r="X19">
            <v>24</v>
          </cell>
          <cell r="Y19">
            <v>25</v>
          </cell>
          <cell r="Z19">
            <v>26</v>
          </cell>
          <cell r="AA19">
            <v>27</v>
          </cell>
          <cell r="AB19">
            <v>28</v>
          </cell>
          <cell r="AC19">
            <v>29</v>
          </cell>
          <cell r="AD19">
            <v>30</v>
          </cell>
          <cell r="AE19">
            <v>31</v>
          </cell>
          <cell r="AF19">
            <v>32</v>
          </cell>
          <cell r="AG19">
            <v>33</v>
          </cell>
          <cell r="AH19">
            <v>34</v>
          </cell>
          <cell r="AI19">
            <v>35</v>
          </cell>
          <cell r="AJ19">
            <v>36</v>
          </cell>
          <cell r="AK19">
            <v>37</v>
          </cell>
          <cell r="AL19">
            <v>38</v>
          </cell>
          <cell r="AM19">
            <v>39</v>
          </cell>
          <cell r="AN19">
            <v>40</v>
          </cell>
          <cell r="AO19">
            <v>41</v>
          </cell>
          <cell r="AP19">
            <v>42</v>
          </cell>
        </row>
      </sheetData>
      <sheetData sheetId="45"/>
      <sheetData sheetId="46"/>
      <sheetData sheetId="47">
        <row r="2">
          <cell r="A2" t="str">
            <v>CÔNG TY CP HỒNG HÀ VIỆT NAM</v>
          </cell>
          <cell r="L2" t="str">
            <v>CỘNG HÒA XÃ HỘI CHỦ NGHĨA VIỆT NAM</v>
          </cell>
        </row>
        <row r="3">
          <cell r="M3" t="str">
            <v>ĐỘC LẬP-TỰ DO -HẠNH PHÚC</v>
          </cell>
        </row>
        <row r="5">
          <cell r="A5" t="str">
            <v>BBNT TRẮC ĐẠC</v>
          </cell>
          <cell r="AO5" t="str">
            <v>FILE IN</v>
          </cell>
          <cell r="AR5" t="str">
            <v>DANH MỤC</v>
          </cell>
        </row>
        <row r="6">
          <cell r="A6" t="str">
            <v>XÂY DỰNG NHÀ Ở XÃ HỘI ĐỂ BÁN VÀ CHO THUÊ</v>
          </cell>
        </row>
        <row r="7">
          <cell r="A7" t="str">
            <v>CT6</v>
          </cell>
        </row>
        <row r="9">
          <cell r="A9" t="str">
            <v>Stt</v>
          </cell>
          <cell r="B9" t="str">
            <v>Nội dung</v>
          </cell>
          <cell r="C9" t="str">
            <v>Số biên bản</v>
          </cell>
          <cell r="D9" t="str">
            <v>Nghiệm Thu Nội Bộ</v>
          </cell>
          <cell r="I9" t="str">
            <v>Ngày tháng năm</v>
          </cell>
          <cell r="J9" t="str">
            <v>Bắt đầu</v>
          </cell>
          <cell r="K9" t="str">
            <v>Kết thúc</v>
          </cell>
          <cell r="L9" t="str">
            <v xml:space="preserve"> Nghiệm Thu Công Việc</v>
          </cell>
          <cell r="Q9" t="str">
            <v>Ngày tháng năm</v>
          </cell>
          <cell r="R9" t="str">
            <v>Bắt đầu</v>
          </cell>
          <cell r="S9" t="str">
            <v>Kết thúc</v>
          </cell>
          <cell r="T9" t="str">
            <v>Yêu Cầu Nghiệm Thu</v>
          </cell>
          <cell r="X9" t="str">
            <v>Người ký của BQLDA</v>
          </cell>
          <cell r="AB9" t="str">
            <v>Người ký của TVGS</v>
          </cell>
          <cell r="AH9" t="str">
            <v>Người ký của Nhà Thầu</v>
          </cell>
          <cell r="AN9" t="str">
            <v>Bản vẽ tham chiếu</v>
          </cell>
          <cell r="AO9" t="str">
            <v>Bản vẽ (phiếu xử lý)</v>
          </cell>
          <cell r="AP9" t="str">
            <v>Thanh toán đợt</v>
          </cell>
          <cell r="AQ9" t="str">
            <v>Vật tư</v>
          </cell>
        </row>
        <row r="10">
          <cell r="D10" t="str">
            <v>Giờ bắt đầu</v>
          </cell>
          <cell r="E10" t="str">
            <v>Giờ kết thúc</v>
          </cell>
          <cell r="F10" t="str">
            <v>Ngày</v>
          </cell>
          <cell r="G10" t="str">
            <v>Tháng</v>
          </cell>
          <cell r="H10" t="str">
            <v>Năm</v>
          </cell>
          <cell r="L10" t="str">
            <v>Giờ bắt đầu</v>
          </cell>
          <cell r="M10" t="str">
            <v>Giờ kết thúc</v>
          </cell>
          <cell r="N10" t="str">
            <v>Ngày</v>
          </cell>
          <cell r="O10" t="str">
            <v>Tháng</v>
          </cell>
          <cell r="P10" t="str">
            <v>Năm</v>
          </cell>
          <cell r="T10" t="str">
            <v>Giờ yêu cầu</v>
          </cell>
          <cell r="U10" t="str">
            <v>Ngày</v>
          </cell>
          <cell r="V10" t="str">
            <v>Người yêu cầu</v>
          </cell>
          <cell r="W10" t="str">
            <v>Chức vụ</v>
          </cell>
          <cell r="X10" t="str">
            <v>Người ký 1</v>
          </cell>
          <cell r="Y10" t="str">
            <v>Chức vụ 1</v>
          </cell>
          <cell r="Z10" t="str">
            <v>Người ký 2</v>
          </cell>
          <cell r="AA10" t="str">
            <v>Chức vụ 2</v>
          </cell>
          <cell r="AB10" t="str">
            <v>Người ký 1</v>
          </cell>
          <cell r="AC10" t="str">
            <v>Chức vụ 1</v>
          </cell>
          <cell r="AD10" t="str">
            <v>Người ký 2</v>
          </cell>
          <cell r="AE10" t="str">
            <v>Chức vụ 2</v>
          </cell>
          <cell r="AF10" t="str">
            <v>Người ký 3</v>
          </cell>
          <cell r="AG10" t="str">
            <v>Chức vụ 3</v>
          </cell>
          <cell r="AH10" t="str">
            <v>Người ký 1</v>
          </cell>
          <cell r="AI10" t="str">
            <v>Chức vụ 1</v>
          </cell>
          <cell r="AJ10" t="str">
            <v>Người ký 2</v>
          </cell>
          <cell r="AK10" t="str">
            <v>Chức vụ 2</v>
          </cell>
          <cell r="AL10" t="str">
            <v>Người ký 3</v>
          </cell>
          <cell r="AM10" t="str">
            <v>Chức vụ 3</v>
          </cell>
        </row>
        <row r="11">
          <cell r="A11" t="str">
            <v>CĐC-01</v>
          </cell>
          <cell r="B11" t="str">
            <v>-Công tác cắt đầu cọc tới cốt thiết kế PĐ1 trục X4'-X8/Y5'-Y8</v>
          </cell>
          <cell r="C11" t="str">
            <v>CĐC-01</v>
          </cell>
          <cell r="D11" t="str">
            <v>8h00</v>
          </cell>
          <cell r="E11" t="str">
            <v>9h00</v>
          </cell>
          <cell r="F11">
            <v>25</v>
          </cell>
          <cell r="G11">
            <v>11</v>
          </cell>
          <cell r="H11">
            <v>2014</v>
          </cell>
          <cell r="I11" t="str">
            <v>Hà Nội, ngày 25 tháng 11 năm 2014</v>
          </cell>
          <cell r="J11" t="str">
            <v>8h00 ngày 25 tháng 11 năm 2014</v>
          </cell>
          <cell r="K11" t="str">
            <v>9h00 ngày 25 tháng 11 năm 2014</v>
          </cell>
          <cell r="L11" t="str">
            <v>9h00</v>
          </cell>
          <cell r="M11" t="str">
            <v>10h00</v>
          </cell>
          <cell r="N11">
            <v>25</v>
          </cell>
          <cell r="O11">
            <v>11</v>
          </cell>
          <cell r="P11">
            <v>2014</v>
          </cell>
          <cell r="Q11" t="str">
            <v>Hà Nội, ngày 25 tháng 11 năm 2014</v>
          </cell>
          <cell r="R11" t="str">
            <v>9h00 ngày 25 tháng 11 năm 2014</v>
          </cell>
          <cell r="S11" t="str">
            <v>10h00 ngày 25 tháng 11 năm 2014</v>
          </cell>
          <cell r="T11" t="str">
            <v>9h00</v>
          </cell>
          <cell r="U11" t="str">
            <v>25/11/2014; Giờ 9h00</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KC-03÷KC-05;KC-07÷KC-10</v>
          </cell>
        </row>
        <row r="12">
          <cell r="A12" t="str">
            <v>CĐC-02</v>
          </cell>
          <cell r="B12" t="str">
            <v>-Công tác cắt đầu cọc tới cốt thiết kế PĐ2 trục X1-X4'/Y5-Y8</v>
          </cell>
          <cell r="C12" t="str">
            <v>CĐC-02</v>
          </cell>
          <cell r="D12" t="str">
            <v>9h00</v>
          </cell>
          <cell r="E12" t="str">
            <v>10h00</v>
          </cell>
          <cell r="F12">
            <v>29</v>
          </cell>
          <cell r="G12">
            <v>11</v>
          </cell>
          <cell r="H12">
            <v>2014</v>
          </cell>
          <cell r="I12" t="str">
            <v>Hà Nội, ngày 29 tháng 11 năm 2014</v>
          </cell>
          <cell r="J12" t="str">
            <v>9h00 ngày 29 tháng 11 năm 2014</v>
          </cell>
          <cell r="K12" t="str">
            <v>10h00 ngày 29 tháng 11 năm 2014</v>
          </cell>
          <cell r="L12" t="str">
            <v>10h00</v>
          </cell>
          <cell r="M12" t="str">
            <v>11h00</v>
          </cell>
          <cell r="N12">
            <v>29</v>
          </cell>
          <cell r="O12">
            <v>11</v>
          </cell>
          <cell r="P12">
            <v>2014</v>
          </cell>
          <cell r="Q12" t="str">
            <v>Hà Nội, ngày 29 tháng 11 năm 2014</v>
          </cell>
          <cell r="R12" t="str">
            <v>10h00 ngày 29 tháng 11 năm 2014</v>
          </cell>
          <cell r="S12" t="str">
            <v>11h00 ngày 29 tháng 11 năm 2014</v>
          </cell>
          <cell r="T12" t="str">
            <v>10h00</v>
          </cell>
          <cell r="U12" t="str">
            <v>29/11/2014; Giờ 10h00</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KC-03÷KC-05;KC-07÷KC-10</v>
          </cell>
        </row>
        <row r="13">
          <cell r="A13" t="str">
            <v>CĐC-03</v>
          </cell>
          <cell r="B13" t="str">
            <v>-Công tác cắt đầu cọc tới cốt thiết kế PĐ3 trục X1-X4/Y1-Y5</v>
          </cell>
          <cell r="C13" t="str">
            <v>CĐC-03</v>
          </cell>
          <cell r="D13" t="str">
            <v>8h30</v>
          </cell>
          <cell r="E13" t="str">
            <v>9h30</v>
          </cell>
          <cell r="F13">
            <v>3</v>
          </cell>
          <cell r="G13">
            <v>12</v>
          </cell>
          <cell r="H13">
            <v>2014</v>
          </cell>
          <cell r="I13" t="str">
            <v>Hà Nội, ngày 3 tháng 12 năm 2014</v>
          </cell>
          <cell r="J13" t="str">
            <v>8h30 ngày 3 tháng 12 năm 2014</v>
          </cell>
          <cell r="K13" t="str">
            <v>9h30 ngày 3 tháng 12 năm 2014</v>
          </cell>
          <cell r="L13" t="str">
            <v>9h30</v>
          </cell>
          <cell r="M13" t="str">
            <v>10h30</v>
          </cell>
          <cell r="N13">
            <v>3</v>
          </cell>
          <cell r="O13">
            <v>12</v>
          </cell>
          <cell r="P13">
            <v>2014</v>
          </cell>
          <cell r="Q13" t="str">
            <v>Hà Nội, ngày 3 tháng 12 năm 2014</v>
          </cell>
          <cell r="R13" t="str">
            <v>9h30 ngày 3 tháng 12 năm 2014</v>
          </cell>
          <cell r="S13" t="str">
            <v>10h30 ngày 3 tháng 12 năm 2014</v>
          </cell>
          <cell r="T13" t="str">
            <v>9h30</v>
          </cell>
          <cell r="U13" t="str">
            <v>3/12/2014; Giờ 9h30</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KC-03÷KC-05;KC-07÷KC-10</v>
          </cell>
        </row>
        <row r="14">
          <cell r="D14" t="str">
            <v>….h….</v>
          </cell>
          <cell r="E14" t="str">
            <v>….h….</v>
          </cell>
          <cell r="F14" t="str">
            <v>….</v>
          </cell>
          <cell r="G14" t="str">
            <v>….</v>
          </cell>
          <cell r="H14">
            <v>2014</v>
          </cell>
          <cell r="I14" t="str">
            <v>Hà Nội, ngày …. tháng …. năm 2014</v>
          </cell>
          <cell r="J14" t="str">
            <v>….h…. ngày …. tháng …. năm 2014</v>
          </cell>
          <cell r="K14" t="str">
            <v>….h…. ngày …. tháng …. năm 2014</v>
          </cell>
          <cell r="L14" t="str">
            <v>….h….</v>
          </cell>
          <cell r="M14" t="str">
            <v>….h….</v>
          </cell>
          <cell r="N14" t="str">
            <v>….</v>
          </cell>
          <cell r="O14" t="str">
            <v>….</v>
          </cell>
          <cell r="P14">
            <v>2014</v>
          </cell>
          <cell r="Q14" t="str">
            <v>Hà Nội, ngày …. tháng …. năm 2014</v>
          </cell>
          <cell r="R14" t="str">
            <v>….h…. ngày …. tháng …. năm 2014</v>
          </cell>
          <cell r="S14" t="str">
            <v>….h…. ngày …. tháng …. năm 2014</v>
          </cell>
          <cell r="T14" t="str">
            <v>….h….</v>
          </cell>
          <cell r="U14" t="str">
            <v>…./…./2014; Giờ ….h….</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KC-03÷KC-05;KC-07÷KC-10</v>
          </cell>
        </row>
        <row r="15">
          <cell r="D15" t="str">
            <v>….h….</v>
          </cell>
          <cell r="E15" t="str">
            <v>….h….</v>
          </cell>
          <cell r="F15" t="str">
            <v>….</v>
          </cell>
          <cell r="G15" t="str">
            <v>….</v>
          </cell>
          <cell r="H15">
            <v>2014</v>
          </cell>
          <cell r="I15" t="str">
            <v>Hà Nội, ngày …. tháng …. năm 2014</v>
          </cell>
          <cell r="J15" t="str">
            <v>….h…. ngày …. tháng …. năm 2014</v>
          </cell>
          <cell r="K15" t="str">
            <v>….h…. ngày …. tháng …. năm 2014</v>
          </cell>
          <cell r="L15" t="str">
            <v>….h….</v>
          </cell>
          <cell r="M15" t="str">
            <v>….h….</v>
          </cell>
          <cell r="N15" t="str">
            <v>….</v>
          </cell>
          <cell r="O15" t="str">
            <v>….</v>
          </cell>
          <cell r="P15">
            <v>2014</v>
          </cell>
          <cell r="Q15" t="str">
            <v>Hà Nội, ngày …. tháng …. năm 2014</v>
          </cell>
          <cell r="R15" t="str">
            <v>….h…. ngày …. tháng …. năm 2014</v>
          </cell>
          <cell r="S15" t="str">
            <v>….h…. ngày …. tháng …. năm 2014</v>
          </cell>
          <cell r="T15" t="str">
            <v>….h….</v>
          </cell>
          <cell r="U15" t="str">
            <v>…./…./2014; Giờ ….h….</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KC-03÷KC-05;KC-07÷KC-10</v>
          </cell>
        </row>
        <row r="16">
          <cell r="D16" t="str">
            <v>….h….</v>
          </cell>
          <cell r="E16" t="str">
            <v>….h….</v>
          </cell>
          <cell r="F16" t="str">
            <v>….</v>
          </cell>
          <cell r="G16" t="str">
            <v>….</v>
          </cell>
          <cell r="H16">
            <v>2014</v>
          </cell>
          <cell r="I16" t="str">
            <v>Hà Nội, ngày …. tháng …. năm 2014</v>
          </cell>
          <cell r="J16" t="str">
            <v>….h…. ngày …. tháng …. năm 2014</v>
          </cell>
          <cell r="K16" t="str">
            <v>….h…. ngày …. tháng …. năm 2014</v>
          </cell>
          <cell r="L16" t="str">
            <v>….h….</v>
          </cell>
          <cell r="M16" t="str">
            <v>….h….</v>
          </cell>
          <cell r="N16" t="str">
            <v>….</v>
          </cell>
          <cell r="O16" t="str">
            <v>….</v>
          </cell>
          <cell r="P16">
            <v>2014</v>
          </cell>
          <cell r="Q16" t="str">
            <v>Hà Nội, ngày …. tháng …. năm 2014</v>
          </cell>
          <cell r="R16" t="str">
            <v>….h…. ngày …. tháng …. năm 2014</v>
          </cell>
          <cell r="S16" t="str">
            <v>….h…. ngày …. tháng …. năm 2014</v>
          </cell>
          <cell r="T16" t="str">
            <v>….h….</v>
          </cell>
          <cell r="U16" t="str">
            <v>…./…./2014; Giờ ….h….</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KC-03÷KC-05;KC-07÷KC-10</v>
          </cell>
        </row>
        <row r="17">
          <cell r="D17" t="str">
            <v>….h….</v>
          </cell>
          <cell r="E17" t="str">
            <v>….h….</v>
          </cell>
          <cell r="F17" t="str">
            <v>….</v>
          </cell>
          <cell r="G17" t="str">
            <v>….</v>
          </cell>
          <cell r="H17">
            <v>2014</v>
          </cell>
          <cell r="I17" t="str">
            <v>Hà Nội, ngày …. tháng …. năm 2014</v>
          </cell>
          <cell r="J17" t="str">
            <v>….h…. ngày …. tháng …. năm 2014</v>
          </cell>
          <cell r="K17" t="str">
            <v>….h…. ngày …. tháng …. năm 2014</v>
          </cell>
          <cell r="L17" t="str">
            <v>….h….</v>
          </cell>
          <cell r="M17" t="str">
            <v>….h….</v>
          </cell>
          <cell r="N17" t="str">
            <v>….</v>
          </cell>
          <cell r="O17" t="str">
            <v>….</v>
          </cell>
          <cell r="P17">
            <v>2014</v>
          </cell>
          <cell r="Q17" t="str">
            <v>Hà Nội, ngày …. tháng …. năm 2014</v>
          </cell>
          <cell r="R17" t="str">
            <v>….h…. ngày …. tháng …. năm 2014</v>
          </cell>
          <cell r="S17" t="str">
            <v>….h…. ngày …. tháng …. năm 2014</v>
          </cell>
          <cell r="T17" t="str">
            <v>….h….</v>
          </cell>
          <cell r="U17" t="str">
            <v>…./…./2014; Giờ ….h….</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KC-03÷KC-05;KC-07÷KC-10</v>
          </cell>
        </row>
        <row r="18">
          <cell r="D18" t="str">
            <v>….h….</v>
          </cell>
          <cell r="E18" t="str">
            <v>….h….</v>
          </cell>
          <cell r="F18" t="str">
            <v>….</v>
          </cell>
          <cell r="G18" t="str">
            <v>….</v>
          </cell>
          <cell r="H18">
            <v>2014</v>
          </cell>
          <cell r="I18" t="str">
            <v>Hà Nội, ngày …. tháng …. năm 2014</v>
          </cell>
          <cell r="J18" t="str">
            <v>….h…. ngày …. tháng …. năm 2014</v>
          </cell>
          <cell r="K18" t="str">
            <v>….h…. ngày …. tháng …. năm 2014</v>
          </cell>
          <cell r="L18" t="str">
            <v>….h….</v>
          </cell>
          <cell r="M18" t="str">
            <v>….h….</v>
          </cell>
          <cell r="N18" t="str">
            <v>….</v>
          </cell>
          <cell r="O18" t="str">
            <v>….</v>
          </cell>
          <cell r="P18">
            <v>2014</v>
          </cell>
          <cell r="Q18" t="str">
            <v>Hà Nội, ngày …. tháng …. năm 2014</v>
          </cell>
          <cell r="R18" t="str">
            <v>….h…. ngày …. tháng …. năm 2014</v>
          </cell>
          <cell r="S18" t="str">
            <v>….h…. ngày …. tháng …. năm 2014</v>
          </cell>
          <cell r="T18" t="str">
            <v>….h….</v>
          </cell>
          <cell r="U18" t="str">
            <v>…./…./2014; Giờ ….h….</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KC-03÷KC-05;KC-07÷KC-10</v>
          </cell>
        </row>
        <row r="19">
          <cell r="D19" t="str">
            <v>….h….</v>
          </cell>
          <cell r="E19" t="str">
            <v>….h….</v>
          </cell>
          <cell r="F19" t="str">
            <v>….</v>
          </cell>
          <cell r="G19" t="str">
            <v>….</v>
          </cell>
          <cell r="H19">
            <v>2014</v>
          </cell>
          <cell r="I19" t="str">
            <v>Hà Nội, ngày …. tháng …. năm 2014</v>
          </cell>
          <cell r="J19" t="str">
            <v>….h…. ngày …. tháng …. năm 2014</v>
          </cell>
          <cell r="K19" t="str">
            <v>….h…. ngày …. tháng …. năm 2014</v>
          </cell>
          <cell r="L19" t="str">
            <v>….h….</v>
          </cell>
          <cell r="M19" t="str">
            <v>….h….</v>
          </cell>
          <cell r="N19" t="str">
            <v>….</v>
          </cell>
          <cell r="O19" t="str">
            <v>….</v>
          </cell>
          <cell r="P19">
            <v>2014</v>
          </cell>
          <cell r="Q19" t="str">
            <v>Hà Nội, ngày …. tháng …. năm 2014</v>
          </cell>
          <cell r="R19" t="str">
            <v>….h…. ngày …. tháng …. năm 2014</v>
          </cell>
          <cell r="S19" t="str">
            <v>….h…. ngày …. tháng …. năm 2014</v>
          </cell>
          <cell r="T19" t="str">
            <v>….h….</v>
          </cell>
          <cell r="U19" t="str">
            <v>…./…./2014; Giờ ….h….</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KC-03÷KC-05;KC-07÷KC-10</v>
          </cell>
        </row>
        <row r="20">
          <cell r="D20" t="str">
            <v>….h….</v>
          </cell>
          <cell r="E20" t="str">
            <v>….h….</v>
          </cell>
          <cell r="F20" t="str">
            <v>….</v>
          </cell>
          <cell r="G20" t="str">
            <v>….</v>
          </cell>
          <cell r="H20">
            <v>2014</v>
          </cell>
          <cell r="I20" t="str">
            <v>Hà Nội, ngày …. tháng …. năm 2014</v>
          </cell>
          <cell r="J20" t="str">
            <v>….h…. ngày …. tháng …. năm 2014</v>
          </cell>
          <cell r="K20" t="str">
            <v>….h…. ngày …. tháng …. năm 2014</v>
          </cell>
          <cell r="L20" t="str">
            <v>….h….</v>
          </cell>
          <cell r="M20" t="str">
            <v>….h….</v>
          </cell>
          <cell r="N20" t="str">
            <v>….</v>
          </cell>
          <cell r="O20" t="str">
            <v>….</v>
          </cell>
          <cell r="P20">
            <v>2014</v>
          </cell>
          <cell r="Q20" t="str">
            <v>Hà Nội, ngày …. tháng …. năm 2014</v>
          </cell>
          <cell r="R20" t="str">
            <v>….h…. ngày …. tháng …. năm 2014</v>
          </cell>
          <cell r="S20" t="str">
            <v>….h…. ngày …. tháng …. năm 2014</v>
          </cell>
          <cell r="T20" t="str">
            <v>….h….</v>
          </cell>
          <cell r="U20" t="str">
            <v>…./…./2014; Giờ ….h….</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KC-03÷KC-05;KC-07÷KC-10</v>
          </cell>
        </row>
        <row r="21">
          <cell r="D21" t="str">
            <v>….h….</v>
          </cell>
          <cell r="E21" t="str">
            <v>….h….</v>
          </cell>
          <cell r="F21" t="str">
            <v>….</v>
          </cell>
          <cell r="G21" t="str">
            <v>….</v>
          </cell>
          <cell r="H21">
            <v>2014</v>
          </cell>
          <cell r="I21" t="str">
            <v>Hà Nội, ngày …. tháng …. năm 2014</v>
          </cell>
          <cell r="J21" t="str">
            <v>….h…. ngày …. tháng …. năm 2014</v>
          </cell>
          <cell r="K21" t="str">
            <v>….h…. ngày …. tháng …. năm 2014</v>
          </cell>
          <cell r="L21" t="str">
            <v>….h….</v>
          </cell>
          <cell r="M21" t="str">
            <v>….h….</v>
          </cell>
          <cell r="N21" t="str">
            <v>….</v>
          </cell>
          <cell r="O21" t="str">
            <v>….</v>
          </cell>
          <cell r="P21">
            <v>2014</v>
          </cell>
          <cell r="Q21" t="str">
            <v>Hà Nội, ngày …. tháng …. năm 2014</v>
          </cell>
          <cell r="R21" t="str">
            <v>….h…. ngày …. tháng …. năm 2014</v>
          </cell>
          <cell r="S21" t="str">
            <v>….h…. ngày …. tháng …. năm 2014</v>
          </cell>
          <cell r="T21" t="str">
            <v>….h….</v>
          </cell>
          <cell r="U21" t="str">
            <v>…./…./2014; Giờ ….h….</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KC-03÷KC-05;KC-07÷KC-10</v>
          </cell>
        </row>
        <row r="22">
          <cell r="D22" t="str">
            <v>….h….</v>
          </cell>
          <cell r="E22" t="str">
            <v>….h….</v>
          </cell>
          <cell r="F22" t="str">
            <v>….</v>
          </cell>
          <cell r="G22" t="str">
            <v>….</v>
          </cell>
          <cell r="H22">
            <v>2014</v>
          </cell>
          <cell r="I22" t="str">
            <v>Hà Nội, ngày …. tháng …. năm 2014</v>
          </cell>
          <cell r="J22" t="str">
            <v>….h…. ngày …. tháng …. năm 2014</v>
          </cell>
          <cell r="K22" t="str">
            <v>….h…. ngày …. tháng …. năm 2014</v>
          </cell>
          <cell r="L22" t="str">
            <v>….h….</v>
          </cell>
          <cell r="M22" t="str">
            <v>….h….</v>
          </cell>
          <cell r="N22" t="str">
            <v>….</v>
          </cell>
          <cell r="O22" t="str">
            <v>….</v>
          </cell>
          <cell r="P22">
            <v>2014</v>
          </cell>
          <cell r="Q22" t="str">
            <v>Hà Nội, ngày …. tháng …. năm 2014</v>
          </cell>
          <cell r="R22" t="str">
            <v>….h…. ngày …. tháng …. năm 2014</v>
          </cell>
          <cell r="S22" t="str">
            <v>….h…. ngày …. tháng …. năm 2014</v>
          </cell>
          <cell r="T22" t="str">
            <v>….h….</v>
          </cell>
          <cell r="U22" t="str">
            <v>…./…./2014; Giờ ….h….</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KC-03÷KC-05;KC-07÷KC-10</v>
          </cell>
        </row>
        <row r="23">
          <cell r="D23" t="str">
            <v>….h….</v>
          </cell>
          <cell r="E23" t="str">
            <v>….h….</v>
          </cell>
          <cell r="F23" t="str">
            <v>….</v>
          </cell>
          <cell r="G23" t="str">
            <v>….</v>
          </cell>
          <cell r="H23">
            <v>2014</v>
          </cell>
          <cell r="I23" t="str">
            <v>Hà Nội, ngày …. tháng …. năm 2014</v>
          </cell>
          <cell r="J23" t="str">
            <v>….h…. ngày …. tháng …. năm 2014</v>
          </cell>
          <cell r="K23" t="str">
            <v>….h…. ngày …. tháng …. năm 2014</v>
          </cell>
          <cell r="L23" t="str">
            <v>….h….</v>
          </cell>
          <cell r="M23" t="str">
            <v>….h….</v>
          </cell>
          <cell r="N23" t="str">
            <v>….</v>
          </cell>
          <cell r="O23" t="str">
            <v>….</v>
          </cell>
          <cell r="P23">
            <v>2014</v>
          </cell>
          <cell r="Q23" t="str">
            <v>Hà Nội, ngày …. tháng …. năm 2014</v>
          </cell>
          <cell r="R23" t="str">
            <v>….h…. ngày …. tháng …. năm 2014</v>
          </cell>
          <cell r="S23" t="str">
            <v>….h…. ngày …. tháng …. năm 2014</v>
          </cell>
          <cell r="T23" t="str">
            <v>….h….</v>
          </cell>
          <cell r="U23" t="str">
            <v>…./…./2014; Giờ ….h….</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KC-03÷KC-05;KC-07÷KC-10</v>
          </cell>
        </row>
        <row r="24">
          <cell r="D24" t="str">
            <v>….h….</v>
          </cell>
          <cell r="E24" t="str">
            <v>….h….</v>
          </cell>
          <cell r="F24" t="str">
            <v>….</v>
          </cell>
          <cell r="G24" t="str">
            <v>….</v>
          </cell>
          <cell r="H24">
            <v>2014</v>
          </cell>
          <cell r="I24" t="str">
            <v>Hà Nội, ngày …. tháng …. năm 2014</v>
          </cell>
          <cell r="J24" t="str">
            <v>….h…. ngày …. tháng …. năm 2014</v>
          </cell>
          <cell r="K24" t="str">
            <v>….h…. ngày …. tháng …. năm 2014</v>
          </cell>
          <cell r="L24" t="str">
            <v>….h….</v>
          </cell>
          <cell r="M24" t="str">
            <v>….h….</v>
          </cell>
          <cell r="N24" t="str">
            <v>….</v>
          </cell>
          <cell r="O24" t="str">
            <v>….</v>
          </cell>
          <cell r="P24">
            <v>2014</v>
          </cell>
          <cell r="Q24" t="str">
            <v>Hà Nội, ngày …. tháng …. năm 2014</v>
          </cell>
          <cell r="R24" t="str">
            <v>….h…. ngày …. tháng …. năm 2014</v>
          </cell>
          <cell r="S24" t="str">
            <v>….h…. ngày …. tháng …. năm 2014</v>
          </cell>
          <cell r="T24" t="str">
            <v>….h….</v>
          </cell>
          <cell r="U24" t="str">
            <v>…./…./2014; Giờ ….h….</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KC-03÷KC-05;KC-07÷KC-10</v>
          </cell>
        </row>
        <row r="25">
          <cell r="D25" t="str">
            <v>….h….</v>
          </cell>
          <cell r="E25" t="str">
            <v>….h….</v>
          </cell>
          <cell r="F25" t="str">
            <v>….</v>
          </cell>
          <cell r="G25" t="str">
            <v>….</v>
          </cell>
          <cell r="H25">
            <v>2014</v>
          </cell>
          <cell r="I25" t="str">
            <v>Hà Nội, ngày …. tháng …. năm 2014</v>
          </cell>
          <cell r="J25" t="str">
            <v>….h…. ngày …. tháng …. năm 2014</v>
          </cell>
          <cell r="K25" t="str">
            <v>….h…. ngày …. tháng …. năm 2014</v>
          </cell>
          <cell r="L25" t="str">
            <v>….h….</v>
          </cell>
          <cell r="M25" t="str">
            <v>….h….</v>
          </cell>
          <cell r="N25" t="str">
            <v>….</v>
          </cell>
          <cell r="O25" t="str">
            <v>….</v>
          </cell>
          <cell r="P25">
            <v>2014</v>
          </cell>
          <cell r="Q25" t="str">
            <v>Hà Nội, ngày …. tháng …. năm 2014</v>
          </cell>
          <cell r="R25" t="str">
            <v>….h…. ngày …. tháng …. năm 2014</v>
          </cell>
          <cell r="S25" t="str">
            <v>….h…. ngày …. tháng …. năm 2014</v>
          </cell>
          <cell r="T25" t="str">
            <v>….h….</v>
          </cell>
          <cell r="U25" t="str">
            <v>…./…./2014; Giờ ….h….</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KC-03÷KC-05;KC-07÷KC-10</v>
          </cell>
        </row>
        <row r="26">
          <cell r="D26" t="str">
            <v>….h….</v>
          </cell>
          <cell r="E26" t="str">
            <v>….h….</v>
          </cell>
          <cell r="F26" t="str">
            <v>….</v>
          </cell>
          <cell r="G26" t="str">
            <v>….</v>
          </cell>
          <cell r="H26">
            <v>2014</v>
          </cell>
          <cell r="I26" t="str">
            <v>Hà Nội, ngày …. tháng …. năm 2014</v>
          </cell>
          <cell r="J26" t="str">
            <v>….h…. ngày …. tháng …. năm 2014</v>
          </cell>
          <cell r="K26" t="str">
            <v>….h…. ngày …. tháng …. năm 2014</v>
          </cell>
          <cell r="L26" t="str">
            <v>….h….</v>
          </cell>
          <cell r="M26" t="str">
            <v>….h….</v>
          </cell>
          <cell r="N26" t="str">
            <v>….</v>
          </cell>
          <cell r="O26" t="str">
            <v>….</v>
          </cell>
          <cell r="P26">
            <v>2014</v>
          </cell>
          <cell r="Q26" t="str">
            <v>Hà Nội, ngày …. tháng …. năm 2014</v>
          </cell>
          <cell r="R26" t="str">
            <v>….h…. ngày …. tháng …. năm 2014</v>
          </cell>
          <cell r="S26" t="str">
            <v>….h…. ngày …. tháng …. năm 2014</v>
          </cell>
          <cell r="T26" t="str">
            <v>….h….</v>
          </cell>
          <cell r="U26" t="str">
            <v>…./…./2014; Giờ ….h….</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KC-03÷KC-05;KC-07÷KC-10</v>
          </cell>
        </row>
        <row r="27">
          <cell r="D27" t="str">
            <v>….h….</v>
          </cell>
          <cell r="E27" t="str">
            <v>….h….</v>
          </cell>
          <cell r="F27" t="str">
            <v>….</v>
          </cell>
          <cell r="G27" t="str">
            <v>….</v>
          </cell>
          <cell r="H27">
            <v>2014</v>
          </cell>
          <cell r="I27" t="str">
            <v>Hà Nội, ngày …. tháng …. năm 2014</v>
          </cell>
          <cell r="J27" t="str">
            <v>….h…. ngày …. tháng …. năm 2014</v>
          </cell>
          <cell r="K27" t="str">
            <v>….h…. ngày …. tháng …. năm 2014</v>
          </cell>
          <cell r="L27" t="str">
            <v>….h….</v>
          </cell>
          <cell r="M27" t="str">
            <v>….h….</v>
          </cell>
          <cell r="N27" t="str">
            <v>….</v>
          </cell>
          <cell r="O27" t="str">
            <v>….</v>
          </cell>
          <cell r="P27">
            <v>2014</v>
          </cell>
          <cell r="Q27" t="str">
            <v>Hà Nội, ngày …. tháng …. năm 2014</v>
          </cell>
          <cell r="R27" t="str">
            <v>….h…. ngày …. tháng …. năm 2014</v>
          </cell>
          <cell r="S27" t="str">
            <v>….h…. ngày …. tháng …. năm 2014</v>
          </cell>
          <cell r="T27" t="str">
            <v>….h….</v>
          </cell>
          <cell r="U27" t="str">
            <v>…./…./2014; Giờ ….h….</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KC-03÷KC-05;KC-07÷KC-10</v>
          </cell>
        </row>
        <row r="28">
          <cell r="D28" t="str">
            <v>….h….</v>
          </cell>
          <cell r="E28" t="str">
            <v>….h….</v>
          </cell>
          <cell r="F28" t="str">
            <v>….</v>
          </cell>
          <cell r="G28" t="str">
            <v>….</v>
          </cell>
          <cell r="H28">
            <v>2014</v>
          </cell>
          <cell r="I28" t="str">
            <v>Hà Nội, ngày …. tháng …. năm 2014</v>
          </cell>
          <cell r="J28" t="str">
            <v>….h…. ngày …. tháng …. năm 2014</v>
          </cell>
          <cell r="K28" t="str">
            <v>….h…. ngày …. tháng …. năm 2014</v>
          </cell>
          <cell r="L28" t="str">
            <v>….h….</v>
          </cell>
          <cell r="M28" t="str">
            <v>….h….</v>
          </cell>
          <cell r="N28" t="str">
            <v>….</v>
          </cell>
          <cell r="O28" t="str">
            <v>….</v>
          </cell>
          <cell r="P28">
            <v>2014</v>
          </cell>
          <cell r="Q28" t="str">
            <v>Hà Nội, ngày …. tháng …. năm 2014</v>
          </cell>
          <cell r="R28" t="str">
            <v>….h…. ngày …. tháng …. năm 2014</v>
          </cell>
          <cell r="S28" t="str">
            <v>….h…. ngày …. tháng …. năm 2014</v>
          </cell>
          <cell r="T28" t="str">
            <v>….h….</v>
          </cell>
          <cell r="U28" t="str">
            <v>…./…./2014; Giờ ….h….</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KC-03÷KC-05;KC-07÷KC-10</v>
          </cell>
        </row>
        <row r="29">
          <cell r="D29" t="str">
            <v>….h….</v>
          </cell>
          <cell r="E29" t="str">
            <v>….h….</v>
          </cell>
          <cell r="F29" t="str">
            <v>….</v>
          </cell>
          <cell r="G29" t="str">
            <v>….</v>
          </cell>
          <cell r="H29">
            <v>2014</v>
          </cell>
          <cell r="I29" t="str">
            <v>Hà Nội, ngày …. tháng …. năm 2014</v>
          </cell>
          <cell r="J29" t="str">
            <v>….h…. ngày …. tháng …. năm 2014</v>
          </cell>
          <cell r="K29" t="str">
            <v>….h…. ngày …. tháng …. năm 2014</v>
          </cell>
          <cell r="L29" t="str">
            <v>….h….</v>
          </cell>
          <cell r="M29" t="str">
            <v>….h….</v>
          </cell>
          <cell r="N29" t="str">
            <v>….</v>
          </cell>
          <cell r="O29" t="str">
            <v>….</v>
          </cell>
          <cell r="P29">
            <v>2014</v>
          </cell>
          <cell r="Q29" t="str">
            <v>Hà Nội, ngày …. tháng …. năm 2014</v>
          </cell>
          <cell r="R29" t="str">
            <v>….h…. ngày …. tháng …. năm 2014</v>
          </cell>
          <cell r="S29" t="str">
            <v>….h…. ngày …. tháng …. năm 2014</v>
          </cell>
          <cell r="T29" t="str">
            <v>….h….</v>
          </cell>
          <cell r="U29" t="str">
            <v>…./…./2014; Giờ ….h….</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KC-03÷KC-05;KC-07÷KC-10</v>
          </cell>
        </row>
        <row r="33">
          <cell r="A33">
            <v>1</v>
          </cell>
          <cell r="B33">
            <v>2</v>
          </cell>
          <cell r="C33">
            <v>3</v>
          </cell>
          <cell r="D33">
            <v>4</v>
          </cell>
          <cell r="E33">
            <v>5</v>
          </cell>
          <cell r="F33">
            <v>6</v>
          </cell>
          <cell r="G33">
            <v>7</v>
          </cell>
          <cell r="H33">
            <v>8</v>
          </cell>
          <cell r="I33">
            <v>9</v>
          </cell>
          <cell r="J33">
            <v>10</v>
          </cell>
          <cell r="K33">
            <v>11</v>
          </cell>
          <cell r="L33">
            <v>12</v>
          </cell>
          <cell r="M33">
            <v>13</v>
          </cell>
          <cell r="N33">
            <v>14</v>
          </cell>
          <cell r="O33">
            <v>15</v>
          </cell>
          <cell r="P33">
            <v>16</v>
          </cell>
          <cell r="Q33">
            <v>17</v>
          </cell>
          <cell r="R33">
            <v>18</v>
          </cell>
          <cell r="S33">
            <v>19</v>
          </cell>
          <cell r="T33">
            <v>20</v>
          </cell>
          <cell r="U33">
            <v>21</v>
          </cell>
          <cell r="V33">
            <v>22</v>
          </cell>
          <cell r="W33">
            <v>23</v>
          </cell>
          <cell r="X33">
            <v>24</v>
          </cell>
          <cell r="Y33">
            <v>25</v>
          </cell>
          <cell r="Z33">
            <v>26</v>
          </cell>
          <cell r="AA33">
            <v>27</v>
          </cell>
          <cell r="AB33">
            <v>28</v>
          </cell>
          <cell r="AC33">
            <v>29</v>
          </cell>
          <cell r="AD33">
            <v>30</v>
          </cell>
          <cell r="AE33">
            <v>31</v>
          </cell>
          <cell r="AF33">
            <v>32</v>
          </cell>
          <cell r="AG33">
            <v>33</v>
          </cell>
          <cell r="AH33">
            <v>34</v>
          </cell>
          <cell r="AI33">
            <v>35</v>
          </cell>
          <cell r="AJ33">
            <v>36</v>
          </cell>
          <cell r="AK33">
            <v>37</v>
          </cell>
          <cell r="AL33">
            <v>38</v>
          </cell>
          <cell r="AM33">
            <v>39</v>
          </cell>
          <cell r="AN33">
            <v>40</v>
          </cell>
          <cell r="AO33">
            <v>41</v>
          </cell>
          <cell r="AP33">
            <v>42</v>
          </cell>
        </row>
      </sheetData>
      <sheetData sheetId="48">
        <row r="2">
          <cell r="A2" t="str">
            <v>CÔNG TY CP HỒNG HÀ VIỆT NAM</v>
          </cell>
          <cell r="C2" t="str">
            <v>CỘNG HÒA XÃ HỘI CHỦ NGHĨA VIỆT NAM</v>
          </cell>
        </row>
        <row r="3">
          <cell r="C3" t="str">
            <v>ĐỘC LẬP-TỰ DO -HẠNH PHÚC</v>
          </cell>
        </row>
        <row r="5">
          <cell r="A5" t="str">
            <v>NHẬT KÝ ÉP CỌC</v>
          </cell>
          <cell r="AB5" t="str">
            <v>FILE IN</v>
          </cell>
        </row>
        <row r="6">
          <cell r="A6" t="str">
            <v>XÂY DỰNG NHÀ Ở XÃ HỘI ĐỂ BÁN VÀ CHO THUÊ</v>
          </cell>
        </row>
        <row r="7">
          <cell r="A7" t="str">
            <v>CT6</v>
          </cell>
        </row>
        <row r="9">
          <cell r="A9" t="str">
            <v>Stt</v>
          </cell>
          <cell r="B9" t="str">
            <v>Nội dung</v>
          </cell>
          <cell r="C9" t="str">
            <v>Số biên bản</v>
          </cell>
          <cell r="D9" t="str">
            <v>Tọa độ thiết kế CT5</v>
          </cell>
          <cell r="F9" t="str">
            <v>Tọa độ thực tế</v>
          </cell>
          <cell r="H9" t="str">
            <v>Chênh lệnh</v>
          </cell>
          <cell r="J9" t="str">
            <v>Loại máy ép</v>
          </cell>
          <cell r="K9" t="str">
            <v>Dừng ép so với cos ±0.000</v>
          </cell>
          <cell r="M9" t="str">
            <v>Thời gian ép</v>
          </cell>
          <cell r="R9" t="str">
            <v>Ngày tháng năm</v>
          </cell>
          <cell r="S9" t="str">
            <v>Thời gian ép</v>
          </cell>
          <cell r="T9" t="str">
            <v>Chiều dài đoạn cọc đã ép</v>
          </cell>
          <cell r="W9" t="str">
            <v>Lực ép khi dừng (Tấn)</v>
          </cell>
          <cell r="X9" t="str">
            <v>Cao độ mũi cọc</v>
          </cell>
          <cell r="Z9" t="str">
            <v>Cao độ đỉnh cọc sau khi ép xong (m)</v>
          </cell>
          <cell r="AA9" t="str">
            <v>Chiều dài cọc</v>
          </cell>
          <cell r="AB9" t="str">
            <v>Quy cách</v>
          </cell>
          <cell r="AC9" t="str">
            <v>Thanh toán lần</v>
          </cell>
          <cell r="AD9" t="str">
            <v>Vật tư</v>
          </cell>
          <cell r="AE9" t="str">
            <v>Ghi chú đã thanh toán</v>
          </cell>
        </row>
        <row r="10">
          <cell r="D10" t="str">
            <v>X1</v>
          </cell>
          <cell r="E10" t="str">
            <v>Y1</v>
          </cell>
          <cell r="F10" t="str">
            <v>X2</v>
          </cell>
          <cell r="G10" t="str">
            <v>Y2</v>
          </cell>
          <cell r="H10" t="str">
            <v>DX</v>
          </cell>
          <cell r="I10" t="str">
            <v>DY</v>
          </cell>
          <cell r="K10" t="str">
            <v>Cao độ (m)</v>
          </cell>
          <cell r="L10" t="str">
            <v>Lực ép (Tấn)</v>
          </cell>
          <cell r="M10" t="str">
            <v>Giờ bắt đầu</v>
          </cell>
          <cell r="N10" t="str">
            <v>Giờ kết thúc</v>
          </cell>
          <cell r="O10" t="str">
            <v>Ngày</v>
          </cell>
          <cell r="P10" t="str">
            <v>Tháng</v>
          </cell>
          <cell r="Q10" t="str">
            <v>Năm</v>
          </cell>
          <cell r="T10" t="str">
            <v>C1</v>
          </cell>
          <cell r="U10" t="str">
            <v>C2</v>
          </cell>
          <cell r="V10" t="str">
            <v>C3</v>
          </cell>
          <cell r="X10" t="str">
            <v>Thiết kế</v>
          </cell>
          <cell r="Y10" t="str">
            <v>Thực tế</v>
          </cell>
        </row>
        <row r="11">
          <cell r="A11" t="str">
            <v>COC-01</v>
          </cell>
          <cell r="B11" t="str">
            <v>+ 01 đoạn C3: dài L= 9,5m, loại PC, cấp tải A,  bê tông mác 600     sản xuất ngày ……/.…../2014</v>
          </cell>
          <cell r="C11" t="str">
            <v>COC-01</v>
          </cell>
          <cell r="D11">
            <v>588570.19299999997</v>
          </cell>
          <cell r="E11">
            <v>2317493.3990000002</v>
          </cell>
          <cell r="H11">
            <v>588570.19299999997</v>
          </cell>
          <cell r="I11">
            <v>2317493.3990000002</v>
          </cell>
          <cell r="J11" t="str">
            <v>LICOGI13</v>
          </cell>
          <cell r="M11" t="str">
            <v>18h10</v>
          </cell>
          <cell r="N11" t="str">
            <v>18h50</v>
          </cell>
          <cell r="O11">
            <v>17</v>
          </cell>
          <cell r="P11">
            <v>7</v>
          </cell>
          <cell r="Q11">
            <v>2014</v>
          </cell>
          <cell r="R11" t="str">
            <v>18h10đếnngày 17 tháng 7 năm 2014</v>
          </cell>
          <cell r="S11" t="str">
            <v xml:space="preserve"> từ 18h10 đến 18h50 ngày 17 tháng 7 năm 2014</v>
          </cell>
          <cell r="T11">
            <v>15</v>
          </cell>
          <cell r="U11">
            <v>15</v>
          </cell>
          <cell r="V11">
            <v>11.45</v>
          </cell>
          <cell r="W11">
            <v>280</v>
          </cell>
          <cell r="X11">
            <v>-44.45</v>
          </cell>
          <cell r="Y11">
            <v>-43.13</v>
          </cell>
          <cell r="Z11">
            <v>-1.68</v>
          </cell>
          <cell r="AA11">
            <v>41.45</v>
          </cell>
        </row>
        <row r="12">
          <cell r="A12" t="str">
            <v>COC-02</v>
          </cell>
          <cell r="B12" t="str">
            <v>+ 01 đoạn C3: dài L= 9,5m, loại PC, cấp tải A,  bê tông mác 600     sản xuất ngày ……/.…../2014</v>
          </cell>
          <cell r="C12" t="str">
            <v>COC-02</v>
          </cell>
          <cell r="D12">
            <v>588571.66599999997</v>
          </cell>
          <cell r="E12">
            <v>2317493.1140000001</v>
          </cell>
          <cell r="H12">
            <v>588571.66599999997</v>
          </cell>
          <cell r="I12">
            <v>2317493.1140000001</v>
          </cell>
          <cell r="J12" t="str">
            <v>LICOGI13</v>
          </cell>
          <cell r="M12" t="str">
            <v>17h25</v>
          </cell>
          <cell r="N12" t="str">
            <v>18h05</v>
          </cell>
          <cell r="O12">
            <v>17</v>
          </cell>
          <cell r="P12">
            <v>7</v>
          </cell>
          <cell r="Q12">
            <v>2014</v>
          </cell>
          <cell r="R12" t="str">
            <v>17h25đếnngày 17 tháng 7 năm 2014</v>
          </cell>
          <cell r="S12" t="str">
            <v xml:space="preserve"> từ 17h25 đến 18h05 ngày 17 tháng 7 năm 2014</v>
          </cell>
          <cell r="T12">
            <v>15</v>
          </cell>
          <cell r="U12">
            <v>15</v>
          </cell>
          <cell r="V12">
            <v>11.45</v>
          </cell>
          <cell r="W12">
            <v>280</v>
          </cell>
          <cell r="X12">
            <v>-44.45</v>
          </cell>
          <cell r="Y12">
            <v>-42.72</v>
          </cell>
          <cell r="Z12">
            <v>-1.27</v>
          </cell>
          <cell r="AA12">
            <v>41.45</v>
          </cell>
        </row>
        <row r="13">
          <cell r="A13" t="str">
            <v>COC-03</v>
          </cell>
          <cell r="B13" t="str">
            <v>+ 01 đoạn C3: dài L= 9,5m, loại PC, cấp tải A,  bê tông mác 600     sản xuất ngày ……/.…../2014</v>
          </cell>
          <cell r="C13" t="str">
            <v>COC-03</v>
          </cell>
          <cell r="D13">
            <v>588571.21400000004</v>
          </cell>
          <cell r="E13">
            <v>2317494.7289999998</v>
          </cell>
          <cell r="H13">
            <v>588571.21400000004</v>
          </cell>
          <cell r="I13">
            <v>2317494.7289999998</v>
          </cell>
          <cell r="J13" t="str">
            <v>LICOGI13</v>
          </cell>
          <cell r="M13" t="str">
            <v>16h40</v>
          </cell>
          <cell r="N13" t="str">
            <v>17h20</v>
          </cell>
          <cell r="O13">
            <v>17</v>
          </cell>
          <cell r="P13">
            <v>7</v>
          </cell>
          <cell r="Q13">
            <v>2014</v>
          </cell>
          <cell r="R13" t="str">
            <v>16h40đếnngày 17 tháng 7 năm 2014</v>
          </cell>
          <cell r="S13" t="str">
            <v xml:space="preserve"> từ 16h40 đến 17h20 ngày 17 tháng 7 năm 2014</v>
          </cell>
          <cell r="T13">
            <v>15</v>
          </cell>
          <cell r="U13">
            <v>15</v>
          </cell>
          <cell r="V13">
            <v>11.45</v>
          </cell>
          <cell r="W13">
            <v>280</v>
          </cell>
          <cell r="X13">
            <v>-44.45</v>
          </cell>
          <cell r="Y13">
            <v>-42.58</v>
          </cell>
          <cell r="Z13">
            <v>-1.1299999999999999</v>
          </cell>
          <cell r="AA13">
            <v>41.45</v>
          </cell>
        </row>
        <row r="14">
          <cell r="A14" t="str">
            <v>COC-04</v>
          </cell>
          <cell r="B14" t="str">
            <v>+ 01 đoạn C3: dài L= 9,5m, loại PC, cấp tải A,  bê tông mác 600     sản xuất ngày ……/.…../2014</v>
          </cell>
          <cell r="C14" t="str">
            <v>COC-04</v>
          </cell>
          <cell r="D14">
            <v>588572.46499999997</v>
          </cell>
          <cell r="E14">
            <v>2317501.21</v>
          </cell>
          <cell r="H14">
            <v>588572.46499999997</v>
          </cell>
          <cell r="I14">
            <v>2317501.21</v>
          </cell>
          <cell r="J14" t="str">
            <v>LICOGI13</v>
          </cell>
          <cell r="M14" t="str">
            <v>15h50</v>
          </cell>
          <cell r="N14" t="str">
            <v>16h35</v>
          </cell>
          <cell r="O14">
            <v>17</v>
          </cell>
          <cell r="P14">
            <v>7</v>
          </cell>
          <cell r="Q14">
            <v>2014</v>
          </cell>
          <cell r="R14" t="str">
            <v>15h50đếnngày 17 tháng 7 năm 2014</v>
          </cell>
          <cell r="S14" t="str">
            <v xml:space="preserve"> từ 15h50 đến 16h35 ngày 17 tháng 7 năm 2014</v>
          </cell>
          <cell r="T14">
            <v>15</v>
          </cell>
          <cell r="U14">
            <v>15</v>
          </cell>
          <cell r="V14">
            <v>11.45</v>
          </cell>
          <cell r="W14">
            <v>280</v>
          </cell>
          <cell r="X14">
            <v>-44.45</v>
          </cell>
          <cell r="Y14">
            <v>-43.22</v>
          </cell>
          <cell r="Z14">
            <v>-1.77</v>
          </cell>
          <cell r="AA14">
            <v>41.45</v>
          </cell>
        </row>
        <row r="15">
          <cell r="A15" t="str">
            <v>COC-05</v>
          </cell>
          <cell r="B15" t="str">
            <v>+ 01 đoạn C3: dài L= 9,5m, loại PC, cấp tải A,  bê tông mác 600     sản xuất ngày ……/.…../2014</v>
          </cell>
          <cell r="C15" t="str">
            <v>COC-05</v>
          </cell>
          <cell r="D15">
            <v>588572.01300000004</v>
          </cell>
          <cell r="E15">
            <v>2317502.8250000002</v>
          </cell>
          <cell r="H15">
            <v>588572.01300000004</v>
          </cell>
          <cell r="I15">
            <v>2317502.8250000002</v>
          </cell>
          <cell r="J15" t="str">
            <v>LICOGI13</v>
          </cell>
          <cell r="M15" t="str">
            <v>20h00</v>
          </cell>
          <cell r="N15" t="str">
            <v>20h40</v>
          </cell>
          <cell r="O15">
            <v>20</v>
          </cell>
          <cell r="P15">
            <v>7</v>
          </cell>
          <cell r="Q15">
            <v>2014</v>
          </cell>
          <cell r="R15" t="str">
            <v>20h00đếnngày 20 tháng 7 năm 2014</v>
          </cell>
          <cell r="S15" t="str">
            <v xml:space="preserve"> từ 20h00 đến 20h40 ngày 20 tháng 7 năm 2014</v>
          </cell>
          <cell r="T15">
            <v>15</v>
          </cell>
          <cell r="U15">
            <v>15</v>
          </cell>
          <cell r="V15">
            <v>11.45</v>
          </cell>
          <cell r="W15">
            <v>280</v>
          </cell>
          <cell r="X15">
            <v>-44.45</v>
          </cell>
          <cell r="Y15">
            <v>-42.95</v>
          </cell>
          <cell r="Z15">
            <v>-1.5</v>
          </cell>
          <cell r="AA15">
            <v>41.45</v>
          </cell>
        </row>
        <row r="16">
          <cell r="A16" t="str">
            <v>COC-06</v>
          </cell>
          <cell r="B16" t="str">
            <v>+ 01 đoạn C3: dài L= 9,5m, loại PC, cấp tải A,  bê tông mác 600     sản xuất ngày ……/.…../2014</v>
          </cell>
          <cell r="C16" t="str">
            <v>COC-06</v>
          </cell>
          <cell r="D16">
            <v>588573.48600000003</v>
          </cell>
          <cell r="E16">
            <v>2317502.5410000002</v>
          </cell>
          <cell r="H16">
            <v>588573.48600000003</v>
          </cell>
          <cell r="I16">
            <v>2317502.5410000002</v>
          </cell>
          <cell r="J16" t="str">
            <v>LICOGI13</v>
          </cell>
          <cell r="M16" t="str">
            <v>06h00</v>
          </cell>
          <cell r="N16" t="str">
            <v>06h50</v>
          </cell>
          <cell r="O16">
            <v>21</v>
          </cell>
          <cell r="P16">
            <v>7</v>
          </cell>
          <cell r="Q16">
            <v>2014</v>
          </cell>
          <cell r="R16" t="str">
            <v>06h00đếnngày 21 tháng 7 năm 2014</v>
          </cell>
          <cell r="S16" t="str">
            <v xml:space="preserve"> từ 06h00 đến 06h50 ngày 21 tháng 7 năm 2014</v>
          </cell>
          <cell r="T16">
            <v>15</v>
          </cell>
          <cell r="U16">
            <v>15</v>
          </cell>
          <cell r="V16">
            <v>11.45</v>
          </cell>
          <cell r="W16">
            <v>280</v>
          </cell>
          <cell r="X16">
            <v>-44.45</v>
          </cell>
          <cell r="Y16">
            <v>-42.7</v>
          </cell>
          <cell r="Z16">
            <v>-1.25</v>
          </cell>
          <cell r="AA16">
            <v>41.45</v>
          </cell>
        </row>
        <row r="17">
          <cell r="A17" t="str">
            <v>COC-07</v>
          </cell>
          <cell r="B17" t="str">
            <v>+ 01 đoạn C3: dài L= 9,5m, loại PC, cấp tải A,  bê tông mác 600     sản xuất ngày ……/.…../2014</v>
          </cell>
          <cell r="C17" t="str">
            <v>COC-07</v>
          </cell>
          <cell r="D17">
            <v>588568.41299999994</v>
          </cell>
          <cell r="E17">
            <v>2317505.2769999998</v>
          </cell>
          <cell r="H17">
            <v>588568.41299999994</v>
          </cell>
          <cell r="I17">
            <v>2317505.2769999998</v>
          </cell>
          <cell r="J17" t="str">
            <v>song hoang</v>
          </cell>
          <cell r="M17" t="str">
            <v>09h00</v>
          </cell>
          <cell r="N17" t="str">
            <v>09h35</v>
          </cell>
          <cell r="O17">
            <v>21</v>
          </cell>
          <cell r="P17">
            <v>7</v>
          </cell>
          <cell r="Q17">
            <v>2014</v>
          </cell>
          <cell r="R17" t="str">
            <v>09h00đếnngày 21 tháng 7 năm 2014</v>
          </cell>
          <cell r="S17" t="str">
            <v xml:space="preserve"> từ 09h00 đến 09h35 ngày 21 tháng 7 năm 2014</v>
          </cell>
          <cell r="T17">
            <v>15</v>
          </cell>
          <cell r="U17">
            <v>15</v>
          </cell>
          <cell r="V17">
            <v>11.45</v>
          </cell>
          <cell r="W17">
            <v>280</v>
          </cell>
          <cell r="X17">
            <v>-44.45</v>
          </cell>
          <cell r="Y17">
            <v>-42.73</v>
          </cell>
          <cell r="Z17">
            <v>-1.28</v>
          </cell>
          <cell r="AA17">
            <v>41.45</v>
          </cell>
        </row>
        <row r="18">
          <cell r="A18" t="str">
            <v>COC-08</v>
          </cell>
          <cell r="B18" t="str">
            <v>+ 01 đoạn C3: dài L= 9,5m, loại PC, cấp tải A,  bê tông mác 600     sản xuất ngày ……/.…../2014</v>
          </cell>
          <cell r="C18" t="str">
            <v>COC-08</v>
          </cell>
          <cell r="D18">
            <v>588568.69700000004</v>
          </cell>
          <cell r="E18">
            <v>2317506.75</v>
          </cell>
          <cell r="H18">
            <v>588568.69700000004</v>
          </cell>
          <cell r="I18">
            <v>2317506.75</v>
          </cell>
          <cell r="J18" t="str">
            <v>song hoang</v>
          </cell>
          <cell r="M18" t="str">
            <v>09h40</v>
          </cell>
          <cell r="N18" t="str">
            <v>10h45</v>
          </cell>
          <cell r="O18">
            <v>21</v>
          </cell>
          <cell r="P18">
            <v>7</v>
          </cell>
          <cell r="Q18">
            <v>2014</v>
          </cell>
          <cell r="R18" t="str">
            <v>09h40đếnngày 21 tháng 7 năm 2014</v>
          </cell>
          <cell r="S18" t="str">
            <v xml:space="preserve"> từ 09h40 đến 10h45 ngày 21 tháng 7 năm 2014</v>
          </cell>
          <cell r="T18">
            <v>15</v>
          </cell>
          <cell r="U18">
            <v>15</v>
          </cell>
          <cell r="V18">
            <v>11.45</v>
          </cell>
          <cell r="W18">
            <v>280</v>
          </cell>
          <cell r="X18">
            <v>-44.45</v>
          </cell>
          <cell r="Y18">
            <v>-42.42</v>
          </cell>
          <cell r="Z18">
            <v>-0.97</v>
          </cell>
          <cell r="AA18">
            <v>41.45</v>
          </cell>
        </row>
        <row r="19">
          <cell r="A19" t="str">
            <v>COC-09</v>
          </cell>
          <cell r="B19" t="str">
            <v>+ 01 đoạn C3: dài L= 9,5m, loại PC, cấp tải A,  bê tông mác 600     sản xuất ngày ……/.…../2014</v>
          </cell>
          <cell r="C19" t="str">
            <v>COC-09</v>
          </cell>
          <cell r="D19">
            <v>588570.02800000005</v>
          </cell>
          <cell r="E19">
            <v>2317505.7289999998</v>
          </cell>
          <cell r="H19">
            <v>588570.02800000005</v>
          </cell>
          <cell r="I19">
            <v>2317505.7289999998</v>
          </cell>
          <cell r="J19" t="str">
            <v>song hoang</v>
          </cell>
          <cell r="M19" t="str">
            <v>10h05</v>
          </cell>
          <cell r="N19" t="str">
            <v>10h55</v>
          </cell>
          <cell r="O19">
            <v>20</v>
          </cell>
          <cell r="P19">
            <v>7</v>
          </cell>
          <cell r="Q19">
            <v>2014</v>
          </cell>
          <cell r="R19" t="str">
            <v>10h05đếnngày 20 tháng 7 năm 2014</v>
          </cell>
          <cell r="S19" t="str">
            <v xml:space="preserve"> từ 10h05 đến 10h55 ngày 20 tháng 7 năm 2014</v>
          </cell>
          <cell r="T19">
            <v>15</v>
          </cell>
          <cell r="U19">
            <v>15</v>
          </cell>
          <cell r="V19">
            <v>11.45</v>
          </cell>
          <cell r="W19">
            <v>280</v>
          </cell>
          <cell r="X19">
            <v>-44.45</v>
          </cell>
          <cell r="Y19">
            <v>-43.28</v>
          </cell>
          <cell r="Z19">
            <v>-1.83</v>
          </cell>
          <cell r="AA19">
            <v>41.45</v>
          </cell>
        </row>
        <row r="20">
          <cell r="A20" t="str">
            <v>COC-10</v>
          </cell>
          <cell r="B20" t="str">
            <v>+ 01 đoạn C3: dài L= 9,5m, loại PC, cấp tải A,  bê tông mác 600     sản xuất ngày ……/.…../2014</v>
          </cell>
          <cell r="C20" t="str">
            <v>COC-10</v>
          </cell>
          <cell r="D20">
            <v>588569.39</v>
          </cell>
          <cell r="E20">
            <v>2317513.2370000002</v>
          </cell>
          <cell r="H20">
            <v>588569.39</v>
          </cell>
          <cell r="I20">
            <v>2317513.2370000002</v>
          </cell>
          <cell r="J20" t="str">
            <v>song hoang</v>
          </cell>
          <cell r="M20" t="str">
            <v>07h00</v>
          </cell>
          <cell r="N20" t="str">
            <v>07h50</v>
          </cell>
          <cell r="O20">
            <v>21</v>
          </cell>
          <cell r="P20">
            <v>7</v>
          </cell>
          <cell r="Q20">
            <v>2014</v>
          </cell>
          <cell r="R20" t="str">
            <v>07h00đếnngày 21 tháng 7 năm 2014</v>
          </cell>
          <cell r="S20" t="str">
            <v xml:space="preserve"> từ 07h00 đến 07h50 ngày 21 tháng 7 năm 2014</v>
          </cell>
          <cell r="T20">
            <v>15</v>
          </cell>
          <cell r="U20">
            <v>15</v>
          </cell>
          <cell r="V20">
            <v>11.45</v>
          </cell>
          <cell r="W20">
            <v>280</v>
          </cell>
          <cell r="X20">
            <v>-44.45</v>
          </cell>
          <cell r="Y20">
            <v>-41.5</v>
          </cell>
          <cell r="Z20">
            <v>-0.05</v>
          </cell>
          <cell r="AA20">
            <v>41.45</v>
          </cell>
        </row>
        <row r="21">
          <cell r="A21" t="str">
            <v>COC-11</v>
          </cell>
          <cell r="B21" t="str">
            <v>+ 01 đoạn C3: dài L= 9,5m, loại PC, cấp tải A,  bê tông mác 600     sản xuất ngày ……/.…../2014</v>
          </cell>
          <cell r="C21" t="str">
            <v>COC-11</v>
          </cell>
          <cell r="D21">
            <v>588569.674</v>
          </cell>
          <cell r="E21">
            <v>2317514.7089999998</v>
          </cell>
          <cell r="H21">
            <v>588569.674</v>
          </cell>
          <cell r="I21">
            <v>2317514.7089999998</v>
          </cell>
          <cell r="J21" t="str">
            <v>song hoang</v>
          </cell>
          <cell r="M21" t="str">
            <v>08h00</v>
          </cell>
          <cell r="N21" t="str">
            <v>08h50</v>
          </cell>
          <cell r="O21">
            <v>21</v>
          </cell>
          <cell r="P21">
            <v>7</v>
          </cell>
          <cell r="Q21">
            <v>2014</v>
          </cell>
          <cell r="R21" t="str">
            <v>08h00đếnngày 21 tháng 7 năm 2014</v>
          </cell>
          <cell r="S21" t="str">
            <v xml:space="preserve"> từ 08h00 đến 08h50 ngày 21 tháng 7 năm 2014</v>
          </cell>
          <cell r="T21">
            <v>15</v>
          </cell>
          <cell r="U21">
            <v>15</v>
          </cell>
          <cell r="V21">
            <v>11.45</v>
          </cell>
          <cell r="W21">
            <v>280</v>
          </cell>
          <cell r="X21">
            <v>-44.45</v>
          </cell>
          <cell r="Y21">
            <v>-43.21</v>
          </cell>
          <cell r="Z21">
            <v>-1.76</v>
          </cell>
          <cell r="AA21">
            <v>41.45</v>
          </cell>
        </row>
        <row r="22">
          <cell r="A22" t="str">
            <v>COC-12</v>
          </cell>
          <cell r="B22" t="str">
            <v>+ 01 đoạn C3: dài L= 9,5m, loại PC, cấp tải A,  bê tông mác 600     sản xuất ngày ……/.…../2014</v>
          </cell>
          <cell r="C22" t="str">
            <v>COC-12</v>
          </cell>
          <cell r="D22">
            <v>588570.80799999996</v>
          </cell>
          <cell r="E22">
            <v>2317513.727</v>
          </cell>
          <cell r="H22">
            <v>588570.80799999996</v>
          </cell>
          <cell r="I22">
            <v>2317513.727</v>
          </cell>
          <cell r="J22" t="str">
            <v>song hoang</v>
          </cell>
          <cell r="M22" t="str">
            <v>10h50</v>
          </cell>
          <cell r="N22" t="str">
            <v>11h45</v>
          </cell>
          <cell r="O22">
            <v>21</v>
          </cell>
          <cell r="P22">
            <v>7</v>
          </cell>
          <cell r="Q22">
            <v>2014</v>
          </cell>
          <cell r="R22" t="str">
            <v>10h50đếnngày 21 tháng 7 năm 2014</v>
          </cell>
          <cell r="S22" t="str">
            <v xml:space="preserve"> từ 10h50 đến 11h45 ngày 21 tháng 7 năm 2014</v>
          </cell>
          <cell r="T22">
            <v>15</v>
          </cell>
          <cell r="U22">
            <v>15</v>
          </cell>
          <cell r="V22">
            <v>11.45</v>
          </cell>
          <cell r="W22">
            <v>280</v>
          </cell>
          <cell r="X22">
            <v>-44.45</v>
          </cell>
          <cell r="Y22">
            <v>-42.4</v>
          </cell>
          <cell r="Z22">
            <v>-0.95</v>
          </cell>
          <cell r="AA22">
            <v>41.45</v>
          </cell>
        </row>
        <row r="23">
          <cell r="A23" t="str">
            <v>COC-13</v>
          </cell>
          <cell r="B23" t="str">
            <v>+ 01 đoạn C3: dài L= 9,5m, loại PC, cấp tải A,  bê tông mác 600     sản xuất ngày ……/.…../2014</v>
          </cell>
          <cell r="C23" t="str">
            <v>COC-13</v>
          </cell>
          <cell r="D23">
            <v>588571.94299999997</v>
          </cell>
          <cell r="E23">
            <v>2317512.7439999999</v>
          </cell>
          <cell r="H23">
            <v>588571.94299999997</v>
          </cell>
          <cell r="I23">
            <v>2317512.7439999999</v>
          </cell>
          <cell r="J23" t="str">
            <v>song hoang</v>
          </cell>
          <cell r="M23" t="str">
            <v>17h05</v>
          </cell>
          <cell r="N23" t="str">
            <v>17h50</v>
          </cell>
          <cell r="O23">
            <v>22</v>
          </cell>
          <cell r="P23">
            <v>7</v>
          </cell>
          <cell r="Q23">
            <v>2014</v>
          </cell>
          <cell r="R23" t="str">
            <v>17h05đếnngày 22 tháng 7 năm 2014</v>
          </cell>
          <cell r="S23" t="str">
            <v xml:space="preserve"> từ 17h05 đến 17h50 ngày 22 tháng 7 năm 2014</v>
          </cell>
          <cell r="T23">
            <v>15</v>
          </cell>
          <cell r="U23">
            <v>15</v>
          </cell>
          <cell r="V23">
            <v>11.45</v>
          </cell>
          <cell r="W23">
            <v>280</v>
          </cell>
          <cell r="X23">
            <v>-44.45</v>
          </cell>
          <cell r="Y23">
            <v>-42.45</v>
          </cell>
          <cell r="Z23">
            <v>-1</v>
          </cell>
          <cell r="AA23">
            <v>41.45</v>
          </cell>
        </row>
        <row r="24">
          <cell r="A24" t="str">
            <v>COC-14</v>
          </cell>
          <cell r="B24" t="str">
            <v>+ 01 đoạn C3: dài L= 9,5m, loại PC, cấp tải A,  bê tông mác 600     sản xuất ngày ……/.…../2014</v>
          </cell>
          <cell r="C24" t="str">
            <v>COC-14</v>
          </cell>
          <cell r="D24">
            <v>588572.22699999996</v>
          </cell>
          <cell r="E24">
            <v>2317514.2149999999</v>
          </cell>
          <cell r="H24">
            <v>588572.22699999996</v>
          </cell>
          <cell r="I24">
            <v>2317514.2149999999</v>
          </cell>
          <cell r="J24" t="str">
            <v>song hoang</v>
          </cell>
          <cell r="M24" t="str">
            <v>16h05</v>
          </cell>
          <cell r="N24" t="str">
            <v>17h00</v>
          </cell>
          <cell r="O24">
            <v>22</v>
          </cell>
          <cell r="P24">
            <v>7</v>
          </cell>
          <cell r="Q24">
            <v>2014</v>
          </cell>
          <cell r="R24" t="str">
            <v>16h05đếnngày 22 tháng 7 năm 2014</v>
          </cell>
          <cell r="S24" t="str">
            <v xml:space="preserve"> từ 16h05 đến 17h00 ngày 22 tháng 7 năm 2014</v>
          </cell>
          <cell r="T24">
            <v>15</v>
          </cell>
          <cell r="U24">
            <v>15</v>
          </cell>
          <cell r="V24">
            <v>11.45</v>
          </cell>
          <cell r="W24">
            <v>280</v>
          </cell>
          <cell r="X24">
            <v>-44.45</v>
          </cell>
          <cell r="Y24">
            <v>-42.5</v>
          </cell>
          <cell r="Z24">
            <v>-1.05</v>
          </cell>
          <cell r="AA24">
            <v>41.45</v>
          </cell>
        </row>
        <row r="25">
          <cell r="A25" t="str">
            <v>COC-15</v>
          </cell>
          <cell r="B25" t="str">
            <v>+ 01 đoạn C3: dài L= 9,5m, loại PC, cấp tải A,  bê tông mác 600     sản xuất ngày ……/.…../2014</v>
          </cell>
          <cell r="C25" t="str">
            <v>COC-15</v>
          </cell>
          <cell r="D25">
            <v>588570.79299999995</v>
          </cell>
          <cell r="E25">
            <v>2317520.503</v>
          </cell>
          <cell r="H25">
            <v>588570.79299999995</v>
          </cell>
          <cell r="I25">
            <v>2317520.503</v>
          </cell>
          <cell r="J25" t="str">
            <v>song hoang</v>
          </cell>
          <cell r="M25" t="str">
            <v>15h10</v>
          </cell>
          <cell r="N25" t="str">
            <v>16h00</v>
          </cell>
          <cell r="O25">
            <v>22</v>
          </cell>
          <cell r="P25">
            <v>7</v>
          </cell>
          <cell r="Q25">
            <v>2014</v>
          </cell>
          <cell r="R25" t="str">
            <v>15h10đếnngày 22 tháng 7 năm 2014</v>
          </cell>
          <cell r="S25" t="str">
            <v xml:space="preserve"> từ 15h10 đến 16h00 ngày 22 tháng 7 năm 2014</v>
          </cell>
          <cell r="T25">
            <v>15</v>
          </cell>
          <cell r="U25">
            <v>15</v>
          </cell>
          <cell r="V25">
            <v>11.45</v>
          </cell>
          <cell r="W25">
            <v>280</v>
          </cell>
          <cell r="X25">
            <v>-44.45</v>
          </cell>
          <cell r="Y25">
            <v>-42.4</v>
          </cell>
          <cell r="Z25">
            <v>-0.95</v>
          </cell>
          <cell r="AA25">
            <v>41.45</v>
          </cell>
        </row>
        <row r="26">
          <cell r="A26" t="str">
            <v>COC-16</v>
          </cell>
          <cell r="B26" t="str">
            <v>+ 01 đoạn C3: dài L= 9,5m, loại PC, cấp tải A,  bê tông mác 600     sản xuất ngày ……/.…../2014</v>
          </cell>
          <cell r="C26" t="str">
            <v>COC-16</v>
          </cell>
          <cell r="D26">
            <v>588571.07700000005</v>
          </cell>
          <cell r="E26">
            <v>2317521.9759999998</v>
          </cell>
          <cell r="H26">
            <v>588571.07700000005</v>
          </cell>
          <cell r="I26">
            <v>2317521.9759999998</v>
          </cell>
          <cell r="J26" t="str">
            <v>song hoang</v>
          </cell>
          <cell r="M26" t="str">
            <v>17h50</v>
          </cell>
          <cell r="N26" t="str">
            <v>18h35</v>
          </cell>
          <cell r="O26">
            <v>22</v>
          </cell>
          <cell r="P26">
            <v>7</v>
          </cell>
          <cell r="Q26">
            <v>2014</v>
          </cell>
          <cell r="R26" t="str">
            <v>17h50đếnngày 22 tháng 7 năm 2014</v>
          </cell>
          <cell r="S26" t="str">
            <v xml:space="preserve"> từ 17h50 đến 18h35 ngày 22 tháng 7 năm 2014</v>
          </cell>
          <cell r="T26">
            <v>15</v>
          </cell>
          <cell r="U26">
            <v>15</v>
          </cell>
          <cell r="V26">
            <v>11.45</v>
          </cell>
          <cell r="W26">
            <v>280</v>
          </cell>
          <cell r="X26">
            <v>-44.45</v>
          </cell>
          <cell r="Y26">
            <v>-42.4</v>
          </cell>
          <cell r="Z26">
            <v>-0.95</v>
          </cell>
          <cell r="AA26">
            <v>41.45</v>
          </cell>
        </row>
        <row r="27">
          <cell r="A27" t="str">
            <v>COC-17</v>
          </cell>
          <cell r="B27" t="str">
            <v>+ 01 đoạn C3: dài L= 9,5m, loại PC, cấp tải A,  bê tông mác 600     sản xuất ngày ……/.…../2014</v>
          </cell>
          <cell r="C27" t="str">
            <v>COC-17</v>
          </cell>
          <cell r="D27">
            <v>588572.21100000001</v>
          </cell>
          <cell r="E27">
            <v>2317520.9929999998</v>
          </cell>
          <cell r="H27">
            <v>588572.21100000001</v>
          </cell>
          <cell r="I27">
            <v>2317520.9929999998</v>
          </cell>
          <cell r="J27" t="str">
            <v>song hoang</v>
          </cell>
          <cell r="M27" t="str">
            <v>13h50</v>
          </cell>
          <cell r="N27" t="str">
            <v>14h30</v>
          </cell>
          <cell r="O27">
            <v>17</v>
          </cell>
          <cell r="P27">
            <v>7</v>
          </cell>
          <cell r="Q27">
            <v>2014</v>
          </cell>
          <cell r="R27" t="str">
            <v>13h50đếnngày 17 tháng 7 năm 2014</v>
          </cell>
          <cell r="S27" t="str">
            <v xml:space="preserve"> từ 13h50 đến 14h30 ngày 17 tháng 7 năm 2014</v>
          </cell>
          <cell r="T27">
            <v>15</v>
          </cell>
          <cell r="U27">
            <v>15</v>
          </cell>
          <cell r="V27">
            <v>11.45</v>
          </cell>
          <cell r="W27">
            <v>280</v>
          </cell>
          <cell r="X27">
            <v>-44.45</v>
          </cell>
          <cell r="Y27">
            <v>-43.08</v>
          </cell>
          <cell r="Z27">
            <v>-1.63</v>
          </cell>
          <cell r="AA27">
            <v>41.45</v>
          </cell>
        </row>
        <row r="28">
          <cell r="A28" t="str">
            <v>COC-18</v>
          </cell>
          <cell r="B28" t="str">
            <v>+ 01 đoạn C3: dài L= 9,5m, loại PC, cấp tải A,  bê tông mác 600     sản xuất ngày ……/.…../2014</v>
          </cell>
          <cell r="C28" t="str">
            <v>COC-18</v>
          </cell>
          <cell r="D28">
            <v>588573.34600000002</v>
          </cell>
          <cell r="E28">
            <v>2317520.0099999998</v>
          </cell>
          <cell r="J28" t="str">
            <v>song hoang</v>
          </cell>
          <cell r="AA28">
            <v>0</v>
          </cell>
        </row>
        <row r="29">
          <cell r="A29" t="str">
            <v>COC-19</v>
          </cell>
          <cell r="B29" t="str">
            <v>+ 01 đoạn C3: dài L= 9,5m, loại PC, cấp tải A,  bê tông mác 600     sản xuất ngày ……/.…../2014</v>
          </cell>
          <cell r="C29" t="str">
            <v>COC-19</v>
          </cell>
          <cell r="D29">
            <v>588573.63</v>
          </cell>
          <cell r="E29">
            <v>2317521.483</v>
          </cell>
          <cell r="H29">
            <v>588573.63</v>
          </cell>
          <cell r="I29">
            <v>2317521.483</v>
          </cell>
          <cell r="J29" t="str">
            <v>song hoang</v>
          </cell>
          <cell r="M29" t="str">
            <v>14h35</v>
          </cell>
          <cell r="N29" t="str">
            <v>15h10</v>
          </cell>
          <cell r="O29">
            <v>17</v>
          </cell>
          <cell r="P29">
            <v>7</v>
          </cell>
          <cell r="Q29">
            <v>2014</v>
          </cell>
          <cell r="R29" t="str">
            <v>14h35đếnngày 17 tháng 7 năm 2014</v>
          </cell>
          <cell r="S29" t="str">
            <v xml:space="preserve"> từ 14h35 đến 15h10 ngày 17 tháng 7 năm 2014</v>
          </cell>
          <cell r="T29">
            <v>15</v>
          </cell>
          <cell r="U29">
            <v>15</v>
          </cell>
          <cell r="V29">
            <v>11.45</v>
          </cell>
          <cell r="W29">
            <v>280</v>
          </cell>
          <cell r="X29">
            <v>-44.45</v>
          </cell>
          <cell r="Y29">
            <v>-43.34</v>
          </cell>
          <cell r="Z29">
            <v>-1.89</v>
          </cell>
          <cell r="AA29">
            <v>41.45</v>
          </cell>
        </row>
        <row r="30">
          <cell r="A30" t="str">
            <v>COC-20</v>
          </cell>
          <cell r="B30" t="str">
            <v>+ 01 đoạn C3: dài L= 9,5m, loại PC, cấp tải A,  bê tông mác 600     sản xuất ngày ……/.…../2014</v>
          </cell>
          <cell r="C30" t="str">
            <v>COC-20</v>
          </cell>
          <cell r="D30">
            <v>588572.196</v>
          </cell>
          <cell r="E30">
            <v>2317527.7689999999</v>
          </cell>
          <cell r="H30">
            <v>588572.196</v>
          </cell>
          <cell r="I30">
            <v>2317527.7689999999</v>
          </cell>
          <cell r="J30" t="str">
            <v>song hoang</v>
          </cell>
          <cell r="M30" t="str">
            <v>10h40</v>
          </cell>
          <cell r="N30" t="str">
            <v>11h30</v>
          </cell>
          <cell r="O30">
            <v>17</v>
          </cell>
          <cell r="P30">
            <v>7</v>
          </cell>
          <cell r="Q30">
            <v>2014</v>
          </cell>
          <cell r="R30" t="str">
            <v>10h40đếnngày 17 tháng 7 năm 2014</v>
          </cell>
          <cell r="S30" t="str">
            <v xml:space="preserve"> từ 10h40 đến 11h30 ngày 17 tháng 7 năm 2014</v>
          </cell>
          <cell r="T30">
            <v>15</v>
          </cell>
          <cell r="U30">
            <v>15</v>
          </cell>
          <cell r="V30">
            <v>11.45</v>
          </cell>
          <cell r="W30">
            <v>280</v>
          </cell>
          <cell r="X30">
            <v>-44.45</v>
          </cell>
          <cell r="Y30">
            <v>-43.47</v>
          </cell>
          <cell r="Z30">
            <v>-2.02</v>
          </cell>
          <cell r="AA30">
            <v>41.45</v>
          </cell>
        </row>
        <row r="31">
          <cell r="A31" t="str">
            <v>COC-21</v>
          </cell>
          <cell r="B31" t="str">
            <v>+ 01 đoạn C3: dài L= 9,5m, loại PC, cấp tải A,  bê tông mác 600     sản xuất ngày ……/.…../2014</v>
          </cell>
          <cell r="C31" t="str">
            <v>COC-21</v>
          </cell>
          <cell r="D31">
            <v>588572.48</v>
          </cell>
          <cell r="E31">
            <v>2317529.2420000001</v>
          </cell>
          <cell r="H31">
            <v>588572.48</v>
          </cell>
          <cell r="I31">
            <v>2317529.2420000001</v>
          </cell>
          <cell r="J31" t="str">
            <v>song hoang</v>
          </cell>
          <cell r="M31" t="str">
            <v>09h30</v>
          </cell>
          <cell r="N31" t="str">
            <v>10h35</v>
          </cell>
          <cell r="O31">
            <v>17</v>
          </cell>
          <cell r="P31">
            <v>7</v>
          </cell>
          <cell r="Q31">
            <v>2014</v>
          </cell>
          <cell r="R31" t="str">
            <v>09h30đếnngày 17 tháng 7 năm 2014</v>
          </cell>
          <cell r="S31" t="str">
            <v xml:space="preserve"> từ 09h30 đến 10h35 ngày 17 tháng 7 năm 2014</v>
          </cell>
          <cell r="T31">
            <v>15</v>
          </cell>
          <cell r="U31">
            <v>15</v>
          </cell>
          <cell r="V31">
            <v>11.45</v>
          </cell>
          <cell r="W31">
            <v>280</v>
          </cell>
          <cell r="X31">
            <v>-44.45</v>
          </cell>
          <cell r="Y31">
            <v>-42.95</v>
          </cell>
          <cell r="Z31">
            <v>-1.5</v>
          </cell>
          <cell r="AA31">
            <v>41.45</v>
          </cell>
        </row>
        <row r="32">
          <cell r="A32" t="str">
            <v>COC-22</v>
          </cell>
          <cell r="B32" t="str">
            <v>+ 01 đoạn C3: dài L= 9,5m, loại PC, cấp tải A,  bê tông mác 600     sản xuất ngày ……/.…../2014</v>
          </cell>
          <cell r="C32" t="str">
            <v>COC-22</v>
          </cell>
          <cell r="D32">
            <v>588573.61399999994</v>
          </cell>
          <cell r="E32">
            <v>2317528.2590000001</v>
          </cell>
          <cell r="H32">
            <v>588573.61399999994</v>
          </cell>
          <cell r="I32">
            <v>2317528.2590000001</v>
          </cell>
          <cell r="J32" t="str">
            <v>song hoang</v>
          </cell>
          <cell r="M32" t="str">
            <v>08h30</v>
          </cell>
          <cell r="N32" t="str">
            <v>09h20</v>
          </cell>
          <cell r="O32">
            <v>17</v>
          </cell>
          <cell r="P32">
            <v>7</v>
          </cell>
          <cell r="Q32">
            <v>2014</v>
          </cell>
          <cell r="R32" t="str">
            <v>08h30đếnngày 17 tháng 7 năm 2014</v>
          </cell>
          <cell r="S32" t="str">
            <v xml:space="preserve"> từ 08h30 đến 09h20 ngày 17 tháng 7 năm 2014</v>
          </cell>
          <cell r="T32">
            <v>15</v>
          </cell>
          <cell r="U32">
            <v>15</v>
          </cell>
          <cell r="V32">
            <v>11.45</v>
          </cell>
          <cell r="W32">
            <v>280</v>
          </cell>
          <cell r="X32">
            <v>-44.45</v>
          </cell>
          <cell r="Y32">
            <v>-43.25</v>
          </cell>
          <cell r="Z32">
            <v>-1.8</v>
          </cell>
          <cell r="AA32">
            <v>41.45</v>
          </cell>
        </row>
        <row r="33">
          <cell r="A33" t="str">
            <v>COC-23</v>
          </cell>
          <cell r="B33" t="str">
            <v>+ 01 đoạn C3: dài L= 9,5m, loại PC, cấp tải A,  bê tông mác 600     sản xuất ngày ……/.…../2014</v>
          </cell>
          <cell r="C33" t="str">
            <v>COC-23</v>
          </cell>
          <cell r="D33">
            <v>588574.74899999995</v>
          </cell>
          <cell r="E33">
            <v>2317527.2760000001</v>
          </cell>
          <cell r="H33">
            <v>588574.74899999995</v>
          </cell>
          <cell r="I33">
            <v>2317527.2760000001</v>
          </cell>
          <cell r="J33" t="str">
            <v>song hoang</v>
          </cell>
          <cell r="M33" t="str">
            <v>07h20</v>
          </cell>
          <cell r="N33" t="str">
            <v>08h05</v>
          </cell>
          <cell r="O33">
            <v>18</v>
          </cell>
          <cell r="P33">
            <v>7</v>
          </cell>
          <cell r="Q33">
            <v>2014</v>
          </cell>
          <cell r="R33" t="str">
            <v>07h20đếnngày 18 tháng 7 năm 2014</v>
          </cell>
          <cell r="S33" t="str">
            <v xml:space="preserve"> từ 07h20 đến 08h05 ngày 18 tháng 7 năm 2014</v>
          </cell>
          <cell r="T33">
            <v>15</v>
          </cell>
          <cell r="U33">
            <v>15</v>
          </cell>
          <cell r="V33">
            <v>11.45</v>
          </cell>
          <cell r="W33">
            <v>280</v>
          </cell>
          <cell r="X33">
            <v>-44.45</v>
          </cell>
          <cell r="Y33">
            <v>-41.52</v>
          </cell>
          <cell r="Z33">
            <v>-7.0000000000000007E-2</v>
          </cell>
          <cell r="AA33">
            <v>41.45</v>
          </cell>
        </row>
        <row r="34">
          <cell r="A34" t="str">
            <v>COC-24</v>
          </cell>
          <cell r="B34" t="str">
            <v>+ 01 đoạn C3: dài L= 9,5m, loại PC, cấp tải A,  bê tông mác 600     sản xuất ngày ……/.…../2014</v>
          </cell>
          <cell r="C34" t="str">
            <v>COC-24</v>
          </cell>
          <cell r="D34">
            <v>588575.03300000005</v>
          </cell>
          <cell r="E34">
            <v>2317528.7489999998</v>
          </cell>
          <cell r="H34">
            <v>588575.03300000005</v>
          </cell>
          <cell r="I34">
            <v>2317528.7489999998</v>
          </cell>
          <cell r="J34" t="str">
            <v>song hoang</v>
          </cell>
          <cell r="M34" t="str">
            <v>08h10</v>
          </cell>
          <cell r="N34" t="str">
            <v>08h55</v>
          </cell>
          <cell r="O34">
            <v>18</v>
          </cell>
          <cell r="P34">
            <v>7</v>
          </cell>
          <cell r="Q34">
            <v>2014</v>
          </cell>
          <cell r="R34" t="str">
            <v>08h10đếnngày 18 tháng 7 năm 2014</v>
          </cell>
          <cell r="S34" t="str">
            <v xml:space="preserve"> từ 08h10 đến 08h55 ngày 18 tháng 7 năm 2014</v>
          </cell>
          <cell r="T34">
            <v>15</v>
          </cell>
          <cell r="U34">
            <v>15</v>
          </cell>
          <cell r="V34">
            <v>11.45</v>
          </cell>
          <cell r="W34">
            <v>280</v>
          </cell>
          <cell r="X34">
            <v>-44.45</v>
          </cell>
          <cell r="Y34">
            <v>-43.03</v>
          </cell>
          <cell r="Z34">
            <v>-1.58</v>
          </cell>
          <cell r="AA34">
            <v>41.45</v>
          </cell>
        </row>
        <row r="35">
          <cell r="A35" t="str">
            <v>COC-25</v>
          </cell>
          <cell r="B35" t="str">
            <v>+ 01 đoạn C3: dài L= 9,5m, loại PC, cấp tải A,  bê tông mác 600     sản xuất ngày ……/.…../2014</v>
          </cell>
          <cell r="C35" t="str">
            <v>COC-25</v>
          </cell>
          <cell r="D35">
            <v>588573.59900000005</v>
          </cell>
          <cell r="E35">
            <v>2317535.0350000001</v>
          </cell>
          <cell r="H35">
            <v>588573.59900000005</v>
          </cell>
          <cell r="I35">
            <v>2317535.0350000001</v>
          </cell>
          <cell r="J35" t="str">
            <v>song hoang</v>
          </cell>
          <cell r="M35" t="str">
            <v>14h40</v>
          </cell>
          <cell r="N35" t="str">
            <v>15h20</v>
          </cell>
          <cell r="O35">
            <v>18</v>
          </cell>
          <cell r="P35">
            <v>7</v>
          </cell>
          <cell r="Q35">
            <v>2014</v>
          </cell>
          <cell r="R35" t="str">
            <v>14h40đếnngày 18 tháng 7 năm 2014</v>
          </cell>
          <cell r="S35" t="str">
            <v xml:space="preserve"> từ 14h40 đến 15h20 ngày 18 tháng 7 năm 2014</v>
          </cell>
          <cell r="T35">
            <v>15</v>
          </cell>
          <cell r="U35">
            <v>15</v>
          </cell>
          <cell r="V35">
            <v>11.45</v>
          </cell>
          <cell r="W35">
            <v>280</v>
          </cell>
          <cell r="X35">
            <v>-44.45</v>
          </cell>
          <cell r="Y35">
            <v>-41.55</v>
          </cell>
          <cell r="Z35">
            <v>-0.1</v>
          </cell>
          <cell r="AA35">
            <v>41.45</v>
          </cell>
        </row>
        <row r="36">
          <cell r="A36" t="str">
            <v>COC-26</v>
          </cell>
          <cell r="B36" t="str">
            <v>+ 01 đoạn C3: dài L= 9,5m, loại PC, cấp tải A,  bê tông mác 600     sản xuất ngày ……/.…../2014</v>
          </cell>
          <cell r="C36" t="str">
            <v>COC-26</v>
          </cell>
          <cell r="D36">
            <v>588573.88300000003</v>
          </cell>
          <cell r="E36">
            <v>2317536.5079999999</v>
          </cell>
          <cell r="H36">
            <v>588573.88300000003</v>
          </cell>
          <cell r="I36">
            <v>2317536.5079999999</v>
          </cell>
          <cell r="J36" t="str">
            <v>song hoang</v>
          </cell>
          <cell r="M36" t="str">
            <v>15h25</v>
          </cell>
          <cell r="N36" t="str">
            <v>16h05</v>
          </cell>
          <cell r="O36">
            <v>18</v>
          </cell>
          <cell r="P36">
            <v>7</v>
          </cell>
          <cell r="Q36">
            <v>2014</v>
          </cell>
          <cell r="R36" t="str">
            <v>15h25đếnngày 18 tháng 7 năm 2014</v>
          </cell>
          <cell r="S36" t="str">
            <v xml:space="preserve"> từ 15h25 đến 16h05 ngày 18 tháng 7 năm 2014</v>
          </cell>
          <cell r="T36">
            <v>15</v>
          </cell>
          <cell r="U36">
            <v>15</v>
          </cell>
          <cell r="V36">
            <v>11.45</v>
          </cell>
          <cell r="W36">
            <v>280</v>
          </cell>
          <cell r="X36">
            <v>-44.45</v>
          </cell>
          <cell r="Y36">
            <v>-41.65</v>
          </cell>
          <cell r="Z36">
            <v>-0.2</v>
          </cell>
          <cell r="AA36">
            <v>41.45</v>
          </cell>
        </row>
        <row r="37">
          <cell r="A37" t="str">
            <v>COC-27</v>
          </cell>
          <cell r="B37" t="str">
            <v>+ 01 đoạn C3: dài L= 9,5m, loại PC, cấp tải A,  bê tông mác 600     sản xuất ngày ……/.…../2014</v>
          </cell>
          <cell r="C37" t="str">
            <v>COC-27</v>
          </cell>
          <cell r="D37">
            <v>588575.01699999999</v>
          </cell>
          <cell r="E37">
            <v>2317535.5249999999</v>
          </cell>
          <cell r="H37">
            <v>588575.01699999999</v>
          </cell>
          <cell r="I37">
            <v>2317535.5249999999</v>
          </cell>
          <cell r="J37" t="str">
            <v>song hoang</v>
          </cell>
          <cell r="M37" t="str">
            <v>06h35</v>
          </cell>
          <cell r="N37" t="str">
            <v>07h15</v>
          </cell>
          <cell r="O37">
            <v>18</v>
          </cell>
          <cell r="P37">
            <v>7</v>
          </cell>
          <cell r="Q37">
            <v>2014</v>
          </cell>
          <cell r="R37" t="str">
            <v>06h35đếnngày 18 tháng 7 năm 2014</v>
          </cell>
          <cell r="S37" t="str">
            <v xml:space="preserve"> từ 06h35 đến 07h15 ngày 18 tháng 7 năm 2014</v>
          </cell>
          <cell r="T37">
            <v>15</v>
          </cell>
          <cell r="U37">
            <v>15</v>
          </cell>
          <cell r="V37">
            <v>11.45</v>
          </cell>
          <cell r="W37">
            <v>280</v>
          </cell>
          <cell r="X37">
            <v>-44.45</v>
          </cell>
          <cell r="Y37">
            <v>-42.37</v>
          </cell>
          <cell r="Z37">
            <v>-0.92</v>
          </cell>
          <cell r="AA37">
            <v>41.45</v>
          </cell>
        </row>
        <row r="38">
          <cell r="A38" t="str">
            <v>COC-28</v>
          </cell>
          <cell r="B38" t="str">
            <v>+ 01 đoạn C3: dài L= 9,5m, loại PC, cấp tải A,  bê tông mác 600     sản xuất ngày ……/.…../2014</v>
          </cell>
          <cell r="C38" t="str">
            <v>COC-28</v>
          </cell>
          <cell r="D38">
            <v>588576.152</v>
          </cell>
          <cell r="E38">
            <v>2317534.5419999999</v>
          </cell>
          <cell r="H38">
            <v>588576.152</v>
          </cell>
          <cell r="I38">
            <v>2317534.5419999999</v>
          </cell>
          <cell r="J38" t="str">
            <v>song hoang</v>
          </cell>
          <cell r="M38" t="str">
            <v>09h00</v>
          </cell>
          <cell r="N38" t="str">
            <v>09h40</v>
          </cell>
          <cell r="O38">
            <v>18</v>
          </cell>
          <cell r="P38">
            <v>7</v>
          </cell>
          <cell r="Q38">
            <v>2014</v>
          </cell>
          <cell r="R38" t="str">
            <v>09h00đếnngày 18 tháng 7 năm 2014</v>
          </cell>
          <cell r="S38" t="str">
            <v xml:space="preserve"> từ 09h00 đến 09h40 ngày 18 tháng 7 năm 2014</v>
          </cell>
          <cell r="T38">
            <v>15</v>
          </cell>
          <cell r="U38">
            <v>15</v>
          </cell>
          <cell r="V38">
            <v>11.45</v>
          </cell>
          <cell r="W38">
            <v>280</v>
          </cell>
          <cell r="X38">
            <v>-44.45</v>
          </cell>
          <cell r="Y38">
            <v>-41.83</v>
          </cell>
          <cell r="Z38">
            <v>-0.38</v>
          </cell>
          <cell r="AA38">
            <v>41.45</v>
          </cell>
        </row>
        <row r="39">
          <cell r="A39" t="str">
            <v>COC-29</v>
          </cell>
          <cell r="B39" t="str">
            <v>+ 01 đoạn C3: dài L= 9,5m, loại PC, cấp tải A,  bê tông mác 600     sản xuất ngày ……/.…../2014</v>
          </cell>
          <cell r="C39" t="str">
            <v>COC-29</v>
          </cell>
          <cell r="D39">
            <v>588576.43599999999</v>
          </cell>
          <cell r="E39">
            <v>2317536.0150000001</v>
          </cell>
          <cell r="H39">
            <v>588576.43599999999</v>
          </cell>
          <cell r="I39">
            <v>2317536.0150000001</v>
          </cell>
          <cell r="J39" t="str">
            <v>song hoang</v>
          </cell>
          <cell r="M39" t="str">
            <v>11h20</v>
          </cell>
          <cell r="N39" t="str">
            <v>12h05</v>
          </cell>
          <cell r="O39">
            <v>18</v>
          </cell>
          <cell r="P39">
            <v>7</v>
          </cell>
          <cell r="Q39">
            <v>2014</v>
          </cell>
          <cell r="R39" t="str">
            <v>11h20đếnngày 18 tháng 7 năm 2014</v>
          </cell>
          <cell r="S39" t="str">
            <v xml:space="preserve"> từ 11h20 đến 12h05 ngày 18 tháng 7 năm 2014</v>
          </cell>
          <cell r="T39">
            <v>15</v>
          </cell>
          <cell r="U39">
            <v>15</v>
          </cell>
          <cell r="V39">
            <v>11.45</v>
          </cell>
          <cell r="W39">
            <v>280</v>
          </cell>
          <cell r="X39">
            <v>-44.45</v>
          </cell>
          <cell r="Y39">
            <v>-42.4</v>
          </cell>
          <cell r="Z39">
            <v>-0.95</v>
          </cell>
          <cell r="AA39">
            <v>41.45</v>
          </cell>
        </row>
        <row r="40">
          <cell r="A40" t="str">
            <v>COC-30</v>
          </cell>
          <cell r="B40" t="str">
            <v>+ 01 đoạn C3: dài L= 9,5m, loại PC, cấp tải A,  bê tông mác 600     sản xuất ngày ……/.…../2014</v>
          </cell>
          <cell r="C40" t="str">
            <v>COC-30</v>
          </cell>
          <cell r="D40">
            <v>588575.65599999996</v>
          </cell>
          <cell r="E40">
            <v>2317542.7859999998</v>
          </cell>
          <cell r="H40">
            <v>588575.65599999996</v>
          </cell>
          <cell r="I40">
            <v>2317542.7859999998</v>
          </cell>
          <cell r="J40" t="str">
            <v>song hoang</v>
          </cell>
          <cell r="M40" t="str">
            <v>19h00</v>
          </cell>
          <cell r="N40" t="str">
            <v>19h40</v>
          </cell>
          <cell r="O40">
            <v>17</v>
          </cell>
          <cell r="P40">
            <v>7</v>
          </cell>
          <cell r="Q40">
            <v>2014</v>
          </cell>
          <cell r="R40" t="str">
            <v>19h00đếnngày 17 tháng 7 năm 2014</v>
          </cell>
          <cell r="S40" t="str">
            <v xml:space="preserve"> từ 19h00 đến 19h40 ngày 17 tháng 7 năm 2014</v>
          </cell>
          <cell r="T40">
            <v>15</v>
          </cell>
          <cell r="U40">
            <v>15</v>
          </cell>
          <cell r="V40">
            <v>11.45</v>
          </cell>
          <cell r="W40">
            <v>280</v>
          </cell>
          <cell r="X40">
            <v>-44.45</v>
          </cell>
          <cell r="Y40">
            <v>-43.12</v>
          </cell>
          <cell r="Z40">
            <v>-1.67</v>
          </cell>
          <cell r="AA40">
            <v>41.45</v>
          </cell>
        </row>
        <row r="41">
          <cell r="A41" t="str">
            <v>COC-31</v>
          </cell>
          <cell r="B41" t="str">
            <v>+ 01 đoạn C3: dài L= 9,5m, loại PC, cấp tải A,  bê tông mác 600     sản xuất ngày ……/.…../2014</v>
          </cell>
          <cell r="C41" t="str">
            <v>COC-31</v>
          </cell>
          <cell r="D41">
            <v>588575.93999999994</v>
          </cell>
          <cell r="E41">
            <v>2317544.2590000001</v>
          </cell>
          <cell r="H41">
            <v>588575.93999999994</v>
          </cell>
          <cell r="I41">
            <v>2317544.2590000001</v>
          </cell>
          <cell r="J41" t="str">
            <v>song hoang</v>
          </cell>
          <cell r="M41" t="str">
            <v>19h45</v>
          </cell>
          <cell r="N41" t="str">
            <v>20h25</v>
          </cell>
          <cell r="O41">
            <v>17</v>
          </cell>
          <cell r="P41">
            <v>7</v>
          </cell>
          <cell r="Q41">
            <v>2014</v>
          </cell>
          <cell r="R41" t="str">
            <v>19h45đếnngày 17 tháng 7 năm 2014</v>
          </cell>
          <cell r="S41" t="str">
            <v xml:space="preserve"> từ 19h45 đến 20h25 ngày 17 tháng 7 năm 2014</v>
          </cell>
          <cell r="T41">
            <v>15</v>
          </cell>
          <cell r="U41">
            <v>15</v>
          </cell>
          <cell r="V41">
            <v>11.45</v>
          </cell>
          <cell r="W41">
            <v>280</v>
          </cell>
          <cell r="X41">
            <v>-44.45</v>
          </cell>
          <cell r="Y41">
            <v>-43.12</v>
          </cell>
          <cell r="Z41">
            <v>-1.67</v>
          </cell>
          <cell r="AA41">
            <v>41.45</v>
          </cell>
        </row>
        <row r="42">
          <cell r="A42" t="str">
            <v>COC-32</v>
          </cell>
          <cell r="B42" t="str">
            <v>+ 01 đoạn C3: dài L= 9,5m, loại PC, cấp tải A,  bê tông mác 600     sản xuất ngày ……/.…../2014</v>
          </cell>
          <cell r="C42" t="str">
            <v>COC-32</v>
          </cell>
          <cell r="D42">
            <v>588577.27099999995</v>
          </cell>
          <cell r="E42">
            <v>2317543.2379999999</v>
          </cell>
          <cell r="H42">
            <v>588577.27099999995</v>
          </cell>
          <cell r="I42">
            <v>2317543.2379999999</v>
          </cell>
          <cell r="J42" t="str">
            <v>song hoang</v>
          </cell>
          <cell r="M42" t="str">
            <v>09h45</v>
          </cell>
          <cell r="N42" t="str">
            <v>10h25</v>
          </cell>
          <cell r="O42">
            <v>18</v>
          </cell>
          <cell r="P42">
            <v>7</v>
          </cell>
          <cell r="Q42">
            <v>2014</v>
          </cell>
          <cell r="R42" t="str">
            <v>09h45đếnngày 18 tháng 7 năm 2014</v>
          </cell>
          <cell r="S42" t="str">
            <v xml:space="preserve"> từ 09h45 đến 10h25 ngày 18 tháng 7 năm 2014</v>
          </cell>
          <cell r="T42">
            <v>15</v>
          </cell>
          <cell r="U42">
            <v>15</v>
          </cell>
          <cell r="V42">
            <v>11.45</v>
          </cell>
          <cell r="W42">
            <v>280</v>
          </cell>
          <cell r="X42">
            <v>-44.45</v>
          </cell>
          <cell r="Y42">
            <v>-41.75</v>
          </cell>
          <cell r="Z42">
            <v>-0.3</v>
          </cell>
          <cell r="AA42">
            <v>41.45</v>
          </cell>
        </row>
        <row r="43">
          <cell r="A43" t="str">
            <v>COC-33</v>
          </cell>
          <cell r="B43" t="str">
            <v>+ 01 đoạn C3: dài L= 9,5m, loại PC, cấp tải A,  bê tông mác 600     sản xuất ngày ……/.…../2014</v>
          </cell>
          <cell r="C43" t="str">
            <v>COC-33</v>
          </cell>
          <cell r="D43">
            <v>588577.94400000002</v>
          </cell>
          <cell r="E43">
            <v>2317491.3420000002</v>
          </cell>
          <cell r="H43">
            <v>588577.94400000002</v>
          </cell>
          <cell r="I43">
            <v>2317491.3420000002</v>
          </cell>
          <cell r="J43" t="str">
            <v>LICOGI13</v>
          </cell>
          <cell r="M43" t="str">
            <v>10h35</v>
          </cell>
          <cell r="N43" t="str">
            <v>11h15</v>
          </cell>
          <cell r="O43">
            <v>18</v>
          </cell>
          <cell r="P43">
            <v>7</v>
          </cell>
          <cell r="Q43">
            <v>2014</v>
          </cell>
          <cell r="R43" t="str">
            <v>10h35đếnngày 18 tháng 7 năm 2014</v>
          </cell>
          <cell r="S43" t="str">
            <v xml:space="preserve"> từ 10h35 đến 11h15 ngày 18 tháng 7 năm 2014</v>
          </cell>
          <cell r="T43">
            <v>15</v>
          </cell>
          <cell r="U43">
            <v>15</v>
          </cell>
          <cell r="V43">
            <v>11.45</v>
          </cell>
          <cell r="W43">
            <v>280</v>
          </cell>
          <cell r="X43">
            <v>-44.45</v>
          </cell>
          <cell r="Y43">
            <v>-42.95</v>
          </cell>
          <cell r="Z43">
            <v>-1.5</v>
          </cell>
          <cell r="AA43">
            <v>41.45</v>
          </cell>
        </row>
        <row r="44">
          <cell r="A44" t="str">
            <v>COC-34</v>
          </cell>
          <cell r="B44" t="str">
            <v>+ 01 đoạn C3: dài L= 9,5m, loại PC, cấp tải A,  bê tông mác 600     sản xuất ngày ……/.…../2014</v>
          </cell>
          <cell r="C44" t="str">
            <v>COC-34</v>
          </cell>
          <cell r="D44">
            <v>588579.41700000002</v>
          </cell>
          <cell r="E44">
            <v>2317491.057</v>
          </cell>
          <cell r="H44">
            <v>588579.41700000002</v>
          </cell>
          <cell r="I44">
            <v>2317491.057</v>
          </cell>
          <cell r="J44" t="str">
            <v>LICOGI13</v>
          </cell>
          <cell r="M44" t="str">
            <v>14h10</v>
          </cell>
          <cell r="N44" t="str">
            <v>15h00</v>
          </cell>
          <cell r="O44">
            <v>22</v>
          </cell>
          <cell r="P44">
            <v>7</v>
          </cell>
          <cell r="Q44">
            <v>2014</v>
          </cell>
          <cell r="R44" t="str">
            <v>14h10đếnngày 22 tháng 7 năm 2014</v>
          </cell>
          <cell r="S44" t="str">
            <v xml:space="preserve"> từ 14h10 đến 15h00 ngày 22 tháng 7 năm 2014</v>
          </cell>
          <cell r="T44">
            <v>15</v>
          </cell>
          <cell r="U44">
            <v>15</v>
          </cell>
          <cell r="V44">
            <v>11.45</v>
          </cell>
          <cell r="W44">
            <v>280</v>
          </cell>
          <cell r="X44">
            <v>-44.45</v>
          </cell>
          <cell r="Y44">
            <v>-42.3</v>
          </cell>
          <cell r="Z44">
            <v>-0.85</v>
          </cell>
          <cell r="AA44">
            <v>41.45</v>
          </cell>
        </row>
        <row r="45">
          <cell r="A45" t="str">
            <v>COC-35</v>
          </cell>
          <cell r="B45" t="str">
            <v>+ 01 đoạn C3: dài L= 9,5m, loại PC, cấp tải A,  bê tông mác 600     sản xuất ngày ……/.…../2014</v>
          </cell>
          <cell r="C45" t="str">
            <v>COC-35</v>
          </cell>
          <cell r="D45">
            <v>588578.92700000003</v>
          </cell>
          <cell r="E45">
            <v>2317492.4759999998</v>
          </cell>
          <cell r="H45">
            <v>588578.92700000003</v>
          </cell>
          <cell r="I45">
            <v>2317492.4759999998</v>
          </cell>
          <cell r="J45" t="str">
            <v>LICOGI13</v>
          </cell>
          <cell r="M45" t="str">
            <v>11h05</v>
          </cell>
          <cell r="N45" t="str">
            <v>11h50</v>
          </cell>
          <cell r="O45">
            <v>22</v>
          </cell>
          <cell r="P45">
            <v>7</v>
          </cell>
          <cell r="Q45">
            <v>2014</v>
          </cell>
          <cell r="R45" t="str">
            <v>11h05đếnngày 22 tháng 7 năm 2014</v>
          </cell>
          <cell r="S45" t="str">
            <v xml:space="preserve"> từ 11h05 đến 11h50 ngày 22 tháng 7 năm 2014</v>
          </cell>
          <cell r="T45">
            <v>15</v>
          </cell>
          <cell r="U45">
            <v>15</v>
          </cell>
          <cell r="V45">
            <v>11.45</v>
          </cell>
          <cell r="W45">
            <v>280</v>
          </cell>
          <cell r="X45">
            <v>-44.45</v>
          </cell>
          <cell r="Y45">
            <v>-42.4</v>
          </cell>
          <cell r="Z45">
            <v>-0.95</v>
          </cell>
          <cell r="AA45">
            <v>41.45</v>
          </cell>
        </row>
        <row r="46">
          <cell r="A46" t="str">
            <v>COC-36</v>
          </cell>
          <cell r="B46" t="str">
            <v>+ 01 đoạn C3: dài L= 9,5m, loại PC, cấp tải A,  bê tông mác 600     sản xuất ngày ……/.…../2014</v>
          </cell>
          <cell r="C46" t="str">
            <v>COC-36</v>
          </cell>
          <cell r="D46">
            <v>588578.43700000003</v>
          </cell>
          <cell r="E46">
            <v>2317493.895</v>
          </cell>
          <cell r="H46">
            <v>588578.43700000003</v>
          </cell>
          <cell r="I46">
            <v>2317493.895</v>
          </cell>
          <cell r="J46" t="str">
            <v>LICOGI13</v>
          </cell>
          <cell r="M46" t="str">
            <v>10h15</v>
          </cell>
          <cell r="N46" t="str">
            <v>11h00</v>
          </cell>
          <cell r="O46">
            <v>22</v>
          </cell>
          <cell r="P46">
            <v>7</v>
          </cell>
          <cell r="Q46">
            <v>2014</v>
          </cell>
          <cell r="R46" t="str">
            <v>10h15đếnngày 22 tháng 7 năm 2014</v>
          </cell>
          <cell r="S46" t="str">
            <v xml:space="preserve"> từ 10h15 đến 11h00 ngày 22 tháng 7 năm 2014</v>
          </cell>
          <cell r="T46">
            <v>15</v>
          </cell>
          <cell r="U46">
            <v>15</v>
          </cell>
          <cell r="V46">
            <v>11.45</v>
          </cell>
          <cell r="W46">
            <v>280</v>
          </cell>
          <cell r="X46">
            <v>-44.45</v>
          </cell>
          <cell r="Y46">
            <v>-42.35</v>
          </cell>
          <cell r="Z46">
            <v>-0.9</v>
          </cell>
          <cell r="AA46">
            <v>41.45</v>
          </cell>
        </row>
        <row r="47">
          <cell r="A47" t="str">
            <v>COC-37</v>
          </cell>
          <cell r="B47" t="str">
            <v>+ 01 đoạn C3: dài L= 9,5m, loại PC, cấp tải A,  bê tông mác 600     sản xuất ngày ……/.…../2014</v>
          </cell>
          <cell r="C47" t="str">
            <v>COC-37</v>
          </cell>
          <cell r="D47">
            <v>588579.91</v>
          </cell>
          <cell r="E47">
            <v>2317493.61</v>
          </cell>
          <cell r="H47">
            <v>588579.91</v>
          </cell>
          <cell r="I47">
            <v>2317493.61</v>
          </cell>
          <cell r="J47" t="str">
            <v>LICOGI13</v>
          </cell>
          <cell r="M47" t="str">
            <v>07h35</v>
          </cell>
          <cell r="N47" t="str">
            <v>08h30</v>
          </cell>
          <cell r="O47">
            <v>22</v>
          </cell>
          <cell r="P47">
            <v>7</v>
          </cell>
          <cell r="Q47">
            <v>2014</v>
          </cell>
          <cell r="R47" t="str">
            <v>07h35đếnngày 22 tháng 7 năm 2014</v>
          </cell>
          <cell r="S47" t="str">
            <v xml:space="preserve"> từ 07h35 đến 08h30 ngày 22 tháng 7 năm 2014</v>
          </cell>
          <cell r="T47">
            <v>15</v>
          </cell>
          <cell r="U47">
            <v>15</v>
          </cell>
          <cell r="V47">
            <v>11.45</v>
          </cell>
          <cell r="W47">
            <v>280</v>
          </cell>
          <cell r="X47">
            <v>-44.45</v>
          </cell>
          <cell r="Y47">
            <v>-42.9</v>
          </cell>
          <cell r="Z47">
            <v>-1.45</v>
          </cell>
          <cell r="AA47">
            <v>41.45</v>
          </cell>
        </row>
        <row r="48">
          <cell r="A48" t="str">
            <v>COC-38</v>
          </cell>
          <cell r="B48" t="str">
            <v>""Cọc thí nghiệm số 1""</v>
          </cell>
          <cell r="C48" t="str">
            <v>COC-38</v>
          </cell>
          <cell r="D48">
            <v>588579.62199999997</v>
          </cell>
          <cell r="E48">
            <v>2317500.0320000001</v>
          </cell>
          <cell r="H48">
            <v>588579.62199999997</v>
          </cell>
          <cell r="I48">
            <v>2317500.0320000001</v>
          </cell>
          <cell r="M48" t="str">
            <v>08h35</v>
          </cell>
          <cell r="N48" t="str">
            <v>09h25</v>
          </cell>
          <cell r="O48">
            <v>22</v>
          </cell>
          <cell r="P48">
            <v>7</v>
          </cell>
          <cell r="Q48">
            <v>2014</v>
          </cell>
          <cell r="R48" t="str">
            <v>08h35đếnngày 22 tháng 7 năm 2014</v>
          </cell>
          <cell r="S48" t="str">
            <v xml:space="preserve"> từ 08h35 đến 09h25 ngày 22 tháng 7 năm 2014</v>
          </cell>
          <cell r="T48">
            <v>15</v>
          </cell>
          <cell r="U48">
            <v>15</v>
          </cell>
          <cell r="V48">
            <v>11.45</v>
          </cell>
          <cell r="W48">
            <v>280</v>
          </cell>
          <cell r="X48">
            <v>-44.45</v>
          </cell>
          <cell r="Y48">
            <v>-43.2</v>
          </cell>
          <cell r="Z48">
            <v>-1.75</v>
          </cell>
          <cell r="AA48">
            <v>41.45</v>
          </cell>
        </row>
        <row r="49">
          <cell r="A49" t="str">
            <v>COC-39</v>
          </cell>
          <cell r="B49" t="str">
            <v>+ 01 đoạn C3: dài L= 9,5m, loại PC, cấp tải A,  bê tông mác 600     sản xuất ngày ……/.…../2014</v>
          </cell>
          <cell r="C49" t="str">
            <v>COC-39</v>
          </cell>
          <cell r="D49">
            <v>588579.90599999996</v>
          </cell>
          <cell r="E49">
            <v>2317501.5049999999</v>
          </cell>
          <cell r="H49">
            <v>588579.90599999996</v>
          </cell>
          <cell r="I49">
            <v>2317501.5049999999</v>
          </cell>
          <cell r="J49" t="str">
            <v>LICOGI13</v>
          </cell>
          <cell r="M49" t="str">
            <v>09h30</v>
          </cell>
          <cell r="N49" t="str">
            <v>10h10</v>
          </cell>
          <cell r="O49">
            <v>22</v>
          </cell>
          <cell r="P49">
            <v>7</v>
          </cell>
          <cell r="Q49">
            <v>2014</v>
          </cell>
          <cell r="R49" t="str">
            <v>09h30đếnngày 22 tháng 7 năm 2014</v>
          </cell>
          <cell r="S49" t="str">
            <v xml:space="preserve"> từ 09h30 đến 10h10 ngày 22 tháng 7 năm 2014</v>
          </cell>
          <cell r="T49">
            <v>15</v>
          </cell>
          <cell r="U49">
            <v>15</v>
          </cell>
          <cell r="V49">
            <v>11.45</v>
          </cell>
          <cell r="W49">
            <v>280</v>
          </cell>
          <cell r="X49">
            <v>-44.45</v>
          </cell>
          <cell r="Y49">
            <v>-42.85</v>
          </cell>
          <cell r="Z49">
            <v>-1.4</v>
          </cell>
          <cell r="AA49">
            <v>41.45</v>
          </cell>
        </row>
        <row r="50">
          <cell r="A50" t="str">
            <v>COC-40</v>
          </cell>
          <cell r="B50" t="str">
            <v>+ 01 đoạn C3: dài L= 9,5m, loại PC, cấp tải A,  bê tông mác 600     sản xuất ngày ……/.…../2014</v>
          </cell>
          <cell r="C50" t="str">
            <v>COC-40</v>
          </cell>
          <cell r="D50">
            <v>588581.09499999997</v>
          </cell>
          <cell r="E50">
            <v>2317499.747</v>
          </cell>
          <cell r="H50">
            <v>588581.09499999997</v>
          </cell>
          <cell r="I50">
            <v>2317499.747</v>
          </cell>
          <cell r="J50" t="str">
            <v>LICOGI13</v>
          </cell>
          <cell r="M50" t="str">
            <v>09h55</v>
          </cell>
          <cell r="N50" t="str">
            <v>10h30</v>
          </cell>
          <cell r="O50">
            <v>16</v>
          </cell>
          <cell r="P50">
            <v>7</v>
          </cell>
          <cell r="Q50">
            <v>2014</v>
          </cell>
          <cell r="R50" t="str">
            <v>09h55đếnngày 16 tháng 7 năm 2014</v>
          </cell>
          <cell r="S50" t="str">
            <v xml:space="preserve"> từ 09h55 đến 10h30 ngày 16 tháng 7 năm 2014</v>
          </cell>
          <cell r="T50">
            <v>15</v>
          </cell>
          <cell r="U50">
            <v>15</v>
          </cell>
          <cell r="V50">
            <v>11</v>
          </cell>
          <cell r="W50">
            <v>280</v>
          </cell>
          <cell r="X50">
            <v>-44.45</v>
          </cell>
          <cell r="Y50">
            <v>-42.7</v>
          </cell>
          <cell r="Z50">
            <v>-1.7</v>
          </cell>
          <cell r="AA50">
            <v>41</v>
          </cell>
        </row>
        <row r="51">
          <cell r="A51" t="str">
            <v>COC-41</v>
          </cell>
          <cell r="B51" t="str">
            <v>+ 01 đoạn C3: dài L= 9,5m, loại PC, cấp tải A,  bê tông mác 600     sản xuất ngày ……/.…../2014</v>
          </cell>
          <cell r="C51" t="str">
            <v>COC-41</v>
          </cell>
          <cell r="D51">
            <v>588581.37899999996</v>
          </cell>
          <cell r="E51">
            <v>2317501.2200000002</v>
          </cell>
          <cell r="H51">
            <v>588581.37899999996</v>
          </cell>
          <cell r="I51">
            <v>2317501.2200000002</v>
          </cell>
          <cell r="J51" t="str">
            <v>LICOGI13</v>
          </cell>
          <cell r="M51" t="str">
            <v>09h15</v>
          </cell>
          <cell r="N51" t="str">
            <v>09h50</v>
          </cell>
          <cell r="O51">
            <v>16</v>
          </cell>
          <cell r="P51">
            <v>7</v>
          </cell>
          <cell r="Q51">
            <v>2014</v>
          </cell>
          <cell r="R51" t="str">
            <v>09h15đếnngày 16 tháng 7 năm 2014</v>
          </cell>
          <cell r="S51" t="str">
            <v xml:space="preserve"> từ 09h15 đến 09h50 ngày 16 tháng 7 năm 2014</v>
          </cell>
          <cell r="T51">
            <v>15</v>
          </cell>
          <cell r="U51">
            <v>15</v>
          </cell>
          <cell r="V51">
            <v>11</v>
          </cell>
          <cell r="W51">
            <v>280</v>
          </cell>
          <cell r="X51">
            <v>-44.45</v>
          </cell>
          <cell r="Y51">
            <v>-42.72</v>
          </cell>
          <cell r="Z51">
            <v>-1.72</v>
          </cell>
          <cell r="AA51">
            <v>41</v>
          </cell>
        </row>
        <row r="52">
          <cell r="A52" t="str">
            <v>COC-42</v>
          </cell>
          <cell r="B52" t="str">
            <v>+ 01 đoạn C3: dài L=9,1m, loại PHC, cấp tải A, bê tông mác 800   sản xuất ngày ……/……./2014</v>
          </cell>
          <cell r="C52" t="str">
            <v>COC-42</v>
          </cell>
          <cell r="D52">
            <v>588576.57700000005</v>
          </cell>
          <cell r="E52">
            <v>2317503.7769999998</v>
          </cell>
          <cell r="H52">
            <v>588576.57700000005</v>
          </cell>
          <cell r="I52">
            <v>2317503.7769999998</v>
          </cell>
          <cell r="J52" t="str">
            <v>song hoang</v>
          </cell>
          <cell r="M52" t="str">
            <v>08h20</v>
          </cell>
          <cell r="N52" t="str">
            <v>09h10</v>
          </cell>
          <cell r="O52">
            <v>16</v>
          </cell>
          <cell r="P52">
            <v>7</v>
          </cell>
          <cell r="Q52">
            <v>2014</v>
          </cell>
          <cell r="R52" t="str">
            <v>08h20đếnngày 16 tháng 7 năm 2014</v>
          </cell>
          <cell r="S52" t="str">
            <v xml:space="preserve"> từ 08h20 đến 09h10 ngày 16 tháng 7 năm 2014</v>
          </cell>
          <cell r="T52">
            <v>15</v>
          </cell>
          <cell r="U52">
            <v>15</v>
          </cell>
          <cell r="V52">
            <v>11</v>
          </cell>
          <cell r="W52">
            <v>280</v>
          </cell>
          <cell r="X52">
            <v>-44.45</v>
          </cell>
          <cell r="Y52">
            <v>-42.87</v>
          </cell>
          <cell r="Z52">
            <v>-1.87</v>
          </cell>
          <cell r="AA52">
            <v>41</v>
          </cell>
        </row>
        <row r="53">
          <cell r="A53" t="str">
            <v>COC-43</v>
          </cell>
          <cell r="B53" t="str">
            <v>+ 01 đoạn C3: dài L=9,1m, loại PHC, cấp tải A, bê tông mác 800   sản xuất ngày ……/……./2014</v>
          </cell>
          <cell r="C53" t="str">
            <v>COC-43</v>
          </cell>
          <cell r="D53">
            <v>588576.86100000003</v>
          </cell>
          <cell r="E53">
            <v>2317505.25</v>
          </cell>
          <cell r="H53">
            <v>588576.86100000003</v>
          </cell>
          <cell r="I53">
            <v>2317505.25</v>
          </cell>
          <cell r="J53" t="str">
            <v>song hoang</v>
          </cell>
          <cell r="M53" t="str">
            <v>07h30</v>
          </cell>
          <cell r="N53" t="str">
            <v>08h15</v>
          </cell>
          <cell r="O53">
            <v>16</v>
          </cell>
          <cell r="P53">
            <v>7</v>
          </cell>
          <cell r="Q53">
            <v>2014</v>
          </cell>
          <cell r="R53" t="str">
            <v>07h30đếnngày 16 tháng 7 năm 2014</v>
          </cell>
          <cell r="S53" t="str">
            <v xml:space="preserve"> từ 07h30 đến 08h15 ngày 16 tháng 7 năm 2014</v>
          </cell>
          <cell r="T53">
            <v>15</v>
          </cell>
          <cell r="U53">
            <v>15</v>
          </cell>
          <cell r="V53">
            <v>11</v>
          </cell>
          <cell r="W53">
            <v>280</v>
          </cell>
          <cell r="X53">
            <v>-44.45</v>
          </cell>
          <cell r="Y53">
            <v>-42.96</v>
          </cell>
          <cell r="Z53">
            <v>-1.96</v>
          </cell>
          <cell r="AA53">
            <v>41</v>
          </cell>
        </row>
        <row r="54">
          <cell r="A54" t="str">
            <v>COC-44</v>
          </cell>
          <cell r="B54" t="str">
            <v>+ 01 đoạn C3: dài L=9,1m, loại PHC, cấp tải A, bê tông mác 800   sản xuất ngày ……/……./2014</v>
          </cell>
          <cell r="C54" t="str">
            <v>COC-44</v>
          </cell>
          <cell r="D54">
            <v>588578.03599999996</v>
          </cell>
          <cell r="E54">
            <v>2317503.4980000001</v>
          </cell>
          <cell r="H54">
            <v>588578.03599999996</v>
          </cell>
          <cell r="I54">
            <v>2317503.4980000001</v>
          </cell>
          <cell r="J54" t="str">
            <v>song hoang</v>
          </cell>
          <cell r="M54" t="str">
            <v>09h00</v>
          </cell>
          <cell r="N54" t="str">
            <v>09h40</v>
          </cell>
          <cell r="O54">
            <v>20</v>
          </cell>
          <cell r="P54">
            <v>7</v>
          </cell>
          <cell r="Q54">
            <v>2014</v>
          </cell>
          <cell r="R54" t="str">
            <v>09h00đếnngày 20 tháng 7 năm 2014</v>
          </cell>
          <cell r="S54" t="str">
            <v xml:space="preserve"> từ 09h00 đến 09h40 ngày 20 tháng 7 năm 2014</v>
          </cell>
          <cell r="T54">
            <v>15</v>
          </cell>
          <cell r="U54">
            <v>15</v>
          </cell>
          <cell r="V54">
            <v>11</v>
          </cell>
          <cell r="W54">
            <v>280</v>
          </cell>
          <cell r="X54">
            <v>-44.45</v>
          </cell>
          <cell r="Y54">
            <v>-42.22</v>
          </cell>
          <cell r="Z54">
            <v>-1.22</v>
          </cell>
          <cell r="AA54">
            <v>41</v>
          </cell>
        </row>
        <row r="55">
          <cell r="A55" t="str">
            <v>COC-45</v>
          </cell>
          <cell r="B55" t="str">
            <v>+ 01 đoạn C3: dài L=9,1m, loại PHC, cấp tải A, bê tông mác 800   sản xuất ngày ……/……./2014</v>
          </cell>
          <cell r="C55" t="str">
            <v>COC-45</v>
          </cell>
          <cell r="D55">
            <v>588578.33400000003</v>
          </cell>
          <cell r="E55">
            <v>2317504.966</v>
          </cell>
          <cell r="H55">
            <v>588578.33400000003</v>
          </cell>
          <cell r="I55">
            <v>2317504.966</v>
          </cell>
          <cell r="J55" t="str">
            <v>song hoang</v>
          </cell>
          <cell r="M55" t="str">
            <v>14h05</v>
          </cell>
          <cell r="N55" t="str">
            <v>15h00</v>
          </cell>
          <cell r="O55">
            <v>21</v>
          </cell>
          <cell r="P55">
            <v>7</v>
          </cell>
          <cell r="Q55">
            <v>2014</v>
          </cell>
          <cell r="R55" t="str">
            <v>14h05đếnngày 21 tháng 7 năm 2014</v>
          </cell>
          <cell r="S55" t="str">
            <v xml:space="preserve"> từ 14h05 đến 15h00 ngày 21 tháng 7 năm 2014</v>
          </cell>
          <cell r="T55">
            <v>15</v>
          </cell>
          <cell r="U55">
            <v>15</v>
          </cell>
          <cell r="V55">
            <v>11</v>
          </cell>
          <cell r="W55">
            <v>280</v>
          </cell>
          <cell r="X55">
            <v>-44.45</v>
          </cell>
          <cell r="Y55">
            <v>-43.32</v>
          </cell>
          <cell r="Z55">
            <v>-2.3199999999999998</v>
          </cell>
          <cell r="AA55">
            <v>41</v>
          </cell>
        </row>
        <row r="56">
          <cell r="A56" t="str">
            <v>COC-46</v>
          </cell>
          <cell r="B56" t="str">
            <v>+ 01 đoạn C3: dài L=9,1m, loại PHC, cấp tải A, bê tông mác 800   sản xuất ngày ……/……./2014</v>
          </cell>
          <cell r="C56" t="str">
            <v>COC-46</v>
          </cell>
          <cell r="D56">
            <v>588578.07900000003</v>
          </cell>
          <cell r="E56">
            <v>2317511.5589999999</v>
          </cell>
          <cell r="H56">
            <v>588578.07900000003</v>
          </cell>
          <cell r="I56">
            <v>2317511.5589999999</v>
          </cell>
          <cell r="J56" t="str">
            <v>song hoang</v>
          </cell>
          <cell r="M56" t="str">
            <v>15h00</v>
          </cell>
          <cell r="N56" t="str">
            <v>15h50</v>
          </cell>
          <cell r="O56">
            <v>21</v>
          </cell>
          <cell r="P56">
            <v>7</v>
          </cell>
          <cell r="Q56">
            <v>2014</v>
          </cell>
          <cell r="R56" t="str">
            <v>15h00đếnngày 21 tháng 7 năm 2014</v>
          </cell>
          <cell r="S56" t="str">
            <v xml:space="preserve"> từ 15h00 đến 15h50 ngày 21 tháng 7 năm 2014</v>
          </cell>
          <cell r="T56">
            <v>15</v>
          </cell>
          <cell r="U56">
            <v>15</v>
          </cell>
          <cell r="V56">
            <v>11</v>
          </cell>
          <cell r="W56">
            <v>280</v>
          </cell>
          <cell r="X56">
            <v>-44.45</v>
          </cell>
          <cell r="Y56">
            <v>-43.12</v>
          </cell>
          <cell r="Z56">
            <v>-2.12</v>
          </cell>
          <cell r="AA56">
            <v>41</v>
          </cell>
        </row>
        <row r="57">
          <cell r="A57" t="str">
            <v>COC-47</v>
          </cell>
          <cell r="B57" t="str">
            <v>+ 01 đoạn C3: dài L=9,1m, loại PHC, cấp tải A, bê tông mác 800   sản xuất ngày ……/……./2014</v>
          </cell>
          <cell r="C57" t="str">
            <v>COC-47</v>
          </cell>
          <cell r="D57">
            <v>588578.36399999994</v>
          </cell>
          <cell r="E57">
            <v>2317513.031</v>
          </cell>
          <cell r="H57">
            <v>588578.36399999994</v>
          </cell>
          <cell r="I57">
            <v>2317513.031</v>
          </cell>
          <cell r="J57" t="str">
            <v>song hoang</v>
          </cell>
          <cell r="M57" t="str">
            <v>16h15</v>
          </cell>
          <cell r="N57" t="str">
            <v>17h00</v>
          </cell>
          <cell r="O57">
            <v>21</v>
          </cell>
          <cell r="P57">
            <v>7</v>
          </cell>
          <cell r="Q57">
            <v>2014</v>
          </cell>
          <cell r="R57" t="str">
            <v>16h15đếnngày 21 tháng 7 năm 2014</v>
          </cell>
          <cell r="S57" t="str">
            <v xml:space="preserve"> từ 16h15 đến 17h00 ngày 21 tháng 7 năm 2014</v>
          </cell>
          <cell r="T57">
            <v>15</v>
          </cell>
          <cell r="U57">
            <v>15</v>
          </cell>
          <cell r="V57">
            <v>11</v>
          </cell>
          <cell r="W57">
            <v>280</v>
          </cell>
          <cell r="X57">
            <v>-44.45</v>
          </cell>
          <cell r="Y57">
            <v>-42.95</v>
          </cell>
          <cell r="Z57">
            <v>-1.95</v>
          </cell>
          <cell r="AA57">
            <v>41</v>
          </cell>
        </row>
        <row r="58">
          <cell r="A58" t="str">
            <v>COC-48</v>
          </cell>
          <cell r="B58" t="str">
            <v>+ 01 đoạn C3: dài L=9,1m, loại PHC, cấp tải A, bê tông mác 800   sản xuất ngày ……/……./2014</v>
          </cell>
          <cell r="C58" t="str">
            <v>COC-48</v>
          </cell>
          <cell r="D58">
            <v>588579.55200000003</v>
          </cell>
          <cell r="E58">
            <v>2317511.2740000002</v>
          </cell>
          <cell r="H58">
            <v>588579.55200000003</v>
          </cell>
          <cell r="I58">
            <v>2317511.2740000002</v>
          </cell>
          <cell r="J58" t="str">
            <v>song hoang</v>
          </cell>
          <cell r="M58" t="str">
            <v>17h05</v>
          </cell>
          <cell r="N58" t="str">
            <v>17h50</v>
          </cell>
          <cell r="O58">
            <v>21</v>
          </cell>
          <cell r="P58">
            <v>7</v>
          </cell>
          <cell r="Q58">
            <v>2014</v>
          </cell>
          <cell r="R58" t="str">
            <v>17h05đếnngày 21 tháng 7 năm 2014</v>
          </cell>
          <cell r="S58" t="str">
            <v xml:space="preserve"> từ 17h05 đến 17h50 ngày 21 tháng 7 năm 2014</v>
          </cell>
          <cell r="T58">
            <v>15</v>
          </cell>
          <cell r="U58">
            <v>15</v>
          </cell>
          <cell r="V58">
            <v>11</v>
          </cell>
          <cell r="W58">
            <v>280</v>
          </cell>
          <cell r="X58">
            <v>-44.45</v>
          </cell>
          <cell r="Y58">
            <v>-41.8</v>
          </cell>
          <cell r="Z58">
            <v>-0.8</v>
          </cell>
          <cell r="AA58">
            <v>41</v>
          </cell>
        </row>
        <row r="59">
          <cell r="A59" t="str">
            <v>COC-49</v>
          </cell>
          <cell r="B59" t="str">
            <v>+ 01 đoạn C3: dài L=9,1m, loại PHC, cấp tải A, bê tông mác 800   sản xuất ngày ……/……./2014</v>
          </cell>
          <cell r="C59" t="str">
            <v>COC-49</v>
          </cell>
          <cell r="D59">
            <v>588579.83700000006</v>
          </cell>
          <cell r="E59">
            <v>2317512.747</v>
          </cell>
          <cell r="H59">
            <v>588579.83700000006</v>
          </cell>
          <cell r="I59">
            <v>2317512.747</v>
          </cell>
          <cell r="J59" t="str">
            <v>song hoang</v>
          </cell>
          <cell r="M59" t="str">
            <v>18h00</v>
          </cell>
          <cell r="N59" t="str">
            <v>18h50</v>
          </cell>
          <cell r="O59">
            <v>21</v>
          </cell>
          <cell r="P59">
            <v>7</v>
          </cell>
          <cell r="Q59">
            <v>2014</v>
          </cell>
          <cell r="R59" t="str">
            <v>18h00đếnngày 21 tháng 7 năm 2014</v>
          </cell>
          <cell r="S59" t="str">
            <v xml:space="preserve"> từ 18h00 đến 18h50 ngày 21 tháng 7 năm 2014</v>
          </cell>
          <cell r="T59">
            <v>15</v>
          </cell>
          <cell r="U59">
            <v>15</v>
          </cell>
          <cell r="V59">
            <v>11</v>
          </cell>
          <cell r="W59">
            <v>280</v>
          </cell>
          <cell r="X59">
            <v>-44.45</v>
          </cell>
          <cell r="Y59">
            <v>-42.6</v>
          </cell>
          <cell r="Z59">
            <v>-1.6</v>
          </cell>
          <cell r="AA59">
            <v>41</v>
          </cell>
        </row>
        <row r="60">
          <cell r="A60" t="str">
            <v>COC-50</v>
          </cell>
          <cell r="B60" t="str">
            <v>+ 01 đoạn C3: dài L=9,1m, loại PHC, cấp tải A, bê tông mác 800   sản xuất ngày ……/……./2014</v>
          </cell>
          <cell r="C60" t="str">
            <v>COC-50</v>
          </cell>
          <cell r="D60">
            <v>588579.57200000004</v>
          </cell>
          <cell r="E60">
            <v>2317503.199</v>
          </cell>
          <cell r="H60">
            <v>588579.57200000004</v>
          </cell>
          <cell r="I60">
            <v>2317503.199</v>
          </cell>
          <cell r="J60" t="str">
            <v>song hoang</v>
          </cell>
          <cell r="M60" t="str">
            <v>06h40</v>
          </cell>
          <cell r="N60" t="str">
            <v>07h35</v>
          </cell>
          <cell r="O60">
            <v>22</v>
          </cell>
          <cell r="P60">
            <v>7</v>
          </cell>
          <cell r="Q60">
            <v>2014</v>
          </cell>
          <cell r="R60" t="str">
            <v>06h40đếnngày 22 tháng 7 năm 2014</v>
          </cell>
          <cell r="S60" t="str">
            <v xml:space="preserve"> từ 06h40 đến 07h35 ngày 22 tháng 7 năm 2014</v>
          </cell>
          <cell r="T60">
            <v>15</v>
          </cell>
          <cell r="U60">
            <v>15</v>
          </cell>
          <cell r="V60">
            <v>11</v>
          </cell>
          <cell r="W60">
            <v>280</v>
          </cell>
          <cell r="X60">
            <v>-44.45</v>
          </cell>
          <cell r="Y60">
            <v>-42.5</v>
          </cell>
          <cell r="Z60">
            <v>-1.5</v>
          </cell>
          <cell r="AA60">
            <v>41</v>
          </cell>
        </row>
        <row r="61">
          <cell r="A61" t="str">
            <v>COC-51</v>
          </cell>
          <cell r="B61" t="str">
            <v>+ 01 đoạn C3: dài L=9,1m, loại PHC, cấp tải A, bê tông mác 800   sản xuất ngày ……/……./2014</v>
          </cell>
          <cell r="C61" t="str">
            <v>COC-51</v>
          </cell>
          <cell r="D61">
            <v>588579.85600000003</v>
          </cell>
          <cell r="E61">
            <v>2317504.6719999998</v>
          </cell>
          <cell r="H61">
            <v>588579.85600000003</v>
          </cell>
          <cell r="I61">
            <v>2317504.6719999998</v>
          </cell>
          <cell r="J61" t="str">
            <v>song hoang</v>
          </cell>
          <cell r="M61" t="str">
            <v>18h30</v>
          </cell>
          <cell r="N61" t="str">
            <v>19h10</v>
          </cell>
          <cell r="O61">
            <v>13</v>
          </cell>
          <cell r="P61">
            <v>7</v>
          </cell>
          <cell r="Q61">
            <v>2014</v>
          </cell>
          <cell r="R61" t="str">
            <v>18h30đếnngày 13 tháng 7 năm 2014</v>
          </cell>
          <cell r="S61" t="str">
            <v xml:space="preserve"> từ 18h30 đến 19h10 ngày 13 tháng 7 năm 2014</v>
          </cell>
          <cell r="T61">
            <v>15</v>
          </cell>
          <cell r="U61">
            <v>15</v>
          </cell>
          <cell r="V61">
            <v>11</v>
          </cell>
          <cell r="W61">
            <v>280</v>
          </cell>
          <cell r="X61">
            <v>-44.45</v>
          </cell>
          <cell r="Y61">
            <v>-43.6</v>
          </cell>
          <cell r="Z61">
            <v>-1.6</v>
          </cell>
          <cell r="AA61">
            <v>41</v>
          </cell>
        </row>
        <row r="62">
          <cell r="A62" t="str">
            <v>COC-52</v>
          </cell>
          <cell r="B62" t="str">
            <v>+ 01 đoạn C3: dài L=9,1m, loại PHC, cấp tải A, bê tông mác 800   sản xuất ngày ……/……./2014</v>
          </cell>
          <cell r="C62" t="str">
            <v>COC-52</v>
          </cell>
          <cell r="D62">
            <v>588580.15</v>
          </cell>
          <cell r="E62">
            <v>2317506.1940000001</v>
          </cell>
          <cell r="H62">
            <v>588580.15</v>
          </cell>
          <cell r="I62">
            <v>2317506.1940000001</v>
          </cell>
          <cell r="J62" t="str">
            <v>song hoang</v>
          </cell>
          <cell r="M62" t="str">
            <v>17h50</v>
          </cell>
          <cell r="N62" t="str">
            <v>16h25</v>
          </cell>
          <cell r="O62">
            <v>13</v>
          </cell>
          <cell r="P62">
            <v>7</v>
          </cell>
          <cell r="Q62">
            <v>2014</v>
          </cell>
          <cell r="R62" t="str">
            <v>17h50đếnngày 13 tháng 7 năm 2014</v>
          </cell>
          <cell r="S62" t="str">
            <v xml:space="preserve"> từ 17h50 đến 16h25 ngày 13 tháng 7 năm 2014</v>
          </cell>
          <cell r="T62">
            <v>15</v>
          </cell>
          <cell r="U62">
            <v>15</v>
          </cell>
          <cell r="V62">
            <v>11</v>
          </cell>
          <cell r="W62">
            <v>280</v>
          </cell>
          <cell r="X62">
            <v>-44.45</v>
          </cell>
          <cell r="Y62">
            <v>-43.3</v>
          </cell>
          <cell r="Z62">
            <v>-2.2999999999999998</v>
          </cell>
          <cell r="AA62">
            <v>41</v>
          </cell>
        </row>
        <row r="63">
          <cell r="A63" t="str">
            <v>COC-53</v>
          </cell>
          <cell r="B63" t="str">
            <v>+ 01 đoạn C3: dài L=9,1m, loại PHC, cấp tải A, bê tông mác 800   sản xuất ngày ……/……./2014</v>
          </cell>
          <cell r="C63" t="str">
            <v>COC-53</v>
          </cell>
          <cell r="D63">
            <v>588580.46499999997</v>
          </cell>
          <cell r="E63">
            <v>2317507.8259999999</v>
          </cell>
          <cell r="H63">
            <v>588580.46499999997</v>
          </cell>
          <cell r="I63">
            <v>2317507.8259999999</v>
          </cell>
          <cell r="J63" t="str">
            <v>song hoang</v>
          </cell>
          <cell r="M63" t="str">
            <v>17h10</v>
          </cell>
          <cell r="N63" t="str">
            <v>17h45</v>
          </cell>
          <cell r="O63">
            <v>13</v>
          </cell>
          <cell r="P63">
            <v>7</v>
          </cell>
          <cell r="Q63">
            <v>2014</v>
          </cell>
          <cell r="R63" t="str">
            <v>17h10đếnngày 13 tháng 7 năm 2014</v>
          </cell>
          <cell r="S63" t="str">
            <v xml:space="preserve"> từ 17h10 đến 17h45 ngày 13 tháng 7 năm 2014</v>
          </cell>
          <cell r="T63">
            <v>15</v>
          </cell>
          <cell r="U63">
            <v>15</v>
          </cell>
          <cell r="V63">
            <v>11</v>
          </cell>
          <cell r="W63">
            <v>280</v>
          </cell>
          <cell r="X63">
            <v>-44.45</v>
          </cell>
          <cell r="Y63">
            <v>-42.1</v>
          </cell>
          <cell r="Z63">
            <v>-1.1000000000000001</v>
          </cell>
          <cell r="AA63">
            <v>41</v>
          </cell>
        </row>
        <row r="64">
          <cell r="A64" t="str">
            <v>COC-54</v>
          </cell>
          <cell r="B64" t="str">
            <v>+ 01 đoạn C3: dài L=9,1m, loại PHC, cấp tải A, bê tông mác 800   sản xuất ngày ……/……./2014</v>
          </cell>
          <cell r="C64" t="str">
            <v>COC-54</v>
          </cell>
          <cell r="D64">
            <v>588580.78</v>
          </cell>
          <cell r="E64">
            <v>2317509.4580000001</v>
          </cell>
          <cell r="H64">
            <v>588580.78</v>
          </cell>
          <cell r="I64">
            <v>2317509.4580000001</v>
          </cell>
          <cell r="J64" t="str">
            <v>song hoang</v>
          </cell>
          <cell r="M64" t="str">
            <v>16h30</v>
          </cell>
          <cell r="N64" t="str">
            <v>17h05</v>
          </cell>
          <cell r="O64">
            <v>13</v>
          </cell>
          <cell r="P64">
            <v>7</v>
          </cell>
          <cell r="Q64">
            <v>2014</v>
          </cell>
          <cell r="R64" t="str">
            <v>16h30đếnngày 13 tháng 7 năm 2014</v>
          </cell>
          <cell r="S64" t="str">
            <v xml:space="preserve"> từ 16h30 đến 17h05 ngày 13 tháng 7 năm 2014</v>
          </cell>
          <cell r="T64">
            <v>15</v>
          </cell>
          <cell r="U64">
            <v>15</v>
          </cell>
          <cell r="V64">
            <v>11</v>
          </cell>
          <cell r="W64">
            <v>280</v>
          </cell>
          <cell r="X64">
            <v>-44.45</v>
          </cell>
          <cell r="Y64">
            <v>-43.1</v>
          </cell>
          <cell r="Z64">
            <v>-2.1</v>
          </cell>
          <cell r="AA64">
            <v>41</v>
          </cell>
        </row>
        <row r="65">
          <cell r="A65" t="str">
            <v>COC-55</v>
          </cell>
          <cell r="B65" t="str">
            <v>+ 01 đoạn C3: dài L=9,1m, loại PHC, cấp tải A, bê tông mác 800   sản xuất ngày ……/……./2014</v>
          </cell>
          <cell r="C65" t="str">
            <v>COC-55</v>
          </cell>
          <cell r="D65">
            <v>588581.07400000002</v>
          </cell>
          <cell r="E65">
            <v>2317510.98</v>
          </cell>
          <cell r="H65">
            <v>588581.07400000002</v>
          </cell>
          <cell r="I65">
            <v>2317510.98</v>
          </cell>
          <cell r="J65" t="str">
            <v>song hoang</v>
          </cell>
          <cell r="M65" t="str">
            <v>10h35</v>
          </cell>
          <cell r="N65" t="str">
            <v>11h25</v>
          </cell>
          <cell r="O65">
            <v>16</v>
          </cell>
          <cell r="P65">
            <v>7</v>
          </cell>
          <cell r="Q65">
            <v>2014</v>
          </cell>
          <cell r="R65" t="str">
            <v>10h35đếnngày 16 tháng 7 năm 2014</v>
          </cell>
          <cell r="S65" t="str">
            <v xml:space="preserve"> từ 10h35 đến 11h25 ngày 16 tháng 7 năm 2014</v>
          </cell>
          <cell r="T65">
            <v>15</v>
          </cell>
          <cell r="U65">
            <v>15</v>
          </cell>
          <cell r="V65">
            <v>11</v>
          </cell>
          <cell r="W65">
            <v>280</v>
          </cell>
          <cell r="X65">
            <v>-44.45</v>
          </cell>
          <cell r="Y65">
            <v>-42.8</v>
          </cell>
          <cell r="Z65">
            <v>-1.8</v>
          </cell>
          <cell r="AA65">
            <v>41</v>
          </cell>
        </row>
        <row r="66">
          <cell r="A66" t="str">
            <v>COC-56</v>
          </cell>
          <cell r="B66" t="str">
            <v>+ 01 đoạn C3: dài L=9,1m, loại PHC, cấp tải A, bê tông mác 800   sản xuất ngày ……/……./2014</v>
          </cell>
          <cell r="C66" t="str">
            <v>COC-56</v>
          </cell>
          <cell r="D66">
            <v>588581.35900000005</v>
          </cell>
          <cell r="E66">
            <v>2317512.4530000002</v>
          </cell>
          <cell r="H66">
            <v>588581.35900000005</v>
          </cell>
          <cell r="I66">
            <v>2317512.4530000002</v>
          </cell>
          <cell r="J66" t="str">
            <v>song hoang</v>
          </cell>
          <cell r="M66" t="str">
            <v>06h30</v>
          </cell>
          <cell r="N66" t="str">
            <v>07h30</v>
          </cell>
          <cell r="O66">
            <v>17</v>
          </cell>
          <cell r="P66">
            <v>7</v>
          </cell>
          <cell r="Q66">
            <v>2014</v>
          </cell>
          <cell r="R66" t="str">
            <v>06h30đếnngày 17 tháng 7 năm 2014</v>
          </cell>
          <cell r="S66" t="str">
            <v xml:space="preserve"> từ 06h30 đến 07h30 ngày 17 tháng 7 năm 2014</v>
          </cell>
          <cell r="T66">
            <v>15</v>
          </cell>
          <cell r="U66">
            <v>15</v>
          </cell>
          <cell r="V66">
            <v>11</v>
          </cell>
          <cell r="W66">
            <v>280</v>
          </cell>
          <cell r="X66">
            <v>-44.45</v>
          </cell>
          <cell r="Y66">
            <v>-42.59</v>
          </cell>
          <cell r="Z66">
            <v>-1.59</v>
          </cell>
          <cell r="AA66">
            <v>41</v>
          </cell>
        </row>
        <row r="67">
          <cell r="A67" t="str">
            <v>COC-57</v>
          </cell>
          <cell r="B67" t="str">
            <v>+ 01 đoạn C3: dài L=9,1m, loại PHC, cấp tải A, bê tông mác 800   sản xuất ngày ……/……./2014</v>
          </cell>
          <cell r="C67" t="str">
            <v>COC-57</v>
          </cell>
          <cell r="D67">
            <v>588581.04399999999</v>
          </cell>
          <cell r="E67">
            <v>2317502.9139999999</v>
          </cell>
          <cell r="H67">
            <v>588581.04399999999</v>
          </cell>
          <cell r="I67">
            <v>2317502.9139999999</v>
          </cell>
          <cell r="J67" t="str">
            <v>song hoang</v>
          </cell>
          <cell r="M67" t="str">
            <v>16h40</v>
          </cell>
          <cell r="N67" t="str">
            <v>17h25</v>
          </cell>
          <cell r="O67">
            <v>18</v>
          </cell>
          <cell r="P67">
            <v>7</v>
          </cell>
          <cell r="Q67">
            <v>2014</v>
          </cell>
          <cell r="R67" t="str">
            <v>16h40đếnngày 18 tháng 7 năm 2014</v>
          </cell>
          <cell r="S67" t="str">
            <v xml:space="preserve"> từ 16h40 đến 17h25 ngày 18 tháng 7 năm 2014</v>
          </cell>
          <cell r="T67">
            <v>15</v>
          </cell>
          <cell r="U67">
            <v>15</v>
          </cell>
          <cell r="V67">
            <v>11</v>
          </cell>
          <cell r="W67">
            <v>280</v>
          </cell>
          <cell r="X67">
            <v>-44.45</v>
          </cell>
          <cell r="Y67">
            <v>-41.95</v>
          </cell>
          <cell r="Z67">
            <v>-0.95</v>
          </cell>
          <cell r="AA67">
            <v>41</v>
          </cell>
        </row>
        <row r="68">
          <cell r="A68" t="str">
            <v>COC-58</v>
          </cell>
          <cell r="B68" t="str">
            <v>+ 01 đoạn C3: dài L=9,1m, loại PHC, cấp tải A, bê tông mác 800   sản xuất ngày ……/……./2014</v>
          </cell>
          <cell r="C68" t="str">
            <v>COC-58</v>
          </cell>
          <cell r="D68">
            <v>588581.32900000003</v>
          </cell>
          <cell r="E68">
            <v>2317504.3870000001</v>
          </cell>
          <cell r="H68">
            <v>588581.32900000003</v>
          </cell>
          <cell r="I68">
            <v>2317504.3870000001</v>
          </cell>
          <cell r="J68" t="str">
            <v>song hoang</v>
          </cell>
          <cell r="M68" t="str">
            <v>17h30</v>
          </cell>
          <cell r="N68" t="str">
            <v>18h15</v>
          </cell>
          <cell r="O68">
            <v>18</v>
          </cell>
          <cell r="P68">
            <v>7</v>
          </cell>
          <cell r="Q68">
            <v>2014</v>
          </cell>
          <cell r="R68" t="str">
            <v>17h30đếnngày 18 tháng 7 năm 2014</v>
          </cell>
          <cell r="S68" t="str">
            <v xml:space="preserve"> từ 17h30 đến 18h15 ngày 18 tháng 7 năm 2014</v>
          </cell>
          <cell r="T68">
            <v>15</v>
          </cell>
          <cell r="U68">
            <v>15</v>
          </cell>
          <cell r="V68">
            <v>11</v>
          </cell>
          <cell r="W68">
            <v>280</v>
          </cell>
          <cell r="X68">
            <v>-44.45</v>
          </cell>
          <cell r="Y68">
            <v>-41.98</v>
          </cell>
          <cell r="Z68">
            <v>-0.98</v>
          </cell>
          <cell r="AA68">
            <v>41</v>
          </cell>
        </row>
        <row r="69">
          <cell r="A69" t="str">
            <v>COC-59</v>
          </cell>
          <cell r="B69" t="str">
            <v>+ 01 đoạn C3: dài L=9,1m, loại PHC, cấp tải A, bê tông mác 800   sản xuất ngày ……/……./2014</v>
          </cell>
          <cell r="C69" t="str">
            <v>COC-59</v>
          </cell>
          <cell r="D69">
            <v>588581.62300000002</v>
          </cell>
          <cell r="E69">
            <v>2317505.909</v>
          </cell>
          <cell r="H69">
            <v>588581.62300000002</v>
          </cell>
          <cell r="I69">
            <v>2317505.909</v>
          </cell>
          <cell r="J69" t="str">
            <v>song hoang</v>
          </cell>
          <cell r="M69" t="str">
            <v>18h20</v>
          </cell>
          <cell r="N69" t="str">
            <v>19h00</v>
          </cell>
          <cell r="O69">
            <v>18</v>
          </cell>
          <cell r="P69">
            <v>7</v>
          </cell>
          <cell r="Q69">
            <v>2014</v>
          </cell>
          <cell r="R69" t="str">
            <v>18h20đếnngày 18 tháng 7 năm 2014</v>
          </cell>
          <cell r="S69" t="str">
            <v xml:space="preserve"> từ 18h20 đến 19h00 ngày 18 tháng 7 năm 2014</v>
          </cell>
          <cell r="T69">
            <v>15</v>
          </cell>
          <cell r="U69">
            <v>15</v>
          </cell>
          <cell r="V69">
            <v>11</v>
          </cell>
          <cell r="W69">
            <v>280</v>
          </cell>
          <cell r="X69">
            <v>-44.45</v>
          </cell>
          <cell r="Y69">
            <v>-42</v>
          </cell>
          <cell r="Z69">
            <v>-1</v>
          </cell>
          <cell r="AA69">
            <v>41</v>
          </cell>
        </row>
        <row r="70">
          <cell r="A70" t="str">
            <v>COC-60</v>
          </cell>
          <cell r="B70" t="str">
            <v>+ 01 đoạn C3: dài L=9,1m, loại PHC, cấp tải A, bê tông mác 800   sản xuất ngày ……/……./2014</v>
          </cell>
          <cell r="C70" t="str">
            <v>COC-60</v>
          </cell>
          <cell r="D70">
            <v>588581.93799999997</v>
          </cell>
          <cell r="E70">
            <v>2317507.5419999999</v>
          </cell>
          <cell r="H70">
            <v>588581.93799999997</v>
          </cell>
          <cell r="I70">
            <v>2317507.5419999999</v>
          </cell>
          <cell r="J70" t="str">
            <v>song hoang</v>
          </cell>
          <cell r="M70" t="str">
            <v>19h00</v>
          </cell>
          <cell r="N70" t="str">
            <v>20h00</v>
          </cell>
          <cell r="O70">
            <v>18</v>
          </cell>
          <cell r="P70">
            <v>7</v>
          </cell>
          <cell r="Q70">
            <v>2014</v>
          </cell>
          <cell r="R70" t="str">
            <v>19h00đếnngày 18 tháng 7 năm 2014</v>
          </cell>
          <cell r="S70" t="str">
            <v xml:space="preserve"> từ 19h00 đến 20h00 ngày 18 tháng 7 năm 2014</v>
          </cell>
          <cell r="T70">
            <v>15</v>
          </cell>
          <cell r="U70">
            <v>15</v>
          </cell>
          <cell r="V70">
            <v>11</v>
          </cell>
          <cell r="W70">
            <v>280</v>
          </cell>
          <cell r="X70">
            <v>-44.45</v>
          </cell>
          <cell r="Y70">
            <v>-41.98</v>
          </cell>
          <cell r="Z70">
            <v>-0.98</v>
          </cell>
          <cell r="AA70">
            <v>41</v>
          </cell>
        </row>
        <row r="71">
          <cell r="A71" t="str">
            <v>COC-61</v>
          </cell>
          <cell r="B71" t="str">
            <v>+ 01 đoạn C3: dài L=9,1m, loại PHC, cấp tải A, bê tông mác 800   sản xuất ngày ……/……./2014</v>
          </cell>
          <cell r="C71" t="str">
            <v>COC-61</v>
          </cell>
          <cell r="D71">
            <v>588582.25300000003</v>
          </cell>
          <cell r="E71">
            <v>2317509.1740000001</v>
          </cell>
          <cell r="H71">
            <v>588582.25300000003</v>
          </cell>
          <cell r="I71">
            <v>2317509.1740000001</v>
          </cell>
          <cell r="J71" t="str">
            <v>song hoang</v>
          </cell>
          <cell r="M71" t="str">
            <v>20h05</v>
          </cell>
          <cell r="N71" t="str">
            <v>21h00</v>
          </cell>
          <cell r="O71">
            <v>18</v>
          </cell>
          <cell r="P71">
            <v>7</v>
          </cell>
          <cell r="Q71">
            <v>2014</v>
          </cell>
          <cell r="R71" t="str">
            <v>20h05đếnngày 18 tháng 7 năm 2014</v>
          </cell>
          <cell r="S71" t="str">
            <v xml:space="preserve"> từ 20h05 đến 21h00 ngày 18 tháng 7 năm 2014</v>
          </cell>
          <cell r="T71">
            <v>15</v>
          </cell>
          <cell r="U71">
            <v>15</v>
          </cell>
          <cell r="V71">
            <v>11</v>
          </cell>
          <cell r="W71">
            <v>280</v>
          </cell>
          <cell r="X71">
            <v>-44.45</v>
          </cell>
          <cell r="Y71">
            <v>-41.08</v>
          </cell>
          <cell r="Z71">
            <v>-0.08</v>
          </cell>
          <cell r="AA71">
            <v>41</v>
          </cell>
        </row>
        <row r="72">
          <cell r="A72" t="str">
            <v>COC-62</v>
          </cell>
          <cell r="B72" t="str">
            <v>+ 01 đoạn C3: dài L=9,1m, loại PHC, cấp tải A, bê tông mác 800   sản xuất ngày ……/……./2014</v>
          </cell>
          <cell r="C72" t="str">
            <v>COC-62</v>
          </cell>
          <cell r="D72">
            <v>588582.54700000002</v>
          </cell>
          <cell r="E72">
            <v>2317510.696</v>
          </cell>
          <cell r="H72">
            <v>588582.54700000002</v>
          </cell>
          <cell r="I72">
            <v>2317510.696</v>
          </cell>
          <cell r="J72" t="str">
            <v>song hoang</v>
          </cell>
          <cell r="M72" t="str">
            <v>11h09</v>
          </cell>
          <cell r="N72" t="str">
            <v>11h50</v>
          </cell>
          <cell r="O72">
            <v>13</v>
          </cell>
          <cell r="P72">
            <v>7</v>
          </cell>
          <cell r="Q72">
            <v>2014</v>
          </cell>
          <cell r="R72" t="str">
            <v>11h09đếnngày 13 tháng 7 năm 2014</v>
          </cell>
          <cell r="S72" t="str">
            <v xml:space="preserve"> từ 11h09 đến 11h50 ngày 13 tháng 7 năm 2014</v>
          </cell>
          <cell r="T72">
            <v>15</v>
          </cell>
          <cell r="U72">
            <v>15</v>
          </cell>
          <cell r="V72">
            <v>11</v>
          </cell>
          <cell r="W72">
            <v>280</v>
          </cell>
          <cell r="X72">
            <v>-44.45</v>
          </cell>
          <cell r="Y72">
            <v>-42.64</v>
          </cell>
          <cell r="Z72">
            <v>-1.64</v>
          </cell>
          <cell r="AA72">
            <v>41</v>
          </cell>
        </row>
        <row r="73">
          <cell r="A73" t="str">
            <v>COC-63</v>
          </cell>
          <cell r="B73" t="str">
            <v>+ 01 đoạn C3: dài L=9,1m, loại PHC, cấp tải A, bê tông mác 800   sản xuất ngày ……/……./2014</v>
          </cell>
          <cell r="C73" t="str">
            <v>COC-63</v>
          </cell>
          <cell r="D73">
            <v>588582.83100000001</v>
          </cell>
          <cell r="E73">
            <v>2317512.1690000002</v>
          </cell>
          <cell r="H73">
            <v>588582.83100000001</v>
          </cell>
          <cell r="I73">
            <v>2317512.1690000002</v>
          </cell>
          <cell r="J73" t="str">
            <v>song hoang</v>
          </cell>
          <cell r="M73" t="str">
            <v>13h30</v>
          </cell>
          <cell r="N73" t="str">
            <v>14h30</v>
          </cell>
          <cell r="O73">
            <v>13</v>
          </cell>
          <cell r="P73">
            <v>7</v>
          </cell>
          <cell r="Q73">
            <v>2014</v>
          </cell>
          <cell r="R73" t="str">
            <v>13h30đếnngày 13 tháng 7 năm 2014</v>
          </cell>
          <cell r="S73" t="str">
            <v xml:space="preserve"> từ 13h30 đến 14h30 ngày 13 tháng 7 năm 2014</v>
          </cell>
          <cell r="T73">
            <v>15</v>
          </cell>
          <cell r="U73">
            <v>15</v>
          </cell>
          <cell r="V73">
            <v>11</v>
          </cell>
          <cell r="W73">
            <v>280</v>
          </cell>
          <cell r="X73">
            <v>-44.45</v>
          </cell>
          <cell r="Y73">
            <v>-42.86</v>
          </cell>
          <cell r="Z73">
            <v>-1.86</v>
          </cell>
          <cell r="AA73">
            <v>41</v>
          </cell>
        </row>
        <row r="74">
          <cell r="A74" t="str">
            <v>COC-64</v>
          </cell>
          <cell r="B74" t="str">
            <v>+ 01 đoạn C3: dài L=9,1m, loại PHC, cấp tải A, bê tông mác 800   sản xuất ngày ……/……./2014</v>
          </cell>
          <cell r="C74" t="str">
            <v>COC-64</v>
          </cell>
          <cell r="D74">
            <v>588582.76300000004</v>
          </cell>
          <cell r="E74">
            <v>2317502.5830000001</v>
          </cell>
          <cell r="H74">
            <v>588582.76300000004</v>
          </cell>
          <cell r="I74">
            <v>2317502.5830000001</v>
          </cell>
          <cell r="J74" t="str">
            <v>song hoang</v>
          </cell>
          <cell r="M74" t="str">
            <v>14h35</v>
          </cell>
          <cell r="N74" t="str">
            <v>15h40</v>
          </cell>
          <cell r="O74">
            <v>13</v>
          </cell>
          <cell r="P74">
            <v>7</v>
          </cell>
          <cell r="Q74">
            <v>2014</v>
          </cell>
          <cell r="R74" t="str">
            <v>14h35đếnngày 13 tháng 7 năm 2014</v>
          </cell>
          <cell r="S74" t="str">
            <v xml:space="preserve"> từ 14h35 đến 15h40 ngày 13 tháng 7 năm 2014</v>
          </cell>
          <cell r="T74">
            <v>15</v>
          </cell>
          <cell r="U74">
            <v>15</v>
          </cell>
          <cell r="V74">
            <v>11</v>
          </cell>
          <cell r="W74">
            <v>280</v>
          </cell>
          <cell r="X74">
            <v>-44.45</v>
          </cell>
          <cell r="Y74">
            <v>-42.3</v>
          </cell>
          <cell r="Z74">
            <v>-1.3</v>
          </cell>
          <cell r="AA74">
            <v>41</v>
          </cell>
        </row>
        <row r="75">
          <cell r="A75" t="str">
            <v>COC-65</v>
          </cell>
          <cell r="B75" t="str">
            <v>+ 01 đoạn C3: dài L=9,1m, loại PHC, cấp tải A, bê tông mác 800   sản xuất ngày ……/……./2014</v>
          </cell>
          <cell r="C75" t="str">
            <v>COC-65</v>
          </cell>
          <cell r="D75">
            <v>588583.04700000002</v>
          </cell>
          <cell r="E75">
            <v>2317504.0550000002</v>
          </cell>
          <cell r="H75">
            <v>588583.04700000002</v>
          </cell>
          <cell r="I75">
            <v>2317504.0550000002</v>
          </cell>
          <cell r="J75" t="str">
            <v>song hoang</v>
          </cell>
          <cell r="M75" t="str">
            <v>15h50</v>
          </cell>
          <cell r="N75" t="str">
            <v>16h25</v>
          </cell>
          <cell r="O75">
            <v>13</v>
          </cell>
          <cell r="P75">
            <v>7</v>
          </cell>
          <cell r="Q75">
            <v>2014</v>
          </cell>
          <cell r="R75" t="str">
            <v>15h50đếnngày 13 tháng 7 năm 2014</v>
          </cell>
          <cell r="S75" t="str">
            <v xml:space="preserve"> từ 15h50 đến 16h25 ngày 13 tháng 7 năm 2014</v>
          </cell>
          <cell r="T75">
            <v>15</v>
          </cell>
          <cell r="U75">
            <v>15</v>
          </cell>
          <cell r="V75">
            <v>11</v>
          </cell>
          <cell r="W75">
            <v>280</v>
          </cell>
          <cell r="X75">
            <v>-44.45</v>
          </cell>
          <cell r="Y75">
            <v>-43.63</v>
          </cell>
          <cell r="Z75">
            <v>-2.63</v>
          </cell>
          <cell r="AA75">
            <v>41</v>
          </cell>
        </row>
        <row r="76">
          <cell r="A76" t="str">
            <v>COC-66</v>
          </cell>
          <cell r="B76" t="str">
            <v>+ 01 đoạn C3: dài L=9,1m, loại PHC, cấp tải A, bê tông mác 800   sản xuất ngày ……/……./2014</v>
          </cell>
          <cell r="C76" t="str">
            <v>COC-66</v>
          </cell>
          <cell r="D76">
            <v>588583.34100000001</v>
          </cell>
          <cell r="E76">
            <v>2317505.577</v>
          </cell>
          <cell r="H76">
            <v>588583.34100000001</v>
          </cell>
          <cell r="I76">
            <v>2317505.577</v>
          </cell>
          <cell r="J76" t="str">
            <v>song hoang</v>
          </cell>
          <cell r="M76" t="str">
            <v>06h40</v>
          </cell>
          <cell r="N76" t="str">
            <v>07h25</v>
          </cell>
          <cell r="O76">
            <v>16</v>
          </cell>
          <cell r="P76">
            <v>7</v>
          </cell>
          <cell r="Q76">
            <v>2014</v>
          </cell>
          <cell r="R76" t="str">
            <v>06h40đếnngày 16 tháng 7 năm 2014</v>
          </cell>
          <cell r="S76" t="str">
            <v xml:space="preserve"> từ 06h40 đến 07h25 ngày 16 tháng 7 năm 2014</v>
          </cell>
          <cell r="T76">
            <v>15</v>
          </cell>
          <cell r="U76">
            <v>15</v>
          </cell>
          <cell r="V76">
            <v>11</v>
          </cell>
          <cell r="W76">
            <v>280</v>
          </cell>
          <cell r="X76">
            <v>-44.45</v>
          </cell>
          <cell r="Y76">
            <v>-43.15</v>
          </cell>
          <cell r="Z76">
            <v>-2.15</v>
          </cell>
          <cell r="AA76">
            <v>41</v>
          </cell>
        </row>
        <row r="77">
          <cell r="A77" t="str">
            <v>COC-67</v>
          </cell>
          <cell r="B77" t="str">
            <v>+ 01 đoạn C3: dài L=9,1m, loại PHC, cấp tải A, bê tông mác 800   sản xuất ngày ……/……./2014</v>
          </cell>
          <cell r="C77" t="str">
            <v>COC-67</v>
          </cell>
          <cell r="D77">
            <v>588583.65599999996</v>
          </cell>
          <cell r="E77">
            <v>2317507.21</v>
          </cell>
          <cell r="H77">
            <v>588583.65599999996</v>
          </cell>
          <cell r="I77">
            <v>2317507.21</v>
          </cell>
          <cell r="J77" t="str">
            <v>song hoang</v>
          </cell>
          <cell r="M77" t="str">
            <v>14h30</v>
          </cell>
          <cell r="N77" t="str">
            <v>15h10</v>
          </cell>
          <cell r="O77">
            <v>16</v>
          </cell>
          <cell r="P77">
            <v>7</v>
          </cell>
          <cell r="Q77">
            <v>2014</v>
          </cell>
          <cell r="R77" t="str">
            <v>14h30đếnngày 16 tháng 7 năm 2014</v>
          </cell>
          <cell r="S77" t="str">
            <v xml:space="preserve"> từ 14h30 đến 15h10 ngày 16 tháng 7 năm 2014</v>
          </cell>
          <cell r="T77">
            <v>15</v>
          </cell>
          <cell r="U77">
            <v>15</v>
          </cell>
          <cell r="V77">
            <v>11</v>
          </cell>
          <cell r="W77">
            <v>280</v>
          </cell>
          <cell r="X77">
            <v>-44.45</v>
          </cell>
          <cell r="Y77">
            <v>-42.48</v>
          </cell>
          <cell r="Z77">
            <v>-1.48</v>
          </cell>
          <cell r="AA77">
            <v>41</v>
          </cell>
        </row>
        <row r="78">
          <cell r="A78" t="str">
            <v>COC-68</v>
          </cell>
          <cell r="B78" t="str">
            <v>+ 01 đoạn C3: dài L=9,1m, loại PHC, cấp tải A, bê tông mác 800   sản xuất ngày ……/……./2014</v>
          </cell>
          <cell r="C78" t="str">
            <v>COC-68</v>
          </cell>
          <cell r="D78">
            <v>588583.97100000002</v>
          </cell>
          <cell r="E78">
            <v>2317508.8420000002</v>
          </cell>
          <cell r="H78">
            <v>588583.97100000002</v>
          </cell>
          <cell r="I78">
            <v>2317508.8420000002</v>
          </cell>
          <cell r="J78" t="str">
            <v>song hoang</v>
          </cell>
          <cell r="M78" t="str">
            <v>15h15</v>
          </cell>
          <cell r="N78" t="str">
            <v>15h50</v>
          </cell>
          <cell r="O78">
            <v>16</v>
          </cell>
          <cell r="P78">
            <v>7</v>
          </cell>
          <cell r="Q78">
            <v>2014</v>
          </cell>
          <cell r="R78" t="str">
            <v>15h15đếnngày 16 tháng 7 năm 2014</v>
          </cell>
          <cell r="S78" t="str">
            <v xml:space="preserve"> từ 15h15 đến 15h50 ngày 16 tháng 7 năm 2014</v>
          </cell>
          <cell r="T78">
            <v>15</v>
          </cell>
          <cell r="U78">
            <v>15</v>
          </cell>
          <cell r="V78">
            <v>11</v>
          </cell>
          <cell r="W78">
            <v>280</v>
          </cell>
          <cell r="X78">
            <v>-44.45</v>
          </cell>
          <cell r="Y78">
            <v>-42.5</v>
          </cell>
          <cell r="Z78">
            <v>-1.5</v>
          </cell>
          <cell r="AA78">
            <v>41</v>
          </cell>
        </row>
        <row r="79">
          <cell r="A79" t="str">
            <v>COC-69</v>
          </cell>
          <cell r="B79" t="str">
            <v>+ 01 đoạn C3: dài L=9,1m, loại PHC, cấp tải A, bê tông mác 800   sản xuất ngày ……/……./2014</v>
          </cell>
          <cell r="C79" t="str">
            <v>COC-69</v>
          </cell>
          <cell r="D79">
            <v>588584.26500000001</v>
          </cell>
          <cell r="E79">
            <v>2317510.3640000001</v>
          </cell>
          <cell r="H79">
            <v>588584.26500000001</v>
          </cell>
          <cell r="I79">
            <v>2317510.3640000001</v>
          </cell>
          <cell r="J79" t="str">
            <v>song hoang</v>
          </cell>
          <cell r="M79" t="str">
            <v>15h55</v>
          </cell>
          <cell r="N79" t="str">
            <v>16h50</v>
          </cell>
          <cell r="O79">
            <v>16</v>
          </cell>
          <cell r="P79">
            <v>7</v>
          </cell>
          <cell r="Q79">
            <v>2014</v>
          </cell>
          <cell r="R79" t="str">
            <v>15h55đếnngày 16 tháng 7 năm 2014</v>
          </cell>
          <cell r="S79" t="str">
            <v xml:space="preserve"> từ 15h55 đến 16h50 ngày 16 tháng 7 năm 2014</v>
          </cell>
          <cell r="T79">
            <v>15</v>
          </cell>
          <cell r="U79">
            <v>15</v>
          </cell>
          <cell r="V79">
            <v>11</v>
          </cell>
          <cell r="W79">
            <v>280</v>
          </cell>
          <cell r="X79">
            <v>-44.45</v>
          </cell>
          <cell r="Y79">
            <v>-41.6</v>
          </cell>
          <cell r="Z79">
            <v>-0.6</v>
          </cell>
          <cell r="AA79">
            <v>41</v>
          </cell>
        </row>
        <row r="80">
          <cell r="A80" t="str">
            <v>COC-70</v>
          </cell>
          <cell r="B80" t="str">
            <v>+ 01 đoạn C3: dài L=9,1m, loại PHC, cấp tải A, bê tông mác 800   sản xuất ngày ……/……./2014</v>
          </cell>
          <cell r="C80" t="str">
            <v>COC-70</v>
          </cell>
          <cell r="D80">
            <v>588584.55000000005</v>
          </cell>
          <cell r="E80">
            <v>2317511.8369999998</v>
          </cell>
          <cell r="H80">
            <v>588584.55000000005</v>
          </cell>
          <cell r="I80">
            <v>2317511.8369999998</v>
          </cell>
          <cell r="J80" t="str">
            <v>song hoang</v>
          </cell>
          <cell r="M80" t="str">
            <v>16h55</v>
          </cell>
          <cell r="N80" t="str">
            <v>17h35</v>
          </cell>
          <cell r="O80">
            <v>16</v>
          </cell>
          <cell r="P80">
            <v>7</v>
          </cell>
          <cell r="Q80">
            <v>2014</v>
          </cell>
          <cell r="R80" t="str">
            <v>16h55đếnngày 16 tháng 7 năm 2014</v>
          </cell>
          <cell r="S80" t="str">
            <v xml:space="preserve"> từ 16h55 đến 17h35 ngày 16 tháng 7 năm 2014</v>
          </cell>
          <cell r="T80">
            <v>15</v>
          </cell>
          <cell r="U80">
            <v>15</v>
          </cell>
          <cell r="V80">
            <v>11</v>
          </cell>
          <cell r="W80">
            <v>280</v>
          </cell>
          <cell r="X80">
            <v>-44.45</v>
          </cell>
          <cell r="Y80">
            <v>-41.93</v>
          </cell>
          <cell r="Z80">
            <v>-0.93</v>
          </cell>
          <cell r="AA80">
            <v>41</v>
          </cell>
        </row>
        <row r="81">
          <cell r="A81" t="str">
            <v>COC-71</v>
          </cell>
          <cell r="B81" t="str">
            <v>+ 01 đoạn C3: dài L=9,1m, loại PHC, cấp tải A, bê tông mác 800   sản xuất ngày ……/……./2014</v>
          </cell>
          <cell r="C81" t="str">
            <v>COC-71</v>
          </cell>
          <cell r="D81">
            <v>588584.48100000003</v>
          </cell>
          <cell r="E81">
            <v>2317502.2510000002</v>
          </cell>
          <cell r="H81">
            <v>588584.48100000003</v>
          </cell>
          <cell r="I81">
            <v>2317502.2510000002</v>
          </cell>
          <cell r="J81" t="str">
            <v>song hoang</v>
          </cell>
          <cell r="M81" t="str">
            <v>17h40</v>
          </cell>
          <cell r="N81" t="str">
            <v>18h20</v>
          </cell>
          <cell r="O81">
            <v>16</v>
          </cell>
          <cell r="P81">
            <v>7</v>
          </cell>
          <cell r="Q81">
            <v>2014</v>
          </cell>
          <cell r="R81" t="str">
            <v>17h40đếnngày 16 tháng 7 năm 2014</v>
          </cell>
          <cell r="S81" t="str">
            <v xml:space="preserve"> từ 17h40 đến 18h20 ngày 16 tháng 7 năm 2014</v>
          </cell>
          <cell r="T81">
            <v>15</v>
          </cell>
          <cell r="U81">
            <v>15</v>
          </cell>
          <cell r="V81">
            <v>11</v>
          </cell>
          <cell r="W81">
            <v>280</v>
          </cell>
          <cell r="X81">
            <v>-44.45</v>
          </cell>
          <cell r="Y81">
            <v>-41.98</v>
          </cell>
          <cell r="Z81">
            <v>-0.98</v>
          </cell>
          <cell r="AA81">
            <v>41</v>
          </cell>
        </row>
        <row r="82">
          <cell r="A82" t="str">
            <v>COC-72</v>
          </cell>
          <cell r="B82" t="str">
            <v>+ 01 đoạn C3: dài L=9,1m, loại PHC, cấp tải A, bê tông mác 800   sản xuất ngày ……/……./2014</v>
          </cell>
          <cell r="C82" t="str">
            <v>COC-72</v>
          </cell>
          <cell r="D82">
            <v>588584.76500000001</v>
          </cell>
          <cell r="E82">
            <v>2317503.7239999999</v>
          </cell>
          <cell r="H82">
            <v>588584.76500000001</v>
          </cell>
          <cell r="I82">
            <v>2317503.7239999999</v>
          </cell>
          <cell r="J82" t="str">
            <v>song hoang</v>
          </cell>
          <cell r="M82" t="str">
            <v>18h25</v>
          </cell>
          <cell r="N82" t="str">
            <v>19h05</v>
          </cell>
          <cell r="O82">
            <v>16</v>
          </cell>
          <cell r="P82">
            <v>7</v>
          </cell>
          <cell r="Q82">
            <v>2014</v>
          </cell>
          <cell r="R82" t="str">
            <v>18h25đếnngày 16 tháng 7 năm 2014</v>
          </cell>
          <cell r="S82" t="str">
            <v xml:space="preserve"> từ 18h25 đến 19h05 ngày 16 tháng 7 năm 2014</v>
          </cell>
          <cell r="T82">
            <v>15</v>
          </cell>
          <cell r="U82">
            <v>15</v>
          </cell>
          <cell r="V82">
            <v>11</v>
          </cell>
          <cell r="W82">
            <v>280</v>
          </cell>
          <cell r="X82">
            <v>-44.45</v>
          </cell>
          <cell r="Y82">
            <v>-42.14</v>
          </cell>
          <cell r="Z82">
            <v>-1.1399999999999999</v>
          </cell>
          <cell r="AA82">
            <v>41</v>
          </cell>
        </row>
        <row r="83">
          <cell r="A83" t="str">
            <v>COC-73</v>
          </cell>
          <cell r="B83" t="str">
            <v>+ 01 đoạn C3: dài L=9,1m, loại PHC, cấp tải A, bê tông mác 800   sản xuất ngày ……/……./2014</v>
          </cell>
          <cell r="C83" t="str">
            <v>COC-73</v>
          </cell>
          <cell r="D83">
            <v>588585.05900000001</v>
          </cell>
          <cell r="E83">
            <v>2317505.2459999998</v>
          </cell>
          <cell r="H83">
            <v>588585.05900000001</v>
          </cell>
          <cell r="I83">
            <v>2317505.2459999998</v>
          </cell>
          <cell r="J83" t="str">
            <v>song hoang</v>
          </cell>
          <cell r="M83" t="str">
            <v>10h20</v>
          </cell>
          <cell r="N83" t="str">
            <v>11h05</v>
          </cell>
          <cell r="O83">
            <v>13</v>
          </cell>
          <cell r="P83">
            <v>7</v>
          </cell>
          <cell r="Q83">
            <v>2014</v>
          </cell>
          <cell r="R83" t="str">
            <v>10h20đếnngày 13 tháng 7 năm 2014</v>
          </cell>
          <cell r="S83" t="str">
            <v xml:space="preserve"> từ 10h20 đến 11h05 ngày 13 tháng 7 năm 2014</v>
          </cell>
          <cell r="T83">
            <v>15</v>
          </cell>
          <cell r="U83">
            <v>15</v>
          </cell>
          <cell r="V83">
            <v>11</v>
          </cell>
          <cell r="W83">
            <v>280</v>
          </cell>
          <cell r="X83">
            <v>-44.45</v>
          </cell>
          <cell r="Y83">
            <v>-43.17</v>
          </cell>
          <cell r="Z83">
            <v>-2.17</v>
          </cell>
          <cell r="AA83">
            <v>41</v>
          </cell>
        </row>
        <row r="84">
          <cell r="A84" t="str">
            <v>COC-74</v>
          </cell>
          <cell r="B84" t="str">
            <v>+ 01 đoạn C3: dài L=9,1m, loại PHC, cấp tải A, bê tông mác 800   sản xuất ngày ……/……./2014</v>
          </cell>
          <cell r="C84" t="str">
            <v>COC-74</v>
          </cell>
          <cell r="D84">
            <v>588585.375</v>
          </cell>
          <cell r="E84">
            <v>2317506.878</v>
          </cell>
          <cell r="H84">
            <v>588585.375</v>
          </cell>
          <cell r="I84">
            <v>2317506.878</v>
          </cell>
          <cell r="J84" t="str">
            <v>song hoang</v>
          </cell>
          <cell r="M84" t="str">
            <v>09h45</v>
          </cell>
          <cell r="N84" t="str">
            <v>10h15</v>
          </cell>
          <cell r="O84">
            <v>13</v>
          </cell>
          <cell r="P84">
            <v>7</v>
          </cell>
          <cell r="Q84">
            <v>2014</v>
          </cell>
          <cell r="R84" t="str">
            <v>09h45đếnngày 13 tháng 7 năm 2014</v>
          </cell>
          <cell r="S84" t="str">
            <v xml:space="preserve"> từ 09h45 đến 10h15 ngày 13 tháng 7 năm 2014</v>
          </cell>
          <cell r="T84">
            <v>15</v>
          </cell>
          <cell r="U84">
            <v>15</v>
          </cell>
          <cell r="V84">
            <v>11</v>
          </cell>
          <cell r="W84">
            <v>280</v>
          </cell>
          <cell r="X84">
            <v>-44.45</v>
          </cell>
          <cell r="Y84">
            <v>-43.2</v>
          </cell>
          <cell r="Z84">
            <v>-2.2000000000000002</v>
          </cell>
          <cell r="AA84">
            <v>41</v>
          </cell>
        </row>
        <row r="85">
          <cell r="A85" t="str">
            <v>COC-75</v>
          </cell>
          <cell r="B85" t="str">
            <v>+ 01 đoạn C3: dài L=9,1m, loại PHC, cấp tải A, bê tông mác 800   sản xuất ngày ……/……./2014</v>
          </cell>
          <cell r="C85" t="str">
            <v>COC-75</v>
          </cell>
          <cell r="D85">
            <v>588585.68999999994</v>
          </cell>
          <cell r="E85">
            <v>2317508.5099999998</v>
          </cell>
          <cell r="H85">
            <v>588585.68999999994</v>
          </cell>
          <cell r="I85">
            <v>2317508.5099999998</v>
          </cell>
          <cell r="J85" t="str">
            <v>song hoang</v>
          </cell>
          <cell r="M85" t="str">
            <v>09h00</v>
          </cell>
          <cell r="N85" t="str">
            <v>09h40</v>
          </cell>
          <cell r="O85">
            <v>13</v>
          </cell>
          <cell r="P85">
            <v>7</v>
          </cell>
          <cell r="Q85">
            <v>2014</v>
          </cell>
          <cell r="R85" t="str">
            <v>09h00đếnngày 13 tháng 7 năm 2014</v>
          </cell>
          <cell r="S85" t="str">
            <v xml:space="preserve"> từ 09h00 đến 09h40 ngày 13 tháng 7 năm 2014</v>
          </cell>
          <cell r="T85">
            <v>15</v>
          </cell>
          <cell r="U85">
            <v>15</v>
          </cell>
          <cell r="V85">
            <v>11</v>
          </cell>
          <cell r="W85">
            <v>280</v>
          </cell>
          <cell r="X85">
            <v>-44.45</v>
          </cell>
          <cell r="Y85">
            <v>-43.16</v>
          </cell>
          <cell r="Z85">
            <v>-2.16</v>
          </cell>
          <cell r="AA85">
            <v>41</v>
          </cell>
        </row>
        <row r="86">
          <cell r="A86" t="str">
            <v>COC-76</v>
          </cell>
          <cell r="B86" t="str">
            <v>+ 01 đoạn C3: dài L=9,1m, loại PHC, cấp tải A, bê tông mác 800   sản xuất ngày ……/……./2014</v>
          </cell>
          <cell r="C86" t="str">
            <v>COC-76</v>
          </cell>
          <cell r="D86">
            <v>588585.98400000005</v>
          </cell>
          <cell r="E86">
            <v>2317510.0320000001</v>
          </cell>
          <cell r="H86">
            <v>588585.98400000005</v>
          </cell>
          <cell r="I86">
            <v>2317510.0320000001</v>
          </cell>
          <cell r="J86" t="str">
            <v>song hoang</v>
          </cell>
          <cell r="M86" t="str">
            <v>08h15</v>
          </cell>
          <cell r="N86" t="str">
            <v>08h50</v>
          </cell>
          <cell r="O86">
            <v>13</v>
          </cell>
          <cell r="P86">
            <v>7</v>
          </cell>
          <cell r="Q86">
            <v>2014</v>
          </cell>
          <cell r="R86" t="str">
            <v>08h15đếnngày 13 tháng 7 năm 2014</v>
          </cell>
          <cell r="S86" t="str">
            <v xml:space="preserve"> từ 08h15 đến 08h50 ngày 13 tháng 7 năm 2014</v>
          </cell>
          <cell r="T86">
            <v>15</v>
          </cell>
          <cell r="U86">
            <v>15</v>
          </cell>
          <cell r="V86">
            <v>11</v>
          </cell>
          <cell r="W86">
            <v>280</v>
          </cell>
          <cell r="X86">
            <v>-44.45</v>
          </cell>
          <cell r="Y86">
            <v>-42.61</v>
          </cell>
          <cell r="Z86">
            <v>-1.61</v>
          </cell>
          <cell r="AA86">
            <v>41</v>
          </cell>
        </row>
        <row r="87">
          <cell r="A87" t="str">
            <v>COC-77</v>
          </cell>
          <cell r="B87" t="str">
            <v>+ 01 đoạn C3: dài L=9,1m, loại PHC, cấp tải A, bê tông mác 800   sản xuất ngày ……/……./2014</v>
          </cell>
          <cell r="C87" t="str">
            <v>COC-77</v>
          </cell>
          <cell r="D87">
            <v>588586.26800000004</v>
          </cell>
          <cell r="E87">
            <v>2317511.5049999999</v>
          </cell>
          <cell r="H87">
            <v>588586.26800000004</v>
          </cell>
          <cell r="I87">
            <v>2317511.5049999999</v>
          </cell>
          <cell r="J87" t="str">
            <v>song hoang</v>
          </cell>
          <cell r="M87" t="str">
            <v>15h50</v>
          </cell>
          <cell r="N87" t="str">
            <v>16h25</v>
          </cell>
          <cell r="O87">
            <v>14</v>
          </cell>
          <cell r="P87">
            <v>7</v>
          </cell>
          <cell r="Q87">
            <v>2014</v>
          </cell>
          <cell r="R87" t="str">
            <v>15h50đếnngày 14 tháng 7 năm 2014</v>
          </cell>
          <cell r="S87" t="str">
            <v xml:space="preserve"> từ 15h50 đến 16h25 ngày 14 tháng 7 năm 2014</v>
          </cell>
          <cell r="T87">
            <v>15</v>
          </cell>
          <cell r="U87">
            <v>15</v>
          </cell>
          <cell r="V87">
            <v>11</v>
          </cell>
          <cell r="W87">
            <v>280</v>
          </cell>
          <cell r="X87">
            <v>-44.45</v>
          </cell>
          <cell r="Y87">
            <v>-43.45</v>
          </cell>
          <cell r="Z87">
            <v>-2.4500000000000002</v>
          </cell>
          <cell r="AA87">
            <v>41</v>
          </cell>
        </row>
        <row r="88">
          <cell r="A88" t="str">
            <v>COC-78</v>
          </cell>
          <cell r="B88" t="str">
            <v>+ 01 đoạn C3: dài L= 9,5m, loại PC, cấp tải A,  bê tông mác 600     sản xuất ngày ……/.…../2014</v>
          </cell>
          <cell r="C88" t="str">
            <v>COC-78</v>
          </cell>
          <cell r="D88">
            <v>588579.33499999996</v>
          </cell>
          <cell r="E88">
            <v>2317518.8530000001</v>
          </cell>
          <cell r="H88">
            <v>588579.33499999996</v>
          </cell>
          <cell r="I88">
            <v>2317518.8530000001</v>
          </cell>
          <cell r="J88" t="str">
            <v>song hoang</v>
          </cell>
          <cell r="M88" t="str">
            <v>16h25</v>
          </cell>
          <cell r="N88" t="str">
            <v>17h15</v>
          </cell>
          <cell r="O88">
            <v>14</v>
          </cell>
          <cell r="P88">
            <v>7</v>
          </cell>
          <cell r="Q88">
            <v>2014</v>
          </cell>
          <cell r="R88" t="str">
            <v>16h25đếnngày 14 tháng 7 năm 2014</v>
          </cell>
          <cell r="S88" t="str">
            <v xml:space="preserve"> từ 16h25 đến 17h15 ngày 14 tháng 7 năm 2014</v>
          </cell>
          <cell r="T88">
            <v>15</v>
          </cell>
          <cell r="U88">
            <v>15</v>
          </cell>
          <cell r="V88">
            <v>11</v>
          </cell>
          <cell r="W88">
            <v>280</v>
          </cell>
          <cell r="X88">
            <v>-44.45</v>
          </cell>
          <cell r="Y88">
            <v>-43.5</v>
          </cell>
          <cell r="Z88">
            <v>-2.5</v>
          </cell>
          <cell r="AA88">
            <v>41</v>
          </cell>
        </row>
        <row r="89">
          <cell r="A89" t="str">
            <v>COC-79</v>
          </cell>
          <cell r="B89" t="str">
            <v>+ 01 đoạn C3: dài L= 9,5m, loại PC, cấp tải A,  bê tông mác 600     sản xuất ngày ……/.…../2014</v>
          </cell>
          <cell r="C89" t="str">
            <v>COC-79</v>
          </cell>
          <cell r="D89">
            <v>588579.62</v>
          </cell>
          <cell r="E89">
            <v>2317520.3259999999</v>
          </cell>
          <cell r="H89">
            <v>588579.62</v>
          </cell>
          <cell r="I89">
            <v>2317520.3259999999</v>
          </cell>
          <cell r="J89" t="str">
            <v>song hoang</v>
          </cell>
          <cell r="M89" t="str">
            <v>10h15</v>
          </cell>
          <cell r="N89" t="str">
            <v>10h50</v>
          </cell>
          <cell r="O89">
            <v>15</v>
          </cell>
          <cell r="P89">
            <v>7</v>
          </cell>
          <cell r="Q89">
            <v>2014</v>
          </cell>
          <cell r="R89" t="str">
            <v>10h15đếnngày 15 tháng 7 năm 2014</v>
          </cell>
          <cell r="S89" t="str">
            <v xml:space="preserve"> từ 10h15 đến 10h50 ngày 15 tháng 7 năm 2014</v>
          </cell>
          <cell r="T89">
            <v>15</v>
          </cell>
          <cell r="U89">
            <v>15</v>
          </cell>
          <cell r="V89">
            <v>11</v>
          </cell>
          <cell r="W89">
            <v>280</v>
          </cell>
          <cell r="X89">
            <v>-44.45</v>
          </cell>
          <cell r="Y89">
            <v>-42.6</v>
          </cell>
          <cell r="Z89">
            <v>-1.6</v>
          </cell>
          <cell r="AA89">
            <v>41</v>
          </cell>
        </row>
        <row r="90">
          <cell r="A90" t="str">
            <v>COC-80</v>
          </cell>
          <cell r="B90" t="str">
            <v>+ 01 đoạn C3: dài L= 9,5m, loại PC, cấp tải A,  bê tông mác 600     sản xuất ngày ……/.…../2014</v>
          </cell>
          <cell r="C90" t="str">
            <v>COC-80</v>
          </cell>
          <cell r="D90">
            <v>588580.66599999997</v>
          </cell>
          <cell r="E90">
            <v>2317517.8319999999</v>
          </cell>
          <cell r="H90">
            <v>588580.66599999997</v>
          </cell>
          <cell r="I90">
            <v>2317517.8319999999</v>
          </cell>
          <cell r="J90" t="str">
            <v>song hoang</v>
          </cell>
          <cell r="M90" t="str">
            <v>10h55</v>
          </cell>
          <cell r="N90" t="str">
            <v>11h35</v>
          </cell>
          <cell r="O90">
            <v>15</v>
          </cell>
          <cell r="P90">
            <v>7</v>
          </cell>
          <cell r="Q90">
            <v>2014</v>
          </cell>
          <cell r="R90" t="str">
            <v>10h55đếnngày 15 tháng 7 năm 2014</v>
          </cell>
          <cell r="S90" t="str">
            <v xml:space="preserve"> từ 10h55 đến 11h35 ngày 15 tháng 7 năm 2014</v>
          </cell>
          <cell r="T90">
            <v>15</v>
          </cell>
          <cell r="U90">
            <v>15</v>
          </cell>
          <cell r="V90">
            <v>11</v>
          </cell>
          <cell r="W90">
            <v>280</v>
          </cell>
          <cell r="X90">
            <v>-44.45</v>
          </cell>
          <cell r="Y90">
            <v>-42.8</v>
          </cell>
          <cell r="Z90">
            <v>-1.8</v>
          </cell>
          <cell r="AA90">
            <v>41</v>
          </cell>
        </row>
        <row r="91">
          <cell r="A91" t="str">
            <v>COC-81</v>
          </cell>
          <cell r="B91" t="str">
            <v>+ 01 đoạn C3: dài L= 9,5m, loại PC, cấp tải A,  bê tông mác 600     sản xuất ngày ……/.…../2014</v>
          </cell>
          <cell r="C91" t="str">
            <v>COC-81</v>
          </cell>
          <cell r="D91">
            <v>588580.94999999995</v>
          </cell>
          <cell r="E91">
            <v>2317519.3050000002</v>
          </cell>
          <cell r="H91">
            <v>588580.94999999995</v>
          </cell>
          <cell r="I91">
            <v>2317519.3050000002</v>
          </cell>
          <cell r="J91" t="str">
            <v>song hoang</v>
          </cell>
          <cell r="M91" t="str">
            <v>13h30</v>
          </cell>
          <cell r="N91" t="str">
            <v>14h15</v>
          </cell>
          <cell r="O91">
            <v>15</v>
          </cell>
          <cell r="P91">
            <v>7</v>
          </cell>
          <cell r="Q91">
            <v>2014</v>
          </cell>
          <cell r="R91" t="str">
            <v>13h30đếnngày 15 tháng 7 năm 2014</v>
          </cell>
          <cell r="S91" t="str">
            <v xml:space="preserve"> từ 13h30 đến 14h15 ngày 15 tháng 7 năm 2014</v>
          </cell>
          <cell r="T91">
            <v>15</v>
          </cell>
          <cell r="U91">
            <v>15</v>
          </cell>
          <cell r="V91">
            <v>11</v>
          </cell>
          <cell r="W91">
            <v>280</v>
          </cell>
          <cell r="X91">
            <v>-44.45</v>
          </cell>
          <cell r="Y91">
            <v>-42.4</v>
          </cell>
          <cell r="Z91">
            <v>-1.4</v>
          </cell>
          <cell r="AA91">
            <v>41</v>
          </cell>
        </row>
        <row r="92">
          <cell r="A92" t="str">
            <v>COC-82</v>
          </cell>
          <cell r="B92" t="str">
            <v>+ 01 đoạn C3: dài L= 9,5m, loại PC, cấp tải A,  bê tông mác 600     sản xuất ngày ……/.…../2014</v>
          </cell>
          <cell r="C92" t="str">
            <v>COC-82</v>
          </cell>
          <cell r="D92">
            <v>588581.23499999999</v>
          </cell>
          <cell r="E92">
            <v>2317520.7779999999</v>
          </cell>
          <cell r="H92">
            <v>588581.23499999999</v>
          </cell>
          <cell r="I92">
            <v>2317520.7779999999</v>
          </cell>
          <cell r="J92" t="str">
            <v>song hoang</v>
          </cell>
          <cell r="M92" t="str">
            <v>14h20</v>
          </cell>
          <cell r="N92" t="str">
            <v>15h05</v>
          </cell>
          <cell r="O92">
            <v>15</v>
          </cell>
          <cell r="P92">
            <v>7</v>
          </cell>
          <cell r="Q92">
            <v>2014</v>
          </cell>
          <cell r="R92" t="str">
            <v>14h20đếnngày 15 tháng 7 năm 2014</v>
          </cell>
          <cell r="S92" t="str">
            <v xml:space="preserve"> từ 14h20 đến 15h05 ngày 15 tháng 7 năm 2014</v>
          </cell>
          <cell r="T92">
            <v>15</v>
          </cell>
          <cell r="U92">
            <v>15</v>
          </cell>
          <cell r="V92">
            <v>11</v>
          </cell>
          <cell r="W92">
            <v>280</v>
          </cell>
          <cell r="X92">
            <v>-44.45</v>
          </cell>
          <cell r="Y92">
            <v>-42.2</v>
          </cell>
          <cell r="Z92">
            <v>-1.2</v>
          </cell>
          <cell r="AA92">
            <v>41</v>
          </cell>
        </row>
        <row r="93">
          <cell r="A93" t="str">
            <v>COC-83</v>
          </cell>
          <cell r="B93" t="str">
            <v>+ 01 đoạn C3: dài L= 9,5m, loại PC, cấp tải A,  bê tông mác 600     sản xuất ngày ……/.…../2014</v>
          </cell>
          <cell r="C93" t="str">
            <v>COC-83</v>
          </cell>
          <cell r="D93">
            <v>588582.13899999997</v>
          </cell>
          <cell r="E93">
            <v>2317517.548</v>
          </cell>
          <cell r="H93">
            <v>588582.13899999997</v>
          </cell>
          <cell r="I93">
            <v>2317517.548</v>
          </cell>
          <cell r="J93" t="str">
            <v>song hoang</v>
          </cell>
          <cell r="M93" t="str">
            <v>15h10</v>
          </cell>
          <cell r="N93" t="str">
            <v>16h30</v>
          </cell>
          <cell r="O93">
            <v>15</v>
          </cell>
          <cell r="P93">
            <v>7</v>
          </cell>
          <cell r="Q93">
            <v>2014</v>
          </cell>
          <cell r="R93" t="str">
            <v>15h10đếnngày 15 tháng 7 năm 2014</v>
          </cell>
          <cell r="S93" t="str">
            <v xml:space="preserve"> từ 15h10 đến 16h30 ngày 15 tháng 7 năm 2014</v>
          </cell>
          <cell r="T93">
            <v>15</v>
          </cell>
          <cell r="U93">
            <v>15</v>
          </cell>
          <cell r="V93">
            <v>11</v>
          </cell>
          <cell r="W93">
            <v>280</v>
          </cell>
          <cell r="X93">
            <v>-44.45</v>
          </cell>
          <cell r="Y93">
            <v>-42.2</v>
          </cell>
          <cell r="Z93">
            <v>-1.2</v>
          </cell>
          <cell r="AA93">
            <v>41</v>
          </cell>
        </row>
        <row r="94">
          <cell r="A94" t="str">
            <v>COC-84</v>
          </cell>
          <cell r="B94" t="str">
            <v>+ 01 đoạn C3: dài L= 9,5m, loại PC, cấp tải A,  bê tông mác 600     sản xuất ngày ……/.…../2014</v>
          </cell>
          <cell r="C94" t="str">
            <v>COC-84</v>
          </cell>
          <cell r="D94">
            <v>588582.42299999995</v>
          </cell>
          <cell r="E94">
            <v>2317519.0210000002</v>
          </cell>
          <cell r="H94">
            <v>588582.42299999995</v>
          </cell>
          <cell r="I94">
            <v>2317519.0210000002</v>
          </cell>
          <cell r="J94" t="str">
            <v>song hoang</v>
          </cell>
          <cell r="M94" t="str">
            <v>15h15</v>
          </cell>
          <cell r="N94" t="str">
            <v>15h50</v>
          </cell>
          <cell r="O94">
            <v>12</v>
          </cell>
          <cell r="P94">
            <v>7</v>
          </cell>
          <cell r="Q94">
            <v>2014</v>
          </cell>
          <cell r="R94" t="str">
            <v>15h15đếnngày 12 tháng 7 năm 2014</v>
          </cell>
          <cell r="S94" t="str">
            <v xml:space="preserve"> từ 15h15 đến 15h50 ngày 12 tháng 7 năm 2014</v>
          </cell>
          <cell r="T94">
            <v>15</v>
          </cell>
          <cell r="U94">
            <v>15</v>
          </cell>
          <cell r="V94">
            <v>11</v>
          </cell>
          <cell r="W94">
            <v>280</v>
          </cell>
          <cell r="X94">
            <v>-44.45</v>
          </cell>
          <cell r="Y94">
            <v>-43.64</v>
          </cell>
          <cell r="Z94">
            <v>-2.64</v>
          </cell>
          <cell r="AA94">
            <v>41</v>
          </cell>
        </row>
        <row r="95">
          <cell r="A95" t="str">
            <v>COC-85</v>
          </cell>
          <cell r="B95" t="str">
            <v>+ 01 đoạn C3: dài L= 9,5m, loại PC, cấp tải A,  bê tông mác 600     sản xuất ngày ……/.…../2014</v>
          </cell>
          <cell r="C95" t="str">
            <v>COC-85</v>
          </cell>
          <cell r="D95">
            <v>588582.70700000005</v>
          </cell>
          <cell r="E95">
            <v>2317520.4939999999</v>
          </cell>
          <cell r="H95">
            <v>588582.70700000005</v>
          </cell>
          <cell r="I95">
            <v>2317520.4939999999</v>
          </cell>
          <cell r="J95" t="str">
            <v>song hoang</v>
          </cell>
          <cell r="M95" t="str">
            <v>14h20</v>
          </cell>
          <cell r="N95" t="str">
            <v>15h05</v>
          </cell>
          <cell r="O95">
            <v>12</v>
          </cell>
          <cell r="P95">
            <v>7</v>
          </cell>
          <cell r="Q95">
            <v>2014</v>
          </cell>
          <cell r="R95" t="str">
            <v>14h20đếnngày 12 tháng 7 năm 2014</v>
          </cell>
          <cell r="S95" t="str">
            <v xml:space="preserve"> từ 14h20 đến 15h05 ngày 12 tháng 7 năm 2014</v>
          </cell>
          <cell r="T95">
            <v>15</v>
          </cell>
          <cell r="U95">
            <v>15</v>
          </cell>
          <cell r="V95">
            <v>11</v>
          </cell>
          <cell r="W95">
            <v>280</v>
          </cell>
          <cell r="X95">
            <v>-44.45</v>
          </cell>
          <cell r="Y95">
            <v>-43.26</v>
          </cell>
          <cell r="Z95">
            <v>-2.2599999999999998</v>
          </cell>
          <cell r="AA95">
            <v>41</v>
          </cell>
        </row>
        <row r="96">
          <cell r="A96" t="str">
            <v>COC-86</v>
          </cell>
          <cell r="B96" t="str">
            <v>+ 01 đoạn C3: dài L= 9,5m, loại PC, cấp tải A,  bê tông mác 600     sản xuất ngày ……/.…../2014</v>
          </cell>
          <cell r="C96" t="str">
            <v>COC-86</v>
          </cell>
          <cell r="D96">
            <v>588583.75399999996</v>
          </cell>
          <cell r="E96">
            <v>2317518</v>
          </cell>
          <cell r="H96">
            <v>588583.75399999996</v>
          </cell>
          <cell r="I96">
            <v>2317518</v>
          </cell>
          <cell r="J96" t="str">
            <v>song hoang</v>
          </cell>
          <cell r="M96" t="str">
            <v>16h45</v>
          </cell>
          <cell r="N96" t="str">
            <v>17h40</v>
          </cell>
          <cell r="O96">
            <v>12</v>
          </cell>
          <cell r="P96">
            <v>7</v>
          </cell>
          <cell r="Q96">
            <v>2014</v>
          </cell>
          <cell r="R96" t="str">
            <v>16h45đếnngày 12 tháng 7 năm 2014</v>
          </cell>
          <cell r="S96" t="str">
            <v xml:space="preserve"> từ 16h45 đến 17h40 ngày 12 tháng 7 năm 2014</v>
          </cell>
          <cell r="T96">
            <v>15</v>
          </cell>
          <cell r="U96">
            <v>15</v>
          </cell>
          <cell r="V96">
            <v>11</v>
          </cell>
          <cell r="W96">
            <v>280</v>
          </cell>
          <cell r="X96">
            <v>-44.45</v>
          </cell>
          <cell r="Y96">
            <v>-43.47</v>
          </cell>
          <cell r="Z96">
            <v>-2.4700000000000002</v>
          </cell>
          <cell r="AA96">
            <v>41</v>
          </cell>
        </row>
        <row r="97">
          <cell r="A97" t="str">
            <v>COC-87</v>
          </cell>
          <cell r="B97" t="str">
            <v>+ 01 đoạn C3: dài L= 9,5m, loại PC, cấp tải A,  bê tông mác 600     sản xuất ngày ……/.…../2014</v>
          </cell>
          <cell r="C97" t="str">
            <v>COC-87</v>
          </cell>
          <cell r="D97">
            <v>588584.03799999994</v>
          </cell>
          <cell r="E97">
            <v>2317519.4730000002</v>
          </cell>
          <cell r="H97">
            <v>588584.03799999994</v>
          </cell>
          <cell r="I97">
            <v>2317519.4730000002</v>
          </cell>
          <cell r="J97" t="str">
            <v>song hoang</v>
          </cell>
          <cell r="M97" t="str">
            <v>07h30</v>
          </cell>
          <cell r="N97" t="str">
            <v>08h10</v>
          </cell>
          <cell r="O97">
            <v>13</v>
          </cell>
          <cell r="P97">
            <v>7</v>
          </cell>
          <cell r="Q97">
            <v>2014</v>
          </cell>
          <cell r="R97" t="str">
            <v>07h30đếnngày 13 tháng 7 năm 2014</v>
          </cell>
          <cell r="S97" t="str">
            <v xml:space="preserve"> từ 07h30 đến 08h10 ngày 13 tháng 7 năm 2014</v>
          </cell>
          <cell r="T97">
            <v>15</v>
          </cell>
          <cell r="U97">
            <v>15</v>
          </cell>
          <cell r="V97">
            <v>11</v>
          </cell>
          <cell r="W97">
            <v>280</v>
          </cell>
          <cell r="X97">
            <v>-44.45</v>
          </cell>
          <cell r="Y97">
            <v>-42.68</v>
          </cell>
          <cell r="Z97">
            <v>-1.68</v>
          </cell>
          <cell r="AA97">
            <v>41</v>
          </cell>
        </row>
        <row r="98">
          <cell r="A98" t="str">
            <v>COC-88</v>
          </cell>
          <cell r="B98" t="str">
            <v>+ 01 đoạn C3: dài L= 9,5m, loại PC, cấp tải A,  bê tông mác 600     sản xuất ngày ……/.…../2014</v>
          </cell>
          <cell r="C98" t="str">
            <v>COC-88</v>
          </cell>
          <cell r="D98">
            <v>588580.59600000002</v>
          </cell>
          <cell r="E98">
            <v>2317525.3829999999</v>
          </cell>
          <cell r="H98">
            <v>588580.59600000002</v>
          </cell>
          <cell r="I98">
            <v>2317525.3829999999</v>
          </cell>
          <cell r="J98" t="str">
            <v>song hoang</v>
          </cell>
          <cell r="M98" t="str">
            <v>09h10</v>
          </cell>
          <cell r="N98" t="str">
            <v>10h15</v>
          </cell>
          <cell r="O98">
            <v>14</v>
          </cell>
          <cell r="P98">
            <v>7</v>
          </cell>
          <cell r="Q98">
            <v>2014</v>
          </cell>
          <cell r="R98" t="str">
            <v>09h10đếnngày 14 tháng 7 năm 2014</v>
          </cell>
          <cell r="S98" t="str">
            <v xml:space="preserve"> từ 09h10 đến 10h15 ngày 14 tháng 7 năm 2014</v>
          </cell>
          <cell r="T98">
            <v>15</v>
          </cell>
          <cell r="U98">
            <v>15</v>
          </cell>
          <cell r="V98">
            <v>11</v>
          </cell>
          <cell r="W98">
            <v>280</v>
          </cell>
          <cell r="X98">
            <v>-44.45</v>
          </cell>
          <cell r="Y98">
            <v>-42.69</v>
          </cell>
          <cell r="Z98">
            <v>-1.69</v>
          </cell>
          <cell r="AA98">
            <v>41</v>
          </cell>
        </row>
        <row r="99">
          <cell r="A99" t="str">
            <v>COC-89</v>
          </cell>
          <cell r="B99" t="str">
            <v>+ 01 đoạn C3: dài L= 9,5m, loại PC, cấp tải A,  bê tông mác 600     sản xuất ngày ……/.…../2014</v>
          </cell>
          <cell r="C99" t="str">
            <v>COC-89</v>
          </cell>
          <cell r="D99">
            <v>588582.06900000002</v>
          </cell>
          <cell r="E99">
            <v>2317525.0980000002</v>
          </cell>
          <cell r="H99">
            <v>588582.06900000002</v>
          </cell>
          <cell r="I99">
            <v>2317525.0980000002</v>
          </cell>
          <cell r="J99" t="str">
            <v>song hoang</v>
          </cell>
          <cell r="M99" t="str">
            <v>14h30</v>
          </cell>
          <cell r="N99" t="str">
            <v>15h05</v>
          </cell>
          <cell r="O99">
            <v>14</v>
          </cell>
          <cell r="P99">
            <v>7</v>
          </cell>
          <cell r="Q99">
            <v>2014</v>
          </cell>
          <cell r="R99" t="str">
            <v>14h30đếnngày 14 tháng 7 năm 2014</v>
          </cell>
          <cell r="S99" t="str">
            <v xml:space="preserve"> từ 14h30 đến 15h05 ngày 14 tháng 7 năm 2014</v>
          </cell>
          <cell r="T99">
            <v>15</v>
          </cell>
          <cell r="U99">
            <v>15</v>
          </cell>
          <cell r="V99">
            <v>11</v>
          </cell>
          <cell r="W99">
            <v>280</v>
          </cell>
          <cell r="X99">
            <v>-44.45</v>
          </cell>
          <cell r="Y99">
            <v>-43.05</v>
          </cell>
          <cell r="Z99">
            <v>-2.0499999999999998</v>
          </cell>
          <cell r="AA99">
            <v>41</v>
          </cell>
        </row>
        <row r="100">
          <cell r="A100" t="str">
            <v>COC-90</v>
          </cell>
          <cell r="B100" t="str">
            <v>+ 01 đoạn C3: dài L= 9,5m, loại PC, cấp tải A,  bê tông mác 600     sản xuất ngày ……/.…../2014</v>
          </cell>
          <cell r="C100" t="str">
            <v>COC-90</v>
          </cell>
          <cell r="D100">
            <v>588583.54200000002</v>
          </cell>
          <cell r="E100">
            <v>2317524.8139999998</v>
          </cell>
          <cell r="H100">
            <v>588583.54200000002</v>
          </cell>
          <cell r="I100">
            <v>2317524.8139999998</v>
          </cell>
          <cell r="J100" t="str">
            <v>song hoang</v>
          </cell>
          <cell r="M100" t="str">
            <v>13h25</v>
          </cell>
          <cell r="N100" t="str">
            <v>14h20</v>
          </cell>
          <cell r="O100">
            <v>14</v>
          </cell>
          <cell r="P100">
            <v>7</v>
          </cell>
          <cell r="Q100">
            <v>2014</v>
          </cell>
          <cell r="R100" t="str">
            <v>13h25đếnngày 14 tháng 7 năm 2014</v>
          </cell>
          <cell r="S100" t="str">
            <v xml:space="preserve"> từ 13h25 đến 14h20 ngày 14 tháng 7 năm 2014</v>
          </cell>
          <cell r="T100">
            <v>15</v>
          </cell>
          <cell r="U100">
            <v>15</v>
          </cell>
          <cell r="V100">
            <v>11</v>
          </cell>
          <cell r="W100">
            <v>280</v>
          </cell>
          <cell r="X100">
            <v>-44.45</v>
          </cell>
          <cell r="Y100">
            <v>-42.8</v>
          </cell>
          <cell r="Z100">
            <v>-1.8</v>
          </cell>
          <cell r="AA100">
            <v>41</v>
          </cell>
        </row>
        <row r="101">
          <cell r="A101" t="str">
            <v>COC-91</v>
          </cell>
          <cell r="B101" t="str">
            <v>+ 01 đoạn C3: dài L= 9,5m, loại PC, cấp tải A,  bê tông mác 600     sản xuất ngày ……/.…../2014</v>
          </cell>
          <cell r="C101" t="str">
            <v>COC-91</v>
          </cell>
          <cell r="D101">
            <v>588585.01500000001</v>
          </cell>
          <cell r="E101">
            <v>2317524.5299999998</v>
          </cell>
          <cell r="H101">
            <v>588585.01500000001</v>
          </cell>
          <cell r="I101">
            <v>2317524.5299999998</v>
          </cell>
          <cell r="J101" t="str">
            <v>song hoang</v>
          </cell>
          <cell r="M101" t="str">
            <v>15h05</v>
          </cell>
          <cell r="N101" t="str">
            <v>15h45</v>
          </cell>
          <cell r="O101">
            <v>14</v>
          </cell>
          <cell r="P101">
            <v>7</v>
          </cell>
          <cell r="Q101">
            <v>2014</v>
          </cell>
          <cell r="R101" t="str">
            <v>15h05đếnngày 14 tháng 7 năm 2014</v>
          </cell>
          <cell r="S101" t="str">
            <v xml:space="preserve"> từ 15h05 đến 15h45 ngày 14 tháng 7 năm 2014</v>
          </cell>
          <cell r="T101">
            <v>15</v>
          </cell>
          <cell r="U101">
            <v>15</v>
          </cell>
          <cell r="V101">
            <v>11</v>
          </cell>
          <cell r="W101">
            <v>280</v>
          </cell>
          <cell r="X101">
            <v>-44.45</v>
          </cell>
          <cell r="Y101">
            <v>-42.2</v>
          </cell>
          <cell r="Z101">
            <v>-1.2</v>
          </cell>
          <cell r="AA101">
            <v>41</v>
          </cell>
        </row>
        <row r="102">
          <cell r="A102" t="str">
            <v>COC-92</v>
          </cell>
          <cell r="B102" t="str">
            <v>+ 01 đoạn C3: dài L= 9,5m, loại PC, cấp tải A,  bê tông mác 600     sản xuất ngày ……/.…../2014</v>
          </cell>
          <cell r="C102" t="str">
            <v>COC-92</v>
          </cell>
          <cell r="D102">
            <v>588581.61699999997</v>
          </cell>
          <cell r="E102">
            <v>2317526.713</v>
          </cell>
          <cell r="H102">
            <v>588581.61699999997</v>
          </cell>
          <cell r="I102">
            <v>2317526.713</v>
          </cell>
          <cell r="J102" t="str">
            <v>song hoang</v>
          </cell>
          <cell r="M102" t="str">
            <v>07h55</v>
          </cell>
          <cell r="N102" t="str">
            <v>08h30</v>
          </cell>
          <cell r="O102">
            <v>15</v>
          </cell>
          <cell r="P102">
            <v>7</v>
          </cell>
          <cell r="Q102">
            <v>2014</v>
          </cell>
          <cell r="R102" t="str">
            <v>07h55đếnngày 15 tháng 7 năm 2014</v>
          </cell>
          <cell r="S102" t="str">
            <v xml:space="preserve"> từ 07h55 đến 08h30 ngày 15 tháng 7 năm 2014</v>
          </cell>
          <cell r="T102">
            <v>15</v>
          </cell>
          <cell r="U102">
            <v>15</v>
          </cell>
          <cell r="V102">
            <v>11</v>
          </cell>
          <cell r="W102">
            <v>280</v>
          </cell>
          <cell r="X102">
            <v>-44.45</v>
          </cell>
          <cell r="Y102">
            <v>-42.24</v>
          </cell>
          <cell r="Z102">
            <v>-1.24</v>
          </cell>
          <cell r="AA102">
            <v>41</v>
          </cell>
        </row>
        <row r="103">
          <cell r="A103" t="str">
            <v>COC-93</v>
          </cell>
          <cell r="B103" t="str">
            <v>+ 01 đoạn C3: dài L= 9,5m, loại PC, cấp tải A,  bê tông mác 600     sản xuất ngày ……/.…../2014</v>
          </cell>
          <cell r="C103" t="str">
            <v>COC-93</v>
          </cell>
          <cell r="D103">
            <v>588583.09</v>
          </cell>
          <cell r="E103">
            <v>2317526.429</v>
          </cell>
          <cell r="H103">
            <v>588583.09</v>
          </cell>
          <cell r="I103">
            <v>2317526.429</v>
          </cell>
          <cell r="J103" t="str">
            <v>song hoang</v>
          </cell>
          <cell r="M103" t="str">
            <v>08h35</v>
          </cell>
          <cell r="N103" t="str">
            <v>09h10</v>
          </cell>
          <cell r="O103">
            <v>15</v>
          </cell>
          <cell r="P103">
            <v>7</v>
          </cell>
          <cell r="Q103">
            <v>2014</v>
          </cell>
          <cell r="R103" t="str">
            <v>08h35đếnngày 15 tháng 7 năm 2014</v>
          </cell>
          <cell r="S103" t="str">
            <v xml:space="preserve"> từ 08h35 đến 09h10 ngày 15 tháng 7 năm 2014</v>
          </cell>
          <cell r="T103">
            <v>15</v>
          </cell>
          <cell r="U103">
            <v>15</v>
          </cell>
          <cell r="V103">
            <v>11</v>
          </cell>
          <cell r="W103">
            <v>280</v>
          </cell>
          <cell r="X103">
            <v>-44.45</v>
          </cell>
          <cell r="Y103">
            <v>-42.45</v>
          </cell>
          <cell r="Z103">
            <v>-1.45</v>
          </cell>
          <cell r="AA103">
            <v>41</v>
          </cell>
        </row>
        <row r="104">
          <cell r="A104" t="str">
            <v>COC-94</v>
          </cell>
          <cell r="B104" t="str">
            <v>+ 01 đoạn C3: dài L= 9,5m, loại PC, cấp tải A,  bê tông mác 600     sản xuất ngày ……/.…../2014</v>
          </cell>
          <cell r="C104" t="str">
            <v>COC-94</v>
          </cell>
          <cell r="D104">
            <v>588584.56299999997</v>
          </cell>
          <cell r="E104">
            <v>2317526.145</v>
          </cell>
          <cell r="H104">
            <v>588584.56299999997</v>
          </cell>
          <cell r="I104">
            <v>2317526.145</v>
          </cell>
          <cell r="J104" t="str">
            <v>song hoang</v>
          </cell>
          <cell r="M104" t="str">
            <v>09h15</v>
          </cell>
          <cell r="N104" t="str">
            <v>09h50</v>
          </cell>
          <cell r="O104">
            <v>15</v>
          </cell>
          <cell r="P104">
            <v>7</v>
          </cell>
          <cell r="Q104">
            <v>2014</v>
          </cell>
          <cell r="R104" t="str">
            <v>09h15đếnngày 15 tháng 7 năm 2014</v>
          </cell>
          <cell r="S104" t="str">
            <v xml:space="preserve"> từ 09h15 đến 09h50 ngày 15 tháng 7 năm 2014</v>
          </cell>
          <cell r="T104">
            <v>15</v>
          </cell>
          <cell r="U104">
            <v>15</v>
          </cell>
          <cell r="V104">
            <v>11</v>
          </cell>
          <cell r="W104">
            <v>280</v>
          </cell>
          <cell r="X104">
            <v>-44.45</v>
          </cell>
          <cell r="Y104">
            <v>-42.18</v>
          </cell>
          <cell r="Z104">
            <v>-1.18</v>
          </cell>
          <cell r="AA104">
            <v>41</v>
          </cell>
        </row>
        <row r="105">
          <cell r="A105" t="str">
            <v>COC-95</v>
          </cell>
          <cell r="B105" t="str">
            <v>+ 01 đoạn C3: dài L= 9,5m, loại PC, cấp tải A,  bê tông mác 600     sản xuất ngày ……/.…../2014</v>
          </cell>
          <cell r="C105" t="str">
            <v>COC-95</v>
          </cell>
          <cell r="D105">
            <v>588581.16500000004</v>
          </cell>
          <cell r="E105">
            <v>2317528.3280000002</v>
          </cell>
          <cell r="H105">
            <v>588581.16500000004</v>
          </cell>
          <cell r="I105">
            <v>2317528.3280000002</v>
          </cell>
          <cell r="J105" t="str">
            <v>song hoang</v>
          </cell>
          <cell r="M105" t="str">
            <v>11h15</v>
          </cell>
          <cell r="N105" t="str">
            <v>12h00</v>
          </cell>
          <cell r="O105">
            <v>12</v>
          </cell>
          <cell r="P105">
            <v>7</v>
          </cell>
          <cell r="Q105">
            <v>2014</v>
          </cell>
          <cell r="R105" t="str">
            <v>11h15đếnngày 12 tháng 7 năm 2014</v>
          </cell>
          <cell r="S105" t="str">
            <v xml:space="preserve"> từ 11h15 đến 12h00 ngày 12 tháng 7 năm 2014</v>
          </cell>
          <cell r="T105">
            <v>15</v>
          </cell>
          <cell r="U105">
            <v>15</v>
          </cell>
          <cell r="V105">
            <v>11</v>
          </cell>
          <cell r="W105">
            <v>280</v>
          </cell>
          <cell r="X105">
            <v>-44.45</v>
          </cell>
          <cell r="Y105">
            <v>-42.85</v>
          </cell>
          <cell r="Z105">
            <v>-1.85</v>
          </cell>
          <cell r="AA105">
            <v>41</v>
          </cell>
        </row>
        <row r="106">
          <cell r="A106" t="str">
            <v>COC-96</v>
          </cell>
          <cell r="B106" t="str">
            <v>+ 01 đoạn C3: dài L= 9,5m, loại PC, cấp tải A,  bê tông mác 600     sản xuất ngày ……/.…../2014</v>
          </cell>
          <cell r="C106" t="str">
            <v>COC-96</v>
          </cell>
          <cell r="D106">
            <v>588582.63800000004</v>
          </cell>
          <cell r="E106">
            <v>2317528.0440000002</v>
          </cell>
          <cell r="H106">
            <v>588582.63800000004</v>
          </cell>
          <cell r="I106">
            <v>2317528.0440000002</v>
          </cell>
          <cell r="J106" t="str">
            <v>song hoang</v>
          </cell>
          <cell r="M106" t="str">
            <v>19h20</v>
          </cell>
          <cell r="N106" t="str">
            <v>20h20</v>
          </cell>
          <cell r="O106">
            <v>12</v>
          </cell>
          <cell r="P106">
            <v>7</v>
          </cell>
          <cell r="Q106">
            <v>2014</v>
          </cell>
          <cell r="R106" t="str">
            <v>19h20đếnngày 12 tháng 7 năm 2014</v>
          </cell>
          <cell r="S106" t="str">
            <v xml:space="preserve"> từ 19h20 đến 20h20 ngày 12 tháng 7 năm 2014</v>
          </cell>
          <cell r="T106">
            <v>15</v>
          </cell>
          <cell r="U106">
            <v>15</v>
          </cell>
          <cell r="V106">
            <v>11</v>
          </cell>
          <cell r="W106">
            <v>280</v>
          </cell>
          <cell r="X106">
            <v>-44.45</v>
          </cell>
          <cell r="Y106">
            <v>-43.83</v>
          </cell>
          <cell r="Z106">
            <v>-2.83</v>
          </cell>
          <cell r="AA106">
            <v>41</v>
          </cell>
        </row>
        <row r="107">
          <cell r="A107" t="str">
            <v>COC-97</v>
          </cell>
          <cell r="B107" t="str">
            <v>+ 01 đoạn C3: dài L= 9,5m, loại PC, cấp tải A,  bê tông mác 600     sản xuất ngày ……/.…../2014</v>
          </cell>
          <cell r="C107" t="str">
            <v>COC-97</v>
          </cell>
          <cell r="D107">
            <v>588584.11100000003</v>
          </cell>
          <cell r="E107">
            <v>2317527.7599999998</v>
          </cell>
          <cell r="H107">
            <v>588584.11100000003</v>
          </cell>
          <cell r="I107">
            <v>2317527.7599999998</v>
          </cell>
          <cell r="J107" t="str">
            <v>song hoang</v>
          </cell>
          <cell r="M107" t="str">
            <v>20h20</v>
          </cell>
          <cell r="N107" t="str">
            <v>21h05</v>
          </cell>
          <cell r="O107">
            <v>12</v>
          </cell>
          <cell r="P107">
            <v>7</v>
          </cell>
          <cell r="Q107">
            <v>2014</v>
          </cell>
          <cell r="R107" t="str">
            <v>20h20đếnngày 12 tháng 7 năm 2014</v>
          </cell>
          <cell r="S107" t="str">
            <v xml:space="preserve"> từ 20h20 đến 21h05 ngày 12 tháng 7 năm 2014</v>
          </cell>
          <cell r="T107">
            <v>15</v>
          </cell>
          <cell r="U107">
            <v>15</v>
          </cell>
          <cell r="V107">
            <v>11</v>
          </cell>
          <cell r="W107">
            <v>280</v>
          </cell>
          <cell r="X107">
            <v>-44.45</v>
          </cell>
          <cell r="Y107">
            <v>-42.85</v>
          </cell>
          <cell r="Z107">
            <v>-1.85</v>
          </cell>
          <cell r="AA107">
            <v>41</v>
          </cell>
        </row>
        <row r="108">
          <cell r="A108" t="str">
            <v>COC-97A</v>
          </cell>
          <cell r="B108" t="str">
            <v>+ 01 đoạn C3: dài L= 9,5m, loại PC, cấp tải A,  bê tông mác 600     sản xuất ngày ……/.…../2014</v>
          </cell>
          <cell r="C108" t="str">
            <v>COC-97A</v>
          </cell>
          <cell r="D108">
            <v>588585.58299999998</v>
          </cell>
          <cell r="E108">
            <v>2317527.4750000001</v>
          </cell>
          <cell r="H108">
            <v>588585.58299999998</v>
          </cell>
          <cell r="I108">
            <v>2317527.4750000001</v>
          </cell>
          <cell r="J108" t="str">
            <v>song hoang</v>
          </cell>
        </row>
        <row r="109">
          <cell r="A109" t="str">
            <v>COC-98</v>
          </cell>
          <cell r="B109" t="str">
            <v>+ 01 đoạn C3: dài L= 9,5m, loại PC, cấp tải A,  bê tông mác 600     sản xuất ngày ……/.…../2014</v>
          </cell>
          <cell r="C109" t="str">
            <v>COC-98</v>
          </cell>
          <cell r="D109">
            <v>588582.73600000003</v>
          </cell>
          <cell r="E109">
            <v>2317532.5070000002</v>
          </cell>
          <cell r="H109">
            <v>588582.73600000003</v>
          </cell>
          <cell r="I109">
            <v>2317532.5070000002</v>
          </cell>
          <cell r="J109" t="str">
            <v>song hoang</v>
          </cell>
          <cell r="M109" t="str">
            <v>19h15</v>
          </cell>
          <cell r="N109" t="str">
            <v>20h00</v>
          </cell>
          <cell r="O109">
            <v>13</v>
          </cell>
          <cell r="P109">
            <v>7</v>
          </cell>
          <cell r="Q109">
            <v>2014</v>
          </cell>
          <cell r="R109" t="str">
            <v>19h15đếnngày 13 tháng 7 năm 2014</v>
          </cell>
          <cell r="S109" t="str">
            <v xml:space="preserve"> từ 19h15 đến 20h00 ngày 13 tháng 7 năm 2014</v>
          </cell>
          <cell r="T109">
            <v>15</v>
          </cell>
          <cell r="U109">
            <v>15</v>
          </cell>
          <cell r="V109">
            <v>11</v>
          </cell>
          <cell r="W109">
            <v>280</v>
          </cell>
          <cell r="X109">
            <v>-44.45</v>
          </cell>
          <cell r="Y109">
            <v>-42.68</v>
          </cell>
          <cell r="Z109">
            <v>-1.68</v>
          </cell>
          <cell r="AA109">
            <v>41</v>
          </cell>
        </row>
        <row r="110">
          <cell r="A110" t="str">
            <v>COC-99</v>
          </cell>
          <cell r="B110" t="str">
            <v>+ 01 đoạn C3: dài L= 9,5m, loại PC, cấp tải A,  bê tông mác 600     sản xuất ngày ……/.…../2014</v>
          </cell>
          <cell r="C110" t="str">
            <v>COC-99</v>
          </cell>
          <cell r="D110">
            <v>588583.02</v>
          </cell>
          <cell r="E110">
            <v>2317533.9789999998</v>
          </cell>
          <cell r="H110">
            <v>588583.02</v>
          </cell>
          <cell r="I110">
            <v>2317533.9789999998</v>
          </cell>
          <cell r="J110" t="str">
            <v>song hoang</v>
          </cell>
          <cell r="M110" t="str">
            <v>07h00</v>
          </cell>
          <cell r="N110" t="str">
            <v>07h35</v>
          </cell>
          <cell r="O110">
            <v>14</v>
          </cell>
          <cell r="P110">
            <v>7</v>
          </cell>
          <cell r="Q110">
            <v>2014</v>
          </cell>
          <cell r="R110" t="str">
            <v>07h00đếnngày 14 tháng 7 năm 2014</v>
          </cell>
          <cell r="S110" t="str">
            <v xml:space="preserve"> từ 07h00 đến 07h35 ngày 14 tháng 7 năm 2014</v>
          </cell>
          <cell r="T110">
            <v>15</v>
          </cell>
          <cell r="U110">
            <v>15</v>
          </cell>
          <cell r="V110">
            <v>11</v>
          </cell>
          <cell r="W110">
            <v>280</v>
          </cell>
          <cell r="X110">
            <v>-44.45</v>
          </cell>
          <cell r="Y110">
            <v>-42.73</v>
          </cell>
          <cell r="Z110">
            <v>-1.73</v>
          </cell>
          <cell r="AA110">
            <v>41</v>
          </cell>
        </row>
        <row r="111">
          <cell r="A111" t="str">
            <v>COC-100</v>
          </cell>
          <cell r="B111" t="str">
            <v>+ 01 đoạn C3: dài L= 9,5m, loại PC, cấp tải A,  bê tông mác 600     sản xuất ngày ……/.…../2014</v>
          </cell>
          <cell r="C111" t="str">
            <v>COC-100</v>
          </cell>
          <cell r="D111">
            <v>588583.304</v>
          </cell>
          <cell r="E111">
            <v>2317535.452</v>
          </cell>
          <cell r="H111">
            <v>588583.304</v>
          </cell>
          <cell r="I111">
            <v>2317535.452</v>
          </cell>
          <cell r="J111" t="str">
            <v>song hoang</v>
          </cell>
          <cell r="M111" t="str">
            <v>07h40</v>
          </cell>
          <cell r="N111" t="str">
            <v>08h10</v>
          </cell>
          <cell r="O111">
            <v>14</v>
          </cell>
          <cell r="P111">
            <v>7</v>
          </cell>
          <cell r="Q111">
            <v>2014</v>
          </cell>
          <cell r="R111" t="str">
            <v>07h40đếnngày 14 tháng 7 năm 2014</v>
          </cell>
          <cell r="S111" t="str">
            <v xml:space="preserve"> từ 07h40 đến 08h10 ngày 14 tháng 7 năm 2014</v>
          </cell>
          <cell r="T111">
            <v>15</v>
          </cell>
          <cell r="U111">
            <v>15</v>
          </cell>
          <cell r="V111">
            <v>11</v>
          </cell>
          <cell r="W111">
            <v>280</v>
          </cell>
          <cell r="X111">
            <v>-44.45</v>
          </cell>
          <cell r="Y111">
            <v>-42.62</v>
          </cell>
          <cell r="Z111">
            <v>-1.62</v>
          </cell>
          <cell r="AA111">
            <v>41</v>
          </cell>
        </row>
        <row r="112">
          <cell r="A112" t="str">
            <v>COC-101</v>
          </cell>
          <cell r="B112" t="str">
            <v>+ 01 đoạn C3: dài L= 9,5m, loại PC, cấp tải A,  bê tông mác 600     sản xuất ngày ……/.…../2014</v>
          </cell>
          <cell r="C112" t="str">
            <v>COC-101</v>
          </cell>
          <cell r="D112">
            <v>588584.35100000002</v>
          </cell>
          <cell r="E112">
            <v>2317532.9589999998</v>
          </cell>
          <cell r="H112">
            <v>588584.35100000002</v>
          </cell>
          <cell r="I112">
            <v>2317532.9589999998</v>
          </cell>
          <cell r="J112" t="str">
            <v>song hoang</v>
          </cell>
          <cell r="M112" t="str">
            <v>08h15</v>
          </cell>
          <cell r="N112" t="str">
            <v>09h00</v>
          </cell>
          <cell r="O112">
            <v>14</v>
          </cell>
          <cell r="P112">
            <v>7</v>
          </cell>
          <cell r="Q112">
            <v>2014</v>
          </cell>
          <cell r="R112" t="str">
            <v>08h15đếnngày 14 tháng 7 năm 2014</v>
          </cell>
          <cell r="S112" t="str">
            <v xml:space="preserve"> từ 08h15 đến 09h00 ngày 14 tháng 7 năm 2014</v>
          </cell>
          <cell r="T112">
            <v>15</v>
          </cell>
          <cell r="U112">
            <v>15</v>
          </cell>
          <cell r="V112">
            <v>11</v>
          </cell>
          <cell r="W112">
            <v>280</v>
          </cell>
          <cell r="X112">
            <v>-44.45</v>
          </cell>
          <cell r="Y112">
            <v>-42.87</v>
          </cell>
          <cell r="Z112">
            <v>-1.87</v>
          </cell>
          <cell r="AA112">
            <v>41</v>
          </cell>
        </row>
        <row r="113">
          <cell r="A113" t="str">
            <v>COC-102</v>
          </cell>
          <cell r="B113" t="str">
            <v>+ 01 đoạn C3: dài L= 9,5m, loại PC, cấp tải A,  bê tông mác 600     sản xuất ngày ……/.…../2014</v>
          </cell>
          <cell r="C113" t="str">
            <v>COC-102</v>
          </cell>
          <cell r="D113">
            <v>588584.63500000001</v>
          </cell>
          <cell r="E113">
            <v>2317534.4309999999</v>
          </cell>
          <cell r="H113">
            <v>588584.63500000001</v>
          </cell>
          <cell r="I113">
            <v>2317534.4309999999</v>
          </cell>
          <cell r="J113" t="str">
            <v>song hoang</v>
          </cell>
          <cell r="M113" t="str">
            <v>06h30</v>
          </cell>
          <cell r="N113" t="str">
            <v>07h10</v>
          </cell>
          <cell r="O113">
            <v>15</v>
          </cell>
          <cell r="P113">
            <v>7</v>
          </cell>
          <cell r="Q113">
            <v>2014</v>
          </cell>
          <cell r="R113" t="str">
            <v>06h30đếnngày 15 tháng 7 năm 2014</v>
          </cell>
          <cell r="S113" t="str">
            <v xml:space="preserve"> từ 06h30 đến 07h10 ngày 15 tháng 7 năm 2014</v>
          </cell>
          <cell r="T113">
            <v>15</v>
          </cell>
          <cell r="U113">
            <v>15</v>
          </cell>
          <cell r="V113">
            <v>11</v>
          </cell>
          <cell r="W113">
            <v>280</v>
          </cell>
          <cell r="X113">
            <v>-44.45</v>
          </cell>
          <cell r="Y113">
            <v>-42.03</v>
          </cell>
          <cell r="Z113">
            <v>-1.03</v>
          </cell>
          <cell r="AA113">
            <v>41</v>
          </cell>
        </row>
        <row r="114">
          <cell r="A114" t="str">
            <v>COC-103</v>
          </cell>
          <cell r="B114" t="str">
            <v>+ 01 đoạn C3: dài L= 9,5m, loại PC, cấp tải A,  bê tông mác 600     sản xuất ngày ……/.…../2014</v>
          </cell>
          <cell r="C114" t="str">
            <v>COC-103</v>
          </cell>
          <cell r="D114">
            <v>588585.68099999998</v>
          </cell>
          <cell r="E114">
            <v>2317531.9380000001</v>
          </cell>
          <cell r="H114">
            <v>588585.68099999998</v>
          </cell>
          <cell r="I114">
            <v>2317531.9380000001</v>
          </cell>
          <cell r="J114" t="str">
            <v>song hoang</v>
          </cell>
          <cell r="M114" t="str">
            <v>07h15</v>
          </cell>
          <cell r="N114" t="str">
            <v>07h50</v>
          </cell>
          <cell r="O114">
            <v>15</v>
          </cell>
          <cell r="P114">
            <v>7</v>
          </cell>
          <cell r="Q114">
            <v>2014</v>
          </cell>
          <cell r="R114" t="str">
            <v>07h15đếnngày 15 tháng 7 năm 2014</v>
          </cell>
          <cell r="S114" t="str">
            <v xml:space="preserve"> từ 07h15 đến 07h50 ngày 15 tháng 7 năm 2014</v>
          </cell>
          <cell r="T114">
            <v>15</v>
          </cell>
          <cell r="U114">
            <v>15</v>
          </cell>
          <cell r="V114">
            <v>11</v>
          </cell>
          <cell r="W114">
            <v>280</v>
          </cell>
          <cell r="X114">
            <v>-44.45</v>
          </cell>
          <cell r="Y114">
            <v>-42.24</v>
          </cell>
          <cell r="Z114">
            <v>-1.24</v>
          </cell>
          <cell r="AA114">
            <v>41</v>
          </cell>
        </row>
        <row r="115">
          <cell r="A115" t="str">
            <v>COC-104</v>
          </cell>
          <cell r="B115" t="str">
            <v>+ 01 đoạn C3: dài L= 9,5m, loại PC, cấp tải A,  bê tông mác 600     sản xuất ngày ……/.…../2014</v>
          </cell>
          <cell r="C115" t="str">
            <v>COC-104</v>
          </cell>
          <cell r="D115">
            <v>588585.96600000001</v>
          </cell>
          <cell r="E115">
            <v>2317533.4109999998</v>
          </cell>
          <cell r="H115">
            <v>588585.96600000001</v>
          </cell>
          <cell r="I115">
            <v>2317533.4109999998</v>
          </cell>
          <cell r="J115" t="str">
            <v>song hoang</v>
          </cell>
          <cell r="M115" t="str">
            <v>17h15</v>
          </cell>
          <cell r="N115" t="str">
            <v>18h10</v>
          </cell>
          <cell r="O115">
            <v>11</v>
          </cell>
          <cell r="P115">
            <v>7</v>
          </cell>
          <cell r="Q115">
            <v>2014</v>
          </cell>
          <cell r="R115" t="str">
            <v>17h15đếnngày 11 tháng 7 năm 2014</v>
          </cell>
          <cell r="S115" t="str">
            <v xml:space="preserve"> từ 17h15 đến 18h10 ngày 11 tháng 7 năm 2014</v>
          </cell>
          <cell r="T115">
            <v>15</v>
          </cell>
          <cell r="U115">
            <v>15</v>
          </cell>
          <cell r="V115">
            <v>11</v>
          </cell>
          <cell r="W115">
            <v>280</v>
          </cell>
          <cell r="X115">
            <v>-44.45</v>
          </cell>
          <cell r="Y115">
            <v>-43.72</v>
          </cell>
          <cell r="Z115">
            <v>-2.72</v>
          </cell>
          <cell r="AA115">
            <v>41</v>
          </cell>
        </row>
        <row r="116">
          <cell r="A116" t="str">
            <v>COC-105</v>
          </cell>
          <cell r="B116" t="str">
            <v>+ 01 đoạn C3: dài L= 9,5m, loại PC, cấp tải A,  bê tông mác 600     sản xuất ngày ……/.…../2014</v>
          </cell>
          <cell r="C116" t="str">
            <v>COC-105</v>
          </cell>
          <cell r="D116">
            <v>588586.25</v>
          </cell>
          <cell r="E116">
            <v>2317534.8829999999</v>
          </cell>
          <cell r="H116">
            <v>588586.25</v>
          </cell>
          <cell r="I116">
            <v>2317534.8829999999</v>
          </cell>
          <cell r="J116" t="str">
            <v>song hoang</v>
          </cell>
          <cell r="M116" t="str">
            <v>15h30</v>
          </cell>
          <cell r="N116" t="str">
            <v>16h20</v>
          </cell>
          <cell r="O116">
            <v>11</v>
          </cell>
          <cell r="P116">
            <v>7</v>
          </cell>
          <cell r="Q116">
            <v>2014</v>
          </cell>
          <cell r="R116" t="str">
            <v>15h30đếnngày 11 tháng 7 năm 2014</v>
          </cell>
          <cell r="S116" t="str">
            <v xml:space="preserve"> từ 15h30 đến 16h20 ngày 11 tháng 7 năm 2014</v>
          </cell>
          <cell r="T116">
            <v>15</v>
          </cell>
          <cell r="U116">
            <v>15</v>
          </cell>
          <cell r="V116">
            <v>11</v>
          </cell>
          <cell r="W116">
            <v>280</v>
          </cell>
          <cell r="X116">
            <v>-44.45</v>
          </cell>
          <cell r="Y116">
            <v>-42.72</v>
          </cell>
          <cell r="Z116">
            <v>-1.72</v>
          </cell>
          <cell r="AA116">
            <v>41</v>
          </cell>
        </row>
        <row r="117">
          <cell r="A117" t="str">
            <v>COC-106</v>
          </cell>
          <cell r="B117" t="str">
            <v>+ 01 đoạn C3: dài L=9,1m, loại PHC, cấp tải A, bê tông mác 800   sản xuất ngày ……/……./2014</v>
          </cell>
          <cell r="C117" t="str">
            <v>COC-106</v>
          </cell>
          <cell r="D117">
            <v>588584.12</v>
          </cell>
          <cell r="E117">
            <v>2317539.6740000001</v>
          </cell>
          <cell r="H117">
            <v>588584.12</v>
          </cell>
          <cell r="I117">
            <v>2317539.6740000001</v>
          </cell>
          <cell r="J117" t="str">
            <v>song hoang</v>
          </cell>
          <cell r="M117" t="str">
            <v>18h20</v>
          </cell>
          <cell r="N117" t="str">
            <v>19h15</v>
          </cell>
          <cell r="O117">
            <v>11</v>
          </cell>
          <cell r="P117">
            <v>7</v>
          </cell>
          <cell r="Q117">
            <v>2014</v>
          </cell>
          <cell r="R117" t="str">
            <v>18h20đếnngày 11 tháng 7 năm 2014</v>
          </cell>
          <cell r="S117" t="str">
            <v xml:space="preserve"> từ 18h20 đến 19h15 ngày 11 tháng 7 năm 2014</v>
          </cell>
          <cell r="T117">
            <v>15</v>
          </cell>
          <cell r="U117">
            <v>15</v>
          </cell>
          <cell r="V117">
            <v>11</v>
          </cell>
          <cell r="W117">
            <v>280</v>
          </cell>
          <cell r="X117">
            <v>-44.45</v>
          </cell>
          <cell r="Y117">
            <v>-43.37</v>
          </cell>
          <cell r="Z117">
            <v>-2.37</v>
          </cell>
          <cell r="AA117">
            <v>41</v>
          </cell>
        </row>
        <row r="118">
          <cell r="A118" t="str">
            <v>COC-107</v>
          </cell>
          <cell r="B118" t="str">
            <v>+ 01 đoạn C3: dài L=9,1m, loại PHC, cấp tải A, bê tông mác 800   sản xuất ngày ……/……./2014</v>
          </cell>
          <cell r="C118" t="str">
            <v>COC-107</v>
          </cell>
          <cell r="D118">
            <v>588584.40399999998</v>
          </cell>
          <cell r="E118">
            <v>2317541.1469999999</v>
          </cell>
          <cell r="H118">
            <v>588584.40399999998</v>
          </cell>
          <cell r="I118">
            <v>2317541.1469999999</v>
          </cell>
          <cell r="J118" t="str">
            <v>song hoang</v>
          </cell>
          <cell r="M118" t="str">
            <v>07h40</v>
          </cell>
          <cell r="N118" t="str">
            <v>08h20</v>
          </cell>
          <cell r="O118">
            <v>12</v>
          </cell>
          <cell r="P118">
            <v>7</v>
          </cell>
          <cell r="Q118">
            <v>2014</v>
          </cell>
          <cell r="R118" t="str">
            <v>07h40đếnngày 12 tháng 7 năm 2014</v>
          </cell>
          <cell r="S118" t="str">
            <v xml:space="preserve"> từ 07h40 đến 08h20 ngày 12 tháng 7 năm 2014</v>
          </cell>
          <cell r="T118">
            <v>15</v>
          </cell>
          <cell r="U118">
            <v>15</v>
          </cell>
          <cell r="V118">
            <v>11</v>
          </cell>
          <cell r="W118">
            <v>280</v>
          </cell>
          <cell r="X118">
            <v>-44.45</v>
          </cell>
          <cell r="Y118">
            <v>-41.85</v>
          </cell>
          <cell r="Z118">
            <v>-0.85</v>
          </cell>
          <cell r="AA118">
            <v>41</v>
          </cell>
        </row>
        <row r="119">
          <cell r="A119" t="str">
            <v>COC-108</v>
          </cell>
          <cell r="B119" t="str">
            <v>+ 01 đoạn C3: dài L=9,1m, loại PHC, cấp tải A, bê tông mác 800   sản xuất ngày ……/……./2014</v>
          </cell>
          <cell r="C119" t="str">
            <v>COC-108</v>
          </cell>
          <cell r="D119">
            <v>588584.68799999997</v>
          </cell>
          <cell r="E119">
            <v>2317542.62</v>
          </cell>
          <cell r="H119">
            <v>588584.68799999997</v>
          </cell>
          <cell r="I119">
            <v>2317542.62</v>
          </cell>
          <cell r="J119" t="str">
            <v>song hoang</v>
          </cell>
          <cell r="M119" t="str">
            <v>08h30</v>
          </cell>
          <cell r="N119" t="str">
            <v>09h10</v>
          </cell>
          <cell r="O119">
            <v>12</v>
          </cell>
          <cell r="P119">
            <v>7</v>
          </cell>
          <cell r="Q119">
            <v>2014</v>
          </cell>
          <cell r="R119" t="str">
            <v>08h30đếnngày 12 tháng 7 năm 2014</v>
          </cell>
          <cell r="S119" t="str">
            <v xml:space="preserve"> từ 08h30 đến 09h10 ngày 12 tháng 7 năm 2014</v>
          </cell>
          <cell r="T119">
            <v>15</v>
          </cell>
          <cell r="U119">
            <v>15</v>
          </cell>
          <cell r="V119">
            <v>11</v>
          </cell>
          <cell r="W119">
            <v>280</v>
          </cell>
          <cell r="X119">
            <v>-44.45</v>
          </cell>
          <cell r="Y119">
            <v>-42.5</v>
          </cell>
          <cell r="Z119">
            <v>-1.5</v>
          </cell>
          <cell r="AA119">
            <v>41</v>
          </cell>
        </row>
        <row r="120">
          <cell r="A120" t="str">
            <v>COC-109</v>
          </cell>
          <cell r="B120" t="str">
            <v>+ 01 đoạn C3: dài L=9,1m, loại PHC, cấp tải A, bê tông mác 800   sản xuất ngày ……/……./2014</v>
          </cell>
          <cell r="C120" t="str">
            <v>COC-109</v>
          </cell>
          <cell r="D120">
            <v>588585.59199999995</v>
          </cell>
          <cell r="E120">
            <v>2317539.39</v>
          </cell>
          <cell r="H120">
            <v>588585.59199999995</v>
          </cell>
          <cell r="I120">
            <v>2317539.39</v>
          </cell>
          <cell r="J120" t="str">
            <v>song hoang</v>
          </cell>
          <cell r="M120" t="str">
            <v>09h20</v>
          </cell>
          <cell r="N120" t="str">
            <v>10h00</v>
          </cell>
          <cell r="O120">
            <v>12</v>
          </cell>
          <cell r="P120">
            <v>7</v>
          </cell>
          <cell r="Q120">
            <v>2014</v>
          </cell>
          <cell r="R120" t="str">
            <v>09h20đếnngày 12 tháng 7 năm 2014</v>
          </cell>
          <cell r="S120" t="str">
            <v xml:space="preserve"> từ 09h20 đến 10h00 ngày 12 tháng 7 năm 2014</v>
          </cell>
          <cell r="T120">
            <v>15</v>
          </cell>
          <cell r="U120">
            <v>15</v>
          </cell>
          <cell r="V120">
            <v>11</v>
          </cell>
          <cell r="W120">
            <v>280</v>
          </cell>
          <cell r="X120">
            <v>-44.45</v>
          </cell>
          <cell r="Y120">
            <v>-42.6</v>
          </cell>
          <cell r="Z120">
            <v>-1.6</v>
          </cell>
          <cell r="AA120">
            <v>41</v>
          </cell>
        </row>
        <row r="121">
          <cell r="A121" t="str">
            <v>COC-110</v>
          </cell>
          <cell r="B121" t="str">
            <v>+ 01 đoạn C3: dài L=9,1m, loại PHC, cấp tải A, bê tông mác 800   sản xuất ngày ……/……./2014</v>
          </cell>
          <cell r="C121" t="str">
            <v>COC-110</v>
          </cell>
          <cell r="D121">
            <v>588585.87699999998</v>
          </cell>
          <cell r="E121">
            <v>2317540.8629999999</v>
          </cell>
          <cell r="H121">
            <v>588585.87699999998</v>
          </cell>
          <cell r="I121">
            <v>2317540.8629999999</v>
          </cell>
          <cell r="J121" t="str">
            <v>song hoang</v>
          </cell>
          <cell r="M121" t="str">
            <v>10h10</v>
          </cell>
          <cell r="N121" t="str">
            <v>11h05</v>
          </cell>
          <cell r="O121">
            <v>12</v>
          </cell>
          <cell r="P121">
            <v>7</v>
          </cell>
          <cell r="Q121">
            <v>2014</v>
          </cell>
          <cell r="R121" t="str">
            <v>10h10đếnngày 12 tháng 7 năm 2014</v>
          </cell>
          <cell r="S121" t="str">
            <v xml:space="preserve"> từ 10h10 đến 11h05 ngày 12 tháng 7 năm 2014</v>
          </cell>
          <cell r="T121">
            <v>15</v>
          </cell>
          <cell r="U121">
            <v>15</v>
          </cell>
          <cell r="V121">
            <v>11</v>
          </cell>
          <cell r="W121">
            <v>280</v>
          </cell>
          <cell r="X121">
            <v>-44.45</v>
          </cell>
          <cell r="Y121">
            <v>-42.6</v>
          </cell>
          <cell r="Z121">
            <v>-1.6</v>
          </cell>
          <cell r="AA121">
            <v>41</v>
          </cell>
        </row>
        <row r="122">
          <cell r="A122" t="str">
            <v>COC-111</v>
          </cell>
          <cell r="B122" t="str">
            <v>+ 01 đoạn C3: dài L=9,1m, loại PHC, cấp tải A, bê tông mác 800   sản xuất ngày ……/……./2014</v>
          </cell>
          <cell r="C122" t="str">
            <v>COC-111</v>
          </cell>
          <cell r="D122">
            <v>588586.16099999996</v>
          </cell>
          <cell r="E122">
            <v>2317542.3360000001</v>
          </cell>
          <cell r="H122">
            <v>588586.16099999996</v>
          </cell>
          <cell r="I122">
            <v>2317542.3360000001</v>
          </cell>
          <cell r="J122" t="str">
            <v>song hoang</v>
          </cell>
          <cell r="M122" t="str">
            <v>19h15</v>
          </cell>
          <cell r="N122" t="str">
            <v>19h50</v>
          </cell>
          <cell r="O122">
            <v>11</v>
          </cell>
          <cell r="P122">
            <v>7</v>
          </cell>
          <cell r="Q122">
            <v>2014</v>
          </cell>
          <cell r="R122" t="str">
            <v>19h15đếnngày 11 tháng 7 năm 2014</v>
          </cell>
          <cell r="S122" t="str">
            <v xml:space="preserve"> từ 19h15 đến 19h50 ngày 11 tháng 7 năm 2014</v>
          </cell>
          <cell r="T122">
            <v>15</v>
          </cell>
          <cell r="U122">
            <v>15</v>
          </cell>
          <cell r="V122">
            <v>11</v>
          </cell>
          <cell r="W122">
            <v>280</v>
          </cell>
          <cell r="X122">
            <v>-44.45</v>
          </cell>
          <cell r="Y122">
            <v>-42.22</v>
          </cell>
          <cell r="Z122">
            <v>-1.22</v>
          </cell>
          <cell r="AA122">
            <v>41</v>
          </cell>
        </row>
        <row r="123">
          <cell r="A123" t="str">
            <v>COC-112</v>
          </cell>
          <cell r="B123" t="str">
            <v>+ 01 đoạn C3: dài L=9,1m, loại PHC, cấp tải A, bê tông mác 800   sản xuất ngày ……/……./2014</v>
          </cell>
          <cell r="C123" t="str">
            <v>COC-112</v>
          </cell>
          <cell r="D123">
            <v>588587.06499999994</v>
          </cell>
          <cell r="E123">
            <v>2317539.1060000001</v>
          </cell>
          <cell r="H123">
            <v>588587.06499999994</v>
          </cell>
          <cell r="I123">
            <v>2317539.1060000001</v>
          </cell>
          <cell r="J123" t="str">
            <v>song hoang</v>
          </cell>
          <cell r="M123" t="str">
            <v>10h30</v>
          </cell>
          <cell r="N123" t="str">
            <v>11h25</v>
          </cell>
          <cell r="O123">
            <v>11</v>
          </cell>
          <cell r="P123">
            <v>7</v>
          </cell>
          <cell r="Q123">
            <v>2014</v>
          </cell>
          <cell r="R123" t="str">
            <v>10h30đếnngày 11 tháng 7 năm 2014</v>
          </cell>
          <cell r="S123" t="str">
            <v xml:space="preserve"> từ 10h30 đến 11h25 ngày 11 tháng 7 năm 2014</v>
          </cell>
          <cell r="T123">
            <v>15</v>
          </cell>
          <cell r="U123">
            <v>15</v>
          </cell>
          <cell r="V123">
            <v>11</v>
          </cell>
          <cell r="W123">
            <v>280</v>
          </cell>
          <cell r="X123">
            <v>-44.45</v>
          </cell>
          <cell r="Y123">
            <v>-42.87</v>
          </cell>
          <cell r="Z123">
            <v>-1.87</v>
          </cell>
          <cell r="AA123">
            <v>41</v>
          </cell>
        </row>
        <row r="124">
          <cell r="A124" t="str">
            <v>COC-113</v>
          </cell>
          <cell r="B124" t="str">
            <v>+ 01 đoạn C3: dài L=9,1m, loại PHC, cấp tải A, bê tông mác 800   sản xuất ngày ……/……./2014</v>
          </cell>
          <cell r="C124" t="str">
            <v>COC-113</v>
          </cell>
          <cell r="D124">
            <v>588587.35</v>
          </cell>
          <cell r="E124">
            <v>2317540.5780000002</v>
          </cell>
          <cell r="H124">
            <v>588587.35</v>
          </cell>
          <cell r="I124">
            <v>2317540.5780000002</v>
          </cell>
          <cell r="J124" t="str">
            <v>song hoang</v>
          </cell>
          <cell r="M124" t="str">
            <v>09h30</v>
          </cell>
          <cell r="N124" t="str">
            <v>10h15</v>
          </cell>
          <cell r="O124">
            <v>11</v>
          </cell>
          <cell r="P124">
            <v>7</v>
          </cell>
          <cell r="Q124">
            <v>2014</v>
          </cell>
          <cell r="R124" t="str">
            <v>09h30đếnngày 11 tháng 7 năm 2014</v>
          </cell>
          <cell r="S124" t="str">
            <v xml:space="preserve"> từ 09h30 đến 10h15 ngày 11 tháng 7 năm 2014</v>
          </cell>
          <cell r="T124">
            <v>15</v>
          </cell>
          <cell r="U124">
            <v>15</v>
          </cell>
          <cell r="V124">
            <v>11</v>
          </cell>
          <cell r="W124">
            <v>280</v>
          </cell>
          <cell r="X124">
            <v>-44.45</v>
          </cell>
          <cell r="Y124">
            <v>-42.28</v>
          </cell>
          <cell r="Z124">
            <v>-1.28</v>
          </cell>
          <cell r="AA124">
            <v>41</v>
          </cell>
        </row>
        <row r="125">
          <cell r="A125" t="str">
            <v>COC-114</v>
          </cell>
          <cell r="B125" t="str">
            <v>+ 01 đoạn C3: dài L=9,1m, loại PHC, cấp tải A, bê tông mác 800   sản xuất ngày ……/……./2014</v>
          </cell>
          <cell r="C125" t="str">
            <v>COC-114</v>
          </cell>
          <cell r="D125">
            <v>588587.63399999996</v>
          </cell>
          <cell r="E125">
            <v>2317542.051</v>
          </cell>
          <cell r="H125">
            <v>588587.63399999996</v>
          </cell>
          <cell r="I125">
            <v>2317542.051</v>
          </cell>
          <cell r="J125" t="str">
            <v>song hoang</v>
          </cell>
          <cell r="M125" t="str">
            <v>07h35</v>
          </cell>
          <cell r="N125" t="str">
            <v>08h45</v>
          </cell>
          <cell r="O125">
            <v>11</v>
          </cell>
          <cell r="P125">
            <v>7</v>
          </cell>
          <cell r="Q125">
            <v>2014</v>
          </cell>
          <cell r="R125" t="str">
            <v>07h35đếnngày 11 tháng 7 năm 2014</v>
          </cell>
          <cell r="S125" t="str">
            <v xml:space="preserve"> từ 07h35 đến 08h45 ngày 11 tháng 7 năm 2014</v>
          </cell>
          <cell r="T125">
            <v>15</v>
          </cell>
          <cell r="U125">
            <v>15</v>
          </cell>
          <cell r="V125">
            <v>11</v>
          </cell>
          <cell r="W125">
            <v>280</v>
          </cell>
          <cell r="X125">
            <v>-44.45</v>
          </cell>
          <cell r="Y125">
            <v>-42.57</v>
          </cell>
          <cell r="Z125">
            <v>-1.57</v>
          </cell>
          <cell r="AA125">
            <v>41</v>
          </cell>
        </row>
        <row r="126">
          <cell r="A126" t="str">
            <v>COC-115</v>
          </cell>
          <cell r="B126" t="str">
            <v>+ 01 đoạn C3: dài L= 9,5m, loại PC, cấp tải A,  bê tông mác 600     sản xuất ngày ……/.…../2014</v>
          </cell>
          <cell r="C126" t="str">
            <v>COC-115</v>
          </cell>
          <cell r="D126">
            <v>588584.72699999996</v>
          </cell>
          <cell r="E126">
            <v>2317544.14</v>
          </cell>
          <cell r="H126">
            <v>588584.72699999996</v>
          </cell>
          <cell r="I126">
            <v>2317544.14</v>
          </cell>
          <cell r="J126" t="str">
            <v>song hoang</v>
          </cell>
          <cell r="M126" t="str">
            <v>06h30</v>
          </cell>
          <cell r="N126" t="str">
            <v>07h25</v>
          </cell>
          <cell r="O126">
            <v>11</v>
          </cell>
          <cell r="P126">
            <v>7</v>
          </cell>
          <cell r="Q126">
            <v>2014</v>
          </cell>
          <cell r="R126" t="str">
            <v>06h30đếnngày 11 tháng 7 năm 2014</v>
          </cell>
          <cell r="S126" t="str">
            <v xml:space="preserve"> từ 06h30 đến 07h25 ngày 11 tháng 7 năm 2014</v>
          </cell>
          <cell r="T126">
            <v>15</v>
          </cell>
          <cell r="U126">
            <v>15</v>
          </cell>
          <cell r="V126">
            <v>11</v>
          </cell>
          <cell r="W126">
            <v>280</v>
          </cell>
          <cell r="X126">
            <v>-44.45</v>
          </cell>
          <cell r="Y126">
            <v>-43.17</v>
          </cell>
          <cell r="Z126">
            <v>-2.17</v>
          </cell>
          <cell r="AA126">
            <v>41</v>
          </cell>
        </row>
        <row r="127">
          <cell r="A127" t="str">
            <v>COC-116</v>
          </cell>
          <cell r="B127" t="str">
            <v>""Cọc thí nghiệm số 2""</v>
          </cell>
          <cell r="C127" t="str">
            <v>COC-116</v>
          </cell>
          <cell r="D127">
            <v>588586.19999999995</v>
          </cell>
          <cell r="E127">
            <v>2317543.8560000001</v>
          </cell>
          <cell r="H127">
            <v>588586.19999999995</v>
          </cell>
          <cell r="I127">
            <v>2317543.8560000001</v>
          </cell>
          <cell r="M127" t="str">
            <v>20h50</v>
          </cell>
          <cell r="N127" t="str">
            <v>21h20</v>
          </cell>
          <cell r="O127">
            <v>10</v>
          </cell>
          <cell r="P127">
            <v>7</v>
          </cell>
          <cell r="Q127">
            <v>2014</v>
          </cell>
          <cell r="R127" t="str">
            <v>20h50đếnngày 10 tháng 7 năm 2014</v>
          </cell>
          <cell r="S127" t="str">
            <v xml:space="preserve"> từ 20h50 đến 21h20 ngày 10 tháng 7 năm 2014</v>
          </cell>
          <cell r="T127">
            <v>15</v>
          </cell>
          <cell r="U127">
            <v>15</v>
          </cell>
          <cell r="V127">
            <v>11</v>
          </cell>
          <cell r="W127">
            <v>280</v>
          </cell>
          <cell r="X127">
            <v>-44.45</v>
          </cell>
          <cell r="Y127">
            <v>-42.6</v>
          </cell>
          <cell r="Z127">
            <v>-1.6</v>
          </cell>
          <cell r="AA127">
            <v>41</v>
          </cell>
        </row>
        <row r="128">
          <cell r="A128" t="str">
            <v>COC-117</v>
          </cell>
          <cell r="B128" t="str">
            <v>+ 01 đoạn C3: dài L= 9,5m, loại PC, cấp tải A,  bê tông mác 600     sản xuất ngày ……/.…../2014</v>
          </cell>
          <cell r="C128" t="str">
            <v>COC-117</v>
          </cell>
          <cell r="D128">
            <v>588589.35100000002</v>
          </cell>
          <cell r="E128">
            <v>2317516.9190000002</v>
          </cell>
          <cell r="H128">
            <v>588589.35100000002</v>
          </cell>
          <cell r="I128">
            <v>2317516.9190000002</v>
          </cell>
          <cell r="J128" t="str">
            <v>song hoang</v>
          </cell>
          <cell r="M128" t="str">
            <v>20h00</v>
          </cell>
          <cell r="N128" t="str">
            <v>20h45</v>
          </cell>
          <cell r="O128">
            <v>10</v>
          </cell>
          <cell r="P128">
            <v>7</v>
          </cell>
          <cell r="Q128">
            <v>2014</v>
          </cell>
          <cell r="R128" t="str">
            <v>20h00đếnngày 10 tháng 7 năm 2014</v>
          </cell>
          <cell r="S128" t="str">
            <v xml:space="preserve"> từ 20h00 đến 20h45 ngày 10 tháng 7 năm 2014</v>
          </cell>
          <cell r="T128">
            <v>15</v>
          </cell>
          <cell r="U128">
            <v>15</v>
          </cell>
          <cell r="V128">
            <v>11</v>
          </cell>
          <cell r="W128">
            <v>280</v>
          </cell>
          <cell r="X128">
            <v>-44.45</v>
          </cell>
          <cell r="Y128">
            <v>-42.98</v>
          </cell>
          <cell r="Z128">
            <v>-1.98</v>
          </cell>
          <cell r="AA128">
            <v>41</v>
          </cell>
        </row>
        <row r="129">
          <cell r="A129" t="str">
            <v>COC-118</v>
          </cell>
          <cell r="B129" t="str">
            <v>+ 01 đoạn C3: dài L= 9,5m, loại PC, cấp tải A,  bê tông mác 600     sản xuất ngày ……/.…../2014</v>
          </cell>
          <cell r="C129" t="str">
            <v>COC-118</v>
          </cell>
          <cell r="D129">
            <v>588589.63500000001</v>
          </cell>
          <cell r="E129">
            <v>2317518.392</v>
          </cell>
          <cell r="H129">
            <v>588589.63500000001</v>
          </cell>
          <cell r="I129">
            <v>2317518.392</v>
          </cell>
          <cell r="J129" t="str">
            <v>song hoang</v>
          </cell>
          <cell r="M129" t="str">
            <v>17h50</v>
          </cell>
          <cell r="N129" t="str">
            <v>18h45</v>
          </cell>
          <cell r="O129">
            <v>10</v>
          </cell>
          <cell r="P129">
            <v>7</v>
          </cell>
          <cell r="Q129">
            <v>2014</v>
          </cell>
          <cell r="R129" t="str">
            <v>17h50đếnngày 10 tháng 7 năm 2014</v>
          </cell>
          <cell r="S129" t="str">
            <v xml:space="preserve"> từ 17h50 đến 18h45 ngày 10 tháng 7 năm 2014</v>
          </cell>
          <cell r="T129">
            <v>15</v>
          </cell>
          <cell r="U129">
            <v>15</v>
          </cell>
          <cell r="V129">
            <v>11.45</v>
          </cell>
          <cell r="W129">
            <v>280</v>
          </cell>
          <cell r="X129">
            <v>-44.45</v>
          </cell>
          <cell r="Y129">
            <v>-43.1</v>
          </cell>
          <cell r="Z129">
            <v>-1.65</v>
          </cell>
          <cell r="AA129">
            <v>41.45</v>
          </cell>
        </row>
        <row r="130">
          <cell r="A130" t="str">
            <v>COC-119</v>
          </cell>
          <cell r="B130" t="str">
            <v>+ 01 đoạn C3: dài L= 9,5m, loại PC, cấp tải A,  bê tông mác 600     sản xuất ngày ……/.…../2014</v>
          </cell>
          <cell r="C130" t="str">
            <v>COC-119</v>
          </cell>
          <cell r="D130">
            <v>588590.76899999997</v>
          </cell>
          <cell r="E130">
            <v>2317517.409</v>
          </cell>
          <cell r="H130">
            <v>588590.76899999997</v>
          </cell>
          <cell r="I130">
            <v>2317517.409</v>
          </cell>
          <cell r="J130" t="str">
            <v>song hoang</v>
          </cell>
          <cell r="M130" t="str">
            <v>17h00</v>
          </cell>
          <cell r="N130" t="str">
            <v>17h45</v>
          </cell>
          <cell r="O130">
            <v>10</v>
          </cell>
          <cell r="P130">
            <v>7</v>
          </cell>
          <cell r="Q130">
            <v>2014</v>
          </cell>
          <cell r="R130" t="str">
            <v>17h00đếnngày 10 tháng 7 năm 2014</v>
          </cell>
          <cell r="S130" t="str">
            <v xml:space="preserve"> từ 17h00 đến 17h45 ngày 10 tháng 7 năm 2014</v>
          </cell>
          <cell r="T130">
            <v>15</v>
          </cell>
          <cell r="U130">
            <v>15</v>
          </cell>
          <cell r="V130">
            <v>11.45</v>
          </cell>
          <cell r="W130">
            <v>280</v>
          </cell>
          <cell r="X130">
            <v>-44.45</v>
          </cell>
          <cell r="Y130">
            <v>-42.69</v>
          </cell>
          <cell r="Z130">
            <v>-1.24</v>
          </cell>
          <cell r="AA130">
            <v>41.45</v>
          </cell>
        </row>
        <row r="131">
          <cell r="A131" t="str">
            <v>COC-120</v>
          </cell>
          <cell r="B131" t="str">
            <v>+ 01 đoạn C3: dài L= 9,5m, loại PC, cấp tải A,  bê tông mác 600     sản xuất ngày ……/.…../2014</v>
          </cell>
          <cell r="C131" t="str">
            <v>COC-120</v>
          </cell>
          <cell r="D131">
            <v>588591.90399999998</v>
          </cell>
          <cell r="E131">
            <v>2317516.426</v>
          </cell>
          <cell r="H131">
            <v>588591.90399999998</v>
          </cell>
          <cell r="I131">
            <v>2317516.426</v>
          </cell>
          <cell r="J131" t="str">
            <v>song hoang</v>
          </cell>
          <cell r="M131" t="str">
            <v>16h15</v>
          </cell>
          <cell r="N131" t="str">
            <v>16h50</v>
          </cell>
          <cell r="O131">
            <v>10</v>
          </cell>
          <cell r="P131">
            <v>7</v>
          </cell>
          <cell r="Q131">
            <v>2014</v>
          </cell>
          <cell r="R131" t="str">
            <v>16h15đếnngày 10 tháng 7 năm 2014</v>
          </cell>
          <cell r="S131" t="str">
            <v xml:space="preserve"> từ 16h15 đến 16h50 ngày 10 tháng 7 năm 2014</v>
          </cell>
          <cell r="T131">
            <v>15</v>
          </cell>
          <cell r="U131">
            <v>15</v>
          </cell>
          <cell r="V131">
            <v>11.45</v>
          </cell>
          <cell r="W131">
            <v>280</v>
          </cell>
          <cell r="X131">
            <v>-44.45</v>
          </cell>
          <cell r="Y131">
            <v>-42.8</v>
          </cell>
          <cell r="Z131">
            <v>-1.35</v>
          </cell>
          <cell r="AA131">
            <v>41.45</v>
          </cell>
        </row>
        <row r="132">
          <cell r="A132" t="str">
            <v>COC-121</v>
          </cell>
          <cell r="B132" t="str">
            <v>+ 01 đoạn C3: dài L= 9,5m, loại PC, cấp tải A,  bê tông mác 600     sản xuất ngày ……/.…../2014</v>
          </cell>
          <cell r="C132" t="str">
            <v>COC-121</v>
          </cell>
          <cell r="D132">
            <v>588592.18799999997</v>
          </cell>
          <cell r="E132">
            <v>2317517.8990000002</v>
          </cell>
          <cell r="H132">
            <v>588592.18799999997</v>
          </cell>
          <cell r="I132">
            <v>2317517.8990000002</v>
          </cell>
          <cell r="J132" t="str">
            <v>song hoang</v>
          </cell>
          <cell r="M132" t="str">
            <v>19h05</v>
          </cell>
          <cell r="N132" t="str">
            <v>20h00</v>
          </cell>
          <cell r="O132">
            <v>6</v>
          </cell>
          <cell r="P132">
            <v>7</v>
          </cell>
          <cell r="Q132">
            <v>2014</v>
          </cell>
          <cell r="R132" t="str">
            <v>19h05đếnngày 6 tháng 7 năm 2014</v>
          </cell>
          <cell r="S132" t="str">
            <v xml:space="preserve"> từ 19h05 đến 20h00 ngày 6 tháng 7 năm 2014</v>
          </cell>
          <cell r="T132">
            <v>15</v>
          </cell>
          <cell r="U132">
            <v>15</v>
          </cell>
          <cell r="V132">
            <v>11.45</v>
          </cell>
          <cell r="W132">
            <v>280</v>
          </cell>
          <cell r="X132">
            <v>-44.45</v>
          </cell>
          <cell r="Y132">
            <v>-43.37</v>
          </cell>
          <cell r="Z132">
            <v>-1.92</v>
          </cell>
          <cell r="AA132">
            <v>41.45</v>
          </cell>
        </row>
        <row r="133">
          <cell r="A133" t="str">
            <v>COC-122</v>
          </cell>
          <cell r="B133" t="str">
            <v>+ 01 đoạn C3: dài L= 9,5m, loại PC, cấp tải A,  bê tông mác 600     sản xuất ngày ……/.…../2014</v>
          </cell>
          <cell r="C133" t="str">
            <v>COC-122</v>
          </cell>
          <cell r="D133">
            <v>588590.75399999996</v>
          </cell>
          <cell r="E133">
            <v>2317524.1850000001</v>
          </cell>
          <cell r="H133">
            <v>588590.75399999996</v>
          </cell>
          <cell r="I133">
            <v>2317524.1850000001</v>
          </cell>
          <cell r="J133" t="str">
            <v>song hoang</v>
          </cell>
          <cell r="M133" t="str">
            <v>18h10</v>
          </cell>
          <cell r="N133" t="str">
            <v>19h00</v>
          </cell>
          <cell r="O133">
            <v>6</v>
          </cell>
          <cell r="P133">
            <v>7</v>
          </cell>
          <cell r="Q133">
            <v>2014</v>
          </cell>
          <cell r="R133" t="str">
            <v>18h10đếnngày 6 tháng 7 năm 2014</v>
          </cell>
          <cell r="S133" t="str">
            <v xml:space="preserve"> từ 18h10 đến 19h00 ngày 6 tháng 7 năm 2014</v>
          </cell>
          <cell r="T133">
            <v>15</v>
          </cell>
          <cell r="U133">
            <v>15</v>
          </cell>
          <cell r="V133">
            <v>11.45</v>
          </cell>
          <cell r="W133">
            <v>280</v>
          </cell>
          <cell r="X133">
            <v>-44.45</v>
          </cell>
          <cell r="Y133">
            <v>-43.72</v>
          </cell>
          <cell r="Z133">
            <v>-2.27</v>
          </cell>
          <cell r="AA133">
            <v>41.45</v>
          </cell>
        </row>
        <row r="134">
          <cell r="A134" t="str">
            <v>COC-123</v>
          </cell>
          <cell r="B134" t="str">
            <v>+ 01 đoạn C3: dài L= 9,5m, loại PC, cấp tải A,  bê tông mác 600     sản xuất ngày ……/.…../2014</v>
          </cell>
          <cell r="C134" t="str">
            <v>COC-123</v>
          </cell>
          <cell r="D134">
            <v>588591.03799999994</v>
          </cell>
          <cell r="E134">
            <v>2317525.6579999998</v>
          </cell>
          <cell r="H134">
            <v>588591.03799999994</v>
          </cell>
          <cell r="I134">
            <v>2317525.6579999998</v>
          </cell>
          <cell r="J134" t="str">
            <v>song hoang</v>
          </cell>
          <cell r="M134" t="str">
            <v>20h10</v>
          </cell>
          <cell r="N134" t="str">
            <v>21h15</v>
          </cell>
          <cell r="O134">
            <v>6</v>
          </cell>
          <cell r="P134">
            <v>7</v>
          </cell>
          <cell r="Q134">
            <v>2014</v>
          </cell>
          <cell r="R134" t="str">
            <v>20h10đếnngày 6 tháng 7 năm 2014</v>
          </cell>
          <cell r="S134" t="str">
            <v xml:space="preserve"> từ 20h10 đến 21h15 ngày 6 tháng 7 năm 2014</v>
          </cell>
          <cell r="T134">
            <v>15</v>
          </cell>
          <cell r="U134">
            <v>15</v>
          </cell>
          <cell r="V134">
            <v>11.45</v>
          </cell>
          <cell r="W134">
            <v>280</v>
          </cell>
          <cell r="X134">
            <v>-44.45</v>
          </cell>
          <cell r="Y134">
            <v>-43.13</v>
          </cell>
          <cell r="Z134">
            <v>-1.68</v>
          </cell>
          <cell r="AA134">
            <v>41.45</v>
          </cell>
        </row>
        <row r="135">
          <cell r="A135" t="str">
            <v>COC-124</v>
          </cell>
          <cell r="B135" t="str">
            <v>+ 01 đoạn C3: dài L= 9,5m, loại PC, cấp tải A,  bê tông mác 600     sản xuất ngày ……/.…../2014</v>
          </cell>
          <cell r="C135" t="str">
            <v>COC-124</v>
          </cell>
          <cell r="D135">
            <v>588592.17200000002</v>
          </cell>
          <cell r="E135">
            <v>2317524.6749999998</v>
          </cell>
          <cell r="H135">
            <v>588592.17200000002</v>
          </cell>
          <cell r="I135">
            <v>2317524.6749999998</v>
          </cell>
          <cell r="J135" t="str">
            <v>song hoang</v>
          </cell>
          <cell r="M135" t="str">
            <v>06h25</v>
          </cell>
          <cell r="N135" t="str">
            <v>07h10</v>
          </cell>
          <cell r="O135">
            <v>7</v>
          </cell>
          <cell r="P135">
            <v>7</v>
          </cell>
          <cell r="Q135">
            <v>2014</v>
          </cell>
          <cell r="R135" t="str">
            <v>06h25đếnngày 7 tháng 7 năm 2014</v>
          </cell>
          <cell r="S135" t="str">
            <v xml:space="preserve"> từ 06h25 đến 07h10 ngày 7 tháng 7 năm 2014</v>
          </cell>
          <cell r="T135">
            <v>15</v>
          </cell>
          <cell r="U135">
            <v>15</v>
          </cell>
          <cell r="V135">
            <v>11.45</v>
          </cell>
          <cell r="W135">
            <v>280</v>
          </cell>
          <cell r="X135">
            <v>-44.45</v>
          </cell>
          <cell r="Y135">
            <v>-43</v>
          </cell>
          <cell r="Z135">
            <v>-1.55</v>
          </cell>
          <cell r="AA135">
            <v>41.45</v>
          </cell>
        </row>
        <row r="136">
          <cell r="A136" t="str">
            <v>COC-125</v>
          </cell>
          <cell r="B136" t="str">
            <v>+ 01 đoạn C3: dài L= 9,5m, loại PC, cấp tải A,  bê tông mác 600     sản xuất ngày ……/.…../2014</v>
          </cell>
          <cell r="C136" t="str">
            <v>COC-125</v>
          </cell>
          <cell r="D136">
            <v>588593.30700000003</v>
          </cell>
          <cell r="E136">
            <v>2317523.6919999998</v>
          </cell>
          <cell r="H136">
            <v>588593.30700000003</v>
          </cell>
          <cell r="I136">
            <v>2317523.6919999998</v>
          </cell>
          <cell r="J136" t="str">
            <v>song hoang</v>
          </cell>
          <cell r="M136" t="str">
            <v>08h10</v>
          </cell>
          <cell r="N136" t="str">
            <v>09h00</v>
          </cell>
          <cell r="O136">
            <v>7</v>
          </cell>
          <cell r="P136">
            <v>7</v>
          </cell>
          <cell r="Q136">
            <v>2014</v>
          </cell>
          <cell r="R136" t="str">
            <v>08h10đếnngày 7 tháng 7 năm 2014</v>
          </cell>
          <cell r="S136" t="str">
            <v xml:space="preserve"> từ 08h10 đến 09h00 ngày 7 tháng 7 năm 2014</v>
          </cell>
          <cell r="T136">
            <v>15</v>
          </cell>
          <cell r="U136">
            <v>15</v>
          </cell>
          <cell r="V136">
            <v>11.45</v>
          </cell>
          <cell r="W136">
            <v>280</v>
          </cell>
          <cell r="X136">
            <v>-44.45</v>
          </cell>
          <cell r="Y136">
            <v>-43</v>
          </cell>
          <cell r="Z136">
            <v>-1.55</v>
          </cell>
          <cell r="AA136">
            <v>41.45</v>
          </cell>
        </row>
        <row r="137">
          <cell r="A137" t="str">
            <v>COC-126</v>
          </cell>
          <cell r="B137" t="str">
            <v>+ 01 đoạn C3: dài L= 9,5m, loại PC, cấp tải A,  bê tông mác 600     sản xuất ngày ……/.…../2014</v>
          </cell>
          <cell r="C137" t="str">
            <v>COC-126</v>
          </cell>
          <cell r="D137">
            <v>588593.59100000001</v>
          </cell>
          <cell r="E137">
            <v>2317525.165</v>
          </cell>
          <cell r="H137">
            <v>588593.59100000001</v>
          </cell>
          <cell r="I137">
            <v>2317525.165</v>
          </cell>
          <cell r="J137" t="str">
            <v>song hoang</v>
          </cell>
          <cell r="M137" t="str">
            <v>07h15</v>
          </cell>
          <cell r="N137" t="str">
            <v>08h05</v>
          </cell>
          <cell r="O137">
            <v>7</v>
          </cell>
          <cell r="P137">
            <v>7</v>
          </cell>
          <cell r="Q137">
            <v>2014</v>
          </cell>
          <cell r="R137" t="str">
            <v>07h15đếnngày 7 tháng 7 năm 2014</v>
          </cell>
          <cell r="S137" t="str">
            <v xml:space="preserve"> từ 07h15 đến 08h05 ngày 7 tháng 7 năm 2014</v>
          </cell>
          <cell r="T137">
            <v>15</v>
          </cell>
          <cell r="U137">
            <v>15</v>
          </cell>
          <cell r="V137">
            <v>11.45</v>
          </cell>
          <cell r="W137">
            <v>280</v>
          </cell>
          <cell r="X137">
            <v>-44.45</v>
          </cell>
          <cell r="Y137">
            <v>-43</v>
          </cell>
          <cell r="Z137">
            <v>-1.55</v>
          </cell>
          <cell r="AA137">
            <v>41.45</v>
          </cell>
        </row>
        <row r="138">
          <cell r="A138" t="str">
            <v>COC-127</v>
          </cell>
          <cell r="B138" t="str">
            <v>+ 01 đoạn C3: dài L= 9,5m, loại PC, cấp tải A,  bê tông mác 600     sản xuất ngày ……/.…../2014</v>
          </cell>
          <cell r="C138" t="str">
            <v>COC-127</v>
          </cell>
          <cell r="D138">
            <v>588592.15700000001</v>
          </cell>
          <cell r="E138">
            <v>2317531.4509999999</v>
          </cell>
          <cell r="H138">
            <v>588592.15700000001</v>
          </cell>
          <cell r="I138">
            <v>2317531.4509999999</v>
          </cell>
          <cell r="J138" t="str">
            <v>song hoang</v>
          </cell>
        </row>
        <row r="139">
          <cell r="A139" t="str">
            <v>COC-128</v>
          </cell>
          <cell r="B139" t="str">
            <v>+ 01 đoạn C3: dài L= 9,5m, loại PC, cấp tải A,  bê tông mác 600     sản xuất ngày ……/.…../2014</v>
          </cell>
          <cell r="C139" t="str">
            <v>COC-128</v>
          </cell>
          <cell r="D139">
            <v>588592.44099999999</v>
          </cell>
          <cell r="E139">
            <v>2317532.9240000001</v>
          </cell>
          <cell r="H139">
            <v>588592.44099999999</v>
          </cell>
          <cell r="I139">
            <v>2317532.9240000001</v>
          </cell>
          <cell r="J139" t="str">
            <v>song hoang</v>
          </cell>
          <cell r="M139" t="str">
            <v>09h05</v>
          </cell>
          <cell r="N139" t="str">
            <v>10h00</v>
          </cell>
          <cell r="O139">
            <v>7</v>
          </cell>
          <cell r="P139">
            <v>7</v>
          </cell>
          <cell r="Q139">
            <v>2014</v>
          </cell>
          <cell r="R139" t="str">
            <v>09h05đếnngày 7 tháng 7 năm 2014</v>
          </cell>
          <cell r="S139" t="str">
            <v xml:space="preserve"> từ 09h05 đến 10h00 ngày 7 tháng 7 năm 2014</v>
          </cell>
          <cell r="T139">
            <v>15</v>
          </cell>
          <cell r="U139">
            <v>15</v>
          </cell>
          <cell r="V139">
            <v>11.45</v>
          </cell>
          <cell r="W139">
            <v>280</v>
          </cell>
          <cell r="X139">
            <v>-44.45</v>
          </cell>
          <cell r="Y139">
            <v>-43.2</v>
          </cell>
          <cell r="Z139">
            <v>-1.75</v>
          </cell>
          <cell r="AA139">
            <v>41.45</v>
          </cell>
        </row>
        <row r="140">
          <cell r="A140" t="str">
            <v>COC-129</v>
          </cell>
          <cell r="B140" t="str">
            <v>+ 01 đoạn C3: dài L= 9,5m, loại PC, cấp tải A,  bê tông mác 600     sản xuất ngày ……/.…../2014</v>
          </cell>
          <cell r="C140" t="str">
            <v>COC-129</v>
          </cell>
          <cell r="D140">
            <v>588593.57499999995</v>
          </cell>
          <cell r="E140">
            <v>2317531.9410000001</v>
          </cell>
          <cell r="H140">
            <v>588593.57499999995</v>
          </cell>
          <cell r="I140">
            <v>2317531.9410000001</v>
          </cell>
          <cell r="J140" t="str">
            <v>song hoang</v>
          </cell>
          <cell r="M140" t="str">
            <v>17h40</v>
          </cell>
          <cell r="N140" t="str">
            <v>18h45</v>
          </cell>
          <cell r="O140">
            <v>29</v>
          </cell>
          <cell r="P140">
            <v>6</v>
          </cell>
          <cell r="Q140">
            <v>2014</v>
          </cell>
          <cell r="R140" t="str">
            <v>17h40đếnngày 29 tháng 6 năm 2014</v>
          </cell>
          <cell r="S140" t="str">
            <v xml:space="preserve"> từ 17h40 đến 18h45 ngày 29 tháng 6 năm 2014</v>
          </cell>
          <cell r="T140">
            <v>15</v>
          </cell>
          <cell r="U140">
            <v>15</v>
          </cell>
          <cell r="V140">
            <v>11.45</v>
          </cell>
          <cell r="W140">
            <v>280</v>
          </cell>
          <cell r="X140">
            <v>-44.45</v>
          </cell>
          <cell r="Y140">
            <v>-43.3</v>
          </cell>
          <cell r="Z140">
            <v>-1.85</v>
          </cell>
          <cell r="AA140">
            <v>41.45</v>
          </cell>
        </row>
        <row r="141">
          <cell r="A141" t="str">
            <v>COC-130</v>
          </cell>
          <cell r="B141" t="str">
            <v>+ 01 đoạn C3: dài L= 9,5m, loại PC, cấp tải A,  bê tông mác 600     sản xuất ngày ……/.…../2014</v>
          </cell>
          <cell r="C141" t="str">
            <v>COC-130</v>
          </cell>
          <cell r="D141">
            <v>588594.71</v>
          </cell>
          <cell r="E141">
            <v>2317530.9580000001</v>
          </cell>
          <cell r="H141">
            <v>588594.71</v>
          </cell>
          <cell r="I141">
            <v>2317530.9580000001</v>
          </cell>
          <cell r="J141" t="str">
            <v>song hoang</v>
          </cell>
          <cell r="M141" t="str">
            <v>09h30</v>
          </cell>
          <cell r="N141" t="str">
            <v>10h45</v>
          </cell>
          <cell r="O141">
            <v>29</v>
          </cell>
          <cell r="P141">
            <v>6</v>
          </cell>
          <cell r="Q141">
            <v>2014</v>
          </cell>
          <cell r="R141" t="str">
            <v>09h30đếnngày 29 tháng 6 năm 2014</v>
          </cell>
          <cell r="S141" t="str">
            <v xml:space="preserve"> từ 09h30 đến 10h45 ngày 29 tháng 6 năm 2014</v>
          </cell>
          <cell r="T141">
            <v>15</v>
          </cell>
          <cell r="U141">
            <v>15</v>
          </cell>
          <cell r="V141">
            <v>11.45</v>
          </cell>
          <cell r="W141">
            <v>295.3</v>
          </cell>
          <cell r="X141">
            <v>-44.45</v>
          </cell>
          <cell r="Y141">
            <v>-43.47</v>
          </cell>
          <cell r="Z141">
            <v>-2.02</v>
          </cell>
          <cell r="AA141">
            <v>41.45</v>
          </cell>
        </row>
        <row r="142">
          <cell r="A142" t="str">
            <v>COC-131</v>
          </cell>
          <cell r="B142" t="str">
            <v>+ 01 đoạn C3: dài L= 9,5m, loại PC, cấp tải A,  bê tông mác 600     sản xuất ngày ……/.…../2014</v>
          </cell>
          <cell r="C142" t="str">
            <v>COC-131</v>
          </cell>
          <cell r="D142">
            <v>588594.99399999995</v>
          </cell>
          <cell r="E142">
            <v>2317532.4309999999</v>
          </cell>
          <cell r="H142">
            <v>588594.99399999995</v>
          </cell>
          <cell r="I142">
            <v>2317532.4309999999</v>
          </cell>
          <cell r="J142" t="str">
            <v>song hoang</v>
          </cell>
          <cell r="M142" t="str">
            <v>16h30</v>
          </cell>
          <cell r="N142" t="str">
            <v>17h35</v>
          </cell>
          <cell r="O142">
            <v>29</v>
          </cell>
          <cell r="P142">
            <v>6</v>
          </cell>
          <cell r="Q142">
            <v>2014</v>
          </cell>
          <cell r="R142" t="str">
            <v>16h30đếnngày 29 tháng 6 năm 2014</v>
          </cell>
          <cell r="S142" t="str">
            <v xml:space="preserve"> từ 16h30 đến 17h35 ngày 29 tháng 6 năm 2014</v>
          </cell>
          <cell r="T142">
            <v>15</v>
          </cell>
          <cell r="U142">
            <v>15</v>
          </cell>
          <cell r="V142">
            <v>11.45</v>
          </cell>
          <cell r="W142">
            <v>280</v>
          </cell>
          <cell r="X142">
            <v>-44.45</v>
          </cell>
          <cell r="Y142">
            <v>-43.49</v>
          </cell>
          <cell r="Z142">
            <v>-2.04</v>
          </cell>
          <cell r="AA142">
            <v>41.45</v>
          </cell>
        </row>
        <row r="143">
          <cell r="A143" t="str">
            <v>COC-132</v>
          </cell>
          <cell r="B143" t="str">
            <v>+ 01 đoạn C3: dài L= 9,5m, loại PC, cấp tải A,  bê tông mác 600     sản xuất ngày ……/.…../2014</v>
          </cell>
          <cell r="C143" t="str">
            <v>COC-132</v>
          </cell>
          <cell r="D143">
            <v>588594.35600000003</v>
          </cell>
          <cell r="E143">
            <v>2317539.9389999998</v>
          </cell>
          <cell r="H143">
            <v>588594.35600000003</v>
          </cell>
          <cell r="I143">
            <v>2317539.9389999998</v>
          </cell>
          <cell r="J143" t="str">
            <v>song hoang</v>
          </cell>
          <cell r="M143" t="str">
            <v>15h15</v>
          </cell>
          <cell r="N143" t="str">
            <v>16h20</v>
          </cell>
          <cell r="O143">
            <v>29</v>
          </cell>
          <cell r="P143">
            <v>6</v>
          </cell>
          <cell r="Q143">
            <v>2014</v>
          </cell>
          <cell r="R143" t="str">
            <v>15h15đếnngày 29 tháng 6 năm 2014</v>
          </cell>
          <cell r="S143" t="str">
            <v xml:space="preserve"> từ 15h15 đến 16h20 ngày 29 tháng 6 năm 2014</v>
          </cell>
          <cell r="T143">
            <v>15</v>
          </cell>
          <cell r="U143">
            <v>15</v>
          </cell>
          <cell r="V143">
            <v>11.45</v>
          </cell>
          <cell r="W143">
            <v>280</v>
          </cell>
          <cell r="X143">
            <v>-44.45</v>
          </cell>
          <cell r="Y143">
            <v>-43.75</v>
          </cell>
          <cell r="Z143">
            <v>-2.2999999999999998</v>
          </cell>
          <cell r="AA143">
            <v>41.45</v>
          </cell>
        </row>
        <row r="144">
          <cell r="A144" t="str">
            <v>COC-133</v>
          </cell>
          <cell r="B144" t="str">
            <v>+ 01 đoạn C3: dài L= 9,5m, loại PC, cấp tải A,  bê tông mác 600     sản xuất ngày ……/.…../2014</v>
          </cell>
          <cell r="C144" t="str">
            <v>COC-133</v>
          </cell>
          <cell r="D144">
            <v>588595.68599999999</v>
          </cell>
          <cell r="E144">
            <v>2317538.9180000001</v>
          </cell>
          <cell r="H144">
            <v>588595.68599999999</v>
          </cell>
          <cell r="I144">
            <v>2317538.9180000001</v>
          </cell>
          <cell r="J144" t="str">
            <v>song hoang</v>
          </cell>
          <cell r="M144" t="str">
            <v>17h00</v>
          </cell>
          <cell r="N144" t="str">
            <v>17h50</v>
          </cell>
          <cell r="O144">
            <v>9</v>
          </cell>
          <cell r="P144">
            <v>7</v>
          </cell>
          <cell r="Q144">
            <v>2014</v>
          </cell>
          <cell r="R144" t="str">
            <v>17h00đếnngày 9 tháng 7 năm 2014</v>
          </cell>
          <cell r="S144" t="str">
            <v xml:space="preserve"> từ 17h00 đến 17h50 ngày 9 tháng 7 năm 2014</v>
          </cell>
          <cell r="T144">
            <v>15</v>
          </cell>
          <cell r="U144">
            <v>15</v>
          </cell>
          <cell r="V144">
            <v>11.45</v>
          </cell>
          <cell r="W144">
            <v>280</v>
          </cell>
          <cell r="X144">
            <v>-44.45</v>
          </cell>
          <cell r="Y144">
            <v>-44.11</v>
          </cell>
          <cell r="Z144">
            <v>-2.66</v>
          </cell>
          <cell r="AA144">
            <v>41.45</v>
          </cell>
        </row>
        <row r="145">
          <cell r="A145" t="str">
            <v>COC-134</v>
          </cell>
          <cell r="B145" t="str">
            <v>+ 01 đoạn C3: dài L= 9,5m, loại PC, cấp tải A,  bê tông mác 600     sản xuất ngày ……/.…../2014</v>
          </cell>
          <cell r="C145" t="str">
            <v>COC-134</v>
          </cell>
          <cell r="D145">
            <v>588595.97100000002</v>
          </cell>
          <cell r="E145">
            <v>2317540.3909999998</v>
          </cell>
          <cell r="H145">
            <v>588595.97100000002</v>
          </cell>
          <cell r="I145">
            <v>2317540.3909999998</v>
          </cell>
          <cell r="J145" t="str">
            <v>song hoang</v>
          </cell>
          <cell r="M145" t="str">
            <v>16h00</v>
          </cell>
          <cell r="N145" t="str">
            <v>16h45</v>
          </cell>
          <cell r="O145">
            <v>9</v>
          </cell>
          <cell r="P145">
            <v>7</v>
          </cell>
          <cell r="Q145">
            <v>2014</v>
          </cell>
          <cell r="R145" t="str">
            <v>16h00đếnngày 9 tháng 7 năm 2014</v>
          </cell>
          <cell r="S145" t="str">
            <v xml:space="preserve"> từ 16h00 đến 16h45 ngày 9 tháng 7 năm 2014</v>
          </cell>
          <cell r="T145">
            <v>15</v>
          </cell>
          <cell r="U145">
            <v>15</v>
          </cell>
          <cell r="V145">
            <v>11.45</v>
          </cell>
          <cell r="W145">
            <v>280</v>
          </cell>
          <cell r="X145">
            <v>-44.45</v>
          </cell>
          <cell r="Y145">
            <v>-43.93</v>
          </cell>
          <cell r="Z145">
            <v>-2.48</v>
          </cell>
          <cell r="AA145">
            <v>41.45</v>
          </cell>
        </row>
        <row r="146">
          <cell r="A146" t="str">
            <v>COC-135</v>
          </cell>
          <cell r="B146" t="str">
            <v>+ 01 đoạn C3: dài L= 9,5m, loại PC, cấp tải A,  bê tông mác 600     sản xuất ngày ……/.…../2014</v>
          </cell>
          <cell r="C146" t="str">
            <v>COC-135</v>
          </cell>
          <cell r="D146">
            <v>588592.799</v>
          </cell>
          <cell r="E146">
            <v>2317542.5819999999</v>
          </cell>
          <cell r="H146">
            <v>588592.799</v>
          </cell>
          <cell r="I146">
            <v>2317542.5819999999</v>
          </cell>
          <cell r="J146" t="str">
            <v>song hoang</v>
          </cell>
          <cell r="M146" t="str">
            <v>19h50</v>
          </cell>
          <cell r="N146" t="str">
            <v>20h45</v>
          </cell>
          <cell r="O146">
            <v>9</v>
          </cell>
          <cell r="P146">
            <v>7</v>
          </cell>
          <cell r="Q146">
            <v>2014</v>
          </cell>
          <cell r="R146" t="str">
            <v>19h50đếnngày 9 tháng 7 năm 2014</v>
          </cell>
          <cell r="S146" t="str">
            <v xml:space="preserve"> từ 19h50 đến 20h45 ngày 9 tháng 7 năm 2014</v>
          </cell>
          <cell r="T146">
            <v>15</v>
          </cell>
          <cell r="U146">
            <v>15</v>
          </cell>
          <cell r="V146">
            <v>11.45</v>
          </cell>
          <cell r="W146">
            <v>280</v>
          </cell>
          <cell r="X146">
            <v>-44.45</v>
          </cell>
          <cell r="Y146">
            <v>-44.22</v>
          </cell>
          <cell r="Z146">
            <v>-2.77</v>
          </cell>
          <cell r="AA146">
            <v>41.45</v>
          </cell>
        </row>
        <row r="147">
          <cell r="A147" t="str">
            <v>COC-136</v>
          </cell>
          <cell r="B147" t="str">
            <v>+ 01 đoạn C3: dài L= 9,5m, loại PC, cấp tải A,  bê tông mác 600     sản xuất ngày ……/.…../2014</v>
          </cell>
          <cell r="C147" t="str">
            <v>COC-136</v>
          </cell>
          <cell r="D147">
            <v>588594.27099999995</v>
          </cell>
          <cell r="E147">
            <v>2317542.2969999998</v>
          </cell>
          <cell r="H147">
            <v>588594.27099999995</v>
          </cell>
          <cell r="I147">
            <v>2317542.2969999998</v>
          </cell>
          <cell r="J147" t="str">
            <v>song hoang</v>
          </cell>
          <cell r="M147" t="str">
            <v>15h15</v>
          </cell>
          <cell r="N147" t="str">
            <v>16h00</v>
          </cell>
          <cell r="O147">
            <v>10</v>
          </cell>
          <cell r="P147">
            <v>7</v>
          </cell>
          <cell r="Q147">
            <v>2014</v>
          </cell>
          <cell r="R147" t="str">
            <v>15h15đếnngày 10 tháng 7 năm 2014</v>
          </cell>
          <cell r="S147" t="str">
            <v xml:space="preserve"> từ 15h15 đến 16h00 ngày 10 tháng 7 năm 2014</v>
          </cell>
          <cell r="T147">
            <v>15</v>
          </cell>
          <cell r="U147">
            <v>15</v>
          </cell>
          <cell r="V147">
            <v>11.45</v>
          </cell>
          <cell r="W147">
            <v>280</v>
          </cell>
          <cell r="X147">
            <v>-44.45</v>
          </cell>
          <cell r="Y147">
            <v>-43.45</v>
          </cell>
          <cell r="Z147">
            <v>-2</v>
          </cell>
          <cell r="AA147">
            <v>41.45</v>
          </cell>
        </row>
        <row r="148">
          <cell r="A148" t="str">
            <v>COC-137</v>
          </cell>
          <cell r="B148" t="str">
            <v>+ 01 đoạn C3: dài L= 9,5m, loại PC, cấp tải A,  bê tông mác 600     sản xuất ngày ……/.…../2014</v>
          </cell>
          <cell r="C148" t="str">
            <v>COC-137</v>
          </cell>
          <cell r="D148">
            <v>588585.21</v>
          </cell>
          <cell r="E148">
            <v>2317489.9389999998</v>
          </cell>
          <cell r="H148">
            <v>588585.21</v>
          </cell>
          <cell r="I148">
            <v>2317489.9389999998</v>
          </cell>
          <cell r="J148" t="str">
            <v>LICOGI13</v>
          </cell>
          <cell r="M148" t="str">
            <v>20h55</v>
          </cell>
          <cell r="N148" t="str">
            <v>21h40</v>
          </cell>
          <cell r="O148">
            <v>9</v>
          </cell>
          <cell r="P148">
            <v>7</v>
          </cell>
          <cell r="Q148">
            <v>2014</v>
          </cell>
          <cell r="R148" t="str">
            <v>20h55đếnngày 9 tháng 7 năm 2014</v>
          </cell>
          <cell r="S148" t="str">
            <v xml:space="preserve"> từ 20h55 đến 21h40 ngày 9 tháng 7 năm 2014</v>
          </cell>
          <cell r="T148">
            <v>15</v>
          </cell>
          <cell r="U148">
            <v>15</v>
          </cell>
          <cell r="V148">
            <v>11.45</v>
          </cell>
          <cell r="W148">
            <v>280</v>
          </cell>
          <cell r="X148">
            <v>-44.45</v>
          </cell>
          <cell r="Y148">
            <v>-43.46</v>
          </cell>
          <cell r="Z148">
            <v>-2.0099999999999998</v>
          </cell>
          <cell r="AA148">
            <v>41.45</v>
          </cell>
        </row>
        <row r="149">
          <cell r="A149" t="str">
            <v>COC-138</v>
          </cell>
          <cell r="B149" t="str">
            <v>+ 01 đoạn C3: dài L= 9,5m, loại PC, cấp tải A,  bê tông mác 600     sản xuất ngày ……/.…../2014</v>
          </cell>
          <cell r="C149" t="str">
            <v>COC-138</v>
          </cell>
          <cell r="D149">
            <v>588586.68299999996</v>
          </cell>
          <cell r="E149">
            <v>2317489.6540000001</v>
          </cell>
          <cell r="H149">
            <v>588586.68299999996</v>
          </cell>
          <cell r="I149">
            <v>2317489.6540000001</v>
          </cell>
          <cell r="J149" t="str">
            <v>LICOGI13</v>
          </cell>
          <cell r="M149" t="str">
            <v>15h20</v>
          </cell>
          <cell r="N149" t="str">
            <v>16h05</v>
          </cell>
          <cell r="O149">
            <v>6</v>
          </cell>
          <cell r="P149">
            <v>7</v>
          </cell>
          <cell r="Q149">
            <v>2014</v>
          </cell>
          <cell r="R149" t="str">
            <v>15h20đếnngày 6 tháng 7 năm 2014</v>
          </cell>
          <cell r="S149" t="str">
            <v xml:space="preserve"> từ 15h20 đến 16h05 ngày 6 tháng 7 năm 2014</v>
          </cell>
          <cell r="T149">
            <v>15</v>
          </cell>
          <cell r="U149">
            <v>15</v>
          </cell>
          <cell r="V149">
            <v>11.45</v>
          </cell>
          <cell r="W149">
            <v>280</v>
          </cell>
          <cell r="X149">
            <v>-44.45</v>
          </cell>
          <cell r="Y149">
            <v>-43.05</v>
          </cell>
          <cell r="Z149">
            <v>-1.6</v>
          </cell>
          <cell r="AA149">
            <v>41.45</v>
          </cell>
        </row>
        <row r="150">
          <cell r="A150" t="str">
            <v>COC-139</v>
          </cell>
          <cell r="B150" t="str">
            <v>+ 01 đoạn C3: dài L= 9,5m, loại PC, cấp tải A,  bê tông mác 600     sản xuất ngày ……/.…../2014</v>
          </cell>
          <cell r="C150" t="str">
            <v>COC-139</v>
          </cell>
          <cell r="D150">
            <v>588586.19299999997</v>
          </cell>
          <cell r="E150">
            <v>2317491.0729999999</v>
          </cell>
          <cell r="H150">
            <v>588586.19299999997</v>
          </cell>
          <cell r="I150">
            <v>2317491.0729999999</v>
          </cell>
          <cell r="J150" t="str">
            <v>LICOGI13</v>
          </cell>
          <cell r="M150" t="str">
            <v>14h20</v>
          </cell>
          <cell r="N150" t="str">
            <v>15h10</v>
          </cell>
          <cell r="O150">
            <v>6</v>
          </cell>
          <cell r="P150">
            <v>7</v>
          </cell>
          <cell r="Q150">
            <v>2014</v>
          </cell>
          <cell r="R150" t="str">
            <v>14h20đếnngày 6 tháng 7 năm 2014</v>
          </cell>
          <cell r="S150" t="str">
            <v xml:space="preserve"> từ 14h20 đến 15h10 ngày 6 tháng 7 năm 2014</v>
          </cell>
          <cell r="T150">
            <v>15</v>
          </cell>
          <cell r="U150">
            <v>15</v>
          </cell>
          <cell r="V150">
            <v>11.45</v>
          </cell>
          <cell r="W150">
            <v>280</v>
          </cell>
          <cell r="X150">
            <v>-44.45</v>
          </cell>
          <cell r="Y150">
            <v>-43.487000000000002</v>
          </cell>
          <cell r="Z150">
            <v>-2.0369999999999999</v>
          </cell>
          <cell r="AA150">
            <v>41.45</v>
          </cell>
        </row>
        <row r="151">
          <cell r="A151" t="str">
            <v>COC-140</v>
          </cell>
          <cell r="B151" t="str">
            <v>+ 01 đoạn C3: dài L= 9,5m, loại PC, cấp tải A,  bê tông mác 600     sản xuất ngày ……/.…../2014</v>
          </cell>
          <cell r="C151" t="str">
            <v>COC-140</v>
          </cell>
          <cell r="D151">
            <v>588585.70299999998</v>
          </cell>
          <cell r="E151">
            <v>2317492.4920000001</v>
          </cell>
          <cell r="H151">
            <v>588585.70299999998</v>
          </cell>
          <cell r="I151">
            <v>2317492.4920000001</v>
          </cell>
          <cell r="J151" t="str">
            <v>LICOGI13</v>
          </cell>
          <cell r="M151" t="str">
            <v>10h45</v>
          </cell>
          <cell r="N151" t="str">
            <v>11h50</v>
          </cell>
          <cell r="O151">
            <v>6</v>
          </cell>
          <cell r="P151">
            <v>7</v>
          </cell>
          <cell r="Q151">
            <v>2014</v>
          </cell>
          <cell r="R151" t="str">
            <v>10h45đếnngày 6 tháng 7 năm 2014</v>
          </cell>
          <cell r="S151" t="str">
            <v xml:space="preserve"> từ 10h45 đến 11h50 ngày 6 tháng 7 năm 2014</v>
          </cell>
          <cell r="T151">
            <v>15</v>
          </cell>
          <cell r="U151">
            <v>15</v>
          </cell>
          <cell r="V151">
            <v>11.45</v>
          </cell>
          <cell r="W151">
            <v>280</v>
          </cell>
          <cell r="X151">
            <v>-44.45</v>
          </cell>
          <cell r="Y151">
            <v>-43.54</v>
          </cell>
          <cell r="Z151">
            <v>-2.09</v>
          </cell>
          <cell r="AA151">
            <v>41.45</v>
          </cell>
        </row>
        <row r="152">
          <cell r="A152" t="str">
            <v>COC-141</v>
          </cell>
          <cell r="B152" t="str">
            <v>+ 01 đoạn C3: dài L= 9,5m, loại PC, cấp tải A,  bê tông mác 600     sản xuất ngày ……/.…../2014</v>
          </cell>
          <cell r="C152" t="str">
            <v>COC-141</v>
          </cell>
          <cell r="D152">
            <v>588587.17599999998</v>
          </cell>
          <cell r="E152">
            <v>2317492.2069999999</v>
          </cell>
          <cell r="H152">
            <v>588587.17599999998</v>
          </cell>
          <cell r="I152">
            <v>2317492.2069999999</v>
          </cell>
          <cell r="J152" t="str">
            <v>LICOGI13</v>
          </cell>
          <cell r="M152" t="str">
            <v>08h15</v>
          </cell>
          <cell r="N152" t="str">
            <v>09h20</v>
          </cell>
          <cell r="O152">
            <v>6</v>
          </cell>
          <cell r="P152">
            <v>7</v>
          </cell>
          <cell r="Q152">
            <v>2014</v>
          </cell>
          <cell r="R152" t="str">
            <v>08h15đếnngày 6 tháng 7 năm 2014</v>
          </cell>
          <cell r="S152" t="str">
            <v xml:space="preserve"> từ 08h15 đến 09h20 ngày 6 tháng 7 năm 2014</v>
          </cell>
          <cell r="T152">
            <v>15</v>
          </cell>
          <cell r="U152">
            <v>15</v>
          </cell>
          <cell r="V152">
            <v>11.45</v>
          </cell>
          <cell r="W152">
            <v>280</v>
          </cell>
          <cell r="X152">
            <v>-44.45</v>
          </cell>
          <cell r="Y152">
            <v>-43</v>
          </cell>
          <cell r="Z152">
            <v>-1.55</v>
          </cell>
          <cell r="AA152">
            <v>41.45</v>
          </cell>
        </row>
        <row r="153">
          <cell r="A153" t="str">
            <v>COC-142</v>
          </cell>
          <cell r="B153" t="str">
            <v>+ 01 đoạn C3: dài L= 9,5m, loại PC, cấp tải A,  bê tông mác 600     sản xuất ngày ……/.…../2014</v>
          </cell>
          <cell r="C153" t="str">
            <v>COC-142</v>
          </cell>
          <cell r="D153">
            <v>588586.21799999999</v>
          </cell>
          <cell r="E153">
            <v>2317499.1140000001</v>
          </cell>
          <cell r="H153">
            <v>588586.21799999999</v>
          </cell>
          <cell r="I153">
            <v>2317499.1140000001</v>
          </cell>
          <cell r="J153" t="str">
            <v>LICOGI13</v>
          </cell>
          <cell r="M153" t="str">
            <v>07h15</v>
          </cell>
          <cell r="N153" t="str">
            <v>08h10</v>
          </cell>
          <cell r="O153">
            <v>6</v>
          </cell>
          <cell r="P153">
            <v>7</v>
          </cell>
          <cell r="Q153">
            <v>2014</v>
          </cell>
          <cell r="R153" t="str">
            <v>07h15đếnngày 6 tháng 7 năm 2014</v>
          </cell>
          <cell r="S153" t="str">
            <v xml:space="preserve"> từ 07h15 đến 08h10 ngày 6 tháng 7 năm 2014</v>
          </cell>
          <cell r="T153">
            <v>15</v>
          </cell>
          <cell r="U153">
            <v>15</v>
          </cell>
          <cell r="V153">
            <v>11.45</v>
          </cell>
          <cell r="W153">
            <v>280</v>
          </cell>
          <cell r="X153">
            <v>-44.45</v>
          </cell>
          <cell r="Y153">
            <v>-43.38</v>
          </cell>
          <cell r="Z153">
            <v>-1.93</v>
          </cell>
          <cell r="AA153">
            <v>41.45</v>
          </cell>
        </row>
        <row r="154">
          <cell r="A154" t="str">
            <v>COC-143</v>
          </cell>
          <cell r="B154" t="str">
            <v>+ 01 đoạn C3: dài L= 9,5m, loại PC, cấp tải A,  bê tông mác 600     sản xuất ngày ……/.…../2014</v>
          </cell>
          <cell r="C154" t="str">
            <v>COC-143</v>
          </cell>
          <cell r="D154">
            <v>588587.69099999999</v>
          </cell>
          <cell r="E154">
            <v>2317498.83</v>
          </cell>
          <cell r="H154">
            <v>588587.69099999999</v>
          </cell>
          <cell r="I154">
            <v>2317498.83</v>
          </cell>
          <cell r="J154" t="str">
            <v>LICOGI13</v>
          </cell>
          <cell r="M154" t="str">
            <v>17h25</v>
          </cell>
          <cell r="N154" t="str">
            <v>18h30</v>
          </cell>
          <cell r="O154">
            <v>5</v>
          </cell>
          <cell r="P154">
            <v>7</v>
          </cell>
          <cell r="Q154">
            <v>2014</v>
          </cell>
          <cell r="R154" t="str">
            <v>17h25đếnngày 5 tháng 7 năm 2014</v>
          </cell>
          <cell r="S154" t="str">
            <v xml:space="preserve"> từ 17h25 đến 18h30 ngày 5 tháng 7 năm 2014</v>
          </cell>
          <cell r="T154">
            <v>15</v>
          </cell>
          <cell r="U154">
            <v>15</v>
          </cell>
          <cell r="V154">
            <v>11.45</v>
          </cell>
          <cell r="W154">
            <v>280</v>
          </cell>
          <cell r="X154">
            <v>-44.45</v>
          </cell>
          <cell r="Y154">
            <v>-43.17</v>
          </cell>
          <cell r="Z154">
            <v>-1.72</v>
          </cell>
          <cell r="AA154">
            <v>41.45</v>
          </cell>
        </row>
        <row r="155">
          <cell r="A155" t="str">
            <v>COC-144</v>
          </cell>
          <cell r="B155" t="str">
            <v>+ 01 đoạn C3: dài L= 9,5m, loại PC, cấp tải A,  bê tông mác 600     sản xuất ngày ……/.…../2014</v>
          </cell>
          <cell r="C155" t="str">
            <v>COC-144</v>
          </cell>
          <cell r="D155">
            <v>588589.16399999999</v>
          </cell>
          <cell r="E155">
            <v>2317498.5460000001</v>
          </cell>
          <cell r="H155">
            <v>588589.16399999999</v>
          </cell>
          <cell r="I155">
            <v>2317498.5460000001</v>
          </cell>
          <cell r="J155" t="str">
            <v>LICOGI13</v>
          </cell>
          <cell r="M155" t="str">
            <v>15h30</v>
          </cell>
          <cell r="N155" t="str">
            <v>16h10</v>
          </cell>
          <cell r="O155">
            <v>5</v>
          </cell>
          <cell r="P155">
            <v>7</v>
          </cell>
          <cell r="Q155">
            <v>2014</v>
          </cell>
          <cell r="R155" t="str">
            <v>15h30đếnngày 5 tháng 7 năm 2014</v>
          </cell>
          <cell r="S155" t="str">
            <v xml:space="preserve"> từ 15h30 đến 16h10 ngày 5 tháng 7 năm 2014</v>
          </cell>
          <cell r="T155">
            <v>15</v>
          </cell>
          <cell r="U155">
            <v>15</v>
          </cell>
          <cell r="V155">
            <v>11.45</v>
          </cell>
          <cell r="W155">
            <v>280</v>
          </cell>
          <cell r="X155">
            <v>-44.45</v>
          </cell>
          <cell r="Y155">
            <v>-43</v>
          </cell>
          <cell r="Z155">
            <v>-1.55</v>
          </cell>
          <cell r="AA155">
            <v>41.45</v>
          </cell>
        </row>
        <row r="156">
          <cell r="A156" t="str">
            <v>COC-145</v>
          </cell>
          <cell r="B156" t="str">
            <v>+ 01 đoạn C3: dài L= 9,5m, loại PC, cấp tải A,  bê tông mác 600     sản xuất ngày ……/.…../2014</v>
          </cell>
          <cell r="C156" t="str">
            <v>COC-145</v>
          </cell>
          <cell r="D156">
            <v>588586.55000000005</v>
          </cell>
          <cell r="E156">
            <v>2317500.8330000001</v>
          </cell>
          <cell r="H156">
            <v>588586.55000000005</v>
          </cell>
          <cell r="I156">
            <v>2317500.8330000001</v>
          </cell>
          <cell r="J156" t="str">
            <v>LICOGI13</v>
          </cell>
          <cell r="M156" t="str">
            <v>16h15</v>
          </cell>
          <cell r="N156" t="str">
            <v>17h15</v>
          </cell>
          <cell r="O156">
            <v>5</v>
          </cell>
          <cell r="P156">
            <v>7</v>
          </cell>
          <cell r="Q156">
            <v>2014</v>
          </cell>
          <cell r="R156" t="str">
            <v>16h15đếnngày 5 tháng 7 năm 2014</v>
          </cell>
          <cell r="S156" t="str">
            <v xml:space="preserve"> từ 16h15 đến 17h15 ngày 5 tháng 7 năm 2014</v>
          </cell>
          <cell r="T156">
            <v>15</v>
          </cell>
          <cell r="U156">
            <v>15</v>
          </cell>
          <cell r="V156">
            <v>11.45</v>
          </cell>
          <cell r="W156">
            <v>280</v>
          </cell>
          <cell r="X156">
            <v>-44.45</v>
          </cell>
          <cell r="Y156">
            <v>-43</v>
          </cell>
          <cell r="Z156">
            <v>-1.55</v>
          </cell>
          <cell r="AA156">
            <v>41.45</v>
          </cell>
        </row>
        <row r="157">
          <cell r="A157" t="str">
            <v>COC-146</v>
          </cell>
          <cell r="B157" t="str">
            <v>+ 01 đoạn C3: dài L= 9,5m, loại PC, cấp tải A,  bê tông mác 600     sản xuất ngày ……/.…../2014</v>
          </cell>
          <cell r="C157" t="str">
            <v>COC-146</v>
          </cell>
          <cell r="D157">
            <v>588588.02300000004</v>
          </cell>
          <cell r="E157">
            <v>2317500.548</v>
          </cell>
          <cell r="H157">
            <v>588588.02300000004</v>
          </cell>
          <cell r="I157">
            <v>2317500.548</v>
          </cell>
          <cell r="J157" t="str">
            <v>LICOGI13</v>
          </cell>
          <cell r="M157" t="str">
            <v>14h15</v>
          </cell>
          <cell r="N157" t="str">
            <v>15h15</v>
          </cell>
          <cell r="O157">
            <v>5</v>
          </cell>
          <cell r="P157">
            <v>7</v>
          </cell>
          <cell r="Q157">
            <v>2014</v>
          </cell>
          <cell r="R157" t="str">
            <v>14h15đếnngày 5 tháng 7 năm 2014</v>
          </cell>
          <cell r="S157" t="str">
            <v xml:space="preserve"> từ 14h15 đến 15h15 ngày 5 tháng 7 năm 2014</v>
          </cell>
          <cell r="T157">
            <v>15</v>
          </cell>
          <cell r="U157">
            <v>15</v>
          </cell>
          <cell r="V157">
            <v>11.45</v>
          </cell>
          <cell r="W157">
            <v>280</v>
          </cell>
          <cell r="X157">
            <v>-44.45</v>
          </cell>
          <cell r="Y157">
            <v>-43.12</v>
          </cell>
          <cell r="Z157">
            <v>-1.67</v>
          </cell>
          <cell r="AA157">
            <v>41.45</v>
          </cell>
        </row>
        <row r="158">
          <cell r="A158" t="str">
            <v>COC-147</v>
          </cell>
          <cell r="B158" t="str">
            <v>+ 01 đoạn C3: dài L= 9,5m, loại PC, cấp tải A,  bê tông mác 600     sản xuất ngày ……/.…../2014</v>
          </cell>
          <cell r="C158" t="str">
            <v>COC-147</v>
          </cell>
          <cell r="D158">
            <v>588589.49600000004</v>
          </cell>
          <cell r="E158">
            <v>2317500.264</v>
          </cell>
          <cell r="H158">
            <v>588589.49600000004</v>
          </cell>
          <cell r="I158">
            <v>2317500.264</v>
          </cell>
          <cell r="J158" t="str">
            <v>LICOGI13</v>
          </cell>
          <cell r="M158" t="str">
            <v>09h15</v>
          </cell>
          <cell r="N158" t="str">
            <v>10h15</v>
          </cell>
          <cell r="O158">
            <v>5</v>
          </cell>
          <cell r="P158">
            <v>7</v>
          </cell>
          <cell r="Q158">
            <v>2014</v>
          </cell>
          <cell r="R158" t="str">
            <v>09h15đếnngày 5 tháng 7 năm 2014</v>
          </cell>
          <cell r="S158" t="str">
            <v xml:space="preserve"> từ 09h15 đến 10h15 ngày 5 tháng 7 năm 2014</v>
          </cell>
          <cell r="T158">
            <v>15</v>
          </cell>
          <cell r="U158">
            <v>15</v>
          </cell>
          <cell r="V158">
            <v>11.45</v>
          </cell>
          <cell r="W158">
            <v>280</v>
          </cell>
          <cell r="X158">
            <v>-44.45</v>
          </cell>
          <cell r="Y158">
            <v>-43</v>
          </cell>
          <cell r="Z158">
            <v>-1.55</v>
          </cell>
          <cell r="AA158">
            <v>41.45</v>
          </cell>
        </row>
        <row r="159">
          <cell r="A159" t="str">
            <v>COC-148</v>
          </cell>
          <cell r="B159" t="str">
            <v>+ 01 đoạn C3: dài L= 9,5m, loại PC, cấp tải A,  bê tông mác 600     sản xuất ngày ……/.…../2014</v>
          </cell>
          <cell r="C159" t="str">
            <v>COC-148</v>
          </cell>
          <cell r="D159">
            <v>588586.88199999998</v>
          </cell>
          <cell r="E159">
            <v>2317502.551</v>
          </cell>
          <cell r="H159">
            <v>588586.88199999998</v>
          </cell>
          <cell r="I159">
            <v>2317502.551</v>
          </cell>
          <cell r="J159" t="str">
            <v>LICOGI13</v>
          </cell>
          <cell r="M159" t="str">
            <v>10h30</v>
          </cell>
          <cell r="N159" t="str">
            <v>11h30</v>
          </cell>
          <cell r="O159">
            <v>5</v>
          </cell>
          <cell r="P159">
            <v>7</v>
          </cell>
          <cell r="Q159">
            <v>2014</v>
          </cell>
          <cell r="R159" t="str">
            <v>10h30đếnngày 5 tháng 7 năm 2014</v>
          </cell>
          <cell r="S159" t="str">
            <v xml:space="preserve"> từ 10h30 đến 11h30 ngày 5 tháng 7 năm 2014</v>
          </cell>
          <cell r="T159">
            <v>15</v>
          </cell>
          <cell r="U159">
            <v>15</v>
          </cell>
          <cell r="V159">
            <v>11.45</v>
          </cell>
          <cell r="W159">
            <v>280</v>
          </cell>
          <cell r="X159">
            <v>-44.45</v>
          </cell>
          <cell r="Y159">
            <v>-43.15</v>
          </cell>
          <cell r="Z159">
            <v>-1.7</v>
          </cell>
          <cell r="AA159">
            <v>41.45</v>
          </cell>
        </row>
        <row r="160">
          <cell r="A160" t="str">
            <v>COC-149</v>
          </cell>
          <cell r="B160" t="str">
            <v>+ 01 đoạn C3: dài L= 9,5m, loại PC, cấp tải A,  bê tông mác 600     sản xuất ngày ……/.…../2014</v>
          </cell>
          <cell r="C160" t="str">
            <v>COC-149</v>
          </cell>
          <cell r="D160">
            <v>588588.35400000005</v>
          </cell>
          <cell r="E160">
            <v>2317502.267</v>
          </cell>
          <cell r="H160">
            <v>588588.35400000005</v>
          </cell>
          <cell r="I160">
            <v>2317502.267</v>
          </cell>
          <cell r="J160" t="str">
            <v>LICOGI13</v>
          </cell>
          <cell r="M160" t="e">
            <v>#N/A</v>
          </cell>
          <cell r="N160" t="e">
            <v>#N/A</v>
          </cell>
          <cell r="O160" t="e">
            <v>#N/A</v>
          </cell>
          <cell r="P160" t="e">
            <v>#N/A</v>
          </cell>
          <cell r="Q160" t="e">
            <v>#N/A</v>
          </cell>
          <cell r="R160" t="e">
            <v>#N/A</v>
          </cell>
          <cell r="S160" t="e">
            <v>#N/A</v>
          </cell>
          <cell r="T160">
            <v>15</v>
          </cell>
          <cell r="U160">
            <v>15</v>
          </cell>
          <cell r="V160">
            <v>11.45</v>
          </cell>
          <cell r="W160" t="e">
            <v>#N/A</v>
          </cell>
          <cell r="X160" t="e">
            <v>#N/A</v>
          </cell>
          <cell r="Y160" t="e">
            <v>#N/A</v>
          </cell>
          <cell r="Z160" t="e">
            <v>#N/A</v>
          </cell>
          <cell r="AA160">
            <v>41.45</v>
          </cell>
        </row>
        <row r="161">
          <cell r="A161" t="str">
            <v>COC-150</v>
          </cell>
          <cell r="B161" t="str">
            <v>+ 01 đoạn C3: dài L= 9,5m, loại PC, cấp tải A,  bê tông mác 600     sản xuất ngày ……/.…../2014</v>
          </cell>
          <cell r="C161" t="str">
            <v>COC-150</v>
          </cell>
          <cell r="D161">
            <v>588589.82700000005</v>
          </cell>
          <cell r="E161">
            <v>2317501.9819999998</v>
          </cell>
          <cell r="H161">
            <v>588589.82700000005</v>
          </cell>
          <cell r="I161">
            <v>2317501.9819999998</v>
          </cell>
          <cell r="J161" t="str">
            <v>LICOGI13</v>
          </cell>
          <cell r="M161" t="str">
            <v>9h40</v>
          </cell>
          <cell r="N161" t="str">
            <v>10h45</v>
          </cell>
          <cell r="O161">
            <v>30</v>
          </cell>
          <cell r="P161">
            <v>6</v>
          </cell>
          <cell r="Q161">
            <v>2014</v>
          </cell>
          <cell r="R161" t="str">
            <v>9h40đếnngày 30 tháng 6 năm 2014</v>
          </cell>
          <cell r="S161" t="str">
            <v xml:space="preserve"> từ 9h40 đến 10h45 ngày 30 tháng 6 năm 2014</v>
          </cell>
          <cell r="T161">
            <v>15</v>
          </cell>
          <cell r="U161">
            <v>15</v>
          </cell>
          <cell r="V161">
            <v>11.45</v>
          </cell>
          <cell r="W161">
            <v>280</v>
          </cell>
          <cell r="X161">
            <v>-44.45</v>
          </cell>
          <cell r="Y161">
            <v>-43.11</v>
          </cell>
          <cell r="Z161">
            <v>-1.66</v>
          </cell>
          <cell r="AA161">
            <v>41.45</v>
          </cell>
        </row>
        <row r="162">
          <cell r="A162" t="str">
            <v>COC-151</v>
          </cell>
          <cell r="B162" t="str">
            <v>+ 01 đoạn C3: dài L= 9,5m, loại PC, cấp tải A,  bê tông mác 600     sản xuất ngày ……/.…../2014</v>
          </cell>
          <cell r="C162" t="str">
            <v>COC-151</v>
          </cell>
          <cell r="D162">
            <v>588588.55799999996</v>
          </cell>
          <cell r="E162">
            <v>2317508.5929999999</v>
          </cell>
          <cell r="H162">
            <v>588588.55799999996</v>
          </cell>
          <cell r="I162">
            <v>2317508.5929999999</v>
          </cell>
          <cell r="J162" t="str">
            <v>LICOGI13</v>
          </cell>
          <cell r="M162" t="str">
            <v>06h50</v>
          </cell>
          <cell r="N162" t="str">
            <v>07h40</v>
          </cell>
          <cell r="O162">
            <v>1</v>
          </cell>
          <cell r="P162">
            <v>7</v>
          </cell>
          <cell r="Q162">
            <v>2014</v>
          </cell>
          <cell r="R162" t="str">
            <v>06h50đếnngày 1 tháng 7 năm 2014</v>
          </cell>
          <cell r="S162" t="str">
            <v xml:space="preserve"> từ 06h50 đến 07h40 ngày 1 tháng 7 năm 2014</v>
          </cell>
          <cell r="T162">
            <v>15</v>
          </cell>
          <cell r="U162">
            <v>15</v>
          </cell>
          <cell r="V162">
            <v>11.45</v>
          </cell>
          <cell r="W162">
            <v>280</v>
          </cell>
          <cell r="X162">
            <v>-44.45</v>
          </cell>
          <cell r="Y162">
            <v>-43.07</v>
          </cell>
          <cell r="Z162">
            <v>-1.62</v>
          </cell>
          <cell r="AA162">
            <v>41.45</v>
          </cell>
        </row>
        <row r="163">
          <cell r="A163" t="str">
            <v>COC-152</v>
          </cell>
          <cell r="B163" t="str">
            <v>+ 01 đoạn C3: dài L= 9,5m, loại PC, cấp tải A,  bê tông mác 600     sản xuất ngày ……/.…../2014</v>
          </cell>
          <cell r="C163" t="str">
            <v>COC-152</v>
          </cell>
          <cell r="D163">
            <v>588590.03</v>
          </cell>
          <cell r="E163">
            <v>2317508.3089999999</v>
          </cell>
          <cell r="H163">
            <v>588590.03</v>
          </cell>
          <cell r="I163">
            <v>2317508.3089999999</v>
          </cell>
          <cell r="J163" t="str">
            <v>LICOGI13</v>
          </cell>
          <cell r="M163" t="str">
            <v>14h50</v>
          </cell>
          <cell r="N163" t="str">
            <v>15h55</v>
          </cell>
          <cell r="O163">
            <v>30</v>
          </cell>
          <cell r="P163">
            <v>6</v>
          </cell>
          <cell r="Q163">
            <v>2014</v>
          </cell>
          <cell r="R163" t="str">
            <v>14h50đếnngày 30 tháng 6 năm 2014</v>
          </cell>
          <cell r="S163" t="str">
            <v xml:space="preserve"> từ 14h50 đến 15h55 ngày 30 tháng 6 năm 2014</v>
          </cell>
          <cell r="T163">
            <v>15</v>
          </cell>
          <cell r="U163">
            <v>15</v>
          </cell>
          <cell r="V163">
            <v>11.45</v>
          </cell>
          <cell r="W163">
            <v>280</v>
          </cell>
          <cell r="X163">
            <v>-44.45</v>
          </cell>
          <cell r="Y163">
            <v>-43.71</v>
          </cell>
          <cell r="Z163">
            <v>-2.2599999999999998</v>
          </cell>
          <cell r="AA163">
            <v>41.45</v>
          </cell>
        </row>
        <row r="164">
          <cell r="A164" t="str">
            <v>COC-153</v>
          </cell>
          <cell r="B164" t="str">
            <v>+ 01 đoạn C3: dài L= 9,5m, loại PC, cấp tải A,  bê tông mác 600     sản xuất ngày ……/.…../2014</v>
          </cell>
          <cell r="C164" t="str">
            <v>COC-153</v>
          </cell>
          <cell r="D164">
            <v>588588.10600000003</v>
          </cell>
          <cell r="E164">
            <v>2317510.2080000001</v>
          </cell>
          <cell r="H164">
            <v>588588.10600000003</v>
          </cell>
          <cell r="I164">
            <v>2317510.2080000001</v>
          </cell>
          <cell r="J164" t="str">
            <v>LICOGI13</v>
          </cell>
          <cell r="M164" t="str">
            <v>07h50</v>
          </cell>
          <cell r="N164" t="str">
            <v>08h35</v>
          </cell>
          <cell r="O164">
            <v>1</v>
          </cell>
          <cell r="P164">
            <v>7</v>
          </cell>
          <cell r="Q164">
            <v>2014</v>
          </cell>
          <cell r="R164" t="str">
            <v>07h50đếnngày 1 tháng 7 năm 2014</v>
          </cell>
          <cell r="S164" t="str">
            <v xml:space="preserve"> từ 07h50 đến 08h35 ngày 1 tháng 7 năm 2014</v>
          </cell>
          <cell r="T164">
            <v>15</v>
          </cell>
          <cell r="U164">
            <v>15</v>
          </cell>
          <cell r="V164">
            <v>11.45</v>
          </cell>
          <cell r="W164">
            <v>280</v>
          </cell>
          <cell r="X164">
            <v>-44.45</v>
          </cell>
          <cell r="Y164">
            <v>-43</v>
          </cell>
          <cell r="Z164">
            <v>-1.55</v>
          </cell>
          <cell r="AA164">
            <v>41.45</v>
          </cell>
        </row>
        <row r="165">
          <cell r="A165" t="str">
            <v>COC-154</v>
          </cell>
          <cell r="B165" t="str">
            <v>+ 01 đoạn C3: dài L= 9,5m, loại PC, cấp tải A,  bê tông mác 600     sản xuất ngày ……/.…../2014</v>
          </cell>
          <cell r="C165" t="str">
            <v>COC-154</v>
          </cell>
          <cell r="D165">
            <v>588589.57799999998</v>
          </cell>
          <cell r="E165">
            <v>2317509.9240000001</v>
          </cell>
          <cell r="H165">
            <v>588589.57799999998</v>
          </cell>
          <cell r="I165">
            <v>2317509.9240000001</v>
          </cell>
          <cell r="J165" t="str">
            <v>LICOGI13</v>
          </cell>
          <cell r="M165" t="e">
            <v>#N/A</v>
          </cell>
          <cell r="N165" t="e">
            <v>#N/A</v>
          </cell>
          <cell r="O165" t="e">
            <v>#N/A</v>
          </cell>
          <cell r="P165" t="e">
            <v>#N/A</v>
          </cell>
          <cell r="Q165" t="e">
            <v>#N/A</v>
          </cell>
          <cell r="R165" t="e">
            <v>#N/A</v>
          </cell>
          <cell r="S165" t="e">
            <v>#N/A</v>
          </cell>
          <cell r="T165">
            <v>15</v>
          </cell>
          <cell r="U165">
            <v>15</v>
          </cell>
          <cell r="V165">
            <v>11.45</v>
          </cell>
          <cell r="W165" t="e">
            <v>#N/A</v>
          </cell>
          <cell r="X165" t="e">
            <v>#N/A</v>
          </cell>
          <cell r="Y165" t="e">
            <v>#N/A</v>
          </cell>
          <cell r="Z165" t="e">
            <v>#N/A</v>
          </cell>
          <cell r="AA165">
            <v>41.45</v>
          </cell>
        </row>
        <row r="166">
          <cell r="A166" t="str">
            <v>COC-155</v>
          </cell>
          <cell r="B166" t="str">
            <v>+ 01 đoạn C3: dài L= 9,5m, loại PC, cấp tải A,  bê tông mác 600     sản xuất ngày ……/.…../2014</v>
          </cell>
          <cell r="C166" t="str">
            <v>COC-155</v>
          </cell>
          <cell r="D166">
            <v>588591.05099999998</v>
          </cell>
          <cell r="E166">
            <v>2317509.639</v>
          </cell>
          <cell r="H166">
            <v>588591.05099999998</v>
          </cell>
          <cell r="I166">
            <v>2317509.639</v>
          </cell>
          <cell r="J166" t="str">
            <v>LICOGI13</v>
          </cell>
          <cell r="M166" t="str">
            <v>16h00</v>
          </cell>
          <cell r="N166" t="str">
            <v>16h50</v>
          </cell>
          <cell r="O166">
            <v>8</v>
          </cell>
          <cell r="P166">
            <v>7</v>
          </cell>
          <cell r="Q166">
            <v>2014</v>
          </cell>
          <cell r="R166" t="str">
            <v>16h00đếnngày 8 tháng 7 năm 2014</v>
          </cell>
          <cell r="S166" t="str">
            <v xml:space="preserve"> từ 16h00 đến 16h50 ngày 8 tháng 7 năm 2014</v>
          </cell>
          <cell r="T166">
            <v>15</v>
          </cell>
          <cell r="U166">
            <v>15</v>
          </cell>
          <cell r="V166">
            <v>11.45</v>
          </cell>
          <cell r="W166">
            <v>280</v>
          </cell>
          <cell r="X166">
            <v>-44.45</v>
          </cell>
          <cell r="Y166">
            <v>-43.62</v>
          </cell>
          <cell r="Z166">
            <v>-2.17</v>
          </cell>
          <cell r="AA166">
            <v>41.45</v>
          </cell>
        </row>
        <row r="167">
          <cell r="A167" t="str">
            <v>COC-156</v>
          </cell>
          <cell r="B167" t="str">
            <v>+ 01 đoạn C3: dài L= 9,5m, loại PC, cấp tải A,  bê tông mác 600     sản xuất ngày ……/.…../2014</v>
          </cell>
          <cell r="C167" t="str">
            <v>COC-156</v>
          </cell>
          <cell r="D167">
            <v>588589.12600000005</v>
          </cell>
          <cell r="E167">
            <v>2317511.5389999999</v>
          </cell>
          <cell r="H167">
            <v>588589.12600000005</v>
          </cell>
          <cell r="I167">
            <v>2317511.5389999999</v>
          </cell>
          <cell r="J167" t="str">
            <v>LICOGI13</v>
          </cell>
          <cell r="M167" t="str">
            <v>19h00</v>
          </cell>
          <cell r="N167" t="str">
            <v>19h55</v>
          </cell>
          <cell r="O167">
            <v>8</v>
          </cell>
          <cell r="P167">
            <v>7</v>
          </cell>
          <cell r="Q167">
            <v>2014</v>
          </cell>
          <cell r="R167" t="str">
            <v>19h00đếnngày 8 tháng 7 năm 2014</v>
          </cell>
          <cell r="S167" t="str">
            <v xml:space="preserve"> từ 19h00 đến 19h55 ngày 8 tháng 7 năm 2014</v>
          </cell>
          <cell r="T167">
            <v>15</v>
          </cell>
          <cell r="U167">
            <v>15</v>
          </cell>
          <cell r="V167">
            <v>11.45</v>
          </cell>
          <cell r="W167">
            <v>280</v>
          </cell>
          <cell r="X167">
            <v>-44.45</v>
          </cell>
          <cell r="Y167">
            <v>-42.62</v>
          </cell>
          <cell r="Z167">
            <v>-1.17</v>
          </cell>
          <cell r="AA167">
            <v>41.45</v>
          </cell>
        </row>
        <row r="168">
          <cell r="A168" t="str">
            <v>COC-157</v>
          </cell>
          <cell r="B168" t="str">
            <v>+ 01 đoạn C3: dài L= 9,5m, loại PC, cấp tải A,  bê tông mác 600     sản xuất ngày ……/.…../2014</v>
          </cell>
          <cell r="C168" t="str">
            <v>COC-157</v>
          </cell>
          <cell r="D168">
            <v>588590.59900000005</v>
          </cell>
          <cell r="E168">
            <v>2317511.2540000002</v>
          </cell>
          <cell r="H168">
            <v>588590.59900000005</v>
          </cell>
          <cell r="I168">
            <v>2317511.2540000002</v>
          </cell>
          <cell r="J168" t="str">
            <v>LICOGI13</v>
          </cell>
          <cell r="M168" t="str">
            <v>16h55</v>
          </cell>
          <cell r="N168" t="str">
            <v>17h45</v>
          </cell>
          <cell r="O168">
            <v>8</v>
          </cell>
          <cell r="P168">
            <v>7</v>
          </cell>
          <cell r="Q168">
            <v>2014</v>
          </cell>
          <cell r="R168" t="str">
            <v>16h55đếnngày 8 tháng 7 năm 2014</v>
          </cell>
          <cell r="S168" t="str">
            <v xml:space="preserve"> từ 16h55 đến 17h45 ngày 8 tháng 7 năm 2014</v>
          </cell>
          <cell r="T168">
            <v>15</v>
          </cell>
          <cell r="U168">
            <v>15</v>
          </cell>
          <cell r="V168">
            <v>11.45</v>
          </cell>
          <cell r="W168">
            <v>280</v>
          </cell>
          <cell r="X168">
            <v>-44.45</v>
          </cell>
          <cell r="Y168">
            <v>-43.8</v>
          </cell>
          <cell r="Z168">
            <v>-2.35</v>
          </cell>
          <cell r="AA168">
            <v>41.45</v>
          </cell>
        </row>
        <row r="169">
          <cell r="A169" t="str">
            <v>COC-158</v>
          </cell>
          <cell r="B169" t="str">
            <v>+ 01 đoạn C3: dài L= 9,5m, loại PC, cấp tải A,  bê tông mác 600     sản xuất ngày ……/.…../2014</v>
          </cell>
          <cell r="C169" t="str">
            <v>COC-158</v>
          </cell>
          <cell r="D169">
            <v>588592.47600000002</v>
          </cell>
          <cell r="E169">
            <v>2317488.5359999998</v>
          </cell>
          <cell r="H169">
            <v>588592.47600000002</v>
          </cell>
          <cell r="I169">
            <v>2317488.5359999998</v>
          </cell>
          <cell r="J169" t="str">
            <v>LICOGI13</v>
          </cell>
          <cell r="M169" t="str">
            <v>14h55</v>
          </cell>
          <cell r="N169" t="str">
            <v>15h50</v>
          </cell>
          <cell r="O169">
            <v>8</v>
          </cell>
          <cell r="P169">
            <v>7</v>
          </cell>
          <cell r="Q169">
            <v>2014</v>
          </cell>
          <cell r="R169" t="str">
            <v>14h55đếnngày 8 tháng 7 năm 2014</v>
          </cell>
          <cell r="S169" t="str">
            <v xml:space="preserve"> từ 14h55 đến 15h50 ngày 8 tháng 7 năm 2014</v>
          </cell>
          <cell r="T169">
            <v>15</v>
          </cell>
          <cell r="U169">
            <v>15</v>
          </cell>
          <cell r="V169">
            <v>11.45</v>
          </cell>
          <cell r="W169">
            <v>280</v>
          </cell>
          <cell r="X169">
            <v>-44.45</v>
          </cell>
          <cell r="Y169">
            <v>-43.66</v>
          </cell>
          <cell r="Z169">
            <v>-2.21</v>
          </cell>
          <cell r="AA169">
            <v>41.45</v>
          </cell>
        </row>
        <row r="170">
          <cell r="A170" t="str">
            <v>COC-159</v>
          </cell>
          <cell r="B170" t="str">
            <v>+ 01 đoạn C3: dài L= 9,5m, loại PC, cấp tải A,  bê tông mác 600     sản xuất ngày ……/.…../2014</v>
          </cell>
          <cell r="C170" t="str">
            <v>COC-159</v>
          </cell>
          <cell r="D170">
            <v>588593.94900000002</v>
          </cell>
          <cell r="E170">
            <v>2317488.2510000002</v>
          </cell>
          <cell r="H170">
            <v>588593.94900000002</v>
          </cell>
          <cell r="I170">
            <v>2317488.2510000002</v>
          </cell>
          <cell r="J170" t="str">
            <v>LICOGI13</v>
          </cell>
          <cell r="M170" t="str">
            <v>17h55</v>
          </cell>
          <cell r="N170" t="str">
            <v>18h55</v>
          </cell>
          <cell r="O170">
            <v>8</v>
          </cell>
          <cell r="P170">
            <v>7</v>
          </cell>
          <cell r="Q170">
            <v>2014</v>
          </cell>
          <cell r="R170" t="str">
            <v>17h55đếnngày 8 tháng 7 năm 2014</v>
          </cell>
          <cell r="S170" t="str">
            <v xml:space="preserve"> từ 17h55 đến 18h55 ngày 8 tháng 7 năm 2014</v>
          </cell>
          <cell r="T170">
            <v>15</v>
          </cell>
          <cell r="U170">
            <v>15</v>
          </cell>
          <cell r="V170">
            <v>11.45</v>
          </cell>
          <cell r="W170">
            <v>280</v>
          </cell>
          <cell r="X170">
            <v>-44.45</v>
          </cell>
          <cell r="Y170">
            <v>-44.31</v>
          </cell>
          <cell r="Z170">
            <v>-2.86</v>
          </cell>
          <cell r="AA170">
            <v>41.45</v>
          </cell>
        </row>
        <row r="171">
          <cell r="A171" t="str">
            <v>COC-160</v>
          </cell>
          <cell r="B171" t="str">
            <v>+ 01 đoạn C3: dài L= 9,5m, loại PC, cấp tải A,  bê tông mác 600     sản xuất ngày ……/.…../2014</v>
          </cell>
          <cell r="C171" t="str">
            <v>COC-160</v>
          </cell>
          <cell r="D171">
            <v>588593.45900000003</v>
          </cell>
          <cell r="E171">
            <v>2317489.67</v>
          </cell>
          <cell r="H171">
            <v>588593.45900000003</v>
          </cell>
          <cell r="I171">
            <v>2317489.67</v>
          </cell>
          <cell r="J171" t="str">
            <v>LICOGI13</v>
          </cell>
          <cell r="M171" t="str">
            <v>13h50</v>
          </cell>
          <cell r="N171" t="str">
            <v>14h45</v>
          </cell>
          <cell r="O171">
            <v>8</v>
          </cell>
          <cell r="P171">
            <v>7</v>
          </cell>
          <cell r="Q171">
            <v>2014</v>
          </cell>
          <cell r="R171" t="str">
            <v>13h50đếnngày 8 tháng 7 năm 2014</v>
          </cell>
          <cell r="S171" t="str">
            <v xml:space="preserve"> từ 13h50 đến 14h45 ngày 8 tháng 7 năm 2014</v>
          </cell>
          <cell r="T171">
            <v>15</v>
          </cell>
          <cell r="U171">
            <v>15</v>
          </cell>
          <cell r="V171">
            <v>11.45</v>
          </cell>
          <cell r="W171">
            <v>280</v>
          </cell>
          <cell r="X171">
            <v>-44.45</v>
          </cell>
          <cell r="Y171">
            <v>-43.11</v>
          </cell>
          <cell r="Z171">
            <v>-1.66</v>
          </cell>
          <cell r="AA171">
            <v>41.45</v>
          </cell>
        </row>
        <row r="172">
          <cell r="A172" t="str">
            <v>COC-161</v>
          </cell>
          <cell r="B172" t="str">
            <v>+ 01 đoạn C3: dài L= 9,5m, loại PC, cấp tải A,  bê tông mác 600     sản xuất ngày ……/.…../2014</v>
          </cell>
          <cell r="C172" t="str">
            <v>COC-161</v>
          </cell>
          <cell r="D172">
            <v>588592.96900000004</v>
          </cell>
          <cell r="E172">
            <v>2317491.0890000002</v>
          </cell>
          <cell r="H172">
            <v>588592.96900000004</v>
          </cell>
          <cell r="I172">
            <v>2317491.0890000002</v>
          </cell>
          <cell r="J172" t="str">
            <v>LICOGI13</v>
          </cell>
          <cell r="M172" t="str">
            <v>11h35</v>
          </cell>
          <cell r="N172" t="str">
            <v>12h30</v>
          </cell>
          <cell r="O172">
            <v>8</v>
          </cell>
          <cell r="P172">
            <v>7</v>
          </cell>
          <cell r="Q172">
            <v>2014</v>
          </cell>
          <cell r="R172" t="str">
            <v>11h35đếnngày 8 tháng 7 năm 2014</v>
          </cell>
          <cell r="S172" t="str">
            <v xml:space="preserve"> từ 11h35 đến 12h30 ngày 8 tháng 7 năm 2014</v>
          </cell>
          <cell r="T172">
            <v>15</v>
          </cell>
          <cell r="U172">
            <v>15</v>
          </cell>
          <cell r="V172">
            <v>11.45</v>
          </cell>
          <cell r="W172">
            <v>280</v>
          </cell>
          <cell r="X172">
            <v>-44.45</v>
          </cell>
          <cell r="Y172">
            <v>-43.64</v>
          </cell>
          <cell r="Z172">
            <v>-2.19</v>
          </cell>
          <cell r="AA172">
            <v>41.45</v>
          </cell>
        </row>
        <row r="173">
          <cell r="A173" t="str">
            <v>COC-162</v>
          </cell>
          <cell r="B173" t="str">
            <v>+ 01 đoạn C3: dài L= 9,5m, loại PC, cấp tải A,  bê tông mác 600     sản xuất ngày ……/.…../2014</v>
          </cell>
          <cell r="C173" t="str">
            <v>COC-162</v>
          </cell>
          <cell r="D173">
            <v>588594.44200000004</v>
          </cell>
          <cell r="E173">
            <v>2317490.804</v>
          </cell>
          <cell r="H173">
            <v>588594.44200000004</v>
          </cell>
          <cell r="I173">
            <v>2317490.804</v>
          </cell>
          <cell r="J173" t="str">
            <v>LICOGI13</v>
          </cell>
          <cell r="M173" t="str">
            <v>09h30</v>
          </cell>
          <cell r="N173" t="str">
            <v>10h20</v>
          </cell>
          <cell r="O173">
            <v>8</v>
          </cell>
          <cell r="P173">
            <v>7</v>
          </cell>
          <cell r="Q173">
            <v>2014</v>
          </cell>
          <cell r="R173" t="str">
            <v>09h30đếnngày 8 tháng 7 năm 2014</v>
          </cell>
          <cell r="S173" t="str">
            <v xml:space="preserve"> từ 09h30 đến 10h20 ngày 8 tháng 7 năm 2014</v>
          </cell>
          <cell r="T173">
            <v>15</v>
          </cell>
          <cell r="U173">
            <v>15</v>
          </cell>
          <cell r="V173">
            <v>11.45</v>
          </cell>
          <cell r="W173">
            <v>280</v>
          </cell>
          <cell r="X173">
            <v>-44.45</v>
          </cell>
          <cell r="Y173">
            <v>-43.01</v>
          </cell>
          <cell r="Z173">
            <v>-1.56</v>
          </cell>
          <cell r="AA173">
            <v>41.45</v>
          </cell>
        </row>
        <row r="174">
          <cell r="A174" t="str">
            <v>COC-163</v>
          </cell>
          <cell r="B174" t="str">
            <v>+ 01 đoạn C3: dài L= 9,5m, loại PC, cấp tải A,  bê tông mác 600     sản xuất ngày ……/.…../2014</v>
          </cell>
          <cell r="C174" t="str">
            <v>COC-163</v>
          </cell>
          <cell r="D174">
            <v>588593.53099999996</v>
          </cell>
          <cell r="E174">
            <v>2317497.9569999999</v>
          </cell>
          <cell r="H174">
            <v>588593.53099999996</v>
          </cell>
          <cell r="I174">
            <v>2317497.9569999999</v>
          </cell>
          <cell r="J174" t="str">
            <v>LICOGI13</v>
          </cell>
          <cell r="M174" t="str">
            <v>10h40</v>
          </cell>
          <cell r="N174" t="str">
            <v>11h30</v>
          </cell>
          <cell r="O174">
            <v>8</v>
          </cell>
          <cell r="P174">
            <v>7</v>
          </cell>
          <cell r="Q174">
            <v>2014</v>
          </cell>
          <cell r="R174" t="str">
            <v>10h40đếnngày 8 tháng 7 năm 2014</v>
          </cell>
          <cell r="S174" t="str">
            <v xml:space="preserve"> từ 10h40 đến 11h30 ngày 8 tháng 7 năm 2014</v>
          </cell>
          <cell r="T174">
            <v>15</v>
          </cell>
          <cell r="U174">
            <v>15</v>
          </cell>
          <cell r="V174">
            <v>11.45</v>
          </cell>
          <cell r="W174">
            <v>280</v>
          </cell>
          <cell r="X174">
            <v>-44.45</v>
          </cell>
          <cell r="Y174">
            <v>-42.79</v>
          </cell>
          <cell r="Z174">
            <v>-1.34</v>
          </cell>
          <cell r="AA174">
            <v>41.45</v>
          </cell>
        </row>
        <row r="175">
          <cell r="A175" t="str">
            <v>COC-164</v>
          </cell>
          <cell r="B175" t="str">
            <v>+ 01 đoạn C3: dài L= 9,5m, loại PC, cấp tải A,  bê tông mác 600     sản xuất ngày ……/.…../2014</v>
          </cell>
          <cell r="C175" t="str">
            <v>COC-164</v>
          </cell>
          <cell r="D175">
            <v>588593.81599999999</v>
          </cell>
          <cell r="E175">
            <v>2317499.4300000002</v>
          </cell>
          <cell r="H175">
            <v>588593.81599999999</v>
          </cell>
          <cell r="I175">
            <v>2317499.4300000002</v>
          </cell>
          <cell r="J175" t="str">
            <v>LICOGI13</v>
          </cell>
          <cell r="M175" t="str">
            <v>08h30</v>
          </cell>
          <cell r="N175" t="str">
            <v>09h25</v>
          </cell>
          <cell r="O175">
            <v>8</v>
          </cell>
          <cell r="P175">
            <v>7</v>
          </cell>
          <cell r="Q175">
            <v>2014</v>
          </cell>
          <cell r="R175" t="str">
            <v>08h30đếnngày 8 tháng 7 năm 2014</v>
          </cell>
          <cell r="S175" t="str">
            <v xml:space="preserve"> từ 08h30 đến 09h25 ngày 8 tháng 7 năm 2014</v>
          </cell>
          <cell r="T175">
            <v>15</v>
          </cell>
          <cell r="U175">
            <v>15</v>
          </cell>
          <cell r="V175">
            <v>11.45</v>
          </cell>
          <cell r="W175">
            <v>280</v>
          </cell>
          <cell r="X175">
            <v>-44.45</v>
          </cell>
          <cell r="Y175">
            <v>-43.37</v>
          </cell>
          <cell r="Z175">
            <v>-1.92</v>
          </cell>
          <cell r="AA175">
            <v>41.45</v>
          </cell>
        </row>
        <row r="176">
          <cell r="A176" t="str">
            <v>COC-165</v>
          </cell>
          <cell r="B176" t="str">
            <v>+ 01 đoạn C3: dài L= 9,5m, loại PC, cấp tải A,  bê tông mác 600     sản xuất ngày ……/.…../2014</v>
          </cell>
          <cell r="C176" t="str">
            <v>COC-165</v>
          </cell>
          <cell r="D176">
            <v>588594.1</v>
          </cell>
          <cell r="E176">
            <v>2317500.9029999999</v>
          </cell>
          <cell r="H176">
            <v>588594.1</v>
          </cell>
          <cell r="I176">
            <v>2317500.9029999999</v>
          </cell>
          <cell r="J176" t="str">
            <v>LICOGI13</v>
          </cell>
          <cell r="M176" t="str">
            <v>23h15</v>
          </cell>
          <cell r="N176" t="str">
            <v>24h00</v>
          </cell>
          <cell r="O176">
            <v>7</v>
          </cell>
          <cell r="P176">
            <v>7</v>
          </cell>
          <cell r="Q176">
            <v>2014</v>
          </cell>
          <cell r="R176" t="str">
            <v>23h15đếnngày 7 tháng 7 năm 2014</v>
          </cell>
          <cell r="S176" t="str">
            <v xml:space="preserve"> từ 23h15 đến 24h00 ngày 7 tháng 7 năm 2014</v>
          </cell>
          <cell r="T176">
            <v>15</v>
          </cell>
          <cell r="U176">
            <v>15</v>
          </cell>
          <cell r="V176">
            <v>11.45</v>
          </cell>
          <cell r="W176">
            <v>280</v>
          </cell>
          <cell r="X176">
            <v>-44.45</v>
          </cell>
          <cell r="Y176">
            <v>-43.05</v>
          </cell>
          <cell r="Z176">
            <v>-1.6</v>
          </cell>
          <cell r="AA176">
            <v>41.45</v>
          </cell>
        </row>
        <row r="177">
          <cell r="A177" t="str">
            <v>COC-166</v>
          </cell>
          <cell r="B177" t="str">
            <v>+ 01 đoạn C3: dài L= 9,5m, loại PC, cấp tải A,  bê tông mác 600     sản xuất ngày ……/.…../2014</v>
          </cell>
          <cell r="C177" t="str">
            <v>COC-166</v>
          </cell>
          <cell r="D177">
            <v>588595.00399999996</v>
          </cell>
          <cell r="E177">
            <v>2317497.6719999998</v>
          </cell>
          <cell r="H177">
            <v>588595.00399999996</v>
          </cell>
          <cell r="I177">
            <v>2317497.6719999998</v>
          </cell>
          <cell r="J177" t="str">
            <v>LICOGI13</v>
          </cell>
          <cell r="M177" t="str">
            <v>07h35</v>
          </cell>
          <cell r="N177" t="str">
            <v>08h25</v>
          </cell>
          <cell r="O177">
            <v>8</v>
          </cell>
          <cell r="P177">
            <v>7</v>
          </cell>
          <cell r="Q177">
            <v>2014</v>
          </cell>
          <cell r="R177" t="str">
            <v>07h35đếnngày 8 tháng 7 năm 2014</v>
          </cell>
          <cell r="S177" t="str">
            <v xml:space="preserve"> từ 07h35 đến 08h25 ngày 8 tháng 7 năm 2014</v>
          </cell>
          <cell r="T177">
            <v>15</v>
          </cell>
          <cell r="U177">
            <v>15</v>
          </cell>
          <cell r="V177">
            <v>11.45</v>
          </cell>
          <cell r="W177">
            <v>280</v>
          </cell>
          <cell r="X177">
            <v>-44.45</v>
          </cell>
          <cell r="Y177">
            <v>-43.19</v>
          </cell>
          <cell r="Z177">
            <v>-1.74</v>
          </cell>
          <cell r="AA177">
            <v>41.45</v>
          </cell>
        </row>
        <row r="178">
          <cell r="A178" t="str">
            <v>COC-167</v>
          </cell>
          <cell r="B178" t="str">
            <v>+ 01 đoạn C3: dài L= 9,5m, loại PC, cấp tải A,  bê tông mác 600     sản xuất ngày ……/.…../2014</v>
          </cell>
          <cell r="C178" t="str">
            <v>COC-167</v>
          </cell>
          <cell r="D178">
            <v>588595.28899999999</v>
          </cell>
          <cell r="E178">
            <v>2317499.145</v>
          </cell>
          <cell r="H178">
            <v>588595.28899999999</v>
          </cell>
          <cell r="I178">
            <v>2317499.145</v>
          </cell>
          <cell r="J178" t="str">
            <v>LICOGI13</v>
          </cell>
          <cell r="M178" t="str">
            <v>22h20</v>
          </cell>
          <cell r="N178" t="str">
            <v>23h10</v>
          </cell>
          <cell r="O178">
            <v>7</v>
          </cell>
          <cell r="P178">
            <v>7</v>
          </cell>
          <cell r="Q178">
            <v>2014</v>
          </cell>
          <cell r="R178" t="str">
            <v>22h20đếnngày 7 tháng 7 năm 2014</v>
          </cell>
          <cell r="S178" t="str">
            <v xml:space="preserve"> từ 22h20 đến 23h10 ngày 7 tháng 7 năm 2014</v>
          </cell>
          <cell r="T178">
            <v>15</v>
          </cell>
          <cell r="U178">
            <v>15</v>
          </cell>
          <cell r="V178">
            <v>11.45</v>
          </cell>
          <cell r="W178">
            <v>280</v>
          </cell>
          <cell r="X178">
            <v>-44.45</v>
          </cell>
          <cell r="Y178">
            <v>-43</v>
          </cell>
          <cell r="Z178">
            <v>-1.55</v>
          </cell>
          <cell r="AA178">
            <v>41.45</v>
          </cell>
        </row>
        <row r="179">
          <cell r="A179" t="str">
            <v>COC-168</v>
          </cell>
          <cell r="B179" t="str">
            <v>+ 01 đoạn C3: dài L= 9,5m, loại PC, cấp tải A,  bê tông mác 600     sản xuất ngày ……/.…../2014</v>
          </cell>
          <cell r="C179" t="str">
            <v>COC-168</v>
          </cell>
          <cell r="D179">
            <v>588595.57299999997</v>
          </cell>
          <cell r="E179">
            <v>2317500.6179999998</v>
          </cell>
          <cell r="H179">
            <v>588595.57299999997</v>
          </cell>
          <cell r="I179">
            <v>2317500.6179999998</v>
          </cell>
          <cell r="J179" t="str">
            <v>LICOGI13</v>
          </cell>
          <cell r="M179" t="str">
            <v>21h30</v>
          </cell>
          <cell r="N179" t="str">
            <v>22h05</v>
          </cell>
          <cell r="O179">
            <v>7</v>
          </cell>
          <cell r="P179">
            <v>7</v>
          </cell>
          <cell r="Q179">
            <v>2014</v>
          </cell>
          <cell r="R179" t="str">
            <v>21h30đếnngày 7 tháng 7 năm 2014</v>
          </cell>
          <cell r="S179" t="str">
            <v xml:space="preserve"> từ 21h30 đến 22h05 ngày 7 tháng 7 năm 2014</v>
          </cell>
          <cell r="T179">
            <v>15</v>
          </cell>
          <cell r="U179">
            <v>15</v>
          </cell>
          <cell r="V179">
            <v>11.45</v>
          </cell>
          <cell r="W179">
            <v>280</v>
          </cell>
          <cell r="X179">
            <v>-44.45</v>
          </cell>
          <cell r="Y179">
            <v>-43</v>
          </cell>
          <cell r="Z179">
            <v>-1.55</v>
          </cell>
          <cell r="AA179">
            <v>41.45</v>
          </cell>
        </row>
        <row r="180">
          <cell r="A180" t="str">
            <v>COC-169</v>
          </cell>
          <cell r="B180" t="str">
            <v>+ 01 đoạn C3: dài L= 9,5m, loại PC, cấp tải A,  bê tông mác 600     sản xuất ngày ……/.…../2014</v>
          </cell>
          <cell r="C180" t="str">
            <v>COC-169</v>
          </cell>
          <cell r="D180">
            <v>588596.47699999996</v>
          </cell>
          <cell r="E180">
            <v>2317497.3879999998</v>
          </cell>
          <cell r="H180">
            <v>588596.47699999996</v>
          </cell>
          <cell r="I180">
            <v>2317497.3879999998</v>
          </cell>
          <cell r="J180" t="str">
            <v>LICOGI13</v>
          </cell>
          <cell r="M180" t="str">
            <v>19h30</v>
          </cell>
          <cell r="N180" t="str">
            <v>20h20</v>
          </cell>
          <cell r="O180">
            <v>7</v>
          </cell>
          <cell r="P180">
            <v>7</v>
          </cell>
          <cell r="Q180">
            <v>2014</v>
          </cell>
          <cell r="R180" t="str">
            <v>19h30đếnngày 7 tháng 7 năm 2014</v>
          </cell>
          <cell r="S180" t="str">
            <v xml:space="preserve"> từ 19h30 đến 20h20 ngày 7 tháng 7 năm 2014</v>
          </cell>
          <cell r="T180">
            <v>15</v>
          </cell>
          <cell r="U180">
            <v>15</v>
          </cell>
          <cell r="V180">
            <v>11.45</v>
          </cell>
          <cell r="W180">
            <v>280</v>
          </cell>
          <cell r="X180">
            <v>-44.45</v>
          </cell>
          <cell r="Y180">
            <v>-43.11</v>
          </cell>
          <cell r="Z180">
            <v>-1.66</v>
          </cell>
          <cell r="AA180">
            <v>41.45</v>
          </cell>
        </row>
        <row r="181">
          <cell r="A181" t="str">
            <v>COC-170</v>
          </cell>
          <cell r="B181" t="str">
            <v>+ 01 đoạn C3: dài L= 9,5m, loại PC, cấp tải A,  bê tông mác 600     sản xuất ngày ……/.…../2014</v>
          </cell>
          <cell r="C181" t="str">
            <v>COC-170</v>
          </cell>
          <cell r="D181">
            <v>588596.76199999999</v>
          </cell>
          <cell r="E181">
            <v>2317498.861</v>
          </cell>
          <cell r="H181">
            <v>588596.76199999999</v>
          </cell>
          <cell r="I181">
            <v>2317498.861</v>
          </cell>
          <cell r="J181" t="str">
            <v>LICOGI13</v>
          </cell>
          <cell r="M181" t="str">
            <v>20h30</v>
          </cell>
          <cell r="N181" t="str">
            <v>21h20</v>
          </cell>
          <cell r="O181">
            <v>7</v>
          </cell>
          <cell r="P181">
            <v>7</v>
          </cell>
          <cell r="Q181">
            <v>2014</v>
          </cell>
          <cell r="R181" t="str">
            <v>20h30đếnngày 7 tháng 7 năm 2014</v>
          </cell>
          <cell r="S181" t="str">
            <v xml:space="preserve"> từ 20h30 đến 21h20 ngày 7 tháng 7 năm 2014</v>
          </cell>
          <cell r="T181">
            <v>15</v>
          </cell>
          <cell r="U181">
            <v>15</v>
          </cell>
          <cell r="V181">
            <v>11.45</v>
          </cell>
          <cell r="W181">
            <v>280</v>
          </cell>
          <cell r="X181">
            <v>-44.45</v>
          </cell>
          <cell r="Y181">
            <v>-43</v>
          </cell>
          <cell r="Z181">
            <v>-1.55</v>
          </cell>
          <cell r="AA181">
            <v>41.45</v>
          </cell>
        </row>
        <row r="182">
          <cell r="A182" t="str">
            <v>COC-171</v>
          </cell>
          <cell r="B182" t="str">
            <v>+ 01 đoạn C3: dài L= 9,5m, loại PC, cấp tải A,  bê tông mác 600     sản xuất ngày ……/.…../2014</v>
          </cell>
          <cell r="C182" t="str">
            <v>COC-171</v>
          </cell>
          <cell r="D182">
            <v>588597.04599999997</v>
          </cell>
          <cell r="E182">
            <v>2317500.3339999998</v>
          </cell>
          <cell r="H182">
            <v>588597.04599999997</v>
          </cell>
          <cell r="I182">
            <v>2317500.3339999998</v>
          </cell>
          <cell r="J182" t="str">
            <v>LICOGI13</v>
          </cell>
          <cell r="M182" t="str">
            <v>18h30</v>
          </cell>
          <cell r="N182" t="str">
            <v>19h20</v>
          </cell>
          <cell r="O182">
            <v>7</v>
          </cell>
          <cell r="P182">
            <v>7</v>
          </cell>
          <cell r="Q182">
            <v>2014</v>
          </cell>
          <cell r="R182" t="str">
            <v>18h30đếnngày 7 tháng 7 năm 2014</v>
          </cell>
          <cell r="S182" t="str">
            <v xml:space="preserve"> từ 18h30 đến 19h20 ngày 7 tháng 7 năm 2014</v>
          </cell>
          <cell r="T182">
            <v>15</v>
          </cell>
          <cell r="U182">
            <v>15</v>
          </cell>
          <cell r="V182">
            <v>11.45</v>
          </cell>
          <cell r="W182">
            <v>280</v>
          </cell>
          <cell r="X182">
            <v>-44.45</v>
          </cell>
          <cell r="Y182">
            <v>-42.45</v>
          </cell>
          <cell r="Z182">
            <v>-1</v>
          </cell>
          <cell r="AA182">
            <v>41.45</v>
          </cell>
        </row>
        <row r="183">
          <cell r="A183" t="str">
            <v>COC-172</v>
          </cell>
          <cell r="B183" t="str">
            <v>+ 01 đoạn C3: dài L= 9,5m, loại PC, cấp tải A,  bê tông mác 600     sản xuất ngày ……/.…../2014</v>
          </cell>
          <cell r="C183" t="str">
            <v>COC-172</v>
          </cell>
          <cell r="D183">
            <v>588596.06000000006</v>
          </cell>
          <cell r="E183">
            <v>2317507.094</v>
          </cell>
          <cell r="H183">
            <v>588596.06000000006</v>
          </cell>
          <cell r="I183">
            <v>2317507.094</v>
          </cell>
          <cell r="J183" t="str">
            <v>LICOGI13</v>
          </cell>
          <cell r="M183" t="str">
            <v>17h10</v>
          </cell>
          <cell r="N183" t="str">
            <v>18h00</v>
          </cell>
          <cell r="O183">
            <v>7</v>
          </cell>
          <cell r="P183">
            <v>7</v>
          </cell>
          <cell r="Q183">
            <v>2014</v>
          </cell>
          <cell r="R183" t="str">
            <v>17h10đếnngày 7 tháng 7 năm 2014</v>
          </cell>
          <cell r="S183" t="str">
            <v xml:space="preserve"> từ 17h10 đến 18h00 ngày 7 tháng 7 năm 2014</v>
          </cell>
          <cell r="T183">
            <v>15</v>
          </cell>
          <cell r="U183">
            <v>15</v>
          </cell>
          <cell r="V183">
            <v>11.45</v>
          </cell>
          <cell r="W183">
            <v>280</v>
          </cell>
          <cell r="X183">
            <v>-44.45</v>
          </cell>
          <cell r="Y183">
            <v>-42.65</v>
          </cell>
          <cell r="Z183">
            <v>-1.2</v>
          </cell>
          <cell r="AA183">
            <v>41.45</v>
          </cell>
        </row>
        <row r="184">
          <cell r="A184" t="str">
            <v>COC-173</v>
          </cell>
          <cell r="B184" t="str">
            <v>+ 01 đoạn C3: dài L= 9,5m, loại PC, cấp tải A,  bê tông mác 600     sản xuất ngày ……/.…../2014</v>
          </cell>
          <cell r="C184" t="str">
            <v>COC-173</v>
          </cell>
          <cell r="D184">
            <v>588597.53300000005</v>
          </cell>
          <cell r="E184">
            <v>2317506.8089999999</v>
          </cell>
          <cell r="H184">
            <v>588597.53300000005</v>
          </cell>
          <cell r="I184">
            <v>2317506.8089999999</v>
          </cell>
          <cell r="J184" t="str">
            <v>LICOGI13</v>
          </cell>
          <cell r="M184" t="e">
            <v>#N/A</v>
          </cell>
          <cell r="N184" t="e">
            <v>#N/A</v>
          </cell>
          <cell r="O184" t="e">
            <v>#N/A</v>
          </cell>
          <cell r="P184" t="e">
            <v>#N/A</v>
          </cell>
          <cell r="Q184" t="e">
            <v>#N/A</v>
          </cell>
          <cell r="R184" t="e">
            <v>#N/A</v>
          </cell>
          <cell r="S184" t="e">
            <v>#N/A</v>
          </cell>
          <cell r="T184">
            <v>15</v>
          </cell>
          <cell r="U184">
            <v>15</v>
          </cell>
          <cell r="V184">
            <v>11.45</v>
          </cell>
          <cell r="W184" t="e">
            <v>#N/A</v>
          </cell>
          <cell r="X184" t="e">
            <v>#N/A</v>
          </cell>
          <cell r="Y184" t="e">
            <v>#N/A</v>
          </cell>
          <cell r="Z184" t="e">
            <v>#N/A</v>
          </cell>
          <cell r="AA184">
            <v>41.45</v>
          </cell>
        </row>
        <row r="185">
          <cell r="A185" t="str">
            <v>COC-174</v>
          </cell>
          <cell r="B185" t="str">
            <v>+ 01 đoạn C3: dài L= 9,5m, loại PC, cấp tải A,  bê tông mác 600     sản xuất ngày ……/.…../2014</v>
          </cell>
          <cell r="C185" t="str">
            <v>COC-174</v>
          </cell>
          <cell r="D185">
            <v>588597.04299999995</v>
          </cell>
          <cell r="E185">
            <v>2317508.2280000001</v>
          </cell>
          <cell r="H185">
            <v>588597.04299999995</v>
          </cell>
          <cell r="I185">
            <v>2317508.2280000001</v>
          </cell>
          <cell r="J185" t="str">
            <v>LICOGI13</v>
          </cell>
          <cell r="M185" t="e">
            <v>#N/A</v>
          </cell>
          <cell r="N185" t="e">
            <v>#N/A</v>
          </cell>
          <cell r="O185" t="e">
            <v>#N/A</v>
          </cell>
          <cell r="P185" t="e">
            <v>#N/A</v>
          </cell>
          <cell r="Q185" t="e">
            <v>#N/A</v>
          </cell>
          <cell r="R185" t="e">
            <v>#N/A</v>
          </cell>
          <cell r="S185" t="e">
            <v>#N/A</v>
          </cell>
          <cell r="T185">
            <v>15</v>
          </cell>
          <cell r="U185">
            <v>15</v>
          </cell>
          <cell r="V185">
            <v>11.45</v>
          </cell>
          <cell r="W185" t="e">
            <v>#N/A</v>
          </cell>
          <cell r="X185" t="e">
            <v>#N/A</v>
          </cell>
          <cell r="Y185" t="e">
            <v>#N/A</v>
          </cell>
          <cell r="Z185" t="e">
            <v>#N/A</v>
          </cell>
          <cell r="AA185">
            <v>41.45</v>
          </cell>
        </row>
        <row r="186">
          <cell r="A186" t="str">
            <v>COC-175</v>
          </cell>
          <cell r="B186" t="str">
            <v>+ 01 đoạn C3: dài L= 9,5m, loại PC, cấp tải A,  bê tông mác 600     sản xuất ngày ……/.…../2014</v>
          </cell>
          <cell r="C186" t="str">
            <v>COC-175</v>
          </cell>
          <cell r="D186">
            <v>588596.55299999996</v>
          </cell>
          <cell r="E186">
            <v>2317509.6469999999</v>
          </cell>
          <cell r="H186">
            <v>588596.55299999996</v>
          </cell>
          <cell r="I186">
            <v>2317509.6469999999</v>
          </cell>
          <cell r="J186" t="str">
            <v>LICOGI13</v>
          </cell>
          <cell r="M186" t="e">
            <v>#N/A</v>
          </cell>
          <cell r="N186" t="e">
            <v>#N/A</v>
          </cell>
          <cell r="O186" t="e">
            <v>#N/A</v>
          </cell>
          <cell r="P186" t="e">
            <v>#N/A</v>
          </cell>
          <cell r="Q186" t="e">
            <v>#N/A</v>
          </cell>
          <cell r="R186" t="e">
            <v>#N/A</v>
          </cell>
          <cell r="S186" t="e">
            <v>#N/A</v>
          </cell>
          <cell r="T186">
            <v>15</v>
          </cell>
          <cell r="U186">
            <v>15</v>
          </cell>
          <cell r="V186">
            <v>11.45</v>
          </cell>
          <cell r="W186" t="e">
            <v>#N/A</v>
          </cell>
          <cell r="X186" t="e">
            <v>#N/A</v>
          </cell>
          <cell r="Y186" t="e">
            <v>#N/A</v>
          </cell>
          <cell r="Z186" t="e">
            <v>#N/A</v>
          </cell>
          <cell r="AA186">
            <v>41.45</v>
          </cell>
        </row>
        <row r="187">
          <cell r="A187" t="str">
            <v>COC-176</v>
          </cell>
          <cell r="B187" t="str">
            <v>+ 01 đoạn C3: dài L= 9,5m, loại PC, cấp tải A,  bê tông mác 600     sản xuất ngày ……/.…../2014</v>
          </cell>
          <cell r="C187" t="str">
            <v>COC-176</v>
          </cell>
          <cell r="D187">
            <v>588598.02500000002</v>
          </cell>
          <cell r="E187">
            <v>2317509.3620000002</v>
          </cell>
          <cell r="H187">
            <v>588598.02500000002</v>
          </cell>
          <cell r="I187">
            <v>2317509.3620000002</v>
          </cell>
          <cell r="J187" t="str">
            <v>LICOGI13</v>
          </cell>
          <cell r="M187" t="e">
            <v>#N/A</v>
          </cell>
          <cell r="N187" t="e">
            <v>#N/A</v>
          </cell>
          <cell r="O187" t="e">
            <v>#N/A</v>
          </cell>
          <cell r="P187" t="e">
            <v>#N/A</v>
          </cell>
          <cell r="Q187" t="e">
            <v>#N/A</v>
          </cell>
          <cell r="R187" t="e">
            <v>#N/A</v>
          </cell>
          <cell r="S187" t="e">
            <v>#N/A</v>
          </cell>
          <cell r="T187">
            <v>15</v>
          </cell>
          <cell r="U187">
            <v>15</v>
          </cell>
          <cell r="V187">
            <v>11.45</v>
          </cell>
          <cell r="W187" t="e">
            <v>#N/A</v>
          </cell>
          <cell r="X187" t="e">
            <v>#N/A</v>
          </cell>
          <cell r="Y187" t="e">
            <v>#N/A</v>
          </cell>
          <cell r="Z187" t="e">
            <v>#N/A</v>
          </cell>
          <cell r="AA187">
            <v>41.45</v>
          </cell>
        </row>
        <row r="188">
          <cell r="A188" t="str">
            <v>COC-177</v>
          </cell>
          <cell r="B188" t="str">
            <v>+ 01 đoạn C3: dài L= 9,5m, loại PC, cấp tải A,  bê tông mác 600     sản xuất ngày ……/.…../2014</v>
          </cell>
          <cell r="C188" t="str">
            <v>COC-177</v>
          </cell>
          <cell r="D188">
            <v>588599.74199999997</v>
          </cell>
          <cell r="E188">
            <v>2317487.1329999999</v>
          </cell>
          <cell r="H188">
            <v>588599.74199999997</v>
          </cell>
          <cell r="I188">
            <v>2317487.1329999999</v>
          </cell>
          <cell r="J188" t="str">
            <v>LICOGI13</v>
          </cell>
          <cell r="M188" t="e">
            <v>#N/A</v>
          </cell>
          <cell r="N188" t="e">
            <v>#N/A</v>
          </cell>
          <cell r="O188" t="e">
            <v>#N/A</v>
          </cell>
          <cell r="P188" t="e">
            <v>#N/A</v>
          </cell>
          <cell r="Q188" t="e">
            <v>#N/A</v>
          </cell>
          <cell r="R188" t="e">
            <v>#N/A</v>
          </cell>
          <cell r="S188" t="e">
            <v>#N/A</v>
          </cell>
          <cell r="T188">
            <v>15</v>
          </cell>
          <cell r="U188">
            <v>15</v>
          </cell>
          <cell r="V188">
            <v>11.45</v>
          </cell>
          <cell r="W188" t="e">
            <v>#N/A</v>
          </cell>
          <cell r="X188" t="e">
            <v>#N/A</v>
          </cell>
          <cell r="Y188" t="e">
            <v>#N/A</v>
          </cell>
          <cell r="Z188" t="e">
            <v>#N/A</v>
          </cell>
          <cell r="AA188">
            <v>41.45</v>
          </cell>
        </row>
        <row r="189">
          <cell r="A189" t="str">
            <v>COC-178</v>
          </cell>
          <cell r="B189" t="str">
            <v>+ 01 đoạn C3: dài L= 9,5m, loại PC, cấp tải A,  bê tông mác 600     sản xuất ngày ……/.…../2014</v>
          </cell>
          <cell r="C189" t="str">
            <v>COC-178</v>
          </cell>
          <cell r="D189">
            <v>588601.21499999997</v>
          </cell>
          <cell r="E189">
            <v>2317486.8480000002</v>
          </cell>
          <cell r="H189">
            <v>588601.21499999997</v>
          </cell>
          <cell r="I189">
            <v>2317486.8480000002</v>
          </cell>
          <cell r="J189" t="str">
            <v>LICOGI13</v>
          </cell>
          <cell r="M189" t="e">
            <v>#N/A</v>
          </cell>
          <cell r="N189" t="e">
            <v>#N/A</v>
          </cell>
          <cell r="O189" t="e">
            <v>#N/A</v>
          </cell>
          <cell r="P189" t="e">
            <v>#N/A</v>
          </cell>
          <cell r="Q189" t="e">
            <v>#N/A</v>
          </cell>
          <cell r="R189" t="e">
            <v>#N/A</v>
          </cell>
          <cell r="S189" t="e">
            <v>#N/A</v>
          </cell>
          <cell r="T189">
            <v>15</v>
          </cell>
          <cell r="U189">
            <v>15</v>
          </cell>
          <cell r="V189">
            <v>11.45</v>
          </cell>
          <cell r="W189" t="e">
            <v>#N/A</v>
          </cell>
          <cell r="X189" t="e">
            <v>#N/A</v>
          </cell>
          <cell r="Y189" t="e">
            <v>#N/A</v>
          </cell>
          <cell r="Z189" t="e">
            <v>#N/A</v>
          </cell>
          <cell r="AA189">
            <v>41.45</v>
          </cell>
        </row>
        <row r="190">
          <cell r="A190" t="str">
            <v>COC-179</v>
          </cell>
          <cell r="B190" t="str">
            <v>+ 01 đoạn C3: dài L= 9,5m, loại PC, cấp tải A,  bê tông mác 600     sản xuất ngày ……/.…../2014</v>
          </cell>
          <cell r="C190" t="str">
            <v>COC-179</v>
          </cell>
          <cell r="D190">
            <v>588600.72499999998</v>
          </cell>
          <cell r="E190">
            <v>2317488.267</v>
          </cell>
          <cell r="H190">
            <v>588600.72499999998</v>
          </cell>
          <cell r="I190">
            <v>2317488.267</v>
          </cell>
          <cell r="J190" t="str">
            <v>LICOGI13</v>
          </cell>
          <cell r="M190" t="e">
            <v>#N/A</v>
          </cell>
          <cell r="N190" t="e">
            <v>#N/A</v>
          </cell>
          <cell r="O190" t="e">
            <v>#N/A</v>
          </cell>
          <cell r="P190" t="e">
            <v>#N/A</v>
          </cell>
          <cell r="Q190" t="e">
            <v>#N/A</v>
          </cell>
          <cell r="R190" t="e">
            <v>#N/A</v>
          </cell>
          <cell r="S190" t="e">
            <v>#N/A</v>
          </cell>
          <cell r="T190">
            <v>15</v>
          </cell>
          <cell r="U190">
            <v>15</v>
          </cell>
          <cell r="V190">
            <v>11.45</v>
          </cell>
          <cell r="W190" t="e">
            <v>#N/A</v>
          </cell>
          <cell r="X190" t="e">
            <v>#N/A</v>
          </cell>
          <cell r="Y190" t="e">
            <v>#N/A</v>
          </cell>
          <cell r="Z190" t="e">
            <v>#N/A</v>
          </cell>
          <cell r="AA190">
            <v>41.45</v>
          </cell>
        </row>
        <row r="191">
          <cell r="A191" t="str">
            <v>COC-180</v>
          </cell>
          <cell r="B191" t="str">
            <v>+ 01 đoạn C3: dài L= 9,5m, loại PC, cấp tải A,  bê tông mác 600     sản xuất ngày ……/.…../2014</v>
          </cell>
          <cell r="C191" t="str">
            <v>COC-180</v>
          </cell>
          <cell r="D191">
            <v>588600.23499999999</v>
          </cell>
          <cell r="E191">
            <v>2317489.6860000002</v>
          </cell>
          <cell r="H191">
            <v>588600.23499999999</v>
          </cell>
          <cell r="I191">
            <v>2317489.6860000002</v>
          </cell>
          <cell r="J191" t="str">
            <v>LICOGI13</v>
          </cell>
          <cell r="M191" t="e">
            <v>#N/A</v>
          </cell>
          <cell r="N191" t="e">
            <v>#N/A</v>
          </cell>
          <cell r="O191" t="e">
            <v>#N/A</v>
          </cell>
          <cell r="P191" t="e">
            <v>#N/A</v>
          </cell>
          <cell r="Q191" t="e">
            <v>#N/A</v>
          </cell>
          <cell r="R191" t="e">
            <v>#N/A</v>
          </cell>
          <cell r="S191" t="e">
            <v>#N/A</v>
          </cell>
          <cell r="T191">
            <v>15</v>
          </cell>
          <cell r="U191">
            <v>15</v>
          </cell>
          <cell r="V191">
            <v>11.45</v>
          </cell>
          <cell r="W191" t="e">
            <v>#N/A</v>
          </cell>
          <cell r="X191" t="e">
            <v>#N/A</v>
          </cell>
          <cell r="Y191" t="e">
            <v>#N/A</v>
          </cell>
          <cell r="Z191" t="e">
            <v>#N/A</v>
          </cell>
          <cell r="AA191">
            <v>41.45</v>
          </cell>
        </row>
        <row r="192">
          <cell r="A192" t="str">
            <v>COC-181</v>
          </cell>
          <cell r="B192" t="str">
            <v>+ 01 đoạn C3: dài L= 9,5m, loại PC, cấp tải A,  bê tông mác 600     sản xuất ngày ……/.…../2014</v>
          </cell>
          <cell r="C192" t="str">
            <v>COC-181</v>
          </cell>
          <cell r="D192">
            <v>588601.70799999998</v>
          </cell>
          <cell r="E192">
            <v>2317489.4010000001</v>
          </cell>
          <cell r="H192">
            <v>588601.70799999998</v>
          </cell>
          <cell r="I192">
            <v>2317489.4010000001</v>
          </cell>
          <cell r="J192" t="str">
            <v>LICOGI13</v>
          </cell>
          <cell r="M192" t="e">
            <v>#N/A</v>
          </cell>
          <cell r="N192" t="e">
            <v>#N/A</v>
          </cell>
          <cell r="O192" t="e">
            <v>#N/A</v>
          </cell>
          <cell r="P192" t="e">
            <v>#N/A</v>
          </cell>
          <cell r="Q192" t="e">
            <v>#N/A</v>
          </cell>
          <cell r="R192" t="e">
            <v>#N/A</v>
          </cell>
          <cell r="S192" t="e">
            <v>#N/A</v>
          </cell>
          <cell r="T192">
            <v>15</v>
          </cell>
          <cell r="U192">
            <v>15</v>
          </cell>
          <cell r="V192">
            <v>11.45</v>
          </cell>
          <cell r="W192" t="e">
            <v>#N/A</v>
          </cell>
          <cell r="X192" t="e">
            <v>#N/A</v>
          </cell>
          <cell r="Y192" t="e">
            <v>#N/A</v>
          </cell>
          <cell r="Z192" t="e">
            <v>#N/A</v>
          </cell>
          <cell r="AA192">
            <v>41.45</v>
          </cell>
        </row>
        <row r="193">
          <cell r="A193" t="str">
            <v>COC-182</v>
          </cell>
          <cell r="B193" t="str">
            <v>+ 01 đoạn C3: dài L= 9,5m, loại PC, cấp tải A,  bê tông mác 600     sản xuất ngày ……/.…../2014</v>
          </cell>
          <cell r="C193" t="str">
            <v>COC-182</v>
          </cell>
          <cell r="D193">
            <v>588601.39199999999</v>
          </cell>
          <cell r="E193">
            <v>2317495.6749999998</v>
          </cell>
          <cell r="H193">
            <v>588601.39199999999</v>
          </cell>
          <cell r="I193">
            <v>2317495.6749999998</v>
          </cell>
          <cell r="J193" t="str">
            <v>LICOGI13</v>
          </cell>
          <cell r="M193" t="e">
            <v>#N/A</v>
          </cell>
          <cell r="N193" t="e">
            <v>#N/A</v>
          </cell>
          <cell r="O193" t="e">
            <v>#N/A</v>
          </cell>
          <cell r="P193" t="e">
            <v>#N/A</v>
          </cell>
          <cell r="Q193" t="e">
            <v>#N/A</v>
          </cell>
          <cell r="R193" t="e">
            <v>#N/A</v>
          </cell>
          <cell r="S193" t="e">
            <v>#N/A</v>
          </cell>
          <cell r="T193">
            <v>15</v>
          </cell>
          <cell r="U193">
            <v>15</v>
          </cell>
          <cell r="V193">
            <v>11.45</v>
          </cell>
          <cell r="W193" t="e">
            <v>#N/A</v>
          </cell>
          <cell r="X193" t="e">
            <v>#N/A</v>
          </cell>
          <cell r="Y193" t="e">
            <v>#N/A</v>
          </cell>
          <cell r="Z193" t="e">
            <v>#N/A</v>
          </cell>
          <cell r="AA193">
            <v>41.45</v>
          </cell>
        </row>
        <row r="194">
          <cell r="A194" t="str">
            <v>COC-183</v>
          </cell>
          <cell r="B194" t="str">
            <v>+ 01 đoạn C3: dài L= 9,5m, loại PC, cấp tải A,  bê tông mác 600     sản xuất ngày ……/.…../2014</v>
          </cell>
          <cell r="C194" t="str">
            <v>COC-183</v>
          </cell>
          <cell r="D194">
            <v>588602.86499999999</v>
          </cell>
          <cell r="E194">
            <v>2317495.3909999998</v>
          </cell>
          <cell r="H194">
            <v>588602.86499999999</v>
          </cell>
          <cell r="I194">
            <v>2317495.3909999998</v>
          </cell>
          <cell r="J194" t="str">
            <v>LICOGI13</v>
          </cell>
          <cell r="M194" t="e">
            <v>#N/A</v>
          </cell>
          <cell r="N194" t="e">
            <v>#N/A</v>
          </cell>
          <cell r="O194" t="e">
            <v>#N/A</v>
          </cell>
          <cell r="P194" t="e">
            <v>#N/A</v>
          </cell>
          <cell r="Q194" t="e">
            <v>#N/A</v>
          </cell>
          <cell r="R194" t="e">
            <v>#N/A</v>
          </cell>
          <cell r="S194" t="e">
            <v>#N/A</v>
          </cell>
          <cell r="T194">
            <v>15</v>
          </cell>
          <cell r="U194">
            <v>15</v>
          </cell>
          <cell r="V194">
            <v>11.45</v>
          </cell>
          <cell r="W194" t="e">
            <v>#N/A</v>
          </cell>
          <cell r="X194" t="e">
            <v>#N/A</v>
          </cell>
          <cell r="Y194" t="e">
            <v>#N/A</v>
          </cell>
          <cell r="Z194" t="e">
            <v>#N/A</v>
          </cell>
          <cell r="AA194">
            <v>41.45</v>
          </cell>
        </row>
        <row r="195">
          <cell r="A195" t="str">
            <v>COC-184</v>
          </cell>
          <cell r="B195" t="str">
            <v>+ 01 đoạn C3: dài L= 9,5m, loại PC, cấp tải A,  bê tông mác 600     sản xuất ngày ……/.…../2014</v>
          </cell>
          <cell r="C195" t="str">
            <v>COC-184</v>
          </cell>
          <cell r="D195">
            <v>588600.93999999994</v>
          </cell>
          <cell r="E195">
            <v>2317497.29</v>
          </cell>
          <cell r="H195">
            <v>588600.93999999994</v>
          </cell>
          <cell r="I195">
            <v>2317497.29</v>
          </cell>
          <cell r="J195" t="str">
            <v>LICOGI13</v>
          </cell>
          <cell r="M195" t="e">
            <v>#N/A</v>
          </cell>
          <cell r="N195" t="e">
            <v>#N/A</v>
          </cell>
          <cell r="O195" t="e">
            <v>#N/A</v>
          </cell>
          <cell r="P195" t="e">
            <v>#N/A</v>
          </cell>
          <cell r="Q195" t="e">
            <v>#N/A</v>
          </cell>
          <cell r="R195" t="e">
            <v>#N/A</v>
          </cell>
          <cell r="S195" t="e">
            <v>#N/A</v>
          </cell>
          <cell r="T195">
            <v>15</v>
          </cell>
          <cell r="U195">
            <v>15</v>
          </cell>
          <cell r="V195">
            <v>11.45</v>
          </cell>
          <cell r="W195" t="e">
            <v>#N/A</v>
          </cell>
          <cell r="X195" t="e">
            <v>#N/A</v>
          </cell>
          <cell r="Y195" t="e">
            <v>#N/A</v>
          </cell>
          <cell r="Z195" t="e">
            <v>#N/A</v>
          </cell>
          <cell r="AA195">
            <v>41.45</v>
          </cell>
        </row>
        <row r="196">
          <cell r="A196" t="str">
            <v>COC-185</v>
          </cell>
          <cell r="B196" t="str">
            <v>+ 01 đoạn C3: dài L= 9,5m, loại PC, cấp tải A,  bê tông mác 600     sản xuất ngày ……/.…../2014</v>
          </cell>
          <cell r="C196" t="str">
            <v>COC-185</v>
          </cell>
          <cell r="D196">
            <v>588602.41299999994</v>
          </cell>
          <cell r="E196">
            <v>2317497.0060000001</v>
          </cell>
          <cell r="H196">
            <v>588602.41299999994</v>
          </cell>
          <cell r="I196">
            <v>2317497.0060000001</v>
          </cell>
          <cell r="J196" t="str">
            <v>LICOGI13</v>
          </cell>
          <cell r="M196" t="e">
            <v>#N/A</v>
          </cell>
          <cell r="N196" t="e">
            <v>#N/A</v>
          </cell>
          <cell r="O196" t="e">
            <v>#N/A</v>
          </cell>
          <cell r="P196" t="e">
            <v>#N/A</v>
          </cell>
          <cell r="Q196" t="e">
            <v>#N/A</v>
          </cell>
          <cell r="R196" t="e">
            <v>#N/A</v>
          </cell>
          <cell r="S196" t="e">
            <v>#N/A</v>
          </cell>
          <cell r="T196">
            <v>15</v>
          </cell>
          <cell r="U196">
            <v>15</v>
          </cell>
          <cell r="V196">
            <v>11.45</v>
          </cell>
          <cell r="W196" t="e">
            <v>#N/A</v>
          </cell>
          <cell r="X196" t="e">
            <v>#N/A</v>
          </cell>
          <cell r="Y196" t="e">
            <v>#N/A</v>
          </cell>
          <cell r="Z196" t="e">
            <v>#N/A</v>
          </cell>
          <cell r="AA196">
            <v>41.45</v>
          </cell>
        </row>
        <row r="197">
          <cell r="A197" t="str">
            <v>COC-186</v>
          </cell>
          <cell r="B197" t="str">
            <v>+ 01 đoạn C3: dài L= 9,5m, loại PC, cấp tải A,  bê tông mác 600     sản xuất ngày ……/.…../2014</v>
          </cell>
          <cell r="C197" t="str">
            <v>COC-186</v>
          </cell>
          <cell r="D197">
            <v>588603.88500000001</v>
          </cell>
          <cell r="E197">
            <v>2317496.7209999999</v>
          </cell>
          <cell r="H197">
            <v>588603.88500000001</v>
          </cell>
          <cell r="I197">
            <v>2317496.7209999999</v>
          </cell>
          <cell r="J197" t="str">
            <v>LICOGI13</v>
          </cell>
          <cell r="M197" t="e">
            <v>#N/A</v>
          </cell>
          <cell r="N197" t="e">
            <v>#N/A</v>
          </cell>
          <cell r="O197" t="e">
            <v>#N/A</v>
          </cell>
          <cell r="P197" t="e">
            <v>#N/A</v>
          </cell>
          <cell r="Q197" t="e">
            <v>#N/A</v>
          </cell>
          <cell r="R197" t="e">
            <v>#N/A</v>
          </cell>
          <cell r="S197" t="e">
            <v>#N/A</v>
          </cell>
          <cell r="T197">
            <v>15</v>
          </cell>
          <cell r="U197">
            <v>15</v>
          </cell>
          <cell r="V197">
            <v>11.45</v>
          </cell>
          <cell r="W197" t="e">
            <v>#N/A</v>
          </cell>
          <cell r="X197" t="e">
            <v>#N/A</v>
          </cell>
          <cell r="Y197" t="e">
            <v>#N/A</v>
          </cell>
          <cell r="Z197" t="e">
            <v>#N/A</v>
          </cell>
          <cell r="AA197">
            <v>41.45</v>
          </cell>
        </row>
        <row r="198">
          <cell r="A198" t="str">
            <v>COC-187</v>
          </cell>
          <cell r="B198" t="str">
            <v>+ 01 đoạn C3: dài L= 9,5m, loại PC, cấp tải A,  bê tông mác 600     sản xuất ngày ……/.…../2014</v>
          </cell>
          <cell r="C198" t="str">
            <v>COC-187</v>
          </cell>
          <cell r="D198">
            <v>588601.22400000005</v>
          </cell>
          <cell r="E198">
            <v>2317498.7629999998</v>
          </cell>
          <cell r="H198">
            <v>588601.22400000005</v>
          </cell>
          <cell r="I198">
            <v>2317498.7629999998</v>
          </cell>
          <cell r="J198" t="str">
            <v>LICOGI13</v>
          </cell>
          <cell r="M198" t="e">
            <v>#N/A</v>
          </cell>
          <cell r="N198" t="e">
            <v>#N/A</v>
          </cell>
          <cell r="O198" t="e">
            <v>#N/A</v>
          </cell>
          <cell r="P198" t="e">
            <v>#N/A</v>
          </cell>
          <cell r="Q198" t="e">
            <v>#N/A</v>
          </cell>
          <cell r="R198" t="e">
            <v>#N/A</v>
          </cell>
          <cell r="S198" t="e">
            <v>#N/A</v>
          </cell>
          <cell r="T198">
            <v>15</v>
          </cell>
          <cell r="U198">
            <v>15</v>
          </cell>
          <cell r="V198">
            <v>11.45</v>
          </cell>
          <cell r="W198" t="e">
            <v>#N/A</v>
          </cell>
          <cell r="X198" t="e">
            <v>#N/A</v>
          </cell>
          <cell r="Y198" t="e">
            <v>#N/A</v>
          </cell>
          <cell r="Z198" t="e">
            <v>#N/A</v>
          </cell>
          <cell r="AA198">
            <v>41.45</v>
          </cell>
        </row>
        <row r="199">
          <cell r="A199" t="str">
            <v>COC-188</v>
          </cell>
          <cell r="B199" t="str">
            <v>+ 01 đoạn C3: dài L= 9,5m, loại PC, cấp tải A,  bê tông mác 600     sản xuất ngày ……/.…../2014</v>
          </cell>
          <cell r="C199" t="str">
            <v>COC-188</v>
          </cell>
          <cell r="D199">
            <v>588602.69700000004</v>
          </cell>
          <cell r="E199">
            <v>2317498.4789999998</v>
          </cell>
          <cell r="H199">
            <v>588602.69700000004</v>
          </cell>
          <cell r="I199">
            <v>2317498.4789999998</v>
          </cell>
          <cell r="J199" t="str">
            <v>LICOGI13</v>
          </cell>
          <cell r="M199" t="e">
            <v>#N/A</v>
          </cell>
          <cell r="N199" t="e">
            <v>#N/A</v>
          </cell>
          <cell r="O199" t="e">
            <v>#N/A</v>
          </cell>
          <cell r="P199" t="e">
            <v>#N/A</v>
          </cell>
          <cell r="Q199" t="e">
            <v>#N/A</v>
          </cell>
          <cell r="R199" t="e">
            <v>#N/A</v>
          </cell>
          <cell r="S199" t="e">
            <v>#N/A</v>
          </cell>
          <cell r="T199">
            <v>15</v>
          </cell>
          <cell r="U199">
            <v>15</v>
          </cell>
          <cell r="V199">
            <v>11.45</v>
          </cell>
          <cell r="W199" t="e">
            <v>#N/A</v>
          </cell>
          <cell r="X199" t="e">
            <v>#N/A</v>
          </cell>
          <cell r="Y199" t="e">
            <v>#N/A</v>
          </cell>
          <cell r="Z199" t="e">
            <v>#N/A</v>
          </cell>
          <cell r="AA199">
            <v>41.45</v>
          </cell>
        </row>
        <row r="200">
          <cell r="A200" t="str">
            <v>COC-189</v>
          </cell>
          <cell r="B200" t="str">
            <v>+ 01 đoạn C3: dài L= 9,5m, loại PC, cấp tải A,  bê tông mác 600     sản xuất ngày ……/.…../2014</v>
          </cell>
          <cell r="C200" t="str">
            <v>COC-189</v>
          </cell>
          <cell r="D200">
            <v>588604.17000000004</v>
          </cell>
          <cell r="E200">
            <v>2317498.1940000001</v>
          </cell>
          <cell r="H200">
            <v>588604.17000000004</v>
          </cell>
          <cell r="I200">
            <v>2317498.1940000001</v>
          </cell>
          <cell r="J200" t="str">
            <v>LICOGI13</v>
          </cell>
          <cell r="M200" t="e">
            <v>#N/A</v>
          </cell>
          <cell r="N200" t="e">
            <v>#N/A</v>
          </cell>
          <cell r="O200" t="e">
            <v>#N/A</v>
          </cell>
          <cell r="P200" t="e">
            <v>#N/A</v>
          </cell>
          <cell r="Q200" t="e">
            <v>#N/A</v>
          </cell>
          <cell r="R200" t="e">
            <v>#N/A</v>
          </cell>
          <cell r="S200" t="e">
            <v>#N/A</v>
          </cell>
          <cell r="T200">
            <v>15</v>
          </cell>
          <cell r="U200">
            <v>15</v>
          </cell>
          <cell r="V200">
            <v>11.45</v>
          </cell>
          <cell r="W200" t="e">
            <v>#N/A</v>
          </cell>
          <cell r="X200" t="e">
            <v>#N/A</v>
          </cell>
          <cell r="Y200" t="e">
            <v>#N/A</v>
          </cell>
          <cell r="Z200" t="e">
            <v>#N/A</v>
          </cell>
          <cell r="AA200">
            <v>41.45</v>
          </cell>
        </row>
        <row r="201">
          <cell r="A201" t="str">
            <v>COC-190</v>
          </cell>
          <cell r="B201" t="str">
            <v>+ 01 đoạn C3: dài L= 9,5m, loại PC, cấp tải A,  bê tông mác 600     sản xuất ngày ……/.…../2014</v>
          </cell>
          <cell r="C201" t="str">
            <v>COC-190</v>
          </cell>
          <cell r="D201">
            <v>588602.245</v>
          </cell>
          <cell r="E201">
            <v>2317500.094</v>
          </cell>
          <cell r="H201">
            <v>588602.245</v>
          </cell>
          <cell r="I201">
            <v>2317500.094</v>
          </cell>
          <cell r="J201" t="str">
            <v>LICOGI13</v>
          </cell>
          <cell r="M201" t="e">
            <v>#N/A</v>
          </cell>
          <cell r="N201" t="e">
            <v>#N/A</v>
          </cell>
          <cell r="O201" t="e">
            <v>#N/A</v>
          </cell>
          <cell r="P201" t="e">
            <v>#N/A</v>
          </cell>
          <cell r="Q201" t="e">
            <v>#N/A</v>
          </cell>
          <cell r="R201" t="e">
            <v>#N/A</v>
          </cell>
          <cell r="S201" t="e">
            <v>#N/A</v>
          </cell>
          <cell r="T201">
            <v>15</v>
          </cell>
          <cell r="U201">
            <v>15</v>
          </cell>
          <cell r="V201">
            <v>11.45</v>
          </cell>
          <cell r="W201" t="e">
            <v>#N/A</v>
          </cell>
          <cell r="X201" t="e">
            <v>#N/A</v>
          </cell>
          <cell r="Y201" t="e">
            <v>#N/A</v>
          </cell>
          <cell r="Z201" t="e">
            <v>#N/A</v>
          </cell>
          <cell r="AA201">
            <v>41.45</v>
          </cell>
        </row>
        <row r="202">
          <cell r="A202" t="str">
            <v>COC-190A</v>
          </cell>
          <cell r="B202" t="str">
            <v>+ 01 đoạn C3: dài L= 9,5m, loại PC, cấp tải A,  bê tông mác 600     sản xuất ngày ……/.…../2014</v>
          </cell>
          <cell r="C202" t="str">
            <v>COC-190A</v>
          </cell>
          <cell r="D202">
            <v>588603.71799999999</v>
          </cell>
          <cell r="E202">
            <v>2317499.8089999999</v>
          </cell>
          <cell r="H202">
            <v>588603.71799999999</v>
          </cell>
          <cell r="I202">
            <v>2317499.8089999999</v>
          </cell>
          <cell r="J202" t="str">
            <v>LICOGI13</v>
          </cell>
        </row>
        <row r="203">
          <cell r="A203" t="str">
            <v>COC-191</v>
          </cell>
          <cell r="B203" t="str">
            <v>+ 01 đoạn C3: dài L= 9,5m, loại PC, cấp tải A,  bê tông mác 600     sản xuất ngày ……/.…../2014</v>
          </cell>
          <cell r="C203" t="str">
            <v>COC-191</v>
          </cell>
          <cell r="D203">
            <v>588603.326</v>
          </cell>
          <cell r="E203">
            <v>2317505.6910000001</v>
          </cell>
          <cell r="H203">
            <v>588603.326</v>
          </cell>
          <cell r="I203">
            <v>2317505.6910000001</v>
          </cell>
          <cell r="J203" t="str">
            <v>LICOGI13</v>
          </cell>
          <cell r="M203" t="e">
            <v>#N/A</v>
          </cell>
          <cell r="N203" t="e">
            <v>#N/A</v>
          </cell>
          <cell r="O203" t="e">
            <v>#N/A</v>
          </cell>
          <cell r="P203" t="e">
            <v>#N/A</v>
          </cell>
          <cell r="Q203" t="e">
            <v>#N/A</v>
          </cell>
          <cell r="R203" t="e">
            <v>#N/A</v>
          </cell>
          <cell r="S203" t="e">
            <v>#N/A</v>
          </cell>
          <cell r="T203">
            <v>15</v>
          </cell>
          <cell r="U203">
            <v>15</v>
          </cell>
          <cell r="V203">
            <v>11.45</v>
          </cell>
          <cell r="W203" t="e">
            <v>#N/A</v>
          </cell>
          <cell r="X203" t="e">
            <v>#N/A</v>
          </cell>
          <cell r="Y203" t="e">
            <v>#N/A</v>
          </cell>
          <cell r="Z203" t="e">
            <v>#N/A</v>
          </cell>
          <cell r="AA203">
            <v>41.45</v>
          </cell>
        </row>
        <row r="204">
          <cell r="A204" t="str">
            <v>COC-192</v>
          </cell>
          <cell r="B204" t="str">
            <v>+ 01 đoạn C3: dài L= 9,5m, loại PC, cấp tải A,  bê tông mác 600     sản xuất ngày ……/.…../2014</v>
          </cell>
          <cell r="C204" t="str">
            <v>COC-192</v>
          </cell>
          <cell r="D204">
            <v>588604.799</v>
          </cell>
          <cell r="E204">
            <v>2317505.406</v>
          </cell>
          <cell r="H204">
            <v>588604.799</v>
          </cell>
          <cell r="I204">
            <v>2317505.406</v>
          </cell>
          <cell r="J204" t="str">
            <v>LICOGI13</v>
          </cell>
          <cell r="M204" t="e">
            <v>#N/A</v>
          </cell>
          <cell r="N204" t="e">
            <v>#N/A</v>
          </cell>
          <cell r="O204" t="e">
            <v>#N/A</v>
          </cell>
          <cell r="P204" t="e">
            <v>#N/A</v>
          </cell>
          <cell r="Q204" t="e">
            <v>#N/A</v>
          </cell>
          <cell r="R204" t="e">
            <v>#N/A</v>
          </cell>
          <cell r="S204" t="e">
            <v>#N/A</v>
          </cell>
          <cell r="T204">
            <v>15</v>
          </cell>
          <cell r="U204">
            <v>15</v>
          </cell>
          <cell r="V204">
            <v>11.45</v>
          </cell>
          <cell r="W204" t="e">
            <v>#N/A</v>
          </cell>
          <cell r="X204" t="e">
            <v>#N/A</v>
          </cell>
          <cell r="Y204" t="e">
            <v>#N/A</v>
          </cell>
          <cell r="Z204" t="e">
            <v>#N/A</v>
          </cell>
          <cell r="AA204">
            <v>41.45</v>
          </cell>
        </row>
        <row r="205">
          <cell r="A205" t="str">
            <v>COC-193</v>
          </cell>
          <cell r="B205" t="str">
            <v>+ 01 đoạn C3: dài L= 9,5m, loại PC, cấp tải A,  bê tông mác 600     sản xuất ngày ……/.…../2014</v>
          </cell>
          <cell r="C205" t="str">
            <v>COC-193</v>
          </cell>
          <cell r="D205">
            <v>588604.30900000001</v>
          </cell>
          <cell r="E205">
            <v>2317506.8250000002</v>
          </cell>
          <cell r="H205">
            <v>588604.30900000001</v>
          </cell>
          <cell r="I205">
            <v>2317506.8250000002</v>
          </cell>
          <cell r="J205" t="str">
            <v>LICOGI13</v>
          </cell>
          <cell r="M205" t="e">
            <v>#N/A</v>
          </cell>
          <cell r="N205" t="e">
            <v>#N/A</v>
          </cell>
          <cell r="O205" t="e">
            <v>#N/A</v>
          </cell>
          <cell r="P205" t="e">
            <v>#N/A</v>
          </cell>
          <cell r="Q205" t="e">
            <v>#N/A</v>
          </cell>
          <cell r="R205" t="e">
            <v>#N/A</v>
          </cell>
          <cell r="S205" t="e">
            <v>#N/A</v>
          </cell>
          <cell r="T205">
            <v>15</v>
          </cell>
          <cell r="U205">
            <v>15</v>
          </cell>
          <cell r="V205">
            <v>11.45</v>
          </cell>
          <cell r="W205" t="e">
            <v>#N/A</v>
          </cell>
          <cell r="X205" t="e">
            <v>#N/A</v>
          </cell>
          <cell r="Y205" t="e">
            <v>#N/A</v>
          </cell>
          <cell r="Z205" t="e">
            <v>#N/A</v>
          </cell>
          <cell r="AA205">
            <v>41.45</v>
          </cell>
        </row>
        <row r="206">
          <cell r="A206" t="str">
            <v>COC-194</v>
          </cell>
          <cell r="B206" t="str">
            <v>+ 01 đoạn C3: dài L= 9,5m, loại PC, cấp tải A,  bê tông mác 600     sản xuất ngày ……/.…../2014</v>
          </cell>
          <cell r="C206" t="str">
            <v>COC-194</v>
          </cell>
          <cell r="D206">
            <v>588603.81900000002</v>
          </cell>
          <cell r="E206">
            <v>2317508.2439999999</v>
          </cell>
          <cell r="H206">
            <v>588603.81900000002</v>
          </cell>
          <cell r="I206">
            <v>2317508.2439999999</v>
          </cell>
          <cell r="J206" t="str">
            <v>LICOGI13</v>
          </cell>
          <cell r="M206" t="e">
            <v>#N/A</v>
          </cell>
          <cell r="N206" t="e">
            <v>#N/A</v>
          </cell>
          <cell r="O206" t="e">
            <v>#N/A</v>
          </cell>
          <cell r="P206" t="e">
            <v>#N/A</v>
          </cell>
          <cell r="Q206" t="e">
            <v>#N/A</v>
          </cell>
          <cell r="R206" t="e">
            <v>#N/A</v>
          </cell>
          <cell r="S206" t="e">
            <v>#N/A</v>
          </cell>
          <cell r="T206">
            <v>15</v>
          </cell>
          <cell r="U206">
            <v>15</v>
          </cell>
          <cell r="V206">
            <v>11.45</v>
          </cell>
          <cell r="W206" t="e">
            <v>#N/A</v>
          </cell>
          <cell r="X206" t="e">
            <v>#N/A</v>
          </cell>
          <cell r="Y206" t="e">
            <v>#N/A</v>
          </cell>
          <cell r="Z206" t="e">
            <v>#N/A</v>
          </cell>
          <cell r="AA206">
            <v>41.45</v>
          </cell>
        </row>
        <row r="207">
          <cell r="A207" t="str">
            <v>COC-195</v>
          </cell>
          <cell r="B207" t="str">
            <v>+ 01 đoạn C3: dài L= 9,5m, loại PC, cấp tải A,  bê tông mác 600     sản xuất ngày ……/.…../2014</v>
          </cell>
          <cell r="C207" t="str">
            <v>COC-195</v>
          </cell>
          <cell r="D207">
            <v>588605.29200000002</v>
          </cell>
          <cell r="E207">
            <v>2317507.9589999998</v>
          </cell>
          <cell r="H207">
            <v>588605.29200000002</v>
          </cell>
          <cell r="I207">
            <v>2317507.9589999998</v>
          </cell>
          <cell r="J207" t="str">
            <v>LICOGI13</v>
          </cell>
          <cell r="M207" t="e">
            <v>#N/A</v>
          </cell>
          <cell r="N207" t="e">
            <v>#N/A</v>
          </cell>
          <cell r="O207" t="e">
            <v>#N/A</v>
          </cell>
          <cell r="P207" t="e">
            <v>#N/A</v>
          </cell>
          <cell r="Q207" t="e">
            <v>#N/A</v>
          </cell>
          <cell r="R207" t="e">
            <v>#N/A</v>
          </cell>
          <cell r="S207" t="e">
            <v>#N/A</v>
          </cell>
          <cell r="T207">
            <v>15</v>
          </cell>
          <cell r="U207">
            <v>15</v>
          </cell>
          <cell r="V207">
            <v>11.45</v>
          </cell>
          <cell r="W207" t="e">
            <v>#N/A</v>
          </cell>
          <cell r="X207" t="e">
            <v>#N/A</v>
          </cell>
          <cell r="Y207" t="e">
            <v>#N/A</v>
          </cell>
          <cell r="Z207" t="e">
            <v>#N/A</v>
          </cell>
          <cell r="AA207">
            <v>41.45</v>
          </cell>
        </row>
        <row r="208">
          <cell r="A208" t="str">
            <v>COC-196</v>
          </cell>
          <cell r="B208" t="str">
            <v>+ 01 đoạn C3: dài L= 9,5m, loại PC, cấp tải A,  bê tông mác 600     sản xuất ngày ……/.…../2014</v>
          </cell>
          <cell r="C208" t="str">
            <v>COC-196</v>
          </cell>
          <cell r="D208">
            <v>588607.00800000003</v>
          </cell>
          <cell r="E208">
            <v>2317485.73</v>
          </cell>
          <cell r="H208">
            <v>588607.00800000003</v>
          </cell>
          <cell r="I208">
            <v>2317485.73</v>
          </cell>
          <cell r="J208" t="str">
            <v>LICOGI13</v>
          </cell>
          <cell r="M208" t="e">
            <v>#N/A</v>
          </cell>
          <cell r="N208" t="e">
            <v>#N/A</v>
          </cell>
          <cell r="O208" t="e">
            <v>#N/A</v>
          </cell>
          <cell r="P208" t="e">
            <v>#N/A</v>
          </cell>
          <cell r="Q208" t="e">
            <v>#N/A</v>
          </cell>
          <cell r="R208" t="e">
            <v>#N/A</v>
          </cell>
          <cell r="S208" t="e">
            <v>#N/A</v>
          </cell>
          <cell r="T208">
            <v>15</v>
          </cell>
          <cell r="U208">
            <v>15</v>
          </cell>
          <cell r="V208">
            <v>11.45</v>
          </cell>
          <cell r="W208" t="e">
            <v>#N/A</v>
          </cell>
          <cell r="X208" t="e">
            <v>#N/A</v>
          </cell>
          <cell r="Y208" t="e">
            <v>#N/A</v>
          </cell>
          <cell r="Z208" t="e">
            <v>#N/A</v>
          </cell>
          <cell r="AA208">
            <v>41.45</v>
          </cell>
        </row>
        <row r="209">
          <cell r="A209" t="str">
            <v>COC-197</v>
          </cell>
          <cell r="B209" t="str">
            <v>+ 01 đoạn C3: dài L= 9,5m, loại PC, cấp tải A,  bê tông mác 600     sản xuất ngày ……/.…../2014</v>
          </cell>
          <cell r="C209" t="str">
            <v>COC-197</v>
          </cell>
          <cell r="D209">
            <v>588608.48100000003</v>
          </cell>
          <cell r="E209">
            <v>2317485.4449999998</v>
          </cell>
          <cell r="H209">
            <v>588608.48100000003</v>
          </cell>
          <cell r="I209">
            <v>2317485.4449999998</v>
          </cell>
          <cell r="J209" t="str">
            <v>LICOGI13</v>
          </cell>
          <cell r="M209" t="e">
            <v>#N/A</v>
          </cell>
          <cell r="N209" t="e">
            <v>#N/A</v>
          </cell>
          <cell r="O209" t="e">
            <v>#N/A</v>
          </cell>
          <cell r="P209" t="e">
            <v>#N/A</v>
          </cell>
          <cell r="Q209" t="e">
            <v>#N/A</v>
          </cell>
          <cell r="R209" t="e">
            <v>#N/A</v>
          </cell>
          <cell r="S209" t="e">
            <v>#N/A</v>
          </cell>
          <cell r="T209">
            <v>15</v>
          </cell>
          <cell r="U209">
            <v>15</v>
          </cell>
          <cell r="V209">
            <v>11.45</v>
          </cell>
          <cell r="W209" t="e">
            <v>#N/A</v>
          </cell>
          <cell r="X209" t="e">
            <v>#N/A</v>
          </cell>
          <cell r="Y209" t="e">
            <v>#N/A</v>
          </cell>
          <cell r="Z209" t="e">
            <v>#N/A</v>
          </cell>
          <cell r="AA209">
            <v>41.45</v>
          </cell>
        </row>
        <row r="210">
          <cell r="A210" t="str">
            <v>COC-198</v>
          </cell>
          <cell r="B210" t="str">
            <v>+ 01 đoạn C3: dài L= 9,5m, loại PC, cấp tải A,  bê tông mác 600     sản xuất ngày ……/.…../2014</v>
          </cell>
          <cell r="C210" t="str">
            <v>COC-198</v>
          </cell>
          <cell r="D210">
            <v>588607.99100000004</v>
          </cell>
          <cell r="E210">
            <v>2317486.8640000001</v>
          </cell>
          <cell r="H210">
            <v>588607.99100000004</v>
          </cell>
          <cell r="I210">
            <v>2317486.8640000001</v>
          </cell>
          <cell r="J210" t="str">
            <v>LICOGI13</v>
          </cell>
          <cell r="M210" t="e">
            <v>#N/A</v>
          </cell>
          <cell r="N210" t="e">
            <v>#N/A</v>
          </cell>
          <cell r="O210" t="e">
            <v>#N/A</v>
          </cell>
          <cell r="P210" t="e">
            <v>#N/A</v>
          </cell>
          <cell r="Q210" t="e">
            <v>#N/A</v>
          </cell>
          <cell r="R210" t="e">
            <v>#N/A</v>
          </cell>
          <cell r="S210" t="e">
            <v>#N/A</v>
          </cell>
          <cell r="T210">
            <v>15</v>
          </cell>
          <cell r="U210">
            <v>15</v>
          </cell>
          <cell r="V210">
            <v>11.45</v>
          </cell>
          <cell r="W210" t="e">
            <v>#N/A</v>
          </cell>
          <cell r="X210" t="e">
            <v>#N/A</v>
          </cell>
          <cell r="Y210" t="e">
            <v>#N/A</v>
          </cell>
          <cell r="Z210" t="e">
            <v>#N/A</v>
          </cell>
          <cell r="AA210">
            <v>41.45</v>
          </cell>
        </row>
        <row r="211">
          <cell r="A211" t="str">
            <v>COC-199</v>
          </cell>
          <cell r="B211" t="str">
            <v>+ 01 đoạn C3: dài L= 9,5m, loại PC, cấp tải A,  bê tông mác 600     sản xuất ngày ……/.…../2014</v>
          </cell>
          <cell r="C211" t="str">
            <v>COC-199</v>
          </cell>
          <cell r="D211">
            <v>588607.50100000005</v>
          </cell>
          <cell r="E211">
            <v>2317488.2829999998</v>
          </cell>
          <cell r="H211">
            <v>588607.50100000005</v>
          </cell>
          <cell r="I211">
            <v>2317488.2829999998</v>
          </cell>
          <cell r="J211" t="str">
            <v>LICOGI13</v>
          </cell>
          <cell r="M211" t="e">
            <v>#N/A</v>
          </cell>
          <cell r="N211" t="e">
            <v>#N/A</v>
          </cell>
          <cell r="O211" t="e">
            <v>#N/A</v>
          </cell>
          <cell r="P211" t="e">
            <v>#N/A</v>
          </cell>
          <cell r="Q211" t="e">
            <v>#N/A</v>
          </cell>
          <cell r="R211" t="e">
            <v>#N/A</v>
          </cell>
          <cell r="S211" t="e">
            <v>#N/A</v>
          </cell>
          <cell r="T211">
            <v>15</v>
          </cell>
          <cell r="U211">
            <v>15</v>
          </cell>
          <cell r="V211">
            <v>11.45</v>
          </cell>
          <cell r="W211" t="e">
            <v>#N/A</v>
          </cell>
          <cell r="X211" t="e">
            <v>#N/A</v>
          </cell>
          <cell r="Y211" t="e">
            <v>#N/A</v>
          </cell>
          <cell r="Z211" t="e">
            <v>#N/A</v>
          </cell>
          <cell r="AA211">
            <v>41.45</v>
          </cell>
        </row>
        <row r="212">
          <cell r="A212" t="str">
            <v>COC-200</v>
          </cell>
          <cell r="B212" t="str">
            <v>+ 01 đoạn C3: dài L= 9,5m, loại PC, cấp tải A,  bê tông mác 600     sản xuất ngày ……/.…../2014</v>
          </cell>
          <cell r="C212" t="str">
            <v>COC-200</v>
          </cell>
          <cell r="D212">
            <v>588608.97400000005</v>
          </cell>
          <cell r="E212">
            <v>2317487.9980000001</v>
          </cell>
          <cell r="H212">
            <v>588608.97400000005</v>
          </cell>
          <cell r="I212">
            <v>2317487.9980000001</v>
          </cell>
          <cell r="J212" t="str">
            <v>LICOGI13</v>
          </cell>
          <cell r="M212" t="e">
            <v>#N/A</v>
          </cell>
          <cell r="N212" t="e">
            <v>#N/A</v>
          </cell>
          <cell r="O212" t="e">
            <v>#N/A</v>
          </cell>
          <cell r="P212" t="e">
            <v>#N/A</v>
          </cell>
          <cell r="Q212" t="e">
            <v>#N/A</v>
          </cell>
          <cell r="R212" t="e">
            <v>#N/A</v>
          </cell>
          <cell r="S212" t="e">
            <v>#N/A</v>
          </cell>
          <cell r="T212">
            <v>15</v>
          </cell>
          <cell r="U212">
            <v>15</v>
          </cell>
          <cell r="V212">
            <v>11.45</v>
          </cell>
          <cell r="W212" t="e">
            <v>#N/A</v>
          </cell>
          <cell r="X212" t="e">
            <v>#N/A</v>
          </cell>
          <cell r="Y212" t="e">
            <v>#N/A</v>
          </cell>
          <cell r="Z212" t="e">
            <v>#N/A</v>
          </cell>
          <cell r="AA212">
            <v>41.45</v>
          </cell>
        </row>
        <row r="213">
          <cell r="A213" t="str">
            <v>COC-201</v>
          </cell>
          <cell r="B213" t="str">
            <v>+ 01 đoạn C3: dài L= 9,5m, loại PC, cấp tải A,  bê tông mác 600     sản xuất ngày ……/.…../2014</v>
          </cell>
          <cell r="C213" t="str">
            <v>COC-201</v>
          </cell>
          <cell r="D213">
            <v>588608.06400000001</v>
          </cell>
          <cell r="E213">
            <v>2317495.1510000001</v>
          </cell>
          <cell r="H213">
            <v>588608.06400000001</v>
          </cell>
          <cell r="I213">
            <v>2317495.1510000001</v>
          </cell>
          <cell r="J213" t="str">
            <v>LICOGI13</v>
          </cell>
          <cell r="M213" t="e">
            <v>#N/A</v>
          </cell>
          <cell r="N213" t="e">
            <v>#N/A</v>
          </cell>
          <cell r="O213" t="e">
            <v>#N/A</v>
          </cell>
          <cell r="P213" t="e">
            <v>#N/A</v>
          </cell>
          <cell r="Q213" t="e">
            <v>#N/A</v>
          </cell>
          <cell r="R213" t="e">
            <v>#N/A</v>
          </cell>
          <cell r="S213" t="e">
            <v>#N/A</v>
          </cell>
          <cell r="T213">
            <v>15</v>
          </cell>
          <cell r="U213">
            <v>15</v>
          </cell>
          <cell r="V213">
            <v>11.45</v>
          </cell>
          <cell r="W213" t="e">
            <v>#N/A</v>
          </cell>
          <cell r="X213" t="e">
            <v>#N/A</v>
          </cell>
          <cell r="Y213" t="e">
            <v>#N/A</v>
          </cell>
          <cell r="Z213" t="e">
            <v>#N/A</v>
          </cell>
          <cell r="AA213">
            <v>41.45</v>
          </cell>
        </row>
        <row r="214">
          <cell r="A214" t="str">
            <v>COC-202</v>
          </cell>
          <cell r="B214" t="str">
            <v>+ 01 đoạn C3: dài L= 9,5m, loại PC, cấp tải A,  bê tông mác 600     sản xuất ngày ……/.…../2014</v>
          </cell>
          <cell r="C214" t="str">
            <v>COC-202</v>
          </cell>
          <cell r="D214">
            <v>588609.53599999996</v>
          </cell>
          <cell r="E214">
            <v>2317494.8659999999</v>
          </cell>
          <cell r="H214">
            <v>588609.53599999996</v>
          </cell>
          <cell r="I214">
            <v>2317494.8659999999</v>
          </cell>
          <cell r="J214" t="str">
            <v>LICOGI13</v>
          </cell>
          <cell r="M214" t="e">
            <v>#N/A</v>
          </cell>
          <cell r="N214" t="e">
            <v>#N/A</v>
          </cell>
          <cell r="O214" t="e">
            <v>#N/A</v>
          </cell>
          <cell r="P214" t="e">
            <v>#N/A</v>
          </cell>
          <cell r="Q214" t="e">
            <v>#N/A</v>
          </cell>
          <cell r="R214" t="e">
            <v>#N/A</v>
          </cell>
          <cell r="S214" t="e">
            <v>#N/A</v>
          </cell>
          <cell r="T214">
            <v>15</v>
          </cell>
          <cell r="U214">
            <v>15</v>
          </cell>
          <cell r="V214">
            <v>11.45</v>
          </cell>
          <cell r="W214" t="e">
            <v>#N/A</v>
          </cell>
          <cell r="X214" t="e">
            <v>#N/A</v>
          </cell>
          <cell r="Y214" t="e">
            <v>#N/A</v>
          </cell>
          <cell r="Z214" t="e">
            <v>#N/A</v>
          </cell>
          <cell r="AA214">
            <v>41.45</v>
          </cell>
        </row>
        <row r="215">
          <cell r="A215" t="str">
            <v>COC-203</v>
          </cell>
          <cell r="B215" t="str">
            <v>+ 01 đoạn C3: dài L= 9,5m, loại PC, cấp tải A,  bê tông mác 600     sản xuất ngày ……/.…../2014</v>
          </cell>
          <cell r="C215" t="str">
            <v>COC-203</v>
          </cell>
          <cell r="D215">
            <v>588611.00899999996</v>
          </cell>
          <cell r="E215">
            <v>2317494.5819999999</v>
          </cell>
          <cell r="H215">
            <v>588611.00899999996</v>
          </cell>
          <cell r="I215">
            <v>2317494.5819999999</v>
          </cell>
          <cell r="J215" t="str">
            <v>LICOGI13</v>
          </cell>
          <cell r="M215" t="e">
            <v>#N/A</v>
          </cell>
          <cell r="N215" t="e">
            <v>#N/A</v>
          </cell>
          <cell r="O215" t="e">
            <v>#N/A</v>
          </cell>
          <cell r="P215" t="e">
            <v>#N/A</v>
          </cell>
          <cell r="Q215" t="e">
            <v>#N/A</v>
          </cell>
          <cell r="R215" t="e">
            <v>#N/A</v>
          </cell>
          <cell r="S215" t="e">
            <v>#N/A</v>
          </cell>
          <cell r="T215">
            <v>15</v>
          </cell>
          <cell r="U215">
            <v>15</v>
          </cell>
          <cell r="V215">
            <v>11.45</v>
          </cell>
          <cell r="W215" t="e">
            <v>#N/A</v>
          </cell>
          <cell r="X215" t="e">
            <v>#N/A</v>
          </cell>
          <cell r="Y215" t="e">
            <v>#N/A</v>
          </cell>
          <cell r="Z215" t="e">
            <v>#N/A</v>
          </cell>
          <cell r="AA215">
            <v>41.45</v>
          </cell>
        </row>
        <row r="216">
          <cell r="A216" t="str">
            <v>COC-204</v>
          </cell>
          <cell r="B216" t="str">
            <v>+ 01 đoạn C3: dài L= 9,5m, loại PC, cấp tải A,  bê tông mác 600     sản xuất ngày ……/.…../2014</v>
          </cell>
          <cell r="C216" t="str">
            <v>COC-204</v>
          </cell>
          <cell r="D216">
            <v>588609.08400000003</v>
          </cell>
          <cell r="E216">
            <v>2317496.4810000001</v>
          </cell>
          <cell r="H216">
            <v>588609.08400000003</v>
          </cell>
          <cell r="I216">
            <v>2317496.4810000001</v>
          </cell>
          <cell r="J216" t="str">
            <v>LICOGI13</v>
          </cell>
          <cell r="M216" t="e">
            <v>#N/A</v>
          </cell>
          <cell r="N216" t="e">
            <v>#N/A</v>
          </cell>
          <cell r="O216" t="e">
            <v>#N/A</v>
          </cell>
          <cell r="P216" t="e">
            <v>#N/A</v>
          </cell>
          <cell r="Q216" t="e">
            <v>#N/A</v>
          </cell>
          <cell r="R216" t="e">
            <v>#N/A</v>
          </cell>
          <cell r="S216" t="e">
            <v>#N/A</v>
          </cell>
          <cell r="T216">
            <v>15</v>
          </cell>
          <cell r="U216">
            <v>15</v>
          </cell>
          <cell r="V216">
            <v>11.45</v>
          </cell>
          <cell r="W216" t="e">
            <v>#N/A</v>
          </cell>
          <cell r="X216" t="e">
            <v>#N/A</v>
          </cell>
          <cell r="Y216" t="e">
            <v>#N/A</v>
          </cell>
          <cell r="Z216" t="e">
            <v>#N/A</v>
          </cell>
          <cell r="AA216">
            <v>41.45</v>
          </cell>
        </row>
        <row r="217">
          <cell r="A217" t="str">
            <v>COC-205</v>
          </cell>
          <cell r="B217" t="str">
            <v>+ 01 đoạn C3: dài L= 9,5m, loại PC, cấp tải A,  bê tông mác 600     sản xuất ngày ……/.…../2014</v>
          </cell>
          <cell r="C217" t="str">
            <v>COC-205</v>
          </cell>
          <cell r="D217">
            <v>588610.55700000003</v>
          </cell>
          <cell r="E217">
            <v>2317496.1970000002</v>
          </cell>
          <cell r="H217">
            <v>588610.55700000003</v>
          </cell>
          <cell r="I217">
            <v>2317496.1970000002</v>
          </cell>
          <cell r="J217" t="str">
            <v>LICOGI13</v>
          </cell>
          <cell r="M217" t="e">
            <v>#N/A</v>
          </cell>
          <cell r="N217" t="e">
            <v>#N/A</v>
          </cell>
          <cell r="O217" t="e">
            <v>#N/A</v>
          </cell>
          <cell r="P217" t="e">
            <v>#N/A</v>
          </cell>
          <cell r="Q217" t="e">
            <v>#N/A</v>
          </cell>
          <cell r="R217" t="e">
            <v>#N/A</v>
          </cell>
          <cell r="S217" t="e">
            <v>#N/A</v>
          </cell>
          <cell r="T217">
            <v>15</v>
          </cell>
          <cell r="U217">
            <v>15</v>
          </cell>
          <cell r="V217">
            <v>11.45</v>
          </cell>
          <cell r="W217" t="e">
            <v>#N/A</v>
          </cell>
          <cell r="X217" t="e">
            <v>#N/A</v>
          </cell>
          <cell r="Y217" t="e">
            <v>#N/A</v>
          </cell>
          <cell r="Z217" t="e">
            <v>#N/A</v>
          </cell>
          <cell r="AA217">
            <v>41.45</v>
          </cell>
        </row>
        <row r="218">
          <cell r="A218" t="str">
            <v>COC-206</v>
          </cell>
          <cell r="B218" t="str">
            <v>+ 01 đoạn C3: dài L= 9,5m, loại PC, cấp tải A,  bê tông mác 600     sản xuất ngày ……/.…../2014</v>
          </cell>
          <cell r="C218" t="str">
            <v>COC-206</v>
          </cell>
          <cell r="D218">
            <v>588608.63199999998</v>
          </cell>
          <cell r="E218">
            <v>2317498.0959999999</v>
          </cell>
          <cell r="H218">
            <v>588608.63199999998</v>
          </cell>
          <cell r="I218">
            <v>2317498.0959999999</v>
          </cell>
          <cell r="J218" t="str">
            <v>LICOGI13</v>
          </cell>
          <cell r="M218" t="e">
            <v>#N/A</v>
          </cell>
          <cell r="N218" t="e">
            <v>#N/A</v>
          </cell>
          <cell r="O218" t="e">
            <v>#N/A</v>
          </cell>
          <cell r="P218" t="e">
            <v>#N/A</v>
          </cell>
          <cell r="Q218" t="e">
            <v>#N/A</v>
          </cell>
          <cell r="R218" t="e">
            <v>#N/A</v>
          </cell>
          <cell r="S218" t="e">
            <v>#N/A</v>
          </cell>
          <cell r="T218">
            <v>15</v>
          </cell>
          <cell r="U218">
            <v>15</v>
          </cell>
          <cell r="V218">
            <v>11.45</v>
          </cell>
          <cell r="W218" t="e">
            <v>#N/A</v>
          </cell>
          <cell r="X218" t="e">
            <v>#N/A</v>
          </cell>
          <cell r="Y218" t="e">
            <v>#N/A</v>
          </cell>
          <cell r="Z218" t="e">
            <v>#N/A</v>
          </cell>
          <cell r="AA218">
            <v>41.45</v>
          </cell>
        </row>
        <row r="219">
          <cell r="A219" t="str">
            <v>COC-207</v>
          </cell>
          <cell r="B219" t="str">
            <v>+ 01 đoạn C3: dài L= 9,5m, loại PC, cấp tải A,  bê tông mác 600     sản xuất ngày ……/.…../2014</v>
          </cell>
          <cell r="C219" t="str">
            <v>COC-207</v>
          </cell>
          <cell r="D219">
            <v>588610.10499999998</v>
          </cell>
          <cell r="E219">
            <v>2317497.8119999999</v>
          </cell>
          <cell r="H219">
            <v>588610.10499999998</v>
          </cell>
          <cell r="I219">
            <v>2317497.8119999999</v>
          </cell>
          <cell r="J219" t="str">
            <v>LICOGI13</v>
          </cell>
          <cell r="M219" t="e">
            <v>#N/A</v>
          </cell>
          <cell r="N219" t="e">
            <v>#N/A</v>
          </cell>
          <cell r="O219" t="e">
            <v>#N/A</v>
          </cell>
          <cell r="P219" t="e">
            <v>#N/A</v>
          </cell>
          <cell r="Q219" t="e">
            <v>#N/A</v>
          </cell>
          <cell r="R219" t="e">
            <v>#N/A</v>
          </cell>
          <cell r="S219" t="e">
            <v>#N/A</v>
          </cell>
          <cell r="T219">
            <v>15</v>
          </cell>
          <cell r="U219">
            <v>15</v>
          </cell>
          <cell r="V219">
            <v>11.45</v>
          </cell>
          <cell r="W219" t="e">
            <v>#N/A</v>
          </cell>
          <cell r="X219" t="e">
            <v>#N/A</v>
          </cell>
          <cell r="Y219" t="e">
            <v>#N/A</v>
          </cell>
          <cell r="Z219" t="e">
            <v>#N/A</v>
          </cell>
          <cell r="AA219">
            <v>41.45</v>
          </cell>
        </row>
        <row r="220">
          <cell r="A220" t="str">
            <v>COC-208</v>
          </cell>
          <cell r="B220" t="str">
            <v>+ 01 đoạn C3: dài L= 9,5m, loại PC, cấp tải A,  bê tông mác 600     sản xuất ngày ……/.…../2014</v>
          </cell>
          <cell r="C220" t="str">
            <v>COC-208</v>
          </cell>
          <cell r="D220">
            <v>588611.57799999998</v>
          </cell>
          <cell r="E220">
            <v>2317497.5279999999</v>
          </cell>
          <cell r="H220">
            <v>588611.57799999998</v>
          </cell>
          <cell r="I220">
            <v>2317497.5279999999</v>
          </cell>
          <cell r="J220" t="str">
            <v>LICOGI13</v>
          </cell>
          <cell r="M220" t="e">
            <v>#N/A</v>
          </cell>
          <cell r="N220" t="e">
            <v>#N/A</v>
          </cell>
          <cell r="O220" t="e">
            <v>#N/A</v>
          </cell>
          <cell r="P220" t="e">
            <v>#N/A</v>
          </cell>
          <cell r="Q220" t="e">
            <v>#N/A</v>
          </cell>
          <cell r="R220" t="e">
            <v>#N/A</v>
          </cell>
          <cell r="S220" t="e">
            <v>#N/A</v>
          </cell>
          <cell r="T220">
            <v>15</v>
          </cell>
          <cell r="U220">
            <v>15</v>
          </cell>
          <cell r="V220">
            <v>11.45</v>
          </cell>
          <cell r="W220" t="e">
            <v>#N/A</v>
          </cell>
          <cell r="X220" t="e">
            <v>#N/A</v>
          </cell>
          <cell r="Y220" t="e">
            <v>#N/A</v>
          </cell>
          <cell r="Z220" t="e">
            <v>#N/A</v>
          </cell>
          <cell r="AA220">
            <v>41.45</v>
          </cell>
        </row>
        <row r="221">
          <cell r="A221" t="str">
            <v>COC-209</v>
          </cell>
          <cell r="B221" t="str">
            <v>+ 01 đoạn C3: dài L= 9,5m, loại PC, cấp tải A,  bê tông mác 600     sản xuất ngày ……/.…../2014</v>
          </cell>
          <cell r="C221" t="str">
            <v>COC-209</v>
          </cell>
          <cell r="D221">
            <v>588610.59199999995</v>
          </cell>
          <cell r="E221">
            <v>2317504.287</v>
          </cell>
          <cell r="H221">
            <v>588610.59199999995</v>
          </cell>
          <cell r="I221">
            <v>2317504.287</v>
          </cell>
          <cell r="J221" t="str">
            <v>LICOGI13</v>
          </cell>
          <cell r="M221" t="e">
            <v>#N/A</v>
          </cell>
          <cell r="N221" t="e">
            <v>#N/A</v>
          </cell>
          <cell r="O221" t="e">
            <v>#N/A</v>
          </cell>
          <cell r="P221" t="e">
            <v>#N/A</v>
          </cell>
          <cell r="Q221" t="e">
            <v>#N/A</v>
          </cell>
          <cell r="R221" t="e">
            <v>#N/A</v>
          </cell>
          <cell r="S221" t="e">
            <v>#N/A</v>
          </cell>
          <cell r="T221">
            <v>15</v>
          </cell>
          <cell r="U221">
            <v>15</v>
          </cell>
          <cell r="V221">
            <v>11.45</v>
          </cell>
          <cell r="W221" t="e">
            <v>#N/A</v>
          </cell>
          <cell r="X221" t="e">
            <v>#N/A</v>
          </cell>
          <cell r="Y221" t="e">
            <v>#N/A</v>
          </cell>
          <cell r="Z221" t="e">
            <v>#N/A</v>
          </cell>
          <cell r="AA221">
            <v>41.45</v>
          </cell>
        </row>
        <row r="222">
          <cell r="A222" t="str">
            <v>COC-210</v>
          </cell>
          <cell r="B222" t="str">
            <v>+ 01 đoạn C3: dài L= 9,5m, loại PC, cấp tải A,  bê tông mác 600     sản xuất ngày ……/.…../2014</v>
          </cell>
          <cell r="C222" t="str">
            <v>COC-210</v>
          </cell>
          <cell r="D222">
            <v>588612.06499999994</v>
          </cell>
          <cell r="E222">
            <v>2317504.003</v>
          </cell>
          <cell r="H222">
            <v>588612.06499999994</v>
          </cell>
          <cell r="I222">
            <v>2317504.003</v>
          </cell>
          <cell r="J222" t="str">
            <v>LICOGI13</v>
          </cell>
          <cell r="M222" t="e">
            <v>#N/A</v>
          </cell>
          <cell r="N222" t="e">
            <v>#N/A</v>
          </cell>
          <cell r="O222" t="e">
            <v>#N/A</v>
          </cell>
          <cell r="P222" t="e">
            <v>#N/A</v>
          </cell>
          <cell r="Q222" t="e">
            <v>#N/A</v>
          </cell>
          <cell r="R222" t="e">
            <v>#N/A</v>
          </cell>
          <cell r="S222" t="e">
            <v>#N/A</v>
          </cell>
          <cell r="T222">
            <v>15</v>
          </cell>
          <cell r="U222">
            <v>15</v>
          </cell>
          <cell r="V222">
            <v>11.45</v>
          </cell>
          <cell r="W222" t="e">
            <v>#N/A</v>
          </cell>
          <cell r="X222" t="e">
            <v>#N/A</v>
          </cell>
          <cell r="Y222" t="e">
            <v>#N/A</v>
          </cell>
          <cell r="Z222" t="e">
            <v>#N/A</v>
          </cell>
          <cell r="AA222">
            <v>41.45</v>
          </cell>
        </row>
        <row r="223">
          <cell r="A223" t="str">
            <v>COC-211</v>
          </cell>
          <cell r="B223" t="str">
            <v>+ 01 đoạn C3: dài L= 9,5m, loại PC, cấp tải A,  bê tông mác 600     sản xuất ngày ……/.…../2014</v>
          </cell>
          <cell r="C223" t="str">
            <v>COC-211</v>
          </cell>
          <cell r="D223">
            <v>588611.57499999995</v>
          </cell>
          <cell r="E223">
            <v>2317505.4219999998</v>
          </cell>
          <cell r="H223">
            <v>588611.57499999995</v>
          </cell>
          <cell r="I223">
            <v>2317505.4219999998</v>
          </cell>
          <cell r="J223" t="str">
            <v>LICOGI13</v>
          </cell>
          <cell r="M223" t="e">
            <v>#N/A</v>
          </cell>
          <cell r="N223" t="e">
            <v>#N/A</v>
          </cell>
          <cell r="O223" t="e">
            <v>#N/A</v>
          </cell>
          <cell r="P223" t="e">
            <v>#N/A</v>
          </cell>
          <cell r="Q223" t="e">
            <v>#N/A</v>
          </cell>
          <cell r="R223" t="e">
            <v>#N/A</v>
          </cell>
          <cell r="S223" t="e">
            <v>#N/A</v>
          </cell>
          <cell r="T223">
            <v>15</v>
          </cell>
          <cell r="U223">
            <v>15</v>
          </cell>
          <cell r="V223">
            <v>11.45</v>
          </cell>
          <cell r="W223" t="e">
            <v>#N/A</v>
          </cell>
          <cell r="X223" t="e">
            <v>#N/A</v>
          </cell>
          <cell r="Y223" t="e">
            <v>#N/A</v>
          </cell>
          <cell r="Z223" t="e">
            <v>#N/A</v>
          </cell>
          <cell r="AA223">
            <v>41.45</v>
          </cell>
        </row>
        <row r="224">
          <cell r="A224" t="str">
            <v>COC-212</v>
          </cell>
          <cell r="B224" t="str">
            <v>+ 01 đoạn C3: dài L= 9,5m, loại PC, cấp tải A,  bê tông mác 600     sản xuất ngày ……/.…../2014</v>
          </cell>
          <cell r="C224" t="str">
            <v>COC-212</v>
          </cell>
          <cell r="D224">
            <v>588611.08499999996</v>
          </cell>
          <cell r="E224">
            <v>2317506.84</v>
          </cell>
          <cell r="H224">
            <v>588611.08499999996</v>
          </cell>
          <cell r="I224">
            <v>2317506.84</v>
          </cell>
          <cell r="J224" t="str">
            <v>LICOGI13</v>
          </cell>
          <cell r="M224" t="e">
            <v>#N/A</v>
          </cell>
          <cell r="N224" t="e">
            <v>#N/A</v>
          </cell>
          <cell r="O224" t="e">
            <v>#N/A</v>
          </cell>
          <cell r="P224" t="e">
            <v>#N/A</v>
          </cell>
          <cell r="Q224" t="e">
            <v>#N/A</v>
          </cell>
          <cell r="R224" t="e">
            <v>#N/A</v>
          </cell>
          <cell r="S224" t="e">
            <v>#N/A</v>
          </cell>
          <cell r="T224">
            <v>15</v>
          </cell>
          <cell r="U224">
            <v>15</v>
          </cell>
          <cell r="V224">
            <v>11.45</v>
          </cell>
          <cell r="W224" t="e">
            <v>#N/A</v>
          </cell>
          <cell r="X224" t="e">
            <v>#N/A</v>
          </cell>
          <cell r="Y224" t="e">
            <v>#N/A</v>
          </cell>
          <cell r="Z224" t="e">
            <v>#N/A</v>
          </cell>
          <cell r="AA224">
            <v>41.45</v>
          </cell>
        </row>
        <row r="225">
          <cell r="A225" t="str">
            <v>COC-213</v>
          </cell>
          <cell r="B225" t="str">
            <v>+ 01 đoạn C3: dài L= 9,5m, loại PC, cấp tải A,  bê tông mác 600     sản xuất ngày ……/.…../2014</v>
          </cell>
          <cell r="C225" t="str">
            <v>COC-213</v>
          </cell>
          <cell r="D225">
            <v>588612.55799999996</v>
          </cell>
          <cell r="E225">
            <v>2317506.5559999999</v>
          </cell>
          <cell r="H225">
            <v>588612.55799999996</v>
          </cell>
          <cell r="I225">
            <v>2317506.5559999999</v>
          </cell>
          <cell r="J225" t="str">
            <v>LICOGI13</v>
          </cell>
          <cell r="M225" t="e">
            <v>#N/A</v>
          </cell>
          <cell r="N225" t="e">
            <v>#N/A</v>
          </cell>
          <cell r="O225" t="e">
            <v>#N/A</v>
          </cell>
          <cell r="P225" t="e">
            <v>#N/A</v>
          </cell>
          <cell r="Q225" t="e">
            <v>#N/A</v>
          </cell>
          <cell r="R225" t="e">
            <v>#N/A</v>
          </cell>
          <cell r="S225" t="e">
            <v>#N/A</v>
          </cell>
          <cell r="T225">
            <v>15</v>
          </cell>
          <cell r="U225">
            <v>15</v>
          </cell>
          <cell r="V225">
            <v>11.45</v>
          </cell>
          <cell r="W225" t="e">
            <v>#N/A</v>
          </cell>
          <cell r="X225" t="e">
            <v>#N/A</v>
          </cell>
          <cell r="Y225" t="e">
            <v>#N/A</v>
          </cell>
          <cell r="Z225" t="e">
            <v>#N/A</v>
          </cell>
          <cell r="AA225">
            <v>41.45</v>
          </cell>
        </row>
        <row r="226">
          <cell r="A226" t="str">
            <v>COC-214</v>
          </cell>
          <cell r="B226" t="str">
            <v>""Cọc thí nghiệm số 3""</v>
          </cell>
          <cell r="C226" t="str">
            <v>COC-214</v>
          </cell>
          <cell r="D226">
            <v>588614.96799999999</v>
          </cell>
          <cell r="E226">
            <v>2317484.753</v>
          </cell>
          <cell r="H226">
            <v>588614.96799999999</v>
          </cell>
          <cell r="I226">
            <v>2317484.753</v>
          </cell>
          <cell r="M226" t="e">
            <v>#N/A</v>
          </cell>
          <cell r="N226" t="e">
            <v>#N/A</v>
          </cell>
          <cell r="O226" t="e">
            <v>#N/A</v>
          </cell>
          <cell r="P226" t="e">
            <v>#N/A</v>
          </cell>
          <cell r="Q226" t="e">
            <v>#N/A</v>
          </cell>
          <cell r="R226" t="e">
            <v>#N/A</v>
          </cell>
          <cell r="S226" t="e">
            <v>#N/A</v>
          </cell>
          <cell r="T226">
            <v>15</v>
          </cell>
          <cell r="U226">
            <v>15</v>
          </cell>
          <cell r="V226">
            <v>11.45</v>
          </cell>
          <cell r="W226" t="e">
            <v>#N/A</v>
          </cell>
          <cell r="X226" t="e">
            <v>#N/A</v>
          </cell>
          <cell r="Y226" t="e">
            <v>#N/A</v>
          </cell>
          <cell r="Z226" t="e">
            <v>#N/A</v>
          </cell>
          <cell r="AA226">
            <v>41.45</v>
          </cell>
        </row>
        <row r="227">
          <cell r="A227" t="str">
            <v>COC-215</v>
          </cell>
          <cell r="B227" t="str">
            <v>+ 01 đoạn C3: dài L= 9,5m, loại PC, cấp tải A,  bê tông mác 600     sản xuất ngày ……/.…../2014</v>
          </cell>
          <cell r="C227" t="str">
            <v>COC-215</v>
          </cell>
          <cell r="D227">
            <v>588616.44099999999</v>
          </cell>
          <cell r="E227">
            <v>2317484.4679999999</v>
          </cell>
          <cell r="H227">
            <v>588616.44099999999</v>
          </cell>
          <cell r="I227">
            <v>2317484.4679999999</v>
          </cell>
          <cell r="J227" t="str">
            <v>LICOGI13</v>
          </cell>
          <cell r="M227" t="e">
            <v>#N/A</v>
          </cell>
          <cell r="N227" t="e">
            <v>#N/A</v>
          </cell>
          <cell r="O227" t="e">
            <v>#N/A</v>
          </cell>
          <cell r="P227" t="e">
            <v>#N/A</v>
          </cell>
          <cell r="Q227" t="e">
            <v>#N/A</v>
          </cell>
          <cell r="R227" t="e">
            <v>#N/A</v>
          </cell>
          <cell r="S227" t="e">
            <v>#N/A</v>
          </cell>
          <cell r="T227">
            <v>15</v>
          </cell>
          <cell r="U227">
            <v>15</v>
          </cell>
          <cell r="V227">
            <v>11.45</v>
          </cell>
          <cell r="W227" t="e">
            <v>#N/A</v>
          </cell>
          <cell r="X227" t="e">
            <v>#N/A</v>
          </cell>
          <cell r="Y227" t="e">
            <v>#N/A</v>
          </cell>
          <cell r="Z227" t="e">
            <v>#N/A</v>
          </cell>
          <cell r="AA227">
            <v>41.45</v>
          </cell>
        </row>
        <row r="228">
          <cell r="A228" t="str">
            <v>COC-216</v>
          </cell>
          <cell r="B228" t="str">
            <v>+ 01 đoạn C3: dài L= 9,5m, loại PC, cấp tải A,  bê tông mác 600     sản xuất ngày ……/.…../2014</v>
          </cell>
          <cell r="C228" t="str">
            <v>COC-216</v>
          </cell>
          <cell r="D228">
            <v>588615.98899999994</v>
          </cell>
          <cell r="E228">
            <v>2317486.0830000001</v>
          </cell>
          <cell r="H228">
            <v>588615.98899999994</v>
          </cell>
          <cell r="I228">
            <v>2317486.0830000001</v>
          </cell>
          <cell r="J228" t="str">
            <v>LICOGI13</v>
          </cell>
          <cell r="M228" t="e">
            <v>#N/A</v>
          </cell>
          <cell r="N228" t="e">
            <v>#N/A</v>
          </cell>
          <cell r="O228" t="e">
            <v>#N/A</v>
          </cell>
          <cell r="P228" t="e">
            <v>#N/A</v>
          </cell>
          <cell r="Q228" t="e">
            <v>#N/A</v>
          </cell>
          <cell r="R228" t="e">
            <v>#N/A</v>
          </cell>
          <cell r="S228" t="e">
            <v>#N/A</v>
          </cell>
          <cell r="T228">
            <v>15</v>
          </cell>
          <cell r="U228">
            <v>15</v>
          </cell>
          <cell r="V228">
            <v>11.45</v>
          </cell>
          <cell r="W228" t="e">
            <v>#N/A</v>
          </cell>
          <cell r="X228" t="e">
            <v>#N/A</v>
          </cell>
          <cell r="Y228" t="e">
            <v>#N/A</v>
          </cell>
          <cell r="Z228" t="e">
            <v>#N/A</v>
          </cell>
          <cell r="AA228">
            <v>41.45</v>
          </cell>
        </row>
        <row r="229">
          <cell r="A229" t="str">
            <v>COC-217</v>
          </cell>
          <cell r="B229" t="str">
            <v>+ 01 đoạn C3: dài L=9,1m, loại PHC, cấp tải A, bê tông mác 800   sản xuất ngày ……/……./2014</v>
          </cell>
          <cell r="C229" t="str">
            <v>COC-217</v>
          </cell>
          <cell r="D229">
            <v>588614.554</v>
          </cell>
          <cell r="E229">
            <v>2317492.37</v>
          </cell>
          <cell r="H229">
            <v>588614.554</v>
          </cell>
          <cell r="I229">
            <v>2317492.37</v>
          </cell>
          <cell r="J229" t="str">
            <v>LICOGI13</v>
          </cell>
          <cell r="M229" t="e">
            <v>#N/A</v>
          </cell>
          <cell r="N229" t="e">
            <v>#N/A</v>
          </cell>
          <cell r="O229" t="e">
            <v>#N/A</v>
          </cell>
          <cell r="P229" t="e">
            <v>#N/A</v>
          </cell>
          <cell r="Q229" t="e">
            <v>#N/A</v>
          </cell>
          <cell r="R229" t="e">
            <v>#N/A</v>
          </cell>
          <cell r="S229" t="e">
            <v>#N/A</v>
          </cell>
          <cell r="T229">
            <v>15</v>
          </cell>
          <cell r="U229">
            <v>15</v>
          </cell>
          <cell r="V229">
            <v>11.45</v>
          </cell>
          <cell r="W229" t="e">
            <v>#N/A</v>
          </cell>
          <cell r="X229" t="e">
            <v>#N/A</v>
          </cell>
          <cell r="Y229" t="e">
            <v>#N/A</v>
          </cell>
          <cell r="Z229" t="e">
            <v>#N/A</v>
          </cell>
          <cell r="AA229">
            <v>41.45</v>
          </cell>
        </row>
        <row r="230">
          <cell r="A230" t="str">
            <v>COC-218</v>
          </cell>
          <cell r="B230" t="str">
            <v>+ 01 đoạn C3: dài L=9,1m, loại PHC, cấp tải A, bê tông mác 800   sản xuất ngày ……/……./2014</v>
          </cell>
          <cell r="C230" t="str">
            <v>COC-218</v>
          </cell>
          <cell r="D230">
            <v>588614.83900000004</v>
          </cell>
          <cell r="E230">
            <v>2317493.8429999999</v>
          </cell>
          <cell r="H230">
            <v>588614.83900000004</v>
          </cell>
          <cell r="I230">
            <v>2317493.8429999999</v>
          </cell>
          <cell r="J230" t="str">
            <v>LICOGI13</v>
          </cell>
          <cell r="M230" t="e">
            <v>#N/A</v>
          </cell>
          <cell r="N230" t="e">
            <v>#N/A</v>
          </cell>
          <cell r="O230" t="e">
            <v>#N/A</v>
          </cell>
          <cell r="P230" t="e">
            <v>#N/A</v>
          </cell>
          <cell r="Q230" t="e">
            <v>#N/A</v>
          </cell>
          <cell r="R230" t="e">
            <v>#N/A</v>
          </cell>
          <cell r="S230" t="e">
            <v>#N/A</v>
          </cell>
          <cell r="T230">
            <v>15</v>
          </cell>
          <cell r="U230">
            <v>15</v>
          </cell>
          <cell r="V230">
            <v>11.45</v>
          </cell>
          <cell r="W230" t="e">
            <v>#N/A</v>
          </cell>
          <cell r="X230" t="e">
            <v>#N/A</v>
          </cell>
          <cell r="Y230" t="e">
            <v>#N/A</v>
          </cell>
          <cell r="Z230" t="e">
            <v>#N/A</v>
          </cell>
          <cell r="AA230">
            <v>41.45</v>
          </cell>
        </row>
        <row r="231">
          <cell r="A231" t="str">
            <v>COC-219</v>
          </cell>
          <cell r="B231" t="str">
            <v>+ 01 đoạn C3: dài L=9,1m, loại PHC, cấp tải A, bê tông mác 800   sản xuất ngày ……/……./2014</v>
          </cell>
          <cell r="C231" t="str">
            <v>COC-219</v>
          </cell>
          <cell r="D231">
            <v>588615.12300000002</v>
          </cell>
          <cell r="E231">
            <v>2317495.3149999999</v>
          </cell>
          <cell r="H231">
            <v>588615.12300000002</v>
          </cell>
          <cell r="I231">
            <v>2317495.3149999999</v>
          </cell>
          <cell r="J231" t="str">
            <v>LICOGI13</v>
          </cell>
          <cell r="M231" t="e">
            <v>#N/A</v>
          </cell>
          <cell r="N231" t="e">
            <v>#N/A</v>
          </cell>
          <cell r="O231" t="e">
            <v>#N/A</v>
          </cell>
          <cell r="P231" t="e">
            <v>#N/A</v>
          </cell>
          <cell r="Q231" t="e">
            <v>#N/A</v>
          </cell>
          <cell r="R231" t="e">
            <v>#N/A</v>
          </cell>
          <cell r="S231" t="e">
            <v>#N/A</v>
          </cell>
          <cell r="T231">
            <v>15</v>
          </cell>
          <cell r="U231">
            <v>15</v>
          </cell>
          <cell r="V231">
            <v>11.45</v>
          </cell>
          <cell r="W231" t="e">
            <v>#N/A</v>
          </cell>
          <cell r="X231" t="e">
            <v>#N/A</v>
          </cell>
          <cell r="Y231" t="e">
            <v>#N/A</v>
          </cell>
          <cell r="Z231" t="e">
            <v>#N/A</v>
          </cell>
          <cell r="AA231">
            <v>41.45</v>
          </cell>
        </row>
        <row r="232">
          <cell r="A232" t="str">
            <v>COC-220</v>
          </cell>
          <cell r="B232" t="str">
            <v>+ 01 đoạn C3: dài L=9,1m, loại PHC, cấp tải A, bê tông mác 800   sản xuất ngày ……/……./2014</v>
          </cell>
          <cell r="C232" t="str">
            <v>COC-220</v>
          </cell>
          <cell r="D232">
            <v>588615.40700000001</v>
          </cell>
          <cell r="E232">
            <v>2317496.7880000002</v>
          </cell>
          <cell r="H232">
            <v>588615.40700000001</v>
          </cell>
          <cell r="I232">
            <v>2317496.7880000002</v>
          </cell>
          <cell r="J232" t="str">
            <v>LICOGI13</v>
          </cell>
          <cell r="M232" t="e">
            <v>#N/A</v>
          </cell>
          <cell r="N232" t="e">
            <v>#N/A</v>
          </cell>
          <cell r="O232" t="e">
            <v>#N/A</v>
          </cell>
          <cell r="P232" t="e">
            <v>#N/A</v>
          </cell>
          <cell r="Q232" t="e">
            <v>#N/A</v>
          </cell>
          <cell r="R232" t="e">
            <v>#N/A</v>
          </cell>
          <cell r="S232" t="e">
            <v>#N/A</v>
          </cell>
          <cell r="T232">
            <v>15</v>
          </cell>
          <cell r="U232">
            <v>15</v>
          </cell>
          <cell r="V232">
            <v>11.45</v>
          </cell>
          <cell r="W232" t="e">
            <v>#N/A</v>
          </cell>
          <cell r="X232" t="e">
            <v>#N/A</v>
          </cell>
          <cell r="Y232" t="e">
            <v>#N/A</v>
          </cell>
          <cell r="Z232" t="e">
            <v>#N/A</v>
          </cell>
          <cell r="AA232">
            <v>41.45</v>
          </cell>
        </row>
        <row r="233">
          <cell r="A233" t="str">
            <v>COC-221</v>
          </cell>
          <cell r="B233" t="str">
            <v>+ 01 đoạn C3: dài L=9,1m, loại PHC, cấp tải A, bê tông mác 800   sản xuất ngày ……/……./2014</v>
          </cell>
          <cell r="C233" t="str">
            <v>COC-221</v>
          </cell>
          <cell r="D233">
            <v>588615.69200000004</v>
          </cell>
          <cell r="E233">
            <v>2317498.2609999999</v>
          </cell>
          <cell r="H233">
            <v>588615.69200000004</v>
          </cell>
          <cell r="I233">
            <v>2317498.2609999999</v>
          </cell>
          <cell r="J233" t="str">
            <v>LICOGI13</v>
          </cell>
          <cell r="M233" t="e">
            <v>#N/A</v>
          </cell>
          <cell r="N233" t="e">
            <v>#N/A</v>
          </cell>
          <cell r="O233" t="e">
            <v>#N/A</v>
          </cell>
          <cell r="P233" t="e">
            <v>#N/A</v>
          </cell>
          <cell r="Q233" t="e">
            <v>#N/A</v>
          </cell>
          <cell r="R233" t="e">
            <v>#N/A</v>
          </cell>
          <cell r="S233" t="e">
            <v>#N/A</v>
          </cell>
          <cell r="T233">
            <v>15</v>
          </cell>
          <cell r="U233">
            <v>15</v>
          </cell>
          <cell r="V233">
            <v>11.45</v>
          </cell>
          <cell r="W233" t="e">
            <v>#N/A</v>
          </cell>
          <cell r="X233" t="e">
            <v>#N/A</v>
          </cell>
          <cell r="Y233" t="e">
            <v>#N/A</v>
          </cell>
          <cell r="Z233" t="e">
            <v>#N/A</v>
          </cell>
          <cell r="AA233">
            <v>41.45</v>
          </cell>
        </row>
        <row r="234">
          <cell r="A234" t="str">
            <v>COC-222</v>
          </cell>
          <cell r="B234" t="str">
            <v>+ 01 đoạn C3: dài L=9,1m, loại PHC, cấp tải A, bê tông mác 800   sản xuất ngày ……/……./2014</v>
          </cell>
          <cell r="C234" t="str">
            <v>COC-222</v>
          </cell>
          <cell r="D234">
            <v>588616.027</v>
          </cell>
          <cell r="E234">
            <v>2317492.085</v>
          </cell>
          <cell r="H234">
            <v>588616.027</v>
          </cell>
          <cell r="I234">
            <v>2317492.085</v>
          </cell>
          <cell r="J234" t="str">
            <v>LICOGI13</v>
          </cell>
          <cell r="M234" t="e">
            <v>#N/A</v>
          </cell>
          <cell r="N234" t="e">
            <v>#N/A</v>
          </cell>
          <cell r="O234" t="e">
            <v>#N/A</v>
          </cell>
          <cell r="P234" t="e">
            <v>#N/A</v>
          </cell>
          <cell r="Q234" t="e">
            <v>#N/A</v>
          </cell>
          <cell r="R234" t="e">
            <v>#N/A</v>
          </cell>
          <cell r="S234" t="e">
            <v>#N/A</v>
          </cell>
          <cell r="T234">
            <v>15</v>
          </cell>
          <cell r="U234">
            <v>15</v>
          </cell>
          <cell r="V234">
            <v>11.45</v>
          </cell>
          <cell r="W234" t="e">
            <v>#N/A</v>
          </cell>
          <cell r="X234" t="e">
            <v>#N/A</v>
          </cell>
          <cell r="Y234" t="e">
            <v>#N/A</v>
          </cell>
          <cell r="Z234" t="e">
            <v>#N/A</v>
          </cell>
          <cell r="AA234">
            <v>41.45</v>
          </cell>
        </row>
        <row r="235">
          <cell r="A235" t="str">
            <v>COC-223</v>
          </cell>
          <cell r="B235" t="str">
            <v>+ 01 đoạn C3: dài L=9,1m, loại PHC, cấp tải A, bê tông mác 800   sản xuất ngày ……/……./2014</v>
          </cell>
          <cell r="C235" t="str">
            <v>COC-223</v>
          </cell>
          <cell r="D235">
            <v>588616.31200000003</v>
          </cell>
          <cell r="E235">
            <v>2317493.5580000002</v>
          </cell>
          <cell r="H235">
            <v>588616.31200000003</v>
          </cell>
          <cell r="I235">
            <v>2317493.5580000002</v>
          </cell>
          <cell r="J235" t="str">
            <v>LICOGI13</v>
          </cell>
          <cell r="M235" t="e">
            <v>#N/A</v>
          </cell>
          <cell r="N235" t="e">
            <v>#N/A</v>
          </cell>
          <cell r="O235" t="e">
            <v>#N/A</v>
          </cell>
          <cell r="P235" t="e">
            <v>#N/A</v>
          </cell>
          <cell r="Q235" t="e">
            <v>#N/A</v>
          </cell>
          <cell r="R235" t="e">
            <v>#N/A</v>
          </cell>
          <cell r="S235" t="e">
            <v>#N/A</v>
          </cell>
          <cell r="T235">
            <v>15</v>
          </cell>
          <cell r="U235">
            <v>15</v>
          </cell>
          <cell r="V235">
            <v>11.45</v>
          </cell>
          <cell r="W235" t="e">
            <v>#N/A</v>
          </cell>
          <cell r="X235" t="e">
            <v>#N/A</v>
          </cell>
          <cell r="Y235" t="e">
            <v>#N/A</v>
          </cell>
          <cell r="Z235" t="e">
            <v>#N/A</v>
          </cell>
          <cell r="AA235">
            <v>41.45</v>
          </cell>
        </row>
        <row r="236">
          <cell r="A236" t="str">
            <v>COC-224</v>
          </cell>
          <cell r="B236" t="str">
            <v>+ 01 đoạn C3: dài L=9,1m, loại PHC, cấp tải A, bê tông mác 800   sản xuất ngày ……/……./2014</v>
          </cell>
          <cell r="C236" t="str">
            <v>COC-224</v>
          </cell>
          <cell r="D236">
            <v>588616.59600000002</v>
          </cell>
          <cell r="E236">
            <v>2317495.031</v>
          </cell>
          <cell r="H236">
            <v>588616.59600000002</v>
          </cell>
          <cell r="I236">
            <v>2317495.031</v>
          </cell>
          <cell r="J236" t="str">
            <v>LICOGI13</v>
          </cell>
          <cell r="M236" t="e">
            <v>#N/A</v>
          </cell>
          <cell r="N236" t="e">
            <v>#N/A</v>
          </cell>
          <cell r="O236" t="e">
            <v>#N/A</v>
          </cell>
          <cell r="P236" t="e">
            <v>#N/A</v>
          </cell>
          <cell r="Q236" t="e">
            <v>#N/A</v>
          </cell>
          <cell r="R236" t="e">
            <v>#N/A</v>
          </cell>
          <cell r="S236" t="e">
            <v>#N/A</v>
          </cell>
          <cell r="T236">
            <v>15</v>
          </cell>
          <cell r="U236">
            <v>15</v>
          </cell>
          <cell r="V236">
            <v>11.45</v>
          </cell>
          <cell r="W236" t="e">
            <v>#N/A</v>
          </cell>
          <cell r="X236" t="e">
            <v>#N/A</v>
          </cell>
          <cell r="Y236" t="e">
            <v>#N/A</v>
          </cell>
          <cell r="Z236" t="e">
            <v>#N/A</v>
          </cell>
          <cell r="AA236">
            <v>41.45</v>
          </cell>
        </row>
        <row r="237">
          <cell r="A237" t="str">
            <v>COC-225</v>
          </cell>
          <cell r="B237" t="str">
            <v>+ 01 đoạn C3: dài L=9,1m, loại PHC, cấp tải A, bê tông mác 800   sản xuất ngày ……/……./2014</v>
          </cell>
          <cell r="C237" t="str">
            <v>COC-225</v>
          </cell>
          <cell r="D237">
            <v>588616.88</v>
          </cell>
          <cell r="E237">
            <v>2317496.5040000002</v>
          </cell>
          <cell r="H237">
            <v>588616.88</v>
          </cell>
          <cell r="I237">
            <v>2317496.5040000002</v>
          </cell>
          <cell r="J237" t="str">
            <v>LICOGI13</v>
          </cell>
          <cell r="M237" t="e">
            <v>#N/A</v>
          </cell>
          <cell r="N237" t="e">
            <v>#N/A</v>
          </cell>
          <cell r="O237" t="e">
            <v>#N/A</v>
          </cell>
          <cell r="P237" t="e">
            <v>#N/A</v>
          </cell>
          <cell r="Q237" t="e">
            <v>#N/A</v>
          </cell>
          <cell r="R237" t="e">
            <v>#N/A</v>
          </cell>
          <cell r="S237" t="e">
            <v>#N/A</v>
          </cell>
          <cell r="T237">
            <v>15</v>
          </cell>
          <cell r="U237">
            <v>15</v>
          </cell>
          <cell r="V237">
            <v>11.45</v>
          </cell>
          <cell r="W237" t="e">
            <v>#N/A</v>
          </cell>
          <cell r="X237" t="e">
            <v>#N/A</v>
          </cell>
          <cell r="Y237" t="e">
            <v>#N/A</v>
          </cell>
          <cell r="Z237" t="e">
            <v>#N/A</v>
          </cell>
          <cell r="AA237">
            <v>41.45</v>
          </cell>
        </row>
        <row r="238">
          <cell r="A238" t="str">
            <v>COC-226</v>
          </cell>
          <cell r="B238" t="str">
            <v>+ 01 đoạn C3: dài L=9,1m, loại PHC, cấp tải A, bê tông mác 800   sản xuất ngày ……/……./2014</v>
          </cell>
          <cell r="C238" t="str">
            <v>COC-226</v>
          </cell>
          <cell r="D238">
            <v>588617.16500000004</v>
          </cell>
          <cell r="E238">
            <v>2317497.977</v>
          </cell>
          <cell r="H238">
            <v>588617.16500000004</v>
          </cell>
          <cell r="I238">
            <v>2317497.977</v>
          </cell>
          <cell r="J238" t="str">
            <v>LICOGI13</v>
          </cell>
          <cell r="M238" t="e">
            <v>#N/A</v>
          </cell>
          <cell r="N238" t="e">
            <v>#N/A</v>
          </cell>
          <cell r="O238" t="e">
            <v>#N/A</v>
          </cell>
          <cell r="P238" t="e">
            <v>#N/A</v>
          </cell>
          <cell r="Q238" t="e">
            <v>#N/A</v>
          </cell>
          <cell r="R238" t="e">
            <v>#N/A</v>
          </cell>
          <cell r="S238" t="e">
            <v>#N/A</v>
          </cell>
          <cell r="T238">
            <v>15</v>
          </cell>
          <cell r="U238">
            <v>15</v>
          </cell>
          <cell r="V238">
            <v>11.45</v>
          </cell>
          <cell r="W238" t="e">
            <v>#N/A</v>
          </cell>
          <cell r="X238" t="e">
            <v>#N/A</v>
          </cell>
          <cell r="Y238" t="e">
            <v>#N/A</v>
          </cell>
          <cell r="Z238" t="e">
            <v>#N/A</v>
          </cell>
          <cell r="AA238">
            <v>41.45</v>
          </cell>
        </row>
        <row r="239">
          <cell r="A239" t="str">
            <v>COC-227</v>
          </cell>
          <cell r="B239" t="str">
            <v>+ 01 đoạn C3: dài L=9,1m, loại PHC, cấp tải A, bê tông mác 800   sản xuất ngày ……/……./2014</v>
          </cell>
          <cell r="C239" t="str">
            <v>COC-227</v>
          </cell>
          <cell r="D239">
            <v>588617.5</v>
          </cell>
          <cell r="E239">
            <v>2317491.801</v>
          </cell>
          <cell r="H239">
            <v>588617.5</v>
          </cell>
          <cell r="I239">
            <v>2317491.801</v>
          </cell>
          <cell r="J239" t="str">
            <v>LICOGI13</v>
          </cell>
          <cell r="M239" t="e">
            <v>#N/A</v>
          </cell>
          <cell r="N239" t="e">
            <v>#N/A</v>
          </cell>
          <cell r="O239" t="e">
            <v>#N/A</v>
          </cell>
          <cell r="P239" t="e">
            <v>#N/A</v>
          </cell>
          <cell r="Q239" t="e">
            <v>#N/A</v>
          </cell>
          <cell r="R239" t="e">
            <v>#N/A</v>
          </cell>
          <cell r="S239" t="e">
            <v>#N/A</v>
          </cell>
          <cell r="T239">
            <v>15</v>
          </cell>
          <cell r="U239">
            <v>15</v>
          </cell>
          <cell r="V239">
            <v>11.45</v>
          </cell>
          <cell r="W239" t="e">
            <v>#N/A</v>
          </cell>
          <cell r="X239" t="e">
            <v>#N/A</v>
          </cell>
          <cell r="Y239" t="e">
            <v>#N/A</v>
          </cell>
          <cell r="Z239" t="e">
            <v>#N/A</v>
          </cell>
          <cell r="AA239">
            <v>41.45</v>
          </cell>
        </row>
        <row r="240">
          <cell r="A240" t="str">
            <v>COC-228</v>
          </cell>
          <cell r="B240" t="str">
            <v>+ 01 đoạn C3: dài L=9,1m, loại PHC, cấp tải A, bê tông mác 800   sản xuất ngày ……/……./2014</v>
          </cell>
          <cell r="C240" t="str">
            <v>COC-228</v>
          </cell>
          <cell r="D240">
            <v>588617.78399999999</v>
          </cell>
          <cell r="E240">
            <v>2317493.2740000002</v>
          </cell>
          <cell r="H240">
            <v>588617.78399999999</v>
          </cell>
          <cell r="I240">
            <v>2317493.2740000002</v>
          </cell>
          <cell r="J240" t="str">
            <v>LICOGI13</v>
          </cell>
          <cell r="M240" t="e">
            <v>#N/A</v>
          </cell>
          <cell r="N240" t="e">
            <v>#N/A</v>
          </cell>
          <cell r="O240" t="e">
            <v>#N/A</v>
          </cell>
          <cell r="P240" t="e">
            <v>#N/A</v>
          </cell>
          <cell r="Q240" t="e">
            <v>#N/A</v>
          </cell>
          <cell r="R240" t="e">
            <v>#N/A</v>
          </cell>
          <cell r="S240" t="e">
            <v>#N/A</v>
          </cell>
          <cell r="T240">
            <v>15</v>
          </cell>
          <cell r="U240">
            <v>15</v>
          </cell>
          <cell r="V240">
            <v>11.45</v>
          </cell>
          <cell r="W240" t="e">
            <v>#N/A</v>
          </cell>
          <cell r="X240" t="e">
            <v>#N/A</v>
          </cell>
          <cell r="Y240" t="e">
            <v>#N/A</v>
          </cell>
          <cell r="Z240" t="e">
            <v>#N/A</v>
          </cell>
          <cell r="AA240">
            <v>41.45</v>
          </cell>
        </row>
        <row r="241">
          <cell r="A241" t="str">
            <v>COC-229</v>
          </cell>
          <cell r="B241" t="str">
            <v>+ 01 đoạn C3: dài L=9,1m, loại PHC, cấp tải A, bê tông mác 800   sản xuất ngày ……/……./2014</v>
          </cell>
          <cell r="C241" t="str">
            <v>COC-229</v>
          </cell>
          <cell r="D241">
            <v>588618.06900000002</v>
          </cell>
          <cell r="E241">
            <v>2317494.747</v>
          </cell>
          <cell r="H241">
            <v>588618.06900000002</v>
          </cell>
          <cell r="I241">
            <v>2317494.747</v>
          </cell>
          <cell r="J241" t="str">
            <v>LICOGI13</v>
          </cell>
          <cell r="M241" t="e">
            <v>#N/A</v>
          </cell>
          <cell r="N241" t="e">
            <v>#N/A</v>
          </cell>
          <cell r="O241" t="e">
            <v>#N/A</v>
          </cell>
          <cell r="P241" t="e">
            <v>#N/A</v>
          </cell>
          <cell r="Q241" t="e">
            <v>#N/A</v>
          </cell>
          <cell r="R241" t="e">
            <v>#N/A</v>
          </cell>
          <cell r="S241" t="e">
            <v>#N/A</v>
          </cell>
          <cell r="T241">
            <v>15</v>
          </cell>
          <cell r="U241">
            <v>15</v>
          </cell>
          <cell r="V241">
            <v>11.45</v>
          </cell>
          <cell r="W241" t="e">
            <v>#N/A</v>
          </cell>
          <cell r="X241" t="e">
            <v>#N/A</v>
          </cell>
          <cell r="Y241" t="e">
            <v>#N/A</v>
          </cell>
          <cell r="Z241" t="e">
            <v>#N/A</v>
          </cell>
          <cell r="AA241">
            <v>41.45</v>
          </cell>
        </row>
        <row r="242">
          <cell r="A242" t="str">
            <v>COC-230</v>
          </cell>
          <cell r="B242" t="str">
            <v>+ 01 đoạn C3: dài L=9,1m, loại PHC, cấp tải A, bê tông mác 800   sản xuất ngày ……/……./2014</v>
          </cell>
          <cell r="C242" t="str">
            <v>COC-230</v>
          </cell>
          <cell r="D242">
            <v>588618.353</v>
          </cell>
          <cell r="E242">
            <v>2317496.219</v>
          </cell>
          <cell r="H242">
            <v>588618.353</v>
          </cell>
          <cell r="I242">
            <v>2317496.219</v>
          </cell>
          <cell r="J242" t="str">
            <v>LICOGI13</v>
          </cell>
          <cell r="M242" t="e">
            <v>#N/A</v>
          </cell>
          <cell r="N242" t="e">
            <v>#N/A</v>
          </cell>
          <cell r="O242" t="e">
            <v>#N/A</v>
          </cell>
          <cell r="P242" t="e">
            <v>#N/A</v>
          </cell>
          <cell r="Q242" t="e">
            <v>#N/A</v>
          </cell>
          <cell r="R242" t="e">
            <v>#N/A</v>
          </cell>
          <cell r="S242" t="e">
            <v>#N/A</v>
          </cell>
          <cell r="T242">
            <v>15</v>
          </cell>
          <cell r="U242">
            <v>15</v>
          </cell>
          <cell r="V242">
            <v>11.45</v>
          </cell>
          <cell r="W242" t="e">
            <v>#N/A</v>
          </cell>
          <cell r="X242" t="e">
            <v>#N/A</v>
          </cell>
          <cell r="Y242" t="e">
            <v>#N/A</v>
          </cell>
          <cell r="Z242" t="e">
            <v>#N/A</v>
          </cell>
          <cell r="AA242">
            <v>41.45</v>
          </cell>
        </row>
        <row r="243">
          <cell r="A243" t="str">
            <v>COC-231</v>
          </cell>
          <cell r="B243" t="str">
            <v>+ 01 đoạn C3: dài L=9,1m, loại PHC, cấp tải A, bê tông mác 800   sản xuất ngày ……/……./2014</v>
          </cell>
          <cell r="C243" t="str">
            <v>COC-231</v>
          </cell>
          <cell r="D243">
            <v>588618.63800000004</v>
          </cell>
          <cell r="E243">
            <v>2317497.6919999998</v>
          </cell>
          <cell r="H243">
            <v>588618.63800000004</v>
          </cell>
          <cell r="I243">
            <v>2317497.6919999998</v>
          </cell>
          <cell r="J243" t="str">
            <v>LICOGI13</v>
          </cell>
          <cell r="M243" t="e">
            <v>#N/A</v>
          </cell>
          <cell r="N243" t="e">
            <v>#N/A</v>
          </cell>
          <cell r="O243" t="e">
            <v>#N/A</v>
          </cell>
          <cell r="P243" t="e">
            <v>#N/A</v>
          </cell>
          <cell r="Q243" t="e">
            <v>#N/A</v>
          </cell>
          <cell r="R243" t="e">
            <v>#N/A</v>
          </cell>
          <cell r="S243" t="e">
            <v>#N/A</v>
          </cell>
          <cell r="T243">
            <v>15</v>
          </cell>
          <cell r="U243">
            <v>15</v>
          </cell>
          <cell r="V243">
            <v>11.45</v>
          </cell>
          <cell r="W243" t="e">
            <v>#N/A</v>
          </cell>
          <cell r="X243" t="e">
            <v>#N/A</v>
          </cell>
          <cell r="Y243" t="e">
            <v>#N/A</v>
          </cell>
          <cell r="Z243" t="e">
            <v>#N/A</v>
          </cell>
          <cell r="AA243">
            <v>41.45</v>
          </cell>
        </row>
        <row r="244">
          <cell r="A244" t="str">
            <v>COC-232</v>
          </cell>
          <cell r="B244" t="str">
            <v>+ 01 đoạn C3: dài L= 9,5m, loại PC, cấp tải A,  bê tông mác 600     sản xuất ngày ……/.…../2014</v>
          </cell>
          <cell r="C244" t="str">
            <v>COC-232</v>
          </cell>
          <cell r="D244">
            <v>588619.28799999994</v>
          </cell>
          <cell r="E244">
            <v>2317503.1690000002</v>
          </cell>
          <cell r="H244">
            <v>588619.28799999994</v>
          </cell>
          <cell r="I244">
            <v>2317503.1690000002</v>
          </cell>
          <cell r="J244" t="str">
            <v>LICOGI13</v>
          </cell>
          <cell r="M244" t="e">
            <v>#N/A</v>
          </cell>
          <cell r="N244" t="e">
            <v>#N/A</v>
          </cell>
          <cell r="O244" t="e">
            <v>#N/A</v>
          </cell>
          <cell r="P244" t="e">
            <v>#N/A</v>
          </cell>
          <cell r="Q244" t="e">
            <v>#N/A</v>
          </cell>
          <cell r="R244" t="e">
            <v>#N/A</v>
          </cell>
          <cell r="S244" t="e">
            <v>#N/A</v>
          </cell>
          <cell r="T244">
            <v>15</v>
          </cell>
          <cell r="U244">
            <v>15</v>
          </cell>
          <cell r="V244">
            <v>11.45</v>
          </cell>
          <cell r="W244" t="e">
            <v>#N/A</v>
          </cell>
          <cell r="X244" t="e">
            <v>#N/A</v>
          </cell>
          <cell r="Y244" t="e">
            <v>#N/A</v>
          </cell>
          <cell r="Z244" t="e">
            <v>#N/A</v>
          </cell>
          <cell r="AA244">
            <v>41.45</v>
          </cell>
        </row>
        <row r="245">
          <cell r="A245" t="str">
            <v>COC-233</v>
          </cell>
          <cell r="B245" t="str">
            <v>+ 01 đoạn C3: dài L= 9,5m, loại PC, cấp tải A,  bê tông mác 600     sản xuất ngày ……/.…../2014</v>
          </cell>
          <cell r="C245" t="str">
            <v>COC-233</v>
          </cell>
          <cell r="D245">
            <v>588618.83600000001</v>
          </cell>
          <cell r="E245">
            <v>2317504.784</v>
          </cell>
          <cell r="H245">
            <v>588618.83600000001</v>
          </cell>
          <cell r="I245">
            <v>2317504.784</v>
          </cell>
          <cell r="J245" t="str">
            <v>LICOGI13</v>
          </cell>
          <cell r="M245" t="e">
            <v>#N/A</v>
          </cell>
          <cell r="N245" t="e">
            <v>#N/A</v>
          </cell>
          <cell r="O245" t="e">
            <v>#N/A</v>
          </cell>
          <cell r="P245" t="e">
            <v>#N/A</v>
          </cell>
          <cell r="Q245" t="e">
            <v>#N/A</v>
          </cell>
          <cell r="R245" t="e">
            <v>#N/A</v>
          </cell>
          <cell r="S245" t="e">
            <v>#N/A</v>
          </cell>
          <cell r="T245">
            <v>15</v>
          </cell>
          <cell r="U245">
            <v>15</v>
          </cell>
          <cell r="V245">
            <v>11.45</v>
          </cell>
          <cell r="W245" t="e">
            <v>#N/A</v>
          </cell>
          <cell r="X245" t="e">
            <v>#N/A</v>
          </cell>
          <cell r="Y245" t="e">
            <v>#N/A</v>
          </cell>
          <cell r="Z245" t="e">
            <v>#N/A</v>
          </cell>
          <cell r="AA245">
            <v>41.45</v>
          </cell>
        </row>
        <row r="246">
          <cell r="A246" t="str">
            <v>COC-234</v>
          </cell>
          <cell r="B246" t="str">
            <v>+ 01 đoạn C3: dài L= 9,5m, loại PC, cấp tải A,  bê tông mác 600     sản xuất ngày ……/.…../2014</v>
          </cell>
          <cell r="C246" t="str">
            <v>COC-234</v>
          </cell>
          <cell r="D246">
            <v>588620.30799999996</v>
          </cell>
          <cell r="E246">
            <v>2317504.4989999998</v>
          </cell>
          <cell r="H246">
            <v>588620.30799999996</v>
          </cell>
          <cell r="I246">
            <v>2317504.4989999998</v>
          </cell>
          <cell r="J246" t="str">
            <v>LICOGI13</v>
          </cell>
          <cell r="M246" t="e">
            <v>#N/A</v>
          </cell>
          <cell r="N246" t="e">
            <v>#N/A</v>
          </cell>
          <cell r="O246" t="e">
            <v>#N/A</v>
          </cell>
          <cell r="P246" t="e">
            <v>#N/A</v>
          </cell>
          <cell r="Q246" t="e">
            <v>#N/A</v>
          </cell>
          <cell r="R246" t="e">
            <v>#N/A</v>
          </cell>
          <cell r="S246" t="e">
            <v>#N/A</v>
          </cell>
          <cell r="T246">
            <v>15</v>
          </cell>
          <cell r="U246">
            <v>15</v>
          </cell>
          <cell r="V246">
            <v>11.45</v>
          </cell>
          <cell r="W246" t="e">
            <v>#N/A</v>
          </cell>
          <cell r="X246" t="e">
            <v>#N/A</v>
          </cell>
          <cell r="Y246" t="e">
            <v>#N/A</v>
          </cell>
          <cell r="Z246" t="e">
            <v>#N/A</v>
          </cell>
          <cell r="AA246">
            <v>41.45</v>
          </cell>
        </row>
        <row r="247">
          <cell r="A247" t="str">
            <v>COC-235</v>
          </cell>
          <cell r="B247" t="str">
            <v>+ 01 đoạn C3: dài L= 9,5m, loại PC, cấp tải A,  bê tông mác 600     sản xuất ngày ……/.…../2014</v>
          </cell>
          <cell r="C247" t="str">
            <v>COC-235</v>
          </cell>
          <cell r="D247">
            <v>588619.603</v>
          </cell>
          <cell r="E247">
            <v>2317492.6680000001</v>
          </cell>
          <cell r="H247">
            <v>588619.603</v>
          </cell>
          <cell r="I247">
            <v>2317492.6680000001</v>
          </cell>
          <cell r="J247" t="str">
            <v>LICOGI13</v>
          </cell>
          <cell r="M247" t="e">
            <v>#N/A</v>
          </cell>
          <cell r="N247" t="e">
            <v>#N/A</v>
          </cell>
          <cell r="O247" t="e">
            <v>#N/A</v>
          </cell>
          <cell r="P247" t="e">
            <v>#N/A</v>
          </cell>
          <cell r="Q247" t="e">
            <v>#N/A</v>
          </cell>
          <cell r="R247" t="e">
            <v>#N/A</v>
          </cell>
          <cell r="S247" t="e">
            <v>#N/A</v>
          </cell>
          <cell r="T247">
            <v>15</v>
          </cell>
          <cell r="U247">
            <v>15</v>
          </cell>
          <cell r="V247">
            <v>11.45</v>
          </cell>
          <cell r="W247" t="e">
            <v>#N/A</v>
          </cell>
          <cell r="X247" t="e">
            <v>#N/A</v>
          </cell>
          <cell r="Y247" t="e">
            <v>#N/A</v>
          </cell>
          <cell r="Z247" t="e">
            <v>#N/A</v>
          </cell>
          <cell r="AA247">
            <v>41.45</v>
          </cell>
        </row>
        <row r="248">
          <cell r="A248" t="str">
            <v>COC-236</v>
          </cell>
          <cell r="B248" t="str">
            <v>+ 01 đoạn C3: dài L= 9,5m, loại PC, cấp tải A,  bê tông mác 600     sản xuất ngày ……/.…../2014</v>
          </cell>
          <cell r="C248" t="str">
            <v>COC-236</v>
          </cell>
          <cell r="D248">
            <v>588619.88699999999</v>
          </cell>
          <cell r="E248">
            <v>2317494.1409999998</v>
          </cell>
          <cell r="H248">
            <v>588619.88699999999</v>
          </cell>
          <cell r="I248">
            <v>2317494.1409999998</v>
          </cell>
          <cell r="J248" t="str">
            <v>LICOGI13</v>
          </cell>
          <cell r="M248" t="e">
            <v>#N/A</v>
          </cell>
          <cell r="N248" t="e">
            <v>#N/A</v>
          </cell>
          <cell r="O248" t="e">
            <v>#N/A</v>
          </cell>
          <cell r="P248" t="e">
            <v>#N/A</v>
          </cell>
          <cell r="Q248" t="e">
            <v>#N/A</v>
          </cell>
          <cell r="R248" t="e">
            <v>#N/A</v>
          </cell>
          <cell r="S248" t="e">
            <v>#N/A</v>
          </cell>
          <cell r="T248">
            <v>15</v>
          </cell>
          <cell r="U248">
            <v>15</v>
          </cell>
          <cell r="V248">
            <v>11.45</v>
          </cell>
          <cell r="W248" t="e">
            <v>#N/A</v>
          </cell>
          <cell r="X248" t="e">
            <v>#N/A</v>
          </cell>
          <cell r="Y248" t="e">
            <v>#N/A</v>
          </cell>
          <cell r="Z248" t="e">
            <v>#N/A</v>
          </cell>
          <cell r="AA248">
            <v>41.45</v>
          </cell>
        </row>
        <row r="249">
          <cell r="A249" t="str">
            <v>COC-237</v>
          </cell>
          <cell r="B249" t="str">
            <v>+ 01 đoạn C3: dài L= 9,5m, loại PC, cấp tải A,  bê tông mác 600     sản xuất ngày ……/.…../2014</v>
          </cell>
          <cell r="C249" t="str">
            <v>COC-237</v>
          </cell>
          <cell r="D249">
            <v>588621.16200000001</v>
          </cell>
          <cell r="E249">
            <v>2317500.7409999999</v>
          </cell>
          <cell r="H249">
            <v>588621.16200000001</v>
          </cell>
          <cell r="I249">
            <v>2317500.7409999999</v>
          </cell>
          <cell r="J249" t="str">
            <v>LICOGI13</v>
          </cell>
          <cell r="M249" t="e">
            <v>#N/A</v>
          </cell>
          <cell r="N249" t="e">
            <v>#N/A</v>
          </cell>
          <cell r="O249" t="e">
            <v>#N/A</v>
          </cell>
          <cell r="P249" t="e">
            <v>#N/A</v>
          </cell>
          <cell r="Q249" t="e">
            <v>#N/A</v>
          </cell>
          <cell r="R249" t="e">
            <v>#N/A</v>
          </cell>
          <cell r="S249" t="e">
            <v>#N/A</v>
          </cell>
          <cell r="T249">
            <v>15</v>
          </cell>
          <cell r="U249">
            <v>15</v>
          </cell>
          <cell r="V249">
            <v>11.45</v>
          </cell>
          <cell r="W249" t="e">
            <v>#N/A</v>
          </cell>
          <cell r="X249" t="e">
            <v>#N/A</v>
          </cell>
          <cell r="Y249" t="e">
            <v>#N/A</v>
          </cell>
          <cell r="Z249" t="e">
            <v>#N/A</v>
          </cell>
          <cell r="AA249">
            <v>41.45</v>
          </cell>
        </row>
        <row r="250">
          <cell r="A250" t="str">
            <v>COC-238</v>
          </cell>
          <cell r="B250" t="str">
            <v>+ 01 đoạn C3: dài L= 9,5m, loại PC, cấp tải A,  bê tông mác 600     sản xuất ngày ……/.…../2014</v>
          </cell>
          <cell r="C250" t="str">
            <v>COC-238</v>
          </cell>
          <cell r="D250">
            <v>588621.446</v>
          </cell>
          <cell r="E250">
            <v>2317502.2140000002</v>
          </cell>
          <cell r="H250">
            <v>588621.446</v>
          </cell>
          <cell r="I250">
            <v>2317502.2140000002</v>
          </cell>
          <cell r="J250" t="str">
            <v>LICOGI13</v>
          </cell>
          <cell r="M250" t="e">
            <v>#N/A</v>
          </cell>
          <cell r="N250" t="e">
            <v>#N/A</v>
          </cell>
          <cell r="O250" t="e">
            <v>#N/A</v>
          </cell>
          <cell r="P250" t="e">
            <v>#N/A</v>
          </cell>
          <cell r="Q250" t="e">
            <v>#N/A</v>
          </cell>
          <cell r="R250" t="e">
            <v>#N/A</v>
          </cell>
          <cell r="S250" t="e">
            <v>#N/A</v>
          </cell>
          <cell r="T250">
            <v>15</v>
          </cell>
          <cell r="U250">
            <v>15</v>
          </cell>
          <cell r="V250">
            <v>11.45</v>
          </cell>
          <cell r="W250" t="e">
            <v>#N/A</v>
          </cell>
          <cell r="X250" t="e">
            <v>#N/A</v>
          </cell>
          <cell r="Y250" t="e">
            <v>#N/A</v>
          </cell>
          <cell r="Z250" t="e">
            <v>#N/A</v>
          </cell>
          <cell r="AA250">
            <v>41.45</v>
          </cell>
        </row>
        <row r="252">
          <cell r="A252">
            <v>1</v>
          </cell>
          <cell r="B252">
            <v>2</v>
          </cell>
          <cell r="C252">
            <v>3</v>
          </cell>
          <cell r="D252">
            <v>4</v>
          </cell>
          <cell r="E252">
            <v>5</v>
          </cell>
          <cell r="F252">
            <v>6</v>
          </cell>
          <cell r="G252">
            <v>7</v>
          </cell>
          <cell r="H252">
            <v>8</v>
          </cell>
          <cell r="I252">
            <v>9</v>
          </cell>
          <cell r="J252">
            <v>10</v>
          </cell>
          <cell r="K252">
            <v>11</v>
          </cell>
          <cell r="L252">
            <v>12</v>
          </cell>
          <cell r="M252">
            <v>13</v>
          </cell>
          <cell r="N252">
            <v>14</v>
          </cell>
          <cell r="O252">
            <v>15</v>
          </cell>
          <cell r="P252">
            <v>16</v>
          </cell>
          <cell r="Q252">
            <v>17</v>
          </cell>
          <cell r="R252">
            <v>18</v>
          </cell>
          <cell r="S252">
            <v>19</v>
          </cell>
          <cell r="T252">
            <v>20</v>
          </cell>
          <cell r="U252">
            <v>21</v>
          </cell>
          <cell r="V252">
            <v>22</v>
          </cell>
          <cell r="W252">
            <v>23</v>
          </cell>
          <cell r="X252">
            <v>24</v>
          </cell>
          <cell r="Y252">
            <v>25</v>
          </cell>
          <cell r="Z252">
            <v>26</v>
          </cell>
          <cell r="AA252">
            <v>27</v>
          </cell>
          <cell r="AB252">
            <v>28</v>
          </cell>
          <cell r="AC252">
            <v>29</v>
          </cell>
          <cell r="AD252">
            <v>30</v>
          </cell>
          <cell r="AE252">
            <v>33</v>
          </cell>
          <cell r="AF252">
            <v>34</v>
          </cell>
          <cell r="AG252">
            <v>35</v>
          </cell>
          <cell r="AH252">
            <v>36</v>
          </cell>
          <cell r="AI252">
            <v>37</v>
          </cell>
          <cell r="AJ252">
            <v>38</v>
          </cell>
          <cell r="AK252">
            <v>39</v>
          </cell>
          <cell r="AL252">
            <v>40</v>
          </cell>
          <cell r="AM252">
            <v>41</v>
          </cell>
          <cell r="AN252">
            <v>42</v>
          </cell>
          <cell r="AO252">
            <v>43</v>
          </cell>
          <cell r="AP252">
            <v>44</v>
          </cell>
          <cell r="AQ252">
            <v>45</v>
          </cell>
          <cell r="AR252">
            <v>46</v>
          </cell>
          <cell r="AS252">
            <v>47</v>
          </cell>
          <cell r="AT252">
            <v>48</v>
          </cell>
          <cell r="AU252">
            <v>49</v>
          </cell>
          <cell r="AV252">
            <v>50</v>
          </cell>
          <cell r="AW252">
            <v>51</v>
          </cell>
          <cell r="AX252">
            <v>52</v>
          </cell>
          <cell r="AY252">
            <v>53</v>
          </cell>
          <cell r="AZ252">
            <v>54</v>
          </cell>
          <cell r="BA252">
            <v>55</v>
          </cell>
          <cell r="BB252">
            <v>56</v>
          </cell>
          <cell r="BC252">
            <v>57</v>
          </cell>
          <cell r="BD252">
            <v>58</v>
          </cell>
          <cell r="BE252">
            <v>59</v>
          </cell>
          <cell r="BF252">
            <v>60</v>
          </cell>
          <cell r="BG252">
            <v>61</v>
          </cell>
          <cell r="BH252">
            <v>62</v>
          </cell>
        </row>
      </sheetData>
      <sheetData sheetId="49"/>
      <sheetData sheetId="50">
        <row r="14">
          <cell r="I14">
            <v>9</v>
          </cell>
          <cell r="K14" t="str">
            <v>Vinakasai</v>
          </cell>
        </row>
        <row r="15">
          <cell r="I15">
            <v>20</v>
          </cell>
          <cell r="K15" t="str">
            <v>Bót s¬n</v>
          </cell>
        </row>
        <row r="16">
          <cell r="I16">
            <v>45</v>
          </cell>
          <cell r="K16" t="str">
            <v>Tam §iÖp</v>
          </cell>
        </row>
        <row r="17">
          <cell r="I17">
            <v>5</v>
          </cell>
          <cell r="K17" t="str">
            <v>BØm s¬n</v>
          </cell>
        </row>
        <row r="18">
          <cell r="I18">
            <v>25</v>
          </cell>
          <cell r="K18" t="str">
            <v>Vissai</v>
          </cell>
        </row>
        <row r="19">
          <cell r="I19">
            <v>45</v>
          </cell>
          <cell r="K19" t="str">
            <v>Tam §iÖp</v>
          </cell>
        </row>
        <row r="20">
          <cell r="I20">
            <v>30</v>
          </cell>
          <cell r="K20" t="str">
            <v>Vissai</v>
          </cell>
        </row>
        <row r="21">
          <cell r="I21">
            <v>45</v>
          </cell>
          <cell r="K21" t="str">
            <v>Tam §iÖp</v>
          </cell>
        </row>
        <row r="22">
          <cell r="I22">
            <v>40</v>
          </cell>
          <cell r="K22" t="str">
            <v>Vissai</v>
          </cell>
        </row>
        <row r="23">
          <cell r="I23">
            <v>45</v>
          </cell>
          <cell r="K23" t="str">
            <v>Tam §iÖp</v>
          </cell>
        </row>
        <row r="24">
          <cell r="I24">
            <v>20</v>
          </cell>
          <cell r="K24" t="str">
            <v>Tam §iÖp</v>
          </cell>
        </row>
        <row r="25">
          <cell r="I25">
            <v>10</v>
          </cell>
          <cell r="K25" t="str">
            <v>Vissai</v>
          </cell>
        </row>
        <row r="26">
          <cell r="I26">
            <v>45</v>
          </cell>
          <cell r="K26" t="str">
            <v>Tam §iÖp</v>
          </cell>
        </row>
        <row r="27">
          <cell r="I27">
            <v>40</v>
          </cell>
          <cell r="K27" t="str">
            <v>Vissai</v>
          </cell>
        </row>
      </sheetData>
      <sheetData sheetId="51">
        <row r="13">
          <cell r="I13">
            <v>12790</v>
          </cell>
          <cell r="L13" t="str">
            <v>D</v>
          </cell>
        </row>
        <row r="14">
          <cell r="I14">
            <v>10600</v>
          </cell>
          <cell r="L14" t="str">
            <v>D</v>
          </cell>
        </row>
        <row r="15">
          <cell r="I15">
            <v>11600</v>
          </cell>
          <cell r="L15" t="str">
            <v>D</v>
          </cell>
        </row>
        <row r="16">
          <cell r="I16">
            <v>11200</v>
          </cell>
          <cell r="L16" t="str">
            <v>D</v>
          </cell>
        </row>
        <row r="17">
          <cell r="I17">
            <v>10530</v>
          </cell>
          <cell r="L17" t="str">
            <v>D</v>
          </cell>
        </row>
        <row r="18">
          <cell r="I18">
            <v>12100</v>
          </cell>
          <cell r="L18" t="str">
            <v>D</v>
          </cell>
        </row>
        <row r="19">
          <cell r="I19">
            <v>10800</v>
          </cell>
          <cell r="L19" t="str">
            <v>D</v>
          </cell>
        </row>
        <row r="20">
          <cell r="I20">
            <v>9340</v>
          </cell>
          <cell r="L20" t="str">
            <v>D</v>
          </cell>
        </row>
        <row r="21">
          <cell r="I21">
            <v>8640</v>
          </cell>
          <cell r="L21" t="str">
            <v>D</v>
          </cell>
        </row>
        <row r="22">
          <cell r="I22">
            <v>11000</v>
          </cell>
          <cell r="L22" t="str">
            <v>D</v>
          </cell>
        </row>
        <row r="23">
          <cell r="I23">
            <v>10200</v>
          </cell>
          <cell r="L23" t="str">
            <v>D</v>
          </cell>
        </row>
        <row r="24">
          <cell r="I24">
            <v>10100</v>
          </cell>
          <cell r="L24" t="str">
            <v>D</v>
          </cell>
        </row>
        <row r="25">
          <cell r="I25">
            <v>11050</v>
          </cell>
          <cell r="L25" t="str">
            <v>D</v>
          </cell>
        </row>
        <row r="26">
          <cell r="I26">
            <v>11100</v>
          </cell>
          <cell r="L26" t="str">
            <v>D</v>
          </cell>
        </row>
        <row r="27">
          <cell r="I27">
            <v>11000</v>
          </cell>
          <cell r="L27" t="str">
            <v>D</v>
          </cell>
        </row>
        <row r="28">
          <cell r="I28">
            <v>11150</v>
          </cell>
          <cell r="L28" t="str">
            <v>D</v>
          </cell>
        </row>
        <row r="29">
          <cell r="I29">
            <v>10060</v>
          </cell>
          <cell r="L29" t="str">
            <v>D</v>
          </cell>
        </row>
        <row r="30">
          <cell r="I30">
            <v>8350</v>
          </cell>
          <cell r="L30" t="str">
            <v>D</v>
          </cell>
        </row>
        <row r="31">
          <cell r="I31">
            <v>11000</v>
          </cell>
          <cell r="L31" t="str">
            <v>D</v>
          </cell>
        </row>
        <row r="32">
          <cell r="I32">
            <v>200</v>
          </cell>
          <cell r="L32" t="str">
            <v>6L1/2</v>
          </cell>
        </row>
        <row r="33">
          <cell r="I33">
            <v>9520</v>
          </cell>
          <cell r="L33" t="str">
            <v>D</v>
          </cell>
        </row>
        <row r="34">
          <cell r="I34">
            <v>10000</v>
          </cell>
          <cell r="L34" t="str">
            <v>D</v>
          </cell>
        </row>
        <row r="35">
          <cell r="I35">
            <v>5000</v>
          </cell>
          <cell r="L35" t="str">
            <v>2L</v>
          </cell>
        </row>
        <row r="36">
          <cell r="I36">
            <v>10460</v>
          </cell>
          <cell r="L36" t="str">
            <v>D</v>
          </cell>
        </row>
        <row r="37">
          <cell r="I37">
            <v>10800</v>
          </cell>
          <cell r="L37" t="str">
            <v>D</v>
          </cell>
        </row>
        <row r="38">
          <cell r="I38">
            <v>10700</v>
          </cell>
          <cell r="L38" t="str">
            <v>D</v>
          </cell>
        </row>
        <row r="39">
          <cell r="I39">
            <v>11240</v>
          </cell>
          <cell r="L39" t="str">
            <v>D</v>
          </cell>
        </row>
        <row r="40">
          <cell r="I40">
            <v>20170</v>
          </cell>
          <cell r="L40" t="str">
            <v>2L</v>
          </cell>
        </row>
        <row r="41">
          <cell r="I41">
            <v>11200</v>
          </cell>
          <cell r="L41" t="str">
            <v>D</v>
          </cell>
        </row>
        <row r="42">
          <cell r="I42">
            <v>2300</v>
          </cell>
          <cell r="L42" t="str">
            <v>6L</v>
          </cell>
        </row>
        <row r="43">
          <cell r="I43">
            <v>11100</v>
          </cell>
          <cell r="L43" t="str">
            <v>D</v>
          </cell>
        </row>
        <row r="44">
          <cell r="I44">
            <v>11540</v>
          </cell>
          <cell r="L44" t="str">
            <v>D</v>
          </cell>
        </row>
        <row r="45">
          <cell r="I45">
            <v>11480</v>
          </cell>
          <cell r="L45" t="str">
            <v>D</v>
          </cell>
        </row>
        <row r="46">
          <cell r="I46">
            <v>11180</v>
          </cell>
          <cell r="L46" t="str">
            <v>D</v>
          </cell>
        </row>
        <row r="47">
          <cell r="I47">
            <v>18200</v>
          </cell>
          <cell r="L47" t="str">
            <v>2L</v>
          </cell>
        </row>
        <row r="48">
          <cell r="I48">
            <v>10900</v>
          </cell>
          <cell r="L48" t="str">
            <v>D</v>
          </cell>
        </row>
        <row r="49">
          <cell r="I49">
            <v>19300</v>
          </cell>
          <cell r="L49" t="str">
            <v>2L</v>
          </cell>
        </row>
        <row r="50">
          <cell r="I50">
            <v>19700</v>
          </cell>
          <cell r="L50" t="str">
            <v>2L</v>
          </cell>
        </row>
        <row r="51">
          <cell r="I51">
            <v>19100</v>
          </cell>
          <cell r="L51" t="str">
            <v>2L</v>
          </cell>
        </row>
        <row r="52">
          <cell r="I52">
            <v>10700</v>
          </cell>
          <cell r="L52" t="str">
            <v>D</v>
          </cell>
        </row>
        <row r="53">
          <cell r="I53">
            <v>11000</v>
          </cell>
          <cell r="L53" t="str">
            <v>D</v>
          </cell>
        </row>
        <row r="54">
          <cell r="I54">
            <v>3600</v>
          </cell>
          <cell r="L54" t="str">
            <v>6L1/2</v>
          </cell>
        </row>
        <row r="55">
          <cell r="I55">
            <v>18400</v>
          </cell>
          <cell r="L55" t="str">
            <v>2L</v>
          </cell>
        </row>
        <row r="56">
          <cell r="I56">
            <v>11650</v>
          </cell>
          <cell r="L56" t="str">
            <v>D</v>
          </cell>
        </row>
        <row r="57">
          <cell r="I57">
            <v>11700</v>
          </cell>
          <cell r="L57" t="str">
            <v>D</v>
          </cell>
        </row>
        <row r="58">
          <cell r="I58">
            <v>18180</v>
          </cell>
          <cell r="L58" t="str">
            <v>2L</v>
          </cell>
        </row>
        <row r="59">
          <cell r="I59">
            <v>-9700</v>
          </cell>
          <cell r="L59" t="str">
            <v>D</v>
          </cell>
        </row>
        <row r="60">
          <cell r="I60">
            <v>2000</v>
          </cell>
          <cell r="L60" t="str">
            <v>6L</v>
          </cell>
        </row>
        <row r="61">
          <cell r="I61">
            <v>4460</v>
          </cell>
          <cell r="L61" t="str">
            <v>6L</v>
          </cell>
        </row>
        <row r="62">
          <cell r="I62">
            <v>18000</v>
          </cell>
          <cell r="L62" t="str">
            <v>2L</v>
          </cell>
        </row>
        <row r="63">
          <cell r="I63">
            <v>11100</v>
          </cell>
          <cell r="L63" t="str">
            <v>D</v>
          </cell>
        </row>
        <row r="64">
          <cell r="I64">
            <v>10180</v>
          </cell>
          <cell r="L64" t="str">
            <v>D</v>
          </cell>
        </row>
        <row r="65">
          <cell r="I65">
            <v>17700</v>
          </cell>
          <cell r="L65" t="str">
            <v>2L</v>
          </cell>
        </row>
        <row r="66">
          <cell r="I66">
            <v>18000</v>
          </cell>
          <cell r="L66" t="str">
            <v>2L</v>
          </cell>
        </row>
        <row r="67">
          <cell r="I67">
            <v>8000</v>
          </cell>
          <cell r="L67" t="str">
            <v>D</v>
          </cell>
        </row>
        <row r="68">
          <cell r="I68">
            <v>18200</v>
          </cell>
          <cell r="L68" t="str">
            <v>2L</v>
          </cell>
        </row>
        <row r="69">
          <cell r="I69">
            <v>2300</v>
          </cell>
          <cell r="L69" t="str">
            <v>6L</v>
          </cell>
        </row>
        <row r="70">
          <cell r="I70">
            <v>18000</v>
          </cell>
          <cell r="L70" t="str">
            <v>2L</v>
          </cell>
        </row>
        <row r="71">
          <cell r="I71">
            <v>18150</v>
          </cell>
          <cell r="L71" t="str">
            <v>2L</v>
          </cell>
        </row>
        <row r="72">
          <cell r="I72">
            <v>18250</v>
          </cell>
          <cell r="L72" t="str">
            <v>2L</v>
          </cell>
        </row>
        <row r="73">
          <cell r="I73">
            <v>18000</v>
          </cell>
          <cell r="L73" t="str">
            <v>2L</v>
          </cell>
        </row>
        <row r="74">
          <cell r="I74">
            <v>11300</v>
          </cell>
          <cell r="L74" t="str">
            <v>D</v>
          </cell>
        </row>
        <row r="75">
          <cell r="I75">
            <v>18000</v>
          </cell>
          <cell r="L75" t="str">
            <v>2L</v>
          </cell>
        </row>
        <row r="76">
          <cell r="I76">
            <v>4400</v>
          </cell>
          <cell r="L76" t="str">
            <v>6L</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ow r="7">
          <cell r="A7" t="str">
            <v>01</v>
          </cell>
          <cell r="B7" t="str">
            <v>- Gia công lắp dựng thép rọ liên kết đầu cọc</v>
          </cell>
          <cell r="C7" t="str">
            <v>01</v>
          </cell>
          <cell r="D7" t="str">
            <v>….h….</v>
          </cell>
          <cell r="E7" t="str">
            <v>….</v>
          </cell>
          <cell r="F7" t="str">
            <v>….</v>
          </cell>
          <cell r="G7" t="str">
            <v>….</v>
          </cell>
          <cell r="H7" t="str">
            <v>….h…. ngày …. tháng …. năm ….</v>
          </cell>
          <cell r="I7" t="str">
            <v>Hà Nội, ngày …. tháng …. năm ….</v>
          </cell>
          <cell r="J7" t="str">
            <v>Nguyễn Ái Việt</v>
          </cell>
          <cell r="K7" t="str">
            <v>Chỉ huy trưởng</v>
          </cell>
        </row>
        <row r="8">
          <cell r="A8" t="str">
            <v>02</v>
          </cell>
          <cell r="C8" t="str">
            <v>02</v>
          </cell>
          <cell r="D8" t="str">
            <v>….h….</v>
          </cell>
          <cell r="E8" t="str">
            <v>….</v>
          </cell>
          <cell r="F8" t="str">
            <v>….</v>
          </cell>
          <cell r="G8" t="str">
            <v>….</v>
          </cell>
          <cell r="H8" t="str">
            <v>….h…. ngày …. tháng …. năm ….</v>
          </cell>
          <cell r="I8" t="str">
            <v>Hà Nội, ngày …. tháng …. năm ….</v>
          </cell>
          <cell r="J8" t="str">
            <v>Nguyễn Ái Việt</v>
          </cell>
          <cell r="K8" t="str">
            <v>Chỉ huy trưởng</v>
          </cell>
        </row>
        <row r="9">
          <cell r="A9" t="str">
            <v>03</v>
          </cell>
          <cell r="B9" t="str">
            <v>- Cao độ đáy đài, giằng móng trục X1-X4' và Y1-Y8,
-Gia công lắp dựng thép bù đầu cọc liên kết đài,
-Định vị góc đài, giằng móng trục X1-X4' và Y1-Y8</v>
          </cell>
          <cell r="C9" t="str">
            <v>03</v>
          </cell>
          <cell r="D9" t="str">
            <v>….h….</v>
          </cell>
          <cell r="E9" t="str">
            <v>….</v>
          </cell>
          <cell r="F9" t="str">
            <v>….</v>
          </cell>
          <cell r="G9" t="str">
            <v>….</v>
          </cell>
          <cell r="H9" t="str">
            <v>….h…. ngày …. tháng …. năm ….</v>
          </cell>
          <cell r="I9" t="str">
            <v>Hà Nội, ngày …. tháng …. năm ….</v>
          </cell>
          <cell r="J9" t="str">
            <v>Nguyễn Ái Việt</v>
          </cell>
          <cell r="K9" t="str">
            <v>Chỉ huy trưởng</v>
          </cell>
        </row>
        <row r="10">
          <cell r="A10" t="str">
            <v>04</v>
          </cell>
          <cell r="B10" t="str">
            <v>- Lắp dựng cốp pha, cốt thép đài giằng móng (Y5;X1-X6) ;(Y6;X1-X5);(Y7;X1-X5);(Y8;X3-X4)</v>
          </cell>
          <cell r="C10" t="str">
            <v>04</v>
          </cell>
          <cell r="D10" t="str">
            <v>15h00</v>
          </cell>
          <cell r="E10">
            <v>10</v>
          </cell>
          <cell r="F10">
            <v>12</v>
          </cell>
          <cell r="G10">
            <v>2014</v>
          </cell>
          <cell r="H10" t="str">
            <v>15h00 ngày 10 tháng 12 năm 2014</v>
          </cell>
          <cell r="I10" t="str">
            <v>Hà Nội, ngày 10 tháng 12 năm 2014</v>
          </cell>
          <cell r="J10" t="str">
            <v>Nguyễn Ái Việt</v>
          </cell>
          <cell r="K10" t="str">
            <v>Chỉ huy trưởng</v>
          </cell>
        </row>
        <row r="11">
          <cell r="A11" t="str">
            <v>05</v>
          </cell>
          <cell r="B11" t="str">
            <v>- Định vị trục và chân cơ cột (Y5;X1-X6) ;(Y6;X1-X5);(Y7;X1-X5);(Y8;X3-X4)</v>
          </cell>
          <cell r="C11" t="str">
            <v>05</v>
          </cell>
          <cell r="D11" t="str">
            <v>15h00</v>
          </cell>
          <cell r="E11">
            <v>10</v>
          </cell>
          <cell r="F11">
            <v>12</v>
          </cell>
          <cell r="G11">
            <v>2014</v>
          </cell>
          <cell r="H11" t="str">
            <v>15h00 ngày 10 tháng 12 năm 2014</v>
          </cell>
          <cell r="I11" t="str">
            <v>Hà Nội, ngày 10 tháng 12 năm 2014</v>
          </cell>
          <cell r="J11" t="str">
            <v>Nguyễn Ái Việt</v>
          </cell>
          <cell r="K11" t="str">
            <v>Chỉ huy trưởng</v>
          </cell>
        </row>
        <row r="12">
          <cell r="A12" t="str">
            <v>06</v>
          </cell>
          <cell r="B12" t="str">
            <v>-Nghiệm thu tọa độ lưới gửi</v>
          </cell>
          <cell r="C12" t="str">
            <v>06</v>
          </cell>
          <cell r="D12" t="str">
            <v>14h00</v>
          </cell>
          <cell r="E12">
            <v>10</v>
          </cell>
          <cell r="F12">
            <v>12</v>
          </cell>
          <cell r="G12">
            <v>2014</v>
          </cell>
          <cell r="H12" t="str">
            <v>14h00 ngày 10 tháng 12 năm 2014</v>
          </cell>
          <cell r="I12" t="str">
            <v>Hà Nội, ngày 10 tháng 12 năm 2014</v>
          </cell>
          <cell r="J12" t="str">
            <v>Nguyễn Ái Việt</v>
          </cell>
          <cell r="K12" t="str">
            <v>Chỉ huy trưởng</v>
          </cell>
        </row>
        <row r="13">
          <cell r="A13" t="str">
            <v>07</v>
          </cell>
          <cell r="B13" t="str">
            <v>-Công tác vệ sinh đáy móng trước khi lấp đất PĐ1 (X7-X8;Y5'-Y8);(X5-X6;Y6'-Y8);(X4'-Y8)</v>
          </cell>
          <cell r="C13" t="str">
            <v>07</v>
          </cell>
          <cell r="D13" t="str">
            <v>….h….</v>
          </cell>
          <cell r="E13">
            <v>13</v>
          </cell>
          <cell r="F13">
            <v>12</v>
          </cell>
          <cell r="G13">
            <v>2014</v>
          </cell>
          <cell r="H13" t="str">
            <v>….h…. ngày 13 tháng 12 năm 2014</v>
          </cell>
          <cell r="I13" t="str">
            <v>Hà Nội, ngày 13 tháng 12 năm 2014</v>
          </cell>
          <cell r="J13" t="str">
            <v>Nguyễn Ái Việt</v>
          </cell>
          <cell r="K13" t="str">
            <v>Chỉ huy trưởng</v>
          </cell>
        </row>
        <row r="14">
          <cell r="A14" t="str">
            <v>08</v>
          </cell>
          <cell r="B14" t="str">
            <v>-GCLD cốt thép, cốt pha PĐ3 trục X1-X4/Y1-Y5</v>
          </cell>
          <cell r="C14" t="str">
            <v>08</v>
          </cell>
          <cell r="D14" t="str">
            <v>14h00</v>
          </cell>
          <cell r="E14">
            <v>14</v>
          </cell>
          <cell r="F14">
            <v>12</v>
          </cell>
          <cell r="G14">
            <v>2014</v>
          </cell>
          <cell r="H14" t="str">
            <v>14h00 ngày 14 tháng 12 năm 2014</v>
          </cell>
          <cell r="I14" t="str">
            <v>Hà Nội, ngày 14 tháng 12 năm 2014</v>
          </cell>
          <cell r="J14" t="str">
            <v>Nguyễn Ái Việt</v>
          </cell>
          <cell r="K14" t="str">
            <v>Chỉ huy trưởng</v>
          </cell>
        </row>
        <row r="15">
          <cell r="A15" t="str">
            <v>09</v>
          </cell>
          <cell r="B15" t="str">
            <v>-Nghiệm thu độ chặt đất nền trục X7-X8/Y7'-Y8</v>
          </cell>
          <cell r="C15" t="str">
            <v>09</v>
          </cell>
          <cell r="D15" t="str">
            <v>10h00</v>
          </cell>
          <cell r="E15">
            <v>15</v>
          </cell>
          <cell r="F15">
            <v>12</v>
          </cell>
          <cell r="G15">
            <v>2014</v>
          </cell>
          <cell r="H15" t="str">
            <v>10h00 ngày 15 tháng 12 năm 2014</v>
          </cell>
          <cell r="I15" t="str">
            <v>Hà Nội, ngày 15 tháng 12 năm 2014</v>
          </cell>
          <cell r="J15" t="str">
            <v>Nguyễn Ái Việt</v>
          </cell>
          <cell r="K15" t="str">
            <v>Chỉ huy trưởng</v>
          </cell>
        </row>
        <row r="16">
          <cell r="A16" t="str">
            <v>10</v>
          </cell>
          <cell r="B16" t="str">
            <v>-GCLD thép cổ cột, vách PĐ2 trục X1-X4'/Y5-Y8</v>
          </cell>
          <cell r="C16" t="str">
            <v>10</v>
          </cell>
          <cell r="D16" t="str">
            <v>….h….</v>
          </cell>
          <cell r="E16">
            <v>17</v>
          </cell>
          <cell r="F16">
            <v>12</v>
          </cell>
          <cell r="G16">
            <v>2014</v>
          </cell>
          <cell r="H16" t="str">
            <v>….h…. ngày 17 tháng 12 năm 2014</v>
          </cell>
          <cell r="I16" t="str">
            <v>Hà Nội, ngày 17 tháng 12 năm 2014</v>
          </cell>
          <cell r="J16" t="str">
            <v>Nguyễn Ái Việt</v>
          </cell>
          <cell r="K16" t="str">
            <v>Chỉ huy trưởng</v>
          </cell>
        </row>
        <row r="17">
          <cell r="A17" t="str">
            <v>11</v>
          </cell>
          <cell r="B17" t="str">
            <v>-GCLD thép cổ cột, vách PĐ3 trục X1-X4/Y1-Y5</v>
          </cell>
          <cell r="C17" t="str">
            <v>11</v>
          </cell>
          <cell r="D17" t="str">
            <v>14h30</v>
          </cell>
          <cell r="E17">
            <v>17</v>
          </cell>
          <cell r="F17">
            <v>12</v>
          </cell>
          <cell r="G17">
            <v>2014</v>
          </cell>
          <cell r="H17" t="str">
            <v>14h30 ngày 17 tháng 12 năm 2014</v>
          </cell>
          <cell r="I17" t="str">
            <v>Hà Nội, ngày 17 tháng 12 năm 2014</v>
          </cell>
          <cell r="J17" t="str">
            <v>Nguyễn Ái Việt</v>
          </cell>
          <cell r="K17" t="str">
            <v>Chỉ huy trưởng</v>
          </cell>
        </row>
        <row r="18">
          <cell r="A18" t="str">
            <v>12</v>
          </cell>
          <cell r="B18" t="str">
            <v>-GCLD cốt thép, cốt pha nắp bể nước 
- Lắp dựng cốp pha cổ cột</v>
          </cell>
          <cell r="C18" t="str">
            <v>12</v>
          </cell>
          <cell r="D18" t="str">
            <v>14h30</v>
          </cell>
          <cell r="E18">
            <v>19</v>
          </cell>
          <cell r="F18">
            <v>12</v>
          </cell>
          <cell r="G18">
            <v>2014</v>
          </cell>
          <cell r="H18" t="str">
            <v>14h30 ngày 19 tháng 12 năm 2014</v>
          </cell>
          <cell r="I18" t="str">
            <v>Hà Nội, ngày 19 tháng 12 năm 2014</v>
          </cell>
          <cell r="J18" t="str">
            <v>Nguyễn Ái Việt</v>
          </cell>
          <cell r="K18" t="str">
            <v>Chỉ huy trưởng</v>
          </cell>
        </row>
        <row r="19">
          <cell r="A19" t="str">
            <v>13</v>
          </cell>
          <cell r="B19" t="str">
            <v>-Lắp dựng cốp pha cổ cột, vách PĐ2 trục X1-X4'/Y5-Y8</v>
          </cell>
          <cell r="C19" t="str">
            <v>13</v>
          </cell>
          <cell r="D19" t="str">
            <v>10h00</v>
          </cell>
          <cell r="E19">
            <v>20</v>
          </cell>
          <cell r="F19">
            <v>12</v>
          </cell>
          <cell r="G19">
            <v>2014</v>
          </cell>
          <cell r="H19" t="str">
            <v>10h00 ngày 20 tháng 12 năm 2014</v>
          </cell>
          <cell r="I19" t="str">
            <v>Hà Nội, ngày 20 tháng 12 năm 2014</v>
          </cell>
          <cell r="J19" t="str">
            <v>Nguyễn Ái Việt</v>
          </cell>
          <cell r="K19" t="str">
            <v>Chỉ huy trưởng</v>
          </cell>
        </row>
        <row r="20">
          <cell r="A20" t="str">
            <v>14</v>
          </cell>
          <cell r="B20" t="str">
            <v>-Lắp dựng cốp pha cổ cột, vách PĐ1 trục X4'-X8/Y5'-Y8
-Lắp dựng cốp pha giằng tường GT1 trục Y8</v>
          </cell>
          <cell r="C20" t="str">
            <v>14</v>
          </cell>
          <cell r="D20" t="str">
            <v>9h00</v>
          </cell>
          <cell r="E20">
            <v>22</v>
          </cell>
          <cell r="F20">
            <v>12</v>
          </cell>
          <cell r="G20">
            <v>2014</v>
          </cell>
          <cell r="H20" t="str">
            <v>9h00 ngày 22 tháng 12 năm 2014</v>
          </cell>
          <cell r="I20" t="str">
            <v>Hà Nội, ngày 22 tháng 12 năm 2014</v>
          </cell>
          <cell r="J20" t="str">
            <v>Nguyễn Ái Việt</v>
          </cell>
          <cell r="K20" t="str">
            <v>Chỉ huy trưởng</v>
          </cell>
        </row>
        <row r="21">
          <cell r="A21" t="str">
            <v>15</v>
          </cell>
          <cell r="B21" t="str">
            <v>-GCLD cốt thép bể tự hoại, bể tách dầu trục X6-X8</v>
          </cell>
          <cell r="C21" t="str">
            <v>15</v>
          </cell>
          <cell r="D21" t="str">
            <v>14h00</v>
          </cell>
          <cell r="E21">
            <v>31</v>
          </cell>
          <cell r="F21">
            <v>12</v>
          </cell>
          <cell r="G21">
            <v>2014</v>
          </cell>
          <cell r="H21" t="str">
            <v>14h00 ngày 31 tháng 12 năm 2014</v>
          </cell>
          <cell r="I21" t="str">
            <v>Hà Nội, ngày 31 tháng 12 năm 2014</v>
          </cell>
          <cell r="J21" t="str">
            <v>Nguyễn Ái Việt</v>
          </cell>
          <cell r="K21" t="str">
            <v>Chỉ huy trưởng</v>
          </cell>
        </row>
        <row r="22">
          <cell r="A22" t="str">
            <v>16</v>
          </cell>
          <cell r="B22" t="str">
            <v>- Lắp dựng cốp pha bể tự hoại, bể tách dầu trục X6-X8</v>
          </cell>
          <cell r="C22" t="str">
            <v>16</v>
          </cell>
          <cell r="D22" t="str">
            <v>….h….</v>
          </cell>
          <cell r="E22">
            <v>1</v>
          </cell>
          <cell r="F22">
            <v>1</v>
          </cell>
          <cell r="G22">
            <v>2015</v>
          </cell>
          <cell r="H22" t="str">
            <v>….h…. ngày 1 tháng 1 năm 2015</v>
          </cell>
          <cell r="I22" t="str">
            <v>Hà Nội, ngày 1 tháng 1 năm 2015</v>
          </cell>
          <cell r="J22" t="str">
            <v>Nguyễn Ái Việt</v>
          </cell>
          <cell r="K22" t="str">
            <v>Chỉ huy trưởng</v>
          </cell>
        </row>
        <row r="23">
          <cell r="A23" t="str">
            <v>17</v>
          </cell>
          <cell r="B23" t="str">
            <v>-Lắp dựng cốp pha bể tự hoại, bể tách dầu dọc trục Y8/X4'-X6</v>
          </cell>
          <cell r="C23" t="str">
            <v>17</v>
          </cell>
          <cell r="D23" t="str">
            <v>10h00</v>
          </cell>
          <cell r="E23">
            <v>5</v>
          </cell>
          <cell r="F23">
            <v>1</v>
          </cell>
          <cell r="G23">
            <v>2015</v>
          </cell>
          <cell r="H23" t="str">
            <v>10h00 ngày 5 tháng 1 năm 2015</v>
          </cell>
          <cell r="I23" t="str">
            <v>Hà Nội, ngày 5 tháng 1 năm 2015</v>
          </cell>
          <cell r="J23" t="str">
            <v>Nguyễn Ái Việt</v>
          </cell>
          <cell r="K23" t="str">
            <v>Chỉ huy trưởng</v>
          </cell>
        </row>
        <row r="24">
          <cell r="A24" t="str">
            <v>18</v>
          </cell>
          <cell r="B24" t="str">
            <v>-GCLD cốt thép cột, vách tầng 1 PĐ1 trục X4'-X8/Y5'-Y8</v>
          </cell>
          <cell r="C24" t="str">
            <v>18</v>
          </cell>
          <cell r="D24" t="str">
            <v>9h00</v>
          </cell>
          <cell r="E24">
            <v>9</v>
          </cell>
          <cell r="F24">
            <v>1</v>
          </cell>
          <cell r="G24">
            <v>2015</v>
          </cell>
          <cell r="H24" t="str">
            <v>9h00 ngày 9 tháng 1 năm 2015</v>
          </cell>
          <cell r="I24" t="str">
            <v>Hà Nội, ngày 9 tháng 1 năm 2015</v>
          </cell>
          <cell r="J24" t="str">
            <v>Nguyễn Ái Việt</v>
          </cell>
          <cell r="K24" t="str">
            <v>Chỉ huy trưởng</v>
          </cell>
        </row>
        <row r="25">
          <cell r="A25" t="str">
            <v>19</v>
          </cell>
          <cell r="B25" t="str">
            <v>-Lắp dựng cốp pha cột, vách tầng 1 trục X5-X8/Y5-Y8</v>
          </cell>
          <cell r="C25" t="str">
            <v>19</v>
          </cell>
          <cell r="D25" t="str">
            <v>….h….</v>
          </cell>
          <cell r="E25">
            <v>16</v>
          </cell>
          <cell r="F25">
            <v>1</v>
          </cell>
          <cell r="G25">
            <v>2015</v>
          </cell>
          <cell r="H25" t="str">
            <v>….h…. ngày 16 tháng 1 năm 2015</v>
          </cell>
          <cell r="I25" t="str">
            <v>Hà Nội, ngày 16 tháng 1 năm 2015</v>
          </cell>
          <cell r="J25" t="str">
            <v>Nguyễn Ái Việt</v>
          </cell>
          <cell r="K25" t="str">
            <v>Chỉ huy trưởng</v>
          </cell>
        </row>
        <row r="26">
          <cell r="A26" t="str">
            <v>20</v>
          </cell>
          <cell r="B26" t="str">
            <v>-Lắp dựng cốt thép cột,vách trục X3'-X4'/Y5-Y8 và cột X2-Y5</v>
          </cell>
          <cell r="C26" t="str">
            <v>20</v>
          </cell>
          <cell r="D26" t="str">
            <v>….h….</v>
          </cell>
          <cell r="E26">
            <v>18</v>
          </cell>
          <cell r="F26">
            <v>1</v>
          </cell>
          <cell r="G26">
            <v>2015</v>
          </cell>
          <cell r="H26" t="str">
            <v>….h…. ngày 18 tháng 1 năm 2015</v>
          </cell>
          <cell r="I26" t="str">
            <v>Hà Nội, ngày 18 tháng 1 năm 2015</v>
          </cell>
          <cell r="J26" t="str">
            <v>Nguyễn Ái Việt</v>
          </cell>
          <cell r="K26" t="str">
            <v>Chỉ huy trưởng</v>
          </cell>
        </row>
        <row r="27">
          <cell r="A27" t="str">
            <v>21</v>
          </cell>
          <cell r="B27" t="str">
            <v>- Cốp pha, cốt thép dầm sàn tầng 3 PĐ2
- Cốp pha cột tầng 3 PĐ1</v>
          </cell>
          <cell r="C27" t="str">
            <v>21</v>
          </cell>
          <cell r="D27" t="str">
            <v>15h00</v>
          </cell>
          <cell r="E27">
            <v>12</v>
          </cell>
          <cell r="F27">
            <v>2</v>
          </cell>
          <cell r="G27">
            <v>2015</v>
          </cell>
          <cell r="H27" t="str">
            <v>15h00 ngày 12 tháng 2 năm 2015</v>
          </cell>
          <cell r="I27" t="str">
            <v>Hà Nội, ngày 12 tháng 2 năm 2015</v>
          </cell>
          <cell r="J27" t="str">
            <v>Nguyễn Ái Việt</v>
          </cell>
          <cell r="K27" t="str">
            <v>Chỉ huy trưởng</v>
          </cell>
        </row>
        <row r="28">
          <cell r="A28" t="str">
            <v>22</v>
          </cell>
          <cell r="B28" t="str">
            <v>- GCLD cốt thép cột, vách tầng 3 trục X1-X4'/Y3-Y8</v>
          </cell>
          <cell r="C28" t="str">
            <v>22</v>
          </cell>
          <cell r="D28" t="str">
            <v>15h00</v>
          </cell>
          <cell r="E28">
            <v>3</v>
          </cell>
          <cell r="F28">
            <v>3</v>
          </cell>
          <cell r="G28">
            <v>2015</v>
          </cell>
          <cell r="H28" t="str">
            <v>15h00 ngày 3 tháng 3 năm 2015</v>
          </cell>
          <cell r="I28" t="str">
            <v>Hà Nội, ngày 3 tháng 3 năm 2015</v>
          </cell>
          <cell r="J28" t="str">
            <v>Nguyễn Ái Việt</v>
          </cell>
          <cell r="K28" t="str">
            <v>Chỉ huy trưởng</v>
          </cell>
        </row>
        <row r="29">
          <cell r="A29" t="str">
            <v>23</v>
          </cell>
          <cell r="B29" t="str">
            <v>- Lắp dựng cốp pha cột, vách tầng 3</v>
          </cell>
          <cell r="C29" t="str">
            <v>23</v>
          </cell>
          <cell r="D29" t="str">
            <v>14h00</v>
          </cell>
          <cell r="E29">
            <v>4</v>
          </cell>
          <cell r="F29">
            <v>3</v>
          </cell>
          <cell r="G29">
            <v>2015</v>
          </cell>
          <cell r="H29" t="str">
            <v>14h00 ngày 4 tháng 3 năm 2015</v>
          </cell>
          <cell r="I29" t="str">
            <v>Hà Nội, ngày 4 tháng 3 năm 2015</v>
          </cell>
          <cell r="J29" t="str">
            <v>Nguyễn Ái Việt</v>
          </cell>
          <cell r="K29" t="str">
            <v>Chỉ huy trưởng</v>
          </cell>
        </row>
        <row r="30">
          <cell r="A30" t="str">
            <v>24</v>
          </cell>
          <cell r="B30" t="str">
            <v>-GCLD cốt thép dầm, sàn tầng 5</v>
          </cell>
          <cell r="C30" t="str">
            <v>24</v>
          </cell>
          <cell r="D30" t="str">
            <v>….h….</v>
          </cell>
          <cell r="E30">
            <v>30</v>
          </cell>
          <cell r="F30">
            <v>3</v>
          </cell>
          <cell r="G30">
            <v>2015</v>
          </cell>
          <cell r="H30" t="str">
            <v>….h…. ngày 30 tháng 3 năm 2015</v>
          </cell>
          <cell r="I30" t="str">
            <v>Hà Nội, ngày 30 tháng 3 năm 2015</v>
          </cell>
          <cell r="J30" t="str">
            <v>Nguyễn Ái Việt</v>
          </cell>
          <cell r="K30" t="str">
            <v>Chỉ huy trưởng</v>
          </cell>
        </row>
        <row r="31">
          <cell r="A31" t="str">
            <v>25</v>
          </cell>
          <cell r="B31" t="str">
            <v>-Lắp dựng cốp pha, cốt thép dầm sàn tầng 5</v>
          </cell>
          <cell r="C31" t="str">
            <v>25</v>
          </cell>
          <cell r="D31" t="str">
            <v>10h00</v>
          </cell>
          <cell r="E31">
            <v>31</v>
          </cell>
          <cell r="F31">
            <v>3</v>
          </cell>
          <cell r="G31">
            <v>2015</v>
          </cell>
          <cell r="H31" t="str">
            <v>10h00 ngày 31 tháng 3 năm 2015</v>
          </cell>
          <cell r="I31" t="str">
            <v>Hà Nội, ngày 31 tháng 3 năm 2015</v>
          </cell>
          <cell r="J31" t="str">
            <v>Nguyễn Ái Việt</v>
          </cell>
          <cell r="K31" t="str">
            <v>Chỉ huy trưởng</v>
          </cell>
        </row>
        <row r="32">
          <cell r="A32" t="str">
            <v>26</v>
          </cell>
          <cell r="B32" t="str">
            <v>- GCLD cốt thép cột, vách tầng 5 PĐ1</v>
          </cell>
          <cell r="C32" t="str">
            <v>26</v>
          </cell>
          <cell r="D32" t="str">
            <v>….h….</v>
          </cell>
          <cell r="E32">
            <v>2</v>
          </cell>
          <cell r="F32">
            <v>4</v>
          </cell>
          <cell r="G32">
            <v>2015</v>
          </cell>
          <cell r="H32" t="str">
            <v>….h…. ngày 2 tháng 4 năm 2015</v>
          </cell>
          <cell r="I32" t="str">
            <v>Hà Nội, ngày 2 tháng 4 năm 2015</v>
          </cell>
          <cell r="J32" t="str">
            <v>Nguyễn Ái Việt</v>
          </cell>
          <cell r="K32" t="str">
            <v>Chỉ huy trưởng</v>
          </cell>
        </row>
        <row r="33">
          <cell r="A33" t="str">
            <v>27</v>
          </cell>
          <cell r="B33" t="str">
            <v>- Lắp dựng cốp pha cột vách tầng 5 PĐ1</v>
          </cell>
          <cell r="C33" t="str">
            <v>27</v>
          </cell>
          <cell r="D33" t="str">
            <v>….h….</v>
          </cell>
          <cell r="E33">
            <v>3</v>
          </cell>
          <cell r="F33">
            <v>4</v>
          </cell>
          <cell r="G33">
            <v>2015</v>
          </cell>
          <cell r="H33" t="str">
            <v>….h…. ngày 3 tháng 4 năm 2015</v>
          </cell>
          <cell r="I33" t="str">
            <v>Hà Nội, ngày 3 tháng 4 năm 2015</v>
          </cell>
          <cell r="J33" t="str">
            <v>Nguyễn Ái Việt</v>
          </cell>
          <cell r="K33" t="str">
            <v>Chỉ huy trưởng</v>
          </cell>
        </row>
        <row r="34">
          <cell r="A34" t="str">
            <v>28</v>
          </cell>
          <cell r="B34" t="str">
            <v>- GCLD cốt thép cột, vách tầng 5 PĐ2</v>
          </cell>
          <cell r="C34" t="str">
            <v>28</v>
          </cell>
          <cell r="D34" t="str">
            <v>9h00</v>
          </cell>
          <cell r="E34">
            <v>4</v>
          </cell>
          <cell r="F34">
            <v>4</v>
          </cell>
          <cell r="G34">
            <v>2015</v>
          </cell>
          <cell r="H34" t="str">
            <v>9h00 ngày 4 tháng 4 năm 2015</v>
          </cell>
          <cell r="I34" t="str">
            <v>Hà Nội, ngày 4 tháng 4 năm 2015</v>
          </cell>
          <cell r="J34" t="str">
            <v>Nguyễn Ái Việt</v>
          </cell>
          <cell r="K34" t="str">
            <v>Chỉ huy trưởng</v>
          </cell>
        </row>
        <row r="35">
          <cell r="A35" t="str">
            <v>29</v>
          </cell>
          <cell r="B35" t="str">
            <v>- Lắp dựng cốp pha cột, vách tầng 5 PĐ2</v>
          </cell>
          <cell r="C35" t="str">
            <v>29</v>
          </cell>
          <cell r="D35" t="str">
            <v>16h00</v>
          </cell>
          <cell r="E35">
            <v>4</v>
          </cell>
          <cell r="F35">
            <v>4</v>
          </cell>
          <cell r="G35">
            <v>2015</v>
          </cell>
          <cell r="H35" t="str">
            <v>16h00 ngày 4 tháng 4 năm 2015</v>
          </cell>
          <cell r="I35" t="str">
            <v>Hà Nội, ngày 4 tháng 4 năm 2015</v>
          </cell>
          <cell r="J35" t="str">
            <v>Nguyễn Ái Việt</v>
          </cell>
          <cell r="K35" t="str">
            <v>Chỉ huy trưởng</v>
          </cell>
        </row>
        <row r="36">
          <cell r="A36" t="str">
            <v>30</v>
          </cell>
          <cell r="B36" t="str">
            <v>- Định vị tim trục tường xây tầng 2</v>
          </cell>
          <cell r="C36" t="str">
            <v>30</v>
          </cell>
          <cell r="D36" t="str">
            <v>15h00</v>
          </cell>
          <cell r="E36">
            <v>4</v>
          </cell>
          <cell r="F36">
            <v>4</v>
          </cell>
          <cell r="G36">
            <v>2015</v>
          </cell>
          <cell r="H36" t="str">
            <v>15h00 ngày 4 tháng 4 năm 2015</v>
          </cell>
          <cell r="I36" t="str">
            <v>Hà Nội, ngày 4 tháng 4 năm 2015</v>
          </cell>
          <cell r="J36" t="str">
            <v>Nguyễn Ái Việt</v>
          </cell>
          <cell r="K36" t="str">
            <v>Chỉ huy trưởng</v>
          </cell>
        </row>
        <row r="37">
          <cell r="A37" t="str">
            <v>31</v>
          </cell>
          <cell r="B37" t="str">
            <v>- Lắp dựng cốp pha, cốt thép dầm sàn tầng 6 PĐ2</v>
          </cell>
          <cell r="C37" t="str">
            <v>31</v>
          </cell>
          <cell r="D37" t="str">
            <v>16h30</v>
          </cell>
          <cell r="E37">
            <v>12</v>
          </cell>
          <cell r="F37">
            <v>4</v>
          </cell>
          <cell r="G37">
            <v>2015</v>
          </cell>
          <cell r="H37" t="str">
            <v>16h30 ngày 12 tháng 4 năm 2015</v>
          </cell>
          <cell r="I37" t="str">
            <v>Hà Nội, ngày 12 tháng 4 năm 2015</v>
          </cell>
          <cell r="J37" t="str">
            <v>Nguyễn Ái Việt</v>
          </cell>
          <cell r="K37" t="str">
            <v>Chỉ huy trưởng</v>
          </cell>
        </row>
        <row r="38">
          <cell r="A38" t="str">
            <v>32</v>
          </cell>
          <cell r="B38" t="str">
            <v>- Lắp dựng cốp pha, cốt thép dầm sàn tầng 6 PĐ1</v>
          </cell>
          <cell r="C38" t="str">
            <v>32</v>
          </cell>
          <cell r="D38" t="str">
            <v>16h30</v>
          </cell>
          <cell r="E38">
            <v>14</v>
          </cell>
          <cell r="F38">
            <v>4</v>
          </cell>
          <cell r="G38">
            <v>2015</v>
          </cell>
          <cell r="H38" t="str">
            <v>16h30 ngày 14 tháng 4 năm 2015</v>
          </cell>
          <cell r="I38" t="str">
            <v>Hà Nội, ngày 14 tháng 4 năm 2015</v>
          </cell>
          <cell r="J38" t="str">
            <v>Nguyễn Ái Việt</v>
          </cell>
          <cell r="K38" t="str">
            <v>Chỉ huy trưởng</v>
          </cell>
        </row>
        <row r="39">
          <cell r="A39" t="str">
            <v>33</v>
          </cell>
          <cell r="B39" t="str">
            <v>- GCLD cốt thép cột, vách tầng 6 PĐ2</v>
          </cell>
          <cell r="C39" t="str">
            <v>33</v>
          </cell>
          <cell r="D39" t="str">
            <v>9h30</v>
          </cell>
          <cell r="E39">
            <v>15</v>
          </cell>
          <cell r="F39">
            <v>4</v>
          </cell>
          <cell r="G39">
            <v>2015</v>
          </cell>
          <cell r="H39" t="str">
            <v>9h30 ngày 15 tháng 4 năm 2015</v>
          </cell>
          <cell r="I39" t="str">
            <v>Hà Nội, ngày 15 tháng 4 năm 2015</v>
          </cell>
          <cell r="J39" t="str">
            <v>Nguyễn Ái Việt</v>
          </cell>
          <cell r="K39" t="str">
            <v>Chỉ huy trưởng</v>
          </cell>
        </row>
        <row r="40">
          <cell r="A40" t="str">
            <v>34</v>
          </cell>
          <cell r="B40" t="str">
            <v>- Lắp dựng cốp pha cột, vách tầng 6 PĐ2</v>
          </cell>
          <cell r="C40" t="str">
            <v>34</v>
          </cell>
          <cell r="D40" t="str">
            <v>8h30</v>
          </cell>
          <cell r="E40">
            <v>15</v>
          </cell>
          <cell r="F40">
            <v>4</v>
          </cell>
          <cell r="G40">
            <v>2015</v>
          </cell>
          <cell r="H40" t="str">
            <v>8h30 ngày 15 tháng 4 năm 2015</v>
          </cell>
          <cell r="I40" t="str">
            <v>Hà Nội, ngày 15 tháng 4 năm 2015</v>
          </cell>
          <cell r="J40" t="str">
            <v>Nguyễn Ái Việt</v>
          </cell>
          <cell r="K40" t="str">
            <v>Chỉ huy trưởng</v>
          </cell>
        </row>
        <row r="41">
          <cell r="A41" t="str">
            <v>35</v>
          </cell>
          <cell r="B41" t="str">
            <v>- Lắp dựng cốp pha cột, vách tầng 6 PĐ1</v>
          </cell>
          <cell r="C41" t="str">
            <v>35</v>
          </cell>
          <cell r="D41" t="str">
            <v>10h00</v>
          </cell>
          <cell r="E41">
            <v>17</v>
          </cell>
          <cell r="F41">
            <v>4</v>
          </cell>
          <cell r="G41">
            <v>2015</v>
          </cell>
          <cell r="H41" t="str">
            <v>10h00 ngày 17 tháng 4 năm 2015</v>
          </cell>
          <cell r="I41" t="str">
            <v>Hà Nội, ngày 17 tháng 4 năm 2015</v>
          </cell>
          <cell r="J41" t="str">
            <v>Nguyễn Ái Việt</v>
          </cell>
          <cell r="K41" t="str">
            <v>Chỉ huy trưởng</v>
          </cell>
        </row>
        <row r="42">
          <cell r="A42" t="str">
            <v>36</v>
          </cell>
          <cell r="B42" t="str">
            <v>- Định vị tim trục tường xây tầng 3</v>
          </cell>
          <cell r="C42" t="str">
            <v>36</v>
          </cell>
          <cell r="D42" t="str">
            <v>14h30</v>
          </cell>
          <cell r="E42">
            <v>17</v>
          </cell>
          <cell r="F42">
            <v>4</v>
          </cell>
          <cell r="G42">
            <v>2015</v>
          </cell>
          <cell r="H42" t="str">
            <v>14h30 ngày 17 tháng 4 năm 2015</v>
          </cell>
          <cell r="I42" t="str">
            <v>Hà Nội, ngày 17 tháng 4 năm 2015</v>
          </cell>
          <cell r="J42" t="str">
            <v>Nguyễn Ái Việt</v>
          </cell>
          <cell r="K42" t="str">
            <v>Chỉ huy trưởng</v>
          </cell>
        </row>
        <row r="43">
          <cell r="A43" t="str">
            <v>37</v>
          </cell>
          <cell r="B43" t="str">
            <v>- Lắp dựng cốp pha, cốt thép dầm sàn tầng 7 PĐ2</v>
          </cell>
          <cell r="C43" t="str">
            <v>37</v>
          </cell>
          <cell r="D43" t="str">
            <v>8h00</v>
          </cell>
          <cell r="E43">
            <v>24</v>
          </cell>
          <cell r="F43">
            <v>4</v>
          </cell>
          <cell r="G43">
            <v>2015</v>
          </cell>
          <cell r="H43" t="str">
            <v>8h00 ngày 24 tháng 4 năm 2015</v>
          </cell>
          <cell r="I43" t="str">
            <v>Hà Nội, ngày 24 tháng 4 năm 2015</v>
          </cell>
          <cell r="J43" t="str">
            <v>Nguyễn Ái Việt</v>
          </cell>
          <cell r="K43" t="str">
            <v>Chỉ huy trưởng</v>
          </cell>
        </row>
        <row r="44">
          <cell r="A44" t="str">
            <v>38</v>
          </cell>
          <cell r="B44" t="str">
            <v>- Lắp dựng cốt thép cột tầng 7 PĐ2</v>
          </cell>
          <cell r="C44" t="str">
            <v>38</v>
          </cell>
          <cell r="D44" t="str">
            <v>9h00</v>
          </cell>
          <cell r="E44">
            <v>26</v>
          </cell>
          <cell r="F44">
            <v>4</v>
          </cell>
          <cell r="G44">
            <v>2015</v>
          </cell>
          <cell r="H44" t="str">
            <v>9h00 ngày 26 tháng 4 năm 2015</v>
          </cell>
          <cell r="I44" t="str">
            <v>Hà Nội, ngày 26 tháng 4 năm 2015</v>
          </cell>
          <cell r="J44" t="str">
            <v>Nguyễn Ái Việt</v>
          </cell>
          <cell r="K44" t="str">
            <v>Chỉ huy trưởng</v>
          </cell>
        </row>
        <row r="45">
          <cell r="A45" t="str">
            <v>39</v>
          </cell>
          <cell r="B45" t="str">
            <v>- Lắp dựng cốp pha, cốt thép dầm sàn tầng 7 PĐ1</v>
          </cell>
          <cell r="C45" t="str">
            <v>39</v>
          </cell>
          <cell r="D45" t="str">
            <v>15h00</v>
          </cell>
          <cell r="E45">
            <v>26</v>
          </cell>
          <cell r="F45">
            <v>4</v>
          </cell>
          <cell r="G45">
            <v>2015</v>
          </cell>
          <cell r="H45" t="str">
            <v>15h00 ngày 26 tháng 4 năm 2015</v>
          </cell>
          <cell r="I45" t="str">
            <v>Hà Nội, ngày 26 tháng 4 năm 2015</v>
          </cell>
          <cell r="J45" t="str">
            <v>Nguyễn Ái Việt</v>
          </cell>
          <cell r="K45" t="str">
            <v>Chỉ huy trưởng</v>
          </cell>
        </row>
        <row r="46">
          <cell r="A46" t="str">
            <v>40</v>
          </cell>
          <cell r="B46" t="str">
            <v>- Lắp dựng cốp pha cột tầng 7 PĐ2</v>
          </cell>
          <cell r="C46" t="str">
            <v>40</v>
          </cell>
          <cell r="D46" t="str">
            <v>15h00</v>
          </cell>
          <cell r="E46">
            <v>26</v>
          </cell>
          <cell r="F46">
            <v>4</v>
          </cell>
          <cell r="G46">
            <v>2015</v>
          </cell>
          <cell r="H46" t="str">
            <v>15h00 ngày 26 tháng 4 năm 2015</v>
          </cell>
          <cell r="I46" t="str">
            <v>Hà Nội, ngày 26 tháng 4 năm 2015</v>
          </cell>
          <cell r="J46" t="str">
            <v>Nguyễn Ái Việt</v>
          </cell>
          <cell r="K46" t="str">
            <v>Chỉ huy trưởng</v>
          </cell>
        </row>
        <row r="47">
          <cell r="A47" t="str">
            <v>41</v>
          </cell>
          <cell r="B47" t="str">
            <v>- Lắp dựng cốp pha cột vách tầng 7 trục X1-X4'/Y4-Y8</v>
          </cell>
          <cell r="C47" t="str">
            <v>41</v>
          </cell>
          <cell r="D47" t="str">
            <v>10h30</v>
          </cell>
          <cell r="E47">
            <v>28</v>
          </cell>
          <cell r="F47">
            <v>4</v>
          </cell>
          <cell r="G47">
            <v>2015</v>
          </cell>
          <cell r="H47" t="str">
            <v>10h30 ngày 28 tháng 4 năm 2015</v>
          </cell>
          <cell r="I47" t="str">
            <v>Hà Nội, ngày 28 tháng 4 năm 2015</v>
          </cell>
          <cell r="J47" t="str">
            <v>Nguyễn Ái Việt</v>
          </cell>
          <cell r="K47" t="str">
            <v>Chỉ huy trưởng</v>
          </cell>
        </row>
        <row r="48">
          <cell r="A48" t="str">
            <v>42</v>
          </cell>
          <cell r="B48" t="str">
            <v>- Lắp dựng cốt thép cột tầng 7 trục X1-X4'/Y4-Y8</v>
          </cell>
          <cell r="C48" t="str">
            <v>42</v>
          </cell>
          <cell r="D48" t="str">
            <v>15h30</v>
          </cell>
          <cell r="E48">
            <v>27</v>
          </cell>
          <cell r="F48">
            <v>4</v>
          </cell>
          <cell r="G48">
            <v>2015</v>
          </cell>
          <cell r="H48" t="str">
            <v>15h30 ngày 27 tháng 4 năm 2015</v>
          </cell>
          <cell r="I48" t="str">
            <v>Hà Nội, ngày 27 tháng 4 năm 2015</v>
          </cell>
          <cell r="J48" t="str">
            <v>Nguyễn Ái Việt</v>
          </cell>
          <cell r="K48" t="str">
            <v>Chỉ huy trưởng</v>
          </cell>
        </row>
        <row r="49">
          <cell r="A49" t="str">
            <v>43</v>
          </cell>
          <cell r="B49" t="str">
            <v>- Lắp dựng cốt thép cột tầng 7 PĐ1</v>
          </cell>
          <cell r="C49" t="str">
            <v>43</v>
          </cell>
          <cell r="D49" t="str">
            <v>15h30</v>
          </cell>
          <cell r="E49">
            <v>28</v>
          </cell>
          <cell r="F49">
            <v>4</v>
          </cell>
          <cell r="G49">
            <v>2015</v>
          </cell>
          <cell r="H49" t="str">
            <v>15h30 ngày 28 tháng 4 năm 2015</v>
          </cell>
          <cell r="I49" t="str">
            <v>Hà Nội, ngày 28 tháng 4 năm 2015</v>
          </cell>
          <cell r="J49" t="str">
            <v>Nguyễn Ái Việt</v>
          </cell>
          <cell r="K49" t="str">
            <v>Chỉ huy trưởng</v>
          </cell>
        </row>
        <row r="50">
          <cell r="A50" t="str">
            <v>44</v>
          </cell>
          <cell r="B50" t="str">
            <v>- Lắp dựng cốp pha cột vách tầng 7 PĐ1</v>
          </cell>
          <cell r="C50" t="str">
            <v>44</v>
          </cell>
          <cell r="D50" t="str">
            <v>….h….</v>
          </cell>
          <cell r="E50" t="str">
            <v>….</v>
          </cell>
          <cell r="F50">
            <v>4</v>
          </cell>
          <cell r="G50">
            <v>2015</v>
          </cell>
          <cell r="H50" t="str">
            <v>….h…. ngày …. tháng 4 năm 2015</v>
          </cell>
          <cell r="I50" t="str">
            <v>Hà Nội, ngày …. tháng 4 năm 2015</v>
          </cell>
          <cell r="J50" t="str">
            <v>Nguyễn Ái Việt</v>
          </cell>
          <cell r="K50" t="str">
            <v>Chỉ huy trưởng</v>
          </cell>
        </row>
        <row r="51">
          <cell r="A51" t="str">
            <v>45</v>
          </cell>
          <cell r="B51" t="str">
            <v>- Định vị tim trục tường xây tầng 4</v>
          </cell>
          <cell r="C51" t="str">
            <v>45</v>
          </cell>
          <cell r="D51" t="str">
            <v>….h….</v>
          </cell>
          <cell r="E51">
            <v>5</v>
          </cell>
          <cell r="F51">
            <v>5</v>
          </cell>
          <cell r="G51">
            <v>2015</v>
          </cell>
          <cell r="H51" t="str">
            <v>….h…. ngày 5 tháng 5 năm 2015</v>
          </cell>
          <cell r="I51" t="str">
            <v>Hà Nội, ngày 5 tháng 5 năm 2015</v>
          </cell>
          <cell r="J51" t="str">
            <v>Nguyễn Ái Việt</v>
          </cell>
          <cell r="K51" t="str">
            <v>Chỉ huy trưởng</v>
          </cell>
        </row>
        <row r="52">
          <cell r="A52" t="str">
            <v>46</v>
          </cell>
          <cell r="B52" t="str">
            <v>- Lắp dựng cốp pha, cốt thép cầu thang bộ TB tầng 1 (2 thang)</v>
          </cell>
          <cell r="C52" t="str">
            <v>46</v>
          </cell>
          <cell r="D52" t="str">
            <v>10h30</v>
          </cell>
          <cell r="E52">
            <v>7</v>
          </cell>
          <cell r="F52">
            <v>5</v>
          </cell>
          <cell r="G52">
            <v>2015</v>
          </cell>
          <cell r="H52" t="str">
            <v>10h30 ngày 7 tháng 5 năm 2015</v>
          </cell>
          <cell r="I52" t="str">
            <v>Hà Nội, ngày 7 tháng 5 năm 2015</v>
          </cell>
          <cell r="J52" t="str">
            <v>Nguyễn Ái Việt</v>
          </cell>
          <cell r="K52" t="str">
            <v>Chỉ huy trưởng</v>
          </cell>
        </row>
        <row r="53">
          <cell r="A53" t="str">
            <v>47</v>
          </cell>
          <cell r="B53" t="str">
            <v>- Lắp dựng cốp pha, cốt thép dầm sàn tầng 8 PĐ2</v>
          </cell>
          <cell r="C53" t="str">
            <v>47</v>
          </cell>
          <cell r="D53" t="str">
            <v>16h00</v>
          </cell>
          <cell r="E53">
            <v>8</v>
          </cell>
          <cell r="F53">
            <v>5</v>
          </cell>
          <cell r="G53">
            <v>2015</v>
          </cell>
          <cell r="H53" t="str">
            <v>16h00 ngày 8 tháng 5 năm 2015</v>
          </cell>
          <cell r="I53" t="str">
            <v>Hà Nội, ngày 8 tháng 5 năm 2015</v>
          </cell>
          <cell r="J53" t="str">
            <v>Nguyễn Ái Việt</v>
          </cell>
          <cell r="K53" t="str">
            <v>Chỉ huy trưởng</v>
          </cell>
        </row>
        <row r="54">
          <cell r="A54" t="str">
            <v>48</v>
          </cell>
          <cell r="B54" t="str">
            <v>-Lắp dựng cốt thép cột, vách tầng 8 PĐ2</v>
          </cell>
          <cell r="C54" t="str">
            <v>48</v>
          </cell>
          <cell r="D54" t="str">
            <v>9h00</v>
          </cell>
          <cell r="E54">
            <v>10</v>
          </cell>
          <cell r="F54">
            <v>5</v>
          </cell>
          <cell r="G54">
            <v>2015</v>
          </cell>
          <cell r="H54" t="str">
            <v>9h00 ngày 10 tháng 5 năm 2015</v>
          </cell>
          <cell r="I54" t="str">
            <v>Hà Nội, ngày 10 tháng 5 năm 2015</v>
          </cell>
          <cell r="J54" t="str">
            <v>Nguyễn Ái Việt</v>
          </cell>
          <cell r="K54" t="str">
            <v>Chỉ huy trưởng</v>
          </cell>
        </row>
        <row r="55">
          <cell r="A55" t="str">
            <v>49</v>
          </cell>
          <cell r="B55" t="str">
            <v>-Lắp dựng cốt pha cột, vách tầng 8 PĐ2</v>
          </cell>
          <cell r="C55" t="str">
            <v>49</v>
          </cell>
          <cell r="D55" t="str">
            <v>14h30</v>
          </cell>
          <cell r="E55">
            <v>10</v>
          </cell>
          <cell r="F55">
            <v>5</v>
          </cell>
          <cell r="G55">
            <v>2015</v>
          </cell>
          <cell r="H55" t="str">
            <v>14h30 ngày 10 tháng 5 năm 2015</v>
          </cell>
          <cell r="I55" t="str">
            <v>Hà Nội, ngày 10 tháng 5 năm 2015</v>
          </cell>
          <cell r="J55" t="str">
            <v>Nguyễn Ái Việt</v>
          </cell>
          <cell r="K55" t="str">
            <v>Chỉ huy trưởng</v>
          </cell>
        </row>
        <row r="56">
          <cell r="A56" t="str">
            <v>50</v>
          </cell>
          <cell r="B56" t="str">
            <v>- Lắp dựng cốp pha, cốt thép dầm sàn tầng 8 PĐ1</v>
          </cell>
          <cell r="C56" t="str">
            <v>50</v>
          </cell>
          <cell r="D56" t="str">
            <v>16h00</v>
          </cell>
          <cell r="E56">
            <v>11</v>
          </cell>
          <cell r="F56">
            <v>5</v>
          </cell>
          <cell r="G56">
            <v>2015</v>
          </cell>
          <cell r="H56" t="str">
            <v>16h00 ngày 11 tháng 5 năm 2015</v>
          </cell>
          <cell r="I56" t="str">
            <v>Hà Nội, ngày 11 tháng 5 năm 2015</v>
          </cell>
          <cell r="J56" t="str">
            <v>Nguyễn Ái Việt</v>
          </cell>
          <cell r="K56" t="str">
            <v>Chỉ huy trưởng</v>
          </cell>
        </row>
        <row r="57">
          <cell r="A57" t="str">
            <v>51</v>
          </cell>
          <cell r="B57" t="str">
            <v>-Lắp dựng cốt thép cột, vách tầng 8 PĐ1</v>
          </cell>
          <cell r="C57" t="str">
            <v>51</v>
          </cell>
          <cell r="D57" t="str">
            <v>8h00</v>
          </cell>
          <cell r="E57">
            <v>13</v>
          </cell>
          <cell r="F57">
            <v>5</v>
          </cell>
          <cell r="G57">
            <v>2015</v>
          </cell>
          <cell r="H57" t="str">
            <v>8h00 ngày 13 tháng 5 năm 2015</v>
          </cell>
          <cell r="I57" t="str">
            <v>Hà Nội, ngày 13 tháng 5 năm 2015</v>
          </cell>
          <cell r="J57" t="str">
            <v>Nguyễn Ái Việt</v>
          </cell>
          <cell r="K57" t="str">
            <v>Chỉ huy trưởng</v>
          </cell>
        </row>
        <row r="58">
          <cell r="A58" t="str">
            <v>52</v>
          </cell>
          <cell r="B58" t="str">
            <v>- Lắp dựng cốp pha cột vách tầng 8 PĐ1</v>
          </cell>
          <cell r="C58" t="str">
            <v>52</v>
          </cell>
          <cell r="D58" t="str">
            <v>15h30</v>
          </cell>
          <cell r="E58">
            <v>13</v>
          </cell>
          <cell r="F58">
            <v>5</v>
          </cell>
          <cell r="G58">
            <v>2015</v>
          </cell>
          <cell r="H58" t="str">
            <v>15h30 ngày 13 tháng 5 năm 2015</v>
          </cell>
          <cell r="I58" t="str">
            <v>Hà Nội, ngày 13 tháng 5 năm 2015</v>
          </cell>
          <cell r="J58" t="str">
            <v>Nguyễn Ái Việt</v>
          </cell>
          <cell r="K58" t="str">
            <v>Chỉ huy trưởng</v>
          </cell>
        </row>
        <row r="59">
          <cell r="A59" t="str">
            <v>53</v>
          </cell>
          <cell r="B59" t="str">
            <v>-Tường xây tầng 3</v>
          </cell>
          <cell r="C59" t="str">
            <v>53</v>
          </cell>
          <cell r="D59" t="str">
            <v>….h….</v>
          </cell>
          <cell r="E59">
            <v>15</v>
          </cell>
          <cell r="F59">
            <v>5</v>
          </cell>
          <cell r="G59">
            <v>2015</v>
          </cell>
          <cell r="H59" t="str">
            <v>….h…. ngày 15 tháng 5 năm 2015</v>
          </cell>
          <cell r="I59" t="str">
            <v>Hà Nội, ngày 15 tháng 5 năm 2015</v>
          </cell>
          <cell r="J59" t="str">
            <v>Nguyễn Ái Việt</v>
          </cell>
          <cell r="K59" t="str">
            <v>Chỉ huy trưởng</v>
          </cell>
        </row>
        <row r="60">
          <cell r="A60" t="str">
            <v>54</v>
          </cell>
          <cell r="B60" t="str">
            <v>- Lắp dựng cốp pha, cốt thép dầm sàn tầng 9 PĐ2</v>
          </cell>
          <cell r="C60" t="str">
            <v>54</v>
          </cell>
          <cell r="D60" t="str">
            <v>14h30</v>
          </cell>
          <cell r="E60">
            <v>19</v>
          </cell>
          <cell r="F60">
            <v>5</v>
          </cell>
          <cell r="G60">
            <v>2015</v>
          </cell>
          <cell r="H60" t="str">
            <v>14h30 ngày 19 tháng 5 năm 2015</v>
          </cell>
          <cell r="I60" t="str">
            <v>Hà Nội, ngày 19 tháng 5 năm 2015</v>
          </cell>
          <cell r="J60" t="str">
            <v>Nguyễn Ái Việt</v>
          </cell>
          <cell r="K60" t="str">
            <v>Chỉ huy trưởng</v>
          </cell>
        </row>
        <row r="61">
          <cell r="A61" t="str">
            <v>55</v>
          </cell>
          <cell r="B61" t="str">
            <v>-Cốt thép cột, vách tầng 9 PĐ2</v>
          </cell>
          <cell r="C61" t="str">
            <v>55</v>
          </cell>
          <cell r="D61" t="str">
            <v>15h00</v>
          </cell>
          <cell r="E61">
            <v>20</v>
          </cell>
          <cell r="F61">
            <v>5</v>
          </cell>
          <cell r="G61">
            <v>2015</v>
          </cell>
          <cell r="H61" t="str">
            <v>15h00 ngày 20 tháng 5 năm 2015</v>
          </cell>
          <cell r="I61" t="str">
            <v>Hà Nội, ngày 20 tháng 5 năm 2015</v>
          </cell>
          <cell r="J61" t="str">
            <v>Nguyễn Ái Việt</v>
          </cell>
          <cell r="K61" t="str">
            <v>Chỉ huy trưởng</v>
          </cell>
        </row>
        <row r="62">
          <cell r="A62" t="str">
            <v>56</v>
          </cell>
          <cell r="B62" t="str">
            <v xml:space="preserve">-Đào đất nền tầng 1 chôn ống thoát nước toàn nhà </v>
          </cell>
          <cell r="C62" t="str">
            <v>56</v>
          </cell>
          <cell r="D62" t="str">
            <v>14h30</v>
          </cell>
          <cell r="E62">
            <v>23</v>
          </cell>
          <cell r="F62">
            <v>5</v>
          </cell>
          <cell r="G62">
            <v>2015</v>
          </cell>
          <cell r="H62" t="str">
            <v>14h30 ngày 23 tháng 5 năm 2015</v>
          </cell>
          <cell r="I62" t="str">
            <v>Hà Nội, ngày 23 tháng 5 năm 2015</v>
          </cell>
          <cell r="J62" t="str">
            <v>Nguyễn Ái Việt</v>
          </cell>
          <cell r="K62" t="str">
            <v>Chỉ huy trưởng</v>
          </cell>
        </row>
        <row r="63">
          <cell r="A63" t="str">
            <v>57</v>
          </cell>
          <cell r="B63" t="str">
            <v>- Lắp dựng cốp pha, cốt thép dầm sàn tầng 9 PĐ1</v>
          </cell>
          <cell r="C63" t="str">
            <v>57</v>
          </cell>
          <cell r="D63" t="str">
            <v>15h00</v>
          </cell>
          <cell r="E63">
            <v>24</v>
          </cell>
          <cell r="F63">
            <v>5</v>
          </cell>
          <cell r="G63">
            <v>2015</v>
          </cell>
          <cell r="H63" t="str">
            <v>15h00 ngày 24 tháng 5 năm 2015</v>
          </cell>
          <cell r="I63" t="str">
            <v>Hà Nội, ngày 24 tháng 5 năm 2015</v>
          </cell>
          <cell r="J63" t="str">
            <v>Nguyễn Ái Việt</v>
          </cell>
          <cell r="K63" t="str">
            <v>Chỉ huy trưởng</v>
          </cell>
        </row>
        <row r="64">
          <cell r="A64" t="str">
            <v>58</v>
          </cell>
          <cell r="B64" t="str">
            <v>-Định vị tim trục tường xây tầng 6 PĐ1</v>
          </cell>
          <cell r="C64" t="str">
            <v>58</v>
          </cell>
          <cell r="D64" t="str">
            <v>….h….</v>
          </cell>
          <cell r="E64">
            <v>25</v>
          </cell>
          <cell r="F64">
            <v>5</v>
          </cell>
          <cell r="G64">
            <v>2015</v>
          </cell>
          <cell r="H64" t="str">
            <v>….h…. ngày 25 tháng 5 năm 2015</v>
          </cell>
          <cell r="I64" t="str">
            <v>Hà Nội, ngày 25 tháng 5 năm 2015</v>
          </cell>
          <cell r="J64" t="str">
            <v>Nguyễn Ái Việt</v>
          </cell>
          <cell r="K64" t="str">
            <v>Chỉ huy trưởng</v>
          </cell>
        </row>
        <row r="65">
          <cell r="A65" t="str">
            <v>59</v>
          </cell>
          <cell r="B65" t="str">
            <v>-Lắp dựng cốp pha cột, vách tầng 9 PĐ1
Lắp dựng cốp pha, cốt thép thang bộ TB tầng 2, 3</v>
          </cell>
          <cell r="C65" t="str">
            <v>59</v>
          </cell>
          <cell r="D65" t="str">
            <v>14h30</v>
          </cell>
          <cell r="E65">
            <v>26</v>
          </cell>
          <cell r="F65">
            <v>5</v>
          </cell>
          <cell r="G65">
            <v>2015</v>
          </cell>
          <cell r="H65" t="str">
            <v>14h30 ngày 26 tháng 5 năm 2015</v>
          </cell>
          <cell r="I65" t="str">
            <v>Hà Nội, ngày 26 tháng 5 năm 2015</v>
          </cell>
          <cell r="J65" t="str">
            <v>Nguyễn Ái Việt</v>
          </cell>
          <cell r="K65" t="str">
            <v>Chỉ huy trưởng</v>
          </cell>
        </row>
        <row r="66">
          <cell r="A66" t="str">
            <v>60</v>
          </cell>
          <cell r="B66" t="str">
            <v>- Lắp dựng cốp pha, cốt thép dầm sàn tầng 10 PĐ2</v>
          </cell>
          <cell r="C66" t="str">
            <v>60</v>
          </cell>
          <cell r="D66" t="str">
            <v>17h00</v>
          </cell>
          <cell r="E66">
            <v>31</v>
          </cell>
          <cell r="F66">
            <v>5</v>
          </cell>
          <cell r="G66">
            <v>2015</v>
          </cell>
          <cell r="H66" t="str">
            <v>17h00 ngày 31 tháng 5 năm 2015</v>
          </cell>
          <cell r="I66" t="str">
            <v>Hà Nội, ngày 31 tháng 5 năm 2015</v>
          </cell>
          <cell r="J66" t="str">
            <v>Nguyễn Ái Việt</v>
          </cell>
          <cell r="K66" t="str">
            <v>Chỉ huy trưởng</v>
          </cell>
        </row>
        <row r="67">
          <cell r="A67" t="str">
            <v>61</v>
          </cell>
          <cell r="B67" t="str">
            <v>-Lắp dựng cốt thép cột, vách tầng 10 PĐ2</v>
          </cell>
          <cell r="C67" t="str">
            <v>61</v>
          </cell>
          <cell r="D67" t="str">
            <v>16h00</v>
          </cell>
          <cell r="E67">
            <v>1</v>
          </cell>
          <cell r="F67">
            <v>6</v>
          </cell>
          <cell r="G67">
            <v>2015</v>
          </cell>
          <cell r="H67" t="str">
            <v>16h00 ngày 1 tháng 6 năm 2015</v>
          </cell>
          <cell r="I67" t="str">
            <v>Hà Nội, ngày 1 tháng 6 năm 2015</v>
          </cell>
          <cell r="J67" t="str">
            <v>Nguyễn Ái Việt</v>
          </cell>
          <cell r="K67" t="str">
            <v>Chỉ huy trưởng</v>
          </cell>
        </row>
        <row r="68">
          <cell r="A68" t="str">
            <v>62</v>
          </cell>
          <cell r="B68" t="str">
            <v>-Lắp dựng cốp pha cột, vách tầng 10 PĐ2</v>
          </cell>
          <cell r="C68" t="str">
            <v>62</v>
          </cell>
          <cell r="D68" t="str">
            <v>15h00</v>
          </cell>
          <cell r="E68">
            <v>2</v>
          </cell>
          <cell r="F68">
            <v>6</v>
          </cell>
          <cell r="G68">
            <v>2015</v>
          </cell>
          <cell r="H68" t="str">
            <v>15h00 ngày 2 tháng 6 năm 2015</v>
          </cell>
          <cell r="I68" t="str">
            <v>Hà Nội, ngày 2 tháng 6 năm 2015</v>
          </cell>
          <cell r="J68" t="str">
            <v>Nguyễn Ái Việt</v>
          </cell>
          <cell r="K68" t="str">
            <v>Chỉ huy trưởng</v>
          </cell>
        </row>
        <row r="69">
          <cell r="A69" t="str">
            <v>63</v>
          </cell>
          <cell r="B69" t="str">
            <v>-Lắp đặt đường ống cấp thoát nước tầng 1</v>
          </cell>
          <cell r="C69" t="str">
            <v>63</v>
          </cell>
          <cell r="D69" t="str">
            <v>14h30</v>
          </cell>
          <cell r="E69">
            <v>5</v>
          </cell>
          <cell r="F69">
            <v>6</v>
          </cell>
          <cell r="G69">
            <v>2015</v>
          </cell>
          <cell r="H69" t="str">
            <v>14h30 ngày 5 tháng 6 năm 2015</v>
          </cell>
          <cell r="I69" t="str">
            <v>Hà Nội, ngày 5 tháng 6 năm 2015</v>
          </cell>
          <cell r="J69" t="str">
            <v>Nguyễn Ái Việt</v>
          </cell>
          <cell r="K69" t="str">
            <v>Chỉ huy trưởng</v>
          </cell>
        </row>
        <row r="70">
          <cell r="A70" t="str">
            <v>64</v>
          </cell>
          <cell r="B70" t="str">
            <v>-Lắp dựng cốp pha, cốt thép dầm sàn tầng 10 PĐ1</v>
          </cell>
          <cell r="C70" t="str">
            <v>64</v>
          </cell>
          <cell r="D70" t="str">
            <v>9h00</v>
          </cell>
          <cell r="E70">
            <v>6</v>
          </cell>
          <cell r="F70">
            <v>6</v>
          </cell>
          <cell r="G70">
            <v>2015</v>
          </cell>
          <cell r="H70" t="str">
            <v>9h00 ngày 6 tháng 6 năm 2015</v>
          </cell>
          <cell r="I70" t="str">
            <v>Hà Nội, ngày 6 tháng 6 năm 2015</v>
          </cell>
          <cell r="J70" t="str">
            <v>Nguyễn Ái Việt</v>
          </cell>
          <cell r="K70" t="str">
            <v>Chỉ huy trưởng</v>
          </cell>
        </row>
        <row r="71">
          <cell r="A71" t="str">
            <v>65</v>
          </cell>
          <cell r="B71" t="str">
            <v>-Lắp dựng cốt thép cột, vách tầng 10 PĐ1</v>
          </cell>
          <cell r="C71" t="str">
            <v>65</v>
          </cell>
          <cell r="D71" t="str">
            <v>16h30</v>
          </cell>
          <cell r="E71">
            <v>7</v>
          </cell>
          <cell r="F71">
            <v>6</v>
          </cell>
          <cell r="G71">
            <v>2015</v>
          </cell>
          <cell r="H71" t="str">
            <v>16h30 ngày 7 tháng 6 năm 2015</v>
          </cell>
          <cell r="I71" t="str">
            <v>Hà Nội, ngày 7 tháng 6 năm 2015</v>
          </cell>
          <cell r="J71" t="str">
            <v>Nguyễn Ái Việt</v>
          </cell>
          <cell r="K71" t="str">
            <v>Chỉ huy trưởng</v>
          </cell>
        </row>
        <row r="72">
          <cell r="A72" t="str">
            <v>66</v>
          </cell>
          <cell r="B72" t="str">
            <v>-Lắp dựng cốp pha cột, vách tầng 10 PĐ1</v>
          </cell>
          <cell r="C72" t="str">
            <v>66</v>
          </cell>
          <cell r="D72" t="str">
            <v>15h30</v>
          </cell>
          <cell r="E72">
            <v>8</v>
          </cell>
          <cell r="F72">
            <v>6</v>
          </cell>
          <cell r="G72">
            <v>2015</v>
          </cell>
          <cell r="H72" t="str">
            <v>15h30 ngày 8 tháng 6 năm 2015</v>
          </cell>
          <cell r="I72" t="str">
            <v>Hà Nội, ngày 8 tháng 6 năm 2015</v>
          </cell>
          <cell r="J72" t="str">
            <v>Nguyễn Ái Việt</v>
          </cell>
          <cell r="K72" t="str">
            <v>Chỉ huy trưởng</v>
          </cell>
        </row>
        <row r="73">
          <cell r="A73" t="str">
            <v>67</v>
          </cell>
          <cell r="B73" t="str">
            <v>-Lắp dựng cốp pha, cốt thép thang bộ LT tầng 5, thang bộ TB tầng 5, 6 trục X8+2,55m/Y5'-Y7'</v>
          </cell>
          <cell r="C73" t="str">
            <v>67</v>
          </cell>
          <cell r="D73" t="str">
            <v>9h30</v>
          </cell>
          <cell r="E73">
            <v>10</v>
          </cell>
          <cell r="F73">
            <v>6</v>
          </cell>
          <cell r="G73">
            <v>2015</v>
          </cell>
          <cell r="H73" t="str">
            <v>9h30 ngày 10 tháng 6 năm 2015</v>
          </cell>
          <cell r="I73" t="str">
            <v>Hà Nội, ngày 10 tháng 6 năm 2015</v>
          </cell>
          <cell r="J73" t="str">
            <v>Nguyễn Ái Việt</v>
          </cell>
          <cell r="K73" t="str">
            <v>Chỉ huy trưởng</v>
          </cell>
        </row>
        <row r="74">
          <cell r="A74" t="str">
            <v>68</v>
          </cell>
          <cell r="B74" t="str">
            <v>-Lắp dựng cốp pha, cốt thép dầm sàn tầng 11 PĐ2</v>
          </cell>
          <cell r="C74" t="str">
            <v>68</v>
          </cell>
          <cell r="D74" t="str">
            <v>17h00</v>
          </cell>
          <cell r="E74">
            <v>13</v>
          </cell>
          <cell r="F74">
            <v>6</v>
          </cell>
          <cell r="G74">
            <v>2015</v>
          </cell>
          <cell r="H74" t="str">
            <v>17h00 ngày 13 tháng 6 năm 2015</v>
          </cell>
          <cell r="I74" t="str">
            <v>Hà Nội, ngày 13 tháng 6 năm 2015</v>
          </cell>
          <cell r="J74" t="str">
            <v>Nguyễn Ái Việt</v>
          </cell>
          <cell r="K74" t="str">
            <v>Chỉ huy trưởng</v>
          </cell>
        </row>
        <row r="75">
          <cell r="A75" t="str">
            <v>69</v>
          </cell>
          <cell r="B75" t="str">
            <v>-Lắp dựng cốt thép cột, vách tầng 11 PĐ2</v>
          </cell>
          <cell r="C75" t="str">
            <v>69</v>
          </cell>
          <cell r="D75" t="str">
            <v>….h….</v>
          </cell>
          <cell r="E75">
            <v>15</v>
          </cell>
          <cell r="F75">
            <v>6</v>
          </cell>
          <cell r="G75">
            <v>2015</v>
          </cell>
          <cell r="H75" t="str">
            <v>….h…. ngày 15 tháng 6 năm 2015</v>
          </cell>
          <cell r="I75" t="str">
            <v>Hà Nội, ngày 15 tháng 6 năm 2015</v>
          </cell>
          <cell r="J75" t="str">
            <v>Nguyễn Ái Việt</v>
          </cell>
          <cell r="K75" t="str">
            <v>Chỉ huy trưởng</v>
          </cell>
        </row>
        <row r="76">
          <cell r="A76" t="str">
            <v>70</v>
          </cell>
          <cell r="B76" t="str">
            <v>-Lắp dựng giáo ngoài trục X4'-X8/Y8 tầng 02 đến tầng 07</v>
          </cell>
          <cell r="C76" t="str">
            <v>70</v>
          </cell>
          <cell r="D76" t="str">
            <v>9h30</v>
          </cell>
          <cell r="E76">
            <v>15</v>
          </cell>
          <cell r="F76">
            <v>6</v>
          </cell>
          <cell r="G76">
            <v>2015</v>
          </cell>
          <cell r="H76" t="str">
            <v>9h30 ngày 15 tháng 6 năm 2015</v>
          </cell>
          <cell r="I76" t="str">
            <v>Hà Nội, ngày 15 tháng 6 năm 2015</v>
          </cell>
          <cell r="J76" t="str">
            <v>Nguyễn Ái Việt</v>
          </cell>
          <cell r="K76" t="str">
            <v>Chỉ huy trưởng</v>
          </cell>
        </row>
        <row r="77">
          <cell r="A77" t="str">
            <v>71</v>
          </cell>
          <cell r="B77" t="str">
            <v>-Lắp dựng cốp pha, cốt thép dầm sàn tầng 11 PĐ1</v>
          </cell>
          <cell r="C77" t="str">
            <v>71</v>
          </cell>
          <cell r="D77" t="str">
            <v>9h00</v>
          </cell>
          <cell r="E77">
            <v>17</v>
          </cell>
          <cell r="F77">
            <v>6</v>
          </cell>
          <cell r="G77">
            <v>2015</v>
          </cell>
          <cell r="H77" t="str">
            <v>9h00 ngày 17 tháng 6 năm 2015</v>
          </cell>
          <cell r="I77" t="str">
            <v>Hà Nội, ngày 17 tháng 6 năm 2015</v>
          </cell>
          <cell r="J77" t="str">
            <v>Nguyễn Ái Việt</v>
          </cell>
          <cell r="K77" t="str">
            <v>Chỉ huy trưởng</v>
          </cell>
        </row>
        <row r="78">
          <cell r="A78" t="str">
            <v>72</v>
          </cell>
          <cell r="B78" t="str">
            <v>-Lắp dựng cốp pha cột, vách tầng 11 PĐ2</v>
          </cell>
          <cell r="C78" t="str">
            <v>72</v>
          </cell>
          <cell r="D78" t="str">
            <v>8h30</v>
          </cell>
          <cell r="E78">
            <v>17</v>
          </cell>
          <cell r="F78">
            <v>6</v>
          </cell>
          <cell r="G78">
            <v>2015</v>
          </cell>
          <cell r="H78" t="str">
            <v>8h30 ngày 17 tháng 6 năm 2015</v>
          </cell>
          <cell r="I78" t="str">
            <v>Hà Nội, ngày 17 tháng 6 năm 2015</v>
          </cell>
          <cell r="J78" t="str">
            <v>Nguyễn Ái Việt</v>
          </cell>
          <cell r="K78" t="str">
            <v>Chỉ huy trưởng</v>
          </cell>
        </row>
        <row r="79">
          <cell r="A79" t="str">
            <v>73</v>
          </cell>
          <cell r="B79" t="str">
            <v>-Lắp dựng cốt thép cột, vách tầng 11 PĐ1</v>
          </cell>
          <cell r="C79" t="str">
            <v>73</v>
          </cell>
          <cell r="D79" t="str">
            <v>16h00</v>
          </cell>
          <cell r="E79">
            <v>18</v>
          </cell>
          <cell r="F79">
            <v>6</v>
          </cell>
          <cell r="G79">
            <v>2015</v>
          </cell>
          <cell r="H79" t="str">
            <v>16h00 ngày 18 tháng 6 năm 2015</v>
          </cell>
          <cell r="I79" t="str">
            <v>Hà Nội, ngày 18 tháng 6 năm 2015</v>
          </cell>
          <cell r="J79" t="str">
            <v>Nguyễn Ái Việt</v>
          </cell>
          <cell r="K79" t="str">
            <v>Chỉ huy trưởng</v>
          </cell>
        </row>
        <row r="80">
          <cell r="A80" t="str">
            <v>74</v>
          </cell>
          <cell r="B80" t="str">
            <v>-Lắp dựng cốp pha cột, vách tầng 11 PĐ1</v>
          </cell>
          <cell r="C80" t="str">
            <v>74</v>
          </cell>
          <cell r="D80" t="str">
            <v>16h00</v>
          </cell>
          <cell r="E80">
            <v>19</v>
          </cell>
          <cell r="F80">
            <v>6</v>
          </cell>
          <cell r="G80">
            <v>2015</v>
          </cell>
          <cell r="H80" t="str">
            <v>16h00 ngày 19 tháng 6 năm 2015</v>
          </cell>
          <cell r="I80" t="str">
            <v>Hà Nội, ngày 19 tháng 6 năm 2015</v>
          </cell>
          <cell r="J80" t="str">
            <v>Nguyễn Ái Việt</v>
          </cell>
          <cell r="K80" t="str">
            <v>Chỉ huy trưởng</v>
          </cell>
        </row>
        <row r="81">
          <cell r="A81" t="str">
            <v>75</v>
          </cell>
          <cell r="B81" t="str">
            <v>-Trát ngoài trục X4'-X8/Y8 tầng 02 đến tầng 06</v>
          </cell>
          <cell r="C81" t="str">
            <v>75</v>
          </cell>
          <cell r="D81" t="str">
            <v>9h30</v>
          </cell>
          <cell r="E81">
            <v>29</v>
          </cell>
          <cell r="F81">
            <v>6</v>
          </cell>
          <cell r="G81">
            <v>2015</v>
          </cell>
          <cell r="H81" t="str">
            <v>9h30 ngày 29 tháng 6 năm 2015</v>
          </cell>
          <cell r="I81" t="str">
            <v>Hà Nội, ngày 29 tháng 6 năm 2015</v>
          </cell>
          <cell r="J81" t="str">
            <v>Nguyễn Ái Việt</v>
          </cell>
          <cell r="K81" t="str">
            <v>Chỉ huy trưởng</v>
          </cell>
        </row>
        <row r="82">
          <cell r="A82" t="str">
            <v>76</v>
          </cell>
          <cell r="B82" t="str">
            <v>-Lắp dựng cốp pha, cốt thép dầm sàn tầng áp mái</v>
          </cell>
          <cell r="C82" t="str">
            <v>76</v>
          </cell>
          <cell r="D82" t="str">
            <v>18h00</v>
          </cell>
          <cell r="E82">
            <v>29</v>
          </cell>
          <cell r="F82">
            <v>6</v>
          </cell>
          <cell r="G82">
            <v>2015</v>
          </cell>
          <cell r="H82" t="str">
            <v>18h00 ngày 29 tháng 6 năm 2015</v>
          </cell>
          <cell r="I82" t="str">
            <v>Hà Nội, ngày 29 tháng 6 năm 2015</v>
          </cell>
          <cell r="J82" t="str">
            <v>Nguyễn Ái Việt</v>
          </cell>
          <cell r="K82" t="str">
            <v>Chỉ huy trưởng</v>
          </cell>
        </row>
        <row r="83">
          <cell r="A83" t="str">
            <v>77</v>
          </cell>
          <cell r="B83" t="str">
            <v>-Tường xây tầng 4, tầng 5</v>
          </cell>
          <cell r="C83" t="str">
            <v>77</v>
          </cell>
          <cell r="D83" t="str">
            <v>9h00</v>
          </cell>
          <cell r="E83">
            <v>3</v>
          </cell>
          <cell r="F83">
            <v>7</v>
          </cell>
          <cell r="G83">
            <v>2015</v>
          </cell>
          <cell r="H83" t="str">
            <v>9h00 ngày 3 tháng 7 năm 2015</v>
          </cell>
          <cell r="I83" t="str">
            <v>Hà Nội, ngày 3 tháng 7 năm 2015</v>
          </cell>
          <cell r="J83" t="str">
            <v>Nguyễn Ái Việt</v>
          </cell>
          <cell r="K83" t="str">
            <v>Chỉ huy trưởng</v>
          </cell>
        </row>
        <row r="84">
          <cell r="A84" t="str">
            <v>78</v>
          </cell>
          <cell r="B84" t="str">
            <v>-Lắp dựng cốp pha, cốt thép thang bộ LT tầng 8</v>
          </cell>
          <cell r="C84" t="str">
            <v>78</v>
          </cell>
          <cell r="D84" t="str">
            <v>9h00</v>
          </cell>
          <cell r="E84">
            <v>5</v>
          </cell>
          <cell r="F84">
            <v>7</v>
          </cell>
          <cell r="G84">
            <v>2015</v>
          </cell>
          <cell r="H84" t="str">
            <v>9h00 ngày 5 tháng 7 năm 2015</v>
          </cell>
          <cell r="I84" t="str">
            <v>Hà Nội, ngày 5 tháng 7 năm 2015</v>
          </cell>
          <cell r="J84" t="str">
            <v>Nguyễn Ái Việt</v>
          </cell>
          <cell r="K84" t="str">
            <v>Chỉ huy trưởng</v>
          </cell>
        </row>
        <row r="85">
          <cell r="A85" t="str">
            <v>79</v>
          </cell>
          <cell r="B85" t="str">
            <v>-Lắp dựng cốt thép cột, vách tầng áp mái</v>
          </cell>
          <cell r="C85" t="str">
            <v>79</v>
          </cell>
          <cell r="D85" t="str">
            <v>9h00</v>
          </cell>
          <cell r="E85">
            <v>5</v>
          </cell>
          <cell r="F85">
            <v>7</v>
          </cell>
          <cell r="G85">
            <v>2015</v>
          </cell>
          <cell r="H85" t="str">
            <v>9h00 ngày 5 tháng 7 năm 2015</v>
          </cell>
          <cell r="I85" t="str">
            <v>Hà Nội, ngày 5 tháng 7 năm 2015</v>
          </cell>
          <cell r="J85" t="str">
            <v>Nguyễn Ái Việt</v>
          </cell>
          <cell r="K85" t="str">
            <v>Chỉ huy trưởng</v>
          </cell>
        </row>
        <row r="86">
          <cell r="A86" t="str">
            <v>80</v>
          </cell>
          <cell r="B86" t="str">
            <v>-Lắp dựng cốp pha cột, vách tầng áp mái</v>
          </cell>
          <cell r="C86" t="str">
            <v>80</v>
          </cell>
          <cell r="D86" t="str">
            <v>14h00</v>
          </cell>
          <cell r="E86">
            <v>5</v>
          </cell>
          <cell r="F86">
            <v>7</v>
          </cell>
          <cell r="G86">
            <v>2015</v>
          </cell>
          <cell r="H86" t="str">
            <v>14h00 ngày 5 tháng 7 năm 2015</v>
          </cell>
          <cell r="I86" t="str">
            <v>Hà Nội, ngày 5 tháng 7 năm 2015</v>
          </cell>
          <cell r="J86" t="str">
            <v>Nguyễn Ái Việt</v>
          </cell>
          <cell r="K86" t="str">
            <v>Chỉ huy trưởng</v>
          </cell>
        </row>
        <row r="87">
          <cell r="A87" t="str">
            <v>81</v>
          </cell>
          <cell r="B87" t="str">
            <v>-Nghiệm thu trát trong tầng 3</v>
          </cell>
          <cell r="C87" t="str">
            <v>81</v>
          </cell>
          <cell r="D87" t="str">
            <v>15h00</v>
          </cell>
          <cell r="E87">
            <v>6</v>
          </cell>
          <cell r="F87">
            <v>7</v>
          </cell>
          <cell r="G87">
            <v>2015</v>
          </cell>
          <cell r="H87" t="str">
            <v>15h00 ngày 6 tháng 7 năm 2015</v>
          </cell>
          <cell r="I87" t="str">
            <v>Hà Nội, ngày 6 tháng 7 năm 2015</v>
          </cell>
          <cell r="J87" t="str">
            <v>Nguyễn Ái Việt</v>
          </cell>
          <cell r="K87" t="str">
            <v>Chỉ huy trưởng</v>
          </cell>
        </row>
        <row r="88">
          <cell r="A88" t="str">
            <v>82</v>
          </cell>
          <cell r="B88" t="str">
            <v>-Nghiệm thu trát ngoài trục Y5/X4-X8, X5/Y7-Y8 tầng 02 đến tầng 06</v>
          </cell>
          <cell r="C88" t="str">
            <v>82</v>
          </cell>
          <cell r="D88" t="str">
            <v>10h00</v>
          </cell>
          <cell r="E88">
            <v>8</v>
          </cell>
          <cell r="F88">
            <v>7</v>
          </cell>
          <cell r="G88">
            <v>2015</v>
          </cell>
          <cell r="H88" t="str">
            <v>10h00 ngày 8 tháng 7 năm 2015</v>
          </cell>
          <cell r="I88" t="str">
            <v>Hà Nội, ngày 8 tháng 7 năm 2015</v>
          </cell>
          <cell r="J88" t="str">
            <v>Nguyễn Ái Việt</v>
          </cell>
          <cell r="K88" t="str">
            <v>Chỉ huy trưởng</v>
          </cell>
        </row>
        <row r="89">
          <cell r="A89" t="str">
            <v>83</v>
          </cell>
          <cell r="B89" t="str">
            <v>-Cốp pha, cốt thép trục X3'-X6/Y5'-Y7' tầng mái</v>
          </cell>
          <cell r="C89" t="str">
            <v>83</v>
          </cell>
          <cell r="D89" t="str">
            <v>16h00</v>
          </cell>
          <cell r="E89">
            <v>12</v>
          </cell>
          <cell r="F89">
            <v>7</v>
          </cell>
          <cell r="G89">
            <v>2015</v>
          </cell>
          <cell r="H89" t="str">
            <v>16h00 ngày 12 tháng 7 năm 2015</v>
          </cell>
          <cell r="I89" t="str">
            <v>Hà Nội, ngày 12 tháng 7 năm 2015</v>
          </cell>
          <cell r="J89" t="str">
            <v>Nguyễn Ái Việt</v>
          </cell>
          <cell r="K89" t="str">
            <v>Chỉ huy trưởng</v>
          </cell>
        </row>
        <row r="90">
          <cell r="A90" t="str">
            <v>84</v>
          </cell>
          <cell r="B90" t="str">
            <v>-Khuôn cửa D2, D3</v>
          </cell>
          <cell r="C90" t="str">
            <v>84</v>
          </cell>
          <cell r="D90" t="str">
            <v>9h00</v>
          </cell>
          <cell r="E90">
            <v>15</v>
          </cell>
          <cell r="F90">
            <v>7</v>
          </cell>
          <cell r="G90">
            <v>2015</v>
          </cell>
          <cell r="H90" t="str">
            <v>9h00 ngày 15 tháng 7 năm 2015</v>
          </cell>
          <cell r="I90" t="str">
            <v>Hà Nội, ngày 15 tháng 7 năm 2015</v>
          </cell>
          <cell r="J90" t="str">
            <v>Nguyễn Ái Việt</v>
          </cell>
          <cell r="K90" t="str">
            <v>Chỉ huy trưởng</v>
          </cell>
        </row>
        <row r="91">
          <cell r="A91" t="str">
            <v>85</v>
          </cell>
          <cell r="B91" t="str">
            <v xml:space="preserve">-Khuôn cửa D2, D3 </v>
          </cell>
          <cell r="C91" t="str">
            <v>85</v>
          </cell>
          <cell r="D91" t="str">
            <v>8h30</v>
          </cell>
          <cell r="E91">
            <v>17</v>
          </cell>
          <cell r="F91">
            <v>7</v>
          </cell>
          <cell r="G91">
            <v>2015</v>
          </cell>
          <cell r="H91" t="str">
            <v>8h30 ngày 17 tháng 7 năm 2015</v>
          </cell>
          <cell r="I91" t="str">
            <v>Hà Nội, ngày 17 tháng 7 năm 2015</v>
          </cell>
          <cell r="J91" t="str">
            <v>Nguyễn Ái Việt</v>
          </cell>
          <cell r="K91" t="str">
            <v>Chỉ huy trưởng</v>
          </cell>
        </row>
        <row r="92">
          <cell r="A92" t="str">
            <v>86</v>
          </cell>
          <cell r="B92" t="str">
            <v>-Nghiệm thu trát ngoài trục X4-X8/Y5'; X8/Y5-Y8 tầng 02 đến tầng 06</v>
          </cell>
          <cell r="C92" t="str">
            <v>86</v>
          </cell>
          <cell r="D92" t="str">
            <v>14h30</v>
          </cell>
          <cell r="E92">
            <v>17</v>
          </cell>
          <cell r="F92">
            <v>7</v>
          </cell>
          <cell r="G92">
            <v>2015</v>
          </cell>
          <cell r="H92" t="str">
            <v>14h30 ngày 17 tháng 7 năm 2015</v>
          </cell>
          <cell r="I92" t="str">
            <v>Hà Nội, ngày 17 tháng 7 năm 2015</v>
          </cell>
          <cell r="J92" t="str">
            <v>Nguyễn Ái Việt</v>
          </cell>
          <cell r="K92" t="str">
            <v>Chỉ huy trưởng</v>
          </cell>
        </row>
        <row r="93">
          <cell r="A93" t="str">
            <v>87</v>
          </cell>
          <cell r="B93" t="str">
            <v>-Tường xây tầng 06</v>
          </cell>
          <cell r="C93" t="str">
            <v>87</v>
          </cell>
          <cell r="D93" t="str">
            <v>14h30</v>
          </cell>
          <cell r="E93">
            <v>20</v>
          </cell>
          <cell r="F93">
            <v>7</v>
          </cell>
          <cell r="G93">
            <v>2015</v>
          </cell>
          <cell r="H93" t="str">
            <v>14h30 ngày 20 tháng 7 năm 2015</v>
          </cell>
          <cell r="I93" t="str">
            <v>Hà Nội, ngày 20 tháng 7 năm 2015</v>
          </cell>
          <cell r="J93" t="str">
            <v>Nguyễn Ái Việt</v>
          </cell>
          <cell r="K93" t="str">
            <v>Chỉ huy trưởng</v>
          </cell>
        </row>
        <row r="94">
          <cell r="A94" t="str">
            <v>88</v>
          </cell>
          <cell r="B94" t="str">
            <v>Thử kín đường ống lắp đặt đường ống thoát nước khu vệ sinh trục thoát xí, thoát sàn, thoát bếp trong căn hộ trục X3'-X8/Y7'-Y8 và X4'-X8/Y5'-Y6' tầng 03 đến tầng 06</v>
          </cell>
          <cell r="C94" t="str">
            <v>88</v>
          </cell>
          <cell r="D94" t="str">
            <v>10h00</v>
          </cell>
          <cell r="E94">
            <v>24</v>
          </cell>
          <cell r="F94">
            <v>7</v>
          </cell>
          <cell r="G94">
            <v>2015</v>
          </cell>
          <cell r="H94" t="str">
            <v>10h00 ngày 24 tháng 7 năm 2015</v>
          </cell>
          <cell r="I94" t="str">
            <v>Hà Nội, ngày 24 tháng 7 năm 2015</v>
          </cell>
          <cell r="J94" t="str">
            <v>Nguyễn Ái Việt</v>
          </cell>
          <cell r="K94" t="str">
            <v>Chỉ huy trưởng</v>
          </cell>
        </row>
        <row r="95">
          <cell r="A95" t="str">
            <v>89</v>
          </cell>
          <cell r="B95" t="str">
            <v>-Nghiệm thu cốp pha, cốt thép giàn hoa trục Y1-Y3/X1-X4, thang bộ LT tầng 9, tầng 10</v>
          </cell>
          <cell r="C95" t="str">
            <v>89</v>
          </cell>
          <cell r="D95" t="str">
            <v>9h30</v>
          </cell>
          <cell r="E95">
            <v>26</v>
          </cell>
          <cell r="F95">
            <v>7</v>
          </cell>
          <cell r="G95">
            <v>2015</v>
          </cell>
          <cell r="H95" t="str">
            <v>9h30 ngày 26 tháng 7 năm 2015</v>
          </cell>
          <cell r="I95" t="str">
            <v>Hà Nội, ngày 26 tháng 7 năm 2015</v>
          </cell>
          <cell r="J95" t="str">
            <v>Nguyễn Ái Việt</v>
          </cell>
          <cell r="K95" t="str">
            <v>Chỉ huy trưởng</v>
          </cell>
        </row>
        <row r="96">
          <cell r="A96" t="str">
            <v>90</v>
          </cell>
          <cell r="B96" t="str">
            <v>-Lắp đặt hệ thống đường ống thoát nước (xí, sàn, bếp) tầng 03 đến tầng 06</v>
          </cell>
          <cell r="C96" t="str">
            <v>90</v>
          </cell>
          <cell r="D96" t="str">
            <v>16h00</v>
          </cell>
          <cell r="E96">
            <v>27</v>
          </cell>
          <cell r="F96">
            <v>7</v>
          </cell>
          <cell r="G96">
            <v>2015</v>
          </cell>
          <cell r="H96" t="str">
            <v>16h00 ngày 27 tháng 7 năm 2015</v>
          </cell>
          <cell r="I96" t="str">
            <v>Hà Nội, ngày 27 tháng 7 năm 2015</v>
          </cell>
          <cell r="J96" t="str">
            <v>Nguyễn Ái Việt</v>
          </cell>
          <cell r="K96" t="str">
            <v>Chỉ huy trưởng</v>
          </cell>
        </row>
        <row r="97">
          <cell r="A97" t="str">
            <v>91</v>
          </cell>
          <cell r="B97" t="str">
            <v>-Nghiệm thu trát ngoài trục X1-X2/Y1-Y5 và X4/Y1-Y3 tầng 02 đến tầng 06</v>
          </cell>
          <cell r="C97" t="str">
            <v>91</v>
          </cell>
          <cell r="D97" t="str">
            <v>15h00</v>
          </cell>
          <cell r="E97">
            <v>27</v>
          </cell>
          <cell r="F97">
            <v>7</v>
          </cell>
          <cell r="G97">
            <v>2015</v>
          </cell>
          <cell r="H97" t="str">
            <v>15h00 ngày 27 tháng 7 năm 2015</v>
          </cell>
          <cell r="I97" t="str">
            <v>Hà Nội, ngày 27 tháng 7 năm 2015</v>
          </cell>
          <cell r="J97" t="str">
            <v>Nguyễn Ái Việt</v>
          </cell>
          <cell r="K97" t="str">
            <v>Chỉ huy trưởng</v>
          </cell>
        </row>
        <row r="98">
          <cell r="A98" t="str">
            <v>92</v>
          </cell>
          <cell r="B98" t="str">
            <v>-Lắp dựng cốp pha, cốt thép thang bộ TB tầng 4, 5, 6, 7, 8 ,9 , 10 trục X2-X4/Y1+2,55m</v>
          </cell>
          <cell r="C98" t="str">
            <v>92</v>
          </cell>
          <cell r="D98" t="str">
            <v>10h00</v>
          </cell>
          <cell r="E98">
            <v>28</v>
          </cell>
          <cell r="F98">
            <v>7</v>
          </cell>
          <cell r="G98">
            <v>2015</v>
          </cell>
          <cell r="H98" t="str">
            <v>10h00 ngày 28 tháng 7 năm 2015</v>
          </cell>
          <cell r="I98" t="str">
            <v>Hà Nội, ngày 28 tháng 7 năm 2015</v>
          </cell>
          <cell r="J98" t="str">
            <v>Nguyễn Ái Việt</v>
          </cell>
          <cell r="K98" t="str">
            <v>Chỉ huy trưởng</v>
          </cell>
        </row>
        <row r="99">
          <cell r="A99" t="str">
            <v>93</v>
          </cell>
          <cell r="B99" t="str">
            <v>-Thử kín hệ thống thoát nước (thoát xí, thoát sàn, thoát bếp) tầng 03 đến tầng 06</v>
          </cell>
          <cell r="C99" t="str">
            <v>93</v>
          </cell>
          <cell r="D99" t="str">
            <v>16h30</v>
          </cell>
          <cell r="E99">
            <v>28</v>
          </cell>
          <cell r="F99">
            <v>7</v>
          </cell>
          <cell r="G99">
            <v>2015</v>
          </cell>
          <cell r="H99" t="str">
            <v>16h30 ngày 28 tháng 7 năm 2015</v>
          </cell>
          <cell r="I99" t="str">
            <v>Hà Nội, ngày 28 tháng 7 năm 2015</v>
          </cell>
          <cell r="J99" t="str">
            <v>Nguyễn Ái Việt</v>
          </cell>
          <cell r="K99" t="str">
            <v>Chỉ huy trưởng</v>
          </cell>
        </row>
        <row r="100">
          <cell r="A100" t="str">
            <v>94</v>
          </cell>
          <cell r="B100" t="str">
            <v>-Nghiệm thu trát trong tầng 3 căn hộ 3,4,5,6,7</v>
          </cell>
          <cell r="C100" t="str">
            <v>94</v>
          </cell>
          <cell r="D100" t="str">
            <v>15h00</v>
          </cell>
          <cell r="E100">
            <v>31</v>
          </cell>
          <cell r="F100">
            <v>7</v>
          </cell>
          <cell r="G100">
            <v>2015</v>
          </cell>
          <cell r="H100" t="str">
            <v>15h00 ngày 31 tháng 7 năm 2015</v>
          </cell>
          <cell r="I100" t="str">
            <v>Hà Nội, ngày 31 tháng 7 năm 2015</v>
          </cell>
          <cell r="J100" t="str">
            <v>Nguyễn Ái Việt</v>
          </cell>
          <cell r="K100" t="str">
            <v>Chỉ huy trưởng</v>
          </cell>
        </row>
        <row r="101">
          <cell r="A101" t="str">
            <v>95</v>
          </cell>
          <cell r="B101" t="str">
            <v>-Nghiệm thu tường xây tầng 08</v>
          </cell>
          <cell r="C101" t="str">
            <v>95</v>
          </cell>
          <cell r="D101" t="str">
            <v>9h00</v>
          </cell>
          <cell r="E101">
            <v>1</v>
          </cell>
          <cell r="F101">
            <v>8</v>
          </cell>
          <cell r="G101">
            <v>2015</v>
          </cell>
          <cell r="H101" t="str">
            <v>9h00 ngày 1 tháng 8 năm 2015</v>
          </cell>
          <cell r="I101" t="str">
            <v>Hà Nội, ngày 1 tháng 8 năm 2015</v>
          </cell>
          <cell r="J101" t="str">
            <v>Nguyễn Ái Việt</v>
          </cell>
          <cell r="K101" t="str">
            <v>Chỉ huy trưởng</v>
          </cell>
        </row>
        <row r="102">
          <cell r="A102" t="str">
            <v>96</v>
          </cell>
          <cell r="B102" t="str">
            <v>-Thử kín hệ thống thoát nước (thoát xí, thoát sàn, thoát bếp) tầng 03 đến tầng 06</v>
          </cell>
          <cell r="C102" t="str">
            <v>96</v>
          </cell>
          <cell r="D102" t="str">
            <v>10h00</v>
          </cell>
          <cell r="E102">
            <v>1</v>
          </cell>
          <cell r="F102">
            <v>8</v>
          </cell>
          <cell r="G102">
            <v>2015</v>
          </cell>
          <cell r="H102" t="str">
            <v>10h00 ngày 1 tháng 8 năm 2015</v>
          </cell>
          <cell r="I102" t="str">
            <v>Hà Nội, ngày 1 tháng 8 năm 2015</v>
          </cell>
          <cell r="J102" t="str">
            <v>Nguyễn Ái Việt</v>
          </cell>
          <cell r="K102" t="str">
            <v>Chỉ huy trưởng</v>
          </cell>
        </row>
        <row r="103">
          <cell r="A103" t="str">
            <v>97</v>
          </cell>
          <cell r="B103" t="str">
            <v>-Nghiệm thu khuôn cửa D2</v>
          </cell>
          <cell r="C103" t="str">
            <v>97</v>
          </cell>
          <cell r="D103" t="str">
            <v>15h30</v>
          </cell>
          <cell r="E103">
            <v>3</v>
          </cell>
          <cell r="F103">
            <v>8</v>
          </cell>
          <cell r="G103">
            <v>2015</v>
          </cell>
          <cell r="H103" t="str">
            <v>15h30 ngày 3 tháng 8 năm 2015</v>
          </cell>
          <cell r="I103" t="str">
            <v>Hà Nội, ngày 3 tháng 8 năm 2015</v>
          </cell>
          <cell r="J103" t="str">
            <v>Nguyễn Ái Việt</v>
          </cell>
          <cell r="K103" t="str">
            <v>Chỉ huy trưởng</v>
          </cell>
          <cell r="M103" t="str">
            <v>29 bo</v>
          </cell>
        </row>
        <row r="104">
          <cell r="A104" t="str">
            <v>98</v>
          </cell>
          <cell r="B104" t="str">
            <v>Vật liệu thép làm lan can, chớp tôn lô gia, hành lang</v>
          </cell>
          <cell r="C104" t="str">
            <v>98</v>
          </cell>
          <cell r="D104" t="str">
            <v>14h00</v>
          </cell>
          <cell r="E104">
            <v>5</v>
          </cell>
          <cell r="F104">
            <v>8</v>
          </cell>
          <cell r="G104">
            <v>2015</v>
          </cell>
          <cell r="H104" t="str">
            <v>14h00 ngày 5 tháng 8 năm 2015</v>
          </cell>
          <cell r="I104" t="str">
            <v>Hà Nội, ngày 5 tháng 8 năm 2015</v>
          </cell>
          <cell r="J104" t="str">
            <v>Nguyễn Ái Việt</v>
          </cell>
          <cell r="K104" t="str">
            <v>Chỉ huy trưởng</v>
          </cell>
        </row>
        <row r="105">
          <cell r="A105" t="str">
            <v>99</v>
          </cell>
          <cell r="B105" t="str">
            <v>Nghiệm thu khuôn cửa D2, D3</v>
          </cell>
          <cell r="C105" t="str">
            <v>99</v>
          </cell>
          <cell r="D105" t="str">
            <v>15h00</v>
          </cell>
          <cell r="E105">
            <v>8</v>
          </cell>
          <cell r="F105">
            <v>8</v>
          </cell>
          <cell r="G105">
            <v>2015</v>
          </cell>
          <cell r="H105" t="str">
            <v>15h00 ngày 8 tháng 8 năm 2015</v>
          </cell>
          <cell r="I105" t="str">
            <v>Hà Nội, ngày 8 tháng 8 năm 2015</v>
          </cell>
          <cell r="J105" t="str">
            <v>Nguyễn Ái Việt</v>
          </cell>
          <cell r="K105" t="str">
            <v>Chỉ huy trưởng</v>
          </cell>
        </row>
        <row r="106">
          <cell r="A106" t="str">
            <v>100</v>
          </cell>
          <cell r="B106" t="str">
            <v>Nghiệm thu giáo ngoài trục X6-X8/Y8 tầng 7 đến tầng mái</v>
          </cell>
          <cell r="C106" t="str">
            <v>100</v>
          </cell>
          <cell r="D106" t="str">
            <v>15h00</v>
          </cell>
          <cell r="E106">
            <v>9</v>
          </cell>
          <cell r="F106">
            <v>8</v>
          </cell>
          <cell r="G106">
            <v>2015</v>
          </cell>
          <cell r="H106" t="str">
            <v>15h00 ngày 9 tháng 8 năm 2015</v>
          </cell>
          <cell r="I106" t="str">
            <v>Hà Nội, ngày 9 tháng 8 năm 2015</v>
          </cell>
          <cell r="J106" t="str">
            <v>Nguyễn Ái Việt</v>
          </cell>
          <cell r="K106" t="str">
            <v>Chỉ huy trưởng</v>
          </cell>
        </row>
        <row r="107">
          <cell r="A107" t="str">
            <v>101</v>
          </cell>
          <cell r="B107" t="str">
            <v>Nghiệm thu xây tường phòng 01 tầng 07, 08</v>
          </cell>
          <cell r="C107" t="str">
            <v>101</v>
          </cell>
          <cell r="D107" t="str">
            <v>16h00</v>
          </cell>
          <cell r="E107">
            <v>9</v>
          </cell>
          <cell r="F107">
            <v>8</v>
          </cell>
          <cell r="G107">
            <v>2015</v>
          </cell>
          <cell r="H107" t="str">
            <v>16h00 ngày 9 tháng 8 năm 2015</v>
          </cell>
          <cell r="I107" t="str">
            <v>Hà Nội, ngày 9 tháng 8 năm 2015</v>
          </cell>
          <cell r="J107" t="str">
            <v>Nguyễn Ái Việt</v>
          </cell>
          <cell r="K107" t="str">
            <v>Chỉ huy trưởng</v>
          </cell>
        </row>
        <row r="108">
          <cell r="A108" t="str">
            <v>102</v>
          </cell>
          <cell r="B108" t="str">
            <v>Nghiệm thu trát ngoài trục X1/Y5-Y6; trục Y5'-Y7'/X8+2,55m tầng 02 đến tầng 06</v>
          </cell>
          <cell r="C108" t="str">
            <v>102</v>
          </cell>
          <cell r="D108" t="str">
            <v>10h00</v>
          </cell>
          <cell r="E108">
            <v>10</v>
          </cell>
          <cell r="F108">
            <v>8</v>
          </cell>
          <cell r="G108">
            <v>2015</v>
          </cell>
          <cell r="H108" t="str">
            <v>10h00 ngày 10 tháng 8 năm 2015</v>
          </cell>
          <cell r="I108" t="str">
            <v>Hà Nội, ngày 10 tháng 8 năm 2015</v>
          </cell>
          <cell r="J108" t="str">
            <v>Nguyễn Ái Việt</v>
          </cell>
          <cell r="K108" t="str">
            <v>Chỉ huy trưởng</v>
          </cell>
        </row>
        <row r="109">
          <cell r="A109" t="str">
            <v>103</v>
          </cell>
          <cell r="B109" t="str">
            <v>Nghiệm thu thang bộ TB tầng 10, 11 trục Y5'-Y7'/X8+2,55m; thang bộ TB tầng 11 trục X2-X4/Y1+2,55m; thang bộ LT tầng 11</v>
          </cell>
          <cell r="C109" t="str">
            <v>103</v>
          </cell>
          <cell r="D109" t="str">
            <v>9h15</v>
          </cell>
          <cell r="E109">
            <v>10</v>
          </cell>
          <cell r="F109">
            <v>8</v>
          </cell>
          <cell r="G109">
            <v>2015</v>
          </cell>
          <cell r="H109" t="str">
            <v>9h15 ngày 10 tháng 8 năm 2015</v>
          </cell>
          <cell r="I109" t="str">
            <v>Hà Nội, ngày 10 tháng 8 năm 2015</v>
          </cell>
          <cell r="J109" t="str">
            <v>Nguyễn Ái Việt</v>
          </cell>
          <cell r="K109" t="str">
            <v>Chỉ huy trưởng</v>
          </cell>
        </row>
        <row r="110">
          <cell r="A110" t="str">
            <v>104</v>
          </cell>
          <cell r="B110" t="str">
            <v>Vật tư ống gió chế tạo sẵn trục đứng hệ thống hút khói hành lang, trục đứng hệ thống tăng áp thang bộ, trục đứng hệ thống hút mùi phòng rác kèm phụ kiện</v>
          </cell>
          <cell r="C110" t="str">
            <v>104</v>
          </cell>
          <cell r="D110" t="str">
            <v>15h00</v>
          </cell>
          <cell r="E110">
            <v>11</v>
          </cell>
          <cell r="F110">
            <v>8</v>
          </cell>
          <cell r="G110">
            <v>2015</v>
          </cell>
          <cell r="H110" t="str">
            <v>15h00 ngày 11 tháng 8 năm 2015</v>
          </cell>
          <cell r="I110" t="str">
            <v>Hà Nội, ngày 11 tháng 8 năm 2015</v>
          </cell>
          <cell r="J110" t="str">
            <v>Nguyễn Ái Việt</v>
          </cell>
          <cell r="K110" t="str">
            <v>Chỉ huy trưởng</v>
          </cell>
        </row>
        <row r="111">
          <cell r="A111" t="str">
            <v>105</v>
          </cell>
          <cell r="B111" t="str">
            <v>Nghiệm thu khuôn cửa D2, D3</v>
          </cell>
          <cell r="C111" t="str">
            <v>105</v>
          </cell>
          <cell r="D111" t="str">
            <v>9h00</v>
          </cell>
          <cell r="E111">
            <v>12</v>
          </cell>
          <cell r="F111">
            <v>8</v>
          </cell>
          <cell r="G111">
            <v>2015</v>
          </cell>
          <cell r="H111" t="str">
            <v>9h00 ngày 12 tháng 8 năm 2015</v>
          </cell>
          <cell r="I111" t="str">
            <v>Hà Nội, ngày 12 tháng 8 năm 2015</v>
          </cell>
          <cell r="J111" t="str">
            <v>Nguyễn Ái Việt</v>
          </cell>
          <cell r="K111" t="str">
            <v>Chỉ huy trưởng</v>
          </cell>
        </row>
        <row r="112">
          <cell r="A112" t="str">
            <v>106</v>
          </cell>
          <cell r="B112" t="str">
            <v>Nghiệm thu tường xây tầng 09, 10, 11</v>
          </cell>
          <cell r="C112" t="str">
            <v>106</v>
          </cell>
          <cell r="D112" t="str">
            <v>9h00</v>
          </cell>
          <cell r="E112">
            <v>16</v>
          </cell>
          <cell r="F112">
            <v>8</v>
          </cell>
          <cell r="G112">
            <v>2015</v>
          </cell>
          <cell r="H112" t="str">
            <v>9h00 ngày 16 tháng 8 năm 2015</v>
          </cell>
          <cell r="I112" t="str">
            <v>Hà Nội, ngày 16 tháng 8 năm 2015</v>
          </cell>
          <cell r="J112" t="str">
            <v>Nguyễn Ái Việt</v>
          </cell>
          <cell r="K112" t="str">
            <v>Chỉ huy trưởng</v>
          </cell>
        </row>
        <row r="113">
          <cell r="A113" t="str">
            <v>107</v>
          </cell>
          <cell r="B113" t="str">
            <v>Nghiệm thu khuôn cửa D2, D3</v>
          </cell>
          <cell r="C113" t="str">
            <v>107</v>
          </cell>
          <cell r="D113" t="str">
            <v>15h00</v>
          </cell>
          <cell r="E113">
            <v>17</v>
          </cell>
          <cell r="F113">
            <v>8</v>
          </cell>
          <cell r="G113">
            <v>2015</v>
          </cell>
          <cell r="H113" t="str">
            <v>15h00 ngày 17 tháng 8 năm 2015</v>
          </cell>
          <cell r="I113" t="str">
            <v>Hà Nội, ngày 17 tháng 8 năm 2015</v>
          </cell>
          <cell r="J113" t="str">
            <v>Nguyễn Ái Việt</v>
          </cell>
          <cell r="K113" t="str">
            <v>Chỉ huy trưởng</v>
          </cell>
        </row>
        <row r="114">
          <cell r="A114" t="str">
            <v>108</v>
          </cell>
          <cell r="B114" t="str">
            <v>Nghiệm thu khuôn cửa D2, D3</v>
          </cell>
          <cell r="C114" t="str">
            <v>108</v>
          </cell>
          <cell r="D114" t="str">
            <v>15h00</v>
          </cell>
          <cell r="E114">
            <v>20</v>
          </cell>
          <cell r="F114">
            <v>8</v>
          </cell>
          <cell r="G114">
            <v>2015</v>
          </cell>
          <cell r="H114" t="str">
            <v>15h00 ngày 20 tháng 8 năm 2015</v>
          </cell>
          <cell r="I114" t="str">
            <v>Hà Nội, ngày 20 tháng 8 năm 2015</v>
          </cell>
          <cell r="J114" t="str">
            <v>Nguyễn Ái Việt</v>
          </cell>
          <cell r="K114" t="str">
            <v>Chỉ huy trưởng</v>
          </cell>
        </row>
        <row r="115">
          <cell r="A115" t="str">
            <v>109</v>
          </cell>
          <cell r="B115" t="str">
            <v>Nghiệm thu trát trong căn hộ tầng 3</v>
          </cell>
          <cell r="C115" t="str">
            <v>109</v>
          </cell>
          <cell r="D115" t="str">
            <v>11h00</v>
          </cell>
          <cell r="E115">
            <v>24</v>
          </cell>
          <cell r="F115">
            <v>8</v>
          </cell>
          <cell r="G115">
            <v>2015</v>
          </cell>
          <cell r="H115" t="str">
            <v>11h00 ngày 24 tháng 8 năm 2015</v>
          </cell>
          <cell r="I115" t="str">
            <v>Hà Nội, ngày 24 tháng 8 năm 2015</v>
          </cell>
          <cell r="J115" t="str">
            <v>Nguyễn Ái Việt</v>
          </cell>
          <cell r="K115" t="str">
            <v>Chỉ huy trưởng</v>
          </cell>
        </row>
        <row r="116">
          <cell r="A116" t="str">
            <v>110</v>
          </cell>
          <cell r="B116" t="str">
            <v>Nghiệm thu trát ngoài trục X3'-X8/Y8 tầng 07 đến tầng mái</v>
          </cell>
          <cell r="C116" t="str">
            <v>110</v>
          </cell>
          <cell r="D116" t="str">
            <v>16h00</v>
          </cell>
          <cell r="E116">
            <v>24</v>
          </cell>
          <cell r="F116">
            <v>8</v>
          </cell>
          <cell r="G116">
            <v>2015</v>
          </cell>
          <cell r="H116" t="str">
            <v>16h00 ngày 24 tháng 8 năm 2015</v>
          </cell>
          <cell r="I116" t="str">
            <v>Hà Nội, ngày 24 tháng 8 năm 2015</v>
          </cell>
          <cell r="J116" t="str">
            <v>Nguyễn Ái Việt</v>
          </cell>
          <cell r="K116" t="str">
            <v>Chỉ huy trưởng</v>
          </cell>
        </row>
        <row r="117">
          <cell r="A117" t="str">
            <v>111</v>
          </cell>
          <cell r="B117" t="str">
            <v>Nghiệm thu trát ngoài trục X3'-X8/Y8 tầng 07 đến tầng mái</v>
          </cell>
          <cell r="C117" t="str">
            <v>111</v>
          </cell>
          <cell r="D117" t="str">
            <v>16h00</v>
          </cell>
          <cell r="E117">
            <v>25</v>
          </cell>
          <cell r="F117">
            <v>8</v>
          </cell>
          <cell r="G117">
            <v>2015</v>
          </cell>
          <cell r="H117" t="str">
            <v>16h00 ngày 25 tháng 8 năm 2015</v>
          </cell>
          <cell r="I117" t="str">
            <v>Hà Nội, ngày 25 tháng 8 năm 2015</v>
          </cell>
          <cell r="J117" t="str">
            <v>Nguyễn Ái Việt</v>
          </cell>
          <cell r="K117" t="str">
            <v>Chỉ huy trưởng</v>
          </cell>
        </row>
        <row r="118">
          <cell r="A118" t="str">
            <v>112</v>
          </cell>
          <cell r="B118" t="str">
            <v>Nghiệm thu tường xây tầng 10</v>
          </cell>
          <cell r="C118" t="str">
            <v>112</v>
          </cell>
          <cell r="D118" t="str">
            <v>15h00</v>
          </cell>
          <cell r="E118">
            <v>26</v>
          </cell>
          <cell r="F118">
            <v>8</v>
          </cell>
          <cell r="G118">
            <v>2015</v>
          </cell>
          <cell r="H118" t="str">
            <v>15h00 ngày 26 tháng 8 năm 2015</v>
          </cell>
          <cell r="I118" t="str">
            <v>Hà Nội, ngày 26 tháng 8 năm 2015</v>
          </cell>
          <cell r="J118" t="str">
            <v>Nguyễn Ái Việt</v>
          </cell>
          <cell r="K118" t="str">
            <v>Chỉ huy trưởng</v>
          </cell>
        </row>
        <row r="119">
          <cell r="A119" t="str">
            <v>113</v>
          </cell>
          <cell r="B119" t="str">
            <v>Nghiệm thu trát trong căn hộ tầng 4</v>
          </cell>
          <cell r="C119" t="str">
            <v>113</v>
          </cell>
          <cell r="D119" t="str">
            <v>16h00</v>
          </cell>
          <cell r="E119">
            <v>26</v>
          </cell>
          <cell r="F119">
            <v>8</v>
          </cell>
          <cell r="G119">
            <v>2015</v>
          </cell>
          <cell r="H119" t="str">
            <v>16h00 ngày 26 tháng 8 năm 2015</v>
          </cell>
          <cell r="I119" t="str">
            <v>Hà Nội, ngày 26 tháng 8 năm 2015</v>
          </cell>
          <cell r="J119" t="str">
            <v>Nguyễn Ái Việt</v>
          </cell>
          <cell r="K119" t="str">
            <v>Chỉ huy trưởng</v>
          </cell>
        </row>
        <row r="120">
          <cell r="A120" t="str">
            <v>114</v>
          </cell>
          <cell r="B120" t="str">
            <v>Nghiệm thu khuôn cửa D2, D3</v>
          </cell>
          <cell r="C120" t="str">
            <v>114</v>
          </cell>
          <cell r="D120" t="str">
            <v>….h….</v>
          </cell>
          <cell r="E120">
            <v>28</v>
          </cell>
          <cell r="F120">
            <v>8</v>
          </cell>
          <cell r="G120">
            <v>2015</v>
          </cell>
          <cell r="H120" t="str">
            <v>….h…. ngày 28 tháng 8 năm 2015</v>
          </cell>
          <cell r="I120" t="str">
            <v>Hà Nội, ngày 28 tháng 8 năm 2015</v>
          </cell>
          <cell r="J120" t="str">
            <v>Nguyễn Ái Việt</v>
          </cell>
          <cell r="K120" t="str">
            <v>Chỉ huy trưởng</v>
          </cell>
        </row>
        <row r="121">
          <cell r="A121" t="str">
            <v>115</v>
          </cell>
          <cell r="B121" t="str">
            <v>-Nghiệm thu trát ngoài tầng 2 đến tầng 6 trục X2-X4/Y1+2,55m</v>
          </cell>
          <cell r="C121" t="str">
            <v>115</v>
          </cell>
          <cell r="D121" t="str">
            <v>16h00</v>
          </cell>
          <cell r="E121">
            <v>2</v>
          </cell>
          <cell r="F121">
            <v>9</v>
          </cell>
          <cell r="G121">
            <v>2015</v>
          </cell>
          <cell r="H121" t="str">
            <v>16h00 ngày 2 tháng 9 năm 2015</v>
          </cell>
          <cell r="I121" t="str">
            <v>Hà Nội, ngày 2 tháng 9 năm 2015</v>
          </cell>
          <cell r="J121" t="str">
            <v>Nguyễn Ái Việt</v>
          </cell>
          <cell r="K121" t="str">
            <v>Chỉ huy trưởng</v>
          </cell>
        </row>
        <row r="122">
          <cell r="A122" t="str">
            <v>116</v>
          </cell>
          <cell r="B122" t="str">
            <v>-Nghiệm thu trát trong căn hộ tầng 05</v>
          </cell>
          <cell r="C122" t="str">
            <v>116</v>
          </cell>
          <cell r="D122" t="str">
            <v>14h00</v>
          </cell>
          <cell r="E122">
            <v>2</v>
          </cell>
          <cell r="F122">
            <v>9</v>
          </cell>
          <cell r="G122">
            <v>2015</v>
          </cell>
          <cell r="H122" t="str">
            <v>14h00 ngày 2 tháng 9 năm 2015</v>
          </cell>
          <cell r="I122" t="str">
            <v>Hà Nội, ngày 2 tháng 9 năm 2015</v>
          </cell>
          <cell r="J122" t="str">
            <v>Nguyễn Ái Việt</v>
          </cell>
          <cell r="K122" t="str">
            <v>Chỉ huy trưởng</v>
          </cell>
        </row>
        <row r="123">
          <cell r="A123" t="str">
            <v>117</v>
          </cell>
          <cell r="B123" t="str">
            <v>-Nghiệm thu giáo ngoài trục X4/Y1-Y5; X4'-X8/Y5' tầng 7 đến tầng mái</v>
          </cell>
          <cell r="C123" t="str">
            <v>117</v>
          </cell>
          <cell r="D123" t="str">
            <v>8h00</v>
          </cell>
          <cell r="E123">
            <v>2</v>
          </cell>
          <cell r="F123">
            <v>9</v>
          </cell>
          <cell r="G123">
            <v>2015</v>
          </cell>
          <cell r="H123" t="str">
            <v>8h00 ngày 2 tháng 9 năm 2015</v>
          </cell>
          <cell r="I123" t="str">
            <v>Hà Nội, ngày 2 tháng 9 năm 2015</v>
          </cell>
          <cell r="J123" t="str">
            <v>Nguyễn Ái Việt</v>
          </cell>
          <cell r="K123" t="str">
            <v>Chỉ huy trưởng</v>
          </cell>
        </row>
        <row r="124">
          <cell r="A124" t="str">
            <v>118</v>
          </cell>
          <cell r="B124" t="str">
            <v>Nghiệm thu khuôn cửa D2, D3</v>
          </cell>
          <cell r="C124" t="str">
            <v>118</v>
          </cell>
          <cell r="D124" t="str">
            <v>9h30</v>
          </cell>
          <cell r="E124">
            <v>3</v>
          </cell>
          <cell r="F124">
            <v>9</v>
          </cell>
          <cell r="G124">
            <v>2015</v>
          </cell>
          <cell r="H124" t="str">
            <v>9h30 ngày 3 tháng 9 năm 2015</v>
          </cell>
          <cell r="I124" t="str">
            <v>Hà Nội, ngày 3 tháng 9 năm 2015</v>
          </cell>
          <cell r="J124" t="str">
            <v>Nguyễn Ái Việt</v>
          </cell>
          <cell r="K124" t="str">
            <v>Chỉ huy trưởng</v>
          </cell>
        </row>
        <row r="125">
          <cell r="A125" t="str">
            <v>119</v>
          </cell>
          <cell r="B125" t="str">
            <v>Nghiệm thu tường xây tầng 11</v>
          </cell>
          <cell r="C125" t="str">
            <v>119</v>
          </cell>
          <cell r="D125" t="str">
            <v>15h30</v>
          </cell>
          <cell r="E125">
            <v>3</v>
          </cell>
          <cell r="F125">
            <v>9</v>
          </cell>
          <cell r="G125">
            <v>2015</v>
          </cell>
          <cell r="H125" t="str">
            <v>15h30 ngày 3 tháng 9 năm 2015</v>
          </cell>
          <cell r="I125" t="str">
            <v>Hà Nội, ngày 3 tháng 9 năm 2015</v>
          </cell>
          <cell r="J125" t="str">
            <v>Nguyễn Ái Việt</v>
          </cell>
          <cell r="K125" t="str">
            <v>Chỉ huy trưởng</v>
          </cell>
        </row>
        <row r="126">
          <cell r="A126" t="str">
            <v>120</v>
          </cell>
          <cell r="B126" t="str">
            <v>Lắp đặt và thử kín ống thông gió hành lang từ tầng 3 đến tầng 11</v>
          </cell>
          <cell r="C126" t="str">
            <v>120</v>
          </cell>
          <cell r="D126" t="str">
            <v>8h30</v>
          </cell>
          <cell r="E126">
            <v>8</v>
          </cell>
          <cell r="F126">
            <v>9</v>
          </cell>
          <cell r="G126">
            <v>2015</v>
          </cell>
          <cell r="H126" t="str">
            <v>8h30 ngày 8 tháng 9 năm 2015</v>
          </cell>
          <cell r="I126" t="str">
            <v>Hà Nội, ngày 8 tháng 9 năm 2015</v>
          </cell>
          <cell r="J126" t="str">
            <v>Nguyễn Ái Việt</v>
          </cell>
          <cell r="K126" t="str">
            <v>Chỉ huy trưởng</v>
          </cell>
        </row>
        <row r="127">
          <cell r="A127" t="str">
            <v>121</v>
          </cell>
          <cell r="B127" t="str">
            <v>Nghiệm thu khuôn cửa D2, D3</v>
          </cell>
          <cell r="C127" t="str">
            <v>121</v>
          </cell>
          <cell r="D127" t="str">
            <v>9h00</v>
          </cell>
          <cell r="E127">
            <v>9</v>
          </cell>
          <cell r="F127">
            <v>9</v>
          </cell>
          <cell r="G127">
            <v>2015</v>
          </cell>
          <cell r="H127" t="str">
            <v>9h00 ngày 9 tháng 9 năm 2015</v>
          </cell>
          <cell r="I127" t="str">
            <v>Hà Nội, ngày 9 tháng 9 năm 2015</v>
          </cell>
          <cell r="J127" t="str">
            <v>Nguyễn Ái Việt</v>
          </cell>
          <cell r="K127" t="str">
            <v>Chỉ huy trưởng</v>
          </cell>
        </row>
        <row r="128">
          <cell r="A128" t="str">
            <v>122</v>
          </cell>
          <cell r="B128" t="str">
            <v>Lắp đặt và thử kín ống thông gió hành lang tầng 3</v>
          </cell>
          <cell r="C128" t="str">
            <v>122</v>
          </cell>
          <cell r="D128" t="str">
            <v>10h00</v>
          </cell>
          <cell r="E128">
            <v>9</v>
          </cell>
          <cell r="F128">
            <v>9</v>
          </cell>
          <cell r="G128">
            <v>2015</v>
          </cell>
          <cell r="H128" t="str">
            <v>10h00 ngày 9 tháng 9 năm 2015</v>
          </cell>
          <cell r="I128" t="str">
            <v>Hà Nội, ngày 9 tháng 9 năm 2015</v>
          </cell>
          <cell r="J128" t="str">
            <v>Nguyễn Ái Việt</v>
          </cell>
          <cell r="K128" t="str">
            <v>Chỉ huy trưởng</v>
          </cell>
        </row>
        <row r="129">
          <cell r="A129" t="str">
            <v>123</v>
          </cell>
          <cell r="B129" t="str">
            <v>Lắp đặt và thử kín ống thông gió hành lang tầng 3, tầng 4, tầng 5</v>
          </cell>
          <cell r="C129" t="str">
            <v>123</v>
          </cell>
          <cell r="D129" t="str">
            <v>10h00</v>
          </cell>
          <cell r="E129">
            <v>11</v>
          </cell>
          <cell r="F129">
            <v>9</v>
          </cell>
          <cell r="G129">
            <v>2015</v>
          </cell>
          <cell r="H129" t="str">
            <v>10h00 ngày 11 tháng 9 năm 2015</v>
          </cell>
          <cell r="I129" t="str">
            <v>Hà Nội, ngày 11 tháng 9 năm 2015</v>
          </cell>
          <cell r="J129" t="str">
            <v>Nguyễn Ái Việt</v>
          </cell>
          <cell r="K129" t="str">
            <v>Chỉ huy trưởng</v>
          </cell>
        </row>
        <row r="130">
          <cell r="A130" t="str">
            <v>124</v>
          </cell>
          <cell r="B130" t="str">
            <v>Lắp đặt và thử kín ống thông gió hành lang tầng 6, tầng 7</v>
          </cell>
          <cell r="C130" t="str">
            <v>124</v>
          </cell>
          <cell r="D130" t="str">
            <v>14h30</v>
          </cell>
          <cell r="E130">
            <v>12</v>
          </cell>
          <cell r="F130">
            <v>9</v>
          </cell>
          <cell r="G130">
            <v>2015</v>
          </cell>
          <cell r="H130" t="str">
            <v>14h30 ngày 12 tháng 9 năm 2015</v>
          </cell>
          <cell r="I130" t="str">
            <v>Hà Nội, ngày 12 tháng 9 năm 2015</v>
          </cell>
          <cell r="J130" t="str">
            <v>Nguyễn Ái Việt</v>
          </cell>
          <cell r="K130" t="str">
            <v>Chỉ huy trưởng</v>
          </cell>
        </row>
        <row r="131">
          <cell r="A131" t="str">
            <v>125</v>
          </cell>
          <cell r="B131" t="str">
            <v>Quét chống thấm lớp 1 sàn áp mái trục X1-X4/Y1-Y5</v>
          </cell>
          <cell r="C131" t="str">
            <v>125</v>
          </cell>
          <cell r="D131" t="str">
            <v>15h00</v>
          </cell>
          <cell r="E131">
            <v>12</v>
          </cell>
          <cell r="F131">
            <v>9</v>
          </cell>
          <cell r="G131">
            <v>2015</v>
          </cell>
          <cell r="H131" t="str">
            <v>15h00 ngày 12 tháng 9 năm 2015</v>
          </cell>
          <cell r="I131" t="str">
            <v>Hà Nội, ngày 12 tháng 9 năm 2015</v>
          </cell>
          <cell r="J131" t="str">
            <v>Nguyễn Ái Việt</v>
          </cell>
          <cell r="K131" t="str">
            <v>Chỉ huy trưởng</v>
          </cell>
        </row>
        <row r="132">
          <cell r="A132" t="str">
            <v>126</v>
          </cell>
          <cell r="B132" t="str">
            <v>Khung xương trần thạch cao</v>
          </cell>
          <cell r="C132" t="str">
            <v>126</v>
          </cell>
          <cell r="D132" t="str">
            <v>16h00</v>
          </cell>
          <cell r="E132">
            <v>13</v>
          </cell>
          <cell r="F132">
            <v>9</v>
          </cell>
          <cell r="G132">
            <v>2015</v>
          </cell>
          <cell r="H132" t="str">
            <v>16h00 ngày 13 tháng 9 năm 2015</v>
          </cell>
          <cell r="I132" t="str">
            <v>Hà Nội, ngày 13 tháng 9 năm 2015</v>
          </cell>
          <cell r="J132" t="str">
            <v>Nguyễn Ái Việt</v>
          </cell>
          <cell r="K132" t="str">
            <v>Chỉ huy trưởng</v>
          </cell>
        </row>
        <row r="133">
          <cell r="A133" t="str">
            <v>127</v>
          </cell>
          <cell r="B133" t="str">
            <v>Lắp đặt và thử kín ống thông gió hành lang tầng 8 đến tầng 11</v>
          </cell>
          <cell r="C133" t="str">
            <v>127</v>
          </cell>
          <cell r="D133" t="str">
            <v>14h30</v>
          </cell>
          <cell r="E133">
            <v>14</v>
          </cell>
          <cell r="F133">
            <v>9</v>
          </cell>
          <cell r="G133">
            <v>2015</v>
          </cell>
          <cell r="H133" t="str">
            <v>14h30 ngày 14 tháng 9 năm 2015</v>
          </cell>
          <cell r="I133" t="str">
            <v>Hà Nội, ngày 14 tháng 9 năm 2015</v>
          </cell>
          <cell r="J133" t="str">
            <v>Nguyễn Ái Việt</v>
          </cell>
          <cell r="K133" t="str">
            <v>Chỉ huy trưởng</v>
          </cell>
        </row>
        <row r="134">
          <cell r="A134" t="str">
            <v>128</v>
          </cell>
          <cell r="B134" t="str">
            <v>Nghiệm thu trát trong tầng 6</v>
          </cell>
          <cell r="C134" t="str">
            <v>128</v>
          </cell>
          <cell r="D134" t="str">
            <v>9h30</v>
          </cell>
          <cell r="E134">
            <v>17</v>
          </cell>
          <cell r="F134">
            <v>9</v>
          </cell>
          <cell r="G134">
            <v>2015</v>
          </cell>
          <cell r="H134" t="str">
            <v>9h30 ngày 17 tháng 9 năm 2015</v>
          </cell>
          <cell r="I134" t="str">
            <v>Hà Nội, ngày 17 tháng 9 năm 2015</v>
          </cell>
          <cell r="J134" t="str">
            <v>Nguyễn Ái Việt</v>
          </cell>
          <cell r="K134" t="str">
            <v>Chỉ huy trưởng</v>
          </cell>
        </row>
        <row r="135">
          <cell r="A135" t="str">
            <v>129</v>
          </cell>
          <cell r="B135" t="str">
            <v>Vật liệu ống luồn dây D20 và phụ kiện cho hệ thống camera</v>
          </cell>
          <cell r="C135" t="str">
            <v>129</v>
          </cell>
          <cell r="D135" t="str">
            <v>16h00</v>
          </cell>
          <cell r="E135">
            <v>17</v>
          </cell>
          <cell r="F135">
            <v>9</v>
          </cell>
          <cell r="G135">
            <v>2015</v>
          </cell>
          <cell r="H135" t="str">
            <v>16h00 ngày 17 tháng 9 năm 2015</v>
          </cell>
          <cell r="I135" t="str">
            <v>Hà Nội, ngày 17 tháng 9 năm 2015</v>
          </cell>
          <cell r="J135" t="str">
            <v>Nguyễn Ái Việt</v>
          </cell>
          <cell r="K135" t="str">
            <v>Chỉ huy trưởng</v>
          </cell>
        </row>
        <row r="136">
          <cell r="A136" t="str">
            <v>130</v>
          </cell>
          <cell r="B136" t="str">
            <v>Nghiệm thu trát ngoài tầng 6 lên mái trục X4'-X6/Y5' và trục X4/Y1-Y5</v>
          </cell>
          <cell r="C136" t="str">
            <v>130</v>
          </cell>
          <cell r="D136" t="str">
            <v>….h….</v>
          </cell>
          <cell r="E136">
            <v>19</v>
          </cell>
          <cell r="F136">
            <v>9</v>
          </cell>
          <cell r="G136">
            <v>2015</v>
          </cell>
          <cell r="H136" t="str">
            <v>….h…. ngày 19 tháng 9 năm 2015</v>
          </cell>
          <cell r="I136" t="str">
            <v>Hà Nội, ngày 19 tháng 9 năm 2015</v>
          </cell>
          <cell r="J136" t="str">
            <v>Nguyễn Ái Việt</v>
          </cell>
          <cell r="K136" t="str">
            <v>Chỉ huy trưởng</v>
          </cell>
        </row>
        <row r="137">
          <cell r="A137" t="str">
            <v>131</v>
          </cell>
          <cell r="B137" t="str">
            <v>Nghiệm thu lắp dựng giáo ngoài trục X1/Y1-Y8</v>
          </cell>
          <cell r="C137" t="str">
            <v>131</v>
          </cell>
          <cell r="D137" t="str">
            <v>….h….</v>
          </cell>
          <cell r="E137">
            <v>19</v>
          </cell>
          <cell r="F137">
            <v>9</v>
          </cell>
          <cell r="G137">
            <v>2015</v>
          </cell>
          <cell r="H137" t="str">
            <v>….h…. ngày 19 tháng 9 năm 2015</v>
          </cell>
          <cell r="I137" t="str">
            <v>Hà Nội, ngày 19 tháng 9 năm 2015</v>
          </cell>
          <cell r="J137" t="str">
            <v>Nguyễn Ái Việt</v>
          </cell>
          <cell r="K137" t="str">
            <v>Chỉ huy trưởng</v>
          </cell>
        </row>
        <row r="138">
          <cell r="A138" t="str">
            <v>132</v>
          </cell>
          <cell r="B138" t="str">
            <v>Nghiệm thu lắp đặt ống nhựa D20m, kéo dải dây dẫn camera hành lang tầng 3 đến tầng 11</v>
          </cell>
          <cell r="C138" t="str">
            <v>132</v>
          </cell>
          <cell r="D138" t="str">
            <v>9h30</v>
          </cell>
          <cell r="E138">
            <v>24</v>
          </cell>
          <cell r="F138">
            <v>9</v>
          </cell>
          <cell r="G138">
            <v>2015</v>
          </cell>
          <cell r="H138" t="str">
            <v>9h30 ngày 24 tháng 9 năm 2015</v>
          </cell>
          <cell r="I138" t="str">
            <v>Hà Nội, ngày 24 tháng 9 năm 2015</v>
          </cell>
          <cell r="J138" t="str">
            <v>Nguyễn Ái Việt</v>
          </cell>
          <cell r="K138" t="str">
            <v>Chỉ huy trưởng</v>
          </cell>
        </row>
        <row r="139">
          <cell r="A139" t="str">
            <v>133</v>
          </cell>
          <cell r="B139" t="str">
            <v>Nghiệm thu lưới thép D4 + mốc đổ bê tông tầng áp mái trục X1-X4/Y1-Y5</v>
          </cell>
          <cell r="C139" t="str">
            <v>133</v>
          </cell>
          <cell r="D139" t="str">
            <v>8h00</v>
          </cell>
          <cell r="E139">
            <v>24</v>
          </cell>
          <cell r="F139">
            <v>9</v>
          </cell>
          <cell r="G139">
            <v>2015</v>
          </cell>
          <cell r="H139" t="str">
            <v>8h00 ngày 24 tháng 9 năm 2015</v>
          </cell>
          <cell r="I139" t="str">
            <v>Hà Nội, ngày 24 tháng 9 năm 2015</v>
          </cell>
          <cell r="J139" t="str">
            <v>Nguyễn Ái Việt</v>
          </cell>
          <cell r="K139" t="str">
            <v>Chỉ huy trưởng</v>
          </cell>
        </row>
        <row r="140">
          <cell r="A140" t="str">
            <v>134</v>
          </cell>
          <cell r="B140" t="str">
            <v>Nghiệm thu lắp đặt trục tăng áp cầu thang bộ, trục hút mùi phòng rác, trục chính hút mùi hành lang tầng 2 đến tầng 11</v>
          </cell>
          <cell r="C140" t="str">
            <v>134</v>
          </cell>
          <cell r="D140" t="str">
            <v>10h00</v>
          </cell>
          <cell r="E140">
            <v>25</v>
          </cell>
          <cell r="F140">
            <v>9</v>
          </cell>
          <cell r="G140">
            <v>2015</v>
          </cell>
          <cell r="H140" t="str">
            <v>10h00 ngày 25 tháng 9 năm 2015</v>
          </cell>
          <cell r="I140" t="str">
            <v>Hà Nội, ngày 25 tháng 9 năm 2015</v>
          </cell>
          <cell r="J140" t="str">
            <v>Nguyễn Ái Việt</v>
          </cell>
          <cell r="K140" t="str">
            <v>Chỉ huy trưởng</v>
          </cell>
        </row>
        <row r="141">
          <cell r="A141" t="str">
            <v>135</v>
          </cell>
          <cell r="B141" t="str">
            <v>Khoan cấy thép bơm keo Ramset tầng 1</v>
          </cell>
          <cell r="C141" t="str">
            <v>135</v>
          </cell>
          <cell r="H141" t="str">
            <v xml:space="preserve"> ngày  tháng  năm </v>
          </cell>
          <cell r="I141" t="str">
            <v xml:space="preserve">Hà Nội, ngày  tháng  năm </v>
          </cell>
          <cell r="J141" t="str">
            <v>Nguyễn Ái Việt</v>
          </cell>
          <cell r="K141" t="str">
            <v>Chỉ huy trưởng</v>
          </cell>
        </row>
        <row r="142">
          <cell r="A142" t="str">
            <v>136</v>
          </cell>
          <cell r="B142" t="str">
            <v>Nghiệm thu lưới thép D4 + mốc đổ bê tông tầng áp mái trục X1-X4/Y1-Y5</v>
          </cell>
          <cell r="C142" t="str">
            <v>136</v>
          </cell>
          <cell r="D142" t="str">
            <v>8h30</v>
          </cell>
          <cell r="E142">
            <v>28</v>
          </cell>
          <cell r="F142">
            <v>9</v>
          </cell>
          <cell r="G142">
            <v>2015</v>
          </cell>
          <cell r="H142" t="str">
            <v>8h30 ngày 28 tháng 9 năm 2015</v>
          </cell>
          <cell r="I142" t="str">
            <v>Hà Nội, ngày 28 tháng 9 năm 2015</v>
          </cell>
          <cell r="J142" t="str">
            <v>Nguyễn Ái Việt</v>
          </cell>
          <cell r="K142" t="str">
            <v>Chỉ huy trưởng</v>
          </cell>
        </row>
        <row r="143">
          <cell r="A143" t="str">
            <v>137</v>
          </cell>
          <cell r="B143" t="str">
            <v>Gia công lắp dựng cốp pha, cốt thép dầm, giằng bổ sung nền tầng 01</v>
          </cell>
          <cell r="C143" t="str">
            <v>137</v>
          </cell>
          <cell r="D143" t="str">
            <v>14h00</v>
          </cell>
          <cell r="E143">
            <v>29</v>
          </cell>
          <cell r="F143">
            <v>9</v>
          </cell>
          <cell r="G143">
            <v>2015</v>
          </cell>
          <cell r="H143" t="str">
            <v>14h00 ngày 29 tháng 9 năm 2015</v>
          </cell>
          <cell r="I143" t="str">
            <v>Hà Nội, ngày 29 tháng 9 năm 2015</v>
          </cell>
          <cell r="J143" t="str">
            <v>Nguyễn Ái Việt</v>
          </cell>
          <cell r="K143" t="str">
            <v>Chỉ huy trưởng</v>
          </cell>
        </row>
        <row r="144">
          <cell r="A144" t="str">
            <v>138</v>
          </cell>
          <cell r="B144" t="str">
            <v>Lắp đặt trục hút khỏi sảnh, phòng rác, tăng áp cầu thang tầng 1 đến tầng 11</v>
          </cell>
          <cell r="C144" t="str">
            <v>138</v>
          </cell>
          <cell r="D144" t="str">
            <v>14h30</v>
          </cell>
          <cell r="E144">
            <v>5</v>
          </cell>
          <cell r="F144">
            <v>10</v>
          </cell>
          <cell r="G144">
            <v>2015</v>
          </cell>
          <cell r="H144" t="str">
            <v>14h30 ngày 5 tháng 10 năm 2015</v>
          </cell>
          <cell r="I144" t="str">
            <v>Hà Nội, ngày 5 tháng 10 năm 2015</v>
          </cell>
          <cell r="J144" t="str">
            <v>Nguyễn Ái Việt</v>
          </cell>
          <cell r="K144" t="str">
            <v>Chỉ huy trưởng</v>
          </cell>
        </row>
        <row r="145">
          <cell r="A145" t="str">
            <v>139</v>
          </cell>
          <cell r="B145" t="str">
            <v>Lắp dựng xương trần thạch cao tầng 03, 04, 05, 06 phần hành lang</v>
          </cell>
          <cell r="C145" t="str">
            <v>139</v>
          </cell>
          <cell r="D145" t="str">
            <v>10h00</v>
          </cell>
          <cell r="E145">
            <v>8</v>
          </cell>
          <cell r="F145">
            <v>10</v>
          </cell>
          <cell r="G145">
            <v>2015</v>
          </cell>
          <cell r="H145" t="str">
            <v>10h00 ngày 8 tháng 10 năm 2015</v>
          </cell>
          <cell r="I145" t="str">
            <v>Hà Nội, ngày 8 tháng 10 năm 2015</v>
          </cell>
          <cell r="J145" t="str">
            <v>Nguyễn Ái Việt</v>
          </cell>
          <cell r="K145" t="str">
            <v>Chỉ huy trưởng</v>
          </cell>
        </row>
        <row r="146">
          <cell r="A146" t="str">
            <v>140</v>
          </cell>
          <cell r="B146" t="str">
            <v>Lắp đặt thử kín hút khói hành lang tầng 1,tầng 2</v>
          </cell>
          <cell r="C146" t="str">
            <v>140</v>
          </cell>
          <cell r="D146" t="str">
            <v>14h30</v>
          </cell>
          <cell r="E146">
            <v>8</v>
          </cell>
          <cell r="F146">
            <v>10</v>
          </cell>
          <cell r="G146">
            <v>2015</v>
          </cell>
          <cell r="H146" t="str">
            <v>14h30 ngày 8 tháng 10 năm 2015</v>
          </cell>
          <cell r="I146" t="str">
            <v>Hà Nội, ngày 8 tháng 10 năm 2015</v>
          </cell>
          <cell r="J146" t="str">
            <v>Nguyễn Ái Việt</v>
          </cell>
          <cell r="K146" t="str">
            <v>Chỉ huy trưởng</v>
          </cell>
        </row>
        <row r="147">
          <cell r="A147" t="str">
            <v>141</v>
          </cell>
          <cell r="B147" t="str">
            <v>Tấm trần thạch cao</v>
          </cell>
          <cell r="C147" t="str">
            <v>141</v>
          </cell>
          <cell r="D147" t="str">
            <v>8h30</v>
          </cell>
          <cell r="E147">
            <v>6</v>
          </cell>
          <cell r="F147">
            <v>10</v>
          </cell>
          <cell r="G147">
            <v>2015</v>
          </cell>
          <cell r="H147" t="str">
            <v>8h30 ngày 6 tháng 10 năm 2015</v>
          </cell>
          <cell r="I147" t="str">
            <v>Hà Nội, ngày 6 tháng 10 năm 2015</v>
          </cell>
          <cell r="J147" t="str">
            <v>Nguyễn Ái Việt</v>
          </cell>
          <cell r="K147" t="str">
            <v>Chỉ huy trưởng</v>
          </cell>
        </row>
        <row r="148">
          <cell r="A148" t="str">
            <v>142</v>
          </cell>
          <cell r="B148" t="str">
            <v>Sơn lót lớp 1 tường, trần căn hộ tầng 03 đến hết tầng 06</v>
          </cell>
          <cell r="C148" t="str">
            <v>142</v>
          </cell>
          <cell r="D148" t="str">
            <v>….h….</v>
          </cell>
          <cell r="E148">
            <v>15</v>
          </cell>
          <cell r="F148">
            <v>10</v>
          </cell>
          <cell r="G148">
            <v>2015</v>
          </cell>
          <cell r="H148" t="str">
            <v>….h…. ngày 15 tháng 10 năm 2015</v>
          </cell>
          <cell r="I148" t="str">
            <v>Hà Nội, ngày 15 tháng 10 năm 2015</v>
          </cell>
          <cell r="J148" t="str">
            <v>Nguyễn Ái Việt</v>
          </cell>
          <cell r="K148" t="str">
            <v>Chỉ huy trưởng</v>
          </cell>
        </row>
        <row r="149">
          <cell r="A149" t="str">
            <v>143</v>
          </cell>
          <cell r="B149" t="str">
            <v>Đắp mốc + rải lưới thép hàn D4/A200 tầng 2 PĐ1</v>
          </cell>
          <cell r="C149" t="str">
            <v>143</v>
          </cell>
          <cell r="D149" t="str">
            <v>….h….</v>
          </cell>
          <cell r="E149">
            <v>15</v>
          </cell>
          <cell r="F149">
            <v>10</v>
          </cell>
          <cell r="G149">
            <v>2015</v>
          </cell>
          <cell r="H149" t="str">
            <v>….h…. ngày 15 tháng 10 năm 2015</v>
          </cell>
          <cell r="I149" t="str">
            <v>Hà Nội, ngày 15 tháng 10 năm 2015</v>
          </cell>
          <cell r="J149" t="str">
            <v>Nguyễn Ái Việt</v>
          </cell>
          <cell r="K149" t="str">
            <v>Chỉ huy trưởng</v>
          </cell>
        </row>
        <row r="150">
          <cell r="A150" t="str">
            <v>144</v>
          </cell>
          <cell r="B150" t="str">
            <v>Lắp dựng giáo ngoài tầng 1 đến tầng mái trục X2-X3'/Y6-Y7</v>
          </cell>
          <cell r="C150" t="str">
            <v>144</v>
          </cell>
          <cell r="D150" t="str">
            <v>9h15</v>
          </cell>
          <cell r="E150">
            <v>17</v>
          </cell>
          <cell r="F150">
            <v>10</v>
          </cell>
          <cell r="G150">
            <v>2015</v>
          </cell>
          <cell r="H150" t="str">
            <v>9h15 ngày 17 tháng 10 năm 2015</v>
          </cell>
          <cell r="I150" t="str">
            <v>Hà Nội, ngày 17 tháng 10 năm 2015</v>
          </cell>
          <cell r="J150" t="str">
            <v>Nguyễn Ái Việt</v>
          </cell>
          <cell r="K150" t="str">
            <v>Chỉ huy trưởng</v>
          </cell>
        </row>
        <row r="151">
          <cell r="A151" t="str">
            <v>145</v>
          </cell>
          <cell r="B151" t="str">
            <v>Nghiệm thu trát ngoài trục Y1-Y8/X1 tầng 7 đến tầng 11</v>
          </cell>
          <cell r="C151" t="str">
            <v>145</v>
          </cell>
          <cell r="D151" t="str">
            <v>8h45</v>
          </cell>
          <cell r="E151">
            <v>21</v>
          </cell>
          <cell r="F151">
            <v>10</v>
          </cell>
          <cell r="G151">
            <v>2015</v>
          </cell>
          <cell r="H151" t="str">
            <v>8h45 ngày 21 tháng 10 năm 2015</v>
          </cell>
          <cell r="I151" t="str">
            <v>Hà Nội, ngày 21 tháng 10 năm 2015</v>
          </cell>
          <cell r="J151" t="str">
            <v>Nguyễn Ái Việt</v>
          </cell>
          <cell r="K151" t="str">
            <v>Chỉ huy trưởng</v>
          </cell>
        </row>
        <row r="152">
          <cell r="A152" t="str">
            <v>146</v>
          </cell>
          <cell r="B152" t="str">
            <v>Nghiệm thu gia công ống gió tầng áp mái</v>
          </cell>
          <cell r="C152" t="str">
            <v>146</v>
          </cell>
          <cell r="D152" t="str">
            <v>14h30</v>
          </cell>
          <cell r="E152">
            <v>31</v>
          </cell>
          <cell r="F152">
            <v>10</v>
          </cell>
          <cell r="G152">
            <v>2015</v>
          </cell>
          <cell r="H152" t="str">
            <v>14h30 ngày 31 tháng 10 năm 2015</v>
          </cell>
          <cell r="I152" t="str">
            <v>Hà Nội, ngày 31 tháng 10 năm 2015</v>
          </cell>
          <cell r="J152" t="str">
            <v>Nguyễn Ái Việt</v>
          </cell>
          <cell r="K152" t="str">
            <v>Chỉ huy trưởng</v>
          </cell>
        </row>
        <row r="153">
          <cell r="A153" t="str">
            <v>147</v>
          </cell>
          <cell r="B153" t="str">
            <v>Nghiệm thu cao độ cốt nền tầng 1</v>
          </cell>
          <cell r="C153" t="str">
            <v>147</v>
          </cell>
          <cell r="D153" t="str">
            <v>14h30</v>
          </cell>
          <cell r="E153">
            <v>3</v>
          </cell>
          <cell r="F153">
            <v>11</v>
          </cell>
          <cell r="G153">
            <v>2015</v>
          </cell>
          <cell r="H153" t="str">
            <v>14h30 ngày 3 tháng 11 năm 2015</v>
          </cell>
          <cell r="I153" t="str">
            <v>Hà Nội, ngày 3 tháng 11 năm 2015</v>
          </cell>
          <cell r="J153" t="str">
            <v>Nguyễn Ái Việt</v>
          </cell>
          <cell r="K153" t="str">
            <v>Chỉ huy trưởng</v>
          </cell>
        </row>
        <row r="154">
          <cell r="A154" t="str">
            <v>148</v>
          </cell>
          <cell r="B154" t="str">
            <v>Nghiệm thu quạt thông gió kèm theo biên bản giao nhận hàng hóa ngày 5/11/2015</v>
          </cell>
          <cell r="C154" t="str">
            <v>148</v>
          </cell>
          <cell r="D154" t="str">
            <v>14h00</v>
          </cell>
          <cell r="E154">
            <v>5</v>
          </cell>
          <cell r="F154">
            <v>11</v>
          </cell>
          <cell r="G154">
            <v>2015</v>
          </cell>
          <cell r="H154" t="str">
            <v>14h00 ngày 5 tháng 11 năm 2015</v>
          </cell>
          <cell r="I154" t="str">
            <v>Hà Nội, ngày 5 tháng 11 năm 2015</v>
          </cell>
          <cell r="J154" t="str">
            <v>Nguyễn Ái Việt</v>
          </cell>
          <cell r="K154" t="str">
            <v>Chỉ huy trưởng</v>
          </cell>
        </row>
        <row r="155">
          <cell r="A155" t="str">
            <v>149</v>
          </cell>
          <cell r="B155" t="str">
            <v>Nghiệm thu cốt nền kiot tầng 1 trục X4'-X8/Y7-Y8</v>
          </cell>
          <cell r="C155" t="str">
            <v>149</v>
          </cell>
          <cell r="D155" t="str">
            <v>14h00</v>
          </cell>
          <cell r="E155">
            <v>14</v>
          </cell>
          <cell r="F155">
            <v>11</v>
          </cell>
          <cell r="G155">
            <v>2015</v>
          </cell>
          <cell r="H155" t="str">
            <v>14h00 ngày 14 tháng 11 năm 2015</v>
          </cell>
          <cell r="I155" t="str">
            <v>Hà Nội, ngày 14 tháng 11 năm 2015</v>
          </cell>
          <cell r="J155" t="str">
            <v>Nguyễn Ái Việt</v>
          </cell>
          <cell r="K155" t="str">
            <v>Chỉ huy trưởng</v>
          </cell>
        </row>
        <row r="156">
          <cell r="A156" t="str">
            <v>150</v>
          </cell>
          <cell r="B156" t="str">
            <v>Nghiệm thu rải lưới thép D8 + cốt đổ bê tông nền tầng 1 trục X4'-X7/Y7'-Y8</v>
          </cell>
          <cell r="C156" t="str">
            <v>150</v>
          </cell>
          <cell r="D156" t="str">
            <v>8h00</v>
          </cell>
          <cell r="E156">
            <v>21</v>
          </cell>
          <cell r="F156">
            <v>11</v>
          </cell>
          <cell r="G156">
            <v>2015</v>
          </cell>
          <cell r="H156" t="str">
            <v>8h00 ngày 21 tháng 11 năm 2015</v>
          </cell>
          <cell r="I156" t="str">
            <v>Hà Nội, ngày 21 tháng 11 năm 2015</v>
          </cell>
          <cell r="J156" t="str">
            <v>Nguyễn Ái Việt</v>
          </cell>
          <cell r="K156" t="str">
            <v>Chỉ huy trưởng</v>
          </cell>
        </row>
        <row r="157">
          <cell r="A157" t="str">
            <v>151</v>
          </cell>
          <cell r="B157" t="str">
            <v>Nghiệm thu lắp đặt ống nhựa D20m, kéo dải dây dẫn camera hành lang tầng 1</v>
          </cell>
          <cell r="C157" t="str">
            <v>151</v>
          </cell>
          <cell r="D157" t="str">
            <v>….h….</v>
          </cell>
          <cell r="E157" t="str">
            <v>….</v>
          </cell>
          <cell r="F157" t="str">
            <v>….</v>
          </cell>
          <cell r="G157">
            <v>2015</v>
          </cell>
          <cell r="H157" t="str">
            <v>….h…. ngày …. tháng …. năm 2015</v>
          </cell>
          <cell r="I157" t="str">
            <v>Hà Nội, ngày …. tháng …. năm 2015</v>
          </cell>
          <cell r="J157" t="str">
            <v>Nguyễn Ái Việt</v>
          </cell>
          <cell r="K157" t="str">
            <v>Chỉ huy trưởng</v>
          </cell>
        </row>
        <row r="158">
          <cell r="A158" t="str">
            <v>152</v>
          </cell>
          <cell r="B158" t="str">
            <v>Nghiệm thu cao độ cốt nền kiot tầng 1 căn số 05, 06, 07, 08, 09  trục X1-X4/Y1-Y7</v>
          </cell>
          <cell r="C158" t="str">
            <v>152</v>
          </cell>
          <cell r="D158" t="str">
            <v>14h00</v>
          </cell>
          <cell r="E158">
            <v>26</v>
          </cell>
          <cell r="F158">
            <v>11</v>
          </cell>
          <cell r="G158">
            <v>2015</v>
          </cell>
          <cell r="H158" t="str">
            <v>14h00 ngày 26 tháng 11 năm 2015</v>
          </cell>
          <cell r="I158" t="str">
            <v>Hà Nội, ngày 26 tháng 11 năm 2015</v>
          </cell>
          <cell r="J158" t="str">
            <v>Nguyễn Ái Việt</v>
          </cell>
          <cell r="K158" t="str">
            <v>Chỉ huy trưởng</v>
          </cell>
        </row>
        <row r="159">
          <cell r="A159" t="str">
            <v>153</v>
          </cell>
          <cell r="B159" t="str">
            <v>Nghiệm thu bả + sơn lớp một trần thạch cao khu hành lang tầng 3 đến tầng 11</v>
          </cell>
          <cell r="C159" t="str">
            <v>153</v>
          </cell>
          <cell r="D159" t="str">
            <v>14h00</v>
          </cell>
          <cell r="E159">
            <v>24</v>
          </cell>
          <cell r="F159">
            <v>11</v>
          </cell>
          <cell r="G159">
            <v>2015</v>
          </cell>
          <cell r="H159" t="str">
            <v>14h00 ngày 24 tháng 11 năm 2015</v>
          </cell>
          <cell r="I159" t="str">
            <v>Hà Nội, ngày 24 tháng 11 năm 2015</v>
          </cell>
          <cell r="J159" t="str">
            <v>Nguyễn Ái Việt</v>
          </cell>
          <cell r="K159" t="str">
            <v>Chỉ huy trưởng</v>
          </cell>
        </row>
        <row r="160">
          <cell r="A160" t="str">
            <v>…</v>
          </cell>
          <cell r="B160" t="str">
            <v>Nghiệm thu cao độ cốt nền sảnh thang máy , phòng bảo vệ, phòng kỹ thuật nhà vệ sinh tầng 1</v>
          </cell>
          <cell r="C160" t="str">
            <v>…</v>
          </cell>
          <cell r="D160" t="str">
            <v>…h…</v>
          </cell>
          <cell r="E160" t="str">
            <v>…</v>
          </cell>
          <cell r="F160" t="str">
            <v>…</v>
          </cell>
          <cell r="G160">
            <v>2015</v>
          </cell>
          <cell r="H160" t="str">
            <v>…h… ngày … tháng … năm 2015</v>
          </cell>
          <cell r="I160" t="str">
            <v>Hà Nội, ngày … tháng … năm 2015</v>
          </cell>
          <cell r="J160" t="str">
            <v>Nguyễn Ái Việt</v>
          </cell>
          <cell r="K160" t="str">
            <v>Chỉ huy trưởng</v>
          </cell>
        </row>
        <row r="161">
          <cell r="A161" t="str">
            <v>154</v>
          </cell>
          <cell r="B161" t="str">
            <v>Nghiệm thu sơ bộ căn hộ tầng 04</v>
          </cell>
          <cell r="C161" t="str">
            <v>154</v>
          </cell>
          <cell r="D161" t="str">
            <v>14h30</v>
          </cell>
          <cell r="E161">
            <v>4</v>
          </cell>
          <cell r="F161">
            <v>12</v>
          </cell>
          <cell r="G161">
            <v>2015</v>
          </cell>
          <cell r="H161" t="str">
            <v>14h30 ngày 4 tháng 12 năm 2015</v>
          </cell>
          <cell r="I161" t="str">
            <v>Hà Nội, ngày 4 tháng 12 năm 2015</v>
          </cell>
          <cell r="J161" t="str">
            <v>Nguyễn Ái Việt</v>
          </cell>
          <cell r="K161" t="str">
            <v>Chỉ huy trưởng</v>
          </cell>
        </row>
        <row r="162">
          <cell r="A162" t="str">
            <v>155</v>
          </cell>
          <cell r="B162" t="str">
            <v>Nghiệm thu sơ bộ căn hộ tầng 05 từ căn số 10 đến căn số 18</v>
          </cell>
          <cell r="C162" t="str">
            <v>155</v>
          </cell>
          <cell r="D162" t="str">
            <v>9h30</v>
          </cell>
          <cell r="E162">
            <v>7</v>
          </cell>
          <cell r="F162">
            <v>12</v>
          </cell>
          <cell r="G162">
            <v>2015</v>
          </cell>
          <cell r="H162" t="str">
            <v>9h30 ngày 7 tháng 12 năm 2015</v>
          </cell>
          <cell r="I162" t="str">
            <v>Hà Nội, ngày 7 tháng 12 năm 2015</v>
          </cell>
          <cell r="J162" t="str">
            <v>Nguyễn Ái Việt</v>
          </cell>
          <cell r="K162" t="str">
            <v>Chỉ huy trưởng</v>
          </cell>
        </row>
        <row r="163">
          <cell r="A163" t="str">
            <v>156</v>
          </cell>
          <cell r="B163" t="str">
            <v>Nghiệm thu sơ bộ căn hộ tầng 06</v>
          </cell>
          <cell r="C163" t="str">
            <v>156</v>
          </cell>
          <cell r="D163" t="str">
            <v>15h00</v>
          </cell>
          <cell r="E163">
            <v>8</v>
          </cell>
          <cell r="F163">
            <v>12</v>
          </cell>
          <cell r="G163">
            <v>2015</v>
          </cell>
          <cell r="H163" t="str">
            <v>15h00 ngày 8 tháng 12 năm 2015</v>
          </cell>
          <cell r="I163" t="str">
            <v>Hà Nội, ngày 8 tháng 12 năm 2015</v>
          </cell>
          <cell r="J163" t="str">
            <v>Nguyễn Ái Việt</v>
          </cell>
          <cell r="K163" t="str">
            <v>Chỉ huy trưởng</v>
          </cell>
        </row>
        <row r="164">
          <cell r="A164" t="str">
            <v>157</v>
          </cell>
          <cell r="B164" t="str">
            <v>Nghiệm thu sơ bộ căn hộ tầng 07</v>
          </cell>
          <cell r="C164" t="str">
            <v>157</v>
          </cell>
          <cell r="E164">
            <v>9</v>
          </cell>
          <cell r="F164">
            <v>12</v>
          </cell>
          <cell r="G164">
            <v>2015</v>
          </cell>
          <cell r="H164" t="str">
            <v xml:space="preserve"> ngày 9 tháng 12 năm 2015</v>
          </cell>
          <cell r="I164" t="str">
            <v>Hà Nội, ngày 9 tháng 12 năm 2015</v>
          </cell>
          <cell r="J164" t="str">
            <v>Nguyễn Ái Việt</v>
          </cell>
          <cell r="K164" t="str">
            <v>Chỉ huy trưởng</v>
          </cell>
        </row>
        <row r="165">
          <cell r="A165" t="str">
            <v>158</v>
          </cell>
          <cell r="B165" t="str">
            <v>Nghiệm thu sơ bộ căn hộ tầng 08</v>
          </cell>
          <cell r="C165" t="str">
            <v>158</v>
          </cell>
          <cell r="D165" t="str">
            <v>10h00</v>
          </cell>
          <cell r="E165">
            <v>11</v>
          </cell>
          <cell r="F165">
            <v>12</v>
          </cell>
          <cell r="G165">
            <v>2015</v>
          </cell>
          <cell r="H165" t="str">
            <v>10h00 ngày 11 tháng 12 năm 2015</v>
          </cell>
          <cell r="I165" t="str">
            <v>Hà Nội, ngày 11 tháng 12 năm 2015</v>
          </cell>
          <cell r="J165" t="str">
            <v>Nguyễn Ái Việt</v>
          </cell>
          <cell r="K165" t="str">
            <v>Chỉ huy trưởng</v>
          </cell>
        </row>
        <row r="166">
          <cell r="A166" t="str">
            <v>159</v>
          </cell>
          <cell r="B166" t="str">
            <v>Nghiệm thu sơ bộ căn hộ tầng 04, 05, 06, 07 (lần 2)</v>
          </cell>
          <cell r="C166" t="str">
            <v>159</v>
          </cell>
          <cell r="D166" t="str">
            <v>9h00</v>
          </cell>
          <cell r="E166">
            <v>15</v>
          </cell>
          <cell r="F166">
            <v>12</v>
          </cell>
          <cell r="G166">
            <v>2015</v>
          </cell>
          <cell r="H166" t="str">
            <v>9h00 ngày 15 tháng 12 năm 2015</v>
          </cell>
          <cell r="I166" t="str">
            <v>Hà Nội, ngày 15 tháng 12 năm 2015</v>
          </cell>
          <cell r="J166" t="str">
            <v>Nguyễn Ái Việt</v>
          </cell>
          <cell r="K166" t="str">
            <v>Chỉ huy trưởng</v>
          </cell>
        </row>
        <row r="167">
          <cell r="A167" t="str">
            <v>160</v>
          </cell>
          <cell r="B167" t="str">
            <v>Nghiệm thu bàn giao căn hộ tầng 03, 04</v>
          </cell>
          <cell r="C167" t="str">
            <v>160</v>
          </cell>
          <cell r="D167" t="str">
            <v>9h20</v>
          </cell>
          <cell r="E167">
            <v>25</v>
          </cell>
          <cell r="F167">
            <v>12</v>
          </cell>
          <cell r="G167">
            <v>2015</v>
          </cell>
          <cell r="H167" t="str">
            <v>9h20 ngày 25 tháng 12 năm 2015</v>
          </cell>
          <cell r="I167" t="str">
            <v>Hà Nội, ngày 25 tháng 12 năm 2015</v>
          </cell>
          <cell r="J167" t="str">
            <v>Nguyễn Ái Việt</v>
          </cell>
          <cell r="K167" t="str">
            <v>Chỉ huy trưởng</v>
          </cell>
        </row>
        <row r="168">
          <cell r="A168" t="str">
            <v>161</v>
          </cell>
          <cell r="B168" t="str">
            <v>Nghiệm thu bàn giao căn hộ tầng 05, 06</v>
          </cell>
          <cell r="C168" t="str">
            <v>161</v>
          </cell>
          <cell r="D168" t="str">
            <v>9h00</v>
          </cell>
          <cell r="E168">
            <v>26</v>
          </cell>
          <cell r="F168">
            <v>12</v>
          </cell>
          <cell r="G168">
            <v>2015</v>
          </cell>
          <cell r="H168" t="str">
            <v>9h00 ngày 26 tháng 12 năm 2015</v>
          </cell>
          <cell r="I168" t="str">
            <v>Hà Nội, ngày 26 tháng 12 năm 2015</v>
          </cell>
          <cell r="J168" t="str">
            <v>Nguyễn Ái Việt</v>
          </cell>
          <cell r="K168" t="str">
            <v>Chỉ huy trưởng</v>
          </cell>
        </row>
        <row r="169">
          <cell r="A169" t="str">
            <v>162</v>
          </cell>
          <cell r="B169" t="str">
            <v>Nghiệm thu vật liệu làm trần nhôm</v>
          </cell>
          <cell r="C169" t="str">
            <v>162</v>
          </cell>
          <cell r="D169" t="str">
            <v>15h00</v>
          </cell>
          <cell r="E169">
            <v>11</v>
          </cell>
          <cell r="F169">
            <v>1</v>
          </cell>
          <cell r="G169">
            <v>2016</v>
          </cell>
          <cell r="H169" t="str">
            <v>15h00 ngày 11 tháng 1 năm 2016</v>
          </cell>
          <cell r="I169" t="str">
            <v>Hà Nội, ngày 11 tháng 1 năm 2016</v>
          </cell>
          <cell r="J169" t="str">
            <v>Nguyễn Ái Việt</v>
          </cell>
          <cell r="K169" t="str">
            <v>Chỉ huy trưởng</v>
          </cell>
        </row>
        <row r="170">
          <cell r="A170" t="str">
            <v>163</v>
          </cell>
          <cell r="B170" t="str">
            <v>Nghiệm thu bàn giao khu công cộng tầng 03, 04, 05, 06, 07</v>
          </cell>
          <cell r="C170" t="str">
            <v>163</v>
          </cell>
          <cell r="D170" t="str">
            <v>8h30</v>
          </cell>
          <cell r="E170">
            <v>22</v>
          </cell>
          <cell r="F170">
            <v>1</v>
          </cell>
          <cell r="G170">
            <v>2016</v>
          </cell>
          <cell r="H170" t="str">
            <v>8h30 ngày 22 tháng 1 năm 2016</v>
          </cell>
          <cell r="I170" t="str">
            <v>Hà Nội, ngày 22 tháng 1 năm 2016</v>
          </cell>
          <cell r="J170" t="str">
            <v>Nguyễn Ái Việt</v>
          </cell>
          <cell r="K170" t="str">
            <v>Chỉ huy trưởng</v>
          </cell>
        </row>
        <row r="171">
          <cell r="A171" t="str">
            <v>164</v>
          </cell>
          <cell r="B171" t="str">
            <v>Nghiệm thu bàn giao khu công cộng tầng 08, 09, 10, 11, áp mái</v>
          </cell>
          <cell r="C171" t="str">
            <v>164</v>
          </cell>
          <cell r="D171" t="str">
            <v>8h30</v>
          </cell>
          <cell r="E171">
            <v>23</v>
          </cell>
          <cell r="F171">
            <v>1</v>
          </cell>
          <cell r="G171">
            <v>2016</v>
          </cell>
          <cell r="H171" t="str">
            <v>8h30 ngày 23 tháng 1 năm 2016</v>
          </cell>
          <cell r="I171" t="str">
            <v>Hà Nội, ngày 23 tháng 1 năm 2016</v>
          </cell>
          <cell r="J171" t="str">
            <v>Nguyễn Ái Việt</v>
          </cell>
          <cell r="K171" t="str">
            <v>Chỉ huy trưởng</v>
          </cell>
        </row>
        <row r="172">
          <cell r="A172" t="str">
            <v>165</v>
          </cell>
          <cell r="B172" t="str">
            <v>Nghiệm thu bàn giao khu công cộng tòa nhà CT6</v>
          </cell>
          <cell r="C172" t="str">
            <v>165</v>
          </cell>
          <cell r="D172" t="str">
            <v>8h30</v>
          </cell>
          <cell r="E172">
            <v>29</v>
          </cell>
          <cell r="F172">
            <v>1</v>
          </cell>
          <cell r="G172">
            <v>2016</v>
          </cell>
          <cell r="H172" t="str">
            <v>8h30 ngày 29 tháng 1 năm 2016</v>
          </cell>
          <cell r="I172" t="str">
            <v>Hà Nội, ngày 29 tháng 1 năm 2016</v>
          </cell>
          <cell r="J172" t="str">
            <v>Nguyễn Ái Việt</v>
          </cell>
          <cell r="K172" t="str">
            <v>Chỉ huy trưởng</v>
          </cell>
        </row>
        <row r="188">
          <cell r="A188" t="str">
            <v>122</v>
          </cell>
          <cell r="C188" t="str">
            <v>122</v>
          </cell>
          <cell r="D188" t="str">
            <v>….h….</v>
          </cell>
          <cell r="E188" t="str">
            <v>….</v>
          </cell>
          <cell r="F188" t="str">
            <v>….</v>
          </cell>
          <cell r="G188" t="str">
            <v>….</v>
          </cell>
          <cell r="H188" t="str">
            <v>….h…. ngày …. tháng …. năm ….</v>
          </cell>
          <cell r="I188" t="str">
            <v>Hà Nội, ngày …. tháng …. năm ….</v>
          </cell>
          <cell r="J188" t="str">
            <v>Nguyễn Ái Việt</v>
          </cell>
          <cell r="K188" t="str">
            <v>Chỉ huy trưởng</v>
          </cell>
        </row>
        <row r="190">
          <cell r="A190">
            <v>1</v>
          </cell>
          <cell r="B190">
            <v>2</v>
          </cell>
          <cell r="C190">
            <v>3</v>
          </cell>
          <cell r="D190">
            <v>4</v>
          </cell>
          <cell r="E190">
            <v>5</v>
          </cell>
          <cell r="F190">
            <v>6</v>
          </cell>
          <cell r="G190">
            <v>7</v>
          </cell>
          <cell r="H190">
            <v>8</v>
          </cell>
          <cell r="I190">
            <v>9</v>
          </cell>
          <cell r="J190">
            <v>10</v>
          </cell>
          <cell r="K190">
            <v>11</v>
          </cell>
          <cell r="L190">
            <v>12</v>
          </cell>
          <cell r="M190">
            <v>13</v>
          </cell>
          <cell r="N190">
            <v>14</v>
          </cell>
          <cell r="O190">
            <v>15</v>
          </cell>
        </row>
      </sheetData>
      <sheetData sheetId="106"/>
      <sheetData sheetId="107"/>
      <sheetData sheetId="108"/>
      <sheetData sheetId="109"/>
      <sheetData sheetId="110"/>
      <sheetData sheetId="111"/>
      <sheetData sheetId="112"/>
      <sheetData sheetId="113"/>
      <sheetData sheetId="114"/>
      <sheetData sheetId="115"/>
      <sheetData sheetId="116"/>
      <sheetData sheetId="117">
        <row r="1">
          <cell r="A1" t="str">
            <v>CÔNG TY CP HỒNG HÀ VIỆT NAM</v>
          </cell>
          <cell r="C1" t="str">
            <v>CỘNG HÒA XÃ HỘI CHỦ NGHĨA VIỆT NAM</v>
          </cell>
        </row>
        <row r="2">
          <cell r="C2" t="str">
            <v>ĐỘC LẬP-TỰ DO -HẠNH PHÚC</v>
          </cell>
        </row>
        <row r="3">
          <cell r="P3" t="str">
            <v>FILE IN CV</v>
          </cell>
        </row>
        <row r="4">
          <cell r="A4" t="str">
            <v>BBNT GIAI ĐOẠN</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GĐ-04</v>
          </cell>
          <cell r="B10" t="str">
            <v>Hoàn thành giai đoạn thi công phần hoàn thiện</v>
          </cell>
          <cell r="C10" t="str">
            <v>GĐ-04</v>
          </cell>
          <cell r="D10" t="str">
            <v>14h00</v>
          </cell>
          <cell r="E10" t="str">
            <v>15h30</v>
          </cell>
          <cell r="F10">
            <v>20</v>
          </cell>
          <cell r="G10">
            <v>12</v>
          </cell>
          <cell r="H10">
            <v>2015</v>
          </cell>
          <cell r="I10" t="str">
            <v>Hà Nội, ngày 20 tháng 12 năm 2015</v>
          </cell>
          <cell r="J10" t="str">
            <v>14h00 ngày 20 tháng 12 năm 2015</v>
          </cell>
          <cell r="K10" t="str">
            <v>15h30 ngày 20 tháng 12 năm 2015</v>
          </cell>
          <cell r="L10" t="str">
            <v>16h00</v>
          </cell>
          <cell r="M10" t="str">
            <v>17h30</v>
          </cell>
          <cell r="N10">
            <v>20</v>
          </cell>
          <cell r="O10">
            <v>12</v>
          </cell>
          <cell r="P10">
            <v>2015</v>
          </cell>
          <cell r="Q10" t="str">
            <v>Hà Nội, ngày 20 tháng 12 năm 2015</v>
          </cell>
          <cell r="R10" t="str">
            <v>16h00 ngày 20 tháng 12 năm 2015</v>
          </cell>
          <cell r="S10" t="str">
            <v>17h30 ngày 20 tháng 12 năm 2015</v>
          </cell>
          <cell r="T10" t="str">
            <v>16h00</v>
          </cell>
          <cell r="U10" t="str">
            <v>16h00 Ngày 20/12/2015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Lề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20 Tháng 12 Năm 2015</v>
          </cell>
        </row>
        <row r="11">
          <cell r="D11" t="str">
            <v>14h00</v>
          </cell>
          <cell r="E11" t="str">
            <v>15h30</v>
          </cell>
          <cell r="F11">
            <v>10</v>
          </cell>
          <cell r="G11">
            <v>12</v>
          </cell>
          <cell r="H11">
            <v>2015</v>
          </cell>
          <cell r="I11" t="str">
            <v>Hà Nội, ngày 10 tháng 12 năm 2015</v>
          </cell>
          <cell r="J11" t="str">
            <v>14h00 ngày 10 tháng 12 năm 2015</v>
          </cell>
          <cell r="K11" t="str">
            <v>15h30 ngày 10 tháng 12 năm 2015</v>
          </cell>
          <cell r="L11" t="str">
            <v>16h00</v>
          </cell>
          <cell r="M11" t="str">
            <v>17h30</v>
          </cell>
          <cell r="N11">
            <v>10</v>
          </cell>
          <cell r="O11">
            <v>12</v>
          </cell>
          <cell r="P11">
            <v>2015</v>
          </cell>
          <cell r="Q11" t="str">
            <v>Hà Nội, ngày 10 tháng 12 năm 2015</v>
          </cell>
          <cell r="R11" t="str">
            <v>16h00 ngày 10 tháng 12 năm 2015</v>
          </cell>
          <cell r="S11" t="str">
            <v>17h30 ngày 10 tháng 12 năm 2015</v>
          </cell>
          <cell r="T11" t="str">
            <v>16h00</v>
          </cell>
          <cell r="U11" t="str">
            <v>16h00 Ngày 10/12/2015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Lề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10 Tháng 12 Năm 2015</v>
          </cell>
        </row>
        <row r="12">
          <cell r="A12" t="str">
            <v>KCC-01</v>
          </cell>
          <cell r="B12" t="str">
            <v>Nghiệm thu bàn giao khu công cộng tầng 03, 04, 05, 06, 07</v>
          </cell>
          <cell r="C12" t="str">
            <v>KCC-01</v>
          </cell>
          <cell r="D12" t="str">
            <v>8h00</v>
          </cell>
          <cell r="E12" t="str">
            <v>10h30</v>
          </cell>
          <cell r="F12">
            <v>22</v>
          </cell>
          <cell r="G12">
            <v>1</v>
          </cell>
          <cell r="H12">
            <v>2015</v>
          </cell>
          <cell r="I12" t="str">
            <v>Hà Nội, ngày 22 tháng 1 năm 2015</v>
          </cell>
          <cell r="J12" t="str">
            <v>8h00 ngày 22 tháng 1 năm 2015</v>
          </cell>
          <cell r="K12" t="str">
            <v>10h30 ngày 22 tháng 1 năm 2015</v>
          </cell>
          <cell r="L12" t="str">
            <v>14h00</v>
          </cell>
          <cell r="M12" t="str">
            <v>16h30</v>
          </cell>
          <cell r="N12">
            <v>22</v>
          </cell>
          <cell r="O12">
            <v>1</v>
          </cell>
          <cell r="P12">
            <v>2015</v>
          </cell>
          <cell r="Q12" t="str">
            <v>Hà Nội, ngày 22 tháng 1 năm 2015</v>
          </cell>
          <cell r="R12" t="str">
            <v>14h00 ngày 22 tháng 1 năm 2015</v>
          </cell>
          <cell r="S12" t="str">
            <v>16h30 ngày 22 tháng 1 năm 2015</v>
          </cell>
          <cell r="T12" t="str">
            <v>14h00</v>
          </cell>
          <cell r="U12" t="str">
            <v>14h00 Ngày 22/1/2015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Lề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22 Tháng 1 Năm 2015</v>
          </cell>
        </row>
        <row r="13">
          <cell r="A13" t="str">
            <v>KCC-02</v>
          </cell>
          <cell r="B13" t="str">
            <v>Nghiệm thu bàn giao khu công cộng tầng 08, 09, 10, 11, áp mái</v>
          </cell>
          <cell r="C13" t="str">
            <v>KCC-02</v>
          </cell>
          <cell r="D13" t="str">
            <v>8h00</v>
          </cell>
          <cell r="E13" t="str">
            <v>10h30</v>
          </cell>
          <cell r="F13">
            <v>23</v>
          </cell>
          <cell r="G13">
            <v>1</v>
          </cell>
          <cell r="H13">
            <v>2015</v>
          </cell>
          <cell r="I13" t="str">
            <v>Hà Nội, ngày 23 tháng 1 năm 2015</v>
          </cell>
          <cell r="J13" t="str">
            <v>8h00 ngày 23 tháng 1 năm 2015</v>
          </cell>
          <cell r="K13" t="str">
            <v>10h30 ngày 23 tháng 1 năm 2015</v>
          </cell>
          <cell r="L13" t="str">
            <v>14h00</v>
          </cell>
          <cell r="M13" t="str">
            <v>16h30</v>
          </cell>
          <cell r="N13">
            <v>23</v>
          </cell>
          <cell r="O13">
            <v>1</v>
          </cell>
          <cell r="P13">
            <v>2015</v>
          </cell>
          <cell r="Q13" t="str">
            <v>Hà Nội, ngày 23 tháng 1 năm 2015</v>
          </cell>
          <cell r="R13" t="str">
            <v>14h00 ngày 23 tháng 1 năm 2015</v>
          </cell>
          <cell r="S13" t="str">
            <v>16h30 ngày 23 tháng 1 năm 2015</v>
          </cell>
          <cell r="T13" t="str">
            <v>14h00</v>
          </cell>
          <cell r="U13" t="str">
            <v>14h00 Ngày 23/1/2015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Lề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23 Tháng 1 Năm 2015</v>
          </cell>
        </row>
        <row r="14">
          <cell r="D14" t="str">
            <v>14h00</v>
          </cell>
          <cell r="E14" t="str">
            <v>15h30</v>
          </cell>
          <cell r="F14">
            <v>10</v>
          </cell>
          <cell r="G14">
            <v>12</v>
          </cell>
          <cell r="H14">
            <v>2015</v>
          </cell>
          <cell r="I14" t="str">
            <v>Hà Nội, ngày 10 tháng 12 năm 2015</v>
          </cell>
          <cell r="J14" t="str">
            <v>14h00 ngày 10 tháng 12 năm 2015</v>
          </cell>
          <cell r="K14" t="str">
            <v>15h30 ngày 10 tháng 12 năm 2015</v>
          </cell>
          <cell r="L14" t="str">
            <v>16h00</v>
          </cell>
          <cell r="M14" t="str">
            <v>17h30</v>
          </cell>
          <cell r="N14">
            <v>10</v>
          </cell>
          <cell r="O14">
            <v>12</v>
          </cell>
          <cell r="P14">
            <v>2015</v>
          </cell>
          <cell r="Q14" t="str">
            <v>Hà Nội, ngày 10 tháng 12 năm 2015</v>
          </cell>
          <cell r="R14" t="str">
            <v>16h00 ngày 10 tháng 12 năm 2015</v>
          </cell>
          <cell r="S14" t="str">
            <v>17h30 ngày 10 tháng 12 năm 2015</v>
          </cell>
          <cell r="T14" t="str">
            <v>16h00</v>
          </cell>
          <cell r="U14" t="str">
            <v>16h00 Ngày 10/12/2015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Phùng Mạnh Hưng</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Bùi Văn Sơn</v>
          </cell>
          <cell r="AM14" t="str">
            <v>Cán bộ kỹ thuật</v>
          </cell>
          <cell r="AQ14" t="str">
            <v>Ngày 10 Tháng 12 Năm 2015</v>
          </cell>
        </row>
        <row r="15">
          <cell r="A15" t="str">
            <v>GĐĐ-01</v>
          </cell>
          <cell r="B15" t="str">
            <v>Hoàn thành giai đoạn thi công hệ thống điện</v>
          </cell>
          <cell r="C15" t="str">
            <v>GĐĐ-01</v>
          </cell>
          <cell r="D15" t="str">
            <v>....h….</v>
          </cell>
          <cell r="E15" t="str">
            <v>....h….</v>
          </cell>
          <cell r="F15" t="str">
            <v>…..</v>
          </cell>
          <cell r="G15" t="str">
            <v>…..</v>
          </cell>
          <cell r="H15">
            <v>2015</v>
          </cell>
          <cell r="I15" t="str">
            <v>Hà Nội, ngày ….. tháng ….. năm 2015</v>
          </cell>
          <cell r="J15" t="str">
            <v>....h…. ngày ….. tháng ….. năm 2015</v>
          </cell>
          <cell r="K15" t="str">
            <v>....h…. ngày ….. tháng ….. năm 2015</v>
          </cell>
          <cell r="L15" t="str">
            <v>....h….</v>
          </cell>
          <cell r="M15" t="str">
            <v>....h….</v>
          </cell>
          <cell r="N15" t="str">
            <v>…..</v>
          </cell>
          <cell r="O15" t="str">
            <v>…..</v>
          </cell>
          <cell r="P15">
            <v>2015</v>
          </cell>
          <cell r="Q15" t="str">
            <v>Hà Nội, ngày ….. tháng ….. năm 2015</v>
          </cell>
          <cell r="R15" t="str">
            <v>....h…. ngày ….. tháng ….. năm 2015</v>
          </cell>
          <cell r="S15" t="str">
            <v>....h…. ngày ….. tháng ….. năm 2015</v>
          </cell>
          <cell r="T15" t="str">
            <v>....h….</v>
          </cell>
          <cell r="U15" t="str">
            <v>....h….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Phùng Mạnh Hưng</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Bùi Văn Sơn</v>
          </cell>
          <cell r="AM15" t="str">
            <v>Cán bộ kỹ thuật</v>
          </cell>
          <cell r="AQ15" t="str">
            <v>Ngày ….. Tháng ….. Năm 2015</v>
          </cell>
        </row>
        <row r="16">
          <cell r="D16" t="str">
            <v>....h….</v>
          </cell>
          <cell r="E16" t="str">
            <v>....h….</v>
          </cell>
          <cell r="F16" t="str">
            <v>…..</v>
          </cell>
          <cell r="G16" t="str">
            <v>…..</v>
          </cell>
          <cell r="H16">
            <v>2015</v>
          </cell>
          <cell r="I16" t="str">
            <v>Hà Nội, ngày ….. tháng ….. năm 2015</v>
          </cell>
          <cell r="J16" t="str">
            <v>....h…. ngày ….. tháng ….. năm 2015</v>
          </cell>
          <cell r="K16" t="str">
            <v>....h…. ngày ….. tháng ….. năm 2015</v>
          </cell>
          <cell r="L16" t="str">
            <v>....h….</v>
          </cell>
          <cell r="M16" t="str">
            <v>....h….</v>
          </cell>
          <cell r="N16" t="str">
            <v>…..</v>
          </cell>
          <cell r="O16" t="str">
            <v>…..</v>
          </cell>
          <cell r="P16">
            <v>2015</v>
          </cell>
          <cell r="Q16" t="str">
            <v>Hà Nội, ngày ….. tháng ….. năm 2015</v>
          </cell>
          <cell r="R16" t="str">
            <v>....h…. ngày ….. tháng ….. năm 2015</v>
          </cell>
          <cell r="S16" t="str">
            <v>....h…. ngày ….. tháng ….. năm 2015</v>
          </cell>
          <cell r="T16" t="str">
            <v>....h….</v>
          </cell>
          <cell r="U16" t="str">
            <v>....h….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Phùng Mạnh Hưng</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Bùi Văn Sơn</v>
          </cell>
          <cell r="AM16" t="str">
            <v>Cán bộ kỹ thuật</v>
          </cell>
          <cell r="AQ16" t="str">
            <v>Ngày ….. Tháng ….. Năm 2015</v>
          </cell>
        </row>
        <row r="17">
          <cell r="A17" t="str">
            <v>GĐTG-01</v>
          </cell>
          <cell r="B17" t="str">
            <v>Hoàn thành giai đoạn thi công hệ thống thông gió</v>
          </cell>
          <cell r="C17" t="str">
            <v>GĐTG-01</v>
          </cell>
          <cell r="D17" t="str">
            <v>....h….</v>
          </cell>
          <cell r="E17" t="str">
            <v>....h….</v>
          </cell>
          <cell r="F17" t="str">
            <v>…..</v>
          </cell>
          <cell r="G17" t="str">
            <v>…..</v>
          </cell>
          <cell r="H17">
            <v>2015</v>
          </cell>
          <cell r="I17" t="str">
            <v>Hà Nội, ngày ….. tháng ….. năm 2015</v>
          </cell>
          <cell r="J17" t="str">
            <v>....h…. ngày ….. tháng ….. năm 2015</v>
          </cell>
          <cell r="K17" t="str">
            <v>....h…. ngày ….. tháng ….. năm 2015</v>
          </cell>
          <cell r="L17" t="str">
            <v>....h….</v>
          </cell>
          <cell r="M17" t="str">
            <v>....h….</v>
          </cell>
          <cell r="N17" t="str">
            <v>…..</v>
          </cell>
          <cell r="O17" t="str">
            <v>…..</v>
          </cell>
          <cell r="P17">
            <v>2015</v>
          </cell>
          <cell r="Q17" t="str">
            <v>Hà Nội, ngày ….. tháng ….. năm 2015</v>
          </cell>
          <cell r="R17" t="str">
            <v>....h…. ngày ….. tháng ….. năm 2015</v>
          </cell>
          <cell r="S17" t="str">
            <v>....h…. ngày ….. tháng ….. năm 2015</v>
          </cell>
          <cell r="T17" t="str">
            <v>....h….</v>
          </cell>
          <cell r="U17" t="str">
            <v>....h….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Phùng Mạnh Hưng</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Bùi Văn Sơn</v>
          </cell>
          <cell r="AM17" t="str">
            <v>Cán bộ kỹ thuật</v>
          </cell>
          <cell r="AQ17" t="str">
            <v>Ngày ….. Tháng ….. Năm 2015</v>
          </cell>
        </row>
        <row r="18">
          <cell r="D18" t="str">
            <v>....h….</v>
          </cell>
          <cell r="E18" t="str">
            <v>....h….</v>
          </cell>
          <cell r="F18" t="str">
            <v>…..</v>
          </cell>
          <cell r="G18" t="str">
            <v>…..</v>
          </cell>
          <cell r="H18">
            <v>2015</v>
          </cell>
          <cell r="I18" t="str">
            <v>Hà Nội, ngày ….. tháng ….. năm 2015</v>
          </cell>
          <cell r="J18" t="str">
            <v>....h…. ngày ….. tháng ….. năm 2015</v>
          </cell>
          <cell r="K18" t="str">
            <v>....h…. ngày ….. tháng ….. năm 2015</v>
          </cell>
          <cell r="L18" t="str">
            <v>....h….</v>
          </cell>
          <cell r="M18" t="str">
            <v>....h….</v>
          </cell>
          <cell r="N18" t="str">
            <v>…..</v>
          </cell>
          <cell r="O18" t="str">
            <v>…..</v>
          </cell>
          <cell r="P18">
            <v>2015</v>
          </cell>
          <cell r="Q18" t="str">
            <v>Hà Nội, ngày ….. tháng ….. năm 2015</v>
          </cell>
          <cell r="R18" t="str">
            <v>....h…. ngày ….. tháng ….. năm 2015</v>
          </cell>
          <cell r="S18" t="str">
            <v>....h…. ngày ….. tháng ….. năm 2015</v>
          </cell>
          <cell r="T18" t="str">
            <v>....h….</v>
          </cell>
          <cell r="U18" t="str">
            <v>....h….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Phùng Mạnh Hưng</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Bùi Văn Sơn</v>
          </cell>
          <cell r="AM18" t="str">
            <v>Cán bộ kỹ thuật</v>
          </cell>
          <cell r="AQ18" t="str">
            <v>Ngày ….. Tháng ….. Năm 2015</v>
          </cell>
        </row>
        <row r="19">
          <cell r="A19" t="str">
            <v>GĐCAM-01</v>
          </cell>
          <cell r="B19" t="str">
            <v>Hoàn thành giai đoạn thi công hệ thống camera</v>
          </cell>
          <cell r="C19" t="str">
            <v>GĐCAM-01</v>
          </cell>
          <cell r="D19" t="str">
            <v>8h00</v>
          </cell>
          <cell r="E19" t="str">
            <v>10h00</v>
          </cell>
          <cell r="F19">
            <v>16</v>
          </cell>
          <cell r="G19">
            <v>12</v>
          </cell>
          <cell r="H19">
            <v>2015</v>
          </cell>
          <cell r="I19" t="str">
            <v>Hà Nội, ngày 16 tháng 12 năm 2015</v>
          </cell>
          <cell r="J19" t="str">
            <v>8h00 ngày 16 tháng 12 năm 2015</v>
          </cell>
          <cell r="K19" t="str">
            <v>10h00 ngày 16 tháng 12 năm 2015</v>
          </cell>
          <cell r="L19" t="str">
            <v>14h00</v>
          </cell>
          <cell r="M19" t="str">
            <v>16h00</v>
          </cell>
          <cell r="N19">
            <v>16</v>
          </cell>
          <cell r="O19">
            <v>12</v>
          </cell>
          <cell r="P19">
            <v>2015</v>
          </cell>
          <cell r="Q19" t="str">
            <v>Hà Nội, ngày 16 tháng 12 năm 2015</v>
          </cell>
          <cell r="R19" t="str">
            <v>14h00 ngày 16 tháng 12 năm 2015</v>
          </cell>
          <cell r="S19" t="str">
            <v>16h00 ngày 16 tháng 12 năm 2015</v>
          </cell>
          <cell r="T19" t="str">
            <v>14h00</v>
          </cell>
          <cell r="U19" t="str">
            <v>14h00 Ngày 16/12/2015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Phùng Mạnh Hưng</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Bùi Văn Sơn</v>
          </cell>
          <cell r="AM19" t="str">
            <v>Cán bộ kỹ thuật</v>
          </cell>
          <cell r="AQ19" t="str">
            <v>Ngày 16 Tháng 12 Năm 2015</v>
          </cell>
        </row>
        <row r="20">
          <cell r="D20" t="str">
            <v>....h….</v>
          </cell>
          <cell r="E20" t="str">
            <v>....h….</v>
          </cell>
          <cell r="F20" t="str">
            <v>…..</v>
          </cell>
          <cell r="G20" t="str">
            <v>…..</v>
          </cell>
          <cell r="H20">
            <v>2015</v>
          </cell>
          <cell r="I20" t="str">
            <v>Hà Nội, ngày ….. tháng ….. năm 2015</v>
          </cell>
          <cell r="J20" t="str">
            <v>....h…. ngày ….. tháng ….. năm 2015</v>
          </cell>
          <cell r="K20" t="str">
            <v>....h…. ngày ….. tháng ….. năm 2015</v>
          </cell>
          <cell r="L20" t="str">
            <v>....h….</v>
          </cell>
          <cell r="M20" t="str">
            <v>....h….</v>
          </cell>
          <cell r="N20" t="str">
            <v>…..</v>
          </cell>
          <cell r="O20" t="str">
            <v>…..</v>
          </cell>
          <cell r="P20">
            <v>2015</v>
          </cell>
          <cell r="Q20" t="str">
            <v>Hà Nội, ngày ….. tháng ….. năm 2015</v>
          </cell>
          <cell r="R20" t="str">
            <v>....h…. ngày ….. tháng ….. năm 2015</v>
          </cell>
          <cell r="S20" t="str">
            <v>....h…. ngày ….. tháng ….. năm 2015</v>
          </cell>
          <cell r="T20" t="str">
            <v>....h….</v>
          </cell>
          <cell r="U20" t="str">
            <v>....h….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Phùng Mạnh Hưng</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Bùi Văn Sơn</v>
          </cell>
          <cell r="AM20" t="str">
            <v>Cán bộ kỹ thuật</v>
          </cell>
          <cell r="AQ20" t="str">
            <v>Ngày ….. Tháng ….. Năm 2015</v>
          </cell>
        </row>
        <row r="21">
          <cell r="D21" t="str">
            <v>....h….</v>
          </cell>
          <cell r="E21" t="str">
            <v>....h….</v>
          </cell>
          <cell r="F21" t="str">
            <v>…..</v>
          </cell>
          <cell r="G21" t="str">
            <v>…..</v>
          </cell>
          <cell r="H21">
            <v>2015</v>
          </cell>
          <cell r="I21" t="str">
            <v>Hà Nội, ngày ….. tháng ….. năm 2015</v>
          </cell>
          <cell r="J21" t="str">
            <v>....h…. ngày ….. tháng ….. năm 2015</v>
          </cell>
          <cell r="K21" t="str">
            <v>....h…. ngày ….. tháng ….. năm 2015</v>
          </cell>
          <cell r="L21" t="str">
            <v>....h….</v>
          </cell>
          <cell r="M21" t="str">
            <v>....h….</v>
          </cell>
          <cell r="N21" t="str">
            <v>…..</v>
          </cell>
          <cell r="O21" t="str">
            <v>…..</v>
          </cell>
          <cell r="P21">
            <v>2015</v>
          </cell>
          <cell r="Q21" t="str">
            <v>Hà Nội, ngày ….. tháng ….. năm 2015</v>
          </cell>
          <cell r="R21" t="str">
            <v>....h…. ngày ….. tháng ….. năm 2015</v>
          </cell>
          <cell r="S21" t="str">
            <v>....h…. ngày ….. tháng ….. năm 2015</v>
          </cell>
          <cell r="T21" t="str">
            <v>....h….</v>
          </cell>
          <cell r="U21" t="str">
            <v>....h….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Phùng Mạnh Hưng</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Bùi Văn Sơn</v>
          </cell>
          <cell r="AM21" t="str">
            <v>Cán bộ kỹ thuật</v>
          </cell>
          <cell r="AQ21" t="str">
            <v>Ngày ….. Tháng ….. Năm 2015</v>
          </cell>
        </row>
        <row r="22">
          <cell r="A22" t="str">
            <v>GĐCTN-01</v>
          </cell>
          <cell r="B22" t="str">
            <v>Hoàn thành giai đoạn thi công hệ thống cấp thoát nước</v>
          </cell>
          <cell r="C22" t="str">
            <v>GĐCTN-01</v>
          </cell>
          <cell r="D22" t="str">
            <v>....h….</v>
          </cell>
          <cell r="E22" t="str">
            <v>....h….</v>
          </cell>
          <cell r="F22" t="str">
            <v>…..</v>
          </cell>
          <cell r="G22" t="str">
            <v>…..</v>
          </cell>
          <cell r="H22">
            <v>2015</v>
          </cell>
          <cell r="I22" t="str">
            <v>Hà Nội, ngày ….. tháng ….. năm 2015</v>
          </cell>
          <cell r="J22" t="str">
            <v>....h…. ngày ….. tháng ….. năm 2015</v>
          </cell>
          <cell r="K22" t="str">
            <v>....h…. ngày ….. tháng ….. năm 2015</v>
          </cell>
          <cell r="L22" t="str">
            <v>....h….</v>
          </cell>
          <cell r="M22" t="str">
            <v>....h….</v>
          </cell>
          <cell r="N22" t="str">
            <v>…..</v>
          </cell>
          <cell r="O22" t="str">
            <v>…..</v>
          </cell>
          <cell r="P22">
            <v>2015</v>
          </cell>
          <cell r="Q22" t="str">
            <v>Hà Nội, ngày ….. tháng ….. năm 2015</v>
          </cell>
          <cell r="R22" t="str">
            <v>....h…. ngày ….. tháng ….. năm 2015</v>
          </cell>
          <cell r="S22" t="str">
            <v>....h…. ngày ….. tháng ….. năm 2015</v>
          </cell>
          <cell r="T22" t="str">
            <v>....h….</v>
          </cell>
          <cell r="U22" t="str">
            <v>....h….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Đàm Tiến Chiển</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Bùi Đức Hoàng</v>
          </cell>
          <cell r="AM22" t="str">
            <v>Cán bộ kỹ thuật</v>
          </cell>
          <cell r="AQ22" t="str">
            <v>Ngày ….. Tháng ….. Năm 2015</v>
          </cell>
        </row>
        <row r="23">
          <cell r="D23" t="str">
            <v>....h….</v>
          </cell>
          <cell r="E23" t="str">
            <v>....h….</v>
          </cell>
          <cell r="F23" t="str">
            <v>…..</v>
          </cell>
          <cell r="G23" t="str">
            <v>…..</v>
          </cell>
          <cell r="H23">
            <v>2015</v>
          </cell>
          <cell r="I23" t="str">
            <v>Hà Nội, ngày ….. tháng ….. năm 2015</v>
          </cell>
          <cell r="J23" t="str">
            <v>....h…. ngày ….. tháng ….. năm 2015</v>
          </cell>
          <cell r="K23" t="str">
            <v>....h…. ngày ….. tháng ….. năm 2015</v>
          </cell>
          <cell r="L23" t="str">
            <v>....h….</v>
          </cell>
          <cell r="M23" t="str">
            <v>....h….</v>
          </cell>
          <cell r="N23" t="str">
            <v>…..</v>
          </cell>
          <cell r="O23" t="str">
            <v>…..</v>
          </cell>
          <cell r="P23">
            <v>2015</v>
          </cell>
          <cell r="Q23" t="str">
            <v>Hà Nội, ngày ….. tháng ….. năm 2015</v>
          </cell>
          <cell r="R23" t="str">
            <v>....h…. ngày ….. tháng ….. năm 2015</v>
          </cell>
          <cell r="S23" t="str">
            <v>....h…. ngày ….. tháng ….. năm 2015</v>
          </cell>
          <cell r="T23" t="str">
            <v>....h….</v>
          </cell>
          <cell r="U23" t="str">
            <v>....h….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Đàm Tiến Chiển</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Bùi Đức Hoàng</v>
          </cell>
          <cell r="AM23" t="str">
            <v>Cán bộ kỹ thuật</v>
          </cell>
          <cell r="AQ23" t="str">
            <v>Ngày ….. Tháng ….. Năm 2015</v>
          </cell>
        </row>
        <row r="24">
          <cell r="D24" t="str">
            <v>....h….</v>
          </cell>
          <cell r="E24" t="str">
            <v>....h….</v>
          </cell>
          <cell r="F24" t="str">
            <v>…..</v>
          </cell>
          <cell r="G24" t="str">
            <v>…..</v>
          </cell>
          <cell r="H24">
            <v>2015</v>
          </cell>
          <cell r="I24" t="str">
            <v>Hà Nội, ngày ….. tháng ….. năm 2015</v>
          </cell>
          <cell r="J24" t="str">
            <v>....h…. ngày ….. tháng ….. năm 2015</v>
          </cell>
          <cell r="K24" t="str">
            <v>....h…. ngày ….. tháng ….. năm 2015</v>
          </cell>
          <cell r="L24" t="str">
            <v>....h….</v>
          </cell>
          <cell r="M24" t="str">
            <v>....h….</v>
          </cell>
          <cell r="N24" t="str">
            <v>…..</v>
          </cell>
          <cell r="O24" t="str">
            <v>…..</v>
          </cell>
          <cell r="P24">
            <v>2015</v>
          </cell>
          <cell r="Q24" t="str">
            <v>Hà Nội, ngày ….. tháng ….. năm 2015</v>
          </cell>
          <cell r="R24" t="str">
            <v>....h…. ngày ….. tháng ….. năm 2015</v>
          </cell>
          <cell r="S24" t="str">
            <v>....h…. ngày ….. tháng ….. năm 2015</v>
          </cell>
          <cell r="T24" t="str">
            <v>....h….</v>
          </cell>
          <cell r="U24" t="str">
            <v>....h….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Đàm Tiến Chiển</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Bùi Đức Hoàng</v>
          </cell>
          <cell r="AM24" t="str">
            <v>Cán bộ kỹ thuật</v>
          </cell>
          <cell r="AQ24" t="str">
            <v>Ngày ….. Tháng ….. Năm 2015</v>
          </cell>
        </row>
        <row r="30">
          <cell r="A30">
            <v>1</v>
          </cell>
          <cell r="B30">
            <v>2</v>
          </cell>
          <cell r="C30">
            <v>3</v>
          </cell>
          <cell r="D30">
            <v>4</v>
          </cell>
          <cell r="E30">
            <v>5</v>
          </cell>
          <cell r="F30">
            <v>6</v>
          </cell>
          <cell r="G30">
            <v>7</v>
          </cell>
          <cell r="H30">
            <v>8</v>
          </cell>
          <cell r="I30">
            <v>9</v>
          </cell>
          <cell r="J30">
            <v>10</v>
          </cell>
          <cell r="K30">
            <v>11</v>
          </cell>
          <cell r="L30">
            <v>12</v>
          </cell>
          <cell r="M30">
            <v>13</v>
          </cell>
          <cell r="N30">
            <v>14</v>
          </cell>
          <cell r="O30">
            <v>15</v>
          </cell>
          <cell r="P30">
            <v>16</v>
          </cell>
          <cell r="Q30">
            <v>17</v>
          </cell>
          <cell r="R30">
            <v>18</v>
          </cell>
          <cell r="S30">
            <v>19</v>
          </cell>
          <cell r="T30">
            <v>20</v>
          </cell>
          <cell r="U30">
            <v>21</v>
          </cell>
          <cell r="V30">
            <v>22</v>
          </cell>
          <cell r="W30">
            <v>23</v>
          </cell>
          <cell r="X30">
            <v>24</v>
          </cell>
          <cell r="Y30">
            <v>25</v>
          </cell>
          <cell r="Z30">
            <v>26</v>
          </cell>
          <cell r="AA30">
            <v>27</v>
          </cell>
          <cell r="AB30">
            <v>28</v>
          </cell>
          <cell r="AC30">
            <v>29</v>
          </cell>
          <cell r="AD30">
            <v>30</v>
          </cell>
          <cell r="AE30">
            <v>31</v>
          </cell>
          <cell r="AF30">
            <v>32</v>
          </cell>
          <cell r="AG30">
            <v>33</v>
          </cell>
          <cell r="AH30">
            <v>34</v>
          </cell>
          <cell r="AI30">
            <v>35</v>
          </cell>
          <cell r="AJ30">
            <v>36</v>
          </cell>
          <cell r="AK30">
            <v>37</v>
          </cell>
          <cell r="AL30">
            <v>38</v>
          </cell>
          <cell r="AM30">
            <v>39</v>
          </cell>
          <cell r="AN30">
            <v>40</v>
          </cell>
          <cell r="AO30">
            <v>41</v>
          </cell>
          <cell r="AP30">
            <v>42</v>
          </cell>
          <cell r="AQ30">
            <v>43</v>
          </cell>
        </row>
      </sheetData>
      <sheetData sheetId="118"/>
      <sheetData sheetId="119"/>
      <sheetData sheetId="120"/>
      <sheetData sheetId="121"/>
      <sheetData sheetId="122"/>
      <sheetData sheetId="123"/>
      <sheetData sheetId="124">
        <row r="1">
          <cell r="A1" t="str">
            <v>CÔNG TY CP HỒNG HÀ VIỆT NAM</v>
          </cell>
          <cell r="C1" t="str">
            <v>CỘNG HÒA XÃ HỘI CHỦ NGHĨA VIỆT NAM</v>
          </cell>
        </row>
        <row r="2">
          <cell r="C2" t="str">
            <v>ĐỘC LẬP-TỰ DO -HẠNH PHÚC</v>
          </cell>
          <cell r="U2" t="str">
            <v>FILE LĐT</v>
          </cell>
        </row>
        <row r="3">
          <cell r="P3" t="str">
            <v>FILE IN CV</v>
          </cell>
          <cell r="U3" t="str">
            <v>FILE IN VL</v>
          </cell>
          <cell r="V3" t="str">
            <v>FILE-IN KIEM TRA</v>
          </cell>
        </row>
        <row r="4">
          <cell r="A4" t="str">
            <v>BBNT NUOC</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OCTN-01</v>
          </cell>
          <cell r="B10" t="str">
            <v>Vật liệu ống cấp thoát nước và phụ kiện kèm theo biên bản giao nhận hàng hóa : ngày 16/5/2015 đến ngày 26/5/2015</v>
          </cell>
          <cell r="C10" t="str">
            <v>OCTN-01</v>
          </cell>
          <cell r="D10" t="str">
            <v>14h15</v>
          </cell>
          <cell r="E10" t="str">
            <v>15h00</v>
          </cell>
          <cell r="F10">
            <v>26</v>
          </cell>
          <cell r="G10">
            <v>5</v>
          </cell>
          <cell r="H10">
            <v>2015</v>
          </cell>
          <cell r="I10" t="str">
            <v>Hà Nội, ngày 26 tháng 5 năm 2015</v>
          </cell>
          <cell r="J10" t="str">
            <v>14h15 ngày 26 tháng 5 năm 2015</v>
          </cell>
          <cell r="K10" t="str">
            <v>15h00 ngày 26 tháng 5 năm 2015</v>
          </cell>
          <cell r="L10" t="str">
            <v>15h15</v>
          </cell>
          <cell r="M10" t="str">
            <v>16h00</v>
          </cell>
          <cell r="N10">
            <v>26</v>
          </cell>
          <cell r="O10">
            <v>5</v>
          </cell>
          <cell r="P10">
            <v>2015</v>
          </cell>
          <cell r="Q10" t="str">
            <v>Hà Nội, ngày 26 tháng 5 năm 2015</v>
          </cell>
          <cell r="R10" t="str">
            <v>15h15 ngày 26 tháng 5 năm 2015</v>
          </cell>
          <cell r="S10" t="str">
            <v>16h00 ngày 26 tháng 5 năm 2015</v>
          </cell>
          <cell r="T10" t="str">
            <v>15h15</v>
          </cell>
          <cell r="U10" t="str">
            <v>15h15 Ngày 26/5/2015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Đàm Tiến Chiển</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Vũ Văn Quang</v>
          </cell>
          <cell r="AM10" t="str">
            <v>Cán bộ kỹ thuật</v>
          </cell>
          <cell r="AQ10" t="str">
            <v>Ngày 26 Tháng 5 Năm 2015</v>
          </cell>
        </row>
        <row r="11">
          <cell r="A11" t="str">
            <v>OCTN-01A</v>
          </cell>
          <cell r="B11" t="str">
            <v>Vật liệu ống cấp thoát nước và phụ kiện kèm theo biên bản giao nhận hàng hóa : ngày 30/5/2015 đến ngày 19/6/2015</v>
          </cell>
          <cell r="C11" t="str">
            <v>OCTN-01A</v>
          </cell>
          <cell r="D11" t="str">
            <v>8h00</v>
          </cell>
          <cell r="E11" t="str">
            <v>9h00</v>
          </cell>
          <cell r="F11">
            <v>19</v>
          </cell>
          <cell r="G11">
            <v>6</v>
          </cell>
          <cell r="H11">
            <v>2015</v>
          </cell>
          <cell r="I11" t="str">
            <v>Hà Nội, ngày 19 tháng 6 năm 2015</v>
          </cell>
          <cell r="J11" t="str">
            <v>8h00 ngày 19 tháng 6 năm 2015</v>
          </cell>
          <cell r="K11" t="str">
            <v>9h00 ngày 19 tháng 6 năm 2015</v>
          </cell>
          <cell r="L11" t="str">
            <v>9h10</v>
          </cell>
          <cell r="M11" t="str">
            <v>10h00</v>
          </cell>
          <cell r="N11">
            <v>19</v>
          </cell>
          <cell r="O11">
            <v>6</v>
          </cell>
          <cell r="P11">
            <v>2015</v>
          </cell>
          <cell r="Q11" t="str">
            <v>Hà Nội, ngày 19 tháng 6 năm 2015</v>
          </cell>
          <cell r="R11" t="str">
            <v>9h10 ngày 19 tháng 6 năm 2015</v>
          </cell>
          <cell r="S11" t="str">
            <v>10h00 ngày 19 tháng 6 năm 2015</v>
          </cell>
          <cell r="T11" t="str">
            <v>9h10</v>
          </cell>
          <cell r="U11" t="str">
            <v>9h10 Ngày 19/6/2015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Đàm Tiến Chiển</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Vũ Văn Quang</v>
          </cell>
          <cell r="AM11" t="str">
            <v>Cán bộ kỹ thuật</v>
          </cell>
        </row>
        <row r="12">
          <cell r="A12" t="str">
            <v>OCTN-02</v>
          </cell>
          <cell r="B12" t="str">
            <v>Vật liệu ống cấp thoát nước kèm theo biên bản giao nhận hàng hóa ngày 19/6/2015</v>
          </cell>
          <cell r="C12" t="str">
            <v>OCTN-02</v>
          </cell>
          <cell r="D12" t="str">
            <v>14h00</v>
          </cell>
          <cell r="E12" t="str">
            <v>15h30</v>
          </cell>
          <cell r="F12">
            <v>19</v>
          </cell>
          <cell r="G12">
            <v>6</v>
          </cell>
          <cell r="H12">
            <v>2015</v>
          </cell>
          <cell r="I12" t="str">
            <v>Hà Nội, ngày 19 tháng 6 năm 2015</v>
          </cell>
          <cell r="J12" t="str">
            <v>14h00 ngày 19 tháng 6 năm 2015</v>
          </cell>
          <cell r="K12" t="str">
            <v>15h30 ngày 19 tháng 6 năm 2015</v>
          </cell>
          <cell r="L12" t="str">
            <v>15h30</v>
          </cell>
          <cell r="M12" t="str">
            <v>16h00</v>
          </cell>
          <cell r="N12">
            <v>19</v>
          </cell>
          <cell r="O12">
            <v>6</v>
          </cell>
          <cell r="P12">
            <v>2015</v>
          </cell>
          <cell r="Q12" t="str">
            <v>Hà Nội, ngày 19 tháng 6 năm 2015</v>
          </cell>
          <cell r="R12" t="str">
            <v>15h30 ngày 19 tháng 6 năm 2015</v>
          </cell>
          <cell r="S12" t="str">
            <v>16h00 ngày 19 tháng 6 năm 2015</v>
          </cell>
          <cell r="T12" t="str">
            <v>15h30</v>
          </cell>
          <cell r="U12" t="str">
            <v>15h30 Ngày 19/6/2015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Đàm Tiến Chiển</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Bùi Đức Hoàng</v>
          </cell>
          <cell r="AM12" t="str">
            <v>Cán bộ kỹ thuật</v>
          </cell>
          <cell r="AQ12" t="str">
            <v>Ngày 19 Tháng 6 Năm 2015</v>
          </cell>
        </row>
        <row r="13">
          <cell r="A13" t="str">
            <v>OCTN-03</v>
          </cell>
          <cell r="B13" t="str">
            <v>Vật liệu ống cấp thoát nước kèm theo biên bản giao nhận hàng hóa ngày 17/7/2015 đến ngày 5/8/2015</v>
          </cell>
          <cell r="C13" t="str">
            <v>OCTN-03</v>
          </cell>
          <cell r="D13" t="str">
            <v>8h00</v>
          </cell>
          <cell r="E13" t="str">
            <v>9h30</v>
          </cell>
          <cell r="F13">
            <v>6</v>
          </cell>
          <cell r="G13">
            <v>8</v>
          </cell>
          <cell r="H13">
            <v>2015</v>
          </cell>
          <cell r="I13" t="str">
            <v>Hà Nội, ngày 6 tháng 8 năm 2015</v>
          </cell>
          <cell r="J13" t="str">
            <v>8h00 ngày 6 tháng 8 năm 2015</v>
          </cell>
          <cell r="K13" t="str">
            <v>9h30 ngày 6 tháng 8 năm 2015</v>
          </cell>
          <cell r="L13" t="str">
            <v>9h30</v>
          </cell>
          <cell r="M13" t="str">
            <v>11h00</v>
          </cell>
          <cell r="N13">
            <v>6</v>
          </cell>
          <cell r="O13">
            <v>8</v>
          </cell>
          <cell r="P13">
            <v>2015</v>
          </cell>
          <cell r="Q13" t="str">
            <v>Hà Nội, ngày 6 tháng 8 năm 2015</v>
          </cell>
          <cell r="R13" t="str">
            <v>9h30 ngày 6 tháng 8 năm 2015</v>
          </cell>
          <cell r="S13" t="str">
            <v>11h00 ngày 6 tháng 8 năm 2015</v>
          </cell>
          <cell r="T13" t="str">
            <v>9h30</v>
          </cell>
          <cell r="U13" t="str">
            <v>9h30 Ngày 6/8/2015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Đàm Tiến Chiển</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Bùi Đức Hoàng</v>
          </cell>
          <cell r="AM13" t="str">
            <v>Cán bộ kỹ thuật</v>
          </cell>
          <cell r="AQ13" t="str">
            <v>Ngày 6 Tháng 8 Năm 2015</v>
          </cell>
        </row>
        <row r="14">
          <cell r="A14" t="str">
            <v>OCTN-04</v>
          </cell>
          <cell r="B14" t="str">
            <v>Vật liệu ống cấp thoát nước kèm theo biên bản giao nhận hàng hóa ngày 4/9/2015</v>
          </cell>
          <cell r="C14" t="str">
            <v>OCTN-04</v>
          </cell>
          <cell r="D14" t="str">
            <v>14h00</v>
          </cell>
          <cell r="E14" t="str">
            <v>15h30</v>
          </cell>
          <cell r="F14">
            <v>5</v>
          </cell>
          <cell r="G14">
            <v>9</v>
          </cell>
          <cell r="H14">
            <v>2015</v>
          </cell>
          <cell r="I14" t="str">
            <v>Hà Nội, ngày 5 tháng 9 năm 2015</v>
          </cell>
          <cell r="J14" t="str">
            <v>14h00 ngày 5 tháng 9 năm 2015</v>
          </cell>
          <cell r="K14" t="str">
            <v>15h30 ngày 5 tháng 9 năm 2015</v>
          </cell>
          <cell r="L14" t="str">
            <v>15h30</v>
          </cell>
          <cell r="M14" t="str">
            <v>17h00</v>
          </cell>
          <cell r="N14">
            <v>5</v>
          </cell>
          <cell r="O14">
            <v>9</v>
          </cell>
          <cell r="P14">
            <v>2015</v>
          </cell>
          <cell r="Q14" t="str">
            <v>Hà Nội, ngày 5 tháng 9 năm 2015</v>
          </cell>
          <cell r="R14" t="str">
            <v>15h30 ngày 5 tháng 9 năm 2015</v>
          </cell>
          <cell r="S14" t="str">
            <v>17h00 ngày 5 tháng 9 năm 2015</v>
          </cell>
          <cell r="T14" t="str">
            <v>15h30</v>
          </cell>
          <cell r="U14" t="str">
            <v>15h30 Ngày 5/9/2015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Đàm Tiến Chiển</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Bùi Đức Hoàng</v>
          </cell>
          <cell r="AM14" t="str">
            <v>Cán bộ kỹ thuật</v>
          </cell>
          <cell r="AQ14" t="str">
            <v>Ngày 5 Tháng 9 Năm 2015</v>
          </cell>
        </row>
        <row r="15">
          <cell r="A15" t="str">
            <v>OCTN-04A</v>
          </cell>
          <cell r="B15" t="str">
            <v>Vật liệu ống cấp thoát nước kèm theo biên bản giao nhận hàng hóa ngày 5/9/2015</v>
          </cell>
          <cell r="C15" t="str">
            <v>OCTN-04A</v>
          </cell>
          <cell r="D15" t="str">
            <v>8h00</v>
          </cell>
          <cell r="E15" t="str">
            <v>9h00</v>
          </cell>
          <cell r="F15">
            <v>6</v>
          </cell>
          <cell r="G15">
            <v>9</v>
          </cell>
          <cell r="H15">
            <v>2015</v>
          </cell>
          <cell r="I15" t="str">
            <v>Hà Nội, ngày 6 tháng 9 năm 2015</v>
          </cell>
          <cell r="J15" t="str">
            <v>8h00 ngày 6 tháng 9 năm 2015</v>
          </cell>
          <cell r="K15" t="str">
            <v>9h00 ngày 6 tháng 9 năm 2015</v>
          </cell>
          <cell r="L15" t="str">
            <v>16h00</v>
          </cell>
          <cell r="M15" t="str">
            <v>17h00</v>
          </cell>
          <cell r="N15">
            <v>6</v>
          </cell>
          <cell r="O15">
            <v>9</v>
          </cell>
          <cell r="P15">
            <v>2015</v>
          </cell>
          <cell r="Q15" t="str">
            <v>Hà Nội, ngày 6 tháng 9 năm 2015</v>
          </cell>
          <cell r="R15" t="str">
            <v>16h00 ngày 6 tháng 9 năm 2015</v>
          </cell>
          <cell r="S15" t="str">
            <v>17h00 ngày 6 tháng 9 năm 2015</v>
          </cell>
          <cell r="T15" t="str">
            <v>16h00</v>
          </cell>
          <cell r="U15" t="str">
            <v>16h00 Ngày 6/9/2015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Đàm Tiến Chiển</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Bùi Đức Hoàng</v>
          </cell>
          <cell r="AM15" t="str">
            <v>Cán bộ kỹ thuật</v>
          </cell>
          <cell r="AQ15" t="str">
            <v>Ngày 6 Tháng 9 Năm 2015</v>
          </cell>
        </row>
        <row r="16">
          <cell r="A16" t="str">
            <v>OCTN-05</v>
          </cell>
          <cell r="B16" t="str">
            <v>Két nước inox kèm theo biên bản giao nhận hàng hóa ngày 24/9/2015</v>
          </cell>
          <cell r="C16" t="str">
            <v>OCTN-05</v>
          </cell>
          <cell r="D16" t="str">
            <v>8h00</v>
          </cell>
          <cell r="E16" t="str">
            <v>9h00</v>
          </cell>
          <cell r="F16">
            <v>25</v>
          </cell>
          <cell r="G16">
            <v>9</v>
          </cell>
          <cell r="H16">
            <v>2015</v>
          </cell>
          <cell r="I16" t="str">
            <v>Hà Nội, ngày 25 tháng 9 năm 2015</v>
          </cell>
          <cell r="J16" t="str">
            <v>8h00 ngày 25 tháng 9 năm 2015</v>
          </cell>
          <cell r="K16" t="str">
            <v>9h00 ngày 25 tháng 9 năm 2015</v>
          </cell>
          <cell r="L16" t="str">
            <v>10h00</v>
          </cell>
          <cell r="M16" t="str">
            <v>11h00</v>
          </cell>
          <cell r="N16">
            <v>25</v>
          </cell>
          <cell r="O16">
            <v>9</v>
          </cell>
          <cell r="P16">
            <v>2015</v>
          </cell>
          <cell r="Q16" t="str">
            <v>Hà Nội, ngày 25 tháng 9 năm 2015</v>
          </cell>
          <cell r="R16" t="str">
            <v>10h00 ngày 25 tháng 9 năm 2015</v>
          </cell>
          <cell r="S16" t="str">
            <v>11h00 ngày 25 tháng 9 năm 2015</v>
          </cell>
          <cell r="T16" t="str">
            <v>10h00</v>
          </cell>
          <cell r="U16" t="str">
            <v>10h00 Ngày 25/9/2015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Đàm Tiến Chiển</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Bùi Đức Hoàng</v>
          </cell>
          <cell r="AM16" t="str">
            <v>Cán bộ kỹ thuật</v>
          </cell>
          <cell r="AQ16" t="str">
            <v>Ngày 25 Tháng 9 Năm 2015</v>
          </cell>
        </row>
        <row r="17">
          <cell r="A17" t="str">
            <v>OCTN-06</v>
          </cell>
          <cell r="B17" t="str">
            <v>Vật liệu van thép đồng các loại , Y lọc D125 , Crorefin D125 kèm theo biên bản giao nhận hàng hóa ngày 27/10/2015</v>
          </cell>
          <cell r="C17" t="str">
            <v>OCTN-06</v>
          </cell>
          <cell r="D17" t="str">
            <v>8h30</v>
          </cell>
          <cell r="E17" t="str">
            <v>9h30</v>
          </cell>
          <cell r="F17">
            <v>28</v>
          </cell>
          <cell r="G17">
            <v>10</v>
          </cell>
          <cell r="H17">
            <v>2015</v>
          </cell>
          <cell r="I17" t="str">
            <v>Hà Nội, ngày 28 tháng 10 năm 2015</v>
          </cell>
          <cell r="J17" t="str">
            <v>8h30 ngày 28 tháng 10 năm 2015</v>
          </cell>
          <cell r="K17" t="str">
            <v>9h30 ngày 28 tháng 10 năm 2015</v>
          </cell>
          <cell r="L17" t="str">
            <v>10h30</v>
          </cell>
          <cell r="M17" t="str">
            <v>11h30</v>
          </cell>
          <cell r="N17">
            <v>28</v>
          </cell>
          <cell r="O17">
            <v>10</v>
          </cell>
          <cell r="P17">
            <v>2015</v>
          </cell>
          <cell r="Q17" t="str">
            <v>Hà Nội, ngày 28 tháng 10 năm 2015</v>
          </cell>
          <cell r="R17" t="str">
            <v>10h30 ngày 28 tháng 10 năm 2015</v>
          </cell>
          <cell r="S17" t="str">
            <v>11h30 ngày 28 tháng 10 năm 2015</v>
          </cell>
          <cell r="T17" t="str">
            <v>10h30</v>
          </cell>
          <cell r="U17" t="str">
            <v>10h30 Ngày 28/10/2015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Đàm Tiến Chiển</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Bùi Đức Hoàng</v>
          </cell>
          <cell r="AM17" t="str">
            <v>Cán bộ kỹ thuật</v>
          </cell>
          <cell r="AQ17" t="str">
            <v>Ngày 28 Tháng 10 Năm 2015</v>
          </cell>
        </row>
        <row r="18">
          <cell r="A18" t="str">
            <v>OCTN-06A</v>
          </cell>
          <cell r="B18" t="str">
            <v>Vật liệu bích thép rèn, kép ren, tê ren, côn lệch tâm, van đồng, bu lông đen kèm theo biên bản giao nhận hàng hóa ngày 6/11/2015</v>
          </cell>
          <cell r="C18" t="str">
            <v>OCTN-06A</v>
          </cell>
          <cell r="D18" t="str">
            <v>8h00</v>
          </cell>
          <cell r="E18" t="str">
            <v>9h00</v>
          </cell>
          <cell r="F18">
            <v>6</v>
          </cell>
          <cell r="G18">
            <v>11</v>
          </cell>
          <cell r="H18">
            <v>2015</v>
          </cell>
          <cell r="I18" t="str">
            <v>Hà Nội, ngày 6 tháng 11 năm 2015</v>
          </cell>
          <cell r="J18" t="str">
            <v>8h00 ngày 6 tháng 11 năm 2015</v>
          </cell>
          <cell r="K18" t="str">
            <v>9h00 ngày 6 tháng 11 năm 2015</v>
          </cell>
          <cell r="L18" t="str">
            <v>10h00</v>
          </cell>
          <cell r="M18" t="str">
            <v>11h00</v>
          </cell>
          <cell r="N18">
            <v>6</v>
          </cell>
          <cell r="O18">
            <v>11</v>
          </cell>
          <cell r="P18">
            <v>2015</v>
          </cell>
          <cell r="Q18" t="str">
            <v>Hà Nội, ngày 6 tháng 11 năm 2015</v>
          </cell>
          <cell r="R18" t="str">
            <v>10h00 ngày 6 tháng 11 năm 2015</v>
          </cell>
          <cell r="S18" t="str">
            <v>11h00 ngày 6 tháng 11 năm 2015</v>
          </cell>
          <cell r="T18" t="str">
            <v>10h00</v>
          </cell>
          <cell r="U18" t="str">
            <v>10h00 Ngày 6/11/2015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Đàm Tiến Chiển</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Bùi Đức Hoàng</v>
          </cell>
          <cell r="AM18" t="str">
            <v>Cán bộ kỹ thuật</v>
          </cell>
          <cell r="AQ18" t="str">
            <v>Ngày 6 Tháng 11 Năm 2015</v>
          </cell>
        </row>
        <row r="19">
          <cell r="A19" t="str">
            <v>OCTN-06B</v>
          </cell>
          <cell r="B19" t="str">
            <v>Vật liệu van thép đồng, kép thép, rắc co, lơ thu thép, tê thép, khớp nối mềm, cút thép, bích thép kèm theo biên bản giao nhận hàng hóa ngày 20/11/2015</v>
          </cell>
          <cell r="C19" t="str">
            <v>OCTN-06B</v>
          </cell>
          <cell r="D19" t="str">
            <v>8h45</v>
          </cell>
          <cell r="E19" t="str">
            <v>9h45</v>
          </cell>
          <cell r="F19">
            <v>20</v>
          </cell>
          <cell r="G19">
            <v>11</v>
          </cell>
          <cell r="H19">
            <v>2015</v>
          </cell>
          <cell r="I19" t="str">
            <v>Hà Nội, ngày 20 tháng 11 năm 2015</v>
          </cell>
          <cell r="J19" t="str">
            <v>8h45 ngày 20 tháng 11 năm 2015</v>
          </cell>
          <cell r="K19" t="str">
            <v>9h45 ngày 20 tháng 11 năm 2015</v>
          </cell>
          <cell r="L19" t="str">
            <v>10h00</v>
          </cell>
          <cell r="M19" t="str">
            <v>11h00</v>
          </cell>
          <cell r="N19">
            <v>20</v>
          </cell>
          <cell r="O19">
            <v>11</v>
          </cell>
          <cell r="P19">
            <v>2015</v>
          </cell>
          <cell r="Q19" t="str">
            <v>Hà Nội, ngày 20 tháng 11 năm 2015</v>
          </cell>
          <cell r="R19" t="str">
            <v>10h00 ngày 20 tháng 11 năm 2015</v>
          </cell>
          <cell r="S19" t="str">
            <v>11h00 ngày 20 tháng 11 năm 2015</v>
          </cell>
          <cell r="T19" t="str">
            <v>10h00</v>
          </cell>
          <cell r="U19" t="str">
            <v>10h00 Ngày 20/11/2015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Đàm Tiến Chiển</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Bùi Đức Hoàng</v>
          </cell>
          <cell r="AM19" t="str">
            <v>Cán bộ kỹ thuật</v>
          </cell>
          <cell r="AQ19" t="str">
            <v>Ngày 20 Tháng 11 Năm 2015</v>
          </cell>
        </row>
        <row r="20">
          <cell r="A20" t="str">
            <v>OCTN-06C</v>
          </cell>
          <cell r="B20" t="str">
            <v>Vật liệu cút thép, măng sông ren, van cửa đồng, van bi, vòi bi, rắc co ren, tê thép đen, bu lông kèm theo biên bản giao nhận ngày 27/11/2015</v>
          </cell>
          <cell r="C20" t="str">
            <v>OCTN-06C</v>
          </cell>
          <cell r="D20" t="str">
            <v>9h00</v>
          </cell>
          <cell r="E20" t="str">
            <v>10h00</v>
          </cell>
          <cell r="F20">
            <v>27</v>
          </cell>
          <cell r="G20">
            <v>11</v>
          </cell>
          <cell r="H20">
            <v>2015</v>
          </cell>
          <cell r="I20" t="str">
            <v>Hà Nội, ngày 27 tháng 11 năm 2015</v>
          </cell>
          <cell r="J20" t="str">
            <v>9h00 ngày 27 tháng 11 năm 2015</v>
          </cell>
          <cell r="K20" t="str">
            <v>10h00 ngày 27 tháng 11 năm 2015</v>
          </cell>
          <cell r="L20" t="str">
            <v>10h30</v>
          </cell>
          <cell r="M20" t="str">
            <v>11h30</v>
          </cell>
          <cell r="N20">
            <v>27</v>
          </cell>
          <cell r="O20">
            <v>11</v>
          </cell>
          <cell r="P20">
            <v>2015</v>
          </cell>
          <cell r="Q20" t="str">
            <v>Hà Nội, ngày 27 tháng 11 năm 2015</v>
          </cell>
          <cell r="R20" t="str">
            <v>10h30 ngày 27 tháng 11 năm 2015</v>
          </cell>
          <cell r="S20" t="str">
            <v>11h30 ngày 27 tháng 11 năm 2015</v>
          </cell>
          <cell r="T20" t="str">
            <v>10h30</v>
          </cell>
          <cell r="U20" t="str">
            <v>10h30 Ngày 27/11/2015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Đàm Tiến Chiển</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Bùi Đức Hoàng</v>
          </cell>
          <cell r="AM20" t="str">
            <v>Cán bộ kỹ thuật</v>
          </cell>
          <cell r="AQ20" t="str">
            <v>Ngày 27 Tháng 11 Năm 2015</v>
          </cell>
        </row>
        <row r="21">
          <cell r="P21">
            <v>0</v>
          </cell>
          <cell r="Q21" t="str">
            <v>Hà Nội, ngày  tháng  năm 0</v>
          </cell>
          <cell r="R21" t="str">
            <v xml:space="preserve"> ngày  tháng  năm 0</v>
          </cell>
          <cell r="S21" t="str">
            <v xml:space="preserve"> ngày  tháng  năm 0</v>
          </cell>
          <cell r="T21">
            <v>0</v>
          </cell>
          <cell r="U21" t="str">
            <v>0 Ngày //0</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Đàm Tiến Chiển</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Bùi Đức Hoàng</v>
          </cell>
          <cell r="AM21" t="str">
            <v>Cán bộ kỹ thuật</v>
          </cell>
          <cell r="AQ21" t="str">
            <v xml:space="preserve">Ngày  Tháng  Năm </v>
          </cell>
        </row>
        <row r="22">
          <cell r="A22" t="str">
            <v>OCTN-07</v>
          </cell>
          <cell r="B22" t="str">
            <v>Máy bơm nước sinh hoạt , máy bơm tăng áp  kèm theo biên bản giao nhận hàng hóa ngày 30/10/2015</v>
          </cell>
          <cell r="C22" t="str">
            <v>OCTN-07</v>
          </cell>
          <cell r="D22" t="str">
            <v>9h00</v>
          </cell>
          <cell r="E22" t="str">
            <v>10h00</v>
          </cell>
          <cell r="F22">
            <v>5</v>
          </cell>
          <cell r="G22">
            <v>11</v>
          </cell>
          <cell r="H22">
            <v>2015</v>
          </cell>
          <cell r="I22" t="str">
            <v>Hà Nội, ngày 5 tháng 11 năm 2015</v>
          </cell>
          <cell r="J22" t="str">
            <v>9h00 ngày 5 tháng 11 năm 2015</v>
          </cell>
          <cell r="K22" t="str">
            <v>10h00 ngày 5 tháng 11 năm 2015</v>
          </cell>
          <cell r="L22" t="str">
            <v>10h30</v>
          </cell>
          <cell r="M22" t="str">
            <v>11h30</v>
          </cell>
          <cell r="N22">
            <v>5</v>
          </cell>
          <cell r="O22">
            <v>11</v>
          </cell>
          <cell r="P22">
            <v>2015</v>
          </cell>
          <cell r="Q22" t="str">
            <v>Hà Nội, ngày 5 tháng 11 năm 2015</v>
          </cell>
          <cell r="R22" t="str">
            <v>10h30 ngày 5 tháng 11 năm 2015</v>
          </cell>
          <cell r="S22" t="str">
            <v>11h30 ngày 5 tháng 11 năm 2015</v>
          </cell>
          <cell r="T22" t="str">
            <v>10h30</v>
          </cell>
          <cell r="U22" t="str">
            <v>10h30 Ngày 5/11/2015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Đàm Tiến Chiển</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Bùi Đức Hoàng</v>
          </cell>
          <cell r="AM22" t="str">
            <v>Cán bộ kỹ thuật</v>
          </cell>
          <cell r="AQ22" t="str">
            <v>Ngày 5 Tháng 11 Năm 2015</v>
          </cell>
        </row>
        <row r="23">
          <cell r="A23" t="str">
            <v>OCTN-08</v>
          </cell>
          <cell r="B23" t="str">
            <v>Thiết bị vệ sinh ( xí, lavabo, vòi sen, phụ kiện 9 món và phụ kiện) , chậu bàn bếp và phụ kiện kèm theo biên bản giao nhận hàng hóa ngày 8/11/2015, 16/11/2015 và 19/11/2015</v>
          </cell>
          <cell r="C23" t="str">
            <v>OCTN-08</v>
          </cell>
          <cell r="D23" t="str">
            <v>10h30</v>
          </cell>
          <cell r="E23" t="str">
            <v>11h45</v>
          </cell>
          <cell r="F23">
            <v>19</v>
          </cell>
          <cell r="G23">
            <v>11</v>
          </cell>
          <cell r="H23">
            <v>2015</v>
          </cell>
          <cell r="I23" t="str">
            <v>Hà Nội, ngày 19 tháng 11 năm 2015</v>
          </cell>
          <cell r="J23" t="str">
            <v>10h30 ngày 19 tháng 11 năm 2015</v>
          </cell>
          <cell r="K23" t="str">
            <v>11h45 ngày 19 tháng 11 năm 2015</v>
          </cell>
          <cell r="L23" t="str">
            <v>14h00</v>
          </cell>
          <cell r="M23" t="str">
            <v>14h30</v>
          </cell>
          <cell r="N23">
            <v>19</v>
          </cell>
          <cell r="O23">
            <v>11</v>
          </cell>
          <cell r="P23">
            <v>2015</v>
          </cell>
          <cell r="Q23" t="str">
            <v>Hà Nội, ngày 19 tháng 11 năm 2015</v>
          </cell>
          <cell r="R23" t="str">
            <v>14h00 ngày 19 tháng 11 năm 2015</v>
          </cell>
          <cell r="S23" t="str">
            <v>14h30 ngày 19 tháng 11 năm 2015</v>
          </cell>
          <cell r="T23" t="str">
            <v>14h00</v>
          </cell>
          <cell r="U23" t="str">
            <v>14h00 Ngày 19/11/2015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Đàm Tiến Chiển</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Bùi Đức Hoàng</v>
          </cell>
          <cell r="AM23" t="str">
            <v>Cán bộ kỹ thuật</v>
          </cell>
          <cell r="AQ23" t="str">
            <v>Ngày 19 Tháng 11 Năm 2015</v>
          </cell>
        </row>
        <row r="24">
          <cell r="A24" t="str">
            <v>OCTN-09</v>
          </cell>
          <cell r="B24" t="str">
            <v>Thiết bị vệ sinh ( xí, lavabo, vòi sen, phụ kiện 9 món và phụ kiện) , chậu bàn bếp và phụ kiện kèm theo biên bản giao nhận hàng hóa ngày 21/11/2015, 24/11/2015</v>
          </cell>
          <cell r="C24" t="str">
            <v>OCTN-09</v>
          </cell>
          <cell r="D24" t="str">
            <v>10h00</v>
          </cell>
          <cell r="E24" t="str">
            <v>11h30</v>
          </cell>
          <cell r="F24">
            <v>24</v>
          </cell>
          <cell r="G24">
            <v>11</v>
          </cell>
          <cell r="H24">
            <v>2015</v>
          </cell>
          <cell r="I24" t="str">
            <v>Hà Nội, ngày 24 tháng 11 năm 2015</v>
          </cell>
          <cell r="J24" t="str">
            <v>10h00 ngày 24 tháng 11 năm 2015</v>
          </cell>
          <cell r="K24" t="str">
            <v>11h30 ngày 24 tháng 11 năm 2015</v>
          </cell>
          <cell r="L24" t="str">
            <v>14h30</v>
          </cell>
          <cell r="M24" t="str">
            <v>16h00</v>
          </cell>
          <cell r="N24">
            <v>24</v>
          </cell>
          <cell r="O24">
            <v>11</v>
          </cell>
          <cell r="P24">
            <v>2015</v>
          </cell>
          <cell r="Q24" t="str">
            <v>Hà Nội, ngày 24 tháng 11 năm 2015</v>
          </cell>
          <cell r="R24" t="str">
            <v>14h30 ngày 24 tháng 11 năm 2015</v>
          </cell>
          <cell r="S24" t="str">
            <v>16h00 ngày 24 tháng 11 năm 2015</v>
          </cell>
          <cell r="T24" t="str">
            <v>14h30</v>
          </cell>
          <cell r="U24" t="str">
            <v>14h30 Ngày 24/11/2015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Đàm Tiến Chiển</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Bùi Đức Hoàng</v>
          </cell>
          <cell r="AM24" t="str">
            <v>Cán bộ kỹ thuật</v>
          </cell>
          <cell r="AQ24" t="str">
            <v>Ngày 24 Tháng 11 Năm 2015</v>
          </cell>
        </row>
        <row r="25">
          <cell r="A25" t="str">
            <v>OCTN-10</v>
          </cell>
          <cell r="B25" t="str">
            <v>Bình tích áp, tủ điều khiển bơm kèm theo biên bản giao nhận hàng hóa ngày 26/11/2015</v>
          </cell>
          <cell r="C25" t="str">
            <v>OCTN-10</v>
          </cell>
          <cell r="D25" t="str">
            <v>14h00</v>
          </cell>
          <cell r="E25" t="str">
            <v>15h00</v>
          </cell>
          <cell r="F25">
            <v>26</v>
          </cell>
          <cell r="G25">
            <v>11</v>
          </cell>
          <cell r="H25">
            <v>2015</v>
          </cell>
          <cell r="I25" t="str">
            <v>Hà Nội, ngày 26 tháng 11 năm 2015</v>
          </cell>
          <cell r="J25" t="str">
            <v>14h00 ngày 26 tháng 11 năm 2015</v>
          </cell>
          <cell r="K25" t="str">
            <v>15h00 ngày 26 tháng 11 năm 2015</v>
          </cell>
          <cell r="L25" t="str">
            <v>15h15</v>
          </cell>
          <cell r="M25" t="str">
            <v>16h15</v>
          </cell>
          <cell r="N25">
            <v>26</v>
          </cell>
          <cell r="O25">
            <v>11</v>
          </cell>
          <cell r="P25">
            <v>2015</v>
          </cell>
          <cell r="Q25" t="str">
            <v>Hà Nội, ngày 26 tháng 11 năm 2015</v>
          </cell>
          <cell r="R25" t="str">
            <v>15h15 ngày 26 tháng 11 năm 2015</v>
          </cell>
          <cell r="S25" t="str">
            <v>16h15 ngày 26 tháng 11 năm 2015</v>
          </cell>
          <cell r="T25" t="str">
            <v>15h15</v>
          </cell>
          <cell r="U25" t="str">
            <v>15h15 Ngày 26/11/2015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Đàm Tiến Chiển</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Bùi Đức Hoàng</v>
          </cell>
          <cell r="AM25" t="str">
            <v>Cán bộ kỹ thuật</v>
          </cell>
          <cell r="AQ25" t="str">
            <v>Ngày 26 Tháng 11 Năm 2015</v>
          </cell>
        </row>
        <row r="26">
          <cell r="A26" t="str">
            <v>OCTN-11</v>
          </cell>
          <cell r="B26" t="str">
            <v>Đồng hồ nước TD88 DN 15. Cấp C; do hãng Itron/Actaris sx tại Indonesia. Đã kiểm định; Đồng hồ nước DN 50. Cấp B; do hãng Itron/Actaris sx tại Brazil. Đã kiểm định; Zacco Đồng hồ DN15 SX tại Việt Nam</v>
          </cell>
          <cell r="C26" t="str">
            <v>OCTN-11</v>
          </cell>
          <cell r="D26" t="str">
            <v>9h00</v>
          </cell>
          <cell r="E26" t="str">
            <v>10h00</v>
          </cell>
          <cell r="F26">
            <v>26</v>
          </cell>
          <cell r="G26">
            <v>12</v>
          </cell>
          <cell r="H26">
            <v>2015</v>
          </cell>
          <cell r="I26" t="str">
            <v>Hà Nội, ngày 26 tháng 12 năm 2015</v>
          </cell>
          <cell r="J26" t="str">
            <v>9h00 ngày 26 tháng 12 năm 2015</v>
          </cell>
          <cell r="K26" t="str">
            <v>10h00 ngày 26 tháng 12 năm 2015</v>
          </cell>
          <cell r="L26" t="str">
            <v>10h15</v>
          </cell>
          <cell r="M26" t="str">
            <v>11h15</v>
          </cell>
          <cell r="N26">
            <v>26</v>
          </cell>
          <cell r="O26">
            <v>12</v>
          </cell>
          <cell r="P26">
            <v>2015</v>
          </cell>
          <cell r="Q26" t="str">
            <v>Hà Nội, ngày 26 tháng 12 năm 2015</v>
          </cell>
          <cell r="R26" t="str">
            <v>10h15 ngày 26 tháng 12 năm 2015</v>
          </cell>
          <cell r="S26" t="str">
            <v>11h15 ngày 26 tháng 12 năm 2015</v>
          </cell>
          <cell r="T26" t="str">
            <v>10h15</v>
          </cell>
          <cell r="U26" t="str">
            <v>10h15 Ngày 26/12/2015</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Đàm Tiến Chiển</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Bùi Đức Hoàng</v>
          </cell>
          <cell r="AM26" t="str">
            <v>Cán bộ kỹ thuật</v>
          </cell>
          <cell r="AQ26" t="str">
            <v>Ngày 26 Tháng 12 Năm 2015</v>
          </cell>
        </row>
        <row r="31">
          <cell r="N31">
            <v>0</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Đàm Tiến Chiển</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Bùi Đức Hoàng</v>
          </cell>
          <cell r="AM31" t="str">
            <v>Cán bộ kỹ thuật</v>
          </cell>
        </row>
        <row r="32">
          <cell r="A32" t="str">
            <v>OTN-01</v>
          </cell>
          <cell r="B32" t="str">
            <v>Lắp đặt đường ống cấp thoát nước tầng 1</v>
          </cell>
          <cell r="C32" t="str">
            <v>OTN-01</v>
          </cell>
          <cell r="D32" t="str">
            <v>13h30</v>
          </cell>
          <cell r="E32" t="str">
            <v>14h30</v>
          </cell>
          <cell r="F32">
            <v>5</v>
          </cell>
          <cell r="G32">
            <v>6</v>
          </cell>
          <cell r="H32">
            <v>2014</v>
          </cell>
          <cell r="I32" t="str">
            <v>Hà Nội, ngày 5 tháng 6 năm 2014</v>
          </cell>
          <cell r="J32" t="str">
            <v>13h30 ngày 5 tháng 6 năm 2014</v>
          </cell>
          <cell r="K32" t="str">
            <v>14h30 ngày 5 tháng 6 năm 2014</v>
          </cell>
          <cell r="L32" t="str">
            <v>14h30</v>
          </cell>
          <cell r="M32" t="str">
            <v>15h30</v>
          </cell>
          <cell r="N32">
            <v>5</v>
          </cell>
          <cell r="O32">
            <v>6</v>
          </cell>
          <cell r="P32">
            <v>2014</v>
          </cell>
          <cell r="Q32" t="str">
            <v>Hà Nội, ngày 5 tháng 6 năm 2014</v>
          </cell>
          <cell r="R32" t="str">
            <v>14h30 ngày 5 tháng 6 năm 2014</v>
          </cell>
          <cell r="S32" t="str">
            <v>15h30 ngày 5 tháng 6 năm 2014</v>
          </cell>
          <cell r="T32" t="str">
            <v>14h30</v>
          </cell>
          <cell r="U32" t="str">
            <v>14h30 Ngày 5/6/2014</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Đàm Tiến Chiển</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Bùi Đức Hoàng</v>
          </cell>
          <cell r="AM32" t="str">
            <v>Cán bộ kỹ thuật</v>
          </cell>
          <cell r="AQ32" t="str">
            <v>Ngày 5 Tháng 6 Năm 2014</v>
          </cell>
        </row>
        <row r="33">
          <cell r="A33" t="str">
            <v>CTN-02</v>
          </cell>
          <cell r="B33" t="str">
            <v>Lắp đặt hệ thống thoát nước căn hộ (trục thoát xí, rửa, bếp, giặt, mưa) tầng 03, 04, 05</v>
          </cell>
          <cell r="C33" t="str">
            <v>CTN-02</v>
          </cell>
          <cell r="D33" t="str">
            <v>8h00</v>
          </cell>
          <cell r="E33" t="str">
            <v>9h00</v>
          </cell>
          <cell r="F33">
            <v>4</v>
          </cell>
          <cell r="G33">
            <v>8</v>
          </cell>
          <cell r="H33">
            <v>2015</v>
          </cell>
          <cell r="I33" t="str">
            <v>Hà Nội, ngày 4 tháng 8 năm 2015</v>
          </cell>
          <cell r="J33" t="str">
            <v>8h00 ngày 4 tháng 8 năm 2015</v>
          </cell>
          <cell r="K33" t="str">
            <v>9h00 ngày 4 tháng 8 năm 2015</v>
          </cell>
          <cell r="L33" t="str">
            <v>9h00</v>
          </cell>
          <cell r="M33" t="str">
            <v>10h00</v>
          </cell>
          <cell r="N33">
            <v>4</v>
          </cell>
          <cell r="O33">
            <v>8</v>
          </cell>
          <cell r="P33">
            <v>2015</v>
          </cell>
          <cell r="Q33" t="str">
            <v>Hà Nội, ngày 4 tháng 8 năm 2015</v>
          </cell>
          <cell r="R33" t="str">
            <v>9h00 ngày 4 tháng 8 năm 2015</v>
          </cell>
          <cell r="S33" t="str">
            <v>10h00 ngày 4 tháng 8 năm 2015</v>
          </cell>
          <cell r="T33" t="str">
            <v>9h00</v>
          </cell>
          <cell r="U33" t="str">
            <v>9h00 Ngày 4/8/2015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Đàm Tiến Chiển</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Bùi Đức Hoàng</v>
          </cell>
          <cell r="AM33" t="str">
            <v>Cán bộ kỹ thuật</v>
          </cell>
          <cell r="AQ33" t="str">
            <v>Ngày 4 Tháng 8 Năm 2015</v>
          </cell>
        </row>
        <row r="34">
          <cell r="A34" t="str">
            <v>CTN-03</v>
          </cell>
          <cell r="B34" t="str">
            <v>Lắp đặt hệ thống cấp nước căn hộ tầng 03, 04, 05</v>
          </cell>
          <cell r="C34" t="str">
            <v>CTN-03</v>
          </cell>
          <cell r="D34" t="str">
            <v>8h30</v>
          </cell>
          <cell r="E34" t="str">
            <v>9h30</v>
          </cell>
          <cell r="F34">
            <v>10</v>
          </cell>
          <cell r="G34">
            <v>8</v>
          </cell>
          <cell r="H34">
            <v>2015</v>
          </cell>
          <cell r="I34" t="str">
            <v>Hà Nội, ngày 10 tháng 8 năm 2015</v>
          </cell>
          <cell r="J34" t="str">
            <v>8h30 ngày 10 tháng 8 năm 2015</v>
          </cell>
          <cell r="K34" t="str">
            <v>9h30 ngày 10 tháng 8 năm 2015</v>
          </cell>
          <cell r="L34" t="str">
            <v>9h30</v>
          </cell>
          <cell r="M34" t="str">
            <v>10h30</v>
          </cell>
          <cell r="N34">
            <v>10</v>
          </cell>
          <cell r="O34">
            <v>8</v>
          </cell>
          <cell r="P34">
            <v>2015</v>
          </cell>
          <cell r="Q34" t="str">
            <v>Hà Nội, ngày 10 tháng 8 năm 2015</v>
          </cell>
          <cell r="R34" t="str">
            <v>9h30 ngày 10 tháng 8 năm 2015</v>
          </cell>
          <cell r="S34" t="str">
            <v>10h30 ngày 10 tháng 8 năm 2015</v>
          </cell>
          <cell r="T34" t="str">
            <v>9h30</v>
          </cell>
          <cell r="U34" t="str">
            <v>9h30 Ngày 10/8/2015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Đàm Tiến Chiển</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Bùi Đức Hoàng</v>
          </cell>
          <cell r="AM34" t="str">
            <v>Cán bộ kỹ thuật</v>
          </cell>
          <cell r="AQ34" t="str">
            <v>Ngày 10 Tháng 8 Năm 2015</v>
          </cell>
        </row>
        <row r="35">
          <cell r="A35" t="str">
            <v>CTN-04</v>
          </cell>
          <cell r="B35" t="str">
            <v>Lắp đặt hệ thống thoát nước căn hộ (trục thoát xí, rửa, bếp, giặt, mưa) tầng 06, 07, 08</v>
          </cell>
          <cell r="C35" t="str">
            <v>CTN-04</v>
          </cell>
          <cell r="D35" t="str">
            <v>8h15</v>
          </cell>
          <cell r="E35" t="str">
            <v>9h15</v>
          </cell>
          <cell r="F35">
            <v>3</v>
          </cell>
          <cell r="G35">
            <v>9</v>
          </cell>
          <cell r="H35">
            <v>2015</v>
          </cell>
          <cell r="I35" t="str">
            <v>Hà Nội, ngày 3 tháng 9 năm 2015</v>
          </cell>
          <cell r="J35" t="str">
            <v>8h15 ngày 3 tháng 9 năm 2015</v>
          </cell>
          <cell r="K35" t="str">
            <v>9h15 ngày 3 tháng 9 năm 2015</v>
          </cell>
          <cell r="L35" t="str">
            <v>9h15</v>
          </cell>
          <cell r="M35" t="str">
            <v>10h15</v>
          </cell>
          <cell r="N35">
            <v>3</v>
          </cell>
          <cell r="O35">
            <v>9</v>
          </cell>
          <cell r="P35">
            <v>2015</v>
          </cell>
          <cell r="Q35" t="str">
            <v>Hà Nội, ngày 3 tháng 9 năm 2015</v>
          </cell>
          <cell r="R35" t="str">
            <v>9h15 ngày 3 tháng 9 năm 2015</v>
          </cell>
          <cell r="S35" t="str">
            <v>10h15 ngày 3 tháng 9 năm 2015</v>
          </cell>
          <cell r="T35" t="str">
            <v>9h15</v>
          </cell>
          <cell r="U35" t="str">
            <v>9h15 Ngày 3/9/2015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Đàm Tiến Chiển</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Bùi Đức Hoàng</v>
          </cell>
          <cell r="AM35" t="str">
            <v>Cán bộ kỹ thuật</v>
          </cell>
          <cell r="AQ35" t="str">
            <v>Ngày 3 Tháng 9 Năm 2015</v>
          </cell>
        </row>
        <row r="36">
          <cell r="A36" t="str">
            <v>CTN-05</v>
          </cell>
          <cell r="B36" t="str">
            <v>Lắp đặt hệ thống cấp nước căn hộ tầng 06, 07, 08</v>
          </cell>
          <cell r="C36" t="str">
            <v>CTN-05</v>
          </cell>
          <cell r="D36" t="str">
            <v>8h20</v>
          </cell>
          <cell r="E36" t="str">
            <v>9h20</v>
          </cell>
          <cell r="F36">
            <v>7</v>
          </cell>
          <cell r="G36">
            <v>9</v>
          </cell>
          <cell r="H36">
            <v>2015</v>
          </cell>
          <cell r="I36" t="str">
            <v>Hà Nội, ngày 7 tháng 9 năm 2015</v>
          </cell>
          <cell r="J36" t="str">
            <v>8h20 ngày 7 tháng 9 năm 2015</v>
          </cell>
          <cell r="K36" t="str">
            <v>9h20 ngày 7 tháng 9 năm 2015</v>
          </cell>
          <cell r="L36" t="str">
            <v>9h20</v>
          </cell>
          <cell r="M36" t="str">
            <v>10h20</v>
          </cell>
          <cell r="N36">
            <v>7</v>
          </cell>
          <cell r="O36">
            <v>9</v>
          </cell>
          <cell r="P36">
            <v>2015</v>
          </cell>
          <cell r="Q36" t="str">
            <v>Hà Nội, ngày 7 tháng 9 năm 2015</v>
          </cell>
          <cell r="R36" t="str">
            <v>9h20 ngày 7 tháng 9 năm 2015</v>
          </cell>
          <cell r="S36" t="str">
            <v>10h20 ngày 7 tháng 9 năm 2015</v>
          </cell>
          <cell r="T36" t="str">
            <v>9h20</v>
          </cell>
          <cell r="U36" t="str">
            <v>9h20 Ngày 7/9/2015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Đàm Tiến Chiển</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Bùi Đức Hoàng</v>
          </cell>
          <cell r="AM36" t="str">
            <v>Cán bộ kỹ thuật</v>
          </cell>
          <cell r="AQ36" t="str">
            <v>Ngày 7 Tháng 9 Năm 2015</v>
          </cell>
        </row>
        <row r="37">
          <cell r="D37" t="str">
            <v>….h….</v>
          </cell>
          <cell r="E37" t="str">
            <v>….h….</v>
          </cell>
          <cell r="F37" t="str">
            <v>……</v>
          </cell>
          <cell r="G37" t="str">
            <v>……</v>
          </cell>
          <cell r="H37">
            <v>2015</v>
          </cell>
          <cell r="I37" t="str">
            <v>Hà Nội, ngày …… tháng …… năm 2015</v>
          </cell>
          <cell r="J37" t="str">
            <v>….h…. ngày …… tháng …… năm 2015</v>
          </cell>
          <cell r="K37" t="str">
            <v>….h…. ngày …… tháng …… năm 2015</v>
          </cell>
          <cell r="L37" t="str">
            <v>….h….</v>
          </cell>
          <cell r="M37" t="str">
            <v>….h….</v>
          </cell>
          <cell r="N37" t="str">
            <v>……</v>
          </cell>
          <cell r="O37" t="str">
            <v>……</v>
          </cell>
          <cell r="P37">
            <v>2015</v>
          </cell>
          <cell r="Q37" t="str">
            <v>Hà Nội, ngày …… tháng …… năm 2015</v>
          </cell>
          <cell r="R37" t="str">
            <v>….h…. ngày …… tháng …… năm 2015</v>
          </cell>
          <cell r="S37" t="str">
            <v>….h…. ngày …… tháng …… năm 2015</v>
          </cell>
          <cell r="T37" t="str">
            <v>….h….</v>
          </cell>
          <cell r="U37" t="str">
            <v>….h…. Ngày ……/……/2015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Đàm Tiến Chiển</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Bùi Đức Hoàng</v>
          </cell>
          <cell r="AM37" t="str">
            <v>Cán bộ kỹ thuật</v>
          </cell>
          <cell r="AQ37" t="str">
            <v>Ngày …… Tháng …… Năm 2015</v>
          </cell>
        </row>
        <row r="38">
          <cell r="D38" t="str">
            <v>….h….</v>
          </cell>
          <cell r="E38" t="str">
            <v>….h….</v>
          </cell>
          <cell r="F38">
            <v>25</v>
          </cell>
          <cell r="G38">
            <v>3</v>
          </cell>
          <cell r="H38">
            <v>2015</v>
          </cell>
          <cell r="I38" t="str">
            <v>Hà Nội, ngày 25 tháng 3 năm 2015</v>
          </cell>
          <cell r="J38" t="str">
            <v>….h…. ngày 25 tháng 3 năm 2015</v>
          </cell>
          <cell r="K38" t="str">
            <v>….h…. ngày 25 tháng 3 năm 2015</v>
          </cell>
          <cell r="L38" t="str">
            <v>….h….</v>
          </cell>
          <cell r="M38" t="str">
            <v>….h….</v>
          </cell>
          <cell r="N38">
            <v>25</v>
          </cell>
          <cell r="O38">
            <v>3</v>
          </cell>
          <cell r="P38">
            <v>2015</v>
          </cell>
          <cell r="Q38" t="str">
            <v>Hà Nội, ngày 25 tháng 3 năm 2015</v>
          </cell>
          <cell r="R38" t="str">
            <v>….h…. ngày 25 tháng 3 năm 2015</v>
          </cell>
          <cell r="S38" t="str">
            <v>….h…. ngày 25 tháng 3 năm 2015</v>
          </cell>
          <cell r="T38" t="str">
            <v>….h….</v>
          </cell>
          <cell r="U38" t="str">
            <v>….h…. Ngày 25/3/2015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Đàm Tiến Chiển</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Bùi Đức Hoàng</v>
          </cell>
          <cell r="AM38" t="str">
            <v>Cán bộ kỹ thuật</v>
          </cell>
          <cell r="AQ38" t="str">
            <v>Ngày 25 Tháng 3 Năm 2015</v>
          </cell>
        </row>
        <row r="39">
          <cell r="A39" t="str">
            <v>TKTA-02</v>
          </cell>
          <cell r="B39" t="str">
            <v>Thử kín hệ thống thoát nước căn hộ (trục thoát xí, rửa, bếp, giặt, mưa) tầng 03, 04, 05</v>
          </cell>
          <cell r="C39" t="str">
            <v>TKTA-02</v>
          </cell>
          <cell r="D39" t="str">
            <v>14h00</v>
          </cell>
          <cell r="E39" t="str">
            <v>15h00</v>
          </cell>
          <cell r="F39" t="str">
            <v>02</v>
          </cell>
          <cell r="G39" t="str">
            <v>08</v>
          </cell>
          <cell r="H39">
            <v>2015</v>
          </cell>
          <cell r="I39" t="str">
            <v>Hà Nội, ngày 02 tháng 08 năm 2015</v>
          </cell>
          <cell r="J39" t="str">
            <v>14h00 ngày 02 tháng 08 năm 2015</v>
          </cell>
          <cell r="K39" t="str">
            <v>15h00 ngày 02 tháng 08 năm 2015</v>
          </cell>
          <cell r="L39" t="str">
            <v>15h00</v>
          </cell>
          <cell r="M39" t="str">
            <v>16h00</v>
          </cell>
          <cell r="N39" t="str">
            <v>02</v>
          </cell>
          <cell r="O39" t="str">
            <v>08</v>
          </cell>
          <cell r="P39">
            <v>2015</v>
          </cell>
          <cell r="Q39" t="str">
            <v>Hà Nội, ngày 02 tháng 08 năm 2015</v>
          </cell>
          <cell r="R39" t="str">
            <v>15h00 ngày 02 tháng 08 năm 2015</v>
          </cell>
          <cell r="S39" t="str">
            <v>16h00 ngày 02 tháng 08 năm 2015</v>
          </cell>
          <cell r="T39" t="str">
            <v>15h00</v>
          </cell>
          <cell r="U39" t="str">
            <v>15h00 Ngày 02/08/2015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Đàm Tiến Chiển</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Bùi Đức Hoàng</v>
          </cell>
          <cell r="AM39" t="str">
            <v>Cán bộ kỹ thuật</v>
          </cell>
          <cell r="AN39" t="str">
            <v>Từ tầng 03 đến hết tầng 05</v>
          </cell>
          <cell r="AQ39" t="str">
            <v>Ngày 02 Tháng 08 Năm 2015</v>
          </cell>
        </row>
        <row r="40">
          <cell r="A40" t="str">
            <v>TKTA-03</v>
          </cell>
          <cell r="B40" t="str">
            <v>Thử áp hệ thống cấp nước căn hộ tầng 03, 04, 05</v>
          </cell>
          <cell r="C40" t="str">
            <v>TKTA-03</v>
          </cell>
          <cell r="D40" t="str">
            <v>8h30</v>
          </cell>
          <cell r="E40" t="str">
            <v>9h30</v>
          </cell>
          <cell r="F40" t="str">
            <v>08</v>
          </cell>
          <cell r="G40" t="str">
            <v>08</v>
          </cell>
          <cell r="H40">
            <v>2015</v>
          </cell>
          <cell r="I40" t="str">
            <v>Hà Nội, ngày 08 tháng 08 năm 2015</v>
          </cell>
          <cell r="J40" t="str">
            <v>8h30 ngày 08 tháng 08 năm 2015</v>
          </cell>
          <cell r="K40" t="str">
            <v>9h30 ngày 08 tháng 08 năm 2015</v>
          </cell>
          <cell r="L40" t="str">
            <v>9h30</v>
          </cell>
          <cell r="M40" t="str">
            <v>10h30</v>
          </cell>
          <cell r="N40" t="str">
            <v>08</v>
          </cell>
          <cell r="O40" t="str">
            <v>08</v>
          </cell>
          <cell r="P40">
            <v>2015</v>
          </cell>
          <cell r="Q40" t="str">
            <v>Hà Nội, ngày 08 tháng 08 năm 2015</v>
          </cell>
          <cell r="R40" t="str">
            <v>9h30 ngày 08 tháng 08 năm 2015</v>
          </cell>
          <cell r="S40" t="str">
            <v>10h30 ngày 08 tháng 08 năm 2015</v>
          </cell>
          <cell r="T40" t="str">
            <v>9h30</v>
          </cell>
          <cell r="U40" t="str">
            <v>9h30 Ngày 08/08/2015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Đàm Tiến Chiển</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Bùi Đức Hoàng</v>
          </cell>
          <cell r="AM40" t="str">
            <v>Cán bộ kỹ thuật</v>
          </cell>
          <cell r="AN40" t="str">
            <v>Từ tầng 03 đến hết tầng 05</v>
          </cell>
          <cell r="AO40" t="str">
            <v>7 kg/cm2</v>
          </cell>
          <cell r="AQ40" t="str">
            <v>Ngày 08 Tháng 08 Năm 2015</v>
          </cell>
        </row>
        <row r="41">
          <cell r="A41" t="str">
            <v>TKTA-04</v>
          </cell>
          <cell r="B41" t="str">
            <v>Thử kín hệ thống thoát nước căn hộ (trục thoát xí, rửa, bếp, giặt, mưa) tầng 06, 07, 08</v>
          </cell>
          <cell r="C41" t="str">
            <v>TKTA-04</v>
          </cell>
          <cell r="D41" t="str">
            <v>9h00</v>
          </cell>
          <cell r="E41" t="str">
            <v>10h00</v>
          </cell>
          <cell r="F41" t="str">
            <v>01</v>
          </cell>
          <cell r="G41" t="str">
            <v>09</v>
          </cell>
          <cell r="H41">
            <v>2015</v>
          </cell>
          <cell r="I41" t="str">
            <v>Hà Nội, ngày 01 tháng 09 năm 2015</v>
          </cell>
          <cell r="J41" t="str">
            <v>9h00 ngày 01 tháng 09 năm 2015</v>
          </cell>
          <cell r="K41" t="str">
            <v>10h00 ngày 01 tháng 09 năm 2015</v>
          </cell>
          <cell r="L41" t="str">
            <v>10h00</v>
          </cell>
          <cell r="M41" t="str">
            <v>11h00</v>
          </cell>
          <cell r="N41" t="str">
            <v>01</v>
          </cell>
          <cell r="O41" t="str">
            <v>09</v>
          </cell>
          <cell r="P41">
            <v>2015</v>
          </cell>
          <cell r="Q41" t="str">
            <v>Hà Nội, ngày 01 tháng 09 năm 2015</v>
          </cell>
          <cell r="R41" t="str">
            <v>10h00 ngày 01 tháng 09 năm 2015</v>
          </cell>
          <cell r="S41" t="str">
            <v>11h00 ngày 01 tháng 09 năm 2015</v>
          </cell>
          <cell r="T41" t="str">
            <v>10h00</v>
          </cell>
          <cell r="U41" t="str">
            <v>10h00 Ngày 01/09/2015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Đàm Tiến Chiển</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Bùi Đức Hoàng</v>
          </cell>
          <cell r="AM41" t="str">
            <v>Cán bộ kỹ thuật</v>
          </cell>
          <cell r="AN41" t="str">
            <v>Từ tầng 06 đến hết tầng 08</v>
          </cell>
          <cell r="AQ41" t="str">
            <v>Ngày 01 Tháng 09 Năm 2015</v>
          </cell>
        </row>
        <row r="42">
          <cell r="A42" t="str">
            <v>TKTA-05</v>
          </cell>
          <cell r="B42" t="str">
            <v>Thử áp hệ thống cấp nước căn hộ tầng 06, 07, 08</v>
          </cell>
          <cell r="C42" t="str">
            <v>TKTA-05</v>
          </cell>
          <cell r="D42" t="str">
            <v>8h00</v>
          </cell>
          <cell r="E42" t="str">
            <v>9h00</v>
          </cell>
          <cell r="F42" t="str">
            <v>05</v>
          </cell>
          <cell r="G42" t="str">
            <v>09</v>
          </cell>
          <cell r="H42">
            <v>2015</v>
          </cell>
          <cell r="I42" t="str">
            <v>Hà Nội, ngày 05 tháng 09 năm 2015</v>
          </cell>
          <cell r="J42" t="str">
            <v>8h00 ngày 05 tháng 09 năm 2015</v>
          </cell>
          <cell r="K42" t="str">
            <v>9h00 ngày 05 tháng 09 năm 2015</v>
          </cell>
          <cell r="L42" t="str">
            <v>9h00</v>
          </cell>
          <cell r="M42" t="str">
            <v>10h00</v>
          </cell>
          <cell r="N42" t="str">
            <v>05</v>
          </cell>
          <cell r="O42" t="str">
            <v>09</v>
          </cell>
          <cell r="P42">
            <v>2015</v>
          </cell>
          <cell r="Q42" t="str">
            <v>Hà Nội, ngày 05 tháng 09 năm 2015</v>
          </cell>
          <cell r="R42" t="str">
            <v>9h00 ngày 05 tháng 09 năm 2015</v>
          </cell>
          <cell r="S42" t="str">
            <v>10h00 ngày 05 tháng 09 năm 2015</v>
          </cell>
          <cell r="T42" t="str">
            <v>9h00</v>
          </cell>
          <cell r="U42" t="str">
            <v>9h00 Ngày 05/09/2015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Đàm Tiến Chiển</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Bùi Đức Hoàng</v>
          </cell>
          <cell r="AM42" t="str">
            <v>Cán bộ kỹ thuật</v>
          </cell>
          <cell r="AN42" t="str">
            <v>Từ tầng 06 đến hết tầng 08</v>
          </cell>
          <cell r="AQ42" t="str">
            <v>Ngày 05 Tháng 09 Năm 2015</v>
          </cell>
        </row>
        <row r="43">
          <cell r="D43" t="str">
            <v>……</v>
          </cell>
          <cell r="E43" t="str">
            <v>…….</v>
          </cell>
          <cell r="F43" t="str">
            <v>……</v>
          </cell>
          <cell r="G43">
            <v>6</v>
          </cell>
          <cell r="H43">
            <v>2015</v>
          </cell>
          <cell r="I43" t="str">
            <v>Hà Nội, ngày …… tháng 6 năm 2015</v>
          </cell>
          <cell r="J43" t="str">
            <v>…… ngày …… tháng 6 năm 2015</v>
          </cell>
          <cell r="K43" t="str">
            <v>……. ngày …… tháng 6 năm 2015</v>
          </cell>
          <cell r="L43" t="str">
            <v>…….</v>
          </cell>
          <cell r="M43" t="str">
            <v>….h….</v>
          </cell>
          <cell r="N43" t="str">
            <v>……</v>
          </cell>
          <cell r="O43">
            <v>6</v>
          </cell>
          <cell r="P43">
            <v>2015</v>
          </cell>
          <cell r="Q43" t="str">
            <v>Hà Nội, ngày …… tháng 6 năm 2015</v>
          </cell>
          <cell r="R43" t="str">
            <v>……. ngày …… tháng 6 năm 2015</v>
          </cell>
          <cell r="S43" t="str">
            <v>….h…. ngày …… tháng 6 năm 2015</v>
          </cell>
          <cell r="T43" t="str">
            <v>…….</v>
          </cell>
          <cell r="U43" t="str">
            <v>……. Ngày ……/6/2015</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Đàm Tiến Chiển</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Bùi Đức Hoàng</v>
          </cell>
          <cell r="AM43" t="str">
            <v>Cán bộ kỹ thuật</v>
          </cell>
          <cell r="AQ43" t="str">
            <v>Ngày …… Tháng 6 Năm 2015</v>
          </cell>
        </row>
        <row r="44">
          <cell r="A44" t="str">
            <v>TKTA-06</v>
          </cell>
          <cell r="B44" t="str">
            <v>Thử áp đường ống cấp nước hành lang tầng 3 đến tầng 5</v>
          </cell>
          <cell r="C44" t="str">
            <v>TKTA-06</v>
          </cell>
          <cell r="D44" t="str">
            <v>7h30</v>
          </cell>
          <cell r="E44" t="str">
            <v>9h30</v>
          </cell>
          <cell r="F44">
            <v>8</v>
          </cell>
          <cell r="G44">
            <v>8</v>
          </cell>
          <cell r="H44">
            <v>2015</v>
          </cell>
          <cell r="I44" t="str">
            <v>Hà Nội, ngày 8 tháng 8 năm 2015</v>
          </cell>
          <cell r="J44" t="str">
            <v>7h30 ngày 8 tháng 8 năm 2015</v>
          </cell>
          <cell r="K44" t="str">
            <v>9h30 ngày 8 tháng 8 năm 2015</v>
          </cell>
          <cell r="L44" t="str">
            <v>14h00</v>
          </cell>
          <cell r="M44" t="str">
            <v>16h00</v>
          </cell>
          <cell r="N44">
            <v>8</v>
          </cell>
          <cell r="O44">
            <v>8</v>
          </cell>
          <cell r="P44">
            <v>2015</v>
          </cell>
          <cell r="Q44" t="str">
            <v>Hà Nội, ngày 8 tháng 8 năm 2015</v>
          </cell>
          <cell r="R44" t="str">
            <v>14h00 ngày 8 tháng 8 năm 2015</v>
          </cell>
          <cell r="S44" t="str">
            <v>16h00 ngày 8 tháng 8 năm 2015</v>
          </cell>
          <cell r="T44" t="str">
            <v>14h00</v>
          </cell>
          <cell r="U44" t="str">
            <v>14h00 Ngày 8/8/2015</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Đàm Tiến Chiển</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Bùi Đức Hoàng</v>
          </cell>
          <cell r="AM44" t="str">
            <v>Cán bộ kỹ thuật</v>
          </cell>
          <cell r="AN44" t="str">
            <v>Từ tầng 03 đến hết tầng 05</v>
          </cell>
          <cell r="AQ44" t="str">
            <v>Ngày 8 Tháng 8 Năm 2015</v>
          </cell>
        </row>
        <row r="45">
          <cell r="A45" t="str">
            <v>CTN-06</v>
          </cell>
          <cell r="B45" t="str">
            <v>Lắp đặt đường ống cấp nước hành lang tầng 3 đến tầng 5</v>
          </cell>
          <cell r="C45" t="str">
            <v>CTN-06</v>
          </cell>
          <cell r="D45" t="str">
            <v>7h30</v>
          </cell>
          <cell r="E45" t="str">
            <v>9h30</v>
          </cell>
          <cell r="F45">
            <v>10</v>
          </cell>
          <cell r="G45">
            <v>8</v>
          </cell>
          <cell r="H45">
            <v>2015</v>
          </cell>
          <cell r="I45" t="str">
            <v>Hà Nội, ngày 10 tháng 8 năm 2015</v>
          </cell>
          <cell r="J45" t="str">
            <v>7h30 ngày 10 tháng 8 năm 2015</v>
          </cell>
          <cell r="K45" t="str">
            <v>9h30 ngày 10 tháng 8 năm 2015</v>
          </cell>
          <cell r="L45" t="str">
            <v>14h00</v>
          </cell>
          <cell r="M45" t="str">
            <v>16h00</v>
          </cell>
          <cell r="N45">
            <v>10</v>
          </cell>
          <cell r="O45">
            <v>8</v>
          </cell>
          <cell r="P45">
            <v>2015</v>
          </cell>
          <cell r="Q45" t="str">
            <v>Hà Nội, ngày 10 tháng 8 năm 2015</v>
          </cell>
          <cell r="R45" t="str">
            <v>14h00 ngày 10 tháng 8 năm 2015</v>
          </cell>
          <cell r="S45" t="str">
            <v>16h00 ngày 10 tháng 8 năm 2015</v>
          </cell>
          <cell r="T45" t="str">
            <v>14h00</v>
          </cell>
          <cell r="U45" t="str">
            <v>14h00 Ngày 10/8/2015</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Đàm Tiến Chiển</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Bùi Đức Hoàng</v>
          </cell>
          <cell r="AM45" t="str">
            <v>Cán bộ kỹ thuật</v>
          </cell>
          <cell r="AQ45" t="str">
            <v>Ngày 10 Tháng 8 Năm 2015</v>
          </cell>
        </row>
        <row r="46">
          <cell r="A46" t="str">
            <v>TKTA-07</v>
          </cell>
          <cell r="B46" t="str">
            <v>Thử áp đường ống cấp nước hành lang tầng 6 đến tầng 8</v>
          </cell>
          <cell r="C46" t="str">
            <v>TKTA-07</v>
          </cell>
          <cell r="D46" t="str">
            <v>7h30</v>
          </cell>
          <cell r="E46" t="str">
            <v>9h30</v>
          </cell>
          <cell r="F46">
            <v>5</v>
          </cell>
          <cell r="G46">
            <v>9</v>
          </cell>
          <cell r="H46">
            <v>2015</v>
          </cell>
          <cell r="I46" t="str">
            <v>Hà Nội, ngày 5 tháng 9 năm 2015</v>
          </cell>
          <cell r="J46" t="str">
            <v>7h30 ngày 5 tháng 9 năm 2015</v>
          </cell>
          <cell r="K46" t="str">
            <v>9h30 ngày 5 tháng 9 năm 2015</v>
          </cell>
          <cell r="L46" t="str">
            <v>14h00</v>
          </cell>
          <cell r="M46" t="str">
            <v>16h00</v>
          </cell>
          <cell r="N46">
            <v>5</v>
          </cell>
          <cell r="O46">
            <v>9</v>
          </cell>
          <cell r="P46">
            <v>2015</v>
          </cell>
          <cell r="Q46" t="str">
            <v>Hà Nội, ngày 5 tháng 9 năm 2015</v>
          </cell>
          <cell r="R46" t="str">
            <v>14h00 ngày 5 tháng 9 năm 2015</v>
          </cell>
          <cell r="S46" t="str">
            <v>16h00 ngày 5 tháng 9 năm 2015</v>
          </cell>
          <cell r="T46" t="str">
            <v>14h00</v>
          </cell>
          <cell r="U46" t="str">
            <v>14h00 Ngày 5/9/2015</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Đàm Tiến Chiển</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Bùi Đức Hoàng</v>
          </cell>
          <cell r="AM46" t="str">
            <v>Cán bộ kỹ thuật</v>
          </cell>
          <cell r="AN46" t="str">
            <v>Từ tầng 06 đến hết tầng 08</v>
          </cell>
          <cell r="AQ46" t="str">
            <v>Ngày 5 Tháng 9 Năm 2015</v>
          </cell>
        </row>
        <row r="47">
          <cell r="A47" t="str">
            <v>CTN-07</v>
          </cell>
          <cell r="B47" t="str">
            <v>Lắp đặt đường ống cấp nước hành lang tầng 6 đến tầng 8</v>
          </cell>
          <cell r="C47" t="str">
            <v>CTN-07</v>
          </cell>
          <cell r="D47" t="str">
            <v>7h30</v>
          </cell>
          <cell r="E47" t="str">
            <v>9h30</v>
          </cell>
          <cell r="F47">
            <v>7</v>
          </cell>
          <cell r="G47">
            <v>9</v>
          </cell>
          <cell r="H47">
            <v>2015</v>
          </cell>
          <cell r="I47" t="str">
            <v>Hà Nội, ngày 7 tháng 9 năm 2015</v>
          </cell>
          <cell r="J47" t="str">
            <v>7h30 ngày 7 tháng 9 năm 2015</v>
          </cell>
          <cell r="K47" t="str">
            <v>9h30 ngày 7 tháng 9 năm 2015</v>
          </cell>
          <cell r="L47" t="str">
            <v>14h00</v>
          </cell>
          <cell r="M47" t="str">
            <v>16h00</v>
          </cell>
          <cell r="N47">
            <v>7</v>
          </cell>
          <cell r="O47">
            <v>9</v>
          </cell>
          <cell r="P47">
            <v>2015</v>
          </cell>
          <cell r="Q47" t="str">
            <v>Hà Nội, ngày 7 tháng 9 năm 2015</v>
          </cell>
          <cell r="R47" t="str">
            <v>14h00 ngày 7 tháng 9 năm 2015</v>
          </cell>
          <cell r="S47" t="str">
            <v>16h00 ngày 7 tháng 9 năm 2015</v>
          </cell>
          <cell r="T47" t="str">
            <v>14h00</v>
          </cell>
          <cell r="U47" t="str">
            <v>14h00 Ngày 7/9/2015</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Đàm Tiến Chiển</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Bùi Đức Hoàng</v>
          </cell>
          <cell r="AM47" t="str">
            <v>Cán bộ kỹ thuật</v>
          </cell>
          <cell r="AQ47" t="str">
            <v>Ngày 7 Tháng 9 Năm 2015</v>
          </cell>
        </row>
        <row r="48">
          <cell r="A48" t="str">
            <v>TKTA-08</v>
          </cell>
          <cell r="B48" t="str">
            <v>Thử áp đường ống cấp nước căn hộ và hành lang tầng 9 đến tầng 11</v>
          </cell>
          <cell r="C48" t="str">
            <v>TKTA-08</v>
          </cell>
          <cell r="D48" t="str">
            <v>7h30</v>
          </cell>
          <cell r="E48" t="str">
            <v>9h30</v>
          </cell>
          <cell r="F48">
            <v>9</v>
          </cell>
          <cell r="G48">
            <v>9</v>
          </cell>
          <cell r="H48">
            <v>2015</v>
          </cell>
          <cell r="I48" t="str">
            <v>Hà Nội, ngày 9 tháng 9 năm 2015</v>
          </cell>
          <cell r="J48" t="str">
            <v>7h30 ngày 9 tháng 9 năm 2015</v>
          </cell>
          <cell r="K48" t="str">
            <v>9h30 ngày 9 tháng 9 năm 2015</v>
          </cell>
          <cell r="L48" t="str">
            <v>14h00</v>
          </cell>
          <cell r="M48" t="str">
            <v>16h00</v>
          </cell>
          <cell r="N48">
            <v>9</v>
          </cell>
          <cell r="O48">
            <v>9</v>
          </cell>
          <cell r="P48">
            <v>2015</v>
          </cell>
          <cell r="Q48" t="str">
            <v>Hà Nội, ngày 9 tháng 9 năm 2015</v>
          </cell>
          <cell r="R48" t="str">
            <v>14h00 ngày 9 tháng 9 năm 2015</v>
          </cell>
          <cell r="S48" t="str">
            <v>16h00 ngày 9 tháng 9 năm 2015</v>
          </cell>
          <cell r="T48" t="str">
            <v>14h00</v>
          </cell>
          <cell r="U48" t="str">
            <v>14h00 Ngày 9/9/2015</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Đàm Tiến Chiển</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Bùi Đức Hoàng</v>
          </cell>
          <cell r="AM48" t="str">
            <v>Cán bộ kỹ thuật</v>
          </cell>
          <cell r="AN48" t="str">
            <v>Từ tầng 09 đến hết tầng 11</v>
          </cell>
          <cell r="AQ48" t="str">
            <v>Ngày 9 Tháng 9 Năm 2015</v>
          </cell>
        </row>
        <row r="49">
          <cell r="A49" t="str">
            <v>CTN-08</v>
          </cell>
          <cell r="B49" t="str">
            <v>Lắp đặt đường ống cấp nước căn hộ và hành lang tầng 9 đến tầng 11</v>
          </cell>
          <cell r="C49" t="str">
            <v>CTN-08</v>
          </cell>
          <cell r="D49" t="str">
            <v>7h30</v>
          </cell>
          <cell r="E49" t="str">
            <v>9h30</v>
          </cell>
          <cell r="F49">
            <v>11</v>
          </cell>
          <cell r="G49">
            <v>9</v>
          </cell>
          <cell r="H49">
            <v>2015</v>
          </cell>
          <cell r="I49" t="str">
            <v>Hà Nội, ngày 11 tháng 9 năm 2015</v>
          </cell>
          <cell r="J49" t="str">
            <v>7h30 ngày 11 tháng 9 năm 2015</v>
          </cell>
          <cell r="K49" t="str">
            <v>9h30 ngày 11 tháng 9 năm 2015</v>
          </cell>
          <cell r="L49" t="str">
            <v>14h00</v>
          </cell>
          <cell r="M49" t="str">
            <v>16h00</v>
          </cell>
          <cell r="N49">
            <v>11</v>
          </cell>
          <cell r="O49">
            <v>9</v>
          </cell>
          <cell r="P49">
            <v>2015</v>
          </cell>
          <cell r="Q49" t="str">
            <v>Hà Nội, ngày 11 tháng 9 năm 2015</v>
          </cell>
          <cell r="R49" t="str">
            <v>14h00 ngày 11 tháng 9 năm 2015</v>
          </cell>
          <cell r="S49" t="str">
            <v>16h00 ngày 11 tháng 9 năm 2015</v>
          </cell>
          <cell r="T49" t="str">
            <v>14h00</v>
          </cell>
          <cell r="U49" t="str">
            <v>14h00 Ngày 11/9/2015</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Đàm Tiến Chiển</v>
          </cell>
          <cell r="AE49" t="str">
            <v>Cán bộ TVGS</v>
          </cell>
          <cell r="AF49" t="str">
            <v>................................</v>
          </cell>
          <cell r="AG49" t="str">
            <v>................................</v>
          </cell>
          <cell r="AH49" t="str">
            <v>Nguyễn Ái Việt</v>
          </cell>
          <cell r="AI49" t="str">
            <v>Chỉ huy trưởng</v>
          </cell>
          <cell r="AJ49" t="str">
            <v>Hoàng Chiến Thắng</v>
          </cell>
          <cell r="AK49" t="str">
            <v>P. Chỉ huy trưởng</v>
          </cell>
          <cell r="AL49" t="str">
            <v>Bùi Đức Hoàng</v>
          </cell>
          <cell r="AM49" t="str">
            <v>Cán bộ kỹ thuật</v>
          </cell>
          <cell r="AQ49" t="str">
            <v>Ngày 11 Tháng 9 Năm 2015</v>
          </cell>
        </row>
        <row r="50">
          <cell r="A50" t="str">
            <v>TKTA-09</v>
          </cell>
          <cell r="B50" t="str">
            <v>Thử kín đường ống thoát nước trong căn hộ (trục thoát xí, rửa, bếp, giặt, mưa) từ tầng 9 đến tầng 11</v>
          </cell>
          <cell r="C50" t="str">
            <v>TKTA-09</v>
          </cell>
          <cell r="D50" t="str">
            <v>7h30</v>
          </cell>
          <cell r="E50" t="str">
            <v>9h30</v>
          </cell>
          <cell r="F50">
            <v>12</v>
          </cell>
          <cell r="G50">
            <v>9</v>
          </cell>
          <cell r="H50">
            <v>2015</v>
          </cell>
          <cell r="I50" t="str">
            <v>Hà Nội, ngày 12 tháng 9 năm 2015</v>
          </cell>
          <cell r="J50" t="str">
            <v>7h30 ngày 12 tháng 9 năm 2015</v>
          </cell>
          <cell r="K50" t="str">
            <v>9h30 ngày 12 tháng 9 năm 2015</v>
          </cell>
          <cell r="L50" t="str">
            <v>14h00</v>
          </cell>
          <cell r="M50" t="str">
            <v>16h00</v>
          </cell>
          <cell r="N50">
            <v>12</v>
          </cell>
          <cell r="O50">
            <v>9</v>
          </cell>
          <cell r="P50">
            <v>2015</v>
          </cell>
          <cell r="Q50" t="str">
            <v>Hà Nội, ngày 12 tháng 9 năm 2015</v>
          </cell>
          <cell r="R50" t="str">
            <v>14h00 ngày 12 tháng 9 năm 2015</v>
          </cell>
          <cell r="S50" t="str">
            <v>16h00 ngày 12 tháng 9 năm 2015</v>
          </cell>
          <cell r="T50" t="str">
            <v>14h00</v>
          </cell>
          <cell r="U50" t="str">
            <v>14h00 Ngày 12/9/2015</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Đàm Tiến Chiển</v>
          </cell>
          <cell r="AE50" t="str">
            <v>Cán bộ TVGS</v>
          </cell>
          <cell r="AF50" t="str">
            <v>................................</v>
          </cell>
          <cell r="AG50" t="str">
            <v>................................</v>
          </cell>
          <cell r="AH50" t="str">
            <v>Nguyễn Ái Việt</v>
          </cell>
          <cell r="AI50" t="str">
            <v>Chỉ huy trưởng</v>
          </cell>
          <cell r="AJ50" t="str">
            <v>Hoàng Chiến Thắng</v>
          </cell>
          <cell r="AK50" t="str">
            <v>P. Chỉ huy trưởng</v>
          </cell>
          <cell r="AL50" t="str">
            <v>Bùi Đức Hoàng</v>
          </cell>
          <cell r="AM50" t="str">
            <v>Cán bộ kỹ thuật</v>
          </cell>
          <cell r="AN50" t="str">
            <v>Từ tầng 09 đến hết tầng 11</v>
          </cell>
          <cell r="AQ50" t="str">
            <v>Ngày 12 Tháng 9 Năm 2015</v>
          </cell>
        </row>
        <row r="51">
          <cell r="A51" t="str">
            <v>CTN-09</v>
          </cell>
          <cell r="B51" t="str">
            <v>Lắp đặt đường ống thoát nước trong căn hộ (trục thoát xí, rửa, bếp, giặt, mưa) từ tầng 9 đến tầng 11</v>
          </cell>
          <cell r="C51" t="str">
            <v>CTN-09</v>
          </cell>
          <cell r="D51" t="str">
            <v>7h30</v>
          </cell>
          <cell r="E51" t="str">
            <v>9h30</v>
          </cell>
          <cell r="F51">
            <v>14</v>
          </cell>
          <cell r="G51">
            <v>9</v>
          </cell>
          <cell r="H51">
            <v>2015</v>
          </cell>
          <cell r="I51" t="str">
            <v>Hà Nội, ngày 14 tháng 9 năm 2015</v>
          </cell>
          <cell r="J51" t="str">
            <v>7h30 ngày 14 tháng 9 năm 2015</v>
          </cell>
          <cell r="K51" t="str">
            <v>9h30 ngày 14 tháng 9 năm 2015</v>
          </cell>
          <cell r="L51" t="str">
            <v>14h00</v>
          </cell>
          <cell r="M51" t="str">
            <v>16h00</v>
          </cell>
          <cell r="N51">
            <v>14</v>
          </cell>
          <cell r="O51">
            <v>9</v>
          </cell>
          <cell r="P51">
            <v>2015</v>
          </cell>
          <cell r="Q51" t="str">
            <v>Hà Nội, ngày 14 tháng 9 năm 2015</v>
          </cell>
          <cell r="R51" t="str">
            <v>14h00 ngày 14 tháng 9 năm 2015</v>
          </cell>
          <cell r="S51" t="str">
            <v>16h00 ngày 14 tháng 9 năm 2015</v>
          </cell>
          <cell r="T51" t="str">
            <v>14h00</v>
          </cell>
          <cell r="U51" t="str">
            <v>14h00 Ngày 14/9/2015</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Đàm Tiến Chiển</v>
          </cell>
          <cell r="AE51" t="str">
            <v>Cán bộ TVGS</v>
          </cell>
          <cell r="AF51" t="str">
            <v>................................</v>
          </cell>
          <cell r="AG51" t="str">
            <v>................................</v>
          </cell>
          <cell r="AH51" t="str">
            <v>Nguyễn Ái Việt</v>
          </cell>
          <cell r="AI51" t="str">
            <v>Chỉ huy trưởng</v>
          </cell>
          <cell r="AJ51" t="str">
            <v>Hoàng Chiến Thắng</v>
          </cell>
          <cell r="AK51" t="str">
            <v>P. Chỉ huy trưởng</v>
          </cell>
          <cell r="AL51" t="str">
            <v>Bùi Đức Hoàng</v>
          </cell>
          <cell r="AM51" t="str">
            <v>Cán bộ kỹ thuật</v>
          </cell>
          <cell r="AQ51" t="str">
            <v>Ngày 14 Tháng 9 Năm 2015</v>
          </cell>
        </row>
        <row r="52">
          <cell r="A52" t="str">
            <v>TKTA-10A</v>
          </cell>
          <cell r="B52" t="str">
            <v>Thử kín đường ống thoát nước tầng áp mái</v>
          </cell>
          <cell r="C52" t="str">
            <v>TKTA-10A</v>
          </cell>
          <cell r="D52" t="str">
            <v>8h00</v>
          </cell>
          <cell r="E52" t="str">
            <v>9h00</v>
          </cell>
          <cell r="F52">
            <v>4</v>
          </cell>
          <cell r="G52">
            <v>10</v>
          </cell>
          <cell r="H52">
            <v>2015</v>
          </cell>
          <cell r="I52" t="str">
            <v>Hà Nội, ngày 4 tháng 10 năm 2015</v>
          </cell>
          <cell r="J52" t="str">
            <v>8h00 ngày 4 tháng 10 năm 2015</v>
          </cell>
          <cell r="K52" t="str">
            <v>9h00 ngày 4 tháng 10 năm 2015</v>
          </cell>
          <cell r="L52" t="str">
            <v>14h00</v>
          </cell>
          <cell r="M52" t="str">
            <v>15h00</v>
          </cell>
          <cell r="N52">
            <v>4</v>
          </cell>
          <cell r="O52">
            <v>10</v>
          </cell>
          <cell r="P52">
            <v>2015</v>
          </cell>
          <cell r="Q52" t="str">
            <v>Hà Nội, ngày 4 tháng 10 năm 2015</v>
          </cell>
          <cell r="R52" t="str">
            <v>14h00 ngày 4 tháng 10 năm 2015</v>
          </cell>
          <cell r="S52" t="str">
            <v>15h00 ngày 4 tháng 10 năm 2015</v>
          </cell>
          <cell r="T52" t="str">
            <v>14h00</v>
          </cell>
          <cell r="U52" t="str">
            <v>14h00 Ngày 4/10/2015</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Đàm Tiến Chiển</v>
          </cell>
          <cell r="AE52" t="str">
            <v>Cán bộ TVGS</v>
          </cell>
          <cell r="AF52" t="str">
            <v>................................</v>
          </cell>
          <cell r="AG52" t="str">
            <v>................................</v>
          </cell>
          <cell r="AH52" t="str">
            <v>Nguyễn Ái Việt</v>
          </cell>
          <cell r="AI52" t="str">
            <v>Chỉ huy trưởng</v>
          </cell>
          <cell r="AJ52" t="str">
            <v>Hoàng Chiến Thắng</v>
          </cell>
          <cell r="AK52" t="str">
            <v>P. Chỉ huy trưởng</v>
          </cell>
          <cell r="AL52" t="str">
            <v>Bùi Đức Hoàng</v>
          </cell>
          <cell r="AM52" t="str">
            <v>Cán bộ kỹ thuật</v>
          </cell>
          <cell r="AN52" t="str">
            <v>Tầng áp mái</v>
          </cell>
          <cell r="AQ52" t="str">
            <v>Ngày 4 Tháng 10 Năm 2015</v>
          </cell>
        </row>
        <row r="53">
          <cell r="A53" t="str">
            <v>TKTA-10</v>
          </cell>
          <cell r="B53" t="str">
            <v>Thử kín đường ống thoát nước tầng 1 đến hết tầng 2 ( hệ gom ống từ các trục kỹ thuật đến các bể phốt) và tầng áp mái</v>
          </cell>
          <cell r="C53" t="str">
            <v>TKTA-10</v>
          </cell>
          <cell r="D53" t="str">
            <v>7h30</v>
          </cell>
          <cell r="E53" t="str">
            <v>9h30</v>
          </cell>
          <cell r="F53">
            <v>4</v>
          </cell>
          <cell r="G53">
            <v>10</v>
          </cell>
          <cell r="H53">
            <v>2015</v>
          </cell>
          <cell r="I53" t="str">
            <v>Hà Nội, ngày 4 tháng 10 năm 2015</v>
          </cell>
          <cell r="J53" t="str">
            <v>7h30 ngày 4 tháng 10 năm 2015</v>
          </cell>
          <cell r="K53" t="str">
            <v>9h30 ngày 4 tháng 10 năm 2015</v>
          </cell>
          <cell r="L53" t="str">
            <v>14h00</v>
          </cell>
          <cell r="M53" t="str">
            <v>16h00</v>
          </cell>
          <cell r="N53">
            <v>4</v>
          </cell>
          <cell r="O53">
            <v>10</v>
          </cell>
          <cell r="P53">
            <v>2015</v>
          </cell>
          <cell r="Q53" t="str">
            <v>Hà Nội, ngày 4 tháng 10 năm 2015</v>
          </cell>
          <cell r="R53" t="str">
            <v>14h00 ngày 4 tháng 10 năm 2015</v>
          </cell>
          <cell r="S53" t="str">
            <v>16h00 ngày 4 tháng 10 năm 2015</v>
          </cell>
          <cell r="T53" t="str">
            <v>14h00</v>
          </cell>
          <cell r="U53" t="str">
            <v>14h00 Ngày 4/10/2015</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Đàm Tiến Chiển</v>
          </cell>
          <cell r="AE53" t="str">
            <v>Cán bộ TVGS</v>
          </cell>
          <cell r="AF53" t="str">
            <v>................................</v>
          </cell>
          <cell r="AG53" t="str">
            <v>................................</v>
          </cell>
          <cell r="AH53" t="str">
            <v>Nguyễn Ái Việt</v>
          </cell>
          <cell r="AI53" t="str">
            <v>Chỉ huy trưởng</v>
          </cell>
          <cell r="AJ53" t="str">
            <v>Hoàng Chiến Thắng</v>
          </cell>
          <cell r="AK53" t="str">
            <v>P. Chỉ huy trưởng</v>
          </cell>
          <cell r="AL53" t="str">
            <v>Bùi Đức Hoàng</v>
          </cell>
          <cell r="AM53" t="str">
            <v>Cán bộ kỹ thuật</v>
          </cell>
          <cell r="AN53" t="str">
            <v>Từ tầng 01 đến tầng 02</v>
          </cell>
          <cell r="AQ53" t="str">
            <v>Ngày 4 Tháng 10 Năm 2015</v>
          </cell>
        </row>
        <row r="54">
          <cell r="A54" t="str">
            <v>CTN-10</v>
          </cell>
          <cell r="B54" t="str">
            <v>Lắp đặt đường ống thoát nước tầng 1 đến hết tầng 2 ( hệ gom ống từ các trục kỹ thuật đến các bể phốt) và tầng áp mái</v>
          </cell>
          <cell r="C54" t="str">
            <v>CTN-10</v>
          </cell>
          <cell r="D54" t="str">
            <v>7h30</v>
          </cell>
          <cell r="E54" t="str">
            <v>9h30</v>
          </cell>
          <cell r="F54">
            <v>6</v>
          </cell>
          <cell r="G54">
            <v>10</v>
          </cell>
          <cell r="H54">
            <v>2015</v>
          </cell>
          <cell r="I54" t="str">
            <v>Hà Nội, ngày 6 tháng 10 năm 2015</v>
          </cell>
          <cell r="J54" t="str">
            <v>7h30 ngày 6 tháng 10 năm 2015</v>
          </cell>
          <cell r="K54" t="str">
            <v>9h30 ngày 6 tháng 10 năm 2015</v>
          </cell>
          <cell r="L54" t="str">
            <v>14h00</v>
          </cell>
          <cell r="M54" t="str">
            <v>16h00</v>
          </cell>
          <cell r="N54">
            <v>10</v>
          </cell>
          <cell r="O54">
            <v>10</v>
          </cell>
          <cell r="P54">
            <v>2015</v>
          </cell>
          <cell r="Q54" t="str">
            <v>Hà Nội, ngày 10 tháng 10 năm 2015</v>
          </cell>
          <cell r="R54" t="str">
            <v>14h00 ngày 10 tháng 10 năm 2015</v>
          </cell>
          <cell r="S54" t="str">
            <v>16h00 ngày 10 tháng 10 năm 2015</v>
          </cell>
          <cell r="T54" t="str">
            <v>14h00</v>
          </cell>
          <cell r="U54" t="str">
            <v>14h00 Ngày 10/10/2015</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Đàm Tiến Chiển</v>
          </cell>
          <cell r="AE54" t="str">
            <v>Cán bộ TVGS</v>
          </cell>
          <cell r="AF54" t="str">
            <v>................................</v>
          </cell>
          <cell r="AG54" t="str">
            <v>................................</v>
          </cell>
          <cell r="AH54" t="str">
            <v>Nguyễn Ái Việt</v>
          </cell>
          <cell r="AI54" t="str">
            <v>Chỉ huy trưởng</v>
          </cell>
          <cell r="AJ54" t="str">
            <v>Hoàng Chiến Thắng</v>
          </cell>
          <cell r="AK54" t="str">
            <v>P. Chỉ huy trưởng</v>
          </cell>
          <cell r="AL54" t="str">
            <v>Bùi Đức Hoàng</v>
          </cell>
          <cell r="AM54" t="str">
            <v>Cán bộ kỹ thuật</v>
          </cell>
          <cell r="AQ54" t="str">
            <v>Ngày 6 Tháng 10 Năm 2015</v>
          </cell>
        </row>
        <row r="55">
          <cell r="A55" t="str">
            <v>TKTA-11</v>
          </cell>
          <cell r="B55" t="str">
            <v>Thử áp đường ống cấp nước tầng áp mái</v>
          </cell>
          <cell r="C55" t="str">
            <v>TKTA-11</v>
          </cell>
          <cell r="D55" t="str">
            <v>7h30</v>
          </cell>
          <cell r="E55" t="str">
            <v>9h30</v>
          </cell>
          <cell r="F55">
            <v>8</v>
          </cell>
          <cell r="G55">
            <v>10</v>
          </cell>
          <cell r="H55">
            <v>2015</v>
          </cell>
          <cell r="I55" t="str">
            <v>Hà Nội, ngày 8 tháng 10 năm 2015</v>
          </cell>
          <cell r="J55" t="str">
            <v>7h30 ngày 8 tháng 10 năm 2015</v>
          </cell>
          <cell r="K55" t="str">
            <v>9h30 ngày 8 tháng 10 năm 2015</v>
          </cell>
          <cell r="L55" t="str">
            <v>14h00</v>
          </cell>
          <cell r="M55" t="str">
            <v>16h00</v>
          </cell>
          <cell r="N55">
            <v>8</v>
          </cell>
          <cell r="O55">
            <v>10</v>
          </cell>
          <cell r="P55">
            <v>2015</v>
          </cell>
          <cell r="Q55" t="str">
            <v>Hà Nội, ngày 8 tháng 10 năm 2015</v>
          </cell>
          <cell r="R55" t="str">
            <v>14h00 ngày 8 tháng 10 năm 2015</v>
          </cell>
          <cell r="S55" t="str">
            <v>16h00 ngày 8 tháng 10 năm 2015</v>
          </cell>
          <cell r="T55" t="str">
            <v>14h00</v>
          </cell>
          <cell r="U55" t="str">
            <v>14h00 Ngày 8/10/2015</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Đàm Tiến Chiển</v>
          </cell>
          <cell r="AE55" t="str">
            <v>Cán bộ TVGS</v>
          </cell>
          <cell r="AF55" t="str">
            <v>................................</v>
          </cell>
          <cell r="AG55" t="str">
            <v>................................</v>
          </cell>
          <cell r="AH55" t="str">
            <v>Nguyễn Ái Việt</v>
          </cell>
          <cell r="AI55" t="str">
            <v>Chỉ huy trưởng</v>
          </cell>
          <cell r="AJ55" t="str">
            <v>Hoàng Chiến Thắng</v>
          </cell>
          <cell r="AK55" t="str">
            <v>P. Chỉ huy trưởng</v>
          </cell>
          <cell r="AL55" t="str">
            <v>Bùi Đức Hoàng</v>
          </cell>
          <cell r="AM55" t="str">
            <v>Cán bộ kỹ thuật</v>
          </cell>
          <cell r="AN55" t="str">
            <v>Tầng áp mái</v>
          </cell>
          <cell r="AQ55" t="str">
            <v>Ngày 8 Tháng 10 Năm 2015</v>
          </cell>
        </row>
        <row r="56">
          <cell r="A56" t="str">
            <v>CTN-11</v>
          </cell>
          <cell r="B56" t="str">
            <v>Lắp đặt đường ống cấp nước tầng áp mái</v>
          </cell>
          <cell r="C56" t="str">
            <v>CTN-11</v>
          </cell>
          <cell r="D56" t="str">
            <v>7h30</v>
          </cell>
          <cell r="E56" t="str">
            <v>9h30</v>
          </cell>
          <cell r="F56">
            <v>10</v>
          </cell>
          <cell r="G56">
            <v>10</v>
          </cell>
          <cell r="H56">
            <v>2015</v>
          </cell>
          <cell r="I56" t="str">
            <v>Hà Nội, ngày 10 tháng 10 năm 2015</v>
          </cell>
          <cell r="J56" t="str">
            <v>7h30 ngày 10 tháng 10 năm 2015</v>
          </cell>
          <cell r="K56" t="str">
            <v>9h30 ngày 10 tháng 10 năm 2015</v>
          </cell>
          <cell r="L56" t="str">
            <v>14h00</v>
          </cell>
          <cell r="M56" t="str">
            <v>16h00</v>
          </cell>
          <cell r="N56">
            <v>10</v>
          </cell>
          <cell r="O56">
            <v>10</v>
          </cell>
          <cell r="P56">
            <v>2015</v>
          </cell>
          <cell r="Q56" t="str">
            <v>Hà Nội, ngày 10 tháng 10 năm 2015</v>
          </cell>
          <cell r="R56" t="str">
            <v>14h00 ngày 10 tháng 10 năm 2015</v>
          </cell>
          <cell r="S56" t="str">
            <v>16h00 ngày 10 tháng 10 năm 2015</v>
          </cell>
          <cell r="T56" t="str">
            <v>14h00</v>
          </cell>
          <cell r="U56" t="str">
            <v>14h00 Ngày 10/10/2015</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Đàm Tiến Chiển</v>
          </cell>
          <cell r="AE56" t="str">
            <v>Cán bộ TVGS</v>
          </cell>
          <cell r="AF56" t="str">
            <v>................................</v>
          </cell>
          <cell r="AG56" t="str">
            <v>................................</v>
          </cell>
          <cell r="AH56" t="str">
            <v>Nguyễn Ái Việt</v>
          </cell>
          <cell r="AI56" t="str">
            <v>Chỉ huy trưởng</v>
          </cell>
          <cell r="AJ56" t="str">
            <v>Hoàng Chiến Thắng</v>
          </cell>
          <cell r="AK56" t="str">
            <v>P. Chỉ huy trưởng</v>
          </cell>
          <cell r="AL56" t="str">
            <v>Bùi Đức Hoàng</v>
          </cell>
          <cell r="AM56" t="str">
            <v>Cán bộ kỹ thuật</v>
          </cell>
          <cell r="AQ56" t="str">
            <v>Ngày 10 Tháng 10 Năm 2015</v>
          </cell>
        </row>
        <row r="57">
          <cell r="A57" t="str">
            <v>TKTA-12</v>
          </cell>
          <cell r="B57" t="str">
            <v>Thử áp đường ống cấp nước tầng mái</v>
          </cell>
          <cell r="C57" t="str">
            <v>TKTA-12</v>
          </cell>
          <cell r="D57" t="str">
            <v>7h30</v>
          </cell>
          <cell r="E57" t="str">
            <v>9h30</v>
          </cell>
          <cell r="F57">
            <v>29</v>
          </cell>
          <cell r="G57">
            <v>10</v>
          </cell>
          <cell r="H57">
            <v>2015</v>
          </cell>
          <cell r="I57" t="str">
            <v>Hà Nội, ngày 29 tháng 10 năm 2015</v>
          </cell>
          <cell r="J57" t="str">
            <v>7h30 ngày 29 tháng 10 năm 2015</v>
          </cell>
          <cell r="K57" t="str">
            <v>9h30 ngày 29 tháng 10 năm 2015</v>
          </cell>
          <cell r="L57" t="str">
            <v>14h00</v>
          </cell>
          <cell r="M57" t="str">
            <v>16h00</v>
          </cell>
          <cell r="N57">
            <v>29</v>
          </cell>
          <cell r="O57">
            <v>10</v>
          </cell>
          <cell r="P57">
            <v>2015</v>
          </cell>
          <cell r="Q57" t="str">
            <v>Hà Nội, ngày 29 tháng 10 năm 2015</v>
          </cell>
          <cell r="R57" t="str">
            <v>14h00 ngày 29 tháng 10 năm 2015</v>
          </cell>
          <cell r="S57" t="str">
            <v>16h00 ngày 29 tháng 10 năm 2015</v>
          </cell>
          <cell r="T57" t="str">
            <v>14h00</v>
          </cell>
          <cell r="U57" t="str">
            <v>14h00 Ngày 29/10/2015</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Đàm Tiến Chiển</v>
          </cell>
          <cell r="AE57" t="str">
            <v>Cán bộ TVGS</v>
          </cell>
          <cell r="AF57" t="str">
            <v>................................</v>
          </cell>
          <cell r="AG57" t="str">
            <v>................................</v>
          </cell>
          <cell r="AH57" t="str">
            <v>Nguyễn Ái Việt</v>
          </cell>
          <cell r="AI57" t="str">
            <v>Chỉ huy trưởng</v>
          </cell>
          <cell r="AJ57" t="str">
            <v>Hoàng Chiến Thắng</v>
          </cell>
          <cell r="AK57" t="str">
            <v>P. Chỉ huy trưởng</v>
          </cell>
          <cell r="AL57" t="str">
            <v>Bùi Đức Hoàng</v>
          </cell>
          <cell r="AM57" t="str">
            <v>Cán bộ kỹ thuật</v>
          </cell>
          <cell r="AN57" t="str">
            <v>Tầng mái</v>
          </cell>
          <cell r="AQ57" t="str">
            <v>Ngày 29 Tháng 10 Năm 2015</v>
          </cell>
        </row>
        <row r="58">
          <cell r="A58" t="str">
            <v>CTN-12</v>
          </cell>
          <cell r="B58" t="str">
            <v>Lắp đặt đường ống cấp nước tầng mái</v>
          </cell>
          <cell r="C58" t="str">
            <v>CTN-12</v>
          </cell>
          <cell r="D58" t="str">
            <v>7h30</v>
          </cell>
          <cell r="E58" t="str">
            <v>9h30</v>
          </cell>
          <cell r="F58">
            <v>30</v>
          </cell>
          <cell r="G58">
            <v>10</v>
          </cell>
          <cell r="H58">
            <v>2015</v>
          </cell>
          <cell r="I58" t="str">
            <v>Hà Nội, ngày 30 tháng 10 năm 2015</v>
          </cell>
          <cell r="J58" t="str">
            <v>7h30 ngày 30 tháng 10 năm 2015</v>
          </cell>
          <cell r="K58" t="str">
            <v>9h30 ngày 30 tháng 10 năm 2015</v>
          </cell>
          <cell r="L58" t="str">
            <v>14h00</v>
          </cell>
          <cell r="M58" t="str">
            <v>16h00</v>
          </cell>
          <cell r="N58">
            <v>30</v>
          </cell>
          <cell r="O58">
            <v>10</v>
          </cell>
          <cell r="P58">
            <v>2015</v>
          </cell>
          <cell r="Q58" t="str">
            <v>Hà Nội, ngày 30 tháng 10 năm 2015</v>
          </cell>
          <cell r="R58" t="str">
            <v>14h00 ngày 30 tháng 10 năm 2015</v>
          </cell>
          <cell r="S58" t="str">
            <v>16h00 ngày 30 tháng 10 năm 2015</v>
          </cell>
          <cell r="T58" t="str">
            <v>14h00</v>
          </cell>
          <cell r="U58" t="str">
            <v>14h00 Ngày 30/10/2015</v>
          </cell>
          <cell r="V58" t="str">
            <v>Nguyễn Ái Việt</v>
          </cell>
          <cell r="W58" t="str">
            <v>Chỉ huy trưởng</v>
          </cell>
          <cell r="X58" t="str">
            <v>................................</v>
          </cell>
          <cell r="Y58" t="str">
            <v>................................</v>
          </cell>
          <cell r="Z58" t="str">
            <v>Nguyễn Văn Nghiễm</v>
          </cell>
          <cell r="AA58" t="str">
            <v>Cán bộ KCS</v>
          </cell>
          <cell r="AB58" t="str">
            <v>Vương Toàn Hiếu</v>
          </cell>
          <cell r="AC58" t="str">
            <v>Trưởng đoàn TVGS</v>
          </cell>
          <cell r="AD58" t="str">
            <v>Đàm Tiến Chiển</v>
          </cell>
          <cell r="AE58" t="str">
            <v>Cán bộ TVGS</v>
          </cell>
          <cell r="AF58" t="str">
            <v>................................</v>
          </cell>
          <cell r="AG58" t="str">
            <v>................................</v>
          </cell>
          <cell r="AH58" t="str">
            <v>Nguyễn Ái Việt</v>
          </cell>
          <cell r="AI58" t="str">
            <v>Chỉ huy trưởng</v>
          </cell>
          <cell r="AJ58" t="str">
            <v>Hoàng Chiến Thắng</v>
          </cell>
          <cell r="AK58" t="str">
            <v>P. Chỉ huy trưởng</v>
          </cell>
          <cell r="AL58" t="str">
            <v>Bùi Đức Hoàng</v>
          </cell>
          <cell r="AM58" t="str">
            <v>Cán bộ kỹ thuật</v>
          </cell>
          <cell r="AQ58" t="str">
            <v>Ngày 30 Tháng 10 Năm 2015</v>
          </cell>
        </row>
        <row r="59">
          <cell r="A59" t="str">
            <v>TKTA-13</v>
          </cell>
          <cell r="B59" t="str">
            <v>Thử áp đường ống TTK D125, D100 cấp nước từ bể đến phòng bơm, từ phòng bơm lên mái</v>
          </cell>
          <cell r="C59" t="str">
            <v>TKTA-13</v>
          </cell>
          <cell r="D59" t="str">
            <v>7h30</v>
          </cell>
          <cell r="E59" t="str">
            <v>9h30</v>
          </cell>
          <cell r="F59">
            <v>4</v>
          </cell>
          <cell r="G59">
            <v>11</v>
          </cell>
          <cell r="H59">
            <v>2015</v>
          </cell>
          <cell r="I59" t="str">
            <v>Hà Nội, ngày 4 tháng 11 năm 2015</v>
          </cell>
          <cell r="J59" t="str">
            <v>7h30 ngày 4 tháng 11 năm 2015</v>
          </cell>
          <cell r="K59" t="str">
            <v>9h30 ngày 4 tháng 11 năm 2015</v>
          </cell>
          <cell r="L59" t="str">
            <v>14h00</v>
          </cell>
          <cell r="M59" t="str">
            <v>16h00</v>
          </cell>
          <cell r="N59">
            <v>4</v>
          </cell>
          <cell r="O59">
            <v>11</v>
          </cell>
          <cell r="P59">
            <v>2015</v>
          </cell>
          <cell r="Q59" t="str">
            <v>Hà Nội, ngày 4 tháng 11 năm 2015</v>
          </cell>
          <cell r="R59" t="str">
            <v>14h00 ngày 4 tháng 11 năm 2015</v>
          </cell>
          <cell r="S59" t="str">
            <v>16h00 ngày 4 tháng 11 năm 2015</v>
          </cell>
          <cell r="T59" t="str">
            <v>14h00</v>
          </cell>
          <cell r="U59" t="str">
            <v>14h00 Ngày 4/11/2015</v>
          </cell>
          <cell r="V59" t="str">
            <v>Nguyễn Ái Việt</v>
          </cell>
          <cell r="W59" t="str">
            <v>Chỉ huy trưởng</v>
          </cell>
          <cell r="X59" t="str">
            <v>................................</v>
          </cell>
          <cell r="Y59" t="str">
            <v>................................</v>
          </cell>
          <cell r="Z59" t="str">
            <v>Nguyễn Văn Nghiễm</v>
          </cell>
          <cell r="AA59" t="str">
            <v>Cán bộ KCS</v>
          </cell>
          <cell r="AB59" t="str">
            <v>Vương Toàn Hiếu</v>
          </cell>
          <cell r="AC59" t="str">
            <v>Trưởng đoàn TVGS</v>
          </cell>
          <cell r="AD59" t="str">
            <v>Đàm Tiến Chiển</v>
          </cell>
          <cell r="AE59" t="str">
            <v>Cán bộ TVGS</v>
          </cell>
          <cell r="AF59" t="str">
            <v>................................</v>
          </cell>
          <cell r="AG59" t="str">
            <v>................................</v>
          </cell>
          <cell r="AH59" t="str">
            <v>Nguyễn Ái Việt</v>
          </cell>
          <cell r="AI59" t="str">
            <v>Chỉ huy trưởng</v>
          </cell>
          <cell r="AJ59" t="str">
            <v>Hoàng Chiến Thắng</v>
          </cell>
          <cell r="AK59" t="str">
            <v>P. Chỉ huy trưởng</v>
          </cell>
          <cell r="AL59" t="str">
            <v>Bùi Đức Hoàng</v>
          </cell>
          <cell r="AM59" t="str">
            <v>Cán bộ kỹ thuật</v>
          </cell>
          <cell r="AN59" t="str">
            <v>Từ bề đến phòng bơm, từ phòng bơm lên mái</v>
          </cell>
          <cell r="AQ59" t="str">
            <v>Ngày 4 Tháng 11 Năm 2015</v>
          </cell>
        </row>
        <row r="60">
          <cell r="A60" t="str">
            <v>CTN-13</v>
          </cell>
          <cell r="B60" t="str">
            <v>Lắp đặt đường ống TTK D125, D100 cấp nước từ bể đến phòng bơm, từ phòng bơm lên mái</v>
          </cell>
          <cell r="C60" t="str">
            <v>CTN-13</v>
          </cell>
          <cell r="D60" t="str">
            <v>7h30</v>
          </cell>
          <cell r="E60" t="str">
            <v>9h30</v>
          </cell>
          <cell r="F60">
            <v>6</v>
          </cell>
          <cell r="G60">
            <v>11</v>
          </cell>
          <cell r="H60">
            <v>2015</v>
          </cell>
          <cell r="I60" t="str">
            <v>Hà Nội, ngày 6 tháng 11 năm 2015</v>
          </cell>
          <cell r="J60" t="str">
            <v>7h30 ngày 6 tháng 11 năm 2015</v>
          </cell>
          <cell r="K60" t="str">
            <v>9h30 ngày 6 tháng 11 năm 2015</v>
          </cell>
          <cell r="L60" t="str">
            <v>14h00</v>
          </cell>
          <cell r="M60" t="str">
            <v>16h00</v>
          </cell>
          <cell r="N60">
            <v>6</v>
          </cell>
          <cell r="O60">
            <v>11</v>
          </cell>
          <cell r="P60">
            <v>2015</v>
          </cell>
          <cell r="Q60" t="str">
            <v>Hà Nội, ngày 6 tháng 11 năm 2015</v>
          </cell>
          <cell r="R60" t="str">
            <v>14h00 ngày 6 tháng 11 năm 2015</v>
          </cell>
          <cell r="S60" t="str">
            <v>16h00 ngày 6 tháng 11 năm 2015</v>
          </cell>
          <cell r="T60" t="str">
            <v>14h00</v>
          </cell>
          <cell r="U60" t="str">
            <v>14h00 Ngày 6/11/2015</v>
          </cell>
          <cell r="V60" t="str">
            <v>Nguyễn Ái Việt</v>
          </cell>
          <cell r="W60" t="str">
            <v>Chỉ huy trưởng</v>
          </cell>
          <cell r="X60" t="str">
            <v>................................</v>
          </cell>
          <cell r="Y60" t="str">
            <v>................................</v>
          </cell>
          <cell r="Z60" t="str">
            <v>Nguyễn Văn Nghiễm</v>
          </cell>
          <cell r="AA60" t="str">
            <v>Cán bộ KCS</v>
          </cell>
          <cell r="AB60" t="str">
            <v>Vương Toàn Hiếu</v>
          </cell>
          <cell r="AC60" t="str">
            <v>Trưởng đoàn TVGS</v>
          </cell>
          <cell r="AD60" t="str">
            <v>Đàm Tiến Chiển</v>
          </cell>
          <cell r="AE60" t="str">
            <v>Cán bộ TVGS</v>
          </cell>
          <cell r="AF60" t="str">
            <v>................................</v>
          </cell>
          <cell r="AG60" t="str">
            <v>................................</v>
          </cell>
          <cell r="AH60" t="str">
            <v>Nguyễn Ái Việt</v>
          </cell>
          <cell r="AI60" t="str">
            <v>Chỉ huy trưởng</v>
          </cell>
          <cell r="AJ60" t="str">
            <v>Hoàng Chiến Thắng</v>
          </cell>
          <cell r="AK60" t="str">
            <v>P. Chỉ huy trưởng</v>
          </cell>
          <cell r="AL60" t="str">
            <v>Bùi Đức Hoàng</v>
          </cell>
          <cell r="AM60" t="str">
            <v>Cán bộ kỹ thuật</v>
          </cell>
          <cell r="AQ60" t="str">
            <v>Ngày 6 Tháng 11 Năm 2015</v>
          </cell>
        </row>
        <row r="61">
          <cell r="A61" t="str">
            <v>TKTA-14</v>
          </cell>
          <cell r="B61" t="str">
            <v>Thử áp đường ống cấp nước trục chính từ két nước xuống tầng 1</v>
          </cell>
          <cell r="C61" t="str">
            <v>TKTA-14</v>
          </cell>
          <cell r="D61" t="str">
            <v>7h30</v>
          </cell>
          <cell r="E61" t="str">
            <v>9h30</v>
          </cell>
          <cell r="F61">
            <v>8</v>
          </cell>
          <cell r="G61">
            <v>11</v>
          </cell>
          <cell r="H61">
            <v>2015</v>
          </cell>
          <cell r="I61" t="str">
            <v>Hà Nội, ngày 8 tháng 11 năm 2015</v>
          </cell>
          <cell r="J61" t="str">
            <v>7h30 ngày 8 tháng 11 năm 2015</v>
          </cell>
          <cell r="K61" t="str">
            <v>9h30 ngày 8 tháng 11 năm 2015</v>
          </cell>
          <cell r="L61" t="str">
            <v>14h00</v>
          </cell>
          <cell r="M61" t="str">
            <v>16h00</v>
          </cell>
          <cell r="N61">
            <v>8</v>
          </cell>
          <cell r="O61">
            <v>11</v>
          </cell>
          <cell r="P61">
            <v>2015</v>
          </cell>
          <cell r="Q61" t="str">
            <v>Hà Nội, ngày 8 tháng 11 năm 2015</v>
          </cell>
          <cell r="R61" t="str">
            <v>14h00 ngày 8 tháng 11 năm 2015</v>
          </cell>
          <cell r="S61" t="str">
            <v>16h00 ngày 8 tháng 11 năm 2015</v>
          </cell>
          <cell r="T61" t="str">
            <v>14h00</v>
          </cell>
          <cell r="U61" t="str">
            <v>14h00 Ngày 8/11/2015</v>
          </cell>
          <cell r="V61" t="str">
            <v>Nguyễn Ái Việt</v>
          </cell>
          <cell r="W61" t="str">
            <v>Chỉ huy trưởng</v>
          </cell>
          <cell r="X61" t="str">
            <v>................................</v>
          </cell>
          <cell r="Y61" t="str">
            <v>................................</v>
          </cell>
          <cell r="Z61" t="str">
            <v>Nguyễn Văn Nghiễm</v>
          </cell>
          <cell r="AA61" t="str">
            <v>Cán bộ KCS</v>
          </cell>
          <cell r="AB61" t="str">
            <v>Vương Toàn Hiếu</v>
          </cell>
          <cell r="AC61" t="str">
            <v>Trưởng đoàn TVGS</v>
          </cell>
          <cell r="AD61" t="str">
            <v>Đàm Tiến Chiển</v>
          </cell>
          <cell r="AE61" t="str">
            <v>Cán bộ TVGS</v>
          </cell>
          <cell r="AF61" t="str">
            <v>................................</v>
          </cell>
          <cell r="AG61" t="str">
            <v>................................</v>
          </cell>
          <cell r="AH61" t="str">
            <v>Nguyễn Ái Việt</v>
          </cell>
          <cell r="AI61" t="str">
            <v>Chỉ huy trưởng</v>
          </cell>
          <cell r="AJ61" t="str">
            <v>Hoàng Chiến Thắng</v>
          </cell>
          <cell r="AK61" t="str">
            <v>P. Chỉ huy trưởng</v>
          </cell>
          <cell r="AL61" t="str">
            <v>Bùi Đức Hoàng</v>
          </cell>
          <cell r="AM61" t="str">
            <v>Cán bộ kỹ thuật</v>
          </cell>
          <cell r="AN61" t="str">
            <v>Từ két nước tầng mái xuống tầng 1</v>
          </cell>
          <cell r="AQ61" t="str">
            <v>Ngày 8 Tháng 11 Năm 2015</v>
          </cell>
        </row>
        <row r="62">
          <cell r="A62" t="str">
            <v>CTN-14</v>
          </cell>
          <cell r="B62" t="str">
            <v>Lắp đặt đường ống cấp nước trục chính từ két nước xuống tầng 1</v>
          </cell>
          <cell r="C62" t="str">
            <v>CTN-14</v>
          </cell>
          <cell r="D62" t="str">
            <v>7h30</v>
          </cell>
          <cell r="E62" t="str">
            <v>9h30</v>
          </cell>
          <cell r="F62">
            <v>10</v>
          </cell>
          <cell r="G62">
            <v>11</v>
          </cell>
          <cell r="H62">
            <v>2015</v>
          </cell>
          <cell r="I62" t="str">
            <v>Hà Nội, ngày 10 tháng 11 năm 2015</v>
          </cell>
          <cell r="J62" t="str">
            <v>7h30 ngày 10 tháng 11 năm 2015</v>
          </cell>
          <cell r="K62" t="str">
            <v>9h30 ngày 10 tháng 11 năm 2015</v>
          </cell>
          <cell r="L62" t="str">
            <v>14h00</v>
          </cell>
          <cell r="M62" t="str">
            <v>16h00</v>
          </cell>
          <cell r="N62">
            <v>10</v>
          </cell>
          <cell r="O62">
            <v>11</v>
          </cell>
          <cell r="P62">
            <v>2015</v>
          </cell>
          <cell r="Q62" t="str">
            <v>Hà Nội, ngày 10 tháng 11 năm 2015</v>
          </cell>
          <cell r="R62" t="str">
            <v>14h00 ngày 10 tháng 11 năm 2015</v>
          </cell>
          <cell r="S62" t="str">
            <v>16h00 ngày 10 tháng 11 năm 2015</v>
          </cell>
          <cell r="T62" t="str">
            <v>14h00</v>
          </cell>
          <cell r="U62" t="str">
            <v>14h00 Ngày 10/11/2015</v>
          </cell>
          <cell r="V62" t="str">
            <v>Nguyễn Ái Việt</v>
          </cell>
          <cell r="W62" t="str">
            <v>Chỉ huy trưởng</v>
          </cell>
          <cell r="X62" t="str">
            <v>................................</v>
          </cell>
          <cell r="Y62" t="str">
            <v>................................</v>
          </cell>
          <cell r="Z62" t="str">
            <v>Nguyễn Văn Nghiễm</v>
          </cell>
          <cell r="AA62" t="str">
            <v>Cán bộ KCS</v>
          </cell>
          <cell r="AB62" t="str">
            <v>Vương Toàn Hiếu</v>
          </cell>
          <cell r="AC62" t="str">
            <v>Trưởng đoàn TVGS</v>
          </cell>
          <cell r="AD62" t="str">
            <v>Đàm Tiến Chiển</v>
          </cell>
          <cell r="AE62" t="str">
            <v>Cán bộ TVGS</v>
          </cell>
          <cell r="AF62" t="str">
            <v>................................</v>
          </cell>
          <cell r="AG62" t="str">
            <v>................................</v>
          </cell>
          <cell r="AH62" t="str">
            <v>Nguyễn Ái Việt</v>
          </cell>
          <cell r="AI62" t="str">
            <v>Chỉ huy trưởng</v>
          </cell>
          <cell r="AJ62" t="str">
            <v>Hoàng Chiến Thắng</v>
          </cell>
          <cell r="AK62" t="str">
            <v>P. Chỉ huy trưởng</v>
          </cell>
          <cell r="AL62" t="str">
            <v>Bùi Đức Hoàng</v>
          </cell>
          <cell r="AM62" t="str">
            <v>Cán bộ kỹ thuật</v>
          </cell>
          <cell r="AQ62" t="str">
            <v>Ngày 10 Tháng 11 Năm 2015</v>
          </cell>
        </row>
        <row r="63">
          <cell r="H63" t="str">
            <v>……</v>
          </cell>
          <cell r="I63" t="str">
            <v>Hà Nội, ngày  tháng  năm ……</v>
          </cell>
          <cell r="J63" t="str">
            <v xml:space="preserve"> ngày  tháng  năm ……</v>
          </cell>
          <cell r="K63" t="str">
            <v xml:space="preserve"> ngày  tháng  năm ……</v>
          </cell>
          <cell r="L63" t="str">
            <v>……</v>
          </cell>
          <cell r="M63" t="str">
            <v>……</v>
          </cell>
          <cell r="N63">
            <v>0</v>
          </cell>
          <cell r="O63">
            <v>0</v>
          </cell>
          <cell r="P63" t="str">
            <v>……</v>
          </cell>
          <cell r="Q63" t="str">
            <v>Hà Nội, ngày 0 tháng 0 năm ……</v>
          </cell>
          <cell r="R63" t="str">
            <v>…… ngày 0 tháng 0 năm ……</v>
          </cell>
          <cell r="S63" t="str">
            <v>…… ngày 0 tháng 0 năm ……</v>
          </cell>
          <cell r="T63" t="str">
            <v>……</v>
          </cell>
          <cell r="U63" t="str">
            <v>…… Ngày 0/0/……</v>
          </cell>
          <cell r="V63" t="str">
            <v>Nguyễn Ái Việt</v>
          </cell>
          <cell r="W63" t="str">
            <v>Chỉ huy trưởng</v>
          </cell>
          <cell r="X63" t="str">
            <v>................................</v>
          </cell>
          <cell r="Y63" t="str">
            <v>................................</v>
          </cell>
          <cell r="Z63" t="str">
            <v>Nguyễn Văn Nghiễm</v>
          </cell>
          <cell r="AA63" t="str">
            <v>Cán bộ KCS</v>
          </cell>
          <cell r="AB63" t="str">
            <v>Vương Toàn Hiếu</v>
          </cell>
          <cell r="AC63" t="str">
            <v>Trưởng đoàn TVGS</v>
          </cell>
          <cell r="AD63" t="str">
            <v>Đàm Tiến Chiển</v>
          </cell>
          <cell r="AE63" t="str">
            <v>Cán bộ TVGS</v>
          </cell>
          <cell r="AF63" t="str">
            <v>................................</v>
          </cell>
          <cell r="AG63" t="str">
            <v>................................</v>
          </cell>
          <cell r="AH63" t="str">
            <v>Nguyễn Ái Việt</v>
          </cell>
          <cell r="AI63" t="str">
            <v>Chỉ huy trưởng</v>
          </cell>
          <cell r="AJ63" t="str">
            <v>Hoàng Chiến Thắng</v>
          </cell>
          <cell r="AK63" t="str">
            <v>P. Chỉ huy trưởng</v>
          </cell>
          <cell r="AL63" t="str">
            <v>Bùi Đức Hoàng</v>
          </cell>
          <cell r="AM63" t="str">
            <v>Cán bộ kỹ thuật</v>
          </cell>
          <cell r="AQ63" t="str">
            <v>Ngày  Tháng  Năm ……</v>
          </cell>
        </row>
        <row r="64">
          <cell r="A64" t="str">
            <v>CTN-15</v>
          </cell>
          <cell r="B64" t="str">
            <v>Lắp đặt tĩnh thiết bị trong căn hộ (Xí, chậu, vòi hoa sen và phụ kiện) tầng 03, 04, 05</v>
          </cell>
          <cell r="C64" t="str">
            <v>CTN-15</v>
          </cell>
          <cell r="D64" t="str">
            <v>8h00</v>
          </cell>
          <cell r="E64" t="str">
            <v>11h00</v>
          </cell>
          <cell r="F64">
            <v>25</v>
          </cell>
          <cell r="G64">
            <v>11</v>
          </cell>
          <cell r="H64">
            <v>2015</v>
          </cell>
          <cell r="I64" t="str">
            <v>Hà Nội, ngày 25 tháng 11 năm 2015</v>
          </cell>
          <cell r="J64" t="str">
            <v>8h00 ngày 25 tháng 11 năm 2015</v>
          </cell>
          <cell r="K64" t="str">
            <v>11h00 ngày 25 tháng 11 năm 2015</v>
          </cell>
          <cell r="L64" t="str">
            <v>14h00</v>
          </cell>
          <cell r="M64" t="str">
            <v>17h00</v>
          </cell>
          <cell r="N64">
            <v>25</v>
          </cell>
          <cell r="O64">
            <v>11</v>
          </cell>
          <cell r="P64">
            <v>2015</v>
          </cell>
          <cell r="Q64" t="str">
            <v>Hà Nội, ngày 25 tháng 11 năm 2015</v>
          </cell>
          <cell r="R64" t="str">
            <v>14h00 ngày 25 tháng 11 năm 2015</v>
          </cell>
          <cell r="S64" t="str">
            <v>17h00 ngày 25 tháng 11 năm 2015</v>
          </cell>
          <cell r="T64" t="str">
            <v>14h00</v>
          </cell>
          <cell r="U64" t="str">
            <v>14h00 Ngày 25/11/2015</v>
          </cell>
          <cell r="V64" t="str">
            <v>Nguyễn Ái Việt</v>
          </cell>
          <cell r="W64" t="str">
            <v>Chỉ huy trưởng</v>
          </cell>
          <cell r="X64" t="str">
            <v>................................</v>
          </cell>
          <cell r="Y64" t="str">
            <v>................................</v>
          </cell>
          <cell r="Z64" t="str">
            <v>Nguyễn Văn Nghiễm</v>
          </cell>
          <cell r="AA64" t="str">
            <v>Cán bộ KCS</v>
          </cell>
          <cell r="AB64" t="str">
            <v>Vương Toàn Hiếu</v>
          </cell>
          <cell r="AC64" t="str">
            <v>Trưởng đoàn TVGS</v>
          </cell>
          <cell r="AD64" t="str">
            <v>Đàm Tiến Chiển</v>
          </cell>
          <cell r="AE64" t="str">
            <v>Cán bộ TVGS</v>
          </cell>
          <cell r="AF64" t="str">
            <v>................................</v>
          </cell>
          <cell r="AG64" t="str">
            <v>................................</v>
          </cell>
          <cell r="AH64" t="str">
            <v>Nguyễn Ái Việt</v>
          </cell>
          <cell r="AI64" t="str">
            <v>Chỉ huy trưởng</v>
          </cell>
          <cell r="AJ64" t="str">
            <v>Hoàng Chiến Thắng</v>
          </cell>
          <cell r="AK64" t="str">
            <v>P. Chỉ huy trưởng</v>
          </cell>
          <cell r="AL64" t="str">
            <v>Bùi Đức Hoàng</v>
          </cell>
          <cell r="AM64" t="str">
            <v>Cán bộ kỹ thuật</v>
          </cell>
          <cell r="AQ64" t="str">
            <v>Ngày 25 Tháng 11 Năm 2015</v>
          </cell>
        </row>
        <row r="65">
          <cell r="A65" t="str">
            <v>CTN-16</v>
          </cell>
          <cell r="B65" t="str">
            <v>Lắp đặt tĩnh thiết bị trong căn hộ (Xí, chậu, vòi hoa sen và phụ kiện) tầng 06, 07, 08</v>
          </cell>
          <cell r="C65" t="str">
            <v>CTN-16</v>
          </cell>
          <cell r="D65" t="str">
            <v>8h00</v>
          </cell>
          <cell r="E65" t="str">
            <v>11h00</v>
          </cell>
          <cell r="F65">
            <v>27</v>
          </cell>
          <cell r="G65">
            <v>11</v>
          </cell>
          <cell r="H65">
            <v>2015</v>
          </cell>
          <cell r="I65" t="str">
            <v>Hà Nội, ngày 27 tháng 11 năm 2015</v>
          </cell>
          <cell r="J65" t="str">
            <v>8h00 ngày 27 tháng 11 năm 2015</v>
          </cell>
          <cell r="K65" t="str">
            <v>11h00 ngày 27 tháng 11 năm 2015</v>
          </cell>
          <cell r="L65" t="str">
            <v>14h00</v>
          </cell>
          <cell r="M65" t="str">
            <v>17h00</v>
          </cell>
          <cell r="N65">
            <v>27</v>
          </cell>
          <cell r="O65">
            <v>11</v>
          </cell>
          <cell r="P65">
            <v>2015</v>
          </cell>
          <cell r="Q65" t="str">
            <v>Hà Nội, ngày 27 tháng 11 năm 2015</v>
          </cell>
          <cell r="R65" t="str">
            <v>14h00 ngày 27 tháng 11 năm 2015</v>
          </cell>
          <cell r="S65" t="str">
            <v>17h00 ngày 27 tháng 11 năm 2015</v>
          </cell>
          <cell r="T65" t="str">
            <v>14h00</v>
          </cell>
          <cell r="U65" t="str">
            <v>14h00 Ngày 27/11/2015</v>
          </cell>
          <cell r="V65" t="str">
            <v>Nguyễn Ái Việt</v>
          </cell>
          <cell r="W65" t="str">
            <v>Chỉ huy trưởng</v>
          </cell>
          <cell r="X65" t="str">
            <v>................................</v>
          </cell>
          <cell r="Y65" t="str">
            <v>................................</v>
          </cell>
          <cell r="Z65" t="str">
            <v>Nguyễn Văn Nghiễm</v>
          </cell>
          <cell r="AA65" t="str">
            <v>Cán bộ KCS</v>
          </cell>
          <cell r="AB65" t="str">
            <v>Vương Toàn Hiếu</v>
          </cell>
          <cell r="AC65" t="str">
            <v>Trưởng đoàn TVGS</v>
          </cell>
          <cell r="AD65" t="str">
            <v>Đàm Tiến Chiển</v>
          </cell>
          <cell r="AE65" t="str">
            <v>Cán bộ TVGS</v>
          </cell>
          <cell r="AF65" t="str">
            <v>................................</v>
          </cell>
          <cell r="AG65" t="str">
            <v>................................</v>
          </cell>
          <cell r="AH65" t="str">
            <v>Nguyễn Ái Việt</v>
          </cell>
          <cell r="AI65" t="str">
            <v>Chỉ huy trưởng</v>
          </cell>
          <cell r="AJ65" t="str">
            <v>Hoàng Chiến Thắng</v>
          </cell>
          <cell r="AK65" t="str">
            <v>P. Chỉ huy trưởng</v>
          </cell>
          <cell r="AL65" t="str">
            <v>Bùi Đức Hoàng</v>
          </cell>
          <cell r="AM65" t="str">
            <v>Cán bộ kỹ thuật</v>
          </cell>
          <cell r="AQ65" t="str">
            <v>Ngày 27 Tháng 11 Năm 2015</v>
          </cell>
        </row>
        <row r="66">
          <cell r="A66" t="str">
            <v>CTN-17</v>
          </cell>
          <cell r="B66" t="str">
            <v>Lắp đặt tĩnh thiết bị trong căn hộ (Xí, chậu, vòi hoa sen và phụ kiện) tầng 09, 10, 11</v>
          </cell>
          <cell r="C66" t="str">
            <v>CTN-17</v>
          </cell>
          <cell r="D66" t="str">
            <v>8h00</v>
          </cell>
          <cell r="E66" t="str">
            <v>11h00</v>
          </cell>
          <cell r="F66">
            <v>28</v>
          </cell>
          <cell r="G66">
            <v>11</v>
          </cell>
          <cell r="H66">
            <v>2015</v>
          </cell>
          <cell r="I66" t="str">
            <v>Hà Nội, ngày 28 tháng 11 năm 2015</v>
          </cell>
          <cell r="J66" t="str">
            <v>8h00 ngày 28 tháng 11 năm 2015</v>
          </cell>
          <cell r="K66" t="str">
            <v>11h00 ngày 28 tháng 11 năm 2015</v>
          </cell>
          <cell r="L66" t="str">
            <v>14h00</v>
          </cell>
          <cell r="M66" t="str">
            <v>17h00</v>
          </cell>
          <cell r="N66">
            <v>28</v>
          </cell>
          <cell r="O66">
            <v>11</v>
          </cell>
          <cell r="P66">
            <v>2015</v>
          </cell>
          <cell r="Q66" t="str">
            <v>Hà Nội, ngày 28 tháng 11 năm 2015</v>
          </cell>
          <cell r="R66" t="str">
            <v>14h00 ngày 28 tháng 11 năm 2015</v>
          </cell>
          <cell r="S66" t="str">
            <v>17h00 ngày 28 tháng 11 năm 2015</v>
          </cell>
          <cell r="T66" t="str">
            <v>14h00</v>
          </cell>
          <cell r="U66" t="str">
            <v>14h00 Ngày 28/11/2015</v>
          </cell>
          <cell r="V66" t="str">
            <v>Nguyễn Ái Việt</v>
          </cell>
          <cell r="W66" t="str">
            <v>Chỉ huy trưởng</v>
          </cell>
          <cell r="X66" t="str">
            <v>................................</v>
          </cell>
          <cell r="Y66" t="str">
            <v>................................</v>
          </cell>
          <cell r="Z66" t="str">
            <v>Nguyễn Văn Nghiễm</v>
          </cell>
          <cell r="AA66" t="str">
            <v>Cán bộ KCS</v>
          </cell>
          <cell r="AB66" t="str">
            <v>Vương Toàn Hiếu</v>
          </cell>
          <cell r="AC66" t="str">
            <v>Trưởng đoàn TVGS</v>
          </cell>
          <cell r="AD66" t="str">
            <v>Đàm Tiến Chiển</v>
          </cell>
          <cell r="AE66" t="str">
            <v>Cán bộ TVGS</v>
          </cell>
          <cell r="AF66" t="str">
            <v>................................</v>
          </cell>
          <cell r="AG66" t="str">
            <v>................................</v>
          </cell>
          <cell r="AH66" t="str">
            <v>Nguyễn Ái Việt</v>
          </cell>
          <cell r="AI66" t="str">
            <v>Chỉ huy trưởng</v>
          </cell>
          <cell r="AJ66" t="str">
            <v>Hoàng Chiến Thắng</v>
          </cell>
          <cell r="AK66" t="str">
            <v>P. Chỉ huy trưởng</v>
          </cell>
          <cell r="AL66" t="str">
            <v>Bùi Đức Hoàng</v>
          </cell>
          <cell r="AM66" t="str">
            <v>Cán bộ kỹ thuật</v>
          </cell>
          <cell r="AQ66" t="str">
            <v>Ngày 28 Tháng 11 Năm 2015</v>
          </cell>
        </row>
        <row r="67">
          <cell r="A67" t="str">
            <v>CTN-18</v>
          </cell>
          <cell r="B67" t="str">
            <v>Lắp đặt tĩnh thiết bị máy bơm nước sinh hoạt tầng 1, bơm tăng áp trên mái</v>
          </cell>
          <cell r="C67" t="str">
            <v>CTN-18</v>
          </cell>
          <cell r="D67" t="str">
            <v>8h00</v>
          </cell>
          <cell r="E67" t="str">
            <v>10h30</v>
          </cell>
          <cell r="F67">
            <v>29</v>
          </cell>
          <cell r="G67">
            <v>11</v>
          </cell>
          <cell r="H67">
            <v>2015</v>
          </cell>
          <cell r="I67" t="str">
            <v>Hà Nội, ngày 29 tháng 11 năm 2015</v>
          </cell>
          <cell r="J67" t="str">
            <v>8h00 ngày 29 tháng 11 năm 2015</v>
          </cell>
          <cell r="K67" t="str">
            <v>10h30 ngày 29 tháng 11 năm 2015</v>
          </cell>
          <cell r="L67" t="str">
            <v>14h00</v>
          </cell>
          <cell r="M67" t="str">
            <v>16h30</v>
          </cell>
          <cell r="N67">
            <v>29</v>
          </cell>
          <cell r="O67">
            <v>11</v>
          </cell>
          <cell r="P67">
            <v>2015</v>
          </cell>
          <cell r="Q67" t="str">
            <v>Hà Nội, ngày 29 tháng 11 năm 2015</v>
          </cell>
          <cell r="R67" t="str">
            <v>14h00 ngày 29 tháng 11 năm 2015</v>
          </cell>
          <cell r="S67" t="str">
            <v>16h30 ngày 29 tháng 11 năm 2015</v>
          </cell>
          <cell r="T67" t="str">
            <v>14h00</v>
          </cell>
          <cell r="U67" t="str">
            <v>14h00 Ngày 29/11/2015</v>
          </cell>
          <cell r="V67" t="str">
            <v>Nguyễn Ái Việt</v>
          </cell>
          <cell r="W67" t="str">
            <v>Chỉ huy trưởng</v>
          </cell>
          <cell r="X67" t="str">
            <v>................................</v>
          </cell>
          <cell r="Y67" t="str">
            <v>................................</v>
          </cell>
          <cell r="Z67" t="str">
            <v>Nguyễn Văn Nghiễm</v>
          </cell>
          <cell r="AA67" t="str">
            <v>Cán bộ KCS</v>
          </cell>
          <cell r="AB67" t="str">
            <v>Vương Toàn Hiếu</v>
          </cell>
          <cell r="AC67" t="str">
            <v>Trưởng đoàn TVGS</v>
          </cell>
          <cell r="AD67" t="str">
            <v>Đàm Tiến Chiển</v>
          </cell>
          <cell r="AE67" t="str">
            <v>Cán bộ TVGS</v>
          </cell>
          <cell r="AF67" t="str">
            <v>................................</v>
          </cell>
          <cell r="AG67" t="str">
            <v>................................</v>
          </cell>
          <cell r="AH67" t="str">
            <v>Nguyễn Ái Việt</v>
          </cell>
          <cell r="AI67" t="str">
            <v>Chỉ huy trưởng</v>
          </cell>
          <cell r="AJ67" t="str">
            <v>Hoàng Chiến Thắng</v>
          </cell>
          <cell r="AK67" t="str">
            <v>P. Chỉ huy trưởng</v>
          </cell>
          <cell r="AL67" t="str">
            <v>Bùi Đức Hoàng</v>
          </cell>
          <cell r="AM67" t="str">
            <v>Cán bộ kỹ thuật</v>
          </cell>
          <cell r="AQ67" t="str">
            <v>Ngày 29 Tháng 11 Năm 2015</v>
          </cell>
        </row>
        <row r="68">
          <cell r="A68" t="str">
            <v>CTN-19</v>
          </cell>
          <cell r="B68" t="str">
            <v>Lắp đặt tĩnh thiết bị trong căn hộ (Xí, chậu, vòi hoa sen và phụ kiện) tầng 01, tầng áp mái</v>
          </cell>
          <cell r="C68" t="str">
            <v>CTN-19</v>
          </cell>
          <cell r="D68" t="str">
            <v>8h00</v>
          </cell>
          <cell r="E68" t="str">
            <v>9h30</v>
          </cell>
          <cell r="F68">
            <v>30</v>
          </cell>
          <cell r="G68">
            <v>11</v>
          </cell>
          <cell r="H68">
            <v>2015</v>
          </cell>
          <cell r="I68" t="str">
            <v>Hà Nội, ngày 30 tháng 11 năm 2015</v>
          </cell>
          <cell r="J68" t="str">
            <v>8h00 ngày 30 tháng 11 năm 2015</v>
          </cell>
          <cell r="K68" t="str">
            <v>9h30 ngày 30 tháng 11 năm 2015</v>
          </cell>
          <cell r="L68" t="str">
            <v>14h00</v>
          </cell>
          <cell r="M68" t="str">
            <v>15h30</v>
          </cell>
          <cell r="N68">
            <v>30</v>
          </cell>
          <cell r="O68">
            <v>11</v>
          </cell>
          <cell r="P68">
            <v>2015</v>
          </cell>
          <cell r="Q68" t="str">
            <v>Hà Nội, ngày 30 tháng 11 năm 2015</v>
          </cell>
          <cell r="R68" t="str">
            <v>14h00 ngày 30 tháng 11 năm 2015</v>
          </cell>
          <cell r="S68" t="str">
            <v>15h30 ngày 30 tháng 11 năm 2015</v>
          </cell>
          <cell r="T68" t="str">
            <v>14h00</v>
          </cell>
          <cell r="U68" t="str">
            <v>14h00 Ngày 30/11/2015</v>
          </cell>
          <cell r="V68" t="str">
            <v>Nguyễn Ái Việt</v>
          </cell>
          <cell r="W68" t="str">
            <v>Chỉ huy trưởng</v>
          </cell>
          <cell r="X68" t="str">
            <v>................................</v>
          </cell>
          <cell r="Y68" t="str">
            <v>................................</v>
          </cell>
          <cell r="Z68" t="str">
            <v>Nguyễn Văn Nghiễm</v>
          </cell>
          <cell r="AA68" t="str">
            <v>Cán bộ KCS</v>
          </cell>
          <cell r="AB68" t="str">
            <v>Vương Toàn Hiếu</v>
          </cell>
          <cell r="AC68" t="str">
            <v>Trưởng đoàn TVGS</v>
          </cell>
          <cell r="AD68" t="str">
            <v>Đàm Tiến Chiển</v>
          </cell>
          <cell r="AE68" t="str">
            <v>Cán bộ TVGS</v>
          </cell>
          <cell r="AF68" t="str">
            <v>................................</v>
          </cell>
          <cell r="AG68" t="str">
            <v>................................</v>
          </cell>
          <cell r="AH68" t="str">
            <v>Nguyễn Ái Việt</v>
          </cell>
          <cell r="AI68" t="str">
            <v>Chỉ huy trưởng</v>
          </cell>
          <cell r="AJ68" t="str">
            <v>Hoàng Chiến Thắng</v>
          </cell>
          <cell r="AK68" t="str">
            <v>P. Chỉ huy trưởng</v>
          </cell>
          <cell r="AL68" t="str">
            <v>Bùi Đức Hoàng</v>
          </cell>
          <cell r="AM68" t="str">
            <v>Cán bộ kỹ thuật</v>
          </cell>
          <cell r="AQ68" t="str">
            <v>Ngày 30 Tháng 11 Năm 2015</v>
          </cell>
        </row>
        <row r="69">
          <cell r="A69" t="str">
            <v>XR-01</v>
          </cell>
          <cell r="B69" t="str">
            <v>Kiểm tra xúc rửa bể nước sinh hoạt</v>
          </cell>
          <cell r="C69" t="str">
            <v>XR-01</v>
          </cell>
          <cell r="D69" t="str">
            <v>9h00</v>
          </cell>
          <cell r="E69" t="str">
            <v>9h00</v>
          </cell>
          <cell r="F69">
            <v>1</v>
          </cell>
          <cell r="G69">
            <v>12</v>
          </cell>
          <cell r="H69">
            <v>2015</v>
          </cell>
          <cell r="I69" t="str">
            <v>Hà Nội, ngày 1 tháng 12 năm 2015</v>
          </cell>
          <cell r="J69" t="str">
            <v>9h00 ngày 1 tháng 12 năm 2015</v>
          </cell>
          <cell r="K69" t="str">
            <v>9h00 ngày 3 tháng 12 năm 2015</v>
          </cell>
          <cell r="L69" t="str">
            <v>9h00</v>
          </cell>
          <cell r="M69" t="str">
            <v>9h00</v>
          </cell>
          <cell r="N69">
            <v>3</v>
          </cell>
          <cell r="O69">
            <v>12</v>
          </cell>
          <cell r="P69">
            <v>2015</v>
          </cell>
          <cell r="Q69" t="str">
            <v>Hà Nội, ngày 3 tháng 12 năm 2015</v>
          </cell>
          <cell r="R69" t="str">
            <v>9h00 ngày 1 tháng 12 năm 2015</v>
          </cell>
          <cell r="S69" t="str">
            <v>9h00 ngày 3 tháng 12 năm 2015</v>
          </cell>
          <cell r="T69" t="str">
            <v>9h00</v>
          </cell>
          <cell r="U69" t="str">
            <v>9h00 Ngày 1/12/2015</v>
          </cell>
          <cell r="V69" t="str">
            <v>Nguyễn Ái Việt</v>
          </cell>
          <cell r="W69" t="str">
            <v>Chỉ huy trưởng</v>
          </cell>
          <cell r="X69" t="str">
            <v>................................</v>
          </cell>
          <cell r="Y69" t="str">
            <v>................................</v>
          </cell>
          <cell r="Z69" t="str">
            <v>Nguyễn Văn Nghiễm</v>
          </cell>
          <cell r="AA69" t="str">
            <v>Cán bộ KCS</v>
          </cell>
          <cell r="AB69" t="str">
            <v>Vương Toàn Hiếu</v>
          </cell>
          <cell r="AC69" t="str">
            <v>Trưởng đoàn TVGS</v>
          </cell>
          <cell r="AD69" t="str">
            <v>Đàm Tiến Chiển</v>
          </cell>
          <cell r="AE69" t="str">
            <v>Cán bộ TVGS</v>
          </cell>
          <cell r="AF69" t="str">
            <v>................................</v>
          </cell>
          <cell r="AG69" t="str">
            <v>................................</v>
          </cell>
          <cell r="AH69" t="str">
            <v>Nguyễn Ái Việt</v>
          </cell>
          <cell r="AI69" t="str">
            <v>Chỉ huy trưởng</v>
          </cell>
          <cell r="AJ69" t="str">
            <v>Hoàng Chiến Thắng</v>
          </cell>
          <cell r="AK69" t="str">
            <v>P. Chỉ huy trưởng</v>
          </cell>
          <cell r="AL69" t="str">
            <v>Bùi Đức Hoàng</v>
          </cell>
          <cell r="AM69" t="str">
            <v>Cán bộ kỹ thuật</v>
          </cell>
          <cell r="AQ69" t="str">
            <v>Ngày 1 Tháng 12 Năm 2015</v>
          </cell>
        </row>
        <row r="70">
          <cell r="A70" t="str">
            <v>XR-02</v>
          </cell>
          <cell r="B70" t="str">
            <v>Kiểm tra xúc rửa két nước, đường ống cấp nước, thiết bị vệ sinh</v>
          </cell>
          <cell r="C70" t="str">
            <v>XR-02</v>
          </cell>
          <cell r="D70" t="str">
            <v>8h00</v>
          </cell>
          <cell r="E70" t="str">
            <v>17h30</v>
          </cell>
          <cell r="F70">
            <v>5</v>
          </cell>
          <cell r="G70">
            <v>12</v>
          </cell>
          <cell r="H70">
            <v>2015</v>
          </cell>
          <cell r="I70" t="str">
            <v>Hà Nội, ngày 5 tháng 12 năm 2015</v>
          </cell>
          <cell r="J70" t="str">
            <v>8h00 ngày 5 tháng 12 năm 2015</v>
          </cell>
          <cell r="K70" t="str">
            <v>17h30 ngày 5 tháng 12 năm 2015</v>
          </cell>
          <cell r="L70" t="str">
            <v>8h00</v>
          </cell>
          <cell r="M70" t="str">
            <v>17h30</v>
          </cell>
          <cell r="N70">
            <v>5</v>
          </cell>
          <cell r="O70">
            <v>12</v>
          </cell>
          <cell r="P70">
            <v>2015</v>
          </cell>
          <cell r="Q70" t="str">
            <v>Hà Nội, ngày 5 tháng 12 năm 2015</v>
          </cell>
          <cell r="R70" t="str">
            <v>8h00 ngày 5 tháng 12 năm 2015</v>
          </cell>
          <cell r="S70" t="str">
            <v>17h30 ngày 5 tháng 12 năm 2015</v>
          </cell>
          <cell r="T70" t="str">
            <v>8h00</v>
          </cell>
          <cell r="U70" t="str">
            <v>8h00 Ngày 5/12/2015</v>
          </cell>
          <cell r="V70" t="str">
            <v>Nguyễn Ái Việt</v>
          </cell>
          <cell r="W70" t="str">
            <v>Chỉ huy trưởng</v>
          </cell>
          <cell r="X70" t="str">
            <v>................................</v>
          </cell>
          <cell r="Y70" t="str">
            <v>................................</v>
          </cell>
          <cell r="Z70" t="str">
            <v>Nguyễn Văn Nghiễm</v>
          </cell>
          <cell r="AA70" t="str">
            <v>Cán bộ KCS</v>
          </cell>
          <cell r="AB70" t="str">
            <v>Vương Toàn Hiếu</v>
          </cell>
          <cell r="AC70" t="str">
            <v>Trưởng đoàn TVGS</v>
          </cell>
          <cell r="AD70" t="str">
            <v>Đàm Tiến Chiển</v>
          </cell>
          <cell r="AE70" t="str">
            <v>Cán bộ TVGS</v>
          </cell>
          <cell r="AF70" t="str">
            <v>................................</v>
          </cell>
          <cell r="AG70" t="str">
            <v>................................</v>
          </cell>
          <cell r="AH70" t="str">
            <v>Nguyễn Ái Việt</v>
          </cell>
          <cell r="AI70" t="str">
            <v>Chỉ huy trưởng</v>
          </cell>
          <cell r="AJ70" t="str">
            <v>Hoàng Chiến Thắng</v>
          </cell>
          <cell r="AK70" t="str">
            <v>P. Chỉ huy trưởng</v>
          </cell>
          <cell r="AL70" t="str">
            <v>Bùi Đức Hoàng</v>
          </cell>
          <cell r="AM70" t="str">
            <v>Cán bộ kỹ thuật</v>
          </cell>
          <cell r="AQ70" t="str">
            <v>Ngày 5 Tháng 12 Năm 2015</v>
          </cell>
        </row>
        <row r="71">
          <cell r="D71" t="str">
            <v>……</v>
          </cell>
          <cell r="E71" t="str">
            <v>…….</v>
          </cell>
          <cell r="F71" t="str">
            <v>……</v>
          </cell>
          <cell r="G71" t="str">
            <v>…….</v>
          </cell>
          <cell r="H71" t="str">
            <v>……</v>
          </cell>
          <cell r="I71" t="str">
            <v>Hà Nội, ngày …… tháng ……. năm ……</v>
          </cell>
          <cell r="J71" t="str">
            <v>…… ngày …… tháng ……. năm ……</v>
          </cell>
          <cell r="K71" t="str">
            <v>……. ngày …… tháng ……. năm ……</v>
          </cell>
          <cell r="L71" t="str">
            <v>……</v>
          </cell>
          <cell r="M71" t="str">
            <v>……</v>
          </cell>
          <cell r="N71" t="str">
            <v>……</v>
          </cell>
          <cell r="O71" t="str">
            <v>…….</v>
          </cell>
          <cell r="P71" t="str">
            <v>……</v>
          </cell>
          <cell r="Q71" t="str">
            <v>Hà Nội, ngày …… tháng ……. năm ……</v>
          </cell>
          <cell r="R71" t="str">
            <v>…… ngày …… tháng ……. năm ……</v>
          </cell>
          <cell r="S71" t="str">
            <v>…… ngày …… tháng ……. năm ……</v>
          </cell>
          <cell r="T71" t="str">
            <v>……</v>
          </cell>
          <cell r="U71" t="str">
            <v>…… Ngày ……/……./……</v>
          </cell>
          <cell r="V71" t="str">
            <v>Nguyễn Ái Việt</v>
          </cell>
          <cell r="W71" t="str">
            <v>Chỉ huy trưởng</v>
          </cell>
          <cell r="X71" t="str">
            <v>................................</v>
          </cell>
          <cell r="Y71" t="str">
            <v>................................</v>
          </cell>
          <cell r="Z71" t="str">
            <v>Nguyễn Văn Nghiễm</v>
          </cell>
          <cell r="AA71" t="str">
            <v>Cán bộ KCS</v>
          </cell>
          <cell r="AB71" t="str">
            <v>Vương Toàn Hiếu</v>
          </cell>
          <cell r="AC71" t="str">
            <v>Trưởng đoàn TVGS</v>
          </cell>
          <cell r="AD71" t="str">
            <v>Đàm Tiến Chiển</v>
          </cell>
          <cell r="AE71" t="str">
            <v>Cán bộ TVGS</v>
          </cell>
          <cell r="AF71" t="str">
            <v>................................</v>
          </cell>
          <cell r="AG71" t="str">
            <v>................................</v>
          </cell>
          <cell r="AH71" t="str">
            <v>Nguyễn Ái Việt</v>
          </cell>
          <cell r="AI71" t="str">
            <v>Chỉ huy trưởng</v>
          </cell>
          <cell r="AJ71" t="str">
            <v>Hoàng Chiến Thắng</v>
          </cell>
          <cell r="AK71" t="str">
            <v>P. Chỉ huy trưởng</v>
          </cell>
          <cell r="AL71" t="str">
            <v>Bùi Đức Hoàng</v>
          </cell>
          <cell r="AM71" t="str">
            <v>Cán bộ kỹ thuật</v>
          </cell>
          <cell r="AQ71" t="str">
            <v>Ngày …… Tháng ……. Năm ……</v>
          </cell>
        </row>
        <row r="72">
          <cell r="A72" t="str">
            <v>CTN-18A</v>
          </cell>
          <cell r="B72" t="str">
            <v>Chạy thử đơn động không tải hệ thống, thiết bị cấp thoát nước</v>
          </cell>
          <cell r="C72" t="str">
            <v>CTN-18A</v>
          </cell>
          <cell r="D72" t="str">
            <v>8h30</v>
          </cell>
          <cell r="E72" t="str">
            <v>10h30</v>
          </cell>
          <cell r="F72">
            <v>4</v>
          </cell>
          <cell r="G72">
            <v>12</v>
          </cell>
          <cell r="H72">
            <v>2015</v>
          </cell>
          <cell r="I72" t="str">
            <v>Hà Nội, ngày 4 tháng 12 năm 2015</v>
          </cell>
          <cell r="J72" t="str">
            <v>8h30 ngày 4 tháng 12 năm 2015</v>
          </cell>
          <cell r="K72" t="str">
            <v>10h30 ngày 4 tháng 12 năm 2015</v>
          </cell>
          <cell r="L72" t="str">
            <v>14h00</v>
          </cell>
          <cell r="M72" t="str">
            <v>16h00</v>
          </cell>
          <cell r="N72">
            <v>4</v>
          </cell>
          <cell r="O72">
            <v>12</v>
          </cell>
          <cell r="P72">
            <v>2015</v>
          </cell>
          <cell r="Q72" t="str">
            <v>Hà Nội, ngày 4 tháng 12 năm 2015</v>
          </cell>
          <cell r="R72" t="str">
            <v>14h00 ngày 4 tháng 12 năm 2015</v>
          </cell>
          <cell r="S72" t="str">
            <v>16h00 ngày 4 tháng 12 năm 2015</v>
          </cell>
          <cell r="T72" t="str">
            <v>14h00</v>
          </cell>
          <cell r="U72" t="str">
            <v>14h00 Ngày 4/12/2015</v>
          </cell>
          <cell r="V72" t="str">
            <v>Nguyễn Ái Việt</v>
          </cell>
          <cell r="W72" t="str">
            <v>Chỉ huy trưởng</v>
          </cell>
          <cell r="X72" t="str">
            <v>................................</v>
          </cell>
          <cell r="Y72" t="str">
            <v>................................</v>
          </cell>
          <cell r="Z72" t="str">
            <v>Nguyễn Văn Nghiễm</v>
          </cell>
          <cell r="AA72" t="str">
            <v>Cán bộ KCS</v>
          </cell>
          <cell r="AB72" t="str">
            <v>Vương Toàn Hiếu</v>
          </cell>
          <cell r="AC72" t="str">
            <v>Trưởng đoàn TVGS</v>
          </cell>
          <cell r="AD72" t="str">
            <v>Đàm Tiến Chiển</v>
          </cell>
          <cell r="AE72" t="str">
            <v>Cán bộ TVGS</v>
          </cell>
          <cell r="AF72" t="str">
            <v>................................</v>
          </cell>
          <cell r="AG72" t="str">
            <v>................................</v>
          </cell>
          <cell r="AH72" t="str">
            <v>Nguyễn Ái Việt</v>
          </cell>
          <cell r="AI72" t="str">
            <v>Chỉ huy trưởng</v>
          </cell>
          <cell r="AJ72" t="str">
            <v>Hoàng Chiến Thắng</v>
          </cell>
          <cell r="AK72" t="str">
            <v>P. Chỉ huy trưởng</v>
          </cell>
          <cell r="AL72" t="str">
            <v>Bùi Đức Hoàng</v>
          </cell>
          <cell r="AM72" t="str">
            <v>Cán bộ kỹ thuật</v>
          </cell>
          <cell r="AQ72" t="str">
            <v>Ngày 4 Tháng 12 Năm 2015</v>
          </cell>
        </row>
        <row r="73">
          <cell r="A73" t="str">
            <v>CTN-20</v>
          </cell>
          <cell r="B73" t="str">
            <v>Chạy thử liên động có tải hệ thống, thiết bị cấp thoát nước</v>
          </cell>
          <cell r="C73" t="str">
            <v>CTN-20</v>
          </cell>
          <cell r="D73" t="str">
            <v>8h00</v>
          </cell>
          <cell r="E73" t="str">
            <v>11h00</v>
          </cell>
          <cell r="F73">
            <v>16</v>
          </cell>
          <cell r="G73">
            <v>12</v>
          </cell>
          <cell r="H73">
            <v>2015</v>
          </cell>
          <cell r="I73" t="str">
            <v>Hà Nội, ngày 16 tháng 12 năm 2015</v>
          </cell>
          <cell r="J73" t="str">
            <v>8h00 ngày 16 tháng 12 năm 2015</v>
          </cell>
          <cell r="K73" t="str">
            <v>11h00 ngày 16 tháng 12 năm 2015</v>
          </cell>
          <cell r="L73" t="str">
            <v>14h00</v>
          </cell>
          <cell r="M73" t="str">
            <v>17h00</v>
          </cell>
          <cell r="N73">
            <v>16</v>
          </cell>
          <cell r="O73">
            <v>12</v>
          </cell>
          <cell r="P73">
            <v>2015</v>
          </cell>
          <cell r="Q73" t="str">
            <v>Hà Nội, ngày 16 tháng 12 năm 2015</v>
          </cell>
          <cell r="R73" t="str">
            <v>14h00 ngày 16 tháng 12 năm 2015</v>
          </cell>
          <cell r="S73" t="str">
            <v>17h00 ngày 16 tháng 12 năm 2015</v>
          </cell>
          <cell r="T73" t="str">
            <v>14h00</v>
          </cell>
          <cell r="U73" t="str">
            <v>14h00 Ngày 16/12/2015</v>
          </cell>
          <cell r="V73" t="str">
            <v>Nguyễn Ái Việt</v>
          </cell>
          <cell r="W73" t="str">
            <v>Chỉ huy trưởng</v>
          </cell>
          <cell r="X73" t="str">
            <v>................................</v>
          </cell>
          <cell r="Y73" t="str">
            <v>................................</v>
          </cell>
          <cell r="Z73" t="str">
            <v>Nguyễn Văn Nghiễm</v>
          </cell>
          <cell r="AA73" t="str">
            <v>Cán bộ KCS</v>
          </cell>
          <cell r="AB73" t="str">
            <v>Vương Toàn Hiếu</v>
          </cell>
          <cell r="AC73" t="str">
            <v>Trưởng đoàn TVGS</v>
          </cell>
          <cell r="AD73" t="str">
            <v>Đàm Tiến Chiển</v>
          </cell>
          <cell r="AE73" t="str">
            <v>Cán bộ TVGS</v>
          </cell>
          <cell r="AF73" t="str">
            <v>................................</v>
          </cell>
          <cell r="AG73" t="str">
            <v>................................</v>
          </cell>
          <cell r="AH73" t="str">
            <v>Nguyễn Ái Việt</v>
          </cell>
          <cell r="AI73" t="str">
            <v>Chỉ huy trưởng</v>
          </cell>
          <cell r="AJ73" t="str">
            <v>Hoàng Chiến Thắng</v>
          </cell>
          <cell r="AK73" t="str">
            <v>P. Chỉ huy trưởng</v>
          </cell>
          <cell r="AL73" t="str">
            <v>Bùi Đức Hoàng</v>
          </cell>
          <cell r="AM73" t="str">
            <v>Cán bộ kỹ thuật</v>
          </cell>
          <cell r="AQ73" t="str">
            <v>Ngày 16 Tháng 12 Năm 2015</v>
          </cell>
        </row>
        <row r="74">
          <cell r="A74" t="str">
            <v>CTN-21</v>
          </cell>
          <cell r="B74" t="str">
            <v>Lắp đặt tĩnh thiết bị đồng hồ nước (TD88 DN 15) tầng: 01, 02, 03, 04, 05, 06, 07, 08, 09, 10, 11, áp mái</v>
          </cell>
          <cell r="C74" t="str">
            <v>CTN-21</v>
          </cell>
          <cell r="D74" t="str">
            <v>8h00</v>
          </cell>
          <cell r="E74" t="str">
            <v>11h00</v>
          </cell>
          <cell r="F74">
            <v>28</v>
          </cell>
          <cell r="G74">
            <v>12</v>
          </cell>
          <cell r="H74">
            <v>2015</v>
          </cell>
          <cell r="I74" t="str">
            <v>Hà Nội, ngày 28 tháng 12 năm 2015</v>
          </cell>
          <cell r="J74" t="str">
            <v>8h00 ngày 28 tháng 12 năm 2015</v>
          </cell>
          <cell r="K74" t="str">
            <v>11h00 ngày 28 tháng 12 năm 2015</v>
          </cell>
          <cell r="L74" t="str">
            <v>14h00</v>
          </cell>
          <cell r="M74" t="str">
            <v>17h00</v>
          </cell>
          <cell r="N74">
            <v>28</v>
          </cell>
          <cell r="O74">
            <v>12</v>
          </cell>
          <cell r="P74">
            <v>2015</v>
          </cell>
          <cell r="Q74" t="str">
            <v>Hà Nội, ngày 28 tháng 12 năm 2015</v>
          </cell>
          <cell r="R74" t="str">
            <v>14h00 ngày 28 tháng 12 năm 2015</v>
          </cell>
          <cell r="S74" t="str">
            <v>17h00 ngày 28 tháng 12 năm 2015</v>
          </cell>
          <cell r="T74" t="str">
            <v>14h00</v>
          </cell>
          <cell r="U74" t="str">
            <v>14h00 Ngày 28/12/2015</v>
          </cell>
          <cell r="V74" t="str">
            <v>Nguyễn Ái Việt</v>
          </cell>
          <cell r="W74" t="str">
            <v>Chỉ huy trưởng</v>
          </cell>
          <cell r="X74" t="str">
            <v>................................</v>
          </cell>
          <cell r="Y74" t="str">
            <v>................................</v>
          </cell>
          <cell r="Z74" t="str">
            <v>Nguyễn Văn Nghiễm</v>
          </cell>
          <cell r="AA74" t="str">
            <v>Cán bộ KCS</v>
          </cell>
          <cell r="AB74" t="str">
            <v>Vương Toàn Hiếu</v>
          </cell>
          <cell r="AC74" t="str">
            <v>Trưởng đoàn TVGS</v>
          </cell>
          <cell r="AD74" t="str">
            <v>Đàm Tiến Chiển</v>
          </cell>
          <cell r="AE74" t="str">
            <v>Cán bộ TVGS</v>
          </cell>
          <cell r="AF74" t="str">
            <v>................................</v>
          </cell>
          <cell r="AG74" t="str">
            <v>................................</v>
          </cell>
          <cell r="AH74" t="str">
            <v>Nguyễn Ái Việt</v>
          </cell>
          <cell r="AI74" t="str">
            <v>Chỉ huy trưởng</v>
          </cell>
          <cell r="AJ74" t="str">
            <v>Hoàng Chiến Thắng</v>
          </cell>
          <cell r="AK74" t="str">
            <v>P. Chỉ huy trưởng</v>
          </cell>
          <cell r="AL74" t="str">
            <v>Bùi Đức Hoàng</v>
          </cell>
          <cell r="AM74" t="str">
            <v>Cán bộ kỹ thuật</v>
          </cell>
          <cell r="AQ74" t="str">
            <v>Ngày 28 Tháng 12 Năm 2015</v>
          </cell>
        </row>
        <row r="75">
          <cell r="D75" t="str">
            <v>……</v>
          </cell>
          <cell r="E75" t="str">
            <v>…….</v>
          </cell>
          <cell r="F75" t="str">
            <v>……</v>
          </cell>
          <cell r="G75" t="str">
            <v>…….</v>
          </cell>
          <cell r="H75" t="str">
            <v>……</v>
          </cell>
          <cell r="I75" t="str">
            <v>Hà Nội, ngày …… tháng ……. năm ……</v>
          </cell>
          <cell r="J75" t="str">
            <v>…… ngày …… tháng ……. năm ……</v>
          </cell>
          <cell r="K75" t="str">
            <v>……. ngày …… tháng ……. năm ……</v>
          </cell>
          <cell r="L75" t="str">
            <v>……</v>
          </cell>
          <cell r="M75" t="str">
            <v>……</v>
          </cell>
          <cell r="N75" t="str">
            <v>……</v>
          </cell>
          <cell r="O75" t="str">
            <v>…….</v>
          </cell>
          <cell r="P75" t="str">
            <v>……</v>
          </cell>
          <cell r="Q75" t="str">
            <v>Hà Nội, ngày …… tháng ……. năm ……</v>
          </cell>
          <cell r="R75" t="str">
            <v>…… ngày …… tháng ……. năm ……</v>
          </cell>
          <cell r="S75" t="str">
            <v>…… ngày …… tháng ……. năm ……</v>
          </cell>
          <cell r="T75" t="str">
            <v>……</v>
          </cell>
          <cell r="U75" t="str">
            <v>…… Ngày ……/……./……</v>
          </cell>
          <cell r="V75" t="str">
            <v>Nguyễn Ái Việt</v>
          </cell>
          <cell r="W75" t="str">
            <v>Chỉ huy trưởng</v>
          </cell>
          <cell r="X75" t="str">
            <v>................................</v>
          </cell>
          <cell r="Y75" t="str">
            <v>................................</v>
          </cell>
          <cell r="Z75" t="str">
            <v>Nguyễn Văn Nghiễm</v>
          </cell>
          <cell r="AA75" t="str">
            <v>Cán bộ KCS</v>
          </cell>
          <cell r="AB75" t="str">
            <v>Vương Toàn Hiếu</v>
          </cell>
          <cell r="AC75" t="str">
            <v>Trưởng đoàn TVGS</v>
          </cell>
          <cell r="AD75" t="str">
            <v>Đàm Tiến Chiển</v>
          </cell>
          <cell r="AE75" t="str">
            <v>Cán bộ TVGS</v>
          </cell>
          <cell r="AF75" t="str">
            <v>................................</v>
          </cell>
          <cell r="AG75" t="str">
            <v>................................</v>
          </cell>
          <cell r="AH75" t="str">
            <v>Nguyễn Ái Việt</v>
          </cell>
          <cell r="AI75" t="str">
            <v>Chỉ huy trưởng</v>
          </cell>
          <cell r="AJ75" t="str">
            <v>Hoàng Chiến Thắng</v>
          </cell>
          <cell r="AK75" t="str">
            <v>P. Chỉ huy trưởng</v>
          </cell>
          <cell r="AL75" t="str">
            <v>Bùi Đức Hoàng</v>
          </cell>
          <cell r="AM75" t="str">
            <v>Cán bộ kỹ thuật</v>
          </cell>
          <cell r="AQ75" t="str">
            <v>Ngày …… Tháng ……. Năm ……</v>
          </cell>
        </row>
        <row r="76">
          <cell r="D76" t="str">
            <v>……</v>
          </cell>
          <cell r="E76" t="str">
            <v>…….</v>
          </cell>
          <cell r="F76" t="str">
            <v>……</v>
          </cell>
          <cell r="G76" t="str">
            <v>…….</v>
          </cell>
          <cell r="H76" t="str">
            <v>……</v>
          </cell>
          <cell r="I76" t="str">
            <v>Hà Nội, ngày …… tháng ……. năm ……</v>
          </cell>
          <cell r="J76" t="str">
            <v>…… ngày …… tháng ……. năm ……</v>
          </cell>
          <cell r="K76" t="str">
            <v>……. ngày …… tháng ……. năm ……</v>
          </cell>
          <cell r="L76" t="str">
            <v>……</v>
          </cell>
          <cell r="M76" t="str">
            <v>……</v>
          </cell>
          <cell r="N76" t="str">
            <v>……</v>
          </cell>
          <cell r="O76" t="str">
            <v>…….</v>
          </cell>
          <cell r="P76" t="str">
            <v>……</v>
          </cell>
          <cell r="Q76" t="str">
            <v>Hà Nội, ngày …… tháng ……. năm ……</v>
          </cell>
          <cell r="R76" t="str">
            <v>…… ngày …… tháng ……. năm ……</v>
          </cell>
          <cell r="S76" t="str">
            <v>…… ngày …… tháng ……. năm ……</v>
          </cell>
          <cell r="T76" t="str">
            <v>……</v>
          </cell>
          <cell r="U76" t="str">
            <v>…… Ngày ……/……./……</v>
          </cell>
          <cell r="V76" t="str">
            <v>Nguyễn Ái Việt</v>
          </cell>
          <cell r="W76" t="str">
            <v>Chỉ huy trưởng</v>
          </cell>
          <cell r="X76" t="str">
            <v>................................</v>
          </cell>
          <cell r="Y76" t="str">
            <v>................................</v>
          </cell>
          <cell r="Z76" t="str">
            <v>Nguyễn Văn Nghiễm</v>
          </cell>
          <cell r="AA76" t="str">
            <v>Cán bộ KCS</v>
          </cell>
          <cell r="AB76" t="str">
            <v>Vương Toàn Hiếu</v>
          </cell>
          <cell r="AC76" t="str">
            <v>Trưởng đoàn TVGS</v>
          </cell>
          <cell r="AD76" t="str">
            <v>Đàm Tiến Chiển</v>
          </cell>
          <cell r="AE76" t="str">
            <v>Cán bộ TVGS</v>
          </cell>
          <cell r="AF76" t="str">
            <v>................................</v>
          </cell>
          <cell r="AG76" t="str">
            <v>................................</v>
          </cell>
          <cell r="AH76" t="str">
            <v>Nguyễn Ái Việt</v>
          </cell>
          <cell r="AI76" t="str">
            <v>Chỉ huy trưởng</v>
          </cell>
          <cell r="AJ76" t="str">
            <v>Hoàng Chiến Thắng</v>
          </cell>
          <cell r="AK76" t="str">
            <v>P. Chỉ huy trưởng</v>
          </cell>
          <cell r="AL76" t="str">
            <v>Bùi Đức Hoàng</v>
          </cell>
          <cell r="AM76" t="str">
            <v>Cán bộ kỹ thuật</v>
          </cell>
          <cell r="AQ76" t="str">
            <v>Ngày …… Tháng ……. Năm ……</v>
          </cell>
        </row>
        <row r="80">
          <cell r="A80">
            <v>1</v>
          </cell>
          <cell r="B80">
            <v>2</v>
          </cell>
          <cell r="C80">
            <v>3</v>
          </cell>
          <cell r="D80">
            <v>4</v>
          </cell>
          <cell r="E80">
            <v>5</v>
          </cell>
          <cell r="F80">
            <v>6</v>
          </cell>
          <cell r="G80">
            <v>7</v>
          </cell>
          <cell r="H80">
            <v>8</v>
          </cell>
          <cell r="I80">
            <v>9</v>
          </cell>
          <cell r="J80">
            <v>10</v>
          </cell>
          <cell r="K80">
            <v>11</v>
          </cell>
          <cell r="L80">
            <v>12</v>
          </cell>
          <cell r="M80">
            <v>13</v>
          </cell>
          <cell r="N80">
            <v>14</v>
          </cell>
          <cell r="O80">
            <v>15</v>
          </cell>
          <cell r="P80">
            <v>16</v>
          </cell>
          <cell r="Q80">
            <v>17</v>
          </cell>
          <cell r="R80">
            <v>18</v>
          </cell>
          <cell r="S80">
            <v>19</v>
          </cell>
          <cell r="T80">
            <v>20</v>
          </cell>
          <cell r="U80">
            <v>21</v>
          </cell>
          <cell r="V80">
            <v>22</v>
          </cell>
          <cell r="W80">
            <v>23</v>
          </cell>
          <cell r="X80">
            <v>24</v>
          </cell>
          <cell r="Y80">
            <v>25</v>
          </cell>
          <cell r="Z80">
            <v>26</v>
          </cell>
          <cell r="AA80">
            <v>27</v>
          </cell>
          <cell r="AB80">
            <v>28</v>
          </cell>
          <cell r="AC80">
            <v>29</v>
          </cell>
          <cell r="AD80">
            <v>30</v>
          </cell>
          <cell r="AE80">
            <v>31</v>
          </cell>
          <cell r="AF80">
            <v>32</v>
          </cell>
          <cell r="AG80">
            <v>33</v>
          </cell>
          <cell r="AH80">
            <v>34</v>
          </cell>
          <cell r="AI80">
            <v>35</v>
          </cell>
          <cell r="AJ80">
            <v>36</v>
          </cell>
          <cell r="AK80">
            <v>37</v>
          </cell>
          <cell r="AL80">
            <v>38</v>
          </cell>
          <cell r="AM80">
            <v>39</v>
          </cell>
          <cell r="AN80">
            <v>40</v>
          </cell>
          <cell r="AO80">
            <v>41</v>
          </cell>
          <cell r="AP80">
            <v>42</v>
          </cell>
          <cell r="AQ80">
            <v>43</v>
          </cell>
        </row>
      </sheetData>
      <sheetData sheetId="125"/>
      <sheetData sheetId="126"/>
      <sheetData sheetId="127"/>
      <sheetData sheetId="128"/>
      <sheetData sheetId="129"/>
      <sheetData sheetId="130">
        <row r="1">
          <cell r="A1" t="str">
            <v>CÔNG TY CP HỒNG HÀ VIỆT NAM</v>
          </cell>
          <cell r="C1" t="str">
            <v>CỘNG HÒA XÃ HỘI CHỦ NGHĨA VIỆT NAM</v>
          </cell>
        </row>
        <row r="2">
          <cell r="C2" t="str">
            <v>ĐỘC LẬP-TỰ DO -HẠNH PHÚC</v>
          </cell>
        </row>
        <row r="4">
          <cell r="A4" t="str">
            <v>BBNT GIAO NGOAI</v>
          </cell>
          <cell r="W4" t="str">
            <v xml:space="preserve">FILE IN </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GN-01</v>
          </cell>
          <cell r="B10" t="str">
            <v>Lắp dựng giáo ngoài từ tầng 02 đến tầng 06 (từ cos +3.2 đến cos +19.2)</v>
          </cell>
          <cell r="C10" t="str">
            <v>GN-01</v>
          </cell>
          <cell r="D10" t="str">
            <v>9h30</v>
          </cell>
          <cell r="E10" t="str">
            <v>10h00</v>
          </cell>
          <cell r="F10">
            <v>18</v>
          </cell>
          <cell r="G10">
            <v>6</v>
          </cell>
          <cell r="H10">
            <v>2015</v>
          </cell>
          <cell r="I10" t="str">
            <v>Hà Nội, ngày 18 tháng 6 năm 2015</v>
          </cell>
          <cell r="J10" t="str">
            <v>9h30 ngày 18 tháng 6 năm 2015</v>
          </cell>
          <cell r="K10" t="str">
            <v>10h00 ngày 25 tháng 7 năm 2015</v>
          </cell>
          <cell r="L10" t="str">
            <v>10h30</v>
          </cell>
          <cell r="M10" t="str">
            <v>11h00</v>
          </cell>
          <cell r="N10">
            <v>25</v>
          </cell>
          <cell r="O10">
            <v>7</v>
          </cell>
          <cell r="P10">
            <v>2015</v>
          </cell>
          <cell r="Q10" t="str">
            <v>Hà Nội, ngày 25 tháng 7 năm 2015</v>
          </cell>
          <cell r="R10" t="str">
            <v>10h30 ngày 18 tháng 6 năm 2015</v>
          </cell>
          <cell r="S10" t="str">
            <v>11h00 ngày 25 tháng 7 năm 2015</v>
          </cell>
          <cell r="T10" t="str">
            <v>9h30</v>
          </cell>
          <cell r="U10" t="str">
            <v>9h30 Ngày 18/6/2015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18 Tháng 6 Năm 2015</v>
          </cell>
        </row>
        <row r="11">
          <cell r="A11" t="str">
            <v>GN-02</v>
          </cell>
          <cell r="B11" t="str">
            <v>Lắp dựng giáo ngoài từ tầng 07 đến tầng mái (từ cos +19.2 đến cos +39.35)</v>
          </cell>
          <cell r="C11" t="str">
            <v>GN-02</v>
          </cell>
          <cell r="D11" t="str">
            <v>13h30</v>
          </cell>
          <cell r="E11" t="str">
            <v>14h30</v>
          </cell>
          <cell r="F11">
            <v>7</v>
          </cell>
          <cell r="G11">
            <v>8</v>
          </cell>
          <cell r="H11">
            <v>2015</v>
          </cell>
          <cell r="I11" t="str">
            <v>Hà Nội, ngày 7 tháng 8 năm 2015</v>
          </cell>
          <cell r="J11" t="str">
            <v>13h30 ngày 7 tháng 8 năm 2015</v>
          </cell>
          <cell r="K11" t="str">
            <v>14h30 ngày 9 tháng 9 năm 2015</v>
          </cell>
          <cell r="L11" t="str">
            <v>14h30</v>
          </cell>
          <cell r="M11" t="str">
            <v>15h30</v>
          </cell>
          <cell r="N11">
            <v>9</v>
          </cell>
          <cell r="O11">
            <v>9</v>
          </cell>
          <cell r="P11">
            <v>2015</v>
          </cell>
          <cell r="Q11" t="str">
            <v>Hà Nội, ngày 9 tháng 9 năm 2015</v>
          </cell>
          <cell r="R11" t="str">
            <v>14h30 ngày 7 tháng 8 năm 2015</v>
          </cell>
          <cell r="S11" t="str">
            <v>15h30 ngày 9 tháng 9 năm 2015</v>
          </cell>
          <cell r="T11" t="str">
            <v>14h30</v>
          </cell>
          <cell r="U11" t="str">
            <v>14h30 Ngày 9/9/2015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7 Tháng 8 Năm 2015</v>
          </cell>
        </row>
        <row r="12">
          <cell r="A12" t="str">
            <v>GN-03</v>
          </cell>
          <cell r="B12" t="str">
            <v>Lắp dựng giáo ngoài từ tầng 01 đến tầng 02 (từ cos +0.00 đến cos +6.400)</v>
          </cell>
          <cell r="C12" t="str">
            <v>GN-03</v>
          </cell>
          <cell r="D12" t="str">
            <v>8h00</v>
          </cell>
          <cell r="E12" t="str">
            <v>8h45</v>
          </cell>
          <cell r="F12">
            <v>8</v>
          </cell>
          <cell r="G12">
            <v>10</v>
          </cell>
          <cell r="H12">
            <v>2015</v>
          </cell>
          <cell r="I12" t="str">
            <v>Hà Nội, ngày 8 tháng 10 năm 2015</v>
          </cell>
          <cell r="J12" t="str">
            <v>8h00 ngày 8 tháng 10 năm 2015</v>
          </cell>
          <cell r="K12" t="str">
            <v>8h45 ngày 8 tháng 10 năm 2015</v>
          </cell>
          <cell r="L12" t="str">
            <v>9h00</v>
          </cell>
          <cell r="M12" t="str">
            <v>9h45</v>
          </cell>
          <cell r="N12">
            <v>8</v>
          </cell>
          <cell r="O12">
            <v>10</v>
          </cell>
          <cell r="P12">
            <v>2015</v>
          </cell>
          <cell r="Q12" t="str">
            <v>Hà Nội, ngày 8 tháng 10 năm 2015</v>
          </cell>
          <cell r="R12" t="str">
            <v>9h00 ngày 8 tháng 10 năm 2015</v>
          </cell>
          <cell r="S12" t="str">
            <v>9h45 ngày 8 tháng 10 năm 2015</v>
          </cell>
          <cell r="T12" t="str">
            <v>9h00</v>
          </cell>
          <cell r="U12" t="str">
            <v>9h00 Ngày 8/10/2015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8 Tháng 10 Năm 2015</v>
          </cell>
        </row>
        <row r="13">
          <cell r="A13" t="str">
            <v>GT-01</v>
          </cell>
          <cell r="B13" t="str">
            <v>Lắp dựng giáo trong chiều cao 3,6m tầng áp mái</v>
          </cell>
          <cell r="C13" t="str">
            <v>GT-01</v>
          </cell>
          <cell r="D13" t="str">
            <v>14h30</v>
          </cell>
          <cell r="E13" t="str">
            <v>15h30</v>
          </cell>
          <cell r="F13">
            <v>25</v>
          </cell>
          <cell r="G13">
            <v>9</v>
          </cell>
          <cell r="H13">
            <v>2015</v>
          </cell>
          <cell r="I13" t="str">
            <v>Hà Nội, ngày 25 tháng 9 năm 2015</v>
          </cell>
          <cell r="J13" t="str">
            <v>14h30 ngày 25 tháng 9 năm 2015</v>
          </cell>
          <cell r="K13" t="str">
            <v>15h30 ngày 25 tháng 9 năm 2015</v>
          </cell>
          <cell r="L13" t="str">
            <v>15h40</v>
          </cell>
          <cell r="M13" t="str">
            <v>16h30</v>
          </cell>
          <cell r="N13">
            <v>25</v>
          </cell>
          <cell r="O13">
            <v>9</v>
          </cell>
          <cell r="P13">
            <v>2015</v>
          </cell>
          <cell r="Q13" t="str">
            <v>Hà Nội, ngày 25 tháng 9 năm 2015</v>
          </cell>
          <cell r="R13" t="str">
            <v>15h40 ngày 25 tháng 9 năm 2015</v>
          </cell>
          <cell r="S13" t="str">
            <v>16h30 ngày 25 tháng 9 năm 2015</v>
          </cell>
          <cell r="T13" t="str">
            <v>15h30</v>
          </cell>
          <cell r="U13" t="str">
            <v>15h30 Ngày 25/9/2015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25 Tháng 9 Năm 2015</v>
          </cell>
        </row>
        <row r="14">
          <cell r="A14" t="str">
            <v>GN-04</v>
          </cell>
          <cell r="B14" t="str">
            <v>Lắp dựng giáo ngoài tại vị trí thi công cửa chớp tôn thang TB1, TB2 tầng: 01, 02, 03, 04, 05, 06, 07, 08, 09, 10, 11, áp mái</v>
          </cell>
          <cell r="C14" t="str">
            <v>GN-04</v>
          </cell>
          <cell r="D14" t="str">
            <v>14h15</v>
          </cell>
          <cell r="E14" t="str">
            <v>15h00</v>
          </cell>
          <cell r="F14">
            <v>1</v>
          </cell>
          <cell r="G14">
            <v>12</v>
          </cell>
          <cell r="H14">
            <v>2015</v>
          </cell>
          <cell r="I14" t="str">
            <v>Hà Nội, ngày 1 tháng 12 năm 2015</v>
          </cell>
          <cell r="J14" t="str">
            <v>14h15 ngày 1 tháng 12 năm 2015</v>
          </cell>
          <cell r="K14" t="str">
            <v>15h00 ngày 1 tháng 12 năm 2015</v>
          </cell>
          <cell r="L14" t="str">
            <v>15h00</v>
          </cell>
          <cell r="M14" t="str">
            <v>15h45</v>
          </cell>
          <cell r="N14">
            <v>1</v>
          </cell>
          <cell r="O14">
            <v>12</v>
          </cell>
          <cell r="P14">
            <v>2015</v>
          </cell>
          <cell r="Q14" t="str">
            <v>Hà Nội, ngày 1 tháng 12 năm 2015</v>
          </cell>
          <cell r="R14" t="str">
            <v>15h00 ngày 1 tháng 12 năm 2015</v>
          </cell>
          <cell r="S14" t="str">
            <v>15h45 ngày 1 tháng 12 năm 2015</v>
          </cell>
          <cell r="T14" t="str">
            <v>15h00</v>
          </cell>
          <cell r="U14" t="str">
            <v>15h00 Ngày 1/12/2015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1 Tháng 12 Năm 2015</v>
          </cell>
        </row>
        <row r="15">
          <cell r="A15">
            <v>0</v>
          </cell>
          <cell r="D15" t="str">
            <v>16h00</v>
          </cell>
          <cell r="E15" t="str">
            <v>16h45</v>
          </cell>
          <cell r="F15">
            <v>28</v>
          </cell>
          <cell r="G15">
            <v>1</v>
          </cell>
          <cell r="H15">
            <v>2015</v>
          </cell>
          <cell r="I15" t="str">
            <v>Hà Nội, ngày 28 tháng 1 năm 2015</v>
          </cell>
          <cell r="J15" t="str">
            <v>16h00 ngày 28 tháng 1 năm 2015</v>
          </cell>
          <cell r="K15" t="str">
            <v>16h45 ngày 28 tháng 1 năm 2015</v>
          </cell>
          <cell r="L15" t="str">
            <v>16h45</v>
          </cell>
          <cell r="M15" t="str">
            <v>17h30</v>
          </cell>
          <cell r="N15">
            <v>28</v>
          </cell>
          <cell r="O15">
            <v>1</v>
          </cell>
          <cell r="P15">
            <v>2015</v>
          </cell>
          <cell r="Q15" t="str">
            <v>Hà Nội, ngày 28 tháng 1 năm 2015</v>
          </cell>
          <cell r="R15" t="str">
            <v>16h45 ngày 28 tháng 1 năm 2015</v>
          </cell>
          <cell r="S15" t="str">
            <v>17h30 ngày 28 tháng 1 năm 2015</v>
          </cell>
          <cell r="T15" t="str">
            <v>16h45</v>
          </cell>
          <cell r="U15" t="str">
            <v>16h45 Ngày 28/1/2015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28 Tháng 1 Năm 2015</v>
          </cell>
        </row>
        <row r="16">
          <cell r="A16">
            <v>0</v>
          </cell>
          <cell r="D16" t="str">
            <v>10h30'</v>
          </cell>
          <cell r="E16" t="str">
            <v>11h30'</v>
          </cell>
          <cell r="F16">
            <v>7</v>
          </cell>
          <cell r="G16">
            <v>3</v>
          </cell>
          <cell r="H16">
            <v>2015</v>
          </cell>
          <cell r="I16" t="str">
            <v>Hà Nội, ngày 7 tháng 3 năm 2015</v>
          </cell>
          <cell r="J16" t="str">
            <v>10h30' ngày 7 tháng 3 năm 2015</v>
          </cell>
          <cell r="K16" t="str">
            <v>11h30' ngày 7 tháng 3 năm 2015</v>
          </cell>
          <cell r="L16" t="str">
            <v>12h30</v>
          </cell>
          <cell r="M16" t="str">
            <v>13h30</v>
          </cell>
          <cell r="N16">
            <v>7</v>
          </cell>
          <cell r="O16">
            <v>3</v>
          </cell>
          <cell r="P16">
            <v>2015</v>
          </cell>
          <cell r="Q16" t="str">
            <v>Hà Nội, ngày 7 tháng 3 năm 2015</v>
          </cell>
          <cell r="R16" t="str">
            <v>12h30 ngày 7 tháng 3 năm 2015</v>
          </cell>
          <cell r="S16" t="str">
            <v>13h30 ngày 7 tháng 3 năm 2015</v>
          </cell>
          <cell r="T16" t="str">
            <v>12h30</v>
          </cell>
          <cell r="U16" t="str">
            <v>12h30 Ngày 7/3/2015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7 Tháng 3 Năm 2015</v>
          </cell>
        </row>
        <row r="17">
          <cell r="A17">
            <v>0</v>
          </cell>
          <cell r="D17" t="str">
            <v>10h30'</v>
          </cell>
          <cell r="E17" t="str">
            <v>11h30'</v>
          </cell>
          <cell r="F17">
            <v>25</v>
          </cell>
          <cell r="G17">
            <v>3</v>
          </cell>
          <cell r="H17">
            <v>2015</v>
          </cell>
          <cell r="I17" t="str">
            <v>Hà Nội, ngày 25 tháng 3 năm 2015</v>
          </cell>
          <cell r="J17" t="str">
            <v>10h30' ngày 25 tháng 3 năm 2015</v>
          </cell>
          <cell r="K17" t="str">
            <v>11h30' ngày 25 tháng 3 năm 2015</v>
          </cell>
          <cell r="L17" t="str">
            <v>14h30'</v>
          </cell>
          <cell r="M17" t="str">
            <v>15h30'</v>
          </cell>
          <cell r="N17">
            <v>25</v>
          </cell>
          <cell r="O17">
            <v>3</v>
          </cell>
          <cell r="P17">
            <v>2015</v>
          </cell>
          <cell r="Q17" t="str">
            <v>Hà Nội, ngày 25 tháng 3 năm 2015</v>
          </cell>
          <cell r="R17" t="str">
            <v>14h30' ngày 25 tháng 3 năm 2015</v>
          </cell>
          <cell r="S17" t="str">
            <v>15h30' ngày 25 tháng 3 năm 2015</v>
          </cell>
          <cell r="T17" t="str">
            <v>14h30'</v>
          </cell>
          <cell r="U17" t="str">
            <v>14h30' Ngày 25/3/2015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25 Tháng 3 Năm 2015</v>
          </cell>
        </row>
        <row r="18">
          <cell r="A18">
            <v>0</v>
          </cell>
          <cell r="D18" t="str">
            <v>15h30</v>
          </cell>
          <cell r="E18" t="str">
            <v>16h15</v>
          </cell>
          <cell r="F18">
            <v>5</v>
          </cell>
          <cell r="G18">
            <v>4</v>
          </cell>
          <cell r="H18">
            <v>2015</v>
          </cell>
          <cell r="I18" t="str">
            <v>Hà Nội, ngày 5 tháng 4 năm 2015</v>
          </cell>
          <cell r="J18" t="str">
            <v>15h30 ngày 5 tháng 4 năm 2015</v>
          </cell>
          <cell r="K18" t="str">
            <v>16h15 ngày 5 tháng 4 năm 2015</v>
          </cell>
          <cell r="L18" t="str">
            <v>16h15</v>
          </cell>
          <cell r="M18" t="str">
            <v>17h00</v>
          </cell>
          <cell r="N18">
            <v>5</v>
          </cell>
          <cell r="O18">
            <v>4</v>
          </cell>
          <cell r="P18">
            <v>2015</v>
          </cell>
          <cell r="Q18" t="str">
            <v>Hà Nội, ngày 5 tháng 4 năm 2015</v>
          </cell>
          <cell r="R18" t="str">
            <v>16h15 ngày 5 tháng 4 năm 2015</v>
          </cell>
          <cell r="S18" t="str">
            <v>17h00 ngày 5 tháng 4 năm 2015</v>
          </cell>
          <cell r="T18" t="str">
            <v>16h15</v>
          </cell>
          <cell r="U18" t="str">
            <v>16h15 Ngày 5/4/2015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5 Tháng 4 Năm 2015</v>
          </cell>
        </row>
        <row r="19">
          <cell r="A19">
            <v>0</v>
          </cell>
          <cell r="D19" t="str">
            <v>14h00</v>
          </cell>
          <cell r="E19" t="str">
            <v>15h30</v>
          </cell>
          <cell r="F19">
            <v>21</v>
          </cell>
          <cell r="G19">
            <v>4</v>
          </cell>
          <cell r="H19">
            <v>2015</v>
          </cell>
          <cell r="I19" t="str">
            <v>Hà Nội, ngày 21 tháng 4 năm 2015</v>
          </cell>
          <cell r="J19" t="str">
            <v>14h00 ngày 21 tháng 4 năm 2015</v>
          </cell>
          <cell r="K19" t="str">
            <v>15h30 ngày 21 tháng 4 năm 2015</v>
          </cell>
          <cell r="L19" t="str">
            <v>15h30</v>
          </cell>
          <cell r="M19" t="str">
            <v>16h00</v>
          </cell>
          <cell r="N19">
            <v>21</v>
          </cell>
          <cell r="O19">
            <v>4</v>
          </cell>
          <cell r="P19">
            <v>2015</v>
          </cell>
          <cell r="Q19" t="str">
            <v>Hà Nội, ngày 21 tháng 4 năm 2015</v>
          </cell>
          <cell r="R19" t="str">
            <v>15h30 ngày 21 tháng 4 năm 2015</v>
          </cell>
          <cell r="S19" t="str">
            <v>16h00 ngày 21 tháng 4 năm 2015</v>
          </cell>
          <cell r="T19" t="str">
            <v>15h30</v>
          </cell>
          <cell r="U19" t="str">
            <v>15h30 Ngày 21/4/2015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21 Tháng 4 Năm 2015</v>
          </cell>
        </row>
        <row r="20">
          <cell r="A20">
            <v>0</v>
          </cell>
          <cell r="D20" t="str">
            <v>14h00</v>
          </cell>
          <cell r="E20" t="str">
            <v>14h45</v>
          </cell>
          <cell r="F20">
            <v>6</v>
          </cell>
          <cell r="G20">
            <v>5</v>
          </cell>
          <cell r="H20">
            <v>2015</v>
          </cell>
          <cell r="I20" t="str">
            <v>Hà Nội, ngày 6 tháng 5 năm 2015</v>
          </cell>
          <cell r="J20" t="str">
            <v>14h00 ngày 6 tháng 5 năm 2015</v>
          </cell>
          <cell r="K20" t="str">
            <v>14h45 ngày 6 tháng 5 năm 2015</v>
          </cell>
          <cell r="L20" t="str">
            <v>14h45</v>
          </cell>
          <cell r="M20" t="str">
            <v>15h30</v>
          </cell>
          <cell r="N20">
            <v>6</v>
          </cell>
          <cell r="O20">
            <v>5</v>
          </cell>
          <cell r="P20">
            <v>2015</v>
          </cell>
          <cell r="Q20" t="str">
            <v>Hà Nội, ngày 6 tháng 5 năm 2015</v>
          </cell>
          <cell r="R20" t="str">
            <v>14h45 ngày 6 tháng 5 năm 2015</v>
          </cell>
          <cell r="S20" t="str">
            <v>15h30 ngày 6 tháng 5 năm 2015</v>
          </cell>
          <cell r="T20" t="str">
            <v>14h45</v>
          </cell>
          <cell r="U20" t="str">
            <v>14h45 Ngày 6/5/2015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6 Tháng 5 Năm 2015</v>
          </cell>
        </row>
        <row r="21">
          <cell r="A21">
            <v>0</v>
          </cell>
          <cell r="D21" t="str">
            <v>14h15</v>
          </cell>
          <cell r="E21" t="str">
            <v>15h00</v>
          </cell>
          <cell r="F21">
            <v>17</v>
          </cell>
          <cell r="G21">
            <v>5</v>
          </cell>
          <cell r="H21">
            <v>2015</v>
          </cell>
          <cell r="I21" t="str">
            <v>Hà Nội, ngày 17 tháng 5 năm 2015</v>
          </cell>
          <cell r="J21" t="str">
            <v>14h15 ngày 17 tháng 5 năm 2015</v>
          </cell>
          <cell r="K21" t="str">
            <v>15h00 ngày 17 tháng 5 năm 2015</v>
          </cell>
          <cell r="L21" t="str">
            <v>15h00</v>
          </cell>
          <cell r="M21" t="str">
            <v>15h45</v>
          </cell>
          <cell r="N21">
            <v>17</v>
          </cell>
          <cell r="O21">
            <v>5</v>
          </cell>
          <cell r="P21">
            <v>2015</v>
          </cell>
          <cell r="Q21" t="str">
            <v>Hà Nội, ngày 17 tháng 5 năm 2015</v>
          </cell>
          <cell r="R21" t="str">
            <v>15h00 ngày 17 tháng 5 năm 2015</v>
          </cell>
          <cell r="S21" t="str">
            <v>15h45 ngày 17 tháng 5 năm 2015</v>
          </cell>
          <cell r="T21" t="str">
            <v>15h00</v>
          </cell>
          <cell r="U21" t="str">
            <v>15h00 Ngày 17/5/2015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17 Tháng 5 Năm 2015</v>
          </cell>
        </row>
        <row r="22">
          <cell r="A22">
            <v>0</v>
          </cell>
          <cell r="D22" t="str">
            <v>14h00</v>
          </cell>
          <cell r="E22" t="str">
            <v>14h30</v>
          </cell>
          <cell r="F22">
            <v>23</v>
          </cell>
          <cell r="G22">
            <v>5</v>
          </cell>
          <cell r="H22">
            <v>2015</v>
          </cell>
          <cell r="I22" t="str">
            <v>Hà Nội, ngày 23 tháng 5 năm 2015</v>
          </cell>
          <cell r="J22" t="str">
            <v>14h00 ngày 23 tháng 5 năm 2015</v>
          </cell>
          <cell r="K22" t="str">
            <v>14h30 ngày 23 tháng 5 năm 2015</v>
          </cell>
          <cell r="L22" t="str">
            <v>14h30</v>
          </cell>
          <cell r="M22" t="str">
            <v>15h00</v>
          </cell>
          <cell r="N22">
            <v>23</v>
          </cell>
          <cell r="O22">
            <v>5</v>
          </cell>
          <cell r="P22">
            <v>2015</v>
          </cell>
          <cell r="Q22" t="str">
            <v>Hà Nội, ngày 23 tháng 5 năm 2015</v>
          </cell>
          <cell r="R22" t="str">
            <v>14h30 ngày 23 tháng 5 năm 2015</v>
          </cell>
          <cell r="S22" t="str">
            <v>15h00 ngày 23 tháng 5 năm 2015</v>
          </cell>
          <cell r="T22" t="str">
            <v>14h30</v>
          </cell>
          <cell r="U22" t="str">
            <v>14h30 Ngày 23/5/2015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23 Tháng 5 Năm 2015</v>
          </cell>
        </row>
        <row r="23">
          <cell r="A23">
            <v>0</v>
          </cell>
          <cell r="D23" t="str">
            <v>……</v>
          </cell>
          <cell r="E23" t="str">
            <v>…….</v>
          </cell>
          <cell r="F23" t="str">
            <v>……</v>
          </cell>
          <cell r="G23">
            <v>6</v>
          </cell>
          <cell r="H23">
            <v>2015</v>
          </cell>
          <cell r="I23" t="str">
            <v>Hà Nội, ngày …… tháng 6 năm 2015</v>
          </cell>
          <cell r="J23" t="str">
            <v>…… ngày …… tháng 6 năm 2015</v>
          </cell>
          <cell r="K23" t="str">
            <v>……. ngày …… tháng 6 năm 2015</v>
          </cell>
          <cell r="L23" t="str">
            <v>……</v>
          </cell>
          <cell r="M23" t="str">
            <v>……</v>
          </cell>
          <cell r="N23" t="str">
            <v>……</v>
          </cell>
          <cell r="O23">
            <v>6</v>
          </cell>
          <cell r="P23">
            <v>2015</v>
          </cell>
          <cell r="Q23" t="str">
            <v>Hà Nội, ngày …… tháng 6 năm 2015</v>
          </cell>
          <cell r="R23" t="str">
            <v>…… ngày …… tháng 6 năm 2015</v>
          </cell>
          <cell r="S23" t="str">
            <v>…… ngày …… tháng 6 năm 2015</v>
          </cell>
          <cell r="T23" t="str">
            <v>……</v>
          </cell>
          <cell r="U23" t="str">
            <v>…… Ngày ……/6/2015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6 Năm 2015</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4">
          <cell r="A34">
            <v>1</v>
          </cell>
          <cell r="B34">
            <v>2</v>
          </cell>
          <cell r="C34">
            <v>3</v>
          </cell>
          <cell r="D34">
            <v>4</v>
          </cell>
          <cell r="E34">
            <v>5</v>
          </cell>
          <cell r="F34">
            <v>6</v>
          </cell>
          <cell r="G34">
            <v>7</v>
          </cell>
          <cell r="H34">
            <v>8</v>
          </cell>
          <cell r="I34">
            <v>9</v>
          </cell>
          <cell r="J34">
            <v>10</v>
          </cell>
          <cell r="K34">
            <v>11</v>
          </cell>
          <cell r="L34">
            <v>12</v>
          </cell>
          <cell r="M34">
            <v>13</v>
          </cell>
          <cell r="N34">
            <v>14</v>
          </cell>
          <cell r="O34">
            <v>15</v>
          </cell>
          <cell r="P34">
            <v>16</v>
          </cell>
          <cell r="Q34">
            <v>17</v>
          </cell>
          <cell r="R34">
            <v>18</v>
          </cell>
          <cell r="S34">
            <v>19</v>
          </cell>
          <cell r="T34">
            <v>20</v>
          </cell>
          <cell r="U34">
            <v>21</v>
          </cell>
          <cell r="V34">
            <v>22</v>
          </cell>
          <cell r="W34">
            <v>23</v>
          </cell>
          <cell r="X34">
            <v>24</v>
          </cell>
          <cell r="Y34">
            <v>25</v>
          </cell>
          <cell r="Z34">
            <v>26</v>
          </cell>
          <cell r="AA34">
            <v>27</v>
          </cell>
          <cell r="AB34">
            <v>28</v>
          </cell>
          <cell r="AC34">
            <v>29</v>
          </cell>
          <cell r="AD34">
            <v>30</v>
          </cell>
          <cell r="AE34">
            <v>31</v>
          </cell>
          <cell r="AF34">
            <v>32</v>
          </cell>
          <cell r="AG34">
            <v>33</v>
          </cell>
          <cell r="AH34">
            <v>34</v>
          </cell>
          <cell r="AI34">
            <v>35</v>
          </cell>
          <cell r="AJ34">
            <v>36</v>
          </cell>
          <cell r="AK34">
            <v>37</v>
          </cell>
          <cell r="AL34">
            <v>38</v>
          </cell>
          <cell r="AM34">
            <v>39</v>
          </cell>
          <cell r="AN34">
            <v>40</v>
          </cell>
          <cell r="AO34">
            <v>41</v>
          </cell>
          <cell r="AP34">
            <v>42</v>
          </cell>
          <cell r="AQ34">
            <v>43</v>
          </cell>
        </row>
      </sheetData>
      <sheetData sheetId="131"/>
      <sheetData sheetId="132"/>
      <sheetData sheetId="133"/>
      <sheetData sheetId="134"/>
      <sheetData sheetId="135"/>
      <sheetData sheetId="136"/>
      <sheetData sheetId="137"/>
      <sheetData sheetId="138">
        <row r="1">
          <cell r="A1" t="str">
            <v>CÔNG TY CP HỒNG HÀ VIỆT NAM</v>
          </cell>
          <cell r="C1" t="str">
            <v>CỘNG HÒA XÃ HỘI CHỦ NGHĨA VIỆT NAM</v>
          </cell>
        </row>
        <row r="2">
          <cell r="C2" t="str">
            <v>ĐỘC LẬP-TỰ DO -HẠNH PHÚC</v>
          </cell>
        </row>
        <row r="4">
          <cell r="A4" t="str">
            <v>BBNT THONG GIO</v>
          </cell>
          <cell r="W4" t="str">
            <v xml:space="preserve">FILE IN </v>
          </cell>
          <cell r="AN4" t="str">
            <v>KHỐI LƯỢNG</v>
          </cell>
          <cell r="AO4" t="str">
            <v>LẤY MẪU</v>
          </cell>
        </row>
        <row r="5">
          <cell r="A5" t="str">
            <v>XÂY DỰNG NHÀ Ở XÃ HỘI ĐỂ BÁN VÀ CHO THUÊ</v>
          </cell>
          <cell r="W5" t="str">
            <v>FILE IN LĐT</v>
          </cell>
          <cell r="AN5" t="str">
            <v>FILE IN ĐĐ</v>
          </cell>
        </row>
        <row r="6">
          <cell r="A6" t="str">
            <v>CT6</v>
          </cell>
          <cell r="W6" t="str">
            <v>FILE IN LĐ CT</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TG-01</v>
          </cell>
          <cell r="B10" t="str">
            <v>Thử kín đường ống thông gió quy cách ống : 200x450 mm; 200x750 mm tầng 03, 04, 05, 06, 07 (đường ống hút khỏi sảnh)</v>
          </cell>
          <cell r="C10" t="str">
            <v>TG-01</v>
          </cell>
          <cell r="D10" t="str">
            <v>8h30</v>
          </cell>
          <cell r="E10" t="str">
            <v>10h00</v>
          </cell>
          <cell r="F10">
            <v>5</v>
          </cell>
          <cell r="G10">
            <v>9</v>
          </cell>
          <cell r="H10">
            <v>2015</v>
          </cell>
          <cell r="I10" t="str">
            <v>Hà Nội, ngày 5 tháng 9 năm 2015</v>
          </cell>
          <cell r="J10" t="str">
            <v>8h30 ngày 5 tháng 9 năm 2015</v>
          </cell>
          <cell r="K10" t="str">
            <v>10h00 ngày 5 tháng 9 năm 2015</v>
          </cell>
          <cell r="L10" t="str">
            <v>10h05</v>
          </cell>
          <cell r="M10" t="str">
            <v>11h30</v>
          </cell>
          <cell r="N10">
            <v>5</v>
          </cell>
          <cell r="O10">
            <v>9</v>
          </cell>
          <cell r="P10">
            <v>2015</v>
          </cell>
          <cell r="Q10" t="str">
            <v>Hà Nội, ngày 5 tháng 9 năm 2015</v>
          </cell>
          <cell r="R10" t="str">
            <v>10h05 ngày 5 tháng 9 năm 2015</v>
          </cell>
          <cell r="S10" t="str">
            <v>11h30 ngày 5 tháng 9 năm 2015</v>
          </cell>
          <cell r="T10" t="str">
            <v>10h05</v>
          </cell>
          <cell r="U10" t="str">
            <v>10h05 Ngày 5/9/2015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AC-CT6-03; AC-CT6-09</v>
          </cell>
          <cell r="AQ10" t="str">
            <v>Ngày 5 Tháng 9 Năm 2015</v>
          </cell>
        </row>
        <row r="11">
          <cell r="A11" t="str">
            <v>TG-02</v>
          </cell>
          <cell r="B11" t="str">
            <v>Gia công, lắp đặt ống thông gió hộp bằng phương pháp ghép mí dán keo và gia công lắp đặt côn, cút thông gió hộp ghép mí dán keo nối bằng phương pháp mặt bích: tôn dày 0,58 mm; tôn dày 0,75 mm tầng 03, 04, 05, 06, 07 (đường ống hút khỏi sảnh)</v>
          </cell>
          <cell r="C11" t="str">
            <v>TG-02</v>
          </cell>
          <cell r="D11" t="str">
            <v>8h00</v>
          </cell>
          <cell r="E11" t="str">
            <v>10h00</v>
          </cell>
          <cell r="F11">
            <v>6</v>
          </cell>
          <cell r="G11">
            <v>9</v>
          </cell>
          <cell r="H11">
            <v>2015</v>
          </cell>
          <cell r="I11" t="str">
            <v>Hà Nội, ngày 6 tháng 9 năm 2015</v>
          </cell>
          <cell r="J11" t="str">
            <v>8h00 ngày 6 tháng 9 năm 2015</v>
          </cell>
          <cell r="K11" t="str">
            <v>10h00 ngày 6 tháng 9 năm 2015</v>
          </cell>
          <cell r="L11" t="str">
            <v>10h05</v>
          </cell>
          <cell r="M11" t="str">
            <v>11h30</v>
          </cell>
          <cell r="N11">
            <v>6</v>
          </cell>
          <cell r="O11">
            <v>9</v>
          </cell>
          <cell r="P11">
            <v>2015</v>
          </cell>
          <cell r="Q11" t="str">
            <v>Hà Nội, ngày 6 tháng 9 năm 2015</v>
          </cell>
          <cell r="R11" t="str">
            <v>10h05 ngày 6 tháng 9 năm 2015</v>
          </cell>
          <cell r="S11" t="str">
            <v>11h30 ngày 6 tháng 9 năm 2015</v>
          </cell>
          <cell r="T11" t="str">
            <v>10h05</v>
          </cell>
          <cell r="U11" t="str">
            <v>10h05 Ngày 6/9/2015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AC-CT6-03; AC-CT6-09</v>
          </cell>
          <cell r="AQ11" t="str">
            <v>Ngày 6 Tháng 9 Năm 2015</v>
          </cell>
        </row>
        <row r="12">
          <cell r="A12" t="str">
            <v>TG-03</v>
          </cell>
          <cell r="B12" t="str">
            <v>Thử kín đường ống thông gió quy cách ống : 200x450 mm; 200x750 mm tầng 08, 09, 10, 11 (đường ống hút khỏi sảnh)</v>
          </cell>
          <cell r="C12" t="str">
            <v>TG-03</v>
          </cell>
          <cell r="D12" t="str">
            <v>8h00</v>
          </cell>
          <cell r="E12" t="str">
            <v>9h30</v>
          </cell>
          <cell r="F12">
            <v>15</v>
          </cell>
          <cell r="G12">
            <v>9</v>
          </cell>
          <cell r="H12">
            <v>2015</v>
          </cell>
          <cell r="I12" t="str">
            <v>Hà Nội, ngày 15 tháng 9 năm 2015</v>
          </cell>
          <cell r="J12" t="str">
            <v>8h00 ngày 15 tháng 9 năm 2015</v>
          </cell>
          <cell r="K12" t="str">
            <v>9h30 ngày 15 tháng 9 năm 2015</v>
          </cell>
          <cell r="L12" t="str">
            <v>14h30</v>
          </cell>
          <cell r="M12" t="str">
            <v>16h00</v>
          </cell>
          <cell r="N12">
            <v>15</v>
          </cell>
          <cell r="O12">
            <v>9</v>
          </cell>
          <cell r="P12">
            <v>2015</v>
          </cell>
          <cell r="Q12" t="str">
            <v>Hà Nội, ngày 15 tháng 9 năm 2015</v>
          </cell>
          <cell r="R12" t="str">
            <v>14h30 ngày 15 tháng 9 năm 2015</v>
          </cell>
          <cell r="S12" t="str">
            <v>16h00 ngày 15 tháng 9 năm 2015</v>
          </cell>
          <cell r="T12" t="str">
            <v>14h30</v>
          </cell>
          <cell r="U12" t="str">
            <v>14h30 Ngày 15/9/2015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AC-CT6-03; AC-CT6-09</v>
          </cell>
          <cell r="AQ12" t="str">
            <v>Ngày 15 Tháng 9 Năm 2015</v>
          </cell>
        </row>
        <row r="13">
          <cell r="A13" t="str">
            <v>TG-04</v>
          </cell>
          <cell r="B13" t="str">
            <v>Gia công, lắp đặt ống thông gió hộp bằng phương pháp ghép mí dán keo và gia công lắp đặt côn, cút thông gió hộp ghép mí dán keo nối bằng phương pháp mặt bích: tôn dày 0,58 mm; tôn dày 0,75 mm tầng 08, 09, 10, 11 (đường ống hút khỏi sảnh)</v>
          </cell>
          <cell r="C13" t="str">
            <v>TG-04</v>
          </cell>
          <cell r="D13" t="str">
            <v>7h30</v>
          </cell>
          <cell r="E13" t="str">
            <v>9h30</v>
          </cell>
          <cell r="F13">
            <v>16</v>
          </cell>
          <cell r="G13">
            <v>9</v>
          </cell>
          <cell r="H13">
            <v>2015</v>
          </cell>
          <cell r="I13" t="str">
            <v>Hà Nội, ngày 16 tháng 9 năm 2015</v>
          </cell>
          <cell r="J13" t="str">
            <v>7h30 ngày 16 tháng 9 năm 2015</v>
          </cell>
          <cell r="K13" t="str">
            <v>9h30 ngày 16 tháng 9 năm 2015</v>
          </cell>
          <cell r="L13" t="str">
            <v>9h35</v>
          </cell>
          <cell r="M13" t="str">
            <v>11h00</v>
          </cell>
          <cell r="N13">
            <v>16</v>
          </cell>
          <cell r="O13">
            <v>9</v>
          </cell>
          <cell r="P13">
            <v>2015</v>
          </cell>
          <cell r="Q13" t="str">
            <v>Hà Nội, ngày 16 tháng 9 năm 2015</v>
          </cell>
          <cell r="R13" t="str">
            <v>9h35 ngày 16 tháng 9 năm 2015</v>
          </cell>
          <cell r="S13" t="str">
            <v>11h00 ngày 16 tháng 9 năm 2015</v>
          </cell>
          <cell r="T13" t="str">
            <v>9h35</v>
          </cell>
          <cell r="U13" t="str">
            <v>9h35 Ngày 16/9/2015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AC-CT6-03; AC-CT6-09</v>
          </cell>
          <cell r="AQ13" t="str">
            <v>Ngày 16 Tháng 9 Năm 2015</v>
          </cell>
        </row>
        <row r="14">
          <cell r="A14" t="str">
            <v>TG-05</v>
          </cell>
          <cell r="B14" t="str">
            <v>Gia công, lắp dựng van chặn lửa (FD) và van điện (MD),  KT: 1000x300, tầng 03, 04, 05, 06, 07, 08, 09, 10, 11 (đường ống hút khói sảnh)</v>
          </cell>
          <cell r="C14" t="str">
            <v>TG-05</v>
          </cell>
          <cell r="D14" t="str">
            <v>8h00</v>
          </cell>
          <cell r="E14" t="str">
            <v>9h00</v>
          </cell>
          <cell r="F14">
            <v>17</v>
          </cell>
          <cell r="G14">
            <v>9</v>
          </cell>
          <cell r="H14">
            <v>2015</v>
          </cell>
          <cell r="I14" t="str">
            <v>Hà Nội, ngày 17 tháng 9 năm 2015</v>
          </cell>
          <cell r="J14" t="str">
            <v>8h00 ngày 17 tháng 9 năm 2015</v>
          </cell>
          <cell r="K14" t="str">
            <v>9h00 ngày 17 tháng 9 năm 2015</v>
          </cell>
          <cell r="L14" t="str">
            <v>9h05</v>
          </cell>
          <cell r="M14" t="str">
            <v>10h00</v>
          </cell>
          <cell r="N14">
            <v>17</v>
          </cell>
          <cell r="O14">
            <v>9</v>
          </cell>
          <cell r="P14">
            <v>2015</v>
          </cell>
          <cell r="Q14" t="str">
            <v>Hà Nội, ngày 17 tháng 9 năm 2015</v>
          </cell>
          <cell r="R14" t="str">
            <v>9h05 ngày 17 tháng 9 năm 2015</v>
          </cell>
          <cell r="S14" t="str">
            <v>10h00 ngày 17 tháng 9 năm 2015</v>
          </cell>
          <cell r="T14" t="str">
            <v>9h05</v>
          </cell>
          <cell r="U14" t="str">
            <v>9h05 Ngày 17/9/2015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AC-CT6-03; AC-CT6-09</v>
          </cell>
          <cell r="AQ14" t="str">
            <v>Ngày 17 Tháng 9 Năm 2015</v>
          </cell>
        </row>
        <row r="15">
          <cell r="A15" t="str">
            <v>TG-06</v>
          </cell>
          <cell r="B15" t="str">
            <v>Thử kín đường ống thông gió tầng 01, 02, 03, 04, 05, 06, 07, 08, 09, 10, 11 (trục chính hút mùi hành lang, trục hút mùi phòng rác, trục tăng áp cầu thang bộ)</v>
          </cell>
          <cell r="C15" t="str">
            <v>TG-06</v>
          </cell>
          <cell r="D15" t="str">
            <v>8h30</v>
          </cell>
          <cell r="E15" t="str">
            <v>10h00</v>
          </cell>
          <cell r="F15">
            <v>5</v>
          </cell>
          <cell r="G15">
            <v>10</v>
          </cell>
          <cell r="H15">
            <v>2015</v>
          </cell>
          <cell r="I15" t="str">
            <v>Hà Nội, ngày 5 tháng 10 năm 2015</v>
          </cell>
          <cell r="J15" t="str">
            <v>8h30 ngày 5 tháng 10 năm 2015</v>
          </cell>
          <cell r="K15" t="str">
            <v>10h00 ngày 5 tháng 10 năm 2015</v>
          </cell>
          <cell r="L15" t="str">
            <v>10h05</v>
          </cell>
          <cell r="M15" t="str">
            <v>11h30</v>
          </cell>
          <cell r="N15">
            <v>5</v>
          </cell>
          <cell r="O15">
            <v>10</v>
          </cell>
          <cell r="P15">
            <v>2015</v>
          </cell>
          <cell r="Q15" t="str">
            <v>Hà Nội, ngày 5 tháng 10 năm 2015</v>
          </cell>
          <cell r="R15" t="str">
            <v>10h05 ngày 5 tháng 10 năm 2015</v>
          </cell>
          <cell r="S15" t="str">
            <v>11h30 ngày 5 tháng 10 năm 2015</v>
          </cell>
          <cell r="T15" t="str">
            <v>10h05</v>
          </cell>
          <cell r="U15" t="str">
            <v>10h05 Ngày 5/10/2015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AC-CT6-03; AC-CT6-09</v>
          </cell>
          <cell r="AQ15" t="str">
            <v>Ngày 5 Tháng 10 Năm 2015</v>
          </cell>
        </row>
        <row r="16">
          <cell r="A16" t="str">
            <v>TG-07</v>
          </cell>
          <cell r="B16" t="str">
            <v>Gia công, lắp đặt ống thông gió hộp bằng phương pháp ghép mí dán keo và gia công lắp đặt côn, cút thông gió hộp ghép mí dán keo nối bằng phương pháp mặt bích tầng 01, 02, 03, 04, 05, 06, 07, 08, 09, 10, 11 (trục chính hút mùi hành lang, trục hút mùi phòng</v>
          </cell>
          <cell r="C16" t="str">
            <v>TG-07</v>
          </cell>
          <cell r="D16" t="str">
            <v>8h00</v>
          </cell>
          <cell r="E16" t="str">
            <v>10h00</v>
          </cell>
          <cell r="F16">
            <v>6</v>
          </cell>
          <cell r="G16">
            <v>10</v>
          </cell>
          <cell r="H16">
            <v>2015</v>
          </cell>
          <cell r="I16" t="str">
            <v>Hà Nội, ngày 6 tháng 10 năm 2015</v>
          </cell>
          <cell r="J16" t="str">
            <v>8h00 ngày 6 tháng 10 năm 2015</v>
          </cell>
          <cell r="K16" t="str">
            <v>10h00 ngày 6 tháng 10 năm 2015</v>
          </cell>
          <cell r="L16" t="str">
            <v>10h05</v>
          </cell>
          <cell r="M16" t="str">
            <v>11h30</v>
          </cell>
          <cell r="N16">
            <v>6</v>
          </cell>
          <cell r="O16">
            <v>10</v>
          </cell>
          <cell r="P16">
            <v>2015</v>
          </cell>
          <cell r="Q16" t="str">
            <v>Hà Nội, ngày 6 tháng 10 năm 2015</v>
          </cell>
          <cell r="R16" t="str">
            <v>10h05 ngày 6 tháng 10 năm 2015</v>
          </cell>
          <cell r="S16" t="str">
            <v>11h30 ngày 6 tháng 10 năm 2015</v>
          </cell>
          <cell r="T16" t="str">
            <v>10h05</v>
          </cell>
          <cell r="U16" t="str">
            <v>10h05 Ngày 6/10/2015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AC-CT6-03; AC-CT6-09</v>
          </cell>
          <cell r="AQ16" t="str">
            <v>Ngày 6 Tháng 10 Năm 2015</v>
          </cell>
        </row>
        <row r="17">
          <cell r="A17" t="str">
            <v>TG-08</v>
          </cell>
          <cell r="B17" t="str">
            <v>Thử kín đường ống thông gió quy cách ống : 200x450 mm; 200x750 mm tầng 01, 02 (đường ống hút khỏi sảnh)</v>
          </cell>
          <cell r="C17" t="str">
            <v>TG-08</v>
          </cell>
          <cell r="D17" t="str">
            <v>8h00</v>
          </cell>
          <cell r="E17" t="str">
            <v>9h00</v>
          </cell>
          <cell r="F17">
            <v>7</v>
          </cell>
          <cell r="G17">
            <v>10</v>
          </cell>
          <cell r="H17">
            <v>2015</v>
          </cell>
          <cell r="I17" t="str">
            <v>Hà Nội, ngày 7 tháng 10 năm 2015</v>
          </cell>
          <cell r="J17" t="str">
            <v>8h00 ngày 7 tháng 10 năm 2015</v>
          </cell>
          <cell r="K17" t="str">
            <v>9h00 ngày 7 tháng 10 năm 2015</v>
          </cell>
          <cell r="L17" t="str">
            <v>9h05</v>
          </cell>
          <cell r="M17" t="str">
            <v>10h00</v>
          </cell>
          <cell r="N17">
            <v>7</v>
          </cell>
          <cell r="O17">
            <v>10</v>
          </cell>
          <cell r="P17">
            <v>2015</v>
          </cell>
          <cell r="Q17" t="str">
            <v>Hà Nội, ngày 7 tháng 10 năm 2015</v>
          </cell>
          <cell r="R17" t="str">
            <v>9h05 ngày 7 tháng 10 năm 2015</v>
          </cell>
          <cell r="S17" t="str">
            <v>10h00 ngày 7 tháng 10 năm 2015</v>
          </cell>
          <cell r="T17" t="str">
            <v>9h05</v>
          </cell>
          <cell r="U17" t="str">
            <v>9h05 Ngày 7/10/2015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AC-CT6-03; AC-CT6-09</v>
          </cell>
          <cell r="AQ17" t="str">
            <v>Ngày 7 Tháng 10 Năm 2015</v>
          </cell>
        </row>
        <row r="18">
          <cell r="A18" t="str">
            <v>TG-09</v>
          </cell>
          <cell r="B18" t="str">
            <v>Gia công, lắp đặt ống thông gió hộp bằng phương pháp ghép mí dán keo và gia công lắp đặt côn, cút thông gió hộp ghép mí dán keo nối bằng phương pháp mặt bích: tôn dày 0,58 mm; tôn dày 0,75 mm tầng 01, 02 (đường ống hút khỏi sảnh)</v>
          </cell>
          <cell r="C18" t="str">
            <v>TG-09</v>
          </cell>
          <cell r="D18" t="str">
            <v>9h00</v>
          </cell>
          <cell r="E18" t="str">
            <v>10h00</v>
          </cell>
          <cell r="F18">
            <v>8</v>
          </cell>
          <cell r="G18">
            <v>10</v>
          </cell>
          <cell r="H18">
            <v>2015</v>
          </cell>
          <cell r="I18" t="str">
            <v>Hà Nội, ngày 8 tháng 10 năm 2015</v>
          </cell>
          <cell r="J18" t="str">
            <v>9h00 ngày 8 tháng 10 năm 2015</v>
          </cell>
          <cell r="K18" t="str">
            <v>10h00 ngày 8 tháng 10 năm 2015</v>
          </cell>
          <cell r="L18" t="str">
            <v>10h05</v>
          </cell>
          <cell r="M18" t="str">
            <v>11h00</v>
          </cell>
          <cell r="N18">
            <v>8</v>
          </cell>
          <cell r="O18">
            <v>10</v>
          </cell>
          <cell r="P18">
            <v>2015</v>
          </cell>
          <cell r="Q18" t="str">
            <v>Hà Nội, ngày 8 tháng 10 năm 2015</v>
          </cell>
          <cell r="R18" t="str">
            <v>10h05 ngày 8 tháng 10 năm 2015</v>
          </cell>
          <cell r="S18" t="str">
            <v>11h00 ngày 8 tháng 10 năm 2015</v>
          </cell>
          <cell r="T18" t="str">
            <v>10h05</v>
          </cell>
          <cell r="U18" t="str">
            <v>10h05 Ngày 8/10/2015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AC-CT6-03; AC-CT6-09</v>
          </cell>
          <cell r="AQ18" t="str">
            <v>Ngày 8 Tháng 10 Năm 2015</v>
          </cell>
        </row>
        <row r="19">
          <cell r="A19" t="str">
            <v>TG-10</v>
          </cell>
          <cell r="B19" t="str">
            <v>Gia công, lắp dựng van chặn lửa (FD) và van điện (MD),  KT: 750x200; tầng 01, 02 (đường ống hút khói sảnh)</v>
          </cell>
          <cell r="C19" t="str">
            <v>TG-10</v>
          </cell>
          <cell r="D19" t="str">
            <v>14h00</v>
          </cell>
          <cell r="E19" t="str">
            <v>15h00</v>
          </cell>
          <cell r="F19">
            <v>8</v>
          </cell>
          <cell r="G19">
            <v>10</v>
          </cell>
          <cell r="H19">
            <v>2015</v>
          </cell>
          <cell r="I19" t="str">
            <v>Hà Nội, ngày 8 tháng 10 năm 2015</v>
          </cell>
          <cell r="J19" t="str">
            <v>14h00 ngày 8 tháng 10 năm 2015</v>
          </cell>
          <cell r="K19" t="str">
            <v>15h00 ngày 8 tháng 10 năm 2015</v>
          </cell>
          <cell r="L19" t="str">
            <v>15h05</v>
          </cell>
          <cell r="M19" t="str">
            <v>16h00</v>
          </cell>
          <cell r="N19">
            <v>8</v>
          </cell>
          <cell r="O19">
            <v>10</v>
          </cell>
          <cell r="P19">
            <v>2015</v>
          </cell>
          <cell r="Q19" t="str">
            <v>Hà Nội, ngày 8 tháng 10 năm 2015</v>
          </cell>
          <cell r="R19" t="str">
            <v>15h05 ngày 8 tháng 10 năm 2015</v>
          </cell>
          <cell r="S19" t="str">
            <v>16h00 ngày 8 tháng 10 năm 2015</v>
          </cell>
          <cell r="T19" t="str">
            <v>15h05</v>
          </cell>
          <cell r="U19" t="str">
            <v>15h05 Ngày 8/10/2015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AC-CT6-03; AC-CT6-09</v>
          </cell>
          <cell r="AQ19" t="str">
            <v>Ngày 8 Tháng 10 Năm 2015</v>
          </cell>
        </row>
        <row r="20">
          <cell r="A20" t="str">
            <v>TG-11</v>
          </cell>
          <cell r="B20" t="str">
            <v>Nghiệm thu lắp đặt ống gió trục tăng áp cầu thang từ tầng áp mái đến đầu quạt tăng áp, trục hút mùi phòng rác từ tầng áp mái đến đầu quạt hút mùi phòng rác</v>
          </cell>
          <cell r="C20" t="str">
            <v>TG-11</v>
          </cell>
          <cell r="D20" t="str">
            <v>8h00</v>
          </cell>
          <cell r="E20" t="str">
            <v>11h30</v>
          </cell>
          <cell r="F20">
            <v>17</v>
          </cell>
          <cell r="G20">
            <v>11</v>
          </cell>
          <cell r="H20">
            <v>2015</v>
          </cell>
          <cell r="I20" t="str">
            <v>Hà Nội, ngày 17 tháng 11 năm 2015</v>
          </cell>
          <cell r="J20" t="str">
            <v>8h00 ngày 17 tháng 11 năm 2015</v>
          </cell>
          <cell r="K20" t="str">
            <v>11h30 ngày 17 tháng 11 năm 2015</v>
          </cell>
          <cell r="L20" t="str">
            <v>14h00</v>
          </cell>
          <cell r="M20" t="str">
            <v>17h30</v>
          </cell>
          <cell r="N20">
            <v>17</v>
          </cell>
          <cell r="O20">
            <v>11</v>
          </cell>
          <cell r="P20">
            <v>2015</v>
          </cell>
          <cell r="Q20" t="str">
            <v>Hà Nội, ngày 17 tháng 11 năm 2015</v>
          </cell>
          <cell r="R20" t="str">
            <v>14h00 ngày 17 tháng 11 năm 2015</v>
          </cell>
          <cell r="S20" t="str">
            <v>17h30 ngày 17 tháng 11 năm 2015</v>
          </cell>
          <cell r="T20" t="str">
            <v>14h00</v>
          </cell>
          <cell r="U20" t="str">
            <v>14h00 Ngày 17/11/2015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AC-CT6-03÷AC-CT6-14</v>
          </cell>
          <cell r="AQ20" t="str">
            <v>Ngày 17 Tháng 11 Năm 2015</v>
          </cell>
        </row>
        <row r="21">
          <cell r="A21" t="str">
            <v>TG-12</v>
          </cell>
          <cell r="B21" t="str">
            <v>Nghiệm thu lắp đặt ống gió từ đầu quạt tăng áp thang máy vào hố thang máy, trục hút khói sảnh từ tầng áp mái đến đầu quạt hút khói sảnh</v>
          </cell>
          <cell r="C21" t="str">
            <v>TG-12</v>
          </cell>
          <cell r="D21" t="str">
            <v>8h00</v>
          </cell>
          <cell r="E21" t="str">
            <v>11h30</v>
          </cell>
          <cell r="F21">
            <v>18</v>
          </cell>
          <cell r="G21">
            <v>11</v>
          </cell>
          <cell r="H21">
            <v>2015</v>
          </cell>
          <cell r="I21" t="str">
            <v>Hà Nội, ngày 18 tháng 11 năm 2015</v>
          </cell>
          <cell r="J21" t="str">
            <v>8h00 ngày 18 tháng 11 năm 2015</v>
          </cell>
          <cell r="K21" t="str">
            <v>11h30 ngày 18 tháng 11 năm 2015</v>
          </cell>
          <cell r="L21" t="str">
            <v>13h30</v>
          </cell>
          <cell r="M21" t="str">
            <v>16h30</v>
          </cell>
          <cell r="N21">
            <v>18</v>
          </cell>
          <cell r="O21">
            <v>11</v>
          </cell>
          <cell r="P21">
            <v>2015</v>
          </cell>
          <cell r="Q21" t="str">
            <v>Hà Nội, ngày 18 tháng 11 năm 2015</v>
          </cell>
          <cell r="R21" t="str">
            <v>13h30 ngày 18 tháng 11 năm 2015</v>
          </cell>
          <cell r="S21" t="str">
            <v>16h30 ngày 18 tháng 11 năm 2015</v>
          </cell>
          <cell r="T21" t="str">
            <v>13h30</v>
          </cell>
          <cell r="U21" t="str">
            <v>13h30 Ngày 18/11/2015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AC-CT6-03÷AC-CT6-14</v>
          </cell>
          <cell r="AQ21" t="str">
            <v>Ngày 18 Tháng 11 Năm 2015</v>
          </cell>
        </row>
        <row r="22">
          <cell r="A22" t="str">
            <v>TG-13</v>
          </cell>
          <cell r="B22" t="str">
            <v>Nghiệm thu lắp đặt hệ thống hút mùi bếp trong căn hộ từ tầng 3 đến hết tầng 6</v>
          </cell>
          <cell r="C22" t="str">
            <v>TG-13</v>
          </cell>
          <cell r="D22" t="str">
            <v>8h00</v>
          </cell>
          <cell r="E22" t="str">
            <v>11h30</v>
          </cell>
          <cell r="F22">
            <v>19</v>
          </cell>
          <cell r="G22">
            <v>11</v>
          </cell>
          <cell r="H22">
            <v>2015</v>
          </cell>
          <cell r="I22" t="str">
            <v>Hà Nội, ngày 19 tháng 11 năm 2015</v>
          </cell>
          <cell r="J22" t="str">
            <v>8h00 ngày 19 tháng 11 năm 2015</v>
          </cell>
          <cell r="K22" t="str">
            <v>11h30 ngày 19 tháng 11 năm 2015</v>
          </cell>
          <cell r="L22" t="str">
            <v>13h30</v>
          </cell>
          <cell r="M22" t="str">
            <v>16h30</v>
          </cell>
          <cell r="N22">
            <v>19</v>
          </cell>
          <cell r="O22">
            <v>11</v>
          </cell>
          <cell r="P22">
            <v>2015</v>
          </cell>
          <cell r="Q22" t="str">
            <v>Hà Nội, ngày 19 tháng 11 năm 2015</v>
          </cell>
          <cell r="R22" t="str">
            <v>13h30 ngày 19 tháng 11 năm 2015</v>
          </cell>
          <cell r="S22" t="str">
            <v>16h30 ngày 19 tháng 11 năm 2015</v>
          </cell>
          <cell r="T22" t="str">
            <v>13h30</v>
          </cell>
          <cell r="U22" t="str">
            <v>13h30 Ngày 19/11/2015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AC-CT6-03÷AC-CT6-14</v>
          </cell>
          <cell r="AQ22" t="str">
            <v>Ngày 19 Tháng 11 Năm 2015</v>
          </cell>
        </row>
        <row r="23">
          <cell r="A23" t="str">
            <v>TG-14</v>
          </cell>
          <cell r="B23" t="str">
            <v>Nghiệm thu lắp đặt hệ thống hút mùi bếp trong căn hộ từ tầng 7 đến hết tầng 11</v>
          </cell>
          <cell r="C23" t="str">
            <v>TG-14</v>
          </cell>
          <cell r="D23" t="str">
            <v>8h00</v>
          </cell>
          <cell r="E23" t="str">
            <v>11h30</v>
          </cell>
          <cell r="F23">
            <v>20</v>
          </cell>
          <cell r="G23">
            <v>11</v>
          </cell>
          <cell r="H23">
            <v>2015</v>
          </cell>
          <cell r="I23" t="str">
            <v>Hà Nội, ngày 20 tháng 11 năm 2015</v>
          </cell>
          <cell r="J23" t="str">
            <v>8h00 ngày 20 tháng 11 năm 2015</v>
          </cell>
          <cell r="K23" t="str">
            <v>11h30 ngày 20 tháng 11 năm 2015</v>
          </cell>
          <cell r="L23" t="str">
            <v>13h30</v>
          </cell>
          <cell r="M23" t="str">
            <v>16h30</v>
          </cell>
          <cell r="N23">
            <v>20</v>
          </cell>
          <cell r="O23">
            <v>11</v>
          </cell>
          <cell r="P23">
            <v>2015</v>
          </cell>
          <cell r="Q23" t="str">
            <v>Hà Nội, ngày 20 tháng 11 năm 2015</v>
          </cell>
          <cell r="R23" t="str">
            <v>13h30 ngày 20 tháng 11 năm 2015</v>
          </cell>
          <cell r="S23" t="str">
            <v>16h30 ngày 20 tháng 11 năm 2015</v>
          </cell>
          <cell r="T23" t="str">
            <v>13h30</v>
          </cell>
          <cell r="U23" t="str">
            <v>13h30 Ngày 20/11/2015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AC-CT6-03÷AC-CT6-14</v>
          </cell>
          <cell r="AQ23" t="str">
            <v>Ngày 20 Tháng 11 Năm 2015</v>
          </cell>
        </row>
        <row r="24">
          <cell r="A24" t="str">
            <v>TG-15</v>
          </cell>
          <cell r="B24" t="str">
            <v>Nghiệm thu kéo rải dây cáp chống cháy từ phòng trực đến quạt hút mùi phòng rác, quạt tăng áp cầu thang, quạt tăng áp thang máy, quạt hút khói sảnh</v>
          </cell>
          <cell r="C24" t="str">
            <v>TG-15</v>
          </cell>
          <cell r="D24" t="str">
            <v>8h00</v>
          </cell>
          <cell r="E24" t="str">
            <v>11h30</v>
          </cell>
          <cell r="F24">
            <v>21</v>
          </cell>
          <cell r="G24">
            <v>11</v>
          </cell>
          <cell r="H24">
            <v>2015</v>
          </cell>
          <cell r="I24" t="str">
            <v>Hà Nội, ngày 21 tháng 11 năm 2015</v>
          </cell>
          <cell r="J24" t="str">
            <v>8h00 ngày 21 tháng 11 năm 2015</v>
          </cell>
          <cell r="K24" t="str">
            <v>11h30 ngày 21 tháng 11 năm 2015</v>
          </cell>
          <cell r="L24" t="str">
            <v>14h30</v>
          </cell>
          <cell r="M24" t="str">
            <v>17h30</v>
          </cell>
          <cell r="N24">
            <v>21</v>
          </cell>
          <cell r="O24">
            <v>11</v>
          </cell>
          <cell r="P24">
            <v>2015</v>
          </cell>
          <cell r="Q24" t="str">
            <v>Hà Nội, ngày 21 tháng 11 năm 2015</v>
          </cell>
          <cell r="R24" t="str">
            <v>14h30 ngày 21 tháng 11 năm 2015</v>
          </cell>
          <cell r="S24" t="str">
            <v>17h30 ngày 21 tháng 11 năm 2015</v>
          </cell>
          <cell r="T24" t="str">
            <v>14h30</v>
          </cell>
          <cell r="U24" t="str">
            <v>14h30 Ngày 21/11/2015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AC-CT6-03÷AC-CT6-14</v>
          </cell>
          <cell r="AQ24" t="str">
            <v>Ngày 21 Tháng 11 Năm 2015</v>
          </cell>
        </row>
        <row r="25">
          <cell r="A25" t="str">
            <v>TG-16</v>
          </cell>
          <cell r="B25" t="str">
            <v>Nghiệm thu lắp đặt tủ điện điều khiển hệ thống tăng áp, hút khói hành lang, hút mùi phòng rác, tăng áp thang máy</v>
          </cell>
          <cell r="C25" t="str">
            <v>TG-16</v>
          </cell>
          <cell r="D25" t="str">
            <v>8h00</v>
          </cell>
          <cell r="E25" t="str">
            <v>10h30</v>
          </cell>
          <cell r="F25">
            <v>23</v>
          </cell>
          <cell r="G25">
            <v>11</v>
          </cell>
          <cell r="H25">
            <v>2015</v>
          </cell>
          <cell r="I25" t="str">
            <v>Hà Nội, ngày 23 tháng 11 năm 2015</v>
          </cell>
          <cell r="J25" t="str">
            <v>8h00 ngày 23 tháng 11 năm 2015</v>
          </cell>
          <cell r="K25" t="str">
            <v>10h30 ngày 23 tháng 11 năm 2015</v>
          </cell>
          <cell r="L25" t="str">
            <v>14h30</v>
          </cell>
          <cell r="M25" t="str">
            <v>16h30</v>
          </cell>
          <cell r="N25">
            <v>23</v>
          </cell>
          <cell r="O25">
            <v>11</v>
          </cell>
          <cell r="P25">
            <v>2015</v>
          </cell>
          <cell r="Q25" t="str">
            <v>Hà Nội, ngày 23 tháng 11 năm 2015</v>
          </cell>
          <cell r="R25" t="str">
            <v>14h30 ngày 23 tháng 11 năm 2015</v>
          </cell>
          <cell r="S25" t="str">
            <v>16h30 ngày 23 tháng 11 năm 2015</v>
          </cell>
          <cell r="T25" t="str">
            <v>14h30</v>
          </cell>
          <cell r="U25" t="str">
            <v>14h30 Ngày 23/11/2015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AC-CT6-03÷AC-CT6-14</v>
          </cell>
          <cell r="AQ25" t="str">
            <v>Ngày 23 Tháng 11 Năm 2015</v>
          </cell>
        </row>
        <row r="26">
          <cell r="A26" t="str">
            <v>TG-17</v>
          </cell>
          <cell r="B26" t="str">
            <v>Nghiệm thu lắp đặt các cửa gió hút khói sảnh, cửa xả áp cầu thang bộ, cửa gió hệ thống hút khói cầu thang, phòng rác tầng 01 đến tầng áp mái</v>
          </cell>
          <cell r="C26" t="str">
            <v>TG-17</v>
          </cell>
          <cell r="D26" t="str">
            <v>8h00</v>
          </cell>
          <cell r="E26" t="str">
            <v>10h30</v>
          </cell>
          <cell r="F26">
            <v>24</v>
          </cell>
          <cell r="G26">
            <v>11</v>
          </cell>
          <cell r="H26">
            <v>2015</v>
          </cell>
          <cell r="I26" t="str">
            <v>Hà Nội, ngày 24 tháng 11 năm 2015</v>
          </cell>
          <cell r="J26" t="str">
            <v>8h00 ngày 24 tháng 11 năm 2015</v>
          </cell>
          <cell r="K26" t="str">
            <v>10h30 ngày 24 tháng 11 năm 2015</v>
          </cell>
          <cell r="L26" t="str">
            <v>13h30</v>
          </cell>
          <cell r="M26" t="str">
            <v>17h30</v>
          </cell>
          <cell r="N26">
            <v>24</v>
          </cell>
          <cell r="O26">
            <v>11</v>
          </cell>
          <cell r="P26">
            <v>2015</v>
          </cell>
          <cell r="Q26" t="str">
            <v>Hà Nội, ngày 24 tháng 11 năm 2015</v>
          </cell>
          <cell r="R26" t="str">
            <v>13h30 ngày 24 tháng 11 năm 2015</v>
          </cell>
          <cell r="S26" t="str">
            <v>17h30 ngày 24 tháng 11 năm 2015</v>
          </cell>
          <cell r="T26" t="str">
            <v>13h30</v>
          </cell>
          <cell r="U26" t="str">
            <v>13h30 Ngày 24/11/2015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AC-CT6-03÷AC-CT6-14</v>
          </cell>
          <cell r="AQ26" t="str">
            <v>Ngày 24 Tháng 11 Năm 2015</v>
          </cell>
        </row>
        <row r="27">
          <cell r="A27" t="str">
            <v>TG-18</v>
          </cell>
          <cell r="B27" t="str">
            <v>Nghiệm thu lắp đặt tĩnh thiết bị quạt hút khói hành lang, hút mùi phòng rác, quạt tăng áp thang máy, quạt tăng áp cầu thang</v>
          </cell>
          <cell r="C27" t="str">
            <v>TG-18</v>
          </cell>
          <cell r="D27" t="str">
            <v>8h00</v>
          </cell>
          <cell r="E27" t="str">
            <v>10h30</v>
          </cell>
          <cell r="F27">
            <v>25</v>
          </cell>
          <cell r="G27">
            <v>11</v>
          </cell>
          <cell r="H27">
            <v>2015</v>
          </cell>
          <cell r="I27" t="str">
            <v>Hà Nội, ngày 25 tháng 11 năm 2015</v>
          </cell>
          <cell r="J27" t="str">
            <v>8h00 ngày 25 tháng 11 năm 2015</v>
          </cell>
          <cell r="K27" t="str">
            <v>10h30 ngày 25 tháng 11 năm 2015</v>
          </cell>
          <cell r="L27" t="str">
            <v>15h00</v>
          </cell>
          <cell r="M27" t="str">
            <v>17h30</v>
          </cell>
          <cell r="N27">
            <v>25</v>
          </cell>
          <cell r="O27">
            <v>11</v>
          </cell>
          <cell r="P27">
            <v>2015</v>
          </cell>
          <cell r="Q27" t="str">
            <v>Hà Nội, ngày 25 tháng 11 năm 2015</v>
          </cell>
          <cell r="R27" t="str">
            <v>15h00 ngày 25 tháng 11 năm 2015</v>
          </cell>
          <cell r="S27" t="str">
            <v>17h30 ngày 25 tháng 11 năm 2015</v>
          </cell>
          <cell r="T27" t="str">
            <v>15h00</v>
          </cell>
          <cell r="U27" t="str">
            <v>15h00 Ngày 25/11/2015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25 Tháng 11 Năm 2015</v>
          </cell>
        </row>
        <row r="28">
          <cell r="A28" t="str">
            <v>TG-19</v>
          </cell>
          <cell r="B28" t="str">
            <v>Chạy thử đơn động không tải quạt tăng áp cầu thang, quạt hút mùi phòng rác, quạt tăng áp thang máy, quạt hút khói hành lang</v>
          </cell>
          <cell r="C28" t="str">
            <v>TG-19</v>
          </cell>
          <cell r="D28" t="str">
            <v>8h00</v>
          </cell>
          <cell r="E28" t="str">
            <v>10h30</v>
          </cell>
          <cell r="F28">
            <v>27</v>
          </cell>
          <cell r="G28">
            <v>11</v>
          </cell>
          <cell r="H28">
            <v>2015</v>
          </cell>
          <cell r="I28" t="str">
            <v>Hà Nội, ngày 27 tháng 11 năm 2015</v>
          </cell>
          <cell r="J28" t="str">
            <v>8h00 ngày 27 tháng 11 năm 2015</v>
          </cell>
          <cell r="K28" t="str">
            <v>10h30 ngày 27 tháng 11 năm 2015</v>
          </cell>
          <cell r="L28" t="str">
            <v>14h30</v>
          </cell>
          <cell r="M28" t="str">
            <v>16h30</v>
          </cell>
          <cell r="N28">
            <v>27</v>
          </cell>
          <cell r="O28">
            <v>11</v>
          </cell>
          <cell r="P28">
            <v>2015</v>
          </cell>
          <cell r="Q28" t="str">
            <v>Hà Nội, ngày 27 tháng 11 năm 2015</v>
          </cell>
          <cell r="R28" t="str">
            <v>14h30 ngày 27 tháng 11 năm 2015</v>
          </cell>
          <cell r="S28" t="str">
            <v>16h30 ngày 27 tháng 11 năm 2015</v>
          </cell>
          <cell r="T28" t="str">
            <v>14h30</v>
          </cell>
          <cell r="U28" t="str">
            <v>14h30 Ngày 27/11/2015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27 Tháng 11 Năm 2015</v>
          </cell>
        </row>
        <row r="29">
          <cell r="A29" t="str">
            <v>TG-20</v>
          </cell>
          <cell r="B29" t="str">
            <v>Chạy liên động có tải các quạt gồm ( hút khói, tăng áp, hút mùi với hệ thống tín hiệu PCCC)</v>
          </cell>
          <cell r="C29" t="str">
            <v>TG-20</v>
          </cell>
          <cell r="D29" t="str">
            <v>8h00</v>
          </cell>
          <cell r="E29" t="str">
            <v>10h30</v>
          </cell>
          <cell r="F29">
            <v>29</v>
          </cell>
          <cell r="G29">
            <v>11</v>
          </cell>
          <cell r="H29">
            <v>2015</v>
          </cell>
          <cell r="I29" t="str">
            <v>Hà Nội, ngày 29 tháng 11 năm 2015</v>
          </cell>
          <cell r="J29" t="str">
            <v>8h00 ngày 29 tháng 11 năm 2015</v>
          </cell>
          <cell r="K29" t="str">
            <v>10h30 ngày 29 tháng 11 năm 2015</v>
          </cell>
          <cell r="L29" t="str">
            <v>14h30</v>
          </cell>
          <cell r="M29" t="str">
            <v>16h30</v>
          </cell>
          <cell r="N29">
            <v>29</v>
          </cell>
          <cell r="O29">
            <v>11</v>
          </cell>
          <cell r="P29">
            <v>2015</v>
          </cell>
          <cell r="Q29" t="str">
            <v>Hà Nội, ngày 29 tháng 11 năm 2015</v>
          </cell>
          <cell r="R29" t="str">
            <v>14h30 ngày 29 tháng 11 năm 2015</v>
          </cell>
          <cell r="S29" t="str">
            <v>16h30 ngày 29 tháng 11 năm 2015</v>
          </cell>
          <cell r="T29" t="str">
            <v>14h30</v>
          </cell>
          <cell r="U29" t="str">
            <v>14h30 Ngày 29/11/2015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29 Tháng 11 Năm 2015</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4">
          <cell r="A34">
            <v>1</v>
          </cell>
          <cell r="B34">
            <v>2</v>
          </cell>
          <cell r="C34">
            <v>3</v>
          </cell>
          <cell r="D34">
            <v>4</v>
          </cell>
          <cell r="E34">
            <v>5</v>
          </cell>
          <cell r="F34">
            <v>6</v>
          </cell>
          <cell r="G34">
            <v>7</v>
          </cell>
          <cell r="H34">
            <v>8</v>
          </cell>
          <cell r="I34">
            <v>9</v>
          </cell>
          <cell r="J34">
            <v>10</v>
          </cell>
          <cell r="K34">
            <v>11</v>
          </cell>
          <cell r="L34">
            <v>12</v>
          </cell>
          <cell r="M34">
            <v>13</v>
          </cell>
          <cell r="N34">
            <v>14</v>
          </cell>
          <cell r="O34">
            <v>15</v>
          </cell>
          <cell r="P34">
            <v>16</v>
          </cell>
          <cell r="Q34">
            <v>17</v>
          </cell>
          <cell r="R34">
            <v>18</v>
          </cell>
          <cell r="S34">
            <v>19</v>
          </cell>
          <cell r="T34">
            <v>20</v>
          </cell>
          <cell r="U34">
            <v>21</v>
          </cell>
          <cell r="V34">
            <v>22</v>
          </cell>
          <cell r="W34">
            <v>23</v>
          </cell>
          <cell r="X34">
            <v>24</v>
          </cell>
          <cell r="Y34">
            <v>25</v>
          </cell>
          <cell r="Z34">
            <v>26</v>
          </cell>
          <cell r="AA34">
            <v>27</v>
          </cell>
          <cell r="AB34">
            <v>28</v>
          </cell>
          <cell r="AC34">
            <v>29</v>
          </cell>
          <cell r="AD34">
            <v>30</v>
          </cell>
          <cell r="AE34">
            <v>31</v>
          </cell>
          <cell r="AF34">
            <v>32</v>
          </cell>
          <cell r="AG34">
            <v>33</v>
          </cell>
          <cell r="AH34">
            <v>34</v>
          </cell>
          <cell r="AI34">
            <v>35</v>
          </cell>
          <cell r="AJ34">
            <v>36</v>
          </cell>
          <cell r="AK34">
            <v>37</v>
          </cell>
          <cell r="AL34">
            <v>38</v>
          </cell>
          <cell r="AM34">
            <v>39</v>
          </cell>
          <cell r="AN34">
            <v>40</v>
          </cell>
          <cell r="AO34">
            <v>41</v>
          </cell>
          <cell r="AP34">
            <v>42</v>
          </cell>
          <cell r="AQ34">
            <v>43</v>
          </cell>
        </row>
      </sheetData>
      <sheetData sheetId="139"/>
      <sheetData sheetId="140"/>
      <sheetData sheetId="141"/>
      <sheetData sheetId="142"/>
      <sheetData sheetId="143">
        <row r="1">
          <cell r="A1" t="str">
            <v>CÔNG TY CP HỒNG HÀ VIỆT NAM</v>
          </cell>
          <cell r="C1" t="str">
            <v>CỘNG HÒA XÃ HỘI CHỦ NGHĨA VIỆT NAM</v>
          </cell>
        </row>
        <row r="2">
          <cell r="C2" t="str">
            <v>ĐỘC LẬP-TỰ DO -HẠNH PHÚC</v>
          </cell>
        </row>
        <row r="4">
          <cell r="A4" t="str">
            <v>ONG GIO</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OG-01</v>
          </cell>
          <cell r="B10" t="str">
            <v>Tôn mạ kẽm dạng cuộn (0,58 - 0,75 - 0,95) kèm theo phiếu xuất kho ngày 7/7/2015</v>
          </cell>
          <cell r="C10" t="str">
            <v>OG-01</v>
          </cell>
          <cell r="D10" t="str">
            <v>14h15</v>
          </cell>
          <cell r="E10" t="str">
            <v>15h00</v>
          </cell>
          <cell r="F10">
            <v>23</v>
          </cell>
          <cell r="G10">
            <v>7</v>
          </cell>
          <cell r="H10">
            <v>2015</v>
          </cell>
          <cell r="I10" t="str">
            <v>Hà Nội, ngày 23 tháng 7 năm 2015</v>
          </cell>
          <cell r="J10" t="str">
            <v>14h15 ngày 23 tháng 7 năm 2015</v>
          </cell>
          <cell r="K10" t="str">
            <v>15h00 ngày 23 tháng 7 năm 2015</v>
          </cell>
          <cell r="L10" t="str">
            <v>15h15</v>
          </cell>
          <cell r="M10" t="str">
            <v>16h00</v>
          </cell>
          <cell r="N10">
            <v>23</v>
          </cell>
          <cell r="O10">
            <v>7</v>
          </cell>
          <cell r="P10">
            <v>2015</v>
          </cell>
          <cell r="Q10" t="str">
            <v>Hà Nội, ngày 23 tháng 7 năm 2015</v>
          </cell>
          <cell r="R10" t="str">
            <v>15h15 ngày 23 tháng 7 năm 2015</v>
          </cell>
          <cell r="S10" t="str">
            <v>16h00 ngày 23 tháng 7 năm 2015</v>
          </cell>
          <cell r="T10" t="str">
            <v>15h15</v>
          </cell>
          <cell r="U10" t="str">
            <v>15h15 Ngày 23/7/2015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v>0</v>
          </cell>
          <cell r="AM10" t="str">
            <v>Cán bộ kỹ thuật</v>
          </cell>
          <cell r="AQ10" t="str">
            <v>Ngày 23 Tháng 7 Năm 2015</v>
          </cell>
        </row>
        <row r="11">
          <cell r="A11" t="str">
            <v>OG-02</v>
          </cell>
          <cell r="B11" t="str">
            <v>Vật liệu phụ chế tạo ống thông gió kèm theo biên bản giao nhận hàng hóa ngày 30/06/2015</v>
          </cell>
          <cell r="C11" t="str">
            <v>OG-02</v>
          </cell>
          <cell r="D11" t="str">
            <v>13h30</v>
          </cell>
          <cell r="E11" t="str">
            <v>14h30</v>
          </cell>
          <cell r="F11">
            <v>25</v>
          </cell>
          <cell r="G11">
            <v>7</v>
          </cell>
          <cell r="H11">
            <v>2015</v>
          </cell>
          <cell r="I11" t="str">
            <v>Hà Nội, ngày 25 tháng 7 năm 2015</v>
          </cell>
          <cell r="J11" t="str">
            <v>13h30 ngày 25 tháng 7 năm 2015</v>
          </cell>
          <cell r="K11" t="str">
            <v>14h30 ngày 25 tháng 7 năm 2015</v>
          </cell>
          <cell r="L11" t="str">
            <v>14h30</v>
          </cell>
          <cell r="M11" t="str">
            <v>15h30</v>
          </cell>
          <cell r="N11">
            <v>25</v>
          </cell>
          <cell r="O11">
            <v>7</v>
          </cell>
          <cell r="P11">
            <v>2015</v>
          </cell>
          <cell r="Q11" t="str">
            <v>Hà Nội, ngày 25 tháng 7 năm 2015</v>
          </cell>
          <cell r="R11" t="str">
            <v>14h30 ngày 25 tháng 7 năm 2015</v>
          </cell>
          <cell r="S11" t="str">
            <v>15h30 ngày 25 tháng 7 năm 2015</v>
          </cell>
          <cell r="T11" t="str">
            <v>14h30</v>
          </cell>
          <cell r="U11" t="str">
            <v>14h30 Ngày 25/7/2015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v>0</v>
          </cell>
          <cell r="AM11" t="str">
            <v>Cán bộ kỹ thuật</v>
          </cell>
          <cell r="AQ11" t="str">
            <v>Ngày 25 Tháng 7 Năm 2015</v>
          </cell>
        </row>
        <row r="12">
          <cell r="A12" t="str">
            <v>OG-03</v>
          </cell>
          <cell r="B12" t="str">
            <v>Van chặn lửa (FD) KT: (750x200), (1000x300); Van điện (MD) KT: (750x200), (1000x300)</v>
          </cell>
          <cell r="C12" t="str">
            <v>OG-03</v>
          </cell>
          <cell r="D12" t="str">
            <v>14h00</v>
          </cell>
          <cell r="E12" t="str">
            <v>15h00</v>
          </cell>
          <cell r="F12">
            <v>15</v>
          </cell>
          <cell r="G12">
            <v>9</v>
          </cell>
          <cell r="H12">
            <v>2015</v>
          </cell>
          <cell r="I12" t="str">
            <v>Hà Nội, ngày 15 tháng 9 năm 2015</v>
          </cell>
          <cell r="J12" t="str">
            <v>14h00 ngày 15 tháng 9 năm 2015</v>
          </cell>
          <cell r="K12" t="str">
            <v>15h00 ngày 15 tháng 9 năm 2015</v>
          </cell>
          <cell r="L12" t="str">
            <v>15h05</v>
          </cell>
          <cell r="M12" t="str">
            <v>16h00</v>
          </cell>
          <cell r="N12">
            <v>15</v>
          </cell>
          <cell r="O12">
            <v>9</v>
          </cell>
          <cell r="P12">
            <v>2015</v>
          </cell>
          <cell r="Q12" t="str">
            <v>Hà Nội, ngày 15 tháng 9 năm 2015</v>
          </cell>
          <cell r="R12" t="str">
            <v>15h05 ngày 15 tháng 9 năm 2015</v>
          </cell>
          <cell r="S12" t="str">
            <v>16h00 ngày 15 tháng 9 năm 2015</v>
          </cell>
          <cell r="T12" t="str">
            <v>15h05</v>
          </cell>
          <cell r="U12" t="str">
            <v>15h05 Ngày 15/9/2015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v>0</v>
          </cell>
          <cell r="AM12" t="str">
            <v>Cán bộ kỹ thuật</v>
          </cell>
          <cell r="AQ12" t="str">
            <v>Ngày 15 Tháng 9 Năm 2015</v>
          </cell>
        </row>
        <row r="13">
          <cell r="A13" t="str">
            <v>OG-04</v>
          </cell>
          <cell r="B13" t="str">
            <v>Nghiệm thu cửa gió hút mùi phòng rác, hút khói hành lang, tăng áp thang máy, tăng áp thang bộ cửa xả áp các loại kèm theo biên bản giao nhận ngày 3/11/2015</v>
          </cell>
          <cell r="C13" t="str">
            <v>OG-04</v>
          </cell>
          <cell r="D13" t="str">
            <v>08h00</v>
          </cell>
          <cell r="E13" t="str">
            <v>10h30</v>
          </cell>
          <cell r="F13">
            <v>4</v>
          </cell>
          <cell r="G13">
            <v>11</v>
          </cell>
          <cell r="H13">
            <v>2015</v>
          </cell>
          <cell r="I13" t="str">
            <v>Hà Nội, ngày 4 tháng 11 năm 2015</v>
          </cell>
          <cell r="J13" t="str">
            <v>08h00 ngày 4 tháng 11 năm 2015</v>
          </cell>
          <cell r="K13" t="str">
            <v>10h30 ngày 4 tháng 11 năm 2015</v>
          </cell>
          <cell r="L13" t="str">
            <v>14h00</v>
          </cell>
          <cell r="M13" t="str">
            <v>16h30</v>
          </cell>
          <cell r="N13">
            <v>4</v>
          </cell>
          <cell r="O13">
            <v>11</v>
          </cell>
          <cell r="P13">
            <v>2015</v>
          </cell>
          <cell r="Q13" t="str">
            <v>Hà Nội, ngày 4 tháng 11 năm 2015</v>
          </cell>
          <cell r="R13" t="str">
            <v>14h00 ngày 4 tháng 11 năm 2015</v>
          </cell>
          <cell r="S13" t="str">
            <v>16h30 ngày 4 tháng 11 năm 2015</v>
          </cell>
          <cell r="T13" t="str">
            <v>14h00</v>
          </cell>
          <cell r="U13" t="str">
            <v>14h00 Ngày 4/11/2015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v>0</v>
          </cell>
          <cell r="AM13" t="str">
            <v>Cán bộ kỹ thuật</v>
          </cell>
          <cell r="AQ13" t="str">
            <v>Ngày 4 Tháng 11 Năm 2015</v>
          </cell>
        </row>
        <row r="14">
          <cell r="A14" t="str">
            <v>OG-05</v>
          </cell>
          <cell r="B14" t="str">
            <v>Nghiệm thu dây cáp chống cháy các loại kèm theo biên bản giao nhận ngày 5/11/2015</v>
          </cell>
          <cell r="C14" t="str">
            <v>OG-05</v>
          </cell>
          <cell r="D14" t="str">
            <v>8h00</v>
          </cell>
          <cell r="E14" t="str">
            <v>10h30</v>
          </cell>
          <cell r="F14">
            <v>14</v>
          </cell>
          <cell r="G14">
            <v>11</v>
          </cell>
          <cell r="H14">
            <v>2015</v>
          </cell>
          <cell r="I14" t="str">
            <v>Hà Nội, ngày 14 tháng 11 năm 2015</v>
          </cell>
          <cell r="J14" t="str">
            <v>8h00 ngày 14 tháng 11 năm 2015</v>
          </cell>
          <cell r="K14" t="str">
            <v>10h30 ngày 14 tháng 11 năm 2015</v>
          </cell>
          <cell r="L14" t="str">
            <v>14h30</v>
          </cell>
          <cell r="M14" t="str">
            <v>16h30</v>
          </cell>
          <cell r="N14">
            <v>14</v>
          </cell>
          <cell r="O14">
            <v>11</v>
          </cell>
          <cell r="P14">
            <v>2015</v>
          </cell>
          <cell r="Q14" t="str">
            <v>Hà Nội, ngày 14 tháng 11 năm 2015</v>
          </cell>
          <cell r="R14" t="str">
            <v>14h30 ngày 14 tháng 11 năm 2015</v>
          </cell>
          <cell r="S14" t="str">
            <v>16h30 ngày 14 tháng 11 năm 2015</v>
          </cell>
          <cell r="T14" t="str">
            <v>14h30</v>
          </cell>
          <cell r="U14" t="str">
            <v>14h30 Ngày 14/11/2015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v>0</v>
          </cell>
          <cell r="AM14" t="str">
            <v>Cán bộ kỹ thuật</v>
          </cell>
          <cell r="AQ14" t="str">
            <v>Ngày 14 Tháng 11 Năm 2015</v>
          </cell>
        </row>
        <row r="15">
          <cell r="A15" t="str">
            <v>OG-06</v>
          </cell>
          <cell r="B15" t="str">
            <v>Nghiệm thu tủ điện điều khiển hệ thống thông gió, động cơ gắn cho van MD kèm theo biên bản giao nhận ngày 5/11/12015</v>
          </cell>
          <cell r="C15" t="str">
            <v>OG-06</v>
          </cell>
          <cell r="D15" t="str">
            <v>8h00</v>
          </cell>
          <cell r="E15" t="str">
            <v>10h30</v>
          </cell>
          <cell r="F15">
            <v>14</v>
          </cell>
          <cell r="G15">
            <v>11</v>
          </cell>
          <cell r="H15">
            <v>2015</v>
          </cell>
          <cell r="I15" t="str">
            <v>Hà Nội, ngày 14 tháng 11 năm 2015</v>
          </cell>
          <cell r="J15" t="str">
            <v>8h00 ngày 14 tháng 11 năm 2015</v>
          </cell>
          <cell r="K15" t="str">
            <v>10h30 ngày 14 tháng 11 năm 2015</v>
          </cell>
          <cell r="L15" t="str">
            <v>14h30</v>
          </cell>
          <cell r="M15" t="str">
            <v>16h30</v>
          </cell>
          <cell r="N15">
            <v>14</v>
          </cell>
          <cell r="O15">
            <v>11</v>
          </cell>
          <cell r="P15">
            <v>2015</v>
          </cell>
          <cell r="Q15" t="str">
            <v>Hà Nội, ngày 14 tháng 11 năm 2015</v>
          </cell>
          <cell r="R15" t="str">
            <v>14h30 ngày 14 tháng 11 năm 2015</v>
          </cell>
          <cell r="S15" t="str">
            <v>16h30 ngày 14 tháng 11 năm 2015</v>
          </cell>
          <cell r="T15" t="str">
            <v>14h30</v>
          </cell>
          <cell r="U15" t="str">
            <v>14h30 Ngày 14/11/2015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v>0</v>
          </cell>
          <cell r="AM15" t="str">
            <v>Cán bộ kỹ thuật</v>
          </cell>
          <cell r="AQ15" t="str">
            <v>Ngày 14 Tháng 11 Năm 2015</v>
          </cell>
        </row>
        <row r="16">
          <cell r="A16" t="str">
            <v>OG-07</v>
          </cell>
          <cell r="B16" t="str">
            <v>Nghiệm thu quạt thông gió hút mùi phòng rác, hút khói hành lang, tăng áp thang máy, tăng áp thang bộ kèm theo biên bản giao nhận hàng hóa ngày 10/11/2015</v>
          </cell>
          <cell r="C16" t="str">
            <v>OG-07</v>
          </cell>
          <cell r="D16" t="str">
            <v>8h00</v>
          </cell>
          <cell r="E16" t="str">
            <v>10h30</v>
          </cell>
          <cell r="F16">
            <v>16</v>
          </cell>
          <cell r="G16">
            <v>11</v>
          </cell>
          <cell r="H16">
            <v>2015</v>
          </cell>
          <cell r="I16" t="str">
            <v>Hà Nội, ngày 16 tháng 11 năm 2015</v>
          </cell>
          <cell r="J16" t="str">
            <v>8h00 ngày 16 tháng 11 năm 2015</v>
          </cell>
          <cell r="K16" t="str">
            <v>10h30 ngày 16 tháng 11 năm 2015</v>
          </cell>
          <cell r="L16" t="str">
            <v>14h00</v>
          </cell>
          <cell r="M16" t="str">
            <v>16h30</v>
          </cell>
          <cell r="N16">
            <v>16</v>
          </cell>
          <cell r="O16">
            <v>11</v>
          </cell>
          <cell r="P16">
            <v>2015</v>
          </cell>
          <cell r="Q16" t="str">
            <v>Hà Nội, ngày 16 tháng 11 năm 2015</v>
          </cell>
          <cell r="R16" t="str">
            <v>14h00 ngày 16 tháng 11 năm 2015</v>
          </cell>
          <cell r="S16" t="str">
            <v>16h30 ngày 16 tháng 11 năm 2015</v>
          </cell>
          <cell r="T16" t="str">
            <v>14h00</v>
          </cell>
          <cell r="U16" t="str">
            <v>14h00 Ngày 16/11/2015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v>0</v>
          </cell>
          <cell r="AM16" t="str">
            <v>Cán bộ kỹ thuật</v>
          </cell>
          <cell r="AQ16" t="str">
            <v>Ngày 16 Tháng 11 Năm 2015</v>
          </cell>
        </row>
        <row r="17">
          <cell r="A17" t="str">
            <v>OG-08</v>
          </cell>
          <cell r="C17" t="str">
            <v>OG-08</v>
          </cell>
          <cell r="D17" t="str">
            <v>14h00</v>
          </cell>
          <cell r="E17" t="str">
            <v>15h30</v>
          </cell>
          <cell r="F17" t="str">
            <v>……</v>
          </cell>
          <cell r="G17" t="str">
            <v>……</v>
          </cell>
          <cell r="H17">
            <v>2015</v>
          </cell>
          <cell r="I17" t="str">
            <v>Hà Nội, ngày …… tháng …… năm 2015</v>
          </cell>
          <cell r="J17" t="str">
            <v>14h00 ngày …… tháng …… năm 2015</v>
          </cell>
          <cell r="K17" t="str">
            <v>15h30 ngày …… tháng …… năm 2015</v>
          </cell>
          <cell r="L17" t="str">
            <v>15h30</v>
          </cell>
          <cell r="M17" t="str">
            <v>16h00</v>
          </cell>
          <cell r="N17" t="str">
            <v>……</v>
          </cell>
          <cell r="O17" t="str">
            <v>……</v>
          </cell>
          <cell r="P17">
            <v>2015</v>
          </cell>
          <cell r="Q17" t="str">
            <v>Hà Nội, ngày …… tháng …… năm 2015</v>
          </cell>
          <cell r="R17" t="str">
            <v>15h30 ngày …… tháng …… năm 2015</v>
          </cell>
          <cell r="S17" t="str">
            <v>16h00 ngày …… tháng …… năm 2015</v>
          </cell>
          <cell r="T17" t="str">
            <v>15h30</v>
          </cell>
          <cell r="U17" t="str">
            <v>15h30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v>0</v>
          </cell>
          <cell r="AM17" t="str">
            <v>Cán bộ kỹ thuật</v>
          </cell>
          <cell r="AQ17" t="str">
            <v>Ngày …… Tháng ……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v>0</v>
          </cell>
          <cell r="AM18" t="str">
            <v>Cán bộ kỹ thuật</v>
          </cell>
          <cell r="AQ18" t="str">
            <v>Ngày …… Tháng …… Năm 2015</v>
          </cell>
        </row>
        <row r="19">
          <cell r="A19">
            <v>0</v>
          </cell>
          <cell r="D19" t="str">
            <v>14h15</v>
          </cell>
          <cell r="E19" t="str">
            <v>15h00</v>
          </cell>
          <cell r="F19" t="str">
            <v>……</v>
          </cell>
          <cell r="G19" t="str">
            <v>……</v>
          </cell>
          <cell r="H19">
            <v>2015</v>
          </cell>
          <cell r="I19" t="str">
            <v>Hà Nội, ngày …… tháng …… năm 2015</v>
          </cell>
          <cell r="J19" t="str">
            <v>14h15 ngày …… tháng …… năm 2015</v>
          </cell>
          <cell r="K19" t="str">
            <v>15h00 ngày …… tháng …… năm 2015</v>
          </cell>
          <cell r="L19" t="str">
            <v>15h00</v>
          </cell>
          <cell r="M19" t="str">
            <v>15h45</v>
          </cell>
          <cell r="N19" t="str">
            <v>……</v>
          </cell>
          <cell r="O19" t="str">
            <v>……</v>
          </cell>
          <cell r="P19">
            <v>2015</v>
          </cell>
          <cell r="Q19" t="str">
            <v>Hà Nội, ngày …… tháng …… năm 2015</v>
          </cell>
          <cell r="R19" t="str">
            <v>15h00 ngày …… tháng …… năm 2015</v>
          </cell>
          <cell r="S19" t="str">
            <v>15h45 ngày …… tháng …… năm 2015</v>
          </cell>
          <cell r="T19" t="str">
            <v>15h00</v>
          </cell>
          <cell r="U19" t="str">
            <v>15h00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v>0</v>
          </cell>
          <cell r="AM19" t="str">
            <v>Cán bộ kỹ thuật</v>
          </cell>
          <cell r="AQ19" t="str">
            <v>Ngày …… Tháng …… Năm 2015</v>
          </cell>
        </row>
        <row r="20">
          <cell r="A20">
            <v>0</v>
          </cell>
          <cell r="D20" t="str">
            <v>14h00</v>
          </cell>
          <cell r="E20" t="str">
            <v>14h30</v>
          </cell>
          <cell r="F20" t="str">
            <v>……</v>
          </cell>
          <cell r="G20" t="str">
            <v>……</v>
          </cell>
          <cell r="H20">
            <v>2015</v>
          </cell>
          <cell r="I20" t="str">
            <v>Hà Nội, ngày …… tháng …… năm 2015</v>
          </cell>
          <cell r="J20" t="str">
            <v>14h00 ngày …… tháng …… năm 2015</v>
          </cell>
          <cell r="K20" t="str">
            <v>14h30 ngày …… tháng …… năm 2015</v>
          </cell>
          <cell r="L20" t="str">
            <v>14h30</v>
          </cell>
          <cell r="M20" t="str">
            <v>15h00</v>
          </cell>
          <cell r="N20" t="str">
            <v>……</v>
          </cell>
          <cell r="O20" t="str">
            <v>……</v>
          </cell>
          <cell r="P20">
            <v>2015</v>
          </cell>
          <cell r="Q20" t="str">
            <v>Hà Nội, ngày …… tháng …… năm 2015</v>
          </cell>
          <cell r="R20" t="str">
            <v>14h30 ngày …… tháng …… năm 2015</v>
          </cell>
          <cell r="S20" t="str">
            <v>15h00 ngày …… tháng …… năm 2015</v>
          </cell>
          <cell r="T20" t="str">
            <v>14h30</v>
          </cell>
          <cell r="U20" t="str">
            <v>14h30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v>0</v>
          </cell>
          <cell r="AM20" t="str">
            <v>Cán bộ kỹ thuật</v>
          </cell>
          <cell r="AQ20" t="str">
            <v>Ngày …… Tháng ……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v>0</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v>0</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v>0</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v>0</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v>0</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v>0</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v>0</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v>0</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44"/>
      <sheetData sheetId="145">
        <row r="1">
          <cell r="A1" t="str">
            <v>CÔNG TY CP HỒNG HÀ VIỆT NAM</v>
          </cell>
          <cell r="C1" t="str">
            <v>CỘNG HÒA XÃ HỘI CHỦ NGHĨA VIỆT NAM</v>
          </cell>
        </row>
        <row r="2">
          <cell r="C2" t="str">
            <v>ĐỘC LẬP-TỰ DO -HẠNH PHÚC</v>
          </cell>
        </row>
        <row r="4">
          <cell r="A4" t="str">
            <v>Điện Nhẹ</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ĐN-01</v>
          </cell>
          <cell r="B10" t="str">
            <v xml:space="preserve">Vật liệu ống nhựa luồn dây D20, đế âm, hộp nối dây 160x160x50 và phụ kiện kèm theo biên bản giao nhận hàng hóa ngày 16/6/2015
 </v>
          </cell>
          <cell r="C10" t="str">
            <v>ĐN-01</v>
          </cell>
          <cell r="D10" t="str">
            <v>15h00</v>
          </cell>
          <cell r="E10" t="str">
            <v>16h00</v>
          </cell>
          <cell r="F10">
            <v>16</v>
          </cell>
          <cell r="G10">
            <v>6</v>
          </cell>
          <cell r="H10">
            <v>2015</v>
          </cell>
          <cell r="I10" t="str">
            <v>Hà Nội, ngày 16 tháng 6 năm 2015</v>
          </cell>
          <cell r="J10" t="str">
            <v>15h00 ngày 16 tháng 6 năm 2015</v>
          </cell>
          <cell r="K10" t="str">
            <v>16h00 ngày 16 tháng 6 năm 2015</v>
          </cell>
          <cell r="L10" t="str">
            <v>16h05</v>
          </cell>
          <cell r="M10" t="str">
            <v>17h00</v>
          </cell>
          <cell r="N10">
            <v>16</v>
          </cell>
          <cell r="O10">
            <v>6</v>
          </cell>
          <cell r="P10">
            <v>2015</v>
          </cell>
          <cell r="Q10" t="str">
            <v>Hà Nội, ngày 16 tháng 6 năm 2015</v>
          </cell>
          <cell r="R10" t="str">
            <v>16h05 ngày 16 tháng 6 năm 2015</v>
          </cell>
          <cell r="S10" t="str">
            <v>17h00 ngày 16 tháng 6 năm 2015</v>
          </cell>
          <cell r="T10" t="str">
            <v>16h05</v>
          </cell>
          <cell r="U10" t="str">
            <v>16h05 Ngày 16/6/2015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v>0</v>
          </cell>
          <cell r="AM10" t="str">
            <v>Cán bộ kỹ thuật</v>
          </cell>
          <cell r="AQ10" t="str">
            <v>Ngày 16 Tháng 6 Năm 2015</v>
          </cell>
        </row>
        <row r="11">
          <cell r="A11" t="str">
            <v>ĐN-02</v>
          </cell>
          <cell r="B11" t="str">
            <v>Vật liệu dây cáp truyền hình RG6 kèm theo biên bản giao nhận hàng hóa ngày 13/8/2015</v>
          </cell>
          <cell r="C11" t="str">
            <v>ĐN-02</v>
          </cell>
          <cell r="D11" t="str">
            <v>14h00</v>
          </cell>
          <cell r="E11" t="str">
            <v>15h00</v>
          </cell>
          <cell r="F11">
            <v>13</v>
          </cell>
          <cell r="G11">
            <v>8</v>
          </cell>
          <cell r="H11">
            <v>2015</v>
          </cell>
          <cell r="I11" t="str">
            <v>Hà Nội, ngày 13 tháng 8 năm 2015</v>
          </cell>
          <cell r="J11" t="str">
            <v>14h00 ngày 13 tháng 8 năm 2015</v>
          </cell>
          <cell r="K11" t="str">
            <v>15h00 ngày 13 tháng 8 năm 2015</v>
          </cell>
          <cell r="L11" t="str">
            <v>15h05</v>
          </cell>
          <cell r="M11" t="str">
            <v>16h00</v>
          </cell>
          <cell r="N11">
            <v>13</v>
          </cell>
          <cell r="O11">
            <v>8</v>
          </cell>
          <cell r="P11">
            <v>2015</v>
          </cell>
          <cell r="Q11" t="str">
            <v>Hà Nội, ngày 13 tháng 8 năm 2015</v>
          </cell>
          <cell r="R11" t="str">
            <v>15h05 ngày 13 tháng 8 năm 2015</v>
          </cell>
          <cell r="S11" t="str">
            <v>16h00 ngày 13 tháng 8 năm 2015</v>
          </cell>
          <cell r="T11" t="str">
            <v>15h05</v>
          </cell>
          <cell r="U11" t="str">
            <v>15h05 Ngày 13/8/2015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v>0</v>
          </cell>
          <cell r="AM11" t="str">
            <v>Cán bộ kỹ thuật</v>
          </cell>
          <cell r="AQ11" t="str">
            <v>Ngày 13 Tháng 8 Năm 2015</v>
          </cell>
        </row>
        <row r="12">
          <cell r="A12" t="str">
            <v>ĐN-03</v>
          </cell>
          <cell r="B12" t="str">
            <v>Nghiệm thu mặt hạt điện thoại, truyền hình, đầu nối, bộ chia, thang máng cáp kèm theo biên bản giao nhận hàng hóa ngày 3/11/2015</v>
          </cell>
          <cell r="C12" t="str">
            <v>ĐN-03</v>
          </cell>
          <cell r="D12" t="str">
            <v>8h00</v>
          </cell>
          <cell r="E12" t="str">
            <v>9h00</v>
          </cell>
          <cell r="F12">
            <v>3</v>
          </cell>
          <cell r="G12">
            <v>11</v>
          </cell>
          <cell r="H12">
            <v>2015</v>
          </cell>
          <cell r="I12" t="str">
            <v>Hà Nội, ngày 3 tháng 11 năm 2015</v>
          </cell>
          <cell r="J12" t="str">
            <v>8h00 ngày 3 tháng 11 năm 2015</v>
          </cell>
          <cell r="K12" t="str">
            <v>9h00 ngày 3 tháng 11 năm 2015</v>
          </cell>
          <cell r="L12" t="str">
            <v>10h00</v>
          </cell>
          <cell r="M12" t="str">
            <v>11h00</v>
          </cell>
          <cell r="N12">
            <v>3</v>
          </cell>
          <cell r="O12">
            <v>11</v>
          </cell>
          <cell r="P12">
            <v>2015</v>
          </cell>
          <cell r="Q12" t="str">
            <v>Hà Nội, ngày 3 tháng 11 năm 2015</v>
          </cell>
          <cell r="R12" t="str">
            <v>10h00 ngày 3 tháng 11 năm 2015</v>
          </cell>
          <cell r="S12" t="str">
            <v>11h00 ngày 3 tháng 11 năm 2015</v>
          </cell>
          <cell r="T12" t="str">
            <v>10h00</v>
          </cell>
          <cell r="U12" t="str">
            <v>10h00 Ngày 3/11/2015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v>0</v>
          </cell>
          <cell r="AM12" t="str">
            <v>Cán bộ kỹ thuật</v>
          </cell>
          <cell r="AQ12" t="str">
            <v>Ngày 3 Tháng 11 Năm 2015</v>
          </cell>
        </row>
        <row r="13">
          <cell r="A13" t="str">
            <v>ĐN-04</v>
          </cell>
          <cell r="C13" t="str">
            <v>ĐN-04</v>
          </cell>
          <cell r="D13" t="str">
            <v>…..</v>
          </cell>
          <cell r="E13" t="str">
            <v>…..</v>
          </cell>
          <cell r="F13" t="str">
            <v>…..</v>
          </cell>
          <cell r="G13" t="str">
            <v>…..</v>
          </cell>
          <cell r="H13">
            <v>2015</v>
          </cell>
          <cell r="I13" t="str">
            <v>Hà Nội, ngày ….. tháng ….. năm 2015</v>
          </cell>
          <cell r="J13" t="str">
            <v>….. ngày ….. tháng ….. năm 2015</v>
          </cell>
          <cell r="K13" t="str">
            <v>….. ngày ….. tháng ….. năm 2015</v>
          </cell>
          <cell r="L13" t="str">
            <v>…..</v>
          </cell>
          <cell r="M13" t="str">
            <v>…..</v>
          </cell>
          <cell r="N13" t="str">
            <v>…..</v>
          </cell>
          <cell r="O13" t="str">
            <v>…..</v>
          </cell>
          <cell r="P13">
            <v>2015</v>
          </cell>
          <cell r="Q13" t="str">
            <v>Hà Nội, ngày ….. tháng ….. năm 2015</v>
          </cell>
          <cell r="R13" t="str">
            <v>….. ngày ….. tháng ….. năm 2015</v>
          </cell>
          <cell r="S13" t="str">
            <v>….. ngày ….. tháng ….. năm 2015</v>
          </cell>
          <cell r="T13" t="str">
            <v>…..</v>
          </cell>
          <cell r="U13" t="str">
            <v>….. Ngày …../…../2015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v>0</v>
          </cell>
          <cell r="AM13" t="str">
            <v>Cán bộ kỹ thuật</v>
          </cell>
          <cell r="AQ13" t="str">
            <v>Ngày ….. Tháng ….. Năm 2015</v>
          </cell>
        </row>
        <row r="14">
          <cell r="A14" t="str">
            <v>ĐN-05</v>
          </cell>
          <cell r="C14" t="str">
            <v>ĐN-05</v>
          </cell>
          <cell r="D14" t="str">
            <v>…..</v>
          </cell>
          <cell r="E14" t="str">
            <v>…..</v>
          </cell>
          <cell r="F14" t="str">
            <v>…..</v>
          </cell>
          <cell r="G14" t="str">
            <v>…..</v>
          </cell>
          <cell r="H14">
            <v>2015</v>
          </cell>
          <cell r="I14" t="str">
            <v>Hà Nội, ngày ….. tháng ….. năm 2015</v>
          </cell>
          <cell r="J14" t="str">
            <v>….. ngày ….. tháng ….. năm 2015</v>
          </cell>
          <cell r="K14" t="str">
            <v>….. ngày ….. tháng ….. năm 2015</v>
          </cell>
          <cell r="L14" t="str">
            <v>…..</v>
          </cell>
          <cell r="M14" t="str">
            <v>…..</v>
          </cell>
          <cell r="N14" t="str">
            <v>…..</v>
          </cell>
          <cell r="O14" t="str">
            <v>…..</v>
          </cell>
          <cell r="P14">
            <v>2015</v>
          </cell>
          <cell r="Q14" t="str">
            <v>Hà Nội, ngày ….. tháng ….. năm 2015</v>
          </cell>
          <cell r="R14" t="str">
            <v>….. ngày ….. tháng ….. năm 2015</v>
          </cell>
          <cell r="S14" t="str">
            <v>….. ngày ….. tháng ….. năm 2015</v>
          </cell>
          <cell r="T14" t="str">
            <v>…..</v>
          </cell>
          <cell r="U14" t="str">
            <v>….. Ngày …../…../2015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v>0</v>
          </cell>
          <cell r="AM14" t="str">
            <v>Cán bộ kỹ thuật</v>
          </cell>
          <cell r="AQ14" t="str">
            <v>Ngày ….. Tháng ….. Năm 2015</v>
          </cell>
        </row>
        <row r="15">
          <cell r="A15" t="str">
            <v>ĐN-06</v>
          </cell>
          <cell r="C15" t="str">
            <v>ĐN-06</v>
          </cell>
          <cell r="D15" t="str">
            <v>…..</v>
          </cell>
          <cell r="E15" t="str">
            <v>…..</v>
          </cell>
          <cell r="F15" t="str">
            <v>…..</v>
          </cell>
          <cell r="G15" t="str">
            <v>…..</v>
          </cell>
          <cell r="H15">
            <v>2015</v>
          </cell>
          <cell r="I15" t="str">
            <v>Hà Nội, ngày ….. tháng ….. năm 2015</v>
          </cell>
          <cell r="J15" t="str">
            <v>….. ngày ….. tháng ….. năm 2015</v>
          </cell>
          <cell r="K15" t="str">
            <v>….. ngày ….. tháng ….. năm 2015</v>
          </cell>
          <cell r="L15" t="str">
            <v>…..</v>
          </cell>
          <cell r="M15" t="str">
            <v>…..</v>
          </cell>
          <cell r="N15" t="str">
            <v>…..</v>
          </cell>
          <cell r="O15" t="str">
            <v>…..</v>
          </cell>
          <cell r="P15">
            <v>2015</v>
          </cell>
          <cell r="Q15" t="str">
            <v>Hà Nội, ngày ….. tháng ….. năm 2015</v>
          </cell>
          <cell r="R15" t="str">
            <v>….. ngày ….. tháng ….. năm 2015</v>
          </cell>
          <cell r="S15" t="str">
            <v>….. ngày ….. tháng ….. năm 2015</v>
          </cell>
          <cell r="T15" t="str">
            <v>…..</v>
          </cell>
          <cell r="U15" t="str">
            <v>…..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v>0</v>
          </cell>
          <cell r="AM15" t="str">
            <v>Cán bộ kỹ thuật</v>
          </cell>
          <cell r="AQ15" t="str">
            <v>Ngày ….. Tháng ….. Năm 2015</v>
          </cell>
        </row>
        <row r="16">
          <cell r="A16" t="str">
            <v>ĐN-07</v>
          </cell>
          <cell r="C16" t="str">
            <v>ĐN-07</v>
          </cell>
          <cell r="D16" t="str">
            <v>…..</v>
          </cell>
          <cell r="E16" t="str">
            <v>…..</v>
          </cell>
          <cell r="F16" t="str">
            <v>…..</v>
          </cell>
          <cell r="G16" t="str">
            <v>…..</v>
          </cell>
          <cell r="H16">
            <v>2015</v>
          </cell>
          <cell r="I16" t="str">
            <v>Hà Nội, ngày ….. tháng ….. năm 2015</v>
          </cell>
          <cell r="J16" t="str">
            <v>….. ngày ….. tháng ….. năm 2015</v>
          </cell>
          <cell r="K16" t="str">
            <v>….. ngày ….. tháng ….. năm 2015</v>
          </cell>
          <cell r="L16" t="str">
            <v>…..</v>
          </cell>
          <cell r="M16" t="str">
            <v>…..</v>
          </cell>
          <cell r="N16" t="str">
            <v>…..</v>
          </cell>
          <cell r="O16" t="str">
            <v>…..</v>
          </cell>
          <cell r="P16">
            <v>2015</v>
          </cell>
          <cell r="Q16" t="str">
            <v>Hà Nội, ngày ….. tháng ….. năm 2015</v>
          </cell>
          <cell r="R16" t="str">
            <v>….. ngày ….. tháng ….. năm 2015</v>
          </cell>
          <cell r="S16" t="str">
            <v>….. ngày ….. tháng ….. năm 2015</v>
          </cell>
          <cell r="T16" t="str">
            <v>…..</v>
          </cell>
          <cell r="U16" t="str">
            <v>…..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v>0</v>
          </cell>
          <cell r="AM16" t="str">
            <v>Cán bộ kỹ thuật</v>
          </cell>
          <cell r="AQ16" t="str">
            <v>Ngày ….. Tháng ….. Năm 2015</v>
          </cell>
        </row>
        <row r="17">
          <cell r="A17" t="str">
            <v>ĐN-08</v>
          </cell>
          <cell r="C17" t="str">
            <v>ĐN-08</v>
          </cell>
          <cell r="D17" t="str">
            <v>…..</v>
          </cell>
          <cell r="E17" t="str">
            <v>…..</v>
          </cell>
          <cell r="F17" t="str">
            <v>…..</v>
          </cell>
          <cell r="G17" t="str">
            <v>…..</v>
          </cell>
          <cell r="H17">
            <v>2015</v>
          </cell>
          <cell r="I17" t="str">
            <v>Hà Nội, ngày ….. tháng ….. năm 2015</v>
          </cell>
          <cell r="J17" t="str">
            <v>….. ngày ….. tháng ….. năm 2015</v>
          </cell>
          <cell r="K17" t="str">
            <v>….. ngày ….. tháng ….. năm 2015</v>
          </cell>
          <cell r="L17" t="str">
            <v>…..</v>
          </cell>
          <cell r="M17" t="str">
            <v>…..</v>
          </cell>
          <cell r="N17" t="str">
            <v>…..</v>
          </cell>
          <cell r="O17" t="str">
            <v>…..</v>
          </cell>
          <cell r="P17">
            <v>2015</v>
          </cell>
          <cell r="Q17" t="str">
            <v>Hà Nội, ngày ….. tháng ….. năm 2015</v>
          </cell>
          <cell r="R17" t="str">
            <v>….. ngày ….. tháng ….. năm 2015</v>
          </cell>
          <cell r="S17" t="str">
            <v>….. ngày ….. tháng ….. năm 2015</v>
          </cell>
          <cell r="T17" t="str">
            <v>…..</v>
          </cell>
          <cell r="U17" t="str">
            <v>…..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v>0</v>
          </cell>
          <cell r="AM17" t="str">
            <v>Cán bộ kỹ thuật</v>
          </cell>
          <cell r="AQ17" t="str">
            <v>Ngày ….. Tháng ….. Năm 2015</v>
          </cell>
        </row>
        <row r="18">
          <cell r="A18" t="str">
            <v>ĐN-09</v>
          </cell>
          <cell r="C18" t="str">
            <v>ĐN-09</v>
          </cell>
          <cell r="D18" t="str">
            <v>…..</v>
          </cell>
          <cell r="E18" t="str">
            <v>…..</v>
          </cell>
          <cell r="F18" t="str">
            <v>…..</v>
          </cell>
          <cell r="G18" t="str">
            <v>…..</v>
          </cell>
          <cell r="H18">
            <v>2015</v>
          </cell>
          <cell r="I18" t="str">
            <v>Hà Nội, ngày ….. tháng ….. năm 2015</v>
          </cell>
          <cell r="J18" t="str">
            <v>….. ngày ….. tháng ….. năm 2015</v>
          </cell>
          <cell r="K18" t="str">
            <v>….. ngày ….. tháng ….. năm 2015</v>
          </cell>
          <cell r="L18" t="str">
            <v>…..</v>
          </cell>
          <cell r="M18" t="str">
            <v>…..</v>
          </cell>
          <cell r="N18" t="str">
            <v>…..</v>
          </cell>
          <cell r="O18" t="str">
            <v>…..</v>
          </cell>
          <cell r="P18">
            <v>2015</v>
          </cell>
          <cell r="Q18" t="str">
            <v>Hà Nội, ngày ….. tháng ….. năm 2015</v>
          </cell>
          <cell r="R18" t="str">
            <v>….. ngày ….. tháng ….. năm 2015</v>
          </cell>
          <cell r="S18" t="str">
            <v>….. ngày ….. tháng ….. năm 2015</v>
          </cell>
          <cell r="T18" t="str">
            <v>…..</v>
          </cell>
          <cell r="U18" t="str">
            <v>…..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v>0</v>
          </cell>
          <cell r="AM18" t="str">
            <v>Cán bộ kỹ thuật</v>
          </cell>
          <cell r="AQ18" t="str">
            <v>Ngày ….. Tháng ….. Năm 2015</v>
          </cell>
        </row>
        <row r="19">
          <cell r="A19" t="str">
            <v>ĐN-10</v>
          </cell>
          <cell r="C19" t="str">
            <v>ĐN-10</v>
          </cell>
          <cell r="D19" t="str">
            <v>…..</v>
          </cell>
          <cell r="E19" t="str">
            <v>…..</v>
          </cell>
          <cell r="F19" t="str">
            <v>…..</v>
          </cell>
          <cell r="G19" t="str">
            <v>…..</v>
          </cell>
          <cell r="H19">
            <v>2015</v>
          </cell>
          <cell r="I19" t="str">
            <v>Hà Nội, ngày ….. tháng ….. năm 2015</v>
          </cell>
          <cell r="J19" t="str">
            <v>….. ngày ….. tháng ….. năm 2015</v>
          </cell>
          <cell r="K19" t="str">
            <v>….. ngày ….. tháng ….. năm 2015</v>
          </cell>
          <cell r="L19" t="str">
            <v>…..</v>
          </cell>
          <cell r="M19" t="str">
            <v>…..</v>
          </cell>
          <cell r="N19" t="str">
            <v>…..</v>
          </cell>
          <cell r="O19" t="str">
            <v>…..</v>
          </cell>
          <cell r="P19">
            <v>2015</v>
          </cell>
          <cell r="Q19" t="str">
            <v>Hà Nội, ngày ….. tháng ….. năm 2015</v>
          </cell>
          <cell r="R19" t="str">
            <v>….. ngày ….. tháng ….. năm 2015</v>
          </cell>
          <cell r="S19" t="str">
            <v>….. ngày ….. tháng ….. năm 2015</v>
          </cell>
          <cell r="T19" t="str">
            <v>…..</v>
          </cell>
          <cell r="U19" t="str">
            <v>…..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v>0</v>
          </cell>
          <cell r="AM19" t="str">
            <v>Cán bộ kỹ thuật</v>
          </cell>
          <cell r="AQ19" t="str">
            <v>Ngày ….. Tháng ….. Năm 2015</v>
          </cell>
        </row>
        <row r="20">
          <cell r="A20" t="str">
            <v>ĐN-11</v>
          </cell>
          <cell r="C20" t="str">
            <v>ĐN-11</v>
          </cell>
          <cell r="D20" t="str">
            <v>…..</v>
          </cell>
          <cell r="E20" t="str">
            <v>…..</v>
          </cell>
          <cell r="F20" t="str">
            <v>…..</v>
          </cell>
          <cell r="G20" t="str">
            <v>…..</v>
          </cell>
          <cell r="H20">
            <v>2015</v>
          </cell>
          <cell r="I20" t="str">
            <v>Hà Nội, ngày ….. tháng ….. năm 2015</v>
          </cell>
          <cell r="J20" t="str">
            <v>….. ngày ….. tháng ….. năm 2015</v>
          </cell>
          <cell r="K20" t="str">
            <v>….. ngày ….. tháng ….. năm 2015</v>
          </cell>
          <cell r="L20" t="str">
            <v>…..</v>
          </cell>
          <cell r="M20" t="str">
            <v>…..</v>
          </cell>
          <cell r="N20" t="str">
            <v>…..</v>
          </cell>
          <cell r="O20" t="str">
            <v>…..</v>
          </cell>
          <cell r="P20">
            <v>2015</v>
          </cell>
          <cell r="Q20" t="str">
            <v>Hà Nội, ngày ….. tháng ….. năm 2015</v>
          </cell>
          <cell r="R20" t="str">
            <v>….. ngày ….. tháng ….. năm 2015</v>
          </cell>
          <cell r="S20" t="str">
            <v>….. ngày ….. tháng ….. năm 2015</v>
          </cell>
          <cell r="T20" t="str">
            <v>…..</v>
          </cell>
          <cell r="U20" t="str">
            <v>…..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v>0</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v>
          </cell>
          <cell r="M21" t="str">
            <v>…..</v>
          </cell>
          <cell r="N21" t="str">
            <v>…..</v>
          </cell>
          <cell r="O21" t="str">
            <v>…..</v>
          </cell>
          <cell r="P21">
            <v>2015</v>
          </cell>
          <cell r="Q21" t="str">
            <v>Hà Nội, ngày ….. tháng ….. năm 2015</v>
          </cell>
          <cell r="R21" t="str">
            <v>….. ngày ….. tháng ….. năm 2015</v>
          </cell>
          <cell r="S21" t="str">
            <v>….. ngày ….. tháng ….. năm 2015</v>
          </cell>
          <cell r="T21" t="str">
            <v>…..</v>
          </cell>
          <cell r="U21" t="str">
            <v>…..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v>0</v>
          </cell>
          <cell r="AM21" t="str">
            <v>Cán bộ kỹ thuật</v>
          </cell>
          <cell r="AQ21" t="str">
            <v>Ngày ….. Tháng ….. Năm 2015</v>
          </cell>
        </row>
        <row r="22">
          <cell r="A22">
            <v>0</v>
          </cell>
          <cell r="D22" t="str">
            <v>…..</v>
          </cell>
          <cell r="E22" t="str">
            <v>…..</v>
          </cell>
          <cell r="F22" t="str">
            <v>…..</v>
          </cell>
          <cell r="G22" t="str">
            <v>…..</v>
          </cell>
          <cell r="H22">
            <v>2015</v>
          </cell>
          <cell r="I22" t="str">
            <v>Hà Nội, ngày ….. tháng ….. năm 2015</v>
          </cell>
          <cell r="J22" t="str">
            <v>….. ngày ….. tháng ….. năm 2015</v>
          </cell>
          <cell r="K22" t="str">
            <v>….. ngày ….. tháng ….. năm 2015</v>
          </cell>
          <cell r="L22" t="str">
            <v>…..</v>
          </cell>
          <cell r="M22" t="str">
            <v>…..</v>
          </cell>
          <cell r="N22" t="str">
            <v>…..</v>
          </cell>
          <cell r="O22" t="str">
            <v>…..</v>
          </cell>
          <cell r="P22">
            <v>2015</v>
          </cell>
          <cell r="Q22" t="str">
            <v>Hà Nội, ngày ….. tháng ….. năm 2015</v>
          </cell>
          <cell r="R22" t="str">
            <v>….. ngày ….. tháng ….. năm 2015</v>
          </cell>
          <cell r="S22" t="str">
            <v>….. ngày ….. tháng ….. năm 2015</v>
          </cell>
          <cell r="T22" t="str">
            <v>…..</v>
          </cell>
          <cell r="U22" t="str">
            <v>…..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v>0</v>
          </cell>
          <cell r="AM22" t="str">
            <v>Cán bộ kỹ thuật</v>
          </cell>
          <cell r="AQ22" t="str">
            <v>Ngày ….. Tháng ….. Năm 2015</v>
          </cell>
        </row>
        <row r="23">
          <cell r="A23">
            <v>0</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v>0</v>
          </cell>
          <cell r="AM23" t="str">
            <v>Cán bộ kỹ thuật</v>
          </cell>
          <cell r="AQ23" t="str">
            <v>Ngày ….. Tháng ….. Năm 2015</v>
          </cell>
        </row>
        <row r="24">
          <cell r="A24">
            <v>0</v>
          </cell>
          <cell r="D24" t="str">
            <v>…..</v>
          </cell>
          <cell r="E24" t="str">
            <v>…..</v>
          </cell>
          <cell r="F24" t="str">
            <v>…..</v>
          </cell>
          <cell r="G24" t="str">
            <v>…..</v>
          </cell>
          <cell r="H24">
            <v>2015</v>
          </cell>
          <cell r="I24" t="str">
            <v>Hà Nội, ngày ….. tháng ….. năm 2015</v>
          </cell>
          <cell r="J24" t="str">
            <v>….. ngày ….. tháng ….. năm 2015</v>
          </cell>
          <cell r="K24" t="str">
            <v>….. ngày ….. tháng ….. năm 2015</v>
          </cell>
          <cell r="L24" t="str">
            <v>……</v>
          </cell>
          <cell r="M24" t="str">
            <v>……</v>
          </cell>
          <cell r="N24" t="str">
            <v>…..</v>
          </cell>
          <cell r="O24" t="str">
            <v>…..</v>
          </cell>
          <cell r="P24">
            <v>2015</v>
          </cell>
          <cell r="Q24" t="str">
            <v>Hà Nội, ngày ….. tháng ….. năm 2015</v>
          </cell>
          <cell r="R24" t="str">
            <v>…… ngày ….. tháng ….. năm 2015</v>
          </cell>
          <cell r="S24" t="str">
            <v>…… ngày ….. tháng ….. năm 2015</v>
          </cell>
          <cell r="T24" t="str">
            <v>……</v>
          </cell>
          <cell r="U24" t="str">
            <v>……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v>0</v>
          </cell>
          <cell r="AM24" t="str">
            <v>Cán bộ kỹ thuật</v>
          </cell>
          <cell r="AQ24" t="str">
            <v>Ngày ….. Tháng ….. Năm 2015</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v>0</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v>0</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v>0</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v>0</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v>0</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v>0</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v>0</v>
          </cell>
          <cell r="AM31" t="str">
            <v>Cán bộ kỹ thuật</v>
          </cell>
          <cell r="AQ31" t="str">
            <v>Ngày …… Tháng ……. Năm ……</v>
          </cell>
        </row>
        <row r="35">
          <cell r="A35">
            <v>1</v>
          </cell>
          <cell r="B35">
            <v>2</v>
          </cell>
          <cell r="C35">
            <v>3</v>
          </cell>
          <cell r="D35">
            <v>4</v>
          </cell>
          <cell r="E35">
            <v>5</v>
          </cell>
          <cell r="F35">
            <v>6</v>
          </cell>
          <cell r="G35">
            <v>7</v>
          </cell>
          <cell r="H35">
            <v>8</v>
          </cell>
          <cell r="I35">
            <v>9</v>
          </cell>
          <cell r="J35">
            <v>10</v>
          </cell>
          <cell r="K35">
            <v>11</v>
          </cell>
          <cell r="L35">
            <v>12</v>
          </cell>
          <cell r="M35">
            <v>13</v>
          </cell>
          <cell r="N35">
            <v>14</v>
          </cell>
          <cell r="O35">
            <v>15</v>
          </cell>
          <cell r="P35">
            <v>16</v>
          </cell>
          <cell r="Q35">
            <v>17</v>
          </cell>
          <cell r="R35">
            <v>18</v>
          </cell>
          <cell r="S35">
            <v>19</v>
          </cell>
          <cell r="T35">
            <v>20</v>
          </cell>
          <cell r="U35">
            <v>21</v>
          </cell>
          <cell r="V35">
            <v>22</v>
          </cell>
          <cell r="W35">
            <v>23</v>
          </cell>
          <cell r="X35">
            <v>24</v>
          </cell>
          <cell r="Y35">
            <v>25</v>
          </cell>
          <cell r="Z35">
            <v>26</v>
          </cell>
          <cell r="AA35">
            <v>27</v>
          </cell>
          <cell r="AB35">
            <v>28</v>
          </cell>
          <cell r="AC35">
            <v>29</v>
          </cell>
          <cell r="AD35">
            <v>30</v>
          </cell>
          <cell r="AE35">
            <v>31</v>
          </cell>
          <cell r="AF35">
            <v>32</v>
          </cell>
          <cell r="AG35">
            <v>33</v>
          </cell>
          <cell r="AH35">
            <v>34</v>
          </cell>
          <cell r="AI35">
            <v>35</v>
          </cell>
          <cell r="AJ35">
            <v>36</v>
          </cell>
          <cell r="AK35">
            <v>37</v>
          </cell>
          <cell r="AL35">
            <v>38</v>
          </cell>
          <cell r="AM35">
            <v>39</v>
          </cell>
          <cell r="AN35">
            <v>40</v>
          </cell>
          <cell r="AO35">
            <v>41</v>
          </cell>
          <cell r="AP35">
            <v>42</v>
          </cell>
          <cell r="AQ35">
            <v>43</v>
          </cell>
        </row>
      </sheetData>
      <sheetData sheetId="146"/>
      <sheetData sheetId="147"/>
      <sheetData sheetId="148"/>
      <sheetData sheetId="149"/>
      <sheetData sheetId="150"/>
      <sheetData sheetId="151"/>
      <sheetData sheetId="152"/>
      <sheetData sheetId="153"/>
      <sheetData sheetId="154"/>
      <sheetData sheetId="155"/>
      <sheetData sheetId="156"/>
      <sheetData sheetId="157">
        <row r="1">
          <cell r="A1" t="str">
            <v>CÔNG TY CP HỒNG HÀ VIỆT NAM</v>
          </cell>
          <cell r="C1" t="str">
            <v>CỘNG HÒA XÃ HỘI CHỦ NGHĨA VIỆT NAM</v>
          </cell>
        </row>
        <row r="2">
          <cell r="C2" t="str">
            <v>ĐỘC LẬP-TỰ DO -HẠNH PHÚC</v>
          </cell>
        </row>
        <row r="4">
          <cell r="A4" t="str">
            <v>BBNT DIEN NHE</v>
          </cell>
          <cell r="W4" t="str">
            <v xml:space="preserve">FILE IN </v>
          </cell>
          <cell r="AN4" t="str">
            <v>KHỐI LƯỢNG</v>
          </cell>
          <cell r="AO4" t="str">
            <v>LẤY MẪU</v>
          </cell>
        </row>
        <row r="5">
          <cell r="A5" t="str">
            <v>XÂY DỰNG NHÀ Ở XÃ HỘI ĐỂ BÁN VÀ CHO THUÊ</v>
          </cell>
          <cell r="W5" t="str">
            <v>File-in lđt</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ĐN-01</v>
          </cell>
          <cell r="B10" t="str">
            <v>Lắp đặt ống luồn dây D20, hộp nối dây, đế âm và phụ kiện trong căn hộ tầng 03, 04, 05 - hệ thống truyền hình, cáp thoại</v>
          </cell>
          <cell r="C10" t="str">
            <v>ĐN-01</v>
          </cell>
          <cell r="D10" t="str">
            <v>8h30</v>
          </cell>
          <cell r="E10" t="str">
            <v>10h00</v>
          </cell>
          <cell r="F10">
            <v>10</v>
          </cell>
          <cell r="G10">
            <v>7</v>
          </cell>
          <cell r="H10">
            <v>2015</v>
          </cell>
          <cell r="I10" t="str">
            <v>Hà Nội, ngày 10 tháng 7 năm 2015</v>
          </cell>
          <cell r="J10" t="str">
            <v>8h30 ngày 10 tháng 7 năm 2015</v>
          </cell>
          <cell r="K10" t="str">
            <v>10h00 ngày 10 tháng 7 năm 2015</v>
          </cell>
          <cell r="L10" t="str">
            <v>10h05</v>
          </cell>
          <cell r="M10" t="str">
            <v>11h30</v>
          </cell>
          <cell r="N10">
            <v>10</v>
          </cell>
          <cell r="O10">
            <v>7</v>
          </cell>
          <cell r="P10">
            <v>2015</v>
          </cell>
          <cell r="Q10" t="str">
            <v>Hà Nội, ngày 10 tháng 7 năm 2015</v>
          </cell>
          <cell r="R10" t="str">
            <v>10h05 ngày 10 tháng 7 năm 2015</v>
          </cell>
          <cell r="S10" t="str">
            <v>11h30 ngày 10 tháng 7 năm 2015</v>
          </cell>
          <cell r="T10" t="str">
            <v>10h05</v>
          </cell>
          <cell r="U10" t="str">
            <v>10h05 Ngày 10/7/2015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TEL-02; TEL-04; CATV-02; CATV-04</v>
          </cell>
          <cell r="AQ10" t="str">
            <v>Ngày 10 Tháng 7 Năm 2015</v>
          </cell>
        </row>
        <row r="11">
          <cell r="A11" t="str">
            <v>ĐN-02</v>
          </cell>
          <cell r="B11" t="str">
            <v>Lắp đặt ống luồn dây D20, hộp nối dây, đế âm và phụ kiện trong căn hộ tầng 06, 07, 08 - hệ thống truyền hình, cáp thoại</v>
          </cell>
          <cell r="C11" t="str">
            <v>ĐN-02</v>
          </cell>
          <cell r="D11" t="str">
            <v>8h30</v>
          </cell>
          <cell r="E11" t="str">
            <v>10h00</v>
          </cell>
          <cell r="F11">
            <v>7</v>
          </cell>
          <cell r="G11">
            <v>8</v>
          </cell>
          <cell r="H11">
            <v>2015</v>
          </cell>
          <cell r="I11" t="str">
            <v>Hà Nội, ngày 7 tháng 8 năm 2015</v>
          </cell>
          <cell r="J11" t="str">
            <v>8h30 ngày 7 tháng 8 năm 2015</v>
          </cell>
          <cell r="K11" t="str">
            <v>10h00 ngày 7 tháng 8 năm 2015</v>
          </cell>
          <cell r="L11" t="str">
            <v>10h05</v>
          </cell>
          <cell r="M11" t="str">
            <v>11h30</v>
          </cell>
          <cell r="N11">
            <v>7</v>
          </cell>
          <cell r="O11">
            <v>8</v>
          </cell>
          <cell r="P11">
            <v>2015</v>
          </cell>
          <cell r="Q11" t="str">
            <v>Hà Nội, ngày 7 tháng 8 năm 2015</v>
          </cell>
          <cell r="R11" t="str">
            <v>10h05 ngày 7 tháng 8 năm 2015</v>
          </cell>
          <cell r="S11" t="str">
            <v>11h30 ngày 7 tháng 8 năm 2015</v>
          </cell>
          <cell r="T11" t="str">
            <v>10h05</v>
          </cell>
          <cell r="U11" t="str">
            <v>10h05 Ngày 7/8/2015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TEL-02; TEL-04; CATV-02; CATV-04</v>
          </cell>
          <cell r="AQ11" t="str">
            <v>Ngày 7 Tháng 8 Năm 2015</v>
          </cell>
        </row>
        <row r="12">
          <cell r="A12" t="str">
            <v>ĐN-03</v>
          </cell>
          <cell r="B12" t="str">
            <v>Lắp đặt ống luồn dây D20, hộp nối dây, đế âm và phụ kiện trong căn hộ tầng 09, 10, 11 - hệ thống truyền hình, cáp thoại</v>
          </cell>
          <cell r="C12" t="str">
            <v>ĐN-03</v>
          </cell>
          <cell r="D12" t="str">
            <v>8h00</v>
          </cell>
          <cell r="E12" t="str">
            <v>9h30</v>
          </cell>
          <cell r="F12">
            <v>27</v>
          </cell>
          <cell r="G12">
            <v>8</v>
          </cell>
          <cell r="H12">
            <v>2015</v>
          </cell>
          <cell r="I12" t="str">
            <v>Hà Nội, ngày 27 tháng 8 năm 2015</v>
          </cell>
          <cell r="J12" t="str">
            <v>8h00 ngày 27 tháng 8 năm 2015</v>
          </cell>
          <cell r="K12" t="str">
            <v>9h30 ngày 27 tháng 8 năm 2015</v>
          </cell>
          <cell r="L12" t="str">
            <v>9h35</v>
          </cell>
          <cell r="M12" t="str">
            <v>11h00</v>
          </cell>
          <cell r="N12">
            <v>27</v>
          </cell>
          <cell r="O12">
            <v>8</v>
          </cell>
          <cell r="P12">
            <v>2015</v>
          </cell>
          <cell r="Q12" t="str">
            <v>Hà Nội, ngày 27 tháng 8 năm 2015</v>
          </cell>
          <cell r="R12" t="str">
            <v>9h35 ngày 27 tháng 8 năm 2015</v>
          </cell>
          <cell r="S12" t="str">
            <v>11h00 ngày 27 tháng 8 năm 2015</v>
          </cell>
          <cell r="T12" t="str">
            <v>9h35</v>
          </cell>
          <cell r="U12" t="str">
            <v>9h35 Ngày 27/8/2015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TEL-02; TEL-04; CATV-02; CATV-04</v>
          </cell>
          <cell r="AQ12" t="str">
            <v>Ngày 27 Tháng 8 Năm 2015</v>
          </cell>
        </row>
        <row r="13">
          <cell r="A13" t="str">
            <v>ĐN-04</v>
          </cell>
          <cell r="B13" t="str">
            <v>Kéo rải dây RG6 truyền hình trong căn hộ tầng 03, 04, 05</v>
          </cell>
          <cell r="C13" t="str">
            <v>ĐN-04</v>
          </cell>
          <cell r="D13" t="str">
            <v>8h00</v>
          </cell>
          <cell r="E13" t="str">
            <v>9h30</v>
          </cell>
          <cell r="F13">
            <v>5</v>
          </cell>
          <cell r="G13">
            <v>9</v>
          </cell>
          <cell r="H13">
            <v>2015</v>
          </cell>
          <cell r="I13" t="str">
            <v>Hà Nội, ngày 5 tháng 9 năm 2015</v>
          </cell>
          <cell r="J13" t="str">
            <v>8h00 ngày 5 tháng 9 năm 2015</v>
          </cell>
          <cell r="K13" t="str">
            <v>9h30 ngày 5 tháng 9 năm 2015</v>
          </cell>
          <cell r="L13" t="str">
            <v>9h35</v>
          </cell>
          <cell r="M13" t="str">
            <v>11h00</v>
          </cell>
          <cell r="N13">
            <v>5</v>
          </cell>
          <cell r="O13">
            <v>9</v>
          </cell>
          <cell r="P13">
            <v>2015</v>
          </cell>
          <cell r="Q13" t="str">
            <v>Hà Nội, ngày 5 tháng 9 năm 2015</v>
          </cell>
          <cell r="R13" t="str">
            <v>9h35 ngày 5 tháng 9 năm 2015</v>
          </cell>
          <cell r="S13" t="str">
            <v>11h00 ngày 5 tháng 9 năm 2015</v>
          </cell>
          <cell r="T13" t="str">
            <v>9h35</v>
          </cell>
          <cell r="U13" t="str">
            <v>9h35 Ngày 5/9/2015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CATV-02; CATV-04</v>
          </cell>
          <cell r="AQ13" t="str">
            <v>Ngày 5 Tháng 9 Năm 2015</v>
          </cell>
        </row>
        <row r="14">
          <cell r="A14" t="str">
            <v>ĐN-05</v>
          </cell>
          <cell r="B14" t="str">
            <v>Kéo rải dây RG6 truyền hình trong căn hộ tầng 06, 07, 08</v>
          </cell>
          <cell r="C14" t="str">
            <v>ĐN-05</v>
          </cell>
          <cell r="D14" t="str">
            <v>14h00</v>
          </cell>
          <cell r="E14" t="str">
            <v>16h00</v>
          </cell>
          <cell r="F14">
            <v>20</v>
          </cell>
          <cell r="G14">
            <v>9</v>
          </cell>
          <cell r="H14">
            <v>2015</v>
          </cell>
          <cell r="I14" t="str">
            <v>Hà Nội, ngày 20 tháng 9 năm 2015</v>
          </cell>
          <cell r="J14" t="str">
            <v>14h00 ngày 20 tháng 9 năm 2015</v>
          </cell>
          <cell r="K14" t="str">
            <v>16h00 ngày 20 tháng 9 năm 2015</v>
          </cell>
          <cell r="L14" t="str">
            <v>16h05</v>
          </cell>
          <cell r="M14" t="str">
            <v>18h00</v>
          </cell>
          <cell r="N14">
            <v>20</v>
          </cell>
          <cell r="O14">
            <v>9</v>
          </cell>
          <cell r="P14">
            <v>2015</v>
          </cell>
          <cell r="Q14" t="str">
            <v>Hà Nội, ngày 20 tháng 9 năm 2015</v>
          </cell>
          <cell r="R14" t="str">
            <v>16h05 ngày 20 tháng 9 năm 2015</v>
          </cell>
          <cell r="S14" t="str">
            <v>18h00 ngày 20 tháng 9 năm 2015</v>
          </cell>
          <cell r="T14" t="str">
            <v>16h05</v>
          </cell>
          <cell r="U14" t="str">
            <v>16h05 Ngày 20/9/2015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CATV-02; CATV-04</v>
          </cell>
          <cell r="AQ14" t="str">
            <v>Ngày 20 Tháng 9 Năm 2015</v>
          </cell>
        </row>
        <row r="15">
          <cell r="A15" t="str">
            <v>ĐN-06</v>
          </cell>
          <cell r="B15" t="str">
            <v>Kéo rải dây RG6 truyền hình trong căn hộ tầng 09, 10, 11</v>
          </cell>
          <cell r="C15" t="str">
            <v>ĐN-06</v>
          </cell>
          <cell r="D15" t="str">
            <v>8h00</v>
          </cell>
          <cell r="E15" t="str">
            <v>9h30</v>
          </cell>
          <cell r="F15">
            <v>3</v>
          </cell>
          <cell r="G15">
            <v>10</v>
          </cell>
          <cell r="H15">
            <v>2015</v>
          </cell>
          <cell r="I15" t="str">
            <v>Hà Nội, ngày 3 tháng 10 năm 2015</v>
          </cell>
          <cell r="J15" t="str">
            <v>8h00 ngày 3 tháng 10 năm 2015</v>
          </cell>
          <cell r="K15" t="str">
            <v>9h30 ngày 3 tháng 10 năm 2015</v>
          </cell>
          <cell r="L15" t="str">
            <v>9h35</v>
          </cell>
          <cell r="M15" t="str">
            <v>11h00</v>
          </cell>
          <cell r="N15">
            <v>3</v>
          </cell>
          <cell r="O15">
            <v>10</v>
          </cell>
          <cell r="P15">
            <v>2015</v>
          </cell>
          <cell r="Q15" t="str">
            <v>Hà Nội, ngày 3 tháng 10 năm 2015</v>
          </cell>
          <cell r="R15" t="str">
            <v>9h35 ngày 3 tháng 10 năm 2015</v>
          </cell>
          <cell r="S15" t="str">
            <v>11h00 ngày 3 tháng 10 năm 2015</v>
          </cell>
          <cell r="T15" t="str">
            <v>9h35</v>
          </cell>
          <cell r="U15" t="str">
            <v>9h35 Ngày 3/10/2015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CATV-02; CATV-04</v>
          </cell>
          <cell r="AQ15" t="str">
            <v>Ngày 3 Tháng 10 Năm 2015</v>
          </cell>
        </row>
        <row r="16">
          <cell r="A16" t="str">
            <v>ĐN-07</v>
          </cell>
          <cell r="B16" t="str">
            <v>Nghiệm thu lắp đặt thang máng cáp từ tầng 01 đến tầng áp mái</v>
          </cell>
          <cell r="C16" t="str">
            <v>ĐN-07</v>
          </cell>
          <cell r="D16" t="str">
            <v>10h30</v>
          </cell>
          <cell r="E16" t="str">
            <v>11h30</v>
          </cell>
          <cell r="F16">
            <v>4</v>
          </cell>
          <cell r="G16">
            <v>11</v>
          </cell>
          <cell r="H16">
            <v>2015</v>
          </cell>
          <cell r="I16" t="str">
            <v>Hà Nội, ngày 4 tháng 11 năm 2015</v>
          </cell>
          <cell r="J16" t="str">
            <v>10h30 ngày 4 tháng 11 năm 2015</v>
          </cell>
          <cell r="K16" t="str">
            <v>11h30 ngày 4 tháng 11 năm 2015</v>
          </cell>
          <cell r="L16" t="str">
            <v>14h30</v>
          </cell>
          <cell r="M16" t="str">
            <v>15h30</v>
          </cell>
          <cell r="N16">
            <v>4</v>
          </cell>
          <cell r="O16">
            <v>11</v>
          </cell>
          <cell r="P16">
            <v>2015</v>
          </cell>
          <cell r="Q16" t="str">
            <v>Hà Nội, ngày 4 tháng 11 năm 2015</v>
          </cell>
          <cell r="R16" t="str">
            <v>14h30 ngày 4 tháng 11 năm 2015</v>
          </cell>
          <cell r="S16" t="str">
            <v>15h30 ngày 4 tháng 11 năm 2015</v>
          </cell>
          <cell r="T16" t="str">
            <v>14h30</v>
          </cell>
          <cell r="U16" t="str">
            <v>14h30 Ngày 4/11/2015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TEL-01÷TEL-05</v>
          </cell>
          <cell r="AQ16" t="str">
            <v>Ngày 4 Tháng 11 Năm 2015</v>
          </cell>
        </row>
        <row r="17">
          <cell r="A17" t="str">
            <v>ĐN-08</v>
          </cell>
          <cell r="B17" t="str">
            <v>Nghiệm thu lắp đặt tĩnh ổ cắm tivi, ổ cắm điện thoại, đầu nối, bộ chia của hệ thống truyền hình trong căn hộ từ tầng 3 đến tầng 6</v>
          </cell>
          <cell r="C17" t="str">
            <v>ĐN-08</v>
          </cell>
          <cell r="D17" t="str">
            <v>8h00</v>
          </cell>
          <cell r="E17" t="str">
            <v>10h30</v>
          </cell>
          <cell r="F17">
            <v>6</v>
          </cell>
          <cell r="G17">
            <v>11</v>
          </cell>
          <cell r="H17">
            <v>2015</v>
          </cell>
          <cell r="I17" t="str">
            <v>Hà Nội, ngày 6 tháng 11 năm 2015</v>
          </cell>
          <cell r="J17" t="str">
            <v>8h00 ngày 6 tháng 11 năm 2015</v>
          </cell>
          <cell r="K17" t="str">
            <v>10h30 ngày 6 tháng 11 năm 2015</v>
          </cell>
          <cell r="L17" t="str">
            <v>14h30</v>
          </cell>
          <cell r="M17" t="str">
            <v>16h30</v>
          </cell>
          <cell r="N17">
            <v>6</v>
          </cell>
          <cell r="O17">
            <v>11</v>
          </cell>
          <cell r="P17">
            <v>2015</v>
          </cell>
          <cell r="Q17" t="str">
            <v>Hà Nội, ngày 6 tháng 11 năm 2015</v>
          </cell>
          <cell r="R17" t="str">
            <v>14h30 ngày 6 tháng 11 năm 2015</v>
          </cell>
          <cell r="S17" t="str">
            <v>16h30 ngày 6 tháng 11 năm 2015</v>
          </cell>
          <cell r="T17" t="str">
            <v>14h30</v>
          </cell>
          <cell r="U17" t="str">
            <v>14h30 Ngày 6/11/2015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6 Tháng 11 Năm 2015</v>
          </cell>
        </row>
        <row r="18">
          <cell r="A18" t="str">
            <v>ĐN-09</v>
          </cell>
          <cell r="B18" t="str">
            <v>Nghiệm thu lắp đặt tĩnh ổ cắm tivi, ổ cắm điện thoại, đầu nối, bộ chia của hệ thống truyền hình trong căn hộ từ tầng 7 đến tầng 11</v>
          </cell>
          <cell r="C18" t="str">
            <v>ĐN-09</v>
          </cell>
          <cell r="D18" t="str">
            <v>8h00</v>
          </cell>
          <cell r="E18" t="str">
            <v>10h00</v>
          </cell>
          <cell r="F18">
            <v>8</v>
          </cell>
          <cell r="G18">
            <v>11</v>
          </cell>
          <cell r="H18">
            <v>2015</v>
          </cell>
          <cell r="I18" t="str">
            <v>Hà Nội, ngày 8 tháng 11 năm 2015</v>
          </cell>
          <cell r="J18" t="str">
            <v>8h00 ngày 8 tháng 11 năm 2015</v>
          </cell>
          <cell r="K18" t="str">
            <v>10h00 ngày 8 tháng 11 năm 2015</v>
          </cell>
          <cell r="L18" t="str">
            <v>14h30</v>
          </cell>
          <cell r="M18" t="str">
            <v>16h30</v>
          </cell>
          <cell r="N18">
            <v>8</v>
          </cell>
          <cell r="O18">
            <v>11</v>
          </cell>
          <cell r="P18">
            <v>2015</v>
          </cell>
          <cell r="Q18" t="str">
            <v>Hà Nội, ngày 8 tháng 11 năm 2015</v>
          </cell>
          <cell r="R18" t="str">
            <v>14h30 ngày 8 tháng 11 năm 2015</v>
          </cell>
          <cell r="S18" t="str">
            <v>16h30 ngày 8 tháng 11 năm 2015</v>
          </cell>
          <cell r="T18" t="str">
            <v>14h30</v>
          </cell>
          <cell r="U18" t="str">
            <v>14h30 Ngày 8/11/2015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8 Tháng 11 Năm 2015</v>
          </cell>
        </row>
        <row r="19">
          <cell r="A19" t="str">
            <v>ĐN-10</v>
          </cell>
          <cell r="C19" t="str">
            <v>ĐN-10</v>
          </cell>
          <cell r="D19" t="str">
            <v>14h00</v>
          </cell>
          <cell r="E19" t="str">
            <v>15h30</v>
          </cell>
          <cell r="F19" t="str">
            <v>……</v>
          </cell>
          <cell r="G19" t="str">
            <v>……</v>
          </cell>
          <cell r="H19">
            <v>2015</v>
          </cell>
          <cell r="I19" t="str">
            <v>Hà Nội, ngày …… tháng …… năm 2015</v>
          </cell>
          <cell r="J19" t="str">
            <v>14h00 ngày …… tháng …… năm 2015</v>
          </cell>
          <cell r="K19" t="str">
            <v>15h30 ngày …… tháng …… năm 2015</v>
          </cell>
          <cell r="L19" t="str">
            <v>15h30</v>
          </cell>
          <cell r="M19" t="str">
            <v>16h00</v>
          </cell>
          <cell r="N19" t="str">
            <v>……</v>
          </cell>
          <cell r="O19" t="str">
            <v>……</v>
          </cell>
          <cell r="P19">
            <v>2015</v>
          </cell>
          <cell r="Q19" t="str">
            <v>Hà Nội, ngày …… tháng …… năm 2015</v>
          </cell>
          <cell r="R19" t="str">
            <v>15h30 ngày …… tháng …… năm 2015</v>
          </cell>
          <cell r="S19" t="str">
            <v>16h00 ngày …… tháng …… năm 2015</v>
          </cell>
          <cell r="T19" t="str">
            <v>15h30</v>
          </cell>
          <cell r="U19" t="str">
            <v>15h30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t="str">
            <v>ĐN-11</v>
          </cell>
          <cell r="C20" t="str">
            <v>ĐN-11</v>
          </cell>
          <cell r="D20" t="str">
            <v>14h00</v>
          </cell>
          <cell r="E20" t="str">
            <v>14h45</v>
          </cell>
          <cell r="F20" t="str">
            <v>……</v>
          </cell>
          <cell r="G20" t="str">
            <v>……</v>
          </cell>
          <cell r="H20">
            <v>2015</v>
          </cell>
          <cell r="I20" t="str">
            <v>Hà Nội, ngày …… tháng …… năm 2015</v>
          </cell>
          <cell r="J20" t="str">
            <v>14h00 ngày …… tháng …… năm 2015</v>
          </cell>
          <cell r="K20" t="str">
            <v>14h45 ngày …… tháng …… năm 2015</v>
          </cell>
          <cell r="L20" t="str">
            <v>14h45</v>
          </cell>
          <cell r="M20" t="str">
            <v>15h30</v>
          </cell>
          <cell r="N20" t="str">
            <v>……</v>
          </cell>
          <cell r="O20" t="str">
            <v>……</v>
          </cell>
          <cell r="P20">
            <v>2015</v>
          </cell>
          <cell r="Q20" t="str">
            <v>Hà Nội, ngày …… tháng …… năm 2015</v>
          </cell>
          <cell r="R20" t="str">
            <v>14h45 ngày …… tháng …… năm 2015</v>
          </cell>
          <cell r="S20" t="str">
            <v>15h30 ngày …… tháng …… năm 2015</v>
          </cell>
          <cell r="T20" t="str">
            <v>14h45</v>
          </cell>
          <cell r="U20" t="str">
            <v>14h45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t="str">
            <v>ĐN-12</v>
          </cell>
          <cell r="C21" t="str">
            <v>ĐN-12</v>
          </cell>
          <cell r="D21" t="str">
            <v>14h15</v>
          </cell>
          <cell r="E21" t="str">
            <v>15h00</v>
          </cell>
          <cell r="F21" t="str">
            <v>……</v>
          </cell>
          <cell r="G21" t="str">
            <v>……</v>
          </cell>
          <cell r="H21">
            <v>2015</v>
          </cell>
          <cell r="I21" t="str">
            <v>Hà Nội, ngày …… tháng …… năm 2015</v>
          </cell>
          <cell r="J21" t="str">
            <v>14h15 ngày …… tháng …… năm 2015</v>
          </cell>
          <cell r="K21" t="str">
            <v>15h00 ngày …… tháng …… năm 2015</v>
          </cell>
          <cell r="L21" t="str">
            <v>15h00</v>
          </cell>
          <cell r="M21" t="str">
            <v>15h45</v>
          </cell>
          <cell r="N21" t="str">
            <v>……</v>
          </cell>
          <cell r="O21" t="str">
            <v>……</v>
          </cell>
          <cell r="P21">
            <v>2015</v>
          </cell>
          <cell r="Q21" t="str">
            <v>Hà Nội, ngày …… tháng …… năm 2015</v>
          </cell>
          <cell r="R21" t="str">
            <v>15h00 ngày …… tháng …… năm 2015</v>
          </cell>
          <cell r="S21" t="str">
            <v>15h45 ngày …… tháng …… năm 2015</v>
          </cell>
          <cell r="T21" t="str">
            <v>15h00</v>
          </cell>
          <cell r="U21" t="str">
            <v>15h00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A22" t="str">
            <v>ĐN-13</v>
          </cell>
          <cell r="C22" t="str">
            <v>ĐN-13</v>
          </cell>
          <cell r="D22" t="str">
            <v>14h00</v>
          </cell>
          <cell r="E22" t="str">
            <v>14h30</v>
          </cell>
          <cell r="F22" t="str">
            <v>……</v>
          </cell>
          <cell r="G22" t="str">
            <v>……</v>
          </cell>
          <cell r="H22">
            <v>2015</v>
          </cell>
          <cell r="I22" t="str">
            <v>Hà Nội, ngày …… tháng …… năm 2015</v>
          </cell>
          <cell r="J22" t="str">
            <v>14h00 ngày …… tháng …… năm 2015</v>
          </cell>
          <cell r="K22" t="str">
            <v>14h30 ngày …… tháng …… năm 2015</v>
          </cell>
          <cell r="L22" t="str">
            <v>14h30</v>
          </cell>
          <cell r="M22" t="str">
            <v>15h00</v>
          </cell>
          <cell r="N22" t="str">
            <v>……</v>
          </cell>
          <cell r="O22" t="str">
            <v>……</v>
          </cell>
          <cell r="P22">
            <v>2015</v>
          </cell>
          <cell r="Q22" t="str">
            <v>Hà Nội, ngày …… tháng …… năm 2015</v>
          </cell>
          <cell r="R22" t="str">
            <v>14h30 ngày …… tháng …… năm 2015</v>
          </cell>
          <cell r="S22" t="str">
            <v>15h00 ngày …… tháng …… năm 2015</v>
          </cell>
          <cell r="T22" t="str">
            <v>14h30</v>
          </cell>
          <cell r="U22" t="str">
            <v>14h30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2015</v>
          </cell>
        </row>
        <row r="23">
          <cell r="A23" t="str">
            <v>ĐN-14</v>
          </cell>
          <cell r="C23" t="str">
            <v>ĐN-14</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2015</v>
          </cell>
        </row>
        <row r="24">
          <cell r="C24" t="str">
            <v>ĐN-15</v>
          </cell>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4">
          <cell r="A34">
            <v>1</v>
          </cell>
          <cell r="B34">
            <v>2</v>
          </cell>
          <cell r="C34">
            <v>3</v>
          </cell>
          <cell r="D34">
            <v>4</v>
          </cell>
          <cell r="E34">
            <v>5</v>
          </cell>
          <cell r="F34">
            <v>6</v>
          </cell>
          <cell r="G34">
            <v>7</v>
          </cell>
          <cell r="H34">
            <v>8</v>
          </cell>
          <cell r="I34">
            <v>9</v>
          </cell>
          <cell r="J34">
            <v>10</v>
          </cell>
          <cell r="K34">
            <v>11</v>
          </cell>
          <cell r="L34">
            <v>12</v>
          </cell>
          <cell r="M34">
            <v>13</v>
          </cell>
          <cell r="N34">
            <v>14</v>
          </cell>
          <cell r="O34">
            <v>15</v>
          </cell>
          <cell r="P34">
            <v>16</v>
          </cell>
          <cell r="Q34">
            <v>17</v>
          </cell>
          <cell r="R34">
            <v>18</v>
          </cell>
          <cell r="S34">
            <v>19</v>
          </cell>
          <cell r="T34">
            <v>20</v>
          </cell>
          <cell r="U34">
            <v>21</v>
          </cell>
          <cell r="V34">
            <v>22</v>
          </cell>
          <cell r="W34">
            <v>23</v>
          </cell>
          <cell r="X34">
            <v>24</v>
          </cell>
          <cell r="Y34">
            <v>25</v>
          </cell>
          <cell r="Z34">
            <v>26</v>
          </cell>
          <cell r="AA34">
            <v>27</v>
          </cell>
          <cell r="AB34">
            <v>28</v>
          </cell>
          <cell r="AC34">
            <v>29</v>
          </cell>
          <cell r="AD34">
            <v>30</v>
          </cell>
          <cell r="AE34">
            <v>31</v>
          </cell>
          <cell r="AF34">
            <v>32</v>
          </cell>
          <cell r="AG34">
            <v>33</v>
          </cell>
          <cell r="AH34">
            <v>34</v>
          </cell>
          <cell r="AI34">
            <v>35</v>
          </cell>
          <cell r="AJ34">
            <v>36</v>
          </cell>
          <cell r="AK34">
            <v>37</v>
          </cell>
          <cell r="AL34">
            <v>38</v>
          </cell>
          <cell r="AM34">
            <v>39</v>
          </cell>
          <cell r="AN34">
            <v>40</v>
          </cell>
          <cell r="AO34">
            <v>41</v>
          </cell>
          <cell r="AP34">
            <v>42</v>
          </cell>
          <cell r="AQ34">
            <v>43</v>
          </cell>
        </row>
      </sheetData>
      <sheetData sheetId="158"/>
      <sheetData sheetId="159">
        <row r="1">
          <cell r="A1" t="str">
            <v>CÔNG TY CP HỒNG HÀ VIỆT NAM</v>
          </cell>
          <cell r="C1" t="str">
            <v>CỘNG HÒA XÃ HỘI CHỦ NGHĨA VIỆT NAM</v>
          </cell>
        </row>
        <row r="2">
          <cell r="C2" t="str">
            <v>ĐỘC LẬP-TỰ DO -HẠNH PHÚC</v>
          </cell>
        </row>
        <row r="4">
          <cell r="A4" t="str">
            <v>ĐÁ</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Đ-01</v>
          </cell>
          <cell r="B10" t="str">
            <v>Đá Granite màu đen Trung Quốc lát viên chặn cửa kèm theo biên bản giao nhận hàng hóa ngày 8/9/2015</v>
          </cell>
          <cell r="C10" t="str">
            <v>Đ-01</v>
          </cell>
          <cell r="D10" t="str">
            <v>8h00</v>
          </cell>
          <cell r="E10" t="str">
            <v>9h00</v>
          </cell>
          <cell r="F10">
            <v>10</v>
          </cell>
          <cell r="G10">
            <v>9</v>
          </cell>
          <cell r="H10">
            <v>2015</v>
          </cell>
          <cell r="I10" t="str">
            <v>Hà Nội, ngày 10 tháng 9 năm 2015</v>
          </cell>
          <cell r="J10" t="str">
            <v>8h00 ngày 10 tháng 9 năm 2015</v>
          </cell>
          <cell r="K10" t="str">
            <v>9h00 ngày 10 tháng 9 năm 2015</v>
          </cell>
          <cell r="L10" t="str">
            <v>9h00</v>
          </cell>
          <cell r="M10" t="str">
            <v>10h00</v>
          </cell>
          <cell r="N10">
            <v>10</v>
          </cell>
          <cell r="O10">
            <v>9</v>
          </cell>
          <cell r="P10">
            <v>2015</v>
          </cell>
          <cell r="Q10" t="str">
            <v>Hà Nội, ngày 10 tháng 9 năm 2015</v>
          </cell>
          <cell r="R10" t="str">
            <v>9h00 ngày 10 tháng 9 năm 2015</v>
          </cell>
          <cell r="S10" t="str">
            <v>10h00 ngày 10 tháng 9 năm 2015</v>
          </cell>
          <cell r="T10" t="str">
            <v>9h00</v>
          </cell>
          <cell r="U10" t="str">
            <v>9h00 Ngày 10/9/2015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10 Tháng 9 Năm 2015</v>
          </cell>
        </row>
        <row r="11">
          <cell r="A11" t="str">
            <v>Đ-02</v>
          </cell>
          <cell r="B11" t="str">
            <v>Nghiệm thu đá Granite tự nhiên màu vàng  và phụ kiện (ốp thang máy tầng 02, 03, 04, 05, 06, 07, 08, 09, 10, 11)  kèm theo phiếu xuất kho ngày 15/09/2015</v>
          </cell>
          <cell r="C11" t="str">
            <v>Đ-02</v>
          </cell>
          <cell r="D11" t="str">
            <v>8h00</v>
          </cell>
          <cell r="E11" t="str">
            <v>9h00</v>
          </cell>
          <cell r="F11">
            <v>21</v>
          </cell>
          <cell r="G11">
            <v>9</v>
          </cell>
          <cell r="H11">
            <v>2015</v>
          </cell>
          <cell r="I11" t="str">
            <v>Hà Nội, ngày 21 tháng 9 năm 2015</v>
          </cell>
          <cell r="J11" t="str">
            <v>8h00 ngày 21 tháng 9 năm 2015</v>
          </cell>
          <cell r="K11" t="str">
            <v>9h00 ngày 21 tháng 9 năm 2015</v>
          </cell>
          <cell r="L11" t="str">
            <v>9h15</v>
          </cell>
          <cell r="M11" t="str">
            <v>10h15</v>
          </cell>
          <cell r="N11">
            <v>21</v>
          </cell>
          <cell r="O11">
            <v>9</v>
          </cell>
          <cell r="P11">
            <v>2015</v>
          </cell>
          <cell r="Q11" t="str">
            <v>Hà Nội, ngày 21 tháng 9 năm 2015</v>
          </cell>
          <cell r="R11" t="str">
            <v>9h15 ngày 21 tháng 9 năm 2015</v>
          </cell>
          <cell r="S11" t="str">
            <v>10h15 ngày 21 tháng 9 năm 2015</v>
          </cell>
          <cell r="T11" t="str">
            <v>9h15</v>
          </cell>
          <cell r="U11" t="str">
            <v>9h15 Ngày 21/9/2015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21 Tháng 9 Năm 2015</v>
          </cell>
        </row>
        <row r="12">
          <cell r="A12" t="str">
            <v>Đ-03</v>
          </cell>
          <cell r="B12" t="str">
            <v>Nghiệm thu đá Granite tự nhiên màu tím mông cổ ốp lát cầu thang kèm theo biên bản giao nhận hàng hóa ngày 11/10/2015</v>
          </cell>
          <cell r="C12" t="str">
            <v>Đ-03</v>
          </cell>
          <cell r="D12" t="str">
            <v>8h15</v>
          </cell>
          <cell r="E12" t="str">
            <v>9h15</v>
          </cell>
          <cell r="F12">
            <v>13</v>
          </cell>
          <cell r="G12">
            <v>10</v>
          </cell>
          <cell r="H12">
            <v>2015</v>
          </cell>
          <cell r="I12" t="str">
            <v>Hà Nội, ngày 13 tháng 10 năm 2015</v>
          </cell>
          <cell r="J12" t="str">
            <v>8h15 ngày 13 tháng 10 năm 2015</v>
          </cell>
          <cell r="K12" t="str">
            <v>9h15 ngày 13 tháng 10 năm 2015</v>
          </cell>
          <cell r="L12" t="str">
            <v>9h30</v>
          </cell>
          <cell r="M12" t="str">
            <v>10h30</v>
          </cell>
          <cell r="N12">
            <v>13</v>
          </cell>
          <cell r="O12">
            <v>10</v>
          </cell>
          <cell r="P12">
            <v>2015</v>
          </cell>
          <cell r="Q12" t="str">
            <v>Hà Nội, ngày 13 tháng 10 năm 2015</v>
          </cell>
          <cell r="R12" t="str">
            <v>9h30 ngày 13 tháng 10 năm 2015</v>
          </cell>
          <cell r="S12" t="str">
            <v>10h30 ngày 13 tháng 10 năm 2015</v>
          </cell>
          <cell r="T12" t="str">
            <v>9h30</v>
          </cell>
          <cell r="U12" t="str">
            <v>9h30 Ngày 13/10/2015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13 Tháng 10 Năm 2015</v>
          </cell>
        </row>
        <row r="13">
          <cell r="A13" t="str">
            <v>Đ-04</v>
          </cell>
          <cell r="B13" t="str">
            <v>Nghiệm thu đá Granite tự nhiên màu nâu Anh Quốc lát bậc tam cấp, đường dốc, sảnh tầng 01; thang máy tầng 01; cột sảnh chính tầng 01 kèm theo biên bản giao nhận hàng hóa ngày 25/10/2015</v>
          </cell>
          <cell r="C13" t="str">
            <v>Đ-04</v>
          </cell>
          <cell r="D13" t="str">
            <v>14h00</v>
          </cell>
          <cell r="E13" t="str">
            <v>15h00</v>
          </cell>
          <cell r="F13">
            <v>27</v>
          </cell>
          <cell r="G13">
            <v>10</v>
          </cell>
          <cell r="H13">
            <v>2015</v>
          </cell>
          <cell r="I13" t="str">
            <v>Hà Nội, ngày 27 tháng 10 năm 2015</v>
          </cell>
          <cell r="J13" t="str">
            <v>14h00 ngày 27 tháng 10 năm 2015</v>
          </cell>
          <cell r="K13" t="str">
            <v>15h00 ngày 27 tháng 10 năm 2015</v>
          </cell>
          <cell r="L13" t="str">
            <v>15h15</v>
          </cell>
          <cell r="M13" t="str">
            <v>16h15</v>
          </cell>
          <cell r="N13">
            <v>27</v>
          </cell>
          <cell r="O13">
            <v>10</v>
          </cell>
          <cell r="P13">
            <v>2015</v>
          </cell>
          <cell r="Q13" t="str">
            <v>Hà Nội, ngày 27 tháng 10 năm 2015</v>
          </cell>
          <cell r="R13" t="str">
            <v>15h15 ngày 27 tháng 10 năm 2015</v>
          </cell>
          <cell r="S13" t="str">
            <v>16h15 ngày 27 tháng 10 năm 2015</v>
          </cell>
          <cell r="T13" t="str">
            <v>15h15</v>
          </cell>
          <cell r="U13" t="str">
            <v>15h15 Ngày 27/10/2015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27 Tháng 10 Năm 2015</v>
          </cell>
        </row>
        <row r="14">
          <cell r="A14" t="str">
            <v>Đ-05</v>
          </cell>
          <cell r="B14" t="str">
            <v>Nghiệm thu đá Granite tự nhiên màu đen ốp bàn bếp căn hộ kèm theo biên bản giao nhận hàng hóa ngày 15/11/2015</v>
          </cell>
          <cell r="C14" t="str">
            <v>Đ-05</v>
          </cell>
          <cell r="D14" t="str">
            <v>15h00</v>
          </cell>
          <cell r="E14" t="str">
            <v>16h00</v>
          </cell>
          <cell r="F14">
            <v>20</v>
          </cell>
          <cell r="G14">
            <v>11</v>
          </cell>
          <cell r="H14">
            <v>2015</v>
          </cell>
          <cell r="I14" t="str">
            <v>Hà Nội, ngày 20 tháng 11 năm 2015</v>
          </cell>
          <cell r="J14" t="str">
            <v>15h00 ngày 20 tháng 11 năm 2015</v>
          </cell>
          <cell r="K14" t="str">
            <v>16h00 ngày 20 tháng 11 năm 2015</v>
          </cell>
          <cell r="L14" t="str">
            <v>16h15</v>
          </cell>
          <cell r="M14" t="str">
            <v>17h00</v>
          </cell>
          <cell r="N14">
            <v>20</v>
          </cell>
          <cell r="O14">
            <v>11</v>
          </cell>
          <cell r="P14">
            <v>2015</v>
          </cell>
          <cell r="Q14" t="str">
            <v>Hà Nội, ngày 20 tháng 11 năm 2015</v>
          </cell>
          <cell r="R14" t="str">
            <v>16h15 ngày 20 tháng 11 năm 2015</v>
          </cell>
          <cell r="S14" t="str">
            <v>17h00 ngày 20 tháng 11 năm 2015</v>
          </cell>
          <cell r="T14" t="str">
            <v>16h15</v>
          </cell>
          <cell r="U14" t="str">
            <v>16h15 Ngày 20/11/2015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20 Tháng 11 Năm 2015</v>
          </cell>
        </row>
        <row r="15">
          <cell r="A15" t="str">
            <v>Đ-06</v>
          </cell>
          <cell r="C15" t="str">
            <v>Đ-06</v>
          </cell>
          <cell r="D15" t="str">
            <v>10h30'</v>
          </cell>
          <cell r="E15" t="str">
            <v>11h30'</v>
          </cell>
          <cell r="F15" t="str">
            <v>……</v>
          </cell>
          <cell r="G15" t="str">
            <v>……</v>
          </cell>
          <cell r="H15">
            <v>2015</v>
          </cell>
          <cell r="I15" t="str">
            <v>Hà Nội, ngày …… tháng …… năm 2015</v>
          </cell>
          <cell r="J15" t="str">
            <v>10h30' ngày …… tháng …… năm 2015</v>
          </cell>
          <cell r="K15" t="str">
            <v>11h30' ngày …… tháng …… năm 2015</v>
          </cell>
          <cell r="L15" t="str">
            <v>14h30'</v>
          </cell>
          <cell r="M15" t="str">
            <v>15h30'</v>
          </cell>
          <cell r="N15" t="str">
            <v>……</v>
          </cell>
          <cell r="O15" t="str">
            <v>……</v>
          </cell>
          <cell r="P15">
            <v>2015</v>
          </cell>
          <cell r="Q15" t="str">
            <v>Hà Nội, ngày …… tháng …… năm 2015</v>
          </cell>
          <cell r="R15" t="str">
            <v>14h30' ngày …… tháng …… năm 2015</v>
          </cell>
          <cell r="S15" t="str">
            <v>15h30' ngày …… tháng …… năm 2015</v>
          </cell>
          <cell r="T15" t="str">
            <v>14h30'</v>
          </cell>
          <cell r="U15" t="str">
            <v>14h30'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2015</v>
          </cell>
        </row>
        <row r="16">
          <cell r="A16" t="str">
            <v>Đ-07</v>
          </cell>
          <cell r="C16" t="str">
            <v>Đ-07</v>
          </cell>
          <cell r="D16" t="str">
            <v>15h30</v>
          </cell>
          <cell r="E16" t="str">
            <v>16h15</v>
          </cell>
          <cell r="F16" t="str">
            <v>……</v>
          </cell>
          <cell r="G16" t="str">
            <v>……</v>
          </cell>
          <cell r="H16">
            <v>2015</v>
          </cell>
          <cell r="I16" t="str">
            <v>Hà Nội, ngày …… tháng …… năm 2015</v>
          </cell>
          <cell r="J16" t="str">
            <v>15h30 ngày …… tháng …… năm 2015</v>
          </cell>
          <cell r="K16" t="str">
            <v>16h15 ngày …… tháng …… năm 2015</v>
          </cell>
          <cell r="L16" t="str">
            <v>16h15</v>
          </cell>
          <cell r="M16" t="str">
            <v>17h00</v>
          </cell>
          <cell r="N16" t="str">
            <v>……</v>
          </cell>
          <cell r="O16" t="str">
            <v>……</v>
          </cell>
          <cell r="P16">
            <v>2015</v>
          </cell>
          <cell r="Q16" t="str">
            <v>Hà Nội, ngày …… tháng …… năm 2015</v>
          </cell>
          <cell r="R16" t="str">
            <v>16h15 ngày …… tháng …… năm 2015</v>
          </cell>
          <cell r="S16" t="str">
            <v>17h00 ngày …… tháng …… năm 2015</v>
          </cell>
          <cell r="T16" t="str">
            <v>16h15</v>
          </cell>
          <cell r="U16" t="str">
            <v>16h15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Đ-08</v>
          </cell>
          <cell r="C17" t="str">
            <v>Đ-08</v>
          </cell>
          <cell r="D17" t="str">
            <v>14h00</v>
          </cell>
          <cell r="E17" t="str">
            <v>15h30</v>
          </cell>
          <cell r="F17" t="str">
            <v>……</v>
          </cell>
          <cell r="G17" t="str">
            <v>……</v>
          </cell>
          <cell r="H17">
            <v>2015</v>
          </cell>
          <cell r="I17" t="str">
            <v>Hà Nội, ngày …… tháng …… năm 2015</v>
          </cell>
          <cell r="J17" t="str">
            <v>14h00 ngày …… tháng …… năm 2015</v>
          </cell>
          <cell r="K17" t="str">
            <v>15h30 ngày …… tháng …… năm 2015</v>
          </cell>
          <cell r="L17" t="str">
            <v>15h30</v>
          </cell>
          <cell r="M17" t="str">
            <v>16h00</v>
          </cell>
          <cell r="N17" t="str">
            <v>……</v>
          </cell>
          <cell r="O17" t="str">
            <v>……</v>
          </cell>
          <cell r="P17">
            <v>2015</v>
          </cell>
          <cell r="Q17" t="str">
            <v>Hà Nội, ngày …… tháng …… năm 2015</v>
          </cell>
          <cell r="R17" t="str">
            <v>15h30 ngày …… tháng …… năm 2015</v>
          </cell>
          <cell r="S17" t="str">
            <v>16h00 ngày …… tháng …… năm 2015</v>
          </cell>
          <cell r="T17" t="str">
            <v>15h30</v>
          </cell>
          <cell r="U17" t="str">
            <v>15h30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14h15</v>
          </cell>
          <cell r="E19" t="str">
            <v>15h00</v>
          </cell>
          <cell r="F19" t="str">
            <v>……</v>
          </cell>
          <cell r="G19" t="str">
            <v>……</v>
          </cell>
          <cell r="H19">
            <v>2015</v>
          </cell>
          <cell r="I19" t="str">
            <v>Hà Nội, ngày …… tháng …… năm 2015</v>
          </cell>
          <cell r="J19" t="str">
            <v>14h15 ngày …… tháng …… năm 2015</v>
          </cell>
          <cell r="K19" t="str">
            <v>15h00 ngày …… tháng …… năm 2015</v>
          </cell>
          <cell r="L19" t="str">
            <v>15h00</v>
          </cell>
          <cell r="M19" t="str">
            <v>15h45</v>
          </cell>
          <cell r="N19" t="str">
            <v>……</v>
          </cell>
          <cell r="O19" t="str">
            <v>……</v>
          </cell>
          <cell r="P19">
            <v>2015</v>
          </cell>
          <cell r="Q19" t="str">
            <v>Hà Nội, ngày …… tháng …… năm 2015</v>
          </cell>
          <cell r="R19" t="str">
            <v>15h00 ngày …… tháng …… năm 2015</v>
          </cell>
          <cell r="S19" t="str">
            <v>15h45 ngày …… tháng …… năm 2015</v>
          </cell>
          <cell r="T19" t="str">
            <v>15h00</v>
          </cell>
          <cell r="U19" t="str">
            <v>15h00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14h00</v>
          </cell>
          <cell r="E20" t="str">
            <v>14h30</v>
          </cell>
          <cell r="F20" t="str">
            <v>……</v>
          </cell>
          <cell r="G20" t="str">
            <v>……</v>
          </cell>
          <cell r="H20">
            <v>2015</v>
          </cell>
          <cell r="I20" t="str">
            <v>Hà Nội, ngày …… tháng …… năm 2015</v>
          </cell>
          <cell r="J20" t="str">
            <v>14h00 ngày …… tháng …… năm 2015</v>
          </cell>
          <cell r="K20" t="str">
            <v>14h30 ngày …… tháng …… năm 2015</v>
          </cell>
          <cell r="L20" t="str">
            <v>14h30</v>
          </cell>
          <cell r="M20" t="str">
            <v>15h00</v>
          </cell>
          <cell r="N20" t="str">
            <v>……</v>
          </cell>
          <cell r="O20" t="str">
            <v>……</v>
          </cell>
          <cell r="P20">
            <v>2015</v>
          </cell>
          <cell r="Q20" t="str">
            <v>Hà Nội, ngày …… tháng …… năm 2015</v>
          </cell>
          <cell r="R20" t="str">
            <v>14h30 ngày …… tháng …… năm 2015</v>
          </cell>
          <cell r="S20" t="str">
            <v>15h00 ngày …… tháng …… năm 2015</v>
          </cell>
          <cell r="T20" t="str">
            <v>14h30</v>
          </cell>
          <cell r="U20" t="str">
            <v>14h30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60"/>
      <sheetData sheetId="161">
        <row r="1">
          <cell r="A1" t="str">
            <v>CÔNG TY CP HỒNG HÀ VIỆT NAM</v>
          </cell>
          <cell r="C1" t="str">
            <v>CỘNG HÒA XÃ HỘI CHỦ NGHĨA VIỆT NAM</v>
          </cell>
        </row>
        <row r="2">
          <cell r="C2" t="str">
            <v>ĐỘC LẬP-TỰ DO -HẠNH PHÚC</v>
          </cell>
        </row>
        <row r="4">
          <cell r="A4" t="str">
            <v>LANG NEN</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LN-01</v>
          </cell>
          <cell r="B10" t="str">
            <v>Láng nền khu vệ sinh, lô gia căn hộ vữa xi măng cát mác 75 tầng 03, 04, 05, 06</v>
          </cell>
          <cell r="C10" t="str">
            <v>LN-01</v>
          </cell>
          <cell r="D10" t="str">
            <v>8h00</v>
          </cell>
          <cell r="E10" t="str">
            <v>9h00</v>
          </cell>
          <cell r="F10">
            <v>8</v>
          </cell>
          <cell r="G10">
            <v>10</v>
          </cell>
          <cell r="H10">
            <v>2015</v>
          </cell>
          <cell r="I10" t="str">
            <v>Hà Nội, ngày 8 tháng 10 năm 2015</v>
          </cell>
          <cell r="J10" t="str">
            <v>8h00 ngày 8 tháng 10 năm 2015</v>
          </cell>
          <cell r="K10" t="str">
            <v>9h00 ngày 11 tháng 10 năm 2015</v>
          </cell>
          <cell r="L10" t="str">
            <v>9h00</v>
          </cell>
          <cell r="M10" t="str">
            <v>10h00</v>
          </cell>
          <cell r="N10">
            <v>11</v>
          </cell>
          <cell r="O10">
            <v>10</v>
          </cell>
          <cell r="P10">
            <v>2015</v>
          </cell>
          <cell r="Q10" t="str">
            <v>Hà Nội, ngày 11 tháng 10 năm 2015</v>
          </cell>
          <cell r="R10" t="str">
            <v>9h00 ngày 8 tháng 10 năm 2015</v>
          </cell>
          <cell r="S10" t="str">
            <v>10h00 ngày 11 tháng 10 năm 2015</v>
          </cell>
          <cell r="T10" t="str">
            <v>9h00</v>
          </cell>
          <cell r="U10" t="str">
            <v>9h00 Ngày 11/10/2015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KT-1903; KT-100</v>
          </cell>
          <cell r="AQ10" t="str">
            <v>Ngày 8 Tháng 10 Năm 2015</v>
          </cell>
        </row>
        <row r="11">
          <cell r="A11" t="str">
            <v>LN-02</v>
          </cell>
          <cell r="B11" t="str">
            <v>Láng nền vữa xi măng cát mác 75 tầng áp mái, tầng mái</v>
          </cell>
          <cell r="C11" t="str">
            <v>LN-02</v>
          </cell>
          <cell r="D11" t="str">
            <v>13h30</v>
          </cell>
          <cell r="E11" t="str">
            <v>14h30</v>
          </cell>
          <cell r="F11">
            <v>14</v>
          </cell>
          <cell r="G11">
            <v>10</v>
          </cell>
          <cell r="H11">
            <v>2015</v>
          </cell>
          <cell r="I11" t="str">
            <v>Hà Nội, ngày 14 tháng 10 năm 2015</v>
          </cell>
          <cell r="J11" t="str">
            <v>13h30 ngày 14 tháng 10 năm 2015</v>
          </cell>
          <cell r="K11" t="str">
            <v>14h30 ngày 14 tháng 10 năm 2015</v>
          </cell>
          <cell r="L11" t="str">
            <v>14h30</v>
          </cell>
          <cell r="M11" t="str">
            <v>15h30</v>
          </cell>
          <cell r="N11">
            <v>14</v>
          </cell>
          <cell r="O11">
            <v>10</v>
          </cell>
          <cell r="P11">
            <v>2015</v>
          </cell>
          <cell r="Q11" t="str">
            <v>Hà Nội, ngày 14 tháng 10 năm 2015</v>
          </cell>
          <cell r="R11" t="str">
            <v>14h30 ngày 14 tháng 10 năm 2015</v>
          </cell>
          <cell r="S11" t="str">
            <v>15h30 ngày 14 tháng 10 năm 2015</v>
          </cell>
          <cell r="T11" t="str">
            <v>14h30</v>
          </cell>
          <cell r="U11" t="str">
            <v>14h30 Ngày 14/10/2015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KT-105; KT-105 DC; KT-100</v>
          </cell>
          <cell r="AQ11" t="str">
            <v>Ngày 14 Tháng 10 Năm 2015</v>
          </cell>
          <cell r="AU11">
            <v>42291</v>
          </cell>
          <cell r="AV11">
            <v>42263</v>
          </cell>
        </row>
        <row r="12">
          <cell r="A12" t="str">
            <v>LN-03</v>
          </cell>
          <cell r="B12" t="str">
            <v>Láng nền khu vệ sinh, lôgia căn hộ vữa xi măng cát mác 75 tầng 07, 08, 09, 10</v>
          </cell>
          <cell r="C12" t="str">
            <v>LN-03</v>
          </cell>
          <cell r="D12" t="str">
            <v>14h00</v>
          </cell>
          <cell r="E12" t="str">
            <v>15h00</v>
          </cell>
          <cell r="F12">
            <v>30</v>
          </cell>
          <cell r="G12">
            <v>10</v>
          </cell>
          <cell r="H12">
            <v>2015</v>
          </cell>
          <cell r="I12" t="str">
            <v>Hà Nội, ngày 30 tháng 10 năm 2015</v>
          </cell>
          <cell r="J12" t="str">
            <v>14h00 ngày 30 tháng 10 năm 2015</v>
          </cell>
          <cell r="K12" t="str">
            <v>15h00 ngày 4 tháng 11 năm 2015</v>
          </cell>
          <cell r="L12" t="str">
            <v>15h30</v>
          </cell>
          <cell r="M12" t="str">
            <v>16h30</v>
          </cell>
          <cell r="N12">
            <v>4</v>
          </cell>
          <cell r="O12">
            <v>11</v>
          </cell>
          <cell r="P12">
            <v>2015</v>
          </cell>
          <cell r="Q12" t="str">
            <v>Hà Nội, ngày 4 tháng 11 năm 2015</v>
          </cell>
          <cell r="R12" t="str">
            <v>15h30 ngày 30 tháng 10 năm 2015</v>
          </cell>
          <cell r="S12" t="str">
            <v>16h30 ngày 4 tháng 11 năm 2015</v>
          </cell>
          <cell r="T12" t="str">
            <v>15h30</v>
          </cell>
          <cell r="U12" t="str">
            <v>15h30 Ngày 4/11/2015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KT-1903; KT-100</v>
          </cell>
          <cell r="AQ12" t="str">
            <v>Ngày 30 Tháng 10 Năm 2015</v>
          </cell>
        </row>
        <row r="13">
          <cell r="A13" t="str">
            <v>LN-04</v>
          </cell>
          <cell r="B13" t="str">
            <v>Láng nền khu vệ sinh, lôgia căn hộ vữa xi măng cát mác 75 tầng 11, tầng áp mái</v>
          </cell>
          <cell r="C13" t="str">
            <v>LN-04</v>
          </cell>
          <cell r="D13" t="str">
            <v>14h00</v>
          </cell>
          <cell r="E13" t="str">
            <v>15h00</v>
          </cell>
          <cell r="F13">
            <v>4</v>
          </cell>
          <cell r="G13">
            <v>11</v>
          </cell>
          <cell r="H13">
            <v>2015</v>
          </cell>
          <cell r="I13" t="str">
            <v>Hà Nội, ngày 4 tháng 11 năm 2015</v>
          </cell>
          <cell r="J13" t="str">
            <v>14h00 ngày 4 tháng 11 năm 2015</v>
          </cell>
          <cell r="K13" t="str">
            <v>15h00 ngày 4 tháng 11 năm 2015</v>
          </cell>
          <cell r="L13" t="str">
            <v>15h30</v>
          </cell>
          <cell r="M13" t="str">
            <v>16h30</v>
          </cell>
          <cell r="N13">
            <v>4</v>
          </cell>
          <cell r="O13">
            <v>11</v>
          </cell>
          <cell r="P13">
            <v>2015</v>
          </cell>
          <cell r="Q13" t="str">
            <v>Hà Nội, ngày 4 tháng 11 năm 2015</v>
          </cell>
          <cell r="R13" t="str">
            <v>15h30 ngày 4 tháng 11 năm 2015</v>
          </cell>
          <cell r="S13" t="str">
            <v>16h30 ngày 4 tháng 11 năm 2015</v>
          </cell>
          <cell r="T13" t="str">
            <v>15h30</v>
          </cell>
          <cell r="U13" t="str">
            <v>15h30 Ngày 4/11/2015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KT-1903; KT-100</v>
          </cell>
          <cell r="AQ13" t="str">
            <v>Ngày 4 Tháng 11 Năm 2015</v>
          </cell>
        </row>
        <row r="14">
          <cell r="A14" t="str">
            <v>LN-05</v>
          </cell>
          <cell r="B14" t="str">
            <v>Láng nền khu vệ sinh vữa xi măng cát mác 75 tầng 1</v>
          </cell>
          <cell r="C14" t="str">
            <v>LN-05</v>
          </cell>
          <cell r="D14" t="str">
            <v>10h30'</v>
          </cell>
          <cell r="E14" t="str">
            <v>11h30'</v>
          </cell>
          <cell r="F14">
            <v>23</v>
          </cell>
          <cell r="G14">
            <v>11</v>
          </cell>
          <cell r="H14">
            <v>2015</v>
          </cell>
          <cell r="I14" t="str">
            <v>Hà Nội, ngày 23 tháng 11 năm 2015</v>
          </cell>
          <cell r="J14" t="str">
            <v>10h30' ngày 23 tháng 11 năm 2015</v>
          </cell>
          <cell r="K14" t="str">
            <v>11h30' ngày 23 tháng 11 năm 2015</v>
          </cell>
          <cell r="L14" t="str">
            <v>12h30</v>
          </cell>
          <cell r="M14" t="str">
            <v>13h30</v>
          </cell>
          <cell r="N14">
            <v>23</v>
          </cell>
          <cell r="O14">
            <v>11</v>
          </cell>
          <cell r="P14">
            <v>2015</v>
          </cell>
          <cell r="Q14" t="str">
            <v>Hà Nội, ngày 23 tháng 11 năm 2015</v>
          </cell>
          <cell r="R14" t="str">
            <v>12h30 ngày 23 tháng 11 năm 2015</v>
          </cell>
          <cell r="S14" t="str">
            <v>13h30 ngày 23 tháng 11 năm 2015</v>
          </cell>
          <cell r="T14" t="str">
            <v>12h30</v>
          </cell>
          <cell r="U14" t="str">
            <v>12h30 Ngày 23/11/2015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KT-1901; KT-100</v>
          </cell>
          <cell r="AQ14" t="str">
            <v>Ngày 23 Tháng 11 Năm 2015</v>
          </cell>
        </row>
        <row r="15">
          <cell r="A15" t="str">
            <v>LDDT2-01</v>
          </cell>
          <cell r="B15" t="str">
            <v>Láng đường dốc tầng 02 vữa xi măng cát M75</v>
          </cell>
          <cell r="C15" t="str">
            <v>LDDT2-01</v>
          </cell>
          <cell r="D15" t="str">
            <v>8h00</v>
          </cell>
          <cell r="E15" t="str">
            <v>8h30</v>
          </cell>
          <cell r="F15">
            <v>15</v>
          </cell>
          <cell r="G15">
            <v>11</v>
          </cell>
          <cell r="H15">
            <v>2015</v>
          </cell>
          <cell r="I15" t="str">
            <v>Hà Nội, ngày 15 tháng 11 năm 2015</v>
          </cell>
          <cell r="J15" t="str">
            <v>8h00 ngày 15 tháng 11 năm 2015</v>
          </cell>
          <cell r="K15" t="str">
            <v>8h30 ngày 15 tháng 11 năm 2015</v>
          </cell>
          <cell r="L15" t="str">
            <v>9h00</v>
          </cell>
          <cell r="M15" t="str">
            <v>9h30</v>
          </cell>
          <cell r="N15">
            <v>15</v>
          </cell>
          <cell r="O15">
            <v>11</v>
          </cell>
          <cell r="P15">
            <v>2015</v>
          </cell>
          <cell r="Q15" t="str">
            <v>Hà Nội, ngày 15 tháng 11 năm 2015</v>
          </cell>
          <cell r="R15" t="str">
            <v>9h00 ngày 15 tháng 11 năm 2015</v>
          </cell>
          <cell r="S15" t="str">
            <v>9h30 ngày 15 tháng 11 năm 2015</v>
          </cell>
          <cell r="T15" t="str">
            <v>9h00</v>
          </cell>
          <cell r="U15" t="str">
            <v>9h00 Ngày 15/11/2015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KT-102DC</v>
          </cell>
          <cell r="AQ15" t="str">
            <v>Ngày 15 Tháng 11 Năm 2015</v>
          </cell>
        </row>
        <row r="16">
          <cell r="A16" t="str">
            <v>LPKT-00</v>
          </cell>
          <cell r="B16" t="str">
            <v>Láng nền phòng kỹ thuật vữa xi măng cát mác 75 tầng 02 đến hết tầng áp mái</v>
          </cell>
          <cell r="C16" t="str">
            <v>LPKT-00</v>
          </cell>
          <cell r="D16" t="str">
            <v>14h00</v>
          </cell>
          <cell r="E16" t="str">
            <v>15h30</v>
          </cell>
          <cell r="F16">
            <v>14</v>
          </cell>
          <cell r="G16">
            <v>11</v>
          </cell>
          <cell r="H16">
            <v>2015</v>
          </cell>
          <cell r="I16" t="str">
            <v>Hà Nội, ngày 14 tháng 11 năm 2015</v>
          </cell>
          <cell r="J16" t="str">
            <v>14h00 ngày 14 tháng 11 năm 2015</v>
          </cell>
          <cell r="K16" t="str">
            <v>15h30 ngày 14 tháng 11 năm 2015</v>
          </cell>
          <cell r="L16" t="str">
            <v>15h30</v>
          </cell>
          <cell r="M16" t="str">
            <v>16h00</v>
          </cell>
          <cell r="N16">
            <v>14</v>
          </cell>
          <cell r="O16">
            <v>11</v>
          </cell>
          <cell r="P16">
            <v>2015</v>
          </cell>
          <cell r="Q16" t="str">
            <v>Hà Nội, ngày 14 tháng 11 năm 2015</v>
          </cell>
          <cell r="R16" t="str">
            <v>15h30 ngày 14 tháng 11 năm 2015</v>
          </cell>
          <cell r="S16" t="str">
            <v>16h00 ngày 14 tháng 11 năm 2015</v>
          </cell>
          <cell r="T16" t="str">
            <v>15h30</v>
          </cell>
          <cell r="U16" t="str">
            <v>15h30 Ngày 14/11/2015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KT-100</v>
          </cell>
          <cell r="AQ16" t="str">
            <v>Ngày 14 Tháng 11 Năm 2015</v>
          </cell>
        </row>
        <row r="17">
          <cell r="A17" t="str">
            <v>LPKT-01</v>
          </cell>
          <cell r="B17" t="str">
            <v>Láng phòng kỹ thuật tầng 01</v>
          </cell>
          <cell r="C17" t="str">
            <v>LPKT-01</v>
          </cell>
          <cell r="D17" t="str">
            <v>8h00</v>
          </cell>
          <cell r="E17" t="str">
            <v>8h30</v>
          </cell>
          <cell r="F17">
            <v>28</v>
          </cell>
          <cell r="G17">
            <v>11</v>
          </cell>
          <cell r="H17">
            <v>2015</v>
          </cell>
          <cell r="I17" t="str">
            <v>Hà Nội, ngày 28 tháng 11 năm 2015</v>
          </cell>
          <cell r="J17" t="str">
            <v>8h00 ngày 28 tháng 11 năm 2015</v>
          </cell>
          <cell r="K17" t="str">
            <v>8h30 ngày 28 tháng 11 năm 2015</v>
          </cell>
          <cell r="L17" t="str">
            <v>9h00</v>
          </cell>
          <cell r="M17" t="str">
            <v>9h30</v>
          </cell>
          <cell r="N17">
            <v>28</v>
          </cell>
          <cell r="O17">
            <v>11</v>
          </cell>
          <cell r="P17">
            <v>2015</v>
          </cell>
          <cell r="Q17" t="str">
            <v>Hà Nội, ngày 28 tháng 11 năm 2015</v>
          </cell>
          <cell r="R17" t="str">
            <v>9h00 ngày 28 tháng 11 năm 2015</v>
          </cell>
          <cell r="S17" t="str">
            <v>9h30 ngày 28 tháng 11 năm 2015</v>
          </cell>
          <cell r="T17" t="str">
            <v>9h00</v>
          </cell>
          <cell r="U17" t="str">
            <v>9h00 Ngày 28/11/2015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KC-06</v>
          </cell>
          <cell r="AQ17" t="str">
            <v>Ngày 28 Tháng 11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14h15</v>
          </cell>
          <cell r="E19" t="str">
            <v>15h00</v>
          </cell>
          <cell r="F19" t="str">
            <v>……</v>
          </cell>
          <cell r="G19" t="str">
            <v>……</v>
          </cell>
          <cell r="H19">
            <v>2015</v>
          </cell>
          <cell r="I19" t="str">
            <v>Hà Nội, ngày …… tháng …… năm 2015</v>
          </cell>
          <cell r="J19" t="str">
            <v>14h15 ngày …… tháng …… năm 2015</v>
          </cell>
          <cell r="K19" t="str">
            <v>15h00 ngày …… tháng …… năm 2015</v>
          </cell>
          <cell r="L19" t="str">
            <v>15h00</v>
          </cell>
          <cell r="M19" t="str">
            <v>15h45</v>
          </cell>
          <cell r="N19" t="str">
            <v>……</v>
          </cell>
          <cell r="O19" t="str">
            <v>……</v>
          </cell>
          <cell r="P19">
            <v>2015</v>
          </cell>
          <cell r="Q19" t="str">
            <v>Hà Nội, ngày …… tháng …… năm 2015</v>
          </cell>
          <cell r="R19" t="str">
            <v>15h00 ngày …… tháng …… năm 2015</v>
          </cell>
          <cell r="S19" t="str">
            <v>15h45 ngày …… tháng …… năm 2015</v>
          </cell>
          <cell r="T19" t="str">
            <v>15h00</v>
          </cell>
          <cell r="U19" t="str">
            <v>15h00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14h00</v>
          </cell>
          <cell r="E20" t="str">
            <v>14h30</v>
          </cell>
          <cell r="F20" t="str">
            <v>……</v>
          </cell>
          <cell r="G20" t="str">
            <v>……</v>
          </cell>
          <cell r="H20">
            <v>2015</v>
          </cell>
          <cell r="I20" t="str">
            <v>Hà Nội, ngày …… tháng …… năm 2015</v>
          </cell>
          <cell r="J20" t="str">
            <v>14h00 ngày …… tháng …… năm 2015</v>
          </cell>
          <cell r="K20" t="str">
            <v>14h30 ngày …… tháng …… năm 2015</v>
          </cell>
          <cell r="L20" t="str">
            <v>14h30</v>
          </cell>
          <cell r="M20" t="str">
            <v>15h00</v>
          </cell>
          <cell r="N20" t="str">
            <v>……</v>
          </cell>
          <cell r="O20" t="str">
            <v>……</v>
          </cell>
          <cell r="P20">
            <v>2015</v>
          </cell>
          <cell r="Q20" t="str">
            <v>Hà Nội, ngày …… tháng …… năm 2015</v>
          </cell>
          <cell r="R20" t="str">
            <v>14h30 ngày …… tháng …… năm 2015</v>
          </cell>
          <cell r="S20" t="str">
            <v>15h00 ngày …… tháng …… năm 2015</v>
          </cell>
          <cell r="T20" t="str">
            <v>14h30</v>
          </cell>
          <cell r="U20" t="str">
            <v>14h30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62"/>
      <sheetData sheetId="163">
        <row r="1">
          <cell r="A1" t="str">
            <v>CÔNG TY CP HỒNG HÀ VIỆT NAM</v>
          </cell>
          <cell r="C1" t="str">
            <v>CỘNG HÒA XÃ HỘI CHỦ NGHĨA VIỆT NAM</v>
          </cell>
        </row>
        <row r="2">
          <cell r="C2" t="str">
            <v>ĐỘC LẬP-TỰ DO -HẠNH PHÚC</v>
          </cell>
        </row>
        <row r="4">
          <cell r="A4" t="str">
            <v>CHỐNG THẤM</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CTH-01</v>
          </cell>
          <cell r="B10" t="str">
            <v>Chống thấm nền nhà vệ sinh, lôgia căn hộ tầng 03, 04, 05, 06 ( Gồm: vệ sinh, quét 2 lớp Flinkote 3 chống thấm )</v>
          </cell>
          <cell r="C10" t="str">
            <v>CTH-01</v>
          </cell>
          <cell r="D10" t="str">
            <v>8h00</v>
          </cell>
          <cell r="E10" t="str">
            <v>9h00</v>
          </cell>
          <cell r="F10">
            <v>5</v>
          </cell>
          <cell r="G10">
            <v>9</v>
          </cell>
          <cell r="H10">
            <v>2015</v>
          </cell>
          <cell r="I10" t="str">
            <v>Hà Nội, ngày 5 tháng 9 năm 2015</v>
          </cell>
          <cell r="J10" t="str">
            <v>8h00 ngày 5 tháng 9 năm 2015</v>
          </cell>
          <cell r="K10" t="str">
            <v>9h00 ngày 10 tháng 9 năm 2015</v>
          </cell>
          <cell r="L10" t="str">
            <v>9h00</v>
          </cell>
          <cell r="M10" t="str">
            <v>10h00</v>
          </cell>
          <cell r="N10">
            <v>10</v>
          </cell>
          <cell r="O10">
            <v>9</v>
          </cell>
          <cell r="P10">
            <v>2015</v>
          </cell>
          <cell r="Q10" t="str">
            <v>Hà Nội, ngày 10 tháng 9 năm 2015</v>
          </cell>
          <cell r="R10" t="str">
            <v>9h00 ngày 5 tháng 9 năm 2015</v>
          </cell>
          <cell r="S10" t="str">
            <v>10h00 ngày 10 tháng 9 năm 2015</v>
          </cell>
          <cell r="T10" t="str">
            <v>9h00</v>
          </cell>
          <cell r="U10" t="str">
            <v>9h00 Ngày 5/9/2015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KT-1903; KT-100</v>
          </cell>
          <cell r="AQ10" t="str">
            <v>Ngày 5 Tháng 9 Năm 2015</v>
          </cell>
        </row>
        <row r="11">
          <cell r="A11" t="str">
            <v>CTH-02</v>
          </cell>
          <cell r="B11" t="str">
            <v>Chống thấm nền sàn tầng áp mái, tầng mái ( Gồm: vệ sinh, quét 2 lớp Flinkote 3 chống thấm )</v>
          </cell>
          <cell r="C11" t="str">
            <v>CTH-02</v>
          </cell>
          <cell r="D11" t="str">
            <v>8h00</v>
          </cell>
          <cell r="E11" t="str">
            <v>10h00</v>
          </cell>
          <cell r="F11">
            <v>7</v>
          </cell>
          <cell r="G11">
            <v>9</v>
          </cell>
          <cell r="H11">
            <v>2015</v>
          </cell>
          <cell r="I11" t="str">
            <v>Hà Nội, ngày 7 tháng 9 năm 2015</v>
          </cell>
          <cell r="J11" t="str">
            <v>8h00 ngày 7 tháng 9 năm 2015</v>
          </cell>
          <cell r="K11" t="str">
            <v>10h00 ngày 7 tháng 9 năm 2015</v>
          </cell>
          <cell r="L11" t="str">
            <v>9h00</v>
          </cell>
          <cell r="M11" t="str">
            <v>11h00</v>
          </cell>
          <cell r="N11">
            <v>12</v>
          </cell>
          <cell r="O11">
            <v>9</v>
          </cell>
          <cell r="P11">
            <v>2015</v>
          </cell>
          <cell r="Q11" t="str">
            <v>Hà Nội, ngày 12 tháng 9 năm 2015</v>
          </cell>
          <cell r="R11" t="str">
            <v>9h00 ngày 7 tháng 9 năm 2015</v>
          </cell>
          <cell r="S11" t="str">
            <v>11h00 ngày 12 tháng 9 năm 2015</v>
          </cell>
          <cell r="T11" t="str">
            <v>9h00</v>
          </cell>
          <cell r="U11" t="str">
            <v>9h00 Ngày 7/9/2015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KT-105; KT-105 DC; KT-100</v>
          </cell>
          <cell r="AQ11" t="str">
            <v>Ngày 7 Tháng 9 Năm 2015</v>
          </cell>
        </row>
        <row r="12">
          <cell r="A12" t="str">
            <v>CTH-03</v>
          </cell>
          <cell r="B12" t="str">
            <v>Chống thấm nền nhà vệ sinh, lôgia căn hộ tầng 07, 08, 09, 10 ( Gồm: vệ sinh, quét 2 lớp Flinkote 3 chống thấm )</v>
          </cell>
          <cell r="C12" t="str">
            <v>CTH-03</v>
          </cell>
          <cell r="D12" t="str">
            <v>14h15</v>
          </cell>
          <cell r="E12" t="str">
            <v>15h00</v>
          </cell>
          <cell r="F12">
            <v>5</v>
          </cell>
          <cell r="G12">
            <v>10</v>
          </cell>
          <cell r="H12">
            <v>2015</v>
          </cell>
          <cell r="I12" t="str">
            <v>Hà Nội, ngày 5 tháng 10 năm 2015</v>
          </cell>
          <cell r="J12" t="str">
            <v>14h15 ngày 5 tháng 10 năm 2015</v>
          </cell>
          <cell r="K12" t="str">
            <v>15h00 ngày 5 tháng 10 năm 2015</v>
          </cell>
          <cell r="L12" t="str">
            <v>15h00</v>
          </cell>
          <cell r="M12" t="str">
            <v>15h45</v>
          </cell>
          <cell r="N12">
            <v>10</v>
          </cell>
          <cell r="O12">
            <v>10</v>
          </cell>
          <cell r="P12">
            <v>2015</v>
          </cell>
          <cell r="Q12" t="str">
            <v>Hà Nội, ngày 10 tháng 10 năm 2015</v>
          </cell>
          <cell r="R12" t="str">
            <v>15h00 ngày 5 tháng 10 năm 2015</v>
          </cell>
          <cell r="S12" t="str">
            <v>15h45 ngày 10 tháng 10 năm 2015</v>
          </cell>
          <cell r="T12" t="str">
            <v>15h00</v>
          </cell>
          <cell r="U12" t="str">
            <v>15h00 Ngày 5/10/2015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KT-1903; KT-100</v>
          </cell>
          <cell r="AQ12" t="str">
            <v>Ngày 5 Tháng 10 Năm 2015</v>
          </cell>
        </row>
        <row r="13">
          <cell r="A13" t="str">
            <v>CTH-04</v>
          </cell>
          <cell r="B13" t="str">
            <v>Chống thấm nền nhà vệ sinh, lôgia căn hộ tầng 11, tầng áp mái ( Gồm: vệ sinh, quét 2 lớp Flinkote 3 chống thấm )</v>
          </cell>
          <cell r="C13" t="str">
            <v>CTH-04</v>
          </cell>
          <cell r="D13" t="str">
            <v>16h00</v>
          </cell>
          <cell r="E13" t="str">
            <v>16h45</v>
          </cell>
          <cell r="F13">
            <v>11</v>
          </cell>
          <cell r="G13">
            <v>10</v>
          </cell>
          <cell r="H13">
            <v>2015</v>
          </cell>
          <cell r="I13" t="str">
            <v>Hà Nội, ngày 11 tháng 10 năm 2015</v>
          </cell>
          <cell r="J13" t="str">
            <v>16h00 ngày 11 tháng 10 năm 2015</v>
          </cell>
          <cell r="K13" t="str">
            <v>16h45 ngày 11 tháng 10 năm 2015</v>
          </cell>
          <cell r="L13" t="str">
            <v>16h45</v>
          </cell>
          <cell r="M13" t="str">
            <v>17h30</v>
          </cell>
          <cell r="N13">
            <v>11</v>
          </cell>
          <cell r="O13">
            <v>10</v>
          </cell>
          <cell r="P13">
            <v>2015</v>
          </cell>
          <cell r="Q13" t="str">
            <v>Hà Nội, ngày 11 tháng 10 năm 2015</v>
          </cell>
          <cell r="R13" t="str">
            <v>16h45 ngày 11 tháng 10 năm 2015</v>
          </cell>
          <cell r="S13" t="str">
            <v>17h30 ngày 11 tháng 10 năm 2015</v>
          </cell>
          <cell r="T13" t="str">
            <v>16h45</v>
          </cell>
          <cell r="U13" t="str">
            <v>16h45 Ngày 11/10/2015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KT-1903; KT-100; KT-1904</v>
          </cell>
          <cell r="AQ13" t="str">
            <v>Ngày 11 Tháng 10 Năm 2015</v>
          </cell>
        </row>
        <row r="14">
          <cell r="A14" t="str">
            <v>CTH-05</v>
          </cell>
          <cell r="B14" t="str">
            <v>Chống thấm nền nhà vệ sinh tầng áp mái ( Gồm: vệ sinh, quét 2 lớp Flinkote 3 chống thấm ) lần 2</v>
          </cell>
          <cell r="C14" t="str">
            <v>CTH-05</v>
          </cell>
          <cell r="D14" t="str">
            <v>10h30</v>
          </cell>
          <cell r="E14" t="str">
            <v>11h00</v>
          </cell>
          <cell r="F14">
            <v>14</v>
          </cell>
          <cell r="G14">
            <v>10</v>
          </cell>
          <cell r="H14">
            <v>2015</v>
          </cell>
          <cell r="I14" t="str">
            <v>Hà Nội, ngày 14 tháng 10 năm 2015</v>
          </cell>
          <cell r="J14" t="str">
            <v>10h30 ngày 14 tháng 10 năm 2015</v>
          </cell>
          <cell r="K14" t="str">
            <v>11h00 ngày 14 tháng 10 năm 2015</v>
          </cell>
          <cell r="L14" t="str">
            <v>14h00</v>
          </cell>
          <cell r="M14" t="str">
            <v>14h30</v>
          </cell>
          <cell r="N14">
            <v>14</v>
          </cell>
          <cell r="O14">
            <v>10</v>
          </cell>
          <cell r="P14">
            <v>2015</v>
          </cell>
          <cell r="Q14" t="str">
            <v>Hà Nội, ngày 14 tháng 10 năm 2015</v>
          </cell>
          <cell r="R14" t="str">
            <v>14h00 ngày 14 tháng 10 năm 2015</v>
          </cell>
          <cell r="S14" t="str">
            <v>14h30 ngày 14 tháng 10 năm 2015</v>
          </cell>
          <cell r="T14" t="str">
            <v>14h00</v>
          </cell>
          <cell r="U14" t="str">
            <v>14h00 Ngày 14/10/2015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KT-1904; KT-100</v>
          </cell>
          <cell r="AQ14" t="str">
            <v>Ngày 14 Tháng 10 Năm 2015</v>
          </cell>
        </row>
        <row r="15">
          <cell r="A15" t="str">
            <v>CTH-06</v>
          </cell>
          <cell r="B15" t="str">
            <v>Chống thấm nền nhà vệ sinh tầng 1 ( Gồm: vệ sinh, quét 2 lớp Flinkote 3 chống thấm )</v>
          </cell>
          <cell r="C15" t="str">
            <v>CTH-06</v>
          </cell>
          <cell r="D15" t="str">
            <v>8h00</v>
          </cell>
          <cell r="E15" t="str">
            <v>8h30</v>
          </cell>
          <cell r="F15">
            <v>25</v>
          </cell>
          <cell r="G15">
            <v>10</v>
          </cell>
          <cell r="H15">
            <v>2015</v>
          </cell>
          <cell r="I15" t="str">
            <v>Hà Nội, ngày 25 tháng 10 năm 2015</v>
          </cell>
          <cell r="J15" t="str">
            <v>8h00 ngày 25 tháng 10 năm 2015</v>
          </cell>
          <cell r="K15" t="str">
            <v>8h30 ngày 25 tháng 10 năm 2015</v>
          </cell>
          <cell r="L15" t="str">
            <v>9h00</v>
          </cell>
          <cell r="M15" t="str">
            <v>9h30</v>
          </cell>
          <cell r="N15">
            <v>25</v>
          </cell>
          <cell r="O15">
            <v>10</v>
          </cell>
          <cell r="P15">
            <v>2015</v>
          </cell>
          <cell r="Q15" t="str">
            <v>Hà Nội, ngày 25 tháng 10 năm 2015</v>
          </cell>
          <cell r="R15" t="str">
            <v>9h00 ngày 25 tháng 10 năm 2015</v>
          </cell>
          <cell r="S15" t="str">
            <v>9h30 ngày 25 tháng 10 năm 2015</v>
          </cell>
          <cell r="T15" t="str">
            <v>9h00</v>
          </cell>
          <cell r="U15" t="str">
            <v>9h00 Ngày 25/10/2015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KT-1901; KT-100</v>
          </cell>
          <cell r="AQ15" t="str">
            <v>Ngày 25 Tháng 10 Năm 2015</v>
          </cell>
        </row>
        <row r="16">
          <cell r="A16" t="str">
            <v>CTH-07</v>
          </cell>
          <cell r="C16" t="str">
            <v>CTH-07</v>
          </cell>
          <cell r="D16" t="str">
            <v>15h30</v>
          </cell>
          <cell r="E16" t="str">
            <v>16h15</v>
          </cell>
          <cell r="F16" t="str">
            <v>……</v>
          </cell>
          <cell r="G16" t="str">
            <v>……</v>
          </cell>
          <cell r="H16">
            <v>2015</v>
          </cell>
          <cell r="I16" t="str">
            <v>Hà Nội, ngày …… tháng …… năm 2015</v>
          </cell>
          <cell r="J16" t="str">
            <v>15h30 ngày …… tháng …… năm 2015</v>
          </cell>
          <cell r="K16" t="str">
            <v>16h15 ngày …… tháng …… năm 2015</v>
          </cell>
          <cell r="L16" t="str">
            <v>16h15</v>
          </cell>
          <cell r="M16" t="str">
            <v>17h00</v>
          </cell>
          <cell r="N16" t="str">
            <v>……</v>
          </cell>
          <cell r="O16" t="str">
            <v>……</v>
          </cell>
          <cell r="P16">
            <v>2015</v>
          </cell>
          <cell r="Q16" t="str">
            <v>Hà Nội, ngày …… tháng …… năm 2015</v>
          </cell>
          <cell r="R16" t="str">
            <v>16h15 ngày …… tháng …… năm 2015</v>
          </cell>
          <cell r="S16" t="str">
            <v>17h00 ngày …… tháng …… năm 2015</v>
          </cell>
          <cell r="T16" t="str">
            <v>16h15</v>
          </cell>
          <cell r="U16" t="str">
            <v>16h15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CTH-08</v>
          </cell>
          <cell r="C17" t="str">
            <v>CTH-08</v>
          </cell>
          <cell r="D17" t="str">
            <v>14h00</v>
          </cell>
          <cell r="E17" t="str">
            <v>15h30</v>
          </cell>
          <cell r="F17" t="str">
            <v>……</v>
          </cell>
          <cell r="G17" t="str">
            <v>……</v>
          </cell>
          <cell r="H17">
            <v>2015</v>
          </cell>
          <cell r="I17" t="str">
            <v>Hà Nội, ngày …… tháng …… năm 2015</v>
          </cell>
          <cell r="J17" t="str">
            <v>14h00 ngày …… tháng …… năm 2015</v>
          </cell>
          <cell r="K17" t="str">
            <v>15h30 ngày …… tháng …… năm 2015</v>
          </cell>
          <cell r="L17" t="str">
            <v>15h30</v>
          </cell>
          <cell r="M17" t="str">
            <v>16h00</v>
          </cell>
          <cell r="N17" t="str">
            <v>……</v>
          </cell>
          <cell r="O17" t="str">
            <v>……</v>
          </cell>
          <cell r="P17">
            <v>2015</v>
          </cell>
          <cell r="Q17" t="str">
            <v>Hà Nội, ngày …… tháng …… năm 2015</v>
          </cell>
          <cell r="R17" t="str">
            <v>15h30 ngày …… tháng …… năm 2015</v>
          </cell>
          <cell r="S17" t="str">
            <v>16h00 ngày …… tháng …… năm 2015</v>
          </cell>
          <cell r="T17" t="str">
            <v>15h30</v>
          </cell>
          <cell r="U17" t="str">
            <v>15h30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14h15</v>
          </cell>
          <cell r="E19" t="str">
            <v>15h00</v>
          </cell>
          <cell r="F19" t="str">
            <v>……</v>
          </cell>
          <cell r="G19" t="str">
            <v>……</v>
          </cell>
          <cell r="H19">
            <v>2015</v>
          </cell>
          <cell r="I19" t="str">
            <v>Hà Nội, ngày …… tháng …… năm 2015</v>
          </cell>
          <cell r="J19" t="str">
            <v>14h15 ngày …… tháng …… năm 2015</v>
          </cell>
          <cell r="K19" t="str">
            <v>15h00 ngày …… tháng …… năm 2015</v>
          </cell>
          <cell r="L19" t="str">
            <v>15h00</v>
          </cell>
          <cell r="M19" t="str">
            <v>15h45</v>
          </cell>
          <cell r="N19" t="str">
            <v>……</v>
          </cell>
          <cell r="O19" t="str">
            <v>……</v>
          </cell>
          <cell r="P19">
            <v>2015</v>
          </cell>
          <cell r="Q19" t="str">
            <v>Hà Nội, ngày …… tháng …… năm 2015</v>
          </cell>
          <cell r="R19" t="str">
            <v>15h00 ngày …… tháng …… năm 2015</v>
          </cell>
          <cell r="S19" t="str">
            <v>15h45 ngày …… tháng …… năm 2015</v>
          </cell>
          <cell r="T19" t="str">
            <v>15h00</v>
          </cell>
          <cell r="U19" t="str">
            <v>15h00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14h00</v>
          </cell>
          <cell r="E20" t="str">
            <v>14h30</v>
          </cell>
          <cell r="F20" t="str">
            <v>……</v>
          </cell>
          <cell r="G20" t="str">
            <v>……</v>
          </cell>
          <cell r="H20">
            <v>2015</v>
          </cell>
          <cell r="I20" t="str">
            <v>Hà Nội, ngày …… tháng …… năm 2015</v>
          </cell>
          <cell r="J20" t="str">
            <v>14h00 ngày …… tháng …… năm 2015</v>
          </cell>
          <cell r="K20" t="str">
            <v>14h30 ngày …… tháng …… năm 2015</v>
          </cell>
          <cell r="L20" t="str">
            <v>14h30</v>
          </cell>
          <cell r="M20" t="str">
            <v>15h00</v>
          </cell>
          <cell r="N20" t="str">
            <v>……</v>
          </cell>
          <cell r="O20" t="str">
            <v>……</v>
          </cell>
          <cell r="P20">
            <v>2015</v>
          </cell>
          <cell r="Q20" t="str">
            <v>Hà Nội, ngày …… tháng …… năm 2015</v>
          </cell>
          <cell r="R20" t="str">
            <v>14h30 ngày …… tháng …… năm 2015</v>
          </cell>
          <cell r="S20" t="str">
            <v>15h00 ngày …… tháng …… năm 2015</v>
          </cell>
          <cell r="T20" t="str">
            <v>14h30</v>
          </cell>
          <cell r="U20" t="str">
            <v>14h30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64"/>
      <sheetData sheetId="165">
        <row r="1">
          <cell r="A1" t="str">
            <v>CÔNG TY CP HỒNG HÀ VIỆT NAM</v>
          </cell>
          <cell r="C1" t="str">
            <v>CỘNG HÒA XÃ HỘI CHỦ NGHĨA VIỆT NAM</v>
          </cell>
        </row>
        <row r="2">
          <cell r="C2" t="str">
            <v>ĐỘC LẬP-TỰ DO -HẠNH PHÚC</v>
          </cell>
        </row>
        <row r="3">
          <cell r="M3" t="str">
            <v>FILE IN</v>
          </cell>
        </row>
        <row r="4">
          <cell r="A4" t="str">
            <v>OP LAT</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OL-01</v>
          </cell>
          <cell r="B10" t="str">
            <v>Lát nền gạch Ceramic kích thước 400x400, căn hộ tầng: 03, 04, 05, 06.</v>
          </cell>
          <cell r="C10" t="str">
            <v>OL-01</v>
          </cell>
          <cell r="D10" t="str">
            <v>8h00</v>
          </cell>
          <cell r="E10" t="str">
            <v>10h30</v>
          </cell>
          <cell r="F10">
            <v>15</v>
          </cell>
          <cell r="G10">
            <v>10</v>
          </cell>
          <cell r="H10">
            <v>2015</v>
          </cell>
          <cell r="I10" t="str">
            <v>Hà Nội, ngày 15 tháng 10 năm 2015</v>
          </cell>
          <cell r="J10" t="str">
            <v>8h00 ngày 15 tháng 10 năm 2015</v>
          </cell>
          <cell r="K10" t="str">
            <v>10h30 ngày 15 tháng 10 năm 2015</v>
          </cell>
          <cell r="L10" t="str">
            <v>14h00</v>
          </cell>
          <cell r="M10" t="str">
            <v>16h30</v>
          </cell>
          <cell r="N10">
            <v>15</v>
          </cell>
          <cell r="O10">
            <v>10</v>
          </cell>
          <cell r="P10">
            <v>2015</v>
          </cell>
          <cell r="Q10" t="str">
            <v>Hà Nội, ngày 15 tháng 10 năm 2015</v>
          </cell>
          <cell r="R10" t="str">
            <v>14h00 ngày 15 tháng 10 năm 2015</v>
          </cell>
          <cell r="S10" t="str">
            <v>16h30 ngày 15 tháng 10 năm 2015</v>
          </cell>
          <cell r="T10" t="str">
            <v>14h00</v>
          </cell>
          <cell r="U10" t="str">
            <v>14h00 Ngày 15/10/2015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KT-501÷KT-1601; KT-100</v>
          </cell>
          <cell r="AQ10" t="str">
            <v>Ngày 15 Tháng 10 Năm 2015</v>
          </cell>
        </row>
        <row r="11">
          <cell r="A11" t="str">
            <v>OL-02</v>
          </cell>
          <cell r="B11" t="str">
            <v>Lát nền gạch Ceramic kích thước 300x300, khu lôgia căn hộ tầng: 03, 04, 05, 06</v>
          </cell>
          <cell r="C11" t="str">
            <v>OL-02</v>
          </cell>
          <cell r="D11" t="str">
            <v>8h00</v>
          </cell>
          <cell r="E11" t="str">
            <v>10h30</v>
          </cell>
          <cell r="F11">
            <v>15</v>
          </cell>
          <cell r="G11">
            <v>10</v>
          </cell>
          <cell r="H11">
            <v>2015</v>
          </cell>
          <cell r="I11" t="str">
            <v>Hà Nội, ngày 15 tháng 10 năm 2015</v>
          </cell>
          <cell r="J11" t="str">
            <v>8h00 ngày 15 tháng 10 năm 2015</v>
          </cell>
          <cell r="K11" t="str">
            <v>10h30 ngày 15 tháng 10 năm 2015</v>
          </cell>
          <cell r="L11" t="str">
            <v>14h00</v>
          </cell>
          <cell r="M11" t="str">
            <v>16h30</v>
          </cell>
          <cell r="N11">
            <v>15</v>
          </cell>
          <cell r="O11">
            <v>10</v>
          </cell>
          <cell r="P11">
            <v>2015</v>
          </cell>
          <cell r="Q11" t="str">
            <v>Hà Nội, ngày 15 tháng 10 năm 2015</v>
          </cell>
          <cell r="R11" t="str">
            <v>14h00 ngày 15 tháng 10 năm 2015</v>
          </cell>
          <cell r="S11" t="str">
            <v>16h30 ngày 15 tháng 10 năm 2015</v>
          </cell>
          <cell r="T11" t="str">
            <v>14h00</v>
          </cell>
          <cell r="U11" t="str">
            <v>14h00 Ngày 15/10/2015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KT-501÷KT-1601; KT-100</v>
          </cell>
          <cell r="AQ11" t="str">
            <v>Ngày 15 Tháng 10 Năm 2015</v>
          </cell>
        </row>
        <row r="12">
          <cell r="A12" t="str">
            <v>OL-03</v>
          </cell>
          <cell r="B12" t="str">
            <v>Lát đá granite viên chặn cửa căn hộ tầng: 03, 04, 05, 06</v>
          </cell>
          <cell r="C12" t="str">
            <v>OL-03</v>
          </cell>
          <cell r="D12" t="str">
            <v>8h00</v>
          </cell>
          <cell r="E12" t="str">
            <v>10h30</v>
          </cell>
          <cell r="F12">
            <v>15</v>
          </cell>
          <cell r="G12">
            <v>10</v>
          </cell>
          <cell r="H12">
            <v>2015</v>
          </cell>
          <cell r="I12" t="str">
            <v>Hà Nội, ngày 15 tháng 10 năm 2015</v>
          </cell>
          <cell r="J12" t="str">
            <v>8h00 ngày 15 tháng 10 năm 2015</v>
          </cell>
          <cell r="K12" t="str">
            <v>10h30 ngày 15 tháng 10 năm 2015</v>
          </cell>
          <cell r="L12" t="str">
            <v>14h00</v>
          </cell>
          <cell r="M12" t="str">
            <v>16h30</v>
          </cell>
          <cell r="N12">
            <v>15</v>
          </cell>
          <cell r="O12">
            <v>10</v>
          </cell>
          <cell r="P12">
            <v>2015</v>
          </cell>
          <cell r="Q12" t="str">
            <v>Hà Nội, ngày 15 tháng 10 năm 2015</v>
          </cell>
          <cell r="R12" t="str">
            <v>14h00 ngày 15 tháng 10 năm 2015</v>
          </cell>
          <cell r="S12" t="str">
            <v>16h30 ngày 15 tháng 10 năm 2015</v>
          </cell>
          <cell r="T12" t="str">
            <v>14h00</v>
          </cell>
          <cell r="U12" t="str">
            <v>14h00 Ngày 15/10/2015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KT-501÷KT-1601; KT-100</v>
          </cell>
          <cell r="AQ12" t="str">
            <v>Ngày 15 Tháng 10 Năm 2015</v>
          </cell>
        </row>
        <row r="13">
          <cell r="A13" t="str">
            <v>OL-04</v>
          </cell>
          <cell r="B13" t="str">
            <v>Ốp chân tường gạch Ceramic kích thước 100x400 trong căn hộ tầng: 03, 04, 05, 06</v>
          </cell>
          <cell r="C13" t="str">
            <v>OL-04</v>
          </cell>
          <cell r="D13" t="str">
            <v>8h00</v>
          </cell>
          <cell r="E13" t="str">
            <v>10h30</v>
          </cell>
          <cell r="F13">
            <v>15</v>
          </cell>
          <cell r="G13">
            <v>10</v>
          </cell>
          <cell r="H13">
            <v>2015</v>
          </cell>
          <cell r="I13" t="str">
            <v>Hà Nội, ngày 15 tháng 10 năm 2015</v>
          </cell>
          <cell r="J13" t="str">
            <v>8h00 ngày 15 tháng 10 năm 2015</v>
          </cell>
          <cell r="K13" t="str">
            <v>10h30 ngày 15 tháng 10 năm 2015</v>
          </cell>
          <cell r="L13" t="str">
            <v>14h00</v>
          </cell>
          <cell r="M13" t="str">
            <v>16h30</v>
          </cell>
          <cell r="N13">
            <v>15</v>
          </cell>
          <cell r="O13">
            <v>10</v>
          </cell>
          <cell r="P13">
            <v>2015</v>
          </cell>
          <cell r="Q13" t="str">
            <v>Hà Nội, ngày 15 tháng 10 năm 2015</v>
          </cell>
          <cell r="R13" t="str">
            <v>14h00 ngày 15 tháng 10 năm 2015</v>
          </cell>
          <cell r="S13" t="str">
            <v>16h30 ngày 15 tháng 10 năm 2015</v>
          </cell>
          <cell r="T13" t="str">
            <v>14h00</v>
          </cell>
          <cell r="U13" t="str">
            <v>14h00 Ngày 15/10/2015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KT-501÷KT-1601; KT-100</v>
          </cell>
          <cell r="AQ13" t="str">
            <v>Ngày 15 Tháng 10 Năm 2015</v>
          </cell>
        </row>
        <row r="14">
          <cell r="A14" t="str">
            <v>OL-05</v>
          </cell>
          <cell r="B14" t="str">
            <v>Ốp tường gạch Ceramic kích thước (450x300) mm khu vệ sinh tầng 03, 04, 05, 06</v>
          </cell>
          <cell r="C14" t="str">
            <v>OL-05</v>
          </cell>
          <cell r="D14" t="str">
            <v>8h30</v>
          </cell>
          <cell r="E14" t="str">
            <v>10h00</v>
          </cell>
          <cell r="F14">
            <v>25</v>
          </cell>
          <cell r="G14">
            <v>10</v>
          </cell>
          <cell r="H14">
            <v>2015</v>
          </cell>
          <cell r="I14" t="str">
            <v>Hà Nội, ngày 25 tháng 10 năm 2015</v>
          </cell>
          <cell r="J14" t="str">
            <v>8h30 ngày 25 tháng 10 năm 2015</v>
          </cell>
          <cell r="K14" t="str">
            <v>10h00 ngày 25 tháng 10 năm 2015</v>
          </cell>
          <cell r="L14" t="str">
            <v>14h00</v>
          </cell>
          <cell r="M14" t="str">
            <v>15h30</v>
          </cell>
          <cell r="N14">
            <v>25</v>
          </cell>
          <cell r="O14">
            <v>10</v>
          </cell>
          <cell r="P14">
            <v>2015</v>
          </cell>
          <cell r="Q14" t="str">
            <v>Hà Nội, ngày 25 tháng 10 năm 2015</v>
          </cell>
          <cell r="R14" t="str">
            <v>14h00 ngày 25 tháng 10 năm 2015</v>
          </cell>
          <cell r="S14" t="str">
            <v>15h30 ngày 25 tháng 10 năm 2015</v>
          </cell>
          <cell r="T14" t="str">
            <v>14h00</v>
          </cell>
          <cell r="U14" t="str">
            <v>14h00 Ngày 25/10/2015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KT-503÷KT-1603; KT.CT6-WCBS</v>
          </cell>
          <cell r="AQ14" t="str">
            <v>Ngày 25 Tháng 10 Năm 2015</v>
          </cell>
        </row>
        <row r="15">
          <cell r="A15" t="str">
            <v>OL-06</v>
          </cell>
          <cell r="B15" t="str">
            <v>Lát gạch Ceramic kích thước (300x300)mm chống chơn khu vệ sinh căn hộ và lô gia tầng 03, 04, 05, 06</v>
          </cell>
          <cell r="C15" t="str">
            <v>OL-06</v>
          </cell>
          <cell r="D15" t="str">
            <v>8h30</v>
          </cell>
          <cell r="E15" t="str">
            <v>10h00</v>
          </cell>
          <cell r="F15">
            <v>28</v>
          </cell>
          <cell r="G15">
            <v>10</v>
          </cell>
          <cell r="H15">
            <v>2015</v>
          </cell>
          <cell r="I15" t="str">
            <v>Hà Nội, ngày 28 tháng 10 năm 2015</v>
          </cell>
          <cell r="J15" t="str">
            <v>8h30 ngày 28 tháng 10 năm 2015</v>
          </cell>
          <cell r="K15" t="str">
            <v>10h00 ngày 28 tháng 10 năm 2015</v>
          </cell>
          <cell r="L15" t="str">
            <v>14h00</v>
          </cell>
          <cell r="M15" t="str">
            <v>15h30</v>
          </cell>
          <cell r="N15">
            <v>28</v>
          </cell>
          <cell r="O15">
            <v>10</v>
          </cell>
          <cell r="P15">
            <v>2015</v>
          </cell>
          <cell r="Q15" t="str">
            <v>Hà Nội, ngày 28 tháng 10 năm 2015</v>
          </cell>
          <cell r="R15" t="str">
            <v>14h00 ngày 28 tháng 10 năm 2015</v>
          </cell>
          <cell r="S15" t="str">
            <v>15h30 ngày 28 tháng 10 năm 2015</v>
          </cell>
          <cell r="T15" t="str">
            <v>14h00</v>
          </cell>
          <cell r="U15" t="str">
            <v>14h00 Ngày 28/10/2015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KT-503÷KT-1603; KT.CT6-WCBS</v>
          </cell>
          <cell r="AQ15" t="str">
            <v>Ngày 28 Tháng 10 Năm 2015</v>
          </cell>
        </row>
        <row r="16">
          <cell r="A16" t="str">
            <v>OL-07</v>
          </cell>
          <cell r="B16" t="str">
            <v>Ốp gạch Ceramic kích thước (100x300)mm chống chơn chân tường lô gia căn hộ tầng 03, 04, 05, 06</v>
          </cell>
          <cell r="C16" t="str">
            <v>OL-07</v>
          </cell>
          <cell r="D16" t="str">
            <v>9h00</v>
          </cell>
          <cell r="E16" t="str">
            <v>10h00</v>
          </cell>
          <cell r="F16">
            <v>2</v>
          </cell>
          <cell r="G16">
            <v>11</v>
          </cell>
          <cell r="H16">
            <v>2015</v>
          </cell>
          <cell r="I16" t="str">
            <v>Hà Nội, ngày 2 tháng 11 năm 2015</v>
          </cell>
          <cell r="J16" t="str">
            <v>9h00 ngày 2 tháng 11 năm 2015</v>
          </cell>
          <cell r="K16" t="str">
            <v>10h00 ngày 2 tháng 11 năm 2015</v>
          </cell>
          <cell r="L16" t="str">
            <v>10h15</v>
          </cell>
          <cell r="M16" t="str">
            <v>11h15</v>
          </cell>
          <cell r="N16">
            <v>2</v>
          </cell>
          <cell r="O16">
            <v>11</v>
          </cell>
          <cell r="P16">
            <v>2015</v>
          </cell>
          <cell r="Q16" t="str">
            <v>Hà Nội, ngày 2 tháng 11 năm 2015</v>
          </cell>
          <cell r="R16" t="str">
            <v>10h15 ngày 2 tháng 11 năm 2015</v>
          </cell>
          <cell r="S16" t="str">
            <v>11h15 ngày 2 tháng 11 năm 2015</v>
          </cell>
          <cell r="T16" t="str">
            <v>10h15</v>
          </cell>
          <cell r="U16" t="str">
            <v>10h15 Ngày 2/11/2015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KT-1903; KT-100</v>
          </cell>
          <cell r="AQ16" t="str">
            <v>Ngày 2 Tháng 11 Năm 2015</v>
          </cell>
        </row>
        <row r="17">
          <cell r="A17" t="str">
            <v>OL-08</v>
          </cell>
          <cell r="B17" t="str">
            <v xml:space="preserve"> Lát hành lang bằng gạch Granit kích thước (600x600)mm tầng: 03, 04, 05, 06</v>
          </cell>
          <cell r="C17" t="str">
            <v>OL-08</v>
          </cell>
          <cell r="D17" t="str">
            <v>8h00</v>
          </cell>
          <cell r="E17" t="str">
            <v>10h00</v>
          </cell>
          <cell r="F17">
            <v>3</v>
          </cell>
          <cell r="G17">
            <v>11</v>
          </cell>
          <cell r="H17">
            <v>2015</v>
          </cell>
          <cell r="I17" t="str">
            <v>Hà Nội, ngày 3 tháng 11 năm 2015</v>
          </cell>
          <cell r="J17" t="str">
            <v>8h00 ngày 3 tháng 11 năm 2015</v>
          </cell>
          <cell r="K17" t="str">
            <v>10h00 ngày 3 tháng 11 năm 2015</v>
          </cell>
          <cell r="L17" t="str">
            <v>14h00</v>
          </cell>
          <cell r="M17" t="str">
            <v>16h00</v>
          </cell>
          <cell r="N17">
            <v>3</v>
          </cell>
          <cell r="O17">
            <v>11</v>
          </cell>
          <cell r="P17">
            <v>2015</v>
          </cell>
          <cell r="Q17" t="str">
            <v>Hà Nội, ngày 3 tháng 11 năm 2015</v>
          </cell>
          <cell r="R17" t="str">
            <v>14h00 ngày 3 tháng 11 năm 2015</v>
          </cell>
          <cell r="S17" t="str">
            <v>16h00 ngày 3 tháng 11 năm 2015</v>
          </cell>
          <cell r="T17" t="str">
            <v>14h00</v>
          </cell>
          <cell r="U17" t="str">
            <v>14h00 Ngày 3/11/2015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KT-1903; KT-100</v>
          </cell>
          <cell r="AQ17" t="str">
            <v>Ngày 3 Tháng 11 Năm 2015</v>
          </cell>
        </row>
        <row r="18">
          <cell r="A18" t="str">
            <v>OL-11</v>
          </cell>
          <cell r="B18" t="str">
            <v>Ốp tường gạch Ceramic kích thước (450x300) mm khu vệ sinh tầng 07, 08, 09, 10, 11, tầng áp mái</v>
          </cell>
          <cell r="C18" t="str">
            <v>OL-11</v>
          </cell>
          <cell r="D18" t="str">
            <v>8h30</v>
          </cell>
          <cell r="E18" t="str">
            <v>10h30</v>
          </cell>
          <cell r="F18">
            <v>9</v>
          </cell>
          <cell r="G18">
            <v>11</v>
          </cell>
          <cell r="H18">
            <v>2015</v>
          </cell>
          <cell r="I18" t="str">
            <v>Hà Nội, ngày 9 tháng 11 năm 2015</v>
          </cell>
          <cell r="J18" t="str">
            <v>8h30 ngày 9 tháng 11 năm 2015</v>
          </cell>
          <cell r="K18" t="str">
            <v>10h30 ngày 9 tháng 11 năm 2015</v>
          </cell>
          <cell r="L18" t="str">
            <v>14h30</v>
          </cell>
          <cell r="M18" t="str">
            <v>16h30</v>
          </cell>
          <cell r="N18">
            <v>9</v>
          </cell>
          <cell r="O18">
            <v>11</v>
          </cell>
          <cell r="P18">
            <v>2015</v>
          </cell>
          <cell r="Q18" t="str">
            <v>Hà Nội, ngày 9 tháng 11 năm 2015</v>
          </cell>
          <cell r="R18" t="str">
            <v>14h30 ngày 9 tháng 11 năm 2015</v>
          </cell>
          <cell r="S18" t="str">
            <v>16h30 ngày 9 tháng 11 năm 2015</v>
          </cell>
          <cell r="T18" t="str">
            <v>14h30</v>
          </cell>
          <cell r="U18" t="str">
            <v>14h30 Ngày 9/11/2015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KT-503÷KT-1603; KT.CT6-WCBS</v>
          </cell>
          <cell r="AQ18" t="str">
            <v>Ngày 9 Tháng 11 Năm 2015</v>
          </cell>
        </row>
        <row r="19">
          <cell r="A19" t="str">
            <v>OL-12</v>
          </cell>
          <cell r="B19" t="str">
            <v>Lát gạch Ceramic kích thước (300x300)mm chống chơn khu vệ sinh căn hộ và lô gia tầng 07, 08, 09, 10, 11, áp mái</v>
          </cell>
          <cell r="C19" t="str">
            <v>OL-12</v>
          </cell>
          <cell r="D19" t="str">
            <v>8h30</v>
          </cell>
          <cell r="E19" t="str">
            <v>10h30</v>
          </cell>
          <cell r="F19">
            <v>11</v>
          </cell>
          <cell r="G19">
            <v>11</v>
          </cell>
          <cell r="H19">
            <v>2015</v>
          </cell>
          <cell r="I19" t="str">
            <v>Hà Nội, ngày 11 tháng 11 năm 2015</v>
          </cell>
          <cell r="J19" t="str">
            <v>8h30 ngày 11 tháng 11 năm 2015</v>
          </cell>
          <cell r="K19" t="str">
            <v>10h30 ngày 11 tháng 11 năm 2015</v>
          </cell>
          <cell r="L19" t="str">
            <v>15h30</v>
          </cell>
          <cell r="M19" t="str">
            <v>17h30</v>
          </cell>
          <cell r="N19">
            <v>11</v>
          </cell>
          <cell r="O19">
            <v>11</v>
          </cell>
          <cell r="P19">
            <v>2015</v>
          </cell>
          <cell r="Q19" t="str">
            <v>Hà Nội, ngày 11 tháng 11 năm 2015</v>
          </cell>
          <cell r="R19" t="str">
            <v>15h30 ngày 11 tháng 11 năm 2015</v>
          </cell>
          <cell r="S19" t="str">
            <v>17h30 ngày 11 tháng 11 năm 2015</v>
          </cell>
          <cell r="T19" t="str">
            <v>15h30</v>
          </cell>
          <cell r="U19" t="str">
            <v>15h30 Ngày 11/11/2015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KT-1903; KT-1904; KT-100</v>
          </cell>
          <cell r="AQ19" t="str">
            <v>Ngày 11 Tháng 11 Năm 2015</v>
          </cell>
        </row>
        <row r="20">
          <cell r="A20" t="str">
            <v>OL-13</v>
          </cell>
          <cell r="B20" t="str">
            <v>Lát nền căn hộ gạch Ceramic kích thước (400x400)mm, căn hộ tầng: 07, 08, 09, 10, 11</v>
          </cell>
          <cell r="C20" t="str">
            <v>OL-13</v>
          </cell>
          <cell r="D20" t="str">
            <v>8h00</v>
          </cell>
          <cell r="E20" t="str">
            <v>11h15</v>
          </cell>
          <cell r="F20">
            <v>12</v>
          </cell>
          <cell r="G20">
            <v>11</v>
          </cell>
          <cell r="H20">
            <v>2015</v>
          </cell>
          <cell r="I20" t="str">
            <v>Hà Nội, ngày 12 tháng 11 năm 2015</v>
          </cell>
          <cell r="J20" t="str">
            <v>8h00 ngày 12 tháng 11 năm 2015</v>
          </cell>
          <cell r="K20" t="str">
            <v>11h15 ngày 12 tháng 11 năm 2015</v>
          </cell>
          <cell r="L20" t="str">
            <v>14h00</v>
          </cell>
          <cell r="M20" t="str">
            <v>17h00</v>
          </cell>
          <cell r="N20">
            <v>12</v>
          </cell>
          <cell r="O20">
            <v>11</v>
          </cell>
          <cell r="P20">
            <v>2015</v>
          </cell>
          <cell r="Q20" t="str">
            <v>Hà Nội, ngày 12 tháng 11 năm 2015</v>
          </cell>
          <cell r="R20" t="str">
            <v>14h00 ngày 12 tháng 11 năm 2015</v>
          </cell>
          <cell r="S20" t="str">
            <v>17h00 ngày 12 tháng 11 năm 2015</v>
          </cell>
          <cell r="T20" t="str">
            <v>14h00</v>
          </cell>
          <cell r="U20" t="str">
            <v>14h00 Ngày 12/11/2015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KT-1903; KT-100</v>
          </cell>
          <cell r="AQ20" t="str">
            <v>Ngày 12 Tháng 11 Năm 2015</v>
          </cell>
        </row>
        <row r="21">
          <cell r="A21" t="str">
            <v>OL-14</v>
          </cell>
          <cell r="B21" t="str">
            <v>Ốp chân tường căn hộ gạch Ceramic kích thước (100x400)mm, căn hộ tầng: 07, 08, 09, 10, 11</v>
          </cell>
          <cell r="C21" t="str">
            <v>OL-14</v>
          </cell>
          <cell r="D21" t="str">
            <v>8h00</v>
          </cell>
          <cell r="E21" t="str">
            <v>11h15</v>
          </cell>
          <cell r="F21">
            <v>12</v>
          </cell>
          <cell r="G21">
            <v>11</v>
          </cell>
          <cell r="H21">
            <v>2015</v>
          </cell>
          <cell r="I21" t="str">
            <v>Hà Nội, ngày 12 tháng 11 năm 2015</v>
          </cell>
          <cell r="J21" t="str">
            <v>8h00 ngày 12 tháng 11 năm 2015</v>
          </cell>
          <cell r="K21" t="str">
            <v>11h15 ngày 12 tháng 11 năm 2015</v>
          </cell>
          <cell r="L21" t="str">
            <v>14h00</v>
          </cell>
          <cell r="M21" t="str">
            <v>17h00</v>
          </cell>
          <cell r="N21">
            <v>12</v>
          </cell>
          <cell r="O21">
            <v>11</v>
          </cell>
          <cell r="P21">
            <v>2015</v>
          </cell>
          <cell r="Q21" t="str">
            <v>Hà Nội, ngày 12 tháng 11 năm 2015</v>
          </cell>
          <cell r="R21" t="str">
            <v>14h00 ngày 12 tháng 11 năm 2015</v>
          </cell>
          <cell r="S21" t="str">
            <v>17h00 ngày 12 tháng 11 năm 2015</v>
          </cell>
          <cell r="T21" t="str">
            <v>14h00</v>
          </cell>
          <cell r="U21" t="str">
            <v>14h00 Ngày 12/11/2015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KT-1903; KT-100</v>
          </cell>
          <cell r="AQ21" t="str">
            <v>Ngày 12 Tháng 11 Năm 2015</v>
          </cell>
        </row>
        <row r="22">
          <cell r="A22" t="str">
            <v>OL-15</v>
          </cell>
          <cell r="B22" t="str">
            <v>Lát đá granite viên chặn cửa căn hộ tầng: 07, 08, 09, 10, 11</v>
          </cell>
          <cell r="C22" t="str">
            <v>OL-15</v>
          </cell>
          <cell r="D22" t="str">
            <v>8h00</v>
          </cell>
          <cell r="E22" t="str">
            <v>11h15</v>
          </cell>
          <cell r="F22">
            <v>12</v>
          </cell>
          <cell r="G22">
            <v>11</v>
          </cell>
          <cell r="H22">
            <v>2015</v>
          </cell>
          <cell r="I22" t="str">
            <v>Hà Nội, ngày 12 tháng 11 năm 2015</v>
          </cell>
          <cell r="J22" t="str">
            <v>8h00 ngày 12 tháng 11 năm 2015</v>
          </cell>
          <cell r="K22" t="str">
            <v>11h15 ngày 12 tháng 11 năm 2015</v>
          </cell>
          <cell r="L22" t="str">
            <v>14h00</v>
          </cell>
          <cell r="M22" t="str">
            <v>17h00</v>
          </cell>
          <cell r="N22">
            <v>12</v>
          </cell>
          <cell r="O22">
            <v>11</v>
          </cell>
          <cell r="P22">
            <v>2015</v>
          </cell>
          <cell r="Q22" t="str">
            <v>Hà Nội, ngày 12 tháng 11 năm 2015</v>
          </cell>
          <cell r="R22" t="str">
            <v>14h00 ngày 12 tháng 11 năm 2015</v>
          </cell>
          <cell r="S22" t="str">
            <v>17h00 ngày 12 tháng 11 năm 2015</v>
          </cell>
          <cell r="T22" t="str">
            <v>14h00</v>
          </cell>
          <cell r="U22" t="str">
            <v>14h00 Ngày 12/11/2015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KT-1903; KT-100</v>
          </cell>
          <cell r="AQ22" t="str">
            <v>Ngày 12 Tháng 11 Năm 2015</v>
          </cell>
        </row>
        <row r="23">
          <cell r="A23" t="str">
            <v>OL-16</v>
          </cell>
          <cell r="B23" t="str">
            <v>Ốp gạch Ceramic kích thước (100x300)mm chống chơn chân tường lô gia căn hộ tầng 07, 08, 09, 10, 11</v>
          </cell>
          <cell r="C23" t="str">
            <v>OL-16</v>
          </cell>
          <cell r="D23" t="str">
            <v>8h00</v>
          </cell>
          <cell r="E23" t="str">
            <v>11h15</v>
          </cell>
          <cell r="F23">
            <v>12</v>
          </cell>
          <cell r="G23">
            <v>11</v>
          </cell>
          <cell r="H23">
            <v>2015</v>
          </cell>
          <cell r="I23" t="str">
            <v>Hà Nội, ngày 12 tháng 11 năm 2015</v>
          </cell>
          <cell r="J23" t="str">
            <v>8h00 ngày 12 tháng 11 năm 2015</v>
          </cell>
          <cell r="K23" t="str">
            <v>11h15 ngày 12 tháng 11 năm 2015</v>
          </cell>
          <cell r="L23" t="str">
            <v>14h00</v>
          </cell>
          <cell r="M23" t="str">
            <v>17h00</v>
          </cell>
          <cell r="N23">
            <v>12</v>
          </cell>
          <cell r="O23">
            <v>11</v>
          </cell>
          <cell r="P23">
            <v>2015</v>
          </cell>
          <cell r="Q23" t="str">
            <v>Hà Nội, ngày 12 tháng 11 năm 2015</v>
          </cell>
          <cell r="R23" t="str">
            <v>14h00 ngày 12 tháng 11 năm 2015</v>
          </cell>
          <cell r="S23" t="str">
            <v>17h00 ngày 12 tháng 11 năm 2015</v>
          </cell>
          <cell r="T23" t="str">
            <v>14h00</v>
          </cell>
          <cell r="U23" t="str">
            <v>14h00 Ngày 12/11/2015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KT-1903; KT-100</v>
          </cell>
          <cell r="AQ23" t="str">
            <v>Ngày 12 Tháng 11 Năm 2015</v>
          </cell>
        </row>
        <row r="24">
          <cell r="A24" t="str">
            <v>OL-17</v>
          </cell>
          <cell r="B24" t="str">
            <v xml:space="preserve"> Lát phòng sinh hoạt cộng đồng tầng áp mái, lát hành lang bằng gạch Granit kích thước (600x600)mm tầng: 08, 09, 10, 11</v>
          </cell>
          <cell r="C24" t="str">
            <v>OL-17</v>
          </cell>
          <cell r="D24" t="str">
            <v>8h30</v>
          </cell>
          <cell r="E24" t="str">
            <v>10h30</v>
          </cell>
          <cell r="F24">
            <v>15</v>
          </cell>
          <cell r="G24">
            <v>11</v>
          </cell>
          <cell r="H24">
            <v>2015</v>
          </cell>
          <cell r="I24" t="str">
            <v>Hà Nội, ngày 15 tháng 11 năm 2015</v>
          </cell>
          <cell r="J24" t="str">
            <v>8h30 ngày 15 tháng 11 năm 2015</v>
          </cell>
          <cell r="K24" t="str">
            <v>10h30 ngày 15 tháng 11 năm 2015</v>
          </cell>
          <cell r="L24" t="str">
            <v>15h00</v>
          </cell>
          <cell r="M24" t="str">
            <v>17h00</v>
          </cell>
          <cell r="N24">
            <v>15</v>
          </cell>
          <cell r="O24">
            <v>11</v>
          </cell>
          <cell r="P24">
            <v>2015</v>
          </cell>
          <cell r="Q24" t="str">
            <v>Hà Nội, ngày 15 tháng 11 năm 2015</v>
          </cell>
          <cell r="R24" t="str">
            <v>15h00 ngày 15 tháng 11 năm 2015</v>
          </cell>
          <cell r="S24" t="str">
            <v>17h00 ngày 15 tháng 11 năm 2015</v>
          </cell>
          <cell r="T24" t="str">
            <v>15h00</v>
          </cell>
          <cell r="U24" t="str">
            <v>15h00 Ngày 15/11/2015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KT-1903; KT-1904; KT-100</v>
          </cell>
          <cell r="AQ24" t="str">
            <v>Ngày 15 Tháng 11 Năm 2015</v>
          </cell>
        </row>
        <row r="25">
          <cell r="A25" t="str">
            <v>OL-18</v>
          </cell>
          <cell r="B25" t="str">
            <v>Ốp chân tường phòng sinh hoạt cộng đồng, hành lang bằng gạch Granit kích thước (100x600)mm tầng: 03, 04, 05, 06, 07, 08, 09, 10, 11.</v>
          </cell>
          <cell r="C25" t="str">
            <v>OL-18</v>
          </cell>
          <cell r="D25" t="str">
            <v>8h15</v>
          </cell>
          <cell r="E25" t="str">
            <v>10h15</v>
          </cell>
          <cell r="F25">
            <v>18</v>
          </cell>
          <cell r="G25">
            <v>11</v>
          </cell>
          <cell r="H25">
            <v>2015</v>
          </cell>
          <cell r="I25" t="str">
            <v>Hà Nội, ngày 18 tháng 11 năm 2015</v>
          </cell>
          <cell r="J25" t="str">
            <v>8h15 ngày 18 tháng 11 năm 2015</v>
          </cell>
          <cell r="K25" t="str">
            <v>10h15 ngày 18 tháng 11 năm 2015</v>
          </cell>
          <cell r="L25" t="str">
            <v>14h30</v>
          </cell>
          <cell r="M25" t="str">
            <v>16h30</v>
          </cell>
          <cell r="N25">
            <v>18</v>
          </cell>
          <cell r="O25">
            <v>11</v>
          </cell>
          <cell r="P25">
            <v>2015</v>
          </cell>
          <cell r="Q25" t="str">
            <v>Hà Nội, ngày 18 tháng 11 năm 2015</v>
          </cell>
          <cell r="R25" t="str">
            <v>14h30 ngày 18 tháng 11 năm 2015</v>
          </cell>
          <cell r="S25" t="str">
            <v>16h30 ngày 18 tháng 11 năm 2015</v>
          </cell>
          <cell r="T25" t="str">
            <v>14h30</v>
          </cell>
          <cell r="U25" t="str">
            <v>14h30 Ngày 18/11/2015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KT-1903; KT-1904; KT-100</v>
          </cell>
          <cell r="AQ25" t="str">
            <v>Ngày 18 Tháng 11 Năm 2015</v>
          </cell>
        </row>
        <row r="26">
          <cell r="A26" t="str">
            <v>OL-19</v>
          </cell>
          <cell r="B26" t="str">
            <v>Ốp gạch (200x250)mm khu bếp căn hộ tầng 03, 04, 05, 06, 07, 08, 09, 10, 11</v>
          </cell>
          <cell r="C26" t="str">
            <v>OL-19</v>
          </cell>
          <cell r="D26" t="str">
            <v>8h00</v>
          </cell>
          <cell r="E26" t="str">
            <v>10h00</v>
          </cell>
          <cell r="F26">
            <v>19</v>
          </cell>
          <cell r="G26">
            <v>11</v>
          </cell>
          <cell r="H26">
            <v>2015</v>
          </cell>
          <cell r="I26" t="str">
            <v>Hà Nội, ngày 19 tháng 11 năm 2015</v>
          </cell>
          <cell r="J26" t="str">
            <v>8h00 ngày 19 tháng 11 năm 2015</v>
          </cell>
          <cell r="K26" t="str">
            <v>10h00 ngày 19 tháng 11 năm 2015</v>
          </cell>
          <cell r="L26" t="str">
            <v>14h00</v>
          </cell>
          <cell r="M26" t="str">
            <v>16h00</v>
          </cell>
          <cell r="N26">
            <v>19</v>
          </cell>
          <cell r="O26">
            <v>11</v>
          </cell>
          <cell r="P26">
            <v>2015</v>
          </cell>
          <cell r="Q26" t="str">
            <v>Hà Nội, ngày 19 tháng 11 năm 2015</v>
          </cell>
          <cell r="R26" t="str">
            <v>14h00 ngày 19 tháng 11 năm 2015</v>
          </cell>
          <cell r="S26" t="str">
            <v>16h00 ngày 19 tháng 11 năm 2015</v>
          </cell>
          <cell r="T26" t="str">
            <v>14h00</v>
          </cell>
          <cell r="U26" t="str">
            <v>14h00 Ngày 19/11/2015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KT-503÷KT-1603</v>
          </cell>
          <cell r="AQ26" t="str">
            <v>Ngày 19 Tháng 11 Năm 2015</v>
          </cell>
        </row>
        <row r="27">
          <cell r="A27" t="str">
            <v>OL-20</v>
          </cell>
          <cell r="B27" t="str">
            <v>Ốp đá Granit tự nhiên màu vàng nhạt vào tường có chốt bằng inox (thang máy) tầng 01, 02, 03, 04, 05, 06</v>
          </cell>
          <cell r="C27" t="str">
            <v>OL-20</v>
          </cell>
          <cell r="D27" t="str">
            <v>8h15</v>
          </cell>
          <cell r="E27" t="str">
            <v>10h15</v>
          </cell>
          <cell r="F27">
            <v>20</v>
          </cell>
          <cell r="G27">
            <v>11</v>
          </cell>
          <cell r="H27">
            <v>2015</v>
          </cell>
          <cell r="I27" t="str">
            <v>Hà Nội, ngày 20 tháng 11 năm 2015</v>
          </cell>
          <cell r="J27" t="str">
            <v>8h15 ngày 20 tháng 11 năm 2015</v>
          </cell>
          <cell r="K27" t="str">
            <v>10h15 ngày 20 tháng 11 năm 2015</v>
          </cell>
          <cell r="L27" t="str">
            <v>14h30</v>
          </cell>
          <cell r="M27" t="str">
            <v>16h30</v>
          </cell>
          <cell r="N27">
            <v>20</v>
          </cell>
          <cell r="O27">
            <v>11</v>
          </cell>
          <cell r="P27">
            <v>2015</v>
          </cell>
          <cell r="Q27" t="str">
            <v>Hà Nội, ngày 20 tháng 11 năm 2015</v>
          </cell>
          <cell r="R27" t="str">
            <v>14h30 ngày 20 tháng 11 năm 2015</v>
          </cell>
          <cell r="S27" t="str">
            <v>16h30 ngày 20 tháng 11 năm 2015</v>
          </cell>
          <cell r="T27" t="str">
            <v>14h30</v>
          </cell>
          <cell r="U27" t="str">
            <v>14h30 Ngày 20/11/2015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KT-204; KT-100</v>
          </cell>
          <cell r="AQ27" t="str">
            <v>Ngày 20 Tháng 11 Năm 2015</v>
          </cell>
        </row>
        <row r="28">
          <cell r="A28" t="str">
            <v>OL-21</v>
          </cell>
          <cell r="B28" t="str">
            <v>Ốp đá Granit tự nhiên màu vàng nhạt vào tường có chốt bằng inox (thang máy) tầng 07, 08, 09, 10, 11</v>
          </cell>
          <cell r="C28" t="str">
            <v>OL-21</v>
          </cell>
          <cell r="D28" t="str">
            <v>8h30</v>
          </cell>
          <cell r="E28" t="str">
            <v>10h30</v>
          </cell>
          <cell r="F28">
            <v>27</v>
          </cell>
          <cell r="G28">
            <v>11</v>
          </cell>
          <cell r="H28">
            <v>2015</v>
          </cell>
          <cell r="I28" t="str">
            <v>Hà Nội, ngày 27 tháng 11 năm 2015</v>
          </cell>
          <cell r="J28" t="str">
            <v>8h30 ngày 27 tháng 11 năm 2015</v>
          </cell>
          <cell r="K28" t="str">
            <v>10h30 ngày 27 tháng 11 năm 2015</v>
          </cell>
          <cell r="L28" t="str">
            <v>15h00</v>
          </cell>
          <cell r="M28" t="str">
            <v>16h50</v>
          </cell>
          <cell r="N28">
            <v>27</v>
          </cell>
          <cell r="O28">
            <v>11</v>
          </cell>
          <cell r="P28">
            <v>2015</v>
          </cell>
          <cell r="Q28" t="str">
            <v>Hà Nội, ngày 27 tháng 11 năm 2015</v>
          </cell>
          <cell r="R28" t="str">
            <v>15h00 ngày 27 tháng 11 năm 2015</v>
          </cell>
          <cell r="S28" t="str">
            <v>16h50 ngày 27 tháng 11 năm 2015</v>
          </cell>
          <cell r="T28" t="str">
            <v>15h00</v>
          </cell>
          <cell r="U28" t="str">
            <v>15h00 Ngày 27/11/2015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KT-204; KT-100</v>
          </cell>
          <cell r="AQ28" t="str">
            <v>Ngày 27 Tháng 11 Năm 2015</v>
          </cell>
        </row>
        <row r="29">
          <cell r="A29" t="str">
            <v>OL-09</v>
          </cell>
          <cell r="B29" t="str">
            <v>Lát gạch chống nóng 6 lỗ tầng áp mái</v>
          </cell>
          <cell r="C29" t="str">
            <v>OL-09</v>
          </cell>
          <cell r="D29" t="str">
            <v>8h00</v>
          </cell>
          <cell r="E29" t="str">
            <v>9h00</v>
          </cell>
          <cell r="F29">
            <v>4</v>
          </cell>
          <cell r="G29">
            <v>11</v>
          </cell>
          <cell r="H29">
            <v>2015</v>
          </cell>
          <cell r="I29" t="str">
            <v>Hà Nội, ngày 4 tháng 11 năm 2015</v>
          </cell>
          <cell r="J29" t="str">
            <v>8h00 ngày 4 tháng 11 năm 2015</v>
          </cell>
          <cell r="K29" t="str">
            <v>9h00 ngày 4 tháng 11 năm 2015</v>
          </cell>
          <cell r="L29" t="str">
            <v>9h15</v>
          </cell>
          <cell r="M29" t="str">
            <v>10h15</v>
          </cell>
          <cell r="N29">
            <v>4</v>
          </cell>
          <cell r="O29">
            <v>11</v>
          </cell>
          <cell r="P29">
            <v>2015</v>
          </cell>
          <cell r="Q29" t="str">
            <v>Hà Nội, ngày 4 tháng 11 năm 2015</v>
          </cell>
          <cell r="R29" t="str">
            <v>9h15 ngày 4 tháng 11 năm 2015</v>
          </cell>
          <cell r="S29" t="str">
            <v>10h15 ngày 4 tháng 11 năm 2015</v>
          </cell>
          <cell r="T29" t="str">
            <v>9h15</v>
          </cell>
          <cell r="U29" t="str">
            <v>9h15 Ngày 4/11/2015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KT-1904; KT-105 DC</v>
          </cell>
          <cell r="AQ29" t="str">
            <v>Ngày 4 Tháng 11 Năm 2015</v>
          </cell>
        </row>
        <row r="30">
          <cell r="A30" t="str">
            <v>OL-10</v>
          </cell>
          <cell r="B30" t="str">
            <v>Lát gạch chống nóng nung nem tầng mái, áp mái</v>
          </cell>
          <cell r="C30" t="str">
            <v>OL-10</v>
          </cell>
          <cell r="D30" t="str">
            <v>8h30</v>
          </cell>
          <cell r="E30" t="str">
            <v>9h30</v>
          </cell>
          <cell r="F30">
            <v>7</v>
          </cell>
          <cell r="G30">
            <v>11</v>
          </cell>
          <cell r="H30">
            <v>2015</v>
          </cell>
          <cell r="I30" t="str">
            <v>Hà Nội, ngày 7 tháng 11 năm 2015</v>
          </cell>
          <cell r="J30" t="str">
            <v>8h30 ngày 7 tháng 11 năm 2015</v>
          </cell>
          <cell r="K30" t="str">
            <v>9h30 ngày 7 tháng 11 năm 2015</v>
          </cell>
          <cell r="L30" t="str">
            <v>10h00</v>
          </cell>
          <cell r="M30" t="str">
            <v>11h00</v>
          </cell>
          <cell r="N30">
            <v>7</v>
          </cell>
          <cell r="O30">
            <v>11</v>
          </cell>
          <cell r="P30">
            <v>2015</v>
          </cell>
          <cell r="Q30" t="str">
            <v>Hà Nội, ngày 7 tháng 11 năm 2015</v>
          </cell>
          <cell r="R30" t="str">
            <v>10h00 ngày 7 tháng 11 năm 2015</v>
          </cell>
          <cell r="S30" t="str">
            <v>11h00 ngày 7 tháng 11 năm 2015</v>
          </cell>
          <cell r="T30" t="str">
            <v>10h00</v>
          </cell>
          <cell r="U30" t="str">
            <v>10h00 Ngày 7/11/2015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KT-1904; KT-1905; KT-105 DC</v>
          </cell>
          <cell r="AQ30" t="str">
            <v>Ngày 7 Tháng 11 Năm 2015</v>
          </cell>
        </row>
        <row r="31">
          <cell r="A31" t="str">
            <v>OL-22</v>
          </cell>
          <cell r="B31" t="str">
            <v>Lát nền bằng gạch Granite kích thước (600x600)mm tầng: 01, 02</v>
          </cell>
          <cell r="C31" t="str">
            <v>OL-22</v>
          </cell>
          <cell r="D31" t="str">
            <v>8h00</v>
          </cell>
          <cell r="E31" t="str">
            <v>10h00</v>
          </cell>
          <cell r="F31">
            <v>28</v>
          </cell>
          <cell r="G31">
            <v>11</v>
          </cell>
          <cell r="H31">
            <v>2015</v>
          </cell>
          <cell r="I31" t="str">
            <v>Hà Nội, ngày 28 tháng 11 năm 2015</v>
          </cell>
          <cell r="J31" t="str">
            <v>8h00 ngày 28 tháng 11 năm 2015</v>
          </cell>
          <cell r="K31" t="str">
            <v>10h00 ngày 28 tháng 11 năm 2015</v>
          </cell>
          <cell r="L31" t="str">
            <v>14h00</v>
          </cell>
          <cell r="M31" t="str">
            <v>16h00</v>
          </cell>
          <cell r="N31">
            <v>28</v>
          </cell>
          <cell r="O31">
            <v>11</v>
          </cell>
          <cell r="P31">
            <v>2015</v>
          </cell>
          <cell r="Q31" t="str">
            <v>Hà Nội, ngày 28 tháng 11 năm 2015</v>
          </cell>
          <cell r="R31" t="str">
            <v>14h00 ngày 28 tháng 11 năm 2015</v>
          </cell>
          <cell r="S31" t="str">
            <v>16h00 ngày 28 tháng 11 năm 2015</v>
          </cell>
          <cell r="T31" t="str">
            <v>14h00</v>
          </cell>
          <cell r="U31" t="str">
            <v>14h00 Ngày 28/11/2015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KT-1901; KT-1902; KT-1901-ĐC; KT-1901.BS</v>
          </cell>
          <cell r="AQ31" t="str">
            <v>Ngày 28 Tháng 11 Năm 2015</v>
          </cell>
        </row>
        <row r="32">
          <cell r="A32" t="str">
            <v>OL-23</v>
          </cell>
          <cell r="B32" t="str">
            <v>Lát đá Granite viên chặn cửa tầng 01, 02</v>
          </cell>
          <cell r="C32" t="str">
            <v>OL-23</v>
          </cell>
          <cell r="D32" t="str">
            <v>8h00</v>
          </cell>
          <cell r="E32" t="str">
            <v>10h00</v>
          </cell>
          <cell r="F32">
            <v>28</v>
          </cell>
          <cell r="G32">
            <v>11</v>
          </cell>
          <cell r="H32">
            <v>2015</v>
          </cell>
          <cell r="I32" t="str">
            <v>Hà Nội, ngày 28 tháng 11 năm 2015</v>
          </cell>
          <cell r="J32" t="str">
            <v>8h00 ngày 28 tháng 11 năm 2015</v>
          </cell>
          <cell r="K32" t="str">
            <v>10h00 ngày 28 tháng 11 năm 2015</v>
          </cell>
          <cell r="L32" t="str">
            <v>14h00</v>
          </cell>
          <cell r="M32" t="str">
            <v>16h00</v>
          </cell>
          <cell r="N32">
            <v>28</v>
          </cell>
          <cell r="O32">
            <v>11</v>
          </cell>
          <cell r="P32">
            <v>2015</v>
          </cell>
          <cell r="Q32" t="str">
            <v>Hà Nội, ngày 28 tháng 11 năm 2015</v>
          </cell>
          <cell r="R32" t="str">
            <v>14h00 ngày 28 tháng 11 năm 2015</v>
          </cell>
          <cell r="S32" t="str">
            <v>16h00 ngày 28 tháng 11 năm 2015</v>
          </cell>
          <cell r="T32" t="str">
            <v>14h00</v>
          </cell>
          <cell r="U32" t="str">
            <v>14h00 Ngày 28/11/2015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KT-1901; KT-1902</v>
          </cell>
          <cell r="AQ32" t="str">
            <v>Ngày 28 Tháng 11 Năm 2015</v>
          </cell>
        </row>
        <row r="33">
          <cell r="A33" t="str">
            <v>OL-24</v>
          </cell>
          <cell r="B33" t="str">
            <v>Ốp chân tường bằng gạch Granite kích thước (100x600)mm tầng: 01, 02</v>
          </cell>
          <cell r="C33" t="str">
            <v>OL-24</v>
          </cell>
          <cell r="D33" t="str">
            <v>8h00</v>
          </cell>
          <cell r="E33" t="str">
            <v>10h00</v>
          </cell>
          <cell r="F33">
            <v>28</v>
          </cell>
          <cell r="G33">
            <v>11</v>
          </cell>
          <cell r="H33">
            <v>2015</v>
          </cell>
          <cell r="I33" t="str">
            <v>Hà Nội, ngày 28 tháng 11 năm 2015</v>
          </cell>
          <cell r="J33" t="str">
            <v>8h00 ngày 28 tháng 11 năm 2015</v>
          </cell>
          <cell r="K33" t="str">
            <v>10h00 ngày 28 tháng 11 năm 2015</v>
          </cell>
          <cell r="L33" t="str">
            <v>14h00</v>
          </cell>
          <cell r="M33" t="str">
            <v>16h00</v>
          </cell>
          <cell r="N33">
            <v>28</v>
          </cell>
          <cell r="O33">
            <v>11</v>
          </cell>
          <cell r="P33">
            <v>2015</v>
          </cell>
          <cell r="Q33" t="str">
            <v>Hà Nội, ngày 28 tháng 11 năm 2015</v>
          </cell>
          <cell r="R33" t="str">
            <v>14h00 ngày 28 tháng 11 năm 2015</v>
          </cell>
          <cell r="S33" t="str">
            <v>16h00 ngày 28 tháng 11 năm 2015</v>
          </cell>
          <cell r="T33" t="str">
            <v>14h00</v>
          </cell>
          <cell r="U33" t="str">
            <v>14h00 Ngày 28/11/2015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KT-1901; KT-1902</v>
          </cell>
          <cell r="AQ33" t="str">
            <v>Ngày 28 Tháng 11 Năm 2015</v>
          </cell>
        </row>
        <row r="34">
          <cell r="A34" t="str">
            <v>OL-25</v>
          </cell>
          <cell r="B34" t="str">
            <v>Ốp tường gạch Ceramic kích thước (450x300) mm khu vệ sinh tầng 01</v>
          </cell>
          <cell r="C34" t="str">
            <v>OL-25</v>
          </cell>
          <cell r="D34" t="str">
            <v>8h30</v>
          </cell>
          <cell r="E34" t="str">
            <v>9h00</v>
          </cell>
          <cell r="F34">
            <v>29</v>
          </cell>
          <cell r="G34">
            <v>11</v>
          </cell>
          <cell r="H34">
            <v>2015</v>
          </cell>
          <cell r="I34" t="str">
            <v>Hà Nội, ngày 29 tháng 11 năm 2015</v>
          </cell>
          <cell r="J34" t="str">
            <v>8h30 ngày 29 tháng 11 năm 2015</v>
          </cell>
          <cell r="K34" t="str">
            <v>9h00 ngày 29 tháng 11 năm 2015</v>
          </cell>
          <cell r="L34" t="str">
            <v>9h30</v>
          </cell>
          <cell r="M34" t="str">
            <v>10h00</v>
          </cell>
          <cell r="N34">
            <v>29</v>
          </cell>
          <cell r="O34">
            <v>11</v>
          </cell>
          <cell r="P34">
            <v>2015</v>
          </cell>
          <cell r="Q34" t="str">
            <v>Hà Nội, ngày 29 tháng 11 năm 2015</v>
          </cell>
          <cell r="R34" t="str">
            <v>9h30 ngày 29 tháng 11 năm 2015</v>
          </cell>
          <cell r="S34" t="str">
            <v>10h00 ngày 29 tháng 11 năm 2015</v>
          </cell>
          <cell r="T34" t="str">
            <v>9h30</v>
          </cell>
          <cell r="U34" t="str">
            <v>9h30 Ngày 29/11/2015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KT.CT6-WCBS; KT-1901</v>
          </cell>
          <cell r="AQ34" t="str">
            <v>Ngày 29 Tháng 11 Năm 2015</v>
          </cell>
        </row>
        <row r="35">
          <cell r="A35" t="str">
            <v>OL-26</v>
          </cell>
          <cell r="B35" t="str">
            <v>Lát gạch Ceramic kích thước (300x300) mm chống chơn khu vệ sinh căn hộ tầng 1</v>
          </cell>
          <cell r="C35" t="str">
            <v>OL-26</v>
          </cell>
          <cell r="D35" t="str">
            <v>8h30</v>
          </cell>
          <cell r="E35" t="str">
            <v>9h00</v>
          </cell>
          <cell r="F35">
            <v>1</v>
          </cell>
          <cell r="G35">
            <v>12</v>
          </cell>
          <cell r="H35">
            <v>2015</v>
          </cell>
          <cell r="I35" t="str">
            <v>Hà Nội, ngày 1 tháng 12 năm 2015</v>
          </cell>
          <cell r="J35" t="str">
            <v>8h30 ngày 1 tháng 12 năm 2015</v>
          </cell>
          <cell r="K35" t="str">
            <v>9h00 ngày 1 tháng 12 năm 2015</v>
          </cell>
          <cell r="L35" t="str">
            <v>9h30</v>
          </cell>
          <cell r="M35" t="str">
            <v>10h00</v>
          </cell>
          <cell r="N35">
            <v>1</v>
          </cell>
          <cell r="O35">
            <v>12</v>
          </cell>
          <cell r="P35">
            <v>2015</v>
          </cell>
          <cell r="Q35" t="str">
            <v>Hà Nội, ngày 1 tháng 12 năm 2015</v>
          </cell>
          <cell r="R35" t="str">
            <v>9h30 ngày 1 tháng 12 năm 2015</v>
          </cell>
          <cell r="S35" t="str">
            <v>10h00 ngày 1 tháng 12 năm 2015</v>
          </cell>
          <cell r="T35" t="str">
            <v>9h30</v>
          </cell>
          <cell r="U35" t="str">
            <v>9h30 Ngày 1/12/2015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KT-1901</v>
          </cell>
          <cell r="AQ35" t="str">
            <v>Ngày 1 Tháng 12 Năm 2015</v>
          </cell>
        </row>
        <row r="36">
          <cell r="A36" t="str">
            <v>OL-27</v>
          </cell>
          <cell r="B36" t="str">
            <v>Lắp đặt đá Granite mặt bàn bếp tầng 03, 04, 05, 06, 07, 08, 09, 10, 11</v>
          </cell>
          <cell r="C36" t="str">
            <v>OL-27</v>
          </cell>
          <cell r="D36" t="str">
            <v>8h00</v>
          </cell>
          <cell r="E36" t="str">
            <v>9h30</v>
          </cell>
          <cell r="F36">
            <v>3</v>
          </cell>
          <cell r="G36">
            <v>12</v>
          </cell>
          <cell r="H36">
            <v>2015</v>
          </cell>
          <cell r="I36" t="str">
            <v>Hà Nội, ngày 3 tháng 12 năm 2015</v>
          </cell>
          <cell r="J36" t="str">
            <v>8h00 ngày 3 tháng 12 năm 2015</v>
          </cell>
          <cell r="K36" t="str">
            <v>9h30 ngày 3 tháng 12 năm 2015</v>
          </cell>
          <cell r="L36" t="str">
            <v>9h45</v>
          </cell>
          <cell r="M36" t="str">
            <v>11h00</v>
          </cell>
          <cell r="N36">
            <v>3</v>
          </cell>
          <cell r="O36">
            <v>12</v>
          </cell>
          <cell r="P36">
            <v>2015</v>
          </cell>
          <cell r="Q36" t="str">
            <v>Hà Nội, ngày 3 tháng 12 năm 2015</v>
          </cell>
          <cell r="R36" t="str">
            <v>9h45 ngày 3 tháng 12 năm 2015</v>
          </cell>
          <cell r="S36" t="str">
            <v>11h00 ngày 3 tháng 12 năm 2015</v>
          </cell>
          <cell r="T36" t="str">
            <v>9h45</v>
          </cell>
          <cell r="U36" t="str">
            <v>9h45 Ngày 3/12/2015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KT-503÷KT-1603; KT-202 ĐC</v>
          </cell>
          <cell r="AQ36" t="str">
            <v>Ngày 3 Tháng 12 Năm 2015</v>
          </cell>
        </row>
        <row r="37">
          <cell r="A37" t="str">
            <v>OL-28</v>
          </cell>
          <cell r="B37" t="str">
            <v>Ốp lát đá Granite tự nhiên màu tím mông cổ cầu thang bộ LT, TB tầng 01, 02, 03, 04, 05, 06</v>
          </cell>
          <cell r="C37" t="str">
            <v>OL-28</v>
          </cell>
          <cell r="D37" t="str">
            <v>14h00</v>
          </cell>
          <cell r="E37" t="str">
            <v>15h00</v>
          </cell>
          <cell r="F37">
            <v>3</v>
          </cell>
          <cell r="G37">
            <v>12</v>
          </cell>
          <cell r="H37">
            <v>2015</v>
          </cell>
          <cell r="I37" t="str">
            <v>Hà Nội, ngày 3 tháng 12 năm 2015</v>
          </cell>
          <cell r="J37" t="str">
            <v>14h00 ngày 3 tháng 12 năm 2015</v>
          </cell>
          <cell r="K37" t="str">
            <v>15h00 ngày 3 tháng 12 năm 2015</v>
          </cell>
          <cell r="L37" t="str">
            <v>15h15</v>
          </cell>
          <cell r="M37" t="str">
            <v>16h15</v>
          </cell>
          <cell r="N37">
            <v>3</v>
          </cell>
          <cell r="O37">
            <v>12</v>
          </cell>
          <cell r="P37">
            <v>2015</v>
          </cell>
          <cell r="Q37" t="str">
            <v>Hà Nội, ngày 3 tháng 12 năm 2015</v>
          </cell>
          <cell r="R37" t="str">
            <v>15h15 ngày 3 tháng 12 năm 2015</v>
          </cell>
          <cell r="S37" t="str">
            <v>16h15 ngày 3 tháng 12 năm 2015</v>
          </cell>
          <cell r="T37" t="str">
            <v>15h15</v>
          </cell>
          <cell r="U37" t="str">
            <v>15h15 Ngày 3/12/2015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KT-201÷KT-203; CTLĐ:03</v>
          </cell>
          <cell r="AQ37" t="str">
            <v>Ngày 3 Tháng 12 Năm 2015</v>
          </cell>
        </row>
        <row r="38">
          <cell r="A38" t="str">
            <v>OL-29</v>
          </cell>
          <cell r="B38" t="str">
            <v>Ốp lát đá Granite tự nhiên màu tím mông cổ cầu thang bộ LT, TB tầng 07, 08, 09, 10, 11</v>
          </cell>
          <cell r="C38" t="str">
            <v>OL-29</v>
          </cell>
          <cell r="D38" t="str">
            <v>8h00</v>
          </cell>
          <cell r="E38" t="str">
            <v>9h00</v>
          </cell>
          <cell r="F38">
            <v>6</v>
          </cell>
          <cell r="G38">
            <v>12</v>
          </cell>
          <cell r="H38">
            <v>2015</v>
          </cell>
          <cell r="I38" t="str">
            <v>Hà Nội, ngày 6 tháng 12 năm 2015</v>
          </cell>
          <cell r="J38" t="str">
            <v>8h00 ngày 6 tháng 12 năm 2015</v>
          </cell>
          <cell r="K38" t="str">
            <v>9h00 ngày 6 tháng 12 năm 2015</v>
          </cell>
          <cell r="L38" t="str">
            <v>9h15</v>
          </cell>
          <cell r="M38" t="str">
            <v>10h15</v>
          </cell>
          <cell r="N38">
            <v>6</v>
          </cell>
          <cell r="O38">
            <v>12</v>
          </cell>
          <cell r="P38">
            <v>2015</v>
          </cell>
          <cell r="Q38" t="str">
            <v>Hà Nội, ngày 6 tháng 12 năm 2015</v>
          </cell>
          <cell r="R38" t="str">
            <v>9h15 ngày 6 tháng 12 năm 2015</v>
          </cell>
          <cell r="S38" t="str">
            <v>10h15 ngày 6 tháng 12 năm 2015</v>
          </cell>
          <cell r="T38" t="str">
            <v>9h15</v>
          </cell>
          <cell r="U38" t="str">
            <v>9h15 Ngày 6/12/2015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KT-201÷KT-203; CTLĐ:03</v>
          </cell>
          <cell r="AQ38" t="str">
            <v>Ngày 6 Tháng 12 Năm 2015</v>
          </cell>
        </row>
        <row r="39">
          <cell r="A39" t="str">
            <v>OLCS-01</v>
          </cell>
          <cell r="B39" t="str">
            <v>Ốp đá Granite cột sảnh tầng 01</v>
          </cell>
          <cell r="C39" t="str">
            <v>OLCS-01</v>
          </cell>
          <cell r="D39" t="str">
            <v>8h00</v>
          </cell>
          <cell r="E39" t="str">
            <v>8h30</v>
          </cell>
          <cell r="F39">
            <v>30</v>
          </cell>
          <cell r="G39">
            <v>11</v>
          </cell>
          <cell r="H39">
            <v>2015</v>
          </cell>
          <cell r="I39" t="str">
            <v>Hà Nội, ngày 30 tháng 11 năm 2015</v>
          </cell>
          <cell r="J39" t="str">
            <v>8h00 ngày 30 tháng 11 năm 2015</v>
          </cell>
          <cell r="K39" t="str">
            <v>8h30 ngày 30 tháng 11 năm 2015</v>
          </cell>
          <cell r="L39" t="str">
            <v>9h00</v>
          </cell>
          <cell r="M39" t="str">
            <v>9h30</v>
          </cell>
          <cell r="N39">
            <v>30</v>
          </cell>
          <cell r="O39">
            <v>11</v>
          </cell>
          <cell r="P39">
            <v>2015</v>
          </cell>
          <cell r="Q39" t="str">
            <v>Hà Nội, ngày 30 tháng 11 năm 2015</v>
          </cell>
          <cell r="R39" t="str">
            <v>9h00 ngày 30 tháng 11 năm 2015</v>
          </cell>
          <cell r="S39" t="str">
            <v>9h30 ngày 30 tháng 11 năm 2015</v>
          </cell>
          <cell r="T39" t="str">
            <v>9h00</v>
          </cell>
          <cell r="U39" t="str">
            <v>9h00 Ngày 30/11/2015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KT-316; KT-317</v>
          </cell>
          <cell r="AQ39" t="str">
            <v>Ngày 30 Tháng 11 Năm 2015</v>
          </cell>
        </row>
        <row r="40">
          <cell r="A40" t="str">
            <v>OLTC-01</v>
          </cell>
          <cell r="B40" t="str">
            <v xml:space="preserve">Lát đá Granite bậc tam cấp TC1, TC3, TC3*, đường dốc DD1, DD2, DD3, tam cấp trước sảnh và sảnh </v>
          </cell>
          <cell r="C40" t="str">
            <v>OLTC-01</v>
          </cell>
          <cell r="D40" t="str">
            <v>8h00</v>
          </cell>
          <cell r="E40" t="str">
            <v>8h45</v>
          </cell>
          <cell r="F40">
            <v>1</v>
          </cell>
          <cell r="G40">
            <v>12</v>
          </cell>
          <cell r="H40">
            <v>2015</v>
          </cell>
          <cell r="I40" t="str">
            <v>Hà Nội, ngày 1 tháng 12 năm 2015</v>
          </cell>
          <cell r="J40" t="str">
            <v>8h00 ngày 1 tháng 12 năm 2015</v>
          </cell>
          <cell r="K40" t="str">
            <v>8h45 ngày 1 tháng 12 năm 2015</v>
          </cell>
          <cell r="L40" t="str">
            <v>9h00</v>
          </cell>
          <cell r="M40" t="str">
            <v>9h45</v>
          </cell>
          <cell r="N40">
            <v>1</v>
          </cell>
          <cell r="O40">
            <v>12</v>
          </cell>
          <cell r="P40">
            <v>2015</v>
          </cell>
          <cell r="Q40" t="str">
            <v>Hà Nội, ngày 1 tháng 12 năm 2015</v>
          </cell>
          <cell r="R40" t="str">
            <v>9h00 ngày 1 tháng 12 năm 2015</v>
          </cell>
          <cell r="S40" t="str">
            <v>9h45 ngày 1 tháng 12 năm 2015</v>
          </cell>
          <cell r="T40" t="str">
            <v>9h00</v>
          </cell>
          <cell r="U40" t="str">
            <v>9h00 Ngày 1/12/2015</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Q40" t="str">
            <v>Ngày 1 Tháng 12 Năm 2015</v>
          </cell>
        </row>
        <row r="41">
          <cell r="D41" t="str">
            <v>……</v>
          </cell>
          <cell r="E41" t="str">
            <v>…….</v>
          </cell>
          <cell r="F41" t="str">
            <v>……</v>
          </cell>
          <cell r="G41" t="str">
            <v>…….</v>
          </cell>
          <cell r="H41" t="str">
            <v>……</v>
          </cell>
          <cell r="I41" t="str">
            <v>Hà Nội, ngày …… tháng ……. năm ……</v>
          </cell>
          <cell r="J41" t="str">
            <v>…… ngày …… tháng ……. năm ……</v>
          </cell>
          <cell r="K41" t="str">
            <v>……. ngày …… tháng ……. năm ……</v>
          </cell>
          <cell r="L41" t="str">
            <v>……</v>
          </cell>
          <cell r="M41" t="str">
            <v>……</v>
          </cell>
          <cell r="N41" t="str">
            <v>……</v>
          </cell>
          <cell r="O41" t="str">
            <v>…….</v>
          </cell>
          <cell r="P41" t="str">
            <v>……</v>
          </cell>
          <cell r="Q41" t="str">
            <v>Hà Nội, ngày …… tháng ……. năm ……</v>
          </cell>
          <cell r="R41" t="str">
            <v>…… ngày …… tháng ……. năm ……</v>
          </cell>
          <cell r="S41" t="str">
            <v>…… ngày …… tháng ……. năm ……</v>
          </cell>
          <cell r="T41" t="str">
            <v>……</v>
          </cell>
          <cell r="U41" t="str">
            <v>…… Ngày ……/……./……</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Q41" t="str">
            <v>Ngày …… Tháng ……. Năm ……</v>
          </cell>
        </row>
        <row r="42">
          <cell r="D42" t="str">
            <v>……</v>
          </cell>
          <cell r="E42" t="str">
            <v>…….</v>
          </cell>
          <cell r="F42" t="str">
            <v>……</v>
          </cell>
          <cell r="G42" t="str">
            <v>…….</v>
          </cell>
          <cell r="H42" t="str">
            <v>……</v>
          </cell>
          <cell r="I42" t="str">
            <v>Hà Nội, ngày …… tháng ……. năm ……</v>
          </cell>
          <cell r="J42" t="str">
            <v>…… ngày …… tháng ……. năm ……</v>
          </cell>
          <cell r="K42" t="str">
            <v>……. ngày …… tháng ……. năm ……</v>
          </cell>
          <cell r="L42" t="str">
            <v>……</v>
          </cell>
          <cell r="M42" t="str">
            <v>……</v>
          </cell>
          <cell r="N42" t="str">
            <v>……</v>
          </cell>
          <cell r="O42" t="str">
            <v>…….</v>
          </cell>
          <cell r="P42" t="str">
            <v>……</v>
          </cell>
          <cell r="Q42" t="str">
            <v>Hà Nội, ngày …… tháng ……. năm ……</v>
          </cell>
          <cell r="R42" t="str">
            <v>…… ngày …… tháng ……. năm ……</v>
          </cell>
          <cell r="S42" t="str">
            <v>…… ngày …… tháng ……. năm ……</v>
          </cell>
          <cell r="T42" t="str">
            <v>……</v>
          </cell>
          <cell r="U42" t="str">
            <v>…… Ngày ……/……./……</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Q42" t="str">
            <v>Ngày …… Tháng ……. Năm ……</v>
          </cell>
        </row>
        <row r="43">
          <cell r="D43" t="str">
            <v>……</v>
          </cell>
          <cell r="E43" t="str">
            <v>…….</v>
          </cell>
          <cell r="F43" t="str">
            <v>……</v>
          </cell>
          <cell r="G43" t="str">
            <v>…….</v>
          </cell>
          <cell r="H43" t="str">
            <v>……</v>
          </cell>
          <cell r="I43" t="str">
            <v>Hà Nội, ngày …… tháng ……. năm ……</v>
          </cell>
          <cell r="J43" t="str">
            <v>…… ngày …… tháng ……. năm ……</v>
          </cell>
          <cell r="K43" t="str">
            <v>……. ngày …… tháng ……. năm ……</v>
          </cell>
          <cell r="L43" t="str">
            <v>……</v>
          </cell>
          <cell r="M43" t="str">
            <v>……</v>
          </cell>
          <cell r="N43" t="str">
            <v>……</v>
          </cell>
          <cell r="O43" t="str">
            <v>…….</v>
          </cell>
          <cell r="P43" t="str">
            <v>……</v>
          </cell>
          <cell r="Q43" t="str">
            <v>Hà Nội, ngày …… tháng ……. năm ……</v>
          </cell>
          <cell r="R43" t="str">
            <v>…… ngày …… tháng ……. năm ……</v>
          </cell>
          <cell r="S43" t="str">
            <v>…… ngày …… tháng ……. năm ……</v>
          </cell>
          <cell r="T43" t="str">
            <v>……</v>
          </cell>
          <cell r="U43" t="str">
            <v>…… Ngày ……/……./……</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Q43" t="str">
            <v>Ngày …… Tháng ……. Năm ……</v>
          </cell>
        </row>
        <row r="44">
          <cell r="D44" t="str">
            <v>……</v>
          </cell>
          <cell r="E44" t="str">
            <v>…….</v>
          </cell>
          <cell r="F44" t="str">
            <v>……</v>
          </cell>
          <cell r="G44" t="str">
            <v>…….</v>
          </cell>
          <cell r="H44" t="str">
            <v>……</v>
          </cell>
          <cell r="I44" t="str">
            <v>Hà Nội, ngày …… tháng ……. năm ……</v>
          </cell>
          <cell r="J44" t="str">
            <v>…… ngày …… tháng ……. năm ……</v>
          </cell>
          <cell r="K44" t="str">
            <v>……. ngày …… tháng ……. năm ……</v>
          </cell>
          <cell r="L44" t="str">
            <v>……</v>
          </cell>
          <cell r="M44" t="str">
            <v>……</v>
          </cell>
          <cell r="N44" t="str">
            <v>……</v>
          </cell>
          <cell r="O44" t="str">
            <v>…….</v>
          </cell>
          <cell r="P44" t="str">
            <v>……</v>
          </cell>
          <cell r="Q44" t="str">
            <v>Hà Nội, ngày …… tháng ……. năm ……</v>
          </cell>
          <cell r="R44" t="str">
            <v>…… ngày …… tháng ……. năm ……</v>
          </cell>
          <cell r="S44" t="str">
            <v>…… ngày …… tháng ……. năm ……</v>
          </cell>
          <cell r="T44" t="str">
            <v>……</v>
          </cell>
          <cell r="U44" t="str">
            <v>…… Ngày ……/……./……</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Q44" t="str">
            <v>Ngày …… Tháng ……. Năm ……</v>
          </cell>
        </row>
        <row r="45">
          <cell r="D45" t="str">
            <v>……</v>
          </cell>
          <cell r="E45" t="str">
            <v>…….</v>
          </cell>
          <cell r="F45" t="str">
            <v>……</v>
          </cell>
          <cell r="G45" t="str">
            <v>…….</v>
          </cell>
          <cell r="H45" t="str">
            <v>……</v>
          </cell>
          <cell r="I45" t="str">
            <v>Hà Nội, ngày …… tháng ……. năm ……</v>
          </cell>
          <cell r="J45" t="str">
            <v>…… ngày …… tháng ……. năm ……</v>
          </cell>
          <cell r="K45" t="str">
            <v>……. ngày …… tháng ……. năm ……</v>
          </cell>
          <cell r="L45" t="str">
            <v>……</v>
          </cell>
          <cell r="M45" t="str">
            <v>……</v>
          </cell>
          <cell r="N45" t="str">
            <v>……</v>
          </cell>
          <cell r="O45" t="str">
            <v>…….</v>
          </cell>
          <cell r="P45" t="str">
            <v>……</v>
          </cell>
          <cell r="Q45" t="str">
            <v>Hà Nội, ngày …… tháng ……. năm ……</v>
          </cell>
          <cell r="R45" t="str">
            <v>…… ngày …… tháng ……. năm ……</v>
          </cell>
          <cell r="S45" t="str">
            <v>…… ngày …… tháng ……. năm ……</v>
          </cell>
          <cell r="T45" t="str">
            <v>……</v>
          </cell>
          <cell r="U45" t="str">
            <v>…… Ngày ……/……./……</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Q45" t="str">
            <v>Ngày …… Tháng ……. Năm ……</v>
          </cell>
        </row>
        <row r="46">
          <cell r="D46" t="str">
            <v>……</v>
          </cell>
          <cell r="E46" t="str">
            <v>…….</v>
          </cell>
          <cell r="F46" t="str">
            <v>……</v>
          </cell>
          <cell r="G46" t="str">
            <v>…….</v>
          </cell>
          <cell r="H46" t="str">
            <v>……</v>
          </cell>
          <cell r="I46" t="str">
            <v>Hà Nội, ngày …… tháng ……. năm ……</v>
          </cell>
          <cell r="J46" t="str">
            <v>…… ngày …… tháng ……. năm ……</v>
          </cell>
          <cell r="K46" t="str">
            <v>……. ngày …… tháng ……. năm ……</v>
          </cell>
          <cell r="L46" t="str">
            <v>……</v>
          </cell>
          <cell r="M46" t="str">
            <v>……</v>
          </cell>
          <cell r="N46" t="str">
            <v>……</v>
          </cell>
          <cell r="O46" t="str">
            <v>…….</v>
          </cell>
          <cell r="P46" t="str">
            <v>……</v>
          </cell>
          <cell r="Q46" t="str">
            <v>Hà Nội, ngày …… tháng ……. năm ……</v>
          </cell>
          <cell r="R46" t="str">
            <v>…… ngày …… tháng ……. năm ……</v>
          </cell>
          <cell r="S46" t="str">
            <v>…… ngày …… tháng ……. năm ……</v>
          </cell>
          <cell r="T46" t="str">
            <v>……</v>
          </cell>
          <cell r="U46" t="str">
            <v>…… Ngày ……/……./……</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Q46" t="str">
            <v>Ngày …… Tháng ……. Năm ……</v>
          </cell>
        </row>
        <row r="47">
          <cell r="D47" t="str">
            <v>……</v>
          </cell>
          <cell r="E47" t="str">
            <v>…….</v>
          </cell>
          <cell r="F47" t="str">
            <v>……</v>
          </cell>
          <cell r="G47" t="str">
            <v>…….</v>
          </cell>
          <cell r="H47" t="str">
            <v>……</v>
          </cell>
          <cell r="I47" t="str">
            <v>Hà Nội, ngày …… tháng ……. năm ……</v>
          </cell>
          <cell r="J47" t="str">
            <v>…… ngày …… tháng ……. năm ……</v>
          </cell>
          <cell r="K47" t="str">
            <v>……. ngày …… tháng ……. năm ……</v>
          </cell>
          <cell r="L47" t="str">
            <v>……</v>
          </cell>
          <cell r="M47" t="str">
            <v>……</v>
          </cell>
          <cell r="N47" t="str">
            <v>……</v>
          </cell>
          <cell r="O47" t="str">
            <v>…….</v>
          </cell>
          <cell r="P47" t="str">
            <v>……</v>
          </cell>
          <cell r="Q47" t="str">
            <v>Hà Nội, ngày …… tháng ……. năm ……</v>
          </cell>
          <cell r="R47" t="str">
            <v>…… ngày …… tháng ……. năm ……</v>
          </cell>
          <cell r="S47" t="str">
            <v>…… ngày …… tháng ……. năm ……</v>
          </cell>
          <cell r="T47" t="str">
            <v>……</v>
          </cell>
          <cell r="U47" t="str">
            <v>…… Ngày ……/……./……</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Q47" t="str">
            <v>Ngày …… Tháng ……. Năm ……</v>
          </cell>
        </row>
        <row r="48">
          <cell r="D48" t="str">
            <v>……</v>
          </cell>
          <cell r="E48" t="str">
            <v>…….</v>
          </cell>
          <cell r="F48" t="str">
            <v>……</v>
          </cell>
          <cell r="G48" t="str">
            <v>…….</v>
          </cell>
          <cell r="H48" t="str">
            <v>……</v>
          </cell>
          <cell r="I48" t="str">
            <v>Hà Nội, ngày …… tháng ……. năm ……</v>
          </cell>
          <cell r="J48" t="str">
            <v>…… ngày …… tháng ……. năm ……</v>
          </cell>
          <cell r="K48" t="str">
            <v>……. ngày …… tháng ……. năm ……</v>
          </cell>
          <cell r="L48" t="str">
            <v>……</v>
          </cell>
          <cell r="M48" t="str">
            <v>……</v>
          </cell>
          <cell r="N48" t="str">
            <v>……</v>
          </cell>
          <cell r="O48" t="str">
            <v>…….</v>
          </cell>
          <cell r="P48" t="str">
            <v>……</v>
          </cell>
          <cell r="Q48" t="str">
            <v>Hà Nội, ngày …… tháng ……. năm ……</v>
          </cell>
          <cell r="R48" t="str">
            <v>…… ngày …… tháng ……. năm ……</v>
          </cell>
          <cell r="S48" t="str">
            <v>…… ngày …… tháng ……. năm ……</v>
          </cell>
          <cell r="T48" t="str">
            <v>……</v>
          </cell>
          <cell r="U48" t="str">
            <v>…… Ngày ……/……./……</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Q48" t="str">
            <v>Ngày …… Tháng ……. Năm ……</v>
          </cell>
        </row>
        <row r="49">
          <cell r="D49" t="str">
            <v>……</v>
          </cell>
          <cell r="E49" t="str">
            <v>…….</v>
          </cell>
          <cell r="F49" t="str">
            <v>……</v>
          </cell>
          <cell r="G49" t="str">
            <v>…….</v>
          </cell>
          <cell r="H49" t="str">
            <v>……</v>
          </cell>
          <cell r="I49" t="str">
            <v>Hà Nội, ngày …… tháng ……. năm ……</v>
          </cell>
          <cell r="J49" t="str">
            <v>…… ngày …… tháng ……. năm ……</v>
          </cell>
          <cell r="K49" t="str">
            <v>……. ngày …… tháng ……. năm ……</v>
          </cell>
          <cell r="L49" t="str">
            <v>……</v>
          </cell>
          <cell r="M49" t="str">
            <v>……</v>
          </cell>
          <cell r="N49" t="str">
            <v>……</v>
          </cell>
          <cell r="O49" t="str">
            <v>…….</v>
          </cell>
          <cell r="P49" t="str">
            <v>……</v>
          </cell>
          <cell r="Q49" t="str">
            <v>Hà Nội, ngày …… tháng ……. năm ……</v>
          </cell>
          <cell r="R49" t="str">
            <v>…… ngày …… tháng ……. năm ……</v>
          </cell>
          <cell r="S49" t="str">
            <v>…… ngày …… tháng ……. năm ……</v>
          </cell>
          <cell r="T49" t="str">
            <v>……</v>
          </cell>
          <cell r="U49" t="str">
            <v>…… Ngày ……/……./……</v>
          </cell>
          <cell r="V49" t="str">
            <v>Nguyễn Ái Việt</v>
          </cell>
          <cell r="W49" t="str">
            <v>Chỉ huy trưởng</v>
          </cell>
          <cell r="X49" t="str">
            <v>................................</v>
          </cell>
          <cell r="Y49" t="str">
            <v>................................</v>
          </cell>
          <cell r="Z49" t="str">
            <v>Nguyễn Văn Nghiễm</v>
          </cell>
          <cell r="AA49" t="str">
            <v>Cán bộ KCS</v>
          </cell>
          <cell r="AB49" t="str">
            <v>Vương Toàn Hiếu</v>
          </cell>
          <cell r="AC49" t="str">
            <v>Trưởng đoàn TVGS</v>
          </cell>
          <cell r="AD49" t="str">
            <v>Lê Thiều Nam</v>
          </cell>
          <cell r="AE49" t="str">
            <v>Cán bộ TVGS</v>
          </cell>
          <cell r="AF49" t="str">
            <v>................................</v>
          </cell>
          <cell r="AG49" t="str">
            <v>................................</v>
          </cell>
          <cell r="AH49" t="str">
            <v>Nguyễn Ái Việt</v>
          </cell>
          <cell r="AI49" t="str">
            <v>Chỉ huy trưởng</v>
          </cell>
          <cell r="AJ49" t="str">
            <v>Hoàng Chiến Thắng</v>
          </cell>
          <cell r="AK49" t="str">
            <v>P. Chỉ huy trưởng</v>
          </cell>
          <cell r="AL49" t="str">
            <v>Trịnh Quang Đức</v>
          </cell>
          <cell r="AM49" t="str">
            <v>Cán bộ kỹ thuật</v>
          </cell>
          <cell r="AQ49" t="str">
            <v>Ngày …… Tháng ……. Năm ……</v>
          </cell>
        </row>
        <row r="50">
          <cell r="D50" t="str">
            <v>……</v>
          </cell>
          <cell r="E50" t="str">
            <v>…….</v>
          </cell>
          <cell r="F50" t="str">
            <v>……</v>
          </cell>
          <cell r="G50" t="str">
            <v>…….</v>
          </cell>
          <cell r="H50" t="str">
            <v>……</v>
          </cell>
          <cell r="I50" t="str">
            <v>Hà Nội, ngày …… tháng ……. năm ……</v>
          </cell>
          <cell r="J50" t="str">
            <v>…… ngày …… tháng ……. năm ……</v>
          </cell>
          <cell r="K50" t="str">
            <v>……. ngày …… tháng ……. năm ……</v>
          </cell>
          <cell r="L50" t="str">
            <v>……</v>
          </cell>
          <cell r="M50" t="str">
            <v>……</v>
          </cell>
          <cell r="N50" t="str">
            <v>……</v>
          </cell>
          <cell r="O50" t="str">
            <v>…….</v>
          </cell>
          <cell r="P50" t="str">
            <v>……</v>
          </cell>
          <cell r="Q50" t="str">
            <v>Hà Nội, ngày …… tháng ……. năm ……</v>
          </cell>
          <cell r="R50" t="str">
            <v>…… ngày …… tháng ……. năm ……</v>
          </cell>
          <cell r="S50" t="str">
            <v>…… ngày …… tháng ……. năm ……</v>
          </cell>
          <cell r="T50" t="str">
            <v>……</v>
          </cell>
          <cell r="U50" t="str">
            <v>…… Ngày ……/……./……</v>
          </cell>
          <cell r="V50" t="str">
            <v>Nguyễn Ái Việt</v>
          </cell>
          <cell r="W50" t="str">
            <v>Chỉ huy trưởng</v>
          </cell>
          <cell r="X50" t="str">
            <v>................................</v>
          </cell>
          <cell r="Y50" t="str">
            <v>................................</v>
          </cell>
          <cell r="Z50" t="str">
            <v>Nguyễn Văn Nghiễm</v>
          </cell>
          <cell r="AA50" t="str">
            <v>Cán bộ KCS</v>
          </cell>
          <cell r="AB50" t="str">
            <v>Vương Toàn Hiếu</v>
          </cell>
          <cell r="AC50" t="str">
            <v>Trưởng đoàn TVGS</v>
          </cell>
          <cell r="AD50" t="str">
            <v>Lê Thiều Nam</v>
          </cell>
          <cell r="AE50" t="str">
            <v>Cán bộ TVGS</v>
          </cell>
          <cell r="AF50" t="str">
            <v>................................</v>
          </cell>
          <cell r="AG50" t="str">
            <v>................................</v>
          </cell>
          <cell r="AH50" t="str">
            <v>Nguyễn Ái Việt</v>
          </cell>
          <cell r="AI50" t="str">
            <v>Chỉ huy trưởng</v>
          </cell>
          <cell r="AJ50" t="str">
            <v>Hoàng Chiến Thắng</v>
          </cell>
          <cell r="AK50" t="str">
            <v>P. Chỉ huy trưởng</v>
          </cell>
          <cell r="AL50" t="str">
            <v>Trịnh Quang Đức</v>
          </cell>
          <cell r="AM50" t="str">
            <v>Cán bộ kỹ thuật</v>
          </cell>
          <cell r="AQ50" t="str">
            <v>Ngày …… Tháng ……. Năm ……</v>
          </cell>
        </row>
        <row r="51">
          <cell r="D51" t="str">
            <v>……</v>
          </cell>
          <cell r="E51" t="str">
            <v>…….</v>
          </cell>
          <cell r="F51" t="str">
            <v>……</v>
          </cell>
          <cell r="G51" t="str">
            <v>…….</v>
          </cell>
          <cell r="H51" t="str">
            <v>……</v>
          </cell>
          <cell r="I51" t="str">
            <v>Hà Nội, ngày …… tháng ……. năm ……</v>
          </cell>
          <cell r="J51" t="str">
            <v>…… ngày …… tháng ……. năm ……</v>
          </cell>
          <cell r="K51" t="str">
            <v>……. ngày …… tháng ……. năm ……</v>
          </cell>
          <cell r="L51" t="str">
            <v>……</v>
          </cell>
          <cell r="M51" t="str">
            <v>……</v>
          </cell>
          <cell r="N51" t="str">
            <v>……</v>
          </cell>
          <cell r="O51" t="str">
            <v>…….</v>
          </cell>
          <cell r="P51" t="str">
            <v>……</v>
          </cell>
          <cell r="Q51" t="str">
            <v>Hà Nội, ngày …… tháng ……. năm ……</v>
          </cell>
          <cell r="R51" t="str">
            <v>…… ngày …… tháng ……. năm ……</v>
          </cell>
          <cell r="S51" t="str">
            <v>…… ngày …… tháng ……. năm ……</v>
          </cell>
          <cell r="T51" t="str">
            <v>……</v>
          </cell>
          <cell r="U51" t="str">
            <v>…… Ngày ……/……./……</v>
          </cell>
          <cell r="V51" t="str">
            <v>Nguyễn Ái Việt</v>
          </cell>
          <cell r="W51" t="str">
            <v>Chỉ huy trưởng</v>
          </cell>
          <cell r="X51" t="str">
            <v>................................</v>
          </cell>
          <cell r="Y51" t="str">
            <v>................................</v>
          </cell>
          <cell r="Z51" t="str">
            <v>Nguyễn Văn Nghiễm</v>
          </cell>
          <cell r="AA51" t="str">
            <v>Cán bộ KCS</v>
          </cell>
          <cell r="AB51" t="str">
            <v>Vương Toàn Hiếu</v>
          </cell>
          <cell r="AC51" t="str">
            <v>Trưởng đoàn TVGS</v>
          </cell>
          <cell r="AD51" t="str">
            <v>Lê Thiều Nam</v>
          </cell>
          <cell r="AE51" t="str">
            <v>Cán bộ TVGS</v>
          </cell>
          <cell r="AF51" t="str">
            <v>................................</v>
          </cell>
          <cell r="AG51" t="str">
            <v>................................</v>
          </cell>
          <cell r="AH51" t="str">
            <v>Nguyễn Ái Việt</v>
          </cell>
          <cell r="AI51" t="str">
            <v>Chỉ huy trưởng</v>
          </cell>
          <cell r="AJ51" t="str">
            <v>Hoàng Chiến Thắng</v>
          </cell>
          <cell r="AK51" t="str">
            <v>P. Chỉ huy trưởng</v>
          </cell>
          <cell r="AL51" t="str">
            <v>Trịnh Quang Đức</v>
          </cell>
          <cell r="AM51" t="str">
            <v>Cán bộ kỹ thuật</v>
          </cell>
          <cell r="AQ51" t="str">
            <v>Ngày …… Tháng ……. Năm ……</v>
          </cell>
        </row>
        <row r="52">
          <cell r="D52" t="str">
            <v>……</v>
          </cell>
          <cell r="E52" t="str">
            <v>…….</v>
          </cell>
          <cell r="F52" t="str">
            <v>……</v>
          </cell>
          <cell r="G52" t="str">
            <v>…….</v>
          </cell>
          <cell r="H52" t="str">
            <v>……</v>
          </cell>
          <cell r="I52" t="str">
            <v>Hà Nội, ngày …… tháng ……. năm ……</v>
          </cell>
          <cell r="J52" t="str">
            <v>…… ngày …… tháng ……. năm ……</v>
          </cell>
          <cell r="K52" t="str">
            <v>……. ngày …… tháng ……. năm ……</v>
          </cell>
          <cell r="L52" t="str">
            <v>……</v>
          </cell>
          <cell r="M52" t="str">
            <v>……</v>
          </cell>
          <cell r="N52" t="str">
            <v>……</v>
          </cell>
          <cell r="O52" t="str">
            <v>…….</v>
          </cell>
          <cell r="P52" t="str">
            <v>……</v>
          </cell>
          <cell r="Q52" t="str">
            <v>Hà Nội, ngày …… tháng ……. năm ……</v>
          </cell>
          <cell r="R52" t="str">
            <v>…… ngày …… tháng ……. năm ……</v>
          </cell>
          <cell r="S52" t="str">
            <v>…… ngày …… tháng ……. năm ……</v>
          </cell>
          <cell r="T52" t="str">
            <v>……</v>
          </cell>
          <cell r="U52" t="str">
            <v>…… Ngày ……/……./……</v>
          </cell>
          <cell r="V52" t="str">
            <v>Nguyễn Ái Việt</v>
          </cell>
          <cell r="W52" t="str">
            <v>Chỉ huy trưởng</v>
          </cell>
          <cell r="X52" t="str">
            <v>................................</v>
          </cell>
          <cell r="Y52" t="str">
            <v>................................</v>
          </cell>
          <cell r="Z52" t="str">
            <v>Nguyễn Văn Nghiễm</v>
          </cell>
          <cell r="AA52" t="str">
            <v>Cán bộ KCS</v>
          </cell>
          <cell r="AB52" t="str">
            <v>Vương Toàn Hiếu</v>
          </cell>
          <cell r="AC52" t="str">
            <v>Trưởng đoàn TVGS</v>
          </cell>
          <cell r="AD52" t="str">
            <v>Lê Thiều Nam</v>
          </cell>
          <cell r="AE52" t="str">
            <v>Cán bộ TVGS</v>
          </cell>
          <cell r="AF52" t="str">
            <v>................................</v>
          </cell>
          <cell r="AG52" t="str">
            <v>................................</v>
          </cell>
          <cell r="AH52" t="str">
            <v>Nguyễn Ái Việt</v>
          </cell>
          <cell r="AI52" t="str">
            <v>Chỉ huy trưởng</v>
          </cell>
          <cell r="AJ52" t="str">
            <v>Hoàng Chiến Thắng</v>
          </cell>
          <cell r="AK52" t="str">
            <v>P. Chỉ huy trưởng</v>
          </cell>
          <cell r="AL52" t="str">
            <v>Trịnh Quang Đức</v>
          </cell>
          <cell r="AM52" t="str">
            <v>Cán bộ kỹ thuật</v>
          </cell>
          <cell r="AQ52" t="str">
            <v>Ngày …… Tháng ……. Năm ……</v>
          </cell>
        </row>
        <row r="53">
          <cell r="D53" t="str">
            <v>……</v>
          </cell>
          <cell r="E53" t="str">
            <v>…….</v>
          </cell>
          <cell r="F53" t="str">
            <v>……</v>
          </cell>
          <cell r="G53" t="str">
            <v>…….</v>
          </cell>
          <cell r="H53" t="str">
            <v>……</v>
          </cell>
          <cell r="I53" t="str">
            <v>Hà Nội, ngày …… tháng ……. năm ……</v>
          </cell>
          <cell r="J53" t="str">
            <v>…… ngày …… tháng ……. năm ……</v>
          </cell>
          <cell r="K53" t="str">
            <v>……. ngày …… tháng ……. năm ……</v>
          </cell>
          <cell r="L53" t="str">
            <v>……</v>
          </cell>
          <cell r="M53" t="str">
            <v>……</v>
          </cell>
          <cell r="N53" t="str">
            <v>……</v>
          </cell>
          <cell r="O53" t="str">
            <v>…….</v>
          </cell>
          <cell r="P53" t="str">
            <v>……</v>
          </cell>
          <cell r="Q53" t="str">
            <v>Hà Nội, ngày …… tháng ……. năm ……</v>
          </cell>
          <cell r="R53" t="str">
            <v>…… ngày …… tháng ……. năm ……</v>
          </cell>
          <cell r="S53" t="str">
            <v>…… ngày …… tháng ……. năm ……</v>
          </cell>
          <cell r="T53" t="str">
            <v>……</v>
          </cell>
          <cell r="U53" t="str">
            <v>…… Ngày ……/……./……</v>
          </cell>
          <cell r="V53" t="str">
            <v>Nguyễn Ái Việt</v>
          </cell>
          <cell r="W53" t="str">
            <v>Chỉ huy trưởng</v>
          </cell>
          <cell r="X53" t="str">
            <v>................................</v>
          </cell>
          <cell r="Y53" t="str">
            <v>................................</v>
          </cell>
          <cell r="Z53" t="str">
            <v>Nguyễn Văn Nghiễm</v>
          </cell>
          <cell r="AA53" t="str">
            <v>Cán bộ KCS</v>
          </cell>
          <cell r="AB53" t="str">
            <v>Vương Toàn Hiếu</v>
          </cell>
          <cell r="AC53" t="str">
            <v>Trưởng đoàn TVGS</v>
          </cell>
          <cell r="AD53" t="str">
            <v>Lê Thiều Nam</v>
          </cell>
          <cell r="AE53" t="str">
            <v>Cán bộ TVGS</v>
          </cell>
          <cell r="AF53" t="str">
            <v>................................</v>
          </cell>
          <cell r="AG53" t="str">
            <v>................................</v>
          </cell>
          <cell r="AH53" t="str">
            <v>Nguyễn Ái Việt</v>
          </cell>
          <cell r="AI53" t="str">
            <v>Chỉ huy trưởng</v>
          </cell>
          <cell r="AJ53" t="str">
            <v>Hoàng Chiến Thắng</v>
          </cell>
          <cell r="AK53" t="str">
            <v>P. Chỉ huy trưởng</v>
          </cell>
          <cell r="AL53" t="str">
            <v>Trịnh Quang Đức</v>
          </cell>
          <cell r="AM53" t="str">
            <v>Cán bộ kỹ thuật</v>
          </cell>
          <cell r="AQ53" t="str">
            <v>Ngày …… Tháng ……. Năm ……</v>
          </cell>
        </row>
        <row r="54">
          <cell r="D54" t="str">
            <v>……</v>
          </cell>
          <cell r="E54" t="str">
            <v>…….</v>
          </cell>
          <cell r="F54" t="str">
            <v>……</v>
          </cell>
          <cell r="G54" t="str">
            <v>…….</v>
          </cell>
          <cell r="H54" t="str">
            <v>……</v>
          </cell>
          <cell r="I54" t="str">
            <v>Hà Nội, ngày …… tháng ……. năm ……</v>
          </cell>
          <cell r="J54" t="str">
            <v>…… ngày …… tháng ……. năm ……</v>
          </cell>
          <cell r="K54" t="str">
            <v>……. ngày …… tháng ……. năm ……</v>
          </cell>
          <cell r="L54" t="str">
            <v>……</v>
          </cell>
          <cell r="M54" t="str">
            <v>……</v>
          </cell>
          <cell r="N54" t="str">
            <v>……</v>
          </cell>
          <cell r="O54" t="str">
            <v>…….</v>
          </cell>
          <cell r="P54" t="str">
            <v>……</v>
          </cell>
          <cell r="Q54" t="str">
            <v>Hà Nội, ngày …… tháng ……. năm ……</v>
          </cell>
          <cell r="R54" t="str">
            <v>…… ngày …… tháng ……. năm ……</v>
          </cell>
          <cell r="S54" t="str">
            <v>…… ngày …… tháng ……. năm ……</v>
          </cell>
          <cell r="T54" t="str">
            <v>……</v>
          </cell>
          <cell r="U54" t="str">
            <v>…… Ngày ……/……./……</v>
          </cell>
          <cell r="V54" t="str">
            <v>Nguyễn Ái Việt</v>
          </cell>
          <cell r="W54" t="str">
            <v>Chỉ huy trưởng</v>
          </cell>
          <cell r="X54" t="str">
            <v>................................</v>
          </cell>
          <cell r="Y54" t="str">
            <v>................................</v>
          </cell>
          <cell r="Z54" t="str">
            <v>Nguyễn Văn Nghiễm</v>
          </cell>
          <cell r="AA54" t="str">
            <v>Cán bộ KCS</v>
          </cell>
          <cell r="AB54" t="str">
            <v>Vương Toàn Hiếu</v>
          </cell>
          <cell r="AC54" t="str">
            <v>Trưởng đoàn TVGS</v>
          </cell>
          <cell r="AD54" t="str">
            <v>Lê Thiều Nam</v>
          </cell>
          <cell r="AE54" t="str">
            <v>Cán bộ TVGS</v>
          </cell>
          <cell r="AF54" t="str">
            <v>................................</v>
          </cell>
          <cell r="AG54" t="str">
            <v>................................</v>
          </cell>
          <cell r="AH54" t="str">
            <v>Nguyễn Ái Việt</v>
          </cell>
          <cell r="AI54" t="str">
            <v>Chỉ huy trưởng</v>
          </cell>
          <cell r="AJ54" t="str">
            <v>Hoàng Chiến Thắng</v>
          </cell>
          <cell r="AK54" t="str">
            <v>P. Chỉ huy trưởng</v>
          </cell>
          <cell r="AL54" t="str">
            <v>Trịnh Quang Đức</v>
          </cell>
          <cell r="AM54" t="str">
            <v>Cán bộ kỹ thuật</v>
          </cell>
          <cell r="AQ54" t="str">
            <v>Ngày …… Tháng ……. Năm ……</v>
          </cell>
        </row>
        <row r="55">
          <cell r="D55" t="str">
            <v>……</v>
          </cell>
          <cell r="E55" t="str">
            <v>…….</v>
          </cell>
          <cell r="F55" t="str">
            <v>……</v>
          </cell>
          <cell r="G55" t="str">
            <v>…….</v>
          </cell>
          <cell r="H55" t="str">
            <v>……</v>
          </cell>
          <cell r="I55" t="str">
            <v>Hà Nội, ngày …… tháng ……. năm ……</v>
          </cell>
          <cell r="J55" t="str">
            <v>…… ngày …… tháng ……. năm ……</v>
          </cell>
          <cell r="K55" t="str">
            <v>……. ngày …… tháng ……. năm ……</v>
          </cell>
          <cell r="L55" t="str">
            <v>……</v>
          </cell>
          <cell r="M55" t="str">
            <v>……</v>
          </cell>
          <cell r="N55" t="str">
            <v>……</v>
          </cell>
          <cell r="O55" t="str">
            <v>…….</v>
          </cell>
          <cell r="P55" t="str">
            <v>……</v>
          </cell>
          <cell r="Q55" t="str">
            <v>Hà Nội, ngày …… tháng ……. năm ……</v>
          </cell>
          <cell r="R55" t="str">
            <v>…… ngày …… tháng ……. năm ……</v>
          </cell>
          <cell r="S55" t="str">
            <v>…… ngày …… tháng ……. năm ……</v>
          </cell>
          <cell r="T55" t="str">
            <v>……</v>
          </cell>
          <cell r="U55" t="str">
            <v>…… Ngày ……/……./……</v>
          </cell>
          <cell r="V55" t="str">
            <v>Nguyễn Ái Việt</v>
          </cell>
          <cell r="W55" t="str">
            <v>Chỉ huy trưởng</v>
          </cell>
          <cell r="X55" t="str">
            <v>................................</v>
          </cell>
          <cell r="Y55" t="str">
            <v>................................</v>
          </cell>
          <cell r="Z55" t="str">
            <v>Nguyễn Văn Nghiễm</v>
          </cell>
          <cell r="AA55" t="str">
            <v>Cán bộ KCS</v>
          </cell>
          <cell r="AB55" t="str">
            <v>Vương Toàn Hiếu</v>
          </cell>
          <cell r="AC55" t="str">
            <v>Trưởng đoàn TVGS</v>
          </cell>
          <cell r="AD55" t="str">
            <v>Lê Thiều Nam</v>
          </cell>
          <cell r="AE55" t="str">
            <v>Cán bộ TVGS</v>
          </cell>
          <cell r="AF55" t="str">
            <v>................................</v>
          </cell>
          <cell r="AG55" t="str">
            <v>................................</v>
          </cell>
          <cell r="AH55" t="str">
            <v>Nguyễn Ái Việt</v>
          </cell>
          <cell r="AI55" t="str">
            <v>Chỉ huy trưởng</v>
          </cell>
          <cell r="AJ55" t="str">
            <v>Hoàng Chiến Thắng</v>
          </cell>
          <cell r="AK55" t="str">
            <v>P. Chỉ huy trưởng</v>
          </cell>
          <cell r="AL55" t="str">
            <v>Trịnh Quang Đức</v>
          </cell>
          <cell r="AM55" t="str">
            <v>Cán bộ kỹ thuật</v>
          </cell>
          <cell r="AQ55" t="str">
            <v>Ngày …… Tháng ……. Năm ……</v>
          </cell>
        </row>
        <row r="56">
          <cell r="D56" t="str">
            <v>……</v>
          </cell>
          <cell r="E56" t="str">
            <v>…….</v>
          </cell>
          <cell r="F56" t="str">
            <v>……</v>
          </cell>
          <cell r="G56" t="str">
            <v>…….</v>
          </cell>
          <cell r="H56" t="str">
            <v>……</v>
          </cell>
          <cell r="I56" t="str">
            <v>Hà Nội, ngày …… tháng ……. năm ……</v>
          </cell>
          <cell r="J56" t="str">
            <v>…… ngày …… tháng ……. năm ……</v>
          </cell>
          <cell r="K56" t="str">
            <v>……. ngày …… tháng ……. năm ……</v>
          </cell>
          <cell r="L56" t="str">
            <v>……</v>
          </cell>
          <cell r="M56" t="str">
            <v>……</v>
          </cell>
          <cell r="N56" t="str">
            <v>……</v>
          </cell>
          <cell r="O56" t="str">
            <v>…….</v>
          </cell>
          <cell r="P56" t="str">
            <v>……</v>
          </cell>
          <cell r="Q56" t="str">
            <v>Hà Nội, ngày …… tháng ……. năm ……</v>
          </cell>
          <cell r="R56" t="str">
            <v>…… ngày …… tháng ……. năm ……</v>
          </cell>
          <cell r="S56" t="str">
            <v>…… ngày …… tháng ……. năm ……</v>
          </cell>
          <cell r="T56" t="str">
            <v>……</v>
          </cell>
          <cell r="U56" t="str">
            <v>…… Ngày ……/……./……</v>
          </cell>
          <cell r="V56" t="str">
            <v>Nguyễn Ái Việt</v>
          </cell>
          <cell r="W56" t="str">
            <v>Chỉ huy trưởng</v>
          </cell>
          <cell r="X56" t="str">
            <v>................................</v>
          </cell>
          <cell r="Y56" t="str">
            <v>................................</v>
          </cell>
          <cell r="Z56" t="str">
            <v>Nguyễn Văn Nghiễm</v>
          </cell>
          <cell r="AA56" t="str">
            <v>Cán bộ KCS</v>
          </cell>
          <cell r="AB56" t="str">
            <v>Vương Toàn Hiếu</v>
          </cell>
          <cell r="AC56" t="str">
            <v>Trưởng đoàn TVGS</v>
          </cell>
          <cell r="AD56" t="str">
            <v>Lê Thiều Nam</v>
          </cell>
          <cell r="AE56" t="str">
            <v>Cán bộ TVGS</v>
          </cell>
          <cell r="AF56" t="str">
            <v>................................</v>
          </cell>
          <cell r="AG56" t="str">
            <v>................................</v>
          </cell>
          <cell r="AH56" t="str">
            <v>Nguyễn Ái Việt</v>
          </cell>
          <cell r="AI56" t="str">
            <v>Chỉ huy trưởng</v>
          </cell>
          <cell r="AJ56" t="str">
            <v>Hoàng Chiến Thắng</v>
          </cell>
          <cell r="AK56" t="str">
            <v>P. Chỉ huy trưởng</v>
          </cell>
          <cell r="AL56" t="str">
            <v>Trịnh Quang Đức</v>
          </cell>
          <cell r="AM56" t="str">
            <v>Cán bộ kỹ thuật</v>
          </cell>
          <cell r="AQ56" t="str">
            <v>Ngày …… Tháng ……. Năm ……</v>
          </cell>
        </row>
        <row r="57">
          <cell r="D57" t="str">
            <v>……</v>
          </cell>
          <cell r="E57" t="str">
            <v>…….</v>
          </cell>
          <cell r="F57" t="str">
            <v>……</v>
          </cell>
          <cell r="G57" t="str">
            <v>…….</v>
          </cell>
          <cell r="H57" t="str">
            <v>……</v>
          </cell>
          <cell r="I57" t="str">
            <v>Hà Nội, ngày …… tháng ……. năm ……</v>
          </cell>
          <cell r="J57" t="str">
            <v>…… ngày …… tháng ……. năm ……</v>
          </cell>
          <cell r="K57" t="str">
            <v>……. ngày …… tháng ……. năm ……</v>
          </cell>
          <cell r="L57" t="str">
            <v>……</v>
          </cell>
          <cell r="M57" t="str">
            <v>……</v>
          </cell>
          <cell r="N57" t="str">
            <v>……</v>
          </cell>
          <cell r="O57" t="str">
            <v>…….</v>
          </cell>
          <cell r="P57" t="str">
            <v>……</v>
          </cell>
          <cell r="Q57" t="str">
            <v>Hà Nội, ngày …… tháng ……. năm ……</v>
          </cell>
          <cell r="R57" t="str">
            <v>…… ngày …… tháng ……. năm ……</v>
          </cell>
          <cell r="S57" t="str">
            <v>…… ngày …… tháng ……. năm ……</v>
          </cell>
          <cell r="T57" t="str">
            <v>……</v>
          </cell>
          <cell r="U57" t="str">
            <v>…… Ngày ……/……./……</v>
          </cell>
          <cell r="V57" t="str">
            <v>Nguyễn Ái Việt</v>
          </cell>
          <cell r="W57" t="str">
            <v>Chỉ huy trưởng</v>
          </cell>
          <cell r="X57" t="str">
            <v>................................</v>
          </cell>
          <cell r="Y57" t="str">
            <v>................................</v>
          </cell>
          <cell r="Z57" t="str">
            <v>Nguyễn Văn Nghiễm</v>
          </cell>
          <cell r="AA57" t="str">
            <v>Cán bộ KCS</v>
          </cell>
          <cell r="AB57" t="str">
            <v>Vương Toàn Hiếu</v>
          </cell>
          <cell r="AC57" t="str">
            <v>Trưởng đoàn TVGS</v>
          </cell>
          <cell r="AD57" t="str">
            <v>Lê Thiều Nam</v>
          </cell>
          <cell r="AE57" t="str">
            <v>Cán bộ TVGS</v>
          </cell>
          <cell r="AF57" t="str">
            <v>................................</v>
          </cell>
          <cell r="AG57" t="str">
            <v>................................</v>
          </cell>
          <cell r="AH57" t="str">
            <v>Nguyễn Ái Việt</v>
          </cell>
          <cell r="AI57" t="str">
            <v>Chỉ huy trưởng</v>
          </cell>
          <cell r="AJ57" t="str">
            <v>Hoàng Chiến Thắng</v>
          </cell>
          <cell r="AK57" t="str">
            <v>P. Chỉ huy trưởng</v>
          </cell>
          <cell r="AL57" t="str">
            <v>Trịnh Quang Đức</v>
          </cell>
          <cell r="AM57" t="str">
            <v>Cán bộ kỹ thuật</v>
          </cell>
          <cell r="AQ57" t="str">
            <v>Ngày …… Tháng ……. Năm ……</v>
          </cell>
        </row>
        <row r="58">
          <cell r="D58" t="str">
            <v>……</v>
          </cell>
          <cell r="E58" t="str">
            <v>…….</v>
          </cell>
          <cell r="F58" t="str">
            <v>……</v>
          </cell>
          <cell r="G58" t="str">
            <v>…….</v>
          </cell>
          <cell r="H58" t="str">
            <v>……</v>
          </cell>
          <cell r="I58" t="str">
            <v>Hà Nội, ngày …… tháng ……. năm ……</v>
          </cell>
          <cell r="J58" t="str">
            <v>…… ngày …… tháng ……. năm ……</v>
          </cell>
          <cell r="K58" t="str">
            <v>……. ngày …… tháng ……. năm ……</v>
          </cell>
          <cell r="L58" t="str">
            <v>……</v>
          </cell>
          <cell r="M58" t="str">
            <v>……</v>
          </cell>
          <cell r="N58" t="str">
            <v>……</v>
          </cell>
          <cell r="O58" t="str">
            <v>…….</v>
          </cell>
          <cell r="P58" t="str">
            <v>……</v>
          </cell>
          <cell r="Q58" t="str">
            <v>Hà Nội, ngày …… tháng ……. năm ……</v>
          </cell>
          <cell r="R58" t="str">
            <v>…… ngày …… tháng ……. năm ……</v>
          </cell>
          <cell r="S58" t="str">
            <v>…… ngày …… tháng ……. năm ……</v>
          </cell>
          <cell r="T58" t="str">
            <v>……</v>
          </cell>
          <cell r="U58" t="str">
            <v>…… Ngày ……/……./……</v>
          </cell>
          <cell r="V58" t="str">
            <v>Nguyễn Ái Việt</v>
          </cell>
          <cell r="W58" t="str">
            <v>Chỉ huy trưởng</v>
          </cell>
          <cell r="X58" t="str">
            <v>................................</v>
          </cell>
          <cell r="Y58" t="str">
            <v>................................</v>
          </cell>
          <cell r="Z58" t="str">
            <v>Nguyễn Văn Nghiễm</v>
          </cell>
          <cell r="AA58" t="str">
            <v>Cán bộ KCS</v>
          </cell>
          <cell r="AB58" t="str">
            <v>Vương Toàn Hiếu</v>
          </cell>
          <cell r="AC58" t="str">
            <v>Trưởng đoàn TVGS</v>
          </cell>
          <cell r="AD58" t="str">
            <v>Lê Thiều Nam</v>
          </cell>
          <cell r="AE58" t="str">
            <v>Cán bộ TVGS</v>
          </cell>
          <cell r="AF58" t="str">
            <v>................................</v>
          </cell>
          <cell r="AG58" t="str">
            <v>................................</v>
          </cell>
          <cell r="AH58" t="str">
            <v>Nguyễn Ái Việt</v>
          </cell>
          <cell r="AI58" t="str">
            <v>Chỉ huy trưởng</v>
          </cell>
          <cell r="AJ58" t="str">
            <v>Hoàng Chiến Thắng</v>
          </cell>
          <cell r="AK58" t="str">
            <v>P. Chỉ huy trưởng</v>
          </cell>
          <cell r="AL58" t="str">
            <v>Trịnh Quang Đức</v>
          </cell>
          <cell r="AM58" t="str">
            <v>Cán bộ kỹ thuật</v>
          </cell>
          <cell r="AQ58" t="str">
            <v>Ngày …… Tháng ……. Năm ……</v>
          </cell>
        </row>
        <row r="59">
          <cell r="D59" t="str">
            <v>……</v>
          </cell>
          <cell r="E59" t="str">
            <v>…….</v>
          </cell>
          <cell r="F59" t="str">
            <v>……</v>
          </cell>
          <cell r="G59" t="str">
            <v>…….</v>
          </cell>
          <cell r="H59" t="str">
            <v>……</v>
          </cell>
          <cell r="I59" t="str">
            <v>Hà Nội, ngày …… tháng ……. năm ……</v>
          </cell>
          <cell r="J59" t="str">
            <v>…… ngày …… tháng ……. năm ……</v>
          </cell>
          <cell r="K59" t="str">
            <v>……. ngày …… tháng ……. năm ……</v>
          </cell>
          <cell r="L59" t="str">
            <v>……</v>
          </cell>
          <cell r="M59" t="str">
            <v>……</v>
          </cell>
          <cell r="N59" t="str">
            <v>……</v>
          </cell>
          <cell r="O59" t="str">
            <v>…….</v>
          </cell>
          <cell r="P59" t="str">
            <v>……</v>
          </cell>
          <cell r="Q59" t="str">
            <v>Hà Nội, ngày …… tháng ……. năm ……</v>
          </cell>
          <cell r="R59" t="str">
            <v>…… ngày …… tháng ……. năm ……</v>
          </cell>
          <cell r="S59" t="str">
            <v>…… ngày …… tháng ……. năm ……</v>
          </cell>
          <cell r="T59" t="str">
            <v>……</v>
          </cell>
          <cell r="U59" t="str">
            <v>…… Ngày ……/……./……</v>
          </cell>
          <cell r="V59" t="str">
            <v>Nguyễn Ái Việt</v>
          </cell>
          <cell r="W59" t="str">
            <v>Chỉ huy trưởng</v>
          </cell>
          <cell r="X59" t="str">
            <v>................................</v>
          </cell>
          <cell r="Y59" t="str">
            <v>................................</v>
          </cell>
          <cell r="Z59" t="str">
            <v>Nguyễn Văn Nghiễm</v>
          </cell>
          <cell r="AA59" t="str">
            <v>Cán bộ KCS</v>
          </cell>
          <cell r="AB59" t="str">
            <v>Vương Toàn Hiếu</v>
          </cell>
          <cell r="AC59" t="str">
            <v>Trưởng đoàn TVGS</v>
          </cell>
          <cell r="AD59" t="str">
            <v>Lê Thiều Nam</v>
          </cell>
          <cell r="AE59" t="str">
            <v>Cán bộ TVGS</v>
          </cell>
          <cell r="AF59" t="str">
            <v>................................</v>
          </cell>
          <cell r="AG59" t="str">
            <v>................................</v>
          </cell>
          <cell r="AH59" t="str">
            <v>Nguyễn Ái Việt</v>
          </cell>
          <cell r="AI59" t="str">
            <v>Chỉ huy trưởng</v>
          </cell>
          <cell r="AJ59" t="str">
            <v>Hoàng Chiến Thắng</v>
          </cell>
          <cell r="AK59" t="str">
            <v>P. Chỉ huy trưởng</v>
          </cell>
          <cell r="AL59" t="str">
            <v>Trịnh Quang Đức</v>
          </cell>
          <cell r="AM59" t="str">
            <v>Cán bộ kỹ thuật</v>
          </cell>
          <cell r="AQ59" t="str">
            <v>Ngày …… Tháng ……. Năm ……</v>
          </cell>
        </row>
        <row r="60">
          <cell r="D60" t="str">
            <v>……</v>
          </cell>
          <cell r="E60" t="str">
            <v>…….</v>
          </cell>
          <cell r="F60" t="str">
            <v>……</v>
          </cell>
          <cell r="G60" t="str">
            <v>…….</v>
          </cell>
          <cell r="H60" t="str">
            <v>……</v>
          </cell>
          <cell r="I60" t="str">
            <v>Hà Nội, ngày …… tháng ……. năm ……</v>
          </cell>
          <cell r="J60" t="str">
            <v>…… ngày …… tháng ……. năm ……</v>
          </cell>
          <cell r="K60" t="str">
            <v>……. ngày …… tháng ……. năm ……</v>
          </cell>
          <cell r="L60" t="str">
            <v>……</v>
          </cell>
          <cell r="M60" t="str">
            <v>……</v>
          </cell>
          <cell r="N60" t="str">
            <v>……</v>
          </cell>
          <cell r="O60" t="str">
            <v>…….</v>
          </cell>
          <cell r="P60" t="str">
            <v>……</v>
          </cell>
          <cell r="Q60" t="str">
            <v>Hà Nội, ngày …… tháng ……. năm ……</v>
          </cell>
          <cell r="R60" t="str">
            <v>…… ngày …… tháng ……. năm ……</v>
          </cell>
          <cell r="S60" t="str">
            <v>…… ngày …… tháng ……. năm ……</v>
          </cell>
          <cell r="T60" t="str">
            <v>……</v>
          </cell>
          <cell r="U60" t="str">
            <v>…… Ngày ……/……./……</v>
          </cell>
          <cell r="V60" t="str">
            <v>Nguyễn Ái Việt</v>
          </cell>
          <cell r="W60" t="str">
            <v>Chỉ huy trưởng</v>
          </cell>
          <cell r="X60" t="str">
            <v>................................</v>
          </cell>
          <cell r="Y60" t="str">
            <v>................................</v>
          </cell>
          <cell r="Z60" t="str">
            <v>Nguyễn Văn Nghiễm</v>
          </cell>
          <cell r="AA60" t="str">
            <v>Cán bộ KCS</v>
          </cell>
          <cell r="AB60" t="str">
            <v>Vương Toàn Hiếu</v>
          </cell>
          <cell r="AC60" t="str">
            <v>Trưởng đoàn TVGS</v>
          </cell>
          <cell r="AD60" t="str">
            <v>Lê Thiều Nam</v>
          </cell>
          <cell r="AE60" t="str">
            <v>Cán bộ TVGS</v>
          </cell>
          <cell r="AF60" t="str">
            <v>................................</v>
          </cell>
          <cell r="AG60" t="str">
            <v>................................</v>
          </cell>
          <cell r="AH60" t="str">
            <v>Nguyễn Ái Việt</v>
          </cell>
          <cell r="AI60" t="str">
            <v>Chỉ huy trưởng</v>
          </cell>
          <cell r="AJ60" t="str">
            <v>Hoàng Chiến Thắng</v>
          </cell>
          <cell r="AK60" t="str">
            <v>P. Chỉ huy trưởng</v>
          </cell>
          <cell r="AL60" t="str">
            <v>Trịnh Quang Đức</v>
          </cell>
          <cell r="AM60" t="str">
            <v>Cán bộ kỹ thuật</v>
          </cell>
          <cell r="AQ60" t="str">
            <v>Ngày …… Tháng ……. Năm ……</v>
          </cell>
        </row>
        <row r="61">
          <cell r="D61" t="str">
            <v>……</v>
          </cell>
          <cell r="E61" t="str">
            <v>…….</v>
          </cell>
          <cell r="F61" t="str">
            <v>……</v>
          </cell>
          <cell r="G61" t="str">
            <v>…….</v>
          </cell>
          <cell r="H61" t="str">
            <v>……</v>
          </cell>
          <cell r="I61" t="str">
            <v>Hà Nội, ngày …… tháng ……. năm ……</v>
          </cell>
          <cell r="J61" t="str">
            <v>…… ngày …… tháng ……. năm ……</v>
          </cell>
          <cell r="K61" t="str">
            <v>……. ngày …… tháng ……. năm ……</v>
          </cell>
          <cell r="L61" t="str">
            <v>……</v>
          </cell>
          <cell r="M61" t="str">
            <v>……</v>
          </cell>
          <cell r="N61" t="str">
            <v>……</v>
          </cell>
          <cell r="O61" t="str">
            <v>…….</v>
          </cell>
          <cell r="P61" t="str">
            <v>……</v>
          </cell>
          <cell r="Q61" t="str">
            <v>Hà Nội, ngày …… tháng ……. năm ……</v>
          </cell>
          <cell r="R61" t="str">
            <v>…… ngày …… tháng ……. năm ……</v>
          </cell>
          <cell r="S61" t="str">
            <v>…… ngày …… tháng ……. năm ……</v>
          </cell>
          <cell r="T61" t="str">
            <v>……</v>
          </cell>
          <cell r="U61" t="str">
            <v>…… Ngày ……/……./……</v>
          </cell>
          <cell r="V61" t="str">
            <v>Nguyễn Ái Việt</v>
          </cell>
          <cell r="W61" t="str">
            <v>Chỉ huy trưởng</v>
          </cell>
          <cell r="X61" t="str">
            <v>................................</v>
          </cell>
          <cell r="Y61" t="str">
            <v>................................</v>
          </cell>
          <cell r="Z61" t="str">
            <v>Nguyễn Văn Nghiễm</v>
          </cell>
          <cell r="AA61" t="str">
            <v>Cán bộ KCS</v>
          </cell>
          <cell r="AB61" t="str">
            <v>Vương Toàn Hiếu</v>
          </cell>
          <cell r="AC61" t="str">
            <v>Trưởng đoàn TVGS</v>
          </cell>
          <cell r="AD61" t="str">
            <v>Lê Thiều Nam</v>
          </cell>
          <cell r="AE61" t="str">
            <v>Cán bộ TVGS</v>
          </cell>
          <cell r="AF61" t="str">
            <v>................................</v>
          </cell>
          <cell r="AG61" t="str">
            <v>................................</v>
          </cell>
          <cell r="AH61" t="str">
            <v>Nguyễn Ái Việt</v>
          </cell>
          <cell r="AI61" t="str">
            <v>Chỉ huy trưởng</v>
          </cell>
          <cell r="AJ61" t="str">
            <v>Hoàng Chiến Thắng</v>
          </cell>
          <cell r="AK61" t="str">
            <v>P. Chỉ huy trưởng</v>
          </cell>
          <cell r="AL61" t="str">
            <v>Trịnh Quang Đức</v>
          </cell>
          <cell r="AM61" t="str">
            <v>Cán bộ kỹ thuật</v>
          </cell>
          <cell r="AQ61" t="str">
            <v>Ngày …… Tháng ……. Năm ……</v>
          </cell>
        </row>
        <row r="62">
          <cell r="D62" t="str">
            <v>……</v>
          </cell>
          <cell r="E62" t="str">
            <v>…….</v>
          </cell>
          <cell r="F62" t="str">
            <v>……</v>
          </cell>
          <cell r="G62" t="str">
            <v>…….</v>
          </cell>
          <cell r="H62" t="str">
            <v>……</v>
          </cell>
          <cell r="I62" t="str">
            <v>Hà Nội, ngày …… tháng ……. năm ……</v>
          </cell>
          <cell r="J62" t="str">
            <v>…… ngày …… tháng ……. năm ……</v>
          </cell>
          <cell r="K62" t="str">
            <v>……. ngày …… tháng ……. năm ……</v>
          </cell>
          <cell r="L62" t="str">
            <v>……</v>
          </cell>
          <cell r="M62" t="str">
            <v>……</v>
          </cell>
          <cell r="N62" t="str">
            <v>……</v>
          </cell>
          <cell r="O62" t="str">
            <v>…….</v>
          </cell>
          <cell r="P62" t="str">
            <v>……</v>
          </cell>
          <cell r="Q62" t="str">
            <v>Hà Nội, ngày …… tháng ……. năm ……</v>
          </cell>
          <cell r="R62" t="str">
            <v>…… ngày …… tháng ……. năm ……</v>
          </cell>
          <cell r="S62" t="str">
            <v>…… ngày …… tháng ……. năm ……</v>
          </cell>
          <cell r="T62" t="str">
            <v>……</v>
          </cell>
          <cell r="U62" t="str">
            <v>…… Ngày ……/……./……</v>
          </cell>
          <cell r="V62" t="str">
            <v>Nguyễn Ái Việt</v>
          </cell>
          <cell r="W62" t="str">
            <v>Chỉ huy trưởng</v>
          </cell>
          <cell r="X62" t="str">
            <v>................................</v>
          </cell>
          <cell r="Y62" t="str">
            <v>................................</v>
          </cell>
          <cell r="Z62" t="str">
            <v>Nguyễn Văn Nghiễm</v>
          </cell>
          <cell r="AA62" t="str">
            <v>Cán bộ KCS</v>
          </cell>
          <cell r="AB62" t="str">
            <v>Vương Toàn Hiếu</v>
          </cell>
          <cell r="AC62" t="str">
            <v>Trưởng đoàn TVGS</v>
          </cell>
          <cell r="AD62" t="str">
            <v>Lê Thiều Nam</v>
          </cell>
          <cell r="AE62" t="str">
            <v>Cán bộ TVGS</v>
          </cell>
          <cell r="AF62" t="str">
            <v>................................</v>
          </cell>
          <cell r="AG62" t="str">
            <v>................................</v>
          </cell>
          <cell r="AH62" t="str">
            <v>Nguyễn Ái Việt</v>
          </cell>
          <cell r="AI62" t="str">
            <v>Chỉ huy trưởng</v>
          </cell>
          <cell r="AJ62" t="str">
            <v>Hoàng Chiến Thắng</v>
          </cell>
          <cell r="AK62" t="str">
            <v>P. Chỉ huy trưởng</v>
          </cell>
          <cell r="AL62" t="str">
            <v>Trịnh Quang Đức</v>
          </cell>
          <cell r="AM62" t="str">
            <v>Cán bộ kỹ thuật</v>
          </cell>
          <cell r="AQ62" t="str">
            <v>Ngày …… Tháng ……. Năm ……</v>
          </cell>
        </row>
        <row r="63">
          <cell r="D63" t="str">
            <v>……</v>
          </cell>
          <cell r="E63" t="str">
            <v>…….</v>
          </cell>
          <cell r="F63" t="str">
            <v>……</v>
          </cell>
          <cell r="G63" t="str">
            <v>…….</v>
          </cell>
          <cell r="H63" t="str">
            <v>……</v>
          </cell>
          <cell r="I63" t="str">
            <v>Hà Nội, ngày …… tháng ……. năm ……</v>
          </cell>
          <cell r="J63" t="str">
            <v>…… ngày …… tháng ……. năm ……</v>
          </cell>
          <cell r="K63" t="str">
            <v>……. ngày …… tháng ……. năm ……</v>
          </cell>
          <cell r="L63" t="str">
            <v>……</v>
          </cell>
          <cell r="M63" t="str">
            <v>……</v>
          </cell>
          <cell r="N63" t="str">
            <v>……</v>
          </cell>
          <cell r="O63" t="str">
            <v>…….</v>
          </cell>
          <cell r="P63" t="str">
            <v>……</v>
          </cell>
          <cell r="Q63" t="str">
            <v>Hà Nội, ngày …… tháng ……. năm ……</v>
          </cell>
          <cell r="R63" t="str">
            <v>…… ngày …… tháng ……. năm ……</v>
          </cell>
          <cell r="S63" t="str">
            <v>…… ngày …… tháng ……. năm ……</v>
          </cell>
          <cell r="T63" t="str">
            <v>……</v>
          </cell>
          <cell r="U63" t="str">
            <v>…… Ngày ……/……./……</v>
          </cell>
          <cell r="V63" t="str">
            <v>Nguyễn Ái Việt</v>
          </cell>
          <cell r="W63" t="str">
            <v>Chỉ huy trưởng</v>
          </cell>
          <cell r="X63" t="str">
            <v>................................</v>
          </cell>
          <cell r="Y63" t="str">
            <v>................................</v>
          </cell>
          <cell r="Z63" t="str">
            <v>Nguyễn Văn Nghiễm</v>
          </cell>
          <cell r="AA63" t="str">
            <v>Cán bộ KCS</v>
          </cell>
          <cell r="AB63" t="str">
            <v>Vương Toàn Hiếu</v>
          </cell>
          <cell r="AC63" t="str">
            <v>Trưởng đoàn TVGS</v>
          </cell>
          <cell r="AD63" t="str">
            <v>Lê Thiều Nam</v>
          </cell>
          <cell r="AE63" t="str">
            <v>Cán bộ TVGS</v>
          </cell>
          <cell r="AF63" t="str">
            <v>................................</v>
          </cell>
          <cell r="AG63" t="str">
            <v>................................</v>
          </cell>
          <cell r="AH63" t="str">
            <v>Nguyễn Ái Việt</v>
          </cell>
          <cell r="AI63" t="str">
            <v>Chỉ huy trưởng</v>
          </cell>
          <cell r="AJ63" t="str">
            <v>Hoàng Chiến Thắng</v>
          </cell>
          <cell r="AK63" t="str">
            <v>P. Chỉ huy trưởng</v>
          </cell>
          <cell r="AL63" t="str">
            <v>Trịnh Quang Đức</v>
          </cell>
          <cell r="AM63" t="str">
            <v>Cán bộ kỹ thuật</v>
          </cell>
          <cell r="AQ63" t="str">
            <v>Ngày …… Tháng ……. Năm ……</v>
          </cell>
        </row>
        <row r="64">
          <cell r="D64" t="str">
            <v>……</v>
          </cell>
          <cell r="E64" t="str">
            <v>…….</v>
          </cell>
          <cell r="F64" t="str">
            <v>……</v>
          </cell>
          <cell r="G64" t="str">
            <v>…….</v>
          </cell>
          <cell r="H64" t="str">
            <v>……</v>
          </cell>
          <cell r="I64" t="str">
            <v>Hà Nội, ngày …… tháng ……. năm ……</v>
          </cell>
          <cell r="J64" t="str">
            <v>…… ngày …… tháng ……. năm ……</v>
          </cell>
          <cell r="K64" t="str">
            <v>……. ngày …… tháng ……. năm ……</v>
          </cell>
          <cell r="L64" t="str">
            <v>……</v>
          </cell>
          <cell r="M64" t="str">
            <v>……</v>
          </cell>
          <cell r="N64" t="str">
            <v>……</v>
          </cell>
          <cell r="O64" t="str">
            <v>…….</v>
          </cell>
          <cell r="P64" t="str">
            <v>……</v>
          </cell>
          <cell r="Q64" t="str">
            <v>Hà Nội, ngày …… tháng ……. năm ……</v>
          </cell>
          <cell r="R64" t="str">
            <v>…… ngày …… tháng ……. năm ……</v>
          </cell>
          <cell r="S64" t="str">
            <v>…… ngày …… tháng ……. năm ……</v>
          </cell>
          <cell r="T64" t="str">
            <v>……</v>
          </cell>
          <cell r="U64" t="str">
            <v>…… Ngày ……/……./……</v>
          </cell>
          <cell r="V64" t="str">
            <v>Nguyễn Ái Việt</v>
          </cell>
          <cell r="W64" t="str">
            <v>Chỉ huy trưởng</v>
          </cell>
          <cell r="X64" t="str">
            <v>................................</v>
          </cell>
          <cell r="Y64" t="str">
            <v>................................</v>
          </cell>
          <cell r="Z64" t="str">
            <v>Nguyễn Văn Nghiễm</v>
          </cell>
          <cell r="AA64" t="str">
            <v>Cán bộ KCS</v>
          </cell>
          <cell r="AB64" t="str">
            <v>Vương Toàn Hiếu</v>
          </cell>
          <cell r="AC64" t="str">
            <v>Trưởng đoàn TVGS</v>
          </cell>
          <cell r="AD64" t="str">
            <v>Lê Thiều Nam</v>
          </cell>
          <cell r="AE64" t="str">
            <v>Cán bộ TVGS</v>
          </cell>
          <cell r="AF64" t="str">
            <v>................................</v>
          </cell>
          <cell r="AG64" t="str">
            <v>................................</v>
          </cell>
          <cell r="AH64" t="str">
            <v>Nguyễn Ái Việt</v>
          </cell>
          <cell r="AI64" t="str">
            <v>Chỉ huy trưởng</v>
          </cell>
          <cell r="AJ64" t="str">
            <v>Hoàng Chiến Thắng</v>
          </cell>
          <cell r="AK64" t="str">
            <v>P. Chỉ huy trưởng</v>
          </cell>
          <cell r="AL64" t="str">
            <v>Trịnh Quang Đức</v>
          </cell>
          <cell r="AM64" t="str">
            <v>Cán bộ kỹ thuật</v>
          </cell>
          <cell r="AQ64" t="str">
            <v>Ngày …… Tháng ……. Năm ……</v>
          </cell>
        </row>
        <row r="65">
          <cell r="D65" t="str">
            <v>……</v>
          </cell>
          <cell r="E65" t="str">
            <v>…….</v>
          </cell>
          <cell r="F65" t="str">
            <v>……</v>
          </cell>
          <cell r="G65" t="str">
            <v>…….</v>
          </cell>
          <cell r="H65" t="str">
            <v>……</v>
          </cell>
          <cell r="I65" t="str">
            <v>Hà Nội, ngày …… tháng ……. năm ……</v>
          </cell>
          <cell r="J65" t="str">
            <v>…… ngày …… tháng ……. năm ……</v>
          </cell>
          <cell r="K65" t="str">
            <v>……. ngày …… tháng ……. năm ……</v>
          </cell>
          <cell r="L65" t="str">
            <v>……</v>
          </cell>
          <cell r="M65" t="str">
            <v>……</v>
          </cell>
          <cell r="N65" t="str">
            <v>……</v>
          </cell>
          <cell r="O65" t="str">
            <v>…….</v>
          </cell>
          <cell r="P65" t="str">
            <v>……</v>
          </cell>
          <cell r="Q65" t="str">
            <v>Hà Nội, ngày …… tháng ……. năm ……</v>
          </cell>
          <cell r="R65" t="str">
            <v>…… ngày …… tháng ……. năm ……</v>
          </cell>
          <cell r="S65" t="str">
            <v>…… ngày …… tháng ……. năm ……</v>
          </cell>
          <cell r="T65" t="str">
            <v>……</v>
          </cell>
          <cell r="U65" t="str">
            <v>…… Ngày ……/……./……</v>
          </cell>
          <cell r="V65" t="str">
            <v>Nguyễn Ái Việt</v>
          </cell>
          <cell r="W65" t="str">
            <v>Chỉ huy trưởng</v>
          </cell>
          <cell r="X65" t="str">
            <v>................................</v>
          </cell>
          <cell r="Y65" t="str">
            <v>................................</v>
          </cell>
          <cell r="Z65" t="str">
            <v>Nguyễn Văn Nghiễm</v>
          </cell>
          <cell r="AA65" t="str">
            <v>Cán bộ KCS</v>
          </cell>
          <cell r="AB65" t="str">
            <v>Vương Toàn Hiếu</v>
          </cell>
          <cell r="AC65" t="str">
            <v>Trưởng đoàn TVGS</v>
          </cell>
          <cell r="AD65" t="str">
            <v>Lê Thiều Nam</v>
          </cell>
          <cell r="AE65" t="str">
            <v>Cán bộ TVGS</v>
          </cell>
          <cell r="AF65" t="str">
            <v>................................</v>
          </cell>
          <cell r="AG65" t="str">
            <v>................................</v>
          </cell>
          <cell r="AH65" t="str">
            <v>Nguyễn Ái Việt</v>
          </cell>
          <cell r="AI65" t="str">
            <v>Chỉ huy trưởng</v>
          </cell>
          <cell r="AJ65" t="str">
            <v>Hoàng Chiến Thắng</v>
          </cell>
          <cell r="AK65" t="str">
            <v>P. Chỉ huy trưởng</v>
          </cell>
          <cell r="AL65" t="str">
            <v>Trịnh Quang Đức</v>
          </cell>
          <cell r="AM65" t="str">
            <v>Cán bộ kỹ thuật</v>
          </cell>
          <cell r="AQ65" t="str">
            <v>Ngày …… Tháng ……. Năm ……</v>
          </cell>
        </row>
        <row r="66">
          <cell r="D66" t="str">
            <v>……</v>
          </cell>
          <cell r="E66" t="str">
            <v>…….</v>
          </cell>
          <cell r="F66" t="str">
            <v>……</v>
          </cell>
          <cell r="G66" t="str">
            <v>…….</v>
          </cell>
          <cell r="H66" t="str">
            <v>……</v>
          </cell>
          <cell r="I66" t="str">
            <v>Hà Nội, ngày …… tháng ……. năm ……</v>
          </cell>
          <cell r="J66" t="str">
            <v>…… ngày …… tháng ……. năm ……</v>
          </cell>
          <cell r="K66" t="str">
            <v>……. ngày …… tháng ……. năm ……</v>
          </cell>
          <cell r="L66" t="str">
            <v>……</v>
          </cell>
          <cell r="M66" t="str">
            <v>……</v>
          </cell>
          <cell r="N66" t="str">
            <v>……</v>
          </cell>
          <cell r="O66" t="str">
            <v>…….</v>
          </cell>
          <cell r="P66" t="str">
            <v>……</v>
          </cell>
          <cell r="Q66" t="str">
            <v>Hà Nội, ngày …… tháng ……. năm ……</v>
          </cell>
          <cell r="R66" t="str">
            <v>…… ngày …… tháng ……. năm ……</v>
          </cell>
          <cell r="S66" t="str">
            <v>…… ngày …… tháng ……. năm ……</v>
          </cell>
          <cell r="T66" t="str">
            <v>……</v>
          </cell>
          <cell r="U66" t="str">
            <v>…… Ngày ……/……./……</v>
          </cell>
          <cell r="V66" t="str">
            <v>Nguyễn Ái Việt</v>
          </cell>
          <cell r="W66" t="str">
            <v>Chỉ huy trưởng</v>
          </cell>
          <cell r="X66" t="str">
            <v>................................</v>
          </cell>
          <cell r="Y66" t="str">
            <v>................................</v>
          </cell>
          <cell r="Z66" t="str">
            <v>Nguyễn Văn Nghiễm</v>
          </cell>
          <cell r="AA66" t="str">
            <v>Cán bộ KCS</v>
          </cell>
          <cell r="AB66" t="str">
            <v>Vương Toàn Hiếu</v>
          </cell>
          <cell r="AC66" t="str">
            <v>Trưởng đoàn TVGS</v>
          </cell>
          <cell r="AD66" t="str">
            <v>Lê Thiều Nam</v>
          </cell>
          <cell r="AE66" t="str">
            <v>Cán bộ TVGS</v>
          </cell>
          <cell r="AF66" t="str">
            <v>................................</v>
          </cell>
          <cell r="AG66" t="str">
            <v>................................</v>
          </cell>
          <cell r="AH66" t="str">
            <v>Nguyễn Ái Việt</v>
          </cell>
          <cell r="AI66" t="str">
            <v>Chỉ huy trưởng</v>
          </cell>
          <cell r="AJ66" t="str">
            <v>Hoàng Chiến Thắng</v>
          </cell>
          <cell r="AK66" t="str">
            <v>P. Chỉ huy trưởng</v>
          </cell>
          <cell r="AL66" t="str">
            <v>Trịnh Quang Đức</v>
          </cell>
          <cell r="AM66" t="str">
            <v>Cán bộ kỹ thuật</v>
          </cell>
          <cell r="AQ66" t="str">
            <v>Ngày …… Tháng ……. Năm ……</v>
          </cell>
        </row>
        <row r="67">
          <cell r="D67" t="str">
            <v>……</v>
          </cell>
          <cell r="E67" t="str">
            <v>…….</v>
          </cell>
          <cell r="F67" t="str">
            <v>……</v>
          </cell>
          <cell r="G67" t="str">
            <v>…….</v>
          </cell>
          <cell r="H67" t="str">
            <v>……</v>
          </cell>
          <cell r="I67" t="str">
            <v>Hà Nội, ngày …… tháng ……. năm ……</v>
          </cell>
          <cell r="J67" t="str">
            <v>…… ngày …… tháng ……. năm ……</v>
          </cell>
          <cell r="K67" t="str">
            <v>……. ngày …… tháng ……. năm ……</v>
          </cell>
          <cell r="L67" t="str">
            <v>……</v>
          </cell>
          <cell r="M67" t="str">
            <v>……</v>
          </cell>
          <cell r="N67" t="str">
            <v>……</v>
          </cell>
          <cell r="O67" t="str">
            <v>…….</v>
          </cell>
          <cell r="P67" t="str">
            <v>……</v>
          </cell>
          <cell r="Q67" t="str">
            <v>Hà Nội, ngày …… tháng ……. năm ……</v>
          </cell>
          <cell r="R67" t="str">
            <v>…… ngày …… tháng ……. năm ……</v>
          </cell>
          <cell r="S67" t="str">
            <v>…… ngày …… tháng ……. năm ……</v>
          </cell>
          <cell r="T67" t="str">
            <v>……</v>
          </cell>
          <cell r="U67" t="str">
            <v>…… Ngày ……/……./……</v>
          </cell>
          <cell r="V67" t="str">
            <v>Nguyễn Ái Việt</v>
          </cell>
          <cell r="W67" t="str">
            <v>Chỉ huy trưởng</v>
          </cell>
          <cell r="X67" t="str">
            <v>................................</v>
          </cell>
          <cell r="Y67" t="str">
            <v>................................</v>
          </cell>
          <cell r="Z67" t="str">
            <v>Nguyễn Văn Nghiễm</v>
          </cell>
          <cell r="AA67" t="str">
            <v>Cán bộ KCS</v>
          </cell>
          <cell r="AB67" t="str">
            <v>Vương Toàn Hiếu</v>
          </cell>
          <cell r="AC67" t="str">
            <v>Trưởng đoàn TVGS</v>
          </cell>
          <cell r="AD67" t="str">
            <v>Lê Thiều Nam</v>
          </cell>
          <cell r="AE67" t="str">
            <v>Cán bộ TVGS</v>
          </cell>
          <cell r="AF67" t="str">
            <v>................................</v>
          </cell>
          <cell r="AG67" t="str">
            <v>................................</v>
          </cell>
          <cell r="AH67" t="str">
            <v>Nguyễn Ái Việt</v>
          </cell>
          <cell r="AI67" t="str">
            <v>Chỉ huy trưởng</v>
          </cell>
          <cell r="AJ67" t="str">
            <v>Hoàng Chiến Thắng</v>
          </cell>
          <cell r="AK67" t="str">
            <v>P. Chỉ huy trưởng</v>
          </cell>
          <cell r="AL67" t="str">
            <v>Trịnh Quang Đức</v>
          </cell>
          <cell r="AM67" t="str">
            <v>Cán bộ kỹ thuật</v>
          </cell>
          <cell r="AQ67" t="str">
            <v>Ngày …… Tháng ……. Năm ……</v>
          </cell>
        </row>
        <row r="68">
          <cell r="D68" t="str">
            <v>……</v>
          </cell>
          <cell r="E68" t="str">
            <v>…….</v>
          </cell>
          <cell r="F68" t="str">
            <v>……</v>
          </cell>
          <cell r="G68" t="str">
            <v>…….</v>
          </cell>
          <cell r="H68" t="str">
            <v>……</v>
          </cell>
          <cell r="I68" t="str">
            <v>Hà Nội, ngày …… tháng ……. năm ……</v>
          </cell>
          <cell r="J68" t="str">
            <v>…… ngày …… tháng ……. năm ……</v>
          </cell>
          <cell r="K68" t="str">
            <v>……. ngày …… tháng ……. năm ……</v>
          </cell>
          <cell r="L68" t="str">
            <v>……</v>
          </cell>
          <cell r="M68" t="str">
            <v>……</v>
          </cell>
          <cell r="N68" t="str">
            <v>……</v>
          </cell>
          <cell r="O68" t="str">
            <v>…….</v>
          </cell>
          <cell r="P68" t="str">
            <v>……</v>
          </cell>
          <cell r="Q68" t="str">
            <v>Hà Nội, ngày …… tháng ……. năm ……</v>
          </cell>
          <cell r="R68" t="str">
            <v>…… ngày …… tháng ……. năm ……</v>
          </cell>
          <cell r="S68" t="str">
            <v>…… ngày …… tháng ……. năm ……</v>
          </cell>
          <cell r="T68" t="str">
            <v>……</v>
          </cell>
          <cell r="U68" t="str">
            <v>…… Ngày ……/……./……</v>
          </cell>
          <cell r="V68" t="str">
            <v>Nguyễn Ái Việt</v>
          </cell>
          <cell r="W68" t="str">
            <v>Chỉ huy trưởng</v>
          </cell>
          <cell r="X68" t="str">
            <v>................................</v>
          </cell>
          <cell r="Y68" t="str">
            <v>................................</v>
          </cell>
          <cell r="Z68" t="str">
            <v>Nguyễn Văn Nghiễm</v>
          </cell>
          <cell r="AA68" t="str">
            <v>Cán bộ KCS</v>
          </cell>
          <cell r="AB68" t="str">
            <v>Vương Toàn Hiếu</v>
          </cell>
          <cell r="AC68" t="str">
            <v>Trưởng đoàn TVGS</v>
          </cell>
          <cell r="AD68" t="str">
            <v>Lê Thiều Nam</v>
          </cell>
          <cell r="AE68" t="str">
            <v>Cán bộ TVGS</v>
          </cell>
          <cell r="AF68" t="str">
            <v>................................</v>
          </cell>
          <cell r="AG68" t="str">
            <v>................................</v>
          </cell>
          <cell r="AH68" t="str">
            <v>Nguyễn Ái Việt</v>
          </cell>
          <cell r="AI68" t="str">
            <v>Chỉ huy trưởng</v>
          </cell>
          <cell r="AJ68" t="str">
            <v>Hoàng Chiến Thắng</v>
          </cell>
          <cell r="AK68" t="str">
            <v>P. Chỉ huy trưởng</v>
          </cell>
          <cell r="AL68" t="str">
            <v>Trịnh Quang Đức</v>
          </cell>
          <cell r="AM68" t="str">
            <v>Cán bộ kỹ thuật</v>
          </cell>
          <cell r="AQ68" t="str">
            <v>Ngày …… Tháng ……. Năm ……</v>
          </cell>
        </row>
        <row r="72">
          <cell r="A72">
            <v>1</v>
          </cell>
          <cell r="B72">
            <v>2</v>
          </cell>
          <cell r="C72">
            <v>3</v>
          </cell>
          <cell r="D72">
            <v>4</v>
          </cell>
          <cell r="E72">
            <v>5</v>
          </cell>
          <cell r="F72">
            <v>6</v>
          </cell>
          <cell r="G72">
            <v>7</v>
          </cell>
          <cell r="H72">
            <v>8</v>
          </cell>
          <cell r="I72">
            <v>9</v>
          </cell>
          <cell r="J72">
            <v>10</v>
          </cell>
          <cell r="K72">
            <v>11</v>
          </cell>
          <cell r="L72">
            <v>12</v>
          </cell>
          <cell r="M72">
            <v>13</v>
          </cell>
          <cell r="N72">
            <v>14</v>
          </cell>
          <cell r="O72">
            <v>15</v>
          </cell>
          <cell r="P72">
            <v>16</v>
          </cell>
          <cell r="Q72">
            <v>17</v>
          </cell>
          <cell r="R72">
            <v>18</v>
          </cell>
          <cell r="S72">
            <v>19</v>
          </cell>
          <cell r="T72">
            <v>20</v>
          </cell>
          <cell r="U72">
            <v>21</v>
          </cell>
          <cell r="V72">
            <v>22</v>
          </cell>
          <cell r="W72">
            <v>23</v>
          </cell>
          <cell r="X72">
            <v>24</v>
          </cell>
          <cell r="Y72">
            <v>25</v>
          </cell>
          <cell r="Z72">
            <v>26</v>
          </cell>
          <cell r="AA72">
            <v>27</v>
          </cell>
          <cell r="AB72">
            <v>28</v>
          </cell>
          <cell r="AC72">
            <v>29</v>
          </cell>
          <cell r="AD72">
            <v>30</v>
          </cell>
          <cell r="AE72">
            <v>31</v>
          </cell>
          <cell r="AF72">
            <v>32</v>
          </cell>
          <cell r="AG72">
            <v>33</v>
          </cell>
          <cell r="AH72">
            <v>34</v>
          </cell>
          <cell r="AI72">
            <v>35</v>
          </cell>
          <cell r="AJ72">
            <v>36</v>
          </cell>
          <cell r="AK72">
            <v>37</v>
          </cell>
          <cell r="AL72">
            <v>38</v>
          </cell>
          <cell r="AM72">
            <v>39</v>
          </cell>
          <cell r="AN72">
            <v>40</v>
          </cell>
          <cell r="AO72">
            <v>41</v>
          </cell>
          <cell r="AP72">
            <v>42</v>
          </cell>
          <cell r="AQ72">
            <v>43</v>
          </cell>
        </row>
      </sheetData>
      <sheetData sheetId="166"/>
      <sheetData sheetId="167">
        <row r="1">
          <cell r="A1" t="str">
            <v>CÔNG TY CP HỒNG HÀ VIỆT NAM</v>
          </cell>
          <cell r="C1" t="str">
            <v>CỘNG HÒA XÃ HỘI CHỦ NGHĨA VIỆT NAM</v>
          </cell>
        </row>
        <row r="2">
          <cell r="C2" t="str">
            <v>ĐỘC LẬP-TỰ DO -HẠNH PHÚC</v>
          </cell>
        </row>
        <row r="4">
          <cell r="A4" t="str">
            <v>CUA NHOM KINH</v>
          </cell>
          <cell r="W4" t="str">
            <v>FILE IN</v>
          </cell>
          <cell r="AN4" t="str">
            <v>KHỐI LƯỢNG</v>
          </cell>
          <cell r="AO4" t="str">
            <v>LẤY MẪU</v>
          </cell>
        </row>
        <row r="5">
          <cell r="A5" t="str">
            <v>XÂY DỰNG NHÀ Ở XÃ HỘI ĐỂ BÁN VÀ CHO THUÊ</v>
          </cell>
        </row>
        <row r="6">
          <cell r="A6" t="str">
            <v>CT6</v>
          </cell>
        </row>
        <row r="7">
          <cell r="L7">
            <v>10</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CNK-01</v>
          </cell>
          <cell r="B10" t="str">
            <v>Công tác gia công cửa sổ nhôm kính S1 tầng 03, 04, 05, 06, 07, 08, 09, 10, 11</v>
          </cell>
          <cell r="C10" t="str">
            <v>CNK-01</v>
          </cell>
          <cell r="D10" t="str">
            <v>…h…</v>
          </cell>
          <cell r="E10" t="str">
            <v>…h…</v>
          </cell>
          <cell r="F10" t="str">
            <v>……</v>
          </cell>
          <cell r="G10" t="str">
            <v>……</v>
          </cell>
          <cell r="H10">
            <v>2015</v>
          </cell>
          <cell r="I10" t="str">
            <v>Hà Nội, ngày …… tháng …… năm 2015</v>
          </cell>
          <cell r="J10" t="str">
            <v>…h… ngày …… tháng …… năm 2015</v>
          </cell>
          <cell r="K10" t="str">
            <v>…h… ngày …… tháng …… năm 2015</v>
          </cell>
          <cell r="L10" t="str">
            <v xml:space="preserve"> </v>
          </cell>
          <cell r="M10" t="str">
            <v>…h…</v>
          </cell>
          <cell r="N10" t="str">
            <v>……</v>
          </cell>
          <cell r="O10" t="str">
            <v>……</v>
          </cell>
          <cell r="P10">
            <v>2015</v>
          </cell>
          <cell r="Q10" t="str">
            <v>Hà Nội, ngày …… tháng …… năm 2015</v>
          </cell>
          <cell r="R10" t="str">
            <v xml:space="preserve">  ngày …… tháng …… năm 2015</v>
          </cell>
          <cell r="S10" t="str">
            <v>…h… ngày …… tháng …… năm 2015</v>
          </cell>
          <cell r="T10" t="str">
            <v xml:space="preserve"> </v>
          </cell>
          <cell r="U10" t="str">
            <v xml:space="preserve">  Ngày ……/……/2015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KT-1701÷KT-1708</v>
          </cell>
          <cell r="AQ10" t="str">
            <v>Ngày …… Tháng …… Năm 2015</v>
          </cell>
        </row>
        <row r="11">
          <cell r="A11" t="str">
            <v>CNK-02</v>
          </cell>
          <cell r="B11" t="str">
            <v>Công tác gia công cửa đi nhôm kính D4, D5, D6, D7, D8, DW2, vách D4 tầng 03, 04, 05, 06, 07, 08, 09</v>
          </cell>
          <cell r="C11" t="str">
            <v>CNK-02</v>
          </cell>
          <cell r="D11" t="str">
            <v>…h…</v>
          </cell>
          <cell r="E11" t="str">
            <v>…h…</v>
          </cell>
          <cell r="F11" t="str">
            <v>……</v>
          </cell>
          <cell r="G11" t="str">
            <v>……</v>
          </cell>
          <cell r="H11">
            <v>2015</v>
          </cell>
          <cell r="I11" t="str">
            <v>Hà Nội, ngày …… tháng …… năm 2015</v>
          </cell>
          <cell r="J11" t="str">
            <v>…h… ngày …… tháng …… năm 2015</v>
          </cell>
          <cell r="K11" t="str">
            <v>…h… ngày …… tháng …… năm 2015</v>
          </cell>
          <cell r="L11" t="str">
            <v>…h…</v>
          </cell>
          <cell r="M11" t="str">
            <v>…h…</v>
          </cell>
          <cell r="N11" t="str">
            <v>……</v>
          </cell>
          <cell r="O11" t="str">
            <v>……</v>
          </cell>
          <cell r="P11">
            <v>2015</v>
          </cell>
          <cell r="Q11" t="str">
            <v>Hà Nội, ngày …… tháng …… năm 2015</v>
          </cell>
          <cell r="R11" t="str">
            <v>…h… ngày …… tháng …… năm 2015</v>
          </cell>
          <cell r="S11" t="str">
            <v>…h… ngày …… tháng …… năm 2015</v>
          </cell>
          <cell r="T11" t="str">
            <v>…h…</v>
          </cell>
          <cell r="U11" t="str">
            <v>…h… Ngày ……/……/2015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KT-1701÷KT-1708</v>
          </cell>
          <cell r="AQ11" t="str">
            <v>Ngày …… Tháng …… Năm 2015</v>
          </cell>
        </row>
        <row r="12">
          <cell r="A12" t="str">
            <v>CNK-03</v>
          </cell>
          <cell r="B12" t="str">
            <v>Công tác lắp dựng cửa sổ S1 (cửa sổ cánh mở trượt kết hợp vách cố định-khung nhôm Hyundai- kính trắng an toàn 8.38) tầng 03 ,04, 05, 06, 07, 08, 09, 10, 11</v>
          </cell>
          <cell r="C12" t="str">
            <v>CNK-03</v>
          </cell>
          <cell r="D12" t="str">
            <v>8h00</v>
          </cell>
          <cell r="E12" t="str">
            <v>10h30</v>
          </cell>
          <cell r="F12">
            <v>16</v>
          </cell>
          <cell r="G12">
            <v>11</v>
          </cell>
          <cell r="H12">
            <v>2015</v>
          </cell>
          <cell r="I12" t="str">
            <v>Hà Nội, ngày 16 tháng 11 năm 2015</v>
          </cell>
          <cell r="J12" t="str">
            <v>8h00 ngày 16 tháng 11 năm 2015</v>
          </cell>
          <cell r="K12" t="str">
            <v>10h30 ngày 16 tháng 11 năm 2015</v>
          </cell>
          <cell r="L12" t="str">
            <v>14h15</v>
          </cell>
          <cell r="M12" t="str">
            <v>16h30</v>
          </cell>
          <cell r="N12">
            <v>16</v>
          </cell>
          <cell r="O12">
            <v>11</v>
          </cell>
          <cell r="P12">
            <v>2015</v>
          </cell>
          <cell r="Q12" t="str">
            <v>Hà Nội, ngày 16 tháng 11 năm 2015</v>
          </cell>
          <cell r="R12" t="str">
            <v>14h15 ngày 16 tháng 11 năm 2015</v>
          </cell>
          <cell r="S12" t="str">
            <v>16h30 ngày 16 tháng 11 năm 2015</v>
          </cell>
          <cell r="T12" t="str">
            <v>14h15</v>
          </cell>
          <cell r="U12" t="str">
            <v>14h15 Ngày 16/11/2015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KT-1701÷KT-1708</v>
          </cell>
          <cell r="AQ12" t="str">
            <v>Ngày 16 Tháng 11 Năm 2015</v>
          </cell>
        </row>
        <row r="13">
          <cell r="A13" t="str">
            <v>CNK-04</v>
          </cell>
          <cell r="B13" t="str">
            <v xml:space="preserve">Công tác gia công, lắp dựng cửa sổ S2 : tầng 03 ,04, 05, 06, 07, 08, 09, 10, 11, cửa sổ S3: tầng 02, 03 ,04, 05, 06, 07, 08, 09, 10, 11 (cửa sổ cánh mở trượt kết hợp vách cố định-khung nhôm Hyundai- kính trắng an toàn 8.38) </v>
          </cell>
          <cell r="C13" t="str">
            <v>CNK-04</v>
          </cell>
          <cell r="D13" t="str">
            <v>8h00</v>
          </cell>
          <cell r="E13" t="str">
            <v>10h30</v>
          </cell>
          <cell r="F13">
            <v>16</v>
          </cell>
          <cell r="G13">
            <v>11</v>
          </cell>
          <cell r="H13">
            <v>2015</v>
          </cell>
          <cell r="I13" t="str">
            <v>Hà Nội, ngày 16 tháng 11 năm 2015</v>
          </cell>
          <cell r="J13" t="str">
            <v>8h00 ngày 16 tháng 11 năm 2015</v>
          </cell>
          <cell r="K13" t="str">
            <v>10h30 ngày 16 tháng 11 năm 2015</v>
          </cell>
          <cell r="L13" t="str">
            <v>14h15</v>
          </cell>
          <cell r="M13" t="str">
            <v>16h30</v>
          </cell>
          <cell r="N13">
            <v>16</v>
          </cell>
          <cell r="O13">
            <v>11</v>
          </cell>
          <cell r="P13">
            <v>2015</v>
          </cell>
          <cell r="Q13" t="str">
            <v>Hà Nội, ngày 16 tháng 11 năm 2015</v>
          </cell>
          <cell r="R13" t="str">
            <v>14h15 ngày 16 tháng 11 năm 2015</v>
          </cell>
          <cell r="S13" t="str">
            <v>16h30 ngày 16 tháng 11 năm 2015</v>
          </cell>
          <cell r="T13" t="str">
            <v>14h15</v>
          </cell>
          <cell r="U13" t="str">
            <v>14h15 Ngày 16/11/2015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KT-1701÷KT-1708</v>
          </cell>
          <cell r="AQ13" t="str">
            <v>Ngày 16 Tháng 11 Năm 2015</v>
          </cell>
        </row>
        <row r="14">
          <cell r="A14" t="str">
            <v>CNK-05</v>
          </cell>
          <cell r="B14" t="str">
            <v xml:space="preserve">Công tác lắp dựng cửa đi  D4 (cửa đi một cánh mở quay kết hợp vách cố định và cửa sổ mở trượt , khung nhôm định hình, kính trắng an toàn) tầng 03 ,04, 05, 06, 07, 08, 09 </v>
          </cell>
          <cell r="C14" t="str">
            <v>CNK-05</v>
          </cell>
          <cell r="D14" t="str">
            <v>8h15</v>
          </cell>
          <cell r="E14" t="str">
            <v>10h45</v>
          </cell>
          <cell r="F14">
            <v>17</v>
          </cell>
          <cell r="G14">
            <v>11</v>
          </cell>
          <cell r="H14">
            <v>2015</v>
          </cell>
          <cell r="I14" t="str">
            <v>Hà Nội, ngày 17 tháng 11 năm 2015</v>
          </cell>
          <cell r="J14" t="str">
            <v>8h15 ngày 17 tháng 11 năm 2015</v>
          </cell>
          <cell r="K14" t="str">
            <v>10h45 ngày 17 tháng 11 năm 2015</v>
          </cell>
          <cell r="L14" t="str">
            <v>14h30</v>
          </cell>
          <cell r="M14" t="str">
            <v>16h50</v>
          </cell>
          <cell r="N14">
            <v>17</v>
          </cell>
          <cell r="O14">
            <v>11</v>
          </cell>
          <cell r="P14">
            <v>2015</v>
          </cell>
          <cell r="Q14" t="str">
            <v>Hà Nội, ngày 17 tháng 11 năm 2015</v>
          </cell>
          <cell r="R14" t="str">
            <v>14h30 ngày 17 tháng 11 năm 2015</v>
          </cell>
          <cell r="S14" t="str">
            <v>16h50 ngày 17 tháng 11 năm 2015</v>
          </cell>
          <cell r="T14" t="str">
            <v>14h30</v>
          </cell>
          <cell r="U14" t="str">
            <v>14h30 Ngày 17/11/2015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KT-1701÷KT-1708</v>
          </cell>
          <cell r="AQ14" t="str">
            <v>Ngày 17 Tháng 11 Năm 2015</v>
          </cell>
        </row>
        <row r="15">
          <cell r="A15" t="str">
            <v>CNK-06</v>
          </cell>
          <cell r="B15" t="str">
            <v>Công tác gia công, lắp dựng cửa đi D4 (cửa đi một cánh mở quay kết hợp vách cố định và cửa sổ mở trượt , khung nhôm định hình, kính trắng an toàn) tầng 10, 11</v>
          </cell>
          <cell r="C15" t="str">
            <v>CNK-06</v>
          </cell>
          <cell r="D15" t="str">
            <v>8h15</v>
          </cell>
          <cell r="E15" t="str">
            <v>10h45</v>
          </cell>
          <cell r="F15">
            <v>17</v>
          </cell>
          <cell r="G15">
            <v>11</v>
          </cell>
          <cell r="H15">
            <v>2015</v>
          </cell>
          <cell r="I15" t="str">
            <v>Hà Nội, ngày 17 tháng 11 năm 2015</v>
          </cell>
          <cell r="J15" t="str">
            <v>8h15 ngày 17 tháng 11 năm 2015</v>
          </cell>
          <cell r="K15" t="str">
            <v>10h45 ngày 17 tháng 11 năm 2015</v>
          </cell>
          <cell r="L15" t="str">
            <v>14h30</v>
          </cell>
          <cell r="M15" t="str">
            <v>16h50</v>
          </cell>
          <cell r="N15">
            <v>17</v>
          </cell>
          <cell r="O15">
            <v>11</v>
          </cell>
          <cell r="P15">
            <v>2015</v>
          </cell>
          <cell r="Q15" t="str">
            <v>Hà Nội, ngày 17 tháng 11 năm 2015</v>
          </cell>
          <cell r="R15" t="str">
            <v>14h30 ngày 17 tháng 11 năm 2015</v>
          </cell>
          <cell r="S15" t="str">
            <v>16h50 ngày 17 tháng 11 năm 2015</v>
          </cell>
          <cell r="T15" t="str">
            <v>14h30</v>
          </cell>
          <cell r="U15" t="str">
            <v>14h30 Ngày 17/11/2015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KT-1701÷KT-1708</v>
          </cell>
          <cell r="AQ15" t="str">
            <v>Ngày 17 Tháng 11 Năm 2015</v>
          </cell>
        </row>
        <row r="16">
          <cell r="A16" t="str">
            <v>CNK-07</v>
          </cell>
          <cell r="B16" t="str">
            <v xml:space="preserve">Công tác lắp dựng cửa đi  D5 (cửa đi một cánh mở quay kết hợp vách cố định, khung nhôm định hình, kính trắng an toàn) tầng 03, 04, 05, 06, 07, 08, 09 </v>
          </cell>
          <cell r="C16" t="str">
            <v>CNK-07</v>
          </cell>
          <cell r="D16" t="str">
            <v>8h15</v>
          </cell>
          <cell r="E16" t="str">
            <v>10h45</v>
          </cell>
          <cell r="F16">
            <v>17</v>
          </cell>
          <cell r="G16">
            <v>11</v>
          </cell>
          <cell r="H16">
            <v>2015</v>
          </cell>
          <cell r="I16" t="str">
            <v>Hà Nội, ngày 17 tháng 11 năm 2015</v>
          </cell>
          <cell r="J16" t="str">
            <v>8h15 ngày 17 tháng 11 năm 2015</v>
          </cell>
          <cell r="K16" t="str">
            <v>10h45 ngày 17 tháng 11 năm 2015</v>
          </cell>
          <cell r="L16" t="str">
            <v>14h30</v>
          </cell>
          <cell r="M16" t="str">
            <v>16h50</v>
          </cell>
          <cell r="N16">
            <v>17</v>
          </cell>
          <cell r="O16">
            <v>11</v>
          </cell>
          <cell r="P16">
            <v>2015</v>
          </cell>
          <cell r="Q16" t="str">
            <v>Hà Nội, ngày 17 tháng 11 năm 2015</v>
          </cell>
          <cell r="R16" t="str">
            <v>14h30 ngày 17 tháng 11 năm 2015</v>
          </cell>
          <cell r="S16" t="str">
            <v>16h50 ngày 17 tháng 11 năm 2015</v>
          </cell>
          <cell r="T16" t="str">
            <v>14h30</v>
          </cell>
          <cell r="U16" t="str">
            <v>14h30 Ngày 17/11/2015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KT-1701÷KT-1708</v>
          </cell>
          <cell r="AQ16" t="str">
            <v>Ngày 17 Tháng 11 Năm 2015</v>
          </cell>
        </row>
        <row r="17">
          <cell r="A17" t="str">
            <v>CNK-08</v>
          </cell>
          <cell r="B17" t="str">
            <v>Công tác gia công, lắp dựng cửa đi D5 (cửa đi một cánh mở quay kết hợp vách cố định, khung nhôm định hình, kính trắng an toàn) tầng 10, 11</v>
          </cell>
          <cell r="C17" t="str">
            <v>CNK-08</v>
          </cell>
          <cell r="D17" t="str">
            <v>8h15</v>
          </cell>
          <cell r="E17" t="str">
            <v>10h45</v>
          </cell>
          <cell r="F17">
            <v>17</v>
          </cell>
          <cell r="G17">
            <v>11</v>
          </cell>
          <cell r="H17">
            <v>2015</v>
          </cell>
          <cell r="I17" t="str">
            <v>Hà Nội, ngày 17 tháng 11 năm 2015</v>
          </cell>
          <cell r="J17" t="str">
            <v>8h15 ngày 17 tháng 11 năm 2015</v>
          </cell>
          <cell r="K17" t="str">
            <v>10h45 ngày 17 tháng 11 năm 2015</v>
          </cell>
          <cell r="L17" t="str">
            <v>14h30</v>
          </cell>
          <cell r="M17" t="str">
            <v>16h50</v>
          </cell>
          <cell r="N17">
            <v>17</v>
          </cell>
          <cell r="O17">
            <v>11</v>
          </cell>
          <cell r="P17">
            <v>2015</v>
          </cell>
          <cell r="Q17" t="str">
            <v>Hà Nội, ngày 17 tháng 11 năm 2015</v>
          </cell>
          <cell r="R17" t="str">
            <v>14h30 ngày 17 tháng 11 năm 2015</v>
          </cell>
          <cell r="S17" t="str">
            <v>16h50 ngày 17 tháng 11 năm 2015</v>
          </cell>
          <cell r="T17" t="str">
            <v>14h30</v>
          </cell>
          <cell r="U17" t="str">
            <v>14h30 Ngày 17/11/2015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KT-1701÷KT-1708</v>
          </cell>
          <cell r="AQ17" t="str">
            <v>Ngày 17 Tháng 11 Năm 2015</v>
          </cell>
        </row>
        <row r="18">
          <cell r="A18" t="str">
            <v>CNK-09</v>
          </cell>
          <cell r="B18" t="str">
            <v xml:space="preserve">Công tác lắp dựng cửa đi  D6 (cửa đi một cánh mở quay kết hợp vách cố định, khung nhôm định hình, kính trắng an toàn) tầng 03, 04, 05, 06, 07, 08, 09 </v>
          </cell>
          <cell r="C18" t="str">
            <v>CNK-09</v>
          </cell>
          <cell r="D18" t="str">
            <v>8h00</v>
          </cell>
          <cell r="E18" t="str">
            <v>10h30</v>
          </cell>
          <cell r="F18">
            <v>18</v>
          </cell>
          <cell r="G18">
            <v>11</v>
          </cell>
          <cell r="H18">
            <v>2015</v>
          </cell>
          <cell r="I18" t="str">
            <v>Hà Nội, ngày 18 tháng 11 năm 2015</v>
          </cell>
          <cell r="J18" t="str">
            <v>8h00 ngày 18 tháng 11 năm 2015</v>
          </cell>
          <cell r="K18" t="str">
            <v>10h30 ngày 18 tháng 11 năm 2015</v>
          </cell>
          <cell r="L18" t="str">
            <v>14h00</v>
          </cell>
          <cell r="M18" t="str">
            <v>16h45</v>
          </cell>
          <cell r="N18">
            <v>18</v>
          </cell>
          <cell r="O18">
            <v>11</v>
          </cell>
          <cell r="P18">
            <v>2015</v>
          </cell>
          <cell r="Q18" t="str">
            <v>Hà Nội, ngày 18 tháng 11 năm 2015</v>
          </cell>
          <cell r="R18" t="str">
            <v>14h00 ngày 18 tháng 11 năm 2015</v>
          </cell>
          <cell r="S18" t="str">
            <v>16h45 ngày 18 tháng 11 năm 2015</v>
          </cell>
          <cell r="T18" t="str">
            <v>14h00</v>
          </cell>
          <cell r="U18" t="str">
            <v>14h00 Ngày 18/11/2015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KT-1701÷KT-1708</v>
          </cell>
          <cell r="AQ18" t="str">
            <v>Ngày 18 Tháng 11 Năm 2015</v>
          </cell>
        </row>
        <row r="19">
          <cell r="A19" t="str">
            <v>CNK-10</v>
          </cell>
          <cell r="B19" t="str">
            <v>Công tác gia công, lắp dựng cửa đi  D6 (cửa đi một cánh mở quay kết hợp vách cố định, khung nhôm định hình, kính trắng an toàn) tầng 10, 11</v>
          </cell>
          <cell r="C19" t="str">
            <v>CNK-10</v>
          </cell>
          <cell r="D19" t="str">
            <v>8h00</v>
          </cell>
          <cell r="E19" t="str">
            <v>10h30</v>
          </cell>
          <cell r="F19">
            <v>18</v>
          </cell>
          <cell r="G19">
            <v>11</v>
          </cell>
          <cell r="H19">
            <v>2015</v>
          </cell>
          <cell r="I19" t="str">
            <v>Hà Nội, ngày 18 tháng 11 năm 2015</v>
          </cell>
          <cell r="J19" t="str">
            <v>8h00 ngày 18 tháng 11 năm 2015</v>
          </cell>
          <cell r="K19" t="str">
            <v>10h30 ngày 18 tháng 11 năm 2015</v>
          </cell>
          <cell r="L19" t="str">
            <v>14h00</v>
          </cell>
          <cell r="M19" t="str">
            <v>16h45</v>
          </cell>
          <cell r="N19">
            <v>18</v>
          </cell>
          <cell r="O19">
            <v>11</v>
          </cell>
          <cell r="P19">
            <v>2015</v>
          </cell>
          <cell r="Q19" t="str">
            <v>Hà Nội, ngày 18 tháng 11 năm 2015</v>
          </cell>
          <cell r="R19" t="str">
            <v>14h00 ngày 18 tháng 11 năm 2015</v>
          </cell>
          <cell r="S19" t="str">
            <v>16h45 ngày 18 tháng 11 năm 2015</v>
          </cell>
          <cell r="T19" t="str">
            <v>14h00</v>
          </cell>
          <cell r="U19" t="str">
            <v>14h00 Ngày 18/11/2015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KT-1701÷KT-1708</v>
          </cell>
          <cell r="AQ19" t="str">
            <v>Ngày 18 Tháng 11 Năm 2015</v>
          </cell>
        </row>
        <row r="20">
          <cell r="A20" t="str">
            <v>CNK-11</v>
          </cell>
          <cell r="B20" t="str">
            <v>Công tác lắp dựng cửa đi  D7 (cửa đi một cánh mở quay kết hợp vách cố định, khung nhôm định hình, kính trắng an toàn) tầng 03, 04, 05, 06, 07, 08, 09</v>
          </cell>
          <cell r="C20" t="str">
            <v>CNK-11</v>
          </cell>
          <cell r="D20" t="str">
            <v>8h00</v>
          </cell>
          <cell r="E20" t="str">
            <v>10h30</v>
          </cell>
          <cell r="F20">
            <v>18</v>
          </cell>
          <cell r="G20">
            <v>11</v>
          </cell>
          <cell r="H20">
            <v>2015</v>
          </cell>
          <cell r="I20" t="str">
            <v>Hà Nội, ngày 18 tháng 11 năm 2015</v>
          </cell>
          <cell r="J20" t="str">
            <v>8h00 ngày 18 tháng 11 năm 2015</v>
          </cell>
          <cell r="K20" t="str">
            <v>10h30 ngày 18 tháng 11 năm 2015</v>
          </cell>
          <cell r="L20" t="str">
            <v>14h00</v>
          </cell>
          <cell r="M20" t="str">
            <v>16h45</v>
          </cell>
          <cell r="N20">
            <v>18</v>
          </cell>
          <cell r="O20">
            <v>11</v>
          </cell>
          <cell r="P20">
            <v>2015</v>
          </cell>
          <cell r="Q20" t="str">
            <v>Hà Nội, ngày 18 tháng 11 năm 2015</v>
          </cell>
          <cell r="R20" t="str">
            <v>14h00 ngày 18 tháng 11 năm 2015</v>
          </cell>
          <cell r="S20" t="str">
            <v>16h45 ngày 18 tháng 11 năm 2015</v>
          </cell>
          <cell r="T20" t="str">
            <v>14h00</v>
          </cell>
          <cell r="U20" t="str">
            <v>14h00 Ngày 18/11/2015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KT-1701÷KT-1708</v>
          </cell>
          <cell r="AQ20" t="str">
            <v>Ngày 18 Tháng 11 Năm 2015</v>
          </cell>
        </row>
        <row r="21">
          <cell r="A21" t="str">
            <v>CNK-12</v>
          </cell>
          <cell r="B21" t="str">
            <v>Công tác gia công lắp dựng cửa đi D7 (cửa đi một cánh mở quay kết hợp vách cố định, khung nhôm định hình, kính trắng an toàn) tầng 10, 11</v>
          </cell>
          <cell r="C21" t="str">
            <v>CNK-12</v>
          </cell>
          <cell r="D21" t="str">
            <v>8h00</v>
          </cell>
          <cell r="E21" t="str">
            <v>10h30</v>
          </cell>
          <cell r="F21">
            <v>18</v>
          </cell>
          <cell r="G21">
            <v>11</v>
          </cell>
          <cell r="H21">
            <v>2015</v>
          </cell>
          <cell r="I21" t="str">
            <v>Hà Nội, ngày 18 tháng 11 năm 2015</v>
          </cell>
          <cell r="J21" t="str">
            <v>8h00 ngày 18 tháng 11 năm 2015</v>
          </cell>
          <cell r="K21" t="str">
            <v>10h30 ngày 18 tháng 11 năm 2015</v>
          </cell>
          <cell r="L21" t="str">
            <v>14h00</v>
          </cell>
          <cell r="M21" t="str">
            <v>16h45</v>
          </cell>
          <cell r="N21">
            <v>18</v>
          </cell>
          <cell r="O21">
            <v>11</v>
          </cell>
          <cell r="P21">
            <v>2015</v>
          </cell>
          <cell r="Q21" t="str">
            <v>Hà Nội, ngày 18 tháng 11 năm 2015</v>
          </cell>
          <cell r="R21" t="str">
            <v>14h00 ngày 18 tháng 11 năm 2015</v>
          </cell>
          <cell r="S21" t="str">
            <v>16h45 ngày 18 tháng 11 năm 2015</v>
          </cell>
          <cell r="T21" t="str">
            <v>14h00</v>
          </cell>
          <cell r="U21" t="str">
            <v>14h00 Ngày 18/11/2015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KT-1701÷KT-1708</v>
          </cell>
          <cell r="AQ21" t="str">
            <v>Ngày 18 Tháng 11 Năm 2015</v>
          </cell>
        </row>
        <row r="22">
          <cell r="A22" t="str">
            <v>CNK-13</v>
          </cell>
          <cell r="B22" t="str">
            <v>Công tác lắp dựng cửa đi  D8 (cửa đi một cánh mở quay kết hợp vách cố định, khung nhôm định hình, kính trắng an toàn) tầng 03, 04, 05, 06, 07, 08, 09</v>
          </cell>
          <cell r="C22" t="str">
            <v>CNK-13</v>
          </cell>
          <cell r="D22" t="str">
            <v>8h30</v>
          </cell>
          <cell r="E22" t="str">
            <v>11h00</v>
          </cell>
          <cell r="F22">
            <v>19</v>
          </cell>
          <cell r="G22">
            <v>11</v>
          </cell>
          <cell r="H22">
            <v>2015</v>
          </cell>
          <cell r="I22" t="str">
            <v>Hà Nội, ngày 19 tháng 11 năm 2015</v>
          </cell>
          <cell r="J22" t="str">
            <v>8h30 ngày 19 tháng 11 năm 2015</v>
          </cell>
          <cell r="K22" t="str">
            <v>11h00 ngày 19 tháng 11 năm 2015</v>
          </cell>
          <cell r="L22" t="str">
            <v>14h30</v>
          </cell>
          <cell r="M22" t="str">
            <v>17h00</v>
          </cell>
          <cell r="N22">
            <v>19</v>
          </cell>
          <cell r="O22">
            <v>11</v>
          </cell>
          <cell r="P22">
            <v>2015</v>
          </cell>
          <cell r="Q22" t="str">
            <v>Hà Nội, ngày 19 tháng 11 năm 2015</v>
          </cell>
          <cell r="R22" t="str">
            <v>14h30 ngày 19 tháng 11 năm 2015</v>
          </cell>
          <cell r="S22" t="str">
            <v>17h00 ngày 19 tháng 11 năm 2015</v>
          </cell>
          <cell r="T22" t="str">
            <v>14h30</v>
          </cell>
          <cell r="U22" t="str">
            <v>14h30 Ngày 19/11/2015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KT-1701÷KT-1708</v>
          </cell>
          <cell r="AQ22" t="str">
            <v>Ngày 19 Tháng 11 Năm 2015</v>
          </cell>
        </row>
        <row r="23">
          <cell r="A23" t="str">
            <v>CNK-14</v>
          </cell>
          <cell r="B23" t="str">
            <v>Công tác gia công lắp dựng cửa đi D8 (cửa đi một cánh mở quay kết hợp vách cố định, khung nhôm định hình, kính trắng an toàn) tầng 10, 11</v>
          </cell>
          <cell r="C23" t="str">
            <v>CNK-14</v>
          </cell>
          <cell r="D23" t="str">
            <v>8h30</v>
          </cell>
          <cell r="E23" t="str">
            <v>11h00</v>
          </cell>
          <cell r="F23">
            <v>19</v>
          </cell>
          <cell r="G23">
            <v>11</v>
          </cell>
          <cell r="H23">
            <v>2015</v>
          </cell>
          <cell r="I23" t="str">
            <v>Hà Nội, ngày 19 tháng 11 năm 2015</v>
          </cell>
          <cell r="J23" t="str">
            <v>8h30 ngày 19 tháng 11 năm 2015</v>
          </cell>
          <cell r="K23" t="str">
            <v>11h00 ngày 19 tháng 11 năm 2015</v>
          </cell>
          <cell r="L23" t="str">
            <v>14h30</v>
          </cell>
          <cell r="M23" t="str">
            <v>17h00</v>
          </cell>
          <cell r="N23">
            <v>19</v>
          </cell>
          <cell r="O23">
            <v>11</v>
          </cell>
          <cell r="P23">
            <v>2015</v>
          </cell>
          <cell r="Q23" t="str">
            <v>Hà Nội, ngày 19 tháng 11 năm 2015</v>
          </cell>
          <cell r="R23" t="str">
            <v>14h30 ngày 19 tháng 11 năm 2015</v>
          </cell>
          <cell r="S23" t="str">
            <v>17h00 ngày 19 tháng 11 năm 2015</v>
          </cell>
          <cell r="T23" t="str">
            <v>14h30</v>
          </cell>
          <cell r="U23" t="str">
            <v>14h30 Ngày 19/11/2015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KT-1701÷KT-1708</v>
          </cell>
          <cell r="AQ23" t="str">
            <v>Ngày 19 Tháng 11 Năm 2015</v>
          </cell>
        </row>
        <row r="24">
          <cell r="A24" t="str">
            <v>CNK-15</v>
          </cell>
          <cell r="B24" t="str">
            <v>Công tác lắp dựng cửa đi  DW2 (cửa đi một cánh mở quay, khung nhôm định hình, kính mờ an toàn) tầng 03, 04, 05, 06, 07, 08, 09</v>
          </cell>
          <cell r="C24" t="str">
            <v>CNK-15</v>
          </cell>
          <cell r="D24" t="str">
            <v>8h30</v>
          </cell>
          <cell r="E24" t="str">
            <v>11h00</v>
          </cell>
          <cell r="F24">
            <v>19</v>
          </cell>
          <cell r="G24">
            <v>11</v>
          </cell>
          <cell r="H24">
            <v>2015</v>
          </cell>
          <cell r="I24" t="str">
            <v>Hà Nội, ngày 19 tháng 11 năm 2015</v>
          </cell>
          <cell r="J24" t="str">
            <v>8h30 ngày 19 tháng 11 năm 2015</v>
          </cell>
          <cell r="K24" t="str">
            <v>11h00 ngày 19 tháng 11 năm 2015</v>
          </cell>
          <cell r="L24" t="str">
            <v>14h30</v>
          </cell>
          <cell r="M24" t="str">
            <v>17h00</v>
          </cell>
          <cell r="N24">
            <v>19</v>
          </cell>
          <cell r="O24">
            <v>11</v>
          </cell>
          <cell r="P24">
            <v>2015</v>
          </cell>
          <cell r="Q24" t="str">
            <v>Hà Nội, ngày 19 tháng 11 năm 2015</v>
          </cell>
          <cell r="R24" t="str">
            <v>14h30 ngày 19 tháng 11 năm 2015</v>
          </cell>
          <cell r="S24" t="str">
            <v>17h00 ngày 19 tháng 11 năm 2015</v>
          </cell>
          <cell r="T24" t="str">
            <v>14h30</v>
          </cell>
          <cell r="U24" t="str">
            <v>14h30 Ngày 19/11/2015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KT-1701÷KT-1708</v>
          </cell>
          <cell r="AQ24" t="str">
            <v>Ngày 19 Tháng 11 Năm 2015</v>
          </cell>
        </row>
        <row r="25">
          <cell r="A25" t="str">
            <v>CNK-16</v>
          </cell>
          <cell r="B25" t="str">
            <v xml:space="preserve"> Công tác gia công lắp dựng cửa đi DW2 (cửa đi một cánh mở quay, khung nhôm định hình, kính mờ an toàn) tầng 10, 11</v>
          </cell>
          <cell r="C25" t="str">
            <v>CNK-16</v>
          </cell>
          <cell r="D25" t="str">
            <v>8h30</v>
          </cell>
          <cell r="E25" t="str">
            <v>11h00</v>
          </cell>
          <cell r="F25">
            <v>19</v>
          </cell>
          <cell r="G25">
            <v>11</v>
          </cell>
          <cell r="H25">
            <v>2015</v>
          </cell>
          <cell r="I25" t="str">
            <v>Hà Nội, ngày 19 tháng 11 năm 2015</v>
          </cell>
          <cell r="J25" t="str">
            <v>8h30 ngày 19 tháng 11 năm 2015</v>
          </cell>
          <cell r="K25" t="str">
            <v>11h00 ngày 19 tháng 11 năm 2015</v>
          </cell>
          <cell r="L25" t="str">
            <v>14h30</v>
          </cell>
          <cell r="M25" t="str">
            <v>17h00</v>
          </cell>
          <cell r="N25">
            <v>19</v>
          </cell>
          <cell r="O25">
            <v>11</v>
          </cell>
          <cell r="P25">
            <v>2015</v>
          </cell>
          <cell r="Q25" t="str">
            <v>Hà Nội, ngày 19 tháng 11 năm 2015</v>
          </cell>
          <cell r="R25" t="str">
            <v>14h30 ngày 19 tháng 11 năm 2015</v>
          </cell>
          <cell r="S25" t="str">
            <v>17h00 ngày 19 tháng 11 năm 2015</v>
          </cell>
          <cell r="T25" t="str">
            <v>14h30</v>
          </cell>
          <cell r="U25" t="str">
            <v>14h30 Ngày 19/11/2015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KT-1701÷KT-1708</v>
          </cell>
          <cell r="AQ25" t="str">
            <v>Ngày 19 Tháng 11 Năm 2015</v>
          </cell>
        </row>
        <row r="26">
          <cell r="A26" t="str">
            <v>CNK-17</v>
          </cell>
          <cell r="B26" t="str">
            <v>Công tác gia công, lắp dựng cửa đi  S1* (cửa sổ cánh mở trượt kết hợp vách cố định, khung nhôm định hình, kính trắng an toàn 8.38mm) tầng áp mái</v>
          </cell>
          <cell r="C26" t="str">
            <v>CNK-17</v>
          </cell>
          <cell r="D26" t="str">
            <v>15h00</v>
          </cell>
          <cell r="E26" t="str">
            <v>15h45</v>
          </cell>
          <cell r="F26">
            <v>21</v>
          </cell>
          <cell r="G26">
            <v>11</v>
          </cell>
          <cell r="H26">
            <v>2015</v>
          </cell>
          <cell r="I26" t="str">
            <v>Hà Nội, ngày 21 tháng 11 năm 2015</v>
          </cell>
          <cell r="J26" t="str">
            <v>15h00 ngày 21 tháng 11 năm 2015</v>
          </cell>
          <cell r="K26" t="str">
            <v>15h45 ngày 21 tháng 11 năm 2015</v>
          </cell>
          <cell r="L26" t="str">
            <v>16h00</v>
          </cell>
          <cell r="M26" t="str">
            <v>16h45</v>
          </cell>
          <cell r="N26">
            <v>21</v>
          </cell>
          <cell r="O26">
            <v>11</v>
          </cell>
          <cell r="P26">
            <v>2015</v>
          </cell>
          <cell r="Q26" t="str">
            <v>Hà Nội, ngày 21 tháng 11 năm 2015</v>
          </cell>
          <cell r="R26" t="str">
            <v>16h00 ngày 21 tháng 11 năm 2015</v>
          </cell>
          <cell r="S26" t="str">
            <v>16h45 ngày 21 tháng 11 năm 2015</v>
          </cell>
          <cell r="T26" t="str">
            <v>16h00</v>
          </cell>
          <cell r="U26" t="str">
            <v>16h00 Ngày 21/11/2015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KT-1701÷KT-1708</v>
          </cell>
          <cell r="AQ26" t="str">
            <v>Ngày 21 Tháng 11 Năm 2015</v>
          </cell>
        </row>
        <row r="27">
          <cell r="A27" t="str">
            <v>CNK-18</v>
          </cell>
          <cell r="B27" t="str">
            <v>Công tác gia công, lắp dựng cửa sổ  SW1 (cửa sổ 2 cánh mở lật, khung nhôm định hình, kính mờ an toàn 6.38mm) tầng áp mái</v>
          </cell>
          <cell r="C27" t="str">
            <v>CNK-18</v>
          </cell>
          <cell r="D27" t="str">
            <v>14h30</v>
          </cell>
          <cell r="E27" t="str">
            <v>15h15</v>
          </cell>
          <cell r="F27">
            <v>21</v>
          </cell>
          <cell r="G27">
            <v>11</v>
          </cell>
          <cell r="H27">
            <v>2015</v>
          </cell>
          <cell r="I27" t="str">
            <v>Hà Nội, ngày 21 tháng 11 năm 2015</v>
          </cell>
          <cell r="J27" t="str">
            <v>14h30 ngày 21 tháng 11 năm 2015</v>
          </cell>
          <cell r="K27" t="str">
            <v>15h15 ngày 21 tháng 11 năm 2015</v>
          </cell>
          <cell r="L27" t="str">
            <v>15h30</v>
          </cell>
          <cell r="M27" t="str">
            <v>16h15</v>
          </cell>
          <cell r="N27">
            <v>21</v>
          </cell>
          <cell r="O27">
            <v>11</v>
          </cell>
          <cell r="P27">
            <v>2015</v>
          </cell>
          <cell r="Q27" t="str">
            <v>Hà Nội, ngày 21 tháng 11 năm 2015</v>
          </cell>
          <cell r="R27" t="str">
            <v>15h30 ngày 21 tháng 11 năm 2015</v>
          </cell>
          <cell r="S27" t="str">
            <v>16h15 ngày 21 tháng 11 năm 2015</v>
          </cell>
          <cell r="T27" t="str">
            <v>15h30</v>
          </cell>
          <cell r="U27" t="str">
            <v>15h30 Ngày 21/11/2015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KT-1701÷KT-1708</v>
          </cell>
          <cell r="AQ27" t="str">
            <v>Ngày 21 Tháng 11 Năm 2015</v>
          </cell>
        </row>
        <row r="28">
          <cell r="A28" t="str">
            <v>CNK-19</v>
          </cell>
          <cell r="B28" t="str">
            <v>Công tác gia công, lắp dựng cửa đi  DW1* (cửa đi một cánh mở quay, khung nhôm định hình, kính mờ an toàn) tầng 01</v>
          </cell>
          <cell r="C28" t="str">
            <v>CNK-19</v>
          </cell>
          <cell r="D28" t="str">
            <v>8h00</v>
          </cell>
          <cell r="E28" t="str">
            <v>8h30</v>
          </cell>
          <cell r="F28">
            <v>25</v>
          </cell>
          <cell r="G28">
            <v>11</v>
          </cell>
          <cell r="H28">
            <v>2015</v>
          </cell>
          <cell r="I28" t="str">
            <v>Hà Nội, ngày 25 tháng 11 năm 2015</v>
          </cell>
          <cell r="J28" t="str">
            <v>8h00 ngày 25 tháng 11 năm 2015</v>
          </cell>
          <cell r="K28" t="str">
            <v>8h30 ngày 25 tháng 11 năm 2015</v>
          </cell>
          <cell r="L28" t="str">
            <v>9h00</v>
          </cell>
          <cell r="M28" t="str">
            <v>9h30</v>
          </cell>
          <cell r="N28">
            <v>25</v>
          </cell>
          <cell r="O28">
            <v>11</v>
          </cell>
          <cell r="P28">
            <v>2015</v>
          </cell>
          <cell r="Q28" t="str">
            <v>Hà Nội, ngày 25 tháng 11 năm 2015</v>
          </cell>
          <cell r="R28" t="str">
            <v>9h00 ngày 25 tháng 11 năm 2015</v>
          </cell>
          <cell r="S28" t="str">
            <v>9h30 ngày 25 tháng 11 năm 2015</v>
          </cell>
          <cell r="T28" t="str">
            <v>9h00</v>
          </cell>
          <cell r="U28" t="str">
            <v>9h00 Ngày 25/11/2015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KT-1701÷KT-1708</v>
          </cell>
          <cell r="AQ28" t="str">
            <v>Ngày 25 Tháng 11 Năm 2015</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KT-1701÷KT-1708</v>
          </cell>
          <cell r="AQ29" t="str">
            <v>Ngày …… Tháng ……. Năm ……</v>
          </cell>
        </row>
        <row r="30">
          <cell r="A30" t="str">
            <v>CTCC-01</v>
          </cell>
          <cell r="B30" t="str">
            <v>Công tác lắp dựng cửa chống cháy SK (khu đồng hồ nước) KT 400x400 tầng 03, 04, 05, 06, 07, 08, 09, 10, 11</v>
          </cell>
          <cell r="C30" t="str">
            <v>CTCC-01</v>
          </cell>
          <cell r="D30" t="str">
            <v>8h00</v>
          </cell>
          <cell r="E30" t="str">
            <v>10h00</v>
          </cell>
          <cell r="F30">
            <v>26</v>
          </cell>
          <cell r="G30">
            <v>11</v>
          </cell>
          <cell r="H30">
            <v>2015</v>
          </cell>
          <cell r="I30" t="str">
            <v>Hà Nội, ngày 26 tháng 11 năm 2015</v>
          </cell>
          <cell r="J30" t="str">
            <v>8h00 ngày 26 tháng 11 năm 2015</v>
          </cell>
          <cell r="K30" t="str">
            <v>10h00 ngày 26 tháng 11 năm 2015</v>
          </cell>
          <cell r="L30" t="str">
            <v>14h15</v>
          </cell>
          <cell r="M30" t="str">
            <v>16h15</v>
          </cell>
          <cell r="N30">
            <v>26</v>
          </cell>
          <cell r="O30">
            <v>11</v>
          </cell>
          <cell r="P30">
            <v>2015</v>
          </cell>
          <cell r="Q30" t="str">
            <v>Hà Nội, ngày 26 tháng 11 năm 2015</v>
          </cell>
          <cell r="R30" t="str">
            <v>14h15 ngày 26 tháng 11 năm 2015</v>
          </cell>
          <cell r="S30" t="str">
            <v>16h15 ngày 26 tháng 11 năm 2015</v>
          </cell>
          <cell r="T30" t="str">
            <v>14h15</v>
          </cell>
          <cell r="U30" t="str">
            <v>14h15 Ngày 26/11/2015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N30" t="str">
            <v>KT-1701÷KT-1708</v>
          </cell>
          <cell r="AQ30" t="str">
            <v>Ngày 26 Tháng 11 Năm 2015</v>
          </cell>
        </row>
        <row r="31">
          <cell r="A31" t="str">
            <v>CTCC-02</v>
          </cell>
          <cell r="B31" t="str">
            <v>Công tác lắp dựng cửa đi DT4 khung thép kính cường lực chống cháy dày 8 mm (KT 2200x1900) tầng 03, 04, 05, 06, 07, 08, 09, 10, 11</v>
          </cell>
          <cell r="C31" t="str">
            <v>CTCC-02</v>
          </cell>
          <cell r="D31" t="str">
            <v>8h00</v>
          </cell>
          <cell r="E31" t="str">
            <v>10h00</v>
          </cell>
          <cell r="F31">
            <v>26</v>
          </cell>
          <cell r="G31">
            <v>11</v>
          </cell>
          <cell r="H31">
            <v>2015</v>
          </cell>
          <cell r="I31" t="str">
            <v>Hà Nội, ngày 26 tháng 11 năm 2015</v>
          </cell>
          <cell r="J31" t="str">
            <v>8h00 ngày 26 tháng 11 năm 2015</v>
          </cell>
          <cell r="K31" t="str">
            <v>10h00 ngày 26 tháng 11 năm 2015</v>
          </cell>
          <cell r="L31" t="str">
            <v>14h15</v>
          </cell>
          <cell r="M31" t="str">
            <v>16h15</v>
          </cell>
          <cell r="N31">
            <v>26</v>
          </cell>
          <cell r="O31">
            <v>11</v>
          </cell>
          <cell r="P31">
            <v>2015</v>
          </cell>
          <cell r="Q31" t="str">
            <v>Hà Nội, ngày 26 tháng 11 năm 2015</v>
          </cell>
          <cell r="R31" t="str">
            <v>14h15 ngày 26 tháng 11 năm 2015</v>
          </cell>
          <cell r="S31" t="str">
            <v>16h15 ngày 26 tháng 11 năm 2015</v>
          </cell>
          <cell r="T31" t="str">
            <v>14h15</v>
          </cell>
          <cell r="U31" t="str">
            <v>14h15 Ngày 26/11/2015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KT-1701÷KT-1708</v>
          </cell>
          <cell r="AQ31" t="str">
            <v>Ngày 26 Tháng 11 Năm 2015</v>
          </cell>
        </row>
        <row r="32">
          <cell r="A32" t="str">
            <v>CTCC-03</v>
          </cell>
          <cell r="B32" t="str">
            <v>Công tác lắp dựng cửa thép an toàn D1 (1 cánh) KT 2200x1020 tầng áp mái</v>
          </cell>
          <cell r="C32" t="str">
            <v>CTCC-03</v>
          </cell>
          <cell r="D32" t="str">
            <v>9h00</v>
          </cell>
          <cell r="E32" t="str">
            <v>9h30</v>
          </cell>
          <cell r="F32">
            <v>27</v>
          </cell>
          <cell r="G32">
            <v>11</v>
          </cell>
          <cell r="H32">
            <v>2015</v>
          </cell>
          <cell r="I32" t="str">
            <v>Hà Nội, ngày 27 tháng 11 năm 2015</v>
          </cell>
          <cell r="J32" t="str">
            <v>9h00 ngày 27 tháng 11 năm 2015</v>
          </cell>
          <cell r="K32" t="str">
            <v>9h30 ngày 27 tháng 11 năm 2015</v>
          </cell>
          <cell r="L32" t="str">
            <v>10h00</v>
          </cell>
          <cell r="M32" t="str">
            <v>10h30</v>
          </cell>
          <cell r="N32">
            <v>27</v>
          </cell>
          <cell r="O32">
            <v>11</v>
          </cell>
          <cell r="P32">
            <v>2015</v>
          </cell>
          <cell r="Q32" t="str">
            <v>Hà Nội, ngày 27 tháng 11 năm 2015</v>
          </cell>
          <cell r="R32" t="str">
            <v>10h00 ngày 27 tháng 11 năm 2015</v>
          </cell>
          <cell r="S32" t="str">
            <v>10h30 ngày 27 tháng 11 năm 2015</v>
          </cell>
          <cell r="T32" t="str">
            <v>10h00</v>
          </cell>
          <cell r="U32" t="str">
            <v>10h00 Ngày 27/11/2015</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N32" t="str">
            <v>KT-1701÷KT-1708</v>
          </cell>
          <cell r="AQ32" t="str">
            <v>Ngày 27 Tháng 11 Năm 2015</v>
          </cell>
        </row>
        <row r="33">
          <cell r="A33" t="str">
            <v>CTCC-04</v>
          </cell>
          <cell r="B33" t="str">
            <v>Công tác lắp dựng cửa sổ chớp thép S4 (KT 1200x1300) tầng áp mái</v>
          </cell>
          <cell r="C33" t="str">
            <v>CTCC-04</v>
          </cell>
          <cell r="D33" t="str">
            <v>9h00</v>
          </cell>
          <cell r="E33" t="str">
            <v>9h30</v>
          </cell>
          <cell r="F33">
            <v>27</v>
          </cell>
          <cell r="G33">
            <v>11</v>
          </cell>
          <cell r="H33">
            <v>2015</v>
          </cell>
          <cell r="I33" t="str">
            <v>Hà Nội, ngày 27 tháng 11 năm 2015</v>
          </cell>
          <cell r="J33" t="str">
            <v>9h00 ngày 27 tháng 11 năm 2015</v>
          </cell>
          <cell r="K33" t="str">
            <v>9h30 ngày 27 tháng 11 năm 2015</v>
          </cell>
          <cell r="L33" t="str">
            <v>10h00</v>
          </cell>
          <cell r="M33" t="str">
            <v>10h30</v>
          </cell>
          <cell r="N33">
            <v>27</v>
          </cell>
          <cell r="O33">
            <v>11</v>
          </cell>
          <cell r="P33">
            <v>2015</v>
          </cell>
          <cell r="Q33" t="str">
            <v>Hà Nội, ngày 27 tháng 11 năm 2015</v>
          </cell>
          <cell r="R33" t="str">
            <v>10h00 ngày 27 tháng 11 năm 2015</v>
          </cell>
          <cell r="S33" t="str">
            <v>10h30 ngày 27 tháng 11 năm 2015</v>
          </cell>
          <cell r="T33" t="str">
            <v>10h00</v>
          </cell>
          <cell r="U33" t="str">
            <v>10h00 Ngày 27/11/2015</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N33" t="str">
            <v>KT-1701÷KT-1708</v>
          </cell>
          <cell r="AQ33" t="str">
            <v>Ngày 27 Tháng 11 Năm 2015</v>
          </cell>
        </row>
        <row r="34">
          <cell r="A34" t="str">
            <v>CTCC-05</v>
          </cell>
          <cell r="B34" t="str">
            <v>Công tác lắp dựng cửa sổ thép chống cháy ST1 (KT 1200x1200) tầng 01, 02, 03, 04, 05, 06, 07, 08, 09, 10, 11, tầng áp mái; ST2 (KT 1200x1600) tầng 03, 04, 05, 06, 07, 08, 09, 10, 11</v>
          </cell>
          <cell r="C34" t="str">
            <v>CTCC-05</v>
          </cell>
          <cell r="D34" t="str">
            <v>8h00</v>
          </cell>
          <cell r="E34" t="str">
            <v>10h30</v>
          </cell>
          <cell r="F34">
            <v>28</v>
          </cell>
          <cell r="G34">
            <v>11</v>
          </cell>
          <cell r="H34">
            <v>2015</v>
          </cell>
          <cell r="I34" t="str">
            <v>Hà Nội, ngày 28 tháng 11 năm 2015</v>
          </cell>
          <cell r="J34" t="str">
            <v>8h00 ngày 28 tháng 11 năm 2015</v>
          </cell>
          <cell r="K34" t="str">
            <v>10h30 ngày 28 tháng 11 năm 2015</v>
          </cell>
          <cell r="L34" t="str">
            <v>14h00</v>
          </cell>
          <cell r="M34" t="str">
            <v>16h30</v>
          </cell>
          <cell r="N34">
            <v>28</v>
          </cell>
          <cell r="O34">
            <v>11</v>
          </cell>
          <cell r="P34">
            <v>2015</v>
          </cell>
          <cell r="Q34" t="str">
            <v>Hà Nội, ngày 28 tháng 11 năm 2015</v>
          </cell>
          <cell r="R34" t="str">
            <v>14h00 ngày 28 tháng 11 năm 2015</v>
          </cell>
          <cell r="S34" t="str">
            <v>16h30 ngày 28 tháng 11 năm 2015</v>
          </cell>
          <cell r="T34" t="str">
            <v>14h00</v>
          </cell>
          <cell r="U34" t="str">
            <v>14h00 Ngày 28/11/2015</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N34" t="str">
            <v>KT-1701÷KT-1709</v>
          </cell>
          <cell r="AQ34" t="str">
            <v>Ngày 28 Tháng 11 Năm 2015</v>
          </cell>
        </row>
        <row r="35">
          <cell r="A35" t="str">
            <v>CTCC-06</v>
          </cell>
          <cell r="B35" t="str">
            <v>Công tác lắp dựng cửa thép chống cháy DT1 (thang bộ) có thanh đẩy thoát hiểm (KT 2200x1000) tầng : 01, 02, 03, 04, 05, 06, 07, 08, 09, 10, 11, tầng áp mái</v>
          </cell>
          <cell r="C35" t="str">
            <v>CTCC-06</v>
          </cell>
          <cell r="D35" t="str">
            <v>8h00</v>
          </cell>
          <cell r="E35" t="str">
            <v>10h30</v>
          </cell>
          <cell r="F35">
            <v>28</v>
          </cell>
          <cell r="G35">
            <v>11</v>
          </cell>
          <cell r="H35">
            <v>2015</v>
          </cell>
          <cell r="I35" t="str">
            <v>Hà Nội, ngày 28 tháng 11 năm 2015</v>
          </cell>
          <cell r="J35" t="str">
            <v>8h00 ngày 28 tháng 11 năm 2015</v>
          </cell>
          <cell r="K35" t="str">
            <v>10h30 ngày 28 tháng 11 năm 2015</v>
          </cell>
          <cell r="L35" t="str">
            <v>14h00</v>
          </cell>
          <cell r="M35" t="str">
            <v>16h30</v>
          </cell>
          <cell r="N35">
            <v>28</v>
          </cell>
          <cell r="O35">
            <v>11</v>
          </cell>
          <cell r="P35">
            <v>2015</v>
          </cell>
          <cell r="Q35" t="str">
            <v>Hà Nội, ngày 28 tháng 11 năm 2015</v>
          </cell>
          <cell r="R35" t="str">
            <v>14h00 ngày 28 tháng 11 năm 2015</v>
          </cell>
          <cell r="S35" t="str">
            <v>16h30 ngày 28 tháng 11 năm 2015</v>
          </cell>
          <cell r="T35" t="str">
            <v>14h00</v>
          </cell>
          <cell r="U35" t="str">
            <v>14h00 Ngày 28/11/2015</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N35" t="str">
            <v>KT-1701÷KT-1710</v>
          </cell>
          <cell r="AQ35" t="str">
            <v>Ngày 28 Tháng 11 Năm 2015</v>
          </cell>
        </row>
        <row r="36">
          <cell r="A36" t="str">
            <v>CTCC-07</v>
          </cell>
          <cell r="B36" t="str">
            <v>Công tác lắp dựng cửa thép an toàn 2 cánh DT2* (KT 2200x1600) tầng 01; D9 (2 cánh) KT 2200x1200 tầng 01, 02, tầng áp mái</v>
          </cell>
          <cell r="C36" t="str">
            <v>CTCC-07</v>
          </cell>
          <cell r="D36" t="str">
            <v>8h00</v>
          </cell>
          <cell r="E36" t="str">
            <v>10h30</v>
          </cell>
          <cell r="F36">
            <v>28</v>
          </cell>
          <cell r="G36">
            <v>11</v>
          </cell>
          <cell r="H36">
            <v>2015</v>
          </cell>
          <cell r="I36" t="str">
            <v>Hà Nội, ngày 28 tháng 11 năm 2015</v>
          </cell>
          <cell r="J36" t="str">
            <v>8h00 ngày 28 tháng 11 năm 2015</v>
          </cell>
          <cell r="K36" t="str">
            <v>10h30 ngày 28 tháng 11 năm 2015</v>
          </cell>
          <cell r="L36" t="str">
            <v>14h00</v>
          </cell>
          <cell r="M36" t="str">
            <v>16h30</v>
          </cell>
          <cell r="N36">
            <v>28</v>
          </cell>
          <cell r="O36">
            <v>11</v>
          </cell>
          <cell r="P36">
            <v>2015</v>
          </cell>
          <cell r="Q36" t="str">
            <v>Hà Nội, ngày 28 tháng 11 năm 2015</v>
          </cell>
          <cell r="R36" t="str">
            <v>14h00 ngày 28 tháng 11 năm 2015</v>
          </cell>
          <cell r="S36" t="str">
            <v>16h30 ngày 28 tháng 11 năm 2015</v>
          </cell>
          <cell r="T36" t="str">
            <v>14h00</v>
          </cell>
          <cell r="U36" t="str">
            <v>14h00 Ngày 28/11/2015</v>
          </cell>
          <cell r="V36" t="str">
            <v>Nguyễn Ái Việt</v>
          </cell>
          <cell r="W36" t="str">
            <v>Chỉ huy trưởng</v>
          </cell>
          <cell r="X36" t="str">
            <v>................................</v>
          </cell>
          <cell r="Y36" t="str">
            <v>................................</v>
          </cell>
          <cell r="Z36" t="str">
            <v>Nguyễn Văn Nghiễm</v>
          </cell>
          <cell r="AA36" t="str">
            <v>Cán bộ KCS</v>
          </cell>
          <cell r="AB36" t="str">
            <v>Vương Toàn Hiếu</v>
          </cell>
          <cell r="AC36" t="str">
            <v>Trưởng đoàn TVGS</v>
          </cell>
          <cell r="AD36" t="str">
            <v>Lê Thiều Nam</v>
          </cell>
          <cell r="AE36" t="str">
            <v>Cán bộ TVGS</v>
          </cell>
          <cell r="AF36" t="str">
            <v>................................</v>
          </cell>
          <cell r="AG36" t="str">
            <v>................................</v>
          </cell>
          <cell r="AH36" t="str">
            <v>Nguyễn Ái Việt</v>
          </cell>
          <cell r="AI36" t="str">
            <v>Chỉ huy trưởng</v>
          </cell>
          <cell r="AJ36" t="str">
            <v>Hoàng Chiến Thắng</v>
          </cell>
          <cell r="AK36" t="str">
            <v>P. Chỉ huy trưởng</v>
          </cell>
          <cell r="AL36" t="str">
            <v>Trịnh Quang Đức</v>
          </cell>
          <cell r="AM36" t="str">
            <v>Cán bộ kỹ thuật</v>
          </cell>
          <cell r="AN36" t="str">
            <v>KT-1701÷KT-1711</v>
          </cell>
          <cell r="AQ36" t="str">
            <v>Ngày 28 Tháng 11 Năm 2015</v>
          </cell>
        </row>
        <row r="37">
          <cell r="A37" t="str">
            <v>CTCC-08</v>
          </cell>
          <cell r="B37" t="str">
            <v>Công tác lắp dựng cửa thép chống cháy DT1 (KT 2200x1000) tầng 01, DT3 (KT 2200x900) phòng kỹ thuật có khóa tầng 01</v>
          </cell>
          <cell r="C37" t="str">
            <v>CTCC-08</v>
          </cell>
          <cell r="D37" t="str">
            <v>8h30</v>
          </cell>
          <cell r="E37" t="str">
            <v>9h00</v>
          </cell>
          <cell r="F37">
            <v>29</v>
          </cell>
          <cell r="G37">
            <v>11</v>
          </cell>
          <cell r="H37">
            <v>2015</v>
          </cell>
          <cell r="I37" t="str">
            <v>Hà Nội, ngày 29 tháng 11 năm 2015</v>
          </cell>
          <cell r="J37" t="str">
            <v>8h30 ngày 29 tháng 11 năm 2015</v>
          </cell>
          <cell r="K37" t="str">
            <v>9h00 ngày 29 tháng 11 năm 2015</v>
          </cell>
          <cell r="L37" t="str">
            <v>10h00</v>
          </cell>
          <cell r="M37" t="str">
            <v>10h30</v>
          </cell>
          <cell r="N37">
            <v>29</v>
          </cell>
          <cell r="O37">
            <v>11</v>
          </cell>
          <cell r="P37">
            <v>2015</v>
          </cell>
          <cell r="Q37" t="str">
            <v>Hà Nội, ngày 29 tháng 11 năm 2015</v>
          </cell>
          <cell r="R37" t="str">
            <v>10h00 ngày 29 tháng 11 năm 2015</v>
          </cell>
          <cell r="S37" t="str">
            <v>10h30 ngày 29 tháng 11 năm 2015</v>
          </cell>
          <cell r="T37" t="str">
            <v>10h00</v>
          </cell>
          <cell r="U37" t="str">
            <v>10h00 Ngày 29/11/2015</v>
          </cell>
          <cell r="V37" t="str">
            <v>Nguyễn Ái Việt</v>
          </cell>
          <cell r="W37" t="str">
            <v>Chỉ huy trưởng</v>
          </cell>
          <cell r="X37" t="str">
            <v>................................</v>
          </cell>
          <cell r="Y37" t="str">
            <v>................................</v>
          </cell>
          <cell r="Z37" t="str">
            <v>Nguyễn Văn Nghiễm</v>
          </cell>
          <cell r="AA37" t="str">
            <v>Cán bộ KCS</v>
          </cell>
          <cell r="AB37" t="str">
            <v>Vương Toàn Hiếu</v>
          </cell>
          <cell r="AC37" t="str">
            <v>Trưởng đoàn TVGS</v>
          </cell>
          <cell r="AD37" t="str">
            <v>Lê Thiều Nam</v>
          </cell>
          <cell r="AE37" t="str">
            <v>Cán bộ TVGS</v>
          </cell>
          <cell r="AF37" t="str">
            <v>................................</v>
          </cell>
          <cell r="AG37" t="str">
            <v>................................</v>
          </cell>
          <cell r="AH37" t="str">
            <v>Nguyễn Ái Việt</v>
          </cell>
          <cell r="AI37" t="str">
            <v>Chỉ huy trưởng</v>
          </cell>
          <cell r="AJ37" t="str">
            <v>Hoàng Chiến Thắng</v>
          </cell>
          <cell r="AK37" t="str">
            <v>P. Chỉ huy trưởng</v>
          </cell>
          <cell r="AL37" t="str">
            <v>Trịnh Quang Đức</v>
          </cell>
          <cell r="AM37" t="str">
            <v>Cán bộ kỹ thuật</v>
          </cell>
          <cell r="AN37" t="str">
            <v>KT-1701÷KT-1712</v>
          </cell>
          <cell r="AQ37" t="str">
            <v>Ngày 29 Tháng 11 Năm 2015</v>
          </cell>
        </row>
        <row r="38">
          <cell r="A38" t="str">
            <v>CTCC-09</v>
          </cell>
          <cell r="B38" t="str">
            <v>Công tác lắp dựng cửa thép chống cháy DT2 (2 cánh) KT 1600x2200 tầng 01</v>
          </cell>
          <cell r="C38" t="str">
            <v>CTCC-09</v>
          </cell>
          <cell r="D38" t="str">
            <v>8h30</v>
          </cell>
          <cell r="E38" t="str">
            <v>9h00</v>
          </cell>
          <cell r="F38">
            <v>29</v>
          </cell>
          <cell r="G38">
            <v>11</v>
          </cell>
          <cell r="H38">
            <v>2015</v>
          </cell>
          <cell r="I38" t="str">
            <v>Hà Nội, ngày 29 tháng 11 năm 2015</v>
          </cell>
          <cell r="J38" t="str">
            <v>8h30 ngày 29 tháng 11 năm 2015</v>
          </cell>
          <cell r="K38" t="str">
            <v>9h00 ngày 29 tháng 11 năm 2015</v>
          </cell>
          <cell r="L38" t="str">
            <v>10h00</v>
          </cell>
          <cell r="M38" t="str">
            <v>10h30</v>
          </cell>
          <cell r="N38">
            <v>29</v>
          </cell>
          <cell r="O38">
            <v>11</v>
          </cell>
          <cell r="P38">
            <v>2015</v>
          </cell>
          <cell r="Q38" t="str">
            <v>Hà Nội, ngày 29 tháng 11 năm 2015</v>
          </cell>
          <cell r="R38" t="str">
            <v>10h00 ngày 29 tháng 11 năm 2015</v>
          </cell>
          <cell r="S38" t="str">
            <v>10h30 ngày 29 tháng 11 năm 2015</v>
          </cell>
          <cell r="T38" t="str">
            <v>10h00</v>
          </cell>
          <cell r="U38" t="str">
            <v>10h00 Ngày 29/11/2015</v>
          </cell>
          <cell r="V38" t="str">
            <v>Nguyễn Ái Việt</v>
          </cell>
          <cell r="W38" t="str">
            <v>Chỉ huy trưởng</v>
          </cell>
          <cell r="X38" t="str">
            <v>................................</v>
          </cell>
          <cell r="Y38" t="str">
            <v>................................</v>
          </cell>
          <cell r="Z38" t="str">
            <v>Nguyễn Văn Nghiễm</v>
          </cell>
          <cell r="AA38" t="str">
            <v>Cán bộ KCS</v>
          </cell>
          <cell r="AB38" t="str">
            <v>Vương Toàn Hiếu</v>
          </cell>
          <cell r="AC38" t="str">
            <v>Trưởng đoàn TVGS</v>
          </cell>
          <cell r="AD38" t="str">
            <v>Lê Thiều Nam</v>
          </cell>
          <cell r="AE38" t="str">
            <v>Cán bộ TVGS</v>
          </cell>
          <cell r="AF38" t="str">
            <v>................................</v>
          </cell>
          <cell r="AG38" t="str">
            <v>................................</v>
          </cell>
          <cell r="AH38" t="str">
            <v>Nguyễn Ái Việt</v>
          </cell>
          <cell r="AI38" t="str">
            <v>Chỉ huy trưởng</v>
          </cell>
          <cell r="AJ38" t="str">
            <v>Hoàng Chiến Thắng</v>
          </cell>
          <cell r="AK38" t="str">
            <v>P. Chỉ huy trưởng</v>
          </cell>
          <cell r="AL38" t="str">
            <v>Trịnh Quang Đức</v>
          </cell>
          <cell r="AM38" t="str">
            <v>Cán bộ kỹ thuật</v>
          </cell>
          <cell r="AN38" t="str">
            <v>KT-1701÷KT-1713</v>
          </cell>
          <cell r="AQ38" t="str">
            <v>Ngày 29 Tháng 11 Năm 2015</v>
          </cell>
        </row>
        <row r="39">
          <cell r="A39" t="str">
            <v>CTCC-10</v>
          </cell>
          <cell r="B39" t="str">
            <v>Công tác lắp dựng cửa sổ S5 khung thép kính cường lực chống cháy dày 8 mm (KT 1400x1400) tầng 01</v>
          </cell>
          <cell r="C39" t="str">
            <v>CTCC-10</v>
          </cell>
          <cell r="D39" t="str">
            <v>8h30</v>
          </cell>
          <cell r="E39" t="str">
            <v>9h00</v>
          </cell>
          <cell r="F39">
            <v>29</v>
          </cell>
          <cell r="G39">
            <v>11</v>
          </cell>
          <cell r="H39">
            <v>2015</v>
          </cell>
          <cell r="I39" t="str">
            <v>Hà Nội, ngày 29 tháng 11 năm 2015</v>
          </cell>
          <cell r="J39" t="str">
            <v>8h30 ngày 29 tháng 11 năm 2015</v>
          </cell>
          <cell r="K39" t="str">
            <v>9h00 ngày 29 tháng 11 năm 2015</v>
          </cell>
          <cell r="L39" t="str">
            <v>10h00</v>
          </cell>
          <cell r="M39" t="str">
            <v>10h30</v>
          </cell>
          <cell r="N39">
            <v>29</v>
          </cell>
          <cell r="O39">
            <v>11</v>
          </cell>
          <cell r="P39">
            <v>2015</v>
          </cell>
          <cell r="Q39" t="str">
            <v>Hà Nội, ngày 29 tháng 11 năm 2015</v>
          </cell>
          <cell r="R39" t="str">
            <v>10h00 ngày 29 tháng 11 năm 2015</v>
          </cell>
          <cell r="S39" t="str">
            <v>10h30 ngày 29 tháng 11 năm 2015</v>
          </cell>
          <cell r="T39" t="str">
            <v>10h00</v>
          </cell>
          <cell r="U39" t="str">
            <v>10h00 Ngày 29/11/2015</v>
          </cell>
          <cell r="V39" t="str">
            <v>Nguyễn Ái Việt</v>
          </cell>
          <cell r="W39" t="str">
            <v>Chỉ huy trưởng</v>
          </cell>
          <cell r="X39" t="str">
            <v>................................</v>
          </cell>
          <cell r="Y39" t="str">
            <v>................................</v>
          </cell>
          <cell r="Z39" t="str">
            <v>Nguyễn Văn Nghiễm</v>
          </cell>
          <cell r="AA39" t="str">
            <v>Cán bộ KCS</v>
          </cell>
          <cell r="AB39" t="str">
            <v>Vương Toàn Hiếu</v>
          </cell>
          <cell r="AC39" t="str">
            <v>Trưởng đoàn TVGS</v>
          </cell>
          <cell r="AD39" t="str">
            <v>Lê Thiều Nam</v>
          </cell>
          <cell r="AE39" t="str">
            <v>Cán bộ TVGS</v>
          </cell>
          <cell r="AF39" t="str">
            <v>................................</v>
          </cell>
          <cell r="AG39" t="str">
            <v>................................</v>
          </cell>
          <cell r="AH39" t="str">
            <v>Nguyễn Ái Việt</v>
          </cell>
          <cell r="AI39" t="str">
            <v>Chỉ huy trưởng</v>
          </cell>
          <cell r="AJ39" t="str">
            <v>Hoàng Chiến Thắng</v>
          </cell>
          <cell r="AK39" t="str">
            <v>P. Chỉ huy trưởng</v>
          </cell>
          <cell r="AL39" t="str">
            <v>Trịnh Quang Đức</v>
          </cell>
          <cell r="AM39" t="str">
            <v>Cán bộ kỹ thuật</v>
          </cell>
          <cell r="AN39" t="str">
            <v>KT-1701÷KT-1714</v>
          </cell>
          <cell r="AQ39" t="str">
            <v>Ngày 29 Tháng 11 Năm 2015</v>
          </cell>
        </row>
        <row r="40">
          <cell r="D40" t="str">
            <v>……</v>
          </cell>
          <cell r="E40" t="str">
            <v>…….</v>
          </cell>
          <cell r="F40" t="str">
            <v>……</v>
          </cell>
          <cell r="G40" t="str">
            <v>…….</v>
          </cell>
          <cell r="H40" t="str">
            <v>……</v>
          </cell>
          <cell r="I40" t="str">
            <v>Hà Nội, ngày …… tháng ……. năm ……</v>
          </cell>
          <cell r="J40" t="str">
            <v>…… ngày …… tháng ……. năm ……</v>
          </cell>
          <cell r="K40" t="str">
            <v>……. ngày …… tháng ……. năm ……</v>
          </cell>
          <cell r="L40" t="str">
            <v>……</v>
          </cell>
          <cell r="M40" t="str">
            <v>……</v>
          </cell>
          <cell r="N40" t="str">
            <v>……</v>
          </cell>
          <cell r="O40" t="str">
            <v>…….</v>
          </cell>
          <cell r="P40" t="str">
            <v>……</v>
          </cell>
          <cell r="Q40" t="str">
            <v>Hà Nội, ngày …… tháng ……. năm ……</v>
          </cell>
          <cell r="R40" t="str">
            <v>…… ngày …… tháng ……. năm ……</v>
          </cell>
          <cell r="S40" t="str">
            <v>…… ngày …… tháng ……. năm ……</v>
          </cell>
          <cell r="T40" t="str">
            <v>……</v>
          </cell>
          <cell r="U40" t="str">
            <v>…… Ngày ……/……./……</v>
          </cell>
          <cell r="V40" t="str">
            <v>Nguyễn Ái Việt</v>
          </cell>
          <cell r="W40" t="str">
            <v>Chỉ huy trưởng</v>
          </cell>
          <cell r="X40" t="str">
            <v>................................</v>
          </cell>
          <cell r="Y40" t="str">
            <v>................................</v>
          </cell>
          <cell r="Z40" t="str">
            <v>Nguyễn Văn Nghiễm</v>
          </cell>
          <cell r="AA40" t="str">
            <v>Cán bộ KCS</v>
          </cell>
          <cell r="AB40" t="str">
            <v>Vương Toàn Hiếu</v>
          </cell>
          <cell r="AC40" t="str">
            <v>Trưởng đoàn TVGS</v>
          </cell>
          <cell r="AD40" t="str">
            <v>Lê Thiều Nam</v>
          </cell>
          <cell r="AE40" t="str">
            <v>Cán bộ TVGS</v>
          </cell>
          <cell r="AF40" t="str">
            <v>................................</v>
          </cell>
          <cell r="AG40" t="str">
            <v>................................</v>
          </cell>
          <cell r="AH40" t="str">
            <v>Nguyễn Ái Việt</v>
          </cell>
          <cell r="AI40" t="str">
            <v>Chỉ huy trưởng</v>
          </cell>
          <cell r="AJ40" t="str">
            <v>Hoàng Chiến Thắng</v>
          </cell>
          <cell r="AK40" t="str">
            <v>P. Chỉ huy trưởng</v>
          </cell>
          <cell r="AL40" t="str">
            <v>Trịnh Quang Đức</v>
          </cell>
          <cell r="AM40" t="str">
            <v>Cán bộ kỹ thuật</v>
          </cell>
          <cell r="AN40" t="str">
            <v>KT-1701÷KT-1715</v>
          </cell>
          <cell r="AQ40" t="str">
            <v>Ngày …… Tháng ……. Năm ……</v>
          </cell>
        </row>
        <row r="41">
          <cell r="A41" t="str">
            <v>CC-01</v>
          </cell>
          <cell r="B41" t="str">
            <v>Gia công, lắp dựng cửa cuốn tầng 01</v>
          </cell>
          <cell r="C41" t="str">
            <v>CC-01</v>
          </cell>
          <cell r="D41" t="str">
            <v>8h00</v>
          </cell>
          <cell r="E41" t="str">
            <v>9h00</v>
          </cell>
          <cell r="F41">
            <v>4</v>
          </cell>
          <cell r="G41">
            <v>12</v>
          </cell>
          <cell r="H41">
            <v>2015</v>
          </cell>
          <cell r="I41" t="str">
            <v>Hà Nội, ngày 4 tháng 12 năm 2015</v>
          </cell>
          <cell r="J41" t="str">
            <v>8h00 ngày 4 tháng 12 năm 2015</v>
          </cell>
          <cell r="K41" t="str">
            <v>9h00 ngày 4 tháng 12 năm 2015</v>
          </cell>
          <cell r="L41" t="str">
            <v>9h15</v>
          </cell>
          <cell r="M41" t="str">
            <v>10h15</v>
          </cell>
          <cell r="N41">
            <v>4</v>
          </cell>
          <cell r="O41">
            <v>12</v>
          </cell>
          <cell r="P41">
            <v>2015</v>
          </cell>
          <cell r="Q41" t="str">
            <v>Hà Nội, ngày 4 tháng 12 năm 2015</v>
          </cell>
          <cell r="R41" t="str">
            <v>9h15 ngày 4 tháng 12 năm 2015</v>
          </cell>
          <cell r="S41" t="str">
            <v>10h15 ngày 4 tháng 12 năm 2015</v>
          </cell>
          <cell r="T41" t="str">
            <v>9h15</v>
          </cell>
          <cell r="U41" t="str">
            <v>9h15 Ngày 4/12/2015</v>
          </cell>
          <cell r="V41" t="str">
            <v>Nguyễn Ái Việt</v>
          </cell>
          <cell r="W41" t="str">
            <v>Chỉ huy trưởng</v>
          </cell>
          <cell r="X41" t="str">
            <v>................................</v>
          </cell>
          <cell r="Y41" t="str">
            <v>................................</v>
          </cell>
          <cell r="Z41" t="str">
            <v>Nguyễn Văn Nghiễm</v>
          </cell>
          <cell r="AA41" t="str">
            <v>Cán bộ KCS</v>
          </cell>
          <cell r="AB41" t="str">
            <v>Vương Toàn Hiếu</v>
          </cell>
          <cell r="AC41" t="str">
            <v>Trưởng đoàn TVGS</v>
          </cell>
          <cell r="AD41" t="str">
            <v>Lê Thiều Nam</v>
          </cell>
          <cell r="AE41" t="str">
            <v>Cán bộ TVGS</v>
          </cell>
          <cell r="AF41" t="str">
            <v>................................</v>
          </cell>
          <cell r="AG41" t="str">
            <v>................................</v>
          </cell>
          <cell r="AH41" t="str">
            <v>Nguyễn Ái Việt</v>
          </cell>
          <cell r="AI41" t="str">
            <v>Chỉ huy trưởng</v>
          </cell>
          <cell r="AJ41" t="str">
            <v>Hoàng Chiến Thắng</v>
          </cell>
          <cell r="AK41" t="str">
            <v>P. Chỉ huy trưởng</v>
          </cell>
          <cell r="AL41" t="str">
            <v>Trịnh Quang Đức</v>
          </cell>
          <cell r="AM41" t="str">
            <v>Cán bộ kỹ thuật</v>
          </cell>
          <cell r="AN41" t="str">
            <v>KT-102-BSCC</v>
          </cell>
          <cell r="AQ41" t="str">
            <v>Ngày 4 Tháng 12 Năm 2015</v>
          </cell>
        </row>
        <row r="42">
          <cell r="A42" t="str">
            <v>THKN-01</v>
          </cell>
          <cell r="B42" t="str">
            <v>Gia công, lắp dựng trần hợp kim nhôm, khung xương kim loại chìm tầng 02</v>
          </cell>
          <cell r="C42" t="str">
            <v>THKN-01</v>
          </cell>
          <cell r="D42" t="str">
            <v>10h00</v>
          </cell>
          <cell r="E42" t="str">
            <v>11h30</v>
          </cell>
          <cell r="F42">
            <v>14</v>
          </cell>
          <cell r="G42">
            <v>12</v>
          </cell>
          <cell r="H42">
            <v>2015</v>
          </cell>
          <cell r="I42" t="str">
            <v>Hà Nội, ngày 14 tháng 12 năm 2015</v>
          </cell>
          <cell r="J42" t="str">
            <v>10h00 ngày 14 tháng 12 năm 2015</v>
          </cell>
          <cell r="K42" t="str">
            <v>11h30 ngày 14 tháng 12 năm 2015</v>
          </cell>
          <cell r="L42" t="str">
            <v>14h30</v>
          </cell>
          <cell r="M42" t="str">
            <v>16h00</v>
          </cell>
          <cell r="N42">
            <v>14</v>
          </cell>
          <cell r="O42">
            <v>12</v>
          </cell>
          <cell r="P42">
            <v>2015</v>
          </cell>
          <cell r="Q42" t="str">
            <v>Hà Nội, ngày 14 tháng 12 năm 2015</v>
          </cell>
          <cell r="R42" t="str">
            <v>14h30 ngày 14 tháng 12 năm 2015</v>
          </cell>
          <cell r="S42" t="str">
            <v>16h00 ngày 14 tháng 12 năm 2015</v>
          </cell>
          <cell r="T42" t="str">
            <v>14h30</v>
          </cell>
          <cell r="U42" t="str">
            <v>14h30 Ngày 14/12/2015</v>
          </cell>
          <cell r="V42" t="str">
            <v>Nguyễn Ái Việt</v>
          </cell>
          <cell r="W42" t="str">
            <v>Chỉ huy trưởng</v>
          </cell>
          <cell r="X42" t="str">
            <v>................................</v>
          </cell>
          <cell r="Y42" t="str">
            <v>................................</v>
          </cell>
          <cell r="Z42" t="str">
            <v>Nguyễn Văn Nghiễm</v>
          </cell>
          <cell r="AA42" t="str">
            <v>Cán bộ KCS</v>
          </cell>
          <cell r="AB42" t="str">
            <v>Vương Toàn Hiếu</v>
          </cell>
          <cell r="AC42" t="str">
            <v>Trưởng đoàn TVGS</v>
          </cell>
          <cell r="AD42" t="str">
            <v>Lê Thiều Nam</v>
          </cell>
          <cell r="AE42" t="str">
            <v>Cán bộ TVGS</v>
          </cell>
          <cell r="AF42" t="str">
            <v>................................</v>
          </cell>
          <cell r="AG42" t="str">
            <v>................................</v>
          </cell>
          <cell r="AH42" t="str">
            <v>Nguyễn Ái Việt</v>
          </cell>
          <cell r="AI42" t="str">
            <v>Chỉ huy trưởng</v>
          </cell>
          <cell r="AJ42" t="str">
            <v>Hoàng Chiến Thắng</v>
          </cell>
          <cell r="AK42" t="str">
            <v>P. Chỉ huy trưởng</v>
          </cell>
          <cell r="AL42" t="str">
            <v>Trịnh Quang Đức</v>
          </cell>
          <cell r="AM42" t="str">
            <v>Cán bộ kỹ thuật</v>
          </cell>
          <cell r="AN42" t="str">
            <v>KT.1802-BS</v>
          </cell>
          <cell r="AQ42" t="str">
            <v>Ngày 14 Tháng 12 Năm 2015</v>
          </cell>
        </row>
        <row r="43">
          <cell r="D43" t="str">
            <v>……</v>
          </cell>
          <cell r="E43" t="str">
            <v>…….</v>
          </cell>
          <cell r="F43" t="str">
            <v>……</v>
          </cell>
          <cell r="G43" t="str">
            <v>…….</v>
          </cell>
          <cell r="H43" t="str">
            <v>……</v>
          </cell>
          <cell r="I43" t="str">
            <v>Hà Nội, ngày …… tháng ……. năm ……</v>
          </cell>
          <cell r="J43" t="str">
            <v>…… ngày …… tháng ……. năm ……</v>
          </cell>
          <cell r="K43" t="str">
            <v>……. ngày …… tháng ……. năm ……</v>
          </cell>
          <cell r="L43" t="str">
            <v>……</v>
          </cell>
          <cell r="M43" t="str">
            <v>……</v>
          </cell>
          <cell r="N43" t="str">
            <v>……</v>
          </cell>
          <cell r="O43" t="str">
            <v>…….</v>
          </cell>
          <cell r="P43" t="str">
            <v>……</v>
          </cell>
          <cell r="Q43" t="str">
            <v>Hà Nội, ngày …… tháng ……. năm ……</v>
          </cell>
          <cell r="R43" t="str">
            <v>…… ngày …… tháng ……. năm ……</v>
          </cell>
          <cell r="S43" t="str">
            <v>…… ngày …… tháng ……. năm ……</v>
          </cell>
          <cell r="T43" t="str">
            <v>……</v>
          </cell>
          <cell r="U43" t="str">
            <v>…… Ngày ……/……./……</v>
          </cell>
          <cell r="V43" t="str">
            <v>Nguyễn Ái Việt</v>
          </cell>
          <cell r="W43" t="str">
            <v>Chỉ huy trưởng</v>
          </cell>
          <cell r="X43" t="str">
            <v>................................</v>
          </cell>
          <cell r="Y43" t="str">
            <v>................................</v>
          </cell>
          <cell r="Z43" t="str">
            <v>Nguyễn Văn Nghiễm</v>
          </cell>
          <cell r="AA43" t="str">
            <v>Cán bộ KCS</v>
          </cell>
          <cell r="AB43" t="str">
            <v>Vương Toàn Hiếu</v>
          </cell>
          <cell r="AC43" t="str">
            <v>Trưởng đoàn TVGS</v>
          </cell>
          <cell r="AD43" t="str">
            <v>Lê Thiều Nam</v>
          </cell>
          <cell r="AE43" t="str">
            <v>Cán bộ TVGS</v>
          </cell>
          <cell r="AF43" t="str">
            <v>................................</v>
          </cell>
          <cell r="AG43" t="str">
            <v>................................</v>
          </cell>
          <cell r="AH43" t="str">
            <v>Nguyễn Ái Việt</v>
          </cell>
          <cell r="AI43" t="str">
            <v>Chỉ huy trưởng</v>
          </cell>
          <cell r="AJ43" t="str">
            <v>Hoàng Chiến Thắng</v>
          </cell>
          <cell r="AK43" t="str">
            <v>P. Chỉ huy trưởng</v>
          </cell>
          <cell r="AL43" t="str">
            <v>Trịnh Quang Đức</v>
          </cell>
          <cell r="AM43" t="str">
            <v>Cán bộ kỹ thuật</v>
          </cell>
          <cell r="AQ43" t="str">
            <v>Ngày …… Tháng ……. Năm ……</v>
          </cell>
        </row>
        <row r="44">
          <cell r="D44" t="str">
            <v>……</v>
          </cell>
          <cell r="E44" t="str">
            <v>…….</v>
          </cell>
          <cell r="F44" t="str">
            <v>……</v>
          </cell>
          <cell r="G44" t="str">
            <v>…….</v>
          </cell>
          <cell r="H44" t="str">
            <v>……</v>
          </cell>
          <cell r="I44" t="str">
            <v>Hà Nội, ngày …… tháng ……. năm ……</v>
          </cell>
          <cell r="J44" t="str">
            <v>…… ngày …… tháng ……. năm ……</v>
          </cell>
          <cell r="K44" t="str">
            <v>……. ngày …… tháng ……. năm ……</v>
          </cell>
          <cell r="L44" t="str">
            <v>……</v>
          </cell>
          <cell r="M44" t="str">
            <v>……</v>
          </cell>
          <cell r="N44" t="str">
            <v>……</v>
          </cell>
          <cell r="O44" t="str">
            <v>…….</v>
          </cell>
          <cell r="P44" t="str">
            <v>……</v>
          </cell>
          <cell r="Q44" t="str">
            <v>Hà Nội, ngày …… tháng ……. năm ……</v>
          </cell>
          <cell r="R44" t="str">
            <v>…… ngày …… tháng ……. năm ……</v>
          </cell>
          <cell r="S44" t="str">
            <v>…… ngày …… tháng ……. năm ……</v>
          </cell>
          <cell r="T44" t="str">
            <v>……</v>
          </cell>
          <cell r="U44" t="str">
            <v>…… Ngày ……/……./……</v>
          </cell>
          <cell r="V44" t="str">
            <v>Nguyễn Ái Việt</v>
          </cell>
          <cell r="W44" t="str">
            <v>Chỉ huy trưởng</v>
          </cell>
          <cell r="X44" t="str">
            <v>................................</v>
          </cell>
          <cell r="Y44" t="str">
            <v>................................</v>
          </cell>
          <cell r="Z44" t="str">
            <v>Nguyễn Văn Nghiễm</v>
          </cell>
          <cell r="AA44" t="str">
            <v>Cán bộ KCS</v>
          </cell>
          <cell r="AB44" t="str">
            <v>Vương Toàn Hiếu</v>
          </cell>
          <cell r="AC44" t="str">
            <v>Trưởng đoàn TVGS</v>
          </cell>
          <cell r="AD44" t="str">
            <v>Lê Thiều Nam</v>
          </cell>
          <cell r="AE44" t="str">
            <v>Cán bộ TVGS</v>
          </cell>
          <cell r="AF44" t="str">
            <v>................................</v>
          </cell>
          <cell r="AG44" t="str">
            <v>................................</v>
          </cell>
          <cell r="AH44" t="str">
            <v>Nguyễn Ái Việt</v>
          </cell>
          <cell r="AI44" t="str">
            <v>Chỉ huy trưởng</v>
          </cell>
          <cell r="AJ44" t="str">
            <v>Hoàng Chiến Thắng</v>
          </cell>
          <cell r="AK44" t="str">
            <v>P. Chỉ huy trưởng</v>
          </cell>
          <cell r="AL44" t="str">
            <v>Trịnh Quang Đức</v>
          </cell>
          <cell r="AM44" t="str">
            <v>Cán bộ kỹ thuật</v>
          </cell>
          <cell r="AQ44" t="str">
            <v>Ngày …… Tháng ……. Năm ……</v>
          </cell>
        </row>
        <row r="45">
          <cell r="D45" t="str">
            <v>……</v>
          </cell>
          <cell r="E45" t="str">
            <v>…….</v>
          </cell>
          <cell r="F45" t="str">
            <v>……</v>
          </cell>
          <cell r="G45" t="str">
            <v>…….</v>
          </cell>
          <cell r="H45" t="str">
            <v>……</v>
          </cell>
          <cell r="I45" t="str">
            <v>Hà Nội, ngày …… tháng ……. năm ……</v>
          </cell>
          <cell r="J45" t="str">
            <v>…… ngày …… tháng ……. năm ……</v>
          </cell>
          <cell r="K45" t="str">
            <v>……. ngày …… tháng ……. năm ……</v>
          </cell>
          <cell r="L45" t="str">
            <v>……</v>
          </cell>
          <cell r="M45" t="str">
            <v>……</v>
          </cell>
          <cell r="N45" t="str">
            <v>……</v>
          </cell>
          <cell r="O45" t="str">
            <v>…….</v>
          </cell>
          <cell r="P45" t="str">
            <v>……</v>
          </cell>
          <cell r="Q45" t="str">
            <v>Hà Nội, ngày …… tháng ……. năm ……</v>
          </cell>
          <cell r="R45" t="str">
            <v>…… ngày …… tháng ……. năm ……</v>
          </cell>
          <cell r="S45" t="str">
            <v>…… ngày …… tháng ……. năm ……</v>
          </cell>
          <cell r="T45" t="str">
            <v>……</v>
          </cell>
          <cell r="U45" t="str">
            <v>…… Ngày ……/……./……</v>
          </cell>
          <cell r="V45" t="str">
            <v>Nguyễn Ái Việt</v>
          </cell>
          <cell r="W45" t="str">
            <v>Chỉ huy trưởng</v>
          </cell>
          <cell r="X45" t="str">
            <v>................................</v>
          </cell>
          <cell r="Y45" t="str">
            <v>................................</v>
          </cell>
          <cell r="Z45" t="str">
            <v>Nguyễn Văn Nghiễm</v>
          </cell>
          <cell r="AA45" t="str">
            <v>Cán bộ KCS</v>
          </cell>
          <cell r="AB45" t="str">
            <v>Vương Toàn Hiếu</v>
          </cell>
          <cell r="AC45" t="str">
            <v>Trưởng đoàn TVGS</v>
          </cell>
          <cell r="AD45" t="str">
            <v>Lê Thiều Nam</v>
          </cell>
          <cell r="AE45" t="str">
            <v>Cán bộ TVGS</v>
          </cell>
          <cell r="AF45" t="str">
            <v>................................</v>
          </cell>
          <cell r="AG45" t="str">
            <v>................................</v>
          </cell>
          <cell r="AH45" t="str">
            <v>Nguyễn Ái Việt</v>
          </cell>
          <cell r="AI45" t="str">
            <v>Chỉ huy trưởng</v>
          </cell>
          <cell r="AJ45" t="str">
            <v>Hoàng Chiến Thắng</v>
          </cell>
          <cell r="AK45" t="str">
            <v>P. Chỉ huy trưởng</v>
          </cell>
          <cell r="AL45" t="str">
            <v>Trịnh Quang Đức</v>
          </cell>
          <cell r="AM45" t="str">
            <v>Cán bộ kỹ thuật</v>
          </cell>
          <cell r="AQ45" t="str">
            <v>Ngày …… Tháng ……. Năm ……</v>
          </cell>
        </row>
        <row r="46">
          <cell r="D46" t="str">
            <v>……</v>
          </cell>
          <cell r="E46" t="str">
            <v>…….</v>
          </cell>
          <cell r="F46" t="str">
            <v>……</v>
          </cell>
          <cell r="G46" t="str">
            <v>…….</v>
          </cell>
          <cell r="H46" t="str">
            <v>……</v>
          </cell>
          <cell r="I46" t="str">
            <v>Hà Nội, ngày …… tháng ……. năm ……</v>
          </cell>
          <cell r="J46" t="str">
            <v>…… ngày …… tháng ……. năm ……</v>
          </cell>
          <cell r="K46" t="str">
            <v>……. ngày …… tháng ……. năm ……</v>
          </cell>
          <cell r="L46" t="str">
            <v>……</v>
          </cell>
          <cell r="M46" t="str">
            <v>……</v>
          </cell>
          <cell r="N46" t="str">
            <v>……</v>
          </cell>
          <cell r="O46" t="str">
            <v>…….</v>
          </cell>
          <cell r="P46" t="str">
            <v>……</v>
          </cell>
          <cell r="Q46" t="str">
            <v>Hà Nội, ngày …… tháng ……. năm ……</v>
          </cell>
          <cell r="R46" t="str">
            <v>…… ngày …… tháng ……. năm ……</v>
          </cell>
          <cell r="S46" t="str">
            <v>…… ngày …… tháng ……. năm ……</v>
          </cell>
          <cell r="T46" t="str">
            <v>……</v>
          </cell>
          <cell r="U46" t="str">
            <v>…… Ngày ……/……./……</v>
          </cell>
          <cell r="V46" t="str">
            <v>Nguyễn Ái Việt</v>
          </cell>
          <cell r="W46" t="str">
            <v>Chỉ huy trưởng</v>
          </cell>
          <cell r="X46" t="str">
            <v>................................</v>
          </cell>
          <cell r="Y46" t="str">
            <v>................................</v>
          </cell>
          <cell r="Z46" t="str">
            <v>Nguyễn Văn Nghiễm</v>
          </cell>
          <cell r="AA46" t="str">
            <v>Cán bộ KCS</v>
          </cell>
          <cell r="AB46" t="str">
            <v>Vương Toàn Hiếu</v>
          </cell>
          <cell r="AC46" t="str">
            <v>Trưởng đoàn TVGS</v>
          </cell>
          <cell r="AD46" t="str">
            <v>Lê Thiều Nam</v>
          </cell>
          <cell r="AE46" t="str">
            <v>Cán bộ TVGS</v>
          </cell>
          <cell r="AF46" t="str">
            <v>................................</v>
          </cell>
          <cell r="AG46" t="str">
            <v>................................</v>
          </cell>
          <cell r="AH46" t="str">
            <v>Nguyễn Ái Việt</v>
          </cell>
          <cell r="AI46" t="str">
            <v>Chỉ huy trưởng</v>
          </cell>
          <cell r="AJ46" t="str">
            <v>Hoàng Chiến Thắng</v>
          </cell>
          <cell r="AK46" t="str">
            <v>P. Chỉ huy trưởng</v>
          </cell>
          <cell r="AL46" t="str">
            <v>Trịnh Quang Đức</v>
          </cell>
          <cell r="AM46" t="str">
            <v>Cán bộ kỹ thuật</v>
          </cell>
          <cell r="AQ46" t="str">
            <v>Ngày …… Tháng ……. Năm ……</v>
          </cell>
        </row>
        <row r="47">
          <cell r="D47" t="str">
            <v>……</v>
          </cell>
          <cell r="E47" t="str">
            <v>…….</v>
          </cell>
          <cell r="F47" t="str">
            <v>……</v>
          </cell>
          <cell r="G47" t="str">
            <v>…….</v>
          </cell>
          <cell r="H47" t="str">
            <v>……</v>
          </cell>
          <cell r="I47" t="str">
            <v>Hà Nội, ngày …… tháng ……. năm ……</v>
          </cell>
          <cell r="J47" t="str">
            <v>…… ngày …… tháng ……. năm ……</v>
          </cell>
          <cell r="K47" t="str">
            <v>……. ngày …… tháng ……. năm ……</v>
          </cell>
          <cell r="L47" t="str">
            <v>……</v>
          </cell>
          <cell r="M47" t="str">
            <v>……</v>
          </cell>
          <cell r="N47" t="str">
            <v>……</v>
          </cell>
          <cell r="O47" t="str">
            <v>…….</v>
          </cell>
          <cell r="P47" t="str">
            <v>……</v>
          </cell>
          <cell r="Q47" t="str">
            <v>Hà Nội, ngày …… tháng ……. năm ……</v>
          </cell>
          <cell r="R47" t="str">
            <v>…… ngày …… tháng ……. năm ……</v>
          </cell>
          <cell r="S47" t="str">
            <v>…… ngày …… tháng ……. năm ……</v>
          </cell>
          <cell r="T47" t="str">
            <v>……</v>
          </cell>
          <cell r="U47" t="str">
            <v>…… Ngày ……/……./……</v>
          </cell>
          <cell r="V47" t="str">
            <v>Nguyễn Ái Việt</v>
          </cell>
          <cell r="W47" t="str">
            <v>Chỉ huy trưởng</v>
          </cell>
          <cell r="X47" t="str">
            <v>................................</v>
          </cell>
          <cell r="Y47" t="str">
            <v>................................</v>
          </cell>
          <cell r="Z47" t="str">
            <v>Nguyễn Văn Nghiễm</v>
          </cell>
          <cell r="AA47" t="str">
            <v>Cán bộ KCS</v>
          </cell>
          <cell r="AB47" t="str">
            <v>Vương Toàn Hiếu</v>
          </cell>
          <cell r="AC47" t="str">
            <v>Trưởng đoàn TVGS</v>
          </cell>
          <cell r="AD47" t="str">
            <v>Lê Thiều Nam</v>
          </cell>
          <cell r="AE47" t="str">
            <v>Cán bộ TVGS</v>
          </cell>
          <cell r="AF47" t="str">
            <v>................................</v>
          </cell>
          <cell r="AG47" t="str">
            <v>................................</v>
          </cell>
          <cell r="AH47" t="str">
            <v>Nguyễn Ái Việt</v>
          </cell>
          <cell r="AI47" t="str">
            <v>Chỉ huy trưởng</v>
          </cell>
          <cell r="AJ47" t="str">
            <v>Hoàng Chiến Thắng</v>
          </cell>
          <cell r="AK47" t="str">
            <v>P. Chỉ huy trưởng</v>
          </cell>
          <cell r="AL47" t="str">
            <v>Trịnh Quang Đức</v>
          </cell>
          <cell r="AM47" t="str">
            <v>Cán bộ kỹ thuật</v>
          </cell>
          <cell r="AQ47" t="str">
            <v>Ngày …… Tháng ……. Năm ……</v>
          </cell>
        </row>
        <row r="48">
          <cell r="D48" t="str">
            <v>……</v>
          </cell>
          <cell r="E48" t="str">
            <v>…….</v>
          </cell>
          <cell r="F48" t="str">
            <v>……</v>
          </cell>
          <cell r="G48" t="str">
            <v>…….</v>
          </cell>
          <cell r="H48" t="str">
            <v>……</v>
          </cell>
          <cell r="I48" t="str">
            <v>Hà Nội, ngày …… tháng ……. năm ……</v>
          </cell>
          <cell r="J48" t="str">
            <v>…… ngày …… tháng ……. năm ……</v>
          </cell>
          <cell r="K48" t="str">
            <v>……. ngày …… tháng ……. năm ……</v>
          </cell>
          <cell r="L48" t="str">
            <v>……</v>
          </cell>
          <cell r="M48" t="str">
            <v>……</v>
          </cell>
          <cell r="N48" t="str">
            <v>……</v>
          </cell>
          <cell r="O48" t="str">
            <v>…….</v>
          </cell>
          <cell r="P48" t="str">
            <v>……</v>
          </cell>
          <cell r="Q48" t="str">
            <v>Hà Nội, ngày …… tháng ……. năm ……</v>
          </cell>
          <cell r="R48" t="str">
            <v>…… ngày …… tháng ……. năm ……</v>
          </cell>
          <cell r="S48" t="str">
            <v>…… ngày …… tháng ……. năm ……</v>
          </cell>
          <cell r="T48" t="str">
            <v>……</v>
          </cell>
          <cell r="U48" t="str">
            <v>…… Ngày ……/……./……</v>
          </cell>
          <cell r="V48" t="str">
            <v>Nguyễn Ái Việt</v>
          </cell>
          <cell r="W48" t="str">
            <v>Chỉ huy trưởng</v>
          </cell>
          <cell r="X48" t="str">
            <v>................................</v>
          </cell>
          <cell r="Y48" t="str">
            <v>................................</v>
          </cell>
          <cell r="Z48" t="str">
            <v>Nguyễn Văn Nghiễm</v>
          </cell>
          <cell r="AA48" t="str">
            <v>Cán bộ KCS</v>
          </cell>
          <cell r="AB48" t="str">
            <v>Vương Toàn Hiếu</v>
          </cell>
          <cell r="AC48" t="str">
            <v>Trưởng đoàn TVGS</v>
          </cell>
          <cell r="AD48" t="str">
            <v>Lê Thiều Nam</v>
          </cell>
          <cell r="AE48" t="str">
            <v>Cán bộ TVGS</v>
          </cell>
          <cell r="AF48" t="str">
            <v>................................</v>
          </cell>
          <cell r="AG48" t="str">
            <v>................................</v>
          </cell>
          <cell r="AH48" t="str">
            <v>Nguyễn Ái Việt</v>
          </cell>
          <cell r="AI48" t="str">
            <v>Chỉ huy trưởng</v>
          </cell>
          <cell r="AJ48" t="str">
            <v>Hoàng Chiến Thắng</v>
          </cell>
          <cell r="AK48" t="str">
            <v>P. Chỉ huy trưởng</v>
          </cell>
          <cell r="AL48" t="str">
            <v>Trịnh Quang Đức</v>
          </cell>
          <cell r="AM48" t="str">
            <v>Cán bộ kỹ thuật</v>
          </cell>
          <cell r="AQ48" t="str">
            <v>Ngày …… Tháng ……. Năm ……</v>
          </cell>
        </row>
        <row r="52">
          <cell r="A52">
            <v>1</v>
          </cell>
          <cell r="B52">
            <v>2</v>
          </cell>
          <cell r="C52">
            <v>3</v>
          </cell>
          <cell r="D52">
            <v>4</v>
          </cell>
          <cell r="E52">
            <v>5</v>
          </cell>
          <cell r="F52">
            <v>6</v>
          </cell>
          <cell r="G52">
            <v>7</v>
          </cell>
          <cell r="H52">
            <v>8</v>
          </cell>
          <cell r="I52">
            <v>9</v>
          </cell>
          <cell r="J52">
            <v>10</v>
          </cell>
          <cell r="K52">
            <v>11</v>
          </cell>
          <cell r="L52">
            <v>12</v>
          </cell>
          <cell r="M52">
            <v>13</v>
          </cell>
          <cell r="N52">
            <v>14</v>
          </cell>
          <cell r="O52">
            <v>15</v>
          </cell>
          <cell r="P52">
            <v>16</v>
          </cell>
          <cell r="Q52">
            <v>17</v>
          </cell>
          <cell r="R52">
            <v>18</v>
          </cell>
          <cell r="S52">
            <v>19</v>
          </cell>
          <cell r="T52">
            <v>20</v>
          </cell>
          <cell r="U52">
            <v>21</v>
          </cell>
          <cell r="V52">
            <v>22</v>
          </cell>
          <cell r="W52">
            <v>23</v>
          </cell>
          <cell r="X52">
            <v>24</v>
          </cell>
          <cell r="Y52">
            <v>25</v>
          </cell>
          <cell r="Z52">
            <v>26</v>
          </cell>
          <cell r="AA52">
            <v>27</v>
          </cell>
          <cell r="AB52">
            <v>28</v>
          </cell>
          <cell r="AC52">
            <v>29</v>
          </cell>
          <cell r="AD52">
            <v>30</v>
          </cell>
          <cell r="AE52">
            <v>31</v>
          </cell>
          <cell r="AF52">
            <v>32</v>
          </cell>
          <cell r="AG52">
            <v>33</v>
          </cell>
          <cell r="AH52">
            <v>34</v>
          </cell>
          <cell r="AI52">
            <v>35</v>
          </cell>
          <cell r="AJ52">
            <v>36</v>
          </cell>
          <cell r="AK52">
            <v>37</v>
          </cell>
          <cell r="AL52">
            <v>38</v>
          </cell>
          <cell r="AM52">
            <v>39</v>
          </cell>
          <cell r="AN52">
            <v>40</v>
          </cell>
          <cell r="AO52">
            <v>41</v>
          </cell>
          <cell r="AP52">
            <v>42</v>
          </cell>
          <cell r="AQ52">
            <v>43</v>
          </cell>
        </row>
      </sheetData>
      <sheetData sheetId="168"/>
      <sheetData sheetId="169">
        <row r="1">
          <cell r="A1" t="str">
            <v>CÔNG TY CP HỒNG HÀ VIỆT NAM</v>
          </cell>
          <cell r="C1" t="str">
            <v>CỘNG HÒA XÃ HỘI CHỦ NGHĨA VIỆT NAM</v>
          </cell>
        </row>
        <row r="2">
          <cell r="C2" t="str">
            <v>ĐỘC LẬP-TỰ DO -HẠNH PHÚC</v>
          </cell>
        </row>
        <row r="4">
          <cell r="A4" t="str">
            <v>NHÔM KÍNH</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NK-01</v>
          </cell>
          <cell r="B10" t="str">
            <v>Vật liệu nhôm Huyndai hệ 70, hệ 80 làm khuôn cửa nhôm kính và vật tư phụ đi kèm</v>
          </cell>
          <cell r="C10" t="str">
            <v>NK-01</v>
          </cell>
          <cell r="D10" t="str">
            <v>….h….</v>
          </cell>
          <cell r="E10" t="str">
            <v>….h….</v>
          </cell>
          <cell r="F10" t="str">
            <v>…..</v>
          </cell>
          <cell r="G10" t="str">
            <v>…..</v>
          </cell>
          <cell r="H10">
            <v>2015</v>
          </cell>
          <cell r="I10" t="str">
            <v>Hà Nội, ngày ….. tháng ….. năm 2015</v>
          </cell>
          <cell r="J10" t="str">
            <v>….h…. ngày ….. tháng ….. năm 2015</v>
          </cell>
          <cell r="K10" t="str">
            <v>….h…. ngày ….. tháng ….. năm 2015</v>
          </cell>
          <cell r="L10" t="str">
            <v>….h….</v>
          </cell>
          <cell r="M10" t="str">
            <v>….h….</v>
          </cell>
          <cell r="N10" t="str">
            <v>…..</v>
          </cell>
          <cell r="O10" t="str">
            <v>…..</v>
          </cell>
          <cell r="P10">
            <v>2015</v>
          </cell>
          <cell r="Q10" t="str">
            <v>Hà Nội, ngày ….. tháng ….. năm 2015</v>
          </cell>
          <cell r="R10" t="str">
            <v>….h…. ngày ….. tháng ….. năm 2015</v>
          </cell>
          <cell r="S10" t="str">
            <v>….h…. ngày ….. tháng ….. năm 2015</v>
          </cell>
          <cell r="T10" t="str">
            <v>….h….</v>
          </cell>
          <cell r="U10" t="str">
            <v>….h…. Ngày …../…../2015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 Tháng ….. Năm 2015</v>
          </cell>
        </row>
        <row r="11">
          <cell r="A11" t="str">
            <v>NK-02</v>
          </cell>
          <cell r="B11" t="str">
            <v>Vật liệu kính dán an toàn Hải Long dày 6,38 mm và 8,38 mm</v>
          </cell>
          <cell r="C11" t="str">
            <v>NK-02</v>
          </cell>
          <cell r="D11" t="str">
            <v>….h….</v>
          </cell>
          <cell r="E11" t="str">
            <v>….h….</v>
          </cell>
          <cell r="F11" t="str">
            <v>…..</v>
          </cell>
          <cell r="G11" t="str">
            <v>…..</v>
          </cell>
          <cell r="H11">
            <v>2015</v>
          </cell>
          <cell r="I11" t="str">
            <v>Hà Nội, ngày ….. tháng ….. năm 2015</v>
          </cell>
          <cell r="J11" t="str">
            <v>….h…. ngày ….. tháng ….. năm 2015</v>
          </cell>
          <cell r="K11" t="str">
            <v>….h…. ngày ….. tháng ….. năm 2015</v>
          </cell>
          <cell r="L11" t="str">
            <v>….h….</v>
          </cell>
          <cell r="M11" t="str">
            <v>….h….</v>
          </cell>
          <cell r="N11" t="str">
            <v>…..</v>
          </cell>
          <cell r="O11" t="str">
            <v>…..</v>
          </cell>
          <cell r="P11">
            <v>2015</v>
          </cell>
          <cell r="Q11" t="str">
            <v>Hà Nội, ngày ….. tháng ….. năm 2015</v>
          </cell>
          <cell r="R11" t="str">
            <v>….h…. ngày ….. tháng ….. năm 2015</v>
          </cell>
          <cell r="S11" t="str">
            <v>….h…. ngày ….. tháng ….. năm 2015</v>
          </cell>
          <cell r="T11" t="str">
            <v>….h….</v>
          </cell>
          <cell r="U11" t="str">
            <v>….h…. Ngày …../…../2015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 Tháng ….. Năm 2015</v>
          </cell>
        </row>
        <row r="12">
          <cell r="D12" t="str">
            <v>…..</v>
          </cell>
          <cell r="E12" t="str">
            <v>…..</v>
          </cell>
          <cell r="F12" t="str">
            <v>…..</v>
          </cell>
          <cell r="G12" t="str">
            <v>…..</v>
          </cell>
          <cell r="H12">
            <v>2015</v>
          </cell>
          <cell r="I12" t="str">
            <v>Hà Nội, ngày ….. tháng ….. năm 2015</v>
          </cell>
          <cell r="J12" t="str">
            <v>….. ngày ….. tháng ….. năm 2015</v>
          </cell>
          <cell r="K12" t="str">
            <v>….. ngày ….. tháng ….. năm 2015</v>
          </cell>
          <cell r="L12" t="str">
            <v>…..</v>
          </cell>
          <cell r="M12" t="str">
            <v>…..</v>
          </cell>
          <cell r="N12" t="str">
            <v>…..</v>
          </cell>
          <cell r="O12" t="str">
            <v>…..</v>
          </cell>
          <cell r="P12">
            <v>2015</v>
          </cell>
          <cell r="Q12" t="str">
            <v>Hà Nội, ngày ….. tháng ….. năm 2015</v>
          </cell>
          <cell r="R12" t="str">
            <v>….. ngày ….. tháng ….. năm 2015</v>
          </cell>
          <cell r="S12" t="str">
            <v>….. ngày ….. tháng ….. năm 2015</v>
          </cell>
          <cell r="T12" t="str">
            <v>…..</v>
          </cell>
          <cell r="U12" t="str">
            <v>….. Ngày …../…../2015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 Tháng ….. Năm 2015</v>
          </cell>
        </row>
        <row r="13">
          <cell r="A13" t="str">
            <v>CCC-01</v>
          </cell>
          <cell r="B13" t="str">
            <v xml:space="preserve">Nghiệm thu công tác gia công cửa chống cháy, cửa thép an toàn, cửa khung thép kính cường lực chống cháy, khóa, tay co thủy lực và phụ kiện </v>
          </cell>
          <cell r="C13" t="str">
            <v>CCC-01</v>
          </cell>
          <cell r="D13" t="str">
            <v>9h00</v>
          </cell>
          <cell r="E13" t="str">
            <v>11h30</v>
          </cell>
          <cell r="F13">
            <v>21</v>
          </cell>
          <cell r="G13">
            <v>11</v>
          </cell>
          <cell r="H13">
            <v>2015</v>
          </cell>
          <cell r="I13" t="str">
            <v>Hà Nội, ngày 21 tháng 11 năm 2015</v>
          </cell>
          <cell r="J13" t="str">
            <v>9h00 ngày 21 tháng 11 năm 2015</v>
          </cell>
          <cell r="K13" t="str">
            <v>11h30 ngày 21 tháng 11 năm 2015</v>
          </cell>
          <cell r="L13" t="str">
            <v>14h00</v>
          </cell>
          <cell r="M13" t="str">
            <v>16h30</v>
          </cell>
          <cell r="N13">
            <v>21</v>
          </cell>
          <cell r="O13">
            <v>11</v>
          </cell>
          <cell r="P13">
            <v>2015</v>
          </cell>
          <cell r="Q13" t="str">
            <v>Hà Nội, ngày 21 tháng 11 năm 2015</v>
          </cell>
          <cell r="R13" t="str">
            <v>14h00 ngày 21 tháng 11 năm 2015</v>
          </cell>
          <cell r="S13" t="str">
            <v>16h30 ngày 21 tháng 11 năm 2015</v>
          </cell>
          <cell r="T13" t="str">
            <v>14h00</v>
          </cell>
          <cell r="U13" t="str">
            <v>14h00 Ngày 21/11/2015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21 Tháng 11 Năm 2015</v>
          </cell>
        </row>
        <row r="14">
          <cell r="A14" t="str">
            <v>CCT-01</v>
          </cell>
          <cell r="B14" t="str">
            <v>Gia công cửa sổ chớp thép KT(1200x1300)</v>
          </cell>
          <cell r="C14" t="str">
            <v>CCC-02</v>
          </cell>
          <cell r="D14" t="str">
            <v>8h00</v>
          </cell>
          <cell r="E14" t="str">
            <v>8h30</v>
          </cell>
          <cell r="F14">
            <v>19</v>
          </cell>
          <cell r="G14">
            <v>11</v>
          </cell>
          <cell r="H14">
            <v>2015</v>
          </cell>
          <cell r="I14" t="str">
            <v>Hà Nội, ngày 19 tháng 11 năm 2015</v>
          </cell>
          <cell r="J14" t="str">
            <v>8h00 ngày 19 tháng 11 năm 2015</v>
          </cell>
          <cell r="K14" t="str">
            <v>8h30 ngày 19 tháng 11 năm 2015</v>
          </cell>
          <cell r="L14" t="str">
            <v>9h00</v>
          </cell>
          <cell r="M14" t="str">
            <v>9h30</v>
          </cell>
          <cell r="N14">
            <v>19</v>
          </cell>
          <cell r="O14">
            <v>11</v>
          </cell>
          <cell r="P14">
            <v>2015</v>
          </cell>
          <cell r="Q14" t="str">
            <v>Hà Nội, ngày 19 tháng 11 năm 2015</v>
          </cell>
          <cell r="R14" t="str">
            <v>9h00 ngày 19 tháng 11 năm 2015</v>
          </cell>
          <cell r="S14" t="str">
            <v>9h30 ngày 19 tháng 11 năm 2015</v>
          </cell>
          <cell r="T14" t="str">
            <v>9h00</v>
          </cell>
          <cell r="U14" t="str">
            <v>9h00 Ngày 19/11/2015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19 Tháng 11 Năm 2015</v>
          </cell>
        </row>
        <row r="15">
          <cell r="A15" t="str">
            <v>NK-03</v>
          </cell>
          <cell r="B15" t="str">
            <v>Vật liệu  khóa cửa nhôm kính EX 02 kèm theo phiếu xuất kho ngày12/09/2015</v>
          </cell>
          <cell r="C15" t="str">
            <v>NK-03</v>
          </cell>
          <cell r="D15" t="str">
            <v>8h00</v>
          </cell>
          <cell r="E15" t="str">
            <v>9h00</v>
          </cell>
          <cell r="F15">
            <v>13</v>
          </cell>
          <cell r="G15">
            <v>9</v>
          </cell>
          <cell r="H15">
            <v>2015</v>
          </cell>
          <cell r="I15" t="str">
            <v>Hà Nội, ngày 13 tháng 9 năm 2015</v>
          </cell>
          <cell r="J15" t="str">
            <v>8h00 ngày 13 tháng 9 năm 2015</v>
          </cell>
          <cell r="K15" t="str">
            <v>9h00 ngày 13 tháng 9 năm 2015</v>
          </cell>
          <cell r="L15" t="str">
            <v>9h15</v>
          </cell>
          <cell r="M15" t="str">
            <v>10h15</v>
          </cell>
          <cell r="N15">
            <v>13</v>
          </cell>
          <cell r="O15">
            <v>9</v>
          </cell>
          <cell r="P15">
            <v>2015</v>
          </cell>
          <cell r="Q15" t="str">
            <v>Hà Nội, ngày 13 tháng 9 năm 2015</v>
          </cell>
          <cell r="R15" t="str">
            <v>9h15 ngày 13 tháng 9 năm 2015</v>
          </cell>
          <cell r="S15" t="str">
            <v>10h15 ngày 13 tháng 9 năm 2015</v>
          </cell>
          <cell r="T15" t="str">
            <v>9h15</v>
          </cell>
          <cell r="U15" t="str">
            <v>9h15 Ngày 13/9/2015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13 Tháng 9 Năm 2015</v>
          </cell>
        </row>
        <row r="16">
          <cell r="A16" t="str">
            <v>NK-04</v>
          </cell>
          <cell r="B16" t="str">
            <v>Vật liệu kính dán an toàn 6.38mm, 8.38mm lắp cho cửa nhôm kính kèm theo phiếu xuất kho ngày 13/11/2015 và ngày 18/11/2015</v>
          </cell>
          <cell r="C16" t="str">
            <v>NK-04</v>
          </cell>
          <cell r="D16" t="str">
            <v>8h00</v>
          </cell>
          <cell r="E16" t="str">
            <v>9h00</v>
          </cell>
          <cell r="F16">
            <v>13</v>
          </cell>
          <cell r="G16">
            <v>11</v>
          </cell>
          <cell r="H16">
            <v>2015</v>
          </cell>
          <cell r="I16" t="str">
            <v>Hà Nội, ngày 13 tháng 11 năm 2015</v>
          </cell>
          <cell r="J16" t="str">
            <v>8h00 ngày 13 tháng 11 năm 2015</v>
          </cell>
          <cell r="K16" t="str">
            <v>9h00 ngày 18 tháng 11 năm 2015</v>
          </cell>
          <cell r="L16" t="str">
            <v>9h15</v>
          </cell>
          <cell r="M16" t="str">
            <v>10h15</v>
          </cell>
          <cell r="N16">
            <v>18</v>
          </cell>
          <cell r="O16">
            <v>11</v>
          </cell>
          <cell r="P16">
            <v>2015</v>
          </cell>
          <cell r="Q16" t="str">
            <v>Hà Nội, ngày 18 tháng 11 năm 2015</v>
          </cell>
          <cell r="R16" t="str">
            <v>9h15 ngày 13 tháng 11 năm 2015</v>
          </cell>
          <cell r="S16" t="str">
            <v>10h15 ngày 18 tháng 11 năm 2015</v>
          </cell>
          <cell r="T16" t="str">
            <v>9h15</v>
          </cell>
          <cell r="U16" t="str">
            <v>9h15 Ngày 13/11/2015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13 Tháng 11 Năm 2015</v>
          </cell>
        </row>
        <row r="17">
          <cell r="A17" t="str">
            <v>NK-05</v>
          </cell>
          <cell r="C17" t="str">
            <v>NK-05</v>
          </cell>
          <cell r="D17" t="str">
            <v>…..</v>
          </cell>
          <cell r="E17" t="str">
            <v>…..</v>
          </cell>
          <cell r="F17" t="str">
            <v>…..</v>
          </cell>
          <cell r="G17" t="str">
            <v>…..</v>
          </cell>
          <cell r="H17">
            <v>2015</v>
          </cell>
          <cell r="I17" t="str">
            <v>Hà Nội, ngày ….. tháng ….. năm 2015</v>
          </cell>
          <cell r="J17" t="str">
            <v>….. ngày ….. tháng ….. năm 2015</v>
          </cell>
          <cell r="K17" t="str">
            <v>….. ngày ….. tháng ….. năm 2015</v>
          </cell>
          <cell r="L17" t="str">
            <v>…..</v>
          </cell>
          <cell r="M17" t="str">
            <v>…..</v>
          </cell>
          <cell r="N17" t="str">
            <v>…..</v>
          </cell>
          <cell r="O17" t="str">
            <v>…..</v>
          </cell>
          <cell r="P17">
            <v>2015</v>
          </cell>
          <cell r="Q17" t="str">
            <v>Hà Nội, ngày ….. tháng ….. năm 2015</v>
          </cell>
          <cell r="R17" t="str">
            <v>….. ngày ….. tháng ….. năm 2015</v>
          </cell>
          <cell r="S17" t="str">
            <v>….. ngày ….. tháng ….. năm 2015</v>
          </cell>
          <cell r="T17" t="str">
            <v>…..</v>
          </cell>
          <cell r="U17" t="str">
            <v>…..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t="str">
            <v>KTP-01</v>
          </cell>
          <cell r="B18" t="str">
            <v>Vật liệu kính temper kèm theo phiếu xuất kho ngày 11/12/2015</v>
          </cell>
          <cell r="C18" t="str">
            <v>KTP-01</v>
          </cell>
          <cell r="D18" t="str">
            <v>8h00</v>
          </cell>
          <cell r="E18" t="str">
            <v>8h30</v>
          </cell>
          <cell r="F18">
            <v>11</v>
          </cell>
          <cell r="G18">
            <v>12</v>
          </cell>
          <cell r="H18">
            <v>2015</v>
          </cell>
          <cell r="I18" t="str">
            <v>Hà Nội, ngày 11 tháng 12 năm 2015</v>
          </cell>
          <cell r="J18" t="str">
            <v>8h00 ngày 11 tháng 12 năm 2015</v>
          </cell>
          <cell r="K18" t="str">
            <v>8h30 ngày 11 tháng 12 năm 2015</v>
          </cell>
          <cell r="L18" t="str">
            <v>9h00</v>
          </cell>
          <cell r="M18" t="str">
            <v>9h30</v>
          </cell>
          <cell r="N18">
            <v>11</v>
          </cell>
          <cell r="O18">
            <v>12</v>
          </cell>
          <cell r="P18">
            <v>2015</v>
          </cell>
          <cell r="Q18" t="str">
            <v>Hà Nội, ngày 11 tháng 12 năm 2015</v>
          </cell>
          <cell r="R18" t="str">
            <v>9h00 ngày 11 tháng 12 năm 2015</v>
          </cell>
          <cell r="S18" t="str">
            <v>9h30 ngày 11 tháng 12 năm 2015</v>
          </cell>
          <cell r="T18" t="str">
            <v>9h00</v>
          </cell>
          <cell r="U18" t="str">
            <v>9h00 Ngày 11/12/2015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11 Tháng 12 Năm 2015</v>
          </cell>
        </row>
        <row r="19">
          <cell r="A19" t="str">
            <v>TN-01</v>
          </cell>
          <cell r="B19" t="str">
            <v xml:space="preserve">Vật liệu làm trần nhôm kèm theo biên bản giao nhận hàng ngày 16/12/2015 </v>
          </cell>
          <cell r="C19" t="str">
            <v>TN-01</v>
          </cell>
          <cell r="D19" t="str">
            <v>8h00</v>
          </cell>
          <cell r="E19" t="str">
            <v>9h00</v>
          </cell>
          <cell r="F19">
            <v>16</v>
          </cell>
          <cell r="G19">
            <v>12</v>
          </cell>
          <cell r="H19">
            <v>2015</v>
          </cell>
          <cell r="I19" t="str">
            <v>Hà Nội, ngày 16 tháng 12 năm 2015</v>
          </cell>
          <cell r="J19" t="str">
            <v>8h00 ngày 16 tháng 12 năm 2015</v>
          </cell>
          <cell r="K19" t="str">
            <v>9h00 ngày 16 tháng 12 năm 2015</v>
          </cell>
          <cell r="L19" t="str">
            <v>9h15</v>
          </cell>
          <cell r="M19" t="str">
            <v>10h15</v>
          </cell>
          <cell r="N19">
            <v>16</v>
          </cell>
          <cell r="O19">
            <v>12</v>
          </cell>
          <cell r="P19">
            <v>2015</v>
          </cell>
          <cell r="Q19" t="str">
            <v>Hà Nội, ngày 16 tháng 12 năm 2015</v>
          </cell>
          <cell r="R19" t="str">
            <v>9h15 ngày 16 tháng 12 năm 2015</v>
          </cell>
          <cell r="S19" t="str">
            <v>10h15 ngày 16 tháng 12 năm 2015</v>
          </cell>
          <cell r="T19" t="str">
            <v>9h15</v>
          </cell>
          <cell r="U19" t="str">
            <v>9h15 Ngày 16/12/2015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16 Tháng 12 Năm 2015</v>
          </cell>
        </row>
        <row r="20">
          <cell r="A20" t="str">
            <v>NK-08</v>
          </cell>
          <cell r="C20" t="str">
            <v>NK-08</v>
          </cell>
          <cell r="D20" t="str">
            <v>…..</v>
          </cell>
          <cell r="E20" t="str">
            <v>…..</v>
          </cell>
          <cell r="F20" t="str">
            <v>…..</v>
          </cell>
          <cell r="G20" t="str">
            <v>…..</v>
          </cell>
          <cell r="H20">
            <v>2015</v>
          </cell>
          <cell r="I20" t="str">
            <v>Hà Nội, ngày ….. tháng ….. năm 2015</v>
          </cell>
          <cell r="J20" t="str">
            <v>….. ngày ….. tháng ….. năm 2015</v>
          </cell>
          <cell r="K20" t="str">
            <v>….. ngày ….. tháng ….. năm 2015</v>
          </cell>
          <cell r="L20" t="str">
            <v>…..</v>
          </cell>
          <cell r="M20" t="str">
            <v>…..</v>
          </cell>
          <cell r="N20" t="str">
            <v>…..</v>
          </cell>
          <cell r="O20" t="str">
            <v>…..</v>
          </cell>
          <cell r="P20">
            <v>2015</v>
          </cell>
          <cell r="Q20" t="str">
            <v>Hà Nội, ngày ….. tháng ….. năm 2015</v>
          </cell>
          <cell r="R20" t="str">
            <v>….. ngày ….. tháng ….. năm 2015</v>
          </cell>
          <cell r="S20" t="str">
            <v>….. ngày ….. tháng ….. năm 2015</v>
          </cell>
          <cell r="T20" t="str">
            <v>…..</v>
          </cell>
          <cell r="U20" t="str">
            <v>…..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t="str">
            <v>NK-11</v>
          </cell>
          <cell r="C21" t="str">
            <v>NK-11</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v>
          </cell>
          <cell r="M21" t="str">
            <v>…..</v>
          </cell>
          <cell r="N21" t="str">
            <v>…..</v>
          </cell>
          <cell r="O21" t="str">
            <v>…..</v>
          </cell>
          <cell r="P21">
            <v>2015</v>
          </cell>
          <cell r="Q21" t="str">
            <v>Hà Nội, ngày ….. tháng ….. năm 2015</v>
          </cell>
          <cell r="R21" t="str">
            <v>….. ngày ….. tháng ….. năm 2015</v>
          </cell>
          <cell r="S21" t="str">
            <v>….. ngày ….. tháng ….. năm 2015</v>
          </cell>
          <cell r="T21" t="str">
            <v>…..</v>
          </cell>
          <cell r="U21" t="str">
            <v>…..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A22">
            <v>0</v>
          </cell>
          <cell r="D22" t="str">
            <v>…..</v>
          </cell>
          <cell r="E22" t="str">
            <v>…..</v>
          </cell>
          <cell r="F22" t="str">
            <v>…..</v>
          </cell>
          <cell r="G22" t="str">
            <v>…..</v>
          </cell>
          <cell r="H22">
            <v>2015</v>
          </cell>
          <cell r="I22" t="str">
            <v>Hà Nội, ngày ….. tháng ….. năm 2015</v>
          </cell>
          <cell r="J22" t="str">
            <v>….. ngày ….. tháng ….. năm 2015</v>
          </cell>
          <cell r="K22" t="str">
            <v>….. ngày ….. tháng ….. năm 2015</v>
          </cell>
          <cell r="L22" t="str">
            <v>…..</v>
          </cell>
          <cell r="M22" t="str">
            <v>…..</v>
          </cell>
          <cell r="N22" t="str">
            <v>…..</v>
          </cell>
          <cell r="O22" t="str">
            <v>…..</v>
          </cell>
          <cell r="P22">
            <v>2015</v>
          </cell>
          <cell r="Q22" t="str">
            <v>Hà Nội, ngày ….. tháng ….. năm 2015</v>
          </cell>
          <cell r="R22" t="str">
            <v>….. ngày ….. tháng ….. năm 2015</v>
          </cell>
          <cell r="S22" t="str">
            <v>….. ngày ….. tháng ….. năm 2015</v>
          </cell>
          <cell r="T22" t="str">
            <v>…..</v>
          </cell>
          <cell r="U22" t="str">
            <v>…..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2015</v>
          </cell>
        </row>
        <row r="23">
          <cell r="A23">
            <v>0</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2015</v>
          </cell>
        </row>
        <row r="24">
          <cell r="A24">
            <v>0</v>
          </cell>
          <cell r="D24" t="str">
            <v>…..</v>
          </cell>
          <cell r="E24" t="str">
            <v>…..</v>
          </cell>
          <cell r="F24" t="str">
            <v>…..</v>
          </cell>
          <cell r="G24" t="str">
            <v>…..</v>
          </cell>
          <cell r="H24">
            <v>2015</v>
          </cell>
          <cell r="I24" t="str">
            <v>Hà Nội, ngày ….. tháng ….. năm 2015</v>
          </cell>
          <cell r="J24" t="str">
            <v>….. ngày ….. tháng ….. năm 2015</v>
          </cell>
          <cell r="K24" t="str">
            <v>….. ngày ….. tháng ….. năm 2015</v>
          </cell>
          <cell r="L24" t="str">
            <v>…..</v>
          </cell>
          <cell r="M24" t="str">
            <v>…..</v>
          </cell>
          <cell r="N24" t="str">
            <v>…..</v>
          </cell>
          <cell r="O24" t="str">
            <v>…..</v>
          </cell>
          <cell r="P24">
            <v>2015</v>
          </cell>
          <cell r="Q24" t="str">
            <v>Hà Nội, ngày ….. tháng ….. năm 2015</v>
          </cell>
          <cell r="R24" t="str">
            <v>….. ngày ….. tháng ….. năm 2015</v>
          </cell>
          <cell r="S24" t="str">
            <v>….. ngày ….. tháng ….. năm 2015</v>
          </cell>
          <cell r="T24" t="str">
            <v>…..</v>
          </cell>
          <cell r="U24" t="str">
            <v>…..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2015</v>
          </cell>
        </row>
        <row r="25">
          <cell r="A25">
            <v>0</v>
          </cell>
          <cell r="D25" t="str">
            <v>…..</v>
          </cell>
          <cell r="E25" t="str">
            <v>…..</v>
          </cell>
          <cell r="F25" t="str">
            <v>…..</v>
          </cell>
          <cell r="G25" t="str">
            <v>…..</v>
          </cell>
          <cell r="H25">
            <v>2015</v>
          </cell>
          <cell r="I25" t="str">
            <v>Hà Nội, ngày ….. tháng ….. năm 2015</v>
          </cell>
          <cell r="J25" t="str">
            <v>….. ngày ….. tháng ….. năm 2015</v>
          </cell>
          <cell r="K25" t="str">
            <v>….. ngày ….. tháng ….. năm 2015</v>
          </cell>
          <cell r="L25" t="str">
            <v>……</v>
          </cell>
          <cell r="M25" t="str">
            <v>……</v>
          </cell>
          <cell r="N25" t="str">
            <v>…..</v>
          </cell>
          <cell r="O25" t="str">
            <v>…..</v>
          </cell>
          <cell r="P25">
            <v>2015</v>
          </cell>
          <cell r="Q25" t="str">
            <v>Hà Nội, ngày ….. tháng ….. năm 2015</v>
          </cell>
          <cell r="R25" t="str">
            <v>…… ngày ….. tháng ….. năm 2015</v>
          </cell>
          <cell r="S25" t="str">
            <v>…… ngày ….. tháng ….. năm 2015</v>
          </cell>
          <cell r="T25" t="str">
            <v>……</v>
          </cell>
          <cell r="U25" t="str">
            <v>…… Ngày …../…../2015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2015</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v>
          </cell>
        </row>
        <row r="32">
          <cell r="D32" t="str">
            <v>……</v>
          </cell>
          <cell r="E32" t="str">
            <v>…….</v>
          </cell>
          <cell r="F32" t="str">
            <v>……</v>
          </cell>
          <cell r="G32" t="str">
            <v>…….</v>
          </cell>
          <cell r="H32" t="str">
            <v>……</v>
          </cell>
          <cell r="I32" t="str">
            <v>Hà Nội, ngày …… tháng ……. năm ……</v>
          </cell>
          <cell r="J32" t="str">
            <v>…… ngày …… tháng ……. năm ……</v>
          </cell>
          <cell r="K32" t="str">
            <v>……. ngày …… tháng ……. năm ……</v>
          </cell>
          <cell r="L32" t="str">
            <v>……</v>
          </cell>
          <cell r="M32" t="str">
            <v>……</v>
          </cell>
          <cell r="N32" t="str">
            <v>……</v>
          </cell>
          <cell r="O32" t="str">
            <v>…….</v>
          </cell>
          <cell r="P32" t="str">
            <v>……</v>
          </cell>
          <cell r="Q32" t="str">
            <v>Hà Nội, ngày …… tháng ……. năm ……</v>
          </cell>
          <cell r="R32" t="str">
            <v>…… ngày …… tháng ……. năm ……</v>
          </cell>
          <cell r="S32" t="str">
            <v>…… ngày …… tháng ……. năm ……</v>
          </cell>
          <cell r="T32" t="str">
            <v>……</v>
          </cell>
          <cell r="U32" t="str">
            <v>…… Ngày ……/……./……</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v>
          </cell>
        </row>
        <row r="36">
          <cell r="A36">
            <v>1</v>
          </cell>
          <cell r="B36">
            <v>2</v>
          </cell>
          <cell r="C36">
            <v>3</v>
          </cell>
          <cell r="D36">
            <v>4</v>
          </cell>
          <cell r="E36">
            <v>5</v>
          </cell>
          <cell r="F36">
            <v>6</v>
          </cell>
          <cell r="G36">
            <v>7</v>
          </cell>
          <cell r="H36">
            <v>8</v>
          </cell>
          <cell r="I36">
            <v>9</v>
          </cell>
          <cell r="J36">
            <v>10</v>
          </cell>
          <cell r="K36">
            <v>11</v>
          </cell>
          <cell r="L36">
            <v>12</v>
          </cell>
          <cell r="M36">
            <v>13</v>
          </cell>
          <cell r="N36">
            <v>14</v>
          </cell>
          <cell r="O36">
            <v>15</v>
          </cell>
          <cell r="P36">
            <v>16</v>
          </cell>
          <cell r="Q36">
            <v>17</v>
          </cell>
          <cell r="R36">
            <v>18</v>
          </cell>
          <cell r="S36">
            <v>19</v>
          </cell>
          <cell r="T36">
            <v>20</v>
          </cell>
          <cell r="U36">
            <v>21</v>
          </cell>
          <cell r="V36">
            <v>22</v>
          </cell>
          <cell r="W36">
            <v>23</v>
          </cell>
          <cell r="X36">
            <v>24</v>
          </cell>
          <cell r="Y36">
            <v>25</v>
          </cell>
          <cell r="Z36">
            <v>26</v>
          </cell>
          <cell r="AA36">
            <v>27</v>
          </cell>
          <cell r="AB36">
            <v>28</v>
          </cell>
          <cell r="AC36">
            <v>29</v>
          </cell>
          <cell r="AD36">
            <v>30</v>
          </cell>
          <cell r="AE36">
            <v>31</v>
          </cell>
          <cell r="AF36">
            <v>32</v>
          </cell>
          <cell r="AG36">
            <v>33</v>
          </cell>
          <cell r="AH36">
            <v>34</v>
          </cell>
          <cell r="AI36">
            <v>35</v>
          </cell>
          <cell r="AJ36">
            <v>36</v>
          </cell>
          <cell r="AK36">
            <v>37</v>
          </cell>
          <cell r="AL36">
            <v>38</v>
          </cell>
          <cell r="AM36">
            <v>39</v>
          </cell>
          <cell r="AN36">
            <v>40</v>
          </cell>
          <cell r="AO36">
            <v>41</v>
          </cell>
          <cell r="AP36">
            <v>42</v>
          </cell>
          <cell r="AQ36">
            <v>43</v>
          </cell>
        </row>
      </sheetData>
      <sheetData sheetId="170"/>
      <sheetData sheetId="171">
        <row r="1">
          <cell r="A1" t="str">
            <v>CÔNG TY CP HỒNG HÀ VIỆT NAM</v>
          </cell>
          <cell r="C1" t="str">
            <v>CỘNG HÒA XÃ HỘI CHỦ NGHĨA VIỆT NAM</v>
          </cell>
        </row>
        <row r="2">
          <cell r="C2" t="str">
            <v>ĐỘC LẬP-TỰ DO -HẠNH PHÚC</v>
          </cell>
        </row>
        <row r="4">
          <cell r="A4" t="str">
            <v>CUA GO</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CG-01</v>
          </cell>
          <cell r="B10" t="str">
            <v>-Vật liệu gỗ làm Khuôn cửa, Nẹp cửa, Cánh cửa D2, D3.</v>
          </cell>
          <cell r="C10" t="str">
            <v>CG-01</v>
          </cell>
          <cell r="D10" t="str">
            <v>9h00</v>
          </cell>
          <cell r="E10" t="str">
            <v>10h00</v>
          </cell>
          <cell r="F10">
            <v>15</v>
          </cell>
          <cell r="G10">
            <v>7</v>
          </cell>
          <cell r="H10">
            <v>2015</v>
          </cell>
          <cell r="I10" t="str">
            <v>Hà Nội, ngày 15 tháng 7 năm 2015</v>
          </cell>
          <cell r="J10" t="str">
            <v>9h00 ngày 15 tháng 7 năm 2015</v>
          </cell>
          <cell r="K10" t="str">
            <v>10h00 ngày 15 tháng 7 năm 2015</v>
          </cell>
          <cell r="L10" t="str">
            <v>10h00</v>
          </cell>
          <cell r="M10" t="str">
            <v>11h00</v>
          </cell>
          <cell r="N10">
            <v>15</v>
          </cell>
          <cell r="O10">
            <v>7</v>
          </cell>
          <cell r="P10">
            <v>2015</v>
          </cell>
          <cell r="Q10" t="str">
            <v>Hà Nội, ngày 15 tháng 7 năm 2015</v>
          </cell>
          <cell r="R10" t="str">
            <v>10h00 ngày 15 tháng 7 năm 2015</v>
          </cell>
          <cell r="S10" t="str">
            <v>11h00 ngày 15 tháng 7 năm 2015</v>
          </cell>
          <cell r="T10" t="str">
            <v>10h00</v>
          </cell>
          <cell r="U10" t="str">
            <v>10h00 Ngày 15/7/2015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15 Tháng 7 Năm 2015</v>
          </cell>
        </row>
        <row r="11">
          <cell r="A11" t="str">
            <v>CG-02</v>
          </cell>
          <cell r="B11" t="str">
            <v xml:space="preserve">Vật liệu khóa + bản lề và phụ kiện lắp cho cửa gỗ kèm theo phiếu xuất kho ngày 13/08/2015 </v>
          </cell>
          <cell r="C11" t="str">
            <v>CG-02</v>
          </cell>
          <cell r="D11" t="str">
            <v>14h00</v>
          </cell>
          <cell r="E11" t="str">
            <v>15h00</v>
          </cell>
          <cell r="F11">
            <v>13</v>
          </cell>
          <cell r="G11">
            <v>8</v>
          </cell>
          <cell r="H11">
            <v>2015</v>
          </cell>
          <cell r="I11" t="str">
            <v>Hà Nội, ngày 13 tháng 8 năm 2015</v>
          </cell>
          <cell r="J11" t="str">
            <v>14h00 ngày 13 tháng 8 năm 2015</v>
          </cell>
          <cell r="K11" t="str">
            <v>15h00 ngày 13 tháng 8 năm 2015</v>
          </cell>
          <cell r="L11" t="str">
            <v>15h15</v>
          </cell>
          <cell r="M11" t="str">
            <v>16h15</v>
          </cell>
          <cell r="N11">
            <v>13</v>
          </cell>
          <cell r="O11">
            <v>8</v>
          </cell>
          <cell r="P11">
            <v>2015</v>
          </cell>
          <cell r="Q11" t="str">
            <v>Hà Nội, ngày 13 tháng 8 năm 2015</v>
          </cell>
          <cell r="R11" t="str">
            <v>15h15 ngày 13 tháng 8 năm 2015</v>
          </cell>
          <cell r="S11" t="str">
            <v>16h15 ngày 13 tháng 8 năm 2015</v>
          </cell>
          <cell r="T11" t="str">
            <v>15h15</v>
          </cell>
          <cell r="U11" t="str">
            <v>15h15 Ngày 13/8/2015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13 Tháng 8 Năm 2015</v>
          </cell>
        </row>
        <row r="12">
          <cell r="A12" t="str">
            <v>CG-03</v>
          </cell>
          <cell r="B12" t="str">
            <v xml:space="preserve">Vật liệu kính dán an toàn 6.38mm lắp cho cửa gỗ kèm theo phiếu xuất kho ngày 16/09/2015 </v>
          </cell>
          <cell r="C12" t="str">
            <v>CG-03</v>
          </cell>
          <cell r="D12" t="str">
            <v>8h00</v>
          </cell>
          <cell r="E12" t="str">
            <v>9h00</v>
          </cell>
          <cell r="F12">
            <v>18</v>
          </cell>
          <cell r="G12">
            <v>9</v>
          </cell>
          <cell r="H12">
            <v>2015</v>
          </cell>
          <cell r="I12" t="str">
            <v>Hà Nội, ngày 18 tháng 9 năm 2015</v>
          </cell>
          <cell r="J12" t="str">
            <v>8h00 ngày 18 tháng 9 năm 2015</v>
          </cell>
          <cell r="K12" t="str">
            <v>9h00 ngày 18 tháng 9 năm 2015</v>
          </cell>
          <cell r="L12" t="str">
            <v>9h15</v>
          </cell>
          <cell r="M12" t="str">
            <v>10h15</v>
          </cell>
          <cell r="N12">
            <v>18</v>
          </cell>
          <cell r="O12">
            <v>9</v>
          </cell>
          <cell r="P12">
            <v>2015</v>
          </cell>
          <cell r="Q12" t="str">
            <v>Hà Nội, ngày 18 tháng 9 năm 2015</v>
          </cell>
          <cell r="R12" t="str">
            <v>9h15 ngày 18 tháng 9 năm 2015</v>
          </cell>
          <cell r="S12" t="str">
            <v>10h15 ngày 18 tháng 9 năm 2015</v>
          </cell>
          <cell r="T12" t="str">
            <v>9h15</v>
          </cell>
          <cell r="U12" t="str">
            <v>9h15 Ngày 18/9/2015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18 Tháng 9 Năm 2015</v>
          </cell>
        </row>
        <row r="13">
          <cell r="A13" t="str">
            <v>CG-04</v>
          </cell>
          <cell r="B13" t="str">
            <v>Vật liệu sơn PU sơn cửa gỗ kèm theo phiếu xuất kho ngày: 14/10/2015; 19/10/2015; 20/10/2015</v>
          </cell>
          <cell r="C13" t="str">
            <v>CG-04</v>
          </cell>
          <cell r="D13" t="str">
            <v>8h00</v>
          </cell>
          <cell r="E13" t="str">
            <v>9h15</v>
          </cell>
          <cell r="F13">
            <v>20</v>
          </cell>
          <cell r="G13">
            <v>10</v>
          </cell>
          <cell r="H13">
            <v>2015</v>
          </cell>
          <cell r="I13" t="str">
            <v>Hà Nội, ngày 20 tháng 10 năm 2015</v>
          </cell>
          <cell r="J13" t="str">
            <v>8h00 ngày 20 tháng 10 năm 2015</v>
          </cell>
          <cell r="K13" t="str">
            <v>9h15 ngày 20 tháng 10 năm 2015</v>
          </cell>
          <cell r="L13" t="str">
            <v>10h15</v>
          </cell>
          <cell r="M13" t="str">
            <v>11h15</v>
          </cell>
          <cell r="N13">
            <v>20</v>
          </cell>
          <cell r="O13">
            <v>10</v>
          </cell>
          <cell r="P13">
            <v>2015</v>
          </cell>
          <cell r="Q13" t="str">
            <v>Hà Nội, ngày 20 tháng 10 năm 2015</v>
          </cell>
          <cell r="R13" t="str">
            <v>10h15 ngày 20 tháng 10 năm 2015</v>
          </cell>
          <cell r="S13" t="str">
            <v>11h15 ngày 20 tháng 10 năm 2015</v>
          </cell>
          <cell r="T13" t="str">
            <v>10h15</v>
          </cell>
          <cell r="U13" t="str">
            <v>10h15 Ngày 20/10/2015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20 Tháng 10 Năm 2015</v>
          </cell>
        </row>
        <row r="14">
          <cell r="A14" t="str">
            <v>CG-05</v>
          </cell>
          <cell r="B14" t="str">
            <v xml:space="preserve">Vật liệu kính dán an toàn 6.38mm lắp cho cửa gỗ kèm theo phiếu xuất kho ngày 10/11/2015 </v>
          </cell>
          <cell r="C14" t="str">
            <v>CG-05</v>
          </cell>
          <cell r="D14" t="str">
            <v>8h30</v>
          </cell>
          <cell r="E14" t="str">
            <v>9h30</v>
          </cell>
          <cell r="F14">
            <v>10</v>
          </cell>
          <cell r="G14">
            <v>11</v>
          </cell>
          <cell r="H14">
            <v>2015</v>
          </cell>
          <cell r="I14" t="str">
            <v>Hà Nội, ngày 10 tháng 11 năm 2015</v>
          </cell>
          <cell r="J14" t="str">
            <v>8h30 ngày 10 tháng 11 năm 2015</v>
          </cell>
          <cell r="K14" t="str">
            <v>9h30 ngày 10 tháng 11 năm 2015</v>
          </cell>
          <cell r="L14" t="str">
            <v>10h30</v>
          </cell>
          <cell r="M14" t="str">
            <v>11h30</v>
          </cell>
          <cell r="N14">
            <v>10</v>
          </cell>
          <cell r="O14">
            <v>11</v>
          </cell>
          <cell r="P14">
            <v>2015</v>
          </cell>
          <cell r="Q14" t="str">
            <v>Hà Nội, ngày 10 tháng 11 năm 2015</v>
          </cell>
          <cell r="R14" t="str">
            <v>10h30 ngày 10 tháng 11 năm 2015</v>
          </cell>
          <cell r="S14" t="str">
            <v>11h30 ngày 10 tháng 11 năm 2015</v>
          </cell>
          <cell r="T14" t="str">
            <v>10h30</v>
          </cell>
          <cell r="U14" t="str">
            <v>10h30 Ngày 10/11/2015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10 Tháng 11 Năm 2015</v>
          </cell>
        </row>
        <row r="15">
          <cell r="A15" t="str">
            <v>CG-06</v>
          </cell>
          <cell r="C15" t="str">
            <v>CG-06</v>
          </cell>
          <cell r="D15" t="str">
            <v>…..</v>
          </cell>
          <cell r="E15" t="str">
            <v>…..</v>
          </cell>
          <cell r="F15" t="str">
            <v>…..</v>
          </cell>
          <cell r="G15" t="str">
            <v>…..</v>
          </cell>
          <cell r="H15">
            <v>2015</v>
          </cell>
          <cell r="I15" t="str">
            <v>Hà Nội, ngày ….. tháng ….. năm 2015</v>
          </cell>
          <cell r="J15" t="str">
            <v>….. ngày ….. tháng ….. năm 2015</v>
          </cell>
          <cell r="K15" t="str">
            <v>….. ngày ….. tháng ….. năm 2015</v>
          </cell>
          <cell r="L15" t="str">
            <v>…..</v>
          </cell>
          <cell r="M15" t="str">
            <v>…..</v>
          </cell>
          <cell r="N15" t="str">
            <v>…..</v>
          </cell>
          <cell r="O15" t="str">
            <v>…..</v>
          </cell>
          <cell r="P15">
            <v>2015</v>
          </cell>
          <cell r="Q15" t="str">
            <v>Hà Nội, ngày ….. tháng ….. năm 2015</v>
          </cell>
          <cell r="R15" t="str">
            <v>….. ngày ….. tháng ….. năm 2015</v>
          </cell>
          <cell r="S15" t="str">
            <v>….. ngày ….. tháng ….. năm 2015</v>
          </cell>
          <cell r="T15" t="str">
            <v>…..</v>
          </cell>
          <cell r="U15" t="str">
            <v>…..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2015</v>
          </cell>
        </row>
        <row r="16">
          <cell r="A16" t="str">
            <v>CG-07</v>
          </cell>
          <cell r="C16" t="str">
            <v>CG-07</v>
          </cell>
          <cell r="D16" t="str">
            <v>…..</v>
          </cell>
          <cell r="E16" t="str">
            <v>…..</v>
          </cell>
          <cell r="F16" t="str">
            <v>…..</v>
          </cell>
          <cell r="G16" t="str">
            <v>…..</v>
          </cell>
          <cell r="H16">
            <v>2015</v>
          </cell>
          <cell r="I16" t="str">
            <v>Hà Nội, ngày ….. tháng ….. năm 2015</v>
          </cell>
          <cell r="J16" t="str">
            <v>….. ngày ….. tháng ….. năm 2015</v>
          </cell>
          <cell r="K16" t="str">
            <v>….. ngày ….. tháng ….. năm 2015</v>
          </cell>
          <cell r="L16" t="str">
            <v>…..</v>
          </cell>
          <cell r="M16" t="str">
            <v>…..</v>
          </cell>
          <cell r="N16" t="str">
            <v>…..</v>
          </cell>
          <cell r="O16" t="str">
            <v>…..</v>
          </cell>
          <cell r="P16">
            <v>2015</v>
          </cell>
          <cell r="Q16" t="str">
            <v>Hà Nội, ngày ….. tháng ….. năm 2015</v>
          </cell>
          <cell r="R16" t="str">
            <v>….. ngày ….. tháng ….. năm 2015</v>
          </cell>
          <cell r="S16" t="str">
            <v>….. ngày ….. tháng ….. năm 2015</v>
          </cell>
          <cell r="T16" t="str">
            <v>…..</v>
          </cell>
          <cell r="U16" t="str">
            <v>…..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CG-08</v>
          </cell>
          <cell r="C17" t="str">
            <v>CG-08</v>
          </cell>
          <cell r="D17" t="str">
            <v>…..</v>
          </cell>
          <cell r="E17" t="str">
            <v>…..</v>
          </cell>
          <cell r="F17" t="str">
            <v>…..</v>
          </cell>
          <cell r="G17" t="str">
            <v>…..</v>
          </cell>
          <cell r="H17">
            <v>2015</v>
          </cell>
          <cell r="I17" t="str">
            <v>Hà Nội, ngày ….. tháng ….. năm 2015</v>
          </cell>
          <cell r="J17" t="str">
            <v>….. ngày ….. tháng ….. năm 2015</v>
          </cell>
          <cell r="K17" t="str">
            <v>….. ngày ….. tháng ….. năm 2015</v>
          </cell>
          <cell r="L17" t="str">
            <v>…..</v>
          </cell>
          <cell r="M17" t="str">
            <v>…..</v>
          </cell>
          <cell r="N17" t="str">
            <v>…..</v>
          </cell>
          <cell r="O17" t="str">
            <v>…..</v>
          </cell>
          <cell r="P17">
            <v>2015</v>
          </cell>
          <cell r="Q17" t="str">
            <v>Hà Nội, ngày ….. tháng ….. năm 2015</v>
          </cell>
          <cell r="R17" t="str">
            <v>….. ngày ….. tháng ….. năm 2015</v>
          </cell>
          <cell r="S17" t="str">
            <v>….. ngày ….. tháng ….. năm 2015</v>
          </cell>
          <cell r="T17" t="str">
            <v>…..</v>
          </cell>
          <cell r="U17" t="str">
            <v>…..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t="str">
            <v>CG-09</v>
          </cell>
          <cell r="C18" t="str">
            <v>CG-09</v>
          </cell>
          <cell r="D18" t="str">
            <v>…..</v>
          </cell>
          <cell r="E18" t="str">
            <v>…..</v>
          </cell>
          <cell r="F18" t="str">
            <v>…..</v>
          </cell>
          <cell r="G18" t="str">
            <v>…..</v>
          </cell>
          <cell r="H18">
            <v>2015</v>
          </cell>
          <cell r="I18" t="str">
            <v>Hà Nội, ngày ….. tháng ….. năm 2015</v>
          </cell>
          <cell r="J18" t="str">
            <v>….. ngày ….. tháng ….. năm 2015</v>
          </cell>
          <cell r="K18" t="str">
            <v>….. ngày ….. tháng ….. năm 2015</v>
          </cell>
          <cell r="L18" t="str">
            <v>…..</v>
          </cell>
          <cell r="M18" t="str">
            <v>…..</v>
          </cell>
          <cell r="N18" t="str">
            <v>…..</v>
          </cell>
          <cell r="O18" t="str">
            <v>…..</v>
          </cell>
          <cell r="P18">
            <v>2015</v>
          </cell>
          <cell r="Q18" t="str">
            <v>Hà Nội, ngày ….. tháng ….. năm 2015</v>
          </cell>
          <cell r="R18" t="str">
            <v>….. ngày ….. tháng ….. năm 2015</v>
          </cell>
          <cell r="S18" t="str">
            <v>….. ngày ….. tháng ….. năm 2015</v>
          </cell>
          <cell r="T18" t="str">
            <v>…..</v>
          </cell>
          <cell r="U18" t="str">
            <v>…..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t="str">
            <v>CG-10</v>
          </cell>
          <cell r="C19" t="str">
            <v>CG-10</v>
          </cell>
          <cell r="D19" t="str">
            <v>…..</v>
          </cell>
          <cell r="E19" t="str">
            <v>…..</v>
          </cell>
          <cell r="F19" t="str">
            <v>…..</v>
          </cell>
          <cell r="G19" t="str">
            <v>…..</v>
          </cell>
          <cell r="H19">
            <v>2015</v>
          </cell>
          <cell r="I19" t="str">
            <v>Hà Nội, ngày ….. tháng ….. năm 2015</v>
          </cell>
          <cell r="J19" t="str">
            <v>….. ngày ….. tháng ….. năm 2015</v>
          </cell>
          <cell r="K19" t="str">
            <v>….. ngày ….. tháng ….. năm 2015</v>
          </cell>
          <cell r="L19" t="str">
            <v>…..</v>
          </cell>
          <cell r="M19" t="str">
            <v>…..</v>
          </cell>
          <cell r="N19" t="str">
            <v>…..</v>
          </cell>
          <cell r="O19" t="str">
            <v>…..</v>
          </cell>
          <cell r="P19">
            <v>2015</v>
          </cell>
          <cell r="Q19" t="str">
            <v>Hà Nội, ngày ….. tháng ….. năm 2015</v>
          </cell>
          <cell r="R19" t="str">
            <v>….. ngày ….. tháng ….. năm 2015</v>
          </cell>
          <cell r="S19" t="str">
            <v>….. ngày ….. tháng ….. năm 2015</v>
          </cell>
          <cell r="T19" t="str">
            <v>…..</v>
          </cell>
          <cell r="U19" t="str">
            <v>…..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t="str">
            <v>CG-11</v>
          </cell>
          <cell r="C20" t="str">
            <v>CG-11</v>
          </cell>
          <cell r="D20" t="str">
            <v>…..</v>
          </cell>
          <cell r="E20" t="str">
            <v>…..</v>
          </cell>
          <cell r="F20" t="str">
            <v>…..</v>
          </cell>
          <cell r="G20" t="str">
            <v>…..</v>
          </cell>
          <cell r="H20">
            <v>2015</v>
          </cell>
          <cell r="I20" t="str">
            <v>Hà Nội, ngày ….. tháng ….. năm 2015</v>
          </cell>
          <cell r="J20" t="str">
            <v>….. ngày ….. tháng ….. năm 2015</v>
          </cell>
          <cell r="K20" t="str">
            <v>….. ngày ….. tháng ….. năm 2015</v>
          </cell>
          <cell r="L20" t="str">
            <v>…..</v>
          </cell>
          <cell r="M20" t="str">
            <v>…..</v>
          </cell>
          <cell r="N20" t="str">
            <v>…..</v>
          </cell>
          <cell r="O20" t="str">
            <v>…..</v>
          </cell>
          <cell r="P20">
            <v>2015</v>
          </cell>
          <cell r="Q20" t="str">
            <v>Hà Nội, ngày ….. tháng ….. năm 2015</v>
          </cell>
          <cell r="R20" t="str">
            <v>….. ngày ….. tháng ….. năm 2015</v>
          </cell>
          <cell r="S20" t="str">
            <v>….. ngày ….. tháng ….. năm 2015</v>
          </cell>
          <cell r="T20" t="str">
            <v>…..</v>
          </cell>
          <cell r="U20" t="str">
            <v>…..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v>
          </cell>
          <cell r="M21" t="str">
            <v>…..</v>
          </cell>
          <cell r="N21" t="str">
            <v>…..</v>
          </cell>
          <cell r="O21" t="str">
            <v>…..</v>
          </cell>
          <cell r="P21">
            <v>2015</v>
          </cell>
          <cell r="Q21" t="str">
            <v>Hà Nội, ngày ….. tháng ….. năm 2015</v>
          </cell>
          <cell r="R21" t="str">
            <v>….. ngày ….. tháng ….. năm 2015</v>
          </cell>
          <cell r="S21" t="str">
            <v>….. ngày ….. tháng ….. năm 2015</v>
          </cell>
          <cell r="T21" t="str">
            <v>…..</v>
          </cell>
          <cell r="U21" t="str">
            <v>…..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A22">
            <v>0</v>
          </cell>
          <cell r="D22" t="str">
            <v>…..</v>
          </cell>
          <cell r="E22" t="str">
            <v>…..</v>
          </cell>
          <cell r="F22" t="str">
            <v>…..</v>
          </cell>
          <cell r="G22" t="str">
            <v>…..</v>
          </cell>
          <cell r="H22">
            <v>2015</v>
          </cell>
          <cell r="I22" t="str">
            <v>Hà Nội, ngày ….. tháng ….. năm 2015</v>
          </cell>
          <cell r="J22" t="str">
            <v>….. ngày ….. tháng ….. năm 2015</v>
          </cell>
          <cell r="K22" t="str">
            <v>….. ngày ….. tháng ….. năm 2015</v>
          </cell>
          <cell r="L22" t="str">
            <v>…..</v>
          </cell>
          <cell r="M22" t="str">
            <v>…..</v>
          </cell>
          <cell r="N22" t="str">
            <v>…..</v>
          </cell>
          <cell r="O22" t="str">
            <v>…..</v>
          </cell>
          <cell r="P22">
            <v>2015</v>
          </cell>
          <cell r="Q22" t="str">
            <v>Hà Nội, ngày ….. tháng ….. năm 2015</v>
          </cell>
          <cell r="R22" t="str">
            <v>….. ngày ….. tháng ….. năm 2015</v>
          </cell>
          <cell r="S22" t="str">
            <v>….. ngày ….. tháng ….. năm 2015</v>
          </cell>
          <cell r="T22" t="str">
            <v>…..</v>
          </cell>
          <cell r="U22" t="str">
            <v>…..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2015</v>
          </cell>
        </row>
        <row r="23">
          <cell r="A23">
            <v>0</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2015</v>
          </cell>
        </row>
        <row r="24">
          <cell r="A24">
            <v>0</v>
          </cell>
          <cell r="D24" t="str">
            <v>…..</v>
          </cell>
          <cell r="E24" t="str">
            <v>…..</v>
          </cell>
          <cell r="F24" t="str">
            <v>…..</v>
          </cell>
          <cell r="G24" t="str">
            <v>…..</v>
          </cell>
          <cell r="H24">
            <v>2015</v>
          </cell>
          <cell r="I24" t="str">
            <v>Hà Nội, ngày ….. tháng ….. năm 2015</v>
          </cell>
          <cell r="J24" t="str">
            <v>….. ngày ….. tháng ….. năm 2015</v>
          </cell>
          <cell r="K24" t="str">
            <v>….. ngày ….. tháng ….. năm 2015</v>
          </cell>
          <cell r="L24" t="str">
            <v>……</v>
          </cell>
          <cell r="M24" t="str">
            <v>……</v>
          </cell>
          <cell r="N24" t="str">
            <v>…..</v>
          </cell>
          <cell r="O24" t="str">
            <v>…..</v>
          </cell>
          <cell r="P24">
            <v>2015</v>
          </cell>
          <cell r="Q24" t="str">
            <v>Hà Nội, ngày ….. tháng ….. năm 2015</v>
          </cell>
          <cell r="R24" t="str">
            <v>…… ngày ….. tháng ….. năm 2015</v>
          </cell>
          <cell r="S24" t="str">
            <v>…… ngày ….. tháng ….. năm 2015</v>
          </cell>
          <cell r="T24" t="str">
            <v>……</v>
          </cell>
          <cell r="U24" t="str">
            <v>……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2015</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v>
          </cell>
        </row>
        <row r="35">
          <cell r="A35">
            <v>1</v>
          </cell>
          <cell r="B35">
            <v>2</v>
          </cell>
          <cell r="C35">
            <v>3</v>
          </cell>
          <cell r="D35">
            <v>4</v>
          </cell>
          <cell r="E35">
            <v>5</v>
          </cell>
          <cell r="F35">
            <v>6</v>
          </cell>
          <cell r="G35">
            <v>7</v>
          </cell>
          <cell r="H35">
            <v>8</v>
          </cell>
          <cell r="I35">
            <v>9</v>
          </cell>
          <cell r="J35">
            <v>10</v>
          </cell>
          <cell r="K35">
            <v>11</v>
          </cell>
          <cell r="L35">
            <v>12</v>
          </cell>
          <cell r="M35">
            <v>13</v>
          </cell>
          <cell r="N35">
            <v>14</v>
          </cell>
          <cell r="O35">
            <v>15</v>
          </cell>
          <cell r="P35">
            <v>16</v>
          </cell>
          <cell r="Q35">
            <v>17</v>
          </cell>
          <cell r="R35">
            <v>18</v>
          </cell>
          <cell r="S35">
            <v>19</v>
          </cell>
          <cell r="T35">
            <v>20</v>
          </cell>
          <cell r="U35">
            <v>21</v>
          </cell>
          <cell r="V35">
            <v>22</v>
          </cell>
          <cell r="W35">
            <v>23</v>
          </cell>
          <cell r="X35">
            <v>24</v>
          </cell>
          <cell r="Y35">
            <v>25</v>
          </cell>
          <cell r="Z35">
            <v>26</v>
          </cell>
          <cell r="AA35">
            <v>27</v>
          </cell>
          <cell r="AB35">
            <v>28</v>
          </cell>
          <cell r="AC35">
            <v>29</v>
          </cell>
          <cell r="AD35">
            <v>30</v>
          </cell>
          <cell r="AE35">
            <v>31</v>
          </cell>
          <cell r="AF35">
            <v>32</v>
          </cell>
          <cell r="AG35">
            <v>33</v>
          </cell>
          <cell r="AH35">
            <v>34</v>
          </cell>
          <cell r="AI35">
            <v>35</v>
          </cell>
          <cell r="AJ35">
            <v>36</v>
          </cell>
          <cell r="AK35">
            <v>37</v>
          </cell>
          <cell r="AL35">
            <v>38</v>
          </cell>
          <cell r="AM35">
            <v>39</v>
          </cell>
          <cell r="AN35">
            <v>40</v>
          </cell>
          <cell r="AO35">
            <v>41</v>
          </cell>
          <cell r="AP35">
            <v>42</v>
          </cell>
          <cell r="AQ35">
            <v>43</v>
          </cell>
        </row>
      </sheetData>
      <sheetData sheetId="172"/>
      <sheetData sheetId="173">
        <row r="1">
          <cell r="A1" t="str">
            <v>CÔNG TY CP HỒNG HÀ VIỆT NAM</v>
          </cell>
          <cell r="C1" t="str">
            <v>CỘNG HÒA XÃ HỘI CHỦ NGHĨA VIỆT NAM</v>
          </cell>
        </row>
        <row r="2">
          <cell r="C2" t="str">
            <v>ĐỘC LẬP-TỰ DO -HẠNH PHÚC</v>
          </cell>
        </row>
        <row r="4">
          <cell r="A4" t="str">
            <v>CUA GO</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CG-01</v>
          </cell>
          <cell r="B10" t="str">
            <v>Công tác GCLD khuôn cửa, nẹp cửa gỗ từ tầng 3 đến hết tầng 7</v>
          </cell>
          <cell r="C10" t="str">
            <v>CG-01</v>
          </cell>
          <cell r="D10" t="str">
            <v>7h30</v>
          </cell>
          <cell r="E10" t="str">
            <v>9h30</v>
          </cell>
          <cell r="F10">
            <v>12</v>
          </cell>
          <cell r="G10">
            <v>8</v>
          </cell>
          <cell r="H10">
            <v>2015</v>
          </cell>
          <cell r="I10" t="str">
            <v>Hà Nội, ngày 12 tháng 8 năm 2015</v>
          </cell>
          <cell r="J10" t="str">
            <v>7h30 ngày 12 tháng 8 năm 2015</v>
          </cell>
          <cell r="K10" t="str">
            <v>9h30 ngày 12 tháng 8 năm 2015</v>
          </cell>
          <cell r="L10" t="str">
            <v>9h30</v>
          </cell>
          <cell r="M10" t="str">
            <v>11h30</v>
          </cell>
          <cell r="N10">
            <v>12</v>
          </cell>
          <cell r="O10">
            <v>8</v>
          </cell>
          <cell r="P10">
            <v>2015</v>
          </cell>
          <cell r="Q10" t="str">
            <v>Hà Nội, ngày 12 tháng 8 năm 2015</v>
          </cell>
          <cell r="R10" t="str">
            <v>9h30 ngày 12 tháng 8 năm 2015</v>
          </cell>
          <cell r="S10" t="str">
            <v>11h30 ngày 12 tháng 8 năm 2015</v>
          </cell>
          <cell r="T10" t="str">
            <v>9h30</v>
          </cell>
          <cell r="U10" t="str">
            <v>9h30 Ngày 12/8/2015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KT-1701÷KT-1708</v>
          </cell>
          <cell r="AQ10" t="str">
            <v>Ngày 12 Tháng 8 Năm 2015</v>
          </cell>
        </row>
        <row r="11">
          <cell r="A11" t="str">
            <v>CG-02</v>
          </cell>
          <cell r="B11" t="str">
            <v>Công tác GCLD khuôn cửa, nẹp cửa gỗ từ tầng 8 đến hết tầng 11</v>
          </cell>
          <cell r="C11" t="str">
            <v>CG-02</v>
          </cell>
          <cell r="D11" t="str">
            <v>8h00</v>
          </cell>
          <cell r="E11" t="str">
            <v>10h00</v>
          </cell>
          <cell r="F11">
            <v>12</v>
          </cell>
          <cell r="G11">
            <v>9</v>
          </cell>
          <cell r="H11">
            <v>2015</v>
          </cell>
          <cell r="I11" t="str">
            <v>Hà Nội, ngày 12 tháng 9 năm 2015</v>
          </cell>
          <cell r="J11" t="str">
            <v>8h00 ngày 12 tháng 9 năm 2015</v>
          </cell>
          <cell r="K11" t="str">
            <v>10h00 ngày 12 tháng 9 năm 2015</v>
          </cell>
          <cell r="L11" t="str">
            <v>10h00</v>
          </cell>
          <cell r="M11" t="str">
            <v>11h30</v>
          </cell>
          <cell r="N11">
            <v>12</v>
          </cell>
          <cell r="O11">
            <v>9</v>
          </cell>
          <cell r="P11">
            <v>2015</v>
          </cell>
          <cell r="Q11" t="str">
            <v>Hà Nội, ngày 12 tháng 9 năm 2015</v>
          </cell>
          <cell r="R11" t="str">
            <v>10h00 ngày 12 tháng 9 năm 2015</v>
          </cell>
          <cell r="S11" t="str">
            <v>11h30 ngày 12 tháng 9 năm 2015</v>
          </cell>
          <cell r="T11" t="str">
            <v>10h00</v>
          </cell>
          <cell r="U11" t="str">
            <v>10h00 Ngày 12/9/2015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KT-1701÷KT-1708</v>
          </cell>
          <cell r="AQ11" t="str">
            <v>Ngày 12 Tháng 9 Năm 2015</v>
          </cell>
        </row>
        <row r="12">
          <cell r="A12" t="str">
            <v>CG-03</v>
          </cell>
          <cell r="B12" t="str">
            <v>Công tác GCLD cánh cửa gỗ D2, D3 từ tầng 3 đến hết tầng 6</v>
          </cell>
          <cell r="C12" t="str">
            <v>CG-03</v>
          </cell>
          <cell r="D12" t="str">
            <v>8h30</v>
          </cell>
          <cell r="E12" t="str">
            <v>10h30</v>
          </cell>
          <cell r="F12">
            <v>18</v>
          </cell>
          <cell r="G12">
            <v>10</v>
          </cell>
          <cell r="H12">
            <v>2015</v>
          </cell>
          <cell r="I12" t="str">
            <v>Hà Nội, ngày 18 tháng 10 năm 2015</v>
          </cell>
          <cell r="J12" t="str">
            <v>8h30 ngày 18 tháng 10 năm 2015</v>
          </cell>
          <cell r="K12" t="str">
            <v>10h30 ngày 18 tháng 10 năm 2015</v>
          </cell>
          <cell r="L12" t="str">
            <v>14h00</v>
          </cell>
          <cell r="M12" t="str">
            <v>16h00</v>
          </cell>
          <cell r="N12">
            <v>18</v>
          </cell>
          <cell r="O12">
            <v>10</v>
          </cell>
          <cell r="P12">
            <v>2015</v>
          </cell>
          <cell r="Q12" t="str">
            <v>Hà Nội, ngày 18 tháng 10 năm 2015</v>
          </cell>
          <cell r="R12" t="str">
            <v>14h00 ngày 18 tháng 10 năm 2015</v>
          </cell>
          <cell r="S12" t="str">
            <v>16h00 ngày 18 tháng 10 năm 2015</v>
          </cell>
          <cell r="T12" t="str">
            <v>14h00</v>
          </cell>
          <cell r="U12" t="str">
            <v>14h00 Ngày 18/10/2015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KT-1701÷KT-1708</v>
          </cell>
          <cell r="AQ12" t="str">
            <v>Ngày 18 Tháng 10 Năm 2015</v>
          </cell>
        </row>
        <row r="13">
          <cell r="A13" t="str">
            <v>CG-04</v>
          </cell>
          <cell r="B13" t="str">
            <v>Công tác gia công, lắp dựng cánh cửa D2, D3 tầng 07, 08, 09, 10, 11</v>
          </cell>
          <cell r="C13" t="str">
            <v>CG-04</v>
          </cell>
          <cell r="D13" t="str">
            <v>9h00</v>
          </cell>
          <cell r="E13" t="str">
            <v>11h00</v>
          </cell>
          <cell r="F13">
            <v>23</v>
          </cell>
          <cell r="G13">
            <v>11</v>
          </cell>
          <cell r="H13">
            <v>2015</v>
          </cell>
          <cell r="I13" t="str">
            <v>Hà Nội, ngày 23 tháng 11 năm 2015</v>
          </cell>
          <cell r="J13" t="str">
            <v>9h00 ngày 23 tháng 11 năm 2015</v>
          </cell>
          <cell r="K13" t="str">
            <v>11h00 ngày 23 tháng 11 năm 2015</v>
          </cell>
          <cell r="L13" t="str">
            <v>14h30</v>
          </cell>
          <cell r="M13" t="str">
            <v>16h30</v>
          </cell>
          <cell r="N13">
            <v>23</v>
          </cell>
          <cell r="O13">
            <v>11</v>
          </cell>
          <cell r="P13">
            <v>2015</v>
          </cell>
          <cell r="Q13" t="str">
            <v>Hà Nội, ngày 23 tháng 11 năm 2015</v>
          </cell>
          <cell r="R13" t="str">
            <v>14h30 ngày 23 tháng 11 năm 2015</v>
          </cell>
          <cell r="S13" t="str">
            <v>16h30 ngày 23 tháng 11 năm 2015</v>
          </cell>
          <cell r="T13" t="str">
            <v>14h30</v>
          </cell>
          <cell r="U13" t="str">
            <v>14h30 Ngày 23/11/2015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KT-1701÷KT-1708</v>
          </cell>
          <cell r="AQ13" t="str">
            <v>Ngày 23 Tháng 11 Năm 2015</v>
          </cell>
        </row>
        <row r="14">
          <cell r="A14" t="str">
            <v>CG-05</v>
          </cell>
          <cell r="C14" t="str">
            <v>CG-05</v>
          </cell>
          <cell r="D14" t="str">
            <v>…h…</v>
          </cell>
          <cell r="E14" t="str">
            <v>…h…</v>
          </cell>
          <cell r="F14" t="str">
            <v>……</v>
          </cell>
          <cell r="G14" t="str">
            <v>……</v>
          </cell>
          <cell r="H14">
            <v>2015</v>
          </cell>
          <cell r="I14" t="str">
            <v>Hà Nội, ngày …… tháng …… năm 2015</v>
          </cell>
          <cell r="J14" t="str">
            <v>…h… ngày …… tháng …… năm 2015</v>
          </cell>
          <cell r="K14" t="str">
            <v>…h… ngày …… tháng …… năm 2015</v>
          </cell>
          <cell r="L14" t="str">
            <v>…h…</v>
          </cell>
          <cell r="M14" t="str">
            <v>…h…</v>
          </cell>
          <cell r="N14" t="str">
            <v>……</v>
          </cell>
          <cell r="O14" t="str">
            <v>……</v>
          </cell>
          <cell r="P14">
            <v>2015</v>
          </cell>
          <cell r="Q14" t="str">
            <v>Hà Nội, ngày …… tháng …… năm 2015</v>
          </cell>
          <cell r="R14" t="str">
            <v>…h… ngày …… tháng …… năm 2015</v>
          </cell>
          <cell r="S14" t="str">
            <v>…h… ngày …… tháng …… năm 2015</v>
          </cell>
          <cell r="T14" t="str">
            <v>…h…</v>
          </cell>
          <cell r="U14" t="str">
            <v>…h… Ngày ……/……/2015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KT-1701÷KT-1708</v>
          </cell>
          <cell r="AQ14" t="str">
            <v>Ngày …… Tháng …… Năm 2015</v>
          </cell>
        </row>
        <row r="15">
          <cell r="A15" t="str">
            <v>CG-06</v>
          </cell>
          <cell r="C15" t="str">
            <v>CG-06</v>
          </cell>
          <cell r="D15" t="str">
            <v>10h30'</v>
          </cell>
          <cell r="E15" t="str">
            <v>11h30'</v>
          </cell>
          <cell r="F15" t="str">
            <v>……</v>
          </cell>
          <cell r="G15" t="str">
            <v>……</v>
          </cell>
          <cell r="H15">
            <v>2015</v>
          </cell>
          <cell r="I15" t="str">
            <v>Hà Nội, ngày …… tháng …… năm 2015</v>
          </cell>
          <cell r="J15" t="str">
            <v>10h30' ngày …… tháng …… năm 2015</v>
          </cell>
          <cell r="K15" t="str">
            <v>11h30' ngày …… tháng …… năm 2015</v>
          </cell>
          <cell r="L15" t="str">
            <v>14h30'</v>
          </cell>
          <cell r="M15" t="str">
            <v>15h30'</v>
          </cell>
          <cell r="N15" t="str">
            <v>……</v>
          </cell>
          <cell r="O15" t="str">
            <v>……</v>
          </cell>
          <cell r="P15">
            <v>2015</v>
          </cell>
          <cell r="Q15" t="str">
            <v>Hà Nội, ngày …… tháng …… năm 2015</v>
          </cell>
          <cell r="R15" t="str">
            <v>14h30' ngày …… tháng …… năm 2015</v>
          </cell>
          <cell r="S15" t="str">
            <v>15h30' ngày …… tháng …… năm 2015</v>
          </cell>
          <cell r="T15" t="str">
            <v>14h30'</v>
          </cell>
          <cell r="U15" t="str">
            <v>14h30'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KT-1701÷KT-1708</v>
          </cell>
          <cell r="AQ15" t="str">
            <v>Ngày …… Tháng …… Năm 2015</v>
          </cell>
        </row>
        <row r="16">
          <cell r="A16" t="str">
            <v>CG-07</v>
          </cell>
          <cell r="C16" t="str">
            <v>CG-07</v>
          </cell>
          <cell r="D16" t="str">
            <v>15h30</v>
          </cell>
          <cell r="E16" t="str">
            <v>16h15</v>
          </cell>
          <cell r="F16" t="str">
            <v>……</v>
          </cell>
          <cell r="G16" t="str">
            <v>……</v>
          </cell>
          <cell r="H16">
            <v>2015</v>
          </cell>
          <cell r="I16" t="str">
            <v>Hà Nội, ngày …… tháng …… năm 2015</v>
          </cell>
          <cell r="J16" t="str">
            <v>15h30 ngày …… tháng …… năm 2015</v>
          </cell>
          <cell r="K16" t="str">
            <v>16h15 ngày …… tháng …… năm 2015</v>
          </cell>
          <cell r="L16" t="str">
            <v>16h15</v>
          </cell>
          <cell r="M16" t="str">
            <v>17h00</v>
          </cell>
          <cell r="N16" t="str">
            <v>……</v>
          </cell>
          <cell r="O16" t="str">
            <v>……</v>
          </cell>
          <cell r="P16">
            <v>2015</v>
          </cell>
          <cell r="Q16" t="str">
            <v>Hà Nội, ngày …… tháng …… năm 2015</v>
          </cell>
          <cell r="R16" t="str">
            <v>16h15 ngày …… tháng …… năm 2015</v>
          </cell>
          <cell r="S16" t="str">
            <v>17h00 ngày …… tháng …… năm 2015</v>
          </cell>
          <cell r="T16" t="str">
            <v>16h15</v>
          </cell>
          <cell r="U16" t="str">
            <v>16h15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CG-08</v>
          </cell>
          <cell r="C17" t="str">
            <v>CG-08</v>
          </cell>
          <cell r="D17" t="str">
            <v>14h00</v>
          </cell>
          <cell r="E17" t="str">
            <v>15h30</v>
          </cell>
          <cell r="F17" t="str">
            <v>……</v>
          </cell>
          <cell r="G17" t="str">
            <v>……</v>
          </cell>
          <cell r="H17">
            <v>2015</v>
          </cell>
          <cell r="I17" t="str">
            <v>Hà Nội, ngày …… tháng …… năm 2015</v>
          </cell>
          <cell r="J17" t="str">
            <v>14h00 ngày …… tháng …… năm 2015</v>
          </cell>
          <cell r="K17" t="str">
            <v>15h30 ngày …… tháng …… năm 2015</v>
          </cell>
          <cell r="L17" t="str">
            <v>15h30</v>
          </cell>
          <cell r="M17" t="str">
            <v>16h00</v>
          </cell>
          <cell r="N17" t="str">
            <v>……</v>
          </cell>
          <cell r="O17" t="str">
            <v>……</v>
          </cell>
          <cell r="P17">
            <v>2015</v>
          </cell>
          <cell r="Q17" t="str">
            <v>Hà Nội, ngày …… tháng …… năm 2015</v>
          </cell>
          <cell r="R17" t="str">
            <v>15h30 ngày …… tháng …… năm 2015</v>
          </cell>
          <cell r="S17" t="str">
            <v>16h00 ngày …… tháng …… năm 2015</v>
          </cell>
          <cell r="T17" t="str">
            <v>15h30</v>
          </cell>
          <cell r="U17" t="str">
            <v>15h30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14h15</v>
          </cell>
          <cell r="E19" t="str">
            <v>15h00</v>
          </cell>
          <cell r="F19" t="str">
            <v>……</v>
          </cell>
          <cell r="G19" t="str">
            <v>……</v>
          </cell>
          <cell r="H19">
            <v>2015</v>
          </cell>
          <cell r="I19" t="str">
            <v>Hà Nội, ngày …… tháng …… năm 2015</v>
          </cell>
          <cell r="J19" t="str">
            <v>14h15 ngày …… tháng …… năm 2015</v>
          </cell>
          <cell r="K19" t="str">
            <v>15h00 ngày …… tháng …… năm 2015</v>
          </cell>
          <cell r="L19" t="str">
            <v>15h00</v>
          </cell>
          <cell r="M19" t="str">
            <v>15h45</v>
          </cell>
          <cell r="N19" t="str">
            <v>……</v>
          </cell>
          <cell r="O19" t="str">
            <v>……</v>
          </cell>
          <cell r="P19">
            <v>2015</v>
          </cell>
          <cell r="Q19" t="str">
            <v>Hà Nội, ngày …… tháng …… năm 2015</v>
          </cell>
          <cell r="R19" t="str">
            <v>15h00 ngày …… tháng …… năm 2015</v>
          </cell>
          <cell r="S19" t="str">
            <v>15h45 ngày …… tháng …… năm 2015</v>
          </cell>
          <cell r="T19" t="str">
            <v>15h00</v>
          </cell>
          <cell r="U19" t="str">
            <v>15h00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14h00</v>
          </cell>
          <cell r="E20" t="str">
            <v>14h30</v>
          </cell>
          <cell r="F20" t="str">
            <v>……</v>
          </cell>
          <cell r="G20" t="str">
            <v>……</v>
          </cell>
          <cell r="H20">
            <v>2015</v>
          </cell>
          <cell r="I20" t="str">
            <v>Hà Nội, ngày …… tháng …… năm 2015</v>
          </cell>
          <cell r="J20" t="str">
            <v>14h00 ngày …… tháng …… năm 2015</v>
          </cell>
          <cell r="K20" t="str">
            <v>14h30 ngày …… tháng …… năm 2015</v>
          </cell>
          <cell r="L20" t="str">
            <v>14h30</v>
          </cell>
          <cell r="M20" t="str">
            <v>15h00</v>
          </cell>
          <cell r="N20" t="str">
            <v>……</v>
          </cell>
          <cell r="O20" t="str">
            <v>……</v>
          </cell>
          <cell r="P20">
            <v>2015</v>
          </cell>
          <cell r="Q20" t="str">
            <v>Hà Nội, ngày …… tháng …… năm 2015</v>
          </cell>
          <cell r="R20" t="str">
            <v>14h30 ngày …… tháng …… năm 2015</v>
          </cell>
          <cell r="S20" t="str">
            <v>15h00 ngày …… tháng …… năm 2015</v>
          </cell>
          <cell r="T20" t="str">
            <v>14h30</v>
          </cell>
          <cell r="U20" t="str">
            <v>14h30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74"/>
      <sheetData sheetId="175">
        <row r="1">
          <cell r="A1" t="str">
            <v>CÔNG TY CP HỒNG HÀ VIỆT NAM</v>
          </cell>
          <cell r="C1" t="str">
            <v>CỘNG HÒA XÃ HỘI CHỦ NGHĨA VIỆT NAM</v>
          </cell>
        </row>
        <row r="2">
          <cell r="C2" t="str">
            <v>ĐỘC LẬP-TỰ DO -HẠNH PHÚC</v>
          </cell>
        </row>
        <row r="4">
          <cell r="A4" t="str">
            <v>SƠN</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SCR-01</v>
          </cell>
          <cell r="B10" t="str">
            <v>Sơn lót chống rỉ alkyd S.AK-N1; CRS-02 và Sơn phủ alkyd S.AK-P1* kèm theo biên bản giao nhận hàng hóa ngày 28/8/2015</v>
          </cell>
          <cell r="C10" t="str">
            <v>SCR-01</v>
          </cell>
          <cell r="D10" t="str">
            <v>9h00</v>
          </cell>
          <cell r="E10" t="str">
            <v>9h30</v>
          </cell>
          <cell r="F10">
            <v>30</v>
          </cell>
          <cell r="G10">
            <v>8</v>
          </cell>
          <cell r="H10">
            <v>2015</v>
          </cell>
          <cell r="I10" t="str">
            <v>Hà Nội, ngày 30 tháng 8 năm 2015</v>
          </cell>
          <cell r="J10" t="str">
            <v>9h00 ngày 30 tháng 8 năm 2015</v>
          </cell>
          <cell r="K10" t="str">
            <v>9h30 ngày 30 tháng 8 năm 2015</v>
          </cell>
          <cell r="L10" t="str">
            <v>9h30</v>
          </cell>
          <cell r="M10" t="str">
            <v>10h00</v>
          </cell>
          <cell r="N10">
            <v>30</v>
          </cell>
          <cell r="O10">
            <v>8</v>
          </cell>
          <cell r="P10">
            <v>2015</v>
          </cell>
          <cell r="Q10" t="str">
            <v>Hà Nội, ngày 30 tháng 8 năm 2015</v>
          </cell>
          <cell r="R10" t="str">
            <v>9h30 ngày 30 tháng 8 năm 2015</v>
          </cell>
          <cell r="S10" t="str">
            <v>10h00 ngày 30 tháng 8 năm 2015</v>
          </cell>
          <cell r="T10" t="str">
            <v>9h30</v>
          </cell>
          <cell r="U10" t="str">
            <v>9h30 Ngày 30/8/2015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30 Tháng 8 Năm 2015</v>
          </cell>
        </row>
        <row r="11">
          <cell r="A11" t="str">
            <v>SCR-02</v>
          </cell>
          <cell r="B11" t="str">
            <v>Sơn lót chống rỉ alkyd S.Ak-N1; CRS-02 và sơn phủ alkyd S.AK-P1, mã màu G - 73; G - 01 kèm theo biên bản giao nhận hàng hóa ngày 20/11/2015</v>
          </cell>
          <cell r="C11" t="str">
            <v>SCR-02</v>
          </cell>
          <cell r="D11" t="str">
            <v>10h00</v>
          </cell>
          <cell r="E11" t="str">
            <v>11h00</v>
          </cell>
          <cell r="F11">
            <v>21</v>
          </cell>
          <cell r="G11">
            <v>11</v>
          </cell>
          <cell r="H11">
            <v>2015</v>
          </cell>
          <cell r="I11" t="str">
            <v>Hà Nội, ngày 21 tháng 11 năm 2015</v>
          </cell>
          <cell r="J11" t="str">
            <v>10h00 ngày 21 tháng 11 năm 2015</v>
          </cell>
          <cell r="K11" t="str">
            <v>11h00 ngày 21 tháng 11 năm 2015</v>
          </cell>
          <cell r="L11" t="str">
            <v>14h00</v>
          </cell>
          <cell r="M11" t="str">
            <v>15h00</v>
          </cell>
          <cell r="N11">
            <v>21</v>
          </cell>
          <cell r="O11">
            <v>11</v>
          </cell>
          <cell r="P11">
            <v>2015</v>
          </cell>
          <cell r="Q11" t="str">
            <v>Hà Nội, ngày 21 tháng 11 năm 2015</v>
          </cell>
          <cell r="R11" t="str">
            <v>14h00 ngày 21 tháng 11 năm 2015</v>
          </cell>
          <cell r="S11" t="str">
            <v>15h00 ngày 21 tháng 11 năm 2015</v>
          </cell>
          <cell r="T11" t="str">
            <v>14h00</v>
          </cell>
          <cell r="U11" t="str">
            <v>14h00 Ngày 21/11/2015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21 Tháng 11 Năm 2015</v>
          </cell>
        </row>
        <row r="12">
          <cell r="A12" t="str">
            <v>SON-01</v>
          </cell>
          <cell r="B12" t="str">
            <v>Vật liệu sơn: Jotashield Primer; Jotasealer 03; Jotaplast Super White; Jotaplast (New) S0505-Y kèm theo biên bản giao nhận hàng hóa từ ngày 16/09/2015 đến ngày 25/09/2015</v>
          </cell>
          <cell r="C12" t="str">
            <v>SON-01</v>
          </cell>
          <cell r="D12" t="str">
            <v>8h00</v>
          </cell>
          <cell r="E12" t="str">
            <v>10h00</v>
          </cell>
          <cell r="F12">
            <v>26</v>
          </cell>
          <cell r="G12">
            <v>9</v>
          </cell>
          <cell r="H12">
            <v>2015</v>
          </cell>
          <cell r="I12" t="str">
            <v>Hà Nội, ngày 26 tháng 9 năm 2015</v>
          </cell>
          <cell r="J12" t="str">
            <v>8h00 ngày 26 tháng 9 năm 2015</v>
          </cell>
          <cell r="K12" t="str">
            <v>10h00 ngày 26 tháng 9 năm 2015</v>
          </cell>
          <cell r="L12" t="str">
            <v>14h00</v>
          </cell>
          <cell r="M12" t="str">
            <v>16h00</v>
          </cell>
          <cell r="N12">
            <v>26</v>
          </cell>
          <cell r="O12">
            <v>9</v>
          </cell>
          <cell r="P12">
            <v>2015</v>
          </cell>
          <cell r="Q12" t="str">
            <v>Hà Nội, ngày 26 tháng 9 năm 2015</v>
          </cell>
          <cell r="R12" t="str">
            <v>14h00 ngày 26 tháng 9 năm 2015</v>
          </cell>
          <cell r="S12" t="str">
            <v>16h00 ngày 26 tháng 9 năm 2015</v>
          </cell>
          <cell r="T12" t="str">
            <v>14h00</v>
          </cell>
          <cell r="U12" t="str">
            <v>14h00 Ngày 26/9/2015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26 Tháng 9 Năm 2015</v>
          </cell>
        </row>
        <row r="13">
          <cell r="A13" t="str">
            <v>SON-02</v>
          </cell>
          <cell r="B13" t="str">
            <v>Vật liệu sơn: Jotaplast Super White; Jotaplast (New) S0505-Y; Jotalast Primer
Jotasealer 03; Jotun Interior Putty   kèm theo biên bản giao nhận hàng hóa từ ngày 22/10/2015 đến ngày 27/10/2015</v>
          </cell>
          <cell r="C13" t="str">
            <v>SON-02</v>
          </cell>
          <cell r="D13" t="str">
            <v>8h30</v>
          </cell>
          <cell r="E13" t="str">
            <v>10h30</v>
          </cell>
          <cell r="F13">
            <v>28</v>
          </cell>
          <cell r="G13">
            <v>10</v>
          </cell>
          <cell r="H13">
            <v>2015</v>
          </cell>
          <cell r="I13" t="str">
            <v>Hà Nội, ngày 28 tháng 10 năm 2015</v>
          </cell>
          <cell r="J13" t="str">
            <v>8h30 ngày 28 tháng 10 năm 2015</v>
          </cell>
          <cell r="K13" t="str">
            <v>10h30 ngày 28 tháng 10 năm 2015</v>
          </cell>
          <cell r="L13" t="str">
            <v>14h30</v>
          </cell>
          <cell r="M13" t="str">
            <v>16h30</v>
          </cell>
          <cell r="N13">
            <v>28</v>
          </cell>
          <cell r="O13">
            <v>10</v>
          </cell>
          <cell r="P13">
            <v>2015</v>
          </cell>
          <cell r="Q13" t="str">
            <v>Hà Nội, ngày 28 tháng 10 năm 2015</v>
          </cell>
          <cell r="R13" t="str">
            <v>14h30 ngày 28 tháng 10 năm 2015</v>
          </cell>
          <cell r="S13" t="str">
            <v>16h30 ngày 28 tháng 10 năm 2015</v>
          </cell>
          <cell r="T13" t="str">
            <v>14h30</v>
          </cell>
          <cell r="U13" t="str">
            <v>14h30 Ngày 28/10/2015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28 Tháng 10 Năm 2015</v>
          </cell>
        </row>
        <row r="14">
          <cell r="A14" t="str">
            <v>SON-03</v>
          </cell>
          <cell r="B14" t="str">
            <v>Vật liệu sơn: Jotaplast (New) S0505- Y; Jotatough Hishiel White; Jotatough Hishiel STD 4457;   kèm theo biên bản giao nhận hàng hóa từ ngày 13/11/2015 đến ngày 26/11/2015</v>
          </cell>
          <cell r="C14" t="str">
            <v>SON-03</v>
          </cell>
          <cell r="D14" t="str">
            <v>8h15</v>
          </cell>
          <cell r="E14" t="str">
            <v>10h15</v>
          </cell>
          <cell r="F14">
            <v>27</v>
          </cell>
          <cell r="G14">
            <v>11</v>
          </cell>
          <cell r="H14">
            <v>2015</v>
          </cell>
          <cell r="I14" t="str">
            <v>Hà Nội, ngày 27 tháng 11 năm 2015</v>
          </cell>
          <cell r="J14" t="str">
            <v>8h15 ngày 27 tháng 11 năm 2015</v>
          </cell>
          <cell r="K14" t="str">
            <v>10h15 ngày 27 tháng 11 năm 2015</v>
          </cell>
          <cell r="L14" t="str">
            <v>14h15</v>
          </cell>
          <cell r="M14" t="str">
            <v>16h15</v>
          </cell>
          <cell r="N14">
            <v>27</v>
          </cell>
          <cell r="O14">
            <v>11</v>
          </cell>
          <cell r="P14">
            <v>2015</v>
          </cell>
          <cell r="Q14" t="str">
            <v>Hà Nội, ngày 27 tháng 11 năm 2015</v>
          </cell>
          <cell r="R14" t="str">
            <v>14h15 ngày 27 tháng 11 năm 2015</v>
          </cell>
          <cell r="S14" t="str">
            <v>16h15 ngày 27 tháng 11 năm 2015</v>
          </cell>
          <cell r="T14" t="str">
            <v>14h15</v>
          </cell>
          <cell r="U14" t="str">
            <v>14h15 Ngày 27/11/2015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27 Tháng 11 Năm 2015</v>
          </cell>
        </row>
        <row r="15">
          <cell r="A15" t="str">
            <v>SON-04</v>
          </cell>
          <cell r="B15" t="str">
            <v xml:space="preserve">Vật liệu sơn: Jotaplast 1356 S0505- Y; Jotatough Hishiel White; Jotatough Hishiel STD 4457; Jotatough Hishiel STD 4629  kèm theo biên bản giao nhận hàng hóa ngày 02/12/2015 </v>
          </cell>
          <cell r="C15" t="str">
            <v>SON-04</v>
          </cell>
          <cell r="D15" t="str">
            <v>8h20</v>
          </cell>
          <cell r="E15" t="str">
            <v>10h20</v>
          </cell>
          <cell r="F15">
            <v>3</v>
          </cell>
          <cell r="G15">
            <v>12</v>
          </cell>
          <cell r="H15">
            <v>2015</v>
          </cell>
          <cell r="I15" t="str">
            <v>Hà Nội, ngày 3 tháng 12 năm 2015</v>
          </cell>
          <cell r="J15" t="str">
            <v>8h20 ngày 3 tháng 12 năm 2015</v>
          </cell>
          <cell r="K15" t="str">
            <v>10h20 ngày 3 tháng 12 năm 2015</v>
          </cell>
          <cell r="L15" t="str">
            <v>14h10</v>
          </cell>
          <cell r="M15" t="str">
            <v>16h10</v>
          </cell>
          <cell r="N15">
            <v>3</v>
          </cell>
          <cell r="O15">
            <v>12</v>
          </cell>
          <cell r="P15">
            <v>2015</v>
          </cell>
          <cell r="Q15" t="str">
            <v>Hà Nội, ngày 3 tháng 12 năm 2015</v>
          </cell>
          <cell r="R15" t="str">
            <v>14h10 ngày 3 tháng 12 năm 2015</v>
          </cell>
          <cell r="S15" t="str">
            <v>16h10 ngày 3 tháng 12 năm 2015</v>
          </cell>
          <cell r="T15" t="str">
            <v>14h10</v>
          </cell>
          <cell r="U15" t="str">
            <v>14h10 Ngày 3/12/2015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3 Tháng 12 Năm 2015</v>
          </cell>
        </row>
        <row r="16">
          <cell r="A16" t="str">
            <v>SON-05</v>
          </cell>
          <cell r="B16" t="str">
            <v xml:space="preserve">Vật liệu sơn Epoxy: Jotafloorsealer; Jotafloor Topcoat mã Jotun 071 kèm theo biên bản giao nhận hàng hóa ngày 03/12/2015 </v>
          </cell>
          <cell r="C16" t="str">
            <v>SON-05</v>
          </cell>
          <cell r="D16" t="str">
            <v>8h35</v>
          </cell>
          <cell r="E16" t="str">
            <v>10h35</v>
          </cell>
          <cell r="F16">
            <v>3</v>
          </cell>
          <cell r="G16">
            <v>12</v>
          </cell>
          <cell r="H16">
            <v>2015</v>
          </cell>
          <cell r="I16" t="str">
            <v>Hà Nội, ngày 3 tháng 12 năm 2015</v>
          </cell>
          <cell r="J16" t="str">
            <v>8h35 ngày 3 tháng 12 năm 2015</v>
          </cell>
          <cell r="K16" t="str">
            <v>10h35 ngày 3 tháng 12 năm 2015</v>
          </cell>
          <cell r="L16" t="str">
            <v>14h30</v>
          </cell>
          <cell r="M16" t="str">
            <v>16h30</v>
          </cell>
          <cell r="N16">
            <v>3</v>
          </cell>
          <cell r="O16">
            <v>12</v>
          </cell>
          <cell r="P16">
            <v>2015</v>
          </cell>
          <cell r="Q16" t="str">
            <v>Hà Nội, ngày 3 tháng 12 năm 2015</v>
          </cell>
          <cell r="R16" t="str">
            <v>14h30 ngày 3 tháng 12 năm 2015</v>
          </cell>
          <cell r="S16" t="str">
            <v>16h30 ngày 3 tháng 12 năm 2015</v>
          </cell>
          <cell r="T16" t="str">
            <v>14h30</v>
          </cell>
          <cell r="U16" t="str">
            <v>14h30 Ngày 3/12/2015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3 Tháng 12 Năm 2015</v>
          </cell>
        </row>
        <row r="17">
          <cell r="A17" t="str">
            <v>SON-06</v>
          </cell>
          <cell r="B17" t="str">
            <v xml:space="preserve">Vật liệu sơn: Jotatough Hishiel White; Jotatough Hishiel 4457; Jotatough Hishiel 4629; Jotaplast 1356 S0505- Y; Jotaplast trắng; Jotasealer 03 kèm theo biên bản giao nhận hàng hóa ngày 04/12/2015 </v>
          </cell>
          <cell r="C17" t="str">
            <v>SON-06</v>
          </cell>
          <cell r="D17" t="str">
            <v>9h00</v>
          </cell>
          <cell r="E17" t="str">
            <v>11h00</v>
          </cell>
          <cell r="F17">
            <v>5</v>
          </cell>
          <cell r="G17">
            <v>12</v>
          </cell>
          <cell r="H17">
            <v>2015</v>
          </cell>
          <cell r="I17" t="str">
            <v>Hà Nội, ngày 5 tháng 12 năm 2015</v>
          </cell>
          <cell r="J17" t="str">
            <v>9h00 ngày 5 tháng 12 năm 2015</v>
          </cell>
          <cell r="K17" t="str">
            <v>11h00 ngày 5 tháng 12 năm 2015</v>
          </cell>
          <cell r="L17" t="str">
            <v>14h00</v>
          </cell>
          <cell r="M17" t="str">
            <v>16h00</v>
          </cell>
          <cell r="N17">
            <v>5</v>
          </cell>
          <cell r="O17">
            <v>12</v>
          </cell>
          <cell r="P17">
            <v>2015</v>
          </cell>
          <cell r="Q17" t="str">
            <v>Hà Nội, ngày 5 tháng 12 năm 2015</v>
          </cell>
          <cell r="R17" t="str">
            <v>14h00 ngày 5 tháng 12 năm 2015</v>
          </cell>
          <cell r="S17" t="str">
            <v>16h00 ngày 5 tháng 12 năm 2015</v>
          </cell>
          <cell r="T17" t="str">
            <v>14h00</v>
          </cell>
          <cell r="U17" t="str">
            <v>14h00 Ngày 5/12/2015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5 Tháng 12 Năm 2015</v>
          </cell>
        </row>
        <row r="18">
          <cell r="A18" t="str">
            <v>SON-07</v>
          </cell>
          <cell r="C18" t="str">
            <v>SON-07</v>
          </cell>
          <cell r="D18" t="str">
            <v>…..</v>
          </cell>
          <cell r="E18" t="str">
            <v>…..</v>
          </cell>
          <cell r="F18" t="str">
            <v>…..</v>
          </cell>
          <cell r="G18" t="str">
            <v>…..</v>
          </cell>
          <cell r="H18">
            <v>2015</v>
          </cell>
          <cell r="I18" t="str">
            <v>Hà Nội, ngày ….. tháng ….. năm 2015</v>
          </cell>
          <cell r="J18" t="str">
            <v>….. ngày ….. tháng ….. năm 2015</v>
          </cell>
          <cell r="K18" t="str">
            <v>….. ngày ….. tháng ….. năm 2015</v>
          </cell>
          <cell r="L18" t="str">
            <v>…..</v>
          </cell>
          <cell r="M18" t="str">
            <v>…..</v>
          </cell>
          <cell r="N18" t="str">
            <v>…..</v>
          </cell>
          <cell r="O18" t="str">
            <v>…..</v>
          </cell>
          <cell r="P18">
            <v>2015</v>
          </cell>
          <cell r="Q18" t="str">
            <v>Hà Nội, ngày ….. tháng ….. năm 2015</v>
          </cell>
          <cell r="R18" t="str">
            <v>….. ngày ….. tháng ….. năm 2015</v>
          </cell>
          <cell r="S18" t="str">
            <v>….. ngày ….. tháng ….. năm 2015</v>
          </cell>
          <cell r="T18" t="str">
            <v>…..</v>
          </cell>
          <cell r="U18" t="str">
            <v>…..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t="str">
            <v>SON-08</v>
          </cell>
          <cell r="C19" t="str">
            <v>SON-08</v>
          </cell>
          <cell r="D19" t="str">
            <v>…..</v>
          </cell>
          <cell r="E19" t="str">
            <v>…..</v>
          </cell>
          <cell r="F19" t="str">
            <v>…..</v>
          </cell>
          <cell r="G19" t="str">
            <v>…..</v>
          </cell>
          <cell r="H19">
            <v>2015</v>
          </cell>
          <cell r="I19" t="str">
            <v>Hà Nội, ngày ….. tháng ….. năm 2015</v>
          </cell>
          <cell r="J19" t="str">
            <v>….. ngày ….. tháng ….. năm 2015</v>
          </cell>
          <cell r="K19" t="str">
            <v>….. ngày ….. tháng ….. năm 2015</v>
          </cell>
          <cell r="L19" t="str">
            <v>…..</v>
          </cell>
          <cell r="M19" t="str">
            <v>…..</v>
          </cell>
          <cell r="N19" t="str">
            <v>…..</v>
          </cell>
          <cell r="O19" t="str">
            <v>…..</v>
          </cell>
          <cell r="P19">
            <v>2015</v>
          </cell>
          <cell r="Q19" t="str">
            <v>Hà Nội, ngày ….. tháng ….. năm 2015</v>
          </cell>
          <cell r="R19" t="str">
            <v>….. ngày ….. tháng ….. năm 2015</v>
          </cell>
          <cell r="S19" t="str">
            <v>….. ngày ….. tháng ….. năm 2015</v>
          </cell>
          <cell r="T19" t="str">
            <v>…..</v>
          </cell>
          <cell r="U19" t="str">
            <v>…..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t="str">
            <v>SON-09</v>
          </cell>
          <cell r="C20" t="str">
            <v>SON-09</v>
          </cell>
          <cell r="D20" t="str">
            <v>…..</v>
          </cell>
          <cell r="E20" t="str">
            <v>…..</v>
          </cell>
          <cell r="F20" t="str">
            <v>…..</v>
          </cell>
          <cell r="G20" t="str">
            <v>…..</v>
          </cell>
          <cell r="H20">
            <v>2015</v>
          </cell>
          <cell r="I20" t="str">
            <v>Hà Nội, ngày ….. tháng ….. năm 2015</v>
          </cell>
          <cell r="J20" t="str">
            <v>….. ngày ….. tháng ….. năm 2015</v>
          </cell>
          <cell r="K20" t="str">
            <v>….. ngày ….. tháng ….. năm 2015</v>
          </cell>
          <cell r="L20" t="str">
            <v>…..</v>
          </cell>
          <cell r="M20" t="str">
            <v>…..</v>
          </cell>
          <cell r="N20" t="str">
            <v>…..</v>
          </cell>
          <cell r="O20" t="str">
            <v>…..</v>
          </cell>
          <cell r="P20">
            <v>2015</v>
          </cell>
          <cell r="Q20" t="str">
            <v>Hà Nội, ngày ….. tháng ….. năm 2015</v>
          </cell>
          <cell r="R20" t="str">
            <v>….. ngày ….. tháng ….. năm 2015</v>
          </cell>
          <cell r="S20" t="str">
            <v>….. ngày ….. tháng ….. năm 2015</v>
          </cell>
          <cell r="T20" t="str">
            <v>…..</v>
          </cell>
          <cell r="U20" t="str">
            <v>…..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v>
          </cell>
          <cell r="M21" t="str">
            <v>…..</v>
          </cell>
          <cell r="N21" t="str">
            <v>…..</v>
          </cell>
          <cell r="O21" t="str">
            <v>…..</v>
          </cell>
          <cell r="P21">
            <v>2015</v>
          </cell>
          <cell r="Q21" t="str">
            <v>Hà Nội, ngày ….. tháng ….. năm 2015</v>
          </cell>
          <cell r="R21" t="str">
            <v>….. ngày ….. tháng ….. năm 2015</v>
          </cell>
          <cell r="S21" t="str">
            <v>….. ngày ….. tháng ….. năm 2015</v>
          </cell>
          <cell r="T21" t="str">
            <v>…..</v>
          </cell>
          <cell r="U21" t="str">
            <v>…..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A22">
            <v>0</v>
          </cell>
          <cell r="D22" t="str">
            <v>…..</v>
          </cell>
          <cell r="E22" t="str">
            <v>…..</v>
          </cell>
          <cell r="F22" t="str">
            <v>…..</v>
          </cell>
          <cell r="G22" t="str">
            <v>…..</v>
          </cell>
          <cell r="H22">
            <v>2015</v>
          </cell>
          <cell r="I22" t="str">
            <v>Hà Nội, ngày ….. tháng ….. năm 2015</v>
          </cell>
          <cell r="J22" t="str">
            <v>….. ngày ….. tháng ….. năm 2015</v>
          </cell>
          <cell r="K22" t="str">
            <v>….. ngày ….. tháng ….. năm 2015</v>
          </cell>
          <cell r="L22" t="str">
            <v>…..</v>
          </cell>
          <cell r="M22" t="str">
            <v>…..</v>
          </cell>
          <cell r="N22" t="str">
            <v>…..</v>
          </cell>
          <cell r="O22" t="str">
            <v>…..</v>
          </cell>
          <cell r="P22">
            <v>2015</v>
          </cell>
          <cell r="Q22" t="str">
            <v>Hà Nội, ngày ….. tháng ….. năm 2015</v>
          </cell>
          <cell r="R22" t="str">
            <v>….. ngày ….. tháng ….. năm 2015</v>
          </cell>
          <cell r="S22" t="str">
            <v>….. ngày ….. tháng ….. năm 2015</v>
          </cell>
          <cell r="T22" t="str">
            <v>…..</v>
          </cell>
          <cell r="U22" t="str">
            <v>…..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2015</v>
          </cell>
        </row>
        <row r="23">
          <cell r="A23">
            <v>0</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2015</v>
          </cell>
        </row>
        <row r="24">
          <cell r="A24">
            <v>0</v>
          </cell>
          <cell r="D24" t="str">
            <v>…..</v>
          </cell>
          <cell r="E24" t="str">
            <v>…..</v>
          </cell>
          <cell r="F24" t="str">
            <v>…..</v>
          </cell>
          <cell r="G24" t="str">
            <v>…..</v>
          </cell>
          <cell r="H24">
            <v>2015</v>
          </cell>
          <cell r="I24" t="str">
            <v>Hà Nội, ngày ….. tháng ….. năm 2015</v>
          </cell>
          <cell r="J24" t="str">
            <v>….. ngày ….. tháng ….. năm 2015</v>
          </cell>
          <cell r="K24" t="str">
            <v>….. ngày ….. tháng ….. năm 2015</v>
          </cell>
          <cell r="L24" t="str">
            <v>……</v>
          </cell>
          <cell r="M24" t="str">
            <v>……</v>
          </cell>
          <cell r="N24" t="str">
            <v>…..</v>
          </cell>
          <cell r="O24" t="str">
            <v>…..</v>
          </cell>
          <cell r="P24">
            <v>2015</v>
          </cell>
          <cell r="Q24" t="str">
            <v>Hà Nội, ngày ….. tháng ….. năm 2015</v>
          </cell>
          <cell r="R24" t="str">
            <v>…… ngày ….. tháng ….. năm 2015</v>
          </cell>
          <cell r="S24" t="str">
            <v>…… ngày ….. tháng ….. năm 2015</v>
          </cell>
          <cell r="T24" t="str">
            <v>……</v>
          </cell>
          <cell r="U24" t="str">
            <v>……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2015</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v>
          </cell>
        </row>
        <row r="35">
          <cell r="A35">
            <v>1</v>
          </cell>
          <cell r="B35">
            <v>2</v>
          </cell>
          <cell r="C35">
            <v>3</v>
          </cell>
          <cell r="D35">
            <v>4</v>
          </cell>
          <cell r="E35">
            <v>5</v>
          </cell>
          <cell r="F35">
            <v>6</v>
          </cell>
          <cell r="G35">
            <v>7</v>
          </cell>
          <cell r="H35">
            <v>8</v>
          </cell>
          <cell r="I35">
            <v>9</v>
          </cell>
          <cell r="J35">
            <v>10</v>
          </cell>
          <cell r="K35">
            <v>11</v>
          </cell>
          <cell r="L35">
            <v>12</v>
          </cell>
          <cell r="M35">
            <v>13</v>
          </cell>
          <cell r="N35">
            <v>14</v>
          </cell>
          <cell r="O35">
            <v>15</v>
          </cell>
          <cell r="P35">
            <v>16</v>
          </cell>
          <cell r="Q35">
            <v>17</v>
          </cell>
          <cell r="R35">
            <v>18</v>
          </cell>
          <cell r="S35">
            <v>19</v>
          </cell>
          <cell r="T35">
            <v>20</v>
          </cell>
          <cell r="U35">
            <v>21</v>
          </cell>
          <cell r="V35">
            <v>22</v>
          </cell>
          <cell r="W35">
            <v>23</v>
          </cell>
          <cell r="X35">
            <v>24</v>
          </cell>
          <cell r="Y35">
            <v>25</v>
          </cell>
          <cell r="Z35">
            <v>26</v>
          </cell>
          <cell r="AA35">
            <v>27</v>
          </cell>
          <cell r="AB35">
            <v>28</v>
          </cell>
          <cell r="AC35">
            <v>29</v>
          </cell>
          <cell r="AD35">
            <v>30</v>
          </cell>
          <cell r="AE35">
            <v>31</v>
          </cell>
          <cell r="AF35">
            <v>32</v>
          </cell>
          <cell r="AG35">
            <v>33</v>
          </cell>
          <cell r="AH35">
            <v>34</v>
          </cell>
          <cell r="AI35">
            <v>35</v>
          </cell>
          <cell r="AJ35">
            <v>36</v>
          </cell>
          <cell r="AK35">
            <v>37</v>
          </cell>
          <cell r="AL35">
            <v>38</v>
          </cell>
          <cell r="AM35">
            <v>39</v>
          </cell>
          <cell r="AN35">
            <v>40</v>
          </cell>
          <cell r="AO35">
            <v>41</v>
          </cell>
          <cell r="AP35">
            <v>42</v>
          </cell>
          <cell r="AQ35">
            <v>43</v>
          </cell>
        </row>
      </sheetData>
      <sheetData sheetId="176"/>
      <sheetData sheetId="177">
        <row r="1">
          <cell r="A1" t="str">
            <v>CÔNG TY CP HỒNG HÀ VIỆT NAM</v>
          </cell>
          <cell r="C1" t="str">
            <v>CỘNG HÒA XÃ HỘI CHỦ NGHĨA VIỆT NAM</v>
          </cell>
        </row>
        <row r="2">
          <cell r="C2" t="str">
            <v>ĐỘC LẬP-TỰ DO -HẠNH PHÚC</v>
          </cell>
        </row>
        <row r="4">
          <cell r="A4" t="str">
            <v>LAN CAN</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LC-01</v>
          </cell>
          <cell r="B10" t="str">
            <v>Công tác gia công, lắp dựng lan can lô gia tầng 3 đến hết tầng 6</v>
          </cell>
          <cell r="C10" t="str">
            <v>LC-01</v>
          </cell>
          <cell r="D10" t="str">
            <v>…h…</v>
          </cell>
          <cell r="E10" t="str">
            <v>…h…</v>
          </cell>
          <cell r="F10">
            <v>5</v>
          </cell>
          <cell r="G10">
            <v>9</v>
          </cell>
          <cell r="H10">
            <v>2015</v>
          </cell>
          <cell r="I10" t="str">
            <v>Hà Nội, ngày 5 tháng 9 năm 2015</v>
          </cell>
          <cell r="J10" t="str">
            <v>…h… ngày 5 tháng 9 năm 2015</v>
          </cell>
          <cell r="K10" t="str">
            <v>…h… ngày 5 tháng 9 năm 2015</v>
          </cell>
          <cell r="L10" t="str">
            <v>…h…</v>
          </cell>
          <cell r="M10">
            <v>5</v>
          </cell>
          <cell r="N10">
            <v>5</v>
          </cell>
          <cell r="O10">
            <v>9</v>
          </cell>
          <cell r="P10">
            <v>2015</v>
          </cell>
          <cell r="Q10" t="str">
            <v>Hà Nội, ngày 5 tháng 9 năm 2015</v>
          </cell>
          <cell r="R10" t="str">
            <v>…h… ngày 5 tháng 9 năm 2015</v>
          </cell>
          <cell r="S10" t="str">
            <v>5 ngày 5 tháng 9 năm 2015</v>
          </cell>
          <cell r="T10" t="str">
            <v>…h…</v>
          </cell>
          <cell r="U10" t="str">
            <v>…h… Ngày 5/9/2015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KT-318</v>
          </cell>
          <cell r="AQ10" t="str">
            <v>Ngày 5 Tháng 9 Năm 2015</v>
          </cell>
        </row>
        <row r="11">
          <cell r="A11" t="str">
            <v>LC-02</v>
          </cell>
          <cell r="B11" t="str">
            <v>Công tác gia công, lắp dựng lan can lô gia căn hộ tầng 07, 08, 09, 10, 11</v>
          </cell>
          <cell r="C11" t="str">
            <v>LC-02</v>
          </cell>
          <cell r="D11" t="str">
            <v>8h00</v>
          </cell>
          <cell r="E11" t="str">
            <v>9h30</v>
          </cell>
          <cell r="F11">
            <v>21</v>
          </cell>
          <cell r="G11">
            <v>10</v>
          </cell>
          <cell r="H11">
            <v>2015</v>
          </cell>
          <cell r="I11" t="str">
            <v>Hà Nội, ngày 21 tháng 10 năm 2015</v>
          </cell>
          <cell r="J11" t="str">
            <v>8h00 ngày 21 tháng 10 năm 2015</v>
          </cell>
          <cell r="K11" t="str">
            <v>9h30 ngày 21 tháng 10 năm 2015</v>
          </cell>
          <cell r="L11" t="str">
            <v>10h00</v>
          </cell>
          <cell r="M11" t="str">
            <v>11h30</v>
          </cell>
          <cell r="N11">
            <v>21</v>
          </cell>
          <cell r="O11">
            <v>10</v>
          </cell>
          <cell r="P11">
            <v>2015</v>
          </cell>
          <cell r="Q11" t="str">
            <v>Hà Nội, ngày 21 tháng 10 năm 2015</v>
          </cell>
          <cell r="R11" t="str">
            <v>10h00 ngày 21 tháng 10 năm 2015</v>
          </cell>
          <cell r="S11" t="str">
            <v>11h30 ngày 21 tháng 10 năm 2015</v>
          </cell>
          <cell r="T11" t="str">
            <v>10h00</v>
          </cell>
          <cell r="U11" t="str">
            <v>10h00 Ngày 21/10/2015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KT-318</v>
          </cell>
          <cell r="AQ11" t="str">
            <v>Ngày 21 Tháng 10 Năm 2015</v>
          </cell>
        </row>
        <row r="12">
          <cell r="A12" t="str">
            <v>LCCT-01</v>
          </cell>
          <cell r="B12" t="str">
            <v>Gia công, lắp dựng lan can, tay vịn cầu thang bộ LT, TB tầng 01, 02, 03, 04, 05, 06</v>
          </cell>
          <cell r="C12" t="str">
            <v>LCCT-01</v>
          </cell>
          <cell r="D12" t="str">
            <v>8h30</v>
          </cell>
          <cell r="E12" t="str">
            <v>10h00</v>
          </cell>
          <cell r="F12">
            <v>10</v>
          </cell>
          <cell r="G12">
            <v>11</v>
          </cell>
          <cell r="H12">
            <v>2015</v>
          </cell>
          <cell r="I12" t="str">
            <v>Hà Nội, ngày 10 tháng 11 năm 2015</v>
          </cell>
          <cell r="J12" t="str">
            <v>8h30 ngày 10 tháng 11 năm 2015</v>
          </cell>
          <cell r="K12" t="str">
            <v>10h00 ngày 10 tháng 11 năm 2015</v>
          </cell>
          <cell r="L12" t="str">
            <v>14h00</v>
          </cell>
          <cell r="M12" t="str">
            <v>15h30</v>
          </cell>
          <cell r="N12">
            <v>10</v>
          </cell>
          <cell r="O12">
            <v>11</v>
          </cell>
          <cell r="P12">
            <v>2015</v>
          </cell>
          <cell r="Q12" t="str">
            <v>Hà Nội, ngày 10 tháng 11 năm 2015</v>
          </cell>
          <cell r="R12" t="str">
            <v>14h00 ngày 10 tháng 11 năm 2015</v>
          </cell>
          <cell r="S12" t="str">
            <v>15h30 ngày 10 tháng 11 năm 2015</v>
          </cell>
          <cell r="T12" t="str">
            <v>14h00</v>
          </cell>
          <cell r="U12" t="str">
            <v>14h00 Ngày 10/11/2015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KT-201÷KT-203</v>
          </cell>
          <cell r="AQ12" t="str">
            <v>Ngày 10 Tháng 11 Năm 2015</v>
          </cell>
        </row>
        <row r="13">
          <cell r="A13" t="str">
            <v>LCCT-02</v>
          </cell>
          <cell r="B13" t="str">
            <v>Gia công, lắp dựng lan can, tay vịn cầu thang bộ LT, TB tầng 07, 08, 09, 10, 11</v>
          </cell>
          <cell r="C13" t="str">
            <v>LCCT-02</v>
          </cell>
          <cell r="D13" t="str">
            <v>8h15</v>
          </cell>
          <cell r="E13" t="str">
            <v>10h15</v>
          </cell>
          <cell r="F13">
            <v>30</v>
          </cell>
          <cell r="G13">
            <v>11</v>
          </cell>
          <cell r="H13">
            <v>2015</v>
          </cell>
          <cell r="I13" t="str">
            <v>Hà Nội, ngày 30 tháng 11 năm 2015</v>
          </cell>
          <cell r="J13" t="str">
            <v>8h15 ngày 30 tháng 11 năm 2015</v>
          </cell>
          <cell r="K13" t="str">
            <v>10h15 ngày 30 tháng 11 năm 2015</v>
          </cell>
          <cell r="L13" t="str">
            <v>14h30</v>
          </cell>
          <cell r="M13" t="str">
            <v>16h30</v>
          </cell>
          <cell r="N13">
            <v>30</v>
          </cell>
          <cell r="O13">
            <v>11</v>
          </cell>
          <cell r="P13">
            <v>2015</v>
          </cell>
          <cell r="Q13" t="str">
            <v>Hà Nội, ngày 30 tháng 11 năm 2015</v>
          </cell>
          <cell r="R13" t="str">
            <v>14h30 ngày 30 tháng 11 năm 2015</v>
          </cell>
          <cell r="S13" t="str">
            <v>16h30 ngày 30 tháng 11 năm 2015</v>
          </cell>
          <cell r="T13" t="str">
            <v>14h30</v>
          </cell>
          <cell r="U13" t="str">
            <v>14h30 Ngày 30/11/2015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KT-201÷KT-203</v>
          </cell>
          <cell r="AQ13" t="str">
            <v>Ngày 30 Tháng 11 Năm 2015</v>
          </cell>
        </row>
        <row r="14">
          <cell r="A14" t="str">
            <v>LC-03</v>
          </cell>
          <cell r="B14" t="str">
            <v>Công tác gia công, lắp dựng chớp tôn lô gia căn hộ tầng 03, 04, 05, 06, 07, 08, 09, 10, 11</v>
          </cell>
          <cell r="C14" t="str">
            <v>LC-03</v>
          </cell>
          <cell r="D14" t="str">
            <v>8h00</v>
          </cell>
          <cell r="E14" t="str">
            <v>9h30</v>
          </cell>
          <cell r="F14">
            <v>28</v>
          </cell>
          <cell r="G14">
            <v>11</v>
          </cell>
          <cell r="H14">
            <v>2015</v>
          </cell>
          <cell r="I14" t="str">
            <v>Hà Nội, ngày 28 tháng 11 năm 2015</v>
          </cell>
          <cell r="J14" t="str">
            <v>8h00 ngày 28 tháng 11 năm 2015</v>
          </cell>
          <cell r="K14" t="str">
            <v>9h30 ngày 28 tháng 11 năm 2015</v>
          </cell>
          <cell r="L14" t="str">
            <v>14h00</v>
          </cell>
          <cell r="M14" t="str">
            <v>15h30</v>
          </cell>
          <cell r="N14">
            <v>28</v>
          </cell>
          <cell r="O14">
            <v>11</v>
          </cell>
          <cell r="P14">
            <v>2015</v>
          </cell>
          <cell r="Q14" t="str">
            <v>Hà Nội, ngày 28 tháng 11 năm 2015</v>
          </cell>
          <cell r="R14" t="str">
            <v>14h00 ngày 28 tháng 11 năm 2015</v>
          </cell>
          <cell r="S14" t="str">
            <v>15h30 ngày 28 tháng 11 năm 2015</v>
          </cell>
          <cell r="T14" t="str">
            <v>14h00</v>
          </cell>
          <cell r="U14" t="str">
            <v>14h00 Ngày 28/11/2015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KT-318</v>
          </cell>
          <cell r="AQ14" t="str">
            <v>Ngày 28 Tháng 11 Năm 2015</v>
          </cell>
        </row>
        <row r="15">
          <cell r="A15" t="str">
            <v>LCCT-03</v>
          </cell>
          <cell r="B15" t="str">
            <v>Công tác gia công, lắp dựng lưới chắn côn trùng hộp kỹ thuật tầng áp mái, tầng mái</v>
          </cell>
          <cell r="C15" t="str">
            <v>LCCT-03</v>
          </cell>
          <cell r="D15" t="str">
            <v>8h00</v>
          </cell>
          <cell r="E15" t="str">
            <v>8h30</v>
          </cell>
          <cell r="F15">
            <v>22</v>
          </cell>
          <cell r="G15">
            <v>11</v>
          </cell>
          <cell r="H15">
            <v>2015</v>
          </cell>
          <cell r="I15" t="str">
            <v>Hà Nội, ngày 22 tháng 11 năm 2015</v>
          </cell>
          <cell r="J15" t="str">
            <v>8h00 ngày 22 tháng 11 năm 2015</v>
          </cell>
          <cell r="K15" t="str">
            <v>8h30 ngày 22 tháng 11 năm 2015</v>
          </cell>
          <cell r="L15" t="str">
            <v>9h00</v>
          </cell>
          <cell r="M15" t="str">
            <v>9h30</v>
          </cell>
          <cell r="N15">
            <v>22</v>
          </cell>
          <cell r="O15">
            <v>11</v>
          </cell>
          <cell r="P15">
            <v>2015</v>
          </cell>
          <cell r="Q15" t="str">
            <v>Hà Nội, ngày 22 tháng 11 năm 2015</v>
          </cell>
          <cell r="R15" t="str">
            <v>9h00 ngày 22 tháng 11 năm 2015</v>
          </cell>
          <cell r="S15" t="str">
            <v>9h30 ngày 22 tháng 11 năm 2015</v>
          </cell>
          <cell r="T15" t="str">
            <v>9h00</v>
          </cell>
          <cell r="U15" t="str">
            <v>9h00 Ngày 22/11/2015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KC-BS-03</v>
          </cell>
          <cell r="AQ15" t="str">
            <v>Ngày 22 Tháng 11 Năm 2015</v>
          </cell>
        </row>
        <row r="16">
          <cell r="A16" t="str">
            <v>LCDD-01</v>
          </cell>
          <cell r="B16" t="str">
            <v>Gia công, lắp dựng lan can, tay vịn đường dốc DD1, DD2, DD3</v>
          </cell>
          <cell r="C16" t="str">
            <v>LCDD-01</v>
          </cell>
          <cell r="D16" t="str">
            <v>8h30</v>
          </cell>
          <cell r="E16" t="str">
            <v>9h15</v>
          </cell>
          <cell r="F16">
            <v>2</v>
          </cell>
          <cell r="G16">
            <v>12</v>
          </cell>
          <cell r="H16">
            <v>2015</v>
          </cell>
          <cell r="I16" t="str">
            <v>Hà Nội, ngày 2 tháng 12 năm 2015</v>
          </cell>
          <cell r="J16" t="str">
            <v>8h30 ngày 2 tháng 12 năm 2015</v>
          </cell>
          <cell r="K16" t="str">
            <v>9h15 ngày 2 tháng 12 năm 2015</v>
          </cell>
          <cell r="L16" t="str">
            <v>9h30</v>
          </cell>
          <cell r="M16" t="str">
            <v>10h15</v>
          </cell>
          <cell r="N16">
            <v>2</v>
          </cell>
          <cell r="O16">
            <v>12</v>
          </cell>
          <cell r="P16">
            <v>2015</v>
          </cell>
          <cell r="Q16" t="str">
            <v>Hà Nội, ngày 2 tháng 12 năm 2015</v>
          </cell>
          <cell r="R16" t="str">
            <v>9h30 ngày 2 tháng 12 năm 2015</v>
          </cell>
          <cell r="S16" t="str">
            <v>10h15 ngày 2 tháng 12 năm 2015</v>
          </cell>
          <cell r="T16" t="str">
            <v>9h30</v>
          </cell>
          <cell r="U16" t="str">
            <v>9h30 Ngày 2/12/2015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KT-316; KT-317</v>
          </cell>
          <cell r="AQ16" t="str">
            <v>Ngày 2 Tháng 12 Năm 2015</v>
          </cell>
        </row>
        <row r="17">
          <cell r="A17" t="str">
            <v>LGLCT2-01</v>
          </cell>
          <cell r="B17" t="str">
            <v>Gia công, lắp dựng lan can hành lang nhà để xe tầng 02</v>
          </cell>
          <cell r="C17" t="str">
            <v>LGLCT2-01</v>
          </cell>
          <cell r="D17" t="str">
            <v>9h00</v>
          </cell>
          <cell r="E17" t="str">
            <v>10h00</v>
          </cell>
          <cell r="F17">
            <v>25</v>
          </cell>
          <cell r="G17">
            <v>11</v>
          </cell>
          <cell r="H17">
            <v>2015</v>
          </cell>
          <cell r="I17" t="str">
            <v>Hà Nội, ngày 25 tháng 11 năm 2015</v>
          </cell>
          <cell r="J17" t="str">
            <v>9h00 ngày 25 tháng 11 năm 2015</v>
          </cell>
          <cell r="K17" t="str">
            <v>10h00 ngày 25 tháng 11 năm 2015</v>
          </cell>
          <cell r="L17" t="str">
            <v>10h30</v>
          </cell>
          <cell r="M17" t="str">
            <v>11h30</v>
          </cell>
          <cell r="N17">
            <v>25</v>
          </cell>
          <cell r="O17">
            <v>11</v>
          </cell>
          <cell r="P17">
            <v>2015</v>
          </cell>
          <cell r="Q17" t="str">
            <v>Hà Nội, ngày 25 tháng 11 năm 2015</v>
          </cell>
          <cell r="R17" t="str">
            <v>10h30 ngày 25 tháng 11 năm 2015</v>
          </cell>
          <cell r="S17" t="str">
            <v>11h30 ngày 25 tháng 11 năm 2015</v>
          </cell>
          <cell r="T17" t="str">
            <v>10h30</v>
          </cell>
          <cell r="U17" t="str">
            <v>10h30 Ngày 25/11/2015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KT-319DC, KT.CT6-319ADC</v>
          </cell>
          <cell r="AQ17" t="str">
            <v>Ngày 25 Tháng 11 Năm 2015</v>
          </cell>
        </row>
        <row r="18">
          <cell r="A18">
            <v>0</v>
          </cell>
          <cell r="D18" t="str">
            <v>14h00</v>
          </cell>
          <cell r="E18" t="str">
            <v>14h45</v>
          </cell>
          <cell r="F18" t="str">
            <v>……</v>
          </cell>
          <cell r="G18" t="str">
            <v>……</v>
          </cell>
          <cell r="H18">
            <v>2015</v>
          </cell>
          <cell r="I18" t="str">
            <v>Hà Nội, ngày …… tháng …… năm 2015</v>
          </cell>
          <cell r="J18" t="str">
            <v>14h00 ngày …… tháng …… năm 2015</v>
          </cell>
          <cell r="K18" t="str">
            <v>14h45 ngày …… tháng …… năm 2015</v>
          </cell>
          <cell r="L18" t="str">
            <v>14h45</v>
          </cell>
          <cell r="M18" t="str">
            <v>15h30</v>
          </cell>
          <cell r="N18" t="str">
            <v>……</v>
          </cell>
          <cell r="O18" t="str">
            <v>……</v>
          </cell>
          <cell r="P18">
            <v>2015</v>
          </cell>
          <cell r="Q18" t="str">
            <v>Hà Nội, ngày …… tháng …… năm 2015</v>
          </cell>
          <cell r="R18" t="str">
            <v>14h45 ngày …… tháng …… năm 2015</v>
          </cell>
          <cell r="S18" t="str">
            <v>15h30 ngày …… tháng …… năm 2015</v>
          </cell>
          <cell r="T18" t="str">
            <v>14h45</v>
          </cell>
          <cell r="U18" t="str">
            <v>14h45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t="str">
            <v>CTHL-01</v>
          </cell>
          <cell r="B19" t="str">
            <v>Gia công, lắp dựng chớp tôn hành lang nhà để xe tầng 2</v>
          </cell>
          <cell r="C19" t="str">
            <v>CTHL-01</v>
          </cell>
          <cell r="D19" t="str">
            <v>14h00</v>
          </cell>
          <cell r="E19" t="str">
            <v>15h00</v>
          </cell>
          <cell r="F19">
            <v>7</v>
          </cell>
          <cell r="G19">
            <v>12</v>
          </cell>
          <cell r="H19">
            <v>2015</v>
          </cell>
          <cell r="I19" t="str">
            <v>Hà Nội, ngày 7 tháng 12 năm 2015</v>
          </cell>
          <cell r="J19" t="str">
            <v>14h00 ngày 7 tháng 12 năm 2015</v>
          </cell>
          <cell r="K19" t="str">
            <v>15h00 ngày 7 tháng 12 năm 2015</v>
          </cell>
          <cell r="L19" t="str">
            <v>15h30</v>
          </cell>
          <cell r="M19" t="str">
            <v>16h30</v>
          </cell>
          <cell r="N19">
            <v>7</v>
          </cell>
          <cell r="O19">
            <v>12</v>
          </cell>
          <cell r="P19">
            <v>2015</v>
          </cell>
          <cell r="Q19" t="str">
            <v>Hà Nội, ngày 7 tháng 12 năm 2015</v>
          </cell>
          <cell r="R19" t="str">
            <v>15h30 ngày 7 tháng 12 năm 2015</v>
          </cell>
          <cell r="S19" t="str">
            <v>16h30 ngày 7 tháng 12 năm 2015</v>
          </cell>
          <cell r="T19" t="str">
            <v>15h30</v>
          </cell>
          <cell r="U19" t="str">
            <v>15h30 Ngày 7/12/2015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KT.CT6-BSCC-01; KT.CT6-BSCC-02</v>
          </cell>
          <cell r="AQ19" t="str">
            <v>Ngày 7 Tháng 12 Năm 2015</v>
          </cell>
        </row>
        <row r="20">
          <cell r="A20" t="str">
            <v>CCT-01</v>
          </cell>
          <cell r="B20" t="str">
            <v>Sản xuất, lắp dựng cửa chớp tôn thang TB1, TB2 tầng: 01, 02, 03, 04, 05, 06, 07, 08, 09, 10, 11, áp mái</v>
          </cell>
          <cell r="C20" t="str">
            <v>CCT-01</v>
          </cell>
          <cell r="D20" t="str">
            <v>14h00</v>
          </cell>
          <cell r="E20" t="str">
            <v>15h00</v>
          </cell>
          <cell r="F20">
            <v>4</v>
          </cell>
          <cell r="G20">
            <v>12</v>
          </cell>
          <cell r="H20">
            <v>2015</v>
          </cell>
          <cell r="I20" t="str">
            <v>Hà Nội, ngày 4 tháng 12 năm 2015</v>
          </cell>
          <cell r="J20" t="str">
            <v>14h00 ngày 4 tháng 12 năm 2015</v>
          </cell>
          <cell r="K20" t="str">
            <v>15h00 ngày 4 tháng 12 năm 2015</v>
          </cell>
          <cell r="L20" t="str">
            <v>15h30</v>
          </cell>
          <cell r="M20" t="str">
            <v>16h30</v>
          </cell>
          <cell r="N20">
            <v>4</v>
          </cell>
          <cell r="O20">
            <v>12</v>
          </cell>
          <cell r="P20">
            <v>2015</v>
          </cell>
          <cell r="Q20" t="str">
            <v>Hà Nội, ngày 4 tháng 12 năm 2015</v>
          </cell>
          <cell r="R20" t="str">
            <v>15h30 ngày 4 tháng 12 năm 2015</v>
          </cell>
          <cell r="S20" t="str">
            <v>16h30 ngày 4 tháng 12 năm 2015</v>
          </cell>
          <cell r="T20" t="str">
            <v>15h30</v>
          </cell>
          <cell r="U20" t="str">
            <v>15h30 Ngày 4/12/2015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KT-109; KT-107</v>
          </cell>
          <cell r="AQ20" t="str">
            <v>Ngày 4 Tháng 12 Năm 2015</v>
          </cell>
        </row>
        <row r="21">
          <cell r="A21">
            <v>0</v>
          </cell>
          <cell r="D21" t="str">
            <v>……</v>
          </cell>
          <cell r="E21" t="str">
            <v>…….</v>
          </cell>
          <cell r="F21" t="str">
            <v>……</v>
          </cell>
          <cell r="G21">
            <v>6</v>
          </cell>
          <cell r="H21">
            <v>2015</v>
          </cell>
          <cell r="I21" t="str">
            <v>Hà Nội, ngày …… tháng 6 năm 2015</v>
          </cell>
          <cell r="J21" t="str">
            <v>…… ngày …… tháng 6 năm 2015</v>
          </cell>
          <cell r="K21" t="str">
            <v>……. ngày …… tháng 6 năm 2015</v>
          </cell>
          <cell r="L21" t="str">
            <v>……</v>
          </cell>
          <cell r="M21" t="str">
            <v>……</v>
          </cell>
          <cell r="N21" t="str">
            <v>……</v>
          </cell>
          <cell r="O21">
            <v>6</v>
          </cell>
          <cell r="P21">
            <v>2015</v>
          </cell>
          <cell r="Q21" t="str">
            <v>Hà Nội, ngày …… tháng 6 năm 2015</v>
          </cell>
          <cell r="R21" t="str">
            <v>…… ngày …… tháng 6 năm 2015</v>
          </cell>
          <cell r="S21" t="str">
            <v>…… ngày …… tháng 6 năm 2015</v>
          </cell>
          <cell r="T21" t="str">
            <v>……</v>
          </cell>
          <cell r="U21" t="str">
            <v>…… Ngày ……/6/2015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6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78"/>
      <sheetData sheetId="179">
        <row r="1">
          <cell r="A1" t="str">
            <v>CÔNG TY CP HỒNG HÀ VIỆT NAM</v>
          </cell>
          <cell r="C1" t="str">
            <v>CỘNG HÒA XÃ HỘI CHỦ NGHĨA VIỆT NAM</v>
          </cell>
        </row>
        <row r="2">
          <cell r="C2" t="str">
            <v>ĐỘC LẬP-TỰ DO -HẠNH PHÚC</v>
          </cell>
        </row>
        <row r="4">
          <cell r="A4" t="str">
            <v>CÔNG VIỆC SƠN</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SLC-01</v>
          </cell>
          <cell r="B10" t="str">
            <v>Công tác sơn lan can lô gia căn hộ (một lớp chống rỉ, hai lớp sơn màu) tầng 03, 04, 05 ,06</v>
          </cell>
          <cell r="C10" t="str">
            <v>SLC-01</v>
          </cell>
          <cell r="D10" t="str">
            <v>7h30</v>
          </cell>
          <cell r="E10" t="str">
            <v>9h00</v>
          </cell>
          <cell r="F10">
            <v>5</v>
          </cell>
          <cell r="G10">
            <v>10</v>
          </cell>
          <cell r="H10">
            <v>2015</v>
          </cell>
          <cell r="I10" t="str">
            <v>Hà Nội, ngày 5 tháng 10 năm 2015</v>
          </cell>
          <cell r="J10" t="str">
            <v>7h30 ngày 5 tháng 10 năm 2015</v>
          </cell>
          <cell r="K10" t="str">
            <v>9h00 ngày 5 tháng 10 năm 2015</v>
          </cell>
          <cell r="L10" t="str">
            <v>9h15</v>
          </cell>
          <cell r="M10" t="str">
            <v>10h30</v>
          </cell>
          <cell r="N10">
            <v>5</v>
          </cell>
          <cell r="O10">
            <v>10</v>
          </cell>
          <cell r="P10">
            <v>2015</v>
          </cell>
          <cell r="Q10" t="str">
            <v>Hà Nội, ngày 5 tháng 10 năm 2015</v>
          </cell>
          <cell r="R10" t="str">
            <v>9h15 ngày 5 tháng 10 năm 2015</v>
          </cell>
          <cell r="S10" t="str">
            <v>10h30 ngày 5 tháng 10 năm 2015</v>
          </cell>
          <cell r="T10" t="str">
            <v>9h15</v>
          </cell>
          <cell r="U10" t="str">
            <v>9h15 Ngày 5/10/2015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KT-318</v>
          </cell>
          <cell r="AQ10" t="str">
            <v>Ngày 5 Tháng 10 Năm 2015</v>
          </cell>
        </row>
        <row r="11">
          <cell r="A11" t="str">
            <v>SCG-01</v>
          </cell>
          <cell r="B11" t="str">
            <v>Công tác sơn cửa D2, D3 bằng sơn PU (1 nước lót, 2 nước phủ) tầng 01, 02, 03, 04, 05, 06, 07, 08, 09, 10, 11</v>
          </cell>
          <cell r="C11" t="str">
            <v>SCG-01</v>
          </cell>
          <cell r="D11" t="str">
            <v>8h00</v>
          </cell>
          <cell r="E11" t="str">
            <v>10h00</v>
          </cell>
          <cell r="F11">
            <v>28</v>
          </cell>
          <cell r="G11">
            <v>11</v>
          </cell>
          <cell r="H11">
            <v>2015</v>
          </cell>
          <cell r="I11" t="str">
            <v>Hà Nội, ngày 28 tháng 11 năm 2015</v>
          </cell>
          <cell r="J11" t="str">
            <v>8h00 ngày 28 tháng 11 năm 2015</v>
          </cell>
          <cell r="K11" t="str">
            <v>10h00 ngày 28 tháng 11 năm 2015</v>
          </cell>
          <cell r="L11" t="str">
            <v>14h30</v>
          </cell>
          <cell r="M11" t="str">
            <v>16h30</v>
          </cell>
          <cell r="N11">
            <v>28</v>
          </cell>
          <cell r="O11">
            <v>11</v>
          </cell>
          <cell r="P11">
            <v>2015</v>
          </cell>
          <cell r="Q11" t="str">
            <v>Hà Nội, ngày 28 tháng 11 năm 2015</v>
          </cell>
          <cell r="R11" t="str">
            <v>14h30 ngày 28 tháng 11 năm 2015</v>
          </cell>
          <cell r="S11" t="str">
            <v>16h30 ngày 28 tháng 11 năm 2015</v>
          </cell>
          <cell r="T11" t="str">
            <v>14h30</v>
          </cell>
          <cell r="U11" t="str">
            <v>14h30 Ngày 28/11/2015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KT-1701÷KT-1708</v>
          </cell>
          <cell r="AQ11" t="str">
            <v>Ngày 28 Tháng 11 Năm 2015</v>
          </cell>
        </row>
        <row r="12">
          <cell r="A12" t="str">
            <v>SLC-02</v>
          </cell>
          <cell r="B12" t="str">
            <v xml:space="preserve">Công tác sơn lan can lô gia căn hộ (một nước sơn chống rỉ, hai nước sơn màu, mã màu: G-277) tầng 07, 08, 09, 10, 11 </v>
          </cell>
          <cell r="C12" t="str">
            <v>SLC-02</v>
          </cell>
          <cell r="D12" t="str">
            <v>8h00</v>
          </cell>
          <cell r="E12" t="str">
            <v>9h30</v>
          </cell>
          <cell r="F12">
            <v>26</v>
          </cell>
          <cell r="G12">
            <v>10</v>
          </cell>
          <cell r="H12">
            <v>2015</v>
          </cell>
          <cell r="I12" t="str">
            <v>Hà Nội, ngày 26 tháng 10 năm 2015</v>
          </cell>
          <cell r="J12" t="str">
            <v>8h00 ngày 26 tháng 10 năm 2015</v>
          </cell>
          <cell r="K12" t="str">
            <v>9h30 ngày 26 tháng 10 năm 2015</v>
          </cell>
          <cell r="L12" t="str">
            <v>10h00</v>
          </cell>
          <cell r="M12" t="str">
            <v>11h30</v>
          </cell>
          <cell r="N12">
            <v>26</v>
          </cell>
          <cell r="O12">
            <v>10</v>
          </cell>
          <cell r="P12">
            <v>2015</v>
          </cell>
          <cell r="Q12" t="str">
            <v>Hà Nội, ngày 26 tháng 10 năm 2015</v>
          </cell>
          <cell r="R12" t="str">
            <v>10h00 ngày 26 tháng 10 năm 2015</v>
          </cell>
          <cell r="S12" t="str">
            <v>11h30 ngày 26 tháng 10 năm 2015</v>
          </cell>
          <cell r="T12" t="str">
            <v>10h00</v>
          </cell>
          <cell r="U12" t="str">
            <v>10h00 Ngày 26/10/2015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KT-318</v>
          </cell>
          <cell r="AQ12" t="str">
            <v>Ngày 26 Tháng 10 Năm 2015</v>
          </cell>
        </row>
        <row r="13">
          <cell r="A13" t="str">
            <v>SLCCT-01</v>
          </cell>
          <cell r="B13" t="str">
            <v>Sơn lan can, tay vịn cầu thang bộ LT, TB  (một nước chống rỉ, hai nước màu - mã màu G-01) tầng 01, 02, 03, 04, 05, 06</v>
          </cell>
          <cell r="C13" t="str">
            <v>SLCCT-01</v>
          </cell>
          <cell r="D13" t="str">
            <v>8h30</v>
          </cell>
          <cell r="E13" t="str">
            <v>10h00</v>
          </cell>
          <cell r="F13">
            <v>15</v>
          </cell>
          <cell r="G13">
            <v>11</v>
          </cell>
          <cell r="H13">
            <v>2015</v>
          </cell>
          <cell r="I13" t="str">
            <v>Hà Nội, ngày 15 tháng 11 năm 2015</v>
          </cell>
          <cell r="J13" t="str">
            <v>8h30 ngày 15 tháng 11 năm 2015</v>
          </cell>
          <cell r="K13" t="str">
            <v>10h00 ngày 15 tháng 11 năm 2015</v>
          </cell>
          <cell r="L13" t="str">
            <v>15h00</v>
          </cell>
          <cell r="M13" t="str">
            <v>16h30</v>
          </cell>
          <cell r="N13">
            <v>15</v>
          </cell>
          <cell r="O13">
            <v>11</v>
          </cell>
          <cell r="P13">
            <v>2015</v>
          </cell>
          <cell r="Q13" t="str">
            <v>Hà Nội, ngày 15 tháng 11 năm 2015</v>
          </cell>
          <cell r="R13" t="str">
            <v>15h00 ngày 15 tháng 11 năm 2015</v>
          </cell>
          <cell r="S13" t="str">
            <v>16h30 ngày 15 tháng 11 năm 2015</v>
          </cell>
          <cell r="T13" t="str">
            <v>15h00</v>
          </cell>
          <cell r="U13" t="str">
            <v>15h00 Ngày 15/11/2015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KT-201÷KT-203</v>
          </cell>
          <cell r="AQ13" t="str">
            <v>Ngày 15 Tháng 11 Năm 2015</v>
          </cell>
        </row>
        <row r="14">
          <cell r="A14" t="str">
            <v>SLCCT-02</v>
          </cell>
          <cell r="B14" t="str">
            <v>Sơn lan can, tay vịn cầu thang bộ LT, TB  (một nước chống rỉ, hai nước màu - mã màu G-01) tầng 07, 08, 09, 10, 11</v>
          </cell>
          <cell r="C14" t="str">
            <v>SLCCT-02</v>
          </cell>
          <cell r="D14" t="str">
            <v>9h00</v>
          </cell>
          <cell r="E14" t="str">
            <v>10h30</v>
          </cell>
          <cell r="F14">
            <v>2</v>
          </cell>
          <cell r="G14">
            <v>12</v>
          </cell>
          <cell r="H14">
            <v>2015</v>
          </cell>
          <cell r="I14" t="str">
            <v>Hà Nội, ngày 2 tháng 12 năm 2015</v>
          </cell>
          <cell r="J14" t="str">
            <v>9h00 ngày 2 tháng 12 năm 2015</v>
          </cell>
          <cell r="K14" t="str">
            <v>10h30 ngày 2 tháng 12 năm 2015</v>
          </cell>
          <cell r="L14" t="str">
            <v>14h00</v>
          </cell>
          <cell r="M14" t="str">
            <v>15h30</v>
          </cell>
          <cell r="N14">
            <v>2</v>
          </cell>
          <cell r="O14">
            <v>12</v>
          </cell>
          <cell r="P14">
            <v>2015</v>
          </cell>
          <cell r="Q14" t="str">
            <v>Hà Nội, ngày 2 tháng 12 năm 2015</v>
          </cell>
          <cell r="R14" t="str">
            <v>14h00 ngày 2 tháng 12 năm 2015</v>
          </cell>
          <cell r="S14" t="str">
            <v>15h30 ngày 2 tháng 12 năm 2015</v>
          </cell>
          <cell r="T14" t="str">
            <v>14h00</v>
          </cell>
          <cell r="U14" t="str">
            <v>14h00 Ngày 2/12/2015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KT-201÷KT-203</v>
          </cell>
          <cell r="AQ14" t="str">
            <v>Ngày 2 Tháng 12 Năm 2015</v>
          </cell>
        </row>
        <row r="15">
          <cell r="A15" t="str">
            <v>BTTC-01</v>
          </cell>
          <cell r="B15" t="str">
            <v>Bả trần thạch cao tầng 03, 04, 05, 06, 07, 08, 09, 10 ,11</v>
          </cell>
          <cell r="C15" t="str">
            <v>BTTC-01</v>
          </cell>
          <cell r="D15" t="str">
            <v>8h00</v>
          </cell>
          <cell r="E15" t="str">
            <v>9h30</v>
          </cell>
          <cell r="F15">
            <v>28</v>
          </cell>
          <cell r="G15">
            <v>11</v>
          </cell>
          <cell r="H15">
            <v>2015</v>
          </cell>
          <cell r="I15" t="str">
            <v>Hà Nội, ngày 28 tháng 11 năm 2015</v>
          </cell>
          <cell r="J15" t="str">
            <v>8h00 ngày 28 tháng 11 năm 2015</v>
          </cell>
          <cell r="K15" t="str">
            <v>9h30 ngày 28 tháng 11 năm 2015</v>
          </cell>
          <cell r="L15" t="str">
            <v>14h00</v>
          </cell>
          <cell r="M15" t="str">
            <v>15h30</v>
          </cell>
          <cell r="N15">
            <v>28</v>
          </cell>
          <cell r="O15">
            <v>11</v>
          </cell>
          <cell r="P15">
            <v>2015</v>
          </cell>
          <cell r="Q15" t="str">
            <v>Hà Nội, ngày 28 tháng 11 năm 2015</v>
          </cell>
          <cell r="R15" t="str">
            <v>14h00 ngày 28 tháng 11 năm 2015</v>
          </cell>
          <cell r="S15" t="str">
            <v>15h30 ngày 28 tháng 11 năm 2015</v>
          </cell>
          <cell r="T15" t="str">
            <v>14h00</v>
          </cell>
          <cell r="U15" t="str">
            <v>14h00 Ngày 28/11/2015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KT-1803; KT-100; KT-1803 DC; KT-1803 DC2</v>
          </cell>
          <cell r="AQ15" t="str">
            <v>Ngày 28 Tháng 11 Năm 2015</v>
          </cell>
        </row>
        <row r="16">
          <cell r="A16" t="str">
            <v>STTC-01</v>
          </cell>
          <cell r="B16" t="str">
            <v>Sơn trần thạch cao tầng 03, 04, 05, 06, 07, 08, 09, 10 ,11 (1 nước lót, 2 nước phủ)</v>
          </cell>
          <cell r="C16" t="str">
            <v>STTC-01</v>
          </cell>
          <cell r="D16" t="str">
            <v>8h15</v>
          </cell>
          <cell r="E16" t="str">
            <v>9h30</v>
          </cell>
          <cell r="F16">
            <v>30</v>
          </cell>
          <cell r="G16">
            <v>11</v>
          </cell>
          <cell r="H16">
            <v>2015</v>
          </cell>
          <cell r="I16" t="str">
            <v>Hà Nội, ngày 30 tháng 11 năm 2015</v>
          </cell>
          <cell r="J16" t="str">
            <v>8h15 ngày 30 tháng 11 năm 2015</v>
          </cell>
          <cell r="K16" t="str">
            <v>9h30 ngày 30 tháng 11 năm 2015</v>
          </cell>
          <cell r="L16" t="str">
            <v>14h30</v>
          </cell>
          <cell r="M16" t="str">
            <v>16h00</v>
          </cell>
          <cell r="N16">
            <v>30</v>
          </cell>
          <cell r="O16">
            <v>11</v>
          </cell>
          <cell r="P16">
            <v>2015</v>
          </cell>
          <cell r="Q16" t="str">
            <v>Hà Nội, ngày 30 tháng 11 năm 2015</v>
          </cell>
          <cell r="R16" t="str">
            <v>14h30 ngày 30 tháng 11 năm 2015</v>
          </cell>
          <cell r="S16" t="str">
            <v>16h00 ngày 30 tháng 11 năm 2015</v>
          </cell>
          <cell r="T16" t="str">
            <v>14h30</v>
          </cell>
          <cell r="U16" t="str">
            <v>14h30 Ngày 30/11/2015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KT-1803; KT-100; KT-1803 DC; KT-1803 DC2</v>
          </cell>
          <cell r="AQ16" t="str">
            <v>Ngày 30 Tháng 11 Năm 2015</v>
          </cell>
        </row>
        <row r="17">
          <cell r="A17" t="str">
            <v>BTTC-02</v>
          </cell>
          <cell r="B17" t="str">
            <v>Bả trần thạch cao hành lang tầng 01, vách ngăn thạch cao tầng 01</v>
          </cell>
          <cell r="C17" t="str">
            <v>BTTC-02</v>
          </cell>
          <cell r="D17" t="str">
            <v>8h00</v>
          </cell>
          <cell r="E17" t="str">
            <v>8h30</v>
          </cell>
          <cell r="F17">
            <v>9</v>
          </cell>
          <cell r="G17">
            <v>12</v>
          </cell>
          <cell r="H17">
            <v>2015</v>
          </cell>
          <cell r="I17" t="str">
            <v>Hà Nội, ngày 9 tháng 12 năm 2015</v>
          </cell>
          <cell r="J17" t="str">
            <v>8h00 ngày 9 tháng 12 năm 2015</v>
          </cell>
          <cell r="K17" t="str">
            <v>8h30 ngày 9 tháng 12 năm 2015</v>
          </cell>
          <cell r="L17" t="str">
            <v>9h00</v>
          </cell>
          <cell r="M17" t="str">
            <v>9h30</v>
          </cell>
          <cell r="N17">
            <v>9</v>
          </cell>
          <cell r="O17">
            <v>12</v>
          </cell>
          <cell r="P17">
            <v>2015</v>
          </cell>
          <cell r="Q17" t="str">
            <v>Hà Nội, ngày 9 tháng 12 năm 2015</v>
          </cell>
          <cell r="R17" t="str">
            <v>9h00 ngày 9 tháng 12 năm 2015</v>
          </cell>
          <cell r="S17" t="str">
            <v>9h30 ngày 9 tháng 12 năm 2015</v>
          </cell>
          <cell r="T17" t="str">
            <v>9h00</v>
          </cell>
          <cell r="U17" t="str">
            <v>9h00 Ngày 9/12/2015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KT-1801; KT-100; KT-1902.BS</v>
          </cell>
          <cell r="AQ17" t="str">
            <v>Ngày 9 Tháng 12 Năm 2015</v>
          </cell>
        </row>
        <row r="18">
          <cell r="A18" t="str">
            <v>STTC-02</v>
          </cell>
          <cell r="B18" t="str">
            <v>Sơn trần thạch cao sảnh, vách ngăn thạch cao tầng 01 (bằng sơn Jotun 1 nước lót, 2 nước phủ)</v>
          </cell>
          <cell r="C18" t="str">
            <v>STTC-02</v>
          </cell>
          <cell r="D18" t="str">
            <v>8h00</v>
          </cell>
          <cell r="E18" t="str">
            <v>8h30</v>
          </cell>
          <cell r="F18">
            <v>10</v>
          </cell>
          <cell r="G18">
            <v>12</v>
          </cell>
          <cell r="H18">
            <v>2015</v>
          </cell>
          <cell r="I18" t="str">
            <v>Hà Nội, ngày 10 tháng 12 năm 2015</v>
          </cell>
          <cell r="J18" t="str">
            <v>8h00 ngày 10 tháng 12 năm 2015</v>
          </cell>
          <cell r="K18" t="str">
            <v>8h30 ngày 10 tháng 12 năm 2015</v>
          </cell>
          <cell r="L18" t="str">
            <v>9h00</v>
          </cell>
          <cell r="M18" t="str">
            <v>9h30</v>
          </cell>
          <cell r="N18">
            <v>10</v>
          </cell>
          <cell r="O18">
            <v>12</v>
          </cell>
          <cell r="P18">
            <v>2015</v>
          </cell>
          <cell r="Q18" t="str">
            <v>Hà Nội, ngày 10 tháng 12 năm 2015</v>
          </cell>
          <cell r="R18" t="str">
            <v>9h00 ngày 10 tháng 12 năm 2015</v>
          </cell>
          <cell r="S18" t="str">
            <v>9h30 ngày 10 tháng 12 năm 2015</v>
          </cell>
          <cell r="T18" t="str">
            <v>9h00</v>
          </cell>
          <cell r="U18" t="str">
            <v>9h00 Ngày 10/12/2015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KT-1801; KT-100; KT-1902.BS</v>
          </cell>
          <cell r="AQ18" t="str">
            <v>Ngày 10 Tháng 12 Năm 2015</v>
          </cell>
        </row>
        <row r="19">
          <cell r="A19" t="str">
            <v>SLC-03</v>
          </cell>
          <cell r="B19" t="str">
            <v>Công tác sơn chớp tôn lô gia căn hộ tầng 03, 04, 05, 06, 07, 08, 09, 10, 11 (một nước sơn chống rỉ, hai nước sơn màu, mã màu: G-73)</v>
          </cell>
          <cell r="C19" t="str">
            <v>SLC-03</v>
          </cell>
          <cell r="D19" t="str">
            <v>8h30</v>
          </cell>
          <cell r="E19" t="str">
            <v>10h00</v>
          </cell>
          <cell r="F19">
            <v>30</v>
          </cell>
          <cell r="G19">
            <v>11</v>
          </cell>
          <cell r="H19">
            <v>2015</v>
          </cell>
          <cell r="I19" t="str">
            <v>Hà Nội, ngày 30 tháng 11 năm 2015</v>
          </cell>
          <cell r="J19" t="str">
            <v>8h30 ngày 30 tháng 11 năm 2015</v>
          </cell>
          <cell r="K19" t="str">
            <v>10h00 ngày 30 tháng 11 năm 2015</v>
          </cell>
          <cell r="L19" t="str">
            <v>14h30</v>
          </cell>
          <cell r="M19" t="str">
            <v>16h00</v>
          </cell>
          <cell r="N19">
            <v>30</v>
          </cell>
          <cell r="O19">
            <v>11</v>
          </cell>
          <cell r="P19">
            <v>2015</v>
          </cell>
          <cell r="Q19" t="str">
            <v>Hà Nội, ngày 30 tháng 11 năm 2015</v>
          </cell>
          <cell r="R19" t="str">
            <v>14h30 ngày 30 tháng 11 năm 2015</v>
          </cell>
          <cell r="S19" t="str">
            <v>16h00 ngày 30 tháng 11 năm 2015</v>
          </cell>
          <cell r="T19" t="str">
            <v>14h30</v>
          </cell>
          <cell r="U19" t="str">
            <v>14h30 Ngày 30/11/2015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KT-318</v>
          </cell>
          <cell r="AQ19" t="str">
            <v>Ngày 30 Tháng 11 Năm 2015</v>
          </cell>
        </row>
        <row r="20">
          <cell r="A20" t="str">
            <v>SON-01</v>
          </cell>
          <cell r="B20" t="str">
            <v>Sơn dầm, trần, cột, tường trong nhà không bả bằng sơn Jotun, 1 nước lót, 2 nước phủ tầng 02, 03, 04, 05, 06</v>
          </cell>
          <cell r="C20" t="str">
            <v>SON-01</v>
          </cell>
          <cell r="D20" t="str">
            <v>8h30</v>
          </cell>
          <cell r="E20" t="str">
            <v>10h30</v>
          </cell>
          <cell r="F20">
            <v>25</v>
          </cell>
          <cell r="G20">
            <v>11</v>
          </cell>
          <cell r="H20">
            <v>2015</v>
          </cell>
          <cell r="I20" t="str">
            <v>Hà Nội, ngày 25 tháng 11 năm 2015</v>
          </cell>
          <cell r="J20" t="str">
            <v>8h30 ngày 25 tháng 11 năm 2015</v>
          </cell>
          <cell r="K20" t="str">
            <v>10h30 ngày 25 tháng 11 năm 2015</v>
          </cell>
          <cell r="L20" t="str">
            <v>14h00</v>
          </cell>
          <cell r="M20" t="str">
            <v>16h00</v>
          </cell>
          <cell r="N20">
            <v>25</v>
          </cell>
          <cell r="O20">
            <v>11</v>
          </cell>
          <cell r="P20">
            <v>2015</v>
          </cell>
          <cell r="Q20" t="str">
            <v>Hà Nội, ngày 25 tháng 11 năm 2015</v>
          </cell>
          <cell r="R20" t="str">
            <v>14h00 ngày 25 tháng 11 năm 2015</v>
          </cell>
          <cell r="S20" t="str">
            <v>16h00 ngày 25 tháng 11 năm 2015</v>
          </cell>
          <cell r="T20" t="str">
            <v>14h00</v>
          </cell>
          <cell r="U20" t="str">
            <v>14h00 Ngày 25/11/2015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KT-100; SLG</v>
          </cell>
          <cell r="AQ20" t="str">
            <v>Ngày 25 Tháng 11 Năm 2015</v>
          </cell>
        </row>
        <row r="21">
          <cell r="A21" t="str">
            <v>SON-02</v>
          </cell>
          <cell r="B21" t="str">
            <v>Sơn dầm, trần, cột, tường trong nhà không bả bằng sơn Jotun, 1 nước lót, 2 nước phủ tầng 01, 07, 08, 09, 10, 11, áp mái</v>
          </cell>
          <cell r="C21" t="str">
            <v>SON-02</v>
          </cell>
          <cell r="D21" t="str">
            <v>8h00</v>
          </cell>
          <cell r="E21" t="str">
            <v>10h00</v>
          </cell>
          <cell r="F21">
            <v>6</v>
          </cell>
          <cell r="G21">
            <v>12</v>
          </cell>
          <cell r="H21">
            <v>2015</v>
          </cell>
          <cell r="I21" t="str">
            <v>Hà Nội, ngày 6 tháng 12 năm 2015</v>
          </cell>
          <cell r="J21" t="str">
            <v>8h00 ngày 6 tháng 12 năm 2015</v>
          </cell>
          <cell r="K21" t="str">
            <v>10h00 ngày 6 tháng 12 năm 2015</v>
          </cell>
          <cell r="L21" t="str">
            <v>14h30</v>
          </cell>
          <cell r="M21" t="str">
            <v>16h30</v>
          </cell>
          <cell r="N21">
            <v>6</v>
          </cell>
          <cell r="O21">
            <v>12</v>
          </cell>
          <cell r="P21">
            <v>2015</v>
          </cell>
          <cell r="Q21" t="str">
            <v>Hà Nội, ngày 6 tháng 12 năm 2015</v>
          </cell>
          <cell r="R21" t="str">
            <v>14h30 ngày 6 tháng 12 năm 2015</v>
          </cell>
          <cell r="S21" t="str">
            <v>16h30 ngày 6 tháng 12 năm 2015</v>
          </cell>
          <cell r="T21" t="str">
            <v>14h30</v>
          </cell>
          <cell r="U21" t="str">
            <v>14h30 Ngày 6/12/2015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KT-100; SLG</v>
          </cell>
          <cell r="AQ21" t="str">
            <v>Ngày 6 Tháng 12 Năm 2015</v>
          </cell>
        </row>
        <row r="22">
          <cell r="A22" t="str">
            <v>SON-03</v>
          </cell>
          <cell r="B22" t="str">
            <v>Sơn tường ngoài nhà không bả bằng sơn Jotun, 1 nước lót, 2 nước phủ tầng 01, 02, 03, 04, 05, 06, 07, 08, 09, 10, 11, tầng áp mái, tầng mái</v>
          </cell>
          <cell r="C22" t="str">
            <v>SON-03</v>
          </cell>
          <cell r="D22" t="str">
            <v>8h30</v>
          </cell>
          <cell r="E22" t="str">
            <v>10h00</v>
          </cell>
          <cell r="F22">
            <v>8</v>
          </cell>
          <cell r="G22">
            <v>12</v>
          </cell>
          <cell r="H22">
            <v>2015</v>
          </cell>
          <cell r="I22" t="str">
            <v>Hà Nội, ngày 8 tháng 12 năm 2015</v>
          </cell>
          <cell r="J22" t="str">
            <v>8h30 ngày 8 tháng 12 năm 2015</v>
          </cell>
          <cell r="K22" t="str">
            <v>10h00 ngày 8 tháng 12 năm 2015</v>
          </cell>
          <cell r="L22" t="str">
            <v>14h00</v>
          </cell>
          <cell r="M22" t="str">
            <v>15h30</v>
          </cell>
          <cell r="N22">
            <v>8</v>
          </cell>
          <cell r="O22">
            <v>12</v>
          </cell>
          <cell r="P22">
            <v>2015</v>
          </cell>
          <cell r="Q22" t="str">
            <v>Hà Nội, ngày 8 tháng 12 năm 2015</v>
          </cell>
          <cell r="R22" t="str">
            <v>14h00 ngày 8 tháng 12 năm 2015</v>
          </cell>
          <cell r="S22" t="str">
            <v>15h30 ngày 8 tháng 12 năm 2015</v>
          </cell>
          <cell r="T22" t="str">
            <v>14h00</v>
          </cell>
          <cell r="U22" t="str">
            <v>14h00 Ngày 8/12/2015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KT-107÷KT-110</v>
          </cell>
          <cell r="AQ22" t="str">
            <v>Ngày 8 Tháng 12 Năm 2015</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A24" t="str">
            <v>SGLT2-01</v>
          </cell>
          <cell r="B24" t="str">
            <v>Soi gờ lõm rộng 10 sâu 10A50</v>
          </cell>
          <cell r="C24" t="str">
            <v>SGLT2-01</v>
          </cell>
          <cell r="D24" t="str">
            <v>8h00</v>
          </cell>
          <cell r="E24" t="str">
            <v>8h30</v>
          </cell>
          <cell r="F24">
            <v>18</v>
          </cell>
          <cell r="G24">
            <v>10</v>
          </cell>
          <cell r="H24">
            <v>2015</v>
          </cell>
          <cell r="I24" t="str">
            <v>Hà Nội, ngày 18 tháng 10 năm 2015</v>
          </cell>
          <cell r="J24" t="str">
            <v>8h00 ngày 18 tháng 10 năm 2015</v>
          </cell>
          <cell r="K24" t="str">
            <v>8h30 ngày 18 tháng 10 năm 2015</v>
          </cell>
          <cell r="L24" t="str">
            <v>9h00</v>
          </cell>
          <cell r="M24" t="str">
            <v>9h30</v>
          </cell>
          <cell r="N24">
            <v>18</v>
          </cell>
          <cell r="O24">
            <v>10</v>
          </cell>
          <cell r="P24">
            <v>2015</v>
          </cell>
          <cell r="Q24" t="str">
            <v>Hà Nội, ngày 18 tháng 10 năm 2015</v>
          </cell>
          <cell r="R24" t="str">
            <v>9h00 ngày 18 tháng 10 năm 2015</v>
          </cell>
          <cell r="S24" t="str">
            <v>9h30 ngày 18 tháng 10 năm 2015</v>
          </cell>
          <cell r="T24" t="str">
            <v>9h00</v>
          </cell>
          <cell r="U24" t="str">
            <v>9h00 Ngày 18/10/2015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N24" t="str">
            <v>KT-102DC</v>
          </cell>
          <cell r="AQ24" t="str">
            <v>Ngày 18 Tháng 10 Năm 2015</v>
          </cell>
        </row>
        <row r="25">
          <cell r="A25" t="str">
            <v>SDDT2-01</v>
          </cell>
          <cell r="B25" t="str">
            <v>Sơn đường dốc tầng 2 bằng sơn Epoxy (1 nước lót, 2 nước phủ)</v>
          </cell>
          <cell r="C25" t="str">
            <v>SDDT2-01</v>
          </cell>
          <cell r="D25" t="str">
            <v>8h00</v>
          </cell>
          <cell r="E25" t="str">
            <v>8h30</v>
          </cell>
          <cell r="F25">
            <v>30</v>
          </cell>
          <cell r="G25">
            <v>11</v>
          </cell>
          <cell r="H25">
            <v>2015</v>
          </cell>
          <cell r="I25" t="str">
            <v>Hà Nội, ngày 30 tháng 11 năm 2015</v>
          </cell>
          <cell r="J25" t="str">
            <v>8h00 ngày 30 tháng 11 năm 2015</v>
          </cell>
          <cell r="K25" t="str">
            <v>8h30 ngày 30 tháng 11 năm 2015</v>
          </cell>
          <cell r="L25" t="str">
            <v>9h00</v>
          </cell>
          <cell r="M25" t="str">
            <v>9h30</v>
          </cell>
          <cell r="N25">
            <v>30</v>
          </cell>
          <cell r="O25">
            <v>11</v>
          </cell>
          <cell r="P25">
            <v>2015</v>
          </cell>
          <cell r="Q25" t="str">
            <v>Hà Nội, ngày 30 tháng 11 năm 2015</v>
          </cell>
          <cell r="R25" t="str">
            <v>9h00 ngày 30 tháng 11 năm 2015</v>
          </cell>
          <cell r="S25" t="str">
            <v>9h30 ngày 30 tháng 11 năm 2015</v>
          </cell>
          <cell r="T25" t="str">
            <v>9h00</v>
          </cell>
          <cell r="U25" t="str">
            <v>9h00 Ngày 30/11/2015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N25" t="str">
            <v>KT-102DC</v>
          </cell>
          <cell r="AQ25" t="str">
            <v>Ngày 30 Tháng 11 Năm 2015</v>
          </cell>
        </row>
        <row r="26">
          <cell r="A26" t="str">
            <v>SNT1-01</v>
          </cell>
          <cell r="B26" t="str">
            <v>Sơn phòng kỹ thuật, nền nhà để xe tầng 01 bằng sơn Epoxy (1 nước lót, 2 nước phủ)</v>
          </cell>
          <cell r="C26" t="str">
            <v>SNT1-01</v>
          </cell>
          <cell r="D26" t="str">
            <v>8h30</v>
          </cell>
          <cell r="E26" t="str">
            <v>9h30</v>
          </cell>
          <cell r="F26">
            <v>3</v>
          </cell>
          <cell r="G26">
            <v>12</v>
          </cell>
          <cell r="H26">
            <v>2015</v>
          </cell>
          <cell r="I26" t="str">
            <v>Hà Nội, ngày 3 tháng 12 năm 2015</v>
          </cell>
          <cell r="J26" t="str">
            <v>8h30 ngày 3 tháng 12 năm 2015</v>
          </cell>
          <cell r="K26" t="str">
            <v>9h30 ngày 3 tháng 12 năm 2015</v>
          </cell>
          <cell r="L26" t="str">
            <v>10h30</v>
          </cell>
          <cell r="M26" t="str">
            <v>11h30</v>
          </cell>
          <cell r="N26">
            <v>3</v>
          </cell>
          <cell r="O26">
            <v>12</v>
          </cell>
          <cell r="P26">
            <v>2015</v>
          </cell>
          <cell r="Q26" t="str">
            <v>Hà Nội, ngày 3 tháng 12 năm 2015</v>
          </cell>
          <cell r="R26" t="str">
            <v>10h30 ngày 3 tháng 12 năm 2015</v>
          </cell>
          <cell r="S26" t="str">
            <v>11h30 ngày 3 tháng 12 năm 2015</v>
          </cell>
          <cell r="T26" t="str">
            <v>10h30</v>
          </cell>
          <cell r="U26" t="str">
            <v>10h30 Ngày 3/12/2015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N26" t="str">
            <v>KT-100</v>
          </cell>
          <cell r="AQ26" t="str">
            <v>Ngày 3 Tháng 12 Năm 2015</v>
          </cell>
        </row>
        <row r="27">
          <cell r="A27" t="str">
            <v>SPKT-01</v>
          </cell>
          <cell r="B27" t="str">
            <v>Sơn nền phòng kỹ thuật tầng 02 đến hết tầng áp mái bằng sơn Epoxy (1 nước lót, 2 nước phủ)</v>
          </cell>
          <cell r="C27" t="str">
            <v>SPKT-01</v>
          </cell>
          <cell r="D27" t="str">
            <v>8h30</v>
          </cell>
          <cell r="E27" t="str">
            <v>9h30</v>
          </cell>
          <cell r="F27">
            <v>30</v>
          </cell>
          <cell r="G27">
            <v>11</v>
          </cell>
          <cell r="H27">
            <v>2015</v>
          </cell>
          <cell r="I27" t="str">
            <v>Hà Nội, ngày 30 tháng 11 năm 2015</v>
          </cell>
          <cell r="J27" t="str">
            <v>8h30 ngày 30 tháng 11 năm 2015</v>
          </cell>
          <cell r="K27" t="str">
            <v>9h30 ngày 30 tháng 11 năm 2015</v>
          </cell>
          <cell r="L27" t="str">
            <v>14h00</v>
          </cell>
          <cell r="M27" t="str">
            <v>15h00</v>
          </cell>
          <cell r="N27">
            <v>30</v>
          </cell>
          <cell r="O27">
            <v>11</v>
          </cell>
          <cell r="P27">
            <v>2015</v>
          </cell>
          <cell r="Q27" t="str">
            <v>Hà Nội, ngày 30 tháng 11 năm 2015</v>
          </cell>
          <cell r="R27" t="str">
            <v>14h00 ngày 30 tháng 11 năm 2015</v>
          </cell>
          <cell r="S27" t="str">
            <v>15h00 ngày 30 tháng 11 năm 2015</v>
          </cell>
          <cell r="T27" t="str">
            <v>14h00</v>
          </cell>
          <cell r="U27" t="str">
            <v>14h00 Ngày 30/11/2015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N27" t="str">
            <v>KT-100</v>
          </cell>
          <cell r="AQ27" t="str">
            <v>Ngày 30 Tháng 11 Năm 2015</v>
          </cell>
        </row>
        <row r="28">
          <cell r="A28" t="str">
            <v>SLCT2-01</v>
          </cell>
          <cell r="B28" t="str">
            <v>Sơn lan can đường dốc, hành lang nhà để xe tầng 02 ( một nước chống rỉ, hai nước màu )</v>
          </cell>
          <cell r="C28" t="str">
            <v>SLCT2-01</v>
          </cell>
          <cell r="D28" t="str">
            <v>8h15</v>
          </cell>
          <cell r="E28" t="str">
            <v>9h15</v>
          </cell>
          <cell r="F28">
            <v>27</v>
          </cell>
          <cell r="G28">
            <v>11</v>
          </cell>
          <cell r="H28">
            <v>2015</v>
          </cell>
          <cell r="I28" t="str">
            <v>Hà Nội, ngày 27 tháng 11 năm 2015</v>
          </cell>
          <cell r="J28" t="str">
            <v>8h15 ngày 27 tháng 11 năm 2015</v>
          </cell>
          <cell r="K28" t="str">
            <v>9h15 ngày 27 tháng 11 năm 2015</v>
          </cell>
          <cell r="L28" t="str">
            <v>9h30</v>
          </cell>
          <cell r="M28" t="str">
            <v>10h30</v>
          </cell>
          <cell r="N28">
            <v>27</v>
          </cell>
          <cell r="O28">
            <v>11</v>
          </cell>
          <cell r="P28">
            <v>2015</v>
          </cell>
          <cell r="Q28" t="str">
            <v>Hà Nội, ngày 27 tháng 11 năm 2015</v>
          </cell>
          <cell r="R28" t="str">
            <v>9h30 ngày 27 tháng 11 năm 2015</v>
          </cell>
          <cell r="S28" t="str">
            <v>10h30 ngày 27 tháng 11 năm 2015</v>
          </cell>
          <cell r="T28" t="str">
            <v>9h30</v>
          </cell>
          <cell r="U28" t="str">
            <v>9h30 Ngày 27/11/2015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N28" t="str">
            <v>KT-319; KT-100</v>
          </cell>
          <cell r="AQ28" t="str">
            <v>Ngày 27 Tháng 11 Năm 2015</v>
          </cell>
        </row>
        <row r="29">
          <cell r="A29" t="str">
            <v>SNT2-01</v>
          </cell>
          <cell r="B29" t="str">
            <v>Sơn nền nhà để xe tầng 02 bằng sơn Epoxy (1 nước lót, 2 nước phủ)</v>
          </cell>
          <cell r="C29" t="str">
            <v>SNT2-01</v>
          </cell>
          <cell r="D29" t="str">
            <v>8h00</v>
          </cell>
          <cell r="E29" t="str">
            <v>9h00</v>
          </cell>
          <cell r="F29">
            <v>5</v>
          </cell>
          <cell r="G29">
            <v>12</v>
          </cell>
          <cell r="H29">
            <v>2015</v>
          </cell>
          <cell r="I29" t="str">
            <v>Hà Nội, ngày 5 tháng 12 năm 2015</v>
          </cell>
          <cell r="J29" t="str">
            <v>8h00 ngày 5 tháng 12 năm 2015</v>
          </cell>
          <cell r="K29" t="str">
            <v>9h00 ngày 5 tháng 12 năm 2015</v>
          </cell>
          <cell r="L29" t="str">
            <v>9h30</v>
          </cell>
          <cell r="M29" t="str">
            <v>10h30</v>
          </cell>
          <cell r="N29">
            <v>5</v>
          </cell>
          <cell r="O29">
            <v>12</v>
          </cell>
          <cell r="P29">
            <v>2015</v>
          </cell>
          <cell r="Q29" t="str">
            <v>Hà Nội, ngày 5 tháng 12 năm 2015</v>
          </cell>
          <cell r="R29" t="str">
            <v>9h30 ngày 5 tháng 12 năm 2015</v>
          </cell>
          <cell r="S29" t="str">
            <v>10h30 ngày 5 tháng 12 năm 2015</v>
          </cell>
          <cell r="T29" t="str">
            <v>9h30</v>
          </cell>
          <cell r="U29" t="str">
            <v>9h30 Ngày 5/12/2015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N29" t="str">
            <v>KT-102DC</v>
          </cell>
          <cell r="AQ29" t="str">
            <v>Ngày 5 Tháng 12 Năm 2015</v>
          </cell>
        </row>
        <row r="30">
          <cell r="A30" t="str">
            <v>SCT-01</v>
          </cell>
          <cell r="B30" t="str">
            <v>Sơn chớp tôn nhà để xe tầng 02 (một nước chống rỉ, hai nước màu)</v>
          </cell>
          <cell r="C30" t="str">
            <v>SCT-01</v>
          </cell>
          <cell r="D30" t="str">
            <v>8h00</v>
          </cell>
          <cell r="E30" t="str">
            <v>9h00</v>
          </cell>
          <cell r="F30">
            <v>9</v>
          </cell>
          <cell r="G30">
            <v>12</v>
          </cell>
          <cell r="H30">
            <v>2015</v>
          </cell>
          <cell r="I30" t="str">
            <v>Hà Nội, ngày 9 tháng 12 năm 2015</v>
          </cell>
          <cell r="J30" t="str">
            <v>8h00 ngày 9 tháng 12 năm 2015</v>
          </cell>
          <cell r="K30" t="str">
            <v>9h00 ngày 9 tháng 12 năm 2015</v>
          </cell>
          <cell r="L30" t="str">
            <v>9h30</v>
          </cell>
          <cell r="M30" t="str">
            <v>10h30</v>
          </cell>
          <cell r="N30">
            <v>9</v>
          </cell>
          <cell r="O30">
            <v>12</v>
          </cell>
          <cell r="P30">
            <v>2015</v>
          </cell>
          <cell r="Q30" t="str">
            <v>Hà Nội, ngày 9 tháng 12 năm 2015</v>
          </cell>
          <cell r="R30" t="str">
            <v>9h30 ngày 9 tháng 12 năm 2015</v>
          </cell>
          <cell r="S30" t="str">
            <v>10h30 ngày 9 tháng 12 năm 2015</v>
          </cell>
          <cell r="T30" t="str">
            <v>9h30</v>
          </cell>
          <cell r="U30" t="str">
            <v>9h30 Ngày 9/12/2015</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9 Tháng 12 Năm 2015</v>
          </cell>
        </row>
        <row r="31">
          <cell r="A31" t="str">
            <v>SCT-02</v>
          </cell>
          <cell r="B31" t="str">
            <v>Sơn cửa chớp tôn thang TB1, TB2 tầng: 01, 02, 03, 04, 05, 06, 07, 08, 09, 10, 11, áp mái (một nước sơn chống rỉ, hai nước sơn màu, mã màu: G-73)</v>
          </cell>
          <cell r="C31" t="str">
            <v>SCT-02</v>
          </cell>
          <cell r="D31" t="str">
            <v>8h30</v>
          </cell>
          <cell r="E31" t="str">
            <v>9h30</v>
          </cell>
          <cell r="F31">
            <v>6</v>
          </cell>
          <cell r="G31">
            <v>12</v>
          </cell>
          <cell r="H31">
            <v>2015</v>
          </cell>
          <cell r="I31" t="str">
            <v>Hà Nội, ngày 6 tháng 12 năm 2015</v>
          </cell>
          <cell r="J31" t="str">
            <v>8h30 ngày 6 tháng 12 năm 2015</v>
          </cell>
          <cell r="K31" t="str">
            <v>9h30 ngày 6 tháng 12 năm 2015</v>
          </cell>
          <cell r="L31" t="str">
            <v>10h00</v>
          </cell>
          <cell r="M31" t="str">
            <v>11h00</v>
          </cell>
          <cell r="N31">
            <v>6</v>
          </cell>
          <cell r="O31">
            <v>12</v>
          </cell>
          <cell r="P31">
            <v>2015</v>
          </cell>
          <cell r="Q31" t="str">
            <v>Hà Nội, ngày 6 tháng 12 năm 2015</v>
          </cell>
          <cell r="R31" t="str">
            <v>10h00 ngày 6 tháng 12 năm 2015</v>
          </cell>
          <cell r="S31" t="str">
            <v>11h00 ngày 6 tháng 12 năm 2015</v>
          </cell>
          <cell r="T31" t="str">
            <v>10h00</v>
          </cell>
          <cell r="U31" t="str">
            <v>10h00 Ngày 6/12/2015</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N31" t="str">
            <v>KT-109; KT-107</v>
          </cell>
          <cell r="AQ31" t="str">
            <v>Ngày 6 Tháng 12 Năm 2015</v>
          </cell>
        </row>
        <row r="32">
          <cell r="D32" t="str">
            <v>……</v>
          </cell>
          <cell r="E32" t="str">
            <v>…….</v>
          </cell>
          <cell r="F32" t="str">
            <v>……</v>
          </cell>
          <cell r="G32" t="str">
            <v>…….</v>
          </cell>
          <cell r="H32" t="str">
            <v>……</v>
          </cell>
          <cell r="I32" t="str">
            <v>Hà Nội, ngày …… tháng ……. năm ……</v>
          </cell>
          <cell r="J32" t="str">
            <v>…… ngày …… tháng ……. năm ……</v>
          </cell>
          <cell r="K32" t="str">
            <v>……. ngày …… tháng ……. năm ……</v>
          </cell>
          <cell r="L32" t="str">
            <v>……</v>
          </cell>
          <cell r="M32" t="str">
            <v>……</v>
          </cell>
          <cell r="N32" t="str">
            <v>……</v>
          </cell>
          <cell r="O32" t="str">
            <v>…….</v>
          </cell>
          <cell r="P32" t="str">
            <v>……</v>
          </cell>
          <cell r="Q32" t="str">
            <v>Hà Nội, ngày …… tháng ……. năm ……</v>
          </cell>
          <cell r="R32" t="str">
            <v>…… ngày …… tháng ……. năm ……</v>
          </cell>
          <cell r="S32" t="str">
            <v>…… ngày …… tháng ……. năm ……</v>
          </cell>
          <cell r="T32" t="str">
            <v>……</v>
          </cell>
          <cell r="U32" t="str">
            <v>…… Ngày ……/……./……</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v>
          </cell>
        </row>
        <row r="33">
          <cell r="D33" t="str">
            <v>……</v>
          </cell>
          <cell r="E33" t="str">
            <v>…….</v>
          </cell>
          <cell r="F33" t="str">
            <v>……</v>
          </cell>
          <cell r="G33" t="str">
            <v>…….</v>
          </cell>
          <cell r="H33" t="str">
            <v>……</v>
          </cell>
          <cell r="I33" t="str">
            <v>Hà Nội, ngày …… tháng ……. năm ……</v>
          </cell>
          <cell r="J33" t="str">
            <v>…… ngày …… tháng ……. năm ……</v>
          </cell>
          <cell r="K33" t="str">
            <v>……. ngày …… tháng ……. năm ……</v>
          </cell>
          <cell r="L33" t="str">
            <v>……</v>
          </cell>
          <cell r="M33" t="str">
            <v>……</v>
          </cell>
          <cell r="N33" t="str">
            <v>……</v>
          </cell>
          <cell r="O33" t="str">
            <v>…….</v>
          </cell>
          <cell r="P33" t="str">
            <v>……</v>
          </cell>
          <cell r="Q33" t="str">
            <v>Hà Nội, ngày …… tháng ……. năm ……</v>
          </cell>
          <cell r="R33" t="str">
            <v>…… ngày …… tháng ……. năm ……</v>
          </cell>
          <cell r="S33" t="str">
            <v>…… ngày …… tháng ……. năm ……</v>
          </cell>
          <cell r="T33" t="str">
            <v>……</v>
          </cell>
          <cell r="U33" t="str">
            <v>…… Ngày ……/……./……</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 Tháng ……. Năm ……</v>
          </cell>
        </row>
        <row r="34">
          <cell r="D34" t="str">
            <v>……</v>
          </cell>
          <cell r="E34" t="str">
            <v>…….</v>
          </cell>
          <cell r="F34" t="str">
            <v>……</v>
          </cell>
          <cell r="G34" t="str">
            <v>…….</v>
          </cell>
          <cell r="H34" t="str">
            <v>……</v>
          </cell>
          <cell r="I34" t="str">
            <v>Hà Nội, ngày …… tháng ……. năm ……</v>
          </cell>
          <cell r="J34" t="str">
            <v>…… ngày …… tháng ……. năm ……</v>
          </cell>
          <cell r="K34" t="str">
            <v>……. ngày …… tháng ……. năm ……</v>
          </cell>
          <cell r="L34" t="str">
            <v>……</v>
          </cell>
          <cell r="M34" t="str">
            <v>……</v>
          </cell>
          <cell r="N34" t="str">
            <v>……</v>
          </cell>
          <cell r="O34" t="str">
            <v>…….</v>
          </cell>
          <cell r="P34" t="str">
            <v>……</v>
          </cell>
          <cell r="Q34" t="str">
            <v>Hà Nội, ngày …… tháng ……. năm ……</v>
          </cell>
          <cell r="R34" t="str">
            <v>…… ngày …… tháng ……. năm ……</v>
          </cell>
          <cell r="S34" t="str">
            <v>…… ngày …… tháng ……. năm ……</v>
          </cell>
          <cell r="T34" t="str">
            <v>……</v>
          </cell>
          <cell r="U34" t="str">
            <v>…… Ngày ……/……./……</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Q34" t="str">
            <v>Ngày …… Tháng ……. Năm ……</v>
          </cell>
        </row>
        <row r="35">
          <cell r="D35" t="str">
            <v>……</v>
          </cell>
          <cell r="E35" t="str">
            <v>…….</v>
          </cell>
          <cell r="F35" t="str">
            <v>……</v>
          </cell>
          <cell r="G35" t="str">
            <v>…….</v>
          </cell>
          <cell r="H35" t="str">
            <v>……</v>
          </cell>
          <cell r="I35" t="str">
            <v>Hà Nội, ngày …… tháng ……. năm ……</v>
          </cell>
          <cell r="J35" t="str">
            <v>…… ngày …… tháng ……. năm ……</v>
          </cell>
          <cell r="K35" t="str">
            <v>……. ngày …… tháng ……. năm ……</v>
          </cell>
          <cell r="L35" t="str">
            <v>……</v>
          </cell>
          <cell r="M35" t="str">
            <v>……</v>
          </cell>
          <cell r="N35" t="str">
            <v>……</v>
          </cell>
          <cell r="O35" t="str">
            <v>…….</v>
          </cell>
          <cell r="P35" t="str">
            <v>……</v>
          </cell>
          <cell r="Q35" t="str">
            <v>Hà Nội, ngày …… tháng ……. năm ……</v>
          </cell>
          <cell r="R35" t="str">
            <v>…… ngày …… tháng ……. năm ……</v>
          </cell>
          <cell r="S35" t="str">
            <v>…… ngày …… tháng ……. năm ……</v>
          </cell>
          <cell r="T35" t="str">
            <v>……</v>
          </cell>
          <cell r="U35" t="str">
            <v>…… Ngày ……/……./……</v>
          </cell>
          <cell r="V35" t="str">
            <v>Nguyễn Ái Việt</v>
          </cell>
          <cell r="W35" t="str">
            <v>Chỉ huy trưởng</v>
          </cell>
          <cell r="X35" t="str">
            <v>................................</v>
          </cell>
          <cell r="Y35" t="str">
            <v>................................</v>
          </cell>
          <cell r="Z35" t="str">
            <v>Nguyễn Văn Nghiễm</v>
          </cell>
          <cell r="AA35" t="str">
            <v>Cán bộ KCS</v>
          </cell>
          <cell r="AB35" t="str">
            <v>Vương Toàn Hiếu</v>
          </cell>
          <cell r="AC35" t="str">
            <v>Trưởng đoàn TVGS</v>
          </cell>
          <cell r="AD35" t="str">
            <v>Lê Thiều Nam</v>
          </cell>
          <cell r="AE35" t="str">
            <v>Cán bộ TVGS</v>
          </cell>
          <cell r="AF35" t="str">
            <v>................................</v>
          </cell>
          <cell r="AG35" t="str">
            <v>................................</v>
          </cell>
          <cell r="AH35" t="str">
            <v>Nguyễn Ái Việt</v>
          </cell>
          <cell r="AI35" t="str">
            <v>Chỉ huy trưởng</v>
          </cell>
          <cell r="AJ35" t="str">
            <v>Hoàng Chiến Thắng</v>
          </cell>
          <cell r="AK35" t="str">
            <v>P. Chỉ huy trưởng</v>
          </cell>
          <cell r="AL35" t="str">
            <v>Trịnh Quang Đức</v>
          </cell>
          <cell r="AM35" t="str">
            <v>Cán bộ kỹ thuật</v>
          </cell>
          <cell r="AQ35" t="str">
            <v>Ngày …… Tháng ……. Năm ……</v>
          </cell>
        </row>
        <row r="39">
          <cell r="A39">
            <v>1</v>
          </cell>
          <cell r="B39">
            <v>2</v>
          </cell>
          <cell r="C39">
            <v>3</v>
          </cell>
          <cell r="D39">
            <v>4</v>
          </cell>
          <cell r="E39">
            <v>5</v>
          </cell>
          <cell r="F39">
            <v>6</v>
          </cell>
          <cell r="G39">
            <v>7</v>
          </cell>
          <cell r="H39">
            <v>8</v>
          </cell>
          <cell r="I39">
            <v>9</v>
          </cell>
          <cell r="J39">
            <v>10</v>
          </cell>
          <cell r="K39">
            <v>11</v>
          </cell>
          <cell r="L39">
            <v>12</v>
          </cell>
          <cell r="M39">
            <v>13</v>
          </cell>
          <cell r="N39">
            <v>14</v>
          </cell>
          <cell r="O39">
            <v>15</v>
          </cell>
          <cell r="P39">
            <v>16</v>
          </cell>
          <cell r="Q39">
            <v>17</v>
          </cell>
          <cell r="R39">
            <v>18</v>
          </cell>
          <cell r="S39">
            <v>19</v>
          </cell>
          <cell r="T39">
            <v>20</v>
          </cell>
          <cell r="U39">
            <v>21</v>
          </cell>
          <cell r="V39">
            <v>22</v>
          </cell>
          <cell r="W39">
            <v>23</v>
          </cell>
          <cell r="X39">
            <v>24</v>
          </cell>
          <cell r="Y39">
            <v>25</v>
          </cell>
          <cell r="Z39">
            <v>26</v>
          </cell>
          <cell r="AA39">
            <v>27</v>
          </cell>
          <cell r="AB39">
            <v>28</v>
          </cell>
          <cell r="AC39">
            <v>29</v>
          </cell>
          <cell r="AD39">
            <v>30</v>
          </cell>
          <cell r="AE39">
            <v>31</v>
          </cell>
          <cell r="AF39">
            <v>32</v>
          </cell>
          <cell r="AG39">
            <v>33</v>
          </cell>
          <cell r="AH39">
            <v>34</v>
          </cell>
          <cell r="AI39">
            <v>35</v>
          </cell>
          <cell r="AJ39">
            <v>36</v>
          </cell>
          <cell r="AK39">
            <v>37</v>
          </cell>
          <cell r="AL39">
            <v>38</v>
          </cell>
          <cell r="AM39">
            <v>39</v>
          </cell>
          <cell r="AN39">
            <v>40</v>
          </cell>
          <cell r="AO39">
            <v>41</v>
          </cell>
          <cell r="AP39">
            <v>42</v>
          </cell>
          <cell r="AQ39">
            <v>43</v>
          </cell>
        </row>
      </sheetData>
      <sheetData sheetId="180"/>
      <sheetData sheetId="181">
        <row r="1">
          <cell r="A1" t="str">
            <v>CÔNG TY CP HỒNG HÀ VIỆT NAM</v>
          </cell>
          <cell r="C1" t="str">
            <v>CỘNG HÒA XÃ HỘI CHỦ NGHĨA VIỆT NAM</v>
          </cell>
        </row>
        <row r="2">
          <cell r="C2" t="str">
            <v>ĐỘC LẬP-TỰ DO -HẠNH PHÚC</v>
          </cell>
        </row>
        <row r="4">
          <cell r="A4" t="str">
            <v>VL CHỐNG THẤM</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Sika-01</v>
          </cell>
          <cell r="B10" t="str">
            <v>Vật liệu chống thấm Sika Grout-214-11 và Flinkote 3 kèm theo phiếu giao hàng ngày 9/8/2015</v>
          </cell>
          <cell r="C10" t="str">
            <v>Sika-01</v>
          </cell>
          <cell r="D10" t="str">
            <v>14h00</v>
          </cell>
          <cell r="E10" t="str">
            <v>15h00</v>
          </cell>
          <cell r="F10">
            <v>9</v>
          </cell>
          <cell r="G10">
            <v>8</v>
          </cell>
          <cell r="H10">
            <v>2015</v>
          </cell>
          <cell r="I10" t="str">
            <v>Hà Nội, ngày 9 tháng 8 năm 2015</v>
          </cell>
          <cell r="J10" t="str">
            <v>14h00 ngày 9 tháng 8 năm 2015</v>
          </cell>
          <cell r="K10" t="str">
            <v>15h00 ngày 9 tháng 8 năm 2015</v>
          </cell>
          <cell r="L10" t="str">
            <v>15h00</v>
          </cell>
          <cell r="M10" t="str">
            <v>16h00</v>
          </cell>
          <cell r="N10">
            <v>9</v>
          </cell>
          <cell r="O10">
            <v>8</v>
          </cell>
          <cell r="P10">
            <v>2015</v>
          </cell>
          <cell r="Q10" t="str">
            <v>Hà Nội, ngày 9 tháng 8 năm 2015</v>
          </cell>
          <cell r="R10" t="str">
            <v>15h00 ngày 9 tháng 8 năm 2015</v>
          </cell>
          <cell r="S10" t="str">
            <v>16h00 ngày 9 tháng 8 năm 2015</v>
          </cell>
          <cell r="T10" t="str">
            <v>15h00</v>
          </cell>
          <cell r="U10" t="str">
            <v>15h00 Ngày 9/8/2015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9 Tháng 8 Năm 2015</v>
          </cell>
        </row>
        <row r="11">
          <cell r="A11" t="str">
            <v>Sika-02</v>
          </cell>
          <cell r="B11" t="str">
            <v>Vật liệu Sika Grout-214-11 và keo Ramset G5 kèm theo phiếu giao hàng ngày 20/09/2015</v>
          </cell>
          <cell r="C11" t="str">
            <v>Sika-02</v>
          </cell>
          <cell r="D11" t="str">
            <v>8h15</v>
          </cell>
          <cell r="E11" t="str">
            <v>9h00</v>
          </cell>
          <cell r="F11">
            <v>20</v>
          </cell>
          <cell r="G11">
            <v>9</v>
          </cell>
          <cell r="H11">
            <v>2015</v>
          </cell>
          <cell r="I11" t="str">
            <v>Hà Nội, ngày 20 tháng 9 năm 2015</v>
          </cell>
          <cell r="J11" t="str">
            <v>8h15 ngày 20 tháng 9 năm 2015</v>
          </cell>
          <cell r="K11" t="str">
            <v>9h00 ngày 20 tháng 9 năm 2015</v>
          </cell>
          <cell r="L11" t="str">
            <v>9h15</v>
          </cell>
          <cell r="M11" t="str">
            <v>10h00</v>
          </cell>
          <cell r="N11">
            <v>20</v>
          </cell>
          <cell r="O11">
            <v>9</v>
          </cell>
          <cell r="P11">
            <v>2015</v>
          </cell>
          <cell r="Q11" t="str">
            <v>Hà Nội, ngày 20 tháng 9 năm 2015</v>
          </cell>
          <cell r="R11" t="str">
            <v>9h15 ngày 20 tháng 9 năm 2015</v>
          </cell>
          <cell r="S11" t="str">
            <v>10h00 ngày 20 tháng 9 năm 2015</v>
          </cell>
          <cell r="T11" t="str">
            <v>9h15</v>
          </cell>
          <cell r="U11" t="str">
            <v>9h15 Ngày 20/9/2015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20 Tháng 9 Năm 2015</v>
          </cell>
        </row>
        <row r="12">
          <cell r="A12" t="str">
            <v>Sika-03</v>
          </cell>
          <cell r="C12" t="str">
            <v>Sika-03</v>
          </cell>
          <cell r="D12" t="str">
            <v>…..</v>
          </cell>
          <cell r="E12" t="str">
            <v>…..</v>
          </cell>
          <cell r="F12" t="str">
            <v>…..</v>
          </cell>
          <cell r="G12" t="str">
            <v>…..</v>
          </cell>
          <cell r="H12">
            <v>2015</v>
          </cell>
          <cell r="I12" t="str">
            <v>Hà Nội, ngày ….. tháng ….. năm 2015</v>
          </cell>
          <cell r="J12" t="str">
            <v>….. ngày ….. tháng ….. năm 2015</v>
          </cell>
          <cell r="K12" t="str">
            <v>….. ngày ….. tháng ….. năm 2015</v>
          </cell>
          <cell r="L12" t="str">
            <v>…..</v>
          </cell>
          <cell r="M12" t="str">
            <v>…..</v>
          </cell>
          <cell r="N12" t="str">
            <v>…..</v>
          </cell>
          <cell r="O12" t="str">
            <v>…..</v>
          </cell>
          <cell r="P12">
            <v>2015</v>
          </cell>
          <cell r="Q12" t="str">
            <v>Hà Nội, ngày ….. tháng ….. năm 2015</v>
          </cell>
          <cell r="R12" t="str">
            <v>….. ngày ….. tháng ….. năm 2015</v>
          </cell>
          <cell r="S12" t="str">
            <v>….. ngày ….. tháng ….. năm 2015</v>
          </cell>
          <cell r="T12" t="str">
            <v>…..</v>
          </cell>
          <cell r="U12" t="str">
            <v>….. Ngày …../…../2015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 Tháng ….. Năm 2015</v>
          </cell>
        </row>
        <row r="13">
          <cell r="A13" t="str">
            <v>Sika-04</v>
          </cell>
          <cell r="C13" t="str">
            <v>Sika-04</v>
          </cell>
          <cell r="D13" t="str">
            <v>…..</v>
          </cell>
          <cell r="E13" t="str">
            <v>…..</v>
          </cell>
          <cell r="F13" t="str">
            <v>…..</v>
          </cell>
          <cell r="G13" t="str">
            <v>…..</v>
          </cell>
          <cell r="H13">
            <v>2015</v>
          </cell>
          <cell r="I13" t="str">
            <v>Hà Nội, ngày ….. tháng ….. năm 2015</v>
          </cell>
          <cell r="J13" t="str">
            <v>….. ngày ….. tháng ….. năm 2015</v>
          </cell>
          <cell r="K13" t="str">
            <v>….. ngày ….. tháng ….. năm 2015</v>
          </cell>
          <cell r="L13" t="str">
            <v>…..</v>
          </cell>
          <cell r="M13" t="str">
            <v>…..</v>
          </cell>
          <cell r="N13" t="str">
            <v>…..</v>
          </cell>
          <cell r="O13" t="str">
            <v>…..</v>
          </cell>
          <cell r="P13">
            <v>2015</v>
          </cell>
          <cell r="Q13" t="str">
            <v>Hà Nội, ngày ….. tháng ….. năm 2015</v>
          </cell>
          <cell r="R13" t="str">
            <v>….. ngày ….. tháng ….. năm 2015</v>
          </cell>
          <cell r="S13" t="str">
            <v>….. ngày ….. tháng ….. năm 2015</v>
          </cell>
          <cell r="T13" t="str">
            <v>…..</v>
          </cell>
          <cell r="U13" t="str">
            <v>….. Ngày …../…../2015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 Tháng ….. Năm 2015</v>
          </cell>
        </row>
        <row r="14">
          <cell r="A14" t="str">
            <v>Sika-05</v>
          </cell>
          <cell r="C14" t="str">
            <v>Sika-05</v>
          </cell>
          <cell r="D14" t="str">
            <v>…..</v>
          </cell>
          <cell r="E14" t="str">
            <v>…..</v>
          </cell>
          <cell r="F14" t="str">
            <v>…..</v>
          </cell>
          <cell r="G14" t="str">
            <v>…..</v>
          </cell>
          <cell r="H14">
            <v>2015</v>
          </cell>
          <cell r="I14" t="str">
            <v>Hà Nội, ngày ….. tháng ….. năm 2015</v>
          </cell>
          <cell r="J14" t="str">
            <v>….. ngày ….. tháng ….. năm 2015</v>
          </cell>
          <cell r="K14" t="str">
            <v>….. ngày ….. tháng ….. năm 2015</v>
          </cell>
          <cell r="L14" t="str">
            <v>…..</v>
          </cell>
          <cell r="M14" t="str">
            <v>…..</v>
          </cell>
          <cell r="N14" t="str">
            <v>…..</v>
          </cell>
          <cell r="O14" t="str">
            <v>…..</v>
          </cell>
          <cell r="P14">
            <v>2015</v>
          </cell>
          <cell r="Q14" t="str">
            <v>Hà Nội, ngày ….. tháng ….. năm 2015</v>
          </cell>
          <cell r="R14" t="str">
            <v>….. ngày ….. tháng ….. năm 2015</v>
          </cell>
          <cell r="S14" t="str">
            <v>….. ngày ….. tháng ….. năm 2015</v>
          </cell>
          <cell r="T14" t="str">
            <v>…..</v>
          </cell>
          <cell r="U14" t="str">
            <v>….. Ngày …../…../2015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 Tháng ….. Năm 2015</v>
          </cell>
        </row>
        <row r="15">
          <cell r="A15" t="str">
            <v>Sika-06</v>
          </cell>
          <cell r="C15" t="str">
            <v>Sika-06</v>
          </cell>
          <cell r="D15" t="str">
            <v>…..</v>
          </cell>
          <cell r="E15" t="str">
            <v>…..</v>
          </cell>
          <cell r="F15" t="str">
            <v>…..</v>
          </cell>
          <cell r="G15" t="str">
            <v>…..</v>
          </cell>
          <cell r="H15">
            <v>2015</v>
          </cell>
          <cell r="I15" t="str">
            <v>Hà Nội, ngày ….. tháng ….. năm 2015</v>
          </cell>
          <cell r="J15" t="str">
            <v>….. ngày ….. tháng ….. năm 2015</v>
          </cell>
          <cell r="K15" t="str">
            <v>….. ngày ….. tháng ….. năm 2015</v>
          </cell>
          <cell r="L15" t="str">
            <v>…..</v>
          </cell>
          <cell r="M15" t="str">
            <v>…..</v>
          </cell>
          <cell r="N15" t="str">
            <v>…..</v>
          </cell>
          <cell r="O15" t="str">
            <v>…..</v>
          </cell>
          <cell r="P15">
            <v>2015</v>
          </cell>
          <cell r="Q15" t="str">
            <v>Hà Nội, ngày ….. tháng ….. năm 2015</v>
          </cell>
          <cell r="R15" t="str">
            <v>….. ngày ….. tháng ….. năm 2015</v>
          </cell>
          <cell r="S15" t="str">
            <v>….. ngày ….. tháng ….. năm 2015</v>
          </cell>
          <cell r="T15" t="str">
            <v>…..</v>
          </cell>
          <cell r="U15" t="str">
            <v>…..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2015</v>
          </cell>
        </row>
        <row r="16">
          <cell r="A16" t="str">
            <v>Sika-07</v>
          </cell>
          <cell r="C16" t="str">
            <v>Sika-07</v>
          </cell>
          <cell r="D16" t="str">
            <v>…..</v>
          </cell>
          <cell r="E16" t="str">
            <v>…..</v>
          </cell>
          <cell r="F16" t="str">
            <v>…..</v>
          </cell>
          <cell r="G16" t="str">
            <v>…..</v>
          </cell>
          <cell r="H16">
            <v>2015</v>
          </cell>
          <cell r="I16" t="str">
            <v>Hà Nội, ngày ….. tháng ….. năm 2015</v>
          </cell>
          <cell r="J16" t="str">
            <v>….. ngày ….. tháng ….. năm 2015</v>
          </cell>
          <cell r="K16" t="str">
            <v>….. ngày ….. tháng ….. năm 2015</v>
          </cell>
          <cell r="L16" t="str">
            <v>…..</v>
          </cell>
          <cell r="M16" t="str">
            <v>…..</v>
          </cell>
          <cell r="N16" t="str">
            <v>…..</v>
          </cell>
          <cell r="O16" t="str">
            <v>…..</v>
          </cell>
          <cell r="P16">
            <v>2015</v>
          </cell>
          <cell r="Q16" t="str">
            <v>Hà Nội, ngày ….. tháng ….. năm 2015</v>
          </cell>
          <cell r="R16" t="str">
            <v>….. ngày ….. tháng ….. năm 2015</v>
          </cell>
          <cell r="S16" t="str">
            <v>….. ngày ….. tháng ….. năm 2015</v>
          </cell>
          <cell r="T16" t="str">
            <v>…..</v>
          </cell>
          <cell r="U16" t="str">
            <v>…..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SON-08</v>
          </cell>
          <cell r="C17" t="str">
            <v>SON-08</v>
          </cell>
          <cell r="D17" t="str">
            <v>…..</v>
          </cell>
          <cell r="E17" t="str">
            <v>…..</v>
          </cell>
          <cell r="F17" t="str">
            <v>…..</v>
          </cell>
          <cell r="G17" t="str">
            <v>…..</v>
          </cell>
          <cell r="H17">
            <v>2015</v>
          </cell>
          <cell r="I17" t="str">
            <v>Hà Nội, ngày ….. tháng ….. năm 2015</v>
          </cell>
          <cell r="J17" t="str">
            <v>….. ngày ….. tháng ….. năm 2015</v>
          </cell>
          <cell r="K17" t="str">
            <v>….. ngày ….. tháng ….. năm 2015</v>
          </cell>
          <cell r="L17" t="str">
            <v>…..</v>
          </cell>
          <cell r="M17" t="str">
            <v>…..</v>
          </cell>
          <cell r="N17" t="str">
            <v>…..</v>
          </cell>
          <cell r="O17" t="str">
            <v>…..</v>
          </cell>
          <cell r="P17">
            <v>2015</v>
          </cell>
          <cell r="Q17" t="str">
            <v>Hà Nội, ngày ….. tháng ….. năm 2015</v>
          </cell>
          <cell r="R17" t="str">
            <v>….. ngày ….. tháng ….. năm 2015</v>
          </cell>
          <cell r="S17" t="str">
            <v>….. ngày ….. tháng ….. năm 2015</v>
          </cell>
          <cell r="T17" t="str">
            <v>…..</v>
          </cell>
          <cell r="U17" t="str">
            <v>…..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t="str">
            <v>SON-09</v>
          </cell>
          <cell r="C18" t="str">
            <v>SON-09</v>
          </cell>
          <cell r="D18" t="str">
            <v>…..</v>
          </cell>
          <cell r="E18" t="str">
            <v>…..</v>
          </cell>
          <cell r="F18" t="str">
            <v>…..</v>
          </cell>
          <cell r="G18" t="str">
            <v>…..</v>
          </cell>
          <cell r="H18">
            <v>2015</v>
          </cell>
          <cell r="I18" t="str">
            <v>Hà Nội, ngày ….. tháng ….. năm 2015</v>
          </cell>
          <cell r="J18" t="str">
            <v>….. ngày ….. tháng ….. năm 2015</v>
          </cell>
          <cell r="K18" t="str">
            <v>….. ngày ….. tháng ….. năm 2015</v>
          </cell>
          <cell r="L18" t="str">
            <v>…..</v>
          </cell>
          <cell r="M18" t="str">
            <v>…..</v>
          </cell>
          <cell r="N18" t="str">
            <v>…..</v>
          </cell>
          <cell r="O18" t="str">
            <v>…..</v>
          </cell>
          <cell r="P18">
            <v>2015</v>
          </cell>
          <cell r="Q18" t="str">
            <v>Hà Nội, ngày ….. tháng ….. năm 2015</v>
          </cell>
          <cell r="R18" t="str">
            <v>….. ngày ….. tháng ….. năm 2015</v>
          </cell>
          <cell r="S18" t="str">
            <v>….. ngày ….. tháng ….. năm 2015</v>
          </cell>
          <cell r="T18" t="str">
            <v>…..</v>
          </cell>
          <cell r="U18" t="str">
            <v>…..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t="str">
            <v>SON-10</v>
          </cell>
          <cell r="C19" t="str">
            <v>SON-10</v>
          </cell>
          <cell r="D19" t="str">
            <v>…..</v>
          </cell>
          <cell r="E19" t="str">
            <v>…..</v>
          </cell>
          <cell r="F19" t="str">
            <v>…..</v>
          </cell>
          <cell r="G19" t="str">
            <v>…..</v>
          </cell>
          <cell r="H19">
            <v>2015</v>
          </cell>
          <cell r="I19" t="str">
            <v>Hà Nội, ngày ….. tháng ….. năm 2015</v>
          </cell>
          <cell r="J19" t="str">
            <v>….. ngày ….. tháng ….. năm 2015</v>
          </cell>
          <cell r="K19" t="str">
            <v>….. ngày ….. tháng ….. năm 2015</v>
          </cell>
          <cell r="L19" t="str">
            <v>…..</v>
          </cell>
          <cell r="M19" t="str">
            <v>…..</v>
          </cell>
          <cell r="N19" t="str">
            <v>…..</v>
          </cell>
          <cell r="O19" t="str">
            <v>…..</v>
          </cell>
          <cell r="P19">
            <v>2015</v>
          </cell>
          <cell r="Q19" t="str">
            <v>Hà Nội, ngày ….. tháng ….. năm 2015</v>
          </cell>
          <cell r="R19" t="str">
            <v>….. ngày ….. tháng ….. năm 2015</v>
          </cell>
          <cell r="S19" t="str">
            <v>….. ngày ….. tháng ….. năm 2015</v>
          </cell>
          <cell r="T19" t="str">
            <v>…..</v>
          </cell>
          <cell r="U19" t="str">
            <v>…..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t="str">
            <v>SON-11</v>
          </cell>
          <cell r="C20" t="str">
            <v>SON-11</v>
          </cell>
          <cell r="D20" t="str">
            <v>…..</v>
          </cell>
          <cell r="E20" t="str">
            <v>…..</v>
          </cell>
          <cell r="F20" t="str">
            <v>…..</v>
          </cell>
          <cell r="G20" t="str">
            <v>…..</v>
          </cell>
          <cell r="H20">
            <v>2015</v>
          </cell>
          <cell r="I20" t="str">
            <v>Hà Nội, ngày ….. tháng ….. năm 2015</v>
          </cell>
          <cell r="J20" t="str">
            <v>….. ngày ….. tháng ….. năm 2015</v>
          </cell>
          <cell r="K20" t="str">
            <v>….. ngày ….. tháng ….. năm 2015</v>
          </cell>
          <cell r="L20" t="str">
            <v>…..</v>
          </cell>
          <cell r="M20" t="str">
            <v>…..</v>
          </cell>
          <cell r="N20" t="str">
            <v>…..</v>
          </cell>
          <cell r="O20" t="str">
            <v>…..</v>
          </cell>
          <cell r="P20">
            <v>2015</v>
          </cell>
          <cell r="Q20" t="str">
            <v>Hà Nội, ngày ….. tháng ….. năm 2015</v>
          </cell>
          <cell r="R20" t="str">
            <v>….. ngày ….. tháng ….. năm 2015</v>
          </cell>
          <cell r="S20" t="str">
            <v>….. ngày ….. tháng ….. năm 2015</v>
          </cell>
          <cell r="T20" t="str">
            <v>…..</v>
          </cell>
          <cell r="U20" t="str">
            <v>…..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v>
          </cell>
          <cell r="M21" t="str">
            <v>…..</v>
          </cell>
          <cell r="N21" t="str">
            <v>…..</v>
          </cell>
          <cell r="O21" t="str">
            <v>…..</v>
          </cell>
          <cell r="P21">
            <v>2015</v>
          </cell>
          <cell r="Q21" t="str">
            <v>Hà Nội, ngày ….. tháng ….. năm 2015</v>
          </cell>
          <cell r="R21" t="str">
            <v>….. ngày ….. tháng ….. năm 2015</v>
          </cell>
          <cell r="S21" t="str">
            <v>….. ngày ….. tháng ….. năm 2015</v>
          </cell>
          <cell r="T21" t="str">
            <v>…..</v>
          </cell>
          <cell r="U21" t="str">
            <v>…..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A22">
            <v>0</v>
          </cell>
          <cell r="D22" t="str">
            <v>…..</v>
          </cell>
          <cell r="E22" t="str">
            <v>…..</v>
          </cell>
          <cell r="F22" t="str">
            <v>…..</v>
          </cell>
          <cell r="G22" t="str">
            <v>…..</v>
          </cell>
          <cell r="H22">
            <v>2015</v>
          </cell>
          <cell r="I22" t="str">
            <v>Hà Nội, ngày ….. tháng ….. năm 2015</v>
          </cell>
          <cell r="J22" t="str">
            <v>….. ngày ….. tháng ….. năm 2015</v>
          </cell>
          <cell r="K22" t="str">
            <v>….. ngày ….. tháng ….. năm 2015</v>
          </cell>
          <cell r="L22" t="str">
            <v>…..</v>
          </cell>
          <cell r="M22" t="str">
            <v>…..</v>
          </cell>
          <cell r="N22" t="str">
            <v>…..</v>
          </cell>
          <cell r="O22" t="str">
            <v>…..</v>
          </cell>
          <cell r="P22">
            <v>2015</v>
          </cell>
          <cell r="Q22" t="str">
            <v>Hà Nội, ngày ….. tháng ….. năm 2015</v>
          </cell>
          <cell r="R22" t="str">
            <v>….. ngày ….. tháng ….. năm 2015</v>
          </cell>
          <cell r="S22" t="str">
            <v>….. ngày ….. tháng ….. năm 2015</v>
          </cell>
          <cell r="T22" t="str">
            <v>…..</v>
          </cell>
          <cell r="U22" t="str">
            <v>….. Ngày …../…../2015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2015</v>
          </cell>
        </row>
        <row r="23">
          <cell r="A23">
            <v>0</v>
          </cell>
          <cell r="D23" t="str">
            <v>…..</v>
          </cell>
          <cell r="E23" t="str">
            <v>…..</v>
          </cell>
          <cell r="F23" t="str">
            <v>…..</v>
          </cell>
          <cell r="G23" t="str">
            <v>…..</v>
          </cell>
          <cell r="H23">
            <v>2015</v>
          </cell>
          <cell r="I23" t="str">
            <v>Hà Nội, ngày ….. tháng ….. năm 2015</v>
          </cell>
          <cell r="J23" t="str">
            <v>….. ngày ….. tháng ….. năm 2015</v>
          </cell>
          <cell r="K23" t="str">
            <v>….. ngày ….. tháng ….. năm 2015</v>
          </cell>
          <cell r="L23" t="str">
            <v>…..</v>
          </cell>
          <cell r="M23" t="str">
            <v>…..</v>
          </cell>
          <cell r="N23" t="str">
            <v>…..</v>
          </cell>
          <cell r="O23" t="str">
            <v>…..</v>
          </cell>
          <cell r="P23">
            <v>2015</v>
          </cell>
          <cell r="Q23" t="str">
            <v>Hà Nội, ngày ….. tháng ….. năm 2015</v>
          </cell>
          <cell r="R23" t="str">
            <v>….. ngày ….. tháng ….. năm 2015</v>
          </cell>
          <cell r="S23" t="str">
            <v>….. ngày ….. tháng ….. năm 2015</v>
          </cell>
          <cell r="T23" t="str">
            <v>…..</v>
          </cell>
          <cell r="U23" t="str">
            <v>….. Ngày …../…../2015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2015</v>
          </cell>
        </row>
        <row r="24">
          <cell r="A24">
            <v>0</v>
          </cell>
          <cell r="D24" t="str">
            <v>…..</v>
          </cell>
          <cell r="E24" t="str">
            <v>…..</v>
          </cell>
          <cell r="F24" t="str">
            <v>…..</v>
          </cell>
          <cell r="G24" t="str">
            <v>…..</v>
          </cell>
          <cell r="H24">
            <v>2015</v>
          </cell>
          <cell r="I24" t="str">
            <v>Hà Nội, ngày ….. tháng ….. năm 2015</v>
          </cell>
          <cell r="J24" t="str">
            <v>….. ngày ….. tháng ….. năm 2015</v>
          </cell>
          <cell r="K24" t="str">
            <v>….. ngày ….. tháng ….. năm 2015</v>
          </cell>
          <cell r="L24" t="str">
            <v>……</v>
          </cell>
          <cell r="M24" t="str">
            <v>……</v>
          </cell>
          <cell r="N24" t="str">
            <v>…..</v>
          </cell>
          <cell r="O24" t="str">
            <v>…..</v>
          </cell>
          <cell r="P24">
            <v>2015</v>
          </cell>
          <cell r="Q24" t="str">
            <v>Hà Nội, ngày ….. tháng ….. năm 2015</v>
          </cell>
          <cell r="R24" t="str">
            <v>…… ngày ….. tháng ….. năm 2015</v>
          </cell>
          <cell r="S24" t="str">
            <v>…… ngày ….. tháng ….. năm 2015</v>
          </cell>
          <cell r="T24" t="str">
            <v>……</v>
          </cell>
          <cell r="U24" t="str">
            <v>…… Ngày …../…../2015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2015</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29">
          <cell r="D29" t="str">
            <v>……</v>
          </cell>
          <cell r="E29" t="str">
            <v>…….</v>
          </cell>
          <cell r="F29" t="str">
            <v>……</v>
          </cell>
          <cell r="G29" t="str">
            <v>…….</v>
          </cell>
          <cell r="H29" t="str">
            <v>……</v>
          </cell>
          <cell r="I29" t="str">
            <v>Hà Nội, ngày …… tháng ……. năm ……</v>
          </cell>
          <cell r="J29" t="str">
            <v>…… ngày …… tháng ……. năm ……</v>
          </cell>
          <cell r="K29" t="str">
            <v>……. ngày …… tháng ……. năm ……</v>
          </cell>
          <cell r="L29" t="str">
            <v>……</v>
          </cell>
          <cell r="M29" t="str">
            <v>……</v>
          </cell>
          <cell r="N29" t="str">
            <v>……</v>
          </cell>
          <cell r="O29" t="str">
            <v>…….</v>
          </cell>
          <cell r="P29" t="str">
            <v>……</v>
          </cell>
          <cell r="Q29" t="str">
            <v>Hà Nội, ngày …… tháng ……. năm ……</v>
          </cell>
          <cell r="R29" t="str">
            <v>…… ngày …… tháng ……. năm ……</v>
          </cell>
          <cell r="S29" t="str">
            <v>…… ngày …… tháng ……. năm ……</v>
          </cell>
          <cell r="T29" t="str">
            <v>……</v>
          </cell>
          <cell r="U29" t="str">
            <v>…… Ngày ……/……./……</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 Tháng ……. Năm ……</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v>
          </cell>
        </row>
        <row r="35">
          <cell r="A35">
            <v>1</v>
          </cell>
          <cell r="B35">
            <v>2</v>
          </cell>
          <cell r="C35">
            <v>3</v>
          </cell>
          <cell r="D35">
            <v>4</v>
          </cell>
          <cell r="E35">
            <v>5</v>
          </cell>
          <cell r="F35">
            <v>6</v>
          </cell>
          <cell r="G35">
            <v>7</v>
          </cell>
          <cell r="H35">
            <v>8</v>
          </cell>
          <cell r="I35">
            <v>9</v>
          </cell>
          <cell r="J35">
            <v>10</v>
          </cell>
          <cell r="K35">
            <v>11</v>
          </cell>
          <cell r="L35">
            <v>12</v>
          </cell>
          <cell r="M35">
            <v>13</v>
          </cell>
          <cell r="N35">
            <v>14</v>
          </cell>
          <cell r="O35">
            <v>15</v>
          </cell>
          <cell r="P35">
            <v>16</v>
          </cell>
          <cell r="Q35">
            <v>17</v>
          </cell>
          <cell r="R35">
            <v>18</v>
          </cell>
          <cell r="S35">
            <v>19</v>
          </cell>
          <cell r="T35">
            <v>20</v>
          </cell>
          <cell r="U35">
            <v>21</v>
          </cell>
          <cell r="V35">
            <v>22</v>
          </cell>
          <cell r="W35">
            <v>23</v>
          </cell>
          <cell r="X35">
            <v>24</v>
          </cell>
          <cell r="Y35">
            <v>25</v>
          </cell>
          <cell r="Z35">
            <v>26</v>
          </cell>
          <cell r="AA35">
            <v>27</v>
          </cell>
          <cell r="AB35">
            <v>28</v>
          </cell>
          <cell r="AC35">
            <v>29</v>
          </cell>
          <cell r="AD35">
            <v>30</v>
          </cell>
          <cell r="AE35">
            <v>31</v>
          </cell>
          <cell r="AF35">
            <v>32</v>
          </cell>
          <cell r="AG35">
            <v>33</v>
          </cell>
          <cell r="AH35">
            <v>34</v>
          </cell>
          <cell r="AI35">
            <v>35</v>
          </cell>
          <cell r="AJ35">
            <v>36</v>
          </cell>
          <cell r="AK35">
            <v>37</v>
          </cell>
          <cell r="AL35">
            <v>38</v>
          </cell>
          <cell r="AM35">
            <v>39</v>
          </cell>
          <cell r="AN35">
            <v>40</v>
          </cell>
          <cell r="AO35">
            <v>41</v>
          </cell>
          <cell r="AP35">
            <v>42</v>
          </cell>
          <cell r="AQ35">
            <v>43</v>
          </cell>
        </row>
      </sheetData>
      <sheetData sheetId="182"/>
      <sheetData sheetId="183"/>
      <sheetData sheetId="184">
        <row r="1">
          <cell r="A1" t="str">
            <v>CÔNG TY CP HỒNG HÀ VIỆT NAM</v>
          </cell>
          <cell r="C1" t="str">
            <v>CỘNG HÒA XÃ HỘI CHỦ NGHĨA VIỆT NAM</v>
          </cell>
        </row>
        <row r="2">
          <cell r="C2" t="str">
            <v>ĐỘC LẬP-TỰ DO -HẠNH PHÚC</v>
          </cell>
        </row>
        <row r="3">
          <cell r="U3" t="str">
            <v>FILE IN CV</v>
          </cell>
          <cell r="V3" t="str">
            <v>FILE IN VL</v>
          </cell>
        </row>
        <row r="4">
          <cell r="A4" t="str">
            <v>CAMERA</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CAM-01A</v>
          </cell>
          <cell r="B10" t="str">
            <v>Dây cáp đồng trục (75Ω-RG6), máng ghen luồn dây điện 80x40x2000, dây Cadisun VCTFK 2x1.5, dây Cadisun 2x2.5, ống luồn dây D20, hộp nối dây D110x110x50 và phụ kiện hệ thống camera kèm theo biên bản giao nhận hàng hóa ngày 17/9/2015</v>
          </cell>
          <cell r="C10" t="str">
            <v>CAM-01A</v>
          </cell>
          <cell r="D10" t="str">
            <v>14h00</v>
          </cell>
          <cell r="E10" t="str">
            <v>15h00</v>
          </cell>
          <cell r="F10">
            <v>17</v>
          </cell>
          <cell r="G10">
            <v>9</v>
          </cell>
          <cell r="H10">
            <v>2015</v>
          </cell>
          <cell r="I10" t="str">
            <v>Hà Nội, ngày 17 tháng 9 năm 2015</v>
          </cell>
          <cell r="J10" t="str">
            <v>14h00 ngày 17 tháng 9 năm 2015</v>
          </cell>
          <cell r="K10" t="str">
            <v>15h00 ngày 17 tháng 9 năm 2015</v>
          </cell>
          <cell r="L10" t="str">
            <v>15h30</v>
          </cell>
          <cell r="M10" t="str">
            <v>16h30</v>
          </cell>
          <cell r="N10">
            <v>17</v>
          </cell>
          <cell r="O10">
            <v>9</v>
          </cell>
          <cell r="P10">
            <v>2015</v>
          </cell>
          <cell r="Q10" t="str">
            <v>Hà Nội, ngày 17 tháng 9 năm 2015</v>
          </cell>
          <cell r="R10" t="str">
            <v>15h30 ngày 17 tháng 9 năm 2015</v>
          </cell>
          <cell r="S10" t="str">
            <v>16h30 ngày 17 tháng 9 năm 2015</v>
          </cell>
          <cell r="T10" t="str">
            <v>15h30</v>
          </cell>
          <cell r="U10" t="str">
            <v>15h30 Ngày 17/9/2015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17 Tháng 9 Năm 2015</v>
          </cell>
        </row>
        <row r="11">
          <cell r="A11" t="str">
            <v>CAM-01B</v>
          </cell>
          <cell r="B11" t="str">
            <v>Nghiệm thu thiết bị camera (Tivi, tủ rack, đầu ghi hình, bộ lưu điện, bộ chống sét) kèm theo biên bản giao nhận hàng hóa ngày 6/12/2015</v>
          </cell>
          <cell r="C11" t="str">
            <v>CAM-01B</v>
          </cell>
          <cell r="D11" t="str">
            <v>8h00</v>
          </cell>
          <cell r="E11" t="str">
            <v>9h30</v>
          </cell>
          <cell r="F11">
            <v>7</v>
          </cell>
          <cell r="G11">
            <v>12</v>
          </cell>
          <cell r="H11">
            <v>2015</v>
          </cell>
          <cell r="I11" t="str">
            <v>Hà Nội, ngày 7 tháng 12 năm 2015</v>
          </cell>
          <cell r="J11" t="str">
            <v>8h00 ngày 7 tháng 12 năm 2015</v>
          </cell>
          <cell r="K11" t="str">
            <v>9h30 ngày 7 tháng 12 năm 2015</v>
          </cell>
          <cell r="L11" t="str">
            <v>10h00</v>
          </cell>
          <cell r="M11" t="str">
            <v>11h30</v>
          </cell>
          <cell r="N11">
            <v>7</v>
          </cell>
          <cell r="O11">
            <v>12</v>
          </cell>
          <cell r="P11">
            <v>2015</v>
          </cell>
          <cell r="Q11" t="str">
            <v>Hà Nội, ngày 7 tháng 12 năm 2015</v>
          </cell>
          <cell r="R11" t="str">
            <v>10h00 ngày 7 tháng 12 năm 2015</v>
          </cell>
          <cell r="S11" t="str">
            <v>11h30 ngày 7 tháng 12 năm 2015</v>
          </cell>
          <cell r="T11" t="str">
            <v>10h00</v>
          </cell>
          <cell r="U11" t="str">
            <v>10h00 Ngày 7/12/2015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Q11" t="str">
            <v>Ngày 7 Tháng 12 Năm 2015</v>
          </cell>
        </row>
        <row r="12">
          <cell r="C12" t="str">
            <v>CAM-01C</v>
          </cell>
        </row>
        <row r="13">
          <cell r="C13" t="str">
            <v>CAM-01D</v>
          </cell>
        </row>
        <row r="15">
          <cell r="A15" t="str">
            <v>CAM-01</v>
          </cell>
          <cell r="B15" t="str">
            <v>Nghiệm thu lắp đặt ống nhựa luồn dây D20 mm và phụ kiện tầng 03, 04, 05</v>
          </cell>
          <cell r="C15" t="str">
            <v>CAM-01</v>
          </cell>
          <cell r="D15" t="str">
            <v>9h00</v>
          </cell>
          <cell r="E15" t="str">
            <v>10h00</v>
          </cell>
          <cell r="F15">
            <v>20</v>
          </cell>
          <cell r="G15">
            <v>9</v>
          </cell>
          <cell r="H15">
            <v>2015</v>
          </cell>
          <cell r="I15" t="str">
            <v>Hà Nội, ngày 20 tháng 9 năm 2015</v>
          </cell>
          <cell r="J15" t="str">
            <v>9h00 ngày 20 tháng 9 năm 2015</v>
          </cell>
          <cell r="K15" t="str">
            <v>10h00 ngày 20 tháng 9 năm 2015</v>
          </cell>
          <cell r="L15" t="str">
            <v>10h10</v>
          </cell>
          <cell r="M15" t="str">
            <v>11h00</v>
          </cell>
          <cell r="N15">
            <v>20</v>
          </cell>
          <cell r="O15">
            <v>9</v>
          </cell>
          <cell r="P15">
            <v>2015</v>
          </cell>
          <cell r="Q15" t="str">
            <v>Hà Nội, ngày 20 tháng 9 năm 2015</v>
          </cell>
          <cell r="R15" t="str">
            <v>10h10 ngày 20 tháng 9 năm 2015</v>
          </cell>
          <cell r="S15" t="str">
            <v>11h00 ngày 20 tháng 9 năm 2015</v>
          </cell>
          <cell r="T15" t="str">
            <v>10h10</v>
          </cell>
          <cell r="U15" t="str">
            <v>10h10 Ngày 20/9/2015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CCTV-03; CCTV-05</v>
          </cell>
          <cell r="AQ15" t="str">
            <v>Ngày 20 Tháng 9 Năm 2015</v>
          </cell>
        </row>
        <row r="16">
          <cell r="A16" t="str">
            <v>CAM-02</v>
          </cell>
          <cell r="B16" t="str">
            <v>Nghiệm thu lắp đặt ống nhựa luồn dây D20 mm và phụ kiện tầng 06, 07, 08</v>
          </cell>
          <cell r="C16" t="str">
            <v>CAM-02</v>
          </cell>
          <cell r="D16" t="str">
            <v>8h30</v>
          </cell>
          <cell r="E16" t="str">
            <v>9h30</v>
          </cell>
          <cell r="F16">
            <v>21</v>
          </cell>
          <cell r="G16">
            <v>9</v>
          </cell>
          <cell r="H16">
            <v>2015</v>
          </cell>
          <cell r="I16" t="str">
            <v>Hà Nội, ngày 21 tháng 9 năm 2015</v>
          </cell>
          <cell r="J16" t="str">
            <v>8h30 ngày 21 tháng 9 năm 2015</v>
          </cell>
          <cell r="K16" t="str">
            <v>9h30 ngày 21 tháng 9 năm 2015</v>
          </cell>
          <cell r="L16" t="str">
            <v>14h00</v>
          </cell>
          <cell r="M16" t="str">
            <v>15h00</v>
          </cell>
          <cell r="N16">
            <v>21</v>
          </cell>
          <cell r="O16">
            <v>9</v>
          </cell>
          <cell r="P16">
            <v>2015</v>
          </cell>
          <cell r="Q16" t="str">
            <v>Hà Nội, ngày 21 tháng 9 năm 2015</v>
          </cell>
          <cell r="R16" t="str">
            <v>14h00 ngày 21 tháng 9 năm 2015</v>
          </cell>
          <cell r="S16" t="str">
            <v>15h00 ngày 21 tháng 9 năm 2015</v>
          </cell>
          <cell r="T16" t="str">
            <v>14h00</v>
          </cell>
          <cell r="U16" t="str">
            <v>14h00 Ngày 21/9/2015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CCTV-03; CCTV-05</v>
          </cell>
          <cell r="AQ16" t="str">
            <v>Ngày 21 Tháng 9 Năm 2015</v>
          </cell>
        </row>
        <row r="17">
          <cell r="A17" t="str">
            <v>CAM-03</v>
          </cell>
          <cell r="B17" t="str">
            <v>Nghiệm thu lắp đặt ống nhựa luồn dây D20 mm và phụ kiện tầng 09, 10, 11</v>
          </cell>
          <cell r="C17" t="str">
            <v>CAM-03</v>
          </cell>
          <cell r="D17" t="str">
            <v>9h00</v>
          </cell>
          <cell r="E17" t="str">
            <v>10h00</v>
          </cell>
          <cell r="F17">
            <v>22</v>
          </cell>
          <cell r="G17">
            <v>9</v>
          </cell>
          <cell r="H17">
            <v>2015</v>
          </cell>
          <cell r="I17" t="str">
            <v>Hà Nội, ngày 22 tháng 9 năm 2015</v>
          </cell>
          <cell r="J17" t="str">
            <v>9h00 ngày 22 tháng 9 năm 2015</v>
          </cell>
          <cell r="K17" t="str">
            <v>10h00 ngày 22 tháng 9 năm 2015</v>
          </cell>
          <cell r="L17" t="str">
            <v>14h30</v>
          </cell>
          <cell r="M17" t="str">
            <v>15h30</v>
          </cell>
          <cell r="N17">
            <v>22</v>
          </cell>
          <cell r="O17">
            <v>9</v>
          </cell>
          <cell r="P17">
            <v>2015</v>
          </cell>
          <cell r="Q17" t="str">
            <v>Hà Nội, ngày 22 tháng 9 năm 2015</v>
          </cell>
          <cell r="R17" t="str">
            <v>14h30 ngày 22 tháng 9 năm 2015</v>
          </cell>
          <cell r="S17" t="str">
            <v>15h30 ngày 22 tháng 9 năm 2015</v>
          </cell>
          <cell r="T17" t="str">
            <v>14h30</v>
          </cell>
          <cell r="U17" t="str">
            <v>14h30 Ngày 22/9/2015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CCTV-03; CCTV-05</v>
          </cell>
          <cell r="AQ17" t="str">
            <v>Ngày 22 Tháng 9 Năm 2015</v>
          </cell>
        </row>
        <row r="18">
          <cell r="A18" t="str">
            <v>CAM-04</v>
          </cell>
          <cell r="B18" t="str">
            <v>Nghiệm thu kéo rải dây dẫn 2x1,5 mm; 2x2,5 mm dây cáp đồng trục 75Ω-RG6 tầng 03, 04, 05</v>
          </cell>
          <cell r="C18" t="str">
            <v>CAM-04</v>
          </cell>
          <cell r="D18" t="str">
            <v>8h00</v>
          </cell>
          <cell r="E18" t="str">
            <v>9h00</v>
          </cell>
          <cell r="F18">
            <v>23</v>
          </cell>
          <cell r="G18">
            <v>9</v>
          </cell>
          <cell r="H18">
            <v>2015</v>
          </cell>
          <cell r="I18" t="str">
            <v>Hà Nội, ngày 23 tháng 9 năm 2015</v>
          </cell>
          <cell r="J18" t="str">
            <v>8h00 ngày 23 tháng 9 năm 2015</v>
          </cell>
          <cell r="K18" t="str">
            <v>9h00 ngày 23 tháng 9 năm 2015</v>
          </cell>
          <cell r="L18" t="str">
            <v>9h30</v>
          </cell>
          <cell r="M18" t="str">
            <v>10h30</v>
          </cell>
          <cell r="N18">
            <v>23</v>
          </cell>
          <cell r="O18">
            <v>9</v>
          </cell>
          <cell r="P18">
            <v>2015</v>
          </cell>
          <cell r="Q18" t="str">
            <v>Hà Nội, ngày 23 tháng 9 năm 2015</v>
          </cell>
          <cell r="R18" t="str">
            <v>9h30 ngày 23 tháng 9 năm 2015</v>
          </cell>
          <cell r="S18" t="str">
            <v>10h30 ngày 23 tháng 9 năm 2015</v>
          </cell>
          <cell r="T18" t="str">
            <v>9h30</v>
          </cell>
          <cell r="U18" t="str">
            <v>9h30 Ngày 23/9/2015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CCTV-03; CCTV-05</v>
          </cell>
          <cell r="AQ18" t="str">
            <v>Ngày 23 Tháng 9 Năm 2015</v>
          </cell>
        </row>
        <row r="19">
          <cell r="A19" t="str">
            <v>CAM-05</v>
          </cell>
          <cell r="B19" t="str">
            <v>Nghiệm thu kéo rải dây dẫn 2x1,5 mm; 2x2,5 mm dây cáp đồng trục 75Ω-RG6 tầng 06, 07, 08</v>
          </cell>
          <cell r="C19" t="str">
            <v>CAM-05</v>
          </cell>
          <cell r="D19" t="str">
            <v>9h30</v>
          </cell>
          <cell r="E19" t="str">
            <v>10h30</v>
          </cell>
          <cell r="F19">
            <v>24</v>
          </cell>
          <cell r="G19">
            <v>9</v>
          </cell>
          <cell r="H19">
            <v>2015</v>
          </cell>
          <cell r="I19" t="str">
            <v>Hà Nội, ngày 24 tháng 9 năm 2015</v>
          </cell>
          <cell r="J19" t="str">
            <v>9h30 ngày 24 tháng 9 năm 2015</v>
          </cell>
          <cell r="K19" t="str">
            <v>10h30 ngày 24 tháng 9 năm 2015</v>
          </cell>
          <cell r="L19" t="str">
            <v>14h45</v>
          </cell>
          <cell r="M19" t="str">
            <v>15h45</v>
          </cell>
          <cell r="N19">
            <v>24</v>
          </cell>
          <cell r="O19">
            <v>9</v>
          </cell>
          <cell r="P19">
            <v>2015</v>
          </cell>
          <cell r="Q19" t="str">
            <v>Hà Nội, ngày 24 tháng 9 năm 2015</v>
          </cell>
          <cell r="R19" t="str">
            <v>14h45 ngày 24 tháng 9 năm 2015</v>
          </cell>
          <cell r="S19" t="str">
            <v>15h45 ngày 24 tháng 9 năm 2015</v>
          </cell>
          <cell r="T19" t="str">
            <v>14h45</v>
          </cell>
          <cell r="U19" t="str">
            <v>14h45 Ngày 24/9/2015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N19" t="str">
            <v>CCTV-03; CCTV-05</v>
          </cell>
          <cell r="AQ19" t="str">
            <v>Ngày 24 Tháng 9 Năm 2015</v>
          </cell>
        </row>
        <row r="20">
          <cell r="A20" t="str">
            <v>CAM-06</v>
          </cell>
          <cell r="B20" t="str">
            <v>Nghiệm thu kéo rải dây dẫn 2x1,5 mm; 2x2,5 mm dây cáp đồng trục 75Ω-RG6 tầng 09, 10, 11</v>
          </cell>
          <cell r="C20" t="str">
            <v>CAM-06</v>
          </cell>
          <cell r="D20" t="str">
            <v>8h15</v>
          </cell>
          <cell r="E20" t="str">
            <v>9h15</v>
          </cell>
          <cell r="F20">
            <v>25</v>
          </cell>
          <cell r="G20">
            <v>9</v>
          </cell>
          <cell r="H20">
            <v>2015</v>
          </cell>
          <cell r="I20" t="str">
            <v>Hà Nội, ngày 25 tháng 9 năm 2015</v>
          </cell>
          <cell r="J20" t="str">
            <v>8h15 ngày 25 tháng 9 năm 2015</v>
          </cell>
          <cell r="K20" t="str">
            <v>9h15 ngày 25 tháng 9 năm 2015</v>
          </cell>
          <cell r="L20" t="str">
            <v>14h15</v>
          </cell>
          <cell r="M20" t="str">
            <v>15h15</v>
          </cell>
          <cell r="N20">
            <v>25</v>
          </cell>
          <cell r="O20">
            <v>9</v>
          </cell>
          <cell r="P20">
            <v>2015</v>
          </cell>
          <cell r="Q20" t="str">
            <v>Hà Nội, ngày 25 tháng 9 năm 2015</v>
          </cell>
          <cell r="R20" t="str">
            <v>14h15 ngày 25 tháng 9 năm 2015</v>
          </cell>
          <cell r="S20" t="str">
            <v>15h15 ngày 25 tháng 9 năm 2015</v>
          </cell>
          <cell r="T20" t="str">
            <v>14h15</v>
          </cell>
          <cell r="U20" t="str">
            <v>14h15 Ngày 25/9/2015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N20" t="str">
            <v>CCTV-03; CCTV-05</v>
          </cell>
          <cell r="AQ20" t="str">
            <v>Ngày 25 Tháng 9 Năm 2015</v>
          </cell>
        </row>
        <row r="21">
          <cell r="A21" t="str">
            <v>CAM-07</v>
          </cell>
          <cell r="B21" t="str">
            <v>Nghiệm thu lắp đặt ống nhựa luồn dây D20 mm và phụ kiện tầng 01, 02</v>
          </cell>
          <cell r="C21" t="str">
            <v>CAM-07</v>
          </cell>
          <cell r="D21" t="str">
            <v>8h00</v>
          </cell>
          <cell r="E21" t="str">
            <v>9h00</v>
          </cell>
          <cell r="F21">
            <v>23</v>
          </cell>
          <cell r="G21">
            <v>11</v>
          </cell>
          <cell r="H21">
            <v>2015</v>
          </cell>
          <cell r="I21" t="str">
            <v>Hà Nội, ngày 23 tháng 11 năm 2015</v>
          </cell>
          <cell r="J21" t="str">
            <v>8h00 ngày 23 tháng 11 năm 2015</v>
          </cell>
          <cell r="K21" t="str">
            <v>9h00 ngày 23 tháng 11 năm 2015</v>
          </cell>
          <cell r="L21" t="str">
            <v>9h15</v>
          </cell>
          <cell r="M21" t="str">
            <v>10h00</v>
          </cell>
          <cell r="N21">
            <v>23</v>
          </cell>
          <cell r="O21">
            <v>11</v>
          </cell>
          <cell r="P21">
            <v>2015</v>
          </cell>
          <cell r="Q21" t="str">
            <v>Hà Nội, ngày 23 tháng 11 năm 2015</v>
          </cell>
          <cell r="R21" t="str">
            <v>9h15 ngày 23 tháng 11 năm 2015</v>
          </cell>
          <cell r="S21" t="str">
            <v>10h00 ngày 23 tháng 11 năm 2015</v>
          </cell>
          <cell r="T21" t="str">
            <v>9h15</v>
          </cell>
          <cell r="U21" t="str">
            <v>9h15 Ngày 23/11/2015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N21" t="str">
            <v>CCTV-01; CCTV-02; CCTV-05</v>
          </cell>
          <cell r="AQ21" t="str">
            <v>Ngày 23 Tháng 11 Năm 2015</v>
          </cell>
        </row>
        <row r="22">
          <cell r="A22" t="str">
            <v>CAM-08</v>
          </cell>
          <cell r="B22" t="str">
            <v>Nghiệm thu kéo rải dây dẫn 2x1,5 mm; 2x2,5 mm dây cáp đồng trục 75Ω-RG6 tầng 01, 02</v>
          </cell>
          <cell r="C22" t="str">
            <v>CAM-08</v>
          </cell>
          <cell r="D22" t="str">
            <v>9h00</v>
          </cell>
          <cell r="E22" t="str">
            <v>10h00</v>
          </cell>
          <cell r="F22">
            <v>24</v>
          </cell>
          <cell r="G22">
            <v>11</v>
          </cell>
          <cell r="H22">
            <v>2015</v>
          </cell>
          <cell r="I22" t="str">
            <v>Hà Nội, ngày 24 tháng 11 năm 2015</v>
          </cell>
          <cell r="J22" t="str">
            <v>9h00 ngày 24 tháng 11 năm 2015</v>
          </cell>
          <cell r="K22" t="str">
            <v>10h00 ngày 24 tháng 11 năm 2015</v>
          </cell>
          <cell r="L22" t="str">
            <v>10h15</v>
          </cell>
          <cell r="M22" t="str">
            <v>11h15</v>
          </cell>
          <cell r="N22">
            <v>24</v>
          </cell>
          <cell r="O22">
            <v>11</v>
          </cell>
          <cell r="P22">
            <v>2015</v>
          </cell>
          <cell r="Q22" t="str">
            <v>Hà Nội, ngày 24 tháng 11 năm 2015</v>
          </cell>
          <cell r="R22" t="str">
            <v>10h15 ngày 24 tháng 11 năm 2015</v>
          </cell>
          <cell r="S22" t="str">
            <v>11h15 ngày 24 tháng 11 năm 2015</v>
          </cell>
          <cell r="T22" t="str">
            <v>10h15</v>
          </cell>
          <cell r="U22" t="str">
            <v>10h15 Ngày 24/11/2015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N22" t="str">
            <v>CCTV-01; CCTV-02; CCTV-05</v>
          </cell>
          <cell r="AQ22" t="str">
            <v>Ngày 24 Tháng 11 Năm 2015</v>
          </cell>
        </row>
        <row r="23">
          <cell r="A23" t="str">
            <v>CAM-09</v>
          </cell>
          <cell r="B23" t="str">
            <v>Nghiệm thu lắp đặt ống luồn dây, kéo rải dây RG6, kéo rải dây điện 2x1,5 mm; 2x2,5 mm trong trục kỹ thuật từ tầng 1 đến tầng áp mái</v>
          </cell>
          <cell r="C23" t="str">
            <v>CAM-09</v>
          </cell>
          <cell r="D23" t="str">
            <v>8h00</v>
          </cell>
          <cell r="E23" t="str">
            <v>10h00</v>
          </cell>
          <cell r="F23">
            <v>25</v>
          </cell>
          <cell r="G23">
            <v>11</v>
          </cell>
          <cell r="H23">
            <v>2015</v>
          </cell>
          <cell r="I23" t="str">
            <v>Hà Nội, ngày 25 tháng 11 năm 2015</v>
          </cell>
          <cell r="J23" t="str">
            <v>8h00 ngày 25 tháng 11 năm 2015</v>
          </cell>
          <cell r="K23" t="str">
            <v>10h00 ngày 25 tháng 11 năm 2015</v>
          </cell>
          <cell r="L23" t="str">
            <v>14h30</v>
          </cell>
          <cell r="M23" t="str">
            <v>16h30</v>
          </cell>
          <cell r="N23">
            <v>25</v>
          </cell>
          <cell r="O23">
            <v>11</v>
          </cell>
          <cell r="P23">
            <v>2015</v>
          </cell>
          <cell r="Q23" t="str">
            <v>Hà Nội, ngày 25 tháng 11 năm 2015</v>
          </cell>
          <cell r="R23" t="str">
            <v>14h30 ngày 25 tháng 11 năm 2015</v>
          </cell>
          <cell r="S23" t="str">
            <v>16h30 ngày 25 tháng 11 năm 2015</v>
          </cell>
          <cell r="T23" t="str">
            <v>14h30</v>
          </cell>
          <cell r="U23" t="str">
            <v>14h30 Ngày 25/11/2015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N23" t="str">
            <v>CCTV-01÷CCTV-05</v>
          </cell>
          <cell r="AQ23" t="str">
            <v>Ngày 25 Tháng 11 Năm 2015</v>
          </cell>
        </row>
        <row r="24">
          <cell r="A24" t="str">
            <v>CAM-10</v>
          </cell>
          <cell r="B24" t="str">
            <v>Nghiệm thu lắp đặt tĩnh thiết bị camera Dome, Bullet từ tầng 3 đến tầng 11</v>
          </cell>
          <cell r="C24" t="str">
            <v>CAM-10</v>
          </cell>
          <cell r="D24" t="str">
            <v>8h00</v>
          </cell>
          <cell r="E24" t="str">
            <v>11h00</v>
          </cell>
          <cell r="F24">
            <v>8</v>
          </cell>
          <cell r="G24">
            <v>12</v>
          </cell>
          <cell r="H24">
            <v>2015</v>
          </cell>
          <cell r="I24" t="str">
            <v>Hà Nội, ngày 8 tháng 12 năm 2015</v>
          </cell>
          <cell r="J24" t="str">
            <v>8h00 ngày 8 tháng 12 năm 2015</v>
          </cell>
          <cell r="K24" t="str">
            <v>11h00 ngày 8 tháng 12 năm 2015</v>
          </cell>
          <cell r="L24" t="str">
            <v>14h30</v>
          </cell>
          <cell r="M24" t="str">
            <v>17h00</v>
          </cell>
          <cell r="N24">
            <v>8</v>
          </cell>
          <cell r="O24">
            <v>12</v>
          </cell>
          <cell r="P24">
            <v>2015</v>
          </cell>
          <cell r="Q24" t="str">
            <v>Hà Nội, ngày 8 tháng 12 năm 2015</v>
          </cell>
          <cell r="R24" t="str">
            <v>14h30 ngày 8 tháng 12 năm 2015</v>
          </cell>
          <cell r="S24" t="str">
            <v>17h00 ngày 8 tháng 12 năm 2015</v>
          </cell>
          <cell r="T24" t="str">
            <v>14h30</v>
          </cell>
          <cell r="U24" t="str">
            <v>14h30 Ngày 8/12/2015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8 Tháng 12 Năm 2015</v>
          </cell>
        </row>
        <row r="25">
          <cell r="A25" t="str">
            <v>CAM-11</v>
          </cell>
          <cell r="B25" t="str">
            <v>Nghiệm thu lắp đặt tĩnh thiết bị camera Dome, Bullet tầng 01, tầng 02</v>
          </cell>
          <cell r="C25" t="str">
            <v>CAM-11</v>
          </cell>
          <cell r="D25" t="str">
            <v>8h00</v>
          </cell>
          <cell r="E25" t="str">
            <v>11h05</v>
          </cell>
          <cell r="F25">
            <v>9</v>
          </cell>
          <cell r="G25">
            <v>12</v>
          </cell>
          <cell r="H25">
            <v>2015</v>
          </cell>
          <cell r="I25" t="str">
            <v>Hà Nội, ngày 9 tháng 12 năm 2015</v>
          </cell>
          <cell r="J25" t="str">
            <v>8h00 ngày 9 tháng 12 năm 2015</v>
          </cell>
          <cell r="K25" t="str">
            <v>11h05 ngày 9 tháng 12 năm 2015</v>
          </cell>
          <cell r="L25" t="str">
            <v>14h30</v>
          </cell>
          <cell r="M25" t="str">
            <v>17h05</v>
          </cell>
          <cell r="N25">
            <v>9</v>
          </cell>
          <cell r="O25">
            <v>12</v>
          </cell>
          <cell r="P25">
            <v>2015</v>
          </cell>
          <cell r="Q25" t="str">
            <v>Hà Nội, ngày 9 tháng 12 năm 2015</v>
          </cell>
          <cell r="R25" t="str">
            <v>14h30 ngày 9 tháng 12 năm 2015</v>
          </cell>
          <cell r="S25" t="str">
            <v>17h05 ngày 9 tháng 12 năm 2015</v>
          </cell>
          <cell r="T25" t="str">
            <v>14h30</v>
          </cell>
          <cell r="U25" t="str">
            <v>14h30 Ngày 9/12/2015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9 Tháng 12 Năm 2015</v>
          </cell>
        </row>
        <row r="26">
          <cell r="A26" t="str">
            <v>CAM-12</v>
          </cell>
          <cell r="B26" t="str">
            <v>Nghiệm thu lắp đặt tĩnh thiết bị camera (Tivi, tủ rack, đầu ghi hình, bộ lưu điện, bộ chống sét)</v>
          </cell>
          <cell r="C26" t="str">
            <v>CAM-12</v>
          </cell>
          <cell r="D26" t="str">
            <v>8h00</v>
          </cell>
          <cell r="E26" t="str">
            <v>10h45</v>
          </cell>
          <cell r="F26">
            <v>10</v>
          </cell>
          <cell r="G26">
            <v>12</v>
          </cell>
          <cell r="H26">
            <v>2015</v>
          </cell>
          <cell r="I26" t="str">
            <v>Hà Nội, ngày 10 tháng 12 năm 2015</v>
          </cell>
          <cell r="J26" t="str">
            <v>8h00 ngày 10 tháng 12 năm 2015</v>
          </cell>
          <cell r="K26" t="str">
            <v>10h45 ngày 10 tháng 12 năm 2015</v>
          </cell>
          <cell r="L26" t="str">
            <v>14h30</v>
          </cell>
          <cell r="M26" t="str">
            <v>17h15</v>
          </cell>
          <cell r="N26">
            <v>10</v>
          </cell>
          <cell r="O26">
            <v>12</v>
          </cell>
          <cell r="P26">
            <v>2015</v>
          </cell>
          <cell r="Q26" t="str">
            <v>Hà Nội, ngày 10 tháng 12 năm 2015</v>
          </cell>
          <cell r="R26" t="str">
            <v>14h30 ngày 10 tháng 12 năm 2015</v>
          </cell>
          <cell r="S26" t="str">
            <v>17h15 ngày 10 tháng 12 năm 2015</v>
          </cell>
          <cell r="T26" t="str">
            <v>14h30</v>
          </cell>
          <cell r="U26" t="str">
            <v>14h30 Ngày 10/12/2015</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10 Tháng 12 Năm 2015</v>
          </cell>
        </row>
        <row r="27">
          <cell r="A27" t="str">
            <v>CAM-13</v>
          </cell>
          <cell r="B27" t="str">
            <v>Nghiệm thu chạy đơn động không tải các thiết bị camera</v>
          </cell>
          <cell r="C27" t="str">
            <v>CAM-13</v>
          </cell>
          <cell r="D27" t="str">
            <v>8h00</v>
          </cell>
          <cell r="E27" t="str">
            <v>10h00</v>
          </cell>
          <cell r="F27">
            <v>11</v>
          </cell>
          <cell r="G27">
            <v>12</v>
          </cell>
          <cell r="H27">
            <v>2015</v>
          </cell>
          <cell r="I27" t="str">
            <v>Hà Nội, ngày 11 tháng 12 năm 2015</v>
          </cell>
          <cell r="J27" t="str">
            <v>8h00 ngày 11 tháng 12 năm 2015</v>
          </cell>
          <cell r="K27" t="str">
            <v>10h00 ngày 11 tháng 12 năm 2015</v>
          </cell>
          <cell r="L27" t="str">
            <v>14h30</v>
          </cell>
          <cell r="M27" t="str">
            <v>16h30</v>
          </cell>
          <cell r="N27">
            <v>11</v>
          </cell>
          <cell r="O27">
            <v>12</v>
          </cell>
          <cell r="P27">
            <v>2015</v>
          </cell>
          <cell r="Q27" t="str">
            <v>Hà Nội, ngày 11 tháng 12 năm 2015</v>
          </cell>
          <cell r="R27" t="str">
            <v>14h30 ngày 11 tháng 12 năm 2015</v>
          </cell>
          <cell r="S27" t="str">
            <v>16h30 ngày 11 tháng 12 năm 2015</v>
          </cell>
          <cell r="T27" t="str">
            <v>14h30</v>
          </cell>
          <cell r="U27" t="str">
            <v>14h30 Ngày 11/12/2015</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11 Tháng 12 Năm 2015</v>
          </cell>
        </row>
        <row r="28">
          <cell r="A28" t="str">
            <v>CAM-14</v>
          </cell>
          <cell r="B28" t="str">
            <v>Nghiệm thu chạy liên động không tải các thiết bị camera</v>
          </cell>
          <cell r="C28" t="str">
            <v>CAM-14</v>
          </cell>
          <cell r="D28" t="str">
            <v>8h00</v>
          </cell>
          <cell r="E28" t="str">
            <v>10h00</v>
          </cell>
          <cell r="F28">
            <v>12</v>
          </cell>
          <cell r="G28">
            <v>12</v>
          </cell>
          <cell r="H28">
            <v>2015</v>
          </cell>
          <cell r="I28" t="str">
            <v>Hà Nội, ngày 12 tháng 12 năm 2015</v>
          </cell>
          <cell r="J28" t="str">
            <v>8h00 ngày 12 tháng 12 năm 2015</v>
          </cell>
          <cell r="K28" t="str">
            <v>10h00 ngày 12 tháng 12 năm 2015</v>
          </cell>
          <cell r="L28" t="str">
            <v>14h30</v>
          </cell>
          <cell r="M28" t="str">
            <v>16h30</v>
          </cell>
          <cell r="N28">
            <v>12</v>
          </cell>
          <cell r="O28">
            <v>12</v>
          </cell>
          <cell r="P28">
            <v>2015</v>
          </cell>
          <cell r="Q28" t="str">
            <v>Hà Nội, ngày 12 tháng 12 năm 2015</v>
          </cell>
          <cell r="R28" t="str">
            <v>14h30 ngày 12 tháng 12 năm 2015</v>
          </cell>
          <cell r="S28" t="str">
            <v>16h30 ngày 12 tháng 12 năm 2015</v>
          </cell>
          <cell r="T28" t="str">
            <v>14h30</v>
          </cell>
          <cell r="U28" t="str">
            <v>14h30 Ngày 12/12/2015</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12 Tháng 12 Năm 2015</v>
          </cell>
        </row>
        <row r="29">
          <cell r="A29" t="str">
            <v>CAM-15</v>
          </cell>
          <cell r="B29" t="str">
            <v>Nghiệm thu chạy liên động có tải các thiết bị camera</v>
          </cell>
          <cell r="C29" t="str">
            <v>CAM-15</v>
          </cell>
          <cell r="D29" t="str">
            <v>8h00</v>
          </cell>
          <cell r="E29" t="str">
            <v>10h00</v>
          </cell>
          <cell r="F29">
            <v>14</v>
          </cell>
          <cell r="G29">
            <v>12</v>
          </cell>
          <cell r="H29">
            <v>2015</v>
          </cell>
          <cell r="I29" t="str">
            <v>Hà Nội, ngày 14 tháng 12 năm 2015</v>
          </cell>
          <cell r="J29" t="str">
            <v>8h00 ngày 14 tháng 12 năm 2015</v>
          </cell>
          <cell r="K29" t="str">
            <v>10h00 ngày 14 tháng 12 năm 2015</v>
          </cell>
          <cell r="L29" t="str">
            <v>14h30</v>
          </cell>
          <cell r="M29" t="str">
            <v>16h30</v>
          </cell>
          <cell r="N29">
            <v>14</v>
          </cell>
          <cell r="O29">
            <v>12</v>
          </cell>
          <cell r="P29">
            <v>2015</v>
          </cell>
          <cell r="Q29" t="str">
            <v>Hà Nội, ngày 14 tháng 12 năm 2015</v>
          </cell>
          <cell r="R29" t="str">
            <v>14h30 ngày 14 tháng 12 năm 2015</v>
          </cell>
          <cell r="S29" t="str">
            <v>16h30 ngày 14 tháng 12 năm 2015</v>
          </cell>
          <cell r="T29" t="str">
            <v>14h30</v>
          </cell>
          <cell r="U29" t="str">
            <v>14h30 Ngày 14/12/2015</v>
          </cell>
          <cell r="V29" t="str">
            <v>Nguyễn Ái Việt</v>
          </cell>
          <cell r="W29" t="str">
            <v>Chỉ huy trưởng</v>
          </cell>
          <cell r="X29" t="str">
            <v>................................</v>
          </cell>
          <cell r="Y29" t="str">
            <v>................................</v>
          </cell>
          <cell r="Z29" t="str">
            <v>Nguyễn Văn Nghiễm</v>
          </cell>
          <cell r="AA29" t="str">
            <v>Cán bộ KCS</v>
          </cell>
          <cell r="AB29" t="str">
            <v>Vương Toàn Hiếu</v>
          </cell>
          <cell r="AC29" t="str">
            <v>Trưởng đoàn TVGS</v>
          </cell>
          <cell r="AD29" t="str">
            <v>Lê Thiều Nam</v>
          </cell>
          <cell r="AE29" t="str">
            <v>Cán bộ TVGS</v>
          </cell>
          <cell r="AF29" t="str">
            <v>................................</v>
          </cell>
          <cell r="AG29" t="str">
            <v>................................</v>
          </cell>
          <cell r="AH29" t="str">
            <v>Nguyễn Ái Việt</v>
          </cell>
          <cell r="AI29" t="str">
            <v>Chỉ huy trưởng</v>
          </cell>
          <cell r="AJ29" t="str">
            <v>Hoàng Chiến Thắng</v>
          </cell>
          <cell r="AK29" t="str">
            <v>P. Chỉ huy trưởng</v>
          </cell>
          <cell r="AL29" t="str">
            <v>Trịnh Quang Đức</v>
          </cell>
          <cell r="AM29" t="str">
            <v>Cán bộ kỹ thuật</v>
          </cell>
          <cell r="AQ29" t="str">
            <v>Ngày 14 Tháng 12 Năm 2015</v>
          </cell>
        </row>
        <row r="30">
          <cell r="D30" t="str">
            <v>……</v>
          </cell>
          <cell r="E30" t="str">
            <v>…….</v>
          </cell>
          <cell r="F30" t="str">
            <v>……</v>
          </cell>
          <cell r="G30" t="str">
            <v>…….</v>
          </cell>
          <cell r="H30" t="str">
            <v>……</v>
          </cell>
          <cell r="I30" t="str">
            <v>Hà Nội, ngày …… tháng ……. năm ……</v>
          </cell>
          <cell r="J30" t="str">
            <v>…… ngày …… tháng ……. năm ……</v>
          </cell>
          <cell r="K30" t="str">
            <v>……. ngày …… tháng ……. năm ……</v>
          </cell>
          <cell r="L30" t="str">
            <v>……</v>
          </cell>
          <cell r="M30" t="str">
            <v>……</v>
          </cell>
          <cell r="N30" t="str">
            <v>……</v>
          </cell>
          <cell r="O30" t="str">
            <v>…….</v>
          </cell>
          <cell r="P30" t="str">
            <v>……</v>
          </cell>
          <cell r="Q30" t="str">
            <v>Hà Nội, ngày …… tháng ……. năm ……</v>
          </cell>
          <cell r="R30" t="str">
            <v>…… ngày …… tháng ……. năm ……</v>
          </cell>
          <cell r="S30" t="str">
            <v>…… ngày …… tháng ……. năm ……</v>
          </cell>
          <cell r="T30" t="str">
            <v>……</v>
          </cell>
          <cell r="U30" t="str">
            <v>…… Ngày ……/……./……</v>
          </cell>
          <cell r="V30" t="str">
            <v>Nguyễn Ái Việt</v>
          </cell>
          <cell r="W30" t="str">
            <v>Chỉ huy trưởng</v>
          </cell>
          <cell r="X30" t="str">
            <v>................................</v>
          </cell>
          <cell r="Y30" t="str">
            <v>................................</v>
          </cell>
          <cell r="Z30" t="str">
            <v>Nguyễn Văn Nghiễm</v>
          </cell>
          <cell r="AA30" t="str">
            <v>Cán bộ KCS</v>
          </cell>
          <cell r="AB30" t="str">
            <v>Vương Toàn Hiếu</v>
          </cell>
          <cell r="AC30" t="str">
            <v>Trưởng đoàn TVGS</v>
          </cell>
          <cell r="AD30" t="str">
            <v>Lê Thiều Nam</v>
          </cell>
          <cell r="AE30" t="str">
            <v>Cán bộ TVGS</v>
          </cell>
          <cell r="AF30" t="str">
            <v>................................</v>
          </cell>
          <cell r="AG30" t="str">
            <v>................................</v>
          </cell>
          <cell r="AH30" t="str">
            <v>Nguyễn Ái Việt</v>
          </cell>
          <cell r="AI30" t="str">
            <v>Chỉ huy trưởng</v>
          </cell>
          <cell r="AJ30" t="str">
            <v>Hoàng Chiến Thắng</v>
          </cell>
          <cell r="AK30" t="str">
            <v>P. Chỉ huy trưởng</v>
          </cell>
          <cell r="AL30" t="str">
            <v>Trịnh Quang Đức</v>
          </cell>
          <cell r="AM30" t="str">
            <v>Cán bộ kỹ thuật</v>
          </cell>
          <cell r="AQ30" t="str">
            <v>Ngày …… Tháng ……. Năm ……</v>
          </cell>
        </row>
        <row r="31">
          <cell r="D31" t="str">
            <v>……</v>
          </cell>
          <cell r="E31" t="str">
            <v>…….</v>
          </cell>
          <cell r="F31" t="str">
            <v>……</v>
          </cell>
          <cell r="G31" t="str">
            <v>…….</v>
          </cell>
          <cell r="H31" t="str">
            <v>……</v>
          </cell>
          <cell r="I31" t="str">
            <v>Hà Nội, ngày …… tháng ……. năm ……</v>
          </cell>
          <cell r="J31" t="str">
            <v>…… ngày …… tháng ……. năm ……</v>
          </cell>
          <cell r="K31" t="str">
            <v>……. ngày …… tháng ……. năm ……</v>
          </cell>
          <cell r="L31" t="str">
            <v>……</v>
          </cell>
          <cell r="M31" t="str">
            <v>……</v>
          </cell>
          <cell r="N31" t="str">
            <v>……</v>
          </cell>
          <cell r="O31" t="str">
            <v>…….</v>
          </cell>
          <cell r="P31" t="str">
            <v>……</v>
          </cell>
          <cell r="Q31" t="str">
            <v>Hà Nội, ngày …… tháng ……. năm ……</v>
          </cell>
          <cell r="R31" t="str">
            <v>…… ngày …… tháng ……. năm ……</v>
          </cell>
          <cell r="S31" t="str">
            <v>…… ngày …… tháng ……. năm ……</v>
          </cell>
          <cell r="T31" t="str">
            <v>……</v>
          </cell>
          <cell r="U31" t="str">
            <v>…… Ngày ……/……./……</v>
          </cell>
          <cell r="V31" t="str">
            <v>Nguyễn Ái Việt</v>
          </cell>
          <cell r="W31" t="str">
            <v>Chỉ huy trưởng</v>
          </cell>
          <cell r="X31" t="str">
            <v>................................</v>
          </cell>
          <cell r="Y31" t="str">
            <v>................................</v>
          </cell>
          <cell r="Z31" t="str">
            <v>Nguyễn Văn Nghiễm</v>
          </cell>
          <cell r="AA31" t="str">
            <v>Cán bộ KCS</v>
          </cell>
          <cell r="AB31" t="str">
            <v>Vương Toàn Hiếu</v>
          </cell>
          <cell r="AC31" t="str">
            <v>Trưởng đoàn TVGS</v>
          </cell>
          <cell r="AD31" t="str">
            <v>Lê Thiều Nam</v>
          </cell>
          <cell r="AE31" t="str">
            <v>Cán bộ TVGS</v>
          </cell>
          <cell r="AF31" t="str">
            <v>................................</v>
          </cell>
          <cell r="AG31" t="str">
            <v>................................</v>
          </cell>
          <cell r="AH31" t="str">
            <v>Nguyễn Ái Việt</v>
          </cell>
          <cell r="AI31" t="str">
            <v>Chỉ huy trưởng</v>
          </cell>
          <cell r="AJ31" t="str">
            <v>Hoàng Chiến Thắng</v>
          </cell>
          <cell r="AK31" t="str">
            <v>P. Chỉ huy trưởng</v>
          </cell>
          <cell r="AL31" t="str">
            <v>Trịnh Quang Đức</v>
          </cell>
          <cell r="AM31" t="str">
            <v>Cán bộ kỹ thuật</v>
          </cell>
          <cell r="AQ31" t="str">
            <v>Ngày …… Tháng ……. Năm ……</v>
          </cell>
        </row>
        <row r="32">
          <cell r="D32" t="str">
            <v>……</v>
          </cell>
          <cell r="E32" t="str">
            <v>…….</v>
          </cell>
          <cell r="F32" t="str">
            <v>……</v>
          </cell>
          <cell r="G32" t="str">
            <v>…….</v>
          </cell>
          <cell r="H32" t="str">
            <v>……</v>
          </cell>
          <cell r="I32" t="str">
            <v>Hà Nội, ngày …… tháng ……. năm ……</v>
          </cell>
          <cell r="J32" t="str">
            <v>…… ngày …… tháng ……. năm ……</v>
          </cell>
          <cell r="K32" t="str">
            <v>……. ngày …… tháng ……. năm ……</v>
          </cell>
          <cell r="L32" t="str">
            <v>……</v>
          </cell>
          <cell r="M32" t="str">
            <v>……</v>
          </cell>
          <cell r="N32" t="str">
            <v>……</v>
          </cell>
          <cell r="O32" t="str">
            <v>…….</v>
          </cell>
          <cell r="P32" t="str">
            <v>……</v>
          </cell>
          <cell r="Q32" t="str">
            <v>Hà Nội, ngày …… tháng ……. năm ……</v>
          </cell>
          <cell r="R32" t="str">
            <v>…… ngày …… tháng ……. năm ……</v>
          </cell>
          <cell r="S32" t="str">
            <v>…… ngày …… tháng ……. năm ……</v>
          </cell>
          <cell r="T32" t="str">
            <v>……</v>
          </cell>
          <cell r="U32" t="str">
            <v>…… Ngày ……/……./……</v>
          </cell>
          <cell r="V32" t="str">
            <v>Nguyễn Ái Việt</v>
          </cell>
          <cell r="W32" t="str">
            <v>Chỉ huy trưởng</v>
          </cell>
          <cell r="X32" t="str">
            <v>................................</v>
          </cell>
          <cell r="Y32" t="str">
            <v>................................</v>
          </cell>
          <cell r="Z32" t="str">
            <v>Nguyễn Văn Nghiễm</v>
          </cell>
          <cell r="AA32" t="str">
            <v>Cán bộ KCS</v>
          </cell>
          <cell r="AB32" t="str">
            <v>Vương Toàn Hiếu</v>
          </cell>
          <cell r="AC32" t="str">
            <v>Trưởng đoàn TVGS</v>
          </cell>
          <cell r="AD32" t="str">
            <v>Lê Thiều Nam</v>
          </cell>
          <cell r="AE32" t="str">
            <v>Cán bộ TVGS</v>
          </cell>
          <cell r="AF32" t="str">
            <v>................................</v>
          </cell>
          <cell r="AG32" t="str">
            <v>................................</v>
          </cell>
          <cell r="AH32" t="str">
            <v>Nguyễn Ái Việt</v>
          </cell>
          <cell r="AI32" t="str">
            <v>Chỉ huy trưởng</v>
          </cell>
          <cell r="AJ32" t="str">
            <v>Hoàng Chiến Thắng</v>
          </cell>
          <cell r="AK32" t="str">
            <v>P. Chỉ huy trưởng</v>
          </cell>
          <cell r="AL32" t="str">
            <v>Trịnh Quang Đức</v>
          </cell>
          <cell r="AM32" t="str">
            <v>Cán bộ kỹ thuật</v>
          </cell>
          <cell r="AQ32" t="str">
            <v>Ngày …… Tháng ……. Năm ……</v>
          </cell>
        </row>
        <row r="33">
          <cell r="D33" t="str">
            <v>……</v>
          </cell>
          <cell r="E33" t="str">
            <v>…….</v>
          </cell>
          <cell r="F33" t="str">
            <v>……</v>
          </cell>
          <cell r="G33" t="str">
            <v>…….</v>
          </cell>
          <cell r="H33" t="str">
            <v>……</v>
          </cell>
          <cell r="I33" t="str">
            <v>Hà Nội, ngày …… tháng ……. năm ……</v>
          </cell>
          <cell r="J33" t="str">
            <v>…… ngày …… tháng ……. năm ……</v>
          </cell>
          <cell r="K33" t="str">
            <v>……. ngày …… tháng ……. năm ……</v>
          </cell>
          <cell r="L33" t="str">
            <v>……</v>
          </cell>
          <cell r="M33" t="str">
            <v>……</v>
          </cell>
          <cell r="N33" t="str">
            <v>……</v>
          </cell>
          <cell r="O33" t="str">
            <v>…….</v>
          </cell>
          <cell r="P33" t="str">
            <v>……</v>
          </cell>
          <cell r="Q33" t="str">
            <v>Hà Nội, ngày …… tháng ……. năm ……</v>
          </cell>
          <cell r="R33" t="str">
            <v>…… ngày …… tháng ……. năm ……</v>
          </cell>
          <cell r="S33" t="str">
            <v>…… ngày …… tháng ……. năm ……</v>
          </cell>
          <cell r="T33" t="str">
            <v>……</v>
          </cell>
          <cell r="U33" t="str">
            <v>…… Ngày ……/……./……</v>
          </cell>
          <cell r="V33" t="str">
            <v>Nguyễn Ái Việt</v>
          </cell>
          <cell r="W33" t="str">
            <v>Chỉ huy trưởng</v>
          </cell>
          <cell r="X33" t="str">
            <v>................................</v>
          </cell>
          <cell r="Y33" t="str">
            <v>................................</v>
          </cell>
          <cell r="Z33" t="str">
            <v>Nguyễn Văn Nghiễm</v>
          </cell>
          <cell r="AA33" t="str">
            <v>Cán bộ KCS</v>
          </cell>
          <cell r="AB33" t="str">
            <v>Vương Toàn Hiếu</v>
          </cell>
          <cell r="AC33" t="str">
            <v>Trưởng đoàn TVGS</v>
          </cell>
          <cell r="AD33" t="str">
            <v>Lê Thiều Nam</v>
          </cell>
          <cell r="AE33" t="str">
            <v>Cán bộ TVGS</v>
          </cell>
          <cell r="AF33" t="str">
            <v>................................</v>
          </cell>
          <cell r="AG33" t="str">
            <v>................................</v>
          </cell>
          <cell r="AH33" t="str">
            <v>Nguyễn Ái Việt</v>
          </cell>
          <cell r="AI33" t="str">
            <v>Chỉ huy trưởng</v>
          </cell>
          <cell r="AJ33" t="str">
            <v>Hoàng Chiến Thắng</v>
          </cell>
          <cell r="AK33" t="str">
            <v>P. Chỉ huy trưởng</v>
          </cell>
          <cell r="AL33" t="str">
            <v>Trịnh Quang Đức</v>
          </cell>
          <cell r="AM33" t="str">
            <v>Cán bộ kỹ thuật</v>
          </cell>
          <cell r="AQ33" t="str">
            <v>Ngày …… Tháng ……. Năm ……</v>
          </cell>
        </row>
        <row r="34">
          <cell r="D34" t="str">
            <v>……</v>
          </cell>
          <cell r="E34" t="str">
            <v>…….</v>
          </cell>
          <cell r="F34" t="str">
            <v>……</v>
          </cell>
          <cell r="G34" t="str">
            <v>…….</v>
          </cell>
          <cell r="H34" t="str">
            <v>……</v>
          </cell>
          <cell r="I34" t="str">
            <v>Hà Nội, ngày …… tháng ……. năm ……</v>
          </cell>
          <cell r="J34" t="str">
            <v>…… ngày …… tháng ……. năm ……</v>
          </cell>
          <cell r="K34" t="str">
            <v>……. ngày …… tháng ……. năm ……</v>
          </cell>
          <cell r="L34" t="str">
            <v>……</v>
          </cell>
          <cell r="M34" t="str">
            <v>……</v>
          </cell>
          <cell r="N34" t="str">
            <v>……</v>
          </cell>
          <cell r="O34" t="str">
            <v>…….</v>
          </cell>
          <cell r="P34" t="str">
            <v>……</v>
          </cell>
          <cell r="Q34" t="str">
            <v>Hà Nội, ngày …… tháng ……. năm ……</v>
          </cell>
          <cell r="R34" t="str">
            <v>…… ngày …… tháng ……. năm ……</v>
          </cell>
          <cell r="S34" t="str">
            <v>…… ngày …… tháng ……. năm ……</v>
          </cell>
          <cell r="T34" t="str">
            <v>……</v>
          </cell>
          <cell r="U34" t="str">
            <v>…… Ngày ……/……./……</v>
          </cell>
          <cell r="V34" t="str">
            <v>Nguyễn Ái Việt</v>
          </cell>
          <cell r="W34" t="str">
            <v>Chỉ huy trưởng</v>
          </cell>
          <cell r="X34" t="str">
            <v>................................</v>
          </cell>
          <cell r="Y34" t="str">
            <v>................................</v>
          </cell>
          <cell r="Z34" t="str">
            <v>Nguyễn Văn Nghiễm</v>
          </cell>
          <cell r="AA34" t="str">
            <v>Cán bộ KCS</v>
          </cell>
          <cell r="AB34" t="str">
            <v>Vương Toàn Hiếu</v>
          </cell>
          <cell r="AC34" t="str">
            <v>Trưởng đoàn TVGS</v>
          </cell>
          <cell r="AD34" t="str">
            <v>Lê Thiều Nam</v>
          </cell>
          <cell r="AE34" t="str">
            <v>Cán bộ TVGS</v>
          </cell>
          <cell r="AF34" t="str">
            <v>................................</v>
          </cell>
          <cell r="AG34" t="str">
            <v>................................</v>
          </cell>
          <cell r="AH34" t="str">
            <v>Nguyễn Ái Việt</v>
          </cell>
          <cell r="AI34" t="str">
            <v>Chỉ huy trưởng</v>
          </cell>
          <cell r="AJ34" t="str">
            <v>Hoàng Chiến Thắng</v>
          </cell>
          <cell r="AK34" t="str">
            <v>P. Chỉ huy trưởng</v>
          </cell>
          <cell r="AL34" t="str">
            <v>Trịnh Quang Đức</v>
          </cell>
          <cell r="AM34" t="str">
            <v>Cán bộ kỹ thuật</v>
          </cell>
          <cell r="AQ34" t="str">
            <v>Ngày …… Tháng ……. Năm ……</v>
          </cell>
        </row>
        <row r="38">
          <cell r="A38">
            <v>1</v>
          </cell>
          <cell r="B38">
            <v>2</v>
          </cell>
          <cell r="C38">
            <v>3</v>
          </cell>
          <cell r="D38">
            <v>4</v>
          </cell>
          <cell r="E38">
            <v>5</v>
          </cell>
          <cell r="F38">
            <v>6</v>
          </cell>
          <cell r="G38">
            <v>7</v>
          </cell>
          <cell r="H38">
            <v>8</v>
          </cell>
          <cell r="I38">
            <v>9</v>
          </cell>
          <cell r="J38">
            <v>10</v>
          </cell>
          <cell r="K38">
            <v>11</v>
          </cell>
          <cell r="L38">
            <v>12</v>
          </cell>
          <cell r="M38">
            <v>13</v>
          </cell>
          <cell r="N38">
            <v>14</v>
          </cell>
          <cell r="O38">
            <v>15</v>
          </cell>
          <cell r="P38">
            <v>16</v>
          </cell>
          <cell r="Q38">
            <v>17</v>
          </cell>
          <cell r="R38">
            <v>18</v>
          </cell>
          <cell r="S38">
            <v>19</v>
          </cell>
          <cell r="T38">
            <v>20</v>
          </cell>
          <cell r="U38">
            <v>21</v>
          </cell>
          <cell r="V38">
            <v>22</v>
          </cell>
          <cell r="W38">
            <v>23</v>
          </cell>
          <cell r="X38">
            <v>24</v>
          </cell>
          <cell r="Y38">
            <v>25</v>
          </cell>
          <cell r="Z38">
            <v>26</v>
          </cell>
          <cell r="AA38">
            <v>27</v>
          </cell>
          <cell r="AB38">
            <v>28</v>
          </cell>
          <cell r="AC38">
            <v>29</v>
          </cell>
          <cell r="AD38">
            <v>30</v>
          </cell>
          <cell r="AE38">
            <v>31</v>
          </cell>
          <cell r="AF38">
            <v>32</v>
          </cell>
          <cell r="AG38">
            <v>33</v>
          </cell>
          <cell r="AH38">
            <v>34</v>
          </cell>
          <cell r="AI38">
            <v>35</v>
          </cell>
          <cell r="AJ38">
            <v>36</v>
          </cell>
          <cell r="AK38">
            <v>37</v>
          </cell>
          <cell r="AL38">
            <v>38</v>
          </cell>
          <cell r="AM38">
            <v>39</v>
          </cell>
          <cell r="AN38">
            <v>40</v>
          </cell>
          <cell r="AO38">
            <v>41</v>
          </cell>
          <cell r="AP38">
            <v>42</v>
          </cell>
          <cell r="AQ38">
            <v>43</v>
          </cell>
        </row>
      </sheetData>
      <sheetData sheetId="185"/>
      <sheetData sheetId="186"/>
      <sheetData sheetId="187"/>
      <sheetData sheetId="188"/>
      <sheetData sheetId="189"/>
      <sheetData sheetId="190"/>
      <sheetData sheetId="191">
        <row r="1">
          <cell r="A1" t="str">
            <v>CÔNG TY CP HỒNG HÀ VIỆT NAM</v>
          </cell>
          <cell r="C1" t="str">
            <v>CỘNG HÒA XÃ HỘI CHỦ NGHĨA VIỆT NAM</v>
          </cell>
        </row>
        <row r="2">
          <cell r="C2" t="str">
            <v>ĐỘC LẬP-TỰ DO -HẠNH PHÚC</v>
          </cell>
        </row>
        <row r="4">
          <cell r="A4" t="str">
            <v>TRẦN THẠCH CAO</v>
          </cell>
          <cell r="W4" t="str">
            <v>FILE IN</v>
          </cell>
          <cell r="AN4" t="str">
            <v>KHỐI LƯỢNG</v>
          </cell>
          <cell r="AO4" t="str">
            <v>LẤY MẪU</v>
          </cell>
        </row>
        <row r="5">
          <cell r="A5" t="str">
            <v>XÂY DỰNG NHÀ Ở XÃ HỘI ĐỂ BÁN VÀ CHO THUÊ</v>
          </cell>
          <cell r="W5" t="str">
            <v>FILE IN VL</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TTC-01</v>
          </cell>
          <cell r="B10" t="str">
            <v>GCLD trần thạch cao khung xương chìm khu hành lang căn hộ tầng 03, 04, 05, 06</v>
          </cell>
          <cell r="C10" t="str">
            <v>TTC-01</v>
          </cell>
          <cell r="D10" t="str">
            <v>8h15</v>
          </cell>
          <cell r="E10" t="str">
            <v>10h00</v>
          </cell>
          <cell r="F10">
            <v>22</v>
          </cell>
          <cell r="G10">
            <v>11</v>
          </cell>
          <cell r="H10">
            <v>2015</v>
          </cell>
          <cell r="I10" t="str">
            <v>Hà Nội, ngày 22 tháng 11 năm 2015</v>
          </cell>
          <cell r="J10" t="str">
            <v>8h15 ngày 22 tháng 11 năm 2015</v>
          </cell>
          <cell r="K10" t="str">
            <v>10h00 ngày 22 tháng 11 năm 2015</v>
          </cell>
          <cell r="L10" t="str">
            <v>14h00</v>
          </cell>
          <cell r="M10" t="str">
            <v>16h00</v>
          </cell>
          <cell r="N10">
            <v>22</v>
          </cell>
          <cell r="O10">
            <v>11</v>
          </cell>
          <cell r="P10">
            <v>2015</v>
          </cell>
          <cell r="Q10" t="str">
            <v>Hà Nội, ngày 22 tháng 11 năm 2015</v>
          </cell>
          <cell r="R10" t="str">
            <v>14h00 ngày 22 tháng 11 năm 2015</v>
          </cell>
          <cell r="S10" t="str">
            <v>16h00 ngày 22 tháng 11 năm 2015</v>
          </cell>
          <cell r="T10" t="str">
            <v>14h00</v>
          </cell>
          <cell r="U10" t="str">
            <v>14h00 Ngày 22/11/2015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KT-1803; KT-100; KT-1803 DC; KT-1803 DC2</v>
          </cell>
          <cell r="AQ10" t="str">
            <v>Ngày 22 Tháng 11 Năm 2015</v>
          </cell>
        </row>
        <row r="11">
          <cell r="A11" t="str">
            <v>TTC-02</v>
          </cell>
          <cell r="B11" t="str">
            <v>GCLD trần thạch cao khung xương nổi khu vệ sinh căn hộ tầng 03, 04, 05, 06</v>
          </cell>
          <cell r="C11" t="str">
            <v>TTC-02</v>
          </cell>
          <cell r="D11" t="str">
            <v>8h15</v>
          </cell>
          <cell r="E11" t="str">
            <v>10h00</v>
          </cell>
          <cell r="F11">
            <v>22</v>
          </cell>
          <cell r="G11">
            <v>11</v>
          </cell>
          <cell r="H11">
            <v>2015</v>
          </cell>
          <cell r="I11" t="str">
            <v>Hà Nội, ngày 22 tháng 11 năm 2015</v>
          </cell>
          <cell r="J11" t="str">
            <v>8h15 ngày 22 tháng 11 năm 2015</v>
          </cell>
          <cell r="K11" t="str">
            <v>10h00 ngày 22 tháng 11 năm 2015</v>
          </cell>
          <cell r="L11" t="str">
            <v>14h00</v>
          </cell>
          <cell r="M11" t="str">
            <v>16h00</v>
          </cell>
          <cell r="N11">
            <v>22</v>
          </cell>
          <cell r="O11">
            <v>11</v>
          </cell>
          <cell r="P11">
            <v>2015</v>
          </cell>
          <cell r="Q11" t="str">
            <v>Hà Nội, ngày 22 tháng 11 năm 2015</v>
          </cell>
          <cell r="R11" t="str">
            <v>14h00 ngày 22 tháng 11 năm 2015</v>
          </cell>
          <cell r="S11" t="str">
            <v>16h00 ngày 22 tháng 11 năm 2015</v>
          </cell>
          <cell r="T11" t="str">
            <v>14h00</v>
          </cell>
          <cell r="U11" t="str">
            <v>14h00 Ngày 22/11/2015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KT-1803; KT-100</v>
          </cell>
          <cell r="AQ11" t="str">
            <v>Ngày 22 Tháng 11 Năm 2015</v>
          </cell>
        </row>
        <row r="12">
          <cell r="A12" t="str">
            <v>TTC-03</v>
          </cell>
          <cell r="B12" t="str">
            <v>GCLD trần thạch cao khung xương chìm khu hành lang căn hộ tầng 07, 08, 09, 10 ,11</v>
          </cell>
          <cell r="C12" t="str">
            <v>TTC-03</v>
          </cell>
          <cell r="D12" t="str">
            <v>8h00</v>
          </cell>
          <cell r="E12" t="str">
            <v>10h15</v>
          </cell>
          <cell r="F12">
            <v>26</v>
          </cell>
          <cell r="G12">
            <v>11</v>
          </cell>
          <cell r="H12">
            <v>2015</v>
          </cell>
          <cell r="I12" t="str">
            <v>Hà Nội, ngày 26 tháng 11 năm 2015</v>
          </cell>
          <cell r="J12" t="str">
            <v>8h00 ngày 26 tháng 11 năm 2015</v>
          </cell>
          <cell r="K12" t="str">
            <v>10h15 ngày 26 tháng 11 năm 2015</v>
          </cell>
          <cell r="L12" t="str">
            <v>14h30</v>
          </cell>
          <cell r="M12" t="str">
            <v>16h30</v>
          </cell>
          <cell r="N12">
            <v>26</v>
          </cell>
          <cell r="O12">
            <v>11</v>
          </cell>
          <cell r="P12">
            <v>2015</v>
          </cell>
          <cell r="Q12" t="str">
            <v>Hà Nội, ngày 26 tháng 11 năm 2015</v>
          </cell>
          <cell r="R12" t="str">
            <v>14h30 ngày 26 tháng 11 năm 2015</v>
          </cell>
          <cell r="S12" t="str">
            <v>16h30 ngày 26 tháng 11 năm 2015</v>
          </cell>
          <cell r="T12" t="str">
            <v>14h30</v>
          </cell>
          <cell r="U12" t="str">
            <v>14h30 Ngày 26/11/2015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KT-1803; KT-100; KT-1803 DC; KT-1803 DC2</v>
          </cell>
          <cell r="AQ12" t="str">
            <v>Ngày 26 Tháng 11 Năm 2015</v>
          </cell>
        </row>
        <row r="13">
          <cell r="A13" t="str">
            <v>TTC-04</v>
          </cell>
          <cell r="B13" t="str">
            <v>GCLD trần thạch cao khung xương nổi khu vệ sinh căn hộ tầng 07, 08, 09, 10, 11, áp mái</v>
          </cell>
          <cell r="C13" t="str">
            <v>TTC-04</v>
          </cell>
          <cell r="D13" t="str">
            <v>8h00</v>
          </cell>
          <cell r="E13" t="str">
            <v>10h15</v>
          </cell>
          <cell r="F13">
            <v>26</v>
          </cell>
          <cell r="G13">
            <v>11</v>
          </cell>
          <cell r="H13">
            <v>2015</v>
          </cell>
          <cell r="I13" t="str">
            <v>Hà Nội, ngày 26 tháng 11 năm 2015</v>
          </cell>
          <cell r="J13" t="str">
            <v>8h00 ngày 26 tháng 11 năm 2015</v>
          </cell>
          <cell r="K13" t="str">
            <v>10h15 ngày 26 tháng 11 năm 2015</v>
          </cell>
          <cell r="L13" t="str">
            <v>14h30</v>
          </cell>
          <cell r="M13" t="str">
            <v>16h30</v>
          </cell>
          <cell r="N13">
            <v>26</v>
          </cell>
          <cell r="O13">
            <v>11</v>
          </cell>
          <cell r="P13">
            <v>2015</v>
          </cell>
          <cell r="Q13" t="str">
            <v>Hà Nội, ngày 26 tháng 11 năm 2015</v>
          </cell>
          <cell r="R13" t="str">
            <v>14h30 ngày 26 tháng 11 năm 2015</v>
          </cell>
          <cell r="S13" t="str">
            <v>16h30 ngày 26 tháng 11 năm 2015</v>
          </cell>
          <cell r="T13" t="str">
            <v>14h30</v>
          </cell>
          <cell r="U13" t="str">
            <v>14h30 Ngày 26/11/2015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KT-1803; KT-1804; KT-100</v>
          </cell>
          <cell r="AQ13" t="str">
            <v>Ngày 26 Tháng 11 Năm 2015</v>
          </cell>
        </row>
        <row r="14">
          <cell r="A14" t="str">
            <v>TTC-05</v>
          </cell>
          <cell r="B14" t="str">
            <v>GCLD cửa thăm trần hành lang tầng 03, 04, 05, 06, 07, 08, 09, 10, 11</v>
          </cell>
          <cell r="C14" t="str">
            <v>TTC-05</v>
          </cell>
          <cell r="D14" t="str">
            <v>8h10</v>
          </cell>
          <cell r="E14" t="str">
            <v>9h10</v>
          </cell>
          <cell r="F14">
            <v>27</v>
          </cell>
          <cell r="G14">
            <v>11</v>
          </cell>
          <cell r="H14">
            <v>2015</v>
          </cell>
          <cell r="I14" t="str">
            <v>Hà Nội, ngày 27 tháng 11 năm 2015</v>
          </cell>
          <cell r="J14" t="str">
            <v>8h10 ngày 27 tháng 11 năm 2015</v>
          </cell>
          <cell r="K14" t="str">
            <v>9h10 ngày 27 tháng 11 năm 2015</v>
          </cell>
          <cell r="L14" t="str">
            <v>14h00</v>
          </cell>
          <cell r="M14" t="str">
            <v>15h00</v>
          </cell>
          <cell r="N14">
            <v>27</v>
          </cell>
          <cell r="O14">
            <v>11</v>
          </cell>
          <cell r="P14">
            <v>2015</v>
          </cell>
          <cell r="Q14" t="str">
            <v>Hà Nội, ngày 27 tháng 11 năm 2015</v>
          </cell>
          <cell r="R14" t="str">
            <v>14h00 ngày 27 tháng 11 năm 2015</v>
          </cell>
          <cell r="S14" t="str">
            <v>15h00 ngày 27 tháng 11 năm 2015</v>
          </cell>
          <cell r="T14" t="str">
            <v>14h00</v>
          </cell>
          <cell r="U14" t="str">
            <v>14h00 Ngày 27/11/2015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KT-1803; KT-100; KT-1803 DC</v>
          </cell>
          <cell r="AQ14" t="str">
            <v>Ngày 27 Tháng 11 Năm 2015</v>
          </cell>
        </row>
        <row r="15">
          <cell r="A15" t="str">
            <v>TTC-06</v>
          </cell>
          <cell r="B15" t="str">
            <v>GCLD trần thạch cao khung xương nổi khu vệ sinh tầng 01</v>
          </cell>
          <cell r="C15" t="str">
            <v>TTC-06</v>
          </cell>
          <cell r="D15" t="str">
            <v>8h00</v>
          </cell>
          <cell r="E15" t="str">
            <v>8h45</v>
          </cell>
          <cell r="F15">
            <v>1</v>
          </cell>
          <cell r="G15">
            <v>12</v>
          </cell>
          <cell r="H15">
            <v>2015</v>
          </cell>
          <cell r="I15" t="str">
            <v>Hà Nội, ngày 1 tháng 12 năm 2015</v>
          </cell>
          <cell r="J15" t="str">
            <v>8h00 ngày 1 tháng 12 năm 2015</v>
          </cell>
          <cell r="K15" t="str">
            <v>8h45 ngày 1 tháng 12 năm 2015</v>
          </cell>
          <cell r="L15" t="str">
            <v>9h00</v>
          </cell>
          <cell r="M15" t="str">
            <v>9h45</v>
          </cell>
          <cell r="N15">
            <v>1</v>
          </cell>
          <cell r="O15">
            <v>12</v>
          </cell>
          <cell r="P15">
            <v>2015</v>
          </cell>
          <cell r="Q15" t="str">
            <v>Hà Nội, ngày 1 tháng 12 năm 2015</v>
          </cell>
          <cell r="R15" t="str">
            <v>9h00 ngày 1 tháng 12 năm 2015</v>
          </cell>
          <cell r="S15" t="str">
            <v>9h45 ngày 1 tháng 12 năm 2015</v>
          </cell>
          <cell r="T15" t="str">
            <v>9h00</v>
          </cell>
          <cell r="U15" t="str">
            <v>9h00 Ngày 1/12/2015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KT-1801; KT-100; KT-1803 DC; KT-1803 DC2</v>
          </cell>
          <cell r="AQ15" t="str">
            <v>Ngày 1 Tháng 12 Năm 2015</v>
          </cell>
        </row>
        <row r="16">
          <cell r="A16" t="str">
            <v>TTC-07</v>
          </cell>
          <cell r="B16" t="str">
            <v>GCLD trần thạch cao khung xương chìm khu sảnh tầng 01</v>
          </cell>
          <cell r="C16" t="str">
            <v>TTC-07</v>
          </cell>
          <cell r="D16" t="str">
            <v>8h00</v>
          </cell>
          <cell r="E16" t="str">
            <v>8h45</v>
          </cell>
          <cell r="F16">
            <v>3</v>
          </cell>
          <cell r="G16">
            <v>12</v>
          </cell>
          <cell r="H16">
            <v>2015</v>
          </cell>
          <cell r="I16" t="str">
            <v>Hà Nội, ngày 3 tháng 12 năm 2015</v>
          </cell>
          <cell r="J16" t="str">
            <v>8h00 ngày 3 tháng 12 năm 2015</v>
          </cell>
          <cell r="K16" t="str">
            <v>8h45 ngày 3 tháng 12 năm 2015</v>
          </cell>
          <cell r="L16" t="str">
            <v>9h00</v>
          </cell>
          <cell r="M16" t="str">
            <v>9h45</v>
          </cell>
          <cell r="N16">
            <v>3</v>
          </cell>
          <cell r="O16">
            <v>12</v>
          </cell>
          <cell r="P16">
            <v>2015</v>
          </cell>
          <cell r="Q16" t="str">
            <v>Hà Nội, ngày 3 tháng 12 năm 2015</v>
          </cell>
          <cell r="R16" t="str">
            <v>9h00 ngày 3 tháng 12 năm 2015</v>
          </cell>
          <cell r="S16" t="str">
            <v>9h45 ngày 3 tháng 12 năm 2015</v>
          </cell>
          <cell r="T16" t="str">
            <v>9h00</v>
          </cell>
          <cell r="U16" t="str">
            <v>9h00 Ngày 3/12/2015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N16" t="str">
            <v>KT-1801; KT-100; KT-1902.BS</v>
          </cell>
          <cell r="AQ16" t="str">
            <v>Ngày 3 Tháng 12 Năm 2015</v>
          </cell>
        </row>
        <row r="17">
          <cell r="A17" t="str">
            <v>TTC-08</v>
          </cell>
          <cell r="B17" t="str">
            <v>GCLD vách ngăn thạch cao chống ẩm hai mặt, khung xương Vĩnh tường ngăn Kiot khu DVTM tầng 01</v>
          </cell>
          <cell r="C17" t="str">
            <v>TTC-08</v>
          </cell>
          <cell r="D17" t="str">
            <v>8h30</v>
          </cell>
          <cell r="E17" t="str">
            <v>9h00</v>
          </cell>
          <cell r="F17">
            <v>8</v>
          </cell>
          <cell r="G17">
            <v>12</v>
          </cell>
          <cell r="H17">
            <v>2015</v>
          </cell>
          <cell r="I17" t="str">
            <v>Hà Nội, ngày 8 tháng 12 năm 2015</v>
          </cell>
          <cell r="J17" t="str">
            <v>8h30 ngày 8 tháng 12 năm 2015</v>
          </cell>
          <cell r="K17" t="str">
            <v>9h00 ngày 8 tháng 12 năm 2015</v>
          </cell>
          <cell r="L17" t="str">
            <v>9h15</v>
          </cell>
          <cell r="M17" t="str">
            <v>9h45</v>
          </cell>
          <cell r="N17">
            <v>8</v>
          </cell>
          <cell r="O17">
            <v>12</v>
          </cell>
          <cell r="P17">
            <v>2015</v>
          </cell>
          <cell r="Q17" t="str">
            <v>Hà Nội, ngày 8 tháng 12 năm 2015</v>
          </cell>
          <cell r="R17" t="str">
            <v>9h15 ngày 8 tháng 12 năm 2015</v>
          </cell>
          <cell r="S17" t="str">
            <v>9h45 ngày 8 tháng 12 năm 2015</v>
          </cell>
          <cell r="T17" t="str">
            <v>9h15</v>
          </cell>
          <cell r="U17" t="str">
            <v>9h15 Ngày 8/12/2015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N17" t="str">
            <v>KT-102-ĐC; KT.CT6-104DC</v>
          </cell>
          <cell r="AQ17" t="str">
            <v>Ngày 8 Tháng 12 Năm 2015</v>
          </cell>
        </row>
        <row r="18">
          <cell r="A18" t="str">
            <v>TTC-09</v>
          </cell>
          <cell r="B18" t="str">
            <v>GCLD hộp thạch cao che lô cuốn tầng 01</v>
          </cell>
          <cell r="C18" t="str">
            <v>TTC-09</v>
          </cell>
          <cell r="D18" t="str">
            <v>14h00</v>
          </cell>
          <cell r="E18" t="str">
            <v>15h00</v>
          </cell>
          <cell r="F18">
            <v>11</v>
          </cell>
          <cell r="G18">
            <v>12</v>
          </cell>
          <cell r="H18">
            <v>2015</v>
          </cell>
          <cell r="I18" t="str">
            <v>Hà Nội, ngày 11 tháng 12 năm 2015</v>
          </cell>
          <cell r="J18" t="str">
            <v>14h00 ngày 11 tháng 12 năm 2015</v>
          </cell>
          <cell r="K18" t="str">
            <v>15h00 ngày 11 tháng 12 năm 2015</v>
          </cell>
          <cell r="L18" t="str">
            <v>15h30</v>
          </cell>
          <cell r="M18" t="str">
            <v>16h30</v>
          </cell>
          <cell r="N18">
            <v>11</v>
          </cell>
          <cell r="O18">
            <v>12</v>
          </cell>
          <cell r="P18">
            <v>2015</v>
          </cell>
          <cell r="Q18" t="str">
            <v>Hà Nội, ngày 11 tháng 12 năm 2015</v>
          </cell>
          <cell r="R18" t="str">
            <v>15h30 ngày 11 tháng 12 năm 2015</v>
          </cell>
          <cell r="S18" t="str">
            <v>16h30 ngày 11 tháng 12 năm 2015</v>
          </cell>
          <cell r="T18" t="str">
            <v>15h30</v>
          </cell>
          <cell r="U18" t="str">
            <v>15h30 Ngày 11/12/2015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N18" t="str">
            <v>KT-102-ĐC</v>
          </cell>
          <cell r="AQ18" t="str">
            <v>Ngày 11 Tháng 12 Năm 2015</v>
          </cell>
        </row>
        <row r="19">
          <cell r="A19">
            <v>0</v>
          </cell>
          <cell r="D19" t="str">
            <v>...h...</v>
          </cell>
          <cell r="E19" t="str">
            <v>...h...</v>
          </cell>
          <cell r="F19" t="str">
            <v>……</v>
          </cell>
          <cell r="G19" t="str">
            <v>……</v>
          </cell>
          <cell r="H19">
            <v>2015</v>
          </cell>
          <cell r="I19" t="str">
            <v>Hà Nội, ngày …… tháng …… năm 2015</v>
          </cell>
          <cell r="J19" t="str">
            <v>...h... ngày …… tháng …… năm 2015</v>
          </cell>
          <cell r="K19" t="str">
            <v>...h... ngày …… tháng …… năm 2015</v>
          </cell>
          <cell r="L19" t="str">
            <v>...h...</v>
          </cell>
          <cell r="M19" t="str">
            <v>...h...</v>
          </cell>
          <cell r="N19" t="str">
            <v>……</v>
          </cell>
          <cell r="O19" t="str">
            <v>……</v>
          </cell>
          <cell r="P19">
            <v>2015</v>
          </cell>
          <cell r="Q19" t="str">
            <v>Hà Nội, ngày …… tháng …… năm 2015</v>
          </cell>
          <cell r="R19" t="str">
            <v>...h... ngày …… tháng …… năm 2015</v>
          </cell>
          <cell r="S19" t="str">
            <v>...h... ngày …… tháng …… năm 2015</v>
          </cell>
          <cell r="T19" t="str">
            <v>...h...</v>
          </cell>
          <cell r="U19" t="str">
            <v>...h...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...h...</v>
          </cell>
          <cell r="E20" t="str">
            <v>...h...</v>
          </cell>
          <cell r="F20" t="str">
            <v>……</v>
          </cell>
          <cell r="G20" t="str">
            <v>……</v>
          </cell>
          <cell r="H20">
            <v>2015</v>
          </cell>
          <cell r="I20" t="str">
            <v>Hà Nội, ngày …… tháng …… năm 2015</v>
          </cell>
          <cell r="J20" t="str">
            <v>...h... ngày …… tháng …… năm 2015</v>
          </cell>
          <cell r="K20" t="str">
            <v>...h... ngày …… tháng …… năm 2015</v>
          </cell>
          <cell r="L20" t="str">
            <v>...h...</v>
          </cell>
          <cell r="M20" t="str">
            <v>...h...</v>
          </cell>
          <cell r="N20" t="str">
            <v>……</v>
          </cell>
          <cell r="O20" t="str">
            <v>……</v>
          </cell>
          <cell r="P20">
            <v>2015</v>
          </cell>
          <cell r="Q20" t="str">
            <v>Hà Nội, ngày …… tháng …… năm 2015</v>
          </cell>
          <cell r="R20" t="str">
            <v>...h... ngày …… tháng …… năm 2015</v>
          </cell>
          <cell r="S20" t="str">
            <v>...h... ngày …… tháng …… năm 2015</v>
          </cell>
          <cell r="T20" t="str">
            <v>...h...</v>
          </cell>
          <cell r="U20" t="str">
            <v>...h...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t="str">
            <v>TRTC-01</v>
          </cell>
          <cell r="B21" t="str">
            <v>Nghiệm thu khung trần nổi nổi, khung trần chìm và phụ kiện kèm theo biên bản giao nhận hàng hóa ngày 10/09/2015</v>
          </cell>
          <cell r="C21" t="str">
            <v>TRTC-01</v>
          </cell>
          <cell r="D21" t="str">
            <v>8h00</v>
          </cell>
          <cell r="E21" t="str">
            <v>9h30</v>
          </cell>
          <cell r="F21">
            <v>10</v>
          </cell>
          <cell r="G21">
            <v>9</v>
          </cell>
          <cell r="H21">
            <v>2015</v>
          </cell>
          <cell r="I21" t="str">
            <v>Hà Nội, ngày 10 tháng 9 năm 2015</v>
          </cell>
          <cell r="J21" t="str">
            <v>8h00 ngày 10 tháng 9 năm 2015</v>
          </cell>
          <cell r="K21" t="str">
            <v>9h30 ngày 10 tháng 9 năm 2015</v>
          </cell>
          <cell r="L21" t="str">
            <v>10h00</v>
          </cell>
          <cell r="M21" t="str">
            <v>11h30</v>
          </cell>
          <cell r="N21">
            <v>10</v>
          </cell>
          <cell r="O21">
            <v>9</v>
          </cell>
          <cell r="P21">
            <v>2015</v>
          </cell>
          <cell r="Q21" t="str">
            <v>Hà Nội, ngày 10 tháng 9 năm 2015</v>
          </cell>
          <cell r="R21" t="str">
            <v>10h00 ngày 10 tháng 9 năm 2015</v>
          </cell>
          <cell r="S21" t="str">
            <v>11h30 ngày 10 tháng 9 năm 2015</v>
          </cell>
          <cell r="T21" t="str">
            <v>10h00</v>
          </cell>
          <cell r="U21" t="str">
            <v>10h00 Ngày 10/9/2015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10 Tháng 9 Năm 2015</v>
          </cell>
        </row>
        <row r="22">
          <cell r="A22" t="str">
            <v>TRTC-02</v>
          </cell>
          <cell r="B22" t="str">
            <v>Nghiệm thu tấm trần hành lang, tấm trần khu WC và phụ kiện kèm theo biên bản giao nhận hàng hóa ngày 12/9/2015</v>
          </cell>
          <cell r="C22" t="str">
            <v>TRTC-02</v>
          </cell>
          <cell r="D22" t="str">
            <v>8h15</v>
          </cell>
          <cell r="E22" t="str">
            <v>9h45</v>
          </cell>
          <cell r="F22">
            <v>18</v>
          </cell>
          <cell r="G22">
            <v>9</v>
          </cell>
          <cell r="H22">
            <v>2015</v>
          </cell>
          <cell r="I22" t="str">
            <v>Hà Nội, ngày 18 tháng 9 năm 2015</v>
          </cell>
          <cell r="J22" t="str">
            <v>8h15 ngày 18 tháng 9 năm 2015</v>
          </cell>
          <cell r="K22" t="str">
            <v>9h45 ngày 18 tháng 9 năm 2015</v>
          </cell>
          <cell r="L22" t="str">
            <v>10h00</v>
          </cell>
          <cell r="M22" t="str">
            <v>11h15</v>
          </cell>
          <cell r="N22">
            <v>18</v>
          </cell>
          <cell r="O22">
            <v>9</v>
          </cell>
          <cell r="P22">
            <v>2015</v>
          </cell>
          <cell r="Q22" t="str">
            <v>Hà Nội, ngày 18 tháng 9 năm 2015</v>
          </cell>
          <cell r="R22" t="str">
            <v>10h00 ngày 18 tháng 9 năm 2015</v>
          </cell>
          <cell r="S22" t="str">
            <v>11h15 ngày 18 tháng 9 năm 2015</v>
          </cell>
          <cell r="T22" t="str">
            <v>10h00</v>
          </cell>
          <cell r="U22" t="str">
            <v>10h00 Ngày 18/9/2015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18 Tháng 9 Năm 2015</v>
          </cell>
        </row>
        <row r="23">
          <cell r="A23" t="str">
            <v>TRTC-03</v>
          </cell>
          <cell r="B23" t="str">
            <v>Nghiệm thu cửa thăm trần 1 lớp kèm theo biên bản giao nhận hàng hóa ngày 1/11/2015</v>
          </cell>
          <cell r="C23" t="str">
            <v>TRTC-03</v>
          </cell>
          <cell r="D23" t="str">
            <v>8h05</v>
          </cell>
          <cell r="E23" t="str">
            <v>8h40</v>
          </cell>
          <cell r="F23">
            <v>2</v>
          </cell>
          <cell r="G23">
            <v>11</v>
          </cell>
          <cell r="H23">
            <v>2015</v>
          </cell>
          <cell r="I23" t="str">
            <v>Hà Nội, ngày 2 tháng 11 năm 2015</v>
          </cell>
          <cell r="J23" t="str">
            <v>8h05 ngày 2 tháng 11 năm 2015</v>
          </cell>
          <cell r="K23" t="str">
            <v>8h40 ngày 2 tháng 11 năm 2015</v>
          </cell>
          <cell r="L23" t="str">
            <v>9h00</v>
          </cell>
          <cell r="M23" t="str">
            <v>9h30</v>
          </cell>
          <cell r="N23">
            <v>2</v>
          </cell>
          <cell r="O23">
            <v>11</v>
          </cell>
          <cell r="P23">
            <v>2015</v>
          </cell>
          <cell r="Q23" t="str">
            <v>Hà Nội, ngày 2 tháng 11 năm 2015</v>
          </cell>
          <cell r="R23" t="str">
            <v>9h00 ngày 2 tháng 11 năm 2015</v>
          </cell>
          <cell r="S23" t="str">
            <v>9h30 ngày 2 tháng 11 năm 2015</v>
          </cell>
          <cell r="T23" t="str">
            <v>9h00</v>
          </cell>
          <cell r="U23" t="str">
            <v>9h00 Ngày 2/11/2015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2 Tháng 11 Năm 2015</v>
          </cell>
        </row>
        <row r="24">
          <cell r="A24" t="str">
            <v>TRTC-04</v>
          </cell>
          <cell r="B24" t="str">
            <v>Nghiệm thu bột bả, sơn trần thạch cao kèm theo biên bản giao nhận hàng hóa ngày 20/11/2015</v>
          </cell>
          <cell r="C24" t="str">
            <v>TRTC-04</v>
          </cell>
          <cell r="D24" t="str">
            <v>9h00</v>
          </cell>
          <cell r="E24" t="str">
            <v>10h00</v>
          </cell>
          <cell r="F24">
            <v>21</v>
          </cell>
          <cell r="G24">
            <v>11</v>
          </cell>
          <cell r="H24">
            <v>2015</v>
          </cell>
          <cell r="I24" t="str">
            <v>Hà Nội, ngày 21 tháng 11 năm 2015</v>
          </cell>
          <cell r="J24" t="str">
            <v>9h00 ngày 21 tháng 11 năm 2015</v>
          </cell>
          <cell r="K24" t="str">
            <v>10h00 ngày 21 tháng 11 năm 2015</v>
          </cell>
          <cell r="L24" t="str">
            <v>10h10</v>
          </cell>
          <cell r="M24" t="str">
            <v>11h10</v>
          </cell>
          <cell r="N24">
            <v>21</v>
          </cell>
          <cell r="O24">
            <v>11</v>
          </cell>
          <cell r="P24">
            <v>2015</v>
          </cell>
          <cell r="Q24" t="str">
            <v>Hà Nội, ngày 21 tháng 11 năm 2015</v>
          </cell>
          <cell r="R24" t="str">
            <v>10h10 ngày 21 tháng 11 năm 2015</v>
          </cell>
          <cell r="S24" t="str">
            <v>11h10 ngày 21 tháng 11 năm 2015</v>
          </cell>
          <cell r="T24" t="str">
            <v>10h10</v>
          </cell>
          <cell r="U24" t="str">
            <v>10h10 Ngày 21/11/2015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21 Tháng 11 Năm 2015</v>
          </cell>
        </row>
        <row r="25">
          <cell r="A25" t="str">
            <v>TRTC-05</v>
          </cell>
          <cell r="B25" t="str">
            <v>Nghiệm thu vách ngăn nhẹ và phụ kiện kèm theo biên bản giao nhận hàng hóa ngày 1/12/2015</v>
          </cell>
          <cell r="C25" t="str">
            <v>TRTC-05</v>
          </cell>
          <cell r="D25" t="str">
            <v>8h30</v>
          </cell>
          <cell r="E25" t="str">
            <v>9h30</v>
          </cell>
          <cell r="F25">
            <v>2</v>
          </cell>
          <cell r="G25">
            <v>12</v>
          </cell>
          <cell r="H25">
            <v>2015</v>
          </cell>
          <cell r="I25" t="str">
            <v>Hà Nội, ngày 2 tháng 12 năm 2015</v>
          </cell>
          <cell r="J25" t="str">
            <v>8h30 ngày 2 tháng 12 năm 2015</v>
          </cell>
          <cell r="K25" t="str">
            <v>9h30 ngày 2 tháng 12 năm 2015</v>
          </cell>
          <cell r="L25" t="str">
            <v>10h00</v>
          </cell>
          <cell r="M25" t="str">
            <v>10h30</v>
          </cell>
          <cell r="N25">
            <v>2</v>
          </cell>
          <cell r="O25">
            <v>12</v>
          </cell>
          <cell r="P25">
            <v>2015</v>
          </cell>
          <cell r="Q25" t="str">
            <v>Hà Nội, ngày 2 tháng 12 năm 2015</v>
          </cell>
          <cell r="R25" t="str">
            <v>10h00 ngày 2 tháng 12 năm 2015</v>
          </cell>
          <cell r="S25" t="str">
            <v>10h30 ngày 2 tháng 12 năm 2015</v>
          </cell>
          <cell r="T25" t="str">
            <v>10h00</v>
          </cell>
          <cell r="U25" t="str">
            <v>10h00 Ngày 2/12/2015</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2 Tháng 12 Năm 2015</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92"/>
      <sheetData sheetId="193"/>
      <sheetData sheetId="194"/>
      <sheetData sheetId="195">
        <row r="1">
          <cell r="A1" t="str">
            <v>CÔNG TY CP HỒNG HÀ VIỆT NAM</v>
          </cell>
          <cell r="C1" t="str">
            <v>CỘNG HÒA XÃ HỘI CHỦ NGHĨA VIỆT NAM</v>
          </cell>
        </row>
        <row r="2">
          <cell r="C2" t="str">
            <v>ĐỘC LẬP-TỰ DO -HẠNH PHÚC</v>
          </cell>
        </row>
        <row r="4">
          <cell r="A4" t="str">
            <v>TỦ BẾP</v>
          </cell>
          <cell r="W4" t="str">
            <v>FILE IN</v>
          </cell>
          <cell r="AN4" t="str">
            <v>KHỐI LƯỢNG</v>
          </cell>
          <cell r="AO4" t="str">
            <v>LẤY MẪU</v>
          </cell>
        </row>
        <row r="5">
          <cell r="A5" t="str">
            <v>XÂY DỰNG NHÀ Ở XÃ HỘI ĐỂ BÁN VÀ CHO THUÊ</v>
          </cell>
          <cell r="W5" t="str">
            <v>FILE-IN VL TB</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TB-01</v>
          </cell>
          <cell r="B10" t="str">
            <v>Gia công, lắp đặt tủ bếp bằng gỗ (tủ trên) tầng: 03, 04, 05, 06</v>
          </cell>
          <cell r="C10" t="str">
            <v>TB-01</v>
          </cell>
          <cell r="D10" t="str">
            <v>8h15</v>
          </cell>
          <cell r="E10" t="str">
            <v>10h00</v>
          </cell>
          <cell r="F10">
            <v>2</v>
          </cell>
          <cell r="G10">
            <v>12</v>
          </cell>
          <cell r="H10">
            <v>2015</v>
          </cell>
          <cell r="I10" t="str">
            <v>Hà Nội, ngày 2 tháng 12 năm 2015</v>
          </cell>
          <cell r="J10" t="str">
            <v>8h15 ngày 2 tháng 12 năm 2015</v>
          </cell>
          <cell r="K10" t="str">
            <v>10h00 ngày 2 tháng 12 năm 2015</v>
          </cell>
          <cell r="L10" t="str">
            <v>14h00</v>
          </cell>
          <cell r="M10" t="str">
            <v>16h00</v>
          </cell>
          <cell r="N10">
            <v>2</v>
          </cell>
          <cell r="O10">
            <v>12</v>
          </cell>
          <cell r="P10">
            <v>2015</v>
          </cell>
          <cell r="Q10" t="str">
            <v>Hà Nội, ngày 2 tháng 12 năm 2015</v>
          </cell>
          <cell r="R10" t="str">
            <v>14h00 ngày 2 tháng 12 năm 2015</v>
          </cell>
          <cell r="S10" t="str">
            <v>16h00 ngày 2 tháng 12 năm 2015</v>
          </cell>
          <cell r="T10" t="str">
            <v>14h00</v>
          </cell>
          <cell r="U10" t="str">
            <v>14h00 Ngày 2/12/2015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KT-503; KT-1603</v>
          </cell>
          <cell r="AQ10" t="str">
            <v>Ngày 2 Tháng 12 Năm 2015</v>
          </cell>
        </row>
        <row r="11">
          <cell r="A11" t="str">
            <v>TB-02</v>
          </cell>
          <cell r="B11" t="str">
            <v>Gia công, lắp đặt tủ bếp bằng gỗ (tủ dưới) tầng: 03, 04, 05, 06</v>
          </cell>
          <cell r="C11" t="str">
            <v>TB-02</v>
          </cell>
          <cell r="D11" t="str">
            <v>8h15</v>
          </cell>
          <cell r="E11" t="str">
            <v>10h00</v>
          </cell>
          <cell r="F11">
            <v>2</v>
          </cell>
          <cell r="G11">
            <v>12</v>
          </cell>
          <cell r="H11">
            <v>2015</v>
          </cell>
          <cell r="I11" t="str">
            <v>Hà Nội, ngày 2 tháng 12 năm 2015</v>
          </cell>
          <cell r="J11" t="str">
            <v>8h15 ngày 2 tháng 12 năm 2015</v>
          </cell>
          <cell r="K11" t="str">
            <v>10h00 ngày 2 tháng 12 năm 2015</v>
          </cell>
          <cell r="L11" t="str">
            <v>14h00</v>
          </cell>
          <cell r="M11" t="str">
            <v>16h00</v>
          </cell>
          <cell r="N11">
            <v>2</v>
          </cell>
          <cell r="O11">
            <v>12</v>
          </cell>
          <cell r="P11">
            <v>2015</v>
          </cell>
          <cell r="Q11" t="str">
            <v>Hà Nội, ngày 2 tháng 12 năm 2015</v>
          </cell>
          <cell r="R11" t="str">
            <v>14h00 ngày 2 tháng 12 năm 2015</v>
          </cell>
          <cell r="S11" t="str">
            <v>16h00 ngày 2 tháng 12 năm 2015</v>
          </cell>
          <cell r="T11" t="str">
            <v>14h00</v>
          </cell>
          <cell r="U11" t="str">
            <v>14h00 Ngày 2/12/2015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KT-503; KT-1603</v>
          </cell>
          <cell r="AQ11" t="str">
            <v>Ngày 2 Tháng 12 Năm 2015</v>
          </cell>
        </row>
        <row r="12">
          <cell r="A12" t="str">
            <v>TB-03</v>
          </cell>
          <cell r="B12" t="str">
            <v>Gia công, lắp đặt tủ bếp bằng gỗ (tủ trên) tầng: 07, 08, 09, 10, 11</v>
          </cell>
          <cell r="C12" t="str">
            <v>TB-03</v>
          </cell>
          <cell r="D12" t="str">
            <v>8h00</v>
          </cell>
          <cell r="E12" t="str">
            <v>10h15</v>
          </cell>
          <cell r="F12">
            <v>6</v>
          </cell>
          <cell r="G12">
            <v>12</v>
          </cell>
          <cell r="H12">
            <v>2015</v>
          </cell>
          <cell r="I12" t="str">
            <v>Hà Nội, ngày 6 tháng 12 năm 2015</v>
          </cell>
          <cell r="J12" t="str">
            <v>8h00 ngày 6 tháng 12 năm 2015</v>
          </cell>
          <cell r="K12" t="str">
            <v>10h15 ngày 6 tháng 12 năm 2015</v>
          </cell>
          <cell r="L12" t="str">
            <v>14h30</v>
          </cell>
          <cell r="M12" t="str">
            <v>16h30</v>
          </cell>
          <cell r="N12">
            <v>6</v>
          </cell>
          <cell r="O12">
            <v>12</v>
          </cell>
          <cell r="P12">
            <v>2015</v>
          </cell>
          <cell r="Q12" t="str">
            <v>Hà Nội, ngày 6 tháng 12 năm 2015</v>
          </cell>
          <cell r="R12" t="str">
            <v>14h30 ngày 6 tháng 12 năm 2015</v>
          </cell>
          <cell r="S12" t="str">
            <v>16h30 ngày 6 tháng 12 năm 2015</v>
          </cell>
          <cell r="T12" t="str">
            <v>14h30</v>
          </cell>
          <cell r="U12" t="str">
            <v>14h30 Ngày 6/12/2015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KT-503; KT-1603</v>
          </cell>
          <cell r="AQ12" t="str">
            <v>Ngày 6 Tháng 12 Năm 2015</v>
          </cell>
        </row>
        <row r="13">
          <cell r="A13" t="str">
            <v>TB-04</v>
          </cell>
          <cell r="B13" t="str">
            <v>Gia công, lắp đặt tủ bếp bằng gỗ (tủ dưới) tầng: 07, 08, 09, 10, 11</v>
          </cell>
          <cell r="C13" t="str">
            <v>TB-04</v>
          </cell>
          <cell r="D13" t="str">
            <v>8h00</v>
          </cell>
          <cell r="E13" t="str">
            <v>10h15</v>
          </cell>
          <cell r="F13">
            <v>6</v>
          </cell>
          <cell r="G13">
            <v>12</v>
          </cell>
          <cell r="H13">
            <v>2015</v>
          </cell>
          <cell r="I13" t="str">
            <v>Hà Nội, ngày 6 tháng 12 năm 2015</v>
          </cell>
          <cell r="J13" t="str">
            <v>8h00 ngày 6 tháng 12 năm 2015</v>
          </cell>
          <cell r="K13" t="str">
            <v>10h15 ngày 6 tháng 12 năm 2015</v>
          </cell>
          <cell r="L13" t="str">
            <v>14h30</v>
          </cell>
          <cell r="M13" t="str">
            <v>16h30</v>
          </cell>
          <cell r="N13">
            <v>6</v>
          </cell>
          <cell r="O13">
            <v>12</v>
          </cell>
          <cell r="P13">
            <v>2015</v>
          </cell>
          <cell r="Q13" t="str">
            <v>Hà Nội, ngày 6 tháng 12 năm 2015</v>
          </cell>
          <cell r="R13" t="str">
            <v>14h30 ngày 6 tháng 12 năm 2015</v>
          </cell>
          <cell r="S13" t="str">
            <v>16h30 ngày 6 tháng 12 năm 2015</v>
          </cell>
          <cell r="T13" t="str">
            <v>14h30</v>
          </cell>
          <cell r="U13" t="str">
            <v>14h30 Ngày 6/12/2015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KT-503; KT-1603</v>
          </cell>
          <cell r="AQ13" t="str">
            <v>Ngày 6 Tháng 12 Năm 2015</v>
          </cell>
        </row>
        <row r="14">
          <cell r="A14" t="str">
            <v>TB-05</v>
          </cell>
          <cell r="C14" t="str">
            <v>TB-05</v>
          </cell>
          <cell r="D14" t="str">
            <v>8h10</v>
          </cell>
          <cell r="E14" t="str">
            <v>9h10</v>
          </cell>
          <cell r="F14">
            <v>27</v>
          </cell>
          <cell r="G14">
            <v>11</v>
          </cell>
          <cell r="H14">
            <v>2015</v>
          </cell>
          <cell r="I14" t="str">
            <v>Hà Nội, ngày 27 tháng 11 năm 2015</v>
          </cell>
          <cell r="J14" t="str">
            <v>8h10 ngày 27 tháng 11 năm 2015</v>
          </cell>
          <cell r="K14" t="str">
            <v>9h10 ngày 27 tháng 11 năm 2015</v>
          </cell>
          <cell r="L14" t="str">
            <v>14h00</v>
          </cell>
          <cell r="M14" t="str">
            <v>15h00</v>
          </cell>
          <cell r="N14">
            <v>27</v>
          </cell>
          <cell r="O14">
            <v>11</v>
          </cell>
          <cell r="P14">
            <v>2015</v>
          </cell>
          <cell r="Q14" t="str">
            <v>Hà Nội, ngày 27 tháng 11 năm 2015</v>
          </cell>
          <cell r="R14" t="str">
            <v>14h00 ngày 27 tháng 11 năm 2015</v>
          </cell>
          <cell r="S14" t="str">
            <v>15h00 ngày 27 tháng 11 năm 2015</v>
          </cell>
          <cell r="T14" t="str">
            <v>14h00</v>
          </cell>
          <cell r="U14" t="str">
            <v>14h00 Ngày 27/11/2015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KT-503; KT-1603</v>
          </cell>
          <cell r="AQ14" t="str">
            <v>Ngày 27 Tháng 11 Năm 2015</v>
          </cell>
        </row>
        <row r="15">
          <cell r="A15" t="str">
            <v>TB-06</v>
          </cell>
          <cell r="C15" t="str">
            <v>TB-06</v>
          </cell>
          <cell r="D15" t="str">
            <v>...h...</v>
          </cell>
          <cell r="E15" t="str">
            <v>...h...</v>
          </cell>
          <cell r="F15" t="str">
            <v>……</v>
          </cell>
          <cell r="G15" t="str">
            <v>……</v>
          </cell>
          <cell r="H15">
            <v>2015</v>
          </cell>
          <cell r="I15" t="str">
            <v>Hà Nội, ngày …… tháng …… năm 2015</v>
          </cell>
          <cell r="J15" t="str">
            <v>...h... ngày …… tháng …… năm 2015</v>
          </cell>
          <cell r="K15" t="str">
            <v>...h... ngày …… tháng …… năm 2015</v>
          </cell>
          <cell r="L15" t="str">
            <v>...h...</v>
          </cell>
          <cell r="M15" t="str">
            <v>...h...</v>
          </cell>
          <cell r="N15" t="str">
            <v>……</v>
          </cell>
          <cell r="O15" t="str">
            <v>……</v>
          </cell>
          <cell r="P15">
            <v>2015</v>
          </cell>
          <cell r="Q15" t="str">
            <v>Hà Nội, ngày …… tháng …… năm 2015</v>
          </cell>
          <cell r="R15" t="str">
            <v>...h... ngày …… tháng …… năm 2015</v>
          </cell>
          <cell r="S15" t="str">
            <v>...h... ngày …… tháng …… năm 2015</v>
          </cell>
          <cell r="T15" t="str">
            <v>...h...</v>
          </cell>
          <cell r="U15" t="str">
            <v>...h...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N15" t="str">
            <v>KT-503; KT-1603</v>
          </cell>
          <cell r="AQ15" t="str">
            <v>Ngày …… Tháng …… Năm 2015</v>
          </cell>
        </row>
        <row r="16">
          <cell r="A16" t="str">
            <v>VLTB-01</v>
          </cell>
          <cell r="B16" t="str">
            <v>Nghiệm thu vật liệu làm tủ bếp và phụ kiện kèm theo biên bản giao nhận hàng hóa</v>
          </cell>
          <cell r="C16" t="str">
            <v>VLTB-01</v>
          </cell>
          <cell r="D16" t="str">
            <v>...h...</v>
          </cell>
          <cell r="E16" t="str">
            <v>...h...</v>
          </cell>
          <cell r="F16">
            <v>25</v>
          </cell>
          <cell r="G16">
            <v>11</v>
          </cell>
          <cell r="H16">
            <v>2015</v>
          </cell>
          <cell r="I16" t="str">
            <v>Hà Nội, ngày 25 tháng 11 năm 2015</v>
          </cell>
          <cell r="J16" t="str">
            <v>...h... ngày 25 tháng 11 năm 2015</v>
          </cell>
          <cell r="K16" t="str">
            <v>...h... ngày 25 tháng 11 năm 2015</v>
          </cell>
          <cell r="L16" t="str">
            <v>...h...</v>
          </cell>
          <cell r="M16" t="str">
            <v>...h...</v>
          </cell>
          <cell r="N16">
            <v>25</v>
          </cell>
          <cell r="O16">
            <v>11</v>
          </cell>
          <cell r="P16">
            <v>2015</v>
          </cell>
          <cell r="Q16" t="str">
            <v>Hà Nội, ngày 25 tháng 11 năm 2015</v>
          </cell>
          <cell r="R16" t="str">
            <v>...h... ngày 25 tháng 11 năm 2015</v>
          </cell>
          <cell r="S16" t="str">
            <v>...h... ngày 25 tháng 11 năm 2015</v>
          </cell>
          <cell r="T16" t="str">
            <v>...h...</v>
          </cell>
          <cell r="U16" t="str">
            <v>...h... Ngày 25/11/2015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25 Tháng 11 Năm 2015</v>
          </cell>
        </row>
        <row r="17">
          <cell r="A17" t="str">
            <v>TB-08</v>
          </cell>
          <cell r="C17" t="str">
            <v>TB-08</v>
          </cell>
          <cell r="D17" t="str">
            <v>...h...</v>
          </cell>
          <cell r="E17" t="str">
            <v>...h...</v>
          </cell>
          <cell r="F17" t="str">
            <v>……</v>
          </cell>
          <cell r="G17" t="str">
            <v>……</v>
          </cell>
          <cell r="H17">
            <v>2015</v>
          </cell>
          <cell r="I17" t="str">
            <v>Hà Nội, ngày …… tháng …… năm 2015</v>
          </cell>
          <cell r="J17" t="str">
            <v>...h... ngày …… tháng …… năm 2015</v>
          </cell>
          <cell r="K17" t="str">
            <v>...h... ngày …… tháng …… năm 2015</v>
          </cell>
          <cell r="L17" t="str">
            <v>...h...</v>
          </cell>
          <cell r="M17" t="str">
            <v>...h...</v>
          </cell>
          <cell r="N17" t="str">
            <v>……</v>
          </cell>
          <cell r="O17" t="str">
            <v>……</v>
          </cell>
          <cell r="P17">
            <v>2015</v>
          </cell>
          <cell r="Q17" t="str">
            <v>Hà Nội, ngày …… tháng …… năm 2015</v>
          </cell>
          <cell r="R17" t="str">
            <v>...h... ngày …… tháng …… năm 2015</v>
          </cell>
          <cell r="S17" t="str">
            <v>...h... ngày …… tháng …… năm 2015</v>
          </cell>
          <cell r="T17" t="str">
            <v>...h...</v>
          </cell>
          <cell r="U17" t="str">
            <v>...h...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t="str">
            <v>VLDD-01</v>
          </cell>
          <cell r="B18" t="str">
            <v>Nghiệm thu vật liệu inox làm lan can, tay vịn đường dốc và phụ kiện kèm theo biên bản giao nhận hàng hóa ngày 22/11/2015</v>
          </cell>
          <cell r="C18" t="str">
            <v>VLDD-01</v>
          </cell>
          <cell r="D18" t="str">
            <v>14h00</v>
          </cell>
          <cell r="E18" t="str">
            <v>15h00</v>
          </cell>
          <cell r="F18">
            <v>22</v>
          </cell>
          <cell r="G18">
            <v>11</v>
          </cell>
          <cell r="H18">
            <v>2015</v>
          </cell>
          <cell r="I18" t="str">
            <v>Hà Nội, ngày 22 tháng 11 năm 2015</v>
          </cell>
          <cell r="J18" t="str">
            <v>14h00 ngày 22 tháng 11 năm 2015</v>
          </cell>
          <cell r="K18" t="str">
            <v>15h00 ngày 22 tháng 11 năm 2015</v>
          </cell>
          <cell r="L18" t="str">
            <v>15h15</v>
          </cell>
          <cell r="M18" t="str">
            <v>16h15</v>
          </cell>
          <cell r="N18">
            <v>22</v>
          </cell>
          <cell r="O18">
            <v>11</v>
          </cell>
          <cell r="P18">
            <v>2015</v>
          </cell>
          <cell r="Q18" t="str">
            <v>Hà Nội, ngày 22 tháng 11 năm 2015</v>
          </cell>
          <cell r="R18" t="str">
            <v>15h15 ngày 22 tháng 11 năm 2015</v>
          </cell>
          <cell r="S18" t="str">
            <v>16h15 ngày 22 tháng 11 năm 2015</v>
          </cell>
          <cell r="T18" t="str">
            <v>15h15</v>
          </cell>
          <cell r="U18" t="str">
            <v>15h15 Ngày 22/11/2015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22 Tháng 11 Năm 2015</v>
          </cell>
        </row>
        <row r="19">
          <cell r="A19">
            <v>0</v>
          </cell>
          <cell r="D19" t="str">
            <v>...h...</v>
          </cell>
          <cell r="E19" t="str">
            <v>...h...</v>
          </cell>
          <cell r="F19" t="str">
            <v>……</v>
          </cell>
          <cell r="G19" t="str">
            <v>……</v>
          </cell>
          <cell r="H19">
            <v>2015</v>
          </cell>
          <cell r="I19" t="str">
            <v>Hà Nội, ngày …… tháng …… năm 2015</v>
          </cell>
          <cell r="J19" t="str">
            <v>...h... ngày …… tháng …… năm 2015</v>
          </cell>
          <cell r="K19" t="str">
            <v>...h... ngày …… tháng …… năm 2015</v>
          </cell>
          <cell r="L19" t="str">
            <v>...h...</v>
          </cell>
          <cell r="M19" t="str">
            <v>...h...</v>
          </cell>
          <cell r="N19" t="str">
            <v>……</v>
          </cell>
          <cell r="O19" t="str">
            <v>……</v>
          </cell>
          <cell r="P19">
            <v>2015</v>
          </cell>
          <cell r="Q19" t="str">
            <v>Hà Nội, ngày …… tháng …… năm 2015</v>
          </cell>
          <cell r="R19" t="str">
            <v>...h... ngày …… tháng …… năm 2015</v>
          </cell>
          <cell r="S19" t="str">
            <v>...h... ngày …… tháng …… năm 2015</v>
          </cell>
          <cell r="T19" t="str">
            <v>...h...</v>
          </cell>
          <cell r="U19" t="str">
            <v>...h...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t="str">
            <v>MTCC-01</v>
          </cell>
          <cell r="B20" t="str">
            <v>Nghiệm thu mô tơ khởi động cửa cuốn, bộ lưu điện, sensor đảo chiều, rơ le chống sổ lô, còi báo động cùng phụ kiện đi kèm phiếu xuất kho ngày 29/11/2015</v>
          </cell>
          <cell r="C20" t="str">
            <v>MTCC-01</v>
          </cell>
          <cell r="D20" t="str">
            <v>8h00</v>
          </cell>
          <cell r="E20" t="str">
            <v>9h00</v>
          </cell>
          <cell r="F20">
            <v>29</v>
          </cell>
          <cell r="G20">
            <v>11</v>
          </cell>
          <cell r="H20">
            <v>2015</v>
          </cell>
          <cell r="I20" t="str">
            <v>Hà Nội, ngày 29 tháng 11 năm 2015</v>
          </cell>
          <cell r="J20" t="str">
            <v>8h00 ngày 29 tháng 11 năm 2015</v>
          </cell>
          <cell r="K20" t="str">
            <v>9h00 ngày 29 tháng 11 năm 2015</v>
          </cell>
          <cell r="L20" t="str">
            <v>9h30</v>
          </cell>
          <cell r="M20" t="str">
            <v>10h30</v>
          </cell>
          <cell r="N20">
            <v>29</v>
          </cell>
          <cell r="O20">
            <v>11</v>
          </cell>
          <cell r="P20">
            <v>2015</v>
          </cell>
          <cell r="Q20" t="str">
            <v>Hà Nội, ngày 29 tháng 11 năm 2015</v>
          </cell>
          <cell r="R20" t="str">
            <v>9h30 ngày 29 tháng 11 năm 2015</v>
          </cell>
          <cell r="S20" t="str">
            <v>10h30 ngày 29 tháng 11 năm 2015</v>
          </cell>
          <cell r="T20" t="str">
            <v>9h30</v>
          </cell>
          <cell r="U20" t="str">
            <v>9h30 Ngày 29/11/2015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29 Tháng 11 Năm 2015</v>
          </cell>
        </row>
        <row r="21">
          <cell r="A21" t="str">
            <v>VLCC-01</v>
          </cell>
          <cell r="B21" t="str">
            <v>Nghiệm thu vật liệu làm cửa cuốn kèm theo biên bản giao nhận hàng hóa ngày 21/11/2015</v>
          </cell>
          <cell r="C21" t="str">
            <v>VLCC-01</v>
          </cell>
          <cell r="D21" t="str">
            <v>8h00</v>
          </cell>
          <cell r="E21" t="str">
            <v>10h00</v>
          </cell>
          <cell r="F21">
            <v>21</v>
          </cell>
          <cell r="G21">
            <v>11</v>
          </cell>
          <cell r="H21">
            <v>2015</v>
          </cell>
          <cell r="I21" t="str">
            <v>Hà Nội, ngày 21 tháng 11 năm 2015</v>
          </cell>
          <cell r="J21" t="str">
            <v>8h00 ngày 21 tháng 11 năm 2015</v>
          </cell>
          <cell r="K21" t="str">
            <v>10h00 ngày 21 tháng 11 năm 2015</v>
          </cell>
          <cell r="L21" t="str">
            <v>14h00</v>
          </cell>
          <cell r="M21" t="str">
            <v>16h00</v>
          </cell>
          <cell r="N21">
            <v>21</v>
          </cell>
          <cell r="O21">
            <v>11</v>
          </cell>
          <cell r="P21">
            <v>2015</v>
          </cell>
          <cell r="Q21" t="str">
            <v>Hà Nội, ngày 21 tháng 11 năm 2015</v>
          </cell>
          <cell r="R21" t="str">
            <v>14h00 ngày 21 tháng 11 năm 2015</v>
          </cell>
          <cell r="S21" t="str">
            <v>16h00 ngày 21 tháng 11 năm 2015</v>
          </cell>
          <cell r="T21" t="str">
            <v>14h00</v>
          </cell>
          <cell r="U21" t="str">
            <v>14h00 Ngày 21/11/2015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21 Tháng 11 Năm 2015</v>
          </cell>
        </row>
        <row r="22">
          <cell r="A22" t="str">
            <v>VNCP-01</v>
          </cell>
          <cell r="B22" t="str">
            <v>Nghiệm thu tấm vách ngăn Compact kèm theo biên bản giao nhận hàng hóa ngày 1/12/2015</v>
          </cell>
          <cell r="C22" t="str">
            <v>VNCP-01</v>
          </cell>
          <cell r="D22" t="str">
            <v>14h00</v>
          </cell>
          <cell r="E22" t="str">
            <v>14h30</v>
          </cell>
          <cell r="F22">
            <v>1</v>
          </cell>
          <cell r="G22">
            <v>12</v>
          </cell>
          <cell r="H22">
            <v>2015</v>
          </cell>
          <cell r="I22" t="str">
            <v>Hà Nội, ngày 1 tháng 12 năm 2015</v>
          </cell>
          <cell r="J22" t="str">
            <v>14h00 ngày 1 tháng 12 năm 2015</v>
          </cell>
          <cell r="K22" t="str">
            <v>14h30 ngày 1 tháng 12 năm 2015</v>
          </cell>
          <cell r="L22" t="str">
            <v>15h00</v>
          </cell>
          <cell r="M22" t="str">
            <v>15h30</v>
          </cell>
          <cell r="N22">
            <v>1</v>
          </cell>
          <cell r="O22">
            <v>12</v>
          </cell>
          <cell r="P22">
            <v>2015</v>
          </cell>
          <cell r="Q22" t="str">
            <v>Hà Nội, ngày 1 tháng 12 năm 2015</v>
          </cell>
          <cell r="R22" t="str">
            <v>15h00 ngày 1 tháng 12 năm 2015</v>
          </cell>
          <cell r="S22" t="str">
            <v>15h30 ngày 1 tháng 12 năm 2015</v>
          </cell>
          <cell r="T22" t="str">
            <v>15h00</v>
          </cell>
          <cell r="U22" t="str">
            <v>15h00 Ngày 1/12/2015</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1 Tháng 12 Năm 2015</v>
          </cell>
        </row>
        <row r="23">
          <cell r="A23" t="str">
            <v>MKCL-01</v>
          </cell>
          <cell r="B23" t="str">
            <v>Nghiệm thu gia công mái kính cường lực và phụ kiện kèm theo biên bản giao nhận hàng hóa ngày 2/12/2015</v>
          </cell>
          <cell r="C23" t="str">
            <v>MKCL-01</v>
          </cell>
          <cell r="D23" t="str">
            <v>14h30</v>
          </cell>
          <cell r="E23" t="str">
            <v>15h30</v>
          </cell>
          <cell r="F23">
            <v>2</v>
          </cell>
          <cell r="G23">
            <v>12</v>
          </cell>
          <cell r="H23">
            <v>2015</v>
          </cell>
          <cell r="I23" t="str">
            <v>Hà Nội, ngày 2 tháng 12 năm 2015</v>
          </cell>
          <cell r="J23" t="str">
            <v>14h30 ngày 2 tháng 12 năm 2015</v>
          </cell>
          <cell r="K23" t="str">
            <v>15h30 ngày 2 tháng 12 năm 2015</v>
          </cell>
          <cell r="L23" t="str">
            <v>16h00</v>
          </cell>
          <cell r="M23" t="str">
            <v>16h30</v>
          </cell>
          <cell r="N23">
            <v>2</v>
          </cell>
          <cell r="O23">
            <v>12</v>
          </cell>
          <cell r="P23">
            <v>2015</v>
          </cell>
          <cell r="Q23" t="str">
            <v>Hà Nội, ngày 2 tháng 12 năm 2015</v>
          </cell>
          <cell r="R23" t="str">
            <v>16h00 ngày 2 tháng 12 năm 2015</v>
          </cell>
          <cell r="S23" t="str">
            <v>16h30 ngày 2 tháng 12 năm 2015</v>
          </cell>
          <cell r="T23" t="str">
            <v>16h00</v>
          </cell>
          <cell r="U23" t="str">
            <v>16h00 Ngày 2/12/2015</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2 Tháng 12 Năm 2015</v>
          </cell>
        </row>
        <row r="24">
          <cell r="A24" t="str">
            <v>VLLCT-01</v>
          </cell>
          <cell r="B24" t="str">
            <v>Nghiệm thu vật liệu lưới chắn côn trùng kèm theo biên bản giao nhận hàng hóa ngày 18/11/2015</v>
          </cell>
          <cell r="C24" t="str">
            <v>VLLCT-01</v>
          </cell>
          <cell r="D24" t="str">
            <v>10h00</v>
          </cell>
          <cell r="E24" t="str">
            <v>10h30</v>
          </cell>
          <cell r="F24">
            <v>18</v>
          </cell>
          <cell r="G24">
            <v>11</v>
          </cell>
          <cell r="H24">
            <v>2015</v>
          </cell>
          <cell r="I24" t="str">
            <v>Hà Nội, ngày 18 tháng 11 năm 2015</v>
          </cell>
          <cell r="J24" t="str">
            <v>10h00 ngày 18 tháng 11 năm 2015</v>
          </cell>
          <cell r="K24" t="str">
            <v>10h30 ngày 18 tháng 11 năm 2015</v>
          </cell>
          <cell r="L24" t="str">
            <v>11h00</v>
          </cell>
          <cell r="M24" t="str">
            <v>11h30</v>
          </cell>
          <cell r="N24">
            <v>18</v>
          </cell>
          <cell r="O24">
            <v>11</v>
          </cell>
          <cell r="P24">
            <v>2015</v>
          </cell>
          <cell r="Q24" t="str">
            <v>Hà Nội, ngày 18 tháng 11 năm 2015</v>
          </cell>
          <cell r="R24" t="str">
            <v>11h00 ngày 18 tháng 11 năm 2015</v>
          </cell>
          <cell r="S24" t="str">
            <v>11h30 ngày 18 tháng 11 năm 2015</v>
          </cell>
          <cell r="T24" t="str">
            <v>11h00</v>
          </cell>
          <cell r="U24" t="str">
            <v>11h00 Ngày 18/11/2015</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18 Tháng 11 Năm 2015</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96"/>
      <sheetData sheetId="197">
        <row r="1">
          <cell r="A1" t="str">
            <v>CÔNG TY CP HỒNG HÀ VIỆT NAM</v>
          </cell>
          <cell r="C1" t="str">
            <v>CỘNG HÒA XÃ HỘI CHỦ NGHĨA VIỆT NAM</v>
          </cell>
        </row>
        <row r="2">
          <cell r="C2" t="str">
            <v>ĐỘC LẬP-TỰ DO -HẠNH PHÚC</v>
          </cell>
        </row>
        <row r="4">
          <cell r="A4" t="str">
            <v>VẬN CHUYỂN ĐẤT</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VCĐ-01</v>
          </cell>
          <cell r="B10" t="str">
            <v>Vận chuyển đất bằng ô tô tự đổ, phạm vi &lt;=1000m, ô tô 5T, đất cấp II</v>
          </cell>
          <cell r="C10" t="str">
            <v>VCĐ-01</v>
          </cell>
          <cell r="D10" t="str">
            <v>8h30</v>
          </cell>
          <cell r="E10" t="str">
            <v>9h00</v>
          </cell>
          <cell r="F10">
            <v>26</v>
          </cell>
          <cell r="G10">
            <v>9</v>
          </cell>
          <cell r="H10">
            <v>2015</v>
          </cell>
          <cell r="I10" t="str">
            <v>Hà Nội, ngày 26 tháng 9 năm 2015</v>
          </cell>
          <cell r="J10" t="str">
            <v>8h30 ngày 26 tháng 9 năm 2015</v>
          </cell>
          <cell r="K10" t="str">
            <v>9h00 ngày 26 tháng 9 năm 2015</v>
          </cell>
          <cell r="L10" t="str">
            <v>9h30</v>
          </cell>
          <cell r="M10" t="str">
            <v>10h00</v>
          </cell>
          <cell r="N10">
            <v>26</v>
          </cell>
          <cell r="O10">
            <v>9</v>
          </cell>
          <cell r="P10">
            <v>2015</v>
          </cell>
          <cell r="Q10" t="str">
            <v>Hà Nội, ngày 26 tháng 9 năm 2015</v>
          </cell>
          <cell r="R10" t="str">
            <v>9h30 ngày 26 tháng 9 năm 2015</v>
          </cell>
          <cell r="S10" t="str">
            <v>10h00 ngày 26 tháng 9 năm 2015</v>
          </cell>
          <cell r="T10" t="str">
            <v>9h30</v>
          </cell>
          <cell r="U10" t="str">
            <v>9h30 Ngày 26/9/2015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Q10" t="str">
            <v>Ngày 26 Tháng 9 Năm 2015</v>
          </cell>
        </row>
        <row r="11">
          <cell r="A11" t="str">
            <v>PDTX-01</v>
          </cell>
          <cell r="B11" t="str">
            <v>Phá dỡ tường xây tầng 01</v>
          </cell>
          <cell r="C11" t="str">
            <v>PDTX-01</v>
          </cell>
          <cell r="D11" t="str">
            <v>8h00</v>
          </cell>
          <cell r="E11" t="str">
            <v>8h45</v>
          </cell>
          <cell r="F11">
            <v>1</v>
          </cell>
          <cell r="G11">
            <v>10</v>
          </cell>
          <cell r="H11">
            <v>2015</v>
          </cell>
          <cell r="I11" t="str">
            <v>Hà Nội, ngày 1 tháng 10 năm 2015</v>
          </cell>
          <cell r="J11" t="str">
            <v>8h00 ngày 1 tháng 10 năm 2015</v>
          </cell>
          <cell r="K11" t="str">
            <v>8h45 ngày 1 tháng 10 năm 2015</v>
          </cell>
          <cell r="L11" t="str">
            <v>9h00</v>
          </cell>
          <cell r="M11" t="str">
            <v>9h45</v>
          </cell>
          <cell r="N11">
            <v>1</v>
          </cell>
          <cell r="O11">
            <v>10</v>
          </cell>
          <cell r="P11">
            <v>2015</v>
          </cell>
          <cell r="Q11" t="str">
            <v>Hà Nội, ngày 1 tháng 10 năm 2015</v>
          </cell>
          <cell r="R11" t="str">
            <v>9h00 ngày 1 tháng 10 năm 2015</v>
          </cell>
          <cell r="S11" t="str">
            <v>9h45 ngày 1 tháng 10 năm 2015</v>
          </cell>
          <cell r="T11" t="str">
            <v>9h00</v>
          </cell>
          <cell r="U11" t="str">
            <v>9h00 Ngày 1/10/2015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KT-101 ĐC1; KT-101</v>
          </cell>
          <cell r="AQ11" t="str">
            <v>Ngày 1 Tháng 10 Năm 2015</v>
          </cell>
        </row>
        <row r="12">
          <cell r="A12" t="str">
            <v>VCVL-01</v>
          </cell>
          <cell r="B12" t="str">
            <v>Bốc xếp, vận chuyển vật tư, vật liệu các loại</v>
          </cell>
          <cell r="C12" t="str">
            <v>VCVL-01</v>
          </cell>
          <cell r="D12" t="str">
            <v>9h00</v>
          </cell>
          <cell r="E12" t="str">
            <v>10h00</v>
          </cell>
          <cell r="F12">
            <v>10</v>
          </cell>
          <cell r="G12">
            <v>12</v>
          </cell>
          <cell r="H12">
            <v>2015</v>
          </cell>
          <cell r="I12" t="str">
            <v>Hà Nội, ngày 10 tháng 12 năm 2015</v>
          </cell>
          <cell r="J12" t="str">
            <v>9h00 ngày 10 tháng 12 năm 2015</v>
          </cell>
          <cell r="K12" t="str">
            <v>10h00 ngày 10 tháng 12 năm 2015</v>
          </cell>
          <cell r="L12" t="str">
            <v>10h15</v>
          </cell>
          <cell r="M12" t="str">
            <v>11h00</v>
          </cell>
          <cell r="N12">
            <v>10</v>
          </cell>
          <cell r="O12">
            <v>12</v>
          </cell>
          <cell r="P12">
            <v>2015</v>
          </cell>
          <cell r="Q12" t="str">
            <v>Hà Nội, ngày 10 tháng 12 năm 2015</v>
          </cell>
          <cell r="R12" t="str">
            <v>10h15 ngày 10 tháng 12 năm 2015</v>
          </cell>
          <cell r="S12" t="str">
            <v>11h00 ngày 10 tháng 12 năm 2015</v>
          </cell>
          <cell r="T12" t="str">
            <v>10h15</v>
          </cell>
          <cell r="U12" t="str">
            <v>10h15 Ngày 10/12/2015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N12" t="str">
            <v xml:space="preserve"> </v>
          </cell>
          <cell r="AQ12" t="str">
            <v>Ngày 10 Tháng 12 Năm 2015</v>
          </cell>
        </row>
        <row r="13">
          <cell r="A13" t="str">
            <v>PDTX-02</v>
          </cell>
          <cell r="B13" t="str">
            <v>Phá dỡ tường đã xây, trát tại vị trí thi công cửa chớp tôn thang TB1, TB2 tầng: 01, 02, 03, 04, 05, 06, 07, 08, 09, 10, 11, áp mái</v>
          </cell>
          <cell r="C13" t="str">
            <v>PDTX-02</v>
          </cell>
          <cell r="D13" t="str">
            <v>9h00</v>
          </cell>
          <cell r="E13" t="str">
            <v>10h00</v>
          </cell>
          <cell r="F13">
            <v>2</v>
          </cell>
          <cell r="G13">
            <v>12</v>
          </cell>
          <cell r="H13">
            <v>2015</v>
          </cell>
          <cell r="I13" t="str">
            <v>Hà Nội, ngày 2 tháng 12 năm 2015</v>
          </cell>
          <cell r="J13" t="str">
            <v>9h00 ngày 2 tháng 12 năm 2015</v>
          </cell>
          <cell r="K13" t="str">
            <v>10h00 ngày 2 tháng 12 năm 2015</v>
          </cell>
          <cell r="L13" t="str">
            <v>10h15</v>
          </cell>
          <cell r="M13" t="str">
            <v>11h00</v>
          </cell>
          <cell r="N13">
            <v>2</v>
          </cell>
          <cell r="O13">
            <v>12</v>
          </cell>
          <cell r="P13">
            <v>2015</v>
          </cell>
          <cell r="Q13" t="str">
            <v>Hà Nội, ngày 2 tháng 12 năm 2015</v>
          </cell>
          <cell r="R13" t="str">
            <v>10h15 ngày 2 tháng 12 năm 2015</v>
          </cell>
          <cell r="S13" t="str">
            <v>11h00 ngày 2 tháng 12 năm 2015</v>
          </cell>
          <cell r="T13" t="str">
            <v>10h15</v>
          </cell>
          <cell r="U13" t="str">
            <v>10h15 Ngày 2/12/2015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N13" t="str">
            <v>KT-109; KT-107</v>
          </cell>
          <cell r="AQ13" t="str">
            <v>Ngày 2 Tháng 12 Năm 2015</v>
          </cell>
        </row>
        <row r="14">
          <cell r="A14" t="str">
            <v>TTCC-01</v>
          </cell>
          <cell r="B14" t="str">
            <v>Gia công, lắp dựng trụ thép chia cửa cuốn phòng dịch vụ thương mại tầng 1</v>
          </cell>
          <cell r="C14" t="str">
            <v>TTCC-01</v>
          </cell>
          <cell r="D14" t="str">
            <v>8h30</v>
          </cell>
          <cell r="E14" t="str">
            <v>9h30</v>
          </cell>
          <cell r="F14">
            <v>2</v>
          </cell>
          <cell r="G14">
            <v>12</v>
          </cell>
          <cell r="H14">
            <v>2015</v>
          </cell>
          <cell r="I14" t="str">
            <v>Hà Nội, ngày 2 tháng 12 năm 2015</v>
          </cell>
          <cell r="J14" t="str">
            <v>8h30 ngày 2 tháng 12 năm 2015</v>
          </cell>
          <cell r="K14" t="str">
            <v>9h30 ngày 2 tháng 12 năm 2015</v>
          </cell>
          <cell r="L14" t="str">
            <v>10h00</v>
          </cell>
          <cell r="M14" t="str">
            <v>11h00</v>
          </cell>
          <cell r="N14">
            <v>2</v>
          </cell>
          <cell r="O14">
            <v>12</v>
          </cell>
          <cell r="P14">
            <v>2015</v>
          </cell>
          <cell r="Q14" t="str">
            <v>Hà Nội, ngày 2 tháng 12 năm 2015</v>
          </cell>
          <cell r="R14" t="str">
            <v>10h00 ngày 2 tháng 12 năm 2015</v>
          </cell>
          <cell r="S14" t="str">
            <v>11h00 ngày 2 tháng 12 năm 2015</v>
          </cell>
          <cell r="T14" t="str">
            <v>10h00</v>
          </cell>
          <cell r="U14" t="str">
            <v>10h00 Ngày 2/12/2015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N14" t="str">
            <v>KC 456-BS</v>
          </cell>
          <cell r="AQ14" t="str">
            <v>Ngày 2 Tháng 12 Năm 2015</v>
          </cell>
        </row>
        <row r="15">
          <cell r="A15" t="str">
            <v>VCĐ-06</v>
          </cell>
          <cell r="C15" t="str">
            <v>VCĐ-06</v>
          </cell>
          <cell r="D15" t="str">
            <v>...h...</v>
          </cell>
          <cell r="E15" t="str">
            <v>...h...</v>
          </cell>
          <cell r="F15" t="str">
            <v>……</v>
          </cell>
          <cell r="G15" t="str">
            <v>……</v>
          </cell>
          <cell r="H15">
            <v>2015</v>
          </cell>
          <cell r="I15" t="str">
            <v>Hà Nội, ngày …… tháng …… năm 2015</v>
          </cell>
          <cell r="J15" t="str">
            <v>...h... ngày …… tháng …… năm 2015</v>
          </cell>
          <cell r="K15" t="str">
            <v>...h... ngày …… tháng …… năm 2015</v>
          </cell>
          <cell r="L15" t="str">
            <v>...h...</v>
          </cell>
          <cell r="M15" t="str">
            <v>...h...</v>
          </cell>
          <cell r="N15" t="str">
            <v>……</v>
          </cell>
          <cell r="O15" t="str">
            <v>……</v>
          </cell>
          <cell r="P15">
            <v>2015</v>
          </cell>
          <cell r="Q15" t="str">
            <v>Hà Nội, ngày …… tháng …… năm 2015</v>
          </cell>
          <cell r="R15" t="str">
            <v>...h... ngày …… tháng …… năm 2015</v>
          </cell>
          <cell r="S15" t="str">
            <v>...h... ngày …… tháng …… năm 2015</v>
          </cell>
          <cell r="T15" t="str">
            <v>...h...</v>
          </cell>
          <cell r="U15" t="str">
            <v>...h...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2015</v>
          </cell>
        </row>
        <row r="16">
          <cell r="A16" t="str">
            <v>VCĐ-07</v>
          </cell>
          <cell r="C16" t="str">
            <v>VCĐ-07</v>
          </cell>
          <cell r="D16" t="str">
            <v>...h...</v>
          </cell>
          <cell r="E16" t="str">
            <v>...h...</v>
          </cell>
          <cell r="F16" t="str">
            <v>……</v>
          </cell>
          <cell r="G16" t="str">
            <v>……</v>
          </cell>
          <cell r="H16">
            <v>2015</v>
          </cell>
          <cell r="I16" t="str">
            <v>Hà Nội, ngày …… tháng …… năm 2015</v>
          </cell>
          <cell r="J16" t="str">
            <v>...h... ngày …… tháng …… năm 2015</v>
          </cell>
          <cell r="K16" t="str">
            <v>...h... ngày …… tháng …… năm 2015</v>
          </cell>
          <cell r="L16" t="str">
            <v>...h...</v>
          </cell>
          <cell r="M16" t="str">
            <v>...h...</v>
          </cell>
          <cell r="N16" t="str">
            <v>……</v>
          </cell>
          <cell r="O16" t="str">
            <v>……</v>
          </cell>
          <cell r="P16">
            <v>2015</v>
          </cell>
          <cell r="Q16" t="str">
            <v>Hà Nội, ngày …… tháng …… năm 2015</v>
          </cell>
          <cell r="R16" t="str">
            <v>...h... ngày …… tháng …… năm 2015</v>
          </cell>
          <cell r="S16" t="str">
            <v>...h... ngày …… tháng …… năm 2015</v>
          </cell>
          <cell r="T16" t="str">
            <v>...h...</v>
          </cell>
          <cell r="U16" t="str">
            <v>...h...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VCĐ-08</v>
          </cell>
          <cell r="C17" t="str">
            <v>VCĐ-08</v>
          </cell>
          <cell r="D17" t="str">
            <v>...h...</v>
          </cell>
          <cell r="E17" t="str">
            <v>...h...</v>
          </cell>
          <cell r="F17" t="str">
            <v>……</v>
          </cell>
          <cell r="G17" t="str">
            <v>……</v>
          </cell>
          <cell r="H17">
            <v>2015</v>
          </cell>
          <cell r="I17" t="str">
            <v>Hà Nội, ngày …… tháng …… năm 2015</v>
          </cell>
          <cell r="J17" t="str">
            <v>...h... ngày …… tháng …… năm 2015</v>
          </cell>
          <cell r="K17" t="str">
            <v>...h... ngày …… tháng …… năm 2015</v>
          </cell>
          <cell r="L17" t="str">
            <v>...h...</v>
          </cell>
          <cell r="M17" t="str">
            <v>...h...</v>
          </cell>
          <cell r="N17" t="str">
            <v>……</v>
          </cell>
          <cell r="O17" t="str">
            <v>……</v>
          </cell>
          <cell r="P17">
            <v>2015</v>
          </cell>
          <cell r="Q17" t="str">
            <v>Hà Nội, ngày …… tháng …… năm 2015</v>
          </cell>
          <cell r="R17" t="str">
            <v>...h... ngày …… tháng …… năm 2015</v>
          </cell>
          <cell r="S17" t="str">
            <v>...h... ngày …… tháng …… năm 2015</v>
          </cell>
          <cell r="T17" t="str">
            <v>...h...</v>
          </cell>
          <cell r="U17" t="str">
            <v>...h...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v>0</v>
          </cell>
          <cell r="D18" t="str">
            <v>...h...</v>
          </cell>
          <cell r="E18" t="str">
            <v>...h...</v>
          </cell>
          <cell r="F18" t="str">
            <v>……</v>
          </cell>
          <cell r="G18" t="str">
            <v>……</v>
          </cell>
          <cell r="H18">
            <v>2015</v>
          </cell>
          <cell r="I18" t="str">
            <v>Hà Nội, ngày …… tháng …… năm 2015</v>
          </cell>
          <cell r="J18" t="str">
            <v>...h... ngày …… tháng …… năm 2015</v>
          </cell>
          <cell r="K18" t="str">
            <v>...h... ngày …… tháng …… năm 2015</v>
          </cell>
          <cell r="L18" t="str">
            <v>...h...</v>
          </cell>
          <cell r="M18" t="str">
            <v>...h...</v>
          </cell>
          <cell r="N18" t="str">
            <v>……</v>
          </cell>
          <cell r="O18" t="str">
            <v>……</v>
          </cell>
          <cell r="P18">
            <v>2015</v>
          </cell>
          <cell r="Q18" t="str">
            <v>Hà Nội, ngày …… tháng …… năm 2015</v>
          </cell>
          <cell r="R18" t="str">
            <v>...h... ngày …… tháng …… năm 2015</v>
          </cell>
          <cell r="S18" t="str">
            <v>...h... ngày …… tháng …… năm 2015</v>
          </cell>
          <cell r="T18" t="str">
            <v>...h...</v>
          </cell>
          <cell r="U18" t="str">
            <v>...h...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...h...</v>
          </cell>
          <cell r="E19" t="str">
            <v>...h...</v>
          </cell>
          <cell r="F19" t="str">
            <v>……</v>
          </cell>
          <cell r="G19" t="str">
            <v>……</v>
          </cell>
          <cell r="H19">
            <v>2015</v>
          </cell>
          <cell r="I19" t="str">
            <v>Hà Nội, ngày …… tháng …… năm 2015</v>
          </cell>
          <cell r="J19" t="str">
            <v>...h... ngày …… tháng …… năm 2015</v>
          </cell>
          <cell r="K19" t="str">
            <v>...h... ngày …… tháng …… năm 2015</v>
          </cell>
          <cell r="L19" t="str">
            <v>...h...</v>
          </cell>
          <cell r="M19" t="str">
            <v>...h...</v>
          </cell>
          <cell r="N19" t="str">
            <v>……</v>
          </cell>
          <cell r="O19" t="str">
            <v>……</v>
          </cell>
          <cell r="P19">
            <v>2015</v>
          </cell>
          <cell r="Q19" t="str">
            <v>Hà Nội, ngày …… tháng …… năm 2015</v>
          </cell>
          <cell r="R19" t="str">
            <v>...h... ngày …… tháng …… năm 2015</v>
          </cell>
          <cell r="S19" t="str">
            <v>...h... ngày …… tháng …… năm 2015</v>
          </cell>
          <cell r="T19" t="str">
            <v>...h...</v>
          </cell>
          <cell r="U19" t="str">
            <v>...h...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...h...</v>
          </cell>
          <cell r="E20" t="str">
            <v>...h...</v>
          </cell>
          <cell r="F20" t="str">
            <v>……</v>
          </cell>
          <cell r="G20" t="str">
            <v>……</v>
          </cell>
          <cell r="H20">
            <v>2015</v>
          </cell>
          <cell r="I20" t="str">
            <v>Hà Nội, ngày …… tháng …… năm 2015</v>
          </cell>
          <cell r="J20" t="str">
            <v>...h... ngày …… tháng …… năm 2015</v>
          </cell>
          <cell r="K20" t="str">
            <v>...h... ngày …… tháng …… năm 2015</v>
          </cell>
          <cell r="L20" t="str">
            <v>...h...</v>
          </cell>
          <cell r="M20" t="str">
            <v>...h...</v>
          </cell>
          <cell r="N20" t="str">
            <v>……</v>
          </cell>
          <cell r="O20" t="str">
            <v>……</v>
          </cell>
          <cell r="P20">
            <v>2015</v>
          </cell>
          <cell r="Q20" t="str">
            <v>Hà Nội, ngày …… tháng …… năm 2015</v>
          </cell>
          <cell r="R20" t="str">
            <v>...h... ngày …… tháng …… năm 2015</v>
          </cell>
          <cell r="S20" t="str">
            <v>...h... ngày …… tháng …… năm 2015</v>
          </cell>
          <cell r="T20" t="str">
            <v>...h...</v>
          </cell>
          <cell r="U20" t="str">
            <v>...h...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...h...</v>
          </cell>
          <cell r="M21" t="str">
            <v>...h...</v>
          </cell>
          <cell r="N21" t="str">
            <v>……</v>
          </cell>
          <cell r="O21" t="str">
            <v>……</v>
          </cell>
          <cell r="P21">
            <v>2015</v>
          </cell>
          <cell r="Q21" t="str">
            <v>Hà Nội, ngày …… tháng …… năm 2015</v>
          </cell>
          <cell r="R21" t="str">
            <v>...h... ngày …… tháng …… năm 2015</v>
          </cell>
          <cell r="S21" t="str">
            <v>...h... ngày …… tháng …… năm 2015</v>
          </cell>
          <cell r="T21" t="str">
            <v>...h...</v>
          </cell>
          <cell r="U21" t="str">
            <v>...h...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198"/>
      <sheetData sheetId="199">
        <row r="1">
          <cell r="A1" t="str">
            <v>CÔNG TY CP HỒNG HÀ VIỆT NAM</v>
          </cell>
          <cell r="C1" t="str">
            <v>CỘNG HÒA XÃ HỘI CHỦ NGHĨA VIỆT NAM</v>
          </cell>
        </row>
        <row r="2">
          <cell r="C2" t="str">
            <v>ĐỘC LẬP-TỰ DO -HẠNH PHÚC</v>
          </cell>
        </row>
        <row r="4">
          <cell r="A4" t="str">
            <v>KHOAN CẤY THÉP</v>
          </cell>
          <cell r="W4" t="str">
            <v>FILE IN</v>
          </cell>
          <cell r="AN4" t="str">
            <v>KHỐI LƯỢNG</v>
          </cell>
          <cell r="AO4" t="str">
            <v>LẤY MẪU</v>
          </cell>
        </row>
        <row r="5">
          <cell r="A5" t="str">
            <v>XÂY DỰNG NHÀ Ở XÃ HỘI ĐỂ BÁN VÀ CHO THUÊ</v>
          </cell>
        </row>
        <row r="6">
          <cell r="A6" t="str">
            <v>CT6</v>
          </cell>
        </row>
        <row r="8">
          <cell r="A8" t="str">
            <v>Stt</v>
          </cell>
          <cell r="B8" t="str">
            <v>Nội dung</v>
          </cell>
          <cell r="C8" t="str">
            <v>Số biên bản</v>
          </cell>
          <cell r="D8" t="str">
            <v>Nghiệm Thu Nội Bộ</v>
          </cell>
          <cell r="I8" t="str">
            <v>Ngày tháng năm</v>
          </cell>
          <cell r="J8" t="str">
            <v>Bắt đầu</v>
          </cell>
          <cell r="K8" t="str">
            <v>Kết thúc</v>
          </cell>
          <cell r="L8" t="str">
            <v xml:space="preserve"> Nghiệm Thu Công Việc</v>
          </cell>
          <cell r="Q8" t="str">
            <v>Ngày tháng năm</v>
          </cell>
          <cell r="R8" t="str">
            <v>Bắt đầu</v>
          </cell>
          <cell r="S8" t="str">
            <v>Kết thúc</v>
          </cell>
          <cell r="T8" t="str">
            <v>Yêu Cầu Nghiệm Thu</v>
          </cell>
          <cell r="X8" t="str">
            <v>Người ký của BQLDA</v>
          </cell>
          <cell r="AB8" t="str">
            <v>Người ký của TVGS</v>
          </cell>
          <cell r="AH8" t="str">
            <v>Người ký của Nhà Thầu</v>
          </cell>
          <cell r="AN8" t="str">
            <v>Số lượng</v>
          </cell>
          <cell r="AO8" t="str">
            <v>Quy cách</v>
          </cell>
          <cell r="AP8" t="str">
            <v>Thanh toán đợt</v>
          </cell>
          <cell r="AQ8" t="str">
            <v>Vật tư</v>
          </cell>
        </row>
        <row r="9">
          <cell r="D9" t="str">
            <v>Giờ bắt đầu</v>
          </cell>
          <cell r="E9" t="str">
            <v>Giờ kết thúc</v>
          </cell>
          <cell r="F9" t="str">
            <v>Ngày</v>
          </cell>
          <cell r="G9" t="str">
            <v>Tháng</v>
          </cell>
          <cell r="H9" t="str">
            <v>Năm</v>
          </cell>
          <cell r="L9" t="str">
            <v>Giờ bắt đầu</v>
          </cell>
          <cell r="M9" t="str">
            <v>Giờ kết thúc</v>
          </cell>
          <cell r="N9" t="str">
            <v>Ngày</v>
          </cell>
          <cell r="O9" t="str">
            <v>Tháng</v>
          </cell>
          <cell r="P9" t="str">
            <v>Năm</v>
          </cell>
          <cell r="T9" t="str">
            <v>Giờ yêu cầu</v>
          </cell>
          <cell r="U9" t="str">
            <v>Ngày</v>
          </cell>
          <cell r="V9" t="str">
            <v>Người yêu cầu</v>
          </cell>
          <cell r="W9" t="str">
            <v>Chức vụ</v>
          </cell>
          <cell r="X9" t="str">
            <v>Người ký 1</v>
          </cell>
          <cell r="Y9" t="str">
            <v>Chức vụ 1</v>
          </cell>
          <cell r="Z9" t="str">
            <v>Người ký 2</v>
          </cell>
          <cell r="AA9" t="str">
            <v>Chức vụ 2</v>
          </cell>
          <cell r="AB9" t="str">
            <v>Người ký 1</v>
          </cell>
          <cell r="AC9" t="str">
            <v>Chức vụ 1</v>
          </cell>
          <cell r="AD9" t="str">
            <v>Người ký 2</v>
          </cell>
          <cell r="AE9" t="str">
            <v>Chức vụ 2</v>
          </cell>
          <cell r="AF9" t="str">
            <v>Người ký 3</v>
          </cell>
          <cell r="AG9" t="str">
            <v>Chức vụ 3</v>
          </cell>
          <cell r="AH9" t="str">
            <v>Người ký 1</v>
          </cell>
          <cell r="AI9" t="str">
            <v>Chức vụ 1</v>
          </cell>
          <cell r="AJ9" t="str">
            <v>Người ký 2</v>
          </cell>
          <cell r="AK9" t="str">
            <v>Chức vụ 2</v>
          </cell>
          <cell r="AL9" t="str">
            <v>Người ký 3</v>
          </cell>
          <cell r="AM9" t="str">
            <v>Chức vụ 3</v>
          </cell>
        </row>
        <row r="10">
          <cell r="A10" t="str">
            <v>KCT-01</v>
          </cell>
          <cell r="B10" t="str">
            <v>Khoan cấy thép D18, D20, vệ sinh, bơm keo ramset tạo liên kết (dầm bổ sung tầng 1)</v>
          </cell>
          <cell r="C10" t="str">
            <v>KCT-01</v>
          </cell>
          <cell r="D10" t="str">
            <v>8h30</v>
          </cell>
          <cell r="E10" t="str">
            <v>9h00</v>
          </cell>
          <cell r="F10">
            <v>27</v>
          </cell>
          <cell r="G10">
            <v>9</v>
          </cell>
          <cell r="H10">
            <v>2015</v>
          </cell>
          <cell r="I10" t="str">
            <v>Hà Nội, ngày 27 tháng 9 năm 2015</v>
          </cell>
          <cell r="J10" t="str">
            <v>8h30 ngày 27 tháng 9 năm 2015</v>
          </cell>
          <cell r="K10" t="str">
            <v>9h00 ngày 27 tháng 9 năm 2015</v>
          </cell>
          <cell r="L10" t="str">
            <v>9h30</v>
          </cell>
          <cell r="M10" t="str">
            <v>10h00</v>
          </cell>
          <cell r="N10">
            <v>27</v>
          </cell>
          <cell r="O10">
            <v>9</v>
          </cell>
          <cell r="P10">
            <v>2015</v>
          </cell>
          <cell r="Q10" t="str">
            <v>Hà Nội, ngày 27 tháng 9 năm 2015</v>
          </cell>
          <cell r="R10" t="str">
            <v>9h30 ngày 27 tháng 9 năm 2015</v>
          </cell>
          <cell r="S10" t="str">
            <v>10h00 ngày 27 tháng 9 năm 2015</v>
          </cell>
          <cell r="T10" t="str">
            <v>9h30</v>
          </cell>
          <cell r="U10" t="str">
            <v>9h30 Ngày 27/9/2015</v>
          </cell>
          <cell r="V10" t="str">
            <v>Nguyễn Ái Việt</v>
          </cell>
          <cell r="W10" t="str">
            <v>Chỉ huy trưởng</v>
          </cell>
          <cell r="X10" t="str">
            <v>................................</v>
          </cell>
          <cell r="Y10" t="str">
            <v>................................</v>
          </cell>
          <cell r="Z10" t="str">
            <v>Nguyễn Văn Nghiễm</v>
          </cell>
          <cell r="AA10" t="str">
            <v>Cán bộ KCS</v>
          </cell>
          <cell r="AB10" t="str">
            <v>Vương Toàn Hiếu</v>
          </cell>
          <cell r="AC10" t="str">
            <v>Trưởng đoàn TVGS</v>
          </cell>
          <cell r="AD10" t="str">
            <v>Lê Thiều Nam</v>
          </cell>
          <cell r="AE10" t="str">
            <v>Cán bộ TVGS</v>
          </cell>
          <cell r="AF10" t="str">
            <v>................................</v>
          </cell>
          <cell r="AG10" t="str">
            <v>................................</v>
          </cell>
          <cell r="AH10" t="str">
            <v>Nguyễn Ái Việt</v>
          </cell>
          <cell r="AI10" t="str">
            <v>Chỉ huy trưởng</v>
          </cell>
          <cell r="AJ10" t="str">
            <v>Hoàng Chiến Thắng</v>
          </cell>
          <cell r="AK10" t="str">
            <v>P. Chỉ huy trưởng</v>
          </cell>
          <cell r="AL10" t="str">
            <v>Trịnh Quang Đức</v>
          </cell>
          <cell r="AM10" t="str">
            <v>Cán bộ kỹ thuật</v>
          </cell>
          <cell r="AN10" t="str">
            <v>KCBS-01; KCBS-02</v>
          </cell>
          <cell r="AQ10" t="str">
            <v>Ngày 27 Tháng 9 Năm 2015</v>
          </cell>
        </row>
        <row r="11">
          <cell r="A11" t="str">
            <v>KCT-02</v>
          </cell>
          <cell r="B11" t="str">
            <v>Khoan cấy thép D14 chờ giằng chân lan can tầng 02, khoan sâu 10 cm</v>
          </cell>
          <cell r="C11" t="str">
            <v>KCT-02</v>
          </cell>
          <cell r="D11" t="str">
            <v>8h00</v>
          </cell>
          <cell r="E11" t="str">
            <v>9h00</v>
          </cell>
          <cell r="F11">
            <v>1</v>
          </cell>
          <cell r="G11">
            <v>11</v>
          </cell>
          <cell r="H11">
            <v>2015</v>
          </cell>
          <cell r="I11" t="str">
            <v>Hà Nội, ngày 1 tháng 11 năm 2015</v>
          </cell>
          <cell r="J11" t="str">
            <v>8h00 ngày 1 tháng 11 năm 2015</v>
          </cell>
          <cell r="K11" t="str">
            <v>9h00 ngày 1 tháng 11 năm 2015</v>
          </cell>
          <cell r="L11" t="str">
            <v>9h30</v>
          </cell>
          <cell r="M11" t="str">
            <v>10h30</v>
          </cell>
          <cell r="N11">
            <v>1</v>
          </cell>
          <cell r="O11">
            <v>11</v>
          </cell>
          <cell r="P11">
            <v>2015</v>
          </cell>
          <cell r="Q11" t="str">
            <v>Hà Nội, ngày 1 tháng 11 năm 2015</v>
          </cell>
          <cell r="R11" t="str">
            <v>9h30 ngày 1 tháng 11 năm 2015</v>
          </cell>
          <cell r="S11" t="str">
            <v>10h30 ngày 1 tháng 11 năm 2015</v>
          </cell>
          <cell r="T11" t="str">
            <v>9h30</v>
          </cell>
          <cell r="U11" t="str">
            <v>9h30 Ngày 1/11/2015</v>
          </cell>
          <cell r="V11" t="str">
            <v>Nguyễn Ái Việt</v>
          </cell>
          <cell r="W11" t="str">
            <v>Chỉ huy trưởng</v>
          </cell>
          <cell r="X11" t="str">
            <v>................................</v>
          </cell>
          <cell r="Y11" t="str">
            <v>................................</v>
          </cell>
          <cell r="Z11" t="str">
            <v>Nguyễn Văn Nghiễm</v>
          </cell>
          <cell r="AA11" t="str">
            <v>Cán bộ KCS</v>
          </cell>
          <cell r="AB11" t="str">
            <v>Vương Toàn Hiếu</v>
          </cell>
          <cell r="AC11" t="str">
            <v>Trưởng đoàn TVGS</v>
          </cell>
          <cell r="AD11" t="str">
            <v>Lê Thiều Nam</v>
          </cell>
          <cell r="AE11" t="str">
            <v>Cán bộ TVGS</v>
          </cell>
          <cell r="AF11" t="str">
            <v>................................</v>
          </cell>
          <cell r="AG11" t="str">
            <v>................................</v>
          </cell>
          <cell r="AH11" t="str">
            <v>Nguyễn Ái Việt</v>
          </cell>
          <cell r="AI11" t="str">
            <v>Chỉ huy trưởng</v>
          </cell>
          <cell r="AJ11" t="str">
            <v>Hoàng Chiến Thắng</v>
          </cell>
          <cell r="AK11" t="str">
            <v>P. Chỉ huy trưởng</v>
          </cell>
          <cell r="AL11" t="str">
            <v>Trịnh Quang Đức</v>
          </cell>
          <cell r="AM11" t="str">
            <v>Cán bộ kỹ thuật</v>
          </cell>
          <cell r="AN11" t="str">
            <v>KC-03BS; KC-04BS</v>
          </cell>
          <cell r="AQ11" t="str">
            <v>Ngày 1 Tháng 11 Năm 2015</v>
          </cell>
        </row>
        <row r="12">
          <cell r="A12" t="str">
            <v>VCĐ-03</v>
          </cell>
          <cell r="C12" t="str">
            <v>VCĐ-03</v>
          </cell>
          <cell r="D12" t="str">
            <v>...h...</v>
          </cell>
          <cell r="E12" t="str">
            <v>...h...</v>
          </cell>
          <cell r="F12" t="str">
            <v>……</v>
          </cell>
          <cell r="G12" t="str">
            <v>……</v>
          </cell>
          <cell r="H12">
            <v>2015</v>
          </cell>
          <cell r="I12" t="str">
            <v>Hà Nội, ngày …… tháng …… năm 2015</v>
          </cell>
          <cell r="J12" t="str">
            <v>...h... ngày …… tháng …… năm 2015</v>
          </cell>
          <cell r="K12" t="str">
            <v>...h... ngày …… tháng …… năm 2015</v>
          </cell>
          <cell r="L12" t="str">
            <v>14h30</v>
          </cell>
          <cell r="M12" t="str">
            <v>16h30</v>
          </cell>
          <cell r="N12" t="str">
            <v>……</v>
          </cell>
          <cell r="O12" t="str">
            <v>……</v>
          </cell>
          <cell r="P12">
            <v>2015</v>
          </cell>
          <cell r="Q12" t="str">
            <v>Hà Nội, ngày …… tháng …… năm 2015</v>
          </cell>
          <cell r="R12" t="str">
            <v>14h30 ngày …… tháng …… năm 2015</v>
          </cell>
          <cell r="S12" t="str">
            <v>16h30 ngày …… tháng …… năm 2015</v>
          </cell>
          <cell r="T12" t="str">
            <v>14h30</v>
          </cell>
          <cell r="U12" t="str">
            <v>14h30 Ngày ……/……/2015</v>
          </cell>
          <cell r="V12" t="str">
            <v>Nguyễn Ái Việt</v>
          </cell>
          <cell r="W12" t="str">
            <v>Chỉ huy trưởng</v>
          </cell>
          <cell r="X12" t="str">
            <v>................................</v>
          </cell>
          <cell r="Y12" t="str">
            <v>................................</v>
          </cell>
          <cell r="Z12" t="str">
            <v>Nguyễn Văn Nghiễm</v>
          </cell>
          <cell r="AA12" t="str">
            <v>Cán bộ KCS</v>
          </cell>
          <cell r="AB12" t="str">
            <v>Vương Toàn Hiếu</v>
          </cell>
          <cell r="AC12" t="str">
            <v>Trưởng đoàn TVGS</v>
          </cell>
          <cell r="AD12" t="str">
            <v>Lê Thiều Nam</v>
          </cell>
          <cell r="AE12" t="str">
            <v>Cán bộ TVGS</v>
          </cell>
          <cell r="AF12" t="str">
            <v>................................</v>
          </cell>
          <cell r="AG12" t="str">
            <v>................................</v>
          </cell>
          <cell r="AH12" t="str">
            <v>Nguyễn Ái Việt</v>
          </cell>
          <cell r="AI12" t="str">
            <v>Chỉ huy trưởng</v>
          </cell>
          <cell r="AJ12" t="str">
            <v>Hoàng Chiến Thắng</v>
          </cell>
          <cell r="AK12" t="str">
            <v>P. Chỉ huy trưởng</v>
          </cell>
          <cell r="AL12" t="str">
            <v>Trịnh Quang Đức</v>
          </cell>
          <cell r="AM12" t="str">
            <v>Cán bộ kỹ thuật</v>
          </cell>
          <cell r="AQ12" t="str">
            <v>Ngày …… Tháng …… Năm 2015</v>
          </cell>
        </row>
        <row r="13">
          <cell r="A13" t="str">
            <v>VCĐ-04</v>
          </cell>
          <cell r="C13" t="str">
            <v>VCĐ-04</v>
          </cell>
          <cell r="D13" t="str">
            <v>...h...</v>
          </cell>
          <cell r="E13" t="str">
            <v>...h...</v>
          </cell>
          <cell r="F13" t="str">
            <v>……</v>
          </cell>
          <cell r="G13" t="str">
            <v>……</v>
          </cell>
          <cell r="H13">
            <v>2015</v>
          </cell>
          <cell r="I13" t="str">
            <v>Hà Nội, ngày …… tháng …… năm 2015</v>
          </cell>
          <cell r="J13" t="str">
            <v>...h... ngày …… tháng …… năm 2015</v>
          </cell>
          <cell r="K13" t="str">
            <v>...h... ngày …… tháng …… năm 2015</v>
          </cell>
          <cell r="L13" t="str">
            <v>14h30</v>
          </cell>
          <cell r="M13" t="str">
            <v>16h30</v>
          </cell>
          <cell r="N13" t="str">
            <v>……</v>
          </cell>
          <cell r="O13" t="str">
            <v>……</v>
          </cell>
          <cell r="P13">
            <v>2015</v>
          </cell>
          <cell r="Q13" t="str">
            <v>Hà Nội, ngày …… tháng …… năm 2015</v>
          </cell>
          <cell r="R13" t="str">
            <v>14h30 ngày …… tháng …… năm 2015</v>
          </cell>
          <cell r="S13" t="str">
            <v>16h30 ngày …… tháng …… năm 2015</v>
          </cell>
          <cell r="T13" t="str">
            <v>14h30</v>
          </cell>
          <cell r="U13" t="str">
            <v>14h30 Ngày ……/……/2015</v>
          </cell>
          <cell r="V13" t="str">
            <v>Nguyễn Ái Việt</v>
          </cell>
          <cell r="W13" t="str">
            <v>Chỉ huy trưởng</v>
          </cell>
          <cell r="X13" t="str">
            <v>................................</v>
          </cell>
          <cell r="Y13" t="str">
            <v>................................</v>
          </cell>
          <cell r="Z13" t="str">
            <v>Nguyễn Văn Nghiễm</v>
          </cell>
          <cell r="AA13" t="str">
            <v>Cán bộ KCS</v>
          </cell>
          <cell r="AB13" t="str">
            <v>Vương Toàn Hiếu</v>
          </cell>
          <cell r="AC13" t="str">
            <v>Trưởng đoàn TVGS</v>
          </cell>
          <cell r="AD13" t="str">
            <v>Lê Thiều Nam</v>
          </cell>
          <cell r="AE13" t="str">
            <v>Cán bộ TVGS</v>
          </cell>
          <cell r="AF13" t="str">
            <v>................................</v>
          </cell>
          <cell r="AG13" t="str">
            <v>................................</v>
          </cell>
          <cell r="AH13" t="str">
            <v>Nguyễn Ái Việt</v>
          </cell>
          <cell r="AI13" t="str">
            <v>Chỉ huy trưởng</v>
          </cell>
          <cell r="AJ13" t="str">
            <v>Hoàng Chiến Thắng</v>
          </cell>
          <cell r="AK13" t="str">
            <v>P. Chỉ huy trưởng</v>
          </cell>
          <cell r="AL13" t="str">
            <v>Trịnh Quang Đức</v>
          </cell>
          <cell r="AM13" t="str">
            <v>Cán bộ kỹ thuật</v>
          </cell>
          <cell r="AQ13" t="str">
            <v>Ngày …… Tháng …… Năm 2015</v>
          </cell>
        </row>
        <row r="14">
          <cell r="A14" t="str">
            <v>VCĐ-05</v>
          </cell>
          <cell r="C14" t="str">
            <v>VCĐ-05</v>
          </cell>
          <cell r="D14" t="str">
            <v>...h...</v>
          </cell>
          <cell r="E14" t="str">
            <v>...h...</v>
          </cell>
          <cell r="F14" t="str">
            <v>……</v>
          </cell>
          <cell r="G14" t="str">
            <v>……</v>
          </cell>
          <cell r="H14">
            <v>2015</v>
          </cell>
          <cell r="I14" t="str">
            <v>Hà Nội, ngày …… tháng …… năm 2015</v>
          </cell>
          <cell r="J14" t="str">
            <v>...h... ngày …… tháng …… năm 2015</v>
          </cell>
          <cell r="K14" t="str">
            <v>...h... ngày …… tháng …… năm 2015</v>
          </cell>
          <cell r="L14" t="str">
            <v>14h00</v>
          </cell>
          <cell r="M14" t="str">
            <v>15h00</v>
          </cell>
          <cell r="N14" t="str">
            <v>……</v>
          </cell>
          <cell r="O14" t="str">
            <v>……</v>
          </cell>
          <cell r="P14">
            <v>2015</v>
          </cell>
          <cell r="Q14" t="str">
            <v>Hà Nội, ngày …… tháng …… năm 2015</v>
          </cell>
          <cell r="R14" t="str">
            <v>14h00 ngày …… tháng …… năm 2015</v>
          </cell>
          <cell r="S14" t="str">
            <v>15h00 ngày …… tháng …… năm 2015</v>
          </cell>
          <cell r="T14" t="str">
            <v>14h00</v>
          </cell>
          <cell r="U14" t="str">
            <v>14h00 Ngày ……/……/2015</v>
          </cell>
          <cell r="V14" t="str">
            <v>Nguyễn Ái Việt</v>
          </cell>
          <cell r="W14" t="str">
            <v>Chỉ huy trưởng</v>
          </cell>
          <cell r="X14" t="str">
            <v>................................</v>
          </cell>
          <cell r="Y14" t="str">
            <v>................................</v>
          </cell>
          <cell r="Z14" t="str">
            <v>Nguyễn Văn Nghiễm</v>
          </cell>
          <cell r="AA14" t="str">
            <v>Cán bộ KCS</v>
          </cell>
          <cell r="AB14" t="str">
            <v>Vương Toàn Hiếu</v>
          </cell>
          <cell r="AC14" t="str">
            <v>Trưởng đoàn TVGS</v>
          </cell>
          <cell r="AD14" t="str">
            <v>Lê Thiều Nam</v>
          </cell>
          <cell r="AE14" t="str">
            <v>Cán bộ TVGS</v>
          </cell>
          <cell r="AF14" t="str">
            <v>................................</v>
          </cell>
          <cell r="AG14" t="str">
            <v>................................</v>
          </cell>
          <cell r="AH14" t="str">
            <v>Nguyễn Ái Việt</v>
          </cell>
          <cell r="AI14" t="str">
            <v>Chỉ huy trưởng</v>
          </cell>
          <cell r="AJ14" t="str">
            <v>Hoàng Chiến Thắng</v>
          </cell>
          <cell r="AK14" t="str">
            <v>P. Chỉ huy trưởng</v>
          </cell>
          <cell r="AL14" t="str">
            <v>Trịnh Quang Đức</v>
          </cell>
          <cell r="AM14" t="str">
            <v>Cán bộ kỹ thuật</v>
          </cell>
          <cell r="AQ14" t="str">
            <v>Ngày …… Tháng …… Năm 2015</v>
          </cell>
        </row>
        <row r="15">
          <cell r="A15" t="str">
            <v>VCĐ-06</v>
          </cell>
          <cell r="C15" t="str">
            <v>VCĐ-06</v>
          </cell>
          <cell r="D15" t="str">
            <v>...h...</v>
          </cell>
          <cell r="E15" t="str">
            <v>...h...</v>
          </cell>
          <cell r="F15" t="str">
            <v>……</v>
          </cell>
          <cell r="G15" t="str">
            <v>……</v>
          </cell>
          <cell r="H15">
            <v>2015</v>
          </cell>
          <cell r="I15" t="str">
            <v>Hà Nội, ngày …… tháng …… năm 2015</v>
          </cell>
          <cell r="J15" t="str">
            <v>...h... ngày …… tháng …… năm 2015</v>
          </cell>
          <cell r="K15" t="str">
            <v>...h... ngày …… tháng …… năm 2015</v>
          </cell>
          <cell r="L15" t="str">
            <v>...h...</v>
          </cell>
          <cell r="M15" t="str">
            <v>...h...</v>
          </cell>
          <cell r="N15" t="str">
            <v>……</v>
          </cell>
          <cell r="O15" t="str">
            <v>……</v>
          </cell>
          <cell r="P15">
            <v>2015</v>
          </cell>
          <cell r="Q15" t="str">
            <v>Hà Nội, ngày …… tháng …… năm 2015</v>
          </cell>
          <cell r="R15" t="str">
            <v>...h... ngày …… tháng …… năm 2015</v>
          </cell>
          <cell r="S15" t="str">
            <v>...h... ngày …… tháng …… năm 2015</v>
          </cell>
          <cell r="T15" t="str">
            <v>...h...</v>
          </cell>
          <cell r="U15" t="str">
            <v>...h... Ngày ……/……/2015</v>
          </cell>
          <cell r="V15" t="str">
            <v>Nguyễn Ái Việt</v>
          </cell>
          <cell r="W15" t="str">
            <v>Chỉ huy trưởng</v>
          </cell>
          <cell r="X15" t="str">
            <v>................................</v>
          </cell>
          <cell r="Y15" t="str">
            <v>................................</v>
          </cell>
          <cell r="Z15" t="str">
            <v>Nguyễn Văn Nghiễm</v>
          </cell>
          <cell r="AA15" t="str">
            <v>Cán bộ KCS</v>
          </cell>
          <cell r="AB15" t="str">
            <v>Vương Toàn Hiếu</v>
          </cell>
          <cell r="AC15" t="str">
            <v>Trưởng đoàn TVGS</v>
          </cell>
          <cell r="AD15" t="str">
            <v>Lê Thiều Nam</v>
          </cell>
          <cell r="AE15" t="str">
            <v>Cán bộ TVGS</v>
          </cell>
          <cell r="AF15" t="str">
            <v>................................</v>
          </cell>
          <cell r="AG15" t="str">
            <v>................................</v>
          </cell>
          <cell r="AH15" t="str">
            <v>Nguyễn Ái Việt</v>
          </cell>
          <cell r="AI15" t="str">
            <v>Chỉ huy trưởng</v>
          </cell>
          <cell r="AJ15" t="str">
            <v>Hoàng Chiến Thắng</v>
          </cell>
          <cell r="AK15" t="str">
            <v>P. Chỉ huy trưởng</v>
          </cell>
          <cell r="AL15" t="str">
            <v>Trịnh Quang Đức</v>
          </cell>
          <cell r="AM15" t="str">
            <v>Cán bộ kỹ thuật</v>
          </cell>
          <cell r="AQ15" t="str">
            <v>Ngày …… Tháng …… Năm 2015</v>
          </cell>
        </row>
        <row r="16">
          <cell r="A16" t="str">
            <v>VCĐ-07</v>
          </cell>
          <cell r="C16" t="str">
            <v>VCĐ-07</v>
          </cell>
          <cell r="D16" t="str">
            <v>...h...</v>
          </cell>
          <cell r="E16" t="str">
            <v>...h...</v>
          </cell>
          <cell r="F16" t="str">
            <v>……</v>
          </cell>
          <cell r="G16" t="str">
            <v>……</v>
          </cell>
          <cell r="H16">
            <v>2015</v>
          </cell>
          <cell r="I16" t="str">
            <v>Hà Nội, ngày …… tháng …… năm 2015</v>
          </cell>
          <cell r="J16" t="str">
            <v>...h... ngày …… tháng …… năm 2015</v>
          </cell>
          <cell r="K16" t="str">
            <v>...h... ngày …… tháng …… năm 2015</v>
          </cell>
          <cell r="L16" t="str">
            <v>...h...</v>
          </cell>
          <cell r="M16" t="str">
            <v>...h...</v>
          </cell>
          <cell r="N16" t="str">
            <v>……</v>
          </cell>
          <cell r="O16" t="str">
            <v>……</v>
          </cell>
          <cell r="P16">
            <v>2015</v>
          </cell>
          <cell r="Q16" t="str">
            <v>Hà Nội, ngày …… tháng …… năm 2015</v>
          </cell>
          <cell r="R16" t="str">
            <v>...h... ngày …… tháng …… năm 2015</v>
          </cell>
          <cell r="S16" t="str">
            <v>...h... ngày …… tháng …… năm 2015</v>
          </cell>
          <cell r="T16" t="str">
            <v>...h...</v>
          </cell>
          <cell r="U16" t="str">
            <v>...h... Ngày ……/……/2015</v>
          </cell>
          <cell r="V16" t="str">
            <v>Nguyễn Ái Việt</v>
          </cell>
          <cell r="W16" t="str">
            <v>Chỉ huy trưởng</v>
          </cell>
          <cell r="X16" t="str">
            <v>................................</v>
          </cell>
          <cell r="Y16" t="str">
            <v>................................</v>
          </cell>
          <cell r="Z16" t="str">
            <v>Nguyễn Văn Nghiễm</v>
          </cell>
          <cell r="AA16" t="str">
            <v>Cán bộ KCS</v>
          </cell>
          <cell r="AB16" t="str">
            <v>Vương Toàn Hiếu</v>
          </cell>
          <cell r="AC16" t="str">
            <v>Trưởng đoàn TVGS</v>
          </cell>
          <cell r="AD16" t="str">
            <v>Lê Thiều Nam</v>
          </cell>
          <cell r="AE16" t="str">
            <v>Cán bộ TVGS</v>
          </cell>
          <cell r="AF16" t="str">
            <v>................................</v>
          </cell>
          <cell r="AG16" t="str">
            <v>................................</v>
          </cell>
          <cell r="AH16" t="str">
            <v>Nguyễn Ái Việt</v>
          </cell>
          <cell r="AI16" t="str">
            <v>Chỉ huy trưởng</v>
          </cell>
          <cell r="AJ16" t="str">
            <v>Hoàng Chiến Thắng</v>
          </cell>
          <cell r="AK16" t="str">
            <v>P. Chỉ huy trưởng</v>
          </cell>
          <cell r="AL16" t="str">
            <v>Trịnh Quang Đức</v>
          </cell>
          <cell r="AM16" t="str">
            <v>Cán bộ kỹ thuật</v>
          </cell>
          <cell r="AQ16" t="str">
            <v>Ngày …… Tháng …… Năm 2015</v>
          </cell>
        </row>
        <row r="17">
          <cell r="A17" t="str">
            <v>VCĐ-08</v>
          </cell>
          <cell r="C17" t="str">
            <v>VCĐ-08</v>
          </cell>
          <cell r="D17" t="str">
            <v>...h...</v>
          </cell>
          <cell r="E17" t="str">
            <v>...h...</v>
          </cell>
          <cell r="F17" t="str">
            <v>……</v>
          </cell>
          <cell r="G17" t="str">
            <v>……</v>
          </cell>
          <cell r="H17">
            <v>2015</v>
          </cell>
          <cell r="I17" t="str">
            <v>Hà Nội, ngày …… tháng …… năm 2015</v>
          </cell>
          <cell r="J17" t="str">
            <v>...h... ngày …… tháng …… năm 2015</v>
          </cell>
          <cell r="K17" t="str">
            <v>...h... ngày …… tháng …… năm 2015</v>
          </cell>
          <cell r="L17" t="str">
            <v>...h...</v>
          </cell>
          <cell r="M17" t="str">
            <v>...h...</v>
          </cell>
          <cell r="N17" t="str">
            <v>……</v>
          </cell>
          <cell r="O17" t="str">
            <v>……</v>
          </cell>
          <cell r="P17">
            <v>2015</v>
          </cell>
          <cell r="Q17" t="str">
            <v>Hà Nội, ngày …… tháng …… năm 2015</v>
          </cell>
          <cell r="R17" t="str">
            <v>...h... ngày …… tháng …… năm 2015</v>
          </cell>
          <cell r="S17" t="str">
            <v>...h... ngày …… tháng …… năm 2015</v>
          </cell>
          <cell r="T17" t="str">
            <v>...h...</v>
          </cell>
          <cell r="U17" t="str">
            <v>...h... Ngày ……/……/2015</v>
          </cell>
          <cell r="V17" t="str">
            <v>Nguyễn Ái Việt</v>
          </cell>
          <cell r="W17" t="str">
            <v>Chỉ huy trưởng</v>
          </cell>
          <cell r="X17" t="str">
            <v>................................</v>
          </cell>
          <cell r="Y17" t="str">
            <v>................................</v>
          </cell>
          <cell r="Z17" t="str">
            <v>Nguyễn Văn Nghiễm</v>
          </cell>
          <cell r="AA17" t="str">
            <v>Cán bộ KCS</v>
          </cell>
          <cell r="AB17" t="str">
            <v>Vương Toàn Hiếu</v>
          </cell>
          <cell r="AC17" t="str">
            <v>Trưởng đoàn TVGS</v>
          </cell>
          <cell r="AD17" t="str">
            <v>Lê Thiều Nam</v>
          </cell>
          <cell r="AE17" t="str">
            <v>Cán bộ TVGS</v>
          </cell>
          <cell r="AF17" t="str">
            <v>................................</v>
          </cell>
          <cell r="AG17" t="str">
            <v>................................</v>
          </cell>
          <cell r="AH17" t="str">
            <v>Nguyễn Ái Việt</v>
          </cell>
          <cell r="AI17" t="str">
            <v>Chỉ huy trưởng</v>
          </cell>
          <cell r="AJ17" t="str">
            <v>Hoàng Chiến Thắng</v>
          </cell>
          <cell r="AK17" t="str">
            <v>P. Chỉ huy trưởng</v>
          </cell>
          <cell r="AL17" t="str">
            <v>Trịnh Quang Đức</v>
          </cell>
          <cell r="AM17" t="str">
            <v>Cán bộ kỹ thuật</v>
          </cell>
          <cell r="AQ17" t="str">
            <v>Ngày …… Tháng …… Năm 2015</v>
          </cell>
        </row>
        <row r="18">
          <cell r="A18">
            <v>0</v>
          </cell>
          <cell r="D18" t="str">
            <v>...h...</v>
          </cell>
          <cell r="E18" t="str">
            <v>...h...</v>
          </cell>
          <cell r="F18" t="str">
            <v>……</v>
          </cell>
          <cell r="G18" t="str">
            <v>……</v>
          </cell>
          <cell r="H18">
            <v>2015</v>
          </cell>
          <cell r="I18" t="str">
            <v>Hà Nội, ngày …… tháng …… năm 2015</v>
          </cell>
          <cell r="J18" t="str">
            <v>...h... ngày …… tháng …… năm 2015</v>
          </cell>
          <cell r="K18" t="str">
            <v>...h... ngày …… tháng …… năm 2015</v>
          </cell>
          <cell r="L18" t="str">
            <v>...h...</v>
          </cell>
          <cell r="M18" t="str">
            <v>...h...</v>
          </cell>
          <cell r="N18" t="str">
            <v>……</v>
          </cell>
          <cell r="O18" t="str">
            <v>……</v>
          </cell>
          <cell r="P18">
            <v>2015</v>
          </cell>
          <cell r="Q18" t="str">
            <v>Hà Nội, ngày …… tháng …… năm 2015</v>
          </cell>
          <cell r="R18" t="str">
            <v>...h... ngày …… tháng …… năm 2015</v>
          </cell>
          <cell r="S18" t="str">
            <v>...h... ngày …… tháng …… năm 2015</v>
          </cell>
          <cell r="T18" t="str">
            <v>...h...</v>
          </cell>
          <cell r="U18" t="str">
            <v>...h... Ngày ……/……/2015</v>
          </cell>
          <cell r="V18" t="str">
            <v>Nguyễn Ái Việt</v>
          </cell>
          <cell r="W18" t="str">
            <v>Chỉ huy trưởng</v>
          </cell>
          <cell r="X18" t="str">
            <v>................................</v>
          </cell>
          <cell r="Y18" t="str">
            <v>................................</v>
          </cell>
          <cell r="Z18" t="str">
            <v>Nguyễn Văn Nghiễm</v>
          </cell>
          <cell r="AA18" t="str">
            <v>Cán bộ KCS</v>
          </cell>
          <cell r="AB18" t="str">
            <v>Vương Toàn Hiếu</v>
          </cell>
          <cell r="AC18" t="str">
            <v>Trưởng đoàn TVGS</v>
          </cell>
          <cell r="AD18" t="str">
            <v>Lê Thiều Nam</v>
          </cell>
          <cell r="AE18" t="str">
            <v>Cán bộ TVGS</v>
          </cell>
          <cell r="AF18" t="str">
            <v>................................</v>
          </cell>
          <cell r="AG18" t="str">
            <v>................................</v>
          </cell>
          <cell r="AH18" t="str">
            <v>Nguyễn Ái Việt</v>
          </cell>
          <cell r="AI18" t="str">
            <v>Chỉ huy trưởng</v>
          </cell>
          <cell r="AJ18" t="str">
            <v>Hoàng Chiến Thắng</v>
          </cell>
          <cell r="AK18" t="str">
            <v>P. Chỉ huy trưởng</v>
          </cell>
          <cell r="AL18" t="str">
            <v>Trịnh Quang Đức</v>
          </cell>
          <cell r="AM18" t="str">
            <v>Cán bộ kỹ thuật</v>
          </cell>
          <cell r="AQ18" t="str">
            <v>Ngày …… Tháng …… Năm 2015</v>
          </cell>
        </row>
        <row r="19">
          <cell r="A19">
            <v>0</v>
          </cell>
          <cell r="D19" t="str">
            <v>...h...</v>
          </cell>
          <cell r="E19" t="str">
            <v>...h...</v>
          </cell>
          <cell r="F19" t="str">
            <v>……</v>
          </cell>
          <cell r="G19" t="str">
            <v>……</v>
          </cell>
          <cell r="H19">
            <v>2015</v>
          </cell>
          <cell r="I19" t="str">
            <v>Hà Nội, ngày …… tháng …… năm 2015</v>
          </cell>
          <cell r="J19" t="str">
            <v>...h... ngày …… tháng …… năm 2015</v>
          </cell>
          <cell r="K19" t="str">
            <v>...h... ngày …… tháng …… năm 2015</v>
          </cell>
          <cell r="L19" t="str">
            <v>...h...</v>
          </cell>
          <cell r="M19" t="str">
            <v>...h...</v>
          </cell>
          <cell r="N19" t="str">
            <v>……</v>
          </cell>
          <cell r="O19" t="str">
            <v>……</v>
          </cell>
          <cell r="P19">
            <v>2015</v>
          </cell>
          <cell r="Q19" t="str">
            <v>Hà Nội, ngày …… tháng …… năm 2015</v>
          </cell>
          <cell r="R19" t="str">
            <v>...h... ngày …… tháng …… năm 2015</v>
          </cell>
          <cell r="S19" t="str">
            <v>...h... ngày …… tháng …… năm 2015</v>
          </cell>
          <cell r="T19" t="str">
            <v>...h...</v>
          </cell>
          <cell r="U19" t="str">
            <v>...h... Ngày ……/……/2015</v>
          </cell>
          <cell r="V19" t="str">
            <v>Nguyễn Ái Việt</v>
          </cell>
          <cell r="W19" t="str">
            <v>Chỉ huy trưởng</v>
          </cell>
          <cell r="X19" t="str">
            <v>................................</v>
          </cell>
          <cell r="Y19" t="str">
            <v>................................</v>
          </cell>
          <cell r="Z19" t="str">
            <v>Nguyễn Văn Nghiễm</v>
          </cell>
          <cell r="AA19" t="str">
            <v>Cán bộ KCS</v>
          </cell>
          <cell r="AB19" t="str">
            <v>Vương Toàn Hiếu</v>
          </cell>
          <cell r="AC19" t="str">
            <v>Trưởng đoàn TVGS</v>
          </cell>
          <cell r="AD19" t="str">
            <v>Lê Thiều Nam</v>
          </cell>
          <cell r="AE19" t="str">
            <v>Cán bộ TVGS</v>
          </cell>
          <cell r="AF19" t="str">
            <v>................................</v>
          </cell>
          <cell r="AG19" t="str">
            <v>................................</v>
          </cell>
          <cell r="AH19" t="str">
            <v>Nguyễn Ái Việt</v>
          </cell>
          <cell r="AI19" t="str">
            <v>Chỉ huy trưởng</v>
          </cell>
          <cell r="AJ19" t="str">
            <v>Hoàng Chiến Thắng</v>
          </cell>
          <cell r="AK19" t="str">
            <v>P. Chỉ huy trưởng</v>
          </cell>
          <cell r="AL19" t="str">
            <v>Trịnh Quang Đức</v>
          </cell>
          <cell r="AM19" t="str">
            <v>Cán bộ kỹ thuật</v>
          </cell>
          <cell r="AQ19" t="str">
            <v>Ngày …… Tháng …… Năm 2015</v>
          </cell>
        </row>
        <row r="20">
          <cell r="A20">
            <v>0</v>
          </cell>
          <cell r="D20" t="str">
            <v>...h...</v>
          </cell>
          <cell r="E20" t="str">
            <v>...h...</v>
          </cell>
          <cell r="F20" t="str">
            <v>……</v>
          </cell>
          <cell r="G20" t="str">
            <v>……</v>
          </cell>
          <cell r="H20">
            <v>2015</v>
          </cell>
          <cell r="I20" t="str">
            <v>Hà Nội, ngày …… tháng …… năm 2015</v>
          </cell>
          <cell r="J20" t="str">
            <v>...h... ngày …… tháng …… năm 2015</v>
          </cell>
          <cell r="K20" t="str">
            <v>...h... ngày …… tháng …… năm 2015</v>
          </cell>
          <cell r="L20" t="str">
            <v>...h...</v>
          </cell>
          <cell r="M20" t="str">
            <v>...h...</v>
          </cell>
          <cell r="N20" t="str">
            <v>……</v>
          </cell>
          <cell r="O20" t="str">
            <v>……</v>
          </cell>
          <cell r="P20">
            <v>2015</v>
          </cell>
          <cell r="Q20" t="str">
            <v>Hà Nội, ngày …… tháng …… năm 2015</v>
          </cell>
          <cell r="R20" t="str">
            <v>...h... ngày …… tháng …… năm 2015</v>
          </cell>
          <cell r="S20" t="str">
            <v>...h... ngày …… tháng …… năm 2015</v>
          </cell>
          <cell r="T20" t="str">
            <v>...h...</v>
          </cell>
          <cell r="U20" t="str">
            <v>...h... Ngày ……/……/2015</v>
          </cell>
          <cell r="V20" t="str">
            <v>Nguyễn Ái Việt</v>
          </cell>
          <cell r="W20" t="str">
            <v>Chỉ huy trưởng</v>
          </cell>
          <cell r="X20" t="str">
            <v>................................</v>
          </cell>
          <cell r="Y20" t="str">
            <v>................................</v>
          </cell>
          <cell r="Z20" t="str">
            <v>Nguyễn Văn Nghiễm</v>
          </cell>
          <cell r="AA20" t="str">
            <v>Cán bộ KCS</v>
          </cell>
          <cell r="AB20" t="str">
            <v>Vương Toàn Hiếu</v>
          </cell>
          <cell r="AC20" t="str">
            <v>Trưởng đoàn TVGS</v>
          </cell>
          <cell r="AD20" t="str">
            <v>Lê Thiều Nam</v>
          </cell>
          <cell r="AE20" t="str">
            <v>Cán bộ TVGS</v>
          </cell>
          <cell r="AF20" t="str">
            <v>................................</v>
          </cell>
          <cell r="AG20" t="str">
            <v>................................</v>
          </cell>
          <cell r="AH20" t="str">
            <v>Nguyễn Ái Việt</v>
          </cell>
          <cell r="AI20" t="str">
            <v>Chỉ huy trưởng</v>
          </cell>
          <cell r="AJ20" t="str">
            <v>Hoàng Chiến Thắng</v>
          </cell>
          <cell r="AK20" t="str">
            <v>P. Chỉ huy trưởng</v>
          </cell>
          <cell r="AL20" t="str">
            <v>Trịnh Quang Đức</v>
          </cell>
          <cell r="AM20" t="str">
            <v>Cán bộ kỹ thuật</v>
          </cell>
          <cell r="AQ20" t="str">
            <v>Ngày …… Tháng …… Năm 2015</v>
          </cell>
        </row>
        <row r="21">
          <cell r="A21">
            <v>0</v>
          </cell>
          <cell r="D21" t="str">
            <v>……</v>
          </cell>
          <cell r="E21" t="str">
            <v>…….</v>
          </cell>
          <cell r="F21" t="str">
            <v>……</v>
          </cell>
          <cell r="G21" t="str">
            <v>……</v>
          </cell>
          <cell r="H21">
            <v>2015</v>
          </cell>
          <cell r="I21" t="str">
            <v>Hà Nội, ngày …… tháng …… năm 2015</v>
          </cell>
          <cell r="J21" t="str">
            <v>…… ngày …… tháng …… năm 2015</v>
          </cell>
          <cell r="K21" t="str">
            <v>……. ngày …… tháng …… năm 2015</v>
          </cell>
          <cell r="L21" t="str">
            <v>...h...</v>
          </cell>
          <cell r="M21" t="str">
            <v>...h...</v>
          </cell>
          <cell r="N21" t="str">
            <v>……</v>
          </cell>
          <cell r="O21" t="str">
            <v>……</v>
          </cell>
          <cell r="P21">
            <v>2015</v>
          </cell>
          <cell r="Q21" t="str">
            <v>Hà Nội, ngày …… tháng …… năm 2015</v>
          </cell>
          <cell r="R21" t="str">
            <v>...h... ngày …… tháng …… năm 2015</v>
          </cell>
          <cell r="S21" t="str">
            <v>...h... ngày …… tháng …… năm 2015</v>
          </cell>
          <cell r="T21" t="str">
            <v>...h...</v>
          </cell>
          <cell r="U21" t="str">
            <v>...h... Ngày ……/……/2015</v>
          </cell>
          <cell r="V21" t="str">
            <v>Nguyễn Ái Việt</v>
          </cell>
          <cell r="W21" t="str">
            <v>Chỉ huy trưởng</v>
          </cell>
          <cell r="X21" t="str">
            <v>................................</v>
          </cell>
          <cell r="Y21" t="str">
            <v>................................</v>
          </cell>
          <cell r="Z21" t="str">
            <v>Nguyễn Văn Nghiễm</v>
          </cell>
          <cell r="AA21" t="str">
            <v>Cán bộ KCS</v>
          </cell>
          <cell r="AB21" t="str">
            <v>Vương Toàn Hiếu</v>
          </cell>
          <cell r="AC21" t="str">
            <v>Trưởng đoàn TVGS</v>
          </cell>
          <cell r="AD21" t="str">
            <v>Lê Thiều Nam</v>
          </cell>
          <cell r="AE21" t="str">
            <v>Cán bộ TVGS</v>
          </cell>
          <cell r="AF21" t="str">
            <v>................................</v>
          </cell>
          <cell r="AG21" t="str">
            <v>................................</v>
          </cell>
          <cell r="AH21" t="str">
            <v>Nguyễn Ái Việt</v>
          </cell>
          <cell r="AI21" t="str">
            <v>Chỉ huy trưởng</v>
          </cell>
          <cell r="AJ21" t="str">
            <v>Hoàng Chiến Thắng</v>
          </cell>
          <cell r="AK21" t="str">
            <v>P. Chỉ huy trưởng</v>
          </cell>
          <cell r="AL21" t="str">
            <v>Trịnh Quang Đức</v>
          </cell>
          <cell r="AM21" t="str">
            <v>Cán bộ kỹ thuật</v>
          </cell>
          <cell r="AQ21" t="str">
            <v>Ngày …… Tháng …… Năm 2015</v>
          </cell>
        </row>
        <row r="22">
          <cell r="D22" t="str">
            <v>……</v>
          </cell>
          <cell r="E22" t="str">
            <v>…….</v>
          </cell>
          <cell r="F22" t="str">
            <v>……</v>
          </cell>
          <cell r="G22" t="str">
            <v>……</v>
          </cell>
          <cell r="H22" t="str">
            <v>……</v>
          </cell>
          <cell r="I22" t="str">
            <v>Hà Nội, ngày …… tháng …… năm ……</v>
          </cell>
          <cell r="J22" t="str">
            <v>…… ngày …… tháng …… năm ……</v>
          </cell>
          <cell r="K22" t="str">
            <v>……. ngày …… tháng …… năm ……</v>
          </cell>
          <cell r="L22" t="str">
            <v>……</v>
          </cell>
          <cell r="M22" t="str">
            <v>……</v>
          </cell>
          <cell r="N22" t="str">
            <v>……</v>
          </cell>
          <cell r="O22" t="str">
            <v>……</v>
          </cell>
          <cell r="P22" t="str">
            <v>……</v>
          </cell>
          <cell r="Q22" t="str">
            <v>Hà Nội, ngày …… tháng …… năm ……</v>
          </cell>
          <cell r="R22" t="str">
            <v>…… ngày …… tháng …… năm ……</v>
          </cell>
          <cell r="S22" t="str">
            <v>…… ngày …… tháng …… năm ……</v>
          </cell>
          <cell r="T22" t="str">
            <v>……</v>
          </cell>
          <cell r="U22" t="str">
            <v>…… Ngày ……/……/……</v>
          </cell>
          <cell r="V22" t="str">
            <v>Nguyễn Ái Việt</v>
          </cell>
          <cell r="W22" t="str">
            <v>Chỉ huy trưởng</v>
          </cell>
          <cell r="X22" t="str">
            <v>................................</v>
          </cell>
          <cell r="Y22" t="str">
            <v>................................</v>
          </cell>
          <cell r="Z22" t="str">
            <v>Nguyễn Văn Nghiễm</v>
          </cell>
          <cell r="AA22" t="str">
            <v>Cán bộ KCS</v>
          </cell>
          <cell r="AB22" t="str">
            <v>Vương Toàn Hiếu</v>
          </cell>
          <cell r="AC22" t="str">
            <v>Trưởng đoàn TVGS</v>
          </cell>
          <cell r="AD22" t="str">
            <v>Lê Thiều Nam</v>
          </cell>
          <cell r="AE22" t="str">
            <v>Cán bộ TVGS</v>
          </cell>
          <cell r="AF22" t="str">
            <v>................................</v>
          </cell>
          <cell r="AG22" t="str">
            <v>................................</v>
          </cell>
          <cell r="AH22" t="str">
            <v>Nguyễn Ái Việt</v>
          </cell>
          <cell r="AI22" t="str">
            <v>Chỉ huy trưởng</v>
          </cell>
          <cell r="AJ22" t="str">
            <v>Hoàng Chiến Thắng</v>
          </cell>
          <cell r="AK22" t="str">
            <v>P. Chỉ huy trưởng</v>
          </cell>
          <cell r="AL22" t="str">
            <v>Trịnh Quang Đức</v>
          </cell>
          <cell r="AM22" t="str">
            <v>Cán bộ kỹ thuật</v>
          </cell>
          <cell r="AQ22" t="str">
            <v>Ngày …… Tháng …… Năm ……</v>
          </cell>
        </row>
        <row r="23">
          <cell r="D23" t="str">
            <v>……</v>
          </cell>
          <cell r="E23" t="str">
            <v>…….</v>
          </cell>
          <cell r="F23" t="str">
            <v>……</v>
          </cell>
          <cell r="G23" t="str">
            <v>……</v>
          </cell>
          <cell r="H23" t="str">
            <v>……</v>
          </cell>
          <cell r="I23" t="str">
            <v>Hà Nội, ngày …… tháng …… năm ……</v>
          </cell>
          <cell r="J23" t="str">
            <v>…… ngày …… tháng …… năm ……</v>
          </cell>
          <cell r="K23" t="str">
            <v>……. ngày …… tháng …… năm ……</v>
          </cell>
          <cell r="L23" t="str">
            <v>……</v>
          </cell>
          <cell r="M23" t="str">
            <v>……</v>
          </cell>
          <cell r="N23" t="str">
            <v>……</v>
          </cell>
          <cell r="O23" t="str">
            <v>……</v>
          </cell>
          <cell r="P23" t="str">
            <v>……</v>
          </cell>
          <cell r="Q23" t="str">
            <v>Hà Nội, ngày …… tháng …… năm ……</v>
          </cell>
          <cell r="R23" t="str">
            <v>…… ngày …… tháng …… năm ……</v>
          </cell>
          <cell r="S23" t="str">
            <v>…… ngày …… tháng …… năm ……</v>
          </cell>
          <cell r="T23" t="str">
            <v>……</v>
          </cell>
          <cell r="U23" t="str">
            <v>…… Ngày ……/……/……</v>
          </cell>
          <cell r="V23" t="str">
            <v>Nguyễn Ái Việt</v>
          </cell>
          <cell r="W23" t="str">
            <v>Chỉ huy trưởng</v>
          </cell>
          <cell r="X23" t="str">
            <v>................................</v>
          </cell>
          <cell r="Y23" t="str">
            <v>................................</v>
          </cell>
          <cell r="Z23" t="str">
            <v>Nguyễn Văn Nghiễm</v>
          </cell>
          <cell r="AA23" t="str">
            <v>Cán bộ KCS</v>
          </cell>
          <cell r="AB23" t="str">
            <v>Vương Toàn Hiếu</v>
          </cell>
          <cell r="AC23" t="str">
            <v>Trưởng đoàn TVGS</v>
          </cell>
          <cell r="AD23" t="str">
            <v>Lê Thiều Nam</v>
          </cell>
          <cell r="AE23" t="str">
            <v>Cán bộ TVGS</v>
          </cell>
          <cell r="AF23" t="str">
            <v>................................</v>
          </cell>
          <cell r="AG23" t="str">
            <v>................................</v>
          </cell>
          <cell r="AH23" t="str">
            <v>Nguyễn Ái Việt</v>
          </cell>
          <cell r="AI23" t="str">
            <v>Chỉ huy trưởng</v>
          </cell>
          <cell r="AJ23" t="str">
            <v>Hoàng Chiến Thắng</v>
          </cell>
          <cell r="AK23" t="str">
            <v>P. Chỉ huy trưởng</v>
          </cell>
          <cell r="AL23" t="str">
            <v>Trịnh Quang Đức</v>
          </cell>
          <cell r="AM23" t="str">
            <v>Cán bộ kỹ thuật</v>
          </cell>
          <cell r="AQ23" t="str">
            <v>Ngày …… Tháng …… Năm ……</v>
          </cell>
        </row>
        <row r="24">
          <cell r="D24" t="str">
            <v>……</v>
          </cell>
          <cell r="E24" t="str">
            <v>…….</v>
          </cell>
          <cell r="F24" t="str">
            <v>……</v>
          </cell>
          <cell r="G24" t="str">
            <v>……</v>
          </cell>
          <cell r="H24" t="str">
            <v>……</v>
          </cell>
          <cell r="I24" t="str">
            <v>Hà Nội, ngày …… tháng …… năm ……</v>
          </cell>
          <cell r="J24" t="str">
            <v>…… ngày …… tháng …… năm ……</v>
          </cell>
          <cell r="K24" t="str">
            <v>……. ngày …… tháng …… năm ……</v>
          </cell>
          <cell r="L24" t="str">
            <v>……</v>
          </cell>
          <cell r="M24" t="str">
            <v>……</v>
          </cell>
          <cell r="N24" t="str">
            <v>……</v>
          </cell>
          <cell r="O24" t="str">
            <v>……</v>
          </cell>
          <cell r="P24" t="str">
            <v>……</v>
          </cell>
          <cell r="Q24" t="str">
            <v>Hà Nội, ngày …… tháng …… năm ……</v>
          </cell>
          <cell r="R24" t="str">
            <v>…… ngày …… tháng …… năm ……</v>
          </cell>
          <cell r="S24" t="str">
            <v>…… ngày …… tháng …… năm ……</v>
          </cell>
          <cell r="T24" t="str">
            <v>……</v>
          </cell>
          <cell r="U24" t="str">
            <v>…… Ngày ……/……/……</v>
          </cell>
          <cell r="V24" t="str">
            <v>Nguyễn Ái Việt</v>
          </cell>
          <cell r="W24" t="str">
            <v>Chỉ huy trưởng</v>
          </cell>
          <cell r="X24" t="str">
            <v>................................</v>
          </cell>
          <cell r="Y24" t="str">
            <v>................................</v>
          </cell>
          <cell r="Z24" t="str">
            <v>Nguyễn Văn Nghiễm</v>
          </cell>
          <cell r="AA24" t="str">
            <v>Cán bộ KCS</v>
          </cell>
          <cell r="AB24" t="str">
            <v>Vương Toàn Hiếu</v>
          </cell>
          <cell r="AC24" t="str">
            <v>Trưởng đoàn TVGS</v>
          </cell>
          <cell r="AD24" t="str">
            <v>Lê Thiều Nam</v>
          </cell>
          <cell r="AE24" t="str">
            <v>Cán bộ TVGS</v>
          </cell>
          <cell r="AF24" t="str">
            <v>................................</v>
          </cell>
          <cell r="AG24" t="str">
            <v>................................</v>
          </cell>
          <cell r="AH24" t="str">
            <v>Nguyễn Ái Việt</v>
          </cell>
          <cell r="AI24" t="str">
            <v>Chỉ huy trưởng</v>
          </cell>
          <cell r="AJ24" t="str">
            <v>Hoàng Chiến Thắng</v>
          </cell>
          <cell r="AK24" t="str">
            <v>P. Chỉ huy trưởng</v>
          </cell>
          <cell r="AL24" t="str">
            <v>Trịnh Quang Đức</v>
          </cell>
          <cell r="AM24" t="str">
            <v>Cán bộ kỹ thuật</v>
          </cell>
          <cell r="AQ24" t="str">
            <v>Ngày …… Tháng …… Năm ……</v>
          </cell>
        </row>
        <row r="25">
          <cell r="D25" t="str">
            <v>……</v>
          </cell>
          <cell r="E25" t="str">
            <v>…….</v>
          </cell>
          <cell r="F25" t="str">
            <v>……</v>
          </cell>
          <cell r="G25" t="str">
            <v>……</v>
          </cell>
          <cell r="H25" t="str">
            <v>……</v>
          </cell>
          <cell r="I25" t="str">
            <v>Hà Nội, ngày …… tháng …… năm ……</v>
          </cell>
          <cell r="J25" t="str">
            <v>…… ngày …… tháng …… năm ……</v>
          </cell>
          <cell r="K25" t="str">
            <v>……. ngày …… tháng …… năm ……</v>
          </cell>
          <cell r="L25" t="str">
            <v>……</v>
          </cell>
          <cell r="M25" t="str">
            <v>……</v>
          </cell>
          <cell r="N25" t="str">
            <v>……</v>
          </cell>
          <cell r="O25" t="str">
            <v>……</v>
          </cell>
          <cell r="P25" t="str">
            <v>……</v>
          </cell>
          <cell r="Q25" t="str">
            <v>Hà Nội, ngày …… tháng …… năm ……</v>
          </cell>
          <cell r="R25" t="str">
            <v>…… ngày …… tháng …… năm ……</v>
          </cell>
          <cell r="S25" t="str">
            <v>…… ngày …… tháng …… năm ……</v>
          </cell>
          <cell r="T25" t="str">
            <v>……</v>
          </cell>
          <cell r="U25" t="str">
            <v>…… Ngày ……/……/……</v>
          </cell>
          <cell r="V25" t="str">
            <v>Nguyễn Ái Việt</v>
          </cell>
          <cell r="W25" t="str">
            <v>Chỉ huy trưởng</v>
          </cell>
          <cell r="X25" t="str">
            <v>................................</v>
          </cell>
          <cell r="Y25" t="str">
            <v>................................</v>
          </cell>
          <cell r="Z25" t="str">
            <v>Nguyễn Văn Nghiễm</v>
          </cell>
          <cell r="AA25" t="str">
            <v>Cán bộ KCS</v>
          </cell>
          <cell r="AB25" t="str">
            <v>Vương Toàn Hiếu</v>
          </cell>
          <cell r="AC25" t="str">
            <v>Trưởng đoàn TVGS</v>
          </cell>
          <cell r="AD25" t="str">
            <v>Lê Thiều Nam</v>
          </cell>
          <cell r="AE25" t="str">
            <v>Cán bộ TVGS</v>
          </cell>
          <cell r="AF25" t="str">
            <v>................................</v>
          </cell>
          <cell r="AG25" t="str">
            <v>................................</v>
          </cell>
          <cell r="AH25" t="str">
            <v>Nguyễn Ái Việt</v>
          </cell>
          <cell r="AI25" t="str">
            <v>Chỉ huy trưởng</v>
          </cell>
          <cell r="AJ25" t="str">
            <v>Hoàng Chiến Thắng</v>
          </cell>
          <cell r="AK25" t="str">
            <v>P. Chỉ huy trưởng</v>
          </cell>
          <cell r="AL25" t="str">
            <v>Trịnh Quang Đức</v>
          </cell>
          <cell r="AM25" t="str">
            <v>Cán bộ kỹ thuật</v>
          </cell>
          <cell r="AQ25" t="str">
            <v>Ngày …… Tháng …… Năm ……</v>
          </cell>
        </row>
        <row r="26">
          <cell r="D26" t="str">
            <v>……</v>
          </cell>
          <cell r="E26" t="str">
            <v>…….</v>
          </cell>
          <cell r="F26" t="str">
            <v>……</v>
          </cell>
          <cell r="G26" t="str">
            <v>……</v>
          </cell>
          <cell r="H26" t="str">
            <v>……</v>
          </cell>
          <cell r="I26" t="str">
            <v>Hà Nội, ngày …… tháng …… năm ……</v>
          </cell>
          <cell r="J26" t="str">
            <v>…… ngày …… tháng …… năm ……</v>
          </cell>
          <cell r="K26" t="str">
            <v>……. ngày …… tháng …… năm ……</v>
          </cell>
          <cell r="L26" t="str">
            <v>……</v>
          </cell>
          <cell r="M26" t="str">
            <v>……</v>
          </cell>
          <cell r="N26" t="str">
            <v>……</v>
          </cell>
          <cell r="O26" t="str">
            <v>……</v>
          </cell>
          <cell r="P26" t="str">
            <v>……</v>
          </cell>
          <cell r="Q26" t="str">
            <v>Hà Nội, ngày …… tháng …… năm ……</v>
          </cell>
          <cell r="R26" t="str">
            <v>…… ngày …… tháng …… năm ……</v>
          </cell>
          <cell r="S26" t="str">
            <v>…… ngày …… tháng …… năm ……</v>
          </cell>
          <cell r="T26" t="str">
            <v>……</v>
          </cell>
          <cell r="U26" t="str">
            <v>…… Ngày ……/……/……</v>
          </cell>
          <cell r="V26" t="str">
            <v>Nguyễn Ái Việt</v>
          </cell>
          <cell r="W26" t="str">
            <v>Chỉ huy trưởng</v>
          </cell>
          <cell r="X26" t="str">
            <v>................................</v>
          </cell>
          <cell r="Y26" t="str">
            <v>................................</v>
          </cell>
          <cell r="Z26" t="str">
            <v>Nguyễn Văn Nghiễm</v>
          </cell>
          <cell r="AA26" t="str">
            <v>Cán bộ KCS</v>
          </cell>
          <cell r="AB26" t="str">
            <v>Vương Toàn Hiếu</v>
          </cell>
          <cell r="AC26" t="str">
            <v>Trưởng đoàn TVGS</v>
          </cell>
          <cell r="AD26" t="str">
            <v>Lê Thiều Nam</v>
          </cell>
          <cell r="AE26" t="str">
            <v>Cán bộ TVGS</v>
          </cell>
          <cell r="AF26" t="str">
            <v>................................</v>
          </cell>
          <cell r="AG26" t="str">
            <v>................................</v>
          </cell>
          <cell r="AH26" t="str">
            <v>Nguyễn Ái Việt</v>
          </cell>
          <cell r="AI26" t="str">
            <v>Chỉ huy trưởng</v>
          </cell>
          <cell r="AJ26" t="str">
            <v>Hoàng Chiến Thắng</v>
          </cell>
          <cell r="AK26" t="str">
            <v>P. Chỉ huy trưởng</v>
          </cell>
          <cell r="AL26" t="str">
            <v>Trịnh Quang Đức</v>
          </cell>
          <cell r="AM26" t="str">
            <v>Cán bộ kỹ thuật</v>
          </cell>
          <cell r="AQ26" t="str">
            <v>Ngày …… Tháng …… Năm ……</v>
          </cell>
        </row>
        <row r="27">
          <cell r="D27" t="str">
            <v>……</v>
          </cell>
          <cell r="E27" t="str">
            <v>…….</v>
          </cell>
          <cell r="F27" t="str">
            <v>……</v>
          </cell>
          <cell r="G27" t="str">
            <v>……</v>
          </cell>
          <cell r="H27" t="str">
            <v>……</v>
          </cell>
          <cell r="I27" t="str">
            <v>Hà Nội, ngày …… tháng …… năm ……</v>
          </cell>
          <cell r="J27" t="str">
            <v>…… ngày …… tháng …… năm ……</v>
          </cell>
          <cell r="K27" t="str">
            <v>……. ngày …… tháng …… năm ……</v>
          </cell>
          <cell r="L27" t="str">
            <v>……</v>
          </cell>
          <cell r="M27" t="str">
            <v>……</v>
          </cell>
          <cell r="N27" t="str">
            <v>……</v>
          </cell>
          <cell r="O27" t="str">
            <v>……</v>
          </cell>
          <cell r="P27" t="str">
            <v>……</v>
          </cell>
          <cell r="Q27" t="str">
            <v>Hà Nội, ngày …… tháng …… năm ……</v>
          </cell>
          <cell r="R27" t="str">
            <v>…… ngày …… tháng …… năm ……</v>
          </cell>
          <cell r="S27" t="str">
            <v>…… ngày …… tháng …… năm ……</v>
          </cell>
          <cell r="T27" t="str">
            <v>……</v>
          </cell>
          <cell r="U27" t="str">
            <v>…… Ngày ……/……/……</v>
          </cell>
          <cell r="V27" t="str">
            <v>Nguyễn Ái Việt</v>
          </cell>
          <cell r="W27" t="str">
            <v>Chỉ huy trưởng</v>
          </cell>
          <cell r="X27" t="str">
            <v>................................</v>
          </cell>
          <cell r="Y27" t="str">
            <v>................................</v>
          </cell>
          <cell r="Z27" t="str">
            <v>Nguyễn Văn Nghiễm</v>
          </cell>
          <cell r="AA27" t="str">
            <v>Cán bộ KCS</v>
          </cell>
          <cell r="AB27" t="str">
            <v>Vương Toàn Hiếu</v>
          </cell>
          <cell r="AC27" t="str">
            <v>Trưởng đoàn TVGS</v>
          </cell>
          <cell r="AD27" t="str">
            <v>Lê Thiều Nam</v>
          </cell>
          <cell r="AE27" t="str">
            <v>Cán bộ TVGS</v>
          </cell>
          <cell r="AF27" t="str">
            <v>................................</v>
          </cell>
          <cell r="AG27" t="str">
            <v>................................</v>
          </cell>
          <cell r="AH27" t="str">
            <v>Nguyễn Ái Việt</v>
          </cell>
          <cell r="AI27" t="str">
            <v>Chỉ huy trưởng</v>
          </cell>
          <cell r="AJ27" t="str">
            <v>Hoàng Chiến Thắng</v>
          </cell>
          <cell r="AK27" t="str">
            <v>P. Chỉ huy trưởng</v>
          </cell>
          <cell r="AL27" t="str">
            <v>Trịnh Quang Đức</v>
          </cell>
          <cell r="AM27" t="str">
            <v>Cán bộ kỹ thuật</v>
          </cell>
          <cell r="AQ27" t="str">
            <v>Ngày …… Tháng …… Năm ……</v>
          </cell>
        </row>
        <row r="28">
          <cell r="D28" t="str">
            <v>……</v>
          </cell>
          <cell r="E28" t="str">
            <v>…….</v>
          </cell>
          <cell r="F28" t="str">
            <v>……</v>
          </cell>
          <cell r="G28" t="str">
            <v>…….</v>
          </cell>
          <cell r="H28" t="str">
            <v>……</v>
          </cell>
          <cell r="I28" t="str">
            <v>Hà Nội, ngày …… tháng ……. năm ……</v>
          </cell>
          <cell r="J28" t="str">
            <v>…… ngày …… tháng ……. năm ……</v>
          </cell>
          <cell r="K28" t="str">
            <v>……. ngày …… tháng ……. năm ……</v>
          </cell>
          <cell r="L28" t="str">
            <v>……</v>
          </cell>
          <cell r="M28" t="str">
            <v>……</v>
          </cell>
          <cell r="N28" t="str">
            <v>……</v>
          </cell>
          <cell r="O28" t="str">
            <v>…….</v>
          </cell>
          <cell r="P28" t="str">
            <v>……</v>
          </cell>
          <cell r="Q28" t="str">
            <v>Hà Nội, ngày …… tháng ……. năm ……</v>
          </cell>
          <cell r="R28" t="str">
            <v>…… ngày …… tháng ……. năm ……</v>
          </cell>
          <cell r="S28" t="str">
            <v>…… ngày …… tháng ……. năm ……</v>
          </cell>
          <cell r="T28" t="str">
            <v>……</v>
          </cell>
          <cell r="U28" t="str">
            <v>…… Ngày ……/……./……</v>
          </cell>
          <cell r="V28" t="str">
            <v>Nguyễn Ái Việt</v>
          </cell>
          <cell r="W28" t="str">
            <v>Chỉ huy trưởng</v>
          </cell>
          <cell r="X28" t="str">
            <v>................................</v>
          </cell>
          <cell r="Y28" t="str">
            <v>................................</v>
          </cell>
          <cell r="Z28" t="str">
            <v>Nguyễn Văn Nghiễm</v>
          </cell>
          <cell r="AA28" t="str">
            <v>Cán bộ KCS</v>
          </cell>
          <cell r="AB28" t="str">
            <v>Vương Toàn Hiếu</v>
          </cell>
          <cell r="AC28" t="str">
            <v>Trưởng đoàn TVGS</v>
          </cell>
          <cell r="AD28" t="str">
            <v>Lê Thiều Nam</v>
          </cell>
          <cell r="AE28" t="str">
            <v>Cán bộ TVGS</v>
          </cell>
          <cell r="AF28" t="str">
            <v>................................</v>
          </cell>
          <cell r="AG28" t="str">
            <v>................................</v>
          </cell>
          <cell r="AH28" t="str">
            <v>Nguyễn Ái Việt</v>
          </cell>
          <cell r="AI28" t="str">
            <v>Chỉ huy trưởng</v>
          </cell>
          <cell r="AJ28" t="str">
            <v>Hoàng Chiến Thắng</v>
          </cell>
          <cell r="AK28" t="str">
            <v>P. Chỉ huy trưởng</v>
          </cell>
          <cell r="AL28" t="str">
            <v>Trịnh Quang Đức</v>
          </cell>
          <cell r="AM28" t="str">
            <v>Cán bộ kỹ thuật</v>
          </cell>
          <cell r="AQ28" t="str">
            <v>Ngày …… Tháng ……. Năm ……</v>
          </cell>
        </row>
        <row r="32">
          <cell r="A32">
            <v>1</v>
          </cell>
          <cell r="B32">
            <v>2</v>
          </cell>
          <cell r="C32">
            <v>3</v>
          </cell>
          <cell r="D32">
            <v>4</v>
          </cell>
          <cell r="E32">
            <v>5</v>
          </cell>
          <cell r="F32">
            <v>6</v>
          </cell>
          <cell r="G32">
            <v>7</v>
          </cell>
          <cell r="H32">
            <v>8</v>
          </cell>
          <cell r="I32">
            <v>9</v>
          </cell>
          <cell r="J32">
            <v>10</v>
          </cell>
          <cell r="K32">
            <v>11</v>
          </cell>
          <cell r="L32">
            <v>12</v>
          </cell>
          <cell r="M32">
            <v>13</v>
          </cell>
          <cell r="N32">
            <v>14</v>
          </cell>
          <cell r="O32">
            <v>15</v>
          </cell>
          <cell r="P32">
            <v>16</v>
          </cell>
          <cell r="Q32">
            <v>17</v>
          </cell>
          <cell r="R32">
            <v>18</v>
          </cell>
          <cell r="S32">
            <v>19</v>
          </cell>
          <cell r="T32">
            <v>20</v>
          </cell>
          <cell r="U32">
            <v>21</v>
          </cell>
          <cell r="V32">
            <v>22</v>
          </cell>
          <cell r="W32">
            <v>23</v>
          </cell>
          <cell r="X32">
            <v>24</v>
          </cell>
          <cell r="Y32">
            <v>25</v>
          </cell>
          <cell r="Z32">
            <v>26</v>
          </cell>
          <cell r="AA32">
            <v>27</v>
          </cell>
          <cell r="AB32">
            <v>28</v>
          </cell>
          <cell r="AC32">
            <v>29</v>
          </cell>
          <cell r="AD32">
            <v>30</v>
          </cell>
          <cell r="AE32">
            <v>31</v>
          </cell>
          <cell r="AF32">
            <v>32</v>
          </cell>
          <cell r="AG32">
            <v>33</v>
          </cell>
          <cell r="AH32">
            <v>34</v>
          </cell>
          <cell r="AI32">
            <v>35</v>
          </cell>
          <cell r="AJ32">
            <v>36</v>
          </cell>
          <cell r="AK32">
            <v>37</v>
          </cell>
          <cell r="AL32">
            <v>38</v>
          </cell>
          <cell r="AM32">
            <v>39</v>
          </cell>
          <cell r="AN32">
            <v>40</v>
          </cell>
          <cell r="AO32">
            <v>41</v>
          </cell>
          <cell r="AP32">
            <v>42</v>
          </cell>
          <cell r="AQ32">
            <v>43</v>
          </cell>
        </row>
      </sheetData>
      <sheetData sheetId="200"/>
      <sheetData sheetId="20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ia "/>
      <sheetName val="ly lich coc"/>
      <sheetName val="bc tong hop"/>
      <sheetName val="khoan tao lo"/>
      <sheetName val="bdo dang BT"/>
      <sheetName val="DD khoan"/>
      <sheetName val="long thep"/>
      <sheetName val="Long thep 2"/>
      <sheetName val="TH kl thep coc"/>
      <sheetName val="Hoanthienkhoan"/>
      <sheetName val="chieu sau khoan"/>
      <sheetName val="do be tong"/>
      <sheetName val="BT CKN"/>
      <sheetName val="Laymau BT"/>
      <sheetName val="TH kl coc"/>
    </sheetNames>
    <sheetDataSet>
      <sheetData sheetId="0">
        <row r="4">
          <cell r="A4" t="str">
            <v>TT</v>
          </cell>
          <cell r="B4" t="str">
            <v>Tªn cäc</v>
          </cell>
          <cell r="C4" t="str">
            <v>§­êng kÝnh cäc (mm)</v>
          </cell>
          <cell r="D4" t="str">
            <v>Dung dÞch khoan</v>
          </cell>
          <cell r="J4" t="str">
            <v>Lång thÐp</v>
          </cell>
          <cell r="P4" t="str">
            <v>Hoµn thiÖn lç khoan tr­íc khi ®æ</v>
          </cell>
          <cell r="V4" t="str">
            <v>§æ bª t«ng cäc khoan nhåi</v>
          </cell>
          <cell r="AB4" t="str">
            <v>Bª t«ng cäc khoan nhåi</v>
          </cell>
          <cell r="AH4" t="str">
            <v>Gia c«ng mèi nèi, quÐt nhùa ®­êng èng cèng.</v>
          </cell>
          <cell r="AN4" t="str">
            <v>§Êt ®¾p tõng líp mang cèng, ®Êt ®¾p trªn cèng.</v>
          </cell>
          <cell r="AT4" t="str">
            <v>NghiÖm thu hoµn thµnh.</v>
          </cell>
        </row>
        <row r="5">
          <cell r="D5" t="str">
            <v>NT néi bé</v>
          </cell>
          <cell r="G5" t="str">
            <v>NT c«ng viÖc</v>
          </cell>
          <cell r="J5" t="str">
            <v>NT néi bé</v>
          </cell>
          <cell r="M5" t="str">
            <v>NT c«ng viÖc</v>
          </cell>
          <cell r="P5" t="str">
            <v>NT néi bé</v>
          </cell>
          <cell r="S5" t="str">
            <v>NT c«ng viÖc</v>
          </cell>
          <cell r="V5" t="str">
            <v>NT néi bé</v>
          </cell>
          <cell r="Y5" t="str">
            <v>NT c«ng viÖc</v>
          </cell>
          <cell r="AB5" t="str">
            <v>NT néi bé</v>
          </cell>
          <cell r="AE5" t="str">
            <v>NT c«ng viÖc</v>
          </cell>
          <cell r="AH5" t="str">
            <v>NT néi bé</v>
          </cell>
          <cell r="AK5" t="str">
            <v>NT c«ng viÖc</v>
          </cell>
          <cell r="AN5" t="str">
            <v>NT néi bé</v>
          </cell>
          <cell r="AQ5" t="str">
            <v>NT c«ng viÖc</v>
          </cell>
          <cell r="AT5" t="str">
            <v>NT néi bé</v>
          </cell>
          <cell r="AW5" t="str">
            <v>NT c«ng viÖc</v>
          </cell>
        </row>
        <row r="6">
          <cell r="D6" t="str">
            <v>Ngµy NT</v>
          </cell>
          <cell r="E6" t="str">
            <v>Thêi gian b¾t ®Çu</v>
          </cell>
          <cell r="F6" t="str">
            <v>KÕt thóc</v>
          </cell>
          <cell r="G6" t="str">
            <v>Ngµy NT</v>
          </cell>
          <cell r="H6" t="str">
            <v>Thêi gian b¾t ®Çu</v>
          </cell>
          <cell r="I6" t="str">
            <v>KÕt thóc</v>
          </cell>
          <cell r="J6" t="str">
            <v>Ngµy NT</v>
          </cell>
          <cell r="K6" t="str">
            <v>Thêi gian b¾t ®Çu</v>
          </cell>
          <cell r="L6" t="str">
            <v>KÕt thóc</v>
          </cell>
          <cell r="M6" t="str">
            <v>Ngµy NT</v>
          </cell>
          <cell r="N6" t="str">
            <v>Thêi gian b¾t ®Çu</v>
          </cell>
          <cell r="O6" t="str">
            <v>KÕt thóc</v>
          </cell>
          <cell r="P6" t="str">
            <v>Ngµy NT</v>
          </cell>
          <cell r="Q6" t="str">
            <v>Thêi gian b¾t ®Çu</v>
          </cell>
          <cell r="R6" t="str">
            <v>KÕt thóc</v>
          </cell>
          <cell r="S6" t="str">
            <v>Ngµy NT</v>
          </cell>
          <cell r="T6" t="str">
            <v>Thêi gian b¾t ®Çu</v>
          </cell>
          <cell r="U6" t="str">
            <v>KÕt thóc</v>
          </cell>
          <cell r="V6" t="str">
            <v>Ngµy NT</v>
          </cell>
          <cell r="W6" t="str">
            <v>Thêi gian b¾t ®Çu</v>
          </cell>
          <cell r="X6" t="str">
            <v>KÕt thóc</v>
          </cell>
          <cell r="Y6" t="str">
            <v>Ngµy NT</v>
          </cell>
          <cell r="Z6" t="str">
            <v>Thêi gian b¾t ®Çu</v>
          </cell>
          <cell r="AA6" t="str">
            <v>KÕt thóc</v>
          </cell>
          <cell r="AB6" t="str">
            <v>Ngµy NT</v>
          </cell>
          <cell r="AC6" t="str">
            <v>Thêi gian b¾t ®Çu</v>
          </cell>
          <cell r="AD6" t="str">
            <v>KÕt thóc</v>
          </cell>
          <cell r="AE6" t="str">
            <v>Ngµy NT</v>
          </cell>
          <cell r="AF6" t="str">
            <v>Thêi gian b¾t ®Çu</v>
          </cell>
          <cell r="AG6" t="str">
            <v>KÕt thóc</v>
          </cell>
          <cell r="AH6" t="str">
            <v>Ngµy NT</v>
          </cell>
          <cell r="AI6" t="str">
            <v>Thêi gian b¾t ®Çu</v>
          </cell>
          <cell r="AJ6" t="str">
            <v>KÕt thóc</v>
          </cell>
          <cell r="AK6" t="str">
            <v>Ngµy NT</v>
          </cell>
          <cell r="AL6" t="str">
            <v>Thêi gian b¾t ®Çu</v>
          </cell>
          <cell r="AM6" t="str">
            <v>KÕt thóc</v>
          </cell>
          <cell r="AN6" t="str">
            <v>Ngµy NT</v>
          </cell>
          <cell r="AO6" t="str">
            <v>Thêi gian b¾t ®Çu</v>
          </cell>
          <cell r="AP6" t="str">
            <v>KÕt thóc</v>
          </cell>
          <cell r="AQ6" t="str">
            <v>Ngµy NT</v>
          </cell>
          <cell r="AR6" t="str">
            <v>Thêi gian b¾t ®Çu</v>
          </cell>
          <cell r="AS6" t="str">
            <v>KÕt thóc</v>
          </cell>
          <cell r="AT6" t="str">
            <v>Ngµy NT</v>
          </cell>
          <cell r="AU6" t="str">
            <v>Thêi gian b¾t ®Çu</v>
          </cell>
          <cell r="AV6" t="str">
            <v>KÕt thóc</v>
          </cell>
          <cell r="AW6" t="str">
            <v>Ngµy NT</v>
          </cell>
          <cell r="AX6" t="str">
            <v>Thêi gian b¾t ®Çu</v>
          </cell>
          <cell r="AY6" t="str">
            <v>KÕt thóc</v>
          </cell>
        </row>
        <row r="7">
          <cell r="A7">
            <v>9</v>
          </cell>
          <cell r="B7" t="str">
            <v>P09</v>
          </cell>
          <cell r="C7">
            <v>1200</v>
          </cell>
          <cell r="D7">
            <v>40890</v>
          </cell>
          <cell r="E7">
            <v>5.2083333333333336E-2</v>
          </cell>
          <cell r="F7">
            <v>0.11458333333333333</v>
          </cell>
          <cell r="G7">
            <v>40890</v>
          </cell>
          <cell r="H7">
            <v>0.13541666666666666</v>
          </cell>
          <cell r="I7">
            <v>0.17708333333333334</v>
          </cell>
          <cell r="J7">
            <v>40890</v>
          </cell>
          <cell r="K7">
            <v>0.30208333333333331</v>
          </cell>
          <cell r="L7">
            <v>0.35069444444444442</v>
          </cell>
          <cell r="M7">
            <v>40890</v>
          </cell>
          <cell r="N7">
            <v>0.38541666666666669</v>
          </cell>
          <cell r="O7">
            <v>0.42708333333333331</v>
          </cell>
          <cell r="P7">
            <v>40890</v>
          </cell>
          <cell r="Q7">
            <v>0.46527777777777773</v>
          </cell>
          <cell r="R7">
            <v>0.5</v>
          </cell>
          <cell r="S7">
            <v>40890</v>
          </cell>
          <cell r="T7">
            <v>0.52083333333333337</v>
          </cell>
          <cell r="U7">
            <v>0.54166666666666663</v>
          </cell>
          <cell r="V7">
            <v>40890</v>
          </cell>
          <cell r="W7">
            <v>0.79166666666666663</v>
          </cell>
          <cell r="X7">
            <v>0.9375</v>
          </cell>
          <cell r="Y7">
            <v>40890</v>
          </cell>
          <cell r="Z7">
            <v>0.95833333333333337</v>
          </cell>
          <cell r="AA7">
            <v>0.97916666666666663</v>
          </cell>
          <cell r="AB7">
            <v>40899</v>
          </cell>
          <cell r="AC7" t="str">
            <v>14h00'</v>
          </cell>
          <cell r="AD7" t="str">
            <v>16h00'</v>
          </cell>
          <cell r="AE7">
            <v>40900</v>
          </cell>
          <cell r="AF7" t="str">
            <v>7h30'</v>
          </cell>
          <cell r="AG7" t="str">
            <v>10h30'</v>
          </cell>
          <cell r="AH7">
            <v>40894</v>
          </cell>
          <cell r="AI7" t="str">
            <v>09h15'</v>
          </cell>
          <cell r="AJ7" t="str">
            <v>11h15'</v>
          </cell>
          <cell r="AK7">
            <v>40894</v>
          </cell>
          <cell r="AL7" t="str">
            <v>16h00'</v>
          </cell>
          <cell r="AM7" t="str">
            <v>17h00'</v>
          </cell>
          <cell r="AN7">
            <v>40893</v>
          </cell>
          <cell r="AO7" t="str">
            <v>08h15'</v>
          </cell>
          <cell r="AP7" t="str">
            <v>10h15'</v>
          </cell>
          <cell r="AQ7">
            <v>40893</v>
          </cell>
          <cell r="AR7" t="str">
            <v>15h45'</v>
          </cell>
          <cell r="AS7" t="str">
            <v>17h00'</v>
          </cell>
          <cell r="AT7">
            <v>40893</v>
          </cell>
          <cell r="AU7" t="str">
            <v>9h00'</v>
          </cell>
          <cell r="AV7" t="str">
            <v>11h00'</v>
          </cell>
          <cell r="AW7">
            <v>40894</v>
          </cell>
          <cell r="AX7" t="str">
            <v>14h00'</v>
          </cell>
          <cell r="AY7" t="str">
            <v>16h00'</v>
          </cell>
        </row>
        <row r="8">
          <cell r="A8">
            <v>10</v>
          </cell>
          <cell r="B8" t="str">
            <v>P10</v>
          </cell>
          <cell r="C8">
            <v>1200</v>
          </cell>
          <cell r="D8">
            <v>0.125</v>
          </cell>
          <cell r="G8">
            <v>0.125</v>
          </cell>
          <cell r="J8">
            <v>0.125</v>
          </cell>
          <cell r="M8">
            <v>0.125</v>
          </cell>
          <cell r="N8">
            <v>0.91666666666666663</v>
          </cell>
          <cell r="O8">
            <v>1.0625</v>
          </cell>
          <cell r="P8">
            <v>40891</v>
          </cell>
          <cell r="Q8">
            <v>1.0694444444444444</v>
          </cell>
          <cell r="R8">
            <v>0.13541666666666663</v>
          </cell>
          <cell r="S8">
            <v>40891</v>
          </cell>
          <cell r="T8">
            <v>0.14583333333333331</v>
          </cell>
          <cell r="U8">
            <v>0.15624999999999997</v>
          </cell>
          <cell r="V8">
            <v>1.125</v>
          </cell>
          <cell r="W8">
            <v>0.16666666666666666</v>
          </cell>
          <cell r="X8">
            <v>0.22916666666666666</v>
          </cell>
          <cell r="Y8">
            <v>1.125</v>
          </cell>
          <cell r="Z8">
            <v>0.16666666666666666</v>
          </cell>
          <cell r="AA8">
            <v>0.22916666666666666</v>
          </cell>
          <cell r="AB8">
            <v>30.125</v>
          </cell>
          <cell r="AC8">
            <v>0.35416666666666669</v>
          </cell>
          <cell r="AD8">
            <v>0.4375</v>
          </cell>
          <cell r="AE8">
            <v>30.125</v>
          </cell>
          <cell r="AF8">
            <v>0.625</v>
          </cell>
          <cell r="AG8">
            <v>0.70833333333333337</v>
          </cell>
          <cell r="AH8">
            <v>5.125</v>
          </cell>
          <cell r="AI8" t="str">
            <v>09h30'</v>
          </cell>
          <cell r="AJ8" t="str">
            <v>11h30'</v>
          </cell>
          <cell r="AK8">
            <v>5.125</v>
          </cell>
          <cell r="AL8" t="str">
            <v>15h45'</v>
          </cell>
          <cell r="AM8" t="str">
            <v>16h45'</v>
          </cell>
          <cell r="AN8">
            <v>4.125</v>
          </cell>
          <cell r="AO8" t="str">
            <v>08h30'</v>
          </cell>
          <cell r="AP8" t="str">
            <v>10h30'</v>
          </cell>
          <cell r="AQ8">
            <v>4.125</v>
          </cell>
          <cell r="AR8" t="str">
            <v>16h00'</v>
          </cell>
          <cell r="AS8" t="str">
            <v>17h00'</v>
          </cell>
          <cell r="AT8">
            <v>40894</v>
          </cell>
          <cell r="AU8" t="str">
            <v>9h15'</v>
          </cell>
          <cell r="AV8" t="str">
            <v>11h15'</v>
          </cell>
          <cell r="AW8">
            <v>40895</v>
          </cell>
          <cell r="AX8" t="str">
            <v>15h00'</v>
          </cell>
          <cell r="AY8" t="str">
            <v>17h00'</v>
          </cell>
        </row>
        <row r="9">
          <cell r="M9">
            <v>1.125</v>
          </cell>
        </row>
        <row r="14">
          <cell r="L1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QLHS"/>
      <sheetName val="2.HSKT"/>
      <sheetName val="3.CV&amp;TKT"/>
      <sheetName val="4.HS&amp;TL"/>
      <sheetName val="5.QLCP"/>
      <sheetName val="6.VAT TU"/>
      <sheetName val="DATA"/>
      <sheetName val="NHAT KY THI CONG"/>
      <sheetName val="THU KY THUAT"/>
      <sheetName val="HOP GIAO BAN"/>
      <sheetName val="BAO CAO TUAN"/>
      <sheetName val="CONG VAN DI"/>
      <sheetName val="CONG VAN DEN"/>
      <sheetName val="TAI LIEU"/>
      <sheetName val="BBLM XI MANG"/>
      <sheetName val="BBNT XI MANG"/>
      <sheetName val="BBLM CAT"/>
      <sheetName val="BBLM THEP"/>
      <sheetName val="BBNT THEP"/>
      <sheetName val="BBNT CAT"/>
      <sheetName val="BBLM GACH"/>
      <sheetName val="BBNT GACH"/>
      <sheetName val="BBLM DA"/>
      <sheetName val="BBNT DA"/>
      <sheetName val="BBLM TCTB"/>
      <sheetName val="BBLM XAY TRONG"/>
      <sheetName val="BBNT XAY TRONG"/>
      <sheetName val="BBLM XAY NGOAI"/>
      <sheetName val="DM ho so ep coc"/>
      <sheetName val="TH - EP COC"/>
      <sheetName val="nen mong"/>
      <sheetName val="BTH-EP COC"/>
      <sheetName val="BTH-EP COC2"/>
      <sheetName val="NHAT KY EP COC"/>
      <sheetName val="BBNT Ép CỌC"/>
      <sheetName val="BBLM BT"/>
      <sheetName val="BBLM TRAT NGOAI"/>
      <sheetName val="BBNT TRAT CTBO"/>
      <sheetName val="BBNT XAY CTBO"/>
      <sheetName val="BBNT TRAT NGOAI"/>
      <sheetName val="BBLM TRAT TRONG"/>
      <sheetName val="BBNT TRAT TRONG"/>
      <sheetName val="BBNT TRAC DAC"/>
      <sheetName val="BB CỐP PHA"/>
      <sheetName val="BB THEP VE CT"/>
      <sheetName val="BBNT VẬT LIỆU ĐIỆN"/>
      <sheetName val="bang can nuoc"/>
      <sheetName val="que han"/>
      <sheetName val="FILE IN QUE HAN"/>
      <sheetName val="BB COC VE CT"/>
      <sheetName val="BB BÊ TÔNG"/>
      <sheetName val="BBNT ÉP CỪ"/>
      <sheetName val="BB CỐT THÉP"/>
      <sheetName val="BBNT CHỐNG MỐI"/>
      <sheetName val="BBNT ĐÀO ĐẤT"/>
      <sheetName val="BBNT SIKA"/>
      <sheetName val="BBNT COC TIẾP ĐỊA"/>
      <sheetName val="BBNT DIEN"/>
      <sheetName val="BBNT GIAO NGOAI"/>
      <sheetName val="betong"/>
      <sheetName val="CAT"/>
      <sheetName val="XI MANG"/>
      <sheetName val="GACH"/>
      <sheetName val="DIEN"/>
      <sheetName val="COC"/>
      <sheetName val="THEP"/>
      <sheetName val="LMBT"/>
      <sheetName val="g"/>
      <sheetName val="THU NGHIEM CAP PHOI"/>
      <sheetName val="CÔNG VIỆC TRONG NGÀY"/>
      <sheetName val="FILE IN-XM"/>
      <sheetName val="FILE IN-CAT"/>
      <sheetName val="FILE IN-GACH"/>
      <sheetName val="FILE IN-XCTBO"/>
      <sheetName val="FILE IN-DIEN"/>
      <sheetName val="FILE IN-CỐP PHA"/>
      <sheetName val="FILE IN- THEP VE CT"/>
      <sheetName val="FILE IN- COC VE CT"/>
      <sheetName val="FILE IN-BÊ TÔNG"/>
      <sheetName val="FILE IN-CỐT THÉP"/>
      <sheetName val="FILE IN TRAT CTBO"/>
      <sheetName val="FILE IN-XAYTRONG"/>
      <sheetName val="FILE IN NHAT KY EP COC"/>
      <sheetName val="FILE IN-EPCOC"/>
      <sheetName val="FILE IN-TRATNGOAI"/>
      <sheetName val="FILE IN-TRATTRONG"/>
      <sheetName val="FILE IN-VAT LIEU DIEN"/>
      <sheetName val="FILE IN-CHỐNG MỐI"/>
      <sheetName val="FILE IN-DAO DAT"/>
      <sheetName val="FILE IN-SIKA"/>
      <sheetName val="FILE IN-CỌC TIẾP ĐỊA"/>
      <sheetName val="FILE IN-LAP DIEN"/>
      <sheetName val="FILE IN-TRAC DAC"/>
      <sheetName val="LMV"/>
      <sheetName val="LM-VL"/>
      <sheetName val="PHAP LY"/>
      <sheetName val="DM BBNT"/>
      <sheetName val="DM VT-VL SU DUNG"/>
      <sheetName val="TH VT-VL SU DUNG"/>
      <sheetName val="DM MAY MOC THIET BI"/>
      <sheetName val="DMBBNT VLDV COC"/>
      <sheetName val="theo doi coc ve CT"/>
      <sheetName val="Sheet1"/>
      <sheetName val="theo doi ho so CT6"/>
    </sheetNames>
    <sheetDataSet>
      <sheetData sheetId="0"/>
      <sheetData sheetId="1"/>
      <sheetData sheetId="2"/>
      <sheetData sheetId="3"/>
      <sheetData sheetId="4"/>
      <sheetData sheetId="5"/>
      <sheetData sheetId="6">
        <row r="25">
          <cell r="F25" t="str">
            <v>BBLM THEP</v>
          </cell>
        </row>
        <row r="32">
          <cell r="D32" t="str">
            <v>NHẬT KÝ ÉP CỌC</v>
          </cell>
        </row>
        <row r="41">
          <cell r="F41" t="str">
            <v>BB COC VE CT</v>
          </cell>
        </row>
        <row r="43">
          <cell r="F43" t="str">
            <v>BBLMBT</v>
          </cell>
        </row>
        <row r="44">
          <cell r="D44" t="str">
            <v>BBNT ĐÀO ĐẤT</v>
          </cell>
        </row>
        <row r="95">
          <cell r="C95" t="str">
            <v>CB Hồ Sơ</v>
          </cell>
        </row>
        <row r="108">
          <cell r="C108" t="str">
            <v>lmcat</v>
          </cell>
          <cell r="D108" t="str">
            <v>tratngoai</v>
          </cell>
        </row>
        <row r="109">
          <cell r="C109" t="str">
            <v>lmdien</v>
          </cell>
          <cell r="D109" t="str">
            <v>trattrong</v>
          </cell>
        </row>
        <row r="110">
          <cell r="C110" t="str">
            <v>lmgach</v>
          </cell>
          <cell r="D110" t="str">
            <v>xaytrong</v>
          </cell>
        </row>
        <row r="111">
          <cell r="C111" t="str">
            <v>lmximang</v>
          </cell>
          <cell r="D111" t="str">
            <v>epcoc</v>
          </cell>
        </row>
        <row r="112">
          <cell r="C112" t="str">
            <v>lmda</v>
          </cell>
          <cell r="D112" t="str">
            <v>VATLIEUDA</v>
          </cell>
        </row>
        <row r="113">
          <cell r="C113" t="str">
            <v>lmvxn</v>
          </cell>
          <cell r="D113" t="str">
            <v>lapdien</v>
          </cell>
        </row>
        <row r="114">
          <cell r="C114" t="str">
            <v>lmvxt</v>
          </cell>
          <cell r="D114" t="str">
            <v>tracdac</v>
          </cell>
        </row>
        <row r="115">
          <cell r="C115" t="str">
            <v>lmvctb</v>
          </cell>
          <cell r="D115" t="str">
            <v>cpcoc</v>
          </cell>
        </row>
        <row r="116">
          <cell r="C116" t="str">
            <v>lmvtctb</v>
          </cell>
          <cell r="D116" t="str">
            <v>ctcoc</v>
          </cell>
        </row>
        <row r="117">
          <cell r="C117" t="str">
            <v>lmbt</v>
          </cell>
          <cell r="D117" t="str">
            <v>btcoc</v>
          </cell>
        </row>
        <row r="118">
          <cell r="C118" t="str">
            <v>lmthep</v>
          </cell>
          <cell r="D118" t="str">
            <v>xctb</v>
          </cell>
        </row>
        <row r="119">
          <cell r="D119" t="str">
            <v>tctb</v>
          </cell>
        </row>
        <row r="120">
          <cell r="D120" t="str">
            <v>cocvect</v>
          </cell>
        </row>
        <row r="121">
          <cell r="D121" t="str">
            <v>thepvect</v>
          </cell>
        </row>
        <row r="122">
          <cell r="D122" t="str">
            <v>epcu</v>
          </cell>
        </row>
        <row r="123">
          <cell r="D123" t="str">
            <v>coctiepdia</v>
          </cell>
        </row>
        <row r="124">
          <cell r="D124" t="str">
            <v>sika</v>
          </cell>
        </row>
        <row r="125">
          <cell r="D125" t="str">
            <v>daodat</v>
          </cell>
        </row>
        <row r="126">
          <cell r="D126" t="str">
            <v>chongmoi</v>
          </cell>
        </row>
        <row r="127">
          <cell r="D127" t="str">
            <v>nhatky</v>
          </cell>
        </row>
        <row r="128">
          <cell r="D128" t="str">
            <v>quehan</v>
          </cell>
        </row>
        <row r="129">
          <cell r="D129" t="str">
            <v>theo doi coc</v>
          </cell>
        </row>
        <row r="130">
          <cell r="D130" t="str">
            <v>TH - EP COC</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64">
          <cell r="B64" t="str">
            <v>COC-130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xz"/>
      <sheetName val="Tang cung TH1"/>
      <sheetName val="Menu"/>
      <sheetName val="Danh sach BBNT"/>
      <sheetName val="xay"/>
      <sheetName val="lay mau vua BS"/>
      <sheetName val="lay mau vua"/>
    </sheetNames>
    <sheetDataSet>
      <sheetData sheetId="0" refreshError="1"/>
      <sheetData sheetId="1" refreshError="1"/>
      <sheetData sheetId="2">
        <row r="7">
          <cell r="G7" t="str">
            <v>NghiÖm thu néi bé</v>
          </cell>
          <cell r="J7" t="str">
            <v>NghiÖm thu c«ng viÖc</v>
          </cell>
          <cell r="M7" t="str">
            <v>NghiÖm thu néi bé</v>
          </cell>
          <cell r="P7" t="str">
            <v>NghiÖm thu c«ng viÖc</v>
          </cell>
          <cell r="S7" t="str">
            <v>NghiÖm thu néi bé</v>
          </cell>
          <cell r="V7" t="str">
            <v>NghiÖm thu c«ng viÖc</v>
          </cell>
          <cell r="Y7" t="str">
            <v>NghiÖm thu néi bé</v>
          </cell>
          <cell r="AB7" t="str">
            <v>NghiÖm thu c«ng viÖc</v>
          </cell>
          <cell r="AF7" t="str">
            <v>NghiÖm thu néi bé</v>
          </cell>
          <cell r="AI7" t="str">
            <v>NghiÖm thu c«ng viÖc</v>
          </cell>
        </row>
        <row r="8">
          <cell r="G8" t="str">
            <v>Ngµy nghiÖm thu</v>
          </cell>
          <cell r="H8" t="str">
            <v>Thêi gian b¾t ®Çu NT</v>
          </cell>
          <cell r="I8" t="str">
            <v>KÕt thóc NT</v>
          </cell>
          <cell r="J8" t="str">
            <v>Ngµy nghiÖm thu</v>
          </cell>
          <cell r="K8" t="str">
            <v>Thêi gian b¾t ®Çu NT</v>
          </cell>
          <cell r="L8" t="str">
            <v>KÕt thóc NT</v>
          </cell>
          <cell r="M8" t="str">
            <v>Ngµy nghiÖm thu</v>
          </cell>
          <cell r="N8" t="str">
            <v>Thêi gian b¾t ®Çu NT</v>
          </cell>
          <cell r="O8" t="str">
            <v>KÕt thóc NT</v>
          </cell>
          <cell r="P8" t="str">
            <v>Ngµy nghiÖm thu</v>
          </cell>
          <cell r="Q8" t="str">
            <v>Thêi gian b¾t ®Çu NT</v>
          </cell>
          <cell r="R8" t="str">
            <v>KÕt thóc NT</v>
          </cell>
          <cell r="S8" t="str">
            <v>Ngµy lÊy mÉu</v>
          </cell>
          <cell r="T8" t="str">
            <v>Thêi gian b¾t ®Çu NT</v>
          </cell>
          <cell r="U8" t="str">
            <v>KÕt thóc NT</v>
          </cell>
          <cell r="V8" t="str">
            <v>Ngµy nghiÖm thu</v>
          </cell>
          <cell r="W8" t="str">
            <v>Thêi gian b¾t ®Çu NT</v>
          </cell>
          <cell r="X8" t="str">
            <v>KÕt thóc NT</v>
          </cell>
          <cell r="Y8" t="str">
            <v>Ngµy nghiÖm thu</v>
          </cell>
          <cell r="Z8" t="str">
            <v>Thêi gian b¾t ®Çu NT</v>
          </cell>
          <cell r="AA8" t="str">
            <v>KÕt thóc NT</v>
          </cell>
          <cell r="AB8" t="str">
            <v>Ngµy nghiÖm thu</v>
          </cell>
          <cell r="AC8" t="str">
            <v>Thêi gian b¾t ®Çu NT</v>
          </cell>
          <cell r="AD8" t="str">
            <v>KÕt thóc NT</v>
          </cell>
          <cell r="AF8" t="str">
            <v>Ngµy nghiÖm thu</v>
          </cell>
          <cell r="AG8" t="str">
            <v>Thêi gian b¾t ®Çu NT</v>
          </cell>
          <cell r="AH8" t="str">
            <v>KÕt thóc NT</v>
          </cell>
          <cell r="AI8" t="str">
            <v>Ngµy nghiÖm thu</v>
          </cell>
          <cell r="AJ8" t="str">
            <v>Thêi gian b¾t ®Çu NT</v>
          </cell>
          <cell r="AK8" t="str">
            <v>KÕt thóc NT</v>
          </cell>
        </row>
        <row r="9">
          <cell r="A9">
            <v>1</v>
          </cell>
          <cell r="B9" t="str">
            <v>tÇng 3</v>
          </cell>
          <cell r="C9" t="str">
            <v>XAT/KT/T3</v>
          </cell>
          <cell r="D9" t="str">
            <v>NguyÔn Thµnh Kh¸nh</v>
          </cell>
          <cell r="E9" t="str">
            <v>TrÇn Nguyªn B×nh</v>
          </cell>
          <cell r="F9" t="str">
            <v>Lª ThÞ TuyÕt</v>
          </cell>
          <cell r="G9">
            <v>41120</v>
          </cell>
          <cell r="H9">
            <v>0.34027777777777773</v>
          </cell>
          <cell r="I9">
            <v>0.38541666666666669</v>
          </cell>
          <cell r="J9">
            <v>41120</v>
          </cell>
          <cell r="K9">
            <v>0.39583333333333331</v>
          </cell>
          <cell r="L9">
            <v>0.44791666666666669</v>
          </cell>
          <cell r="M9">
            <v>41120</v>
          </cell>
          <cell r="N9">
            <v>0.34027777777777773</v>
          </cell>
          <cell r="O9">
            <v>0.38541666666666669</v>
          </cell>
          <cell r="P9">
            <v>41120</v>
          </cell>
          <cell r="Q9">
            <v>0.39583333333333331</v>
          </cell>
          <cell r="R9">
            <v>0.44791666666666669</v>
          </cell>
          <cell r="S9">
            <v>41112</v>
          </cell>
          <cell r="T9">
            <v>0.3125</v>
          </cell>
          <cell r="V9">
            <v>41119</v>
          </cell>
          <cell r="AI9">
            <v>0</v>
          </cell>
        </row>
        <row r="10">
          <cell r="A10">
            <v>2</v>
          </cell>
          <cell r="B10" t="str">
            <v>tÇng 4</v>
          </cell>
          <cell r="C10" t="str">
            <v>XAT/KT/T4</v>
          </cell>
          <cell r="D10" t="str">
            <v>NguyÔn Thµnh Kh¸nh</v>
          </cell>
          <cell r="E10" t="str">
            <v>TrÇn Nguyªn B×nh</v>
          </cell>
          <cell r="F10" t="str">
            <v>Lª ThÞ TuyÕt</v>
          </cell>
          <cell r="G10">
            <v>41249</v>
          </cell>
          <cell r="H10">
            <v>0.625</v>
          </cell>
          <cell r="I10">
            <v>0.67013888888888884</v>
          </cell>
          <cell r="J10">
            <v>41249</v>
          </cell>
          <cell r="K10">
            <v>0.68402777777777779</v>
          </cell>
          <cell r="L10">
            <v>0.72222222222222221</v>
          </cell>
          <cell r="M10">
            <v>41249</v>
          </cell>
          <cell r="N10">
            <v>0.625</v>
          </cell>
          <cell r="O10">
            <v>0.67013888888888884</v>
          </cell>
          <cell r="P10">
            <v>41249</v>
          </cell>
          <cell r="Q10">
            <v>0.68402777777777779</v>
          </cell>
          <cell r="R10">
            <v>0.72222222222222221</v>
          </cell>
          <cell r="S10">
            <v>41120</v>
          </cell>
          <cell r="T10">
            <v>0.33333333333333331</v>
          </cell>
          <cell r="V10">
            <v>41127</v>
          </cell>
          <cell r="AI10">
            <v>0</v>
          </cell>
        </row>
        <row r="11">
          <cell r="A11">
            <v>3</v>
          </cell>
          <cell r="B11" t="str">
            <v>tÇng 5</v>
          </cell>
          <cell r="C11" t="str">
            <v>XAT/KT/T5</v>
          </cell>
          <cell r="D11" t="str">
            <v>NguyÔn Thµnh Kh¸nh</v>
          </cell>
          <cell r="E11" t="str">
            <v>TrÇn Nguyªn B×nh</v>
          </cell>
          <cell r="F11" t="str">
            <v>Lª ThÞ TuyÕt</v>
          </cell>
          <cell r="G11">
            <v>41214</v>
          </cell>
          <cell r="H11">
            <v>0.34722222222222227</v>
          </cell>
          <cell r="I11">
            <v>0.38194444444444442</v>
          </cell>
          <cell r="J11">
            <v>41214</v>
          </cell>
          <cell r="K11">
            <v>0.39583333333333331</v>
          </cell>
          <cell r="L11">
            <v>0.4375</v>
          </cell>
          <cell r="M11">
            <v>41214</v>
          </cell>
          <cell r="N11">
            <v>0.34722222222222227</v>
          </cell>
          <cell r="O11">
            <v>0.38194444444444442</v>
          </cell>
          <cell r="P11">
            <v>41214</v>
          </cell>
          <cell r="Q11">
            <v>0.39583333333333331</v>
          </cell>
          <cell r="R11">
            <v>0.4375</v>
          </cell>
          <cell r="S11">
            <v>41130</v>
          </cell>
          <cell r="T11">
            <v>0.32291666666666669</v>
          </cell>
          <cell r="V11">
            <v>41137</v>
          </cell>
        </row>
        <row r="12">
          <cell r="A12">
            <v>4</v>
          </cell>
          <cell r="B12" t="str">
            <v>tÇng 6</v>
          </cell>
          <cell r="C12" t="str">
            <v>XAT/KT/T6</v>
          </cell>
          <cell r="D12" t="str">
            <v>NguyÔn Thµnh Kh¸nh</v>
          </cell>
          <cell r="E12" t="str">
            <v>TrÇn Nguyªn B×nh</v>
          </cell>
          <cell r="F12" t="str">
            <v>Lª ThÞ TuyÕt</v>
          </cell>
          <cell r="G12">
            <v>41219</v>
          </cell>
          <cell r="H12">
            <v>0.58333333333333337</v>
          </cell>
          <cell r="I12">
            <v>0.63194444444444442</v>
          </cell>
          <cell r="J12">
            <v>41219</v>
          </cell>
          <cell r="K12">
            <v>0.64583333333333337</v>
          </cell>
          <cell r="L12">
            <v>0.70833333333333337</v>
          </cell>
          <cell r="M12">
            <v>41242</v>
          </cell>
          <cell r="N12">
            <v>0.58333333333333337</v>
          </cell>
          <cell r="O12">
            <v>0.63194444444444442</v>
          </cell>
          <cell r="P12">
            <v>41242</v>
          </cell>
          <cell r="Q12">
            <v>0.64583333333333337</v>
          </cell>
          <cell r="R12">
            <v>0.70833333333333337</v>
          </cell>
          <cell r="S12">
            <v>41140</v>
          </cell>
          <cell r="T12">
            <v>0.31597222222222221</v>
          </cell>
          <cell r="V12">
            <v>41147</v>
          </cell>
          <cell r="AI12">
            <v>0</v>
          </cell>
        </row>
        <row r="13">
          <cell r="A13">
            <v>5</v>
          </cell>
          <cell r="B13" t="str">
            <v>tÇng 7</v>
          </cell>
          <cell r="C13" t="str">
            <v>XAT/KT/T7</v>
          </cell>
          <cell r="D13" t="str">
            <v>NguyÔn Thµnh Kh¸nh</v>
          </cell>
          <cell r="E13" t="str">
            <v>TrÇn Nguyªn B×nh</v>
          </cell>
          <cell r="F13" t="str">
            <v>Lª ThÞ TuyÕt</v>
          </cell>
          <cell r="G13">
            <v>41204</v>
          </cell>
          <cell r="H13">
            <v>0.59375</v>
          </cell>
          <cell r="I13">
            <v>0.64583333333333337</v>
          </cell>
          <cell r="J13">
            <v>41204</v>
          </cell>
          <cell r="K13">
            <v>0.65625</v>
          </cell>
          <cell r="L13">
            <v>0.71527777777777779</v>
          </cell>
          <cell r="M13">
            <v>41204</v>
          </cell>
          <cell r="N13">
            <v>0.59375</v>
          </cell>
          <cell r="O13">
            <v>0.64583333333333337</v>
          </cell>
          <cell r="P13">
            <v>41204</v>
          </cell>
          <cell r="Q13">
            <v>0.65625</v>
          </cell>
          <cell r="R13">
            <v>0.71527777777777779</v>
          </cell>
          <cell r="S13">
            <v>41152</v>
          </cell>
          <cell r="T13">
            <v>0.31944444444444448</v>
          </cell>
          <cell r="V13">
            <v>41159</v>
          </cell>
          <cell r="AI13">
            <v>0</v>
          </cell>
        </row>
        <row r="14">
          <cell r="A14">
            <v>6</v>
          </cell>
          <cell r="B14" t="str">
            <v>tÇng 8</v>
          </cell>
          <cell r="C14" t="str">
            <v>XAT/KT/T8</v>
          </cell>
          <cell r="D14" t="str">
            <v>NguyÔn Thµnh Kh¸nh</v>
          </cell>
          <cell r="E14" t="str">
            <v>TrÇn Nguyªn B×nh</v>
          </cell>
          <cell r="F14" t="str">
            <v>Lª ThÞ TuyÕt</v>
          </cell>
          <cell r="G14">
            <v>41244</v>
          </cell>
          <cell r="H14">
            <v>0.34027777777777773</v>
          </cell>
          <cell r="I14">
            <v>0.3888888888888889</v>
          </cell>
          <cell r="J14">
            <v>41244</v>
          </cell>
          <cell r="K14">
            <v>0.40625</v>
          </cell>
          <cell r="L14">
            <v>0.46180555555555558</v>
          </cell>
          <cell r="M14">
            <v>41244</v>
          </cell>
          <cell r="N14">
            <v>0.34027777777777773</v>
          </cell>
          <cell r="O14">
            <v>0.3888888888888889</v>
          </cell>
          <cell r="P14">
            <v>41244</v>
          </cell>
          <cell r="Q14">
            <v>0.40625</v>
          </cell>
          <cell r="R14">
            <v>0.46180555555555558</v>
          </cell>
          <cell r="S14">
            <v>41198</v>
          </cell>
          <cell r="T14">
            <v>0.33680555555555558</v>
          </cell>
          <cell r="V14">
            <v>41205</v>
          </cell>
          <cell r="AI14">
            <v>0</v>
          </cell>
        </row>
        <row r="15">
          <cell r="A15">
            <v>7</v>
          </cell>
          <cell r="B15" t="str">
            <v>tÇng 9</v>
          </cell>
          <cell r="C15" t="str">
            <v>XAT/KT/T9</v>
          </cell>
          <cell r="D15" t="str">
            <v>NguyÔn Thµnh Kh¸nh</v>
          </cell>
          <cell r="E15" t="str">
            <v>TrÇn Nguyªn B×nh</v>
          </cell>
          <cell r="F15" t="str">
            <v>Lª ThÞ TuyÕt</v>
          </cell>
          <cell r="G15">
            <v>41245</v>
          </cell>
          <cell r="H15">
            <v>0.59027777777777779</v>
          </cell>
          <cell r="I15">
            <v>0.63194444444444442</v>
          </cell>
          <cell r="J15">
            <v>41245</v>
          </cell>
          <cell r="K15">
            <v>0.64583333333333337</v>
          </cell>
          <cell r="L15">
            <v>0.70833333333333337</v>
          </cell>
          <cell r="M15">
            <v>41245</v>
          </cell>
          <cell r="N15">
            <v>0.59027777777777779</v>
          </cell>
          <cell r="O15">
            <v>0.63194444444444442</v>
          </cell>
          <cell r="P15">
            <v>41245</v>
          </cell>
          <cell r="Q15">
            <v>0.64583333333333337</v>
          </cell>
          <cell r="R15">
            <v>0.70833333333333337</v>
          </cell>
          <cell r="S15">
            <v>41206</v>
          </cell>
          <cell r="T15">
            <v>0.3263888888888889</v>
          </cell>
          <cell r="V15">
            <v>41213</v>
          </cell>
        </row>
        <row r="16">
          <cell r="A16">
            <v>8</v>
          </cell>
          <cell r="B16" t="str">
            <v>tÇng 10</v>
          </cell>
          <cell r="C16" t="str">
            <v>XAT/KT/T10</v>
          </cell>
          <cell r="D16" t="str">
            <v>NguyÔn Thµnh Kh¸nh</v>
          </cell>
          <cell r="E16" t="str">
            <v>TrÇn Nguyªn B×nh</v>
          </cell>
          <cell r="F16" t="str">
            <v>Lª ThÞ TuyÕt</v>
          </cell>
          <cell r="G16">
            <v>41235</v>
          </cell>
          <cell r="H16">
            <v>0.33333333333333331</v>
          </cell>
          <cell r="I16">
            <v>0.38541666666666669</v>
          </cell>
          <cell r="J16">
            <v>41235</v>
          </cell>
          <cell r="K16">
            <v>0.39583333333333331</v>
          </cell>
          <cell r="L16">
            <v>0.46527777777777773</v>
          </cell>
          <cell r="M16">
            <v>41235</v>
          </cell>
          <cell r="N16">
            <v>0.33333333333333331</v>
          </cell>
          <cell r="O16">
            <v>0.38541666666666669</v>
          </cell>
          <cell r="P16">
            <v>41235</v>
          </cell>
          <cell r="Q16">
            <v>0.39583333333333331</v>
          </cell>
          <cell r="R16">
            <v>0.46527777777777773</v>
          </cell>
          <cell r="S16">
            <v>41226</v>
          </cell>
          <cell r="T16">
            <v>0.32291666666666669</v>
          </cell>
          <cell r="V16">
            <v>41233</v>
          </cell>
        </row>
        <row r="17">
          <cell r="A17">
            <v>9</v>
          </cell>
          <cell r="B17" t="str">
            <v>tÇng 11</v>
          </cell>
          <cell r="C17" t="str">
            <v>XAT/KT/T11</v>
          </cell>
          <cell r="D17" t="str">
            <v>NguyÔn Thµnh Kh¸nh</v>
          </cell>
          <cell r="E17" t="str">
            <v>TrÇn Nguyªn B×nh</v>
          </cell>
          <cell r="F17" t="str">
            <v>Lª ThÞ TuyÕt</v>
          </cell>
          <cell r="G17">
            <v>41247</v>
          </cell>
          <cell r="H17">
            <v>0.58333333333333337</v>
          </cell>
          <cell r="I17">
            <v>0.63194444444444442</v>
          </cell>
          <cell r="J17">
            <v>41247</v>
          </cell>
          <cell r="K17">
            <v>0.64583333333333337</v>
          </cell>
          <cell r="L17">
            <v>0.71180555555555547</v>
          </cell>
          <cell r="M17">
            <v>41247</v>
          </cell>
          <cell r="N17">
            <v>0.58333333333333337</v>
          </cell>
          <cell r="O17">
            <v>0.63194444444444442</v>
          </cell>
          <cell r="P17">
            <v>41247</v>
          </cell>
          <cell r="Q17">
            <v>0.64583333333333337</v>
          </cell>
          <cell r="R17">
            <v>0.71180555555555547</v>
          </cell>
          <cell r="S17">
            <v>41226</v>
          </cell>
          <cell r="T17">
            <v>0.33333333333333331</v>
          </cell>
          <cell r="V17">
            <v>41233</v>
          </cell>
        </row>
        <row r="18">
          <cell r="A18">
            <v>10</v>
          </cell>
          <cell r="B18" t="str">
            <v>tÇng 12</v>
          </cell>
          <cell r="C18" t="str">
            <v>XAT/KT/T12</v>
          </cell>
          <cell r="D18" t="str">
            <v>NguyÔn Thµnh Kh¸nh</v>
          </cell>
          <cell r="E18" t="str">
            <v>TrÇn Nguyªn B×nh</v>
          </cell>
          <cell r="F18" t="str">
            <v>Lª ThÞ TuyÕt</v>
          </cell>
          <cell r="G18">
            <v>41246</v>
          </cell>
          <cell r="H18">
            <v>0.34027777777777773</v>
          </cell>
          <cell r="I18">
            <v>0.3888888888888889</v>
          </cell>
          <cell r="J18">
            <v>41246</v>
          </cell>
          <cell r="K18">
            <v>0.39583333333333331</v>
          </cell>
          <cell r="L18">
            <v>0.44791666666666669</v>
          </cell>
          <cell r="M18">
            <v>41246</v>
          </cell>
          <cell r="N18">
            <v>0.34027777777777773</v>
          </cell>
          <cell r="O18">
            <v>0.3888888888888889</v>
          </cell>
          <cell r="P18">
            <v>41246</v>
          </cell>
          <cell r="Q18">
            <v>0.39583333333333331</v>
          </cell>
          <cell r="R18">
            <v>0.44791666666666669</v>
          </cell>
          <cell r="S18">
            <v>41226</v>
          </cell>
          <cell r="T18">
            <v>0.3125</v>
          </cell>
          <cell r="V18">
            <v>41233</v>
          </cell>
        </row>
        <row r="19">
          <cell r="A19">
            <v>11</v>
          </cell>
          <cell r="B19" t="str">
            <v>tÇng 13</v>
          </cell>
          <cell r="C19" t="str">
            <v>XAT/KT/T13</v>
          </cell>
          <cell r="D19" t="str">
            <v>NguyÔn Thµnh Kh¸nh</v>
          </cell>
          <cell r="E19" t="str">
            <v>TrÇn Nguyªn B×nh</v>
          </cell>
          <cell r="F19" t="str">
            <v>Lª ThÞ TuyÕt</v>
          </cell>
          <cell r="S19">
            <v>41236</v>
          </cell>
          <cell r="T19">
            <v>0.31597222222222221</v>
          </cell>
          <cell r="V19">
            <v>41243</v>
          </cell>
        </row>
        <row r="20">
          <cell r="A20">
            <v>12</v>
          </cell>
          <cell r="B20" t="str">
            <v>tÇng 14</v>
          </cell>
          <cell r="C20" t="str">
            <v>XAT/KT/T14</v>
          </cell>
          <cell r="D20" t="str">
            <v>NguyÔn Thµnh Kh¸nh</v>
          </cell>
          <cell r="E20" t="str">
            <v>TrÇn Nguyªn B×nh</v>
          </cell>
          <cell r="F20" t="str">
            <v>Lª ThÞ TuyÕt</v>
          </cell>
          <cell r="S20">
            <v>41249</v>
          </cell>
          <cell r="T20">
            <v>0.3263888888888889</v>
          </cell>
          <cell r="V20">
            <v>41256</v>
          </cell>
        </row>
        <row r="21">
          <cell r="A21">
            <v>13</v>
          </cell>
          <cell r="B21" t="str">
            <v>tÇng 15</v>
          </cell>
          <cell r="C21" t="str">
            <v>XAT/KT/T15</v>
          </cell>
          <cell r="D21" t="str">
            <v>NguyÔn Thµnh Kh¸nh</v>
          </cell>
          <cell r="E21" t="str">
            <v>TrÇn Nguyªn B×nh</v>
          </cell>
          <cell r="F21" t="str">
            <v>Lª ThÞ TuyÕt</v>
          </cell>
          <cell r="S21">
            <v>41257</v>
          </cell>
          <cell r="T21">
            <v>0.3298611111111111</v>
          </cell>
          <cell r="V21">
            <v>41264</v>
          </cell>
        </row>
        <row r="22">
          <cell r="A22">
            <v>14</v>
          </cell>
          <cell r="B22" t="str">
            <v>tÇng 16</v>
          </cell>
          <cell r="C22" t="str">
            <v>XAT/KT/T16</v>
          </cell>
          <cell r="D22" t="str">
            <v>NguyÔn Thµnh Kh¸nh</v>
          </cell>
          <cell r="E22" t="str">
            <v>TrÇn Nguyªn B×nh</v>
          </cell>
          <cell r="F22" t="str">
            <v>Lª ThÞ TuyÕt</v>
          </cell>
          <cell r="S22">
            <v>41264</v>
          </cell>
          <cell r="T22">
            <v>0.31944444444444448</v>
          </cell>
          <cell r="V22">
            <v>41271</v>
          </cell>
        </row>
        <row r="23">
          <cell r="A23">
            <v>15</v>
          </cell>
          <cell r="B23" t="str">
            <v>tÇng 17</v>
          </cell>
          <cell r="C23" t="str">
            <v>XAT/KT/T17</v>
          </cell>
          <cell r="D23" t="str">
            <v>NguyÔn Thµnh Kh¸nh</v>
          </cell>
          <cell r="E23" t="str">
            <v>TrÇn Nguyªn B×nh</v>
          </cell>
          <cell r="F23" t="str">
            <v>Lª ThÞ TuyÕt</v>
          </cell>
          <cell r="S23">
            <v>41272</v>
          </cell>
          <cell r="T23">
            <v>0.3125</v>
          </cell>
          <cell r="V23">
            <v>41279</v>
          </cell>
        </row>
        <row r="24">
          <cell r="A24">
            <v>16</v>
          </cell>
          <cell r="B24" t="str">
            <v>tÇng 18</v>
          </cell>
          <cell r="C24" t="str">
            <v>XAT/KT/T18</v>
          </cell>
          <cell r="D24" t="str">
            <v>NguyÔn Thµnh Kh¸nh</v>
          </cell>
          <cell r="E24" t="str">
            <v>TrÇn Nguyªn B×nh</v>
          </cell>
          <cell r="F24" t="str">
            <v>Lª ThÞ TuyÕt</v>
          </cell>
          <cell r="S24">
            <v>41276</v>
          </cell>
          <cell r="T24">
            <v>0.33333333333333331</v>
          </cell>
          <cell r="V24">
            <v>41283</v>
          </cell>
        </row>
        <row r="25">
          <cell r="A25">
            <v>17</v>
          </cell>
          <cell r="B25" t="str">
            <v>tÇng 19</v>
          </cell>
          <cell r="C25" t="str">
            <v>XAT/KT/T19</v>
          </cell>
          <cell r="D25" t="str">
            <v>NguyÔn Thµnh Kh¸nh</v>
          </cell>
          <cell r="E25" t="str">
            <v>TrÇn Nguyªn B×nh</v>
          </cell>
          <cell r="F25" t="str">
            <v>Lª ThÞ TuyÕt</v>
          </cell>
          <cell r="S25">
            <v>41323</v>
          </cell>
          <cell r="T25">
            <v>0.33680555555555558</v>
          </cell>
          <cell r="V25">
            <v>41330</v>
          </cell>
        </row>
        <row r="26">
          <cell r="A26">
            <v>18</v>
          </cell>
          <cell r="B26" t="str">
            <v>tÇng 20</v>
          </cell>
          <cell r="C26" t="str">
            <v>XAT/KT/T20</v>
          </cell>
          <cell r="D26" t="str">
            <v>NguyÔn Thµnh Kh¸nh</v>
          </cell>
          <cell r="E26" t="str">
            <v>TrÇn Nguyªn B×nh</v>
          </cell>
          <cell r="F26" t="str">
            <v>Lª ThÞ TuyÕt</v>
          </cell>
          <cell r="S26">
            <v>41330</v>
          </cell>
          <cell r="T26">
            <v>0.33333333333333331</v>
          </cell>
          <cell r="V26">
            <v>41337</v>
          </cell>
        </row>
        <row r="27">
          <cell r="A27">
            <v>19</v>
          </cell>
          <cell r="B27" t="str">
            <v>tÇng 21</v>
          </cell>
          <cell r="C27" t="str">
            <v>XAT/KT/T21</v>
          </cell>
          <cell r="D27" t="str">
            <v>NguyÔn Thµnh Kh¸nh</v>
          </cell>
          <cell r="E27" t="str">
            <v>TrÇn Nguyªn B×nh</v>
          </cell>
          <cell r="F27" t="str">
            <v>Lª ThÞ TuyÕt</v>
          </cell>
          <cell r="S27">
            <v>41332</v>
          </cell>
          <cell r="T27">
            <v>0.34027777777777773</v>
          </cell>
          <cell r="V27">
            <v>41339</v>
          </cell>
        </row>
        <row r="28">
          <cell r="A28">
            <v>20</v>
          </cell>
          <cell r="B28" t="str">
            <v>tÇng ¸p m¸i</v>
          </cell>
          <cell r="C28" t="str">
            <v>XAT/KT/TAM</v>
          </cell>
          <cell r="D28" t="str">
            <v>NguyÔn Thµnh Kh¸nh</v>
          </cell>
          <cell r="E28" t="str">
            <v>TrÇn Nguyªn B×nh</v>
          </cell>
          <cell r="F28" t="str">
            <v>Lª ThÞ TuyÕt</v>
          </cell>
          <cell r="S28">
            <v>41339</v>
          </cell>
          <cell r="T28">
            <v>0.3263888888888889</v>
          </cell>
          <cell r="V28">
            <v>41346</v>
          </cell>
        </row>
        <row r="29">
          <cell r="A29">
            <v>21</v>
          </cell>
          <cell r="B29" t="str">
            <v>tÇng m¸i</v>
          </cell>
          <cell r="C29" t="str">
            <v>XAT/KT/TM</v>
          </cell>
          <cell r="D29" t="str">
            <v>NguyÔn Thµnh Kh¸nh</v>
          </cell>
          <cell r="E29" t="str">
            <v>TrÇn Nguyªn B×nh</v>
          </cell>
          <cell r="F29" t="str">
            <v>Lª ThÞ TuyÕt</v>
          </cell>
          <cell r="S29">
            <v>41343</v>
          </cell>
          <cell r="T29">
            <v>0.3298611111111111</v>
          </cell>
          <cell r="V29">
            <v>41350</v>
          </cell>
        </row>
        <row r="30">
          <cell r="A30">
            <v>3</v>
          </cell>
          <cell r="B30" t="str">
            <v>bæ sung tÇng 3</v>
          </cell>
          <cell r="C30" t="str">
            <v>XAT/KT/T3BS</v>
          </cell>
          <cell r="D30" t="str">
            <v>NguyÔn Thµnh Kh¸nh</v>
          </cell>
          <cell r="E30" t="str">
            <v>TrÇn Nguyªn B×nh</v>
          </cell>
          <cell r="F30" t="str">
            <v>Lª ThÞ TuyÕt</v>
          </cell>
          <cell r="S30">
            <v>41283</v>
          </cell>
          <cell r="T30">
            <v>0.33680555555555558</v>
          </cell>
          <cell r="V30">
            <v>41290</v>
          </cell>
        </row>
        <row r="31">
          <cell r="A31">
            <v>4</v>
          </cell>
          <cell r="B31" t="str">
            <v>bæ sung tÇng 4</v>
          </cell>
          <cell r="C31" t="str">
            <v>XAT/KT/T4BS</v>
          </cell>
          <cell r="D31" t="str">
            <v>NguyÔn Thµnh Kh¸nh</v>
          </cell>
          <cell r="E31" t="str">
            <v>TrÇn Nguyªn B×nh</v>
          </cell>
          <cell r="F31" t="str">
            <v>Lª ThÞ TuyÕt</v>
          </cell>
          <cell r="S31">
            <v>41283</v>
          </cell>
          <cell r="T31">
            <v>0.375</v>
          </cell>
          <cell r="V31">
            <v>41290</v>
          </cell>
        </row>
        <row r="32">
          <cell r="A32">
            <v>9</v>
          </cell>
          <cell r="B32" t="str">
            <v>bæ sung tÇng 9</v>
          </cell>
          <cell r="C32" t="str">
            <v>XAT/KT/T9BS</v>
          </cell>
          <cell r="D32" t="str">
            <v>NguyÔn Thµnh Kh¸nh</v>
          </cell>
          <cell r="E32" t="str">
            <v>TrÇn Nguyªn B×nh</v>
          </cell>
          <cell r="F32" t="str">
            <v>Lª ThÞ TuyÕt</v>
          </cell>
          <cell r="S32">
            <v>41288</v>
          </cell>
          <cell r="T32">
            <v>0.32291666666666669</v>
          </cell>
          <cell r="V32">
            <v>41295</v>
          </cell>
        </row>
        <row r="33">
          <cell r="A33">
            <v>10</v>
          </cell>
          <cell r="B33" t="str">
            <v>bæ sung tÇng 10</v>
          </cell>
          <cell r="C33" t="str">
            <v>XAT/KT/T10BS</v>
          </cell>
          <cell r="D33" t="str">
            <v>NguyÔn Thµnh Kh¸nh</v>
          </cell>
          <cell r="E33" t="str">
            <v>TrÇn Nguyªn B×nh</v>
          </cell>
          <cell r="F33" t="str">
            <v>Lª ThÞ TuyÕt</v>
          </cell>
          <cell r="S33">
            <v>41284</v>
          </cell>
          <cell r="T33">
            <v>0.31597222222222221</v>
          </cell>
          <cell r="V33">
            <v>41291</v>
          </cell>
        </row>
        <row r="34">
          <cell r="A34">
            <v>11</v>
          </cell>
          <cell r="B34" t="str">
            <v>bæ sung tÇng 11</v>
          </cell>
          <cell r="C34" t="str">
            <v>XAT/KT/T11BS</v>
          </cell>
          <cell r="D34" t="str">
            <v>NguyÔn Thµnh Kh¸nh</v>
          </cell>
          <cell r="E34" t="str">
            <v>TrÇn Nguyªn B×nh</v>
          </cell>
          <cell r="F34" t="str">
            <v>Lª ThÞ TuyÕt</v>
          </cell>
          <cell r="S34">
            <v>41281</v>
          </cell>
          <cell r="T34">
            <v>0.31944444444444448</v>
          </cell>
          <cell r="V34">
            <v>41288</v>
          </cell>
        </row>
        <row r="35">
          <cell r="A35">
            <v>12</v>
          </cell>
          <cell r="B35" t="str">
            <v>bæ sung tÇng 12</v>
          </cell>
          <cell r="C35" t="str">
            <v>XAT/KT/T12BS</v>
          </cell>
          <cell r="D35" t="str">
            <v>NguyÔn Thµnh Kh¸nh</v>
          </cell>
          <cell r="E35" t="str">
            <v>TrÇn Nguyªn B×nh</v>
          </cell>
          <cell r="F35" t="str">
            <v>Lª ThÞ TuyÕt</v>
          </cell>
          <cell r="S35">
            <v>41284</v>
          </cell>
          <cell r="T35">
            <v>0.33680555555555558</v>
          </cell>
          <cell r="V35">
            <v>41291</v>
          </cell>
        </row>
        <row r="36">
          <cell r="A36">
            <v>13</v>
          </cell>
          <cell r="B36" t="str">
            <v>bæ sung tÇng 13</v>
          </cell>
          <cell r="C36" t="str">
            <v>XAT/KT/T13BS</v>
          </cell>
          <cell r="D36" t="str">
            <v>NguyÔn Thµnh Kh¸nh</v>
          </cell>
          <cell r="E36" t="str">
            <v>TrÇn Nguyªn B×nh</v>
          </cell>
          <cell r="F36" t="str">
            <v>Lª ThÞ TuyÕt</v>
          </cell>
          <cell r="S36">
            <v>41285</v>
          </cell>
          <cell r="T36">
            <v>0.3263888888888889</v>
          </cell>
          <cell r="V36">
            <v>41292</v>
          </cell>
        </row>
        <row r="37">
          <cell r="A37">
            <v>14</v>
          </cell>
          <cell r="B37" t="str">
            <v>bæ sung tÇng 14</v>
          </cell>
          <cell r="C37" t="str">
            <v>XAT/KT/T14BS</v>
          </cell>
          <cell r="D37" t="str">
            <v>NguyÔn Thµnh Kh¸nh</v>
          </cell>
          <cell r="E37" t="str">
            <v>TrÇn Nguyªn B×nh</v>
          </cell>
          <cell r="F37" t="str">
            <v>Lª ThÞ TuyÕt</v>
          </cell>
          <cell r="S37">
            <v>41286</v>
          </cell>
          <cell r="T37">
            <v>0.32291666666666669</v>
          </cell>
          <cell r="V37">
            <v>41293</v>
          </cell>
        </row>
        <row r="38">
          <cell r="A38">
            <v>15</v>
          </cell>
        </row>
        <row r="39">
          <cell r="A39">
            <v>16</v>
          </cell>
        </row>
        <row r="40">
          <cell r="A40">
            <v>17</v>
          </cell>
        </row>
        <row r="41">
          <cell r="A41">
            <v>18</v>
          </cell>
        </row>
        <row r="42">
          <cell r="A42">
            <v>19</v>
          </cell>
        </row>
        <row r="43">
          <cell r="A43">
            <v>20</v>
          </cell>
        </row>
        <row r="44">
          <cell r="A44">
            <v>21</v>
          </cell>
        </row>
        <row r="45">
          <cell r="A45">
            <v>22</v>
          </cell>
        </row>
        <row r="46">
          <cell r="A46">
            <v>23</v>
          </cell>
        </row>
        <row r="47">
          <cell r="A47">
            <v>24</v>
          </cell>
        </row>
        <row r="48">
          <cell r="A48">
            <v>25</v>
          </cell>
        </row>
        <row r="49">
          <cell r="A49">
            <v>26</v>
          </cell>
        </row>
        <row r="50">
          <cell r="A50">
            <v>27</v>
          </cell>
        </row>
        <row r="51">
          <cell r="A51">
            <v>28</v>
          </cell>
        </row>
        <row r="52">
          <cell r="A52">
            <v>29</v>
          </cell>
        </row>
        <row r="53">
          <cell r="A53">
            <v>30</v>
          </cell>
        </row>
        <row r="54">
          <cell r="A54">
            <v>31</v>
          </cell>
        </row>
        <row r="55">
          <cell r="A55">
            <v>32</v>
          </cell>
        </row>
        <row r="56">
          <cell r="A56">
            <v>33</v>
          </cell>
        </row>
        <row r="57">
          <cell r="A57">
            <v>34</v>
          </cell>
        </row>
        <row r="58">
          <cell r="A58">
            <v>35</v>
          </cell>
        </row>
        <row r="59">
          <cell r="A59">
            <v>36</v>
          </cell>
        </row>
        <row r="60">
          <cell r="A60">
            <v>37</v>
          </cell>
        </row>
        <row r="61">
          <cell r="A61">
            <v>38</v>
          </cell>
        </row>
        <row r="62">
          <cell r="A62">
            <v>39</v>
          </cell>
        </row>
        <row r="63">
          <cell r="A63">
            <v>40</v>
          </cell>
        </row>
        <row r="64">
          <cell r="A64">
            <v>41</v>
          </cell>
        </row>
        <row r="65">
          <cell r="A65">
            <v>42</v>
          </cell>
        </row>
        <row r="66">
          <cell r="A66">
            <v>43</v>
          </cell>
        </row>
        <row r="67">
          <cell r="A67">
            <v>44</v>
          </cell>
        </row>
        <row r="68">
          <cell r="A68">
            <v>45</v>
          </cell>
        </row>
      </sheetData>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 chat"/>
      <sheetName val="Thong tin"/>
      <sheetName val="Du lieu"/>
      <sheetName val="1. Bia"/>
      <sheetName val="2. NK"/>
      <sheetName val="3. Dia Chat"/>
      <sheetName val="4. Phieu theo doi bt"/>
      <sheetName val="5. BBLM"/>
      <sheetName val="6. Bieu do BT"/>
      <sheetName val="Bien ban 2"/>
      <sheetName val="Bien ban"/>
      <sheetName val="7. BBKT-TOADOCOC"/>
      <sheetName val="8. CT"/>
      <sheetName val="9. CKBT"/>
    </sheetNames>
    <sheetDataSet>
      <sheetData sheetId="0" refreshError="1"/>
      <sheetData sheetId="1" refreshError="1"/>
      <sheetData sheetId="2" refreshError="1">
        <row r="4">
          <cell r="C4" t="str">
            <v>KHU HỖN HỢP CHUNG CƯ, VĂN PHÒNG, TRUNG TÂM THƯƠNG MẠI VÀ NHÀ Ở KẾT HỢP KHU MUA SẮM</v>
          </cell>
        </row>
      </sheetData>
      <sheetData sheetId="3" refreshError="1"/>
      <sheetData sheetId="4" refreshError="1">
        <row r="9">
          <cell r="H9">
            <v>1200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ÌA"/>
      <sheetName val="DANHMUCHS"/>
      <sheetName val="1. BBkt -MM"/>
      <sheetName val="2. BBKT-TRAMTRON"/>
      <sheetName val="3. BBKT-VLthep"/>
      <sheetName val="4. BBKT-VL-PO"/>
      <sheetName val="5. LM-VL"/>
      <sheetName val="6. BBBG-MB"/>
      <sheetName val="bia ly lich coc"/>
      <sheetName val="1. NHAT KY"/>
      <sheetName val="2. SO HOA HO KHOAN"/>
      <sheetName val="3. Phieu theo doi bt"/>
      <sheetName val="4. BBLM BT COC"/>
      <sheetName val="5. Bieu do BT"/>
      <sheetName val="6. BBNT-CT"/>
      <sheetName val="7. BBNT-TOADOCOC"/>
      <sheetName val="8. BBNT- be tong"/>
      <sheetName val="BB hoan thanh giai doạn 1 "/>
      <sheetName val="BB hoan thanh giai doạn 2"/>
      <sheetName val="BB hoan thanh ban giao"/>
    </sheetNames>
    <sheetDataSet>
      <sheetData sheetId="0" refreshError="1"/>
      <sheetData sheetId="1" refreshError="1"/>
      <sheetData sheetId="2" refreshError="1">
        <row r="125">
          <cell r="A125" t="str">
            <v>1 - Đại diện chủ đầu tư : Ban QLDA Times garden Hạ Long</v>
          </cell>
        </row>
      </sheetData>
      <sheetData sheetId="3" refreshError="1"/>
      <sheetData sheetId="4" refreshError="1"/>
      <sheetData sheetId="5" refreshError="1">
        <row r="8">
          <cell r="A8" t="str">
            <v>DỰ ÁN:</v>
          </cell>
          <cell r="C8" t="str">
            <v>KHU HỖN HỢP CHUNG CƯ, VĂN PHÒNG, TRUNG TÂM THƯƠNG MẠI VÀ NHÀ Ở KẾT HỢP KHU MUA SẮM</v>
          </cell>
        </row>
        <row r="9">
          <cell r="A9" t="str">
            <v>CÔNG TRÌNH:</v>
          </cell>
          <cell r="C9" t="str">
            <v>KHU HỖN HỢP CHUNG CƯ, VĂN PHÒNG, TTTM</v>
          </cell>
        </row>
        <row r="10">
          <cell r="A10" t="str">
            <v>GÓI THẦU :</v>
          </cell>
          <cell r="C10" t="str">
            <v>THI CÔNG CỌC KHOAN NHỒI</v>
          </cell>
        </row>
        <row r="11">
          <cell r="A11" t="str">
            <v>ĐỊA ĐIỂM :</v>
          </cell>
          <cell r="C11" t="str">
            <v>ĐƯỜNG 25/4, P BẠCH ĐẰNG, TP. HẠ LONG, TỈNH QUẢNG NINH</v>
          </cell>
        </row>
        <row r="24">
          <cell r="B24" t="str">
            <v>Công trình: Khu hỗn hợp chung cư, văn phòng, trung tâm thương mại.</v>
          </cell>
        </row>
        <row r="92">
          <cell r="A92" t="str">
            <v>Tại:</v>
          </cell>
          <cell r="B92" t="str">
            <v>Công trình: Khu hỗn hợp chung cư, văn phòng, trung tâm thương mại.</v>
          </cell>
        </row>
        <row r="93">
          <cell r="A93" t="str">
            <v>Địa điểm: Đường 25/4, Phường Bạch Đằng, TP. Hạ Long, tỉnh Quảng Ninh</v>
          </cell>
        </row>
        <row r="136">
          <cell r="B136" t="str">
            <v>Công trình: Khu hỗn hợp chung cư, văn phòng, trung tâm thương mại.</v>
          </cell>
        </row>
      </sheetData>
      <sheetData sheetId="6" refreshError="1"/>
      <sheetData sheetId="7" refreshError="1">
        <row r="8">
          <cell r="A8" t="str">
            <v>DỰ ÁN:</v>
          </cell>
        </row>
        <row r="9">
          <cell r="A9" t="str">
            <v>CÔNG TRÌNH:</v>
          </cell>
        </row>
      </sheetData>
      <sheetData sheetId="8" refreshError="1"/>
      <sheetData sheetId="9" refreshError="1"/>
      <sheetData sheetId="10" refreshError="1"/>
      <sheetData sheetId="11" refreshError="1"/>
      <sheetData sheetId="12" refreshError="1"/>
      <sheetData sheetId="13" refreshError="1"/>
      <sheetData sheetId="14" refreshError="1">
        <row r="93">
          <cell r="A93" t="str">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ell>
        </row>
      </sheetData>
      <sheetData sheetId="15" refreshError="1">
        <row r="9">
          <cell r="A9" t="str">
            <v>DỰ ÁN:</v>
          </cell>
          <cell r="C9" t="str">
            <v>KHU HỖN HỢP CHUNG CƯ, VĂN PHÒNG, TRUNG TÂM THƯƠNG MẠI VÀ NHÀ Ở KẾT HỢP KHU MUA SẮM</v>
          </cell>
        </row>
        <row r="10">
          <cell r="A10" t="str">
            <v>CÔNG TRÌNH:</v>
          </cell>
          <cell r="C10" t="str">
            <v>KHU HỖN HỢP CHUNG CƯ, VĂN PHÒNG, TTTM</v>
          </cell>
        </row>
        <row r="11">
          <cell r="A11" t="str">
            <v>GÓI THẦU :</v>
          </cell>
          <cell r="C11" t="str">
            <v>THI CÔNG CỌC KHOAN NHỒI</v>
          </cell>
        </row>
        <row r="12">
          <cell r="A12" t="str">
            <v>ĐỊA ĐIỂM :</v>
          </cell>
          <cell r="C12" t="str">
            <v>ĐƯỜNG 25/4, P BẠCH ĐẰNG, TP. HẠ LONG, TỈNH QUẢNG NINH</v>
          </cell>
        </row>
        <row r="25">
          <cell r="A25" t="str">
            <v>Tại:</v>
          </cell>
          <cell r="B25" t="str">
            <v>Công trình: Khu hỗn hợp chung cư, văn phòng, trung tâm thương mại.</v>
          </cell>
        </row>
        <row r="26">
          <cell r="A26" t="str">
            <v>Địa điểm: Đường 25/4, Phường Bạch Đằng, TP. Hạ Long, tỉnh Quảng Ninh</v>
          </cell>
        </row>
        <row r="89">
          <cell r="A89" t="str">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ell>
        </row>
        <row r="92">
          <cell r="A92" t="str">
            <v>Tại:</v>
          </cell>
          <cell r="B92" t="str">
            <v>Công trình: Khu hỗn hợp chung cư, văn phòng, trung tâm thương mại.</v>
          </cell>
        </row>
        <row r="138">
          <cell r="A138" t="str">
            <v>Tại:</v>
          </cell>
          <cell r="B138" t="str">
            <v>Công trình: Khu hỗn hợp chung cư, văn phòng, trung tâm thương mại.</v>
          </cell>
        </row>
      </sheetData>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NK (2)"/>
      <sheetName val="DTKP"/>
      <sheetName val="Dia chat"/>
      <sheetName val="Thong tin"/>
      <sheetName val="Du lieu"/>
      <sheetName val="1. Bia"/>
      <sheetName val="2. NK"/>
      <sheetName val="DT.NK"/>
      <sheetName val="3. Dia Chat"/>
      <sheetName val="ĐT ĐC"/>
      <sheetName val="4. Phieu theo doi bt"/>
      <sheetName val="ĐTBT"/>
      <sheetName val="5.BBLMBT"/>
      <sheetName val="ĐTBBLMBT"/>
      <sheetName val="N ĐO BT"/>
      <sheetName val="6. Bieu do BT"/>
      <sheetName val="Bien ban 2"/>
      <sheetName val="Bien ban"/>
      <sheetName val="7.BBCT"/>
      <sheetName val="8.BBKT-  TĐC"/>
      <sheetName val="9.BB- CKBT"/>
      <sheetName val="2"/>
      <sheetName val="3"/>
      <sheetName val="4"/>
      <sheetName val="5"/>
      <sheetName val="6"/>
      <sheetName val="7"/>
      <sheetName val="8"/>
      <sheetName val="9"/>
      <sheetName val="Sheet2"/>
      <sheetName val="Sheet1"/>
    </sheetNames>
    <sheetDataSet>
      <sheetData sheetId="0"/>
      <sheetData sheetId="1"/>
      <sheetData sheetId="2"/>
      <sheetData sheetId="3">
        <row r="1">
          <cell r="A1">
            <v>1</v>
          </cell>
          <cell r="B1">
            <v>2</v>
          </cell>
          <cell r="C1">
            <v>3</v>
          </cell>
          <cell r="D1">
            <v>4</v>
          </cell>
          <cell r="E1">
            <v>5</v>
          </cell>
          <cell r="F1">
            <v>6</v>
          </cell>
          <cell r="G1">
            <v>7</v>
          </cell>
          <cell r="H1">
            <v>8</v>
          </cell>
          <cell r="I1">
            <v>9</v>
          </cell>
          <cell r="J1">
            <v>10</v>
          </cell>
          <cell r="K1">
            <v>11</v>
          </cell>
          <cell r="L1">
            <v>12</v>
          </cell>
          <cell r="M1">
            <v>13</v>
          </cell>
        </row>
        <row r="2">
          <cell r="A2" t="str">
            <v>Tên cọc</v>
          </cell>
          <cell r="B2" t="str">
            <v>Xi</v>
          </cell>
          <cell r="C2" t="str">
            <v>Yi</v>
          </cell>
          <cell r="D2" t="str">
            <v>Chiều dài(m)</v>
          </cell>
          <cell r="E2" t="str">
            <v>Tên đài</v>
          </cell>
          <cell r="F2" t="str">
            <v>Cao độ cắt cọc</v>
          </cell>
          <cell r="G2" t="str">
            <v>Cao độ dừng đổ BT</v>
          </cell>
          <cell r="H2" t="str">
            <v>Cọc đặt 4 ống siêu âm</v>
          </cell>
          <cell r="I2" t="str">
            <v>Cọc đặt ống khoan lõi</v>
          </cell>
          <cell r="J2" t="str">
            <v>Cọc đặt loại ống gì</v>
          </cell>
          <cell r="K2" t="str">
            <v>Ống D60</v>
          </cell>
          <cell r="L2" t="str">
            <v>Ống D113,5</v>
          </cell>
          <cell r="M2" t="str">
            <v>Đường kính cọc</v>
          </cell>
        </row>
        <row r="3">
          <cell r="A3" t="str">
            <v>A1</v>
          </cell>
          <cell r="B3">
            <v>2317786.5950000002</v>
          </cell>
          <cell r="C3">
            <v>430304.554</v>
          </cell>
          <cell r="D3">
            <v>21.6</v>
          </cell>
          <cell r="E3" t="str">
            <v>DC6</v>
          </cell>
          <cell r="F3">
            <v>-8.6999999999999993</v>
          </cell>
          <cell r="G3">
            <v>-7.6999999999999993</v>
          </cell>
          <cell r="J3" t="str">
            <v/>
          </cell>
          <cell r="K3">
            <v>0</v>
          </cell>
          <cell r="L3">
            <v>0</v>
          </cell>
          <cell r="M3">
            <v>1200</v>
          </cell>
        </row>
        <row r="4">
          <cell r="A4" t="str">
            <v>A2</v>
          </cell>
          <cell r="B4">
            <v>2317786.7310000001</v>
          </cell>
          <cell r="C4">
            <v>430307.55099999998</v>
          </cell>
          <cell r="D4">
            <v>21.6</v>
          </cell>
          <cell r="E4" t="str">
            <v>DC6</v>
          </cell>
          <cell r="F4">
            <v>-8.6999999999999993</v>
          </cell>
          <cell r="G4">
            <v>-7.6999999999999993</v>
          </cell>
          <cell r="H4" t="str">
            <v>X</v>
          </cell>
          <cell r="J4" t="str">
            <v>SA</v>
          </cell>
          <cell r="K4">
            <v>4</v>
          </cell>
          <cell r="L4">
            <v>0</v>
          </cell>
          <cell r="M4">
            <v>1200</v>
          </cell>
        </row>
        <row r="5">
          <cell r="A5" t="str">
            <v>A3</v>
          </cell>
          <cell r="B5">
            <v>2317788.0419999999</v>
          </cell>
          <cell r="C5">
            <v>430313.49800000002</v>
          </cell>
          <cell r="D5">
            <v>25.8</v>
          </cell>
          <cell r="E5" t="str">
            <v>DC5</v>
          </cell>
          <cell r="F5">
            <v>-8.6999999999999993</v>
          </cell>
          <cell r="G5">
            <v>-7.6999999999999993</v>
          </cell>
          <cell r="J5" t="str">
            <v/>
          </cell>
          <cell r="K5">
            <v>0</v>
          </cell>
          <cell r="L5">
            <v>0</v>
          </cell>
          <cell r="M5">
            <v>1200</v>
          </cell>
        </row>
        <row r="6">
          <cell r="A6" t="str">
            <v>A4</v>
          </cell>
          <cell r="B6">
            <v>2317788.179</v>
          </cell>
          <cell r="C6">
            <v>430316.49400000001</v>
          </cell>
          <cell r="D6">
            <v>25.8</v>
          </cell>
          <cell r="E6" t="str">
            <v>DC5</v>
          </cell>
          <cell r="F6">
            <v>-8.6999999999999993</v>
          </cell>
          <cell r="G6">
            <v>-7.6999999999999993</v>
          </cell>
          <cell r="J6" t="str">
            <v/>
          </cell>
          <cell r="K6">
            <v>0</v>
          </cell>
          <cell r="L6">
            <v>0</v>
          </cell>
          <cell r="M6">
            <v>1200</v>
          </cell>
        </row>
        <row r="7">
          <cell r="A7" t="str">
            <v>A5</v>
          </cell>
          <cell r="B7">
            <v>2317785.4130000002</v>
          </cell>
          <cell r="C7">
            <v>430315.11900000001</v>
          </cell>
          <cell r="D7">
            <v>25.8</v>
          </cell>
          <cell r="E7" t="str">
            <v>DC5</v>
          </cell>
          <cell r="F7">
            <v>-8.6999999999999993</v>
          </cell>
          <cell r="G7">
            <v>-7.6999999999999993</v>
          </cell>
          <cell r="H7" t="str">
            <v>X</v>
          </cell>
          <cell r="J7" t="str">
            <v>SA</v>
          </cell>
          <cell r="K7">
            <v>4</v>
          </cell>
          <cell r="L7">
            <v>0</v>
          </cell>
          <cell r="M7">
            <v>1200</v>
          </cell>
        </row>
        <row r="8">
          <cell r="A8" t="str">
            <v>A6</v>
          </cell>
          <cell r="B8">
            <v>2317788.4509999999</v>
          </cell>
          <cell r="C8">
            <v>430322.48800000001</v>
          </cell>
          <cell r="D8">
            <v>23.5</v>
          </cell>
          <cell r="E8" t="str">
            <v>DC5</v>
          </cell>
          <cell r="F8">
            <v>-8.6999999999999993</v>
          </cell>
          <cell r="G8">
            <v>-7.6999999999999993</v>
          </cell>
          <cell r="J8" t="str">
            <v/>
          </cell>
          <cell r="K8">
            <v>0</v>
          </cell>
          <cell r="L8">
            <v>0</v>
          </cell>
          <cell r="M8">
            <v>1200</v>
          </cell>
        </row>
        <row r="9">
          <cell r="A9" t="str">
            <v>A7</v>
          </cell>
          <cell r="B9">
            <v>2317788.5869999998</v>
          </cell>
          <cell r="C9">
            <v>430325.48499999999</v>
          </cell>
          <cell r="D9">
            <v>23.5</v>
          </cell>
          <cell r="E9" t="str">
            <v>DC5</v>
          </cell>
          <cell r="F9">
            <v>-8.6999999999999993</v>
          </cell>
          <cell r="G9">
            <v>-7.6999999999999993</v>
          </cell>
          <cell r="H9" t="str">
            <v>X</v>
          </cell>
          <cell r="J9" t="str">
            <v>SA</v>
          </cell>
          <cell r="K9">
            <v>4</v>
          </cell>
          <cell r="L9">
            <v>0</v>
          </cell>
          <cell r="M9">
            <v>1200</v>
          </cell>
        </row>
        <row r="10">
          <cell r="A10" t="str">
            <v>A8</v>
          </cell>
          <cell r="B10">
            <v>2317785.8220000002</v>
          </cell>
          <cell r="C10">
            <v>430324.109</v>
          </cell>
          <cell r="D10">
            <v>23.5</v>
          </cell>
          <cell r="E10" t="str">
            <v>DC5</v>
          </cell>
          <cell r="F10">
            <v>-8.6999999999999993</v>
          </cell>
          <cell r="G10">
            <v>-7.6999999999999993</v>
          </cell>
          <cell r="J10" t="str">
            <v/>
          </cell>
          <cell r="K10">
            <v>0</v>
          </cell>
          <cell r="L10">
            <v>0</v>
          </cell>
          <cell r="M10">
            <v>1200</v>
          </cell>
        </row>
        <row r="11">
          <cell r="A11" t="str">
            <v>A9</v>
          </cell>
          <cell r="B11">
            <v>2317787.821</v>
          </cell>
          <cell r="C11">
            <v>430331.52600000001</v>
          </cell>
          <cell r="D11">
            <v>23.5</v>
          </cell>
          <cell r="E11" t="str">
            <v>DC6</v>
          </cell>
          <cell r="F11">
            <v>-8.6999999999999993</v>
          </cell>
          <cell r="G11">
            <v>-7.6999999999999993</v>
          </cell>
          <cell r="J11" t="str">
            <v/>
          </cell>
          <cell r="K11">
            <v>0</v>
          </cell>
          <cell r="L11">
            <v>0</v>
          </cell>
          <cell r="M11">
            <v>1200</v>
          </cell>
        </row>
        <row r="12">
          <cell r="A12" t="str">
            <v>A10</v>
          </cell>
          <cell r="B12">
            <v>2317787.9569999999</v>
          </cell>
          <cell r="C12">
            <v>430334.52299999999</v>
          </cell>
          <cell r="D12">
            <v>23.5</v>
          </cell>
          <cell r="E12" t="str">
            <v>DC6</v>
          </cell>
          <cell r="F12">
            <v>-8.6999999999999993</v>
          </cell>
          <cell r="G12">
            <v>-7.6999999999999993</v>
          </cell>
          <cell r="H12" t="str">
            <v>X</v>
          </cell>
          <cell r="J12" t="str">
            <v>SA</v>
          </cell>
          <cell r="K12">
            <v>4</v>
          </cell>
          <cell r="L12">
            <v>0</v>
          </cell>
          <cell r="M12">
            <v>1200</v>
          </cell>
        </row>
        <row r="13">
          <cell r="A13" t="str">
            <v>A11</v>
          </cell>
          <cell r="B13">
            <v>2317788.2889999999</v>
          </cell>
          <cell r="C13">
            <v>430342.91700000002</v>
          </cell>
          <cell r="D13">
            <v>22.7</v>
          </cell>
          <cell r="E13" t="str">
            <v>DC6</v>
          </cell>
          <cell r="F13">
            <v>-8.6999999999999993</v>
          </cell>
          <cell r="G13">
            <v>-7.6999999999999993</v>
          </cell>
          <cell r="J13" t="str">
            <v/>
          </cell>
          <cell r="K13">
            <v>0</v>
          </cell>
          <cell r="L13">
            <v>0</v>
          </cell>
          <cell r="M13">
            <v>1200</v>
          </cell>
        </row>
        <row r="14">
          <cell r="A14" t="str">
            <v>A12</v>
          </cell>
          <cell r="B14">
            <v>2317788.4249999998</v>
          </cell>
          <cell r="C14">
            <v>430345.91399999999</v>
          </cell>
          <cell r="D14">
            <v>22.7</v>
          </cell>
          <cell r="E14" t="str">
            <v>DC6</v>
          </cell>
          <cell r="F14">
            <v>-8.6999999999999993</v>
          </cell>
          <cell r="G14">
            <v>-7.6999999999999993</v>
          </cell>
          <cell r="I14" t="str">
            <v>X</v>
          </cell>
          <cell r="J14" t="str">
            <v>L</v>
          </cell>
          <cell r="K14">
            <v>3</v>
          </cell>
          <cell r="L14">
            <v>1</v>
          </cell>
          <cell r="M14">
            <v>1200</v>
          </cell>
        </row>
        <row r="15">
          <cell r="A15" t="str">
            <v>A13</v>
          </cell>
          <cell r="B15">
            <v>2317789.6680000001</v>
          </cell>
          <cell r="C15">
            <v>430351.46299999999</v>
          </cell>
          <cell r="D15">
            <v>23.2</v>
          </cell>
          <cell r="E15" t="str">
            <v>DC5</v>
          </cell>
          <cell r="F15">
            <v>-8.6999999999999993</v>
          </cell>
          <cell r="G15">
            <v>-7.6999999999999993</v>
          </cell>
          <cell r="J15" t="str">
            <v/>
          </cell>
          <cell r="K15">
            <v>0</v>
          </cell>
          <cell r="L15">
            <v>0</v>
          </cell>
          <cell r="M15">
            <v>1200</v>
          </cell>
        </row>
        <row r="16">
          <cell r="A16" t="str">
            <v>A14</v>
          </cell>
          <cell r="B16">
            <v>2317789.8050000002</v>
          </cell>
          <cell r="C16">
            <v>430354.46</v>
          </cell>
          <cell r="D16">
            <v>23.2</v>
          </cell>
          <cell r="E16" t="str">
            <v>DC5</v>
          </cell>
          <cell r="F16">
            <v>-8.6999999999999993</v>
          </cell>
          <cell r="G16">
            <v>-7.6999999999999993</v>
          </cell>
          <cell r="H16" t="str">
            <v>X</v>
          </cell>
          <cell r="J16" t="str">
            <v>SA</v>
          </cell>
          <cell r="K16">
            <v>4</v>
          </cell>
          <cell r="L16">
            <v>0</v>
          </cell>
          <cell r="M16">
            <v>1200</v>
          </cell>
        </row>
        <row r="17">
          <cell r="A17" t="str">
            <v>A15</v>
          </cell>
          <cell r="B17">
            <v>2317787.0389999999</v>
          </cell>
          <cell r="C17">
            <v>430353.08399999997</v>
          </cell>
          <cell r="D17">
            <v>23.2</v>
          </cell>
          <cell r="E17" t="str">
            <v>DC5</v>
          </cell>
          <cell r="F17">
            <v>-8.6999999999999993</v>
          </cell>
          <cell r="G17">
            <v>-7.6999999999999993</v>
          </cell>
          <cell r="J17" t="str">
            <v/>
          </cell>
          <cell r="K17">
            <v>0</v>
          </cell>
          <cell r="L17">
            <v>0</v>
          </cell>
          <cell r="M17">
            <v>1200</v>
          </cell>
        </row>
        <row r="18">
          <cell r="A18" t="str">
            <v>A16</v>
          </cell>
          <cell r="B18">
            <v>2317790.068</v>
          </cell>
          <cell r="C18">
            <v>430360.25400000002</v>
          </cell>
          <cell r="D18">
            <v>39.6</v>
          </cell>
          <cell r="E18" t="str">
            <v>DC5</v>
          </cell>
          <cell r="F18">
            <v>-8.6999999999999993</v>
          </cell>
          <cell r="G18">
            <v>-7.6999999999999993</v>
          </cell>
          <cell r="H18" t="str">
            <v>X</v>
          </cell>
          <cell r="J18" t="str">
            <v>SA</v>
          </cell>
          <cell r="K18">
            <v>4</v>
          </cell>
          <cell r="L18">
            <v>0</v>
          </cell>
          <cell r="M18">
            <v>1200</v>
          </cell>
        </row>
        <row r="19">
          <cell r="A19" t="str">
            <v>A17</v>
          </cell>
          <cell r="B19">
            <v>2317790.2039999999</v>
          </cell>
          <cell r="C19">
            <v>430363.25099999999</v>
          </cell>
          <cell r="D19">
            <v>39.6</v>
          </cell>
          <cell r="E19" t="str">
            <v>DC5</v>
          </cell>
          <cell r="F19">
            <v>-8.6999999999999993</v>
          </cell>
          <cell r="G19">
            <v>-7.6999999999999993</v>
          </cell>
          <cell r="J19" t="str">
            <v/>
          </cell>
          <cell r="K19">
            <v>0</v>
          </cell>
          <cell r="L19">
            <v>0</v>
          </cell>
          <cell r="M19">
            <v>1200</v>
          </cell>
        </row>
        <row r="20">
          <cell r="A20" t="str">
            <v>A18</v>
          </cell>
          <cell r="B20">
            <v>2317787.4389999998</v>
          </cell>
          <cell r="C20">
            <v>430361.875</v>
          </cell>
          <cell r="D20">
            <v>39.6</v>
          </cell>
          <cell r="E20" t="str">
            <v>DC5</v>
          </cell>
          <cell r="F20">
            <v>-8.6999999999999993</v>
          </cell>
          <cell r="G20">
            <v>-7.6999999999999993</v>
          </cell>
          <cell r="H20" t="str">
            <v>X</v>
          </cell>
          <cell r="J20" t="str">
            <v>SA</v>
          </cell>
          <cell r="K20">
            <v>4</v>
          </cell>
          <cell r="L20">
            <v>0</v>
          </cell>
          <cell r="M20">
            <v>1200</v>
          </cell>
        </row>
        <row r="21">
          <cell r="A21" t="str">
            <v>A19</v>
          </cell>
          <cell r="B21">
            <v>2317790.486</v>
          </cell>
          <cell r="C21">
            <v>430369.44400000002</v>
          </cell>
          <cell r="D21">
            <v>39.6</v>
          </cell>
          <cell r="E21" t="str">
            <v>DC5A</v>
          </cell>
          <cell r="F21">
            <v>-7.7</v>
          </cell>
          <cell r="G21">
            <v>-6.7</v>
          </cell>
          <cell r="H21" t="str">
            <v>X</v>
          </cell>
          <cell r="J21" t="str">
            <v>SA</v>
          </cell>
          <cell r="K21">
            <v>4</v>
          </cell>
          <cell r="L21">
            <v>0</v>
          </cell>
          <cell r="M21">
            <v>1200</v>
          </cell>
        </row>
        <row r="22">
          <cell r="A22" t="str">
            <v>A20</v>
          </cell>
          <cell r="B22">
            <v>2317787.8569999998</v>
          </cell>
          <cell r="C22">
            <v>430371.065</v>
          </cell>
          <cell r="D22">
            <v>39.6</v>
          </cell>
          <cell r="E22" t="str">
            <v>DC5A</v>
          </cell>
          <cell r="F22">
            <v>-7.7</v>
          </cell>
          <cell r="G22">
            <v>-6.7</v>
          </cell>
          <cell r="J22" t="str">
            <v/>
          </cell>
          <cell r="K22">
            <v>0</v>
          </cell>
          <cell r="L22">
            <v>0</v>
          </cell>
          <cell r="M22">
            <v>1200</v>
          </cell>
        </row>
        <row r="23">
          <cell r="A23" t="str">
            <v>A21</v>
          </cell>
          <cell r="B23">
            <v>2317790.622</v>
          </cell>
          <cell r="C23">
            <v>430372.44099999999</v>
          </cell>
          <cell r="D23">
            <v>31.8</v>
          </cell>
          <cell r="E23" t="str">
            <v>DC5A</v>
          </cell>
          <cell r="F23">
            <v>-7.7</v>
          </cell>
          <cell r="G23">
            <v>-6.7</v>
          </cell>
          <cell r="H23" t="str">
            <v>X</v>
          </cell>
          <cell r="J23" t="str">
            <v>SA</v>
          </cell>
          <cell r="K23">
            <v>4</v>
          </cell>
          <cell r="L23">
            <v>0</v>
          </cell>
          <cell r="M23">
            <v>1200</v>
          </cell>
        </row>
        <row r="24">
          <cell r="A24" t="str">
            <v>A22</v>
          </cell>
          <cell r="B24">
            <v>2317790.895</v>
          </cell>
          <cell r="C24">
            <v>430378.435</v>
          </cell>
          <cell r="D24">
            <v>26.9</v>
          </cell>
          <cell r="E24" t="str">
            <v>DC5A</v>
          </cell>
          <cell r="F24">
            <v>-7.7</v>
          </cell>
          <cell r="G24">
            <v>-6.7</v>
          </cell>
          <cell r="H24" t="str">
            <v>X</v>
          </cell>
          <cell r="J24" t="str">
            <v>SA</v>
          </cell>
          <cell r="K24">
            <v>4</v>
          </cell>
          <cell r="L24">
            <v>0</v>
          </cell>
          <cell r="M24">
            <v>1200</v>
          </cell>
        </row>
        <row r="25">
          <cell r="A25" t="str">
            <v>A23</v>
          </cell>
          <cell r="B25">
            <v>2317788.2659999998</v>
          </cell>
          <cell r="C25">
            <v>430380.05599999998</v>
          </cell>
          <cell r="D25">
            <v>26.9</v>
          </cell>
          <cell r="E25" t="str">
            <v>DC5A</v>
          </cell>
          <cell r="F25">
            <v>-7.7</v>
          </cell>
          <cell r="G25">
            <v>-6.7</v>
          </cell>
          <cell r="I25" t="str">
            <v>X</v>
          </cell>
          <cell r="J25" t="str">
            <v>L</v>
          </cell>
          <cell r="K25">
            <v>3</v>
          </cell>
          <cell r="L25">
            <v>1</v>
          </cell>
          <cell r="M25">
            <v>1200</v>
          </cell>
        </row>
        <row r="26">
          <cell r="A26" t="str">
            <v>A24</v>
          </cell>
          <cell r="B26">
            <v>2317791.031</v>
          </cell>
          <cell r="C26">
            <v>430381.43199999997</v>
          </cell>
          <cell r="D26">
            <v>26.9</v>
          </cell>
          <cell r="E26" t="str">
            <v>DC5A</v>
          </cell>
          <cell r="F26">
            <v>-7.7</v>
          </cell>
          <cell r="G26">
            <v>-6.7</v>
          </cell>
          <cell r="H26" t="str">
            <v>X</v>
          </cell>
          <cell r="J26" t="str">
            <v>SA</v>
          </cell>
          <cell r="K26">
            <v>4</v>
          </cell>
          <cell r="L26">
            <v>0</v>
          </cell>
          <cell r="M26">
            <v>1200</v>
          </cell>
        </row>
        <row r="27">
          <cell r="A27" t="str">
            <v>A25</v>
          </cell>
          <cell r="B27">
            <v>2317790.2969999998</v>
          </cell>
          <cell r="C27">
            <v>430387.08100000001</v>
          </cell>
          <cell r="D27">
            <v>26.9</v>
          </cell>
          <cell r="E27" t="str">
            <v>DC6A</v>
          </cell>
          <cell r="F27">
            <v>-7.7</v>
          </cell>
          <cell r="G27">
            <v>-6.7</v>
          </cell>
          <cell r="H27" t="str">
            <v>X</v>
          </cell>
          <cell r="J27" t="str">
            <v>SA</v>
          </cell>
          <cell r="K27">
            <v>4</v>
          </cell>
          <cell r="L27">
            <v>0</v>
          </cell>
          <cell r="M27">
            <v>1200</v>
          </cell>
        </row>
        <row r="28">
          <cell r="A28" t="str">
            <v>A26</v>
          </cell>
          <cell r="B28">
            <v>2317790.4330000002</v>
          </cell>
          <cell r="C28">
            <v>430390.07799999998</v>
          </cell>
          <cell r="D28">
            <v>26.9</v>
          </cell>
          <cell r="E28" t="str">
            <v>DC6A</v>
          </cell>
          <cell r="F28">
            <v>-7.7</v>
          </cell>
          <cell r="G28">
            <v>-6.7</v>
          </cell>
          <cell r="H28" t="str">
            <v>X</v>
          </cell>
          <cell r="J28" t="str">
            <v>SA</v>
          </cell>
          <cell r="K28">
            <v>4</v>
          </cell>
          <cell r="L28">
            <v>0</v>
          </cell>
          <cell r="M28">
            <v>1200</v>
          </cell>
        </row>
        <row r="29">
          <cell r="A29" t="str">
            <v>A27</v>
          </cell>
          <cell r="B29">
            <v>2317779.4610000001</v>
          </cell>
          <cell r="C29">
            <v>430305.28899999999</v>
          </cell>
          <cell r="D29">
            <v>26</v>
          </cell>
          <cell r="E29" t="str">
            <v>DC5</v>
          </cell>
          <cell r="F29">
            <v>-8.6999999999999993</v>
          </cell>
          <cell r="G29">
            <v>-7.6999999999999993</v>
          </cell>
          <cell r="I29" t="str">
            <v>X</v>
          </cell>
          <cell r="J29" t="str">
            <v>L</v>
          </cell>
          <cell r="K29">
            <v>3</v>
          </cell>
          <cell r="L29">
            <v>1</v>
          </cell>
          <cell r="M29">
            <v>1200</v>
          </cell>
        </row>
        <row r="30">
          <cell r="A30" t="str">
            <v>A28</v>
          </cell>
          <cell r="B30">
            <v>2317776.4640000002</v>
          </cell>
          <cell r="C30">
            <v>430305.42499999999</v>
          </cell>
          <cell r="D30">
            <v>26</v>
          </cell>
          <cell r="E30" t="str">
            <v>DC5</v>
          </cell>
          <cell r="F30">
            <v>-8.6999999999999993</v>
          </cell>
          <cell r="G30">
            <v>-7.6999999999999993</v>
          </cell>
          <cell r="J30" t="str">
            <v/>
          </cell>
          <cell r="K30">
            <v>0</v>
          </cell>
          <cell r="L30">
            <v>0</v>
          </cell>
          <cell r="M30">
            <v>1200</v>
          </cell>
        </row>
        <row r="31">
          <cell r="A31" t="str">
            <v>A29</v>
          </cell>
          <cell r="B31">
            <v>2317778.085</v>
          </cell>
          <cell r="C31">
            <v>430308.054</v>
          </cell>
          <cell r="D31">
            <v>26</v>
          </cell>
          <cell r="E31" t="str">
            <v>DC5</v>
          </cell>
          <cell r="F31">
            <v>-8.6999999999999993</v>
          </cell>
          <cell r="G31">
            <v>-7.6999999999999993</v>
          </cell>
          <cell r="J31" t="str">
            <v/>
          </cell>
          <cell r="K31">
            <v>0</v>
          </cell>
          <cell r="L31">
            <v>0</v>
          </cell>
          <cell r="M31">
            <v>1200</v>
          </cell>
        </row>
        <row r="32">
          <cell r="A32" t="str">
            <v>A30</v>
          </cell>
          <cell r="B32">
            <v>2317770.81</v>
          </cell>
          <cell r="C32">
            <v>430305.68199999997</v>
          </cell>
          <cell r="D32">
            <v>31.5</v>
          </cell>
          <cell r="E32" t="str">
            <v>DC5</v>
          </cell>
          <cell r="F32">
            <v>-8.6999999999999993</v>
          </cell>
          <cell r="G32">
            <v>-7.6999999999999993</v>
          </cell>
          <cell r="J32" t="str">
            <v/>
          </cell>
          <cell r="K32">
            <v>0</v>
          </cell>
          <cell r="L32">
            <v>0</v>
          </cell>
          <cell r="M32">
            <v>1200</v>
          </cell>
        </row>
        <row r="33">
          <cell r="A33" t="str">
            <v>A31</v>
          </cell>
          <cell r="B33">
            <v>2317767.8130000001</v>
          </cell>
          <cell r="C33">
            <v>430305.81800000003</v>
          </cell>
          <cell r="D33">
            <v>31.5</v>
          </cell>
          <cell r="E33" t="str">
            <v>DC5</v>
          </cell>
          <cell r="F33">
            <v>-8.6999999999999993</v>
          </cell>
          <cell r="G33">
            <v>-7.6999999999999993</v>
          </cell>
          <cell r="J33" t="str">
            <v/>
          </cell>
          <cell r="K33">
            <v>0</v>
          </cell>
          <cell r="L33">
            <v>0</v>
          </cell>
          <cell r="M33">
            <v>1200</v>
          </cell>
        </row>
        <row r="34">
          <cell r="A34" t="str">
            <v>A32</v>
          </cell>
          <cell r="B34">
            <v>2317769.4339999999</v>
          </cell>
          <cell r="C34">
            <v>430308.44699999999</v>
          </cell>
          <cell r="D34">
            <v>31.5</v>
          </cell>
          <cell r="E34" t="str">
            <v>DC5</v>
          </cell>
          <cell r="F34">
            <v>-8.6999999999999993</v>
          </cell>
          <cell r="G34">
            <v>-7.6999999999999993</v>
          </cell>
          <cell r="H34" t="str">
            <v>X</v>
          </cell>
          <cell r="J34" t="str">
            <v>SA</v>
          </cell>
          <cell r="K34">
            <v>4</v>
          </cell>
          <cell r="L34">
            <v>0</v>
          </cell>
          <cell r="M34">
            <v>1200</v>
          </cell>
        </row>
        <row r="35">
          <cell r="A35" t="str">
            <v>A33</v>
          </cell>
          <cell r="B35">
            <v>2317778.6519999998</v>
          </cell>
          <cell r="C35">
            <v>430313.924</v>
          </cell>
          <cell r="D35">
            <v>34.299999999999997</v>
          </cell>
          <cell r="E35" t="str">
            <v>DC2</v>
          </cell>
          <cell r="F35">
            <v>-8.6999999999999993</v>
          </cell>
          <cell r="G35">
            <v>-7.6999999999999993</v>
          </cell>
          <cell r="J35" t="str">
            <v/>
          </cell>
          <cell r="K35">
            <v>0</v>
          </cell>
          <cell r="L35">
            <v>0</v>
          </cell>
          <cell r="M35">
            <v>1200</v>
          </cell>
        </row>
        <row r="36">
          <cell r="A36" t="str">
            <v>A34</v>
          </cell>
          <cell r="B36">
            <v>2317774.656</v>
          </cell>
          <cell r="C36">
            <v>430314.10600000003</v>
          </cell>
          <cell r="D36">
            <v>34.299999999999997</v>
          </cell>
          <cell r="E36" t="str">
            <v>DC2</v>
          </cell>
          <cell r="F36">
            <v>-8.6999999999999993</v>
          </cell>
          <cell r="G36">
            <v>-7.6999999999999993</v>
          </cell>
          <cell r="H36" t="str">
            <v>X</v>
          </cell>
          <cell r="J36" t="str">
            <v>SA</v>
          </cell>
          <cell r="K36">
            <v>4</v>
          </cell>
          <cell r="L36">
            <v>0</v>
          </cell>
          <cell r="M36">
            <v>1200</v>
          </cell>
        </row>
        <row r="37">
          <cell r="A37" t="str">
            <v>A35</v>
          </cell>
          <cell r="B37">
            <v>2317771.659</v>
          </cell>
          <cell r="C37">
            <v>430314.24200000003</v>
          </cell>
          <cell r="D37">
            <v>23</v>
          </cell>
          <cell r="E37" t="str">
            <v>DC2</v>
          </cell>
          <cell r="F37">
            <v>-8.6999999999999993</v>
          </cell>
          <cell r="G37">
            <v>-7.6999999999999993</v>
          </cell>
          <cell r="J37" t="str">
            <v/>
          </cell>
          <cell r="K37">
            <v>0</v>
          </cell>
          <cell r="L37">
            <v>0</v>
          </cell>
          <cell r="M37">
            <v>1200</v>
          </cell>
        </row>
        <row r="38">
          <cell r="A38" t="str">
            <v>A36</v>
          </cell>
          <cell r="B38">
            <v>2317768.662</v>
          </cell>
          <cell r="C38">
            <v>430314.37900000002</v>
          </cell>
          <cell r="D38">
            <v>23</v>
          </cell>
          <cell r="E38" t="str">
            <v>DC2</v>
          </cell>
          <cell r="F38">
            <v>-8.6999999999999993</v>
          </cell>
          <cell r="G38">
            <v>-7.6999999999999993</v>
          </cell>
          <cell r="J38" t="str">
            <v/>
          </cell>
          <cell r="K38">
            <v>0</v>
          </cell>
          <cell r="L38">
            <v>0</v>
          </cell>
          <cell r="M38">
            <v>1200</v>
          </cell>
        </row>
        <row r="39">
          <cell r="A39" t="str">
            <v>A37</v>
          </cell>
          <cell r="B39">
            <v>2317768.7990000001</v>
          </cell>
          <cell r="C39">
            <v>430317.37599999999</v>
          </cell>
          <cell r="D39">
            <v>23</v>
          </cell>
          <cell r="E39" t="str">
            <v>DC2</v>
          </cell>
          <cell r="F39">
            <v>-8.6999999999999993</v>
          </cell>
          <cell r="G39">
            <v>-7.6999999999999993</v>
          </cell>
          <cell r="H39" t="str">
            <v>X</v>
          </cell>
          <cell r="J39" t="str">
            <v>SA</v>
          </cell>
          <cell r="K39">
            <v>4</v>
          </cell>
          <cell r="L39">
            <v>0</v>
          </cell>
          <cell r="M39">
            <v>1200</v>
          </cell>
        </row>
        <row r="40">
          <cell r="A40" t="str">
            <v>A38</v>
          </cell>
          <cell r="B40">
            <v>2317771.7960000001</v>
          </cell>
          <cell r="C40">
            <v>430317.239</v>
          </cell>
          <cell r="D40">
            <v>23</v>
          </cell>
          <cell r="E40" t="str">
            <v>DC2</v>
          </cell>
          <cell r="F40">
            <v>-9.6999999999999993</v>
          </cell>
          <cell r="G40">
            <v>-8.6999999999999993</v>
          </cell>
          <cell r="J40" t="str">
            <v/>
          </cell>
          <cell r="K40">
            <v>0</v>
          </cell>
          <cell r="L40">
            <v>0</v>
          </cell>
          <cell r="M40">
            <v>1200</v>
          </cell>
        </row>
        <row r="41">
          <cell r="A41" t="str">
            <v>A39</v>
          </cell>
          <cell r="B41">
            <v>2317774.7919999999</v>
          </cell>
          <cell r="C41">
            <v>430317.103</v>
          </cell>
          <cell r="D41">
            <v>34.299999999999997</v>
          </cell>
          <cell r="E41" t="str">
            <v>DC2</v>
          </cell>
          <cell r="F41">
            <v>-9.6999999999999993</v>
          </cell>
          <cell r="G41">
            <v>-8.6999999999999993</v>
          </cell>
          <cell r="J41" t="str">
            <v/>
          </cell>
          <cell r="K41">
            <v>0</v>
          </cell>
          <cell r="L41">
            <v>0</v>
          </cell>
          <cell r="M41">
            <v>1200</v>
          </cell>
        </row>
        <row r="42">
          <cell r="A42" t="str">
            <v>A40</v>
          </cell>
          <cell r="B42">
            <v>2317778.7880000002</v>
          </cell>
          <cell r="C42">
            <v>430316.92099999997</v>
          </cell>
          <cell r="D42">
            <v>34.299999999999997</v>
          </cell>
          <cell r="E42" t="str">
            <v>DC2</v>
          </cell>
          <cell r="F42">
            <v>-8.6999999999999993</v>
          </cell>
          <cell r="G42">
            <v>-7.6999999999999993</v>
          </cell>
          <cell r="J42" t="str">
            <v/>
          </cell>
          <cell r="K42">
            <v>0</v>
          </cell>
          <cell r="L42">
            <v>0</v>
          </cell>
          <cell r="M42">
            <v>1200</v>
          </cell>
        </row>
        <row r="43">
          <cell r="A43" t="str">
            <v>A41</v>
          </cell>
          <cell r="B43">
            <v>2317778.952</v>
          </cell>
          <cell r="C43">
            <v>430320.51799999998</v>
          </cell>
          <cell r="D43">
            <v>30.7</v>
          </cell>
          <cell r="E43" t="str">
            <v>DC2</v>
          </cell>
          <cell r="F43">
            <v>-8.6999999999999993</v>
          </cell>
          <cell r="G43">
            <v>-7.6999999999999993</v>
          </cell>
          <cell r="I43" t="str">
            <v>X</v>
          </cell>
          <cell r="J43" t="str">
            <v>L</v>
          </cell>
          <cell r="K43">
            <v>3</v>
          </cell>
          <cell r="L43">
            <v>1</v>
          </cell>
          <cell r="M43">
            <v>1200</v>
          </cell>
        </row>
        <row r="44">
          <cell r="A44" t="str">
            <v>A42</v>
          </cell>
          <cell r="B44">
            <v>2317774.9559999998</v>
          </cell>
          <cell r="C44">
            <v>430320.69900000002</v>
          </cell>
          <cell r="D44">
            <v>30.7</v>
          </cell>
          <cell r="E44" t="str">
            <v>DC2</v>
          </cell>
          <cell r="F44">
            <v>-9.6999999999999993</v>
          </cell>
          <cell r="G44">
            <v>-8.6999999999999993</v>
          </cell>
          <cell r="J44" t="str">
            <v/>
          </cell>
          <cell r="K44">
            <v>0</v>
          </cell>
          <cell r="L44">
            <v>0</v>
          </cell>
          <cell r="M44">
            <v>1200</v>
          </cell>
        </row>
        <row r="45">
          <cell r="A45" t="str">
            <v>A43</v>
          </cell>
          <cell r="B45">
            <v>2317771.9589999998</v>
          </cell>
          <cell r="C45">
            <v>430320.83600000001</v>
          </cell>
          <cell r="D45">
            <v>30.7</v>
          </cell>
          <cell r="E45" t="str">
            <v>DC2</v>
          </cell>
          <cell r="F45">
            <v>-9.6999999999999993</v>
          </cell>
          <cell r="G45">
            <v>-8.6999999999999993</v>
          </cell>
          <cell r="J45" t="str">
            <v/>
          </cell>
          <cell r="K45">
            <v>0</v>
          </cell>
          <cell r="L45">
            <v>0</v>
          </cell>
          <cell r="M45">
            <v>1200</v>
          </cell>
        </row>
        <row r="46">
          <cell r="A46" t="str">
            <v>A44</v>
          </cell>
          <cell r="B46">
            <v>2317768.9619999998</v>
          </cell>
          <cell r="C46">
            <v>430320.97200000001</v>
          </cell>
          <cell r="D46">
            <v>23.4</v>
          </cell>
          <cell r="E46" t="str">
            <v>DC2</v>
          </cell>
          <cell r="F46">
            <v>-8.6999999999999993</v>
          </cell>
          <cell r="G46">
            <v>-7.6999999999999993</v>
          </cell>
          <cell r="J46" t="str">
            <v/>
          </cell>
          <cell r="K46">
            <v>0</v>
          </cell>
          <cell r="L46">
            <v>0</v>
          </cell>
          <cell r="M46">
            <v>1200</v>
          </cell>
        </row>
        <row r="47">
          <cell r="A47" t="str">
            <v>A45</v>
          </cell>
          <cell r="B47">
            <v>2317769.1260000002</v>
          </cell>
          <cell r="C47">
            <v>430324.56800000003</v>
          </cell>
          <cell r="D47">
            <v>23.4</v>
          </cell>
          <cell r="E47" t="str">
            <v>DC2</v>
          </cell>
          <cell r="F47">
            <v>-8.6999999999999993</v>
          </cell>
          <cell r="G47">
            <v>-7.6999999999999993</v>
          </cell>
          <cell r="J47" t="str">
            <v/>
          </cell>
          <cell r="K47">
            <v>0</v>
          </cell>
          <cell r="L47">
            <v>0</v>
          </cell>
          <cell r="M47">
            <v>1200</v>
          </cell>
        </row>
        <row r="48">
          <cell r="A48" t="str">
            <v>A46</v>
          </cell>
          <cell r="B48">
            <v>2317772.1230000001</v>
          </cell>
          <cell r="C48">
            <v>430324.43199999997</v>
          </cell>
          <cell r="D48">
            <v>30.7</v>
          </cell>
          <cell r="E48" t="str">
            <v>DC2</v>
          </cell>
          <cell r="F48">
            <v>-9.6999999999999993</v>
          </cell>
          <cell r="G48">
            <v>-8.6999999999999993</v>
          </cell>
          <cell r="H48" t="str">
            <v>X</v>
          </cell>
          <cell r="J48" t="str">
            <v>SA</v>
          </cell>
          <cell r="K48">
            <v>4</v>
          </cell>
          <cell r="L48">
            <v>0</v>
          </cell>
          <cell r="M48">
            <v>1200</v>
          </cell>
        </row>
        <row r="49">
          <cell r="A49" t="str">
            <v>A47</v>
          </cell>
          <cell r="B49">
            <v>2317775.1189999999</v>
          </cell>
          <cell r="C49">
            <v>430324.29599999997</v>
          </cell>
          <cell r="D49">
            <v>30.7</v>
          </cell>
          <cell r="E49" t="str">
            <v>DC2</v>
          </cell>
          <cell r="F49">
            <v>-9.6999999999999993</v>
          </cell>
          <cell r="G49">
            <v>-8.6999999999999993</v>
          </cell>
          <cell r="H49" t="str">
            <v>X</v>
          </cell>
          <cell r="J49" t="str">
            <v>SA</v>
          </cell>
          <cell r="K49">
            <v>4</v>
          </cell>
          <cell r="L49">
            <v>0</v>
          </cell>
          <cell r="M49">
            <v>1200</v>
          </cell>
        </row>
        <row r="50">
          <cell r="A50" t="str">
            <v>A48</v>
          </cell>
          <cell r="B50">
            <v>2317779.1150000002</v>
          </cell>
          <cell r="C50">
            <v>430324.114</v>
          </cell>
          <cell r="D50">
            <v>30.7</v>
          </cell>
          <cell r="E50" t="str">
            <v>DC2</v>
          </cell>
          <cell r="F50">
            <v>-8.6999999999999993</v>
          </cell>
          <cell r="G50">
            <v>-7.6999999999999993</v>
          </cell>
          <cell r="J50" t="str">
            <v/>
          </cell>
          <cell r="K50">
            <v>0</v>
          </cell>
          <cell r="L50">
            <v>0</v>
          </cell>
          <cell r="M50">
            <v>1200</v>
          </cell>
        </row>
        <row r="51">
          <cell r="A51" t="str">
            <v>A49</v>
          </cell>
          <cell r="B51">
            <v>2317779.2790000001</v>
          </cell>
          <cell r="C51">
            <v>430327.71</v>
          </cell>
          <cell r="D51">
            <v>30.7</v>
          </cell>
          <cell r="E51" t="str">
            <v>DC2</v>
          </cell>
          <cell r="F51">
            <v>-8.6999999999999993</v>
          </cell>
          <cell r="G51">
            <v>-7.6999999999999993</v>
          </cell>
          <cell r="H51" t="str">
            <v>X</v>
          </cell>
          <cell r="J51" t="str">
            <v>SA</v>
          </cell>
          <cell r="K51">
            <v>4</v>
          </cell>
          <cell r="L51">
            <v>0</v>
          </cell>
          <cell r="M51">
            <v>1200</v>
          </cell>
        </row>
        <row r="52">
          <cell r="A52" t="str">
            <v>A50</v>
          </cell>
          <cell r="B52">
            <v>2317775.2829999998</v>
          </cell>
          <cell r="C52">
            <v>430327.89199999999</v>
          </cell>
          <cell r="D52">
            <v>29.5</v>
          </cell>
          <cell r="E52" t="str">
            <v>DC2</v>
          </cell>
          <cell r="F52">
            <v>-8.6999999999999993</v>
          </cell>
          <cell r="G52">
            <v>-7.6999999999999993</v>
          </cell>
          <cell r="J52" t="str">
            <v/>
          </cell>
          <cell r="K52">
            <v>0</v>
          </cell>
          <cell r="L52">
            <v>0</v>
          </cell>
          <cell r="M52">
            <v>1200</v>
          </cell>
        </row>
        <row r="53">
          <cell r="A53" t="str">
            <v>A51</v>
          </cell>
          <cell r="B53">
            <v>2317772.2859999998</v>
          </cell>
          <cell r="C53">
            <v>430328.02799999999</v>
          </cell>
          <cell r="D53">
            <v>30.7</v>
          </cell>
          <cell r="E53" t="str">
            <v>DC2</v>
          </cell>
          <cell r="F53">
            <v>-8.6999999999999993</v>
          </cell>
          <cell r="G53">
            <v>-7.6999999999999993</v>
          </cell>
          <cell r="J53" t="str">
            <v/>
          </cell>
          <cell r="K53">
            <v>0</v>
          </cell>
          <cell r="L53">
            <v>0</v>
          </cell>
          <cell r="M53">
            <v>1200</v>
          </cell>
        </row>
        <row r="54">
          <cell r="A54" t="str">
            <v>A52</v>
          </cell>
          <cell r="B54">
            <v>2317769.2889999999</v>
          </cell>
          <cell r="C54">
            <v>430328.16399999999</v>
          </cell>
          <cell r="D54">
            <v>23.4</v>
          </cell>
          <cell r="E54" t="str">
            <v>DC2</v>
          </cell>
          <cell r="F54">
            <v>-8.6999999999999993</v>
          </cell>
          <cell r="G54">
            <v>-7.6999999999999993</v>
          </cell>
          <cell r="I54" t="str">
            <v>X</v>
          </cell>
          <cell r="J54" t="str">
            <v>L</v>
          </cell>
          <cell r="K54">
            <v>3</v>
          </cell>
          <cell r="L54">
            <v>1</v>
          </cell>
          <cell r="M54">
            <v>1200</v>
          </cell>
        </row>
        <row r="55">
          <cell r="A55" t="str">
            <v>A53</v>
          </cell>
          <cell r="B55">
            <v>2317769.4530000002</v>
          </cell>
          <cell r="C55">
            <v>430331.761</v>
          </cell>
          <cell r="D55">
            <v>23.4</v>
          </cell>
          <cell r="E55" t="str">
            <v>DC2</v>
          </cell>
          <cell r="F55">
            <v>-8.6999999999999993</v>
          </cell>
          <cell r="G55">
            <v>-7.6999999999999993</v>
          </cell>
          <cell r="J55" t="str">
            <v/>
          </cell>
          <cell r="K55">
            <v>0</v>
          </cell>
          <cell r="L55">
            <v>0</v>
          </cell>
          <cell r="M55">
            <v>1200</v>
          </cell>
        </row>
        <row r="56">
          <cell r="A56" t="str">
            <v>A54</v>
          </cell>
          <cell r="B56">
            <v>2317772.4500000002</v>
          </cell>
          <cell r="C56">
            <v>430331.62400000001</v>
          </cell>
          <cell r="D56">
            <v>19.7</v>
          </cell>
          <cell r="E56" t="str">
            <v>DC2</v>
          </cell>
          <cell r="F56">
            <v>-8.6999999999999993</v>
          </cell>
          <cell r="G56">
            <v>-7.6999999999999993</v>
          </cell>
          <cell r="J56" t="str">
            <v/>
          </cell>
          <cell r="K56">
            <v>0</v>
          </cell>
          <cell r="L56">
            <v>0</v>
          </cell>
          <cell r="M56">
            <v>1200</v>
          </cell>
        </row>
        <row r="57">
          <cell r="A57" t="str">
            <v>A55</v>
          </cell>
          <cell r="B57">
            <v>2317775.446</v>
          </cell>
          <cell r="C57">
            <v>430331.48800000001</v>
          </cell>
          <cell r="D57">
            <v>25.8</v>
          </cell>
          <cell r="E57" t="str">
            <v>DC2</v>
          </cell>
          <cell r="F57">
            <v>-8.6999999999999993</v>
          </cell>
          <cell r="G57">
            <v>-7.6999999999999993</v>
          </cell>
          <cell r="H57" t="str">
            <v>X</v>
          </cell>
          <cell r="J57" t="str">
            <v>SA</v>
          </cell>
          <cell r="K57">
            <v>4</v>
          </cell>
          <cell r="L57">
            <v>0</v>
          </cell>
          <cell r="M57">
            <v>1200</v>
          </cell>
        </row>
        <row r="58">
          <cell r="A58" t="str">
            <v>A56</v>
          </cell>
          <cell r="B58">
            <v>2317779.4419999998</v>
          </cell>
          <cell r="C58">
            <v>430331.30599999998</v>
          </cell>
          <cell r="D58">
            <v>25.8</v>
          </cell>
          <cell r="E58" t="str">
            <v>DC2</v>
          </cell>
          <cell r="F58">
            <v>-8.6999999999999993</v>
          </cell>
          <cell r="G58">
            <v>-7.6999999999999993</v>
          </cell>
          <cell r="J58" t="str">
            <v/>
          </cell>
          <cell r="K58">
            <v>0</v>
          </cell>
          <cell r="L58">
            <v>0</v>
          </cell>
          <cell r="M58">
            <v>1200</v>
          </cell>
        </row>
        <row r="59">
          <cell r="A59" t="str">
            <v>A57</v>
          </cell>
          <cell r="B59">
            <v>2317779.6060000001</v>
          </cell>
          <cell r="C59">
            <v>430334.90299999999</v>
          </cell>
          <cell r="D59">
            <v>25.8</v>
          </cell>
          <cell r="E59" t="str">
            <v>DC2</v>
          </cell>
          <cell r="F59">
            <v>-8.6999999999999993</v>
          </cell>
          <cell r="G59">
            <v>-7.6999999999999993</v>
          </cell>
          <cell r="H59" t="str">
            <v>X</v>
          </cell>
          <cell r="J59" t="str">
            <v>SA</v>
          </cell>
          <cell r="K59">
            <v>4</v>
          </cell>
          <cell r="L59">
            <v>0</v>
          </cell>
          <cell r="M59">
            <v>1200</v>
          </cell>
        </row>
        <row r="60">
          <cell r="A60" t="str">
            <v>A58</v>
          </cell>
          <cell r="B60">
            <v>2317775.61</v>
          </cell>
          <cell r="C60">
            <v>430335.08399999997</v>
          </cell>
          <cell r="D60">
            <v>25.8</v>
          </cell>
          <cell r="E60" t="str">
            <v>DC2</v>
          </cell>
          <cell r="F60">
            <v>-8.6999999999999993</v>
          </cell>
          <cell r="G60">
            <v>-7.6999999999999993</v>
          </cell>
          <cell r="J60" t="str">
            <v/>
          </cell>
          <cell r="K60">
            <v>0</v>
          </cell>
          <cell r="L60">
            <v>0</v>
          </cell>
          <cell r="M60">
            <v>1200</v>
          </cell>
        </row>
        <row r="61">
          <cell r="A61" t="str">
            <v>A59</v>
          </cell>
          <cell r="B61">
            <v>2317772.6129999999</v>
          </cell>
          <cell r="C61">
            <v>430335.22100000002</v>
          </cell>
          <cell r="D61">
            <v>19.7</v>
          </cell>
          <cell r="E61" t="str">
            <v>DC2</v>
          </cell>
          <cell r="F61">
            <v>-8.6999999999999993</v>
          </cell>
          <cell r="G61">
            <v>-7.6999999999999993</v>
          </cell>
          <cell r="J61" t="str">
            <v/>
          </cell>
          <cell r="K61">
            <v>0</v>
          </cell>
          <cell r="L61">
            <v>0</v>
          </cell>
          <cell r="M61">
            <v>1200</v>
          </cell>
        </row>
        <row r="62">
          <cell r="A62" t="str">
            <v>A60</v>
          </cell>
          <cell r="B62">
            <v>2317769.6159999999</v>
          </cell>
          <cell r="C62">
            <v>430335.35700000002</v>
          </cell>
          <cell r="D62">
            <v>23.4</v>
          </cell>
          <cell r="E62" t="str">
            <v>DC2</v>
          </cell>
          <cell r="F62">
            <v>-8.6999999999999993</v>
          </cell>
          <cell r="G62">
            <v>-7.6999999999999993</v>
          </cell>
          <cell r="J62" t="str">
            <v/>
          </cell>
          <cell r="K62">
            <v>0</v>
          </cell>
          <cell r="L62">
            <v>0</v>
          </cell>
          <cell r="M62">
            <v>1200</v>
          </cell>
        </row>
        <row r="63">
          <cell r="A63" t="str">
            <v>A61</v>
          </cell>
          <cell r="B63">
            <v>2317768.2110000001</v>
          </cell>
          <cell r="C63">
            <v>430337.92300000001</v>
          </cell>
          <cell r="D63">
            <v>23.4</v>
          </cell>
          <cell r="E63" t="str">
            <v>DC6</v>
          </cell>
          <cell r="F63">
            <v>-8.6999999999999993</v>
          </cell>
          <cell r="G63">
            <v>-7.6999999999999993</v>
          </cell>
          <cell r="J63" t="str">
            <v/>
          </cell>
          <cell r="K63">
            <v>0</v>
          </cell>
          <cell r="L63">
            <v>0</v>
          </cell>
          <cell r="M63">
            <v>1200</v>
          </cell>
        </row>
        <row r="64">
          <cell r="A64" t="str">
            <v>A62</v>
          </cell>
          <cell r="B64">
            <v>2317768.3480000002</v>
          </cell>
          <cell r="C64">
            <v>430340.92</v>
          </cell>
          <cell r="D64">
            <v>23.4</v>
          </cell>
          <cell r="E64" t="str">
            <v>DC6</v>
          </cell>
          <cell r="F64">
            <v>-8.6999999999999993</v>
          </cell>
          <cell r="G64">
            <v>-7.6999999999999993</v>
          </cell>
          <cell r="H64" t="str">
            <v>X</v>
          </cell>
          <cell r="J64" t="str">
            <v>SA</v>
          </cell>
          <cell r="K64">
            <v>4</v>
          </cell>
          <cell r="L64">
            <v>0</v>
          </cell>
          <cell r="M64">
            <v>1200</v>
          </cell>
        </row>
        <row r="65">
          <cell r="A65" t="str">
            <v>A63</v>
          </cell>
          <cell r="B65">
            <v>2317770.2379999999</v>
          </cell>
          <cell r="C65">
            <v>430344.63799999998</v>
          </cell>
          <cell r="D65">
            <v>37.4</v>
          </cell>
          <cell r="E65" t="str">
            <v>DC1</v>
          </cell>
          <cell r="F65">
            <v>-8.6999999999999993</v>
          </cell>
          <cell r="G65">
            <v>-7.6999999999999993</v>
          </cell>
          <cell r="J65" t="str">
            <v/>
          </cell>
          <cell r="K65">
            <v>0</v>
          </cell>
          <cell r="L65">
            <v>0</v>
          </cell>
          <cell r="M65">
            <v>1200</v>
          </cell>
        </row>
        <row r="66">
          <cell r="A66" t="str">
            <v>A64</v>
          </cell>
          <cell r="B66">
            <v>2317773.3309999998</v>
          </cell>
          <cell r="C66">
            <v>430346.6</v>
          </cell>
          <cell r="D66">
            <v>36.200000000000003</v>
          </cell>
          <cell r="E66" t="str">
            <v>DC1</v>
          </cell>
          <cell r="F66">
            <v>-8.6999999999999993</v>
          </cell>
          <cell r="G66">
            <v>-7.6999999999999993</v>
          </cell>
          <cell r="H66" t="str">
            <v>X</v>
          </cell>
          <cell r="J66" t="str">
            <v>SA</v>
          </cell>
          <cell r="K66">
            <v>4</v>
          </cell>
          <cell r="L66">
            <v>0</v>
          </cell>
          <cell r="M66">
            <v>1200</v>
          </cell>
        </row>
        <row r="67">
          <cell r="A67" t="str">
            <v>A65</v>
          </cell>
          <cell r="B67">
            <v>2317776.2319999998</v>
          </cell>
          <cell r="C67">
            <v>430344.36599999998</v>
          </cell>
          <cell r="D67">
            <v>36.200000000000003</v>
          </cell>
          <cell r="E67" t="str">
            <v>DC1</v>
          </cell>
          <cell r="F67">
            <v>-9.6999999999999993</v>
          </cell>
          <cell r="G67">
            <v>-8.6999999999999993</v>
          </cell>
          <cell r="H67" t="str">
            <v>X</v>
          </cell>
          <cell r="J67" t="str">
            <v>SA</v>
          </cell>
          <cell r="K67">
            <v>4</v>
          </cell>
          <cell r="L67">
            <v>0</v>
          </cell>
          <cell r="M67">
            <v>1200</v>
          </cell>
        </row>
        <row r="68">
          <cell r="A68" t="str">
            <v>A66</v>
          </cell>
          <cell r="B68">
            <v>2317779.324</v>
          </cell>
          <cell r="C68">
            <v>430346.32699999999</v>
          </cell>
          <cell r="D68">
            <v>25.4</v>
          </cell>
          <cell r="E68" t="str">
            <v>DC1</v>
          </cell>
          <cell r="F68">
            <v>-9.6999999999999993</v>
          </cell>
          <cell r="G68">
            <v>-8.6999999999999993</v>
          </cell>
          <cell r="J68" t="str">
            <v/>
          </cell>
          <cell r="K68">
            <v>0</v>
          </cell>
          <cell r="L68">
            <v>0</v>
          </cell>
          <cell r="M68">
            <v>1200</v>
          </cell>
        </row>
        <row r="69">
          <cell r="A69" t="str">
            <v>A67</v>
          </cell>
          <cell r="B69">
            <v>2317782.2259999998</v>
          </cell>
          <cell r="C69">
            <v>430344.09299999999</v>
          </cell>
          <cell r="D69">
            <v>26.5</v>
          </cell>
          <cell r="E69" t="str">
            <v>DC1</v>
          </cell>
          <cell r="F69">
            <v>-9.6999999999999993</v>
          </cell>
          <cell r="G69">
            <v>-8.6999999999999993</v>
          </cell>
          <cell r="J69" t="str">
            <v/>
          </cell>
          <cell r="K69">
            <v>0</v>
          </cell>
          <cell r="L69">
            <v>0</v>
          </cell>
          <cell r="M69">
            <v>1200</v>
          </cell>
        </row>
        <row r="70">
          <cell r="A70" t="str">
            <v>A68</v>
          </cell>
          <cell r="B70">
            <v>2317782.389</v>
          </cell>
          <cell r="C70">
            <v>430347.69</v>
          </cell>
          <cell r="D70">
            <v>25.4</v>
          </cell>
          <cell r="E70" t="str">
            <v>DC1</v>
          </cell>
          <cell r="F70">
            <v>-9.6999999999999993</v>
          </cell>
          <cell r="G70">
            <v>-8.6999999999999993</v>
          </cell>
          <cell r="H70" t="str">
            <v>X</v>
          </cell>
          <cell r="J70" t="str">
            <v>SA</v>
          </cell>
          <cell r="K70">
            <v>4</v>
          </cell>
          <cell r="L70">
            <v>0</v>
          </cell>
          <cell r="M70">
            <v>1200</v>
          </cell>
        </row>
        <row r="71">
          <cell r="A71" t="str">
            <v>A69</v>
          </cell>
          <cell r="B71">
            <v>2317779.4610000001</v>
          </cell>
          <cell r="C71">
            <v>430349.32400000002</v>
          </cell>
          <cell r="D71">
            <v>25.4</v>
          </cell>
          <cell r="E71" t="str">
            <v>DC1</v>
          </cell>
          <cell r="F71">
            <v>-9.6999999999999993</v>
          </cell>
          <cell r="G71">
            <v>-8.6999999999999993</v>
          </cell>
          <cell r="J71" t="str">
            <v/>
          </cell>
          <cell r="K71">
            <v>0</v>
          </cell>
          <cell r="L71">
            <v>0</v>
          </cell>
          <cell r="M71">
            <v>1200</v>
          </cell>
        </row>
        <row r="72">
          <cell r="A72" t="str">
            <v>A70</v>
          </cell>
          <cell r="B72">
            <v>2317776.3960000002</v>
          </cell>
          <cell r="C72">
            <v>430347.962</v>
          </cell>
          <cell r="D72">
            <v>26.8</v>
          </cell>
          <cell r="E72" t="str">
            <v>DC1</v>
          </cell>
          <cell r="F72">
            <v>-9.6999999999999993</v>
          </cell>
          <cell r="G72">
            <v>-8.6999999999999993</v>
          </cell>
          <cell r="J72" t="str">
            <v/>
          </cell>
          <cell r="K72">
            <v>0</v>
          </cell>
          <cell r="L72">
            <v>0</v>
          </cell>
          <cell r="M72">
            <v>1200</v>
          </cell>
        </row>
        <row r="73">
          <cell r="A73" t="str">
            <v>A71</v>
          </cell>
          <cell r="B73">
            <v>2317773.4670000002</v>
          </cell>
          <cell r="C73">
            <v>430349.59700000001</v>
          </cell>
          <cell r="D73">
            <v>26.8</v>
          </cell>
          <cell r="E73" t="str">
            <v>DC1</v>
          </cell>
          <cell r="F73">
            <v>-8.6999999999999993</v>
          </cell>
          <cell r="G73">
            <v>-7.6999999999999993</v>
          </cell>
          <cell r="J73" t="str">
            <v/>
          </cell>
          <cell r="K73">
            <v>0</v>
          </cell>
          <cell r="L73">
            <v>0</v>
          </cell>
          <cell r="M73">
            <v>1200</v>
          </cell>
        </row>
        <row r="74">
          <cell r="A74" t="str">
            <v>A72</v>
          </cell>
          <cell r="B74">
            <v>2317770.4019999998</v>
          </cell>
          <cell r="C74">
            <v>430348.23499999999</v>
          </cell>
          <cell r="D74">
            <v>26.8</v>
          </cell>
          <cell r="E74" t="str">
            <v>DC1</v>
          </cell>
          <cell r="F74">
            <v>-8.6999999999999993</v>
          </cell>
          <cell r="G74">
            <v>-7.6999999999999993</v>
          </cell>
          <cell r="I74" t="str">
            <v>X</v>
          </cell>
          <cell r="J74" t="str">
            <v>L</v>
          </cell>
          <cell r="K74">
            <v>3</v>
          </cell>
          <cell r="L74">
            <v>1</v>
          </cell>
          <cell r="M74">
            <v>1200</v>
          </cell>
        </row>
        <row r="75">
          <cell r="A75" t="str">
            <v>A73</v>
          </cell>
          <cell r="B75">
            <v>2317770.5380000002</v>
          </cell>
          <cell r="C75">
            <v>430351.23100000003</v>
          </cell>
          <cell r="D75">
            <v>26.8</v>
          </cell>
          <cell r="E75" t="str">
            <v>DC1</v>
          </cell>
          <cell r="F75">
            <v>-8.6999999999999993</v>
          </cell>
          <cell r="G75">
            <v>-7.6999999999999993</v>
          </cell>
          <cell r="J75" t="str">
            <v/>
          </cell>
          <cell r="K75">
            <v>0</v>
          </cell>
          <cell r="L75">
            <v>0</v>
          </cell>
          <cell r="M75">
            <v>1200</v>
          </cell>
        </row>
        <row r="76">
          <cell r="A76" t="str">
            <v>A74</v>
          </cell>
          <cell r="B76">
            <v>2317773.6030000001</v>
          </cell>
          <cell r="C76">
            <v>430352.59399999998</v>
          </cell>
          <cell r="D76">
            <v>26.8</v>
          </cell>
          <cell r="E76" t="str">
            <v>DC1</v>
          </cell>
          <cell r="F76">
            <v>-8.6999999999999993</v>
          </cell>
          <cell r="G76">
            <v>-7.6999999999999993</v>
          </cell>
          <cell r="J76" t="str">
            <v/>
          </cell>
          <cell r="K76">
            <v>0</v>
          </cell>
          <cell r="L76">
            <v>0</v>
          </cell>
          <cell r="M76">
            <v>1200</v>
          </cell>
        </row>
        <row r="77">
          <cell r="A77" t="str">
            <v>A75</v>
          </cell>
          <cell r="B77">
            <v>2317776.5320000001</v>
          </cell>
          <cell r="C77">
            <v>430350.95899999997</v>
          </cell>
          <cell r="D77">
            <v>26.8</v>
          </cell>
          <cell r="E77" t="str">
            <v>DC1</v>
          </cell>
          <cell r="F77">
            <v>-9.6999999999999993</v>
          </cell>
          <cell r="G77">
            <v>-8.6999999999999993</v>
          </cell>
          <cell r="H77" t="str">
            <v>X</v>
          </cell>
          <cell r="J77" t="str">
            <v>SA</v>
          </cell>
          <cell r="K77">
            <v>4</v>
          </cell>
          <cell r="L77">
            <v>0</v>
          </cell>
          <cell r="M77">
            <v>1200</v>
          </cell>
        </row>
        <row r="78">
          <cell r="A78" t="str">
            <v>A76</v>
          </cell>
          <cell r="B78">
            <v>2317779.5970000001</v>
          </cell>
          <cell r="C78">
            <v>430352.321</v>
          </cell>
          <cell r="D78">
            <v>25.4</v>
          </cell>
          <cell r="E78" t="str">
            <v>DC1</v>
          </cell>
          <cell r="F78">
            <v>-9.6999999999999993</v>
          </cell>
          <cell r="G78">
            <v>-8.6999999999999993</v>
          </cell>
          <cell r="J78" t="str">
            <v/>
          </cell>
          <cell r="K78">
            <v>0</v>
          </cell>
          <cell r="L78">
            <v>0</v>
          </cell>
          <cell r="M78">
            <v>1200</v>
          </cell>
        </row>
        <row r="79">
          <cell r="A79" t="str">
            <v>A77</v>
          </cell>
          <cell r="B79">
            <v>2317782.5260000001</v>
          </cell>
          <cell r="C79">
            <v>430350.68599999999</v>
          </cell>
          <cell r="D79">
            <v>25.4</v>
          </cell>
          <cell r="E79" t="str">
            <v>DC1</v>
          </cell>
          <cell r="F79">
            <v>-9.6999999999999993</v>
          </cell>
          <cell r="G79">
            <v>-8.6999999999999993</v>
          </cell>
          <cell r="J79" t="str">
            <v/>
          </cell>
          <cell r="K79">
            <v>0</v>
          </cell>
          <cell r="L79">
            <v>0</v>
          </cell>
          <cell r="M79">
            <v>1200</v>
          </cell>
        </row>
        <row r="80">
          <cell r="A80" t="str">
            <v>A78</v>
          </cell>
          <cell r="B80">
            <v>2317782.662</v>
          </cell>
          <cell r="C80">
            <v>430353.68300000002</v>
          </cell>
          <cell r="D80">
            <v>25.4</v>
          </cell>
          <cell r="E80" t="str">
            <v>DC1</v>
          </cell>
          <cell r="F80">
            <v>-9.6999999999999993</v>
          </cell>
          <cell r="G80">
            <v>-8.6999999999999993</v>
          </cell>
          <cell r="H80" t="str">
            <v>X</v>
          </cell>
          <cell r="J80" t="str">
            <v>SA</v>
          </cell>
          <cell r="K80">
            <v>4</v>
          </cell>
          <cell r="L80">
            <v>0</v>
          </cell>
          <cell r="M80">
            <v>1200</v>
          </cell>
        </row>
        <row r="81">
          <cell r="A81" t="str">
            <v>A79</v>
          </cell>
          <cell r="B81">
            <v>2317779.733</v>
          </cell>
          <cell r="C81">
            <v>430355.31800000003</v>
          </cell>
          <cell r="D81">
            <v>26.8</v>
          </cell>
          <cell r="E81" t="str">
            <v>DC1</v>
          </cell>
          <cell r="F81">
            <v>-9.6999999999999993</v>
          </cell>
          <cell r="G81">
            <v>-8.6999999999999993</v>
          </cell>
          <cell r="J81" t="str">
            <v/>
          </cell>
          <cell r="K81">
            <v>0</v>
          </cell>
          <cell r="L81">
            <v>0</v>
          </cell>
          <cell r="M81">
            <v>1200</v>
          </cell>
        </row>
        <row r="82">
          <cell r="A82" t="str">
            <v>A80</v>
          </cell>
          <cell r="B82">
            <v>2317776.6680000001</v>
          </cell>
          <cell r="C82">
            <v>430353.95600000001</v>
          </cell>
          <cell r="D82">
            <v>26.8</v>
          </cell>
          <cell r="E82" t="str">
            <v>DC1</v>
          </cell>
          <cell r="F82">
            <v>-9.6999999999999993</v>
          </cell>
          <cell r="G82">
            <v>-8.6999999999999993</v>
          </cell>
          <cell r="J82" t="str">
            <v/>
          </cell>
          <cell r="K82">
            <v>0</v>
          </cell>
          <cell r="L82">
            <v>0</v>
          </cell>
          <cell r="M82">
            <v>1200</v>
          </cell>
        </row>
        <row r="83">
          <cell r="A83" t="str">
            <v>A81</v>
          </cell>
          <cell r="B83">
            <v>2317773.7390000001</v>
          </cell>
          <cell r="C83">
            <v>430355.59100000001</v>
          </cell>
          <cell r="D83">
            <v>26.8</v>
          </cell>
          <cell r="E83" t="str">
            <v>DC1</v>
          </cell>
          <cell r="F83">
            <v>-8.6999999999999993</v>
          </cell>
          <cell r="G83">
            <v>-7.6999999999999993</v>
          </cell>
          <cell r="J83" t="str">
            <v/>
          </cell>
          <cell r="K83">
            <v>0</v>
          </cell>
          <cell r="L83">
            <v>0</v>
          </cell>
          <cell r="M83">
            <v>1200</v>
          </cell>
        </row>
        <row r="84">
          <cell r="A84" t="str">
            <v>A82</v>
          </cell>
          <cell r="B84">
            <v>2317770.6740000001</v>
          </cell>
          <cell r="C84">
            <v>430354.228</v>
          </cell>
          <cell r="D84">
            <v>26.8</v>
          </cell>
          <cell r="E84" t="str">
            <v>DC1</v>
          </cell>
          <cell r="F84">
            <v>-8.6999999999999993</v>
          </cell>
          <cell r="G84">
            <v>-7.6999999999999993</v>
          </cell>
          <cell r="J84" t="str">
            <v/>
          </cell>
          <cell r="K84">
            <v>0</v>
          </cell>
          <cell r="L84">
            <v>0</v>
          </cell>
          <cell r="M84">
            <v>1200</v>
          </cell>
        </row>
        <row r="85">
          <cell r="A85" t="str">
            <v>A83</v>
          </cell>
          <cell r="B85">
            <v>2317770.8110000002</v>
          </cell>
          <cell r="C85">
            <v>430357.22499999998</v>
          </cell>
          <cell r="D85">
            <v>26.8</v>
          </cell>
          <cell r="E85" t="str">
            <v>DC1</v>
          </cell>
          <cell r="F85">
            <v>-8.6999999999999993</v>
          </cell>
          <cell r="G85">
            <v>-7.6999999999999993</v>
          </cell>
          <cell r="J85" t="str">
            <v/>
          </cell>
          <cell r="K85">
            <v>0</v>
          </cell>
          <cell r="L85">
            <v>0</v>
          </cell>
          <cell r="M85">
            <v>1200</v>
          </cell>
        </row>
        <row r="86">
          <cell r="A86" t="str">
            <v>A84</v>
          </cell>
          <cell r="B86">
            <v>2317773.8760000002</v>
          </cell>
          <cell r="C86">
            <v>430358.587</v>
          </cell>
          <cell r="D86">
            <v>26.8</v>
          </cell>
          <cell r="E86" t="str">
            <v>DC1</v>
          </cell>
          <cell r="F86">
            <v>-8.6999999999999993</v>
          </cell>
          <cell r="G86">
            <v>-7.6999999999999993</v>
          </cell>
          <cell r="J86" t="str">
            <v/>
          </cell>
          <cell r="K86">
            <v>0</v>
          </cell>
          <cell r="L86">
            <v>0</v>
          </cell>
          <cell r="M86">
            <v>1200</v>
          </cell>
        </row>
        <row r="87">
          <cell r="A87" t="str">
            <v>A85</v>
          </cell>
          <cell r="B87">
            <v>2317776.804</v>
          </cell>
          <cell r="C87">
            <v>430356.95299999998</v>
          </cell>
          <cell r="D87">
            <v>26.8</v>
          </cell>
          <cell r="E87" t="str">
            <v>DC1</v>
          </cell>
          <cell r="F87">
            <v>-9.6999999999999993</v>
          </cell>
          <cell r="G87">
            <v>-8.6999999999999993</v>
          </cell>
          <cell r="I87" t="str">
            <v>X</v>
          </cell>
          <cell r="J87" t="str">
            <v>L</v>
          </cell>
          <cell r="K87">
            <v>3</v>
          </cell>
          <cell r="L87">
            <v>1</v>
          </cell>
          <cell r="M87">
            <v>1200</v>
          </cell>
        </row>
        <row r="88">
          <cell r="A88" t="str">
            <v>A86</v>
          </cell>
          <cell r="B88">
            <v>2317779.8689999999</v>
          </cell>
          <cell r="C88">
            <v>430358.315</v>
          </cell>
          <cell r="D88">
            <v>41.7</v>
          </cell>
          <cell r="E88" t="str">
            <v>DC1</v>
          </cell>
          <cell r="F88">
            <v>-9.6999999999999993</v>
          </cell>
          <cell r="G88">
            <v>-8.6999999999999993</v>
          </cell>
          <cell r="H88" t="str">
            <v>X</v>
          </cell>
          <cell r="J88" t="str">
            <v>SA</v>
          </cell>
          <cell r="K88">
            <v>4</v>
          </cell>
          <cell r="L88">
            <v>0</v>
          </cell>
          <cell r="M88">
            <v>1200</v>
          </cell>
        </row>
        <row r="89">
          <cell r="A89" t="str">
            <v>A87</v>
          </cell>
          <cell r="B89">
            <v>2317782.798</v>
          </cell>
          <cell r="C89">
            <v>430356.68</v>
          </cell>
          <cell r="D89">
            <v>41.7</v>
          </cell>
          <cell r="E89" t="str">
            <v>DC1</v>
          </cell>
          <cell r="F89">
            <v>-9.6999999999999993</v>
          </cell>
          <cell r="G89">
            <v>-8.6999999999999993</v>
          </cell>
          <cell r="J89" t="str">
            <v/>
          </cell>
          <cell r="K89">
            <v>0</v>
          </cell>
          <cell r="L89">
            <v>0</v>
          </cell>
          <cell r="M89">
            <v>1200</v>
          </cell>
        </row>
        <row r="90">
          <cell r="A90" t="str">
            <v>A88</v>
          </cell>
          <cell r="B90">
            <v>2317782.9339999999</v>
          </cell>
          <cell r="C90">
            <v>430359.67700000003</v>
          </cell>
          <cell r="D90">
            <v>41.7</v>
          </cell>
          <cell r="E90" t="str">
            <v>DC1</v>
          </cell>
          <cell r="F90">
            <v>-9.6999999999999993</v>
          </cell>
          <cell r="G90">
            <v>-8.6999999999999993</v>
          </cell>
          <cell r="H90" t="str">
            <v>X</v>
          </cell>
          <cell r="J90" t="str">
            <v>SA</v>
          </cell>
          <cell r="K90">
            <v>4</v>
          </cell>
          <cell r="L90">
            <v>0</v>
          </cell>
          <cell r="M90">
            <v>1200</v>
          </cell>
        </row>
        <row r="91">
          <cell r="A91" t="str">
            <v>A89</v>
          </cell>
          <cell r="B91">
            <v>2317780.0060000001</v>
          </cell>
          <cell r="C91">
            <v>430361.31199999998</v>
          </cell>
          <cell r="D91">
            <v>41.7</v>
          </cell>
          <cell r="E91" t="str">
            <v>DC1</v>
          </cell>
          <cell r="F91">
            <v>-9.6999999999999993</v>
          </cell>
          <cell r="G91">
            <v>-8.6999999999999993</v>
          </cell>
          <cell r="J91" t="str">
            <v/>
          </cell>
          <cell r="K91">
            <v>0</v>
          </cell>
          <cell r="L91">
            <v>0</v>
          </cell>
          <cell r="M91">
            <v>1200</v>
          </cell>
        </row>
        <row r="92">
          <cell r="A92" t="str">
            <v>A90</v>
          </cell>
          <cell r="B92">
            <v>2317776.9410000001</v>
          </cell>
          <cell r="C92">
            <v>430359.95</v>
          </cell>
          <cell r="D92">
            <v>26.8</v>
          </cell>
          <cell r="E92" t="str">
            <v>DC1</v>
          </cell>
          <cell r="F92">
            <v>-9.6999999999999993</v>
          </cell>
          <cell r="G92">
            <v>-8.6999999999999993</v>
          </cell>
          <cell r="J92" t="str">
            <v/>
          </cell>
          <cell r="K92">
            <v>0</v>
          </cell>
          <cell r="L92">
            <v>0</v>
          </cell>
          <cell r="M92">
            <v>1200</v>
          </cell>
        </row>
        <row r="93">
          <cell r="A93" t="str">
            <v>A91</v>
          </cell>
          <cell r="B93">
            <v>2317774.0120000001</v>
          </cell>
          <cell r="C93">
            <v>430361.58399999997</v>
          </cell>
          <cell r="D93">
            <v>24.9</v>
          </cell>
          <cell r="E93" t="str">
            <v>DC1</v>
          </cell>
          <cell r="F93">
            <v>-8.6999999999999993</v>
          </cell>
          <cell r="G93">
            <v>-7.6999999999999993</v>
          </cell>
          <cell r="H93" t="str">
            <v>X</v>
          </cell>
          <cell r="J93" t="str">
            <v>SA</v>
          </cell>
          <cell r="K93">
            <v>4</v>
          </cell>
          <cell r="L93">
            <v>0</v>
          </cell>
          <cell r="M93">
            <v>1200</v>
          </cell>
        </row>
        <row r="94">
          <cell r="A94" t="str">
            <v>A92</v>
          </cell>
          <cell r="B94">
            <v>2317770.9470000002</v>
          </cell>
          <cell r="C94">
            <v>430360.22200000001</v>
          </cell>
          <cell r="D94">
            <v>24.9</v>
          </cell>
          <cell r="E94" t="str">
            <v>DC1</v>
          </cell>
          <cell r="F94">
            <v>-8.6999999999999993</v>
          </cell>
          <cell r="G94">
            <v>-7.6999999999999993</v>
          </cell>
          <cell r="H94" t="str">
            <v>X</v>
          </cell>
          <cell r="J94" t="str">
            <v>SA</v>
          </cell>
          <cell r="K94">
            <v>4</v>
          </cell>
          <cell r="L94">
            <v>0</v>
          </cell>
          <cell r="M94">
            <v>1200</v>
          </cell>
        </row>
        <row r="95">
          <cell r="A95" t="str">
            <v>A93</v>
          </cell>
          <cell r="B95">
            <v>2317771.0830000001</v>
          </cell>
          <cell r="C95">
            <v>430363.21899999998</v>
          </cell>
          <cell r="D95">
            <v>24.9</v>
          </cell>
          <cell r="E95" t="str">
            <v>DC1</v>
          </cell>
          <cell r="F95">
            <v>-8.6999999999999993</v>
          </cell>
          <cell r="G95">
            <v>-7.6999999999999993</v>
          </cell>
          <cell r="J95" t="str">
            <v/>
          </cell>
          <cell r="K95">
            <v>0</v>
          </cell>
          <cell r="L95">
            <v>0</v>
          </cell>
          <cell r="M95">
            <v>1200</v>
          </cell>
        </row>
        <row r="96">
          <cell r="A96" t="str">
            <v>A94</v>
          </cell>
          <cell r="B96">
            <v>2317777.077</v>
          </cell>
          <cell r="C96">
            <v>430362.94699999999</v>
          </cell>
          <cell r="D96">
            <v>24.9</v>
          </cell>
          <cell r="E96" t="str">
            <v>DC1</v>
          </cell>
          <cell r="F96">
            <v>-9.6999999999999993</v>
          </cell>
          <cell r="G96">
            <v>-8.6999999999999993</v>
          </cell>
          <cell r="H96" t="str">
            <v>X</v>
          </cell>
          <cell r="J96" t="str">
            <v>SA</v>
          </cell>
          <cell r="K96">
            <v>4</v>
          </cell>
          <cell r="L96">
            <v>0</v>
          </cell>
          <cell r="M96">
            <v>1200</v>
          </cell>
        </row>
        <row r="97">
          <cell r="A97" t="str">
            <v>A95</v>
          </cell>
          <cell r="B97">
            <v>2317783.071</v>
          </cell>
          <cell r="C97">
            <v>430362.674</v>
          </cell>
          <cell r="D97">
            <v>41.7</v>
          </cell>
          <cell r="E97" t="str">
            <v>DC1</v>
          </cell>
          <cell r="F97">
            <v>-9.6999999999999993</v>
          </cell>
          <cell r="G97">
            <v>-8.6999999999999993</v>
          </cell>
          <cell r="J97" t="str">
            <v/>
          </cell>
          <cell r="K97">
            <v>0</v>
          </cell>
          <cell r="L97">
            <v>0</v>
          </cell>
          <cell r="M97">
            <v>1200</v>
          </cell>
        </row>
        <row r="98">
          <cell r="A98" t="str">
            <v>A96</v>
          </cell>
          <cell r="B98">
            <v>2317783.0210000002</v>
          </cell>
          <cell r="C98">
            <v>430369.283</v>
          </cell>
          <cell r="D98">
            <v>22.3</v>
          </cell>
          <cell r="E98" t="str">
            <v>DC3</v>
          </cell>
          <cell r="F98">
            <v>-7.7</v>
          </cell>
          <cell r="G98">
            <v>-6.7</v>
          </cell>
          <cell r="H98" t="str">
            <v>X</v>
          </cell>
          <cell r="J98" t="str">
            <v>SA</v>
          </cell>
          <cell r="K98">
            <v>4</v>
          </cell>
          <cell r="L98">
            <v>0</v>
          </cell>
          <cell r="M98">
            <v>1200</v>
          </cell>
        </row>
        <row r="99">
          <cell r="A99" t="str">
            <v>A97</v>
          </cell>
          <cell r="B99">
            <v>2317779.0249999999</v>
          </cell>
          <cell r="C99">
            <v>430369.46500000003</v>
          </cell>
          <cell r="D99">
            <v>22.3</v>
          </cell>
          <cell r="E99" t="str">
            <v>DC3</v>
          </cell>
          <cell r="F99">
            <v>-7.7</v>
          </cell>
          <cell r="G99">
            <v>-6.7</v>
          </cell>
          <cell r="J99" t="str">
            <v/>
          </cell>
          <cell r="K99">
            <v>0</v>
          </cell>
          <cell r="L99">
            <v>0</v>
          </cell>
          <cell r="M99">
            <v>1200</v>
          </cell>
        </row>
        <row r="100">
          <cell r="A100" t="str">
            <v>A98</v>
          </cell>
          <cell r="B100">
            <v>2317781.1140000001</v>
          </cell>
          <cell r="C100">
            <v>430371.37199999997</v>
          </cell>
          <cell r="D100">
            <v>22.3</v>
          </cell>
          <cell r="E100" t="str">
            <v>DC3</v>
          </cell>
          <cell r="F100">
            <v>-7.7</v>
          </cell>
          <cell r="G100">
            <v>-6.7</v>
          </cell>
          <cell r="J100" t="str">
            <v/>
          </cell>
          <cell r="K100">
            <v>0</v>
          </cell>
          <cell r="L100">
            <v>0</v>
          </cell>
          <cell r="M100">
            <v>1200</v>
          </cell>
        </row>
        <row r="101">
          <cell r="A101" t="str">
            <v>A99</v>
          </cell>
          <cell r="B101">
            <v>2317779.2069999999</v>
          </cell>
          <cell r="C101">
            <v>430373.46100000001</v>
          </cell>
          <cell r="D101">
            <v>22.3</v>
          </cell>
          <cell r="E101" t="str">
            <v>DC3</v>
          </cell>
          <cell r="F101">
            <v>-7.7</v>
          </cell>
          <cell r="G101">
            <v>-6.7</v>
          </cell>
          <cell r="H101" t="str">
            <v>X</v>
          </cell>
          <cell r="J101" t="str">
            <v>SA</v>
          </cell>
          <cell r="K101">
            <v>4</v>
          </cell>
          <cell r="L101">
            <v>0</v>
          </cell>
          <cell r="M101">
            <v>1200</v>
          </cell>
        </row>
        <row r="102">
          <cell r="A102" t="str">
            <v>A100</v>
          </cell>
          <cell r="B102">
            <v>2317783.2030000002</v>
          </cell>
          <cell r="C102">
            <v>430373.27899999998</v>
          </cell>
          <cell r="D102">
            <v>22.3</v>
          </cell>
          <cell r="E102" t="str">
            <v>DC3</v>
          </cell>
          <cell r="F102">
            <v>-7.7</v>
          </cell>
          <cell r="G102">
            <v>-6.7</v>
          </cell>
          <cell r="H102" t="str">
            <v>X</v>
          </cell>
          <cell r="J102" t="str">
            <v>SA</v>
          </cell>
          <cell r="K102">
            <v>4</v>
          </cell>
          <cell r="L102">
            <v>0</v>
          </cell>
          <cell r="M102">
            <v>1200</v>
          </cell>
        </row>
        <row r="103">
          <cell r="A103" t="str">
            <v>A101</v>
          </cell>
          <cell r="B103">
            <v>2317783.4300000002</v>
          </cell>
          <cell r="C103">
            <v>430378.27399999998</v>
          </cell>
          <cell r="D103">
            <v>32.9</v>
          </cell>
          <cell r="E103" t="str">
            <v>DC3</v>
          </cell>
          <cell r="F103">
            <v>-7.7</v>
          </cell>
          <cell r="G103">
            <v>-6.7</v>
          </cell>
          <cell r="H103" t="str">
            <v>X</v>
          </cell>
          <cell r="J103" t="str">
            <v>SA</v>
          </cell>
          <cell r="K103">
            <v>4</v>
          </cell>
          <cell r="L103">
            <v>0</v>
          </cell>
          <cell r="M103">
            <v>1200</v>
          </cell>
        </row>
        <row r="104">
          <cell r="A104" t="str">
            <v>A102</v>
          </cell>
          <cell r="B104">
            <v>2317779.4339999999</v>
          </cell>
          <cell r="C104">
            <v>430378.45600000001</v>
          </cell>
          <cell r="D104">
            <v>32.9</v>
          </cell>
          <cell r="E104" t="str">
            <v>DC3</v>
          </cell>
          <cell r="F104">
            <v>-7.7</v>
          </cell>
          <cell r="G104">
            <v>-6.7</v>
          </cell>
          <cell r="H104" t="str">
            <v>X</v>
          </cell>
          <cell r="J104" t="str">
            <v>SA</v>
          </cell>
          <cell r="K104">
            <v>4</v>
          </cell>
          <cell r="L104">
            <v>0</v>
          </cell>
          <cell r="M104">
            <v>1200</v>
          </cell>
        </row>
        <row r="105">
          <cell r="A105" t="str">
            <v>A103</v>
          </cell>
          <cell r="B105">
            <v>2317781.523</v>
          </cell>
          <cell r="C105">
            <v>430380.36300000001</v>
          </cell>
          <cell r="D105">
            <v>32.9</v>
          </cell>
          <cell r="E105" t="str">
            <v>DC3</v>
          </cell>
          <cell r="F105">
            <v>-7.7</v>
          </cell>
          <cell r="G105">
            <v>-6.7</v>
          </cell>
          <cell r="J105" t="str">
            <v/>
          </cell>
          <cell r="K105">
            <v>0</v>
          </cell>
          <cell r="L105">
            <v>0</v>
          </cell>
          <cell r="M105">
            <v>1200</v>
          </cell>
        </row>
        <row r="106">
          <cell r="A106" t="str">
            <v>A104</v>
          </cell>
          <cell r="B106">
            <v>2317783.611</v>
          </cell>
          <cell r="C106">
            <v>430382.27</v>
          </cell>
          <cell r="D106">
            <v>32.9</v>
          </cell>
          <cell r="E106" t="str">
            <v>DC3</v>
          </cell>
          <cell r="F106">
            <v>-7.7</v>
          </cell>
          <cell r="G106">
            <v>-6.7</v>
          </cell>
          <cell r="H106" t="str">
            <v>X</v>
          </cell>
          <cell r="J106" t="str">
            <v>SA</v>
          </cell>
          <cell r="K106">
            <v>4</v>
          </cell>
          <cell r="L106">
            <v>0</v>
          </cell>
          <cell r="M106">
            <v>1200</v>
          </cell>
        </row>
        <row r="107">
          <cell r="A107" t="str">
            <v>A105</v>
          </cell>
          <cell r="B107">
            <v>2317779.6150000002</v>
          </cell>
          <cell r="C107">
            <v>430382.451</v>
          </cell>
          <cell r="D107">
            <v>32.9</v>
          </cell>
          <cell r="E107" t="str">
            <v>DC3</v>
          </cell>
          <cell r="F107">
            <v>-7.7</v>
          </cell>
          <cell r="G107">
            <v>-6.7</v>
          </cell>
          <cell r="H107" t="str">
            <v>X</v>
          </cell>
          <cell r="J107" t="str">
            <v>SA</v>
          </cell>
          <cell r="K107">
            <v>4</v>
          </cell>
          <cell r="L107">
            <v>0</v>
          </cell>
          <cell r="M107">
            <v>1200</v>
          </cell>
        </row>
        <row r="108">
          <cell r="A108" t="str">
            <v>A106</v>
          </cell>
          <cell r="B108">
            <v>2317781.8360000001</v>
          </cell>
          <cell r="C108">
            <v>430387.25599999999</v>
          </cell>
          <cell r="D108">
            <v>33.200000000000003</v>
          </cell>
          <cell r="E108" t="str">
            <v>DC5A</v>
          </cell>
          <cell r="F108">
            <v>-7.7</v>
          </cell>
          <cell r="G108">
            <v>-6.7</v>
          </cell>
          <cell r="H108" t="str">
            <v>X</v>
          </cell>
          <cell r="J108" t="str">
            <v>SA</v>
          </cell>
          <cell r="K108">
            <v>4</v>
          </cell>
          <cell r="L108">
            <v>0</v>
          </cell>
          <cell r="M108">
            <v>1200</v>
          </cell>
        </row>
        <row r="109">
          <cell r="A109" t="str">
            <v>A107</v>
          </cell>
          <cell r="B109">
            <v>2317783.4569999999</v>
          </cell>
          <cell r="C109">
            <v>430389.88500000001</v>
          </cell>
          <cell r="D109">
            <v>33.200000000000003</v>
          </cell>
          <cell r="E109" t="str">
            <v>DC5A</v>
          </cell>
          <cell r="F109">
            <v>-7.7</v>
          </cell>
          <cell r="G109">
            <v>-6.7</v>
          </cell>
          <cell r="H109" t="str">
            <v>X</v>
          </cell>
          <cell r="J109" t="str">
            <v>SA</v>
          </cell>
          <cell r="K109">
            <v>4</v>
          </cell>
          <cell r="L109">
            <v>0</v>
          </cell>
          <cell r="M109">
            <v>1200</v>
          </cell>
        </row>
        <row r="110">
          <cell r="A110" t="str">
            <v>A108</v>
          </cell>
          <cell r="B110">
            <v>2317780.46</v>
          </cell>
          <cell r="C110">
            <v>430390.02100000001</v>
          </cell>
          <cell r="D110">
            <v>33.200000000000003</v>
          </cell>
          <cell r="E110" t="str">
            <v>DC5A</v>
          </cell>
          <cell r="F110">
            <v>-7.7</v>
          </cell>
          <cell r="G110">
            <v>-6.7</v>
          </cell>
          <cell r="I110" t="str">
            <v>X</v>
          </cell>
          <cell r="J110" t="str">
            <v>L</v>
          </cell>
          <cell r="K110">
            <v>3</v>
          </cell>
          <cell r="L110">
            <v>1</v>
          </cell>
          <cell r="M110">
            <v>1200</v>
          </cell>
        </row>
        <row r="111">
          <cell r="A111" t="str">
            <v>A109</v>
          </cell>
          <cell r="B111">
            <v>2317770.8960000002</v>
          </cell>
          <cell r="C111">
            <v>430370.33500000002</v>
          </cell>
          <cell r="D111">
            <v>31.4</v>
          </cell>
          <cell r="E111" t="str">
            <v>DC3A</v>
          </cell>
          <cell r="F111">
            <v>-7.7</v>
          </cell>
          <cell r="G111">
            <v>-6.7</v>
          </cell>
          <cell r="H111" t="str">
            <v>X</v>
          </cell>
          <cell r="J111" t="str">
            <v>SA</v>
          </cell>
          <cell r="K111">
            <v>4</v>
          </cell>
          <cell r="L111">
            <v>0</v>
          </cell>
          <cell r="M111">
            <v>1200</v>
          </cell>
        </row>
        <row r="112">
          <cell r="A112" t="str">
            <v>A110</v>
          </cell>
          <cell r="B112">
            <v>2317773.8930000002</v>
          </cell>
          <cell r="C112">
            <v>430370.19900000002</v>
          </cell>
          <cell r="D112">
            <v>31.4</v>
          </cell>
          <cell r="E112" t="str">
            <v>DC3A</v>
          </cell>
          <cell r="F112">
            <v>-7.7</v>
          </cell>
          <cell r="G112">
            <v>-6.7</v>
          </cell>
          <cell r="J112" t="str">
            <v/>
          </cell>
          <cell r="K112">
            <v>0</v>
          </cell>
          <cell r="L112">
            <v>0</v>
          </cell>
          <cell r="M112">
            <v>1200</v>
          </cell>
        </row>
        <row r="113">
          <cell r="A113" t="str">
            <v>A111</v>
          </cell>
          <cell r="B113">
            <v>2317774.0290000001</v>
          </cell>
          <cell r="C113">
            <v>430373.196</v>
          </cell>
          <cell r="D113">
            <v>31.4</v>
          </cell>
          <cell r="E113" t="str">
            <v>DC3A</v>
          </cell>
          <cell r="F113">
            <v>-7.7</v>
          </cell>
          <cell r="G113">
            <v>-6.7</v>
          </cell>
          <cell r="H113" t="str">
            <v>X</v>
          </cell>
          <cell r="J113" t="str">
            <v>SA</v>
          </cell>
          <cell r="K113">
            <v>4</v>
          </cell>
          <cell r="L113">
            <v>0</v>
          </cell>
          <cell r="M113">
            <v>1200</v>
          </cell>
        </row>
        <row r="114">
          <cell r="A114" t="str">
            <v>A112</v>
          </cell>
          <cell r="B114">
            <v>2317771.0320000001</v>
          </cell>
          <cell r="C114">
            <v>430373.33199999999</v>
          </cell>
          <cell r="D114">
            <v>31.4</v>
          </cell>
          <cell r="E114" t="str">
            <v>DC3A</v>
          </cell>
          <cell r="F114">
            <v>-7.7</v>
          </cell>
          <cell r="G114">
            <v>-6.7</v>
          </cell>
          <cell r="J114" t="str">
            <v/>
          </cell>
          <cell r="K114">
            <v>0</v>
          </cell>
          <cell r="L114">
            <v>0</v>
          </cell>
          <cell r="M114">
            <v>1200</v>
          </cell>
        </row>
        <row r="115">
          <cell r="A115" t="str">
            <v>A113</v>
          </cell>
          <cell r="B115">
            <v>2317771.3050000002</v>
          </cell>
          <cell r="C115">
            <v>430379.326</v>
          </cell>
          <cell r="D115">
            <v>43.5</v>
          </cell>
          <cell r="E115" t="str">
            <v>DC3A</v>
          </cell>
          <cell r="F115">
            <v>-7.7</v>
          </cell>
          <cell r="G115">
            <v>-6.7</v>
          </cell>
          <cell r="I115" t="str">
            <v>X</v>
          </cell>
          <cell r="J115" t="str">
            <v>L</v>
          </cell>
          <cell r="K115">
            <v>3</v>
          </cell>
          <cell r="L115">
            <v>1</v>
          </cell>
          <cell r="M115">
            <v>1200</v>
          </cell>
        </row>
        <row r="116">
          <cell r="A116" t="str">
            <v>A114</v>
          </cell>
          <cell r="B116">
            <v>2317774.3020000001</v>
          </cell>
          <cell r="C116">
            <v>430379.18900000001</v>
          </cell>
          <cell r="D116">
            <v>43.5</v>
          </cell>
          <cell r="E116" t="str">
            <v>DC3A</v>
          </cell>
          <cell r="F116">
            <v>-7.7</v>
          </cell>
          <cell r="G116">
            <v>-6.7</v>
          </cell>
          <cell r="H116" t="str">
            <v>X</v>
          </cell>
          <cell r="J116" t="str">
            <v>SA</v>
          </cell>
          <cell r="K116">
            <v>4</v>
          </cell>
          <cell r="L116">
            <v>0</v>
          </cell>
          <cell r="M116">
            <v>1200</v>
          </cell>
        </row>
        <row r="117">
          <cell r="A117" t="str">
            <v>A115</v>
          </cell>
          <cell r="B117">
            <v>2317774.4380000001</v>
          </cell>
          <cell r="C117">
            <v>430382.18599999999</v>
          </cell>
          <cell r="D117">
            <v>43.5</v>
          </cell>
          <cell r="E117" t="str">
            <v>DC3A</v>
          </cell>
          <cell r="F117">
            <v>-7.7</v>
          </cell>
          <cell r="G117">
            <v>-6.7</v>
          </cell>
          <cell r="H117" t="str">
            <v>X</v>
          </cell>
          <cell r="J117" t="str">
            <v>SA</v>
          </cell>
          <cell r="K117">
            <v>4</v>
          </cell>
          <cell r="L117">
            <v>0</v>
          </cell>
          <cell r="M117">
            <v>1200</v>
          </cell>
        </row>
        <row r="118">
          <cell r="A118" t="str">
            <v>A116</v>
          </cell>
          <cell r="B118">
            <v>2317771.4410000001</v>
          </cell>
          <cell r="C118">
            <v>430382.32299999997</v>
          </cell>
          <cell r="D118">
            <v>43.5</v>
          </cell>
          <cell r="E118" t="str">
            <v>DC3A</v>
          </cell>
          <cell r="F118">
            <v>-7.7</v>
          </cell>
          <cell r="G118">
            <v>-6.7</v>
          </cell>
          <cell r="J118" t="str">
            <v/>
          </cell>
          <cell r="K118">
            <v>0</v>
          </cell>
          <cell r="L118">
            <v>0</v>
          </cell>
          <cell r="M118">
            <v>1200</v>
          </cell>
        </row>
        <row r="119">
          <cell r="A119" t="str">
            <v>A117</v>
          </cell>
          <cell r="B119">
            <v>2317773.1850000001</v>
          </cell>
          <cell r="C119">
            <v>430387.64899999998</v>
          </cell>
          <cell r="D119">
            <v>40.4</v>
          </cell>
          <cell r="E119" t="str">
            <v>DC5A</v>
          </cell>
          <cell r="F119">
            <v>-7.7</v>
          </cell>
          <cell r="G119">
            <v>-6.7</v>
          </cell>
          <cell r="H119" t="str">
            <v>X</v>
          </cell>
          <cell r="J119" t="str">
            <v>SA</v>
          </cell>
          <cell r="K119">
            <v>4</v>
          </cell>
          <cell r="L119">
            <v>0</v>
          </cell>
          <cell r="M119">
            <v>1200</v>
          </cell>
        </row>
        <row r="120">
          <cell r="A120" t="str">
            <v>A118</v>
          </cell>
          <cell r="B120">
            <v>2317771.8089999999</v>
          </cell>
          <cell r="C120">
            <v>430390.41399999999</v>
          </cell>
          <cell r="D120">
            <v>40.4</v>
          </cell>
          <cell r="E120" t="str">
            <v>DC5A</v>
          </cell>
          <cell r="F120">
            <v>-7.7</v>
          </cell>
          <cell r="G120">
            <v>-6.7</v>
          </cell>
          <cell r="H120" t="str">
            <v>X</v>
          </cell>
          <cell r="J120" t="str">
            <v>SA</v>
          </cell>
          <cell r="K120">
            <v>4</v>
          </cell>
          <cell r="L120">
            <v>0</v>
          </cell>
          <cell r="M120">
            <v>1200</v>
          </cell>
        </row>
        <row r="121">
          <cell r="A121" t="str">
            <v>A119</v>
          </cell>
          <cell r="B121">
            <v>2317774.8059999999</v>
          </cell>
          <cell r="C121">
            <v>430390.27799999999</v>
          </cell>
          <cell r="D121">
            <v>40.4</v>
          </cell>
          <cell r="E121" t="str">
            <v>DC5A</v>
          </cell>
          <cell r="F121">
            <v>-7.7</v>
          </cell>
          <cell r="G121">
            <v>-6.7</v>
          </cell>
          <cell r="H121" t="str">
            <v>X</v>
          </cell>
          <cell r="J121" t="str">
            <v>SA</v>
          </cell>
          <cell r="K121">
            <v>4</v>
          </cell>
          <cell r="L121">
            <v>0</v>
          </cell>
          <cell r="M121">
            <v>1200</v>
          </cell>
        </row>
        <row r="122">
          <cell r="A122" t="str">
            <v>A120</v>
          </cell>
          <cell r="B122">
            <v>2317761.4789999998</v>
          </cell>
          <cell r="C122">
            <v>430306.10600000003</v>
          </cell>
          <cell r="D122">
            <v>23</v>
          </cell>
          <cell r="E122" t="str">
            <v>DC5</v>
          </cell>
          <cell r="F122">
            <v>-8.6999999999999993</v>
          </cell>
          <cell r="G122">
            <v>-7.6999999999999993</v>
          </cell>
          <cell r="H122" t="str">
            <v>X</v>
          </cell>
          <cell r="J122" t="str">
            <v>SA</v>
          </cell>
          <cell r="K122">
            <v>4</v>
          </cell>
          <cell r="L122">
            <v>0</v>
          </cell>
          <cell r="M122">
            <v>1200</v>
          </cell>
        </row>
        <row r="123">
          <cell r="A123" t="str">
            <v>A121</v>
          </cell>
          <cell r="B123">
            <v>2317758.4819999998</v>
          </cell>
          <cell r="C123">
            <v>430306.24300000002</v>
          </cell>
          <cell r="D123">
            <v>23</v>
          </cell>
          <cell r="E123" t="str">
            <v>DC5</v>
          </cell>
          <cell r="F123">
            <v>-8.6999999999999993</v>
          </cell>
          <cell r="G123">
            <v>-7.6999999999999993</v>
          </cell>
          <cell r="J123" t="str">
            <v/>
          </cell>
          <cell r="K123">
            <v>0</v>
          </cell>
          <cell r="L123">
            <v>0</v>
          </cell>
          <cell r="M123">
            <v>1200</v>
          </cell>
        </row>
        <row r="124">
          <cell r="A124" t="str">
            <v>A122</v>
          </cell>
          <cell r="B124">
            <v>2317760.1030000001</v>
          </cell>
          <cell r="C124">
            <v>430308.87199999997</v>
          </cell>
          <cell r="D124">
            <v>23</v>
          </cell>
          <cell r="E124" t="str">
            <v>DC5</v>
          </cell>
          <cell r="F124">
            <v>-8.6999999999999993</v>
          </cell>
          <cell r="G124">
            <v>-7.6999999999999993</v>
          </cell>
          <cell r="J124" t="str">
            <v/>
          </cell>
          <cell r="K124">
            <v>0</v>
          </cell>
          <cell r="L124">
            <v>0</v>
          </cell>
          <cell r="M124">
            <v>1200</v>
          </cell>
        </row>
        <row r="125">
          <cell r="A125" t="str">
            <v>A123</v>
          </cell>
          <cell r="B125">
            <v>2317762.1869999999</v>
          </cell>
          <cell r="C125">
            <v>430316.17499999999</v>
          </cell>
          <cell r="D125">
            <v>23</v>
          </cell>
          <cell r="E125" t="str">
            <v>DC5</v>
          </cell>
          <cell r="F125">
            <v>-8.6999999999999993</v>
          </cell>
          <cell r="G125">
            <v>-7.6999999999999993</v>
          </cell>
          <cell r="J125" t="str">
            <v/>
          </cell>
          <cell r="K125">
            <v>0</v>
          </cell>
          <cell r="L125">
            <v>0</v>
          </cell>
          <cell r="M125">
            <v>1200</v>
          </cell>
        </row>
        <row r="126">
          <cell r="A126" t="str">
            <v>A124</v>
          </cell>
          <cell r="B126">
            <v>2317759.4219999998</v>
          </cell>
          <cell r="C126">
            <v>430314.799</v>
          </cell>
          <cell r="D126">
            <v>23</v>
          </cell>
          <cell r="E126" t="str">
            <v>DC5</v>
          </cell>
          <cell r="F126">
            <v>-8.6999999999999993</v>
          </cell>
          <cell r="G126">
            <v>-7.6999999999999993</v>
          </cell>
          <cell r="H126" t="str">
            <v>X</v>
          </cell>
          <cell r="J126" t="str">
            <v>SA</v>
          </cell>
          <cell r="K126">
            <v>4</v>
          </cell>
          <cell r="L126">
            <v>0</v>
          </cell>
          <cell r="M126">
            <v>1200</v>
          </cell>
        </row>
        <row r="127">
          <cell r="A127" t="str">
            <v>A125</v>
          </cell>
          <cell r="B127">
            <v>2317759.5580000002</v>
          </cell>
          <cell r="C127">
            <v>430317.79599999997</v>
          </cell>
          <cell r="D127">
            <v>23</v>
          </cell>
          <cell r="E127" t="str">
            <v>DC5</v>
          </cell>
          <cell r="F127">
            <v>-8.6999999999999993</v>
          </cell>
          <cell r="G127">
            <v>-7.6999999999999993</v>
          </cell>
          <cell r="I127" t="str">
            <v>X</v>
          </cell>
          <cell r="J127" t="str">
            <v>L</v>
          </cell>
          <cell r="K127">
            <v>3</v>
          </cell>
          <cell r="L127">
            <v>1</v>
          </cell>
          <cell r="M127">
            <v>1200</v>
          </cell>
        </row>
        <row r="128">
          <cell r="A128" t="str">
            <v>A126</v>
          </cell>
          <cell r="B128">
            <v>2317762.5780000002</v>
          </cell>
          <cell r="C128">
            <v>430324.77600000001</v>
          </cell>
          <cell r="D128">
            <v>23.4</v>
          </cell>
          <cell r="E128" t="str">
            <v>DC5</v>
          </cell>
          <cell r="F128">
            <v>-8.6999999999999993</v>
          </cell>
          <cell r="G128">
            <v>-7.6999999999999993</v>
          </cell>
          <cell r="H128" t="str">
            <v>X</v>
          </cell>
          <cell r="J128" t="str">
            <v>SA</v>
          </cell>
          <cell r="K128">
            <v>4</v>
          </cell>
          <cell r="L128">
            <v>0</v>
          </cell>
          <cell r="M128">
            <v>1200</v>
          </cell>
        </row>
        <row r="129">
          <cell r="A129" t="str">
            <v>A127</v>
          </cell>
          <cell r="B129">
            <v>2317759.8130000001</v>
          </cell>
          <cell r="C129">
            <v>430323.4</v>
          </cell>
          <cell r="D129">
            <v>23.4</v>
          </cell>
          <cell r="E129" t="str">
            <v>DC5</v>
          </cell>
          <cell r="F129">
            <v>-8.6999999999999993</v>
          </cell>
          <cell r="G129">
            <v>-7.6999999999999993</v>
          </cell>
          <cell r="J129" t="str">
            <v/>
          </cell>
          <cell r="K129">
            <v>0</v>
          </cell>
          <cell r="L129">
            <v>0</v>
          </cell>
          <cell r="M129">
            <v>1200</v>
          </cell>
        </row>
        <row r="130">
          <cell r="A130" t="str">
            <v>A128</v>
          </cell>
          <cell r="B130">
            <v>2317759.949</v>
          </cell>
          <cell r="C130">
            <v>430326.397</v>
          </cell>
          <cell r="D130">
            <v>23.4</v>
          </cell>
          <cell r="E130" t="str">
            <v>DC5</v>
          </cell>
          <cell r="F130">
            <v>-8.6999999999999993</v>
          </cell>
          <cell r="G130">
            <v>-7.6999999999999993</v>
          </cell>
          <cell r="J130" t="str">
            <v/>
          </cell>
          <cell r="K130">
            <v>0</v>
          </cell>
          <cell r="L130">
            <v>0</v>
          </cell>
          <cell r="M130">
            <v>1200</v>
          </cell>
        </row>
        <row r="131">
          <cell r="A131" t="str">
            <v>A129</v>
          </cell>
          <cell r="B131">
            <v>2317761.2349999999</v>
          </cell>
          <cell r="C131">
            <v>430333.77600000001</v>
          </cell>
          <cell r="D131">
            <v>29.5</v>
          </cell>
          <cell r="E131" t="str">
            <v>DC7</v>
          </cell>
          <cell r="F131">
            <v>-8.6999999999999993</v>
          </cell>
          <cell r="G131">
            <v>-7.6999999999999993</v>
          </cell>
          <cell r="J131" t="str">
            <v/>
          </cell>
          <cell r="K131">
            <v>0</v>
          </cell>
          <cell r="L131">
            <v>0</v>
          </cell>
          <cell r="M131">
            <v>1200</v>
          </cell>
        </row>
        <row r="132">
          <cell r="A132" t="str">
            <v>A130</v>
          </cell>
          <cell r="B132">
            <v>2317761.3990000002</v>
          </cell>
          <cell r="C132">
            <v>430337.37199999997</v>
          </cell>
          <cell r="D132">
            <v>29.5</v>
          </cell>
          <cell r="E132" t="str">
            <v>DC7</v>
          </cell>
          <cell r="F132">
            <v>-8.6999999999999993</v>
          </cell>
          <cell r="G132">
            <v>-7.6999999999999993</v>
          </cell>
          <cell r="H132" t="str">
            <v>X</v>
          </cell>
          <cell r="J132" t="str">
            <v>SA</v>
          </cell>
          <cell r="K132">
            <v>4</v>
          </cell>
          <cell r="L132">
            <v>0</v>
          </cell>
          <cell r="M132">
            <v>1200</v>
          </cell>
        </row>
        <row r="133">
          <cell r="A133" t="str">
            <v>A131</v>
          </cell>
          <cell r="B133">
            <v>2317761.5619999999</v>
          </cell>
          <cell r="C133">
            <v>430340.96799999999</v>
          </cell>
          <cell r="D133">
            <v>29.5</v>
          </cell>
          <cell r="E133" t="str">
            <v>DC7</v>
          </cell>
          <cell r="F133">
            <v>-8.6999999999999993</v>
          </cell>
          <cell r="G133">
            <v>-7.6999999999999993</v>
          </cell>
          <cell r="J133" t="str">
            <v/>
          </cell>
          <cell r="K133">
            <v>0</v>
          </cell>
          <cell r="L133">
            <v>0</v>
          </cell>
          <cell r="M133">
            <v>1200</v>
          </cell>
        </row>
        <row r="134">
          <cell r="A134" t="str">
            <v>A132</v>
          </cell>
          <cell r="B134">
            <v>2317760.838</v>
          </cell>
          <cell r="C134">
            <v>430345.967</v>
          </cell>
          <cell r="D134">
            <v>28.6</v>
          </cell>
          <cell r="E134" t="str">
            <v>DC5</v>
          </cell>
          <cell r="F134">
            <v>-8.6999999999999993</v>
          </cell>
          <cell r="G134">
            <v>-7.6999999999999993</v>
          </cell>
          <cell r="H134" t="str">
            <v>X</v>
          </cell>
          <cell r="J134" t="str">
            <v>SA</v>
          </cell>
          <cell r="K134">
            <v>4</v>
          </cell>
          <cell r="L134">
            <v>0</v>
          </cell>
          <cell r="M134">
            <v>1200</v>
          </cell>
        </row>
        <row r="135">
          <cell r="A135" t="str">
            <v>A133</v>
          </cell>
          <cell r="B135">
            <v>2317763.6039999998</v>
          </cell>
          <cell r="C135">
            <v>430347.342</v>
          </cell>
          <cell r="D135">
            <v>28.6</v>
          </cell>
          <cell r="E135" t="str">
            <v>DC5</v>
          </cell>
          <cell r="F135">
            <v>-8.6999999999999993</v>
          </cell>
          <cell r="G135">
            <v>-7.6999999999999993</v>
          </cell>
          <cell r="I135" t="str">
            <v>X</v>
          </cell>
          <cell r="J135" t="str">
            <v>L</v>
          </cell>
          <cell r="K135">
            <v>3</v>
          </cell>
          <cell r="L135">
            <v>1</v>
          </cell>
          <cell r="M135">
            <v>1200</v>
          </cell>
        </row>
        <row r="136">
          <cell r="A136" t="str">
            <v>A134</v>
          </cell>
          <cell r="B136">
            <v>2317760.9750000001</v>
          </cell>
          <cell r="C136">
            <v>430348.96299999999</v>
          </cell>
          <cell r="D136">
            <v>29.5</v>
          </cell>
          <cell r="E136" t="str">
            <v>DC5</v>
          </cell>
          <cell r="F136">
            <v>-8.6999999999999993</v>
          </cell>
          <cell r="G136">
            <v>-7.6999999999999993</v>
          </cell>
          <cell r="H136" t="str">
            <v>X</v>
          </cell>
          <cell r="J136" t="str">
            <v>SA</v>
          </cell>
          <cell r="K136">
            <v>4</v>
          </cell>
          <cell r="L136">
            <v>0</v>
          </cell>
          <cell r="M136">
            <v>1200</v>
          </cell>
        </row>
        <row r="137">
          <cell r="A137" t="str">
            <v>A135</v>
          </cell>
          <cell r="B137">
            <v>2317763.5950000002</v>
          </cell>
          <cell r="C137">
            <v>430352.64799999999</v>
          </cell>
          <cell r="D137">
            <v>27.2</v>
          </cell>
          <cell r="E137" t="str">
            <v>DC4</v>
          </cell>
          <cell r="F137">
            <v>-8.6999999999999993</v>
          </cell>
          <cell r="G137">
            <v>-7.6999999999999993</v>
          </cell>
          <cell r="J137" t="str">
            <v/>
          </cell>
          <cell r="K137">
            <v>0</v>
          </cell>
          <cell r="L137">
            <v>0</v>
          </cell>
          <cell r="M137">
            <v>1200</v>
          </cell>
        </row>
        <row r="138">
          <cell r="A138" t="str">
            <v>A136</v>
          </cell>
          <cell r="B138">
            <v>2317760.5980000002</v>
          </cell>
          <cell r="C138">
            <v>430352.78499999997</v>
          </cell>
          <cell r="D138">
            <v>27.2</v>
          </cell>
          <cell r="E138" t="str">
            <v>DC4</v>
          </cell>
          <cell r="F138">
            <v>-8.6999999999999993</v>
          </cell>
          <cell r="G138">
            <v>-7.6999999999999993</v>
          </cell>
          <cell r="I138" t="str">
            <v>X</v>
          </cell>
          <cell r="J138" t="str">
            <v>L</v>
          </cell>
          <cell r="K138">
            <v>3</v>
          </cell>
          <cell r="L138">
            <v>1</v>
          </cell>
          <cell r="M138">
            <v>1200</v>
          </cell>
        </row>
        <row r="139">
          <cell r="A139" t="str">
            <v>A137</v>
          </cell>
          <cell r="B139">
            <v>2317763.7319999998</v>
          </cell>
          <cell r="C139">
            <v>430355.64500000002</v>
          </cell>
          <cell r="D139">
            <v>27.2</v>
          </cell>
          <cell r="E139" t="str">
            <v>DC4</v>
          </cell>
          <cell r="F139">
            <v>-8.6999999999999993</v>
          </cell>
          <cell r="G139">
            <v>-7.6999999999999993</v>
          </cell>
          <cell r="J139" t="str">
            <v/>
          </cell>
          <cell r="K139">
            <v>0</v>
          </cell>
          <cell r="L139">
            <v>0</v>
          </cell>
          <cell r="M139">
            <v>1200</v>
          </cell>
        </row>
        <row r="140">
          <cell r="A140" t="str">
            <v>A138</v>
          </cell>
          <cell r="B140">
            <v>2317760.7340000002</v>
          </cell>
          <cell r="C140">
            <v>430355.78100000002</v>
          </cell>
          <cell r="D140">
            <v>27.2</v>
          </cell>
          <cell r="E140" t="str">
            <v>DC4</v>
          </cell>
          <cell r="F140">
            <v>-8.6999999999999993</v>
          </cell>
          <cell r="G140">
            <v>-7.6999999999999993</v>
          </cell>
          <cell r="J140" t="str">
            <v/>
          </cell>
          <cell r="K140">
            <v>0</v>
          </cell>
          <cell r="L140">
            <v>0</v>
          </cell>
          <cell r="M140">
            <v>1200</v>
          </cell>
        </row>
        <row r="141">
          <cell r="A141" t="str">
            <v>A139</v>
          </cell>
          <cell r="B141">
            <v>2317762.4980000001</v>
          </cell>
          <cell r="C141">
            <v>430361.55699999997</v>
          </cell>
          <cell r="D141">
            <v>27.2</v>
          </cell>
          <cell r="E141" t="str">
            <v>DC6</v>
          </cell>
          <cell r="F141">
            <v>-8.6999999999999993</v>
          </cell>
          <cell r="G141">
            <v>-7.6999999999999993</v>
          </cell>
          <cell r="H141" t="str">
            <v>X</v>
          </cell>
          <cell r="J141" t="str">
            <v>SA</v>
          </cell>
          <cell r="K141">
            <v>4</v>
          </cell>
          <cell r="L141">
            <v>0</v>
          </cell>
          <cell r="M141">
            <v>1200</v>
          </cell>
        </row>
        <row r="142">
          <cell r="A142" t="str">
            <v>A140</v>
          </cell>
          <cell r="B142">
            <v>2317762.6340000001</v>
          </cell>
          <cell r="C142">
            <v>430364.554</v>
          </cell>
          <cell r="D142">
            <v>27.2</v>
          </cell>
          <cell r="E142" t="str">
            <v>DC6</v>
          </cell>
          <cell r="F142">
            <v>-8.6999999999999993</v>
          </cell>
          <cell r="G142">
            <v>-7.6999999999999993</v>
          </cell>
          <cell r="J142" t="str">
            <v/>
          </cell>
          <cell r="K142">
            <v>0</v>
          </cell>
          <cell r="L142">
            <v>0</v>
          </cell>
          <cell r="M142">
            <v>1200</v>
          </cell>
        </row>
        <row r="143">
          <cell r="A143" t="str">
            <v>A141</v>
          </cell>
          <cell r="B143">
            <v>2317762.9819999998</v>
          </cell>
          <cell r="C143">
            <v>430372.196</v>
          </cell>
          <cell r="D143">
            <v>37.299999999999997</v>
          </cell>
          <cell r="E143" t="str">
            <v>DC8</v>
          </cell>
          <cell r="F143">
            <v>-8</v>
          </cell>
          <cell r="G143">
            <v>-7</v>
          </cell>
          <cell r="H143" t="str">
            <v>X</v>
          </cell>
          <cell r="J143" t="str">
            <v>SA</v>
          </cell>
          <cell r="K143">
            <v>4</v>
          </cell>
          <cell r="L143">
            <v>0</v>
          </cell>
          <cell r="M143">
            <v>1200</v>
          </cell>
        </row>
        <row r="144">
          <cell r="A144" t="str">
            <v>A142</v>
          </cell>
          <cell r="B144">
            <v>2317763.39</v>
          </cell>
          <cell r="C144">
            <v>430381.18699999998</v>
          </cell>
          <cell r="D144">
            <v>37.299999999999997</v>
          </cell>
          <cell r="E144" t="str">
            <v>DC8</v>
          </cell>
          <cell r="F144">
            <v>-8</v>
          </cell>
          <cell r="G144">
            <v>-7</v>
          </cell>
          <cell r="H144" t="str">
            <v>X</v>
          </cell>
          <cell r="J144" t="str">
            <v>SA</v>
          </cell>
          <cell r="K144">
            <v>4</v>
          </cell>
          <cell r="L144">
            <v>0</v>
          </cell>
          <cell r="M144">
            <v>1200</v>
          </cell>
        </row>
        <row r="145">
          <cell r="A145" t="str">
            <v>A143</v>
          </cell>
          <cell r="B145">
            <v>2317763.7880000002</v>
          </cell>
          <cell r="C145">
            <v>430389.94500000001</v>
          </cell>
          <cell r="D145">
            <v>40.4</v>
          </cell>
          <cell r="E145" t="str">
            <v>DC8</v>
          </cell>
          <cell r="F145">
            <v>-8</v>
          </cell>
          <cell r="G145">
            <v>-7</v>
          </cell>
          <cell r="I145" t="str">
            <v>X</v>
          </cell>
          <cell r="J145" t="str">
            <v>L</v>
          </cell>
          <cell r="K145">
            <v>3</v>
          </cell>
          <cell r="L145">
            <v>1</v>
          </cell>
          <cell r="M145">
            <v>1200</v>
          </cell>
        </row>
        <row r="146">
          <cell r="A146" t="str">
            <v>A144</v>
          </cell>
          <cell r="B146">
            <v>2317750.9709999999</v>
          </cell>
          <cell r="C146">
            <v>430306.174</v>
          </cell>
          <cell r="D146">
            <v>30.8</v>
          </cell>
          <cell r="E146" t="str">
            <v>DC6</v>
          </cell>
          <cell r="F146">
            <v>-8.6999999999999993</v>
          </cell>
          <cell r="G146">
            <v>-7.6999999999999993</v>
          </cell>
          <cell r="J146" t="str">
            <v/>
          </cell>
          <cell r="K146">
            <v>0</v>
          </cell>
          <cell r="L146">
            <v>0</v>
          </cell>
          <cell r="M146">
            <v>1200</v>
          </cell>
        </row>
        <row r="147">
          <cell r="A147" t="str">
            <v>A145</v>
          </cell>
          <cell r="B147">
            <v>2317751.1069999998</v>
          </cell>
          <cell r="C147">
            <v>430309.17099999997</v>
          </cell>
          <cell r="D147">
            <v>30.8</v>
          </cell>
          <cell r="E147" t="str">
            <v>DC6</v>
          </cell>
          <cell r="F147">
            <v>-8.6999999999999993</v>
          </cell>
          <cell r="G147">
            <v>-7.6999999999999993</v>
          </cell>
          <cell r="J147" t="str">
            <v/>
          </cell>
          <cell r="K147">
            <v>0</v>
          </cell>
          <cell r="L147">
            <v>0</v>
          </cell>
          <cell r="M147">
            <v>1200</v>
          </cell>
        </row>
        <row r="148">
          <cell r="A148" t="str">
            <v>A146</v>
          </cell>
          <cell r="B148">
            <v>2317750.4309999999</v>
          </cell>
          <cell r="C148">
            <v>430315.20799999998</v>
          </cell>
          <cell r="D148">
            <v>30.8</v>
          </cell>
          <cell r="E148" t="str">
            <v>DC5</v>
          </cell>
          <cell r="F148">
            <v>-8.6999999999999993</v>
          </cell>
          <cell r="G148">
            <v>-7.6999999999999993</v>
          </cell>
          <cell r="J148" t="str">
            <v/>
          </cell>
          <cell r="K148">
            <v>0</v>
          </cell>
          <cell r="L148">
            <v>0</v>
          </cell>
          <cell r="M148">
            <v>1200</v>
          </cell>
        </row>
        <row r="149">
          <cell r="A149" t="str">
            <v>A147</v>
          </cell>
          <cell r="B149">
            <v>2317753.196</v>
          </cell>
          <cell r="C149">
            <v>430316.58299999998</v>
          </cell>
          <cell r="D149">
            <v>30.8</v>
          </cell>
          <cell r="E149" t="str">
            <v>DC5</v>
          </cell>
          <cell r="F149">
            <v>-8.6999999999999993</v>
          </cell>
          <cell r="G149">
            <v>-7.6999999999999993</v>
          </cell>
          <cell r="J149" t="str">
            <v/>
          </cell>
          <cell r="K149">
            <v>0</v>
          </cell>
          <cell r="L149">
            <v>0</v>
          </cell>
          <cell r="M149">
            <v>1200</v>
          </cell>
        </row>
        <row r="150">
          <cell r="A150" t="str">
            <v>A148</v>
          </cell>
          <cell r="B150">
            <v>2317750.5669999998</v>
          </cell>
          <cell r="C150">
            <v>430318.20400000003</v>
          </cell>
          <cell r="D150">
            <v>30.8</v>
          </cell>
          <cell r="E150" t="str">
            <v>DC5</v>
          </cell>
          <cell r="F150">
            <v>-8.6999999999999993</v>
          </cell>
          <cell r="G150">
            <v>-7.6999999999999993</v>
          </cell>
          <cell r="H150" t="str">
            <v>X</v>
          </cell>
          <cell r="J150" t="str">
            <v>SA</v>
          </cell>
          <cell r="K150">
            <v>4</v>
          </cell>
          <cell r="L150">
            <v>0</v>
          </cell>
          <cell r="M150">
            <v>1200</v>
          </cell>
        </row>
        <row r="151">
          <cell r="A151" t="str">
            <v>A149</v>
          </cell>
          <cell r="B151">
            <v>2317751.773</v>
          </cell>
          <cell r="C151">
            <v>430323.815</v>
          </cell>
          <cell r="D151">
            <v>30.8</v>
          </cell>
          <cell r="E151" t="str">
            <v>DC6</v>
          </cell>
          <cell r="F151">
            <v>-8.6999999999999993</v>
          </cell>
          <cell r="G151">
            <v>-7.6999999999999993</v>
          </cell>
          <cell r="I151" t="str">
            <v>X</v>
          </cell>
          <cell r="J151" t="str">
            <v>L</v>
          </cell>
          <cell r="K151">
            <v>3</v>
          </cell>
          <cell r="L151">
            <v>1</v>
          </cell>
          <cell r="M151">
            <v>1200</v>
          </cell>
        </row>
        <row r="152">
          <cell r="A152" t="str">
            <v>A150</v>
          </cell>
          <cell r="B152">
            <v>2317751.909</v>
          </cell>
          <cell r="C152">
            <v>430326.81199999998</v>
          </cell>
          <cell r="D152">
            <v>30.8</v>
          </cell>
          <cell r="E152" t="str">
            <v>DC6</v>
          </cell>
          <cell r="F152">
            <v>-8.6999999999999993</v>
          </cell>
          <cell r="G152">
            <v>-7.6999999999999993</v>
          </cell>
          <cell r="J152" t="str">
            <v/>
          </cell>
          <cell r="K152">
            <v>0</v>
          </cell>
          <cell r="L152">
            <v>0</v>
          </cell>
          <cell r="M152">
            <v>1200</v>
          </cell>
        </row>
        <row r="153">
          <cell r="A153" t="str">
            <v>A151</v>
          </cell>
          <cell r="B153">
            <v>2317752.2650000001</v>
          </cell>
          <cell r="C153">
            <v>430334.64399999997</v>
          </cell>
          <cell r="D153">
            <v>30.8</v>
          </cell>
          <cell r="E153" t="str">
            <v>DC8A</v>
          </cell>
          <cell r="F153">
            <v>-8.1</v>
          </cell>
          <cell r="G153">
            <v>-7.1</v>
          </cell>
          <cell r="H153" t="str">
            <v>X</v>
          </cell>
          <cell r="J153" t="str">
            <v>SA</v>
          </cell>
          <cell r="K153">
            <v>4</v>
          </cell>
          <cell r="L153">
            <v>0</v>
          </cell>
          <cell r="M153">
            <v>1200</v>
          </cell>
        </row>
        <row r="154">
          <cell r="A154" t="str">
            <v>A152</v>
          </cell>
          <cell r="B154">
            <v>2317752.4470000002</v>
          </cell>
          <cell r="C154">
            <v>430338.64</v>
          </cell>
          <cell r="D154">
            <v>30.8</v>
          </cell>
          <cell r="E154" t="str">
            <v>DC6</v>
          </cell>
          <cell r="F154">
            <v>-8.6999999999999993</v>
          </cell>
          <cell r="G154">
            <v>-7.6999999999999993</v>
          </cell>
          <cell r="J154" t="str">
            <v/>
          </cell>
          <cell r="K154">
            <v>0</v>
          </cell>
          <cell r="L154">
            <v>0</v>
          </cell>
          <cell r="M154">
            <v>1200</v>
          </cell>
        </row>
        <row r="155">
          <cell r="A155" t="str">
            <v>A153</v>
          </cell>
          <cell r="B155">
            <v>2317752.5830000001</v>
          </cell>
          <cell r="C155">
            <v>430341.63699999999</v>
          </cell>
          <cell r="D155">
            <v>30.8</v>
          </cell>
          <cell r="E155" t="str">
            <v>DC6</v>
          </cell>
          <cell r="F155">
            <v>-8.6999999999999993</v>
          </cell>
          <cell r="G155">
            <v>-7.6999999999999993</v>
          </cell>
          <cell r="J155" t="str">
            <v/>
          </cell>
          <cell r="K155">
            <v>0</v>
          </cell>
          <cell r="L155">
            <v>0</v>
          </cell>
          <cell r="M155">
            <v>1200</v>
          </cell>
        </row>
        <row r="156">
          <cell r="A156" t="str">
            <v>A154</v>
          </cell>
          <cell r="B156">
            <v>2317751.8459999999</v>
          </cell>
          <cell r="C156">
            <v>430346.32500000001</v>
          </cell>
          <cell r="D156">
            <v>25.8</v>
          </cell>
          <cell r="E156" t="str">
            <v>DC5</v>
          </cell>
          <cell r="F156">
            <v>-8.6999999999999993</v>
          </cell>
          <cell r="G156">
            <v>-7.6999999999999993</v>
          </cell>
          <cell r="J156" t="str">
            <v/>
          </cell>
          <cell r="K156">
            <v>0</v>
          </cell>
          <cell r="L156">
            <v>0</v>
          </cell>
          <cell r="M156">
            <v>1200</v>
          </cell>
        </row>
        <row r="157">
          <cell r="A157" t="str">
            <v>A155</v>
          </cell>
          <cell r="B157">
            <v>2317754.611</v>
          </cell>
          <cell r="C157">
            <v>430347.701</v>
          </cell>
          <cell r="D157">
            <v>25.8</v>
          </cell>
          <cell r="E157" t="str">
            <v>DC5</v>
          </cell>
          <cell r="F157">
            <v>-8.6999999999999993</v>
          </cell>
          <cell r="G157">
            <v>-7.6999999999999993</v>
          </cell>
          <cell r="J157" t="str">
            <v/>
          </cell>
          <cell r="K157">
            <v>0</v>
          </cell>
          <cell r="L157">
            <v>0</v>
          </cell>
          <cell r="M157">
            <v>1200</v>
          </cell>
        </row>
        <row r="158">
          <cell r="A158" t="str">
            <v>A156</v>
          </cell>
          <cell r="B158">
            <v>2317751.9819999998</v>
          </cell>
          <cell r="C158">
            <v>430349.32199999999</v>
          </cell>
          <cell r="D158">
            <v>26.5</v>
          </cell>
          <cell r="E158" t="str">
            <v>DC5</v>
          </cell>
          <cell r="F158">
            <v>-8.6999999999999993</v>
          </cell>
          <cell r="G158">
            <v>-7.6999999999999993</v>
          </cell>
          <cell r="J158" t="str">
            <v/>
          </cell>
          <cell r="K158">
            <v>0</v>
          </cell>
          <cell r="L158">
            <v>0</v>
          </cell>
          <cell r="M158">
            <v>1200</v>
          </cell>
        </row>
        <row r="159">
          <cell r="A159" t="str">
            <v>A157</v>
          </cell>
          <cell r="B159">
            <v>2317752.5</v>
          </cell>
          <cell r="C159">
            <v>430353.45299999998</v>
          </cell>
          <cell r="D159">
            <v>29</v>
          </cell>
          <cell r="E159" t="str">
            <v>DC5</v>
          </cell>
          <cell r="F159">
            <v>-8.6999999999999993</v>
          </cell>
          <cell r="G159">
            <v>-7.6999999999999993</v>
          </cell>
          <cell r="J159" t="str">
            <v/>
          </cell>
          <cell r="K159">
            <v>0</v>
          </cell>
          <cell r="L159">
            <v>0</v>
          </cell>
          <cell r="M159">
            <v>1200</v>
          </cell>
        </row>
        <row r="160">
          <cell r="A160" t="str">
            <v>A158</v>
          </cell>
          <cell r="B160">
            <v>2317755.2650000001</v>
          </cell>
          <cell r="C160">
            <v>430354.82900000003</v>
          </cell>
          <cell r="D160">
            <v>23.2</v>
          </cell>
          <cell r="E160" t="str">
            <v>DC5</v>
          </cell>
          <cell r="F160">
            <v>-8.6999999999999993</v>
          </cell>
          <cell r="G160">
            <v>-7.6999999999999993</v>
          </cell>
          <cell r="H160" t="str">
            <v>X</v>
          </cell>
          <cell r="J160" t="str">
            <v>SA</v>
          </cell>
          <cell r="K160">
            <v>4</v>
          </cell>
          <cell r="L160">
            <v>0</v>
          </cell>
          <cell r="M160">
            <v>1200</v>
          </cell>
        </row>
        <row r="161">
          <cell r="A161" t="str">
            <v>A159</v>
          </cell>
          <cell r="B161">
            <v>2317752.6370000001</v>
          </cell>
          <cell r="C161">
            <v>430356.45</v>
          </cell>
          <cell r="D161">
            <v>29</v>
          </cell>
          <cell r="E161" t="str">
            <v>DC5</v>
          </cell>
          <cell r="F161">
            <v>-8.6999999999999993</v>
          </cell>
          <cell r="G161">
            <v>-7.6999999999999993</v>
          </cell>
          <cell r="H161" t="str">
            <v>X</v>
          </cell>
          <cell r="J161" t="str">
            <v>SA</v>
          </cell>
          <cell r="K161">
            <v>4</v>
          </cell>
          <cell r="L161">
            <v>0</v>
          </cell>
          <cell r="M161">
            <v>1200</v>
          </cell>
        </row>
        <row r="162">
          <cell r="A162" t="str">
            <v>A160</v>
          </cell>
          <cell r="B162">
            <v>2317753.5819999999</v>
          </cell>
          <cell r="C162">
            <v>430363.614</v>
          </cell>
          <cell r="D162">
            <v>29</v>
          </cell>
          <cell r="E162" t="str">
            <v>DC8A</v>
          </cell>
          <cell r="F162">
            <v>-8.1</v>
          </cell>
          <cell r="G162">
            <v>-7.1</v>
          </cell>
          <cell r="H162" t="str">
            <v>X</v>
          </cell>
          <cell r="J162" t="str">
            <v>SA</v>
          </cell>
          <cell r="K162">
            <v>4</v>
          </cell>
          <cell r="L162">
            <v>0</v>
          </cell>
          <cell r="M162">
            <v>1200</v>
          </cell>
        </row>
        <row r="163">
          <cell r="A163" t="str">
            <v>A161</v>
          </cell>
          <cell r="B163">
            <v>2317753.9909999999</v>
          </cell>
          <cell r="C163">
            <v>430372.60499999998</v>
          </cell>
          <cell r="D163">
            <v>31.3</v>
          </cell>
          <cell r="E163" t="str">
            <v>DC8</v>
          </cell>
          <cell r="F163">
            <v>-8</v>
          </cell>
          <cell r="G163">
            <v>-7</v>
          </cell>
          <cell r="I163" t="str">
            <v>X</v>
          </cell>
          <cell r="J163" t="str">
            <v>L</v>
          </cell>
          <cell r="K163">
            <v>3</v>
          </cell>
          <cell r="L163">
            <v>1</v>
          </cell>
          <cell r="M163">
            <v>1200</v>
          </cell>
        </row>
        <row r="164">
          <cell r="A164" t="str">
            <v>A162</v>
          </cell>
          <cell r="B164">
            <v>2317754.4</v>
          </cell>
          <cell r="C164">
            <v>430381.59600000002</v>
          </cell>
          <cell r="D164">
            <v>31.3</v>
          </cell>
          <cell r="E164" t="str">
            <v>DC8</v>
          </cell>
          <cell r="F164">
            <v>-8</v>
          </cell>
          <cell r="G164">
            <v>-7</v>
          </cell>
          <cell r="H164" t="str">
            <v>X</v>
          </cell>
          <cell r="J164" t="str">
            <v>SA</v>
          </cell>
          <cell r="K164">
            <v>4</v>
          </cell>
          <cell r="L164">
            <v>0</v>
          </cell>
          <cell r="M164">
            <v>1200</v>
          </cell>
        </row>
        <row r="165">
          <cell r="A165" t="str">
            <v>A163</v>
          </cell>
          <cell r="B165">
            <v>2317754.798</v>
          </cell>
          <cell r="C165">
            <v>430390.35399999999</v>
          </cell>
          <cell r="D165">
            <v>31.3</v>
          </cell>
          <cell r="E165" t="str">
            <v>DC8</v>
          </cell>
          <cell r="F165">
            <v>-8</v>
          </cell>
          <cell r="G165">
            <v>-7</v>
          </cell>
          <cell r="H165" t="str">
            <v>X</v>
          </cell>
          <cell r="J165" t="str">
            <v>SA</v>
          </cell>
          <cell r="K165">
            <v>4</v>
          </cell>
          <cell r="L165">
            <v>0</v>
          </cell>
          <cell r="M165">
            <v>1200</v>
          </cell>
        </row>
        <row r="166">
          <cell r="A166" t="str">
            <v>B1</v>
          </cell>
          <cell r="B166">
            <v>2317790.6910000001</v>
          </cell>
          <cell r="C166">
            <v>430397.96399999998</v>
          </cell>
          <cell r="D166">
            <v>24.5</v>
          </cell>
          <cell r="E166" t="str">
            <v>DC9</v>
          </cell>
          <cell r="F166">
            <v>-8</v>
          </cell>
          <cell r="G166">
            <v>-7</v>
          </cell>
          <cell r="I166" t="str">
            <v>X</v>
          </cell>
          <cell r="J166" t="str">
            <v>L</v>
          </cell>
          <cell r="K166">
            <v>2</v>
          </cell>
          <cell r="L166">
            <v>1</v>
          </cell>
          <cell r="M166">
            <v>800</v>
          </cell>
        </row>
        <row r="167">
          <cell r="A167" t="str">
            <v>B2</v>
          </cell>
          <cell r="B167">
            <v>2317782.34</v>
          </cell>
          <cell r="C167">
            <v>430398.34399999998</v>
          </cell>
          <cell r="D167">
            <v>28.5</v>
          </cell>
          <cell r="E167" t="str">
            <v>DC9</v>
          </cell>
          <cell r="F167">
            <v>-8</v>
          </cell>
          <cell r="G167">
            <v>-7</v>
          </cell>
          <cell r="J167" t="str">
            <v/>
          </cell>
          <cell r="K167">
            <v>0</v>
          </cell>
          <cell r="L167">
            <v>0</v>
          </cell>
          <cell r="M167">
            <v>800</v>
          </cell>
        </row>
        <row r="168">
          <cell r="A168" t="str">
            <v>B3</v>
          </cell>
          <cell r="B168">
            <v>2317773.6880000001</v>
          </cell>
          <cell r="C168">
            <v>430398.73700000002</v>
          </cell>
          <cell r="D168">
            <v>27.5</v>
          </cell>
          <cell r="E168" t="str">
            <v>DC9</v>
          </cell>
          <cell r="F168">
            <v>-8</v>
          </cell>
          <cell r="G168">
            <v>-7</v>
          </cell>
          <cell r="H168" t="str">
            <v>X</v>
          </cell>
          <cell r="J168" t="str">
            <v>SA</v>
          </cell>
          <cell r="K168">
            <v>3</v>
          </cell>
          <cell r="L168">
            <v>0</v>
          </cell>
          <cell r="M168">
            <v>800</v>
          </cell>
        </row>
        <row r="169">
          <cell r="A169" t="str">
            <v>B4</v>
          </cell>
          <cell r="B169">
            <v>2317764.2089999998</v>
          </cell>
          <cell r="C169">
            <v>430399.16800000001</v>
          </cell>
          <cell r="D169">
            <v>27.5</v>
          </cell>
          <cell r="E169" t="str">
            <v>DC9</v>
          </cell>
          <cell r="F169">
            <v>-8</v>
          </cell>
          <cell r="G169">
            <v>-7</v>
          </cell>
          <cell r="J169" t="str">
            <v/>
          </cell>
          <cell r="K169">
            <v>0</v>
          </cell>
          <cell r="L169">
            <v>0</v>
          </cell>
          <cell r="M169">
            <v>800</v>
          </cell>
        </row>
        <row r="170">
          <cell r="A170" t="str">
            <v>B5</v>
          </cell>
          <cell r="B170">
            <v>2317755.2179999999</v>
          </cell>
          <cell r="C170">
            <v>430399.57699999999</v>
          </cell>
          <cell r="D170">
            <v>29.9</v>
          </cell>
          <cell r="E170" t="str">
            <v>DC9</v>
          </cell>
          <cell r="F170">
            <v>-8</v>
          </cell>
          <cell r="G170">
            <v>-7</v>
          </cell>
          <cell r="H170" t="str">
            <v>X</v>
          </cell>
          <cell r="J170" t="str">
            <v>SA</v>
          </cell>
          <cell r="K170">
            <v>3</v>
          </cell>
          <cell r="L170">
            <v>0</v>
          </cell>
          <cell r="M170">
            <v>800</v>
          </cell>
        </row>
        <row r="171">
          <cell r="A171" t="str">
            <v>B6</v>
          </cell>
          <cell r="B171">
            <v>2317755.6269999999</v>
          </cell>
          <cell r="C171">
            <v>430408.56800000003</v>
          </cell>
          <cell r="D171">
            <v>29.9</v>
          </cell>
          <cell r="E171" t="str">
            <v>DC9</v>
          </cell>
          <cell r="F171">
            <v>-8</v>
          </cell>
          <cell r="G171">
            <v>-7</v>
          </cell>
          <cell r="J171" t="str">
            <v/>
          </cell>
          <cell r="K171">
            <v>0</v>
          </cell>
          <cell r="L171">
            <v>0</v>
          </cell>
          <cell r="M171">
            <v>800</v>
          </cell>
        </row>
        <row r="172">
          <cell r="A172" t="str">
            <v>B7</v>
          </cell>
          <cell r="B172">
            <v>2317764.6170000001</v>
          </cell>
          <cell r="C172">
            <v>430408.15899999999</v>
          </cell>
          <cell r="D172">
            <v>25.6</v>
          </cell>
          <cell r="E172" t="str">
            <v>DC9</v>
          </cell>
          <cell r="F172">
            <v>-8</v>
          </cell>
          <cell r="G172">
            <v>-7</v>
          </cell>
          <cell r="H172" t="str">
            <v>X</v>
          </cell>
          <cell r="J172" t="str">
            <v>SA</v>
          </cell>
          <cell r="K172">
            <v>3</v>
          </cell>
          <cell r="L172">
            <v>0</v>
          </cell>
          <cell r="M172">
            <v>800</v>
          </cell>
        </row>
        <row r="173">
          <cell r="A173" t="str">
            <v>B8</v>
          </cell>
          <cell r="B173">
            <v>2317774.0970000001</v>
          </cell>
          <cell r="C173">
            <v>430407.728</v>
          </cell>
          <cell r="D173">
            <v>28.5</v>
          </cell>
          <cell r="E173" t="str">
            <v>DC9</v>
          </cell>
          <cell r="F173">
            <v>-8</v>
          </cell>
          <cell r="G173">
            <v>-7</v>
          </cell>
          <cell r="J173" t="str">
            <v/>
          </cell>
          <cell r="K173">
            <v>0</v>
          </cell>
          <cell r="L173">
            <v>0</v>
          </cell>
          <cell r="M173">
            <v>800</v>
          </cell>
        </row>
        <row r="174">
          <cell r="A174" t="str">
            <v>B9</v>
          </cell>
          <cell r="B174">
            <v>2317782.7489999998</v>
          </cell>
          <cell r="C174">
            <v>430407.33500000002</v>
          </cell>
          <cell r="D174">
            <v>28.5</v>
          </cell>
          <cell r="E174" t="str">
            <v>DC9</v>
          </cell>
          <cell r="F174">
            <v>-8</v>
          </cell>
          <cell r="G174">
            <v>-7</v>
          </cell>
          <cell r="H174" t="str">
            <v>X</v>
          </cell>
          <cell r="J174" t="str">
            <v>SA</v>
          </cell>
          <cell r="K174">
            <v>3</v>
          </cell>
          <cell r="L174">
            <v>0</v>
          </cell>
          <cell r="M174">
            <v>800</v>
          </cell>
        </row>
        <row r="175">
          <cell r="A175" t="str">
            <v>B10</v>
          </cell>
          <cell r="B175">
            <v>2317791.1</v>
          </cell>
          <cell r="C175">
            <v>430406.95500000002</v>
          </cell>
          <cell r="D175">
            <v>25.6</v>
          </cell>
          <cell r="E175" t="str">
            <v>DC9</v>
          </cell>
          <cell r="F175">
            <v>-8</v>
          </cell>
          <cell r="G175">
            <v>-7</v>
          </cell>
          <cell r="J175" t="str">
            <v/>
          </cell>
          <cell r="K175">
            <v>0</v>
          </cell>
          <cell r="L175">
            <v>0</v>
          </cell>
          <cell r="M175">
            <v>800</v>
          </cell>
        </row>
        <row r="176">
          <cell r="A176" t="str">
            <v>B11</v>
          </cell>
          <cell r="B176">
            <v>2317797.2000000002</v>
          </cell>
          <cell r="C176">
            <v>430412.54599999997</v>
          </cell>
          <cell r="D176">
            <v>25.6</v>
          </cell>
          <cell r="E176" t="str">
            <v>DC10A</v>
          </cell>
          <cell r="F176">
            <v>-5.9</v>
          </cell>
          <cell r="G176">
            <v>-4.9000000000000004</v>
          </cell>
          <cell r="J176" t="str">
            <v/>
          </cell>
          <cell r="K176">
            <v>0</v>
          </cell>
          <cell r="L176">
            <v>0</v>
          </cell>
          <cell r="M176">
            <v>800</v>
          </cell>
        </row>
        <row r="177">
          <cell r="A177" t="str">
            <v>B12</v>
          </cell>
          <cell r="B177">
            <v>2317791.466</v>
          </cell>
          <cell r="C177">
            <v>430412.80699999997</v>
          </cell>
          <cell r="D177">
            <v>25.6</v>
          </cell>
          <cell r="E177" t="str">
            <v>DC10A</v>
          </cell>
          <cell r="F177">
            <v>-5.9</v>
          </cell>
          <cell r="G177">
            <v>-4.9000000000000004</v>
          </cell>
          <cell r="H177" t="str">
            <v>X</v>
          </cell>
          <cell r="J177" t="str">
            <v>SA</v>
          </cell>
          <cell r="K177">
            <v>3</v>
          </cell>
          <cell r="L177">
            <v>0</v>
          </cell>
          <cell r="M177">
            <v>800</v>
          </cell>
        </row>
        <row r="178">
          <cell r="A178" t="str">
            <v>B13</v>
          </cell>
          <cell r="B178">
            <v>2317783.014</v>
          </cell>
          <cell r="C178">
            <v>430413.19099999999</v>
          </cell>
          <cell r="D178">
            <v>28.5</v>
          </cell>
          <cell r="E178" t="str">
            <v>DC10A</v>
          </cell>
          <cell r="F178">
            <v>-5.9</v>
          </cell>
          <cell r="G178">
            <v>-4.9000000000000004</v>
          </cell>
          <cell r="J178" t="str">
            <v/>
          </cell>
          <cell r="K178">
            <v>0</v>
          </cell>
          <cell r="L178">
            <v>0</v>
          </cell>
          <cell r="M178">
            <v>800</v>
          </cell>
        </row>
        <row r="179">
          <cell r="A179" t="str">
            <v>B14</v>
          </cell>
          <cell r="B179">
            <v>2317774.3739999998</v>
          </cell>
          <cell r="C179">
            <v>430413.58399999997</v>
          </cell>
          <cell r="D179">
            <v>28.5</v>
          </cell>
          <cell r="E179" t="str">
            <v>DC10A</v>
          </cell>
          <cell r="F179">
            <v>-5.9</v>
          </cell>
          <cell r="G179">
            <v>-4.9000000000000004</v>
          </cell>
          <cell r="I179" t="str">
            <v>X</v>
          </cell>
          <cell r="J179" t="str">
            <v>L</v>
          </cell>
          <cell r="K179">
            <v>2</v>
          </cell>
          <cell r="L179">
            <v>1</v>
          </cell>
          <cell r="M179">
            <v>800</v>
          </cell>
        </row>
        <row r="180">
          <cell r="A180" t="str">
            <v>B15</v>
          </cell>
          <cell r="B180">
            <v>2317764.8840000001</v>
          </cell>
          <cell r="C180">
            <v>430414.01500000001</v>
          </cell>
          <cell r="D180">
            <v>27.5</v>
          </cell>
          <cell r="E180" t="str">
            <v>DC10A</v>
          </cell>
          <cell r="F180">
            <v>-5.9</v>
          </cell>
          <cell r="G180">
            <v>-4.9000000000000004</v>
          </cell>
          <cell r="J180" t="str">
            <v/>
          </cell>
          <cell r="K180">
            <v>0</v>
          </cell>
          <cell r="L180">
            <v>0</v>
          </cell>
          <cell r="M180">
            <v>800</v>
          </cell>
        </row>
        <row r="181">
          <cell r="A181" t="str">
            <v>B16</v>
          </cell>
          <cell r="B181">
            <v>2317755.8930000002</v>
          </cell>
          <cell r="C181">
            <v>430414.424</v>
          </cell>
          <cell r="D181">
            <v>27.5</v>
          </cell>
          <cell r="E181" t="str">
            <v>DC10A</v>
          </cell>
          <cell r="F181">
            <v>-5.9</v>
          </cell>
          <cell r="G181">
            <v>-4.9000000000000004</v>
          </cell>
          <cell r="H181" t="str">
            <v>X</v>
          </cell>
          <cell r="J181" t="str">
            <v>SA</v>
          </cell>
          <cell r="K181">
            <v>3</v>
          </cell>
          <cell r="L181">
            <v>0</v>
          </cell>
          <cell r="M181">
            <v>800</v>
          </cell>
        </row>
        <row r="182">
          <cell r="A182" t="str">
            <v>B17</v>
          </cell>
          <cell r="B182">
            <v>2317748.551</v>
          </cell>
          <cell r="C182">
            <v>430414.75799999997</v>
          </cell>
          <cell r="D182">
            <v>28.8</v>
          </cell>
          <cell r="E182" t="str">
            <v>DC10A</v>
          </cell>
          <cell r="F182">
            <v>-5.9</v>
          </cell>
          <cell r="G182">
            <v>-4.9000000000000004</v>
          </cell>
          <cell r="J182" t="str">
            <v/>
          </cell>
          <cell r="K182">
            <v>0</v>
          </cell>
          <cell r="L182">
            <v>0</v>
          </cell>
          <cell r="M182">
            <v>800</v>
          </cell>
        </row>
        <row r="183">
          <cell r="A183" t="str">
            <v>B18</v>
          </cell>
          <cell r="B183">
            <v>2317748.284</v>
          </cell>
          <cell r="C183">
            <v>430408.902</v>
          </cell>
          <cell r="D183">
            <v>28.8</v>
          </cell>
          <cell r="E183" t="str">
            <v>DC10A</v>
          </cell>
          <cell r="F183">
            <v>-5.9</v>
          </cell>
          <cell r="G183">
            <v>-4.9000000000000004</v>
          </cell>
          <cell r="I183" t="str">
            <v>X</v>
          </cell>
          <cell r="J183" t="str">
            <v>L</v>
          </cell>
          <cell r="K183">
            <v>2</v>
          </cell>
          <cell r="L183">
            <v>1</v>
          </cell>
          <cell r="M183">
            <v>800</v>
          </cell>
        </row>
        <row r="184">
          <cell r="A184" t="str">
            <v>B19</v>
          </cell>
          <cell r="B184">
            <v>2317747.8760000002</v>
          </cell>
          <cell r="C184">
            <v>430399.91100000002</v>
          </cell>
          <cell r="D184">
            <v>29.9</v>
          </cell>
          <cell r="E184" t="str">
            <v>DC10A</v>
          </cell>
          <cell r="F184">
            <v>-5.9</v>
          </cell>
          <cell r="G184">
            <v>-4.9000000000000004</v>
          </cell>
          <cell r="J184" t="str">
            <v/>
          </cell>
          <cell r="K184">
            <v>0</v>
          </cell>
          <cell r="L184">
            <v>0</v>
          </cell>
          <cell r="M184">
            <v>800</v>
          </cell>
        </row>
        <row r="185">
          <cell r="A185" t="str">
            <v>B20</v>
          </cell>
          <cell r="B185">
            <v>2317747.4559999998</v>
          </cell>
          <cell r="C185">
            <v>430390.68800000002</v>
          </cell>
          <cell r="D185">
            <v>29.9</v>
          </cell>
          <cell r="E185" t="str">
            <v>DC10A</v>
          </cell>
          <cell r="F185">
            <v>-5.9</v>
          </cell>
          <cell r="G185">
            <v>-4.9000000000000004</v>
          </cell>
          <cell r="H185" t="str">
            <v>X</v>
          </cell>
          <cell r="J185" t="str">
            <v>SA</v>
          </cell>
          <cell r="K185">
            <v>3</v>
          </cell>
          <cell r="L185">
            <v>0</v>
          </cell>
          <cell r="M185">
            <v>800</v>
          </cell>
        </row>
        <row r="186">
          <cell r="A186" t="str">
            <v>B21</v>
          </cell>
          <cell r="B186">
            <v>2317747.0580000002</v>
          </cell>
          <cell r="C186">
            <v>430381.93</v>
          </cell>
          <cell r="D186">
            <v>31.3</v>
          </cell>
          <cell r="E186" t="str">
            <v>DC10A</v>
          </cell>
          <cell r="F186">
            <v>-5.9</v>
          </cell>
          <cell r="G186">
            <v>-4.9000000000000004</v>
          </cell>
          <cell r="J186" t="str">
            <v/>
          </cell>
          <cell r="K186">
            <v>0</v>
          </cell>
          <cell r="L186">
            <v>0</v>
          </cell>
          <cell r="M186">
            <v>800</v>
          </cell>
        </row>
        <row r="187">
          <cell r="A187" t="str">
            <v>B22</v>
          </cell>
          <cell r="B187">
            <v>2317746.6490000002</v>
          </cell>
          <cell r="C187">
            <v>430372.93900000001</v>
          </cell>
          <cell r="D187">
            <v>31.3</v>
          </cell>
          <cell r="E187" t="str">
            <v>DC10B</v>
          </cell>
          <cell r="F187">
            <v>-6.9</v>
          </cell>
          <cell r="G187">
            <v>-5.9</v>
          </cell>
          <cell r="J187" t="str">
            <v/>
          </cell>
          <cell r="K187">
            <v>0</v>
          </cell>
          <cell r="L187">
            <v>0</v>
          </cell>
          <cell r="M187">
            <v>800</v>
          </cell>
        </row>
        <row r="188">
          <cell r="A188" t="str">
            <v>B23</v>
          </cell>
          <cell r="B188">
            <v>2317746.2409999999</v>
          </cell>
          <cell r="C188">
            <v>430363.94799999997</v>
          </cell>
          <cell r="D188">
            <v>29</v>
          </cell>
          <cell r="E188" t="str">
            <v>DC10</v>
          </cell>
          <cell r="F188">
            <v>-6.9</v>
          </cell>
          <cell r="G188">
            <v>-5.9</v>
          </cell>
          <cell r="H188" t="str">
            <v>X</v>
          </cell>
          <cell r="J188" t="str">
            <v>SA</v>
          </cell>
          <cell r="K188">
            <v>3</v>
          </cell>
          <cell r="L188">
            <v>0</v>
          </cell>
          <cell r="M188">
            <v>800</v>
          </cell>
        </row>
        <row r="189">
          <cell r="A189" t="str">
            <v>B24</v>
          </cell>
          <cell r="B189">
            <v>2317745.8390000002</v>
          </cell>
          <cell r="C189">
            <v>430355.10700000002</v>
          </cell>
          <cell r="D189">
            <v>29</v>
          </cell>
          <cell r="E189" t="str">
            <v>DC10</v>
          </cell>
          <cell r="F189">
            <v>-6.9</v>
          </cell>
          <cell r="G189">
            <v>-5.9</v>
          </cell>
          <cell r="J189" t="str">
            <v/>
          </cell>
          <cell r="K189">
            <v>0</v>
          </cell>
          <cell r="L189">
            <v>0</v>
          </cell>
          <cell r="M189">
            <v>800</v>
          </cell>
        </row>
        <row r="190">
          <cell r="A190" t="str">
            <v>B25</v>
          </cell>
          <cell r="B190">
            <v>2317745.523</v>
          </cell>
          <cell r="C190">
            <v>430348.16399999999</v>
          </cell>
          <cell r="D190">
            <v>29</v>
          </cell>
          <cell r="E190" t="str">
            <v>DC10</v>
          </cell>
          <cell r="F190">
            <v>-6.9</v>
          </cell>
          <cell r="G190">
            <v>-5.9</v>
          </cell>
          <cell r="J190" t="str">
            <v/>
          </cell>
          <cell r="K190">
            <v>0</v>
          </cell>
          <cell r="L190">
            <v>0</v>
          </cell>
          <cell r="M190">
            <v>800</v>
          </cell>
        </row>
        <row r="191">
          <cell r="A191" t="str">
            <v>B26</v>
          </cell>
          <cell r="B191">
            <v>2317745.1749999998</v>
          </cell>
          <cell r="C191">
            <v>430340.51199999999</v>
          </cell>
          <cell r="D191">
            <v>29.9</v>
          </cell>
          <cell r="E191" t="str">
            <v>DC10</v>
          </cell>
          <cell r="F191">
            <v>-6.9</v>
          </cell>
          <cell r="G191">
            <v>-5.9</v>
          </cell>
          <cell r="H191" t="str">
            <v>X</v>
          </cell>
          <cell r="J191" t="str">
            <v>SA</v>
          </cell>
          <cell r="K191">
            <v>3</v>
          </cell>
          <cell r="L191">
            <v>0</v>
          </cell>
          <cell r="M191">
            <v>800</v>
          </cell>
        </row>
        <row r="192">
          <cell r="A192" t="str">
            <v>B27</v>
          </cell>
          <cell r="B192">
            <v>2317744.923</v>
          </cell>
          <cell r="C192">
            <v>430334.978</v>
          </cell>
          <cell r="D192">
            <v>26</v>
          </cell>
          <cell r="E192" t="str">
            <v>DC10</v>
          </cell>
          <cell r="F192">
            <v>-6.9</v>
          </cell>
          <cell r="G192">
            <v>-5.9</v>
          </cell>
          <cell r="J192" t="str">
            <v/>
          </cell>
          <cell r="K192">
            <v>0</v>
          </cell>
          <cell r="L192">
            <v>0</v>
          </cell>
          <cell r="M192">
            <v>800</v>
          </cell>
        </row>
        <row r="193">
          <cell r="A193" t="str">
            <v>B28</v>
          </cell>
          <cell r="B193">
            <v>2317744.5150000001</v>
          </cell>
          <cell r="C193">
            <v>430325.98700000002</v>
          </cell>
          <cell r="D193">
            <v>26</v>
          </cell>
          <cell r="E193" t="str">
            <v>DC10</v>
          </cell>
          <cell r="F193">
            <v>-6.9</v>
          </cell>
          <cell r="G193">
            <v>-5.9</v>
          </cell>
          <cell r="I193" t="str">
            <v>X</v>
          </cell>
          <cell r="J193" t="str">
            <v>L</v>
          </cell>
          <cell r="K193">
            <v>2</v>
          </cell>
          <cell r="L193">
            <v>1</v>
          </cell>
          <cell r="M193">
            <v>800</v>
          </cell>
        </row>
        <row r="194">
          <cell r="A194" t="str">
            <v>B29</v>
          </cell>
          <cell r="B194">
            <v>2317744.1060000001</v>
          </cell>
          <cell r="C194">
            <v>430316.99699999997</v>
          </cell>
          <cell r="D194">
            <v>26</v>
          </cell>
          <cell r="E194" t="str">
            <v>DC10</v>
          </cell>
          <cell r="F194">
            <v>-6.9</v>
          </cell>
          <cell r="G194">
            <v>-5.9</v>
          </cell>
          <cell r="J194" t="str">
            <v/>
          </cell>
          <cell r="K194">
            <v>0</v>
          </cell>
          <cell r="L194">
            <v>0</v>
          </cell>
          <cell r="M194">
            <v>800</v>
          </cell>
        </row>
        <row r="195">
          <cell r="A195" t="str">
            <v>B30</v>
          </cell>
          <cell r="B195">
            <v>2317743.6970000002</v>
          </cell>
          <cell r="C195">
            <v>430308.00599999999</v>
          </cell>
          <cell r="D195">
            <v>33.1</v>
          </cell>
          <cell r="E195" t="str">
            <v>DC10</v>
          </cell>
          <cell r="F195">
            <v>-6.9</v>
          </cell>
          <cell r="G195">
            <v>-5.9</v>
          </cell>
          <cell r="H195" t="str">
            <v>X</v>
          </cell>
          <cell r="J195" t="str">
            <v>SA</v>
          </cell>
          <cell r="K195">
            <v>3</v>
          </cell>
          <cell r="L195">
            <v>0</v>
          </cell>
          <cell r="M195">
            <v>800</v>
          </cell>
        </row>
        <row r="196">
          <cell r="A196" t="str">
            <v>B31</v>
          </cell>
          <cell r="B196">
            <v>2317745.2149999999</v>
          </cell>
          <cell r="C196">
            <v>430303.88900000002</v>
          </cell>
          <cell r="D196">
            <v>26</v>
          </cell>
          <cell r="E196" t="str">
            <v>DC10</v>
          </cell>
          <cell r="F196">
            <v>-6.9</v>
          </cell>
          <cell r="G196">
            <v>-5.9</v>
          </cell>
          <cell r="H196" t="str">
            <v>X</v>
          </cell>
          <cell r="J196" t="str">
            <v>SA</v>
          </cell>
          <cell r="K196">
            <v>3</v>
          </cell>
          <cell r="L196">
            <v>0</v>
          </cell>
          <cell r="M196">
            <v>800</v>
          </cell>
        </row>
        <row r="197">
          <cell r="A197" t="str">
            <v>B32</v>
          </cell>
          <cell r="B197">
            <v>2317750.7779999999</v>
          </cell>
          <cell r="C197">
            <v>430301.92800000001</v>
          </cell>
          <cell r="D197">
            <v>26</v>
          </cell>
          <cell r="E197" t="str">
            <v>DC10</v>
          </cell>
          <cell r="F197">
            <v>-6.9</v>
          </cell>
          <cell r="G197">
            <v>-5.9</v>
          </cell>
          <cell r="H197" t="str">
            <v>X</v>
          </cell>
          <cell r="J197" t="str">
            <v>SA</v>
          </cell>
          <cell r="K197">
            <v>3</v>
          </cell>
          <cell r="L197">
            <v>0</v>
          </cell>
          <cell r="M197">
            <v>800</v>
          </cell>
        </row>
        <row r="198">
          <cell r="A198" t="str">
            <v>B33</v>
          </cell>
          <cell r="B198">
            <v>2317759.7689999999</v>
          </cell>
          <cell r="C198">
            <v>430301.51899999997</v>
          </cell>
          <cell r="D198">
            <v>26</v>
          </cell>
          <cell r="E198" t="str">
            <v>DC10</v>
          </cell>
          <cell r="F198">
            <v>-6.9</v>
          </cell>
          <cell r="G198">
            <v>-5.9</v>
          </cell>
          <cell r="J198" t="str">
            <v/>
          </cell>
          <cell r="K198">
            <v>0</v>
          </cell>
          <cell r="L198">
            <v>0</v>
          </cell>
          <cell r="M198">
            <v>800</v>
          </cell>
        </row>
        <row r="199">
          <cell r="A199" t="str">
            <v>B34</v>
          </cell>
          <cell r="B199">
            <v>2317768.85</v>
          </cell>
          <cell r="C199">
            <v>430301.10600000003</v>
          </cell>
          <cell r="D199">
            <v>26</v>
          </cell>
          <cell r="E199" t="str">
            <v>DC10</v>
          </cell>
          <cell r="F199">
            <v>-6.9</v>
          </cell>
          <cell r="G199">
            <v>-5.9</v>
          </cell>
          <cell r="I199" t="str">
            <v>X</v>
          </cell>
          <cell r="J199" t="str">
            <v>L</v>
          </cell>
          <cell r="K199">
            <v>2</v>
          </cell>
          <cell r="L199">
            <v>1</v>
          </cell>
          <cell r="M199">
            <v>800</v>
          </cell>
        </row>
        <row r="200">
          <cell r="A200" t="str">
            <v>B35</v>
          </cell>
          <cell r="B200">
            <v>2317777.7510000002</v>
          </cell>
          <cell r="C200">
            <v>430300.70199999999</v>
          </cell>
          <cell r="D200">
            <v>26</v>
          </cell>
          <cell r="E200" t="str">
            <v>DC10</v>
          </cell>
          <cell r="F200">
            <v>-6.9</v>
          </cell>
          <cell r="G200">
            <v>-5.9</v>
          </cell>
          <cell r="J200" t="str">
            <v/>
          </cell>
          <cell r="K200">
            <v>0</v>
          </cell>
          <cell r="L200">
            <v>0</v>
          </cell>
          <cell r="M200">
            <v>800</v>
          </cell>
        </row>
        <row r="201">
          <cell r="A201" t="str">
            <v>B36</v>
          </cell>
          <cell r="B201">
            <v>2317786.4019999998</v>
          </cell>
          <cell r="C201">
            <v>430300.30800000002</v>
          </cell>
          <cell r="D201">
            <v>26</v>
          </cell>
          <cell r="E201" t="str">
            <v>DC10</v>
          </cell>
          <cell r="F201">
            <v>-6.9</v>
          </cell>
          <cell r="G201">
            <v>-5.9</v>
          </cell>
          <cell r="H201" t="str">
            <v>X</v>
          </cell>
          <cell r="J201" t="str">
            <v>SA</v>
          </cell>
          <cell r="K201">
            <v>3</v>
          </cell>
          <cell r="L201">
            <v>0</v>
          </cell>
          <cell r="M201">
            <v>800</v>
          </cell>
        </row>
        <row r="202">
          <cell r="A202" t="str">
            <v>B37</v>
          </cell>
          <cell r="B202">
            <v>2317790.4589999998</v>
          </cell>
          <cell r="C202">
            <v>430301.83199999999</v>
          </cell>
          <cell r="D202">
            <v>26</v>
          </cell>
          <cell r="E202" t="str">
            <v>DC10</v>
          </cell>
          <cell r="F202">
            <v>-6.9</v>
          </cell>
          <cell r="G202">
            <v>-5.9</v>
          </cell>
          <cell r="J202" t="str">
            <v/>
          </cell>
          <cell r="K202">
            <v>0</v>
          </cell>
          <cell r="L202">
            <v>0</v>
          </cell>
          <cell r="M202">
            <v>800</v>
          </cell>
        </row>
        <row r="203">
          <cell r="A203" t="str">
            <v>B38</v>
          </cell>
          <cell r="B203">
            <v>2317792.3470000001</v>
          </cell>
          <cell r="C203">
            <v>430305.79399999999</v>
          </cell>
          <cell r="D203">
            <v>26</v>
          </cell>
          <cell r="E203" t="str">
            <v>DC10</v>
          </cell>
          <cell r="F203">
            <v>-6.9</v>
          </cell>
          <cell r="G203">
            <v>-5.9</v>
          </cell>
          <cell r="J203" t="str">
            <v/>
          </cell>
          <cell r="K203">
            <v>0</v>
          </cell>
          <cell r="L203">
            <v>0</v>
          </cell>
          <cell r="M203">
            <v>800</v>
          </cell>
        </row>
        <row r="204">
          <cell r="A204" t="str">
            <v>B39</v>
          </cell>
          <cell r="B204">
            <v>2317792.7560000001</v>
          </cell>
          <cell r="C204">
            <v>430314.78499999997</v>
          </cell>
          <cell r="D204">
            <v>26</v>
          </cell>
          <cell r="E204" t="str">
            <v>DC10</v>
          </cell>
          <cell r="F204">
            <v>-6.9</v>
          </cell>
          <cell r="G204">
            <v>-5.9</v>
          </cell>
          <cell r="H204" t="str">
            <v>X</v>
          </cell>
          <cell r="J204" t="str">
            <v>SA</v>
          </cell>
          <cell r="K204">
            <v>3</v>
          </cell>
          <cell r="L204">
            <v>0</v>
          </cell>
          <cell r="M204">
            <v>800</v>
          </cell>
        </row>
        <row r="205">
          <cell r="A205" t="str">
            <v>B40</v>
          </cell>
          <cell r="B205">
            <v>2317793.1639999999</v>
          </cell>
          <cell r="C205">
            <v>430323.77600000001</v>
          </cell>
          <cell r="D205">
            <v>29.4</v>
          </cell>
          <cell r="E205" t="str">
            <v>DC10</v>
          </cell>
          <cell r="F205">
            <v>-6.9</v>
          </cell>
          <cell r="G205">
            <v>-5.9</v>
          </cell>
          <cell r="J205" t="str">
            <v/>
          </cell>
          <cell r="K205">
            <v>0</v>
          </cell>
          <cell r="L205">
            <v>0</v>
          </cell>
          <cell r="M205">
            <v>800</v>
          </cell>
        </row>
        <row r="206">
          <cell r="A206" t="str">
            <v>B41</v>
          </cell>
          <cell r="B206">
            <v>2317793.5729999999</v>
          </cell>
          <cell r="C206">
            <v>430332.766</v>
          </cell>
          <cell r="D206">
            <v>26</v>
          </cell>
          <cell r="E206" t="str">
            <v>DC10</v>
          </cell>
          <cell r="F206">
            <v>-6.9</v>
          </cell>
          <cell r="G206">
            <v>-5.9</v>
          </cell>
          <cell r="H206" t="str">
            <v>X</v>
          </cell>
          <cell r="J206" t="str">
            <v>SA</v>
          </cell>
          <cell r="K206">
            <v>3</v>
          </cell>
          <cell r="L206">
            <v>0</v>
          </cell>
          <cell r="M206">
            <v>800</v>
          </cell>
        </row>
        <row r="207">
          <cell r="A207" t="str">
            <v>B42</v>
          </cell>
          <cell r="B207">
            <v>2317794.057</v>
          </cell>
          <cell r="C207">
            <v>430343.40500000003</v>
          </cell>
          <cell r="D207">
            <v>22.7</v>
          </cell>
          <cell r="E207" t="str">
            <v>DC10</v>
          </cell>
          <cell r="F207">
            <v>-6.9</v>
          </cell>
          <cell r="G207">
            <v>-5.9</v>
          </cell>
          <cell r="J207" t="str">
            <v/>
          </cell>
          <cell r="K207">
            <v>0</v>
          </cell>
          <cell r="L207">
            <v>0</v>
          </cell>
          <cell r="M207">
            <v>800</v>
          </cell>
        </row>
        <row r="208">
          <cell r="A208" t="str">
            <v>B43</v>
          </cell>
          <cell r="B208">
            <v>2317794.4819999998</v>
          </cell>
          <cell r="C208">
            <v>430352.74599999998</v>
          </cell>
          <cell r="D208">
            <v>23.2</v>
          </cell>
          <cell r="E208" t="str">
            <v>DC10</v>
          </cell>
          <cell r="F208">
            <v>-6.9</v>
          </cell>
          <cell r="G208">
            <v>-5.9</v>
          </cell>
          <cell r="J208" t="str">
            <v/>
          </cell>
          <cell r="K208">
            <v>0</v>
          </cell>
          <cell r="L208">
            <v>0</v>
          </cell>
          <cell r="M208">
            <v>800</v>
          </cell>
        </row>
        <row r="209">
          <cell r="A209" t="str">
            <v>B44</v>
          </cell>
          <cell r="B209">
            <v>2317794.8879999998</v>
          </cell>
          <cell r="C209">
            <v>430361.68599999999</v>
          </cell>
          <cell r="D209">
            <v>26</v>
          </cell>
          <cell r="E209" t="str">
            <v>DC10B</v>
          </cell>
          <cell r="F209">
            <v>-6.9</v>
          </cell>
          <cell r="G209">
            <v>-5.9</v>
          </cell>
          <cell r="J209" t="str">
            <v/>
          </cell>
          <cell r="K209">
            <v>0</v>
          </cell>
          <cell r="L209">
            <v>0</v>
          </cell>
          <cell r="M209">
            <v>800</v>
          </cell>
        </row>
        <row r="210">
          <cell r="A210" t="str">
            <v>B45</v>
          </cell>
          <cell r="B210">
            <v>2317795.2990000001</v>
          </cell>
          <cell r="C210">
            <v>430370.72700000001</v>
          </cell>
          <cell r="D210">
            <v>31.8</v>
          </cell>
          <cell r="E210" t="str">
            <v>DC10A</v>
          </cell>
          <cell r="F210">
            <v>-5.9</v>
          </cell>
          <cell r="G210">
            <v>-4.9000000000000004</v>
          </cell>
          <cell r="H210" t="str">
            <v>X</v>
          </cell>
          <cell r="J210" t="str">
            <v>SA</v>
          </cell>
          <cell r="K210">
            <v>3</v>
          </cell>
          <cell r="L210">
            <v>0</v>
          </cell>
          <cell r="M210">
            <v>800</v>
          </cell>
        </row>
        <row r="211">
          <cell r="A211" t="str">
            <v>B46</v>
          </cell>
          <cell r="B211">
            <v>2317795.7080000001</v>
          </cell>
          <cell r="C211">
            <v>430379.71799999999</v>
          </cell>
          <cell r="D211">
            <v>26.9</v>
          </cell>
          <cell r="E211" t="str">
            <v>DC10A</v>
          </cell>
          <cell r="F211">
            <v>-5.9</v>
          </cell>
          <cell r="G211">
            <v>-4.9000000000000004</v>
          </cell>
          <cell r="J211" t="str">
            <v/>
          </cell>
          <cell r="K211">
            <v>0</v>
          </cell>
          <cell r="L211">
            <v>0</v>
          </cell>
          <cell r="M211">
            <v>800</v>
          </cell>
        </row>
        <row r="212">
          <cell r="A212" t="str">
            <v>B47</v>
          </cell>
          <cell r="B212">
            <v>2317796.1120000002</v>
          </cell>
          <cell r="C212">
            <v>430388.61900000001</v>
          </cell>
          <cell r="D212">
            <v>26.9</v>
          </cell>
          <cell r="E212" t="str">
            <v>DC10A</v>
          </cell>
          <cell r="F212">
            <v>-5.9</v>
          </cell>
          <cell r="G212">
            <v>-4.9000000000000004</v>
          </cell>
          <cell r="I212" t="str">
            <v>X</v>
          </cell>
          <cell r="J212" t="str">
            <v>L</v>
          </cell>
          <cell r="K212">
            <v>2</v>
          </cell>
          <cell r="L212">
            <v>1</v>
          </cell>
          <cell r="M212">
            <v>800</v>
          </cell>
        </row>
        <row r="213">
          <cell r="A213" t="str">
            <v>B48</v>
          </cell>
          <cell r="B213">
            <v>2317796.5249999999</v>
          </cell>
          <cell r="C213">
            <v>430397.69900000002</v>
          </cell>
          <cell r="D213">
            <v>24.5</v>
          </cell>
          <cell r="E213" t="str">
            <v>DC10A</v>
          </cell>
          <cell r="F213">
            <v>-5.9</v>
          </cell>
          <cell r="G213">
            <v>-4.9000000000000004</v>
          </cell>
          <cell r="J213" t="str">
            <v/>
          </cell>
          <cell r="K213">
            <v>0</v>
          </cell>
          <cell r="L213">
            <v>0</v>
          </cell>
          <cell r="M213">
            <v>800</v>
          </cell>
        </row>
        <row r="214">
          <cell r="A214" t="str">
            <v>B49</v>
          </cell>
          <cell r="B214">
            <v>2317796.9339999999</v>
          </cell>
          <cell r="C214">
            <v>430406.69</v>
          </cell>
          <cell r="D214">
            <v>25.6</v>
          </cell>
          <cell r="E214" t="str">
            <v>DC10A</v>
          </cell>
          <cell r="F214">
            <v>-5.9</v>
          </cell>
          <cell r="G214">
            <v>-4.9000000000000004</v>
          </cell>
          <cell r="H214" t="str">
            <v>X</v>
          </cell>
          <cell r="J214" t="str">
            <v>SA</v>
          </cell>
          <cell r="K214">
            <v>3</v>
          </cell>
          <cell r="L214">
            <v>0</v>
          </cell>
          <cell r="M214">
            <v>800</v>
          </cell>
        </row>
        <row r="215">
          <cell r="A215" t="str">
            <v>BP1</v>
          </cell>
          <cell r="B215">
            <v>2317782.8459999999</v>
          </cell>
          <cell r="C215">
            <v>430300.92099999997</v>
          </cell>
          <cell r="D215">
            <v>29.9</v>
          </cell>
          <cell r="F215">
            <v>-6.9</v>
          </cell>
          <cell r="G215">
            <v>-5.9</v>
          </cell>
          <cell r="J215" t="str">
            <v/>
          </cell>
          <cell r="K215">
            <v>0</v>
          </cell>
          <cell r="L215">
            <v>0</v>
          </cell>
          <cell r="M215">
            <v>1200</v>
          </cell>
        </row>
        <row r="216">
          <cell r="A216" t="str">
            <v>BP2</v>
          </cell>
          <cell r="B216">
            <v>2317794.9530000002</v>
          </cell>
          <cell r="C216">
            <v>430375.24699999997</v>
          </cell>
          <cell r="D216">
            <v>32.25</v>
          </cell>
          <cell r="F216">
            <v>-5.9</v>
          </cell>
          <cell r="G216">
            <v>-4.9000000000000004</v>
          </cell>
          <cell r="J216" t="str">
            <v/>
          </cell>
          <cell r="K216">
            <v>0</v>
          </cell>
          <cell r="L216">
            <v>0</v>
          </cell>
          <cell r="M216">
            <v>800</v>
          </cell>
        </row>
        <row r="217">
          <cell r="A217" t="str">
            <v>BP3</v>
          </cell>
          <cell r="B217">
            <v>2317745.682</v>
          </cell>
          <cell r="C217">
            <v>430251.685</v>
          </cell>
          <cell r="D217">
            <v>29</v>
          </cell>
          <cell r="F217">
            <v>-6.9</v>
          </cell>
          <cell r="G217">
            <v>-5.9</v>
          </cell>
          <cell r="J217" t="str">
            <v/>
          </cell>
          <cell r="K217">
            <v>0</v>
          </cell>
          <cell r="L217">
            <v>0</v>
          </cell>
          <cell r="M217">
            <v>800</v>
          </cell>
        </row>
        <row r="218">
          <cell r="A218" t="str">
            <v>BP4</v>
          </cell>
          <cell r="B218">
            <v>2317794.6809999999</v>
          </cell>
          <cell r="C218">
            <v>430357.147</v>
          </cell>
          <cell r="D218">
            <v>25.7</v>
          </cell>
          <cell r="F218">
            <v>-6.9</v>
          </cell>
          <cell r="G218">
            <v>-5.9</v>
          </cell>
          <cell r="J218" t="str">
            <v/>
          </cell>
          <cell r="K218">
            <v>0</v>
          </cell>
          <cell r="L218">
            <v>0</v>
          </cell>
          <cell r="M218">
            <v>800</v>
          </cell>
        </row>
      </sheetData>
      <sheetData sheetId="4"/>
      <sheetData sheetId="5"/>
      <sheetData sheetId="6"/>
      <sheetData sheetId="7">
        <row r="2">
          <cell r="B2" t="str">
            <v>Tên cọc</v>
          </cell>
          <cell r="C2" t="str">
            <v xml:space="preserve">1.Khoan tạo lỗ :   </v>
          </cell>
          <cell r="F2" t="str">
            <v xml:space="preserve">2.Nghiệm thu định vị ống Casing: </v>
          </cell>
          <cell r="M2" t="str">
            <v>3.Kiểm tra Polymer lần1:</v>
          </cell>
          <cell r="T2" t="str">
            <v xml:space="preserve">4.Khoan gặp đá: </v>
          </cell>
          <cell r="W2" t="str">
            <v>5.Kết thúc khoan hồi :</v>
          </cell>
          <cell r="Z2" t="str">
            <v xml:space="preserve">6.Vét lắng  </v>
          </cell>
          <cell r="AD2" t="str">
            <v>7.Nghiệm thu lồng thép:</v>
          </cell>
          <cell r="AG2" t="str">
            <v>8.Hạ lồng thép, ống đổ, ống thổi :</v>
          </cell>
          <cell r="AJ2" t="str">
            <v>9.Kiểm tra Polymer lần 2:</v>
          </cell>
          <cell r="AQ2" t="str">
            <v>10.Kiểm tra chiều sâu hố khoan trước khi đổ bê tông</v>
          </cell>
          <cell r="AU2" t="str">
            <v>11.Tvgs  đồng ý cho đổ bê tông</v>
          </cell>
        </row>
        <row r="3">
          <cell r="C3" t="str">
            <v>Bắt đầu</v>
          </cell>
          <cell r="D3" t="str">
            <v>Kết thúc</v>
          </cell>
          <cell r="E3" t="str">
            <v>Ngày:</v>
          </cell>
          <cell r="F3" t="str">
            <v>Bắt đầu</v>
          </cell>
          <cell r="G3" t="str">
            <v>Kết thúc</v>
          </cell>
          <cell r="H3" t="str">
            <v>Ngày:</v>
          </cell>
          <cell r="I3" t="str">
            <v>DX</v>
          </cell>
          <cell r="J3" t="str">
            <v>DY</v>
          </cell>
          <cell r="K3" t="str">
            <v>CĐ sing</v>
          </cell>
          <cell r="L3" t="str">
            <v>CĐ TN</v>
          </cell>
          <cell r="M3" t="str">
            <v>Bắt đầu</v>
          </cell>
          <cell r="N3" t="str">
            <v>Kết thúc</v>
          </cell>
          <cell r="O3" t="str">
            <v>Ngày:</v>
          </cell>
          <cell r="P3" t="str">
            <v>Tỷ trọng</v>
          </cell>
          <cell r="Q3" t="str">
            <v>PH</v>
          </cell>
          <cell r="R3" t="str">
            <v>Độ nhớt</v>
          </cell>
          <cell r="S3" t="str">
            <v>HL cát</v>
          </cell>
          <cell r="T3" t="str">
            <v>Bắt đầu</v>
          </cell>
          <cell r="U3" t="str">
            <v>Ngày:</v>
          </cell>
          <cell r="V3" t="str">
            <v>chiều sâu</v>
          </cell>
          <cell r="W3" t="str">
            <v>Bắt đầu</v>
          </cell>
          <cell r="X3" t="str">
            <v>Ngày</v>
          </cell>
          <cell r="Y3" t="str">
            <v>chiều sâu</v>
          </cell>
          <cell r="Z3" t="str">
            <v>Bắt đầu</v>
          </cell>
          <cell r="AA3" t="str">
            <v>Kết thúc</v>
          </cell>
          <cell r="AB3" t="str">
            <v>Ngày:</v>
          </cell>
          <cell r="AC3" t="str">
            <v>chiều sâu</v>
          </cell>
          <cell r="AD3" t="str">
            <v>Bắt đầu</v>
          </cell>
          <cell r="AE3" t="str">
            <v>Kết thúc</v>
          </cell>
          <cell r="AF3" t="str">
            <v>Ngày:</v>
          </cell>
          <cell r="AG3" t="str">
            <v>Bắt đầu</v>
          </cell>
          <cell r="AH3" t="str">
            <v>Kết thúc</v>
          </cell>
          <cell r="AI3" t="str">
            <v>Ngày:</v>
          </cell>
          <cell r="AJ3" t="str">
            <v>Bắt đầu</v>
          </cell>
          <cell r="AK3" t="str">
            <v>Kết thúc</v>
          </cell>
          <cell r="AL3" t="str">
            <v>Ngày:</v>
          </cell>
          <cell r="AM3" t="str">
            <v>Tỷ trọng</v>
          </cell>
          <cell r="AN3" t="str">
            <v>PH</v>
          </cell>
          <cell r="AO3" t="str">
            <v>Độ nhớt</v>
          </cell>
          <cell r="AP3" t="str">
            <v>HL cát</v>
          </cell>
          <cell r="AQ3" t="str">
            <v>Bắt đầu</v>
          </cell>
          <cell r="AR3" t="str">
            <v>Kết thúc</v>
          </cell>
          <cell r="AS3" t="str">
            <v>Ngày:</v>
          </cell>
          <cell r="AT3" t="str">
            <v>chiều sâu</v>
          </cell>
          <cell r="AU3" t="str">
            <v>Bắt đầu</v>
          </cell>
          <cell r="AV3" t="str">
            <v>Ngày</v>
          </cell>
          <cell r="AW3" t="str">
            <v>Kết thúc</v>
          </cell>
          <cell r="AX3" t="str">
            <v>Ngày</v>
          </cell>
          <cell r="AY3" t="str">
            <v>Chiều sâu dừng đổ</v>
          </cell>
          <cell r="AZ3" t="str">
            <v>BT  thực tế</v>
          </cell>
        </row>
        <row r="4">
          <cell r="B4">
            <v>1</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row>
        <row r="5">
          <cell r="B5" t="str">
            <v>A20</v>
          </cell>
          <cell r="C5">
            <v>0.39930555555555558</v>
          </cell>
          <cell r="D5">
            <v>0.42708333333333331</v>
          </cell>
          <cell r="E5">
            <v>42512</v>
          </cell>
          <cell r="F5">
            <v>0.4375</v>
          </cell>
          <cell r="G5">
            <v>0.45833333333333331</v>
          </cell>
          <cell r="H5">
            <v>42512</v>
          </cell>
          <cell r="I5">
            <v>2E-3</v>
          </cell>
          <cell r="J5">
            <v>1.4999999999999999E-2</v>
          </cell>
          <cell r="K5">
            <v>-0.4</v>
          </cell>
          <cell r="L5">
            <v>-0.81499999999999995</v>
          </cell>
          <cell r="M5">
            <v>0.4375</v>
          </cell>
          <cell r="N5">
            <v>0.44444444444444442</v>
          </cell>
          <cell r="O5">
            <v>42512</v>
          </cell>
          <cell r="P5">
            <v>1.07</v>
          </cell>
          <cell r="Q5">
            <v>9</v>
          </cell>
          <cell r="R5">
            <v>21</v>
          </cell>
          <cell r="S5">
            <v>1</v>
          </cell>
          <cell r="T5">
            <v>0.72916666666666663</v>
          </cell>
          <cell r="U5">
            <v>42512</v>
          </cell>
          <cell r="V5">
            <v>25.9</v>
          </cell>
          <cell r="W5">
            <v>0.39583333333333331</v>
          </cell>
          <cell r="X5">
            <v>42518</v>
          </cell>
          <cell r="Y5">
            <v>39.450000000000003</v>
          </cell>
          <cell r="Z5">
            <v>0.73611111111111116</v>
          </cell>
          <cell r="AA5">
            <v>0.75</v>
          </cell>
          <cell r="AB5">
            <v>42518</v>
          </cell>
          <cell r="AC5">
            <v>39.549999999999997</v>
          </cell>
          <cell r="AD5">
            <v>0.40972222222222227</v>
          </cell>
          <cell r="AE5">
            <v>0.41319444444444442</v>
          </cell>
          <cell r="AF5">
            <v>42518</v>
          </cell>
          <cell r="AG5">
            <v>0.75694444444444453</v>
          </cell>
          <cell r="AH5">
            <v>0.97222222222222221</v>
          </cell>
          <cell r="AI5">
            <v>42518</v>
          </cell>
          <cell r="AJ5">
            <v>0.97916666666666663</v>
          </cell>
          <cell r="AK5">
            <v>0.98611111111111116</v>
          </cell>
          <cell r="AL5">
            <v>42518</v>
          </cell>
          <cell r="AM5">
            <v>1.08</v>
          </cell>
          <cell r="AN5">
            <v>9</v>
          </cell>
          <cell r="AO5">
            <v>28</v>
          </cell>
          <cell r="AP5">
            <v>0</v>
          </cell>
          <cell r="AQ5">
            <v>0.98958333333333337</v>
          </cell>
          <cell r="AR5">
            <v>0.99305555555555547</v>
          </cell>
          <cell r="AS5">
            <v>42518</v>
          </cell>
          <cell r="AT5">
            <v>39.6</v>
          </cell>
          <cell r="AU5">
            <v>0.99305555555555547</v>
          </cell>
          <cell r="AV5">
            <v>42518</v>
          </cell>
          <cell r="AW5">
            <v>7.2916666666666671E-2</v>
          </cell>
          <cell r="AX5">
            <v>42519</v>
          </cell>
          <cell r="AY5">
            <v>5.5</v>
          </cell>
          <cell r="AZ5">
            <v>49</v>
          </cell>
        </row>
        <row r="6">
          <cell r="B6" t="str">
            <v>B1</v>
          </cell>
          <cell r="C6">
            <v>0.375</v>
          </cell>
          <cell r="D6">
            <v>0.4375</v>
          </cell>
          <cell r="E6">
            <v>42519</v>
          </cell>
          <cell r="F6">
            <v>0.4375</v>
          </cell>
          <cell r="G6">
            <v>0.44444444444444442</v>
          </cell>
          <cell r="H6">
            <v>42519</v>
          </cell>
          <cell r="I6">
            <v>1E-3</v>
          </cell>
          <cell r="J6">
            <v>0.02</v>
          </cell>
          <cell r="K6">
            <v>-0.35299999999999998</v>
          </cell>
          <cell r="L6">
            <v>-0.71699999999999997</v>
          </cell>
          <cell r="M6">
            <v>0.4375</v>
          </cell>
          <cell r="N6">
            <v>0.44791666666666669</v>
          </cell>
          <cell r="O6">
            <v>42519</v>
          </cell>
          <cell r="P6">
            <v>1.08</v>
          </cell>
          <cell r="Q6">
            <v>9</v>
          </cell>
          <cell r="R6">
            <v>19</v>
          </cell>
          <cell r="S6">
            <v>0</v>
          </cell>
          <cell r="T6">
            <v>0.625</v>
          </cell>
          <cell r="U6">
            <v>42519</v>
          </cell>
          <cell r="V6">
            <v>22.3</v>
          </cell>
          <cell r="W6">
            <v>0.76388888888888884</v>
          </cell>
          <cell r="X6">
            <v>42520</v>
          </cell>
          <cell r="Y6">
            <v>29.35</v>
          </cell>
          <cell r="Z6">
            <v>0.80555555555555547</v>
          </cell>
          <cell r="AA6">
            <v>0.81944444444444453</v>
          </cell>
          <cell r="AB6">
            <v>42520</v>
          </cell>
          <cell r="AC6">
            <v>29.35</v>
          </cell>
          <cell r="AD6">
            <v>0.55902777777777779</v>
          </cell>
          <cell r="AE6">
            <v>0.56597222222222221</v>
          </cell>
          <cell r="AF6">
            <v>42520</v>
          </cell>
          <cell r="AG6">
            <v>0.88541666666666663</v>
          </cell>
          <cell r="AH6">
            <v>4.1666666666666664E-2</v>
          </cell>
          <cell r="AI6">
            <v>42521</v>
          </cell>
          <cell r="AJ6">
            <v>0.13194444444444445</v>
          </cell>
          <cell r="AK6">
            <v>0.1388888888888889</v>
          </cell>
          <cell r="AL6">
            <v>42521</v>
          </cell>
          <cell r="AM6">
            <v>1.0900000000000001</v>
          </cell>
          <cell r="AN6">
            <v>9</v>
          </cell>
          <cell r="AO6">
            <v>28</v>
          </cell>
          <cell r="AP6">
            <v>0</v>
          </cell>
          <cell r="AQ6">
            <v>0.13541666666666666</v>
          </cell>
          <cell r="AR6">
            <v>0.1388888888888889</v>
          </cell>
          <cell r="AS6">
            <v>42521</v>
          </cell>
          <cell r="AT6">
            <v>29.35</v>
          </cell>
          <cell r="AU6">
            <v>0.1423611111111111</v>
          </cell>
          <cell r="AV6">
            <v>42521</v>
          </cell>
          <cell r="AW6">
            <v>0.20138888888888887</v>
          </cell>
          <cell r="AX6">
            <v>42521</v>
          </cell>
          <cell r="AY6">
            <v>0</v>
          </cell>
          <cell r="AZ6">
            <v>18</v>
          </cell>
        </row>
        <row r="7">
          <cell r="B7" t="str">
            <v>A19</v>
          </cell>
          <cell r="C7">
            <v>0.29166666666666669</v>
          </cell>
          <cell r="D7">
            <v>0.33333333333333331</v>
          </cell>
          <cell r="E7">
            <v>42521</v>
          </cell>
          <cell r="F7">
            <v>0.36458333333333331</v>
          </cell>
          <cell r="G7">
            <v>0.375</v>
          </cell>
          <cell r="H7">
            <v>42521</v>
          </cell>
          <cell r="I7">
            <v>2.5000000000000001E-2</v>
          </cell>
          <cell r="J7">
            <v>6.0000000000000001E-3</v>
          </cell>
          <cell r="K7">
            <v>-0.156</v>
          </cell>
          <cell r="L7">
            <v>-0.78400000000000003</v>
          </cell>
          <cell r="M7">
            <v>0.38194444444444442</v>
          </cell>
          <cell r="N7">
            <v>0.38541666666666669</v>
          </cell>
          <cell r="O7">
            <v>42521</v>
          </cell>
          <cell r="P7">
            <v>1.05</v>
          </cell>
          <cell r="Q7">
            <v>9</v>
          </cell>
          <cell r="R7">
            <v>24</v>
          </cell>
          <cell r="S7">
            <v>0</v>
          </cell>
          <cell r="T7">
            <v>0.66666666666666663</v>
          </cell>
          <cell r="U7">
            <v>42521</v>
          </cell>
          <cell r="V7">
            <v>29</v>
          </cell>
          <cell r="W7">
            <v>0.39583333333333331</v>
          </cell>
          <cell r="X7">
            <v>42522</v>
          </cell>
          <cell r="Y7">
            <v>39.6</v>
          </cell>
          <cell r="Z7">
            <v>0.55555555555555558</v>
          </cell>
          <cell r="AA7">
            <v>0.57638888888888895</v>
          </cell>
          <cell r="AB7">
            <v>42522</v>
          </cell>
          <cell r="AC7">
            <v>39.799999999999997</v>
          </cell>
          <cell r="AD7">
            <v>0.40972222222222227</v>
          </cell>
          <cell r="AE7">
            <v>0.41319444444444442</v>
          </cell>
          <cell r="AF7">
            <v>42522</v>
          </cell>
          <cell r="AG7">
            <v>0.65972222222222221</v>
          </cell>
          <cell r="AH7">
            <v>0.90972222222222221</v>
          </cell>
          <cell r="AI7">
            <v>42522</v>
          </cell>
          <cell r="AJ7">
            <v>0</v>
          </cell>
          <cell r="AK7">
            <v>3.472222222222222E-3</v>
          </cell>
          <cell r="AL7">
            <v>42522</v>
          </cell>
          <cell r="AM7">
            <v>1.06</v>
          </cell>
          <cell r="AN7">
            <v>8</v>
          </cell>
          <cell r="AO7">
            <v>27</v>
          </cell>
          <cell r="AP7">
            <v>0</v>
          </cell>
          <cell r="AQ7">
            <v>3.472222222222222E-3</v>
          </cell>
          <cell r="AR7">
            <v>6.9444444444444441E-3</v>
          </cell>
          <cell r="AS7">
            <v>42523</v>
          </cell>
          <cell r="AT7">
            <v>39.799999999999997</v>
          </cell>
          <cell r="AU7">
            <v>6.9444444444444441E-3</v>
          </cell>
          <cell r="AV7">
            <v>42523</v>
          </cell>
          <cell r="AW7">
            <v>0.11458333333333333</v>
          </cell>
          <cell r="AX7">
            <v>42523</v>
          </cell>
          <cell r="AY7">
            <v>0</v>
          </cell>
          <cell r="AZ7">
            <v>54</v>
          </cell>
        </row>
        <row r="8">
          <cell r="B8" t="str">
            <v>A126</v>
          </cell>
          <cell r="C8">
            <v>0.66666666666666663</v>
          </cell>
          <cell r="D8">
            <v>0.85763888888888884</v>
          </cell>
          <cell r="E8">
            <v>42522</v>
          </cell>
          <cell r="F8">
            <v>0.85763888888888884</v>
          </cell>
          <cell r="G8">
            <v>0.86111111111111116</v>
          </cell>
          <cell r="H8">
            <v>42522</v>
          </cell>
          <cell r="I8">
            <v>1.7999999999999999E-2</v>
          </cell>
          <cell r="J8">
            <v>6.0000000000000001E-3</v>
          </cell>
          <cell r="K8">
            <v>-0.26700000000000002</v>
          </cell>
          <cell r="L8">
            <v>-0.72</v>
          </cell>
          <cell r="M8">
            <v>0.3125</v>
          </cell>
          <cell r="N8">
            <v>0.31597222222222221</v>
          </cell>
          <cell r="O8">
            <v>42523</v>
          </cell>
          <cell r="P8">
            <v>1.06</v>
          </cell>
          <cell r="Q8">
            <v>8</v>
          </cell>
          <cell r="R8">
            <v>22</v>
          </cell>
          <cell r="S8">
            <v>0</v>
          </cell>
          <cell r="T8">
            <v>0.40972222222222227</v>
          </cell>
          <cell r="U8">
            <v>42523</v>
          </cell>
          <cell r="V8">
            <v>22.3</v>
          </cell>
          <cell r="W8">
            <v>0.60416666666666663</v>
          </cell>
          <cell r="X8">
            <v>42523</v>
          </cell>
          <cell r="Y8">
            <v>23.4</v>
          </cell>
          <cell r="Z8">
            <v>0.83333333333333337</v>
          </cell>
          <cell r="AA8">
            <v>0.85416666666666663</v>
          </cell>
          <cell r="AB8">
            <v>42523</v>
          </cell>
          <cell r="AC8">
            <v>23.6</v>
          </cell>
          <cell r="AD8">
            <v>0.86111111111111116</v>
          </cell>
          <cell r="AE8">
            <v>0.87847222222222221</v>
          </cell>
          <cell r="AF8">
            <v>42523</v>
          </cell>
          <cell r="AG8">
            <v>0.88888888888888884</v>
          </cell>
          <cell r="AH8">
            <v>9.7222222222222224E-2</v>
          </cell>
          <cell r="AI8">
            <v>42524</v>
          </cell>
          <cell r="AJ8">
            <v>0.10416666666666667</v>
          </cell>
          <cell r="AK8">
            <v>0.1076388888888889</v>
          </cell>
          <cell r="AL8">
            <v>42524</v>
          </cell>
          <cell r="AM8">
            <v>1.07</v>
          </cell>
          <cell r="AN8">
            <v>9</v>
          </cell>
          <cell r="AO8">
            <v>23</v>
          </cell>
          <cell r="AP8">
            <v>0</v>
          </cell>
          <cell r="AQ8">
            <v>0.11805555555555557</v>
          </cell>
          <cell r="AR8">
            <v>0.12152777777777778</v>
          </cell>
          <cell r="AS8">
            <v>42524</v>
          </cell>
          <cell r="AT8">
            <v>23.6</v>
          </cell>
          <cell r="AU8">
            <v>0.12847222222222224</v>
          </cell>
          <cell r="AV8">
            <v>42524</v>
          </cell>
          <cell r="AW8">
            <v>0.20833333333333334</v>
          </cell>
          <cell r="AX8">
            <v>42524</v>
          </cell>
          <cell r="AY8">
            <v>0</v>
          </cell>
          <cell r="AZ8">
            <v>30</v>
          </cell>
        </row>
        <row r="9">
          <cell r="B9" t="str">
            <v>A151</v>
          </cell>
          <cell r="C9">
            <v>0.3888888888888889</v>
          </cell>
          <cell r="D9">
            <v>0.47916666666666669</v>
          </cell>
          <cell r="E9">
            <v>42524</v>
          </cell>
          <cell r="F9">
            <v>0.58333333333333337</v>
          </cell>
          <cell r="G9">
            <v>0.59722222222222221</v>
          </cell>
          <cell r="H9">
            <v>42524</v>
          </cell>
          <cell r="I9">
            <v>0.02</v>
          </cell>
          <cell r="J9">
            <v>6.0000000000000001E-3</v>
          </cell>
          <cell r="K9">
            <v>-0.57799999999999996</v>
          </cell>
          <cell r="L9">
            <v>-0.93500000000000005</v>
          </cell>
          <cell r="M9">
            <v>0.60069444444444442</v>
          </cell>
          <cell r="N9">
            <v>0.60416666666666663</v>
          </cell>
          <cell r="O9">
            <v>42524</v>
          </cell>
          <cell r="P9">
            <v>1.01</v>
          </cell>
          <cell r="Q9">
            <v>9</v>
          </cell>
          <cell r="R9">
            <v>23</v>
          </cell>
          <cell r="S9">
            <v>0</v>
          </cell>
          <cell r="T9">
            <v>0.72916666666666663</v>
          </cell>
          <cell r="U9">
            <v>42524</v>
          </cell>
          <cell r="V9">
            <v>24.8</v>
          </cell>
          <cell r="W9">
            <v>0.125</v>
          </cell>
          <cell r="X9">
            <v>42525</v>
          </cell>
          <cell r="Y9">
            <v>32</v>
          </cell>
          <cell r="Z9">
            <v>0.30555555555555552</v>
          </cell>
          <cell r="AA9">
            <v>0.31736111111111115</v>
          </cell>
          <cell r="AB9">
            <v>42525</v>
          </cell>
          <cell r="AC9">
            <v>32.200000000000003</v>
          </cell>
          <cell r="AD9">
            <v>0.55902777777777779</v>
          </cell>
          <cell r="AE9">
            <v>0.56597222222222221</v>
          </cell>
          <cell r="AF9">
            <v>42525</v>
          </cell>
          <cell r="AG9">
            <v>0.4375</v>
          </cell>
          <cell r="AH9">
            <v>0.5625</v>
          </cell>
          <cell r="AI9">
            <v>42525</v>
          </cell>
          <cell r="AJ9">
            <v>0.70138888888888884</v>
          </cell>
          <cell r="AK9">
            <v>0.70833333333333337</v>
          </cell>
          <cell r="AL9">
            <v>42525</v>
          </cell>
          <cell r="AM9">
            <v>1.06</v>
          </cell>
          <cell r="AN9">
            <v>8</v>
          </cell>
          <cell r="AO9">
            <v>21.5</v>
          </cell>
          <cell r="AP9">
            <v>0</v>
          </cell>
          <cell r="AQ9">
            <v>0.76388888888888884</v>
          </cell>
          <cell r="AR9">
            <v>0.76736111111111116</v>
          </cell>
          <cell r="AS9">
            <v>42525</v>
          </cell>
          <cell r="AT9">
            <v>32.200000000000003</v>
          </cell>
          <cell r="AU9">
            <v>0.79513888888888884</v>
          </cell>
          <cell r="AV9">
            <v>42525</v>
          </cell>
          <cell r="AW9">
            <v>0.92013888888888884</v>
          </cell>
          <cell r="AX9">
            <v>42525</v>
          </cell>
          <cell r="AY9">
            <v>6.5</v>
          </cell>
          <cell r="AZ9">
            <v>33</v>
          </cell>
        </row>
        <row r="10">
          <cell r="B10" t="str">
            <v>B28</v>
          </cell>
          <cell r="C10">
            <v>0.32569444444444445</v>
          </cell>
          <cell r="D10">
            <v>0.4375</v>
          </cell>
          <cell r="E10">
            <v>42527</v>
          </cell>
          <cell r="F10">
            <v>0.46875</v>
          </cell>
          <cell r="G10">
            <v>0.47916666666666669</v>
          </cell>
          <cell r="H10">
            <v>42527</v>
          </cell>
          <cell r="I10">
            <v>-1E-3</v>
          </cell>
          <cell r="J10">
            <v>2.5999999999999999E-2</v>
          </cell>
          <cell r="K10">
            <v>-1.016</v>
          </cell>
          <cell r="L10">
            <v>-1.288</v>
          </cell>
          <cell r="M10">
            <v>0.54166666666666663</v>
          </cell>
          <cell r="N10">
            <v>0.55555555555555558</v>
          </cell>
          <cell r="O10">
            <v>42527</v>
          </cell>
          <cell r="P10">
            <v>1.06</v>
          </cell>
          <cell r="Q10">
            <v>9</v>
          </cell>
          <cell r="R10">
            <v>27</v>
          </cell>
          <cell r="S10">
            <v>0</v>
          </cell>
          <cell r="T10">
            <v>0.64583333333333337</v>
          </cell>
          <cell r="U10">
            <v>42527</v>
          </cell>
          <cell r="V10">
            <v>20.8</v>
          </cell>
          <cell r="W10">
            <v>0.70833333333333337</v>
          </cell>
          <cell r="X10">
            <v>42527</v>
          </cell>
          <cell r="Y10">
            <v>21.95</v>
          </cell>
          <cell r="Z10">
            <v>0.80555555555555547</v>
          </cell>
          <cell r="AA10">
            <v>0.81944444444444453</v>
          </cell>
          <cell r="AB10">
            <v>42527</v>
          </cell>
          <cell r="AC10">
            <v>22.08</v>
          </cell>
          <cell r="AD10">
            <v>0.83333333333333337</v>
          </cell>
          <cell r="AE10">
            <v>0.84375</v>
          </cell>
          <cell r="AF10">
            <v>42527</v>
          </cell>
          <cell r="AG10">
            <v>0.85416666666666663</v>
          </cell>
          <cell r="AH10">
            <v>0.88888888888888884</v>
          </cell>
          <cell r="AI10">
            <v>42527</v>
          </cell>
          <cell r="AJ10">
            <v>0.89236111111111116</v>
          </cell>
          <cell r="AK10">
            <v>0.88888888888888884</v>
          </cell>
          <cell r="AL10">
            <v>42527</v>
          </cell>
          <cell r="AM10">
            <v>1.07</v>
          </cell>
          <cell r="AN10">
            <v>9</v>
          </cell>
          <cell r="AO10">
            <v>28</v>
          </cell>
          <cell r="AP10">
            <v>0</v>
          </cell>
          <cell r="AQ10">
            <v>3.4722222222222224E-2</v>
          </cell>
          <cell r="AR10">
            <v>3.8194444444444441E-2</v>
          </cell>
          <cell r="AS10">
            <v>42528</v>
          </cell>
          <cell r="AT10">
            <v>22.08</v>
          </cell>
          <cell r="AU10">
            <v>4.8611111111111112E-2</v>
          </cell>
          <cell r="AV10">
            <v>42528</v>
          </cell>
          <cell r="AW10">
            <v>5.9027777777777783E-2</v>
          </cell>
          <cell r="AX10">
            <v>42528</v>
          </cell>
          <cell r="AY10">
            <v>3.8</v>
          </cell>
          <cell r="AZ10">
            <v>9.5</v>
          </cell>
        </row>
        <row r="11">
          <cell r="B11" t="str">
            <v>A1</v>
          </cell>
          <cell r="C11">
            <v>0.79166666666666663</v>
          </cell>
          <cell r="D11">
            <v>0.875</v>
          </cell>
          <cell r="E11">
            <v>42548</v>
          </cell>
          <cell r="F11">
            <v>0.33333333333333331</v>
          </cell>
          <cell r="G11">
            <v>0.34722222222222227</v>
          </cell>
          <cell r="H11">
            <v>42549</v>
          </cell>
          <cell r="I11">
            <v>1.4999999999999999E-2</v>
          </cell>
          <cell r="J11">
            <v>1E-3</v>
          </cell>
          <cell r="K11">
            <v>-0.55500000000000005</v>
          </cell>
          <cell r="L11">
            <v>-0.95499999999999996</v>
          </cell>
          <cell r="M11">
            <v>0.35069444444444442</v>
          </cell>
          <cell r="N11">
            <v>0.35416666666666669</v>
          </cell>
          <cell r="O11">
            <v>42549</v>
          </cell>
          <cell r="P11">
            <v>1.05</v>
          </cell>
          <cell r="Q11">
            <v>9</v>
          </cell>
          <cell r="R11">
            <v>23</v>
          </cell>
          <cell r="S11">
            <v>0</v>
          </cell>
          <cell r="T11">
            <v>0.67708333333333337</v>
          </cell>
          <cell r="U11">
            <v>42549</v>
          </cell>
          <cell r="V11">
            <v>20.9</v>
          </cell>
          <cell r="W11">
            <v>0.72222222222222221</v>
          </cell>
          <cell r="X11">
            <v>42549</v>
          </cell>
          <cell r="Y11">
            <v>22.6</v>
          </cell>
          <cell r="Z11">
            <v>0.80208333333333337</v>
          </cell>
          <cell r="AA11">
            <v>0.8125</v>
          </cell>
          <cell r="AB11">
            <v>42549</v>
          </cell>
          <cell r="AC11">
            <v>22.82</v>
          </cell>
          <cell r="AD11">
            <v>0.81597222222222221</v>
          </cell>
          <cell r="AE11">
            <v>0.82638888888888884</v>
          </cell>
          <cell r="AF11">
            <v>42549</v>
          </cell>
          <cell r="AG11">
            <v>0.82986111111111116</v>
          </cell>
          <cell r="AH11">
            <v>0.88194444444444453</v>
          </cell>
          <cell r="AI11">
            <v>42549</v>
          </cell>
          <cell r="AJ11">
            <v>0.95833333333333337</v>
          </cell>
          <cell r="AK11">
            <v>0.96180555555555547</v>
          </cell>
          <cell r="AL11">
            <v>42549</v>
          </cell>
          <cell r="AM11">
            <v>1.01</v>
          </cell>
          <cell r="AN11">
            <v>9</v>
          </cell>
          <cell r="AO11">
            <v>22</v>
          </cell>
          <cell r="AP11">
            <v>0</v>
          </cell>
          <cell r="AQ11">
            <v>0.37847222222222227</v>
          </cell>
          <cell r="AR11">
            <v>0.38194444444444442</v>
          </cell>
          <cell r="AS11">
            <v>42550</v>
          </cell>
          <cell r="AT11">
            <v>22.82</v>
          </cell>
          <cell r="AU11">
            <v>0.40277777777777773</v>
          </cell>
          <cell r="AV11">
            <v>42550</v>
          </cell>
          <cell r="AW11">
            <v>0.45902777777777781</v>
          </cell>
          <cell r="AX11">
            <v>42550</v>
          </cell>
          <cell r="AY11">
            <v>5.5</v>
          </cell>
          <cell r="AZ11">
            <v>19.5</v>
          </cell>
        </row>
        <row r="12">
          <cell r="B12" t="str">
            <v>A27</v>
          </cell>
          <cell r="C12">
            <v>0.89583333333333337</v>
          </cell>
          <cell r="D12">
            <v>0.97916666666666663</v>
          </cell>
          <cell r="E12">
            <v>42549</v>
          </cell>
          <cell r="F12">
            <v>0.45833333333333331</v>
          </cell>
          <cell r="G12">
            <v>0.46527777777777773</v>
          </cell>
          <cell r="H12">
            <v>42549</v>
          </cell>
          <cell r="I12">
            <v>1.9E-2</v>
          </cell>
          <cell r="J12">
            <v>2.1999999999999999E-2</v>
          </cell>
          <cell r="K12">
            <v>-0.85899999999999999</v>
          </cell>
          <cell r="L12">
            <v>-1.2949999999999999</v>
          </cell>
          <cell r="M12">
            <v>0.58680555555555558</v>
          </cell>
          <cell r="N12">
            <v>0.59375</v>
          </cell>
          <cell r="O12">
            <v>42549</v>
          </cell>
          <cell r="P12">
            <v>1.05</v>
          </cell>
          <cell r="Q12">
            <v>9</v>
          </cell>
          <cell r="R12">
            <v>23</v>
          </cell>
          <cell r="S12">
            <v>0</v>
          </cell>
          <cell r="T12">
            <v>0.89583333333333337</v>
          </cell>
          <cell r="U12">
            <v>42549</v>
          </cell>
          <cell r="V12">
            <v>24.8</v>
          </cell>
          <cell r="W12">
            <v>0.92361111111111116</v>
          </cell>
          <cell r="X12">
            <v>42549</v>
          </cell>
          <cell r="Y12">
            <v>26.7</v>
          </cell>
          <cell r="Z12">
            <v>0.31597222222222221</v>
          </cell>
          <cell r="AA12">
            <v>0.3263888888888889</v>
          </cell>
          <cell r="AB12">
            <v>42550</v>
          </cell>
          <cell r="AC12">
            <v>27.23</v>
          </cell>
          <cell r="AD12">
            <v>0.34027777777777773</v>
          </cell>
          <cell r="AE12">
            <v>0.35069444444444442</v>
          </cell>
          <cell r="AF12">
            <v>42550</v>
          </cell>
          <cell r="AG12">
            <v>0.39583333333333331</v>
          </cell>
          <cell r="AH12">
            <v>0.44444444444444442</v>
          </cell>
          <cell r="AI12">
            <v>42550</v>
          </cell>
          <cell r="AJ12">
            <v>0.57291666666666663</v>
          </cell>
          <cell r="AK12">
            <v>0.57986111111111105</v>
          </cell>
          <cell r="AL12">
            <v>42550</v>
          </cell>
          <cell r="AM12">
            <v>1.05</v>
          </cell>
          <cell r="AN12">
            <v>9</v>
          </cell>
          <cell r="AO12">
            <v>22</v>
          </cell>
          <cell r="AP12">
            <v>0</v>
          </cell>
          <cell r="AQ12">
            <v>0.67361111111111116</v>
          </cell>
          <cell r="AR12">
            <v>0.67708333333333337</v>
          </cell>
          <cell r="AS12">
            <v>42550</v>
          </cell>
          <cell r="AT12">
            <v>27.23</v>
          </cell>
          <cell r="AU12">
            <v>0.68402777777777779</v>
          </cell>
          <cell r="AV12">
            <v>42550</v>
          </cell>
          <cell r="AW12">
            <v>0.73611111111111116</v>
          </cell>
          <cell r="AX12">
            <v>42550</v>
          </cell>
          <cell r="AY12">
            <v>6.4</v>
          </cell>
          <cell r="AZ12">
            <v>23</v>
          </cell>
        </row>
        <row r="13">
          <cell r="B13" t="str">
            <v>A3</v>
          </cell>
          <cell r="C13">
            <v>0.66666666666666663</v>
          </cell>
          <cell r="D13">
            <v>0.75</v>
          </cell>
          <cell r="E13">
            <v>42550</v>
          </cell>
          <cell r="F13">
            <v>0.76041666666666663</v>
          </cell>
          <cell r="G13">
            <v>0.77083333333333337</v>
          </cell>
          <cell r="H13">
            <v>42550</v>
          </cell>
          <cell r="I13">
            <v>1.9E-2</v>
          </cell>
          <cell r="J13">
            <v>0.01</v>
          </cell>
          <cell r="K13">
            <v>-0.60499999999999998</v>
          </cell>
          <cell r="L13">
            <v>-1.05</v>
          </cell>
          <cell r="M13">
            <v>0.79166666666666663</v>
          </cell>
          <cell r="N13">
            <v>0.79513888888888884</v>
          </cell>
          <cell r="O13">
            <v>42550</v>
          </cell>
          <cell r="P13">
            <v>1.05</v>
          </cell>
          <cell r="Q13">
            <v>9</v>
          </cell>
          <cell r="R13">
            <v>23</v>
          </cell>
          <cell r="S13">
            <v>0</v>
          </cell>
          <cell r="T13">
            <v>0.92708333333333337</v>
          </cell>
          <cell r="U13">
            <v>42550</v>
          </cell>
          <cell r="V13">
            <v>22.8</v>
          </cell>
          <cell r="W13">
            <v>0.17013888888888887</v>
          </cell>
          <cell r="X13">
            <v>42551</v>
          </cell>
          <cell r="Y13">
            <v>27.6</v>
          </cell>
          <cell r="Z13">
            <v>0.19444444444444445</v>
          </cell>
          <cell r="AA13">
            <v>0.20833333333333334</v>
          </cell>
          <cell r="AB13">
            <v>42551</v>
          </cell>
          <cell r="AC13">
            <v>27.6</v>
          </cell>
          <cell r="AD13">
            <v>0.81597222222222221</v>
          </cell>
          <cell r="AE13">
            <v>0.82638888888888884</v>
          </cell>
          <cell r="AF13">
            <v>42551</v>
          </cell>
          <cell r="AG13">
            <v>0.22916666666666666</v>
          </cell>
          <cell r="AH13">
            <v>0.69791666666666663</v>
          </cell>
          <cell r="AI13">
            <v>42551</v>
          </cell>
          <cell r="AJ13">
            <v>0.70833333333333337</v>
          </cell>
          <cell r="AK13">
            <v>0.71527777777777779</v>
          </cell>
          <cell r="AL13">
            <v>42551</v>
          </cell>
          <cell r="AM13">
            <v>1.05</v>
          </cell>
          <cell r="AN13">
            <v>9</v>
          </cell>
          <cell r="AO13">
            <v>22</v>
          </cell>
          <cell r="AP13">
            <v>0</v>
          </cell>
          <cell r="AQ13">
            <v>0.79166666666666663</v>
          </cell>
          <cell r="AR13">
            <v>0.79513888888888884</v>
          </cell>
          <cell r="AS13">
            <v>42551</v>
          </cell>
          <cell r="AT13">
            <v>27.6</v>
          </cell>
          <cell r="AU13">
            <v>0.80208333333333337</v>
          </cell>
          <cell r="AV13">
            <v>42551</v>
          </cell>
          <cell r="AW13">
            <v>0.86805555555555547</v>
          </cell>
          <cell r="AX13">
            <v>42551</v>
          </cell>
          <cell r="AY13">
            <v>6.8</v>
          </cell>
          <cell r="AZ13">
            <v>28</v>
          </cell>
        </row>
        <row r="14">
          <cell r="B14" t="str">
            <v>A121</v>
          </cell>
          <cell r="C14">
            <v>0.54166666666666663</v>
          </cell>
          <cell r="D14">
            <v>0.59166666666666667</v>
          </cell>
          <cell r="E14">
            <v>42550</v>
          </cell>
          <cell r="F14">
            <v>0.625</v>
          </cell>
          <cell r="G14">
            <v>0.63541666666666663</v>
          </cell>
          <cell r="H14">
            <v>42550</v>
          </cell>
          <cell r="I14">
            <v>5.0000000000000001E-3</v>
          </cell>
          <cell r="J14">
            <v>1.6E-2</v>
          </cell>
          <cell r="K14">
            <v>-0.875</v>
          </cell>
          <cell r="L14">
            <v>-1.3149999999999999</v>
          </cell>
          <cell r="M14">
            <v>0.9375</v>
          </cell>
          <cell r="N14">
            <v>0.94097222222222221</v>
          </cell>
          <cell r="O14">
            <v>42550</v>
          </cell>
          <cell r="P14">
            <v>1.05</v>
          </cell>
          <cell r="Q14">
            <v>9</v>
          </cell>
          <cell r="R14">
            <v>24</v>
          </cell>
          <cell r="S14">
            <v>0</v>
          </cell>
          <cell r="T14">
            <v>0.78472222222222221</v>
          </cell>
          <cell r="U14">
            <v>42551</v>
          </cell>
          <cell r="V14">
            <v>22.3</v>
          </cell>
          <cell r="W14">
            <v>0.8125</v>
          </cell>
          <cell r="X14">
            <v>42551</v>
          </cell>
          <cell r="Y14">
            <v>23.8</v>
          </cell>
          <cell r="Z14">
            <v>0.89236111111111116</v>
          </cell>
          <cell r="AA14">
            <v>0.89583333333333337</v>
          </cell>
          <cell r="AB14">
            <v>42551</v>
          </cell>
          <cell r="AC14">
            <v>23.8</v>
          </cell>
          <cell r="AD14">
            <v>0.90277777777777779</v>
          </cell>
          <cell r="AE14">
            <v>0.90972222222222221</v>
          </cell>
          <cell r="AF14">
            <v>42551</v>
          </cell>
          <cell r="AG14">
            <v>0.91666666666666663</v>
          </cell>
          <cell r="AH14">
            <v>0.92708333333333337</v>
          </cell>
          <cell r="AI14">
            <v>42551</v>
          </cell>
          <cell r="AJ14">
            <v>0.97916666666666663</v>
          </cell>
          <cell r="AK14">
            <v>0.98958333333333337</v>
          </cell>
          <cell r="AL14">
            <v>42551</v>
          </cell>
          <cell r="AM14">
            <v>1.05</v>
          </cell>
          <cell r="AN14">
            <v>9</v>
          </cell>
          <cell r="AO14">
            <v>23</v>
          </cell>
          <cell r="AP14">
            <v>0</v>
          </cell>
          <cell r="AQ14">
            <v>3.472222222222222E-3</v>
          </cell>
          <cell r="AR14">
            <v>6.9444444444444441E-3</v>
          </cell>
          <cell r="AS14">
            <v>42552</v>
          </cell>
          <cell r="AT14">
            <v>23.8</v>
          </cell>
          <cell r="AU14">
            <v>9.375E-2</v>
          </cell>
          <cell r="AV14">
            <v>42552</v>
          </cell>
          <cell r="AW14">
            <v>0.19444444444444445</v>
          </cell>
          <cell r="AX14">
            <v>42552</v>
          </cell>
          <cell r="AY14">
            <v>7</v>
          </cell>
          <cell r="AZ14">
            <v>24</v>
          </cell>
        </row>
        <row r="15">
          <cell r="B15" t="str">
            <v>B30</v>
          </cell>
          <cell r="C15">
            <v>0.58333333333333337</v>
          </cell>
          <cell r="D15">
            <v>0.66666666666666663</v>
          </cell>
          <cell r="E15">
            <v>42549</v>
          </cell>
          <cell r="F15">
            <v>0.69097222222222221</v>
          </cell>
          <cell r="G15">
            <v>0.70138888888888884</v>
          </cell>
          <cell r="H15">
            <v>42549</v>
          </cell>
          <cell r="I15">
            <v>1.7000000000000001E-2</v>
          </cell>
          <cell r="J15">
            <v>1E-3</v>
          </cell>
          <cell r="K15">
            <v>-1.333</v>
          </cell>
          <cell r="L15">
            <v>-1.56</v>
          </cell>
          <cell r="M15">
            <v>0.70833333333333337</v>
          </cell>
          <cell r="N15">
            <v>0.71527777777777779</v>
          </cell>
          <cell r="O15">
            <v>42549</v>
          </cell>
          <cell r="P15">
            <v>1.06</v>
          </cell>
          <cell r="Q15">
            <v>9</v>
          </cell>
          <cell r="R15">
            <v>22</v>
          </cell>
          <cell r="S15">
            <v>0</v>
          </cell>
          <cell r="T15">
            <v>0.84861111111111109</v>
          </cell>
          <cell r="U15">
            <v>42550</v>
          </cell>
          <cell r="V15">
            <v>23.7</v>
          </cell>
          <cell r="W15">
            <v>0.54513888888888895</v>
          </cell>
          <cell r="X15">
            <v>42551</v>
          </cell>
          <cell r="Y15">
            <v>33.82</v>
          </cell>
          <cell r="Z15">
            <v>0.74305555555555547</v>
          </cell>
          <cell r="AA15">
            <v>0.78472222222222221</v>
          </cell>
          <cell r="AB15">
            <v>42551</v>
          </cell>
          <cell r="AC15">
            <v>33.869999999999997</v>
          </cell>
          <cell r="AD15">
            <v>0.15277777777777776</v>
          </cell>
          <cell r="AE15">
            <v>0.16666666666666666</v>
          </cell>
          <cell r="AF15">
            <v>42552</v>
          </cell>
          <cell r="AG15">
            <v>0.17013888888888887</v>
          </cell>
          <cell r="AH15">
            <v>0.22916666666666666</v>
          </cell>
          <cell r="AI15">
            <v>42552</v>
          </cell>
          <cell r="AJ15">
            <v>0.33333333333333331</v>
          </cell>
          <cell r="AK15">
            <v>0.34027777777777773</v>
          </cell>
          <cell r="AL15">
            <v>42552</v>
          </cell>
          <cell r="AM15">
            <v>1.06</v>
          </cell>
          <cell r="AN15">
            <v>9</v>
          </cell>
          <cell r="AO15">
            <v>21</v>
          </cell>
          <cell r="AP15">
            <v>0</v>
          </cell>
          <cell r="AQ15">
            <v>0.43055555555555558</v>
          </cell>
          <cell r="AR15">
            <v>0.43402777777777773</v>
          </cell>
          <cell r="AS15">
            <v>42552</v>
          </cell>
          <cell r="AT15">
            <v>33.869999999999997</v>
          </cell>
          <cell r="AU15">
            <v>0.44097222222222227</v>
          </cell>
          <cell r="AV15">
            <v>42552</v>
          </cell>
          <cell r="AW15">
            <v>0.48958333333333331</v>
          </cell>
          <cell r="AX15">
            <v>42552</v>
          </cell>
          <cell r="AY15">
            <v>4.5</v>
          </cell>
          <cell r="AZ15">
            <v>16</v>
          </cell>
        </row>
        <row r="16">
          <cell r="B16" t="str">
            <v>A33</v>
          </cell>
          <cell r="C16">
            <v>0.58333333333333337</v>
          </cell>
          <cell r="D16">
            <v>0.64583333333333337</v>
          </cell>
          <cell r="E16">
            <v>42551</v>
          </cell>
          <cell r="F16">
            <v>0.70833333333333337</v>
          </cell>
          <cell r="G16">
            <v>0.72916666666666663</v>
          </cell>
          <cell r="H16">
            <v>42551</v>
          </cell>
          <cell r="I16">
            <v>2.5999999999999999E-2</v>
          </cell>
          <cell r="J16">
            <v>1.2999999999999999E-2</v>
          </cell>
          <cell r="K16">
            <v>-0.61</v>
          </cell>
          <cell r="L16">
            <v>-1.038</v>
          </cell>
          <cell r="M16">
            <v>0.2638888888888889</v>
          </cell>
          <cell r="N16">
            <v>0.27083333333333331</v>
          </cell>
          <cell r="O16">
            <v>42552</v>
          </cell>
          <cell r="P16">
            <v>1.05</v>
          </cell>
          <cell r="Q16">
            <v>9</v>
          </cell>
          <cell r="R16">
            <v>23</v>
          </cell>
          <cell r="S16">
            <v>0</v>
          </cell>
          <cell r="T16">
            <v>0.38194444444444442</v>
          </cell>
          <cell r="U16">
            <v>42552</v>
          </cell>
          <cell r="V16">
            <v>22.8</v>
          </cell>
          <cell r="W16">
            <v>0.99305555555555547</v>
          </cell>
          <cell r="X16">
            <v>42555</v>
          </cell>
          <cell r="Y16">
            <v>35.200000000000003</v>
          </cell>
          <cell r="Z16">
            <v>7.2916666666666671E-2</v>
          </cell>
          <cell r="AA16">
            <v>9.7222222222222224E-2</v>
          </cell>
          <cell r="AB16">
            <v>42556</v>
          </cell>
          <cell r="AC16">
            <v>35.4</v>
          </cell>
          <cell r="AD16">
            <v>0.10416666666666667</v>
          </cell>
          <cell r="AE16">
            <v>0.1388888888888889</v>
          </cell>
          <cell r="AF16">
            <v>42556</v>
          </cell>
          <cell r="AG16">
            <v>0.14583333333333334</v>
          </cell>
          <cell r="AH16">
            <v>0.25</v>
          </cell>
          <cell r="AI16">
            <v>42556</v>
          </cell>
          <cell r="AJ16">
            <v>0.26041666666666669</v>
          </cell>
          <cell r="AK16">
            <v>0.27083333333333331</v>
          </cell>
          <cell r="AL16">
            <v>42556</v>
          </cell>
          <cell r="AM16">
            <v>1.05</v>
          </cell>
          <cell r="AN16">
            <v>9</v>
          </cell>
          <cell r="AO16">
            <v>23</v>
          </cell>
          <cell r="AP16">
            <v>0</v>
          </cell>
          <cell r="AQ16">
            <v>0.27430555555555552</v>
          </cell>
          <cell r="AR16">
            <v>0.28125</v>
          </cell>
          <cell r="AS16">
            <v>42556</v>
          </cell>
          <cell r="AT16">
            <v>35.4</v>
          </cell>
          <cell r="AU16">
            <v>0.2986111111111111</v>
          </cell>
          <cell r="AV16">
            <v>42556</v>
          </cell>
          <cell r="AW16">
            <v>0.37847222222222227</v>
          </cell>
          <cell r="AX16">
            <v>42556</v>
          </cell>
          <cell r="AY16">
            <v>6</v>
          </cell>
          <cell r="AZ16">
            <v>38.5</v>
          </cell>
        </row>
        <row r="17">
          <cell r="B17" t="str">
            <v>A2</v>
          </cell>
          <cell r="C17">
            <v>0.3125</v>
          </cell>
          <cell r="D17">
            <v>0.375</v>
          </cell>
          <cell r="E17">
            <v>42553</v>
          </cell>
          <cell r="F17">
            <v>0.77083333333333337</v>
          </cell>
          <cell r="G17">
            <v>0.78125</v>
          </cell>
          <cell r="H17">
            <v>42553</v>
          </cell>
          <cell r="I17">
            <v>1.4999999999999999E-2</v>
          </cell>
          <cell r="J17">
            <v>1E-3</v>
          </cell>
          <cell r="K17">
            <v>-0.745</v>
          </cell>
          <cell r="L17">
            <v>-1.1559999999999999</v>
          </cell>
          <cell r="M17">
            <v>0.79513888888888884</v>
          </cell>
          <cell r="N17">
            <v>0.80208333333333337</v>
          </cell>
          <cell r="O17">
            <v>42553</v>
          </cell>
          <cell r="P17">
            <v>1.05</v>
          </cell>
          <cell r="Q17">
            <v>9</v>
          </cell>
          <cell r="R17">
            <v>22</v>
          </cell>
          <cell r="S17">
            <v>0</v>
          </cell>
          <cell r="T17">
            <v>0.94444444444444453</v>
          </cell>
          <cell r="U17">
            <v>42553</v>
          </cell>
          <cell r="V17">
            <v>19.82</v>
          </cell>
          <cell r="W17">
            <v>0.4201388888888889</v>
          </cell>
          <cell r="X17">
            <v>42556</v>
          </cell>
          <cell r="Y17">
            <v>22.45</v>
          </cell>
          <cell r="Z17">
            <v>0.54166666666666663</v>
          </cell>
          <cell r="AA17">
            <v>0.55902777777777779</v>
          </cell>
          <cell r="AB17">
            <v>42556</v>
          </cell>
          <cell r="AC17">
            <v>22.5</v>
          </cell>
          <cell r="AD17">
            <v>0.81597222222222221</v>
          </cell>
          <cell r="AE17">
            <v>0.82638888888888884</v>
          </cell>
          <cell r="AF17">
            <v>42556</v>
          </cell>
          <cell r="AG17">
            <v>0.59375</v>
          </cell>
          <cell r="AH17">
            <v>0.33333333333333331</v>
          </cell>
          <cell r="AI17">
            <v>42557</v>
          </cell>
          <cell r="AJ17">
            <v>0.34027777777777773</v>
          </cell>
          <cell r="AK17">
            <v>0.34375</v>
          </cell>
          <cell r="AL17">
            <v>42557</v>
          </cell>
          <cell r="AM17">
            <v>1.06</v>
          </cell>
          <cell r="AN17">
            <v>9</v>
          </cell>
          <cell r="AO17">
            <v>23</v>
          </cell>
          <cell r="AP17">
            <v>0</v>
          </cell>
          <cell r="AQ17">
            <v>0.40972222222222227</v>
          </cell>
          <cell r="AR17">
            <v>0.41319444444444442</v>
          </cell>
          <cell r="AS17">
            <v>42557</v>
          </cell>
          <cell r="AT17">
            <v>22.5</v>
          </cell>
          <cell r="AU17">
            <v>0.4201388888888889</v>
          </cell>
          <cell r="AV17">
            <v>42557</v>
          </cell>
          <cell r="AW17">
            <v>0.47569444444444442</v>
          </cell>
          <cell r="AX17">
            <v>42557</v>
          </cell>
          <cell r="AY17">
            <v>5.5</v>
          </cell>
          <cell r="AZ17">
            <v>18.5</v>
          </cell>
        </row>
        <row r="18">
          <cell r="B18" t="str">
            <v>A4</v>
          </cell>
          <cell r="C18">
            <v>0.39583333333333331</v>
          </cell>
          <cell r="D18">
            <v>0.45833333333333331</v>
          </cell>
          <cell r="E18">
            <v>42553</v>
          </cell>
          <cell r="F18">
            <v>0.69791666666666663</v>
          </cell>
          <cell r="G18">
            <v>0.70833333333333337</v>
          </cell>
          <cell r="H18">
            <v>42554</v>
          </cell>
          <cell r="I18">
            <v>2.5999999999999999E-2</v>
          </cell>
          <cell r="J18">
            <v>5.0000000000000001E-3</v>
          </cell>
          <cell r="K18">
            <v>-0.56499999999999995</v>
          </cell>
          <cell r="L18">
            <v>-1.1100000000000001</v>
          </cell>
          <cell r="M18">
            <v>0.29166666666666669</v>
          </cell>
          <cell r="N18">
            <v>0.30555555555555552</v>
          </cell>
          <cell r="O18">
            <v>42554</v>
          </cell>
          <cell r="P18">
            <v>1.05</v>
          </cell>
          <cell r="Q18">
            <v>9</v>
          </cell>
          <cell r="R18">
            <v>24</v>
          </cell>
          <cell r="S18">
            <v>0</v>
          </cell>
          <cell r="T18">
            <v>0.4375</v>
          </cell>
          <cell r="U18">
            <v>42554</v>
          </cell>
          <cell r="V18">
            <v>22.5</v>
          </cell>
          <cell r="W18">
            <v>0.54166666666666663</v>
          </cell>
          <cell r="X18">
            <v>42556</v>
          </cell>
          <cell r="Y18">
            <v>26.73</v>
          </cell>
          <cell r="Z18">
            <v>0.29166666666666669</v>
          </cell>
          <cell r="AA18">
            <v>0.3125</v>
          </cell>
          <cell r="AB18">
            <v>42557</v>
          </cell>
          <cell r="AC18">
            <v>26.8</v>
          </cell>
          <cell r="AD18">
            <v>0.40972222222222227</v>
          </cell>
          <cell r="AE18">
            <v>0.41319444444444442</v>
          </cell>
          <cell r="AF18">
            <v>42557</v>
          </cell>
          <cell r="AG18">
            <v>0.4201388888888889</v>
          </cell>
          <cell r="AH18">
            <v>0.46527777777777773</v>
          </cell>
          <cell r="AI18">
            <v>42557</v>
          </cell>
          <cell r="AJ18">
            <v>0.54513888888888895</v>
          </cell>
          <cell r="AK18">
            <v>0.54861111111111105</v>
          </cell>
          <cell r="AL18">
            <v>42557</v>
          </cell>
          <cell r="AM18">
            <v>1.06</v>
          </cell>
          <cell r="AN18">
            <v>9</v>
          </cell>
          <cell r="AO18">
            <v>25</v>
          </cell>
          <cell r="AP18">
            <v>0</v>
          </cell>
          <cell r="AQ18">
            <v>0.57291666666666663</v>
          </cell>
          <cell r="AR18">
            <v>0.57638888888888895</v>
          </cell>
          <cell r="AS18">
            <v>42557</v>
          </cell>
          <cell r="AT18">
            <v>26.8</v>
          </cell>
          <cell r="AU18">
            <v>0.58750000000000002</v>
          </cell>
          <cell r="AV18">
            <v>42557</v>
          </cell>
          <cell r="AW18">
            <v>0.61527777777777781</v>
          </cell>
          <cell r="AX18">
            <v>42557</v>
          </cell>
          <cell r="AY18">
            <v>7.2</v>
          </cell>
          <cell r="AZ18">
            <v>23</v>
          </cell>
        </row>
        <row r="19">
          <cell r="B19" t="str">
            <v>A29</v>
          </cell>
          <cell r="C19">
            <v>0.66666666666666663</v>
          </cell>
          <cell r="D19">
            <v>0.72222222222222221</v>
          </cell>
          <cell r="E19">
            <v>42553</v>
          </cell>
          <cell r="F19">
            <v>0.72916666666666663</v>
          </cell>
          <cell r="G19">
            <v>0.73958333333333337</v>
          </cell>
          <cell r="H19">
            <v>42553</v>
          </cell>
          <cell r="I19">
            <v>1E-3</v>
          </cell>
          <cell r="J19">
            <v>2.1000000000000001E-2</v>
          </cell>
          <cell r="K19">
            <v>-0.64500000000000002</v>
          </cell>
          <cell r="L19">
            <v>-1.1000000000000001</v>
          </cell>
          <cell r="M19">
            <v>0.58680555555555558</v>
          </cell>
          <cell r="N19">
            <v>0.59375</v>
          </cell>
          <cell r="O19">
            <v>42556</v>
          </cell>
          <cell r="P19">
            <v>1.05</v>
          </cell>
          <cell r="Q19">
            <v>9</v>
          </cell>
          <cell r="R19">
            <v>24</v>
          </cell>
          <cell r="S19">
            <v>0</v>
          </cell>
          <cell r="T19">
            <v>0.61111111111111105</v>
          </cell>
          <cell r="U19">
            <v>42556</v>
          </cell>
          <cell r="V19">
            <v>25</v>
          </cell>
          <cell r="W19">
            <v>0.83333333333333337</v>
          </cell>
          <cell r="X19">
            <v>42557</v>
          </cell>
          <cell r="Y19">
            <v>26.88</v>
          </cell>
          <cell r="Z19">
            <v>0.65694444444444444</v>
          </cell>
          <cell r="AA19">
            <v>0.67013888888888884</v>
          </cell>
          <cell r="AB19">
            <v>42557</v>
          </cell>
          <cell r="AC19">
            <v>26.9</v>
          </cell>
          <cell r="AD19">
            <v>0.67361111111111116</v>
          </cell>
          <cell r="AE19">
            <v>0.68402777777777779</v>
          </cell>
          <cell r="AF19">
            <v>42557</v>
          </cell>
          <cell r="AG19">
            <v>0.68402777777777779</v>
          </cell>
          <cell r="AH19">
            <v>0.70833333333333337</v>
          </cell>
          <cell r="AI19">
            <v>42557</v>
          </cell>
          <cell r="AJ19">
            <v>0.83333333333333337</v>
          </cell>
          <cell r="AK19">
            <v>0.84027777777777779</v>
          </cell>
          <cell r="AL19">
            <v>42557</v>
          </cell>
          <cell r="AM19">
            <v>1.05</v>
          </cell>
          <cell r="AN19">
            <v>8</v>
          </cell>
          <cell r="AO19">
            <v>22</v>
          </cell>
          <cell r="AP19">
            <v>0</v>
          </cell>
          <cell r="AQ19">
            <v>0.90625</v>
          </cell>
          <cell r="AR19">
            <v>0.90972222222222221</v>
          </cell>
          <cell r="AS19">
            <v>42557</v>
          </cell>
          <cell r="AT19">
            <v>26.9</v>
          </cell>
          <cell r="AU19">
            <v>0.91319444444444453</v>
          </cell>
          <cell r="AV19">
            <v>42557</v>
          </cell>
          <cell r="AW19">
            <v>0.95833333333333337</v>
          </cell>
          <cell r="AX19">
            <v>42557</v>
          </cell>
          <cell r="AY19">
            <v>5.7</v>
          </cell>
          <cell r="AZ19">
            <v>24</v>
          </cell>
        </row>
        <row r="20">
          <cell r="B20" t="str">
            <v>A120</v>
          </cell>
          <cell r="C20">
            <v>0.29166666666666669</v>
          </cell>
          <cell r="D20">
            <v>0.36805555555555558</v>
          </cell>
          <cell r="E20">
            <v>42556</v>
          </cell>
          <cell r="F20">
            <v>0.72916666666666663</v>
          </cell>
          <cell r="G20">
            <v>0.73958333333333337</v>
          </cell>
          <cell r="H20">
            <v>42556</v>
          </cell>
          <cell r="I20">
            <v>2.5999999999999999E-2</v>
          </cell>
          <cell r="J20">
            <v>1.4E-2</v>
          </cell>
          <cell r="K20">
            <v>-0.5</v>
          </cell>
          <cell r="L20">
            <v>-0.98499999999999999</v>
          </cell>
          <cell r="M20">
            <v>0.33680555555555558</v>
          </cell>
          <cell r="N20">
            <v>0.34027777777777773</v>
          </cell>
          <cell r="O20">
            <v>42557</v>
          </cell>
          <cell r="P20">
            <v>1.05</v>
          </cell>
          <cell r="Q20">
            <v>9</v>
          </cell>
          <cell r="R20">
            <v>23</v>
          </cell>
          <cell r="S20">
            <v>0</v>
          </cell>
          <cell r="T20">
            <v>0.64930555555555558</v>
          </cell>
          <cell r="U20">
            <v>42557</v>
          </cell>
          <cell r="V20">
            <v>21.3</v>
          </cell>
          <cell r="W20">
            <v>0.875</v>
          </cell>
          <cell r="X20">
            <v>42557</v>
          </cell>
          <cell r="Y20">
            <v>25.2</v>
          </cell>
          <cell r="Z20">
            <v>6.25E-2</v>
          </cell>
          <cell r="AA20">
            <v>9.375E-2</v>
          </cell>
          <cell r="AB20">
            <v>42558</v>
          </cell>
          <cell r="AC20">
            <v>25.25</v>
          </cell>
          <cell r="AD20">
            <v>0.10416666666666667</v>
          </cell>
          <cell r="AE20">
            <v>0.11458333333333333</v>
          </cell>
          <cell r="AF20">
            <v>42558</v>
          </cell>
          <cell r="AG20">
            <v>0.14583333333333334</v>
          </cell>
          <cell r="AH20">
            <v>0.26041666666666669</v>
          </cell>
          <cell r="AI20">
            <v>42558</v>
          </cell>
          <cell r="AJ20">
            <v>0.34027777777777773</v>
          </cell>
          <cell r="AK20">
            <v>0.34375</v>
          </cell>
          <cell r="AL20">
            <v>42558</v>
          </cell>
          <cell r="AM20">
            <v>1.05</v>
          </cell>
          <cell r="AN20">
            <v>9</v>
          </cell>
          <cell r="AO20">
            <v>27</v>
          </cell>
          <cell r="AP20">
            <v>0</v>
          </cell>
          <cell r="AQ20">
            <v>0.3611111111111111</v>
          </cell>
          <cell r="AR20">
            <v>0.36458333333333331</v>
          </cell>
          <cell r="AS20">
            <v>42558</v>
          </cell>
          <cell r="AT20">
            <v>25.25</v>
          </cell>
          <cell r="AU20">
            <v>0.3888888888888889</v>
          </cell>
          <cell r="AV20">
            <v>42558</v>
          </cell>
          <cell r="AW20">
            <v>0.44444444444444442</v>
          </cell>
          <cell r="AX20">
            <v>42558</v>
          </cell>
          <cell r="AY20">
            <v>6.8</v>
          </cell>
          <cell r="AZ20">
            <v>28</v>
          </cell>
        </row>
        <row r="21">
          <cell r="B21" t="str">
            <v>A144</v>
          </cell>
          <cell r="C21">
            <v>0.375</v>
          </cell>
          <cell r="D21">
            <v>0.45833333333333331</v>
          </cell>
          <cell r="E21">
            <v>42556</v>
          </cell>
          <cell r="F21">
            <v>0.73958333333333337</v>
          </cell>
          <cell r="G21">
            <v>0.75</v>
          </cell>
          <cell r="H21">
            <v>42556</v>
          </cell>
          <cell r="I21">
            <v>1.4999999999999999E-2</v>
          </cell>
          <cell r="J21">
            <v>1.4999999999999999E-2</v>
          </cell>
          <cell r="K21">
            <v>-0.8</v>
          </cell>
          <cell r="L21">
            <v>-1.2050000000000001</v>
          </cell>
          <cell r="M21">
            <v>0.33680555555555558</v>
          </cell>
          <cell r="N21">
            <v>0.34027777777777773</v>
          </cell>
          <cell r="O21">
            <v>42557</v>
          </cell>
          <cell r="P21">
            <v>1.05</v>
          </cell>
          <cell r="Q21">
            <v>9</v>
          </cell>
          <cell r="R21">
            <v>23</v>
          </cell>
          <cell r="S21">
            <v>0</v>
          </cell>
          <cell r="T21">
            <v>0.46527777777777773</v>
          </cell>
          <cell r="U21">
            <v>42557</v>
          </cell>
          <cell r="V21">
            <v>23.1</v>
          </cell>
          <cell r="W21">
            <v>0.39930555555555558</v>
          </cell>
          <cell r="X21">
            <v>42558</v>
          </cell>
          <cell r="Y21">
            <v>33</v>
          </cell>
          <cell r="Z21">
            <v>0.4236111111111111</v>
          </cell>
          <cell r="AA21">
            <v>0.43402777777777773</v>
          </cell>
          <cell r="AB21">
            <v>42558</v>
          </cell>
          <cell r="AC21">
            <v>33</v>
          </cell>
          <cell r="AD21">
            <v>0.54166666666666663</v>
          </cell>
          <cell r="AE21">
            <v>0.54861111111111105</v>
          </cell>
          <cell r="AF21">
            <v>42558</v>
          </cell>
          <cell r="AG21">
            <v>0.55555555555555558</v>
          </cell>
          <cell r="AH21">
            <v>0.60069444444444442</v>
          </cell>
          <cell r="AI21">
            <v>42558</v>
          </cell>
          <cell r="AJ21">
            <v>0.68055555555555547</v>
          </cell>
          <cell r="AK21">
            <v>0.69097222222222221</v>
          </cell>
          <cell r="AL21">
            <v>42558</v>
          </cell>
          <cell r="AM21">
            <v>1.06</v>
          </cell>
          <cell r="AN21">
            <v>9</v>
          </cell>
          <cell r="AO21">
            <v>23</v>
          </cell>
          <cell r="AP21">
            <v>0</v>
          </cell>
          <cell r="AQ21">
            <v>0.75694444444444453</v>
          </cell>
          <cell r="AR21">
            <v>0.76041666666666663</v>
          </cell>
          <cell r="AS21">
            <v>42558</v>
          </cell>
          <cell r="AT21">
            <v>33</v>
          </cell>
          <cell r="AU21">
            <v>0.78819444444444453</v>
          </cell>
          <cell r="AV21">
            <v>42558</v>
          </cell>
          <cell r="AW21">
            <v>0.85416666666666663</v>
          </cell>
          <cell r="AX21">
            <v>42558</v>
          </cell>
          <cell r="AY21">
            <v>6.7</v>
          </cell>
          <cell r="AZ21">
            <v>32</v>
          </cell>
        </row>
        <row r="22">
          <cell r="B22" t="str">
            <v>A30</v>
          </cell>
          <cell r="C22">
            <v>0.54166666666666663</v>
          </cell>
          <cell r="D22">
            <v>0.60416666666666663</v>
          </cell>
          <cell r="E22">
            <v>42557</v>
          </cell>
          <cell r="F22">
            <v>0.625</v>
          </cell>
          <cell r="G22">
            <v>0.64583333333333337</v>
          </cell>
          <cell r="H22">
            <v>42557</v>
          </cell>
          <cell r="I22">
            <v>7.0000000000000001E-3</v>
          </cell>
          <cell r="J22">
            <v>4.0000000000000001E-3</v>
          </cell>
          <cell r="K22">
            <v>-0.745</v>
          </cell>
          <cell r="L22">
            <v>-0.94499999999999995</v>
          </cell>
          <cell r="M22">
            <v>0.59375</v>
          </cell>
          <cell r="N22">
            <v>0.59722222222222221</v>
          </cell>
          <cell r="O22">
            <v>42557</v>
          </cell>
          <cell r="P22">
            <v>1.05</v>
          </cell>
          <cell r="Q22">
            <v>9</v>
          </cell>
          <cell r="R22">
            <v>23</v>
          </cell>
          <cell r="S22">
            <v>0</v>
          </cell>
          <cell r="T22">
            <v>0.82638888888888884</v>
          </cell>
          <cell r="U22">
            <v>42557</v>
          </cell>
          <cell r="V22">
            <v>23.9</v>
          </cell>
          <cell r="W22">
            <v>0.10416666666666667</v>
          </cell>
          <cell r="X22">
            <v>42559</v>
          </cell>
          <cell r="Y22">
            <v>32.299999999999997</v>
          </cell>
          <cell r="Z22">
            <v>0.15625</v>
          </cell>
          <cell r="AA22">
            <v>0.16319444444444445</v>
          </cell>
          <cell r="AB22">
            <v>42559</v>
          </cell>
          <cell r="AC22">
            <v>32.4</v>
          </cell>
          <cell r="AD22">
            <v>0.16666666666666666</v>
          </cell>
          <cell r="AE22">
            <v>0.18055555555555555</v>
          </cell>
          <cell r="AF22">
            <v>42559</v>
          </cell>
          <cell r="AG22">
            <v>0.1875</v>
          </cell>
          <cell r="AH22">
            <v>0.27083333333333331</v>
          </cell>
          <cell r="AI22">
            <v>42559</v>
          </cell>
          <cell r="AJ22">
            <v>0.3125</v>
          </cell>
          <cell r="AK22">
            <v>0.31944444444444448</v>
          </cell>
          <cell r="AL22">
            <v>42559</v>
          </cell>
          <cell r="AM22">
            <v>1.06</v>
          </cell>
          <cell r="AN22">
            <v>9</v>
          </cell>
          <cell r="AO22">
            <v>23</v>
          </cell>
          <cell r="AP22">
            <v>0</v>
          </cell>
          <cell r="AQ22">
            <v>0.35416666666666669</v>
          </cell>
          <cell r="AR22">
            <v>0.3576388888888889</v>
          </cell>
          <cell r="AS22">
            <v>42559</v>
          </cell>
          <cell r="AT22">
            <v>32.4</v>
          </cell>
          <cell r="AU22">
            <v>0.38194444444444442</v>
          </cell>
          <cell r="AV22">
            <v>42559</v>
          </cell>
          <cell r="AW22">
            <v>0.49722222222222223</v>
          </cell>
          <cell r="AX22">
            <v>42559</v>
          </cell>
          <cell r="AY22">
            <v>7</v>
          </cell>
          <cell r="AZ22">
            <v>44.5</v>
          </cell>
        </row>
        <row r="23">
          <cell r="B23" t="str">
            <v>A5</v>
          </cell>
          <cell r="C23">
            <v>0.70833333333333337</v>
          </cell>
          <cell r="D23">
            <v>0.75</v>
          </cell>
          <cell r="E23">
            <v>42558</v>
          </cell>
          <cell r="F23">
            <v>0.75</v>
          </cell>
          <cell r="G23">
            <v>0.76041666666666663</v>
          </cell>
          <cell r="H23">
            <v>42558</v>
          </cell>
          <cell r="I23">
            <v>2.1000000000000001E-2</v>
          </cell>
          <cell r="J23">
            <v>1.9E-2</v>
          </cell>
          <cell r="K23">
            <v>-0.78500000000000003</v>
          </cell>
          <cell r="L23">
            <v>-1.1000000000000001</v>
          </cell>
          <cell r="M23">
            <v>0.83333333333333337</v>
          </cell>
          <cell r="N23">
            <v>0.84722222222222221</v>
          </cell>
          <cell r="O23">
            <v>42558</v>
          </cell>
          <cell r="P23">
            <v>1.05</v>
          </cell>
          <cell r="Q23">
            <v>9</v>
          </cell>
          <cell r="R23">
            <v>24</v>
          </cell>
          <cell r="S23">
            <v>0</v>
          </cell>
          <cell r="T23">
            <v>0.375</v>
          </cell>
          <cell r="U23">
            <v>42559</v>
          </cell>
          <cell r="V23">
            <v>20.7</v>
          </cell>
          <cell r="W23">
            <v>0.65972222222222221</v>
          </cell>
          <cell r="X23">
            <v>42559</v>
          </cell>
          <cell r="Y23">
            <v>26.5</v>
          </cell>
          <cell r="Z23">
            <v>0.75</v>
          </cell>
          <cell r="AA23">
            <v>0.77083333333333337</v>
          </cell>
          <cell r="AB23">
            <v>42559</v>
          </cell>
          <cell r="AC23">
            <v>26.55</v>
          </cell>
          <cell r="AD23">
            <v>0.40972222222222227</v>
          </cell>
          <cell r="AE23">
            <v>0.41319444444444442</v>
          </cell>
          <cell r="AF23">
            <v>42559</v>
          </cell>
          <cell r="AG23">
            <v>0.79166666666666663</v>
          </cell>
          <cell r="AH23">
            <v>0.86111111111111116</v>
          </cell>
          <cell r="AI23">
            <v>42559</v>
          </cell>
          <cell r="AJ23">
            <v>6.25E-2</v>
          </cell>
          <cell r="AK23">
            <v>6.9444444444444434E-2</v>
          </cell>
          <cell r="AL23">
            <v>42560</v>
          </cell>
          <cell r="AM23">
            <v>1.05</v>
          </cell>
          <cell r="AN23">
            <v>9</v>
          </cell>
          <cell r="AO23">
            <v>24</v>
          </cell>
          <cell r="AP23">
            <v>0</v>
          </cell>
          <cell r="AQ23">
            <v>0.10416666666666667</v>
          </cell>
          <cell r="AR23">
            <v>0.1076388888888889</v>
          </cell>
          <cell r="AS23">
            <v>42560</v>
          </cell>
          <cell r="AT23">
            <v>26.55</v>
          </cell>
          <cell r="AU23">
            <v>0.1076388888888889</v>
          </cell>
          <cell r="AV23">
            <v>42560</v>
          </cell>
          <cell r="AW23">
            <v>0.125</v>
          </cell>
          <cell r="AX23">
            <v>42560</v>
          </cell>
          <cell r="AY23">
            <v>7</v>
          </cell>
          <cell r="AZ23">
            <v>25</v>
          </cell>
        </row>
        <row r="24">
          <cell r="B24" t="str">
            <v>B29</v>
          </cell>
          <cell r="C24">
            <v>0.58333333333333337</v>
          </cell>
          <cell r="D24">
            <v>0.66666666666666663</v>
          </cell>
          <cell r="E24">
            <v>42558</v>
          </cell>
          <cell r="F24">
            <v>0.75</v>
          </cell>
          <cell r="G24">
            <v>0.76041666666666663</v>
          </cell>
          <cell r="H24">
            <v>42558</v>
          </cell>
          <cell r="I24">
            <v>8.9999999999999993E-3</v>
          </cell>
          <cell r="J24">
            <v>2E-3</v>
          </cell>
          <cell r="K24">
            <v>-0.79500000000000004</v>
          </cell>
          <cell r="L24">
            <v>-1.135</v>
          </cell>
          <cell r="M24">
            <v>0.6875</v>
          </cell>
          <cell r="N24">
            <v>0.69444444444444453</v>
          </cell>
          <cell r="O24">
            <v>42559</v>
          </cell>
          <cell r="P24">
            <v>1.05</v>
          </cell>
          <cell r="Q24">
            <v>9</v>
          </cell>
          <cell r="R24">
            <v>24</v>
          </cell>
          <cell r="S24">
            <v>0</v>
          </cell>
          <cell r="T24">
            <v>0.81944444444444453</v>
          </cell>
          <cell r="U24">
            <v>42559</v>
          </cell>
          <cell r="V24">
            <v>22.9</v>
          </cell>
          <cell r="W24">
            <v>0.3888888888888889</v>
          </cell>
          <cell r="X24">
            <v>42560</v>
          </cell>
          <cell r="Y24">
            <v>26.75</v>
          </cell>
          <cell r="Z24">
            <v>0.5625</v>
          </cell>
          <cell r="AA24">
            <v>0.57638888888888895</v>
          </cell>
          <cell r="AB24">
            <v>42560</v>
          </cell>
          <cell r="AC24">
            <v>26.75</v>
          </cell>
          <cell r="AD24">
            <v>0.58680555555555558</v>
          </cell>
          <cell r="AE24">
            <v>0.59375</v>
          </cell>
          <cell r="AF24">
            <v>42560</v>
          </cell>
          <cell r="AG24">
            <v>0.61458333333333337</v>
          </cell>
          <cell r="AH24">
            <v>0.67013888888888884</v>
          </cell>
          <cell r="AI24">
            <v>42560</v>
          </cell>
          <cell r="AJ24">
            <v>0.67361111111111116</v>
          </cell>
          <cell r="AK24">
            <v>0.68055555555555547</v>
          </cell>
          <cell r="AL24">
            <v>42560</v>
          </cell>
          <cell r="AM24">
            <v>1.06</v>
          </cell>
          <cell r="AN24">
            <v>9</v>
          </cell>
          <cell r="AO24">
            <v>23</v>
          </cell>
          <cell r="AP24">
            <v>0</v>
          </cell>
          <cell r="AQ24">
            <v>0.77777777777777779</v>
          </cell>
          <cell r="AR24">
            <v>0.78125</v>
          </cell>
          <cell r="AS24">
            <v>42560</v>
          </cell>
          <cell r="AT24">
            <v>26.75</v>
          </cell>
          <cell r="AU24">
            <v>0.78125</v>
          </cell>
          <cell r="AV24">
            <v>42560</v>
          </cell>
          <cell r="AW24">
            <v>0.8125</v>
          </cell>
          <cell r="AX24">
            <v>42560</v>
          </cell>
          <cell r="AY24">
            <v>5.3</v>
          </cell>
          <cell r="AZ24">
            <v>11.5</v>
          </cell>
        </row>
        <row r="25">
          <cell r="B25" t="str">
            <v>A156</v>
          </cell>
          <cell r="C25">
            <v>0.375</v>
          </cell>
          <cell r="D25">
            <v>0.45833333333333331</v>
          </cell>
          <cell r="E25">
            <v>42559</v>
          </cell>
          <cell r="F25">
            <v>0.66666666666666663</v>
          </cell>
          <cell r="G25">
            <v>0.68055555555555547</v>
          </cell>
          <cell r="H25">
            <v>42559</v>
          </cell>
          <cell r="I25">
            <v>2.8000000000000001E-2</v>
          </cell>
          <cell r="J25">
            <v>4.0000000000000001E-3</v>
          </cell>
          <cell r="K25">
            <v>-0.9</v>
          </cell>
          <cell r="L25">
            <v>-0.95199999999999996</v>
          </cell>
          <cell r="M25">
            <v>0.75</v>
          </cell>
          <cell r="N25">
            <v>0.75694444444444453</v>
          </cell>
          <cell r="O25">
            <v>42559</v>
          </cell>
          <cell r="P25">
            <v>1.05</v>
          </cell>
          <cell r="Q25">
            <v>9</v>
          </cell>
          <cell r="R25">
            <v>23</v>
          </cell>
          <cell r="S25">
            <v>0</v>
          </cell>
          <cell r="T25">
            <v>0.34722222222222227</v>
          </cell>
          <cell r="U25">
            <v>42560</v>
          </cell>
          <cell r="V25">
            <v>26.45</v>
          </cell>
          <cell r="W25">
            <v>0.73611111111111116</v>
          </cell>
          <cell r="X25">
            <v>42560</v>
          </cell>
          <cell r="Y25">
            <v>27.45</v>
          </cell>
          <cell r="Z25">
            <v>0.77777777777777779</v>
          </cell>
          <cell r="AA25">
            <v>0.78125</v>
          </cell>
          <cell r="AB25">
            <v>42560</v>
          </cell>
          <cell r="AC25">
            <v>27.5</v>
          </cell>
          <cell r="AD25">
            <v>0.78819444444444453</v>
          </cell>
          <cell r="AE25">
            <v>0.79861111111111116</v>
          </cell>
          <cell r="AF25">
            <v>42560</v>
          </cell>
          <cell r="AG25">
            <v>0.79166666666666663</v>
          </cell>
          <cell r="AH25">
            <v>0.85416666666666663</v>
          </cell>
          <cell r="AI25">
            <v>42560</v>
          </cell>
          <cell r="AJ25">
            <v>0.89930555555555547</v>
          </cell>
          <cell r="AK25">
            <v>0.90625</v>
          </cell>
          <cell r="AL25">
            <v>42560</v>
          </cell>
          <cell r="AM25">
            <v>1.05</v>
          </cell>
          <cell r="AN25">
            <v>9</v>
          </cell>
          <cell r="AO25">
            <v>23</v>
          </cell>
          <cell r="AP25">
            <v>0</v>
          </cell>
          <cell r="AQ25">
            <v>0.93055555555555547</v>
          </cell>
          <cell r="AR25">
            <v>0.94444444444444453</v>
          </cell>
          <cell r="AS25">
            <v>42560</v>
          </cell>
          <cell r="AT25">
            <v>27.5</v>
          </cell>
          <cell r="AU25">
            <v>0.98611111111111116</v>
          </cell>
          <cell r="AV25">
            <v>42560</v>
          </cell>
          <cell r="AW25">
            <v>2.0833333333333332E-2</v>
          </cell>
          <cell r="AX25">
            <v>42561</v>
          </cell>
          <cell r="AY25">
            <v>6.8</v>
          </cell>
          <cell r="AZ25">
            <v>26</v>
          </cell>
        </row>
        <row r="26">
          <cell r="B26" t="str">
            <v>A28</v>
          </cell>
          <cell r="C26">
            <v>0.5625</v>
          </cell>
          <cell r="D26">
            <v>0.625</v>
          </cell>
          <cell r="E26">
            <v>42560</v>
          </cell>
          <cell r="F26">
            <v>0.67708333333333337</v>
          </cell>
          <cell r="G26">
            <v>0.6875</v>
          </cell>
          <cell r="H26">
            <v>42560</v>
          </cell>
          <cell r="I26">
            <v>3.0000000000000001E-3</v>
          </cell>
          <cell r="J26">
            <v>6.0000000000000001E-3</v>
          </cell>
          <cell r="K26">
            <v>-0.7</v>
          </cell>
          <cell r="L26">
            <v>-1.0900000000000001</v>
          </cell>
          <cell r="M26">
            <v>0.27777777777777779</v>
          </cell>
          <cell r="N26">
            <v>0.28125</v>
          </cell>
          <cell r="O26">
            <v>42561</v>
          </cell>
          <cell r="P26">
            <v>1.05</v>
          </cell>
          <cell r="Q26">
            <v>9</v>
          </cell>
          <cell r="R26">
            <v>23</v>
          </cell>
          <cell r="S26">
            <v>0</v>
          </cell>
          <cell r="T26">
            <v>0.28819444444444448</v>
          </cell>
          <cell r="U26">
            <v>42561</v>
          </cell>
          <cell r="V26">
            <v>24.3</v>
          </cell>
          <cell r="W26">
            <v>0.32291666666666669</v>
          </cell>
          <cell r="X26">
            <v>42561</v>
          </cell>
          <cell r="Y26">
            <v>26.8</v>
          </cell>
          <cell r="Z26">
            <v>0.42708333333333331</v>
          </cell>
          <cell r="AA26">
            <v>0.4375</v>
          </cell>
          <cell r="AB26">
            <v>42561</v>
          </cell>
          <cell r="AC26">
            <v>26.8</v>
          </cell>
          <cell r="AD26">
            <v>0.45833333333333331</v>
          </cell>
          <cell r="AE26">
            <v>0.47916666666666669</v>
          </cell>
          <cell r="AF26">
            <v>42561</v>
          </cell>
          <cell r="AG26">
            <v>0.48958333333333331</v>
          </cell>
          <cell r="AH26">
            <v>0.54166666666666663</v>
          </cell>
          <cell r="AI26">
            <v>42561</v>
          </cell>
          <cell r="AJ26">
            <v>0.58680555555555558</v>
          </cell>
          <cell r="AK26">
            <v>0.59375</v>
          </cell>
          <cell r="AL26">
            <v>42561</v>
          </cell>
          <cell r="AM26">
            <v>1.06</v>
          </cell>
          <cell r="AN26">
            <v>9</v>
          </cell>
          <cell r="AO26">
            <v>24</v>
          </cell>
          <cell r="AP26">
            <v>0</v>
          </cell>
          <cell r="AQ26">
            <v>0.63194444444444442</v>
          </cell>
          <cell r="AR26">
            <v>0.63541666666666663</v>
          </cell>
          <cell r="AS26">
            <v>42561</v>
          </cell>
          <cell r="AT26">
            <v>26.8</v>
          </cell>
          <cell r="AU26">
            <v>0.65694444444444444</v>
          </cell>
          <cell r="AV26">
            <v>42561</v>
          </cell>
          <cell r="AW26">
            <v>0.70486111111111116</v>
          </cell>
          <cell r="AX26">
            <v>42561</v>
          </cell>
          <cell r="AY26">
            <v>5.4</v>
          </cell>
          <cell r="AZ26">
            <v>23</v>
          </cell>
        </row>
        <row r="27">
          <cell r="B27" t="str">
            <v>A145</v>
          </cell>
          <cell r="C27">
            <v>0.39583333333333331</v>
          </cell>
          <cell r="D27">
            <v>0.47916666666666669</v>
          </cell>
          <cell r="E27">
            <v>42560</v>
          </cell>
          <cell r="F27">
            <v>0.6875</v>
          </cell>
          <cell r="G27">
            <v>0.69791666666666663</v>
          </cell>
          <cell r="H27">
            <v>42560</v>
          </cell>
          <cell r="I27">
            <v>1.4E-2</v>
          </cell>
          <cell r="J27">
            <v>5.0000000000000001E-3</v>
          </cell>
          <cell r="K27">
            <v>-1.1100000000000001</v>
          </cell>
          <cell r="L27">
            <v>-1.2450000000000001</v>
          </cell>
          <cell r="M27">
            <v>0.70486111111111116</v>
          </cell>
          <cell r="N27">
            <v>0.71250000000000002</v>
          </cell>
          <cell r="O27">
            <v>42560</v>
          </cell>
          <cell r="P27">
            <v>1.05</v>
          </cell>
          <cell r="Q27">
            <v>9</v>
          </cell>
          <cell r="R27">
            <v>23</v>
          </cell>
          <cell r="S27">
            <v>0</v>
          </cell>
          <cell r="T27">
            <v>0.57638888888888895</v>
          </cell>
          <cell r="U27">
            <v>42561</v>
          </cell>
          <cell r="V27">
            <v>22.2</v>
          </cell>
          <cell r="W27">
            <v>0.40972222222222227</v>
          </cell>
          <cell r="X27">
            <v>42562</v>
          </cell>
          <cell r="Y27">
            <v>31.2</v>
          </cell>
          <cell r="Z27">
            <v>0.4513888888888889</v>
          </cell>
          <cell r="AA27">
            <v>0.47916666666666669</v>
          </cell>
          <cell r="AB27">
            <v>42562</v>
          </cell>
          <cell r="AC27">
            <v>31.52</v>
          </cell>
          <cell r="AD27">
            <v>0.49652777777777773</v>
          </cell>
          <cell r="AE27">
            <v>0.50694444444444442</v>
          </cell>
          <cell r="AF27">
            <v>42562</v>
          </cell>
          <cell r="AG27">
            <v>0.52083333333333337</v>
          </cell>
          <cell r="AH27">
            <v>0.57291666666666663</v>
          </cell>
          <cell r="AI27">
            <v>42562</v>
          </cell>
          <cell r="AJ27">
            <v>0.58333333333333337</v>
          </cell>
          <cell r="AK27">
            <v>0.58888888888888891</v>
          </cell>
          <cell r="AL27">
            <v>42562</v>
          </cell>
          <cell r="AM27">
            <v>1.06</v>
          </cell>
          <cell r="AN27">
            <v>9</v>
          </cell>
          <cell r="AO27">
            <v>22</v>
          </cell>
          <cell r="AP27">
            <v>0</v>
          </cell>
          <cell r="AQ27">
            <v>0.69097222222222221</v>
          </cell>
          <cell r="AR27">
            <v>0.69444444444444453</v>
          </cell>
          <cell r="AS27">
            <v>42562</v>
          </cell>
          <cell r="AT27">
            <v>31.52</v>
          </cell>
          <cell r="AU27">
            <v>0.69791666666666663</v>
          </cell>
          <cell r="AV27">
            <v>42562</v>
          </cell>
          <cell r="AW27">
            <v>0.74652777777777779</v>
          </cell>
          <cell r="AX27">
            <v>42562</v>
          </cell>
          <cell r="AY27">
            <v>6.5</v>
          </cell>
          <cell r="AZ27">
            <v>29</v>
          </cell>
        </row>
        <row r="28">
          <cell r="B28" t="str">
            <v>A31</v>
          </cell>
          <cell r="C28">
            <v>0.33333333333333331</v>
          </cell>
          <cell r="D28">
            <v>0.41666666666666669</v>
          </cell>
          <cell r="E28">
            <v>42561</v>
          </cell>
          <cell r="F28">
            <v>0.43055555555555558</v>
          </cell>
          <cell r="G28">
            <v>0.44097222222222227</v>
          </cell>
          <cell r="H28">
            <v>42561</v>
          </cell>
          <cell r="I28">
            <v>2.1999999999999999E-2</v>
          </cell>
          <cell r="J28">
            <v>3.0000000000000001E-3</v>
          </cell>
          <cell r="K28">
            <v>-0.58799999999999997</v>
          </cell>
          <cell r="L28">
            <v>-0.86799999999999999</v>
          </cell>
          <cell r="M28">
            <v>0.3611111111111111</v>
          </cell>
          <cell r="N28">
            <v>0.36805555555555558</v>
          </cell>
          <cell r="O28">
            <v>42561</v>
          </cell>
          <cell r="P28">
            <v>1.05</v>
          </cell>
          <cell r="Q28">
            <v>9</v>
          </cell>
          <cell r="R28">
            <v>23</v>
          </cell>
          <cell r="S28">
            <v>0</v>
          </cell>
          <cell r="T28">
            <v>0.45833333333333331</v>
          </cell>
          <cell r="U28">
            <v>42561</v>
          </cell>
          <cell r="V28">
            <v>23.13</v>
          </cell>
          <cell r="W28">
            <v>0.84375</v>
          </cell>
          <cell r="X28">
            <v>42562</v>
          </cell>
          <cell r="Y28">
            <v>32.4</v>
          </cell>
          <cell r="Z28">
            <v>0.88888888888888884</v>
          </cell>
          <cell r="AA28">
            <v>0.91319444444444453</v>
          </cell>
          <cell r="AB28">
            <v>42562</v>
          </cell>
          <cell r="AC28">
            <v>32.4</v>
          </cell>
          <cell r="AD28">
            <v>0.92013888888888884</v>
          </cell>
          <cell r="AE28">
            <v>0.93055555555555547</v>
          </cell>
          <cell r="AF28">
            <v>42562</v>
          </cell>
          <cell r="AG28">
            <v>0.9375</v>
          </cell>
          <cell r="AH28">
            <v>0.98611111111111116</v>
          </cell>
          <cell r="AI28">
            <v>42562</v>
          </cell>
          <cell r="AJ28">
            <v>0.99305555555555547</v>
          </cell>
          <cell r="AK28">
            <v>0.99861111111111101</v>
          </cell>
          <cell r="AL28">
            <v>42562</v>
          </cell>
          <cell r="AM28">
            <v>1.06</v>
          </cell>
          <cell r="AN28">
            <v>9</v>
          </cell>
          <cell r="AO28">
            <v>22</v>
          </cell>
          <cell r="AP28">
            <v>0</v>
          </cell>
          <cell r="AQ28">
            <v>6.25E-2</v>
          </cell>
          <cell r="AR28">
            <v>6.5972222222222224E-2</v>
          </cell>
          <cell r="AS28">
            <v>42563</v>
          </cell>
          <cell r="AT28">
            <v>32.4</v>
          </cell>
          <cell r="AU28">
            <v>0.14930555555555555</v>
          </cell>
          <cell r="AV28">
            <v>42563</v>
          </cell>
          <cell r="AW28">
            <v>0.30763888888888891</v>
          </cell>
          <cell r="AX28">
            <v>42563</v>
          </cell>
          <cell r="AY28">
            <v>7</v>
          </cell>
          <cell r="AZ28">
            <v>44.5</v>
          </cell>
        </row>
        <row r="29">
          <cell r="B29" t="str">
            <v>A6</v>
          </cell>
          <cell r="C29">
            <v>0.65625</v>
          </cell>
          <cell r="D29">
            <v>0.72916666666666663</v>
          </cell>
          <cell r="E29">
            <v>42562</v>
          </cell>
          <cell r="F29">
            <v>0.73958333333333337</v>
          </cell>
          <cell r="G29">
            <v>0.75</v>
          </cell>
          <cell r="H29">
            <v>42562</v>
          </cell>
          <cell r="I29">
            <v>1.7999999999999999E-2</v>
          </cell>
          <cell r="J29">
            <v>1E-3</v>
          </cell>
          <cell r="K29">
            <v>-0.66800000000000004</v>
          </cell>
          <cell r="L29">
            <v>-1.1499999999999999</v>
          </cell>
          <cell r="M29">
            <v>0.75694444444444453</v>
          </cell>
          <cell r="N29">
            <v>0.76388888888888884</v>
          </cell>
          <cell r="O29">
            <v>42562</v>
          </cell>
          <cell r="P29">
            <v>1.05</v>
          </cell>
          <cell r="Q29">
            <v>9</v>
          </cell>
          <cell r="R29">
            <v>22</v>
          </cell>
          <cell r="S29">
            <v>0</v>
          </cell>
          <cell r="T29">
            <v>0.90972222222222221</v>
          </cell>
          <cell r="U29">
            <v>42562</v>
          </cell>
          <cell r="V29">
            <v>22.3</v>
          </cell>
          <cell r="W29">
            <v>0.97222222222222221</v>
          </cell>
          <cell r="X29">
            <v>42562</v>
          </cell>
          <cell r="Y29">
            <v>24.45</v>
          </cell>
          <cell r="Z29">
            <v>1.0416666666666666E-2</v>
          </cell>
          <cell r="AA29">
            <v>2.7777777777777776E-2</v>
          </cell>
          <cell r="AB29">
            <v>42563</v>
          </cell>
          <cell r="AC29">
            <v>24.45</v>
          </cell>
          <cell r="AD29">
            <v>3.4722222222222224E-2</v>
          </cell>
          <cell r="AE29">
            <v>4.5138888888888888E-2</v>
          </cell>
          <cell r="AF29">
            <v>42563</v>
          </cell>
          <cell r="AG29">
            <v>6.25E-2</v>
          </cell>
          <cell r="AH29">
            <v>0.1388888888888889</v>
          </cell>
          <cell r="AI29">
            <v>42563</v>
          </cell>
          <cell r="AJ29">
            <v>0.1875</v>
          </cell>
          <cell r="AK29">
            <v>0.20138888888888887</v>
          </cell>
          <cell r="AL29">
            <v>42563</v>
          </cell>
          <cell r="AM29">
            <v>1.05</v>
          </cell>
          <cell r="AN29">
            <v>9</v>
          </cell>
          <cell r="AO29">
            <v>22</v>
          </cell>
          <cell r="AP29">
            <v>0</v>
          </cell>
          <cell r="AQ29">
            <v>0.5</v>
          </cell>
          <cell r="AR29">
            <v>0.50694444444444442</v>
          </cell>
          <cell r="AS29">
            <v>42563</v>
          </cell>
          <cell r="AT29">
            <v>24.45</v>
          </cell>
          <cell r="AU29">
            <v>0.51388888888888895</v>
          </cell>
          <cell r="AV29">
            <v>42563</v>
          </cell>
          <cell r="AW29">
            <v>0.61805555555555558</v>
          </cell>
          <cell r="AX29">
            <v>42563</v>
          </cell>
          <cell r="AY29">
            <v>5.9</v>
          </cell>
          <cell r="AZ29">
            <v>24</v>
          </cell>
        </row>
        <row r="30">
          <cell r="B30" t="str">
            <v>B27</v>
          </cell>
          <cell r="C30">
            <v>0.70833333333333337</v>
          </cell>
          <cell r="D30">
            <v>0.79166666666666663</v>
          </cell>
          <cell r="E30">
            <v>42561</v>
          </cell>
          <cell r="F30">
            <v>0.38541666666666669</v>
          </cell>
          <cell r="G30">
            <v>0.39583333333333331</v>
          </cell>
          <cell r="H30">
            <v>42562</v>
          </cell>
          <cell r="I30">
            <v>1.6E-2</v>
          </cell>
          <cell r="J30">
            <v>8.9999999999999993E-3</v>
          </cell>
          <cell r="K30">
            <v>-1.2050000000000001</v>
          </cell>
          <cell r="L30">
            <v>-1.48</v>
          </cell>
          <cell r="M30">
            <v>0.40277777777777773</v>
          </cell>
          <cell r="N30">
            <v>0.40625</v>
          </cell>
          <cell r="O30">
            <v>42562</v>
          </cell>
          <cell r="P30">
            <v>1.05</v>
          </cell>
          <cell r="Q30">
            <v>9</v>
          </cell>
          <cell r="R30">
            <v>24</v>
          </cell>
          <cell r="S30">
            <v>0</v>
          </cell>
          <cell r="T30">
            <v>0.52083333333333337</v>
          </cell>
          <cell r="U30">
            <v>42562</v>
          </cell>
          <cell r="V30">
            <v>20.55</v>
          </cell>
          <cell r="W30">
            <v>0.63888888888888895</v>
          </cell>
          <cell r="X30">
            <v>42563</v>
          </cell>
          <cell r="Y30">
            <v>26.5</v>
          </cell>
          <cell r="Z30">
            <v>0.70138888888888884</v>
          </cell>
          <cell r="AA30">
            <v>0.72222222222222221</v>
          </cell>
          <cell r="AB30">
            <v>42563</v>
          </cell>
          <cell r="AC30">
            <v>26.54</v>
          </cell>
          <cell r="AD30">
            <v>0.72916666666666663</v>
          </cell>
          <cell r="AE30">
            <v>0.73958333333333337</v>
          </cell>
          <cell r="AF30">
            <v>42563</v>
          </cell>
          <cell r="AG30">
            <v>0.75</v>
          </cell>
          <cell r="AH30">
            <v>0.79513888888888884</v>
          </cell>
          <cell r="AI30">
            <v>42563</v>
          </cell>
          <cell r="AJ30">
            <v>0.80208333333333337</v>
          </cell>
          <cell r="AK30">
            <v>0.8125</v>
          </cell>
          <cell r="AL30">
            <v>42563</v>
          </cell>
          <cell r="AM30">
            <v>1.06</v>
          </cell>
          <cell r="AN30">
            <v>9</v>
          </cell>
          <cell r="AO30">
            <v>24</v>
          </cell>
          <cell r="AP30">
            <v>0</v>
          </cell>
          <cell r="AQ30">
            <v>0.9375</v>
          </cell>
          <cell r="AR30">
            <v>0.94097222222222221</v>
          </cell>
          <cell r="AS30">
            <v>42563</v>
          </cell>
          <cell r="AT30">
            <v>26.5</v>
          </cell>
          <cell r="AU30">
            <v>0.94444444444444453</v>
          </cell>
          <cell r="AV30">
            <v>42563</v>
          </cell>
          <cell r="AW30">
            <v>0.99861111111111101</v>
          </cell>
          <cell r="AX30">
            <v>42563</v>
          </cell>
          <cell r="AY30">
            <v>4.9000000000000004</v>
          </cell>
          <cell r="AZ30">
            <v>12.5</v>
          </cell>
        </row>
        <row r="31">
          <cell r="B31" t="str">
            <v>A122</v>
          </cell>
          <cell r="C31">
            <v>0.83333333333333337</v>
          </cell>
          <cell r="D31">
            <v>0.91666666666666663</v>
          </cell>
          <cell r="E31">
            <v>42561</v>
          </cell>
          <cell r="F31">
            <v>0.375</v>
          </cell>
          <cell r="G31">
            <v>0.38541666666666669</v>
          </cell>
          <cell r="H31">
            <v>42562</v>
          </cell>
          <cell r="I31">
            <v>2.5000000000000001E-2</v>
          </cell>
          <cell r="J31">
            <v>1.0999999999999999E-2</v>
          </cell>
          <cell r="K31">
            <v>-0.71</v>
          </cell>
          <cell r="L31">
            <v>-1.1100000000000001</v>
          </cell>
          <cell r="M31">
            <v>0.4375</v>
          </cell>
          <cell r="N31">
            <v>0.44444444444444442</v>
          </cell>
          <cell r="O31">
            <v>42562</v>
          </cell>
          <cell r="P31">
            <v>1.05</v>
          </cell>
          <cell r="Q31">
            <v>9</v>
          </cell>
          <cell r="R31">
            <v>24</v>
          </cell>
          <cell r="S31">
            <v>0</v>
          </cell>
          <cell r="T31">
            <v>0.35416666666666669</v>
          </cell>
          <cell r="U31">
            <v>42563</v>
          </cell>
          <cell r="V31">
            <v>21.25</v>
          </cell>
          <cell r="W31">
            <v>0.90972222222222221</v>
          </cell>
          <cell r="X31">
            <v>42563</v>
          </cell>
          <cell r="Y31">
            <v>23.8</v>
          </cell>
          <cell r="Z31">
            <v>0.94791666666666663</v>
          </cell>
          <cell r="AA31">
            <v>0.96180555555555547</v>
          </cell>
          <cell r="AB31">
            <v>42563</v>
          </cell>
          <cell r="AC31">
            <v>23.8</v>
          </cell>
          <cell r="AD31">
            <v>0.96875</v>
          </cell>
          <cell r="AE31">
            <v>0.97916666666666663</v>
          </cell>
          <cell r="AF31">
            <v>42563</v>
          </cell>
          <cell r="AG31">
            <v>0.99305555555555547</v>
          </cell>
          <cell r="AH31">
            <v>3.125E-2</v>
          </cell>
          <cell r="AI31">
            <v>42564</v>
          </cell>
          <cell r="AJ31">
            <v>3.4722222222222224E-2</v>
          </cell>
          <cell r="AK31">
            <v>3.8194444444444441E-2</v>
          </cell>
          <cell r="AL31">
            <v>42564</v>
          </cell>
          <cell r="AM31">
            <v>1.06</v>
          </cell>
          <cell r="AN31">
            <v>9</v>
          </cell>
          <cell r="AO31">
            <v>22</v>
          </cell>
          <cell r="AP31">
            <v>0</v>
          </cell>
          <cell r="AQ31">
            <v>0.22916666666666666</v>
          </cell>
          <cell r="AR31">
            <v>0.23263888888888887</v>
          </cell>
          <cell r="AS31">
            <v>42564</v>
          </cell>
          <cell r="AT31">
            <v>23.8</v>
          </cell>
          <cell r="AU31">
            <v>0.23958333333333334</v>
          </cell>
          <cell r="AV31">
            <v>42564</v>
          </cell>
          <cell r="AW31">
            <v>0.2673611111111111</v>
          </cell>
          <cell r="AX31">
            <v>42564</v>
          </cell>
          <cell r="AY31">
            <v>6.7</v>
          </cell>
          <cell r="AZ31">
            <v>21</v>
          </cell>
        </row>
        <row r="32">
          <cell r="B32" t="str">
            <v>A8</v>
          </cell>
          <cell r="C32">
            <v>0.39583333333333331</v>
          </cell>
          <cell r="D32">
            <v>0.47916666666666669</v>
          </cell>
          <cell r="E32">
            <v>42564</v>
          </cell>
          <cell r="F32">
            <v>0.55208333333333337</v>
          </cell>
          <cell r="G32">
            <v>0.5625</v>
          </cell>
          <cell r="H32">
            <v>42564</v>
          </cell>
          <cell r="I32">
            <v>0.02</v>
          </cell>
          <cell r="J32">
            <v>1.9E-2</v>
          </cell>
          <cell r="K32">
            <v>-0.72</v>
          </cell>
          <cell r="L32">
            <v>-1.0900000000000001</v>
          </cell>
          <cell r="M32">
            <v>0.56944444444444442</v>
          </cell>
          <cell r="N32">
            <v>0.57638888888888895</v>
          </cell>
          <cell r="O32">
            <v>42564</v>
          </cell>
          <cell r="P32">
            <v>1.05</v>
          </cell>
          <cell r="Q32">
            <v>9</v>
          </cell>
          <cell r="R32">
            <v>23</v>
          </cell>
          <cell r="S32">
            <v>0</v>
          </cell>
          <cell r="T32">
            <v>0.66666666666666663</v>
          </cell>
          <cell r="U32">
            <v>42564</v>
          </cell>
          <cell r="V32">
            <v>21.85</v>
          </cell>
          <cell r="W32">
            <v>0.79861111111111116</v>
          </cell>
          <cell r="X32">
            <v>42564</v>
          </cell>
          <cell r="Y32">
            <v>24.25</v>
          </cell>
          <cell r="Z32">
            <v>0.84027777777777779</v>
          </cell>
          <cell r="AA32">
            <v>0.85069444444444453</v>
          </cell>
          <cell r="AB32">
            <v>42564</v>
          </cell>
          <cell r="AC32">
            <v>24.35</v>
          </cell>
          <cell r="AD32">
            <v>0.86111111111111116</v>
          </cell>
          <cell r="AE32">
            <v>0.8652777777777777</v>
          </cell>
          <cell r="AF32">
            <v>42564</v>
          </cell>
          <cell r="AG32">
            <v>0.87152777777777779</v>
          </cell>
          <cell r="AH32">
            <v>0.90763888888888899</v>
          </cell>
          <cell r="AI32">
            <v>42564</v>
          </cell>
          <cell r="AJ32">
            <v>0.90972222222222221</v>
          </cell>
          <cell r="AK32">
            <v>0.91319444444444453</v>
          </cell>
          <cell r="AL32">
            <v>42564</v>
          </cell>
          <cell r="AM32">
            <v>1.06</v>
          </cell>
          <cell r="AN32">
            <v>9</v>
          </cell>
          <cell r="AO32">
            <v>22</v>
          </cell>
          <cell r="AP32">
            <v>0</v>
          </cell>
          <cell r="AQ32">
            <v>9.0277777777777776E-2</v>
          </cell>
          <cell r="AR32">
            <v>9.375E-2</v>
          </cell>
          <cell r="AS32">
            <v>42565</v>
          </cell>
          <cell r="AT32">
            <v>24.35</v>
          </cell>
          <cell r="AU32">
            <v>9.7222222222222224E-2</v>
          </cell>
          <cell r="AV32">
            <v>42565</v>
          </cell>
          <cell r="AW32">
            <v>0.14930555555555555</v>
          </cell>
          <cell r="AX32">
            <v>42565</v>
          </cell>
          <cell r="AY32">
            <v>7</v>
          </cell>
          <cell r="AZ32">
            <v>23</v>
          </cell>
        </row>
        <row r="33">
          <cell r="B33" t="str">
            <v>A146</v>
          </cell>
          <cell r="C33">
            <v>0.36458333333333331</v>
          </cell>
          <cell r="D33">
            <v>0.4375</v>
          </cell>
          <cell r="E33">
            <v>42563</v>
          </cell>
          <cell r="F33">
            <v>0.54166666666666663</v>
          </cell>
          <cell r="G33">
            <v>0.55208333333333337</v>
          </cell>
          <cell r="H33">
            <v>42563</v>
          </cell>
          <cell r="I33">
            <v>8.0000000000000002E-3</v>
          </cell>
          <cell r="J33">
            <v>8.0000000000000002E-3</v>
          </cell>
          <cell r="K33">
            <v>-0.94799999999999995</v>
          </cell>
          <cell r="L33">
            <v>-1.31</v>
          </cell>
          <cell r="M33">
            <v>0.54513888888888895</v>
          </cell>
          <cell r="N33">
            <v>0.54861111111111105</v>
          </cell>
          <cell r="O33">
            <v>42563</v>
          </cell>
          <cell r="P33">
            <v>1.05</v>
          </cell>
          <cell r="Q33">
            <v>9</v>
          </cell>
          <cell r="R33">
            <v>23</v>
          </cell>
          <cell r="S33">
            <v>0</v>
          </cell>
          <cell r="T33">
            <v>0.63888888888888895</v>
          </cell>
          <cell r="U33">
            <v>42563</v>
          </cell>
          <cell r="V33">
            <v>22.2</v>
          </cell>
          <cell r="W33">
            <v>0.79166666666666663</v>
          </cell>
          <cell r="X33">
            <v>42564</v>
          </cell>
          <cell r="Y33">
            <v>31.35</v>
          </cell>
          <cell r="Z33">
            <v>0.85069444444444453</v>
          </cell>
          <cell r="AA33">
            <v>0.86111111111111116</v>
          </cell>
          <cell r="AB33">
            <v>42564</v>
          </cell>
          <cell r="AC33">
            <v>31.35</v>
          </cell>
          <cell r="AD33">
            <v>0.90972222222222221</v>
          </cell>
          <cell r="AE33">
            <v>0.91666666666666663</v>
          </cell>
          <cell r="AF33">
            <v>42564</v>
          </cell>
          <cell r="AG33">
            <v>0.92708333333333337</v>
          </cell>
          <cell r="AH33">
            <v>0.98611111111111116</v>
          </cell>
          <cell r="AI33">
            <v>42564</v>
          </cell>
          <cell r="AJ33">
            <v>0.99305555555555547</v>
          </cell>
          <cell r="AK33">
            <v>0</v>
          </cell>
          <cell r="AL33">
            <v>42565</v>
          </cell>
          <cell r="AM33">
            <v>1.05</v>
          </cell>
          <cell r="AN33">
            <v>9</v>
          </cell>
          <cell r="AO33">
            <v>22</v>
          </cell>
          <cell r="AP33">
            <v>0</v>
          </cell>
          <cell r="AQ33">
            <v>0.33333333333333331</v>
          </cell>
          <cell r="AR33">
            <v>0.34027777777777773</v>
          </cell>
          <cell r="AS33">
            <v>42565</v>
          </cell>
          <cell r="AT33">
            <v>31.35</v>
          </cell>
          <cell r="AU33">
            <v>0.34513888888888888</v>
          </cell>
          <cell r="AV33">
            <v>42565</v>
          </cell>
          <cell r="AW33">
            <v>0.4201388888888889</v>
          </cell>
          <cell r="AX33">
            <v>42565</v>
          </cell>
          <cell r="AY33">
            <v>6.4</v>
          </cell>
          <cell r="AZ33">
            <v>31</v>
          </cell>
        </row>
        <row r="34">
          <cell r="B34" t="str">
            <v>A124</v>
          </cell>
          <cell r="C34">
            <v>0.66666666666666663</v>
          </cell>
          <cell r="D34">
            <v>0.78125</v>
          </cell>
          <cell r="E34">
            <v>42564</v>
          </cell>
          <cell r="F34">
            <v>0.77083333333333337</v>
          </cell>
          <cell r="G34">
            <v>0.78125</v>
          </cell>
          <cell r="H34">
            <v>42564</v>
          </cell>
          <cell r="I34">
            <v>2E-3</v>
          </cell>
          <cell r="J34">
            <v>2.1000000000000001E-2</v>
          </cell>
          <cell r="K34">
            <v>-0.74</v>
          </cell>
          <cell r="L34">
            <v>-1.135</v>
          </cell>
          <cell r="M34">
            <v>0.4201388888888889</v>
          </cell>
          <cell r="N34">
            <v>0.42708333333333331</v>
          </cell>
          <cell r="O34">
            <v>42565</v>
          </cell>
          <cell r="P34">
            <v>1.05</v>
          </cell>
          <cell r="Q34">
            <v>9</v>
          </cell>
          <cell r="R34">
            <v>23</v>
          </cell>
          <cell r="S34">
            <v>0</v>
          </cell>
          <cell r="T34">
            <v>0.60416666666666663</v>
          </cell>
          <cell r="U34">
            <v>42565</v>
          </cell>
          <cell r="V34">
            <v>21.2</v>
          </cell>
          <cell r="W34">
            <v>0.69791666666666663</v>
          </cell>
          <cell r="X34">
            <v>42565</v>
          </cell>
          <cell r="Y34">
            <v>23.85</v>
          </cell>
          <cell r="Z34">
            <v>0.77083333333333337</v>
          </cell>
          <cell r="AA34">
            <v>0.77777777777777779</v>
          </cell>
          <cell r="AB34">
            <v>42565</v>
          </cell>
          <cell r="AC34">
            <v>24.2</v>
          </cell>
          <cell r="AD34">
            <v>0.78472222222222221</v>
          </cell>
          <cell r="AE34">
            <v>0.78819444444444453</v>
          </cell>
          <cell r="AF34">
            <v>42565</v>
          </cell>
          <cell r="AG34">
            <v>0.80555555555555547</v>
          </cell>
          <cell r="AH34">
            <v>0.84583333333333333</v>
          </cell>
          <cell r="AI34">
            <v>42565</v>
          </cell>
          <cell r="AJ34">
            <v>0.85416666666666663</v>
          </cell>
          <cell r="AK34">
            <v>0.85763888888888884</v>
          </cell>
          <cell r="AL34">
            <v>42565</v>
          </cell>
          <cell r="AM34">
            <v>1.05</v>
          </cell>
          <cell r="AN34">
            <v>9</v>
          </cell>
          <cell r="AO34">
            <v>22</v>
          </cell>
          <cell r="AP34">
            <v>0</v>
          </cell>
          <cell r="AQ34">
            <v>2.0833333333333332E-2</v>
          </cell>
          <cell r="AR34">
            <v>2.4305555555555556E-2</v>
          </cell>
          <cell r="AS34">
            <v>42566</v>
          </cell>
          <cell r="AT34">
            <v>24.2</v>
          </cell>
          <cell r="AU34">
            <v>3.125E-2</v>
          </cell>
          <cell r="AV34">
            <v>42566</v>
          </cell>
          <cell r="AW34">
            <v>6.5972222222222224E-2</v>
          </cell>
          <cell r="AX34">
            <v>42566</v>
          </cell>
          <cell r="AY34">
            <v>7</v>
          </cell>
          <cell r="AZ34">
            <v>21</v>
          </cell>
        </row>
        <row r="35">
          <cell r="B35" t="str">
            <v>A7</v>
          </cell>
          <cell r="C35">
            <v>0.60416666666666663</v>
          </cell>
          <cell r="D35">
            <v>0.6875</v>
          </cell>
          <cell r="E35">
            <v>42565</v>
          </cell>
          <cell r="F35">
            <v>0.69791666666666663</v>
          </cell>
          <cell r="G35">
            <v>0.70833333333333337</v>
          </cell>
          <cell r="H35">
            <v>42565</v>
          </cell>
          <cell r="I35">
            <v>7.0000000000000001E-3</v>
          </cell>
          <cell r="J35">
            <v>1.4E-2</v>
          </cell>
          <cell r="K35">
            <v>-0.65800000000000003</v>
          </cell>
          <cell r="L35">
            <v>-1.06</v>
          </cell>
          <cell r="M35">
            <v>0.70833333333333337</v>
          </cell>
          <cell r="N35">
            <v>0.72222222222222221</v>
          </cell>
          <cell r="O35">
            <v>42565</v>
          </cell>
          <cell r="P35">
            <v>1.05</v>
          </cell>
          <cell r="Q35">
            <v>9</v>
          </cell>
          <cell r="R35">
            <v>23</v>
          </cell>
          <cell r="S35">
            <v>0</v>
          </cell>
          <cell r="T35">
            <v>0.84027777777777779</v>
          </cell>
          <cell r="U35">
            <v>42565</v>
          </cell>
          <cell r="V35">
            <v>21.8</v>
          </cell>
          <cell r="W35">
            <v>0.875</v>
          </cell>
          <cell r="X35">
            <v>42565</v>
          </cell>
          <cell r="Y35">
            <v>24.4</v>
          </cell>
          <cell r="Z35">
            <v>0.90625</v>
          </cell>
          <cell r="AA35">
            <v>0.91666666666666663</v>
          </cell>
          <cell r="AB35">
            <v>42565</v>
          </cell>
          <cell r="AC35">
            <v>24.4</v>
          </cell>
          <cell r="AD35">
            <v>0.92361111111111116</v>
          </cell>
          <cell r="AE35">
            <v>0.93402777777777779</v>
          </cell>
          <cell r="AF35">
            <v>42565</v>
          </cell>
          <cell r="AG35">
            <v>0.95833333333333337</v>
          </cell>
          <cell r="AH35">
            <v>0.99791666666666667</v>
          </cell>
          <cell r="AI35">
            <v>42565</v>
          </cell>
          <cell r="AJ35">
            <v>1.0416666666666666E-2</v>
          </cell>
          <cell r="AK35">
            <v>1.7361111111111112E-2</v>
          </cell>
          <cell r="AL35">
            <v>42566</v>
          </cell>
          <cell r="AM35">
            <v>1.06</v>
          </cell>
          <cell r="AN35">
            <v>9</v>
          </cell>
          <cell r="AO35">
            <v>22</v>
          </cell>
          <cell r="AP35">
            <v>0</v>
          </cell>
          <cell r="AQ35">
            <v>0.1388888888888889</v>
          </cell>
          <cell r="AR35">
            <v>0.1423611111111111</v>
          </cell>
          <cell r="AS35">
            <v>42566</v>
          </cell>
          <cell r="AT35">
            <v>24.4</v>
          </cell>
          <cell r="AU35">
            <v>0.15416666666666667</v>
          </cell>
          <cell r="AV35">
            <v>42566</v>
          </cell>
          <cell r="AW35">
            <v>0.17708333333333334</v>
          </cell>
          <cell r="AX35">
            <v>42566</v>
          </cell>
          <cell r="AY35">
            <v>6.2</v>
          </cell>
          <cell r="AZ35">
            <v>21</v>
          </cell>
        </row>
        <row r="36">
          <cell r="B36" t="str">
            <v>A128</v>
          </cell>
          <cell r="C36">
            <v>0.40625</v>
          </cell>
          <cell r="D36">
            <v>0.47916666666666669</v>
          </cell>
          <cell r="E36">
            <v>42566</v>
          </cell>
          <cell r="F36">
            <v>0.70833333333333337</v>
          </cell>
          <cell r="G36">
            <v>0.71875</v>
          </cell>
          <cell r="H36">
            <v>42566</v>
          </cell>
          <cell r="I36">
            <v>0.02</v>
          </cell>
          <cell r="J36">
            <v>2.1999999999999999E-2</v>
          </cell>
          <cell r="K36">
            <v>-0.495</v>
          </cell>
          <cell r="L36">
            <v>-0.97199999999999998</v>
          </cell>
          <cell r="M36">
            <v>0.5</v>
          </cell>
          <cell r="N36">
            <v>0.50694444444444442</v>
          </cell>
          <cell r="O36">
            <v>42566</v>
          </cell>
          <cell r="P36">
            <v>1.05</v>
          </cell>
          <cell r="Q36">
            <v>9</v>
          </cell>
          <cell r="R36">
            <v>23</v>
          </cell>
          <cell r="S36">
            <v>0</v>
          </cell>
          <cell r="T36">
            <v>0.625</v>
          </cell>
          <cell r="U36">
            <v>42566</v>
          </cell>
          <cell r="V36">
            <v>20.399999999999999</v>
          </cell>
          <cell r="W36">
            <v>0.72916666666666663</v>
          </cell>
          <cell r="X36">
            <v>42566</v>
          </cell>
          <cell r="Y36">
            <v>24.5</v>
          </cell>
          <cell r="Z36">
            <v>0.74305555555555547</v>
          </cell>
          <cell r="AA36">
            <v>0.75347222222222221</v>
          </cell>
          <cell r="AB36">
            <v>42566</v>
          </cell>
          <cell r="AC36">
            <v>24.5</v>
          </cell>
          <cell r="AD36">
            <v>0.75694444444444453</v>
          </cell>
          <cell r="AE36">
            <v>0.76388888888888884</v>
          </cell>
          <cell r="AF36">
            <v>42566</v>
          </cell>
          <cell r="AG36">
            <v>0.77083333333333337</v>
          </cell>
          <cell r="AH36">
            <v>0.80902777777777779</v>
          </cell>
          <cell r="AI36">
            <v>42566</v>
          </cell>
          <cell r="AJ36">
            <v>0.87847222222222221</v>
          </cell>
          <cell r="AK36">
            <v>0.88888888888888884</v>
          </cell>
          <cell r="AL36">
            <v>42566</v>
          </cell>
          <cell r="AM36">
            <v>1.05</v>
          </cell>
          <cell r="AN36">
            <v>9</v>
          </cell>
          <cell r="AO36">
            <v>22</v>
          </cell>
          <cell r="AP36">
            <v>0</v>
          </cell>
          <cell r="AQ36">
            <v>0.16666666666666666</v>
          </cell>
          <cell r="AR36">
            <v>0.17013888888888887</v>
          </cell>
          <cell r="AS36">
            <v>42567</v>
          </cell>
          <cell r="AT36">
            <v>24.5</v>
          </cell>
          <cell r="AU36">
            <v>0.17708333333333334</v>
          </cell>
          <cell r="AV36">
            <v>42567</v>
          </cell>
          <cell r="AW36">
            <v>0.19444444444444445</v>
          </cell>
          <cell r="AX36">
            <v>42567</v>
          </cell>
          <cell r="AY36">
            <v>7</v>
          </cell>
          <cell r="AZ36">
            <v>20</v>
          </cell>
        </row>
        <row r="37">
          <cell r="B37" t="str">
            <v>A34</v>
          </cell>
          <cell r="C37">
            <v>0.65972222222222221</v>
          </cell>
          <cell r="D37">
            <v>0.72916666666666663</v>
          </cell>
          <cell r="E37">
            <v>42563</v>
          </cell>
          <cell r="F37">
            <v>0.73958333333333337</v>
          </cell>
          <cell r="G37">
            <v>0.75</v>
          </cell>
          <cell r="H37">
            <v>42563</v>
          </cell>
          <cell r="I37">
            <v>8.0000000000000002E-3</v>
          </cell>
          <cell r="J37">
            <v>1.7000000000000001E-2</v>
          </cell>
          <cell r="K37">
            <v>-0.69899999999999995</v>
          </cell>
          <cell r="L37">
            <v>-1.1000000000000001</v>
          </cell>
          <cell r="M37">
            <v>0.625</v>
          </cell>
          <cell r="N37">
            <v>0.63541666666666663</v>
          </cell>
          <cell r="O37">
            <v>42563</v>
          </cell>
          <cell r="P37">
            <v>1.05</v>
          </cell>
          <cell r="Q37">
            <v>9</v>
          </cell>
          <cell r="R37">
            <v>23</v>
          </cell>
          <cell r="S37">
            <v>0</v>
          </cell>
          <cell r="T37">
            <v>0.40277777777777773</v>
          </cell>
          <cell r="U37">
            <v>42564</v>
          </cell>
          <cell r="V37">
            <v>21.5</v>
          </cell>
          <cell r="W37">
            <v>0.74305555555555547</v>
          </cell>
          <cell r="X37">
            <v>42566</v>
          </cell>
          <cell r="Y37">
            <v>35.1</v>
          </cell>
          <cell r="Z37">
            <v>0.79861111111111116</v>
          </cell>
          <cell r="AA37">
            <v>0.82361111111111107</v>
          </cell>
          <cell r="AB37">
            <v>42566</v>
          </cell>
          <cell r="AC37">
            <v>35.25</v>
          </cell>
          <cell r="AD37">
            <v>0.83333333333333337</v>
          </cell>
          <cell r="AE37">
            <v>0.84375</v>
          </cell>
          <cell r="AF37">
            <v>42566</v>
          </cell>
          <cell r="AG37">
            <v>0.85763888888888884</v>
          </cell>
          <cell r="AH37">
            <v>0.90625</v>
          </cell>
          <cell r="AI37">
            <v>42566</v>
          </cell>
          <cell r="AJ37">
            <v>0.91666666666666663</v>
          </cell>
          <cell r="AK37">
            <v>0.92361111111111116</v>
          </cell>
          <cell r="AL37">
            <v>42566</v>
          </cell>
          <cell r="AM37">
            <v>1.06</v>
          </cell>
          <cell r="AN37">
            <v>9</v>
          </cell>
          <cell r="AO37">
            <v>24</v>
          </cell>
          <cell r="AP37">
            <v>0</v>
          </cell>
          <cell r="AQ37">
            <v>0.27777777777777779</v>
          </cell>
          <cell r="AR37">
            <v>0.28125</v>
          </cell>
          <cell r="AS37">
            <v>42567</v>
          </cell>
          <cell r="AT37">
            <v>35.25</v>
          </cell>
          <cell r="AU37">
            <v>0.30555555555555552</v>
          </cell>
          <cell r="AV37">
            <v>42567</v>
          </cell>
          <cell r="AW37">
            <v>0.42708333333333331</v>
          </cell>
          <cell r="AX37">
            <v>42567</v>
          </cell>
          <cell r="AY37">
            <v>6.8</v>
          </cell>
          <cell r="AZ37">
            <v>56</v>
          </cell>
        </row>
        <row r="38">
          <cell r="B38" t="str">
            <v>A125</v>
          </cell>
          <cell r="C38">
            <v>0.33333333333333331</v>
          </cell>
          <cell r="D38">
            <v>0.39583333333333331</v>
          </cell>
          <cell r="E38">
            <v>42566</v>
          </cell>
          <cell r="F38">
            <v>0.72916666666666663</v>
          </cell>
          <cell r="G38">
            <v>0.73958333333333337</v>
          </cell>
          <cell r="H38">
            <v>42566</v>
          </cell>
          <cell r="I38">
            <v>2.3E-2</v>
          </cell>
          <cell r="J38">
            <v>1.7999999999999999E-2</v>
          </cell>
          <cell r="K38">
            <v>-0.87</v>
          </cell>
          <cell r="L38">
            <v>-1.1950000000000001</v>
          </cell>
          <cell r="M38">
            <v>0.75</v>
          </cell>
          <cell r="N38">
            <v>0.75694444444444453</v>
          </cell>
          <cell r="O38">
            <v>42566</v>
          </cell>
          <cell r="P38">
            <v>1.05</v>
          </cell>
          <cell r="Q38">
            <v>9</v>
          </cell>
          <cell r="R38">
            <v>23</v>
          </cell>
          <cell r="S38">
            <v>0</v>
          </cell>
          <cell r="T38">
            <v>0.3611111111111111</v>
          </cell>
          <cell r="U38">
            <v>42567</v>
          </cell>
          <cell r="V38">
            <v>19.55</v>
          </cell>
          <cell r="W38">
            <v>0.36458333333333331</v>
          </cell>
          <cell r="X38">
            <v>42568</v>
          </cell>
          <cell r="Y38">
            <v>23.6</v>
          </cell>
          <cell r="Z38">
            <v>0.52083333333333337</v>
          </cell>
          <cell r="AA38">
            <v>0.52777777777777779</v>
          </cell>
          <cell r="AB38">
            <v>42568</v>
          </cell>
          <cell r="AC38">
            <v>23.62</v>
          </cell>
          <cell r="AD38">
            <v>0.53472222222222221</v>
          </cell>
          <cell r="AE38">
            <v>0.54861111111111105</v>
          </cell>
          <cell r="AF38">
            <v>42568</v>
          </cell>
          <cell r="AG38">
            <v>0.55208333333333337</v>
          </cell>
          <cell r="AH38">
            <v>0.64583333333333337</v>
          </cell>
          <cell r="AI38">
            <v>42568</v>
          </cell>
          <cell r="AJ38">
            <v>0.64930555555555558</v>
          </cell>
          <cell r="AK38">
            <v>0.65277777777777779</v>
          </cell>
          <cell r="AL38">
            <v>42568</v>
          </cell>
          <cell r="AM38">
            <v>1.05</v>
          </cell>
          <cell r="AN38">
            <v>9</v>
          </cell>
          <cell r="AO38">
            <v>23</v>
          </cell>
          <cell r="AP38">
            <v>0</v>
          </cell>
          <cell r="AQ38">
            <v>0.65625</v>
          </cell>
          <cell r="AR38">
            <v>0.65972222222222221</v>
          </cell>
          <cell r="AS38">
            <v>42568</v>
          </cell>
          <cell r="AT38">
            <v>23.62</v>
          </cell>
          <cell r="AU38">
            <v>0.66319444444444442</v>
          </cell>
          <cell r="AV38">
            <v>42568</v>
          </cell>
          <cell r="AW38">
            <v>0.69444444444444453</v>
          </cell>
          <cell r="AX38">
            <v>42568</v>
          </cell>
          <cell r="AY38">
            <v>6.2</v>
          </cell>
          <cell r="AZ38">
            <v>20</v>
          </cell>
        </row>
        <row r="39">
          <cell r="B39" t="str">
            <v>A148</v>
          </cell>
          <cell r="C39">
            <v>0.39583333333333331</v>
          </cell>
          <cell r="D39">
            <v>0.46875</v>
          </cell>
          <cell r="E39">
            <v>42567</v>
          </cell>
          <cell r="F39">
            <v>0.59375</v>
          </cell>
          <cell r="G39">
            <v>0.60416666666666663</v>
          </cell>
          <cell r="H39">
            <v>42567</v>
          </cell>
          <cell r="I39">
            <v>2.5999999999999999E-2</v>
          </cell>
          <cell r="J39">
            <v>1.2E-2</v>
          </cell>
          <cell r="K39">
            <v>-0.66500000000000004</v>
          </cell>
          <cell r="L39">
            <v>-1.1519999999999999</v>
          </cell>
          <cell r="M39">
            <v>0.61111111111111105</v>
          </cell>
          <cell r="N39">
            <v>0.61805555555555558</v>
          </cell>
          <cell r="O39">
            <v>42567</v>
          </cell>
          <cell r="P39">
            <v>1.05</v>
          </cell>
          <cell r="Q39">
            <v>9</v>
          </cell>
          <cell r="R39">
            <v>23</v>
          </cell>
          <cell r="S39">
            <v>0</v>
          </cell>
          <cell r="T39">
            <v>0.75</v>
          </cell>
          <cell r="U39">
            <v>42567</v>
          </cell>
          <cell r="V39">
            <v>22.3</v>
          </cell>
          <cell r="W39">
            <v>0.47916666666666669</v>
          </cell>
          <cell r="X39">
            <v>42568</v>
          </cell>
          <cell r="Y39">
            <v>31.7</v>
          </cell>
          <cell r="Z39">
            <v>0.64583333333333337</v>
          </cell>
          <cell r="AA39">
            <v>0.65625</v>
          </cell>
          <cell r="AB39">
            <v>42568</v>
          </cell>
          <cell r="AC39">
            <v>31.8</v>
          </cell>
          <cell r="AD39">
            <v>0.65972222222222221</v>
          </cell>
          <cell r="AE39">
            <v>0.66666666666666663</v>
          </cell>
          <cell r="AF39">
            <v>42568</v>
          </cell>
          <cell r="AG39">
            <v>0.70833333333333337</v>
          </cell>
          <cell r="AH39">
            <v>0.8125</v>
          </cell>
          <cell r="AI39">
            <v>42568</v>
          </cell>
          <cell r="AJ39">
            <v>0.83333333333333337</v>
          </cell>
          <cell r="AK39">
            <v>0.84027777777777779</v>
          </cell>
          <cell r="AL39">
            <v>42568</v>
          </cell>
          <cell r="AM39">
            <v>1.05</v>
          </cell>
          <cell r="AN39">
            <v>9</v>
          </cell>
          <cell r="AO39">
            <v>23</v>
          </cell>
          <cell r="AP39">
            <v>0</v>
          </cell>
          <cell r="AQ39">
            <v>0.89583333333333337</v>
          </cell>
          <cell r="AR39">
            <v>0.90277777777777779</v>
          </cell>
          <cell r="AS39">
            <v>42568</v>
          </cell>
          <cell r="AT39">
            <v>31.8</v>
          </cell>
          <cell r="AU39">
            <v>0.90972222222222221</v>
          </cell>
          <cell r="AV39">
            <v>42568</v>
          </cell>
          <cell r="AW39">
            <v>0.94444444444444453</v>
          </cell>
          <cell r="AX39">
            <v>42568</v>
          </cell>
          <cell r="AY39">
            <v>5.5</v>
          </cell>
          <cell r="AZ39">
            <v>31</v>
          </cell>
        </row>
        <row r="40">
          <cell r="B40" t="str">
            <v>A127</v>
          </cell>
          <cell r="C40">
            <v>0.5625</v>
          </cell>
          <cell r="D40">
            <v>0.64583333333333337</v>
          </cell>
          <cell r="E40">
            <v>42568</v>
          </cell>
          <cell r="F40">
            <v>0.70833333333333337</v>
          </cell>
          <cell r="G40">
            <v>0.71875</v>
          </cell>
          <cell r="H40">
            <v>42568</v>
          </cell>
          <cell r="I40">
            <v>2.1999999999999999E-2</v>
          </cell>
          <cell r="J40">
            <v>0.02</v>
          </cell>
          <cell r="K40">
            <v>-0.68500000000000005</v>
          </cell>
          <cell r="L40">
            <v>-0.998</v>
          </cell>
          <cell r="M40">
            <v>0.66666666666666663</v>
          </cell>
          <cell r="N40">
            <v>0.67361111111111116</v>
          </cell>
          <cell r="O40">
            <v>42568</v>
          </cell>
          <cell r="P40">
            <v>1.05</v>
          </cell>
          <cell r="Q40">
            <v>9</v>
          </cell>
          <cell r="R40">
            <v>23</v>
          </cell>
          <cell r="S40">
            <v>0</v>
          </cell>
          <cell r="T40">
            <v>0.58333333333333337</v>
          </cell>
          <cell r="U40">
            <v>42569</v>
          </cell>
          <cell r="V40">
            <v>21.9</v>
          </cell>
          <cell r="W40">
            <v>0.75</v>
          </cell>
          <cell r="X40">
            <v>42569</v>
          </cell>
          <cell r="Y40">
            <v>25.3</v>
          </cell>
          <cell r="Z40">
            <v>0.79166666666666663</v>
          </cell>
          <cell r="AA40">
            <v>0.8125</v>
          </cell>
          <cell r="AB40">
            <v>42569</v>
          </cell>
          <cell r="AC40">
            <v>25.3</v>
          </cell>
          <cell r="AD40">
            <v>0.75694444444444453</v>
          </cell>
          <cell r="AE40">
            <v>0.76388888888888884</v>
          </cell>
          <cell r="AF40">
            <v>42569</v>
          </cell>
          <cell r="AG40">
            <v>0.77083333333333337</v>
          </cell>
          <cell r="AH40">
            <v>0.83333333333333337</v>
          </cell>
          <cell r="AI40">
            <v>42569</v>
          </cell>
          <cell r="AJ40">
            <v>0.84027777777777779</v>
          </cell>
          <cell r="AK40">
            <v>0.84722222222222221</v>
          </cell>
          <cell r="AL40">
            <v>42569</v>
          </cell>
          <cell r="AM40">
            <v>1.05</v>
          </cell>
          <cell r="AN40">
            <v>9</v>
          </cell>
          <cell r="AO40">
            <v>23</v>
          </cell>
          <cell r="AP40">
            <v>0</v>
          </cell>
          <cell r="AQ40">
            <v>0.91666666666666663</v>
          </cell>
          <cell r="AR40">
            <v>0.92361111111111116</v>
          </cell>
          <cell r="AS40">
            <v>42569</v>
          </cell>
          <cell r="AT40">
            <v>25.3</v>
          </cell>
          <cell r="AU40">
            <v>0.92708333333333337</v>
          </cell>
          <cell r="AV40">
            <v>42569</v>
          </cell>
          <cell r="AW40">
            <v>0.97916666666666663</v>
          </cell>
          <cell r="AX40">
            <v>42569</v>
          </cell>
          <cell r="AY40">
            <v>6.5</v>
          </cell>
          <cell r="AZ40">
            <v>28</v>
          </cell>
        </row>
        <row r="41">
          <cell r="B41" t="str">
            <v>A32</v>
          </cell>
          <cell r="C41">
            <v>0.35416666666666669</v>
          </cell>
          <cell r="D41">
            <v>0.44791666666666669</v>
          </cell>
          <cell r="E41">
            <v>42567</v>
          </cell>
          <cell r="F41">
            <v>0.64930555555555558</v>
          </cell>
          <cell r="G41">
            <v>0.65625</v>
          </cell>
          <cell r="H41">
            <v>42567</v>
          </cell>
          <cell r="I41">
            <v>1.2999999999999999E-2</v>
          </cell>
          <cell r="J41">
            <v>8.0000000000000002E-3</v>
          </cell>
          <cell r="K41">
            <v>-0.72499999999999998</v>
          </cell>
          <cell r="L41">
            <v>-1.004</v>
          </cell>
          <cell r="M41">
            <v>0.75347222222222221</v>
          </cell>
          <cell r="N41">
            <v>0.75694444444444453</v>
          </cell>
          <cell r="O41">
            <v>42567</v>
          </cell>
          <cell r="P41">
            <v>1.05</v>
          </cell>
          <cell r="Q41">
            <v>9</v>
          </cell>
          <cell r="R41">
            <v>23</v>
          </cell>
          <cell r="S41">
            <v>0</v>
          </cell>
          <cell r="T41">
            <v>0.45833333333333331</v>
          </cell>
          <cell r="U41">
            <v>42568</v>
          </cell>
          <cell r="V41">
            <v>22.5</v>
          </cell>
          <cell r="W41">
            <v>0.625</v>
          </cell>
          <cell r="X41">
            <v>42570</v>
          </cell>
          <cell r="Y41">
            <v>32.299999999999997</v>
          </cell>
          <cell r="Z41">
            <v>0.67013888888888884</v>
          </cell>
          <cell r="AA41">
            <v>0.6875</v>
          </cell>
          <cell r="AB41">
            <v>42570</v>
          </cell>
          <cell r="AC41">
            <v>32.299999999999997</v>
          </cell>
          <cell r="AD41">
            <v>0.69861111111111107</v>
          </cell>
          <cell r="AE41">
            <v>0.70833333333333337</v>
          </cell>
          <cell r="AF41">
            <v>42570</v>
          </cell>
          <cell r="AG41">
            <v>0.75</v>
          </cell>
          <cell r="AH41">
            <v>0.8125</v>
          </cell>
          <cell r="AI41">
            <v>42570</v>
          </cell>
          <cell r="AJ41">
            <v>0.875</v>
          </cell>
          <cell r="AK41">
            <v>0.88541666666666663</v>
          </cell>
          <cell r="AL41">
            <v>42570</v>
          </cell>
          <cell r="AM41">
            <v>1.05</v>
          </cell>
          <cell r="AN41">
            <v>9</v>
          </cell>
          <cell r="AO41">
            <v>23</v>
          </cell>
          <cell r="AP41">
            <v>0</v>
          </cell>
          <cell r="AQ41">
            <v>0.92361111111111116</v>
          </cell>
          <cell r="AR41">
            <v>0.92708333333333337</v>
          </cell>
          <cell r="AS41">
            <v>42570</v>
          </cell>
          <cell r="AT41">
            <v>32.299999999999997</v>
          </cell>
          <cell r="AU41">
            <v>0.9375</v>
          </cell>
          <cell r="AV41">
            <v>42570</v>
          </cell>
          <cell r="AW41">
            <v>2.0833333333333332E-2</v>
          </cell>
          <cell r="AX41">
            <v>42571</v>
          </cell>
          <cell r="AY41">
            <v>6.7</v>
          </cell>
          <cell r="AZ41">
            <v>38</v>
          </cell>
        </row>
        <row r="42">
          <cell r="B42" t="str">
            <v>A123</v>
          </cell>
          <cell r="C42">
            <v>0.625</v>
          </cell>
          <cell r="D42">
            <v>0.70833333333333337</v>
          </cell>
          <cell r="E42">
            <v>42570</v>
          </cell>
          <cell r="F42">
            <v>0.72222222222222221</v>
          </cell>
          <cell r="G42">
            <v>0.73263888888888884</v>
          </cell>
          <cell r="H42">
            <v>42570</v>
          </cell>
          <cell r="I42">
            <v>-8.0000000000000002E-3</v>
          </cell>
          <cell r="J42">
            <v>1.4999999999999999E-2</v>
          </cell>
          <cell r="K42">
            <v>-0.70899999999999996</v>
          </cell>
          <cell r="L42">
            <v>-1.081</v>
          </cell>
          <cell r="M42">
            <v>0.73958333333333337</v>
          </cell>
          <cell r="N42">
            <v>0.74652777777777779</v>
          </cell>
          <cell r="O42">
            <v>42570</v>
          </cell>
          <cell r="P42">
            <v>1.05</v>
          </cell>
          <cell r="Q42">
            <v>9</v>
          </cell>
          <cell r="R42">
            <v>23</v>
          </cell>
          <cell r="S42">
            <v>0</v>
          </cell>
          <cell r="T42">
            <v>0.86805555555555547</v>
          </cell>
          <cell r="U42">
            <v>42570</v>
          </cell>
          <cell r="V42">
            <v>20.7</v>
          </cell>
          <cell r="W42">
            <v>0.90972222222222221</v>
          </cell>
          <cell r="X42">
            <v>42570</v>
          </cell>
          <cell r="Y42">
            <v>23.9</v>
          </cell>
          <cell r="Z42">
            <v>0.9375</v>
          </cell>
          <cell r="AA42">
            <v>0.98958333333333337</v>
          </cell>
          <cell r="AB42">
            <v>42570</v>
          </cell>
          <cell r="AC42">
            <v>23.9</v>
          </cell>
          <cell r="AD42">
            <v>0.97916666666666663</v>
          </cell>
          <cell r="AE42">
            <v>0.98958333333333337</v>
          </cell>
          <cell r="AF42">
            <v>42570</v>
          </cell>
          <cell r="AG42">
            <v>3.125E-2</v>
          </cell>
          <cell r="AH42">
            <v>7.2916666666666671E-2</v>
          </cell>
          <cell r="AI42">
            <v>42571</v>
          </cell>
          <cell r="AJ42">
            <v>8.3333333333333329E-2</v>
          </cell>
          <cell r="AK42">
            <v>9.0277777777777776E-2</v>
          </cell>
          <cell r="AL42">
            <v>42571</v>
          </cell>
          <cell r="AM42">
            <v>1.05</v>
          </cell>
          <cell r="AN42">
            <v>9</v>
          </cell>
          <cell r="AO42">
            <v>23</v>
          </cell>
          <cell r="AP42">
            <v>0</v>
          </cell>
          <cell r="AQ42">
            <v>0.10069444444444443</v>
          </cell>
          <cell r="AR42">
            <v>0.1111111111111111</v>
          </cell>
          <cell r="AS42">
            <v>42571</v>
          </cell>
          <cell r="AT42">
            <v>23.9</v>
          </cell>
          <cell r="AU42">
            <v>0.11458333333333333</v>
          </cell>
          <cell r="AV42">
            <v>42571</v>
          </cell>
          <cell r="AW42">
            <v>0.27083333333333331</v>
          </cell>
          <cell r="AX42">
            <v>42571</v>
          </cell>
          <cell r="AY42">
            <v>6.6</v>
          </cell>
          <cell r="AZ42">
            <v>24</v>
          </cell>
        </row>
        <row r="43">
          <cell r="B43" t="str">
            <v>A35</v>
          </cell>
          <cell r="C43">
            <v>0.41666666666666669</v>
          </cell>
          <cell r="D43">
            <v>0.48958333333333331</v>
          </cell>
          <cell r="E43">
            <v>42571</v>
          </cell>
          <cell r="F43">
            <v>0.60416666666666663</v>
          </cell>
          <cell r="G43">
            <v>0.61111111111111105</v>
          </cell>
          <cell r="H43">
            <v>42571</v>
          </cell>
          <cell r="I43">
            <v>2E-3</v>
          </cell>
          <cell r="J43">
            <v>1.7999999999999999E-2</v>
          </cell>
          <cell r="K43">
            <v>-0.65500000000000003</v>
          </cell>
          <cell r="L43">
            <v>-0.83</v>
          </cell>
          <cell r="M43">
            <v>0.60416666666666663</v>
          </cell>
          <cell r="N43">
            <v>0.61111111111111105</v>
          </cell>
          <cell r="O43">
            <v>42571</v>
          </cell>
          <cell r="P43">
            <v>1.06</v>
          </cell>
          <cell r="Q43">
            <v>9</v>
          </cell>
          <cell r="R43">
            <v>23</v>
          </cell>
          <cell r="S43">
            <v>0</v>
          </cell>
          <cell r="T43">
            <v>0.68055555555555547</v>
          </cell>
          <cell r="U43">
            <v>42571</v>
          </cell>
          <cell r="V43">
            <v>21.2</v>
          </cell>
          <cell r="W43">
            <v>0.79166666666666663</v>
          </cell>
          <cell r="X43">
            <v>42571</v>
          </cell>
          <cell r="Y43">
            <v>23.85</v>
          </cell>
          <cell r="Z43">
            <v>0.82638888888888884</v>
          </cell>
          <cell r="AA43">
            <v>0.83333333333333337</v>
          </cell>
          <cell r="AB43">
            <v>42571</v>
          </cell>
          <cell r="AC43">
            <v>23.9</v>
          </cell>
          <cell r="AD43">
            <v>0.84375</v>
          </cell>
          <cell r="AE43">
            <v>0.85416666666666663</v>
          </cell>
          <cell r="AF43">
            <v>42571</v>
          </cell>
          <cell r="AG43">
            <v>0.86111111111111116</v>
          </cell>
          <cell r="AH43">
            <v>0.90277777777777779</v>
          </cell>
          <cell r="AI43">
            <v>42571</v>
          </cell>
          <cell r="AJ43">
            <v>0.91666666666666663</v>
          </cell>
          <cell r="AK43">
            <v>0.92708333333333337</v>
          </cell>
          <cell r="AL43">
            <v>42571</v>
          </cell>
          <cell r="AM43">
            <v>1.05</v>
          </cell>
          <cell r="AN43">
            <v>9</v>
          </cell>
          <cell r="AO43">
            <v>23</v>
          </cell>
          <cell r="AP43">
            <v>0</v>
          </cell>
          <cell r="AQ43">
            <v>8.3333333333333329E-2</v>
          </cell>
          <cell r="AR43">
            <v>8.6805555555555566E-2</v>
          </cell>
          <cell r="AS43">
            <v>42572</v>
          </cell>
          <cell r="AT43">
            <v>23.9</v>
          </cell>
          <cell r="AU43">
            <v>5.2083333333333336E-2</v>
          </cell>
          <cell r="AV43">
            <v>42572</v>
          </cell>
          <cell r="AW43">
            <v>0.11805555555555557</v>
          </cell>
          <cell r="AX43">
            <v>42572</v>
          </cell>
          <cell r="AY43">
            <v>7</v>
          </cell>
          <cell r="AZ43">
            <v>20</v>
          </cell>
        </row>
        <row r="44">
          <cell r="B44" t="str">
            <v>A147</v>
          </cell>
          <cell r="C44">
            <v>0.39583333333333331</v>
          </cell>
          <cell r="D44">
            <v>0.47916666666666669</v>
          </cell>
          <cell r="E44">
            <v>42569</v>
          </cell>
          <cell r="F44">
            <v>0.69791666666666663</v>
          </cell>
          <cell r="G44">
            <v>0.70833333333333337</v>
          </cell>
          <cell r="H44">
            <v>42569</v>
          </cell>
          <cell r="I44">
            <v>-1.2999999999999999E-2</v>
          </cell>
          <cell r="J44">
            <v>8.0000000000000002E-3</v>
          </cell>
          <cell r="K44">
            <v>-0.755</v>
          </cell>
          <cell r="L44">
            <v>-1.0840000000000001</v>
          </cell>
          <cell r="M44">
            <v>0.71527777777777779</v>
          </cell>
          <cell r="N44">
            <v>0.72222222222222221</v>
          </cell>
          <cell r="O44">
            <v>42569</v>
          </cell>
          <cell r="P44">
            <v>1.05</v>
          </cell>
          <cell r="Q44">
            <v>9</v>
          </cell>
          <cell r="R44">
            <v>23</v>
          </cell>
          <cell r="S44">
            <v>0</v>
          </cell>
          <cell r="T44">
            <v>0.33333333333333331</v>
          </cell>
          <cell r="U44">
            <v>42572</v>
          </cell>
          <cell r="V44">
            <v>21.3</v>
          </cell>
          <cell r="W44">
            <v>0.60416666666666663</v>
          </cell>
          <cell r="X44">
            <v>42572</v>
          </cell>
          <cell r="Y44">
            <v>31.55</v>
          </cell>
          <cell r="Z44">
            <v>0.83333333333333337</v>
          </cell>
          <cell r="AA44">
            <v>0.85416666666666663</v>
          </cell>
          <cell r="AB44">
            <v>42572</v>
          </cell>
          <cell r="AC44">
            <v>31.55</v>
          </cell>
          <cell r="AD44">
            <v>0.85763888888888884</v>
          </cell>
          <cell r="AE44">
            <v>0.86458333333333337</v>
          </cell>
          <cell r="AF44">
            <v>42572</v>
          </cell>
          <cell r="AG44">
            <v>0.86805555555555547</v>
          </cell>
          <cell r="AH44">
            <v>0.91319444444444453</v>
          </cell>
          <cell r="AI44">
            <v>42572</v>
          </cell>
          <cell r="AJ44">
            <v>0.92361111111111116</v>
          </cell>
          <cell r="AK44">
            <v>0.92708333333333337</v>
          </cell>
          <cell r="AL44">
            <v>42572</v>
          </cell>
          <cell r="AM44">
            <v>1.05</v>
          </cell>
          <cell r="AN44">
            <v>9</v>
          </cell>
          <cell r="AO44">
            <v>22</v>
          </cell>
          <cell r="AP44">
            <v>0</v>
          </cell>
          <cell r="AQ44">
            <v>0.94444444444444453</v>
          </cell>
          <cell r="AR44">
            <v>0.94791666666666663</v>
          </cell>
          <cell r="AS44">
            <v>42572</v>
          </cell>
          <cell r="AT44">
            <v>31.55</v>
          </cell>
          <cell r="AU44">
            <v>0.95486111111111116</v>
          </cell>
          <cell r="AV44">
            <v>42572</v>
          </cell>
          <cell r="AW44">
            <v>4.5138888888888888E-2</v>
          </cell>
          <cell r="AX44">
            <v>42573</v>
          </cell>
          <cell r="AY44">
            <v>6.8</v>
          </cell>
          <cell r="AZ44">
            <v>36</v>
          </cell>
        </row>
        <row r="45">
          <cell r="B45" t="str">
            <v>A36</v>
          </cell>
          <cell r="C45">
            <v>0.5</v>
          </cell>
          <cell r="D45">
            <v>0.58333333333333337</v>
          </cell>
          <cell r="E45">
            <v>42571</v>
          </cell>
          <cell r="F45">
            <v>0.59375</v>
          </cell>
          <cell r="G45">
            <v>0.60069444444444442</v>
          </cell>
          <cell r="H45">
            <v>42571</v>
          </cell>
          <cell r="I45">
            <v>-1.0999999999999999E-2</v>
          </cell>
          <cell r="J45">
            <v>-3.0000000000000001E-3</v>
          </cell>
          <cell r="K45">
            <v>-0.5</v>
          </cell>
          <cell r="L45">
            <v>-0.8</v>
          </cell>
          <cell r="M45">
            <v>0.60416666666666663</v>
          </cell>
          <cell r="N45">
            <v>0.61111111111111105</v>
          </cell>
          <cell r="O45">
            <v>42571</v>
          </cell>
          <cell r="P45">
            <v>1.06</v>
          </cell>
          <cell r="Q45">
            <v>9</v>
          </cell>
          <cell r="R45">
            <v>23</v>
          </cell>
          <cell r="S45">
            <v>0</v>
          </cell>
          <cell r="T45">
            <v>0.875</v>
          </cell>
          <cell r="U45">
            <v>42572</v>
          </cell>
          <cell r="V45">
            <v>20.8</v>
          </cell>
          <cell r="W45">
            <v>0.95833333333333337</v>
          </cell>
          <cell r="X45">
            <v>42572</v>
          </cell>
          <cell r="Y45">
            <v>24.1</v>
          </cell>
          <cell r="Z45">
            <v>4.1666666666666664E-2</v>
          </cell>
          <cell r="AA45">
            <v>6.9444444444444434E-2</v>
          </cell>
          <cell r="AB45">
            <v>42573</v>
          </cell>
          <cell r="AC45">
            <v>24.1</v>
          </cell>
          <cell r="AD45">
            <v>7.6388888888888895E-2</v>
          </cell>
          <cell r="AE45">
            <v>8.6805555555555566E-2</v>
          </cell>
          <cell r="AF45">
            <v>42573</v>
          </cell>
          <cell r="AG45">
            <v>9.1666666666666674E-2</v>
          </cell>
          <cell r="AH45">
            <v>0.11805555555555557</v>
          </cell>
          <cell r="AI45">
            <v>42573</v>
          </cell>
          <cell r="AJ45">
            <v>0.12152777777777778</v>
          </cell>
          <cell r="AK45">
            <v>0.125</v>
          </cell>
          <cell r="AL45">
            <v>42573</v>
          </cell>
          <cell r="AM45">
            <v>1.05</v>
          </cell>
          <cell r="AN45">
            <v>9</v>
          </cell>
          <cell r="AO45">
            <v>23</v>
          </cell>
          <cell r="AP45">
            <v>0</v>
          </cell>
          <cell r="AQ45">
            <v>0.13194444444444445</v>
          </cell>
          <cell r="AR45">
            <v>0.13541666666666666</v>
          </cell>
          <cell r="AS45">
            <v>42573</v>
          </cell>
          <cell r="AT45">
            <v>24.1</v>
          </cell>
          <cell r="AU45">
            <v>0.1388888888888889</v>
          </cell>
          <cell r="AV45">
            <v>42573</v>
          </cell>
          <cell r="AW45">
            <v>0.19652777777777777</v>
          </cell>
          <cell r="AX45">
            <v>42573</v>
          </cell>
          <cell r="AY45">
            <v>6.7</v>
          </cell>
          <cell r="AZ45">
            <v>22</v>
          </cell>
        </row>
        <row r="46">
          <cell r="B46" t="str">
            <v>A45</v>
          </cell>
          <cell r="C46">
            <v>0.60763888888888895</v>
          </cell>
          <cell r="D46">
            <v>0.6875</v>
          </cell>
          <cell r="E46">
            <v>42574</v>
          </cell>
          <cell r="F46">
            <v>0.69097222222222221</v>
          </cell>
          <cell r="G46">
            <v>0.70833333333333337</v>
          </cell>
          <cell r="H46">
            <v>42574</v>
          </cell>
          <cell r="I46">
            <v>-2.7E-2</v>
          </cell>
          <cell r="J46">
            <v>-0.01</v>
          </cell>
          <cell r="K46">
            <v>-0.76100000000000001</v>
          </cell>
          <cell r="L46">
            <v>-1.01</v>
          </cell>
          <cell r="M46">
            <v>0.71527777777777779</v>
          </cell>
          <cell r="N46">
            <v>0.72222222222222221</v>
          </cell>
          <cell r="O46">
            <v>42574</v>
          </cell>
          <cell r="P46">
            <v>1.06</v>
          </cell>
          <cell r="Q46">
            <v>9</v>
          </cell>
          <cell r="R46">
            <v>23</v>
          </cell>
          <cell r="S46">
            <v>0</v>
          </cell>
          <cell r="T46">
            <v>0.77083333333333337</v>
          </cell>
          <cell r="U46">
            <v>42574</v>
          </cell>
          <cell r="V46">
            <v>20.8</v>
          </cell>
          <cell r="W46">
            <v>0.94791666666666663</v>
          </cell>
          <cell r="X46">
            <v>42574</v>
          </cell>
          <cell r="Y46">
            <v>24.32</v>
          </cell>
          <cell r="Z46">
            <v>0.97916666666666663</v>
          </cell>
          <cell r="AA46">
            <v>3.472222222222222E-3</v>
          </cell>
          <cell r="AB46">
            <v>42575</v>
          </cell>
          <cell r="AC46">
            <v>24.32</v>
          </cell>
          <cell r="AD46">
            <v>3.472222222222222E-3</v>
          </cell>
          <cell r="AE46">
            <v>1.0416666666666666E-2</v>
          </cell>
          <cell r="AF46">
            <v>42575</v>
          </cell>
          <cell r="AG46">
            <v>1.3888888888888888E-2</v>
          </cell>
          <cell r="AH46">
            <v>4.1666666666666664E-2</v>
          </cell>
          <cell r="AI46">
            <v>42575</v>
          </cell>
          <cell r="AJ46">
            <v>8.3333333333333329E-2</v>
          </cell>
          <cell r="AK46">
            <v>9.0277777777777776E-2</v>
          </cell>
          <cell r="AL46">
            <v>42575</v>
          </cell>
          <cell r="AM46">
            <v>1.06</v>
          </cell>
          <cell r="AN46">
            <v>9</v>
          </cell>
          <cell r="AO46">
            <v>23</v>
          </cell>
          <cell r="AP46">
            <v>0</v>
          </cell>
          <cell r="AQ46">
            <v>0.125</v>
          </cell>
          <cell r="AR46">
            <v>0.12847222222222224</v>
          </cell>
          <cell r="AS46">
            <v>42575</v>
          </cell>
          <cell r="AT46">
            <v>24.32</v>
          </cell>
          <cell r="AU46">
            <v>0.13541666666666666</v>
          </cell>
          <cell r="AV46">
            <v>42575</v>
          </cell>
          <cell r="AW46">
            <v>0.1875</v>
          </cell>
          <cell r="AX46">
            <v>42575</v>
          </cell>
          <cell r="AY46">
            <v>6.8</v>
          </cell>
          <cell r="AZ46">
            <v>22</v>
          </cell>
        </row>
        <row r="47">
          <cell r="B47" t="str">
            <v>A37</v>
          </cell>
          <cell r="C47">
            <v>0.52083333333333337</v>
          </cell>
          <cell r="D47">
            <v>0.60416666666666663</v>
          </cell>
          <cell r="E47">
            <v>42574</v>
          </cell>
          <cell r="F47">
            <v>0.69097222222222221</v>
          </cell>
          <cell r="G47">
            <v>0.69791666666666663</v>
          </cell>
          <cell r="H47">
            <v>42574</v>
          </cell>
          <cell r="I47">
            <v>8.9999999999999993E-3</v>
          </cell>
          <cell r="J47">
            <v>-1.9E-2</v>
          </cell>
          <cell r="K47">
            <v>-0.69199999999999995</v>
          </cell>
          <cell r="L47">
            <v>-1.071</v>
          </cell>
          <cell r="M47">
            <v>0.70138888888888884</v>
          </cell>
          <cell r="N47">
            <v>0.70833333333333337</v>
          </cell>
          <cell r="O47">
            <v>42574</v>
          </cell>
          <cell r="P47">
            <v>1.06</v>
          </cell>
          <cell r="Q47">
            <v>9</v>
          </cell>
          <cell r="R47">
            <v>22</v>
          </cell>
          <cell r="S47">
            <v>0</v>
          </cell>
          <cell r="T47">
            <v>0.375</v>
          </cell>
          <cell r="U47">
            <v>42575</v>
          </cell>
          <cell r="V47">
            <v>21.5</v>
          </cell>
          <cell r="W47">
            <v>0.4375</v>
          </cell>
          <cell r="X47">
            <v>42575</v>
          </cell>
          <cell r="Y47">
            <v>23.81</v>
          </cell>
          <cell r="Z47">
            <v>0.54166666666666663</v>
          </cell>
          <cell r="AA47">
            <v>0.55208333333333337</v>
          </cell>
          <cell r="AB47">
            <v>42575</v>
          </cell>
          <cell r="AC47">
            <v>23.95</v>
          </cell>
          <cell r="AD47">
            <v>0.55902777777777779</v>
          </cell>
          <cell r="AE47">
            <v>0.56597222222222221</v>
          </cell>
          <cell r="AF47">
            <v>42575</v>
          </cell>
          <cell r="AG47">
            <v>0.57361111111111118</v>
          </cell>
          <cell r="AH47">
            <v>0.60416666666666663</v>
          </cell>
          <cell r="AI47">
            <v>42575</v>
          </cell>
          <cell r="AJ47">
            <v>0.61111111111111105</v>
          </cell>
          <cell r="AK47">
            <v>0.61805555555555558</v>
          </cell>
          <cell r="AL47">
            <v>42575</v>
          </cell>
          <cell r="AM47">
            <v>1.06</v>
          </cell>
          <cell r="AN47">
            <v>9</v>
          </cell>
          <cell r="AO47">
            <v>23</v>
          </cell>
          <cell r="AP47">
            <v>0</v>
          </cell>
          <cell r="AQ47">
            <v>0.71875</v>
          </cell>
          <cell r="AR47">
            <v>0.72222222222222221</v>
          </cell>
          <cell r="AS47">
            <v>42575</v>
          </cell>
          <cell r="AT47">
            <v>23.95</v>
          </cell>
          <cell r="AU47">
            <v>0.72916666666666663</v>
          </cell>
          <cell r="AV47">
            <v>42575</v>
          </cell>
          <cell r="AW47">
            <v>0.81944444444444453</v>
          </cell>
          <cell r="AX47">
            <v>42575</v>
          </cell>
          <cell r="AY47">
            <v>6.7</v>
          </cell>
          <cell r="AZ47">
            <v>23</v>
          </cell>
        </row>
        <row r="48">
          <cell r="B48" t="str">
            <v>A10</v>
          </cell>
          <cell r="C48">
            <v>0.39583333333333331</v>
          </cell>
          <cell r="D48">
            <v>0.47916666666666669</v>
          </cell>
          <cell r="E48">
            <v>42575</v>
          </cell>
          <cell r="F48">
            <v>0.54861111111111105</v>
          </cell>
          <cell r="G48">
            <v>0.55555555555555558</v>
          </cell>
          <cell r="H48">
            <v>42575</v>
          </cell>
          <cell r="I48">
            <v>-1.2999999999999999E-2</v>
          </cell>
          <cell r="J48">
            <v>2E-3</v>
          </cell>
          <cell r="K48">
            <v>-0.53</v>
          </cell>
          <cell r="L48">
            <v>-0.95</v>
          </cell>
          <cell r="M48">
            <v>0.58333333333333337</v>
          </cell>
          <cell r="N48">
            <v>0.59027777777777779</v>
          </cell>
          <cell r="O48">
            <v>42575</v>
          </cell>
          <cell r="P48">
            <v>1.05</v>
          </cell>
          <cell r="Q48">
            <v>9</v>
          </cell>
          <cell r="R48">
            <v>23</v>
          </cell>
          <cell r="S48">
            <v>0</v>
          </cell>
          <cell r="T48">
            <v>0.85416666666666663</v>
          </cell>
          <cell r="U48">
            <v>42576</v>
          </cell>
          <cell r="V48">
            <v>21.6</v>
          </cell>
          <cell r="W48">
            <v>0.90972222222222221</v>
          </cell>
          <cell r="X48">
            <v>42576</v>
          </cell>
          <cell r="Y48">
            <v>24.6</v>
          </cell>
          <cell r="Z48">
            <v>0.95833333333333337</v>
          </cell>
          <cell r="AA48">
            <v>0.96875</v>
          </cell>
          <cell r="AB48">
            <v>42576</v>
          </cell>
          <cell r="AC48">
            <v>24.85</v>
          </cell>
          <cell r="AD48">
            <v>0.97916666666666663</v>
          </cell>
          <cell r="AE48">
            <v>0.98958333333333337</v>
          </cell>
          <cell r="AF48">
            <v>42576</v>
          </cell>
          <cell r="AG48">
            <v>0</v>
          </cell>
          <cell r="AH48">
            <v>3.4722222222222224E-2</v>
          </cell>
          <cell r="AI48">
            <v>42577</v>
          </cell>
          <cell r="AJ48">
            <v>4.1666666666666664E-2</v>
          </cell>
          <cell r="AK48">
            <v>4.8611111111111112E-2</v>
          </cell>
          <cell r="AL48">
            <v>42577</v>
          </cell>
          <cell r="AM48">
            <v>1.06</v>
          </cell>
          <cell r="AN48">
            <v>9</v>
          </cell>
          <cell r="AO48">
            <v>22</v>
          </cell>
          <cell r="AP48">
            <v>0</v>
          </cell>
          <cell r="AQ48">
            <v>0.11805555555555557</v>
          </cell>
          <cell r="AR48">
            <v>0.12152777777777778</v>
          </cell>
          <cell r="AS48">
            <v>42577</v>
          </cell>
          <cell r="AT48">
            <v>24.85</v>
          </cell>
          <cell r="AU48">
            <v>0.12847222222222224</v>
          </cell>
          <cell r="AV48">
            <v>42577</v>
          </cell>
          <cell r="AW48">
            <v>0.15972222222222224</v>
          </cell>
          <cell r="AX48">
            <v>42577</v>
          </cell>
          <cell r="AY48">
            <v>7</v>
          </cell>
          <cell r="AZ48">
            <v>21</v>
          </cell>
        </row>
        <row r="49">
          <cell r="B49" t="str">
            <v>A149</v>
          </cell>
          <cell r="C49">
            <v>0.70833333333333337</v>
          </cell>
          <cell r="D49">
            <v>0.75</v>
          </cell>
          <cell r="E49">
            <v>42573</v>
          </cell>
          <cell r="F49">
            <v>0.76388888888888884</v>
          </cell>
          <cell r="G49">
            <v>0.77083333333333337</v>
          </cell>
          <cell r="H49">
            <v>42573</v>
          </cell>
          <cell r="I49">
            <v>1.4999999999999999E-2</v>
          </cell>
          <cell r="J49">
            <v>-8.0000000000000002E-3</v>
          </cell>
          <cell r="K49">
            <v>-0.69</v>
          </cell>
          <cell r="L49">
            <v>-1.0900000000000001</v>
          </cell>
          <cell r="M49">
            <v>0.77777777777777779</v>
          </cell>
          <cell r="N49">
            <v>0.78125</v>
          </cell>
          <cell r="O49">
            <v>42573</v>
          </cell>
          <cell r="P49">
            <v>1.06</v>
          </cell>
          <cell r="Q49">
            <v>9</v>
          </cell>
          <cell r="R49">
            <v>23</v>
          </cell>
          <cell r="S49">
            <v>0</v>
          </cell>
          <cell r="T49">
            <v>0.58333333333333337</v>
          </cell>
          <cell r="U49">
            <v>42574</v>
          </cell>
          <cell r="V49">
            <v>22</v>
          </cell>
          <cell r="W49">
            <v>0.61111111111111105</v>
          </cell>
          <cell r="X49">
            <v>42575</v>
          </cell>
          <cell r="Y49">
            <v>31.67</v>
          </cell>
          <cell r="Z49">
            <v>0.72222222222222221</v>
          </cell>
          <cell r="AA49">
            <v>0.73958333333333337</v>
          </cell>
          <cell r="AB49">
            <v>42576</v>
          </cell>
          <cell r="AC49">
            <v>32.35</v>
          </cell>
          <cell r="AD49">
            <v>0.75</v>
          </cell>
          <cell r="AE49">
            <v>0.76041666666666663</v>
          </cell>
          <cell r="AF49">
            <v>42576</v>
          </cell>
          <cell r="AG49">
            <v>0.77083333333333337</v>
          </cell>
          <cell r="AH49">
            <v>0.82638888888888884</v>
          </cell>
          <cell r="AI49">
            <v>42576</v>
          </cell>
          <cell r="AJ49">
            <v>0.83333333333333337</v>
          </cell>
          <cell r="AK49">
            <v>0.84027777777777779</v>
          </cell>
          <cell r="AL49">
            <v>42576</v>
          </cell>
          <cell r="AM49">
            <v>1.06</v>
          </cell>
          <cell r="AN49">
            <v>9</v>
          </cell>
          <cell r="AO49">
            <v>22</v>
          </cell>
          <cell r="AP49">
            <v>0</v>
          </cell>
          <cell r="AQ49">
            <v>0.96875</v>
          </cell>
          <cell r="AR49">
            <v>0.97222222222222221</v>
          </cell>
          <cell r="AS49">
            <v>42576</v>
          </cell>
          <cell r="AT49">
            <v>32.35</v>
          </cell>
          <cell r="AU49">
            <v>0.9604166666666667</v>
          </cell>
          <cell r="AV49">
            <v>42576</v>
          </cell>
          <cell r="AW49">
            <v>4.5138888888888888E-2</v>
          </cell>
          <cell r="AX49">
            <v>42577</v>
          </cell>
          <cell r="AY49">
            <v>6.7</v>
          </cell>
          <cell r="AZ49">
            <v>32</v>
          </cell>
        </row>
        <row r="50">
          <cell r="B50" t="str">
            <v>A44</v>
          </cell>
          <cell r="C50">
            <v>0.3125</v>
          </cell>
          <cell r="D50">
            <v>0.39583333333333331</v>
          </cell>
          <cell r="E50">
            <v>42577</v>
          </cell>
          <cell r="F50">
            <v>0.40277777777777773</v>
          </cell>
          <cell r="G50">
            <v>0.40972222222222227</v>
          </cell>
          <cell r="H50">
            <v>42577</v>
          </cell>
          <cell r="I50">
            <v>6.0000000000000001E-3</v>
          </cell>
          <cell r="J50">
            <v>-5.0000000000000001E-3</v>
          </cell>
          <cell r="K50">
            <v>-0.6</v>
          </cell>
          <cell r="L50">
            <v>-1.0369999999999999</v>
          </cell>
          <cell r="M50">
            <v>0.41666666666666669</v>
          </cell>
          <cell r="N50">
            <v>0.4236111111111111</v>
          </cell>
          <cell r="O50">
            <v>42577</v>
          </cell>
          <cell r="P50">
            <v>1.05</v>
          </cell>
          <cell r="Q50">
            <v>9</v>
          </cell>
          <cell r="R50">
            <v>23</v>
          </cell>
          <cell r="S50">
            <v>0</v>
          </cell>
          <cell r="T50">
            <v>0.64583333333333337</v>
          </cell>
          <cell r="U50">
            <v>42577</v>
          </cell>
          <cell r="V50">
            <v>22.2</v>
          </cell>
          <cell r="W50">
            <v>0.8125</v>
          </cell>
          <cell r="X50">
            <v>42577</v>
          </cell>
          <cell r="Y50">
            <v>24.3</v>
          </cell>
          <cell r="Z50">
            <v>0.84305555555555556</v>
          </cell>
          <cell r="AA50">
            <v>0.85416666666666663</v>
          </cell>
          <cell r="AB50">
            <v>42577</v>
          </cell>
          <cell r="AC50">
            <v>24.35</v>
          </cell>
          <cell r="AD50">
            <v>0.86111111111111116</v>
          </cell>
          <cell r="AE50">
            <v>0.86805555555555547</v>
          </cell>
          <cell r="AF50">
            <v>42577</v>
          </cell>
          <cell r="AG50">
            <v>0.875</v>
          </cell>
          <cell r="AH50">
            <v>0.90694444444444444</v>
          </cell>
          <cell r="AI50">
            <v>42577</v>
          </cell>
          <cell r="AJ50">
            <v>0.90972222222222221</v>
          </cell>
          <cell r="AK50">
            <v>0.91666666666666663</v>
          </cell>
          <cell r="AL50">
            <v>42577</v>
          </cell>
          <cell r="AM50">
            <v>1.05</v>
          </cell>
          <cell r="AN50">
            <v>9</v>
          </cell>
          <cell r="AO50">
            <v>22</v>
          </cell>
          <cell r="AP50">
            <v>0</v>
          </cell>
          <cell r="AQ50">
            <v>0</v>
          </cell>
          <cell r="AR50">
            <v>3.472222222222222E-3</v>
          </cell>
          <cell r="AS50">
            <v>42578</v>
          </cell>
          <cell r="AT50">
            <v>24.35</v>
          </cell>
          <cell r="AU50">
            <v>6.9444444444444441E-3</v>
          </cell>
          <cell r="AV50">
            <v>42578</v>
          </cell>
          <cell r="AW50">
            <v>2.7777777777777776E-2</v>
          </cell>
          <cell r="AX50">
            <v>42578</v>
          </cell>
          <cell r="AY50">
            <v>7</v>
          </cell>
          <cell r="AZ50">
            <v>21</v>
          </cell>
        </row>
        <row r="51">
          <cell r="B51" t="str">
            <v>A40</v>
          </cell>
          <cell r="C51">
            <v>0.42708333333333331</v>
          </cell>
          <cell r="D51">
            <v>0.5</v>
          </cell>
          <cell r="E51">
            <v>42572</v>
          </cell>
          <cell r="F51">
            <v>0.59375</v>
          </cell>
          <cell r="G51">
            <v>0.60416666666666663</v>
          </cell>
          <cell r="H51">
            <v>42572</v>
          </cell>
          <cell r="I51">
            <v>8.9999999999999993E-3</v>
          </cell>
          <cell r="J51">
            <v>-3.0000000000000001E-3</v>
          </cell>
          <cell r="K51">
            <v>-0.64</v>
          </cell>
          <cell r="L51">
            <v>-0.97699999999999998</v>
          </cell>
          <cell r="M51">
            <v>0.61111111111111105</v>
          </cell>
          <cell r="N51">
            <v>0.61458333333333337</v>
          </cell>
          <cell r="O51">
            <v>42572</v>
          </cell>
          <cell r="P51">
            <v>1.06</v>
          </cell>
          <cell r="Q51">
            <v>9</v>
          </cell>
          <cell r="R51">
            <v>23</v>
          </cell>
          <cell r="S51">
            <v>0</v>
          </cell>
          <cell r="T51">
            <v>0.70833333333333337</v>
          </cell>
          <cell r="U51">
            <v>42573</v>
          </cell>
          <cell r="V51">
            <v>21.7</v>
          </cell>
          <cell r="W51">
            <v>0.87847222222222221</v>
          </cell>
          <cell r="X51">
            <v>42577</v>
          </cell>
          <cell r="Y51">
            <v>32.5</v>
          </cell>
          <cell r="Z51">
            <v>0.91666666666666663</v>
          </cell>
          <cell r="AA51">
            <v>0.94097222222222221</v>
          </cell>
          <cell r="AB51">
            <v>42577</v>
          </cell>
          <cell r="AC51">
            <v>35.200000000000003</v>
          </cell>
          <cell r="AD51">
            <v>0.94791666666666663</v>
          </cell>
          <cell r="AE51">
            <v>0.95486111111111116</v>
          </cell>
          <cell r="AF51">
            <v>42577</v>
          </cell>
          <cell r="AG51">
            <v>0.96180555555555547</v>
          </cell>
          <cell r="AH51">
            <v>0.99305555555555547</v>
          </cell>
          <cell r="AI51">
            <v>42577</v>
          </cell>
          <cell r="AJ51">
            <v>1.3888888888888888E-2</v>
          </cell>
          <cell r="AK51">
            <v>2.0833333333333332E-2</v>
          </cell>
          <cell r="AL51">
            <v>42578</v>
          </cell>
          <cell r="AM51">
            <v>1.05</v>
          </cell>
          <cell r="AN51">
            <v>9</v>
          </cell>
          <cell r="AO51">
            <v>23</v>
          </cell>
          <cell r="AP51">
            <v>0</v>
          </cell>
          <cell r="AQ51">
            <v>0.16666666666666666</v>
          </cell>
          <cell r="AR51">
            <v>0.17013888888888887</v>
          </cell>
          <cell r="AS51">
            <v>42578</v>
          </cell>
          <cell r="AT51">
            <v>35.200000000000003</v>
          </cell>
          <cell r="AU51">
            <v>0.17361111111111113</v>
          </cell>
          <cell r="AV51">
            <v>42578</v>
          </cell>
          <cell r="AW51">
            <v>0.2986111111111111</v>
          </cell>
          <cell r="AX51">
            <v>42578</v>
          </cell>
          <cell r="AY51">
            <v>6.4</v>
          </cell>
          <cell r="AZ51">
            <v>47</v>
          </cell>
        </row>
        <row r="52">
          <cell r="B52" t="str">
            <v>A38</v>
          </cell>
          <cell r="C52">
            <v>0.58333333333333337</v>
          </cell>
          <cell r="D52">
            <v>0.66666666666666663</v>
          </cell>
          <cell r="E52">
            <v>42577</v>
          </cell>
          <cell r="F52">
            <v>0.72222222222222221</v>
          </cell>
          <cell r="G52">
            <v>0.72916666666666663</v>
          </cell>
          <cell r="H52">
            <v>42577</v>
          </cell>
          <cell r="I52">
            <v>-3.0000000000000001E-3</v>
          </cell>
          <cell r="J52">
            <v>7.0000000000000001E-3</v>
          </cell>
          <cell r="K52">
            <v>-0.47499999999999998</v>
          </cell>
          <cell r="L52">
            <v>-1.139</v>
          </cell>
          <cell r="M52">
            <v>0.73611111111111116</v>
          </cell>
          <cell r="N52">
            <v>0.74305555555555547</v>
          </cell>
          <cell r="O52">
            <v>42577</v>
          </cell>
          <cell r="P52">
            <v>1.05</v>
          </cell>
          <cell r="Q52">
            <v>9</v>
          </cell>
          <cell r="R52">
            <v>22</v>
          </cell>
          <cell r="S52">
            <v>0</v>
          </cell>
          <cell r="T52">
            <v>0.83333333333333337</v>
          </cell>
          <cell r="U52">
            <v>42577</v>
          </cell>
          <cell r="V52">
            <v>21.3</v>
          </cell>
          <cell r="W52">
            <v>0.45833333333333331</v>
          </cell>
          <cell r="X52">
            <v>42578</v>
          </cell>
          <cell r="Y52">
            <v>24</v>
          </cell>
          <cell r="Z52">
            <v>0.52083333333333337</v>
          </cell>
          <cell r="AA52">
            <v>0.53125</v>
          </cell>
          <cell r="AB52">
            <v>42578</v>
          </cell>
          <cell r="AC52">
            <v>24</v>
          </cell>
          <cell r="AD52">
            <v>0.53472222222222221</v>
          </cell>
          <cell r="AE52">
            <v>0.53819444444444442</v>
          </cell>
          <cell r="AF52">
            <v>42578</v>
          </cell>
          <cell r="AG52">
            <v>0.54166666666666663</v>
          </cell>
          <cell r="AH52">
            <v>0.59375</v>
          </cell>
          <cell r="AI52">
            <v>42578</v>
          </cell>
          <cell r="AJ52">
            <v>0.60416666666666663</v>
          </cell>
          <cell r="AK52">
            <v>0.61111111111111105</v>
          </cell>
          <cell r="AL52">
            <v>42578</v>
          </cell>
          <cell r="AM52">
            <v>1.05</v>
          </cell>
          <cell r="AN52">
            <v>9</v>
          </cell>
          <cell r="AO52">
            <v>22</v>
          </cell>
          <cell r="AP52">
            <v>0</v>
          </cell>
          <cell r="AQ52">
            <v>0.6118055555555556</v>
          </cell>
          <cell r="AR52">
            <v>0.61458333333333337</v>
          </cell>
          <cell r="AS52">
            <v>42578</v>
          </cell>
          <cell r="AT52">
            <v>24</v>
          </cell>
          <cell r="AU52">
            <v>0.64583333333333337</v>
          </cell>
          <cell r="AV52">
            <v>42578</v>
          </cell>
          <cell r="AW52">
            <v>0.69791666666666663</v>
          </cell>
          <cell r="AX52">
            <v>42578</v>
          </cell>
          <cell r="AY52">
            <v>7.9</v>
          </cell>
          <cell r="AZ52">
            <v>19</v>
          </cell>
        </row>
        <row r="53">
          <cell r="B53" t="str">
            <v>A153</v>
          </cell>
          <cell r="C53">
            <v>0.29166666666666669</v>
          </cell>
          <cell r="D53">
            <v>0.375</v>
          </cell>
          <cell r="E53">
            <v>42569</v>
          </cell>
          <cell r="F53">
            <v>0.71180555555555547</v>
          </cell>
          <cell r="G53">
            <v>0.71875</v>
          </cell>
          <cell r="H53">
            <v>42569</v>
          </cell>
          <cell r="I53">
            <v>1.4E-2</v>
          </cell>
          <cell r="J53">
            <v>-4.0000000000000001E-3</v>
          </cell>
          <cell r="K53">
            <v>-0.69399999999999995</v>
          </cell>
          <cell r="L53">
            <v>-0.92200000000000004</v>
          </cell>
          <cell r="M53">
            <v>0.33333333333333331</v>
          </cell>
          <cell r="N53">
            <v>0.34375</v>
          </cell>
          <cell r="O53">
            <v>42571</v>
          </cell>
          <cell r="P53">
            <v>1.05</v>
          </cell>
          <cell r="Q53">
            <v>9</v>
          </cell>
          <cell r="R53">
            <v>23</v>
          </cell>
          <cell r="S53">
            <v>0</v>
          </cell>
          <cell r="T53">
            <v>0.80208333333333337</v>
          </cell>
          <cell r="U53">
            <v>42571</v>
          </cell>
          <cell r="V53">
            <v>18.8</v>
          </cell>
          <cell r="W53">
            <v>0.75</v>
          </cell>
          <cell r="X53">
            <v>42580</v>
          </cell>
          <cell r="Y53">
            <v>31.6</v>
          </cell>
          <cell r="Z53">
            <v>0.77083333333333337</v>
          </cell>
          <cell r="AA53">
            <v>0.77777777777777779</v>
          </cell>
          <cell r="AB53">
            <v>42580</v>
          </cell>
          <cell r="AC53">
            <v>31.6</v>
          </cell>
          <cell r="AD53">
            <v>0.55902777777777779</v>
          </cell>
          <cell r="AE53">
            <v>0.56597222222222221</v>
          </cell>
          <cell r="AF53">
            <v>42580</v>
          </cell>
          <cell r="AG53">
            <v>0.8125</v>
          </cell>
          <cell r="AH53">
            <v>0.85138888888888886</v>
          </cell>
          <cell r="AI53">
            <v>42580</v>
          </cell>
          <cell r="AJ53">
            <v>0.86111111111111116</v>
          </cell>
          <cell r="AK53">
            <v>0.86805555555555547</v>
          </cell>
          <cell r="AL53">
            <v>42580</v>
          </cell>
          <cell r="AM53">
            <v>1.06</v>
          </cell>
          <cell r="AN53">
            <v>9</v>
          </cell>
          <cell r="AO53">
            <v>23</v>
          </cell>
          <cell r="AP53">
            <v>0</v>
          </cell>
          <cell r="AQ53">
            <v>0.88194444444444453</v>
          </cell>
          <cell r="AR53">
            <v>0.88541666666666663</v>
          </cell>
          <cell r="AS53">
            <v>42580</v>
          </cell>
          <cell r="AT53">
            <v>31.6</v>
          </cell>
          <cell r="AU53">
            <v>0.89583333333333337</v>
          </cell>
          <cell r="AV53">
            <v>42580</v>
          </cell>
          <cell r="AW53">
            <v>3.7499999999999999E-2</v>
          </cell>
          <cell r="AX53">
            <v>42581</v>
          </cell>
          <cell r="AY53">
            <v>7</v>
          </cell>
          <cell r="AZ53">
            <v>44</v>
          </cell>
        </row>
        <row r="54">
          <cell r="B54" t="str">
            <v>A52</v>
          </cell>
          <cell r="C54">
            <v>0.40625</v>
          </cell>
          <cell r="D54">
            <v>0.48958333333333331</v>
          </cell>
          <cell r="E54">
            <v>42580</v>
          </cell>
          <cell r="F54">
            <v>0.58333333333333337</v>
          </cell>
          <cell r="G54">
            <v>0.59375</v>
          </cell>
          <cell r="H54">
            <v>42580</v>
          </cell>
          <cell r="I54">
            <v>1.4999999999999999E-2</v>
          </cell>
          <cell r="J54">
            <v>1.7999999999999999E-2</v>
          </cell>
          <cell r="K54">
            <v>-0.6</v>
          </cell>
          <cell r="L54">
            <v>-0.97699999999999998</v>
          </cell>
          <cell r="M54">
            <v>0.60416666666666663</v>
          </cell>
          <cell r="N54">
            <v>0.61111111111111105</v>
          </cell>
          <cell r="O54">
            <v>42580</v>
          </cell>
          <cell r="P54">
            <v>1.05</v>
          </cell>
          <cell r="Q54">
            <v>9</v>
          </cell>
          <cell r="R54">
            <v>23</v>
          </cell>
          <cell r="S54">
            <v>0</v>
          </cell>
          <cell r="T54">
            <v>0.75</v>
          </cell>
          <cell r="U54">
            <v>42580</v>
          </cell>
          <cell r="V54">
            <v>21.9</v>
          </cell>
          <cell r="W54">
            <v>0.87152777777777779</v>
          </cell>
          <cell r="X54">
            <v>42580</v>
          </cell>
          <cell r="Y54">
            <v>24.3</v>
          </cell>
          <cell r="Z54">
            <v>0.90277777777777779</v>
          </cell>
          <cell r="AA54">
            <v>0.91527777777777775</v>
          </cell>
          <cell r="AB54">
            <v>42580</v>
          </cell>
          <cell r="AC54">
            <v>24.3</v>
          </cell>
          <cell r="AD54">
            <v>3.472222222222222E-3</v>
          </cell>
          <cell r="AE54">
            <v>1.3888888888888888E-2</v>
          </cell>
          <cell r="AF54">
            <v>42581</v>
          </cell>
          <cell r="AG54">
            <v>2.0833333333333332E-2</v>
          </cell>
          <cell r="AH54">
            <v>5.9027777777777783E-2</v>
          </cell>
          <cell r="AI54">
            <v>42581</v>
          </cell>
          <cell r="AJ54">
            <v>0.20833333333333334</v>
          </cell>
          <cell r="AK54">
            <v>0.21180555555555555</v>
          </cell>
          <cell r="AL54">
            <v>42581</v>
          </cell>
          <cell r="AM54">
            <v>1.06</v>
          </cell>
          <cell r="AN54">
            <v>9</v>
          </cell>
          <cell r="AO54">
            <v>23</v>
          </cell>
          <cell r="AP54">
            <v>0</v>
          </cell>
          <cell r="AQ54">
            <v>0.21527777777777779</v>
          </cell>
          <cell r="AR54">
            <v>0.21875</v>
          </cell>
          <cell r="AS54">
            <v>42581</v>
          </cell>
          <cell r="AT54">
            <v>24.3</v>
          </cell>
          <cell r="AU54">
            <v>0.22222222222222221</v>
          </cell>
          <cell r="AV54">
            <v>42581</v>
          </cell>
          <cell r="AW54">
            <v>0.27430555555555552</v>
          </cell>
          <cell r="AX54">
            <v>42581</v>
          </cell>
          <cell r="AY54">
            <v>6.7</v>
          </cell>
          <cell r="AZ54">
            <v>21.5</v>
          </cell>
        </row>
        <row r="55">
          <cell r="B55" t="str">
            <v>A150</v>
          </cell>
          <cell r="C55">
            <v>0.58333333333333337</v>
          </cell>
          <cell r="D55">
            <v>0.66666666666666663</v>
          </cell>
          <cell r="E55">
            <v>42575</v>
          </cell>
          <cell r="F55">
            <v>0.6875</v>
          </cell>
          <cell r="G55">
            <v>0.69791666666666663</v>
          </cell>
          <cell r="H55">
            <v>42575</v>
          </cell>
          <cell r="I55">
            <v>-1.9E-2</v>
          </cell>
          <cell r="J55">
            <v>2.3E-2</v>
          </cell>
          <cell r="K55">
            <v>-0.65</v>
          </cell>
          <cell r="L55">
            <v>-1.101</v>
          </cell>
          <cell r="M55">
            <v>0.70833333333333337</v>
          </cell>
          <cell r="N55">
            <v>0.71875</v>
          </cell>
          <cell r="O55">
            <v>42575</v>
          </cell>
          <cell r="P55">
            <v>1.06</v>
          </cell>
          <cell r="Q55">
            <v>9</v>
          </cell>
          <cell r="R55">
            <v>23</v>
          </cell>
          <cell r="S55">
            <v>0</v>
          </cell>
          <cell r="T55">
            <v>0.84027777777777779</v>
          </cell>
          <cell r="U55">
            <v>42578</v>
          </cell>
          <cell r="V55">
            <v>22.8</v>
          </cell>
          <cell r="W55">
            <v>0.76041666666666663</v>
          </cell>
          <cell r="X55">
            <v>42581</v>
          </cell>
          <cell r="Y55">
            <v>31.65</v>
          </cell>
          <cell r="Z55">
            <v>0.79513888888888884</v>
          </cell>
          <cell r="AA55">
            <v>0.8125</v>
          </cell>
          <cell r="AB55">
            <v>42581</v>
          </cell>
          <cell r="AC55">
            <v>31.65</v>
          </cell>
          <cell r="AD55">
            <v>0.82638888888888884</v>
          </cell>
          <cell r="AE55">
            <v>0.83333333333333337</v>
          </cell>
          <cell r="AF55">
            <v>42581</v>
          </cell>
          <cell r="AG55">
            <v>0.85416666666666663</v>
          </cell>
          <cell r="AH55">
            <v>0.89930555555555547</v>
          </cell>
          <cell r="AI55">
            <v>42581</v>
          </cell>
          <cell r="AJ55">
            <v>0.90277777777777779</v>
          </cell>
          <cell r="AK55">
            <v>0.90972222222222221</v>
          </cell>
          <cell r="AL55">
            <v>42581</v>
          </cell>
          <cell r="AM55">
            <v>1.06</v>
          </cell>
          <cell r="AN55">
            <v>9</v>
          </cell>
          <cell r="AO55">
            <v>23</v>
          </cell>
          <cell r="AP55">
            <v>0</v>
          </cell>
          <cell r="AQ55">
            <v>0.94444444444444453</v>
          </cell>
          <cell r="AR55">
            <v>0.94791666666666663</v>
          </cell>
          <cell r="AS55">
            <v>42581</v>
          </cell>
          <cell r="AT55">
            <v>31.65</v>
          </cell>
          <cell r="AU55">
            <v>0.95138888888888884</v>
          </cell>
          <cell r="AV55">
            <v>42581</v>
          </cell>
          <cell r="AW55">
            <v>3.4722222222222224E-2</v>
          </cell>
          <cell r="AX55">
            <v>42582</v>
          </cell>
          <cell r="AY55">
            <v>7</v>
          </cell>
          <cell r="AZ55">
            <v>33.5</v>
          </cell>
        </row>
        <row r="56">
          <cell r="B56" t="str">
            <v>A62</v>
          </cell>
          <cell r="C56">
            <v>0.65625</v>
          </cell>
          <cell r="D56">
            <v>0.73958333333333337</v>
          </cell>
          <cell r="E56">
            <v>42581</v>
          </cell>
          <cell r="F56">
            <v>0.76041666666666663</v>
          </cell>
          <cell r="G56">
            <v>0.77083333333333337</v>
          </cell>
          <cell r="H56">
            <v>42581</v>
          </cell>
          <cell r="I56">
            <v>-2.3E-2</v>
          </cell>
          <cell r="J56">
            <v>1.4E-2</v>
          </cell>
          <cell r="K56">
            <v>-0.68</v>
          </cell>
          <cell r="L56">
            <v>-1.012</v>
          </cell>
          <cell r="M56">
            <v>0.79166666666666663</v>
          </cell>
          <cell r="N56">
            <v>0.80208333333333337</v>
          </cell>
          <cell r="O56">
            <v>42581</v>
          </cell>
          <cell r="P56">
            <v>1.05</v>
          </cell>
          <cell r="Q56">
            <v>9</v>
          </cell>
          <cell r="R56">
            <v>22</v>
          </cell>
          <cell r="S56">
            <v>0</v>
          </cell>
          <cell r="T56">
            <v>0.89583333333333337</v>
          </cell>
          <cell r="U56">
            <v>42581</v>
          </cell>
          <cell r="V56">
            <v>21.4</v>
          </cell>
          <cell r="W56">
            <v>0.96180555555555547</v>
          </cell>
          <cell r="X56">
            <v>42581</v>
          </cell>
          <cell r="Y56">
            <v>24.22</v>
          </cell>
          <cell r="Z56">
            <v>0.99305555555555547</v>
          </cell>
          <cell r="AA56">
            <v>1.3888888888888888E-2</v>
          </cell>
          <cell r="AB56">
            <v>42582</v>
          </cell>
          <cell r="AC56">
            <v>24.22</v>
          </cell>
          <cell r="AD56">
            <v>2.0833333333333332E-2</v>
          </cell>
          <cell r="AE56">
            <v>3.125E-2</v>
          </cell>
          <cell r="AF56">
            <v>42582</v>
          </cell>
          <cell r="AG56">
            <v>4.1666666666666664E-2</v>
          </cell>
          <cell r="AH56">
            <v>8.0555555555555561E-2</v>
          </cell>
          <cell r="AI56">
            <v>42582</v>
          </cell>
          <cell r="AJ56">
            <v>8.3333333333333329E-2</v>
          </cell>
          <cell r="AK56">
            <v>9.0277777777777776E-2</v>
          </cell>
          <cell r="AL56">
            <v>42582</v>
          </cell>
          <cell r="AM56">
            <v>1.06</v>
          </cell>
          <cell r="AN56">
            <v>9</v>
          </cell>
          <cell r="AO56">
            <v>23</v>
          </cell>
          <cell r="AP56">
            <v>0</v>
          </cell>
          <cell r="AQ56">
            <v>0.13541666666666666</v>
          </cell>
          <cell r="AR56">
            <v>0.1388888888888889</v>
          </cell>
          <cell r="AS56">
            <v>42582</v>
          </cell>
          <cell r="AT56">
            <v>24.22</v>
          </cell>
          <cell r="AU56">
            <v>0.1423611111111111</v>
          </cell>
          <cell r="AV56">
            <v>42582</v>
          </cell>
          <cell r="AW56">
            <v>0.16319444444444445</v>
          </cell>
          <cell r="AX56">
            <v>42582</v>
          </cell>
          <cell r="AY56">
            <v>6.6</v>
          </cell>
          <cell r="AZ56">
            <v>20</v>
          </cell>
        </row>
        <row r="57">
          <cell r="B57" t="str">
            <v>A41</v>
          </cell>
          <cell r="C57">
            <v>0.35416666666666669</v>
          </cell>
          <cell r="D57">
            <v>0.39583333333333331</v>
          </cell>
          <cell r="E57">
            <v>42581</v>
          </cell>
          <cell r="F57">
            <v>0.39930555555555558</v>
          </cell>
          <cell r="G57">
            <v>0.41319444444444442</v>
          </cell>
          <cell r="H57">
            <v>42581</v>
          </cell>
          <cell r="I57">
            <v>-2.1000000000000001E-2</v>
          </cell>
          <cell r="J57">
            <v>-1.2999999999999999E-2</v>
          </cell>
          <cell r="K57">
            <v>-0.52500000000000002</v>
          </cell>
          <cell r="L57">
            <v>-1.0720000000000001</v>
          </cell>
          <cell r="M57">
            <v>0.41666666666666669</v>
          </cell>
          <cell r="N57">
            <v>0.4201388888888889</v>
          </cell>
          <cell r="O57">
            <v>42581</v>
          </cell>
          <cell r="P57">
            <v>1.05</v>
          </cell>
          <cell r="Q57">
            <v>9</v>
          </cell>
          <cell r="R57">
            <v>23</v>
          </cell>
          <cell r="S57">
            <v>0</v>
          </cell>
          <cell r="T57">
            <v>0.51041666666666663</v>
          </cell>
          <cell r="U57">
            <v>42581</v>
          </cell>
          <cell r="V57">
            <v>24</v>
          </cell>
          <cell r="W57">
            <v>0.40625</v>
          </cell>
          <cell r="X57">
            <v>42582</v>
          </cell>
          <cell r="Y57">
            <v>31.8</v>
          </cell>
          <cell r="Z57">
            <v>0.4375</v>
          </cell>
          <cell r="AA57">
            <v>0.47916666666666669</v>
          </cell>
          <cell r="AB57">
            <v>42582</v>
          </cell>
          <cell r="AC57">
            <v>31.8</v>
          </cell>
          <cell r="AD57">
            <v>0.46527777777777773</v>
          </cell>
          <cell r="AE57">
            <v>0.47916666666666669</v>
          </cell>
          <cell r="AF57">
            <v>42582</v>
          </cell>
          <cell r="AG57">
            <v>0.48958333333333331</v>
          </cell>
          <cell r="AH57">
            <v>0.60416666666666663</v>
          </cell>
          <cell r="AI57">
            <v>42582</v>
          </cell>
          <cell r="AJ57">
            <v>0.60763888888888895</v>
          </cell>
          <cell r="AK57">
            <v>0.61111111111111105</v>
          </cell>
          <cell r="AL57">
            <v>42582</v>
          </cell>
          <cell r="AM57">
            <v>1.05</v>
          </cell>
          <cell r="AN57">
            <v>9</v>
          </cell>
          <cell r="AO57">
            <v>23</v>
          </cell>
          <cell r="AP57">
            <v>0</v>
          </cell>
          <cell r="AQ57">
            <v>0.61111111111111105</v>
          </cell>
          <cell r="AR57">
            <v>0.61458333333333337</v>
          </cell>
          <cell r="AS57">
            <v>42582</v>
          </cell>
          <cell r="AT57">
            <v>31.8</v>
          </cell>
          <cell r="AU57">
            <v>0.62847222222222221</v>
          </cell>
          <cell r="AV57">
            <v>42582</v>
          </cell>
          <cell r="AW57">
            <v>0.66319444444444442</v>
          </cell>
          <cell r="AX57">
            <v>42582</v>
          </cell>
          <cell r="AY57">
            <v>6.8</v>
          </cell>
          <cell r="AZ57">
            <v>32</v>
          </cell>
        </row>
        <row r="58">
          <cell r="B58" t="str">
            <v>A61</v>
          </cell>
          <cell r="C58">
            <v>0.66666666666666663</v>
          </cell>
          <cell r="D58">
            <v>0.75</v>
          </cell>
          <cell r="E58">
            <v>42583</v>
          </cell>
          <cell r="F58">
            <v>0.76041666666666663</v>
          </cell>
          <cell r="G58">
            <v>0.77083333333333337</v>
          </cell>
          <cell r="H58">
            <v>42583</v>
          </cell>
          <cell r="I58">
            <v>-1.6E-2</v>
          </cell>
          <cell r="J58">
            <v>1.2E-2</v>
          </cell>
          <cell r="K58">
            <v>-0.3</v>
          </cell>
          <cell r="L58">
            <v>-0.93500000000000005</v>
          </cell>
          <cell r="M58">
            <v>0.88888888888888884</v>
          </cell>
          <cell r="N58">
            <v>0.89236111111111116</v>
          </cell>
          <cell r="O58">
            <v>42583</v>
          </cell>
          <cell r="P58">
            <v>1.05</v>
          </cell>
          <cell r="Q58">
            <v>9</v>
          </cell>
          <cell r="R58">
            <v>23</v>
          </cell>
          <cell r="S58">
            <v>0</v>
          </cell>
          <cell r="T58">
            <v>0.85416666666666663</v>
          </cell>
          <cell r="U58">
            <v>42583</v>
          </cell>
          <cell r="V58">
            <v>21.2</v>
          </cell>
          <cell r="W58">
            <v>0.22916666666666666</v>
          </cell>
          <cell r="X58">
            <v>42584</v>
          </cell>
          <cell r="Y58">
            <v>24.8</v>
          </cell>
          <cell r="Z58">
            <v>0.28125</v>
          </cell>
          <cell r="AA58">
            <v>0.28472222222222221</v>
          </cell>
          <cell r="AB58">
            <v>42584</v>
          </cell>
          <cell r="AC58">
            <v>24.8</v>
          </cell>
          <cell r="AD58">
            <v>0.30555555555555552</v>
          </cell>
          <cell r="AE58">
            <v>0.3125</v>
          </cell>
          <cell r="AF58">
            <v>42584</v>
          </cell>
          <cell r="AG58">
            <v>0.33333333333333331</v>
          </cell>
          <cell r="AH58">
            <v>0.36805555555555558</v>
          </cell>
          <cell r="AI58">
            <v>42584</v>
          </cell>
          <cell r="AJ58">
            <v>0.58333333333333337</v>
          </cell>
          <cell r="AK58">
            <v>0.58680555555555558</v>
          </cell>
          <cell r="AL58">
            <v>42584</v>
          </cell>
          <cell r="AM58">
            <v>1.05</v>
          </cell>
          <cell r="AN58">
            <v>9</v>
          </cell>
          <cell r="AO58">
            <v>22</v>
          </cell>
          <cell r="AP58">
            <v>0</v>
          </cell>
          <cell r="AQ58">
            <v>0.59027777777777779</v>
          </cell>
          <cell r="AR58">
            <v>0.59375</v>
          </cell>
          <cell r="AS58">
            <v>42584</v>
          </cell>
          <cell r="AT58">
            <v>24.8</v>
          </cell>
          <cell r="AU58">
            <v>0.59722222222222221</v>
          </cell>
          <cell r="AV58">
            <v>42584</v>
          </cell>
          <cell r="AW58">
            <v>0.61805555555555558</v>
          </cell>
          <cell r="AX58">
            <v>42584</v>
          </cell>
          <cell r="AY58">
            <v>7</v>
          </cell>
          <cell r="AZ58">
            <v>21.5</v>
          </cell>
        </row>
        <row r="59">
          <cell r="B59" t="str">
            <v>A152</v>
          </cell>
          <cell r="C59">
            <v>0.41666666666666669</v>
          </cell>
          <cell r="D59">
            <v>0.5</v>
          </cell>
          <cell r="E59">
            <v>42582</v>
          </cell>
          <cell r="F59">
            <v>0.61458333333333337</v>
          </cell>
          <cell r="G59">
            <v>0.625</v>
          </cell>
          <cell r="H59">
            <v>42582</v>
          </cell>
          <cell r="I59">
            <v>0.02</v>
          </cell>
          <cell r="J59">
            <v>1.4E-2</v>
          </cell>
          <cell r="K59">
            <v>-0.64500000000000002</v>
          </cell>
          <cell r="L59">
            <v>-1.0960000000000001</v>
          </cell>
          <cell r="M59">
            <v>0.63541666666666663</v>
          </cell>
          <cell r="N59">
            <v>0.63888888888888895</v>
          </cell>
          <cell r="O59">
            <v>42582</v>
          </cell>
          <cell r="P59">
            <v>1.05</v>
          </cell>
          <cell r="Q59">
            <v>9</v>
          </cell>
          <cell r="R59">
            <v>23</v>
          </cell>
          <cell r="S59">
            <v>0</v>
          </cell>
          <cell r="T59">
            <v>0.70138888888888884</v>
          </cell>
          <cell r="U59">
            <v>42582</v>
          </cell>
          <cell r="V59">
            <v>20.100000000000001</v>
          </cell>
          <cell r="W59">
            <v>0.83333333333333337</v>
          </cell>
          <cell r="X59">
            <v>42584</v>
          </cell>
          <cell r="Y59">
            <v>31.65</v>
          </cell>
          <cell r="Z59">
            <v>0.86458333333333337</v>
          </cell>
          <cell r="AA59">
            <v>0.88541666666666663</v>
          </cell>
          <cell r="AB59">
            <v>42584</v>
          </cell>
          <cell r="AC59">
            <v>31.68</v>
          </cell>
          <cell r="AD59">
            <v>0.92708333333333337</v>
          </cell>
          <cell r="AE59">
            <v>0.9375</v>
          </cell>
          <cell r="AF59">
            <v>42584</v>
          </cell>
          <cell r="AG59">
            <v>0.94444444444444453</v>
          </cell>
          <cell r="AH59">
            <v>2.0833333333333332E-2</v>
          </cell>
          <cell r="AI59">
            <v>42585</v>
          </cell>
          <cell r="AJ59">
            <v>0.15972222222222224</v>
          </cell>
          <cell r="AK59">
            <v>0.16319444444444445</v>
          </cell>
          <cell r="AL59">
            <v>42585</v>
          </cell>
          <cell r="AM59">
            <v>1.06</v>
          </cell>
          <cell r="AN59">
            <v>9</v>
          </cell>
          <cell r="AO59">
            <v>23</v>
          </cell>
          <cell r="AP59">
            <v>0</v>
          </cell>
          <cell r="AQ59">
            <v>0.17361111111111113</v>
          </cell>
          <cell r="AR59">
            <v>0.17708333333333334</v>
          </cell>
          <cell r="AS59">
            <v>42585</v>
          </cell>
          <cell r="AT59">
            <v>31.68</v>
          </cell>
          <cell r="AU59">
            <v>0.1875</v>
          </cell>
          <cell r="AV59">
            <v>42585</v>
          </cell>
          <cell r="AW59">
            <v>0.28472222222222221</v>
          </cell>
          <cell r="AX59">
            <v>42585</v>
          </cell>
          <cell r="AY59">
            <v>6.5</v>
          </cell>
          <cell r="AZ59">
            <v>32</v>
          </cell>
        </row>
        <row r="60">
          <cell r="B60" t="str">
            <v>A53</v>
          </cell>
          <cell r="C60">
            <v>0.54166666666666663</v>
          </cell>
          <cell r="D60">
            <v>0.63541666666666663</v>
          </cell>
          <cell r="E60">
            <v>42584</v>
          </cell>
          <cell r="F60">
            <v>0.71180555555555547</v>
          </cell>
          <cell r="G60">
            <v>0.71875</v>
          </cell>
          <cell r="H60">
            <v>42584</v>
          </cell>
          <cell r="I60">
            <v>1.7000000000000001E-2</v>
          </cell>
          <cell r="J60">
            <v>1.6E-2</v>
          </cell>
          <cell r="K60">
            <v>-0.44</v>
          </cell>
          <cell r="L60">
            <v>-1.01</v>
          </cell>
          <cell r="M60">
            <v>0.6875</v>
          </cell>
          <cell r="N60">
            <v>0.69791666666666663</v>
          </cell>
          <cell r="O60">
            <v>42584</v>
          </cell>
          <cell r="P60">
            <v>1.05</v>
          </cell>
          <cell r="Q60">
            <v>9</v>
          </cell>
          <cell r="R60">
            <v>20</v>
          </cell>
          <cell r="S60">
            <v>0</v>
          </cell>
          <cell r="T60">
            <v>0.94444444444444453</v>
          </cell>
          <cell r="U60">
            <v>42584</v>
          </cell>
          <cell r="V60">
            <v>21.5</v>
          </cell>
          <cell r="W60">
            <v>0.4513888888888889</v>
          </cell>
          <cell r="X60">
            <v>42585</v>
          </cell>
          <cell r="Y60">
            <v>24.5</v>
          </cell>
          <cell r="Z60">
            <v>0.45833333333333331</v>
          </cell>
          <cell r="AA60">
            <v>0.47222222222222227</v>
          </cell>
          <cell r="AB60">
            <v>42585</v>
          </cell>
          <cell r="AC60">
            <v>24.5</v>
          </cell>
          <cell r="AD60">
            <v>0.47916666666666669</v>
          </cell>
          <cell r="AE60">
            <v>0.48958333333333331</v>
          </cell>
          <cell r="AF60">
            <v>42585</v>
          </cell>
          <cell r="AG60">
            <v>0.51388888888888895</v>
          </cell>
          <cell r="AH60">
            <v>0.55555555555555558</v>
          </cell>
          <cell r="AI60">
            <v>42585</v>
          </cell>
          <cell r="AJ60">
            <v>0.75694444444444453</v>
          </cell>
          <cell r="AK60">
            <v>0.76041666666666663</v>
          </cell>
          <cell r="AL60">
            <v>42585</v>
          </cell>
          <cell r="AM60">
            <v>1.06</v>
          </cell>
          <cell r="AN60">
            <v>9</v>
          </cell>
          <cell r="AO60">
            <v>24</v>
          </cell>
          <cell r="AP60">
            <v>0</v>
          </cell>
          <cell r="AQ60">
            <v>0.76388888888888884</v>
          </cell>
          <cell r="AR60">
            <v>0.76736111111111116</v>
          </cell>
          <cell r="AS60">
            <v>42585</v>
          </cell>
          <cell r="AT60">
            <v>24.5</v>
          </cell>
          <cell r="AU60">
            <v>0.77083333333333337</v>
          </cell>
          <cell r="AV60">
            <v>42585</v>
          </cell>
          <cell r="AW60">
            <v>0.82638888888888884</v>
          </cell>
          <cell r="AX60">
            <v>42585</v>
          </cell>
          <cell r="AY60">
            <v>6.8</v>
          </cell>
          <cell r="AZ60">
            <v>23.5</v>
          </cell>
        </row>
        <row r="61">
          <cell r="B61" t="str">
            <v>A48</v>
          </cell>
          <cell r="C61">
            <v>0.58333333333333337</v>
          </cell>
          <cell r="D61">
            <v>0.66666666666666663</v>
          </cell>
          <cell r="E61">
            <v>42585</v>
          </cell>
          <cell r="F61">
            <v>0.6875</v>
          </cell>
          <cell r="G61">
            <v>0.70833333333333337</v>
          </cell>
          <cell r="H61">
            <v>42585</v>
          </cell>
          <cell r="I61">
            <v>-1.4E-2</v>
          </cell>
          <cell r="J61">
            <v>2.8000000000000001E-2</v>
          </cell>
          <cell r="K61">
            <v>-0.64500000000000002</v>
          </cell>
          <cell r="L61">
            <v>-0.80600000000000005</v>
          </cell>
          <cell r="M61">
            <v>0.71527777777777779</v>
          </cell>
          <cell r="N61">
            <v>0.72222222222222221</v>
          </cell>
          <cell r="O61">
            <v>42585</v>
          </cell>
          <cell r="P61">
            <v>1.06</v>
          </cell>
          <cell r="Q61">
            <v>9</v>
          </cell>
          <cell r="R61">
            <v>23</v>
          </cell>
          <cell r="S61">
            <v>0</v>
          </cell>
          <cell r="T61">
            <v>0.77777777777777779</v>
          </cell>
          <cell r="U61">
            <v>42585</v>
          </cell>
          <cell r="V61">
            <v>22.4</v>
          </cell>
          <cell r="W61">
            <v>0.45833333333333331</v>
          </cell>
          <cell r="X61">
            <v>42586</v>
          </cell>
          <cell r="Y61">
            <v>31.7</v>
          </cell>
          <cell r="Z61">
            <v>0.50347222222222221</v>
          </cell>
          <cell r="AA61">
            <v>0.52083333333333337</v>
          </cell>
          <cell r="AB61">
            <v>42586</v>
          </cell>
          <cell r="AC61">
            <v>31.75</v>
          </cell>
          <cell r="AD61">
            <v>0.54166666666666663</v>
          </cell>
          <cell r="AE61">
            <v>0.54861111111111105</v>
          </cell>
          <cell r="AF61">
            <v>42586</v>
          </cell>
          <cell r="AG61">
            <v>0.5625</v>
          </cell>
          <cell r="AH61">
            <v>0.60763888888888895</v>
          </cell>
          <cell r="AI61">
            <v>42586</v>
          </cell>
          <cell r="AJ61">
            <v>0.77083333333333337</v>
          </cell>
          <cell r="AK61">
            <v>0.77777777777777779</v>
          </cell>
          <cell r="AL61">
            <v>42586</v>
          </cell>
          <cell r="AM61">
            <v>1.06</v>
          </cell>
          <cell r="AN61">
            <v>9</v>
          </cell>
          <cell r="AO61">
            <v>23</v>
          </cell>
          <cell r="AP61">
            <v>0</v>
          </cell>
          <cell r="AQ61">
            <v>0.78472222222222221</v>
          </cell>
          <cell r="AR61">
            <v>0.78819444444444453</v>
          </cell>
          <cell r="AS61">
            <v>42586</v>
          </cell>
          <cell r="AT61">
            <v>31.75</v>
          </cell>
          <cell r="AU61">
            <v>0.79166666666666663</v>
          </cell>
          <cell r="AV61">
            <v>42586</v>
          </cell>
          <cell r="AW61">
            <v>0.83680555555555547</v>
          </cell>
          <cell r="AX61">
            <v>42586</v>
          </cell>
          <cell r="AY61">
            <v>7</v>
          </cell>
          <cell r="AZ61">
            <v>30</v>
          </cell>
        </row>
        <row r="62">
          <cell r="B62" t="str">
            <v>A9</v>
          </cell>
          <cell r="C62">
            <v>0.59375</v>
          </cell>
          <cell r="D62">
            <v>0.67708333333333337</v>
          </cell>
          <cell r="E62">
            <v>42592</v>
          </cell>
          <cell r="F62">
            <v>0.6875</v>
          </cell>
          <cell r="G62">
            <v>0.69444444444444453</v>
          </cell>
          <cell r="H62">
            <v>42592</v>
          </cell>
          <cell r="I62">
            <v>-8.0000000000000002E-3</v>
          </cell>
          <cell r="J62">
            <v>-1.2E-2</v>
          </cell>
          <cell r="K62">
            <v>-0.47</v>
          </cell>
          <cell r="L62">
            <v>-0.88500000000000001</v>
          </cell>
          <cell r="M62">
            <v>0.70833333333333337</v>
          </cell>
          <cell r="N62">
            <v>0.71527777777777779</v>
          </cell>
          <cell r="O62">
            <v>42592</v>
          </cell>
          <cell r="P62">
            <v>1.06</v>
          </cell>
          <cell r="Q62">
            <v>9</v>
          </cell>
          <cell r="R62">
            <v>23</v>
          </cell>
          <cell r="S62">
            <v>0</v>
          </cell>
          <cell r="T62">
            <v>0.77083333333333337</v>
          </cell>
          <cell r="U62">
            <v>42592</v>
          </cell>
          <cell r="V62">
            <v>22.7</v>
          </cell>
          <cell r="W62">
            <v>0.85416666666666663</v>
          </cell>
          <cell r="X62">
            <v>42592</v>
          </cell>
          <cell r="Y62">
            <v>24.8</v>
          </cell>
          <cell r="Z62">
            <v>0.89236111111111116</v>
          </cell>
          <cell r="AA62">
            <v>0.92013888888888884</v>
          </cell>
          <cell r="AB62">
            <v>42592</v>
          </cell>
          <cell r="AC62">
            <v>24.8</v>
          </cell>
          <cell r="AD62">
            <v>0.91319444444444453</v>
          </cell>
          <cell r="AE62">
            <v>0.92013888888888884</v>
          </cell>
          <cell r="AF62">
            <v>42592</v>
          </cell>
          <cell r="AG62">
            <v>0.9375</v>
          </cell>
          <cell r="AH62">
            <v>0.98958333333333337</v>
          </cell>
          <cell r="AI62">
            <v>42592</v>
          </cell>
          <cell r="AJ62">
            <v>2.7777777777777776E-2</v>
          </cell>
          <cell r="AK62">
            <v>3.4722222222222224E-2</v>
          </cell>
          <cell r="AL62">
            <v>42592</v>
          </cell>
          <cell r="AM62">
            <v>1.06</v>
          </cell>
          <cell r="AN62">
            <v>9</v>
          </cell>
          <cell r="AO62">
            <v>24</v>
          </cell>
          <cell r="AP62">
            <v>0</v>
          </cell>
          <cell r="AQ62">
            <v>4.5138888888888888E-2</v>
          </cell>
          <cell r="AR62">
            <v>4.8611111111111112E-2</v>
          </cell>
          <cell r="AS62">
            <v>42593</v>
          </cell>
          <cell r="AT62">
            <v>24.8</v>
          </cell>
          <cell r="AU62">
            <v>5.2777777777777778E-2</v>
          </cell>
          <cell r="AV62">
            <v>42593</v>
          </cell>
          <cell r="AW62">
            <v>6.9444444444444434E-2</v>
          </cell>
          <cell r="AX62">
            <v>42593</v>
          </cell>
          <cell r="AY62">
            <v>7</v>
          </cell>
          <cell r="AZ62">
            <v>21</v>
          </cell>
        </row>
        <row r="63">
          <cell r="B63" t="str">
            <v>A131</v>
          </cell>
          <cell r="C63">
            <v>0.60416666666666663</v>
          </cell>
          <cell r="D63">
            <v>0.6875</v>
          </cell>
          <cell r="E63">
            <v>42586</v>
          </cell>
          <cell r="F63">
            <v>0.70138888888888884</v>
          </cell>
          <cell r="G63">
            <v>17</v>
          </cell>
          <cell r="H63">
            <v>42586</v>
          </cell>
          <cell r="I63">
            <v>-2.7E-2</v>
          </cell>
          <cell r="J63">
            <v>2E-3</v>
          </cell>
          <cell r="K63">
            <v>-0.46</v>
          </cell>
          <cell r="L63">
            <v>-0.98599999999999999</v>
          </cell>
          <cell r="M63">
            <v>0.71875</v>
          </cell>
          <cell r="N63">
            <v>0.72569444444444453</v>
          </cell>
          <cell r="O63">
            <v>42586</v>
          </cell>
          <cell r="P63">
            <v>1.06</v>
          </cell>
          <cell r="Q63">
            <v>9</v>
          </cell>
          <cell r="R63">
            <v>24</v>
          </cell>
          <cell r="S63">
            <v>0</v>
          </cell>
          <cell r="T63">
            <v>0.77083333333333337</v>
          </cell>
          <cell r="U63">
            <v>42586</v>
          </cell>
          <cell r="V63">
            <v>20</v>
          </cell>
          <cell r="W63">
            <v>0.78125</v>
          </cell>
          <cell r="X63">
            <v>42593</v>
          </cell>
          <cell r="Y63">
            <v>30.72</v>
          </cell>
          <cell r="Z63">
            <v>0.82638888888888884</v>
          </cell>
          <cell r="AA63">
            <v>0.88194444444444453</v>
          </cell>
          <cell r="AB63">
            <v>42593</v>
          </cell>
          <cell r="AC63">
            <v>30.75</v>
          </cell>
          <cell r="AD63">
            <v>0.84375</v>
          </cell>
          <cell r="AE63">
            <v>0.85069444444444453</v>
          </cell>
          <cell r="AF63">
            <v>42593</v>
          </cell>
          <cell r="AG63">
            <v>0.85763888888888884</v>
          </cell>
          <cell r="AH63">
            <v>0.88888888888888884</v>
          </cell>
          <cell r="AI63">
            <v>42593</v>
          </cell>
          <cell r="AJ63">
            <v>0.97222222222222221</v>
          </cell>
          <cell r="AK63">
            <v>0.97569444444444453</v>
          </cell>
          <cell r="AL63">
            <v>42593</v>
          </cell>
          <cell r="AM63">
            <v>1.06</v>
          </cell>
          <cell r="AN63">
            <v>9</v>
          </cell>
          <cell r="AO63">
            <v>23</v>
          </cell>
          <cell r="AP63">
            <v>0</v>
          </cell>
          <cell r="AQ63">
            <v>0.97916666666666663</v>
          </cell>
          <cell r="AR63">
            <v>0.98263888888888884</v>
          </cell>
          <cell r="AS63">
            <v>42593</v>
          </cell>
          <cell r="AT63">
            <v>30.75</v>
          </cell>
          <cell r="AU63">
            <v>0.98611111111111116</v>
          </cell>
          <cell r="AV63">
            <v>42593</v>
          </cell>
          <cell r="AW63">
            <v>4.8611111111111112E-2</v>
          </cell>
          <cell r="AX63">
            <v>42594</v>
          </cell>
          <cell r="AY63">
            <v>6.8</v>
          </cell>
          <cell r="AZ63">
            <v>34</v>
          </cell>
        </row>
        <row r="64">
          <cell r="B64" t="str">
            <v>A39</v>
          </cell>
          <cell r="C64">
            <v>0.67361111111111116</v>
          </cell>
          <cell r="D64">
            <v>0.75694444444444453</v>
          </cell>
          <cell r="E64">
            <v>42580</v>
          </cell>
          <cell r="F64">
            <v>0.76388888888888884</v>
          </cell>
          <cell r="G64">
            <v>0.77083333333333337</v>
          </cell>
          <cell r="H64">
            <v>42580</v>
          </cell>
          <cell r="I64">
            <v>-1.6E-2</v>
          </cell>
          <cell r="J64">
            <v>-2.1000000000000001E-2</v>
          </cell>
          <cell r="K64">
            <v>-0.68300000000000005</v>
          </cell>
          <cell r="L64">
            <v>-1.081</v>
          </cell>
          <cell r="M64">
            <v>0.33333333333333331</v>
          </cell>
          <cell r="N64">
            <v>0.34375</v>
          </cell>
          <cell r="O64">
            <v>42581</v>
          </cell>
          <cell r="P64">
            <v>1.05</v>
          </cell>
          <cell r="Q64">
            <v>9</v>
          </cell>
          <cell r="R64">
            <v>24</v>
          </cell>
          <cell r="S64">
            <v>0</v>
          </cell>
          <cell r="T64">
            <v>0.51041666666666663</v>
          </cell>
          <cell r="U64">
            <v>42581</v>
          </cell>
          <cell r="V64">
            <v>22.25</v>
          </cell>
          <cell r="W64">
            <v>0.75347222222222221</v>
          </cell>
          <cell r="X64">
            <v>42594</v>
          </cell>
          <cell r="Y64">
            <v>35.6</v>
          </cell>
          <cell r="Z64">
            <v>0.79166666666666663</v>
          </cell>
          <cell r="AA64">
            <v>0.81944444444444453</v>
          </cell>
          <cell r="AB64">
            <v>42594</v>
          </cell>
          <cell r="AC64">
            <v>35.65</v>
          </cell>
          <cell r="AD64">
            <v>0.83333333333333337</v>
          </cell>
          <cell r="AE64">
            <v>0.84027777777777779</v>
          </cell>
          <cell r="AF64">
            <v>42594</v>
          </cell>
          <cell r="AG64">
            <v>0.85416666666666663</v>
          </cell>
          <cell r="AH64">
            <v>0.90277777777777779</v>
          </cell>
          <cell r="AI64">
            <v>42594</v>
          </cell>
          <cell r="AJ64">
            <v>0.93055555555555547</v>
          </cell>
          <cell r="AK64">
            <v>0.9375</v>
          </cell>
          <cell r="AL64">
            <v>42594</v>
          </cell>
          <cell r="AM64">
            <v>1.06</v>
          </cell>
          <cell r="AN64">
            <v>9</v>
          </cell>
          <cell r="AO64">
            <v>22</v>
          </cell>
          <cell r="AP64">
            <v>0</v>
          </cell>
          <cell r="AQ64">
            <v>0.9375</v>
          </cell>
          <cell r="AR64">
            <v>0.94791666666666663</v>
          </cell>
          <cell r="AS64">
            <v>42594</v>
          </cell>
          <cell r="AT64">
            <v>35.65</v>
          </cell>
          <cell r="AU64">
            <v>0.96875</v>
          </cell>
          <cell r="AV64">
            <v>42594</v>
          </cell>
          <cell r="AW64">
            <v>7.3611111111111113E-2</v>
          </cell>
          <cell r="AX64">
            <v>42595</v>
          </cell>
          <cell r="AY64">
            <v>7.9</v>
          </cell>
          <cell r="AZ64">
            <v>43.5</v>
          </cell>
        </row>
        <row r="65">
          <cell r="B65" t="str">
            <v>A60</v>
          </cell>
          <cell r="C65">
            <v>0.60416666666666663</v>
          </cell>
          <cell r="D65">
            <v>0.66666666666666663</v>
          </cell>
          <cell r="E65">
            <v>42655</v>
          </cell>
          <cell r="F65">
            <v>0.67361111111111116</v>
          </cell>
          <cell r="G65">
            <v>0.68055555555555547</v>
          </cell>
          <cell r="H65">
            <v>42655</v>
          </cell>
          <cell r="I65">
            <v>-2.5000000000000001E-2</v>
          </cell>
          <cell r="J65">
            <v>-8.0000000000000002E-3</v>
          </cell>
          <cell r="K65">
            <v>-0.38</v>
          </cell>
          <cell r="L65">
            <v>-0.76800000000000002</v>
          </cell>
          <cell r="M65">
            <v>0.53472222222222221</v>
          </cell>
          <cell r="N65">
            <v>0.5625</v>
          </cell>
          <cell r="O65">
            <v>42657</v>
          </cell>
          <cell r="P65">
            <v>1.05</v>
          </cell>
          <cell r="Q65">
            <v>9</v>
          </cell>
          <cell r="R65">
            <v>24</v>
          </cell>
          <cell r="S65">
            <v>0</v>
          </cell>
          <cell r="T65">
            <v>0.58333333333333337</v>
          </cell>
          <cell r="U65">
            <v>42657</v>
          </cell>
          <cell r="V65">
            <v>20.399999999999999</v>
          </cell>
          <cell r="W65">
            <v>0.82291666666666663</v>
          </cell>
          <cell r="X65">
            <v>42657</v>
          </cell>
          <cell r="Y65">
            <v>25.15</v>
          </cell>
          <cell r="Z65">
            <v>0.86458333333333337</v>
          </cell>
          <cell r="AA65">
            <v>0.87847222222222221</v>
          </cell>
          <cell r="AB65">
            <v>42657</v>
          </cell>
          <cell r="AC65">
            <v>25.2</v>
          </cell>
          <cell r="AD65">
            <v>0.88541666666666663</v>
          </cell>
          <cell r="AE65">
            <v>0.89583333333333337</v>
          </cell>
          <cell r="AF65">
            <v>42657</v>
          </cell>
          <cell r="AG65">
            <v>0.91666666666666663</v>
          </cell>
          <cell r="AH65">
            <v>0.97916666666666663</v>
          </cell>
          <cell r="AI65">
            <v>42657</v>
          </cell>
          <cell r="AJ65">
            <v>0.98263888888888884</v>
          </cell>
          <cell r="AK65">
            <v>0.98611111111111116</v>
          </cell>
          <cell r="AL65">
            <v>42657</v>
          </cell>
          <cell r="AM65">
            <v>1.05</v>
          </cell>
          <cell r="AN65">
            <v>9</v>
          </cell>
          <cell r="AO65">
            <v>24</v>
          </cell>
          <cell r="AP65">
            <v>0</v>
          </cell>
          <cell r="AQ65">
            <v>6.25E-2</v>
          </cell>
          <cell r="AR65">
            <v>6.5972222222222224E-2</v>
          </cell>
          <cell r="AS65">
            <v>42658</v>
          </cell>
          <cell r="AT65">
            <v>25.2</v>
          </cell>
          <cell r="AU65">
            <v>7.6388888888888895E-2</v>
          </cell>
          <cell r="AV65">
            <v>42658</v>
          </cell>
          <cell r="AW65">
            <v>0.16666666666666666</v>
          </cell>
          <cell r="AX65">
            <v>42658</v>
          </cell>
          <cell r="AY65">
            <v>7.32</v>
          </cell>
          <cell r="AZ65">
            <v>23.5</v>
          </cell>
        </row>
        <row r="66">
          <cell r="B66" t="str">
            <v>B39</v>
          </cell>
          <cell r="C66">
            <v>0.53125</v>
          </cell>
          <cell r="D66">
            <v>0.59722222222222221</v>
          </cell>
          <cell r="E66">
            <v>42657</v>
          </cell>
          <cell r="F66">
            <v>0.60416666666666663</v>
          </cell>
          <cell r="G66">
            <v>0.61458333333333337</v>
          </cell>
          <cell r="H66">
            <v>42657</v>
          </cell>
          <cell r="I66">
            <v>-1.9E-2</v>
          </cell>
          <cell r="J66">
            <v>1E-3</v>
          </cell>
          <cell r="K66">
            <v>-0.64300000000000002</v>
          </cell>
          <cell r="L66">
            <v>-0.83399999999999996</v>
          </cell>
          <cell r="M66">
            <v>0.625</v>
          </cell>
          <cell r="N66">
            <v>0.63194444444444442</v>
          </cell>
          <cell r="O66">
            <v>42657</v>
          </cell>
          <cell r="P66">
            <v>1.05</v>
          </cell>
          <cell r="Q66">
            <v>9</v>
          </cell>
          <cell r="R66">
            <v>22</v>
          </cell>
          <cell r="S66">
            <v>0</v>
          </cell>
          <cell r="T66">
            <v>0.68055555555555547</v>
          </cell>
          <cell r="U66">
            <v>42657</v>
          </cell>
          <cell r="V66">
            <v>25</v>
          </cell>
          <cell r="W66">
            <v>0.86458333333333337</v>
          </cell>
          <cell r="X66">
            <v>42657</v>
          </cell>
          <cell r="Y66">
            <v>26.85</v>
          </cell>
          <cell r="Z66">
            <v>9.0277777777777776E-2</v>
          </cell>
          <cell r="AA66">
            <v>0.1076388888888889</v>
          </cell>
          <cell r="AB66">
            <v>42658</v>
          </cell>
          <cell r="AC66">
            <v>27.14</v>
          </cell>
          <cell r="AD66">
            <v>0.11805555555555557</v>
          </cell>
          <cell r="AE66">
            <v>0.12152777777777778</v>
          </cell>
          <cell r="AF66">
            <v>42658</v>
          </cell>
          <cell r="AG66">
            <v>0.125</v>
          </cell>
          <cell r="AH66">
            <v>0.19791666666666666</v>
          </cell>
          <cell r="AI66">
            <v>42658</v>
          </cell>
          <cell r="AJ66">
            <v>0.25</v>
          </cell>
          <cell r="AK66">
            <v>0.25347222222222221</v>
          </cell>
          <cell r="AL66">
            <v>42658</v>
          </cell>
          <cell r="AM66">
            <v>1.06</v>
          </cell>
          <cell r="AN66">
            <v>9</v>
          </cell>
          <cell r="AO66">
            <v>23</v>
          </cell>
          <cell r="AP66">
            <v>0</v>
          </cell>
          <cell r="AQ66">
            <v>0.26041666666666669</v>
          </cell>
          <cell r="AR66">
            <v>0.2638888888888889</v>
          </cell>
          <cell r="AS66">
            <v>42658</v>
          </cell>
          <cell r="AT66">
            <v>27.14</v>
          </cell>
          <cell r="AU66">
            <v>0.27083333333333331</v>
          </cell>
          <cell r="AV66">
            <v>42658</v>
          </cell>
          <cell r="AW66">
            <v>0.2951388888888889</v>
          </cell>
          <cell r="AX66">
            <v>42658</v>
          </cell>
          <cell r="AY66">
            <v>5.2</v>
          </cell>
          <cell r="AZ66">
            <v>12</v>
          </cell>
        </row>
        <row r="67">
          <cell r="B67" t="str">
            <v>B33</v>
          </cell>
          <cell r="C67">
            <v>0.38541666666666669</v>
          </cell>
          <cell r="D67">
            <v>0.42708333333333331</v>
          </cell>
          <cell r="E67">
            <v>42658</v>
          </cell>
          <cell r="F67">
            <v>0.4375</v>
          </cell>
          <cell r="G67">
            <v>0.44791666666666669</v>
          </cell>
          <cell r="H67">
            <v>42658</v>
          </cell>
          <cell r="I67">
            <v>-4.0000000000000001E-3</v>
          </cell>
          <cell r="J67">
            <v>-1.9E-2</v>
          </cell>
          <cell r="K67">
            <v>-0.79500000000000004</v>
          </cell>
          <cell r="L67">
            <v>-1.1850000000000001</v>
          </cell>
          <cell r="M67">
            <v>0.4513888888888889</v>
          </cell>
          <cell r="N67">
            <v>0.44791666666666669</v>
          </cell>
          <cell r="O67">
            <v>42658</v>
          </cell>
          <cell r="P67">
            <v>1.06</v>
          </cell>
          <cell r="Q67">
            <v>9</v>
          </cell>
          <cell r="R67">
            <v>22</v>
          </cell>
          <cell r="S67">
            <v>0</v>
          </cell>
          <cell r="T67">
            <v>0.54166666666666663</v>
          </cell>
          <cell r="U67">
            <v>42658</v>
          </cell>
          <cell r="V67">
            <v>22.3</v>
          </cell>
          <cell r="Y67">
            <v>26.7</v>
          </cell>
          <cell r="Z67">
            <v>0.52083333333333337</v>
          </cell>
          <cell r="AA67">
            <v>0.54513888888888895</v>
          </cell>
          <cell r="AC67">
            <v>26.85</v>
          </cell>
          <cell r="AD67">
            <v>0.55208333333333337</v>
          </cell>
          <cell r="AE67">
            <v>0.5625</v>
          </cell>
          <cell r="AG67">
            <v>0.58333333333333337</v>
          </cell>
          <cell r="AH67">
            <v>0.63888888888888895</v>
          </cell>
          <cell r="AJ67">
            <v>0.86805555555555547</v>
          </cell>
          <cell r="AK67">
            <v>0.87152777777777779</v>
          </cell>
          <cell r="AM67">
            <v>1.06</v>
          </cell>
          <cell r="AN67">
            <v>9</v>
          </cell>
          <cell r="AO67">
            <v>22</v>
          </cell>
          <cell r="AP67">
            <v>0</v>
          </cell>
          <cell r="AQ67">
            <v>0.90277777777777779</v>
          </cell>
          <cell r="AR67">
            <v>0.90625</v>
          </cell>
          <cell r="AT67">
            <v>26.85</v>
          </cell>
          <cell r="AU67">
            <v>0.90972222222222221</v>
          </cell>
          <cell r="AW67">
            <v>0.93055555555555547</v>
          </cell>
          <cell r="AY67">
            <v>4.3</v>
          </cell>
          <cell r="AZ67">
            <v>13.5</v>
          </cell>
        </row>
        <row r="68">
          <cell r="B68" t="str">
            <v>A43</v>
          </cell>
          <cell r="C68">
            <v>0.39583333333333331</v>
          </cell>
          <cell r="D68">
            <v>0.45833333333333331</v>
          </cell>
          <cell r="E68">
            <v>42657</v>
          </cell>
          <cell r="F68">
            <v>0.61458333333333337</v>
          </cell>
          <cell r="G68">
            <v>0.62152777777777779</v>
          </cell>
          <cell r="H68">
            <v>42657</v>
          </cell>
          <cell r="I68">
            <v>6.0000000000000001E-3</v>
          </cell>
          <cell r="J68">
            <v>-1.2E-2</v>
          </cell>
          <cell r="K68">
            <v>-0.77</v>
          </cell>
          <cell r="L68">
            <v>-1.012</v>
          </cell>
          <cell r="M68">
            <v>0.625</v>
          </cell>
          <cell r="N68">
            <v>0.63194444444444442</v>
          </cell>
          <cell r="O68">
            <v>42657</v>
          </cell>
          <cell r="P68">
            <v>1.05</v>
          </cell>
          <cell r="Q68">
            <v>9</v>
          </cell>
          <cell r="R68">
            <v>23</v>
          </cell>
          <cell r="S68">
            <v>0</v>
          </cell>
          <cell r="T68">
            <v>0.70833333333333337</v>
          </cell>
          <cell r="U68">
            <v>42657</v>
          </cell>
          <cell r="V68">
            <v>22.45</v>
          </cell>
          <cell r="W68">
            <v>0.74305555555555547</v>
          </cell>
          <cell r="X68">
            <v>42659</v>
          </cell>
          <cell r="Y68">
            <v>31.45</v>
          </cell>
          <cell r="Z68">
            <v>0.95833333333333337</v>
          </cell>
          <cell r="AA68">
            <v>0.97916666666666663</v>
          </cell>
          <cell r="AB68">
            <v>42659</v>
          </cell>
          <cell r="AC68">
            <v>31.6</v>
          </cell>
          <cell r="AD68">
            <v>0.98611111111111116</v>
          </cell>
          <cell r="AE68">
            <v>0.98958333333333337</v>
          </cell>
          <cell r="AF68">
            <v>42659</v>
          </cell>
          <cell r="AG68">
            <v>0.99305555555555547</v>
          </cell>
          <cell r="AH68">
            <v>4.8611111111111112E-2</v>
          </cell>
          <cell r="AI68">
            <v>42660</v>
          </cell>
          <cell r="AJ68">
            <v>5.2083333333333336E-2</v>
          </cell>
          <cell r="AK68">
            <v>5.5555555555555552E-2</v>
          </cell>
          <cell r="AL68">
            <v>42660</v>
          </cell>
          <cell r="AM68">
            <v>1.05</v>
          </cell>
          <cell r="AN68">
            <v>9</v>
          </cell>
          <cell r="AO68">
            <v>23</v>
          </cell>
          <cell r="AP68">
            <v>0</v>
          </cell>
          <cell r="AQ68">
            <v>5.9027777777777783E-2</v>
          </cell>
          <cell r="AR68">
            <v>6.25E-2</v>
          </cell>
          <cell r="AS68">
            <v>42660</v>
          </cell>
          <cell r="AT68">
            <v>31.6</v>
          </cell>
          <cell r="AU68">
            <v>6.5972222222222224E-2</v>
          </cell>
          <cell r="AV68">
            <v>42660</v>
          </cell>
          <cell r="AW68">
            <v>0.21180555555555555</v>
          </cell>
          <cell r="AX68">
            <v>42660</v>
          </cell>
          <cell r="AY68">
            <v>7.1</v>
          </cell>
          <cell r="AZ68">
            <v>34</v>
          </cell>
        </row>
        <row r="69">
          <cell r="B69" t="str">
            <v>B31</v>
          </cell>
          <cell r="C69">
            <v>0.33333333333333331</v>
          </cell>
          <cell r="D69">
            <v>0.375</v>
          </cell>
          <cell r="E69">
            <v>42658</v>
          </cell>
          <cell r="F69">
            <v>0.46180555555555558</v>
          </cell>
          <cell r="G69">
            <v>0.47222222222222227</v>
          </cell>
          <cell r="H69">
            <v>42658</v>
          </cell>
          <cell r="I69">
            <v>2.5999999999999999E-2</v>
          </cell>
          <cell r="J69">
            <v>1.4999999999999999E-2</v>
          </cell>
          <cell r="K69">
            <v>-0.84299999999999997</v>
          </cell>
          <cell r="L69">
            <v>-1.0369999999999999</v>
          </cell>
          <cell r="M69">
            <v>0.47916666666666669</v>
          </cell>
          <cell r="N69">
            <v>0.4861111111111111</v>
          </cell>
          <cell r="O69">
            <v>42660</v>
          </cell>
          <cell r="P69">
            <v>1.05</v>
          </cell>
          <cell r="Q69">
            <v>9</v>
          </cell>
          <cell r="R69">
            <v>23</v>
          </cell>
          <cell r="S69">
            <v>0</v>
          </cell>
          <cell r="T69">
            <v>0.77083333333333337</v>
          </cell>
          <cell r="U69">
            <v>42660</v>
          </cell>
          <cell r="V69">
            <v>23.8</v>
          </cell>
          <cell r="W69">
            <v>0.80208333333333337</v>
          </cell>
          <cell r="X69">
            <v>42660</v>
          </cell>
          <cell r="Y69">
            <v>26.65</v>
          </cell>
          <cell r="Z69">
            <v>0.84722222222222221</v>
          </cell>
          <cell r="AA69">
            <v>0.86805555555555547</v>
          </cell>
          <cell r="AB69">
            <v>42660</v>
          </cell>
          <cell r="AC69">
            <v>26.7</v>
          </cell>
          <cell r="AD69">
            <v>0.90972222222222221</v>
          </cell>
          <cell r="AE69">
            <v>0.91666666666666663</v>
          </cell>
          <cell r="AF69">
            <v>42660</v>
          </cell>
          <cell r="AG69">
            <v>0.92708333333333337</v>
          </cell>
          <cell r="AH69">
            <v>0.99305555555555547</v>
          </cell>
          <cell r="AI69">
            <v>42660</v>
          </cell>
          <cell r="AJ69">
            <v>0.11458333333333333</v>
          </cell>
          <cell r="AK69">
            <v>0.12152777777777778</v>
          </cell>
          <cell r="AL69">
            <v>42661</v>
          </cell>
          <cell r="AM69">
            <v>1.05</v>
          </cell>
          <cell r="AN69">
            <v>9</v>
          </cell>
          <cell r="AO69">
            <v>23</v>
          </cell>
          <cell r="AP69">
            <v>0</v>
          </cell>
          <cell r="AQ69">
            <v>0.125</v>
          </cell>
          <cell r="AR69">
            <v>0.12847222222222224</v>
          </cell>
          <cell r="AS69">
            <v>42661</v>
          </cell>
          <cell r="AT69">
            <v>26.7</v>
          </cell>
          <cell r="AU69">
            <v>0.13194444444444445</v>
          </cell>
          <cell r="AV69">
            <v>42661</v>
          </cell>
          <cell r="AW69">
            <v>0.15277777777777776</v>
          </cell>
          <cell r="AX69">
            <v>42661</v>
          </cell>
          <cell r="AY69">
            <v>4.96</v>
          </cell>
          <cell r="AZ69">
            <v>13</v>
          </cell>
        </row>
        <row r="70">
          <cell r="B70" t="str">
            <v>A63</v>
          </cell>
          <cell r="C70">
            <v>0.35416666666666669</v>
          </cell>
          <cell r="D70">
            <v>0.41666666666666669</v>
          </cell>
          <cell r="E70">
            <v>42658</v>
          </cell>
          <cell r="F70">
            <v>0.4513888888888889</v>
          </cell>
          <cell r="G70">
            <v>0.45833333333333331</v>
          </cell>
          <cell r="H70">
            <v>42658</v>
          </cell>
          <cell r="I70">
            <v>-1.6E-2</v>
          </cell>
          <cell r="J70">
            <v>1.7999999999999999E-2</v>
          </cell>
          <cell r="K70">
            <v>-0.309</v>
          </cell>
          <cell r="L70">
            <v>-0.91300000000000003</v>
          </cell>
          <cell r="M70">
            <v>0.46180555555555558</v>
          </cell>
          <cell r="N70">
            <v>0.46875</v>
          </cell>
          <cell r="O70">
            <v>42658</v>
          </cell>
          <cell r="P70">
            <v>1.05</v>
          </cell>
          <cell r="Q70">
            <v>9</v>
          </cell>
          <cell r="R70">
            <v>23</v>
          </cell>
          <cell r="S70">
            <v>0</v>
          </cell>
          <cell r="T70">
            <v>0.60833333333333328</v>
          </cell>
          <cell r="U70">
            <v>42658</v>
          </cell>
          <cell r="V70">
            <v>22.85</v>
          </cell>
          <cell r="W70">
            <v>0.19166666666666665</v>
          </cell>
          <cell r="X70">
            <v>42661</v>
          </cell>
          <cell r="Y70">
            <v>38.619999999999997</v>
          </cell>
          <cell r="Z70">
            <v>0.21875</v>
          </cell>
          <cell r="AA70">
            <v>0.23958333333333334</v>
          </cell>
          <cell r="AB70">
            <v>42661</v>
          </cell>
          <cell r="AC70">
            <v>38.619999999999997</v>
          </cell>
          <cell r="AD70">
            <v>0.25</v>
          </cell>
          <cell r="AE70">
            <v>0.25694444444444448</v>
          </cell>
          <cell r="AF70">
            <v>42661</v>
          </cell>
          <cell r="AG70">
            <v>0.27083333333333331</v>
          </cell>
          <cell r="AH70">
            <v>0.31597222222222221</v>
          </cell>
          <cell r="AI70">
            <v>42661</v>
          </cell>
          <cell r="AJ70">
            <v>0.4236111111111111</v>
          </cell>
          <cell r="AK70">
            <v>0.42708333333333331</v>
          </cell>
          <cell r="AL70">
            <v>42662</v>
          </cell>
          <cell r="AM70">
            <v>1.06</v>
          </cell>
          <cell r="AN70">
            <v>9</v>
          </cell>
          <cell r="AO70">
            <v>22</v>
          </cell>
          <cell r="AP70">
            <v>0</v>
          </cell>
          <cell r="AQ70">
            <v>0.43055555555555558</v>
          </cell>
          <cell r="AR70">
            <v>0.43402777777777773</v>
          </cell>
          <cell r="AS70">
            <v>42662</v>
          </cell>
          <cell r="AT70">
            <v>38.619999999999997</v>
          </cell>
          <cell r="AU70">
            <v>0.4375</v>
          </cell>
          <cell r="AV70">
            <v>42662</v>
          </cell>
          <cell r="AW70">
            <v>0.53472222222222221</v>
          </cell>
          <cell r="AX70">
            <v>42662</v>
          </cell>
          <cell r="AY70">
            <v>6.5</v>
          </cell>
          <cell r="AZ70">
            <v>54</v>
          </cell>
        </row>
        <row r="71">
          <cell r="B71" t="str">
            <v>B32</v>
          </cell>
          <cell r="C71">
            <v>0.29166666666666669</v>
          </cell>
          <cell r="D71">
            <v>0.34722222222222227</v>
          </cell>
          <cell r="E71">
            <v>42661</v>
          </cell>
          <cell r="F71">
            <v>0.41666666666666669</v>
          </cell>
          <cell r="G71">
            <v>0.42708333333333331</v>
          </cell>
          <cell r="H71">
            <v>42661</v>
          </cell>
          <cell r="I71">
            <v>2.7E-2</v>
          </cell>
          <cell r="J71">
            <v>-2.5999999999999999E-2</v>
          </cell>
          <cell r="K71">
            <v>-0.64500000000000002</v>
          </cell>
          <cell r="L71">
            <v>-0.84</v>
          </cell>
          <cell r="M71">
            <v>0.43402777777777773</v>
          </cell>
          <cell r="N71">
            <v>0.44097222222222227</v>
          </cell>
          <cell r="O71">
            <v>42661</v>
          </cell>
          <cell r="P71">
            <v>1.06</v>
          </cell>
          <cell r="Q71">
            <v>9</v>
          </cell>
          <cell r="R71">
            <v>23</v>
          </cell>
          <cell r="S71">
            <v>0</v>
          </cell>
          <cell r="T71">
            <v>0.36805555555555558</v>
          </cell>
          <cell r="U71">
            <v>42665</v>
          </cell>
          <cell r="V71">
            <v>22</v>
          </cell>
          <cell r="W71">
            <v>0.52083333333333337</v>
          </cell>
          <cell r="X71">
            <v>42665</v>
          </cell>
          <cell r="Y71">
            <v>26.86</v>
          </cell>
          <cell r="Z71">
            <v>0.59027777777777779</v>
          </cell>
          <cell r="AA71">
            <v>0.61111111111111105</v>
          </cell>
          <cell r="AB71">
            <v>42665</v>
          </cell>
          <cell r="AC71">
            <v>27</v>
          </cell>
          <cell r="AD71">
            <v>0.61458333333333337</v>
          </cell>
          <cell r="AE71">
            <v>0.625</v>
          </cell>
          <cell r="AF71">
            <v>42665</v>
          </cell>
          <cell r="AG71">
            <v>0.63888888888888895</v>
          </cell>
          <cell r="AH71">
            <v>0.71180555555555547</v>
          </cell>
          <cell r="AI71">
            <v>42665</v>
          </cell>
          <cell r="AJ71">
            <v>0.90972222222222221</v>
          </cell>
          <cell r="AK71">
            <v>0.91666666666666663</v>
          </cell>
          <cell r="AL71">
            <v>42665</v>
          </cell>
          <cell r="AM71">
            <v>1.06</v>
          </cell>
          <cell r="AN71">
            <v>9</v>
          </cell>
          <cell r="AO71">
            <v>23</v>
          </cell>
          <cell r="AP71">
            <v>0</v>
          </cell>
          <cell r="AQ71">
            <v>0.92361111111111116</v>
          </cell>
          <cell r="AR71">
            <v>0.92708333333333337</v>
          </cell>
          <cell r="AS71">
            <v>42665</v>
          </cell>
          <cell r="AT71">
            <v>27</v>
          </cell>
          <cell r="AU71">
            <v>0.9375</v>
          </cell>
          <cell r="AV71">
            <v>42665</v>
          </cell>
          <cell r="AW71">
            <v>0.96180555555555547</v>
          </cell>
          <cell r="AX71">
            <v>42665</v>
          </cell>
          <cell r="AY71">
            <v>4.3</v>
          </cell>
          <cell r="AZ71">
            <v>13</v>
          </cell>
        </row>
        <row r="72">
          <cell r="B72" t="str">
            <v>A46</v>
          </cell>
          <cell r="C72">
            <v>0.40277777777777773</v>
          </cell>
          <cell r="D72">
            <v>0.43055555555555558</v>
          </cell>
          <cell r="E72">
            <v>42661</v>
          </cell>
          <cell r="F72">
            <v>0.4375</v>
          </cell>
          <cell r="G72">
            <v>0.44791666666666669</v>
          </cell>
          <cell r="H72">
            <v>42661</v>
          </cell>
          <cell r="I72">
            <v>0.03</v>
          </cell>
          <cell r="J72">
            <v>-1.7999999999999999E-2</v>
          </cell>
          <cell r="K72">
            <v>-0.80500000000000005</v>
          </cell>
          <cell r="L72">
            <v>-1.1579999999999999</v>
          </cell>
          <cell r="M72">
            <v>0.45833333333333331</v>
          </cell>
          <cell r="N72">
            <v>0.46527777777777773</v>
          </cell>
          <cell r="O72">
            <v>42661</v>
          </cell>
          <cell r="P72">
            <v>1.05</v>
          </cell>
          <cell r="Q72">
            <v>9</v>
          </cell>
          <cell r="R72">
            <v>22</v>
          </cell>
          <cell r="S72">
            <v>0</v>
          </cell>
          <cell r="T72">
            <v>0.58333333333333337</v>
          </cell>
          <cell r="U72">
            <v>42665</v>
          </cell>
          <cell r="V72">
            <v>21.3</v>
          </cell>
          <cell r="W72">
            <v>0.97916666666666663</v>
          </cell>
          <cell r="X72">
            <v>42665</v>
          </cell>
          <cell r="Y72">
            <v>31.55</v>
          </cell>
          <cell r="Z72">
            <v>1.0416666666666666E-2</v>
          </cell>
          <cell r="AA72">
            <v>2.4305555555555556E-2</v>
          </cell>
          <cell r="AB72">
            <v>42666</v>
          </cell>
          <cell r="AC72">
            <v>31.7</v>
          </cell>
          <cell r="AD72">
            <v>2.7777777777777776E-2</v>
          </cell>
          <cell r="AE72">
            <v>3.4722222222222224E-2</v>
          </cell>
          <cell r="AF72">
            <v>42666</v>
          </cell>
          <cell r="AG72">
            <v>4.1666666666666664E-2</v>
          </cell>
          <cell r="AH72">
            <v>0.1875</v>
          </cell>
          <cell r="AI72">
            <v>42666</v>
          </cell>
          <cell r="AJ72">
            <v>0.22916666666666666</v>
          </cell>
          <cell r="AK72">
            <v>0.23611111111111113</v>
          </cell>
          <cell r="AL72">
            <v>42666</v>
          </cell>
          <cell r="AM72">
            <v>1.06</v>
          </cell>
          <cell r="AN72">
            <v>9</v>
          </cell>
          <cell r="AO72">
            <v>22</v>
          </cell>
          <cell r="AP72">
            <v>0</v>
          </cell>
          <cell r="AQ72">
            <v>0.24305555555555555</v>
          </cell>
          <cell r="AR72">
            <v>0.24652777777777779</v>
          </cell>
          <cell r="AS72">
            <v>42666</v>
          </cell>
          <cell r="AT72">
            <v>31.7</v>
          </cell>
          <cell r="AU72">
            <v>0.25347222222222221</v>
          </cell>
          <cell r="AV72">
            <v>42666</v>
          </cell>
          <cell r="AW72">
            <v>0.33333333333333331</v>
          </cell>
          <cell r="AX72">
            <v>42666</v>
          </cell>
          <cell r="AY72">
            <v>7.1</v>
          </cell>
          <cell r="AZ72">
            <v>33</v>
          </cell>
        </row>
        <row r="73">
          <cell r="B73" t="str">
            <v>A67</v>
          </cell>
          <cell r="C73">
            <v>0.41666666666666669</v>
          </cell>
          <cell r="D73">
            <v>0.47916666666666669</v>
          </cell>
          <cell r="E73">
            <v>42665</v>
          </cell>
          <cell r="F73">
            <v>0.57291666666666663</v>
          </cell>
          <cell r="G73">
            <v>0.58333333333333337</v>
          </cell>
          <cell r="H73">
            <v>42665</v>
          </cell>
          <cell r="I73">
            <v>0.01</v>
          </cell>
          <cell r="J73">
            <v>1.2999999999999999E-2</v>
          </cell>
          <cell r="K73">
            <v>-0.20499999999999999</v>
          </cell>
          <cell r="L73">
            <v>-0.81399999999999995</v>
          </cell>
          <cell r="M73">
            <v>0.59375</v>
          </cell>
          <cell r="N73">
            <v>0.60138888888888886</v>
          </cell>
          <cell r="O73">
            <v>42665</v>
          </cell>
          <cell r="P73">
            <v>1.06</v>
          </cell>
          <cell r="Q73">
            <v>9</v>
          </cell>
          <cell r="R73">
            <v>21</v>
          </cell>
          <cell r="S73">
            <v>0</v>
          </cell>
          <cell r="T73">
            <v>0.67013888888888884</v>
          </cell>
          <cell r="U73">
            <v>42665</v>
          </cell>
          <cell r="V73">
            <v>21.3</v>
          </cell>
          <cell r="W73">
            <v>0.40625</v>
          </cell>
          <cell r="X73">
            <v>42666</v>
          </cell>
          <cell r="Y73">
            <v>27.8</v>
          </cell>
          <cell r="Z73">
            <v>0.4375</v>
          </cell>
          <cell r="AA73">
            <v>0.45833333333333331</v>
          </cell>
          <cell r="AB73">
            <v>42666</v>
          </cell>
          <cell r="AC73">
            <v>28</v>
          </cell>
          <cell r="AD73">
            <v>0.46875</v>
          </cell>
          <cell r="AE73">
            <v>0.47916666666666669</v>
          </cell>
          <cell r="AF73">
            <v>42666</v>
          </cell>
          <cell r="AG73">
            <v>0.48958333333333331</v>
          </cell>
          <cell r="AH73">
            <v>0.54166666666666663</v>
          </cell>
          <cell r="AI73">
            <v>42666</v>
          </cell>
          <cell r="AJ73">
            <v>0.57638888888888895</v>
          </cell>
          <cell r="AK73">
            <v>0.58194444444444449</v>
          </cell>
          <cell r="AL73">
            <v>42666</v>
          </cell>
          <cell r="AM73">
            <v>1.05</v>
          </cell>
          <cell r="AN73">
            <v>9</v>
          </cell>
          <cell r="AO73">
            <v>22</v>
          </cell>
          <cell r="AP73">
            <v>0</v>
          </cell>
          <cell r="AQ73">
            <v>0.58333333333333337</v>
          </cell>
          <cell r="AR73">
            <v>0.58680555555555558</v>
          </cell>
          <cell r="AS73">
            <v>42666</v>
          </cell>
          <cell r="AT73">
            <v>28</v>
          </cell>
          <cell r="AU73">
            <v>0.59722222222222221</v>
          </cell>
          <cell r="AV73">
            <v>42666</v>
          </cell>
          <cell r="AW73">
            <v>0.68055555555555547</v>
          </cell>
          <cell r="AX73">
            <v>42666</v>
          </cell>
          <cell r="AY73">
            <v>8</v>
          </cell>
          <cell r="AZ73">
            <v>29</v>
          </cell>
        </row>
        <row r="74">
          <cell r="B74" t="str">
            <v>B34</v>
          </cell>
          <cell r="C74">
            <v>0.35416666666666669</v>
          </cell>
          <cell r="D74">
            <v>0.40625</v>
          </cell>
          <cell r="E74">
            <v>42661</v>
          </cell>
          <cell r="F74">
            <v>0.42708333333333331</v>
          </cell>
          <cell r="G74">
            <v>0.4375</v>
          </cell>
          <cell r="H74">
            <v>42661</v>
          </cell>
          <cell r="I74">
            <v>5.0000000000000001E-3</v>
          </cell>
          <cell r="J74">
            <v>1.7999999999999999E-2</v>
          </cell>
          <cell r="K74">
            <v>-0.63800000000000001</v>
          </cell>
          <cell r="L74">
            <v>-0.81</v>
          </cell>
          <cell r="M74">
            <v>0.39583333333333331</v>
          </cell>
          <cell r="N74">
            <v>0.40277777777777773</v>
          </cell>
          <cell r="O74">
            <v>42666</v>
          </cell>
          <cell r="P74">
            <v>1.06</v>
          </cell>
          <cell r="Q74">
            <v>9</v>
          </cell>
          <cell r="R74">
            <v>23</v>
          </cell>
          <cell r="S74">
            <v>0</v>
          </cell>
          <cell r="T74">
            <v>0.59444444444444444</v>
          </cell>
          <cell r="U74">
            <v>42666</v>
          </cell>
          <cell r="V74">
            <v>22.5</v>
          </cell>
          <cell r="W74">
            <v>0.66666666666666663</v>
          </cell>
          <cell r="X74">
            <v>42666</v>
          </cell>
          <cell r="Y74">
            <v>26.87</v>
          </cell>
          <cell r="Z74">
            <v>0.22916666666666666</v>
          </cell>
          <cell r="AA74">
            <v>0.83333333333333337</v>
          </cell>
          <cell r="AB74">
            <v>42666</v>
          </cell>
          <cell r="AC74">
            <v>27</v>
          </cell>
          <cell r="AD74">
            <v>0.84375</v>
          </cell>
          <cell r="AE74">
            <v>0.85069444444444453</v>
          </cell>
          <cell r="AF74">
            <v>42666</v>
          </cell>
          <cell r="AG74">
            <v>0.86111111111111116</v>
          </cell>
          <cell r="AH74">
            <v>0.91319444444444453</v>
          </cell>
          <cell r="AI74">
            <v>42666</v>
          </cell>
          <cell r="AJ74">
            <v>2.0833333333333332E-2</v>
          </cell>
          <cell r="AK74">
            <v>2.7777777777777776E-2</v>
          </cell>
          <cell r="AL74">
            <v>42666</v>
          </cell>
          <cell r="AM74">
            <v>1.06</v>
          </cell>
          <cell r="AN74">
            <v>9</v>
          </cell>
          <cell r="AO74">
            <v>22</v>
          </cell>
          <cell r="AP74">
            <v>0</v>
          </cell>
          <cell r="AQ74">
            <v>3.8194444444444441E-2</v>
          </cell>
          <cell r="AR74">
            <v>4.1666666666666664E-2</v>
          </cell>
          <cell r="AS74">
            <v>42667</v>
          </cell>
          <cell r="AT74">
            <v>27</v>
          </cell>
          <cell r="AU74">
            <v>7.9861111111111105E-2</v>
          </cell>
          <cell r="AV74">
            <v>42667</v>
          </cell>
          <cell r="AW74">
            <v>9.375E-2</v>
          </cell>
          <cell r="AX74">
            <v>42667</v>
          </cell>
          <cell r="AY74">
            <v>4.7</v>
          </cell>
          <cell r="AZ74">
            <v>12</v>
          </cell>
        </row>
        <row r="75">
          <cell r="B75" t="str">
            <v>B35</v>
          </cell>
          <cell r="C75">
            <v>0.375</v>
          </cell>
          <cell r="D75">
            <v>0.43055555555555558</v>
          </cell>
          <cell r="E75">
            <v>42666</v>
          </cell>
          <cell r="F75">
            <v>0.44444444444444442</v>
          </cell>
          <cell r="G75">
            <v>0.4548611111111111</v>
          </cell>
          <cell r="H75">
            <v>42666</v>
          </cell>
          <cell r="I75">
            <v>-2.1000000000000001E-2</v>
          </cell>
          <cell r="J75">
            <v>-2.1999999999999999E-2</v>
          </cell>
          <cell r="K75">
            <v>-0.47499999999999998</v>
          </cell>
          <cell r="L75">
            <v>-1.107</v>
          </cell>
          <cell r="M75">
            <v>0.45833333333333331</v>
          </cell>
          <cell r="N75">
            <v>0.46875</v>
          </cell>
          <cell r="O75">
            <v>42666</v>
          </cell>
          <cell r="P75">
            <v>1.06</v>
          </cell>
          <cell r="Q75">
            <v>9</v>
          </cell>
          <cell r="R75">
            <v>23</v>
          </cell>
          <cell r="S75">
            <v>0</v>
          </cell>
          <cell r="T75">
            <v>0.96527777777777779</v>
          </cell>
          <cell r="U75">
            <v>42666</v>
          </cell>
          <cell r="V75">
            <v>22.8</v>
          </cell>
          <cell r="W75">
            <v>0.125</v>
          </cell>
          <cell r="X75">
            <v>42667</v>
          </cell>
          <cell r="Y75">
            <v>27</v>
          </cell>
          <cell r="Z75">
            <v>0.15625</v>
          </cell>
          <cell r="AA75">
            <v>0.17013888888888887</v>
          </cell>
          <cell r="AB75">
            <v>42667</v>
          </cell>
          <cell r="AC75">
            <v>27</v>
          </cell>
          <cell r="AD75">
            <v>0.18055555555555555</v>
          </cell>
          <cell r="AE75">
            <v>0.1875</v>
          </cell>
          <cell r="AF75">
            <v>42667</v>
          </cell>
          <cell r="AG75">
            <v>0.19166666666666665</v>
          </cell>
          <cell r="AH75">
            <v>0.21180555555555555</v>
          </cell>
          <cell r="AI75">
            <v>42667</v>
          </cell>
          <cell r="AJ75">
            <v>0.22916666666666666</v>
          </cell>
          <cell r="AK75">
            <v>0.23611111111111113</v>
          </cell>
          <cell r="AL75">
            <v>42667</v>
          </cell>
          <cell r="AM75">
            <v>1.06</v>
          </cell>
          <cell r="AN75">
            <v>9</v>
          </cell>
          <cell r="AO75">
            <v>22</v>
          </cell>
          <cell r="AP75">
            <v>0</v>
          </cell>
          <cell r="AQ75">
            <v>0.24305555555555555</v>
          </cell>
          <cell r="AR75">
            <v>0.24652777777777779</v>
          </cell>
          <cell r="AS75">
            <v>42667</v>
          </cell>
          <cell r="AT75">
            <v>27</v>
          </cell>
          <cell r="AU75">
            <v>0.25</v>
          </cell>
          <cell r="AV75">
            <v>42667</v>
          </cell>
          <cell r="AW75">
            <v>0.27083333333333331</v>
          </cell>
          <cell r="AX75">
            <v>42667</v>
          </cell>
          <cell r="AY75">
            <v>4.8</v>
          </cell>
          <cell r="AZ75">
            <v>12</v>
          </cell>
        </row>
        <row r="76">
          <cell r="B76" t="str">
            <v>B37</v>
          </cell>
          <cell r="C76">
            <v>0.33333333333333331</v>
          </cell>
          <cell r="D76">
            <v>0.39583333333333331</v>
          </cell>
          <cell r="E76">
            <v>42667</v>
          </cell>
          <cell r="F76">
            <v>0.70833333333333337</v>
          </cell>
          <cell r="G76">
            <v>0.71875</v>
          </cell>
          <cell r="H76">
            <v>42667</v>
          </cell>
          <cell r="I76">
            <v>1.4999999999999999E-2</v>
          </cell>
          <cell r="J76">
            <v>-5.0000000000000001E-3</v>
          </cell>
          <cell r="K76">
            <v>-0.63</v>
          </cell>
          <cell r="L76">
            <v>-0.85399999999999998</v>
          </cell>
          <cell r="M76">
            <v>0.71875</v>
          </cell>
          <cell r="N76">
            <v>0.72222222222222221</v>
          </cell>
          <cell r="O76">
            <v>42667</v>
          </cell>
          <cell r="P76">
            <v>1.05</v>
          </cell>
          <cell r="Q76">
            <v>9</v>
          </cell>
          <cell r="R76">
            <v>22</v>
          </cell>
          <cell r="S76">
            <v>0</v>
          </cell>
          <cell r="T76">
            <v>0.875</v>
          </cell>
          <cell r="U76">
            <v>42667</v>
          </cell>
          <cell r="V76">
            <v>21</v>
          </cell>
          <cell r="W76">
            <v>0.96875</v>
          </cell>
          <cell r="X76">
            <v>42667</v>
          </cell>
          <cell r="Y76">
            <v>27</v>
          </cell>
          <cell r="Z76">
            <v>0</v>
          </cell>
          <cell r="AA76">
            <v>2.0833333333333332E-2</v>
          </cell>
          <cell r="AB76">
            <v>42668</v>
          </cell>
          <cell r="AC76">
            <v>27</v>
          </cell>
          <cell r="AD76">
            <v>3.125E-2</v>
          </cell>
          <cell r="AE76">
            <v>4.1666666666666664E-2</v>
          </cell>
          <cell r="AF76">
            <v>42668</v>
          </cell>
          <cell r="AG76">
            <v>5.5555555555555552E-2</v>
          </cell>
          <cell r="AH76">
            <v>9.0277777777777776E-2</v>
          </cell>
          <cell r="AI76">
            <v>42668</v>
          </cell>
          <cell r="AJ76">
            <v>0.16666666666666666</v>
          </cell>
          <cell r="AK76">
            <v>0.17361111111111113</v>
          </cell>
          <cell r="AL76">
            <v>42668</v>
          </cell>
          <cell r="AM76">
            <v>1.06</v>
          </cell>
          <cell r="AN76">
            <v>9</v>
          </cell>
          <cell r="AO76">
            <v>23</v>
          </cell>
          <cell r="AP76">
            <v>0</v>
          </cell>
          <cell r="AQ76">
            <v>0.17708333333333334</v>
          </cell>
          <cell r="AR76">
            <v>0.18055555555555555</v>
          </cell>
          <cell r="AS76">
            <v>42668</v>
          </cell>
          <cell r="AT76">
            <v>27</v>
          </cell>
          <cell r="AU76">
            <v>0.1875</v>
          </cell>
          <cell r="AV76">
            <v>42668</v>
          </cell>
          <cell r="AW76">
            <v>0.21180555555555555</v>
          </cell>
          <cell r="AX76">
            <v>42668</v>
          </cell>
          <cell r="AY76">
            <v>5</v>
          </cell>
          <cell r="AZ76">
            <v>12</v>
          </cell>
        </row>
        <row r="77">
          <cell r="B77" t="str">
            <v>A129</v>
          </cell>
          <cell r="C77">
            <v>0.58333333333333337</v>
          </cell>
          <cell r="D77">
            <v>0.64583333333333337</v>
          </cell>
          <cell r="E77">
            <v>42667</v>
          </cell>
          <cell r="F77">
            <v>0.77083333333333337</v>
          </cell>
          <cell r="G77">
            <v>0.78125</v>
          </cell>
          <cell r="H77">
            <v>42667</v>
          </cell>
          <cell r="I77">
            <v>3.0000000000000001E-3</v>
          </cell>
          <cell r="J77">
            <v>-6.0000000000000001E-3</v>
          </cell>
          <cell r="K77">
            <v>-0.83099999999999996</v>
          </cell>
          <cell r="L77">
            <v>-1.177</v>
          </cell>
          <cell r="M77">
            <v>0.79166666666666663</v>
          </cell>
          <cell r="N77">
            <v>0.79861111111111116</v>
          </cell>
          <cell r="O77">
            <v>42667</v>
          </cell>
          <cell r="P77">
            <v>1.05</v>
          </cell>
          <cell r="Q77">
            <v>9</v>
          </cell>
          <cell r="R77">
            <v>22</v>
          </cell>
          <cell r="S77">
            <v>0</v>
          </cell>
          <cell r="T77">
            <v>0.88888888888888884</v>
          </cell>
          <cell r="U77">
            <v>42667</v>
          </cell>
          <cell r="V77">
            <v>19</v>
          </cell>
          <cell r="W77">
            <v>6.9444444444444434E-2</v>
          </cell>
          <cell r="X77">
            <v>42667</v>
          </cell>
          <cell r="Y77">
            <v>30.2</v>
          </cell>
          <cell r="Z77">
            <v>0.10416666666666667</v>
          </cell>
          <cell r="AA77">
            <v>0.12847222222222224</v>
          </cell>
          <cell r="AB77">
            <v>42670</v>
          </cell>
          <cell r="AC77">
            <v>30.2</v>
          </cell>
          <cell r="AD77">
            <v>0.13541666666666666</v>
          </cell>
          <cell r="AE77">
            <v>0.14583333333333334</v>
          </cell>
          <cell r="AF77">
            <v>42670</v>
          </cell>
          <cell r="AG77">
            <v>0.15972222222222224</v>
          </cell>
          <cell r="AH77">
            <v>0.19791666666666666</v>
          </cell>
          <cell r="AI77">
            <v>42670</v>
          </cell>
          <cell r="AJ77">
            <v>0.23958333333333334</v>
          </cell>
          <cell r="AK77">
            <v>0.24652777777777779</v>
          </cell>
          <cell r="AL77">
            <v>42670</v>
          </cell>
          <cell r="AM77">
            <v>1.06</v>
          </cell>
          <cell r="AN77">
            <v>9</v>
          </cell>
          <cell r="AO77">
            <v>23</v>
          </cell>
          <cell r="AP77">
            <v>0</v>
          </cell>
          <cell r="AQ77">
            <v>0.25</v>
          </cell>
          <cell r="AR77">
            <v>0.25347222222222221</v>
          </cell>
          <cell r="AS77">
            <v>42670</v>
          </cell>
          <cell r="AT77">
            <v>30.2</v>
          </cell>
          <cell r="AU77">
            <v>0.25694444444444448</v>
          </cell>
          <cell r="AV77">
            <v>42670</v>
          </cell>
          <cell r="AW77">
            <v>0.375</v>
          </cell>
          <cell r="AX77">
            <v>42670</v>
          </cell>
          <cell r="AY77">
            <v>6.3</v>
          </cell>
          <cell r="AZ77">
            <v>44</v>
          </cell>
        </row>
        <row r="78">
          <cell r="B78" t="str">
            <v>B38</v>
          </cell>
          <cell r="C78">
            <v>0.63541666666666663</v>
          </cell>
          <cell r="D78">
            <v>0.69791666666666663</v>
          </cell>
          <cell r="E78">
            <v>42670</v>
          </cell>
          <cell r="F78">
            <v>0.70833333333333337</v>
          </cell>
          <cell r="G78">
            <v>0.71527777777777779</v>
          </cell>
          <cell r="H78">
            <v>42670</v>
          </cell>
          <cell r="I78">
            <v>-1.7999999999999999E-2</v>
          </cell>
          <cell r="J78">
            <v>1.2E-2</v>
          </cell>
          <cell r="K78">
            <v>-0.44500000000000001</v>
          </cell>
          <cell r="L78">
            <v>-0.875</v>
          </cell>
          <cell r="M78">
            <v>0.72222222222222221</v>
          </cell>
          <cell r="N78">
            <v>0.72916666666666663</v>
          </cell>
          <cell r="O78">
            <v>42670</v>
          </cell>
          <cell r="P78">
            <v>1.06</v>
          </cell>
          <cell r="Q78">
            <v>9</v>
          </cell>
          <cell r="R78">
            <v>23</v>
          </cell>
          <cell r="S78">
            <v>0</v>
          </cell>
          <cell r="T78">
            <v>0.80208333333333337</v>
          </cell>
          <cell r="U78">
            <v>42670</v>
          </cell>
          <cell r="V78">
            <v>21.3</v>
          </cell>
          <cell r="W78">
            <v>0.9375</v>
          </cell>
          <cell r="X78">
            <v>42670</v>
          </cell>
          <cell r="Y78">
            <v>27.1</v>
          </cell>
          <cell r="Z78">
            <v>0.96527777777777779</v>
          </cell>
          <cell r="AA78">
            <v>0.98958333333333337</v>
          </cell>
          <cell r="AB78">
            <v>42670</v>
          </cell>
          <cell r="AC78">
            <v>27.2</v>
          </cell>
          <cell r="AD78">
            <v>0.99305555555555547</v>
          </cell>
          <cell r="AE78">
            <v>0.98958333333333337</v>
          </cell>
          <cell r="AF78">
            <v>42670</v>
          </cell>
          <cell r="AG78">
            <v>1.3888888888888888E-2</v>
          </cell>
          <cell r="AH78">
            <v>5.2083333333333336E-2</v>
          </cell>
          <cell r="AI78">
            <v>42671</v>
          </cell>
          <cell r="AJ78">
            <v>0.14583333333333334</v>
          </cell>
          <cell r="AK78">
            <v>0.15277777777777776</v>
          </cell>
          <cell r="AL78">
            <v>42671</v>
          </cell>
          <cell r="AM78">
            <v>1.06</v>
          </cell>
          <cell r="AN78">
            <v>9</v>
          </cell>
          <cell r="AO78">
            <v>22</v>
          </cell>
          <cell r="AP78">
            <v>0</v>
          </cell>
          <cell r="AQ78">
            <v>0.15972222222222224</v>
          </cell>
          <cell r="AR78">
            <v>0.16319444444444445</v>
          </cell>
          <cell r="AS78">
            <v>42671</v>
          </cell>
          <cell r="AT78">
            <v>27.2</v>
          </cell>
          <cell r="AU78">
            <v>0.16666666666666666</v>
          </cell>
          <cell r="AV78">
            <v>42671</v>
          </cell>
          <cell r="AW78">
            <v>0.1875</v>
          </cell>
          <cell r="AX78">
            <v>42671</v>
          </cell>
          <cell r="AY78">
            <v>4.9000000000000004</v>
          </cell>
          <cell r="AZ78">
            <v>12</v>
          </cell>
        </row>
        <row r="79">
          <cell r="B79" t="str">
            <v>A42</v>
          </cell>
          <cell r="C79">
            <v>0.70833333333333337</v>
          </cell>
          <cell r="D79">
            <v>0.76041666666666663</v>
          </cell>
          <cell r="E79">
            <v>42666</v>
          </cell>
          <cell r="F79">
            <v>0.76736111111111116</v>
          </cell>
          <cell r="G79">
            <v>0.77777777777777779</v>
          </cell>
          <cell r="H79">
            <v>42666</v>
          </cell>
          <cell r="I79">
            <v>-2.1000000000000001E-2</v>
          </cell>
          <cell r="J79">
            <v>-2E-3</v>
          </cell>
          <cell r="K79">
            <v>-0.66500000000000004</v>
          </cell>
          <cell r="L79">
            <v>-1.1000000000000001</v>
          </cell>
          <cell r="M79">
            <v>0.79166666666666663</v>
          </cell>
          <cell r="N79">
            <v>0.80208333333333337</v>
          </cell>
          <cell r="O79">
            <v>42666</v>
          </cell>
          <cell r="P79">
            <v>1.06</v>
          </cell>
          <cell r="Q79">
            <v>9</v>
          </cell>
          <cell r="R79">
            <v>22</v>
          </cell>
          <cell r="S79">
            <v>0</v>
          </cell>
          <cell r="T79">
            <v>9.7222222222222224E-2</v>
          </cell>
          <cell r="U79">
            <v>42668</v>
          </cell>
          <cell r="V79">
            <v>23</v>
          </cell>
          <cell r="W79">
            <v>0.36805555555555558</v>
          </cell>
          <cell r="X79">
            <v>42668</v>
          </cell>
          <cell r="Y79">
            <v>31.7</v>
          </cell>
          <cell r="Z79">
            <v>0.29166666666666669</v>
          </cell>
          <cell r="AA79">
            <v>0.37847222222222227</v>
          </cell>
          <cell r="AB79">
            <v>42683</v>
          </cell>
          <cell r="AC79">
            <v>31.9</v>
          </cell>
          <cell r="AD79">
            <v>0.38194444444444442</v>
          </cell>
          <cell r="AE79">
            <v>0.3888888888888889</v>
          </cell>
          <cell r="AF79">
            <v>42683</v>
          </cell>
          <cell r="AG79">
            <v>0.40972222222222227</v>
          </cell>
          <cell r="AH79">
            <v>0.4548611111111111</v>
          </cell>
          <cell r="AI79">
            <v>42689</v>
          </cell>
          <cell r="AJ79">
            <v>2.0833333333333332E-2</v>
          </cell>
          <cell r="AK79">
            <v>2.7777777777777776E-2</v>
          </cell>
          <cell r="AL79">
            <v>42690</v>
          </cell>
          <cell r="AM79">
            <v>1.05</v>
          </cell>
          <cell r="AN79">
            <v>9</v>
          </cell>
          <cell r="AO79">
            <v>24</v>
          </cell>
          <cell r="AP79">
            <v>0</v>
          </cell>
          <cell r="AQ79">
            <v>3.4722222222222224E-2</v>
          </cell>
          <cell r="AR79">
            <v>3.8194444444444441E-2</v>
          </cell>
          <cell r="AS79">
            <v>42690</v>
          </cell>
          <cell r="AT79">
            <v>31.9</v>
          </cell>
          <cell r="AU79">
            <v>4.5138888888888888E-2</v>
          </cell>
          <cell r="AV79">
            <v>42690</v>
          </cell>
          <cell r="AW79">
            <v>0.27777777777777779</v>
          </cell>
          <cell r="AX79">
            <v>42690</v>
          </cell>
          <cell r="AY79">
            <v>7.7</v>
          </cell>
          <cell r="AZ79">
            <v>62</v>
          </cell>
        </row>
        <row r="80">
          <cell r="B80" t="str">
            <v>B36</v>
          </cell>
          <cell r="C80">
            <v>0.70833333333333337</v>
          </cell>
          <cell r="D80">
            <v>0.76041666666666663</v>
          </cell>
          <cell r="E80">
            <v>42671</v>
          </cell>
          <cell r="F80">
            <v>0.76388888888888884</v>
          </cell>
          <cell r="G80">
            <v>0.77430555555555547</v>
          </cell>
          <cell r="H80">
            <v>42671</v>
          </cell>
          <cell r="I80">
            <v>-1.7999999999999999E-2</v>
          </cell>
          <cell r="J80">
            <v>1.6E-2</v>
          </cell>
          <cell r="K80">
            <v>-0.57499999999999996</v>
          </cell>
          <cell r="L80">
            <v>-0.81599999999999995</v>
          </cell>
          <cell r="M80">
            <v>0.78125</v>
          </cell>
          <cell r="N80">
            <v>0.78819444444444453</v>
          </cell>
          <cell r="O80">
            <v>42671</v>
          </cell>
          <cell r="P80">
            <v>1.05</v>
          </cell>
          <cell r="Q80">
            <v>9</v>
          </cell>
          <cell r="R80">
            <v>23</v>
          </cell>
          <cell r="S80">
            <v>0</v>
          </cell>
          <cell r="T80">
            <v>0.91666666666666663</v>
          </cell>
          <cell r="U80">
            <v>42691</v>
          </cell>
          <cell r="V80">
            <v>19.8</v>
          </cell>
          <cell r="W80">
            <v>2.0833333333333332E-2</v>
          </cell>
          <cell r="X80">
            <v>42692</v>
          </cell>
          <cell r="Y80">
            <v>27.15</v>
          </cell>
          <cell r="Z80">
            <v>0.79861111111111116</v>
          </cell>
          <cell r="AA80">
            <v>0.82291666666666663</v>
          </cell>
          <cell r="AB80">
            <v>42692</v>
          </cell>
          <cell r="AC80">
            <v>27.15</v>
          </cell>
          <cell r="AD80">
            <v>0.83333333333333337</v>
          </cell>
          <cell r="AE80">
            <v>0.84027777777777779</v>
          </cell>
          <cell r="AF80">
            <v>42692</v>
          </cell>
          <cell r="AG80">
            <v>0.85069444444444453</v>
          </cell>
          <cell r="AH80">
            <v>0.92361111111111116</v>
          </cell>
          <cell r="AI80">
            <v>42692</v>
          </cell>
          <cell r="AJ80">
            <v>0.9375</v>
          </cell>
          <cell r="AK80">
            <v>0.94444444444444453</v>
          </cell>
          <cell r="AL80">
            <v>42692</v>
          </cell>
          <cell r="AM80">
            <v>1.06</v>
          </cell>
          <cell r="AN80">
            <v>9</v>
          </cell>
          <cell r="AO80">
            <v>25</v>
          </cell>
          <cell r="AP80">
            <v>0</v>
          </cell>
          <cell r="AQ80">
            <v>0.95138888888888884</v>
          </cell>
          <cell r="AR80">
            <v>0.95486111111111116</v>
          </cell>
          <cell r="AS80">
            <v>42692</v>
          </cell>
          <cell r="AT80">
            <v>27.15</v>
          </cell>
          <cell r="AU80">
            <v>0.95833333333333337</v>
          </cell>
          <cell r="AV80">
            <v>42692</v>
          </cell>
          <cell r="AW80">
            <v>0.97916666666666663</v>
          </cell>
          <cell r="AX80">
            <v>42692</v>
          </cell>
          <cell r="AY80">
            <v>4.8</v>
          </cell>
          <cell r="AZ80">
            <v>12</v>
          </cell>
        </row>
        <row r="81">
          <cell r="B81" t="str">
            <v>B40</v>
          </cell>
          <cell r="C81">
            <v>0.375</v>
          </cell>
          <cell r="D81">
            <v>0.43055555555555558</v>
          </cell>
          <cell r="E81">
            <v>42695</v>
          </cell>
          <cell r="F81">
            <v>0.44444444444444442</v>
          </cell>
          <cell r="G81">
            <v>0.4513888888888889</v>
          </cell>
          <cell r="H81">
            <v>42695</v>
          </cell>
          <cell r="I81">
            <v>-4.0000000000000001E-3</v>
          </cell>
          <cell r="J81">
            <v>-1.6E-2</v>
          </cell>
          <cell r="K81">
            <v>-0.48899999999999999</v>
          </cell>
          <cell r="L81">
            <v>-0.68899999999999995</v>
          </cell>
          <cell r="M81">
            <v>0.79166666666666663</v>
          </cell>
          <cell r="N81">
            <v>0.80208333333333337</v>
          </cell>
          <cell r="O81">
            <v>42695</v>
          </cell>
          <cell r="P81">
            <v>1.06</v>
          </cell>
          <cell r="Q81">
            <v>9</v>
          </cell>
          <cell r="R81">
            <v>23</v>
          </cell>
          <cell r="S81">
            <v>0</v>
          </cell>
          <cell r="T81">
            <v>0.4375</v>
          </cell>
          <cell r="U81">
            <v>42696</v>
          </cell>
          <cell r="V81">
            <v>30.4</v>
          </cell>
          <cell r="W81">
            <v>0.85625000000000007</v>
          </cell>
          <cell r="X81">
            <v>42696</v>
          </cell>
          <cell r="Y81">
            <v>31.6</v>
          </cell>
          <cell r="Z81">
            <v>0.375</v>
          </cell>
          <cell r="AA81">
            <v>0.40277777777777773</v>
          </cell>
          <cell r="AB81">
            <v>42697</v>
          </cell>
          <cell r="AC81">
            <v>31.7</v>
          </cell>
          <cell r="AD81">
            <v>0.40972222222222227</v>
          </cell>
          <cell r="AE81">
            <v>0.4201388888888889</v>
          </cell>
          <cell r="AF81">
            <v>42697</v>
          </cell>
          <cell r="AG81">
            <v>0.42708333333333331</v>
          </cell>
          <cell r="AH81">
            <v>0.45833333333333331</v>
          </cell>
          <cell r="AI81">
            <v>42697</v>
          </cell>
          <cell r="AJ81">
            <v>0.46875</v>
          </cell>
          <cell r="AK81">
            <v>0.47569444444444442</v>
          </cell>
          <cell r="AL81">
            <v>42697</v>
          </cell>
          <cell r="AM81">
            <v>1.05</v>
          </cell>
          <cell r="AN81">
            <v>9</v>
          </cell>
          <cell r="AO81">
            <v>22</v>
          </cell>
          <cell r="AP81">
            <v>0</v>
          </cell>
          <cell r="AQ81">
            <v>0.5</v>
          </cell>
          <cell r="AR81">
            <v>0.50347222222222221</v>
          </cell>
          <cell r="AS81">
            <v>42697</v>
          </cell>
          <cell r="AT81">
            <v>31.7</v>
          </cell>
          <cell r="AU81">
            <v>0.50694444444444442</v>
          </cell>
          <cell r="AV81">
            <v>42697</v>
          </cell>
          <cell r="AW81">
            <v>0.55555555555555558</v>
          </cell>
          <cell r="AX81">
            <v>42697</v>
          </cell>
          <cell r="AY81">
            <v>5.2</v>
          </cell>
          <cell r="AZ81">
            <v>15</v>
          </cell>
        </row>
        <row r="82">
          <cell r="B82" t="str">
            <v>A47</v>
          </cell>
          <cell r="C82">
            <v>0.3125</v>
          </cell>
          <cell r="D82">
            <v>0.375</v>
          </cell>
          <cell r="E82">
            <v>42695</v>
          </cell>
          <cell r="F82">
            <v>0.38541666666666669</v>
          </cell>
          <cell r="G82">
            <v>0.39583333333333331</v>
          </cell>
          <cell r="H82">
            <v>42695</v>
          </cell>
          <cell r="I82">
            <v>1.7000000000000001E-2</v>
          </cell>
          <cell r="J82">
            <v>1.6E-2</v>
          </cell>
          <cell r="K82">
            <v>-0.71899999999999997</v>
          </cell>
          <cell r="L82">
            <v>-0.98399999999999999</v>
          </cell>
          <cell r="M82">
            <v>0.80208333333333337</v>
          </cell>
          <cell r="N82">
            <v>0.8125</v>
          </cell>
          <cell r="O82">
            <v>42695</v>
          </cell>
          <cell r="P82">
            <v>1.06</v>
          </cell>
          <cell r="Q82">
            <v>9</v>
          </cell>
          <cell r="R82">
            <v>23</v>
          </cell>
          <cell r="S82">
            <v>0</v>
          </cell>
          <cell r="T82">
            <v>0.39583333333333331</v>
          </cell>
          <cell r="U82">
            <v>42696</v>
          </cell>
          <cell r="V82">
            <v>24.4</v>
          </cell>
          <cell r="W82">
            <v>0.41666666666666669</v>
          </cell>
          <cell r="X82">
            <v>42697</v>
          </cell>
          <cell r="Y82">
            <v>31.5</v>
          </cell>
          <cell r="Z82">
            <v>0.4375</v>
          </cell>
          <cell r="AA82">
            <v>0.49305555555555558</v>
          </cell>
          <cell r="AB82">
            <v>42697</v>
          </cell>
          <cell r="AC82">
            <v>31.5</v>
          </cell>
          <cell r="AD82">
            <v>0.46875</v>
          </cell>
          <cell r="AE82">
            <v>0.47916666666666669</v>
          </cell>
          <cell r="AF82">
            <v>42697</v>
          </cell>
          <cell r="AG82">
            <v>0.5</v>
          </cell>
          <cell r="AH82">
            <v>0.61458333333333337</v>
          </cell>
          <cell r="AI82">
            <v>42697</v>
          </cell>
          <cell r="AJ82">
            <v>0.90972222222222221</v>
          </cell>
          <cell r="AK82">
            <v>0.91319444444444453</v>
          </cell>
          <cell r="AL82">
            <v>42697</v>
          </cell>
          <cell r="AM82">
            <v>1.06</v>
          </cell>
          <cell r="AN82">
            <v>9</v>
          </cell>
          <cell r="AO82">
            <v>23</v>
          </cell>
          <cell r="AP82">
            <v>0</v>
          </cell>
          <cell r="AQ82">
            <v>0.91666666666666663</v>
          </cell>
          <cell r="AR82">
            <v>0.92013888888888884</v>
          </cell>
          <cell r="AS82">
            <v>42697</v>
          </cell>
          <cell r="AT82">
            <v>31.5</v>
          </cell>
          <cell r="AU82">
            <v>0.92361111111111116</v>
          </cell>
          <cell r="AV82">
            <v>42697</v>
          </cell>
          <cell r="AW82">
            <v>0.95833333333333337</v>
          </cell>
          <cell r="AX82">
            <v>42697</v>
          </cell>
          <cell r="AY82">
            <v>7.8</v>
          </cell>
          <cell r="AZ82">
            <v>30.5</v>
          </cell>
        </row>
        <row r="83">
          <cell r="B83" t="str">
            <v>A92</v>
          </cell>
          <cell r="C83">
            <v>0.33333333333333331</v>
          </cell>
          <cell r="D83">
            <v>0.41666666666666669</v>
          </cell>
          <cell r="E83">
            <v>42697</v>
          </cell>
          <cell r="F83">
            <v>0.4236111111111111</v>
          </cell>
          <cell r="G83">
            <v>0.43055555555555558</v>
          </cell>
          <cell r="H83">
            <v>42697</v>
          </cell>
          <cell r="I83">
            <v>-8.0000000000000002E-3</v>
          </cell>
          <cell r="J83">
            <v>2.5000000000000001E-2</v>
          </cell>
          <cell r="K83">
            <v>-0.35899999999999999</v>
          </cell>
          <cell r="L83">
            <v>-0.92900000000000005</v>
          </cell>
          <cell r="M83">
            <v>0.4375</v>
          </cell>
          <cell r="N83">
            <v>0.44444444444444442</v>
          </cell>
          <cell r="O83">
            <v>42697</v>
          </cell>
          <cell r="P83">
            <v>1.06</v>
          </cell>
          <cell r="Q83">
            <v>9</v>
          </cell>
          <cell r="R83">
            <v>23</v>
          </cell>
          <cell r="S83">
            <v>0</v>
          </cell>
          <cell r="T83">
            <v>0.58333333333333337</v>
          </cell>
          <cell r="U83">
            <v>42697</v>
          </cell>
          <cell r="V83">
            <v>20.7</v>
          </cell>
          <cell r="W83">
            <v>0.31944444444444448</v>
          </cell>
          <cell r="X83">
            <v>42698</v>
          </cell>
          <cell r="Y83">
            <v>26.46</v>
          </cell>
          <cell r="Z83">
            <v>0.35416666666666669</v>
          </cell>
          <cell r="AA83">
            <v>0.375</v>
          </cell>
          <cell r="AB83">
            <v>42698</v>
          </cell>
          <cell r="AC83">
            <v>26.5</v>
          </cell>
          <cell r="AD83">
            <v>0.38541666666666669</v>
          </cell>
          <cell r="AE83">
            <v>0.39583333333333331</v>
          </cell>
          <cell r="AF83">
            <v>42698</v>
          </cell>
          <cell r="AG83">
            <v>0.41666666666666669</v>
          </cell>
          <cell r="AH83">
            <v>0.47916666666666669</v>
          </cell>
          <cell r="AI83">
            <v>42698</v>
          </cell>
          <cell r="AJ83">
            <v>0.52083333333333337</v>
          </cell>
          <cell r="AK83">
            <v>0.52777777777777779</v>
          </cell>
          <cell r="AL83">
            <v>42698</v>
          </cell>
          <cell r="AM83">
            <v>1.06</v>
          </cell>
          <cell r="AN83">
            <v>9</v>
          </cell>
          <cell r="AO83">
            <v>22</v>
          </cell>
          <cell r="AP83">
            <v>0</v>
          </cell>
          <cell r="AQ83">
            <v>0.53472222222222221</v>
          </cell>
          <cell r="AR83">
            <v>0.53819444444444442</v>
          </cell>
          <cell r="AS83">
            <v>42698</v>
          </cell>
          <cell r="AT83">
            <v>26.5</v>
          </cell>
          <cell r="AU83">
            <v>0.54166666666666663</v>
          </cell>
          <cell r="AV83">
            <v>42698</v>
          </cell>
          <cell r="AW83">
            <v>0.59722222222222221</v>
          </cell>
          <cell r="AX83">
            <v>42698</v>
          </cell>
          <cell r="AY83">
            <v>6.6</v>
          </cell>
          <cell r="AZ83">
            <v>29</v>
          </cell>
        </row>
        <row r="84">
          <cell r="B84" t="str">
            <v>A51</v>
          </cell>
          <cell r="C84">
            <v>0.375</v>
          </cell>
          <cell r="D84">
            <v>0.43055555555555558</v>
          </cell>
          <cell r="E84">
            <v>42698</v>
          </cell>
          <cell r="F84">
            <v>0.4375</v>
          </cell>
          <cell r="G84">
            <v>0.44444444444444442</v>
          </cell>
          <cell r="H84">
            <v>42698</v>
          </cell>
          <cell r="I84">
            <v>-6.0000000000000001E-3</v>
          </cell>
          <cell r="J84">
            <v>0</v>
          </cell>
          <cell r="K84">
            <v>-0.45300000000000001</v>
          </cell>
          <cell r="L84">
            <v>-1.071</v>
          </cell>
          <cell r="M84">
            <v>0.4513888888888889</v>
          </cell>
          <cell r="N84">
            <v>0.45833333333333331</v>
          </cell>
          <cell r="O84">
            <v>42698</v>
          </cell>
          <cell r="P84">
            <v>1.05</v>
          </cell>
          <cell r="Q84">
            <v>9</v>
          </cell>
          <cell r="R84">
            <v>28</v>
          </cell>
          <cell r="S84">
            <v>0</v>
          </cell>
          <cell r="T84">
            <v>0.61458333333333337</v>
          </cell>
          <cell r="U84">
            <v>42698</v>
          </cell>
          <cell r="V84">
            <v>21.1</v>
          </cell>
          <cell r="W84">
            <v>4.1666666666666664E-2</v>
          </cell>
          <cell r="X84">
            <v>42699</v>
          </cell>
          <cell r="Y84">
            <v>31.22</v>
          </cell>
          <cell r="Z84">
            <v>0.32291666666666669</v>
          </cell>
          <cell r="AA84">
            <v>0.35416666666666669</v>
          </cell>
          <cell r="AB84">
            <v>42699</v>
          </cell>
          <cell r="AC84">
            <v>31.5</v>
          </cell>
          <cell r="AD84">
            <v>0.375</v>
          </cell>
          <cell r="AE84">
            <v>0.38541666666666669</v>
          </cell>
          <cell r="AF84">
            <v>42699</v>
          </cell>
          <cell r="AG84">
            <v>0.40277777777777773</v>
          </cell>
          <cell r="AH84">
            <v>0.44097222222222227</v>
          </cell>
          <cell r="AI84">
            <v>42699</v>
          </cell>
          <cell r="AJ84">
            <v>0.46875</v>
          </cell>
          <cell r="AK84">
            <v>0.47569444444444442</v>
          </cell>
          <cell r="AL84">
            <v>42699</v>
          </cell>
          <cell r="AM84">
            <v>1.05</v>
          </cell>
          <cell r="AN84">
            <v>9</v>
          </cell>
          <cell r="AO84">
            <v>20</v>
          </cell>
          <cell r="AP84">
            <v>0</v>
          </cell>
          <cell r="AQ84">
            <v>0.47916666666666669</v>
          </cell>
          <cell r="AR84">
            <v>0.4826388888888889</v>
          </cell>
          <cell r="AS84">
            <v>42699</v>
          </cell>
          <cell r="AT84">
            <v>31.5</v>
          </cell>
          <cell r="AU84">
            <v>0.48958333333333331</v>
          </cell>
          <cell r="AV84">
            <v>42699</v>
          </cell>
          <cell r="AW84">
            <v>0.57291666666666663</v>
          </cell>
          <cell r="AX84">
            <v>42699</v>
          </cell>
          <cell r="AY84">
            <v>6.8</v>
          </cell>
          <cell r="AZ84">
            <v>36</v>
          </cell>
        </row>
        <row r="85">
          <cell r="B85" t="str">
            <v>B41</v>
          </cell>
          <cell r="C85">
            <v>0.38541666666666669</v>
          </cell>
          <cell r="D85">
            <v>0.44791666666666669</v>
          </cell>
          <cell r="E85">
            <v>42699</v>
          </cell>
          <cell r="F85">
            <v>0.4548611111111111</v>
          </cell>
          <cell r="G85">
            <v>0.46527777777777773</v>
          </cell>
          <cell r="H85">
            <v>42699</v>
          </cell>
          <cell r="I85">
            <v>-1.4E-2</v>
          </cell>
          <cell r="J85">
            <v>2.7E-2</v>
          </cell>
          <cell r="K85">
            <v>-0.33</v>
          </cell>
          <cell r="L85">
            <v>-0.82899999999999996</v>
          </cell>
          <cell r="M85">
            <v>0.66666666666666663</v>
          </cell>
          <cell r="N85">
            <v>0.6875</v>
          </cell>
          <cell r="O85">
            <v>42699</v>
          </cell>
          <cell r="P85">
            <v>1.05</v>
          </cell>
          <cell r="Q85">
            <v>9</v>
          </cell>
          <cell r="R85">
            <v>26</v>
          </cell>
          <cell r="S85">
            <v>0</v>
          </cell>
          <cell r="T85">
            <v>0.85069444444444453</v>
          </cell>
          <cell r="U85">
            <v>42699</v>
          </cell>
          <cell r="V85">
            <v>25.9</v>
          </cell>
          <cell r="W85">
            <v>0.92638888888888893</v>
          </cell>
          <cell r="X85">
            <v>42699</v>
          </cell>
          <cell r="Y85">
            <v>27.62</v>
          </cell>
          <cell r="Z85">
            <v>0.96875</v>
          </cell>
          <cell r="AA85">
            <v>0.97916666666666663</v>
          </cell>
          <cell r="AB85">
            <v>42699</v>
          </cell>
          <cell r="AC85">
            <v>27.7</v>
          </cell>
          <cell r="AD85">
            <v>0.99305555555555547</v>
          </cell>
          <cell r="AE85">
            <v>3.472222222222222E-3</v>
          </cell>
          <cell r="AF85">
            <v>42700</v>
          </cell>
          <cell r="AG85">
            <v>2.0833333333333332E-2</v>
          </cell>
          <cell r="AH85">
            <v>0.13194444444444445</v>
          </cell>
          <cell r="AI85">
            <v>42700</v>
          </cell>
          <cell r="AJ85">
            <v>0.26041666666666669</v>
          </cell>
          <cell r="AK85">
            <v>0.2638888888888889</v>
          </cell>
          <cell r="AL85">
            <v>42700</v>
          </cell>
          <cell r="AM85">
            <v>1.05</v>
          </cell>
          <cell r="AN85">
            <v>9</v>
          </cell>
          <cell r="AO85">
            <v>26</v>
          </cell>
          <cell r="AP85">
            <v>0</v>
          </cell>
          <cell r="AQ85">
            <v>0.2673611111111111</v>
          </cell>
          <cell r="AR85">
            <v>0.27083333333333331</v>
          </cell>
          <cell r="AS85">
            <v>42700</v>
          </cell>
          <cell r="AT85">
            <v>27.7</v>
          </cell>
          <cell r="AU85">
            <v>0.27430555555555552</v>
          </cell>
          <cell r="AV85">
            <v>42700</v>
          </cell>
          <cell r="AW85">
            <v>0.3125</v>
          </cell>
          <cell r="AX85">
            <v>42700</v>
          </cell>
          <cell r="AY85">
            <v>5.4</v>
          </cell>
          <cell r="AZ85">
            <v>13.5</v>
          </cell>
        </row>
        <row r="86">
          <cell r="B86" t="str">
            <v>A139</v>
          </cell>
          <cell r="C86">
            <v>0.625</v>
          </cell>
          <cell r="D86">
            <v>0.6875</v>
          </cell>
          <cell r="E86">
            <v>42698</v>
          </cell>
          <cell r="F86">
            <v>0.69444444444444453</v>
          </cell>
          <cell r="G86">
            <v>0.70138888888888884</v>
          </cell>
          <cell r="H86">
            <v>42698</v>
          </cell>
          <cell r="I86">
            <v>1.7999999999999999E-2</v>
          </cell>
          <cell r="J86">
            <v>-1.2E-2</v>
          </cell>
          <cell r="K86">
            <v>-0.47199999999999998</v>
          </cell>
          <cell r="L86">
            <v>-0.96299999999999997</v>
          </cell>
          <cell r="M86">
            <v>0.70833333333333337</v>
          </cell>
          <cell r="N86">
            <v>0.71527777777777779</v>
          </cell>
          <cell r="O86">
            <v>42698</v>
          </cell>
          <cell r="P86">
            <v>1.05</v>
          </cell>
          <cell r="Q86">
            <v>9</v>
          </cell>
          <cell r="R86">
            <v>26</v>
          </cell>
          <cell r="S86">
            <v>0</v>
          </cell>
          <cell r="T86">
            <v>0.80208333333333337</v>
          </cell>
          <cell r="U86">
            <v>42698</v>
          </cell>
          <cell r="V86">
            <v>20.5</v>
          </cell>
          <cell r="W86">
            <v>0.72222222222222221</v>
          </cell>
          <cell r="X86">
            <v>42699</v>
          </cell>
          <cell r="Y86">
            <v>28.7</v>
          </cell>
          <cell r="Z86">
            <v>0.80208333333333337</v>
          </cell>
          <cell r="AA86">
            <v>0.8125</v>
          </cell>
          <cell r="AB86">
            <v>42699</v>
          </cell>
          <cell r="AC86">
            <v>28.7</v>
          </cell>
          <cell r="AD86">
            <v>0.81944444444444453</v>
          </cell>
          <cell r="AE86">
            <v>0.82986111111111116</v>
          </cell>
          <cell r="AF86">
            <v>42699</v>
          </cell>
          <cell r="AG86">
            <v>0.84375</v>
          </cell>
          <cell r="AH86">
            <v>0.96875</v>
          </cell>
          <cell r="AI86">
            <v>42699</v>
          </cell>
          <cell r="AJ86">
            <v>0.1111111111111111</v>
          </cell>
          <cell r="AK86">
            <v>0.11458333333333333</v>
          </cell>
          <cell r="AL86">
            <v>42700</v>
          </cell>
          <cell r="AM86">
            <v>1.05</v>
          </cell>
          <cell r="AN86">
            <v>9</v>
          </cell>
          <cell r="AO86">
            <v>26</v>
          </cell>
          <cell r="AP86">
            <v>0.6</v>
          </cell>
          <cell r="AQ86">
            <v>0.11805555555555557</v>
          </cell>
          <cell r="AR86">
            <v>0.12152777777777778</v>
          </cell>
          <cell r="AS86">
            <v>42700</v>
          </cell>
          <cell r="AT86">
            <v>28.72</v>
          </cell>
          <cell r="AU86">
            <v>0.125</v>
          </cell>
          <cell r="AV86">
            <v>42700</v>
          </cell>
          <cell r="AW86">
            <v>0.1875</v>
          </cell>
          <cell r="AX86">
            <v>42700</v>
          </cell>
          <cell r="AY86">
            <v>7.1</v>
          </cell>
          <cell r="AZ86">
            <v>30.5</v>
          </cell>
        </row>
        <row r="87">
          <cell r="B87" t="str">
            <v>A49</v>
          </cell>
          <cell r="C87">
            <v>0.64583333333333337</v>
          </cell>
          <cell r="D87">
            <v>0.70833333333333337</v>
          </cell>
          <cell r="E87">
            <v>42485</v>
          </cell>
          <cell r="F87">
            <v>0.72222222222222221</v>
          </cell>
          <cell r="G87">
            <v>0.72916666666666663</v>
          </cell>
          <cell r="H87">
            <v>42485</v>
          </cell>
          <cell r="I87">
            <v>8.9999999999999993E-3</v>
          </cell>
          <cell r="J87">
            <v>-1.6E-2</v>
          </cell>
          <cell r="K87">
            <v>-6.2E-2</v>
          </cell>
          <cell r="L87">
            <v>-0.52</v>
          </cell>
          <cell r="M87">
            <v>0.77083333333333337</v>
          </cell>
          <cell r="N87">
            <v>0.78472222222222221</v>
          </cell>
          <cell r="O87">
            <v>42485</v>
          </cell>
          <cell r="P87">
            <v>1.05</v>
          </cell>
          <cell r="Q87">
            <v>9</v>
          </cell>
          <cell r="R87">
            <v>27</v>
          </cell>
          <cell r="S87">
            <v>0</v>
          </cell>
          <cell r="T87">
            <v>0.9375</v>
          </cell>
          <cell r="U87">
            <v>42485</v>
          </cell>
          <cell r="V87">
            <v>20.7</v>
          </cell>
          <cell r="W87">
            <v>0.3125</v>
          </cell>
          <cell r="X87">
            <v>42487</v>
          </cell>
          <cell r="Y87">
            <v>32.15</v>
          </cell>
          <cell r="Z87">
            <v>0.35416666666666669</v>
          </cell>
          <cell r="AA87">
            <v>0.375</v>
          </cell>
          <cell r="AB87">
            <v>42487</v>
          </cell>
          <cell r="AC87">
            <v>32.17</v>
          </cell>
          <cell r="AD87">
            <v>0.37847222222222227</v>
          </cell>
          <cell r="AE87">
            <v>0.38541666666666669</v>
          </cell>
          <cell r="AF87">
            <v>42487</v>
          </cell>
          <cell r="AG87">
            <v>0.4513888888888889</v>
          </cell>
          <cell r="AH87">
            <v>0.54166666666666663</v>
          </cell>
          <cell r="AI87">
            <v>42487</v>
          </cell>
          <cell r="AJ87">
            <v>0.58333333333333337</v>
          </cell>
          <cell r="AK87">
            <v>0.59027777777777779</v>
          </cell>
          <cell r="AL87">
            <v>42487</v>
          </cell>
          <cell r="AM87">
            <v>1.05</v>
          </cell>
          <cell r="AN87">
            <v>9</v>
          </cell>
          <cell r="AO87">
            <v>28</v>
          </cell>
          <cell r="AP87">
            <v>0</v>
          </cell>
          <cell r="AQ87">
            <v>0.59722222222222221</v>
          </cell>
          <cell r="AR87">
            <v>0.60069444444444442</v>
          </cell>
          <cell r="AS87">
            <v>42487</v>
          </cell>
          <cell r="AT87">
            <v>32.17</v>
          </cell>
          <cell r="AU87">
            <v>0.59375</v>
          </cell>
          <cell r="AV87">
            <v>42487</v>
          </cell>
          <cell r="AW87">
            <v>0.66666666666666663</v>
          </cell>
          <cell r="AX87">
            <v>42487</v>
          </cell>
          <cell r="AY87">
            <v>6.7</v>
          </cell>
          <cell r="AZ87">
            <v>37</v>
          </cell>
        </row>
        <row r="88">
          <cell r="B88" t="str">
            <v>B26</v>
          </cell>
          <cell r="C88">
            <v>0.29166666666666669</v>
          </cell>
          <cell r="D88">
            <v>0.35416666666666669</v>
          </cell>
          <cell r="E88">
            <v>42700</v>
          </cell>
          <cell r="F88">
            <v>0.42708333333333331</v>
          </cell>
          <cell r="G88">
            <v>0.4375</v>
          </cell>
          <cell r="H88">
            <v>42700</v>
          </cell>
          <cell r="I88">
            <v>-7.0000000000000001E-3</v>
          </cell>
          <cell r="J88">
            <v>7.0000000000000001E-3</v>
          </cell>
          <cell r="K88">
            <v>-0.108</v>
          </cell>
          <cell r="L88">
            <v>-0.501</v>
          </cell>
          <cell r="M88">
            <v>0.44097222222222227</v>
          </cell>
          <cell r="N88">
            <v>0.44791666666666669</v>
          </cell>
          <cell r="O88">
            <v>42700</v>
          </cell>
          <cell r="P88">
            <v>1.06</v>
          </cell>
          <cell r="Q88">
            <v>9</v>
          </cell>
          <cell r="R88">
            <v>22</v>
          </cell>
          <cell r="S88">
            <v>0</v>
          </cell>
          <cell r="T88">
            <v>0.59722222222222221</v>
          </cell>
          <cell r="U88">
            <v>42700</v>
          </cell>
          <cell r="V88">
            <v>21.1</v>
          </cell>
          <cell r="W88">
            <v>0.41666666666666669</v>
          </cell>
          <cell r="X88">
            <v>42701</v>
          </cell>
          <cell r="Y88">
            <v>31.3</v>
          </cell>
          <cell r="Z88">
            <v>0.59722222222222221</v>
          </cell>
          <cell r="AA88">
            <v>0.64236111111111105</v>
          </cell>
          <cell r="AB88">
            <v>42701</v>
          </cell>
          <cell r="AC88">
            <v>31.32</v>
          </cell>
          <cell r="AD88">
            <v>0.64930555555555558</v>
          </cell>
          <cell r="AE88">
            <v>0.65972222222222221</v>
          </cell>
          <cell r="AF88">
            <v>42701</v>
          </cell>
          <cell r="AG88">
            <v>0.6875</v>
          </cell>
          <cell r="AH88">
            <v>0.73958333333333337</v>
          </cell>
          <cell r="AI88">
            <v>42701</v>
          </cell>
          <cell r="AJ88">
            <v>0.88541666666666663</v>
          </cell>
          <cell r="AK88">
            <v>0.89583333333333337</v>
          </cell>
          <cell r="AL88">
            <v>42701</v>
          </cell>
          <cell r="AM88">
            <v>1.06</v>
          </cell>
          <cell r="AN88">
            <v>9</v>
          </cell>
          <cell r="AO88">
            <v>28</v>
          </cell>
          <cell r="AP88">
            <v>0</v>
          </cell>
          <cell r="AQ88">
            <v>0.89930555555555547</v>
          </cell>
          <cell r="AR88">
            <v>0.90277777777777779</v>
          </cell>
          <cell r="AS88">
            <v>42701</v>
          </cell>
          <cell r="AT88">
            <v>31.32</v>
          </cell>
          <cell r="AU88">
            <v>0.88194444444444453</v>
          </cell>
          <cell r="AV88">
            <v>42701</v>
          </cell>
          <cell r="AW88">
            <v>0.97222222222222221</v>
          </cell>
          <cell r="AX88">
            <v>42701</v>
          </cell>
          <cell r="AY88">
            <v>5.3</v>
          </cell>
          <cell r="AZ88">
            <v>19</v>
          </cell>
        </row>
        <row r="89">
          <cell r="B89" t="str">
            <v>A83</v>
          </cell>
          <cell r="C89">
            <v>0.35416666666666669</v>
          </cell>
          <cell r="D89">
            <v>0.41666666666666669</v>
          </cell>
          <cell r="E89">
            <v>42700</v>
          </cell>
          <cell r="F89">
            <v>0.4201388888888889</v>
          </cell>
          <cell r="G89">
            <v>0.42708333333333331</v>
          </cell>
          <cell r="H89">
            <v>42700</v>
          </cell>
          <cell r="I89">
            <v>0</v>
          </cell>
          <cell r="J89">
            <v>-7.0000000000000001E-3</v>
          </cell>
          <cell r="K89">
            <v>5.8000000000000003E-2</v>
          </cell>
          <cell r="L89">
            <v>-0.54200000000000004</v>
          </cell>
          <cell r="M89">
            <v>0.44097222222222227</v>
          </cell>
          <cell r="N89">
            <v>0.44791666666666669</v>
          </cell>
          <cell r="O89">
            <v>42700</v>
          </cell>
          <cell r="P89">
            <v>1.06</v>
          </cell>
          <cell r="Q89">
            <v>9</v>
          </cell>
          <cell r="R89">
            <v>22</v>
          </cell>
          <cell r="S89">
            <v>0</v>
          </cell>
          <cell r="T89">
            <v>0.60416666666666663</v>
          </cell>
          <cell r="U89">
            <v>42700</v>
          </cell>
          <cell r="V89">
            <v>21.15</v>
          </cell>
          <cell r="W89">
            <v>0.875</v>
          </cell>
          <cell r="X89">
            <v>42701</v>
          </cell>
          <cell r="Y89">
            <v>28.27</v>
          </cell>
          <cell r="Z89">
            <v>0.95833333333333337</v>
          </cell>
          <cell r="AA89">
            <v>0.98611111111111116</v>
          </cell>
          <cell r="AB89">
            <v>42701</v>
          </cell>
          <cell r="AC89">
            <v>28.5</v>
          </cell>
          <cell r="AD89">
            <v>0.98958333333333337</v>
          </cell>
          <cell r="AE89">
            <v>0.99652777777777779</v>
          </cell>
          <cell r="AF89">
            <v>42701</v>
          </cell>
          <cell r="AG89">
            <v>3.472222222222222E-3</v>
          </cell>
          <cell r="AH89">
            <v>4.1666666666666664E-2</v>
          </cell>
          <cell r="AI89">
            <v>42702</v>
          </cell>
          <cell r="AJ89">
            <v>8.3333333333333329E-2</v>
          </cell>
          <cell r="AK89">
            <v>8.819444444444445E-2</v>
          </cell>
          <cell r="AL89">
            <v>42702</v>
          </cell>
          <cell r="AM89">
            <v>1.05</v>
          </cell>
          <cell r="AN89">
            <v>9</v>
          </cell>
          <cell r="AO89">
            <v>24</v>
          </cell>
          <cell r="AP89">
            <v>0</v>
          </cell>
          <cell r="AQ89">
            <v>9.0277777777777776E-2</v>
          </cell>
          <cell r="AR89">
            <v>9.375E-2</v>
          </cell>
          <cell r="AS89">
            <v>42702</v>
          </cell>
          <cell r="AT89">
            <v>28.5</v>
          </cell>
          <cell r="AU89">
            <v>9.7222222222222224E-2</v>
          </cell>
          <cell r="AV89">
            <v>42702</v>
          </cell>
          <cell r="AW89">
            <v>0.16666666666666666</v>
          </cell>
          <cell r="AX89">
            <v>42702</v>
          </cell>
          <cell r="AY89">
            <v>7.4</v>
          </cell>
          <cell r="AZ89">
            <v>32</v>
          </cell>
        </row>
        <row r="90">
          <cell r="B90" t="str">
            <v>B42</v>
          </cell>
          <cell r="C90">
            <v>0.41666666666666669</v>
          </cell>
          <cell r="D90">
            <v>0.47916666666666669</v>
          </cell>
          <cell r="E90">
            <v>42701</v>
          </cell>
          <cell r="F90">
            <v>0.58333333333333337</v>
          </cell>
          <cell r="G90">
            <v>0.59027777777777779</v>
          </cell>
          <cell r="H90">
            <v>42701</v>
          </cell>
          <cell r="I90">
            <v>1.6E-2</v>
          </cell>
          <cell r="J90">
            <v>-3.0000000000000001E-3</v>
          </cell>
          <cell r="K90">
            <v>-9.5000000000000001E-2</v>
          </cell>
          <cell r="L90">
            <v>-0.29299999999999998</v>
          </cell>
          <cell r="M90">
            <v>0.60416666666666663</v>
          </cell>
          <cell r="N90">
            <v>0.61111111111111105</v>
          </cell>
          <cell r="O90">
            <v>42701</v>
          </cell>
          <cell r="P90">
            <v>1.06</v>
          </cell>
          <cell r="Q90">
            <v>9</v>
          </cell>
          <cell r="R90">
            <v>25</v>
          </cell>
          <cell r="S90">
            <v>0</v>
          </cell>
          <cell r="T90">
            <v>0.80555555555555547</v>
          </cell>
          <cell r="U90">
            <v>42701</v>
          </cell>
          <cell r="V90">
            <v>21.7</v>
          </cell>
          <cell r="W90">
            <v>0.89583333333333337</v>
          </cell>
          <cell r="X90">
            <v>42701</v>
          </cell>
          <cell r="Y90">
            <v>24.45</v>
          </cell>
          <cell r="Z90">
            <v>0.41666666666666669</v>
          </cell>
          <cell r="AA90">
            <v>0.42708333333333331</v>
          </cell>
          <cell r="AB90">
            <v>42702</v>
          </cell>
          <cell r="AC90">
            <v>24.55</v>
          </cell>
          <cell r="AD90">
            <v>0.43055555555555558</v>
          </cell>
          <cell r="AE90">
            <v>0.4375</v>
          </cell>
          <cell r="AF90">
            <v>42702</v>
          </cell>
          <cell r="AG90">
            <v>0.46875</v>
          </cell>
          <cell r="AH90">
            <v>0.53125</v>
          </cell>
          <cell r="AI90">
            <v>42702</v>
          </cell>
          <cell r="AJ90">
            <v>0.56944444444444442</v>
          </cell>
          <cell r="AK90">
            <v>0.57638888888888895</v>
          </cell>
          <cell r="AL90">
            <v>42702</v>
          </cell>
          <cell r="AM90">
            <v>1.06</v>
          </cell>
          <cell r="AN90">
            <v>9</v>
          </cell>
          <cell r="AO90">
            <v>25</v>
          </cell>
          <cell r="AP90">
            <v>0</v>
          </cell>
          <cell r="AQ90">
            <v>0.57986111111111105</v>
          </cell>
          <cell r="AR90">
            <v>0.58333333333333337</v>
          </cell>
          <cell r="AS90">
            <v>42702</v>
          </cell>
          <cell r="AT90">
            <v>24.55</v>
          </cell>
          <cell r="AU90">
            <v>0.59375</v>
          </cell>
          <cell r="AV90">
            <v>42702</v>
          </cell>
          <cell r="AW90">
            <v>0.60069444444444442</v>
          </cell>
          <cell r="AX90">
            <v>42702</v>
          </cell>
          <cell r="AY90">
            <v>5.6</v>
          </cell>
          <cell r="AZ90">
            <v>10</v>
          </cell>
        </row>
        <row r="91">
          <cell r="B91" t="str">
            <v>BP1</v>
          </cell>
          <cell r="C91">
            <v>0.68055555555555547</v>
          </cell>
          <cell r="D91">
            <v>0.75</v>
          </cell>
          <cell r="E91">
            <v>42701</v>
          </cell>
          <cell r="F91">
            <v>0.76041666666666663</v>
          </cell>
          <cell r="G91">
            <v>0.77083333333333337</v>
          </cell>
          <cell r="H91">
            <v>42701</v>
          </cell>
          <cell r="I91">
            <v>2E-3</v>
          </cell>
          <cell r="J91">
            <v>-2.1000000000000001E-2</v>
          </cell>
          <cell r="K91">
            <v>0.17299999999999999</v>
          </cell>
          <cell r="L91">
            <v>-0.27900000000000003</v>
          </cell>
          <cell r="M91">
            <v>0.78125</v>
          </cell>
          <cell r="N91">
            <v>0.79166666666666663</v>
          </cell>
          <cell r="O91">
            <v>42701</v>
          </cell>
          <cell r="P91">
            <v>1.06</v>
          </cell>
          <cell r="Q91">
            <v>9</v>
          </cell>
          <cell r="R91">
            <v>21</v>
          </cell>
          <cell r="S91">
            <v>0</v>
          </cell>
          <cell r="T91">
            <v>0.92708333333333337</v>
          </cell>
          <cell r="U91">
            <v>42701</v>
          </cell>
          <cell r="V91">
            <v>20.22</v>
          </cell>
          <cell r="W91">
            <v>0.3888888888888889</v>
          </cell>
          <cell r="X91">
            <v>42702</v>
          </cell>
          <cell r="Y91">
            <v>27.7</v>
          </cell>
          <cell r="Z91">
            <v>0.625</v>
          </cell>
          <cell r="AA91">
            <v>0.63888888888888895</v>
          </cell>
          <cell r="AB91">
            <v>42702</v>
          </cell>
          <cell r="AC91">
            <v>27.95</v>
          </cell>
          <cell r="AD91">
            <v>0.63888888888888895</v>
          </cell>
          <cell r="AE91">
            <v>0.65277777777777779</v>
          </cell>
          <cell r="AF91">
            <v>42702</v>
          </cell>
          <cell r="AG91">
            <v>0.65972222222222221</v>
          </cell>
          <cell r="AH91">
            <v>0.70138888888888884</v>
          </cell>
          <cell r="AI91">
            <v>42702</v>
          </cell>
          <cell r="AJ91">
            <v>0.84722222222222221</v>
          </cell>
          <cell r="AK91">
            <v>0.85416666666666663</v>
          </cell>
          <cell r="AL91">
            <v>42702</v>
          </cell>
          <cell r="AM91">
            <v>1.06</v>
          </cell>
          <cell r="AN91">
            <v>9</v>
          </cell>
          <cell r="AO91">
            <v>24</v>
          </cell>
          <cell r="AP91">
            <v>0</v>
          </cell>
          <cell r="AQ91">
            <v>0.86111111111111116</v>
          </cell>
          <cell r="AR91">
            <v>0.86458333333333337</v>
          </cell>
          <cell r="AS91">
            <v>42702</v>
          </cell>
          <cell r="AT91">
            <v>27.95</v>
          </cell>
          <cell r="AU91">
            <v>0.87152777777777779</v>
          </cell>
          <cell r="AV91">
            <v>42702</v>
          </cell>
          <cell r="AW91">
            <v>0.92361111111111116</v>
          </cell>
          <cell r="AX91">
            <v>42702</v>
          </cell>
          <cell r="AY91">
            <v>5.4</v>
          </cell>
          <cell r="AZ91">
            <v>32</v>
          </cell>
        </row>
        <row r="92">
          <cell r="B92" t="str">
            <v>A130</v>
          </cell>
          <cell r="C92">
            <v>0.5625</v>
          </cell>
          <cell r="D92">
            <v>0.625</v>
          </cell>
          <cell r="E92">
            <v>42701</v>
          </cell>
          <cell r="F92">
            <v>0.63541666666666663</v>
          </cell>
          <cell r="G92">
            <v>0.64583333333333337</v>
          </cell>
          <cell r="H92">
            <v>42701</v>
          </cell>
          <cell r="I92">
            <v>-1.4999999999999999E-2</v>
          </cell>
          <cell r="J92">
            <v>-8.9999999999999993E-3</v>
          </cell>
          <cell r="K92">
            <v>-0.63</v>
          </cell>
          <cell r="L92">
            <v>-1.0429999999999999</v>
          </cell>
          <cell r="M92">
            <v>0.30208333333333331</v>
          </cell>
          <cell r="N92">
            <v>0.3125</v>
          </cell>
          <cell r="O92">
            <v>42702</v>
          </cell>
          <cell r="P92">
            <v>1.05</v>
          </cell>
          <cell r="Q92">
            <v>9</v>
          </cell>
          <cell r="R92">
            <v>22</v>
          </cell>
          <cell r="S92">
            <v>0</v>
          </cell>
          <cell r="T92">
            <v>0.40625</v>
          </cell>
          <cell r="U92">
            <v>42702</v>
          </cell>
          <cell r="V92">
            <v>17.5</v>
          </cell>
          <cell r="W92">
            <v>0.92708333333333337</v>
          </cell>
          <cell r="X92">
            <v>42702</v>
          </cell>
          <cell r="Y92">
            <v>30.4</v>
          </cell>
          <cell r="Z92">
            <v>0.95833333333333337</v>
          </cell>
          <cell r="AA92">
            <v>0.98958333333333337</v>
          </cell>
          <cell r="AB92">
            <v>42702</v>
          </cell>
          <cell r="AC92">
            <v>30.45</v>
          </cell>
          <cell r="AD92">
            <v>0.99305555555555547</v>
          </cell>
          <cell r="AE92">
            <v>0.98958333333333337</v>
          </cell>
          <cell r="AF92">
            <v>42702</v>
          </cell>
          <cell r="AG92">
            <v>1.0416666666666666E-2</v>
          </cell>
          <cell r="AH92">
            <v>6.25E-2</v>
          </cell>
          <cell r="AI92">
            <v>42703</v>
          </cell>
          <cell r="AJ92">
            <v>8.3333333333333329E-2</v>
          </cell>
          <cell r="AK92">
            <v>9.0277777777777776E-2</v>
          </cell>
          <cell r="AL92">
            <v>42703</v>
          </cell>
          <cell r="AM92">
            <v>1.05</v>
          </cell>
          <cell r="AN92">
            <v>9</v>
          </cell>
          <cell r="AO92">
            <v>24</v>
          </cell>
          <cell r="AP92">
            <v>0</v>
          </cell>
          <cell r="AQ92">
            <v>0.1076388888888889</v>
          </cell>
          <cell r="AR92">
            <v>0.1111111111111111</v>
          </cell>
          <cell r="AS92">
            <v>42703</v>
          </cell>
          <cell r="AT92">
            <v>30.45</v>
          </cell>
          <cell r="AU92">
            <v>0.11805555555555557</v>
          </cell>
          <cell r="AV92">
            <v>42703</v>
          </cell>
          <cell r="AW92">
            <v>0.23958333333333334</v>
          </cell>
          <cell r="AX92">
            <v>42703</v>
          </cell>
          <cell r="AY92">
            <v>6.5</v>
          </cell>
          <cell r="AZ92">
            <v>49</v>
          </cell>
        </row>
        <row r="93">
          <cell r="B93" t="str">
            <v>A85</v>
          </cell>
          <cell r="C93">
            <v>0.375</v>
          </cell>
          <cell r="D93">
            <v>0.4375</v>
          </cell>
          <cell r="E93">
            <v>42701</v>
          </cell>
          <cell r="F93">
            <v>0.59027777777777779</v>
          </cell>
          <cell r="G93">
            <v>0.59722222222222221</v>
          </cell>
          <cell r="H93">
            <v>42701</v>
          </cell>
          <cell r="I93">
            <v>1.4E-2</v>
          </cell>
          <cell r="J93">
            <v>0.03</v>
          </cell>
          <cell r="K93">
            <v>9.9000000000000005E-2</v>
          </cell>
          <cell r="L93">
            <v>-0.21299999999999999</v>
          </cell>
          <cell r="M93">
            <v>0.2951388888888889</v>
          </cell>
          <cell r="N93">
            <v>0.2986111111111111</v>
          </cell>
          <cell r="O93">
            <v>42702</v>
          </cell>
          <cell r="P93">
            <v>1.06</v>
          </cell>
          <cell r="Q93">
            <v>9</v>
          </cell>
          <cell r="R93">
            <v>26</v>
          </cell>
          <cell r="S93">
            <v>0</v>
          </cell>
          <cell r="T93">
            <v>0.36805555555555558</v>
          </cell>
          <cell r="U93">
            <v>42702</v>
          </cell>
          <cell r="V93">
            <v>22.8</v>
          </cell>
          <cell r="W93">
            <v>0.86805555555555547</v>
          </cell>
          <cell r="X93">
            <v>42703</v>
          </cell>
          <cell r="Y93">
            <v>28.3</v>
          </cell>
          <cell r="Z93">
            <v>0.3125</v>
          </cell>
          <cell r="AA93">
            <v>0.3263888888888889</v>
          </cell>
          <cell r="AB93">
            <v>42703</v>
          </cell>
          <cell r="AC93">
            <v>28.33</v>
          </cell>
          <cell r="AD93">
            <v>0.33333333333333331</v>
          </cell>
          <cell r="AE93">
            <v>0.34722222222222227</v>
          </cell>
          <cell r="AF93">
            <v>42703</v>
          </cell>
          <cell r="AG93">
            <v>0.35069444444444442</v>
          </cell>
          <cell r="AH93">
            <v>0.47916666666666669</v>
          </cell>
          <cell r="AI93">
            <v>42703</v>
          </cell>
          <cell r="AJ93">
            <v>0.5625</v>
          </cell>
          <cell r="AK93">
            <v>0.56944444444444442</v>
          </cell>
          <cell r="AL93">
            <v>42703</v>
          </cell>
          <cell r="AM93">
            <v>1.06</v>
          </cell>
          <cell r="AN93">
            <v>9</v>
          </cell>
          <cell r="AO93">
            <v>26</v>
          </cell>
          <cell r="AP93">
            <v>0</v>
          </cell>
          <cell r="AQ93">
            <v>0.57291666666666663</v>
          </cell>
          <cell r="AR93">
            <v>0.58263888888888882</v>
          </cell>
          <cell r="AS93">
            <v>42703</v>
          </cell>
          <cell r="AT93">
            <v>28.33</v>
          </cell>
          <cell r="AU93">
            <v>0.59375</v>
          </cell>
          <cell r="AV93">
            <v>42703</v>
          </cell>
          <cell r="AW93">
            <v>0.63541666666666663</v>
          </cell>
          <cell r="AX93">
            <v>42703</v>
          </cell>
          <cell r="AY93">
            <v>8.6</v>
          </cell>
          <cell r="AZ93">
            <v>29</v>
          </cell>
        </row>
        <row r="94">
          <cell r="B94" t="str">
            <v>A50</v>
          </cell>
          <cell r="C94">
            <v>0.375</v>
          </cell>
          <cell r="D94">
            <v>0.4375</v>
          </cell>
          <cell r="E94">
            <v>42703</v>
          </cell>
          <cell r="F94">
            <v>0.44097222222222227</v>
          </cell>
          <cell r="G94">
            <v>0.4513888888888889</v>
          </cell>
          <cell r="H94">
            <v>42703</v>
          </cell>
          <cell r="I94">
            <v>-2.4E-2</v>
          </cell>
          <cell r="J94">
            <v>2.4E-2</v>
          </cell>
          <cell r="K94">
            <v>-9.5000000000000001E-2</v>
          </cell>
          <cell r="L94">
            <v>-0.68899999999999995</v>
          </cell>
          <cell r="M94">
            <v>0.4548611111111111</v>
          </cell>
          <cell r="N94">
            <v>0.46527777777777773</v>
          </cell>
          <cell r="O94">
            <v>42703</v>
          </cell>
          <cell r="P94">
            <v>1.05</v>
          </cell>
          <cell r="Q94">
            <v>9</v>
          </cell>
          <cell r="R94">
            <v>27</v>
          </cell>
          <cell r="S94">
            <v>0</v>
          </cell>
          <cell r="T94">
            <v>0.64583333333333337</v>
          </cell>
          <cell r="U94">
            <v>42703</v>
          </cell>
          <cell r="V94">
            <v>21.2</v>
          </cell>
          <cell r="W94">
            <v>0.5625</v>
          </cell>
          <cell r="X94">
            <v>42704</v>
          </cell>
          <cell r="Y94">
            <v>30.9</v>
          </cell>
          <cell r="Z94">
            <v>0.58333333333333337</v>
          </cell>
          <cell r="AA94">
            <v>0.60069444444444442</v>
          </cell>
          <cell r="AB94">
            <v>42704</v>
          </cell>
          <cell r="AC94">
            <v>30.93</v>
          </cell>
          <cell r="AD94">
            <v>0.60416666666666663</v>
          </cell>
          <cell r="AE94">
            <v>0.625</v>
          </cell>
          <cell r="AF94">
            <v>42704</v>
          </cell>
          <cell r="AG94">
            <v>0.62847222222222221</v>
          </cell>
          <cell r="AH94">
            <v>0.69791666666666663</v>
          </cell>
          <cell r="AI94">
            <v>42704</v>
          </cell>
          <cell r="AJ94">
            <v>0.76388888888888884</v>
          </cell>
          <cell r="AK94">
            <v>0.76736111111111116</v>
          </cell>
          <cell r="AL94">
            <v>42704</v>
          </cell>
          <cell r="AM94">
            <v>1.05</v>
          </cell>
          <cell r="AN94">
            <v>9</v>
          </cell>
          <cell r="AO94">
            <v>27</v>
          </cell>
          <cell r="AP94">
            <v>0</v>
          </cell>
          <cell r="AQ94">
            <v>0.77083333333333337</v>
          </cell>
          <cell r="AR94">
            <v>0.77430555555555547</v>
          </cell>
          <cell r="AS94">
            <v>42704</v>
          </cell>
          <cell r="AT94">
            <v>30.93</v>
          </cell>
          <cell r="AU94">
            <v>0.77777777777777779</v>
          </cell>
          <cell r="AV94">
            <v>42704</v>
          </cell>
          <cell r="AW94">
            <v>0.86805555555555547</v>
          </cell>
          <cell r="AX94">
            <v>42704</v>
          </cell>
          <cell r="AY94">
            <v>7.4</v>
          </cell>
          <cell r="AZ94">
            <v>48</v>
          </cell>
        </row>
        <row r="95">
          <cell r="B95" t="str">
            <v>A54</v>
          </cell>
          <cell r="C95">
            <v>0.43055555555555558</v>
          </cell>
          <cell r="D95">
            <v>0.48958333333333331</v>
          </cell>
          <cell r="E95">
            <v>42703</v>
          </cell>
          <cell r="F95">
            <v>0.60416666666666663</v>
          </cell>
          <cell r="G95">
            <v>0.61111111111111105</v>
          </cell>
          <cell r="H95">
            <v>42703</v>
          </cell>
          <cell r="I95">
            <v>2.5999999999999999E-2</v>
          </cell>
          <cell r="J95">
            <v>-1.2E-2</v>
          </cell>
          <cell r="K95">
            <v>-0.316</v>
          </cell>
          <cell r="L95">
            <v>-0.629</v>
          </cell>
          <cell r="M95">
            <v>0.58333333333333337</v>
          </cell>
          <cell r="N95">
            <v>0.59375</v>
          </cell>
          <cell r="O95">
            <v>42704</v>
          </cell>
          <cell r="P95">
            <v>1.06</v>
          </cell>
          <cell r="Q95">
            <v>9</v>
          </cell>
          <cell r="R95">
            <v>26</v>
          </cell>
          <cell r="S95">
            <v>0</v>
          </cell>
          <cell r="T95">
            <v>0.88888888888888884</v>
          </cell>
          <cell r="U95">
            <v>42704</v>
          </cell>
          <cell r="V95">
            <v>19.600000000000001</v>
          </cell>
          <cell r="W95">
            <v>0.90277777777777779</v>
          </cell>
          <cell r="X95">
            <v>42704</v>
          </cell>
          <cell r="Y95">
            <v>21</v>
          </cell>
          <cell r="Z95">
            <v>0.96527777777777779</v>
          </cell>
          <cell r="AA95">
            <v>0.98611111111111116</v>
          </cell>
          <cell r="AB95">
            <v>42704</v>
          </cell>
          <cell r="AC95">
            <v>21</v>
          </cell>
          <cell r="AD95">
            <v>0.99305555555555547</v>
          </cell>
          <cell r="AE95">
            <v>0.99652777777777779</v>
          </cell>
          <cell r="AF95">
            <v>42704</v>
          </cell>
          <cell r="AG95">
            <v>6.9444444444444441E-3</v>
          </cell>
          <cell r="AH95">
            <v>2.0833333333333332E-2</v>
          </cell>
          <cell r="AI95">
            <v>42705</v>
          </cell>
          <cell r="AJ95">
            <v>5.5555555555555552E-2</v>
          </cell>
          <cell r="AK95">
            <v>5.9722222222222225E-2</v>
          </cell>
          <cell r="AL95">
            <v>42705</v>
          </cell>
          <cell r="AM95">
            <v>1.05</v>
          </cell>
          <cell r="AN95">
            <v>9</v>
          </cell>
          <cell r="AO95">
            <v>22</v>
          </cell>
          <cell r="AP95">
            <v>0</v>
          </cell>
          <cell r="AQ95">
            <v>6.25E-2</v>
          </cell>
          <cell r="AR95">
            <v>6.5972222222222224E-2</v>
          </cell>
          <cell r="AS95">
            <v>42705</v>
          </cell>
          <cell r="AT95">
            <v>21</v>
          </cell>
          <cell r="AU95">
            <v>6.9444444444444434E-2</v>
          </cell>
          <cell r="AV95">
            <v>42705</v>
          </cell>
          <cell r="AW95">
            <v>8.5416666666666655E-2</v>
          </cell>
          <cell r="AX95">
            <v>42705</v>
          </cell>
          <cell r="AY95">
            <v>7</v>
          </cell>
          <cell r="AZ95">
            <v>19</v>
          </cell>
        </row>
        <row r="96">
          <cell r="B96" t="str">
            <v>A140</v>
          </cell>
          <cell r="C96">
            <v>0.39583333333333331</v>
          </cell>
          <cell r="D96">
            <v>0.45833333333333331</v>
          </cell>
          <cell r="E96">
            <v>42702</v>
          </cell>
          <cell r="F96">
            <v>0.47569444444444442</v>
          </cell>
          <cell r="G96">
            <v>0.4861111111111111</v>
          </cell>
          <cell r="H96">
            <v>42702</v>
          </cell>
          <cell r="I96">
            <v>-3.0000000000000001E-3</v>
          </cell>
          <cell r="J96">
            <v>2.5999999999999999E-2</v>
          </cell>
          <cell r="K96">
            <v>1.7999999999999999E-2</v>
          </cell>
          <cell r="L96">
            <v>-0.33200000000000002</v>
          </cell>
          <cell r="M96">
            <v>0.57291666666666663</v>
          </cell>
          <cell r="N96">
            <v>0.57638888888888895</v>
          </cell>
          <cell r="O96">
            <v>42702</v>
          </cell>
          <cell r="P96">
            <v>1.06</v>
          </cell>
          <cell r="Q96">
            <v>9</v>
          </cell>
          <cell r="R96">
            <v>25</v>
          </cell>
          <cell r="S96">
            <v>0</v>
          </cell>
          <cell r="T96">
            <v>0.61458333333333337</v>
          </cell>
          <cell r="U96">
            <v>42703</v>
          </cell>
          <cell r="V96">
            <v>21.1</v>
          </cell>
          <cell r="W96">
            <v>0.76388888888888884</v>
          </cell>
          <cell r="X96">
            <v>42705</v>
          </cell>
          <cell r="Y96">
            <v>28.71</v>
          </cell>
          <cell r="Z96">
            <v>0.79166666666666663</v>
          </cell>
          <cell r="AA96">
            <v>0.8125</v>
          </cell>
          <cell r="AB96">
            <v>42705</v>
          </cell>
          <cell r="AC96">
            <v>28.75</v>
          </cell>
          <cell r="AD96">
            <v>0.81944444444444453</v>
          </cell>
          <cell r="AE96">
            <v>0.82638888888888884</v>
          </cell>
          <cell r="AF96">
            <v>42705</v>
          </cell>
          <cell r="AG96">
            <v>0.83680555555555547</v>
          </cell>
          <cell r="AH96">
            <v>0.86111111111111116</v>
          </cell>
          <cell r="AI96">
            <v>42705</v>
          </cell>
          <cell r="AJ96">
            <v>0.91666666666666663</v>
          </cell>
          <cell r="AK96">
            <v>0.92361111111111116</v>
          </cell>
          <cell r="AL96">
            <v>42705</v>
          </cell>
          <cell r="AM96">
            <v>1.05</v>
          </cell>
          <cell r="AN96">
            <v>9</v>
          </cell>
          <cell r="AO96">
            <v>25</v>
          </cell>
          <cell r="AP96">
            <v>0</v>
          </cell>
          <cell r="AQ96">
            <v>0.92708333333333337</v>
          </cell>
          <cell r="AR96">
            <v>0.93055555555555547</v>
          </cell>
          <cell r="AS96">
            <v>42705</v>
          </cell>
          <cell r="AT96">
            <v>28.75</v>
          </cell>
          <cell r="AU96">
            <v>0.93402777777777779</v>
          </cell>
          <cell r="AV96">
            <v>42705</v>
          </cell>
          <cell r="AW96">
            <v>0.98958333333333337</v>
          </cell>
          <cell r="AX96">
            <v>42705</v>
          </cell>
          <cell r="AY96">
            <v>7.6</v>
          </cell>
          <cell r="AZ96">
            <v>30</v>
          </cell>
        </row>
        <row r="97">
          <cell r="B97" t="str">
            <v>A82</v>
          </cell>
          <cell r="C97">
            <v>0.625</v>
          </cell>
          <cell r="D97">
            <v>0.70833333333333337</v>
          </cell>
          <cell r="E97">
            <v>42704</v>
          </cell>
          <cell r="F97">
            <v>0.77083333333333337</v>
          </cell>
          <cell r="G97">
            <v>0.78125</v>
          </cell>
          <cell r="H97">
            <v>42704</v>
          </cell>
          <cell r="I97">
            <v>0.115</v>
          </cell>
          <cell r="J97">
            <v>-0.02</v>
          </cell>
          <cell r="K97">
            <v>1.2999999999999999E-2</v>
          </cell>
          <cell r="L97">
            <v>-0.29599999999999999</v>
          </cell>
          <cell r="M97">
            <v>0.79166666666666663</v>
          </cell>
          <cell r="N97">
            <v>0.80208333333333337</v>
          </cell>
          <cell r="O97">
            <v>42704</v>
          </cell>
          <cell r="P97">
            <v>1.05</v>
          </cell>
          <cell r="Q97">
            <v>9</v>
          </cell>
          <cell r="R97">
            <v>23</v>
          </cell>
          <cell r="S97">
            <v>0</v>
          </cell>
          <cell r="T97">
            <v>0.34375</v>
          </cell>
          <cell r="U97">
            <v>42705</v>
          </cell>
          <cell r="V97">
            <v>21.1</v>
          </cell>
          <cell r="W97">
            <v>0.91666666666666663</v>
          </cell>
          <cell r="X97">
            <v>42705</v>
          </cell>
          <cell r="Y97">
            <v>28.35</v>
          </cell>
          <cell r="Z97">
            <v>0.96527777777777779</v>
          </cell>
          <cell r="AA97">
            <v>0.98958333333333337</v>
          </cell>
          <cell r="AB97">
            <v>42705</v>
          </cell>
          <cell r="AC97">
            <v>28.4</v>
          </cell>
          <cell r="AD97">
            <v>0.99097222222222225</v>
          </cell>
          <cell r="AE97">
            <v>0.99652777777777779</v>
          </cell>
          <cell r="AF97">
            <v>42705</v>
          </cell>
          <cell r="AG97">
            <v>0</v>
          </cell>
          <cell r="AH97">
            <v>5.5555555555555552E-2</v>
          </cell>
          <cell r="AI97">
            <v>42706</v>
          </cell>
          <cell r="AJ97">
            <v>0.13541666666666666</v>
          </cell>
          <cell r="AK97">
            <v>0.1423611111111111</v>
          </cell>
          <cell r="AL97">
            <v>42706</v>
          </cell>
          <cell r="AM97">
            <v>1.06</v>
          </cell>
          <cell r="AN97">
            <v>9</v>
          </cell>
          <cell r="AO97">
            <v>25</v>
          </cell>
          <cell r="AP97">
            <v>0</v>
          </cell>
          <cell r="AQ97">
            <v>0.15277777777777776</v>
          </cell>
          <cell r="AR97">
            <v>0.15625</v>
          </cell>
          <cell r="AS97">
            <v>42706</v>
          </cell>
          <cell r="AT97">
            <v>28.4</v>
          </cell>
          <cell r="AU97">
            <v>0.16319444444444445</v>
          </cell>
          <cell r="AV97">
            <v>42706</v>
          </cell>
          <cell r="AW97">
            <v>0.18888888888888888</v>
          </cell>
          <cell r="AX97">
            <v>42706</v>
          </cell>
          <cell r="AY97">
            <v>7.5</v>
          </cell>
          <cell r="AZ97">
            <v>27</v>
          </cell>
        </row>
        <row r="98">
          <cell r="B98" t="str">
            <v>A59</v>
          </cell>
          <cell r="C98">
            <v>0.5625</v>
          </cell>
          <cell r="D98">
            <v>0.60416666666666663</v>
          </cell>
          <cell r="E98">
            <v>42705</v>
          </cell>
          <cell r="F98">
            <v>0.65625</v>
          </cell>
          <cell r="G98">
            <v>0.66666666666666663</v>
          </cell>
          <cell r="H98">
            <v>42705</v>
          </cell>
          <cell r="I98">
            <v>-2.1000000000000001E-2</v>
          </cell>
          <cell r="J98">
            <v>1.4E-2</v>
          </cell>
          <cell r="K98">
            <v>-0.17899999999999999</v>
          </cell>
          <cell r="L98">
            <v>-0.68400000000000005</v>
          </cell>
          <cell r="M98">
            <v>0.67361111111111116</v>
          </cell>
          <cell r="N98">
            <v>0.68402777777777779</v>
          </cell>
          <cell r="O98">
            <v>42705</v>
          </cell>
          <cell r="P98">
            <v>1.05</v>
          </cell>
          <cell r="Q98">
            <v>9</v>
          </cell>
          <cell r="R98">
            <v>26</v>
          </cell>
          <cell r="S98">
            <v>0</v>
          </cell>
          <cell r="T98">
            <v>0.76041666666666663</v>
          </cell>
          <cell r="U98">
            <v>42705</v>
          </cell>
          <cell r="V98">
            <v>19.350000000000001</v>
          </cell>
          <cell r="W98">
            <v>0.875</v>
          </cell>
          <cell r="X98">
            <v>42705</v>
          </cell>
          <cell r="Y98">
            <v>21.05</v>
          </cell>
          <cell r="Z98">
            <v>0.9375</v>
          </cell>
          <cell r="AA98">
            <v>0.97222222222222221</v>
          </cell>
          <cell r="AB98">
            <v>42705</v>
          </cell>
          <cell r="AC98">
            <v>21.15</v>
          </cell>
          <cell r="AD98">
            <v>0.98611111111111116</v>
          </cell>
          <cell r="AE98">
            <v>0.99652777777777779</v>
          </cell>
          <cell r="AF98">
            <v>42705</v>
          </cell>
          <cell r="AG98">
            <v>6.9444444444444441E-3</v>
          </cell>
          <cell r="AH98">
            <v>2.4305555555555556E-2</v>
          </cell>
          <cell r="AI98">
            <v>42706</v>
          </cell>
          <cell r="AJ98">
            <v>4.1666666666666664E-2</v>
          </cell>
          <cell r="AK98">
            <v>4.5138888888888888E-2</v>
          </cell>
          <cell r="AL98">
            <v>42706</v>
          </cell>
          <cell r="AM98">
            <v>1.05</v>
          </cell>
          <cell r="AN98">
            <v>9</v>
          </cell>
          <cell r="AO98">
            <v>22</v>
          </cell>
          <cell r="AP98">
            <v>0</v>
          </cell>
          <cell r="AQ98">
            <v>4.8611111111111112E-2</v>
          </cell>
          <cell r="AR98">
            <v>5.2083333333333336E-2</v>
          </cell>
          <cell r="AS98">
            <v>42706</v>
          </cell>
          <cell r="AT98">
            <v>21.15</v>
          </cell>
          <cell r="AU98">
            <v>0.89236111111111116</v>
          </cell>
          <cell r="AV98">
            <v>42706</v>
          </cell>
          <cell r="AW98">
            <v>0.1111111111111111</v>
          </cell>
          <cell r="AX98">
            <v>42706</v>
          </cell>
          <cell r="AY98">
            <v>7.1</v>
          </cell>
          <cell r="AZ98">
            <v>19</v>
          </cell>
        </row>
        <row r="99">
          <cell r="B99" t="str">
            <v>A55</v>
          </cell>
          <cell r="C99">
            <v>0.60416666666666663</v>
          </cell>
          <cell r="D99">
            <v>0.64583333333333337</v>
          </cell>
          <cell r="E99">
            <v>42705</v>
          </cell>
          <cell r="F99">
            <v>0.69097222222222221</v>
          </cell>
          <cell r="G99">
            <v>0.70138888888888884</v>
          </cell>
          <cell r="H99">
            <v>42705</v>
          </cell>
          <cell r="I99">
            <v>-1.6E-2</v>
          </cell>
          <cell r="J99">
            <v>2.1999999999999999E-2</v>
          </cell>
          <cell r="K99">
            <v>-0.34599999999999997</v>
          </cell>
          <cell r="L99">
            <v>-0.68400000000000005</v>
          </cell>
          <cell r="M99">
            <v>0.70486111111111116</v>
          </cell>
          <cell r="N99">
            <v>0.71180555555555547</v>
          </cell>
          <cell r="O99">
            <v>42705</v>
          </cell>
          <cell r="P99">
            <v>1.06</v>
          </cell>
          <cell r="Q99">
            <v>9</v>
          </cell>
          <cell r="R99">
            <v>26</v>
          </cell>
          <cell r="S99">
            <v>0</v>
          </cell>
          <cell r="T99">
            <v>0.75</v>
          </cell>
          <cell r="U99">
            <v>42705</v>
          </cell>
          <cell r="V99">
            <v>20.5</v>
          </cell>
          <cell r="W99">
            <v>0.94444444444444453</v>
          </cell>
          <cell r="X99">
            <v>42705</v>
          </cell>
          <cell r="Y99">
            <v>27</v>
          </cell>
          <cell r="Z99">
            <v>0.33333333333333331</v>
          </cell>
          <cell r="AA99">
            <v>0.35416666666666669</v>
          </cell>
          <cell r="AB99">
            <v>42706</v>
          </cell>
          <cell r="AC99">
            <v>27.05</v>
          </cell>
          <cell r="AD99">
            <v>0.3611111111111111</v>
          </cell>
          <cell r="AE99">
            <v>0.38194444444444442</v>
          </cell>
          <cell r="AF99">
            <v>42706</v>
          </cell>
          <cell r="AG99">
            <v>0.38541666666666669</v>
          </cell>
          <cell r="AH99">
            <v>0.5</v>
          </cell>
          <cell r="AI99">
            <v>42706</v>
          </cell>
          <cell r="AJ99">
            <v>0.59027777777777779</v>
          </cell>
          <cell r="AK99">
            <v>0.59375</v>
          </cell>
          <cell r="AL99">
            <v>42706</v>
          </cell>
          <cell r="AM99">
            <v>1.06</v>
          </cell>
          <cell r="AN99">
            <v>9</v>
          </cell>
          <cell r="AO99">
            <v>26</v>
          </cell>
          <cell r="AP99">
            <v>0</v>
          </cell>
          <cell r="AQ99">
            <v>0.59375</v>
          </cell>
          <cell r="AR99">
            <v>0.59722222222222221</v>
          </cell>
          <cell r="AS99">
            <v>42706</v>
          </cell>
          <cell r="AT99">
            <v>27.05</v>
          </cell>
          <cell r="AU99">
            <v>0.60416666666666663</v>
          </cell>
          <cell r="AV99">
            <v>42706</v>
          </cell>
          <cell r="AW99">
            <v>0.64930555555555558</v>
          </cell>
          <cell r="AX99">
            <v>42706</v>
          </cell>
          <cell r="AY99">
            <v>7.4</v>
          </cell>
          <cell r="AZ99">
            <v>25</v>
          </cell>
        </row>
        <row r="100">
          <cell r="B100" t="str">
            <v>A137</v>
          </cell>
          <cell r="C100">
            <v>0.35416666666666669</v>
          </cell>
          <cell r="D100">
            <v>0.41666666666666669</v>
          </cell>
          <cell r="E100">
            <v>42706</v>
          </cell>
          <cell r="F100">
            <v>0.47222222222222227</v>
          </cell>
          <cell r="G100">
            <v>0.4826388888888889</v>
          </cell>
          <cell r="H100">
            <v>42706</v>
          </cell>
          <cell r="I100">
            <v>-2.4E-2</v>
          </cell>
          <cell r="J100">
            <v>6.0000000000000001E-3</v>
          </cell>
          <cell r="K100">
            <v>-0.187</v>
          </cell>
          <cell r="L100">
            <v>-0.49299999999999999</v>
          </cell>
          <cell r="M100">
            <v>0.54513888888888895</v>
          </cell>
          <cell r="N100">
            <v>0.55555555555555558</v>
          </cell>
          <cell r="O100">
            <v>42706</v>
          </cell>
          <cell r="P100">
            <v>1.06</v>
          </cell>
          <cell r="Q100">
            <v>9</v>
          </cell>
          <cell r="R100">
            <v>26</v>
          </cell>
          <cell r="S100">
            <v>0</v>
          </cell>
          <cell r="T100">
            <v>0.60416666666666663</v>
          </cell>
          <cell r="U100">
            <v>42706</v>
          </cell>
          <cell r="V100">
            <v>21.9</v>
          </cell>
          <cell r="W100">
            <v>0.74305555555555547</v>
          </cell>
          <cell r="X100">
            <v>42706</v>
          </cell>
          <cell r="Y100">
            <v>28.6</v>
          </cell>
          <cell r="Z100">
            <v>0.79166666666666663</v>
          </cell>
          <cell r="AA100">
            <v>0.81944444444444453</v>
          </cell>
          <cell r="AB100">
            <v>42706</v>
          </cell>
          <cell r="AC100">
            <v>28.65</v>
          </cell>
          <cell r="AD100">
            <v>0.84027777777777779</v>
          </cell>
          <cell r="AE100">
            <v>0.84722222222222221</v>
          </cell>
          <cell r="AF100">
            <v>42706</v>
          </cell>
          <cell r="AG100">
            <v>0.85763888888888884</v>
          </cell>
          <cell r="AH100">
            <v>0.90277777777777779</v>
          </cell>
          <cell r="AI100">
            <v>42706</v>
          </cell>
          <cell r="AJ100">
            <v>0.96527777777777779</v>
          </cell>
          <cell r="AK100">
            <v>0.96875</v>
          </cell>
          <cell r="AL100">
            <v>42706</v>
          </cell>
          <cell r="AM100">
            <v>1.05</v>
          </cell>
          <cell r="AN100">
            <v>9</v>
          </cell>
          <cell r="AO100">
            <v>23</v>
          </cell>
          <cell r="AP100">
            <v>0</v>
          </cell>
          <cell r="AQ100">
            <v>0.97222222222222221</v>
          </cell>
          <cell r="AR100">
            <v>0.97569444444444453</v>
          </cell>
          <cell r="AS100">
            <v>42706</v>
          </cell>
          <cell r="AT100">
            <v>28.65</v>
          </cell>
          <cell r="AU100">
            <v>0.97916666666666663</v>
          </cell>
          <cell r="AV100">
            <v>42706</v>
          </cell>
          <cell r="AW100">
            <v>6.25E-2</v>
          </cell>
          <cell r="AX100">
            <v>42707</v>
          </cell>
          <cell r="AY100">
            <v>6.7</v>
          </cell>
          <cell r="AZ100">
            <v>32</v>
          </cell>
        </row>
        <row r="101">
          <cell r="B101" t="str">
            <v>A68</v>
          </cell>
          <cell r="C101">
            <v>0.70833333333333337</v>
          </cell>
          <cell r="D101">
            <v>0.75</v>
          </cell>
          <cell r="E101">
            <v>42706</v>
          </cell>
          <cell r="F101">
            <v>0.90972222222222221</v>
          </cell>
          <cell r="G101">
            <v>0.91666666666666663</v>
          </cell>
          <cell r="H101">
            <v>42706</v>
          </cell>
          <cell r="I101">
            <v>-2.5999999999999999E-2</v>
          </cell>
          <cell r="J101">
            <v>-1.4E-2</v>
          </cell>
          <cell r="K101">
            <v>0.125</v>
          </cell>
          <cell r="L101">
            <v>-0.10100000000000001</v>
          </cell>
          <cell r="M101">
            <v>0.875</v>
          </cell>
          <cell r="N101">
            <v>0.88541666666666663</v>
          </cell>
          <cell r="O101">
            <v>42706</v>
          </cell>
          <cell r="P101">
            <v>1.06</v>
          </cell>
          <cell r="Q101">
            <v>9</v>
          </cell>
          <cell r="R101">
            <v>26</v>
          </cell>
          <cell r="S101">
            <v>0</v>
          </cell>
          <cell r="T101">
            <v>0.40625</v>
          </cell>
          <cell r="U101">
            <v>42707</v>
          </cell>
          <cell r="V101">
            <v>19.899999999999999</v>
          </cell>
          <cell r="W101">
            <v>0.60416666666666663</v>
          </cell>
          <cell r="X101">
            <v>42707</v>
          </cell>
          <cell r="Y101">
            <v>27.01</v>
          </cell>
          <cell r="Z101">
            <v>0.63541666666666663</v>
          </cell>
          <cell r="AA101">
            <v>0.65277777777777779</v>
          </cell>
          <cell r="AB101">
            <v>42707</v>
          </cell>
          <cell r="AC101">
            <v>27.01</v>
          </cell>
          <cell r="AD101">
            <v>0.65625</v>
          </cell>
          <cell r="AE101">
            <v>0.67361111111111116</v>
          </cell>
          <cell r="AF101">
            <v>42707</v>
          </cell>
          <cell r="AG101">
            <v>0.67708333333333337</v>
          </cell>
          <cell r="AH101">
            <v>0.72222222222222221</v>
          </cell>
          <cell r="AI101">
            <v>42707</v>
          </cell>
          <cell r="AJ101">
            <v>0.80555555555555547</v>
          </cell>
          <cell r="AK101">
            <v>0.8125</v>
          </cell>
          <cell r="AL101">
            <v>42707</v>
          </cell>
          <cell r="AM101">
            <v>1.05</v>
          </cell>
          <cell r="AN101">
            <v>9</v>
          </cell>
          <cell r="AO101">
            <v>25</v>
          </cell>
          <cell r="AP101">
            <v>0</v>
          </cell>
          <cell r="AQ101">
            <v>0.81944444444444453</v>
          </cell>
          <cell r="AR101">
            <v>0.82291666666666663</v>
          </cell>
          <cell r="AS101">
            <v>42707</v>
          </cell>
          <cell r="AT101">
            <v>27.01</v>
          </cell>
          <cell r="AU101">
            <v>0.82638888888888884</v>
          </cell>
          <cell r="AV101">
            <v>42707</v>
          </cell>
          <cell r="AW101">
            <v>0.85416666666666663</v>
          </cell>
          <cell r="AX101">
            <v>42707</v>
          </cell>
          <cell r="AY101">
            <v>7.9</v>
          </cell>
          <cell r="AZ101">
            <v>23</v>
          </cell>
        </row>
        <row r="102">
          <cell r="B102" t="str">
            <v>A56</v>
          </cell>
          <cell r="C102">
            <v>0.77083333333333337</v>
          </cell>
          <cell r="D102">
            <v>0.79166666666666663</v>
          </cell>
          <cell r="E102">
            <v>42706</v>
          </cell>
          <cell r="F102">
            <v>0.91666666666666663</v>
          </cell>
          <cell r="G102">
            <v>0.92708333333333337</v>
          </cell>
          <cell r="H102">
            <v>42706</v>
          </cell>
          <cell r="I102">
            <v>1.7999999999999999E-2</v>
          </cell>
          <cell r="J102">
            <v>7.0000000000000001E-3</v>
          </cell>
          <cell r="K102">
            <v>-0.30199999999999999</v>
          </cell>
          <cell r="L102">
            <v>-0.51200000000000001</v>
          </cell>
          <cell r="M102">
            <v>0.30555555555555552</v>
          </cell>
          <cell r="N102">
            <v>0.3125</v>
          </cell>
          <cell r="O102">
            <v>42707</v>
          </cell>
          <cell r="P102">
            <v>1.06</v>
          </cell>
          <cell r="Q102">
            <v>9</v>
          </cell>
          <cell r="R102">
            <v>26</v>
          </cell>
          <cell r="S102">
            <v>0</v>
          </cell>
          <cell r="T102">
            <v>0.3888888888888889</v>
          </cell>
          <cell r="U102">
            <v>42707</v>
          </cell>
          <cell r="V102">
            <v>20.2</v>
          </cell>
          <cell r="W102">
            <v>0.73958333333333337</v>
          </cell>
          <cell r="X102">
            <v>42707</v>
          </cell>
          <cell r="Y102">
            <v>27.03</v>
          </cell>
          <cell r="Z102">
            <v>0.86111111111111116</v>
          </cell>
          <cell r="AA102">
            <v>0.88888888888888884</v>
          </cell>
          <cell r="AB102">
            <v>42707</v>
          </cell>
          <cell r="AC102">
            <v>27.03</v>
          </cell>
          <cell r="AD102">
            <v>0.90625</v>
          </cell>
          <cell r="AE102">
            <v>0.91666666666666663</v>
          </cell>
          <cell r="AF102">
            <v>42707</v>
          </cell>
          <cell r="AG102">
            <v>0.92361111111111116</v>
          </cell>
          <cell r="AH102">
            <v>0.96180555555555547</v>
          </cell>
          <cell r="AI102">
            <v>42707</v>
          </cell>
          <cell r="AJ102">
            <v>6.9444444444444441E-3</v>
          </cell>
          <cell r="AK102">
            <v>1.1111111111111112E-2</v>
          </cell>
          <cell r="AL102">
            <v>42708</v>
          </cell>
          <cell r="AM102">
            <v>1.06</v>
          </cell>
          <cell r="AN102">
            <v>9</v>
          </cell>
          <cell r="AO102">
            <v>24</v>
          </cell>
          <cell r="AP102">
            <v>0</v>
          </cell>
          <cell r="AQ102">
            <v>1.3888888888888888E-2</v>
          </cell>
          <cell r="AR102">
            <v>1.7361111111111112E-2</v>
          </cell>
          <cell r="AS102">
            <v>42708</v>
          </cell>
          <cell r="AT102">
            <v>27.03</v>
          </cell>
          <cell r="AU102">
            <v>2.0833333333333332E-2</v>
          </cell>
          <cell r="AV102">
            <v>42708</v>
          </cell>
          <cell r="AW102">
            <v>8.3333333333333329E-2</v>
          </cell>
          <cell r="AX102">
            <v>42708</v>
          </cell>
          <cell r="AY102">
            <v>7.3</v>
          </cell>
          <cell r="AZ102">
            <v>34</v>
          </cell>
        </row>
        <row r="103">
          <cell r="B103" t="str">
            <v>A58</v>
          </cell>
          <cell r="C103">
            <v>0.29166666666666669</v>
          </cell>
          <cell r="D103">
            <v>0.35416666666666669</v>
          </cell>
          <cell r="E103">
            <v>42707</v>
          </cell>
          <cell r="F103">
            <v>0.39583333333333331</v>
          </cell>
          <cell r="G103">
            <v>0.40625</v>
          </cell>
          <cell r="H103">
            <v>42707</v>
          </cell>
          <cell r="I103">
            <v>-1.7000000000000001E-2</v>
          </cell>
          <cell r="J103">
            <v>1.4999999999999999E-2</v>
          </cell>
          <cell r="K103">
            <v>1.2999999999999999E-2</v>
          </cell>
          <cell r="L103">
            <v>-0.57799999999999996</v>
          </cell>
          <cell r="M103">
            <v>0.44444444444444442</v>
          </cell>
          <cell r="N103">
            <v>0.4513888888888889</v>
          </cell>
          <cell r="O103">
            <v>42707</v>
          </cell>
          <cell r="P103">
            <v>1.06</v>
          </cell>
          <cell r="Q103">
            <v>9</v>
          </cell>
          <cell r="R103">
            <v>26</v>
          </cell>
          <cell r="S103">
            <v>0</v>
          </cell>
          <cell r="T103">
            <v>0.47222222222222227</v>
          </cell>
          <cell r="U103">
            <v>42707</v>
          </cell>
          <cell r="V103">
            <v>19.760000000000002</v>
          </cell>
          <cell r="W103">
            <v>0.92708333333333337</v>
          </cell>
          <cell r="X103">
            <v>42707</v>
          </cell>
          <cell r="Y103">
            <v>27.32</v>
          </cell>
          <cell r="Z103">
            <v>0.97916666666666663</v>
          </cell>
          <cell r="AA103">
            <v>0.98958333333333337</v>
          </cell>
          <cell r="AB103">
            <v>42707</v>
          </cell>
          <cell r="AC103">
            <v>27.34</v>
          </cell>
          <cell r="AD103">
            <v>0.97916666666666663</v>
          </cell>
          <cell r="AE103">
            <v>0.98958333333333337</v>
          </cell>
          <cell r="AF103">
            <v>42707</v>
          </cell>
          <cell r="AG103">
            <v>3.472222222222222E-3</v>
          </cell>
          <cell r="AH103">
            <v>4.1666666666666664E-2</v>
          </cell>
          <cell r="AI103">
            <v>42708</v>
          </cell>
          <cell r="AJ103">
            <v>8.3333333333333329E-2</v>
          </cell>
          <cell r="AK103">
            <v>9.0277777777777776E-2</v>
          </cell>
          <cell r="AL103">
            <v>42708</v>
          </cell>
          <cell r="AM103">
            <v>1.06</v>
          </cell>
          <cell r="AN103">
            <v>9</v>
          </cell>
          <cell r="AO103">
            <v>24</v>
          </cell>
          <cell r="AP103">
            <v>0</v>
          </cell>
          <cell r="AQ103">
            <v>9.7222222222222224E-2</v>
          </cell>
          <cell r="AR103">
            <v>0.10069444444444443</v>
          </cell>
          <cell r="AS103">
            <v>42708</v>
          </cell>
          <cell r="AT103">
            <v>27.34</v>
          </cell>
          <cell r="AU103">
            <v>0.1076388888888889</v>
          </cell>
          <cell r="AV103">
            <v>42708</v>
          </cell>
          <cell r="AW103">
            <v>0.15972222222222224</v>
          </cell>
          <cell r="AX103">
            <v>42708</v>
          </cell>
          <cell r="AY103">
            <v>7.3</v>
          </cell>
          <cell r="AZ103">
            <v>30</v>
          </cell>
        </row>
        <row r="104">
          <cell r="B104" t="str">
            <v>A138</v>
          </cell>
          <cell r="C104">
            <v>0.375</v>
          </cell>
          <cell r="D104">
            <v>0.45833333333333331</v>
          </cell>
          <cell r="E104">
            <v>42708</v>
          </cell>
          <cell r="F104">
            <v>0.5625</v>
          </cell>
          <cell r="G104">
            <v>0.57291666666666663</v>
          </cell>
          <cell r="H104">
            <v>42708</v>
          </cell>
          <cell r="I104">
            <v>-2.5000000000000001E-2</v>
          </cell>
          <cell r="J104">
            <v>1.7000000000000001E-2</v>
          </cell>
          <cell r="K104">
            <v>-6.6000000000000003E-2</v>
          </cell>
          <cell r="L104">
            <v>-0.54</v>
          </cell>
          <cell r="M104">
            <v>0.58333333333333337</v>
          </cell>
          <cell r="N104">
            <v>0.59027777777777779</v>
          </cell>
          <cell r="O104">
            <v>42708</v>
          </cell>
          <cell r="P104">
            <v>1.06</v>
          </cell>
          <cell r="Q104">
            <v>9</v>
          </cell>
          <cell r="R104">
            <v>26</v>
          </cell>
          <cell r="S104">
            <v>0</v>
          </cell>
          <cell r="T104">
            <v>0.69791666666666663</v>
          </cell>
          <cell r="U104">
            <v>42708</v>
          </cell>
          <cell r="V104">
            <v>19.309999999999999</v>
          </cell>
          <cell r="W104">
            <v>0.94791666666666663</v>
          </cell>
          <cell r="X104">
            <v>42709</v>
          </cell>
          <cell r="Y104">
            <v>28.72</v>
          </cell>
          <cell r="Z104">
            <v>0.17708333333333334</v>
          </cell>
          <cell r="AA104">
            <v>0.27777777777777779</v>
          </cell>
          <cell r="AB104">
            <v>42709</v>
          </cell>
          <cell r="AC104">
            <v>29.2</v>
          </cell>
          <cell r="AD104">
            <v>0.30208333333333331</v>
          </cell>
          <cell r="AE104">
            <v>0.31944444444444448</v>
          </cell>
          <cell r="AF104">
            <v>42709</v>
          </cell>
          <cell r="AG104">
            <v>0.33333333333333331</v>
          </cell>
          <cell r="AH104">
            <v>0.375</v>
          </cell>
          <cell r="AI104">
            <v>42709</v>
          </cell>
          <cell r="AJ104">
            <v>0.41666666666666669</v>
          </cell>
          <cell r="AK104">
            <v>0.4236111111111111</v>
          </cell>
          <cell r="AL104">
            <v>42709</v>
          </cell>
          <cell r="AM104">
            <v>1.06</v>
          </cell>
          <cell r="AN104">
            <v>9</v>
          </cell>
          <cell r="AO104">
            <v>26</v>
          </cell>
          <cell r="AP104">
            <v>0</v>
          </cell>
          <cell r="AQ104">
            <v>0.42708333333333331</v>
          </cell>
          <cell r="AR104">
            <v>0.43055555555555558</v>
          </cell>
          <cell r="AS104">
            <v>42709</v>
          </cell>
          <cell r="AT104">
            <v>29.2</v>
          </cell>
          <cell r="AU104">
            <v>0.4375</v>
          </cell>
          <cell r="AV104">
            <v>42709</v>
          </cell>
          <cell r="AW104">
            <v>0.49652777777777773</v>
          </cell>
          <cell r="AX104">
            <v>42709</v>
          </cell>
          <cell r="AY104">
            <v>7</v>
          </cell>
          <cell r="AZ104">
            <v>32</v>
          </cell>
        </row>
        <row r="105">
          <cell r="B105" t="str">
            <v>A11</v>
          </cell>
          <cell r="C105">
            <v>0.60416666666666663</v>
          </cell>
          <cell r="D105">
            <v>0.66666666666666663</v>
          </cell>
          <cell r="E105">
            <v>42708</v>
          </cell>
          <cell r="F105">
            <v>0.67708333333333337</v>
          </cell>
          <cell r="G105">
            <v>0.6875</v>
          </cell>
          <cell r="H105">
            <v>42708</v>
          </cell>
          <cell r="I105">
            <v>-2.3E-2</v>
          </cell>
          <cell r="J105">
            <v>-0.01</v>
          </cell>
          <cell r="K105">
            <v>-0.123</v>
          </cell>
          <cell r="L105">
            <v>-0.5</v>
          </cell>
          <cell r="M105">
            <v>0.6875</v>
          </cell>
          <cell r="N105">
            <v>0.69791666666666663</v>
          </cell>
          <cell r="O105">
            <v>42708</v>
          </cell>
          <cell r="P105">
            <v>1.05</v>
          </cell>
          <cell r="Q105">
            <v>9</v>
          </cell>
          <cell r="R105">
            <v>27</v>
          </cell>
          <cell r="S105">
            <v>0</v>
          </cell>
          <cell r="T105">
            <v>0.8125</v>
          </cell>
          <cell r="U105">
            <v>42708</v>
          </cell>
          <cell r="V105">
            <v>20.27</v>
          </cell>
          <cell r="W105">
            <v>0.39583333333333331</v>
          </cell>
          <cell r="X105">
            <v>42709</v>
          </cell>
          <cell r="Y105">
            <v>24.1</v>
          </cell>
          <cell r="Z105">
            <v>0.47222222222222227</v>
          </cell>
          <cell r="AA105">
            <v>0.52083333333333337</v>
          </cell>
          <cell r="AB105">
            <v>42709</v>
          </cell>
          <cell r="AC105">
            <v>24.15</v>
          </cell>
          <cell r="AD105">
            <v>0.54513888888888895</v>
          </cell>
          <cell r="AE105">
            <v>0.55555555555555558</v>
          </cell>
          <cell r="AF105">
            <v>42709</v>
          </cell>
          <cell r="AG105">
            <v>0.58333333333333337</v>
          </cell>
          <cell r="AH105">
            <v>0.61805555555555558</v>
          </cell>
          <cell r="AI105">
            <v>42709</v>
          </cell>
          <cell r="AJ105">
            <v>0.6875</v>
          </cell>
          <cell r="AK105">
            <v>0.69444444444444453</v>
          </cell>
          <cell r="AL105">
            <v>42709</v>
          </cell>
          <cell r="AM105">
            <v>1.05</v>
          </cell>
          <cell r="AN105">
            <v>9</v>
          </cell>
          <cell r="AO105">
            <v>27</v>
          </cell>
          <cell r="AP105">
            <v>0</v>
          </cell>
          <cell r="AQ105">
            <v>0.70138888888888884</v>
          </cell>
          <cell r="AR105">
            <v>0.70486111111111116</v>
          </cell>
          <cell r="AS105">
            <v>42709</v>
          </cell>
          <cell r="AT105">
            <v>24.15</v>
          </cell>
          <cell r="AU105">
            <v>0.70694444444444438</v>
          </cell>
          <cell r="AV105">
            <v>42709</v>
          </cell>
          <cell r="AW105">
            <v>0.75</v>
          </cell>
          <cell r="AX105">
            <v>42709</v>
          </cell>
          <cell r="AY105">
            <v>7.2</v>
          </cell>
          <cell r="AZ105">
            <v>23</v>
          </cell>
        </row>
        <row r="106">
          <cell r="B106" t="str">
            <v>A57</v>
          </cell>
          <cell r="C106">
            <v>0.25</v>
          </cell>
          <cell r="D106">
            <v>0.29166666666666669</v>
          </cell>
          <cell r="E106">
            <v>42709</v>
          </cell>
          <cell r="F106">
            <v>0.29166666666666669</v>
          </cell>
          <cell r="G106">
            <v>0.30208333333333331</v>
          </cell>
          <cell r="H106">
            <v>42709</v>
          </cell>
          <cell r="I106">
            <v>-1E-3</v>
          </cell>
          <cell r="J106">
            <v>-2.5000000000000001E-2</v>
          </cell>
          <cell r="K106">
            <v>6.3E-2</v>
          </cell>
          <cell r="L106">
            <v>-2.5000000000000001E-2</v>
          </cell>
          <cell r="M106">
            <v>0.30902777777777779</v>
          </cell>
          <cell r="N106">
            <v>0.31944444444444448</v>
          </cell>
          <cell r="O106">
            <v>42709</v>
          </cell>
          <cell r="P106">
            <v>1.06</v>
          </cell>
          <cell r="Q106">
            <v>9</v>
          </cell>
          <cell r="R106">
            <v>26</v>
          </cell>
          <cell r="S106">
            <v>0</v>
          </cell>
          <cell r="T106">
            <v>0.83333333333333337</v>
          </cell>
          <cell r="U106">
            <v>42709</v>
          </cell>
          <cell r="V106">
            <v>21.1</v>
          </cell>
          <cell r="W106">
            <v>0.40277777777777773</v>
          </cell>
          <cell r="X106">
            <v>42710</v>
          </cell>
          <cell r="Y106">
            <v>27.48</v>
          </cell>
          <cell r="Z106">
            <v>0.42708333333333331</v>
          </cell>
          <cell r="AA106">
            <v>0.44097222222222227</v>
          </cell>
          <cell r="AB106">
            <v>42710</v>
          </cell>
          <cell r="AC106">
            <v>27.5</v>
          </cell>
          <cell r="AD106">
            <v>0.4513888888888889</v>
          </cell>
          <cell r="AE106">
            <v>0.46527777777777773</v>
          </cell>
          <cell r="AF106">
            <v>42710</v>
          </cell>
          <cell r="AG106">
            <v>0.53472222222222221</v>
          </cell>
          <cell r="AH106">
            <v>0.60416666666666663</v>
          </cell>
          <cell r="AI106">
            <v>42710</v>
          </cell>
          <cell r="AJ106">
            <v>0.75</v>
          </cell>
          <cell r="AK106">
            <v>0.75694444444444453</v>
          </cell>
          <cell r="AL106">
            <v>42710</v>
          </cell>
          <cell r="AM106">
            <v>1.06</v>
          </cell>
          <cell r="AN106">
            <v>9</v>
          </cell>
          <cell r="AO106">
            <v>26</v>
          </cell>
          <cell r="AP106">
            <v>0</v>
          </cell>
          <cell r="AQ106">
            <v>0.76041666666666663</v>
          </cell>
          <cell r="AR106">
            <v>0.76388888888888884</v>
          </cell>
          <cell r="AS106">
            <v>42710</v>
          </cell>
          <cell r="AT106">
            <v>27.5</v>
          </cell>
          <cell r="AU106">
            <v>0.76388888888888884</v>
          </cell>
          <cell r="AV106">
            <v>42710</v>
          </cell>
          <cell r="AW106">
            <v>0.84027777777777779</v>
          </cell>
          <cell r="AX106">
            <v>42710</v>
          </cell>
          <cell r="AY106">
            <v>7.1</v>
          </cell>
          <cell r="AZ106">
            <v>30.5</v>
          </cell>
        </row>
        <row r="107">
          <cell r="B107" t="str">
            <v>A12</v>
          </cell>
          <cell r="C107">
            <v>0.5625</v>
          </cell>
          <cell r="D107">
            <v>0.625</v>
          </cell>
          <cell r="E107">
            <v>42710</v>
          </cell>
          <cell r="F107">
            <v>0.63888888888888895</v>
          </cell>
          <cell r="G107">
            <v>0.64583333333333337</v>
          </cell>
          <cell r="H107">
            <v>42710</v>
          </cell>
          <cell r="I107">
            <v>-1.7999999999999999E-2</v>
          </cell>
          <cell r="J107">
            <v>1.4999999999999999E-2</v>
          </cell>
          <cell r="K107">
            <v>-9.9000000000000005E-2</v>
          </cell>
          <cell r="L107">
            <v>-0.434</v>
          </cell>
          <cell r="M107">
            <v>0.6875</v>
          </cell>
          <cell r="N107">
            <v>0.69444444444444453</v>
          </cell>
          <cell r="O107">
            <v>42710</v>
          </cell>
          <cell r="P107">
            <v>1.06</v>
          </cell>
          <cell r="Q107">
            <v>9</v>
          </cell>
          <cell r="R107">
            <v>28</v>
          </cell>
          <cell r="S107">
            <v>0</v>
          </cell>
          <cell r="T107">
            <v>0.71875</v>
          </cell>
          <cell r="U107">
            <v>42710</v>
          </cell>
          <cell r="V107">
            <v>19</v>
          </cell>
          <cell r="W107">
            <v>0.81597222222222221</v>
          </cell>
          <cell r="X107">
            <v>42710</v>
          </cell>
          <cell r="Y107">
            <v>24.1</v>
          </cell>
          <cell r="Z107">
            <v>0.84722222222222221</v>
          </cell>
          <cell r="AA107">
            <v>0.86111111111111116</v>
          </cell>
          <cell r="AB107">
            <v>42710</v>
          </cell>
          <cell r="AC107">
            <v>24.15</v>
          </cell>
          <cell r="AD107">
            <v>0.86458333333333337</v>
          </cell>
          <cell r="AE107">
            <v>0.88541666666666663</v>
          </cell>
          <cell r="AF107">
            <v>42710</v>
          </cell>
          <cell r="AG107">
            <v>0.88888888888888884</v>
          </cell>
          <cell r="AH107">
            <v>2.0833333333333332E-2</v>
          </cell>
          <cell r="AI107">
            <v>42711</v>
          </cell>
          <cell r="AJ107">
            <v>7.9861111111111105E-2</v>
          </cell>
          <cell r="AK107">
            <v>8.3333333333333329E-2</v>
          </cell>
          <cell r="AL107">
            <v>42711</v>
          </cell>
          <cell r="AM107">
            <v>1.06</v>
          </cell>
          <cell r="AN107">
            <v>9</v>
          </cell>
          <cell r="AO107">
            <v>28</v>
          </cell>
          <cell r="AP107">
            <v>0</v>
          </cell>
          <cell r="AQ107">
            <v>9.0277777777777776E-2</v>
          </cell>
          <cell r="AR107">
            <v>9.375E-2</v>
          </cell>
          <cell r="AS107">
            <v>42711</v>
          </cell>
          <cell r="AT107">
            <v>24.15</v>
          </cell>
          <cell r="AU107">
            <v>9.7222222222222224E-2</v>
          </cell>
          <cell r="AV107">
            <v>42711</v>
          </cell>
          <cell r="AW107">
            <v>0.14930555555555555</v>
          </cell>
          <cell r="AX107">
            <v>42711</v>
          </cell>
          <cell r="AY107">
            <v>7.3</v>
          </cell>
          <cell r="AZ107">
            <v>20.6</v>
          </cell>
        </row>
        <row r="108">
          <cell r="B108" t="str">
            <v>A93</v>
          </cell>
          <cell r="C108">
            <v>0.54166666666666663</v>
          </cell>
          <cell r="D108">
            <v>0.60416666666666663</v>
          </cell>
          <cell r="E108">
            <v>42710</v>
          </cell>
          <cell r="F108">
            <v>0.64583333333333337</v>
          </cell>
          <cell r="G108">
            <v>0.65625</v>
          </cell>
          <cell r="H108">
            <v>42710</v>
          </cell>
          <cell r="I108">
            <v>2.1000000000000001E-2</v>
          </cell>
          <cell r="J108">
            <v>1E-3</v>
          </cell>
          <cell r="K108">
            <v>-1.7999999999999999E-2</v>
          </cell>
          <cell r="L108">
            <v>-0.52300000000000002</v>
          </cell>
          <cell r="M108">
            <v>0.69444444444444453</v>
          </cell>
          <cell r="N108">
            <v>0.70138888888888884</v>
          </cell>
          <cell r="O108">
            <v>42710</v>
          </cell>
          <cell r="P108">
            <v>1.06</v>
          </cell>
          <cell r="Q108">
            <v>9</v>
          </cell>
          <cell r="R108">
            <v>28</v>
          </cell>
          <cell r="S108">
            <v>0</v>
          </cell>
          <cell r="T108">
            <v>0.81597222222222221</v>
          </cell>
          <cell r="U108">
            <v>42710</v>
          </cell>
          <cell r="V108">
            <v>20.399999999999999</v>
          </cell>
          <cell r="W108">
            <v>0.95138888888888884</v>
          </cell>
          <cell r="X108">
            <v>42710</v>
          </cell>
          <cell r="Y108">
            <v>26.4</v>
          </cell>
          <cell r="Z108">
            <v>0.99305555555555547</v>
          </cell>
          <cell r="AA108">
            <v>2.0833333333333332E-2</v>
          </cell>
          <cell r="AB108">
            <v>42711</v>
          </cell>
          <cell r="AC108">
            <v>26.4</v>
          </cell>
          <cell r="AD108">
            <v>2.4305555555555556E-2</v>
          </cell>
          <cell r="AE108">
            <v>3.4722222222222224E-2</v>
          </cell>
          <cell r="AF108">
            <v>42711</v>
          </cell>
          <cell r="AG108">
            <v>4.1666666666666664E-2</v>
          </cell>
          <cell r="AH108">
            <v>7.9861111111111105E-2</v>
          </cell>
          <cell r="AI108">
            <v>42711</v>
          </cell>
          <cell r="AJ108">
            <v>0.14583333333333334</v>
          </cell>
          <cell r="AK108">
            <v>0.15625</v>
          </cell>
          <cell r="AL108">
            <v>42711</v>
          </cell>
          <cell r="AM108">
            <v>1.06</v>
          </cell>
          <cell r="AN108">
            <v>9</v>
          </cell>
          <cell r="AO108">
            <v>28</v>
          </cell>
          <cell r="AP108">
            <v>0</v>
          </cell>
          <cell r="AQ108">
            <v>0.15972222222222224</v>
          </cell>
          <cell r="AR108">
            <v>0.16319444444444445</v>
          </cell>
          <cell r="AS108">
            <v>42711</v>
          </cell>
          <cell r="AT108">
            <v>26.4</v>
          </cell>
          <cell r="AU108">
            <v>0.17013888888888887</v>
          </cell>
          <cell r="AV108">
            <v>42711</v>
          </cell>
          <cell r="AW108">
            <v>0.24305555555555555</v>
          </cell>
          <cell r="AX108">
            <v>42711</v>
          </cell>
          <cell r="AY108">
            <v>7.5</v>
          </cell>
          <cell r="AZ108">
            <v>27</v>
          </cell>
        </row>
        <row r="109">
          <cell r="B109" t="str">
            <v>A77</v>
          </cell>
          <cell r="C109">
            <v>0.33333333333333331</v>
          </cell>
          <cell r="D109">
            <v>0.39583333333333331</v>
          </cell>
          <cell r="E109">
            <v>42711</v>
          </cell>
          <cell r="F109">
            <v>0.46527777777777773</v>
          </cell>
          <cell r="G109">
            <v>0.47222222222222227</v>
          </cell>
          <cell r="H109">
            <v>42711</v>
          </cell>
          <cell r="I109">
            <v>-0.02</v>
          </cell>
          <cell r="J109">
            <v>-1.9E-2</v>
          </cell>
          <cell r="K109">
            <v>0.10199999999999999</v>
          </cell>
          <cell r="L109">
            <v>-0.38900000000000001</v>
          </cell>
          <cell r="M109">
            <v>0.47916666666666669</v>
          </cell>
          <cell r="N109">
            <v>0.4861111111111111</v>
          </cell>
          <cell r="O109">
            <v>42711</v>
          </cell>
          <cell r="P109">
            <v>1.06</v>
          </cell>
          <cell r="Q109">
            <v>9</v>
          </cell>
          <cell r="R109">
            <v>22</v>
          </cell>
          <cell r="S109">
            <v>0</v>
          </cell>
          <cell r="T109">
            <v>0.56944444444444442</v>
          </cell>
          <cell r="U109">
            <v>42711</v>
          </cell>
          <cell r="V109">
            <v>22</v>
          </cell>
          <cell r="W109">
            <v>0.84375</v>
          </cell>
          <cell r="X109">
            <v>42711</v>
          </cell>
          <cell r="Y109">
            <v>27.02</v>
          </cell>
          <cell r="Z109">
            <v>0.89583333333333337</v>
          </cell>
          <cell r="AA109">
            <v>0.94791666666666663</v>
          </cell>
          <cell r="AB109">
            <v>42711</v>
          </cell>
          <cell r="AC109">
            <v>27.3</v>
          </cell>
          <cell r="AD109">
            <v>0.95486111111111116</v>
          </cell>
          <cell r="AE109">
            <v>0.97222222222222221</v>
          </cell>
          <cell r="AF109">
            <v>42711</v>
          </cell>
          <cell r="AG109">
            <v>0.98958333333333337</v>
          </cell>
          <cell r="AH109">
            <v>3.4722222222222224E-2</v>
          </cell>
          <cell r="AI109">
            <v>42712</v>
          </cell>
          <cell r="AJ109">
            <v>0.1111111111111111</v>
          </cell>
          <cell r="AK109">
            <v>0.11805555555555557</v>
          </cell>
          <cell r="AL109">
            <v>42712</v>
          </cell>
          <cell r="AM109">
            <v>1.06</v>
          </cell>
          <cell r="AN109">
            <v>9</v>
          </cell>
          <cell r="AO109">
            <v>22</v>
          </cell>
          <cell r="AP109">
            <v>0</v>
          </cell>
          <cell r="AQ109">
            <v>0.12152777777777778</v>
          </cell>
          <cell r="AR109">
            <v>0.125</v>
          </cell>
          <cell r="AS109">
            <v>42712</v>
          </cell>
          <cell r="AT109">
            <v>27.3</v>
          </cell>
          <cell r="AU109">
            <v>0.13194444444444445</v>
          </cell>
          <cell r="AV109">
            <v>42712</v>
          </cell>
          <cell r="AW109">
            <v>0.17361111111111113</v>
          </cell>
          <cell r="AX109">
            <v>42712</v>
          </cell>
          <cell r="AY109">
            <v>8.6999999999999993</v>
          </cell>
          <cell r="AZ109">
            <v>25</v>
          </cell>
        </row>
        <row r="110">
          <cell r="B110" t="str">
            <v>A136</v>
          </cell>
          <cell r="C110">
            <v>0.66666666666666663</v>
          </cell>
          <cell r="D110">
            <v>0.72916666666666663</v>
          </cell>
          <cell r="E110">
            <v>42710</v>
          </cell>
          <cell r="F110">
            <v>0.73263888888888884</v>
          </cell>
          <cell r="G110">
            <v>0.73958333333333337</v>
          </cell>
          <cell r="H110">
            <v>42710</v>
          </cell>
          <cell r="I110">
            <v>-2.4E-2</v>
          </cell>
          <cell r="J110">
            <v>2E-3</v>
          </cell>
          <cell r="K110">
            <v>-0.20899999999999999</v>
          </cell>
          <cell r="L110">
            <v>-0.68300000000000005</v>
          </cell>
          <cell r="M110">
            <v>0.75</v>
          </cell>
          <cell r="N110">
            <v>0.76041666666666663</v>
          </cell>
          <cell r="O110">
            <v>42710</v>
          </cell>
          <cell r="P110">
            <v>1.06</v>
          </cell>
          <cell r="Q110">
            <v>9</v>
          </cell>
          <cell r="R110">
            <v>24</v>
          </cell>
          <cell r="S110">
            <v>0</v>
          </cell>
          <cell r="T110">
            <v>0.39583333333333331</v>
          </cell>
          <cell r="U110">
            <v>42711</v>
          </cell>
          <cell r="V110">
            <v>20.45</v>
          </cell>
          <cell r="W110">
            <v>0.61111111111111105</v>
          </cell>
          <cell r="X110">
            <v>42712</v>
          </cell>
          <cell r="Y110">
            <v>28.52</v>
          </cell>
          <cell r="Z110">
            <v>0.81597222222222221</v>
          </cell>
          <cell r="AA110">
            <v>0.84722222222222221</v>
          </cell>
          <cell r="AB110">
            <v>42712</v>
          </cell>
          <cell r="AC110">
            <v>28.52</v>
          </cell>
          <cell r="AD110">
            <v>0.85069444444444453</v>
          </cell>
          <cell r="AE110">
            <v>0.86805555555555547</v>
          </cell>
          <cell r="AF110">
            <v>42712</v>
          </cell>
          <cell r="AG110">
            <v>0.875</v>
          </cell>
          <cell r="AH110">
            <v>0.96527777777777779</v>
          </cell>
          <cell r="AI110">
            <v>42712</v>
          </cell>
          <cell r="AJ110">
            <v>5.2083333333333336E-2</v>
          </cell>
          <cell r="AK110">
            <v>5.9027777777777783E-2</v>
          </cell>
          <cell r="AL110">
            <v>42712</v>
          </cell>
          <cell r="AM110">
            <v>1.06</v>
          </cell>
          <cell r="AN110">
            <v>9</v>
          </cell>
          <cell r="AO110">
            <v>24</v>
          </cell>
          <cell r="AP110">
            <v>0</v>
          </cell>
          <cell r="AQ110">
            <v>6.25E-2</v>
          </cell>
          <cell r="AR110">
            <v>6.5972222222222224E-2</v>
          </cell>
          <cell r="AS110">
            <v>42713</v>
          </cell>
          <cell r="AT110">
            <v>28.52</v>
          </cell>
          <cell r="AU110">
            <v>7.2916666666666671E-2</v>
          </cell>
          <cell r="AV110">
            <v>42713</v>
          </cell>
          <cell r="AW110">
            <v>0.11805555555555557</v>
          </cell>
          <cell r="AX110">
            <v>42713</v>
          </cell>
          <cell r="AY110">
            <v>7.2</v>
          </cell>
          <cell r="AZ110">
            <v>33.5</v>
          </cell>
        </row>
        <row r="111">
          <cell r="B111" t="str">
            <v>A81</v>
          </cell>
          <cell r="C111">
            <v>0.40625</v>
          </cell>
          <cell r="D111">
            <v>0.46875</v>
          </cell>
          <cell r="E111">
            <v>42711</v>
          </cell>
          <cell r="F111">
            <v>0.47222222222222227</v>
          </cell>
          <cell r="G111">
            <v>0.4826388888888889</v>
          </cell>
          <cell r="H111">
            <v>42711</v>
          </cell>
          <cell r="I111">
            <v>-1.9E-2</v>
          </cell>
          <cell r="J111">
            <v>1.9E-2</v>
          </cell>
          <cell r="K111">
            <v>0.01</v>
          </cell>
          <cell r="L111">
            <v>-0.39900000000000002</v>
          </cell>
          <cell r="M111">
            <v>0.4861111111111111</v>
          </cell>
          <cell r="N111">
            <v>0.49305555555555558</v>
          </cell>
          <cell r="O111">
            <v>42711</v>
          </cell>
          <cell r="P111">
            <v>1.06</v>
          </cell>
          <cell r="Q111">
            <v>9</v>
          </cell>
          <cell r="R111">
            <v>22</v>
          </cell>
          <cell r="S111">
            <v>0</v>
          </cell>
          <cell r="T111">
            <v>0.63888888888888895</v>
          </cell>
          <cell r="U111">
            <v>42711</v>
          </cell>
          <cell r="V111">
            <v>20.6</v>
          </cell>
          <cell r="W111">
            <v>0.8125</v>
          </cell>
          <cell r="X111">
            <v>42712</v>
          </cell>
          <cell r="Y111">
            <v>28.32</v>
          </cell>
          <cell r="Z111">
            <v>0.84027777777777779</v>
          </cell>
          <cell r="AA111">
            <v>0.86111111111111116</v>
          </cell>
          <cell r="AB111">
            <v>42712</v>
          </cell>
          <cell r="AC111">
            <v>28.32</v>
          </cell>
          <cell r="AD111">
            <v>0.86458333333333337</v>
          </cell>
          <cell r="AE111">
            <v>0.88541666666666663</v>
          </cell>
          <cell r="AF111">
            <v>42712</v>
          </cell>
          <cell r="AG111">
            <v>0.88888888888888884</v>
          </cell>
          <cell r="AH111">
            <v>0.92708333333333337</v>
          </cell>
          <cell r="AI111">
            <v>42712</v>
          </cell>
          <cell r="AJ111">
            <v>0.1388888888888889</v>
          </cell>
          <cell r="AK111">
            <v>0.14583333333333334</v>
          </cell>
          <cell r="AL111">
            <v>42712</v>
          </cell>
          <cell r="AM111">
            <v>1.06</v>
          </cell>
          <cell r="AN111">
            <v>9</v>
          </cell>
          <cell r="AO111">
            <v>22</v>
          </cell>
          <cell r="AP111">
            <v>0</v>
          </cell>
          <cell r="AQ111">
            <v>0.15277777777777776</v>
          </cell>
          <cell r="AR111">
            <v>0.15625</v>
          </cell>
          <cell r="AS111">
            <v>42713</v>
          </cell>
          <cell r="AT111">
            <v>28.32</v>
          </cell>
          <cell r="AU111">
            <v>0.16666666666666666</v>
          </cell>
          <cell r="AV111">
            <v>42713</v>
          </cell>
          <cell r="AW111">
            <v>0.22916666666666666</v>
          </cell>
          <cell r="AX111">
            <v>42713</v>
          </cell>
          <cell r="AY111">
            <v>7.3</v>
          </cell>
          <cell r="AZ111">
            <v>33</v>
          </cell>
        </row>
        <row r="112">
          <cell r="B112" t="str">
            <v>A66</v>
          </cell>
          <cell r="C112">
            <v>0.3125</v>
          </cell>
          <cell r="D112">
            <v>0.375</v>
          </cell>
          <cell r="E112">
            <v>42712</v>
          </cell>
          <cell r="F112">
            <v>0.4236111111111111</v>
          </cell>
          <cell r="G112">
            <v>0.43402777777777773</v>
          </cell>
          <cell r="H112">
            <v>42712</v>
          </cell>
          <cell r="I112">
            <v>-2.5000000000000001E-2</v>
          </cell>
          <cell r="J112">
            <v>1.4999999999999999E-2</v>
          </cell>
          <cell r="K112">
            <v>0.104</v>
          </cell>
          <cell r="L112">
            <v>-0.38400000000000001</v>
          </cell>
          <cell r="M112">
            <v>0.44444444444444442</v>
          </cell>
          <cell r="N112">
            <v>0.4513888888888889</v>
          </cell>
          <cell r="O112">
            <v>42712</v>
          </cell>
          <cell r="P112">
            <v>1.06</v>
          </cell>
          <cell r="Q112">
            <v>9</v>
          </cell>
          <cell r="R112">
            <v>23</v>
          </cell>
          <cell r="S112">
            <v>0</v>
          </cell>
          <cell r="T112">
            <v>0.5625</v>
          </cell>
          <cell r="U112">
            <v>42712</v>
          </cell>
          <cell r="V112">
            <v>20</v>
          </cell>
          <cell r="W112">
            <v>0.75</v>
          </cell>
          <cell r="X112">
            <v>42712</v>
          </cell>
          <cell r="Y112">
            <v>27.05</v>
          </cell>
          <cell r="Z112">
            <v>0.8125</v>
          </cell>
          <cell r="AA112">
            <v>0.83333333333333337</v>
          </cell>
          <cell r="AB112">
            <v>42712</v>
          </cell>
          <cell r="AC112">
            <v>27.05</v>
          </cell>
          <cell r="AD112">
            <v>0.83680555555555547</v>
          </cell>
          <cell r="AE112">
            <v>0.85416666666666663</v>
          </cell>
          <cell r="AF112">
            <v>42712</v>
          </cell>
          <cell r="AG112">
            <v>0.85763888888888884</v>
          </cell>
          <cell r="AH112">
            <v>0.91319444444444453</v>
          </cell>
          <cell r="AI112">
            <v>42712</v>
          </cell>
          <cell r="AJ112">
            <v>0.25</v>
          </cell>
          <cell r="AK112">
            <v>0.26041666666666669</v>
          </cell>
          <cell r="AL112">
            <v>42713</v>
          </cell>
          <cell r="AM112">
            <v>1.06</v>
          </cell>
          <cell r="AN112">
            <v>9</v>
          </cell>
          <cell r="AO112">
            <v>23</v>
          </cell>
          <cell r="AP112">
            <v>0</v>
          </cell>
          <cell r="AQ112">
            <v>0.2638888888888889</v>
          </cell>
          <cell r="AR112">
            <v>0.27083333333333331</v>
          </cell>
          <cell r="AS112">
            <v>42713</v>
          </cell>
          <cell r="AT112">
            <v>27.05</v>
          </cell>
          <cell r="AU112">
            <v>0.27430555555555552</v>
          </cell>
          <cell r="AV112">
            <v>42713</v>
          </cell>
          <cell r="AW112">
            <v>0.30208333333333331</v>
          </cell>
          <cell r="AX112">
            <v>42713</v>
          </cell>
          <cell r="AY112">
            <v>8.5</v>
          </cell>
          <cell r="AZ112">
            <v>24</v>
          </cell>
        </row>
        <row r="113">
          <cell r="B113" t="str">
            <v>B25</v>
          </cell>
          <cell r="C113">
            <v>0.84375</v>
          </cell>
          <cell r="D113">
            <v>0.91666666666666663</v>
          </cell>
          <cell r="E113">
            <v>42712</v>
          </cell>
          <cell r="F113">
            <v>0.92013888888888884</v>
          </cell>
          <cell r="G113">
            <v>0.92708333333333337</v>
          </cell>
          <cell r="H113">
            <v>42712</v>
          </cell>
          <cell r="I113">
            <v>-1.2E-2</v>
          </cell>
          <cell r="J113">
            <v>2.3E-2</v>
          </cell>
          <cell r="K113">
            <v>0.26500000000000001</v>
          </cell>
          <cell r="L113">
            <v>-0.73199999999999998</v>
          </cell>
          <cell r="M113">
            <v>0.93055555555555547</v>
          </cell>
          <cell r="N113">
            <v>0.9375</v>
          </cell>
          <cell r="O113">
            <v>42712</v>
          </cell>
          <cell r="P113">
            <v>1.06</v>
          </cell>
          <cell r="Q113">
            <v>9</v>
          </cell>
          <cell r="R113">
            <v>26</v>
          </cell>
          <cell r="S113">
            <v>0</v>
          </cell>
          <cell r="T113">
            <v>0.41666666666666669</v>
          </cell>
          <cell r="U113">
            <v>42712</v>
          </cell>
          <cell r="V113">
            <v>20.2</v>
          </cell>
          <cell r="W113">
            <v>0.89583333333333337</v>
          </cell>
          <cell r="X113">
            <v>42713</v>
          </cell>
          <cell r="Y113">
            <v>30.8</v>
          </cell>
          <cell r="Z113">
            <v>0.41666666666666669</v>
          </cell>
          <cell r="AA113">
            <v>0.46875</v>
          </cell>
          <cell r="AB113">
            <v>42714</v>
          </cell>
          <cell r="AC113">
            <v>30.81</v>
          </cell>
          <cell r="AD113">
            <v>0.47916666666666669</v>
          </cell>
          <cell r="AE113">
            <v>0.48958333333333331</v>
          </cell>
          <cell r="AF113">
            <v>42714</v>
          </cell>
          <cell r="AG113">
            <v>0.50347222222222221</v>
          </cell>
          <cell r="AH113">
            <v>0.54166666666666663</v>
          </cell>
          <cell r="AI113">
            <v>42714</v>
          </cell>
          <cell r="AJ113">
            <v>0.54513888888888895</v>
          </cell>
          <cell r="AK113">
            <v>0.55208333333333337</v>
          </cell>
          <cell r="AL113">
            <v>42714</v>
          </cell>
          <cell r="AM113">
            <v>1.06</v>
          </cell>
          <cell r="AN113">
            <v>9</v>
          </cell>
          <cell r="AO113">
            <v>25</v>
          </cell>
          <cell r="AP113">
            <v>0</v>
          </cell>
          <cell r="AQ113">
            <v>0.55555555555555558</v>
          </cell>
          <cell r="AR113">
            <v>0.55902777777777779</v>
          </cell>
          <cell r="AS113">
            <v>42714</v>
          </cell>
          <cell r="AT113">
            <v>30.81</v>
          </cell>
          <cell r="AU113">
            <v>0.56597222222222221</v>
          </cell>
          <cell r="AV113">
            <v>42714</v>
          </cell>
          <cell r="AW113">
            <v>0.57986111111111105</v>
          </cell>
          <cell r="AX113">
            <v>42714</v>
          </cell>
          <cell r="AY113">
            <v>6.1</v>
          </cell>
          <cell r="AZ113">
            <v>15</v>
          </cell>
        </row>
        <row r="114">
          <cell r="B114" t="str">
            <v>A13</v>
          </cell>
          <cell r="C114">
            <v>0.375</v>
          </cell>
          <cell r="D114">
            <v>0.4375</v>
          </cell>
          <cell r="E114">
            <v>42713</v>
          </cell>
          <cell r="F114">
            <v>0.45833333333333331</v>
          </cell>
          <cell r="G114">
            <v>0.46875</v>
          </cell>
          <cell r="H114">
            <v>42713</v>
          </cell>
          <cell r="I114">
            <v>1E-3</v>
          </cell>
          <cell r="J114">
            <v>1.4999999999999999E-2</v>
          </cell>
          <cell r="K114">
            <v>9.2999999999999999E-2</v>
          </cell>
          <cell r="L114">
            <v>-0.438</v>
          </cell>
          <cell r="M114">
            <v>0.58333333333333337</v>
          </cell>
          <cell r="N114">
            <v>0.59027777777777779</v>
          </cell>
          <cell r="O114">
            <v>42713</v>
          </cell>
          <cell r="P114">
            <v>1.06</v>
          </cell>
          <cell r="Q114">
            <v>9</v>
          </cell>
          <cell r="R114">
            <v>25</v>
          </cell>
          <cell r="S114">
            <v>0</v>
          </cell>
          <cell r="T114">
            <v>0.64930555555555558</v>
          </cell>
          <cell r="U114">
            <v>42713</v>
          </cell>
          <cell r="V114">
            <v>18.399999999999999</v>
          </cell>
          <cell r="W114">
            <v>0.4375</v>
          </cell>
          <cell r="X114">
            <v>42714</v>
          </cell>
          <cell r="Y114">
            <v>24.8</v>
          </cell>
          <cell r="Z114">
            <v>0.5625</v>
          </cell>
          <cell r="AA114">
            <v>0.59722222222222221</v>
          </cell>
          <cell r="AB114">
            <v>42714</v>
          </cell>
          <cell r="AC114">
            <v>24.85</v>
          </cell>
          <cell r="AD114">
            <v>0.625</v>
          </cell>
          <cell r="AE114">
            <v>0.64583333333333337</v>
          </cell>
          <cell r="AF114">
            <v>42714</v>
          </cell>
          <cell r="AG114">
            <v>0.66666666666666663</v>
          </cell>
          <cell r="AH114">
            <v>0.74305555555555547</v>
          </cell>
          <cell r="AI114">
            <v>42714</v>
          </cell>
          <cell r="AJ114">
            <v>0.75</v>
          </cell>
          <cell r="AK114">
            <v>0.75486111111111109</v>
          </cell>
          <cell r="AL114">
            <v>42714</v>
          </cell>
          <cell r="AM114">
            <v>1.06</v>
          </cell>
          <cell r="AN114">
            <v>9</v>
          </cell>
          <cell r="AO114">
            <v>25</v>
          </cell>
          <cell r="AP114">
            <v>0</v>
          </cell>
          <cell r="AQ114">
            <v>0.75694444444444453</v>
          </cell>
          <cell r="AR114">
            <v>0.76041666666666663</v>
          </cell>
          <cell r="AS114">
            <v>42714</v>
          </cell>
          <cell r="AT114">
            <v>24.85</v>
          </cell>
          <cell r="AU114">
            <v>0.79166666666666663</v>
          </cell>
          <cell r="AV114">
            <v>42714</v>
          </cell>
          <cell r="AW114">
            <v>0.83333333333333337</v>
          </cell>
          <cell r="AX114">
            <v>42714</v>
          </cell>
          <cell r="AY114">
            <v>7.7</v>
          </cell>
          <cell r="AZ114">
            <v>24</v>
          </cell>
        </row>
        <row r="115">
          <cell r="B115" t="str">
            <v>A155</v>
          </cell>
          <cell r="C115">
            <v>0.41666666666666669</v>
          </cell>
          <cell r="D115">
            <v>0.47916666666666669</v>
          </cell>
          <cell r="E115">
            <v>42714</v>
          </cell>
          <cell r="F115">
            <v>0.66666666666666663</v>
          </cell>
          <cell r="G115">
            <v>0.67708333333333337</v>
          </cell>
          <cell r="H115">
            <v>42714</v>
          </cell>
          <cell r="I115">
            <v>3.0000000000000001E-3</v>
          </cell>
          <cell r="J115">
            <v>2.3E-2</v>
          </cell>
          <cell r="K115">
            <v>-0.38500000000000001</v>
          </cell>
          <cell r="L115">
            <v>-0.78900000000000003</v>
          </cell>
          <cell r="M115">
            <v>0.6875</v>
          </cell>
          <cell r="N115">
            <v>0.69791666666666663</v>
          </cell>
          <cell r="O115">
            <v>42714</v>
          </cell>
          <cell r="P115">
            <v>1.06</v>
          </cell>
          <cell r="Q115">
            <v>9</v>
          </cell>
          <cell r="R115">
            <v>23</v>
          </cell>
          <cell r="S115">
            <v>0</v>
          </cell>
          <cell r="T115">
            <v>0.84722222222222221</v>
          </cell>
          <cell r="U115">
            <v>42714</v>
          </cell>
          <cell r="V115">
            <v>23.2</v>
          </cell>
          <cell r="W115">
            <v>0.92013888888888884</v>
          </cell>
          <cell r="X115">
            <v>42714</v>
          </cell>
          <cell r="Y115">
            <v>26.95</v>
          </cell>
          <cell r="Z115">
            <v>0.94791666666666663</v>
          </cell>
          <cell r="AA115">
            <v>0.97916666666666663</v>
          </cell>
          <cell r="AB115">
            <v>42714</v>
          </cell>
          <cell r="AC115">
            <v>26.97</v>
          </cell>
          <cell r="AD115">
            <v>0.98263888888888884</v>
          </cell>
          <cell r="AE115">
            <v>0.98958333333333337</v>
          </cell>
          <cell r="AF115">
            <v>42714</v>
          </cell>
          <cell r="AG115">
            <v>0.98958333333333337</v>
          </cell>
          <cell r="AH115">
            <v>2.4305555555555556E-2</v>
          </cell>
          <cell r="AI115">
            <v>42715</v>
          </cell>
          <cell r="AJ115">
            <v>7.6388888888888895E-2</v>
          </cell>
          <cell r="AK115">
            <v>8.3333333333333329E-2</v>
          </cell>
          <cell r="AL115">
            <v>42715</v>
          </cell>
          <cell r="AM115">
            <v>1.05</v>
          </cell>
          <cell r="AN115">
            <v>9</v>
          </cell>
          <cell r="AO115">
            <v>25</v>
          </cell>
          <cell r="AP115">
            <v>0</v>
          </cell>
          <cell r="AQ115">
            <v>6.25E-2</v>
          </cell>
          <cell r="AR115">
            <v>6.9444444444444434E-2</v>
          </cell>
          <cell r="AS115">
            <v>42715</v>
          </cell>
          <cell r="AT115">
            <v>26.97</v>
          </cell>
          <cell r="AU115">
            <v>7.2916666666666671E-2</v>
          </cell>
          <cell r="AV115">
            <v>42715</v>
          </cell>
          <cell r="AW115">
            <v>0.1875</v>
          </cell>
          <cell r="AX115">
            <v>42715</v>
          </cell>
          <cell r="AY115">
            <v>7.1</v>
          </cell>
          <cell r="AZ115">
            <v>31.5</v>
          </cell>
        </row>
        <row r="116">
          <cell r="B116" t="str">
            <v>B43</v>
          </cell>
          <cell r="C116">
            <v>0.39583333333333331</v>
          </cell>
          <cell r="D116">
            <v>0.45833333333333331</v>
          </cell>
          <cell r="E116">
            <v>42713</v>
          </cell>
          <cell r="F116">
            <v>0.57291666666666663</v>
          </cell>
          <cell r="G116">
            <v>0.58333333333333337</v>
          </cell>
          <cell r="H116">
            <v>42713</v>
          </cell>
          <cell r="I116">
            <v>7.0000000000000001E-3</v>
          </cell>
          <cell r="J116">
            <v>2.9000000000000001E-2</v>
          </cell>
          <cell r="K116">
            <v>0.20300000000000001</v>
          </cell>
          <cell r="L116">
            <v>-0.27900000000000003</v>
          </cell>
          <cell r="M116">
            <v>0.98958333333333337</v>
          </cell>
          <cell r="N116">
            <v>0.99652777777777779</v>
          </cell>
          <cell r="O116">
            <v>42714</v>
          </cell>
          <cell r="P116">
            <v>1.06</v>
          </cell>
          <cell r="Q116">
            <v>9</v>
          </cell>
          <cell r="R116">
            <v>26</v>
          </cell>
          <cell r="S116">
            <v>0</v>
          </cell>
          <cell r="T116">
            <v>0.34722222222222227</v>
          </cell>
          <cell r="U116">
            <v>42715</v>
          </cell>
          <cell r="V116">
            <v>23.2</v>
          </cell>
          <cell r="W116">
            <v>0.39583333333333331</v>
          </cell>
          <cell r="X116">
            <v>42715</v>
          </cell>
          <cell r="Y116">
            <v>24.95</v>
          </cell>
          <cell r="Z116">
            <v>0.4236111111111111</v>
          </cell>
          <cell r="AA116">
            <v>0.44444444444444442</v>
          </cell>
          <cell r="AB116">
            <v>42715</v>
          </cell>
          <cell r="AC116">
            <v>24.97</v>
          </cell>
          <cell r="AD116">
            <v>0.4548611111111111</v>
          </cell>
          <cell r="AE116">
            <v>0.46527777777777773</v>
          </cell>
          <cell r="AF116">
            <v>42715</v>
          </cell>
          <cell r="AG116">
            <v>0.47569444444444442</v>
          </cell>
          <cell r="AH116">
            <v>0.53125</v>
          </cell>
          <cell r="AI116">
            <v>42715</v>
          </cell>
          <cell r="AJ116">
            <v>0.55555555555555558</v>
          </cell>
          <cell r="AK116">
            <v>0.5625</v>
          </cell>
          <cell r="AL116">
            <v>42715</v>
          </cell>
          <cell r="AM116">
            <v>1.06</v>
          </cell>
          <cell r="AN116">
            <v>9</v>
          </cell>
          <cell r="AO116">
            <v>22</v>
          </cell>
          <cell r="AP116">
            <v>0</v>
          </cell>
          <cell r="AQ116">
            <v>0.56597222222222221</v>
          </cell>
          <cell r="AR116">
            <v>0.56944444444444442</v>
          </cell>
          <cell r="AS116">
            <v>42715</v>
          </cell>
          <cell r="AT116">
            <v>24.97</v>
          </cell>
          <cell r="AU116">
            <v>0.57291666666666663</v>
          </cell>
          <cell r="AV116">
            <v>42715</v>
          </cell>
          <cell r="AW116">
            <v>0.57986111111111105</v>
          </cell>
          <cell r="AX116">
            <v>42715</v>
          </cell>
          <cell r="AY116">
            <v>6</v>
          </cell>
          <cell r="AZ116">
            <v>11</v>
          </cell>
        </row>
        <row r="117">
          <cell r="B117" t="str">
            <v>A135</v>
          </cell>
          <cell r="C117">
            <v>0.39583333333333331</v>
          </cell>
          <cell r="D117">
            <v>0.47916666666666669</v>
          </cell>
          <cell r="E117">
            <v>42715</v>
          </cell>
          <cell r="F117">
            <v>0.58333333333333337</v>
          </cell>
          <cell r="G117">
            <v>0.59375</v>
          </cell>
          <cell r="H117">
            <v>42715</v>
          </cell>
          <cell r="I117">
            <v>-4.0000000000000001E-3</v>
          </cell>
          <cell r="J117">
            <v>1.7000000000000001E-2</v>
          </cell>
          <cell r="K117">
            <v>-7.0000000000000001E-3</v>
          </cell>
          <cell r="L117">
            <v>-0.46899999999999997</v>
          </cell>
          <cell r="M117">
            <v>0.59722222222222221</v>
          </cell>
          <cell r="N117">
            <v>0.60416666666666663</v>
          </cell>
          <cell r="O117">
            <v>42715</v>
          </cell>
          <cell r="P117">
            <v>1.05</v>
          </cell>
          <cell r="Q117">
            <v>9</v>
          </cell>
          <cell r="R117">
            <v>25</v>
          </cell>
          <cell r="S117">
            <v>0</v>
          </cell>
          <cell r="T117">
            <v>0.68055555555555547</v>
          </cell>
          <cell r="U117">
            <v>42715</v>
          </cell>
          <cell r="V117">
            <v>21.5</v>
          </cell>
          <cell r="W117">
            <v>0.94444444444444453</v>
          </cell>
          <cell r="X117">
            <v>42715</v>
          </cell>
          <cell r="Y117">
            <v>28.7</v>
          </cell>
          <cell r="Z117">
            <v>0.96875</v>
          </cell>
          <cell r="AA117">
            <v>0.98958333333333337</v>
          </cell>
          <cell r="AB117">
            <v>42715</v>
          </cell>
          <cell r="AC117">
            <v>28.75</v>
          </cell>
          <cell r="AD117">
            <v>0.99305555555555547</v>
          </cell>
          <cell r="AE117">
            <v>3.472222222222222E-3</v>
          </cell>
          <cell r="AF117">
            <v>42715</v>
          </cell>
          <cell r="AG117">
            <v>1.0416666666666666E-2</v>
          </cell>
          <cell r="AH117">
            <v>4.1666666666666664E-2</v>
          </cell>
          <cell r="AI117">
            <v>42716</v>
          </cell>
          <cell r="AJ117">
            <v>9.0277777777777776E-2</v>
          </cell>
          <cell r="AK117">
            <v>9.7222222222222224E-2</v>
          </cell>
          <cell r="AL117">
            <v>42716</v>
          </cell>
          <cell r="AM117">
            <v>1.05</v>
          </cell>
          <cell r="AN117">
            <v>9</v>
          </cell>
          <cell r="AO117">
            <v>22</v>
          </cell>
          <cell r="AP117">
            <v>0</v>
          </cell>
          <cell r="AQ117">
            <v>0.10416666666666667</v>
          </cell>
          <cell r="AR117">
            <v>0.1076388888888889</v>
          </cell>
          <cell r="AS117">
            <v>42716</v>
          </cell>
          <cell r="AT117">
            <v>28.75</v>
          </cell>
          <cell r="AU117">
            <v>0.1111111111111111</v>
          </cell>
          <cell r="AV117">
            <v>42716</v>
          </cell>
          <cell r="AW117">
            <v>0.16319444444444445</v>
          </cell>
          <cell r="AX117">
            <v>42716</v>
          </cell>
          <cell r="AY117">
            <v>7.1</v>
          </cell>
          <cell r="AZ117">
            <v>28.5</v>
          </cell>
        </row>
        <row r="118">
          <cell r="B118" t="str">
            <v>B24</v>
          </cell>
          <cell r="C118">
            <v>0.70833333333333337</v>
          </cell>
          <cell r="D118">
            <v>0.77083333333333337</v>
          </cell>
          <cell r="E118">
            <v>42715</v>
          </cell>
          <cell r="F118">
            <v>0.79166666666666663</v>
          </cell>
          <cell r="G118">
            <v>0.80208333333333337</v>
          </cell>
          <cell r="H118">
            <v>42715</v>
          </cell>
          <cell r="I118">
            <v>2.3E-2</v>
          </cell>
          <cell r="J118">
            <v>-1.4999999999999999E-2</v>
          </cell>
          <cell r="K118">
            <v>9.4E-2</v>
          </cell>
          <cell r="L118">
            <v>-0.93300000000000005</v>
          </cell>
          <cell r="M118">
            <v>0.83333333333333337</v>
          </cell>
          <cell r="N118">
            <v>0.84722222222222221</v>
          </cell>
          <cell r="O118">
            <v>42715</v>
          </cell>
          <cell r="P118">
            <v>1.0900000000000001</v>
          </cell>
          <cell r="Q118">
            <v>9</v>
          </cell>
          <cell r="R118">
            <v>26</v>
          </cell>
          <cell r="S118">
            <v>0</v>
          </cell>
          <cell r="T118">
            <v>0.43402777777777773</v>
          </cell>
          <cell r="U118">
            <v>42715</v>
          </cell>
          <cell r="V118">
            <v>21.61</v>
          </cell>
          <cell r="W118">
            <v>0.86805555555555547</v>
          </cell>
          <cell r="X118">
            <v>42716</v>
          </cell>
          <cell r="Y118">
            <v>30.65</v>
          </cell>
          <cell r="Z118">
            <v>0.89583333333333337</v>
          </cell>
          <cell r="AA118">
            <v>0.92013888888888884</v>
          </cell>
          <cell r="AB118">
            <v>42716</v>
          </cell>
          <cell r="AC118">
            <v>30.7</v>
          </cell>
          <cell r="AD118">
            <v>0.92708333333333337</v>
          </cell>
          <cell r="AE118">
            <v>0.9375</v>
          </cell>
          <cell r="AF118">
            <v>42716</v>
          </cell>
          <cell r="AG118">
            <v>0.94444444444444453</v>
          </cell>
          <cell r="AH118">
            <v>0.98263888888888884</v>
          </cell>
          <cell r="AI118">
            <v>42716</v>
          </cell>
          <cell r="AJ118">
            <v>8.6805555555555566E-2</v>
          </cell>
          <cell r="AK118">
            <v>9.375E-2</v>
          </cell>
          <cell r="AL118">
            <v>42717</v>
          </cell>
          <cell r="AM118">
            <v>1.06</v>
          </cell>
          <cell r="AN118">
            <v>9</v>
          </cell>
          <cell r="AO118">
            <v>24</v>
          </cell>
          <cell r="AP118">
            <v>0</v>
          </cell>
          <cell r="AQ118">
            <v>9.7222222222222224E-2</v>
          </cell>
          <cell r="AR118">
            <v>0.10069444444444443</v>
          </cell>
          <cell r="AS118">
            <v>42717</v>
          </cell>
          <cell r="AT118">
            <v>30.7</v>
          </cell>
          <cell r="AU118">
            <v>0.1076388888888889</v>
          </cell>
          <cell r="AV118">
            <v>42717</v>
          </cell>
          <cell r="AW118">
            <v>0.14583333333333334</v>
          </cell>
          <cell r="AX118">
            <v>42717</v>
          </cell>
          <cell r="AY118">
            <v>6</v>
          </cell>
          <cell r="AZ118">
            <v>17</v>
          </cell>
        </row>
        <row r="119">
          <cell r="B119" t="str">
            <v>A154</v>
          </cell>
          <cell r="C119">
            <v>0.30555555555555552</v>
          </cell>
          <cell r="D119">
            <v>0.3611111111111111</v>
          </cell>
          <cell r="E119">
            <v>42716</v>
          </cell>
          <cell r="F119">
            <v>0.36458333333333331</v>
          </cell>
          <cell r="G119">
            <v>0.37152777777777773</v>
          </cell>
          <cell r="H119">
            <v>42716</v>
          </cell>
          <cell r="I119">
            <v>-7.0000000000000001E-3</v>
          </cell>
          <cell r="J119">
            <v>-1.7000000000000001E-2</v>
          </cell>
          <cell r="K119">
            <v>-0.17499999999999999</v>
          </cell>
          <cell r="L119">
            <v>-0.67300000000000004</v>
          </cell>
          <cell r="M119">
            <v>0.375</v>
          </cell>
          <cell r="N119">
            <v>0.38541666666666669</v>
          </cell>
          <cell r="O119">
            <v>42716</v>
          </cell>
          <cell r="P119">
            <v>1.06</v>
          </cell>
          <cell r="Q119">
            <v>9</v>
          </cell>
          <cell r="R119">
            <v>26</v>
          </cell>
          <cell r="S119">
            <v>0</v>
          </cell>
          <cell r="T119">
            <v>0.4375</v>
          </cell>
          <cell r="U119">
            <v>42716</v>
          </cell>
          <cell r="V119">
            <v>20.3</v>
          </cell>
          <cell r="W119">
            <v>0.68055555555555547</v>
          </cell>
          <cell r="X119">
            <v>42717</v>
          </cell>
          <cell r="Y119">
            <v>27.15</v>
          </cell>
          <cell r="Z119">
            <v>0.70138888888888884</v>
          </cell>
          <cell r="AA119">
            <v>0.71527777777777779</v>
          </cell>
          <cell r="AB119">
            <v>42717</v>
          </cell>
          <cell r="AC119">
            <v>27.2</v>
          </cell>
          <cell r="AD119">
            <v>0.72222222222222221</v>
          </cell>
          <cell r="AE119">
            <v>0.75</v>
          </cell>
          <cell r="AF119">
            <v>42717</v>
          </cell>
          <cell r="AG119">
            <v>0.75347222222222221</v>
          </cell>
          <cell r="AH119">
            <v>0.79166666666666663</v>
          </cell>
          <cell r="AI119">
            <v>42717</v>
          </cell>
          <cell r="AJ119">
            <v>0.8125</v>
          </cell>
          <cell r="AK119">
            <v>0.81944444444444453</v>
          </cell>
          <cell r="AL119">
            <v>42717</v>
          </cell>
          <cell r="AM119">
            <v>1.05</v>
          </cell>
          <cell r="AN119">
            <v>9</v>
          </cell>
          <cell r="AO119">
            <v>24</v>
          </cell>
          <cell r="AP119">
            <v>0</v>
          </cell>
          <cell r="AQ119">
            <v>0.83333333333333337</v>
          </cell>
          <cell r="AR119">
            <v>0.83680555555555547</v>
          </cell>
          <cell r="AS119">
            <v>42717</v>
          </cell>
          <cell r="AT119">
            <v>27.2</v>
          </cell>
          <cell r="AU119">
            <v>0.84027777777777779</v>
          </cell>
          <cell r="AV119">
            <v>42717</v>
          </cell>
          <cell r="AW119">
            <v>0.99652777777777779</v>
          </cell>
          <cell r="AX119">
            <v>42717</v>
          </cell>
          <cell r="AY119">
            <v>7.2</v>
          </cell>
          <cell r="AZ119">
            <v>72</v>
          </cell>
        </row>
        <row r="120">
          <cell r="B120" t="str">
            <v>BP4</v>
          </cell>
          <cell r="C120">
            <v>0.35416666666666669</v>
          </cell>
          <cell r="D120">
            <v>0.41666666666666669</v>
          </cell>
          <cell r="E120">
            <v>42717</v>
          </cell>
          <cell r="F120">
            <v>0.4513888888888889</v>
          </cell>
          <cell r="G120">
            <v>0.46180555555555558</v>
          </cell>
          <cell r="H120">
            <v>42717</v>
          </cell>
          <cell r="I120">
            <v>2.4E-2</v>
          </cell>
          <cell r="J120">
            <v>-2.1999999999999999E-2</v>
          </cell>
          <cell r="K120">
            <v>0.222</v>
          </cell>
          <cell r="L120">
            <v>-0.46700000000000003</v>
          </cell>
          <cell r="O120">
            <v>42717</v>
          </cell>
          <cell r="P120">
            <v>1.06</v>
          </cell>
          <cell r="Q120">
            <v>9</v>
          </cell>
          <cell r="R120">
            <v>26</v>
          </cell>
          <cell r="S120">
            <v>0</v>
          </cell>
          <cell r="T120">
            <v>0.84027777777777779</v>
          </cell>
          <cell r="U120">
            <v>42717</v>
          </cell>
          <cell r="V120">
            <v>23.9</v>
          </cell>
          <cell r="W120">
            <v>0.875</v>
          </cell>
          <cell r="X120">
            <v>42717</v>
          </cell>
          <cell r="Y120">
            <v>27.45</v>
          </cell>
          <cell r="Z120">
            <v>0.92013888888888884</v>
          </cell>
          <cell r="AA120">
            <v>0.9375</v>
          </cell>
          <cell r="AB120">
            <v>42717</v>
          </cell>
          <cell r="AC120">
            <v>27.45</v>
          </cell>
          <cell r="AD120">
            <v>0.94444444444444453</v>
          </cell>
          <cell r="AE120">
            <v>0.95486111111111116</v>
          </cell>
          <cell r="AF120">
            <v>42717</v>
          </cell>
          <cell r="AG120">
            <v>0.96527777777777779</v>
          </cell>
          <cell r="AH120">
            <v>0.98958333333333337</v>
          </cell>
          <cell r="AI120">
            <v>42717</v>
          </cell>
          <cell r="AJ120">
            <v>7.9861111111111105E-2</v>
          </cell>
          <cell r="AK120">
            <v>8.6805555555555566E-2</v>
          </cell>
          <cell r="AL120">
            <v>42717</v>
          </cell>
          <cell r="AM120">
            <v>1.06</v>
          </cell>
          <cell r="AN120">
            <v>9</v>
          </cell>
          <cell r="AO120">
            <v>23</v>
          </cell>
          <cell r="AP120">
            <v>0</v>
          </cell>
          <cell r="AQ120">
            <v>9.0277777777777776E-2</v>
          </cell>
          <cell r="AR120">
            <v>9.375E-2</v>
          </cell>
          <cell r="AS120">
            <v>42718</v>
          </cell>
          <cell r="AT120">
            <v>27.45</v>
          </cell>
          <cell r="AU120">
            <v>0.10069444444444443</v>
          </cell>
          <cell r="AV120">
            <v>42718</v>
          </cell>
          <cell r="AW120">
            <v>0.11458333333333333</v>
          </cell>
          <cell r="AX120">
            <v>42718</v>
          </cell>
          <cell r="AY120">
            <v>6.1</v>
          </cell>
          <cell r="AZ120">
            <v>13</v>
          </cell>
        </row>
        <row r="121">
          <cell r="B121" t="str">
            <v>A65</v>
          </cell>
          <cell r="C121">
            <v>0.625</v>
          </cell>
          <cell r="D121">
            <v>0.6875</v>
          </cell>
          <cell r="E121">
            <v>42714</v>
          </cell>
          <cell r="F121">
            <v>0.70138888888888884</v>
          </cell>
          <cell r="G121">
            <v>0.71180555555555547</v>
          </cell>
          <cell r="H121">
            <v>42714</v>
          </cell>
          <cell r="I121">
            <v>0.02</v>
          </cell>
          <cell r="J121">
            <v>-0.02</v>
          </cell>
          <cell r="K121">
            <v>-0.35799999999999998</v>
          </cell>
          <cell r="L121">
            <v>-0.78900000000000003</v>
          </cell>
          <cell r="M121">
            <v>0.71875</v>
          </cell>
          <cell r="N121">
            <v>0.72916666666666663</v>
          </cell>
          <cell r="O121">
            <v>42714</v>
          </cell>
          <cell r="P121">
            <v>1.05</v>
          </cell>
          <cell r="Q121">
            <v>9</v>
          </cell>
          <cell r="R121">
            <v>26</v>
          </cell>
          <cell r="S121">
            <v>0</v>
          </cell>
          <cell r="T121">
            <v>0.33333333333333331</v>
          </cell>
          <cell r="U121">
            <v>42715</v>
          </cell>
          <cell r="V121">
            <v>20.6</v>
          </cell>
          <cell r="W121">
            <v>0.98263888888888884</v>
          </cell>
          <cell r="X121">
            <v>42717</v>
          </cell>
          <cell r="Y121">
            <v>37.4</v>
          </cell>
          <cell r="Z121">
            <v>1.0416666666666666E-2</v>
          </cell>
          <cell r="AA121">
            <v>3.125E-2</v>
          </cell>
          <cell r="AB121">
            <v>42718</v>
          </cell>
          <cell r="AC121">
            <v>37.549999999999997</v>
          </cell>
          <cell r="AD121">
            <v>4.1666666666666664E-2</v>
          </cell>
          <cell r="AE121">
            <v>5.2083333333333336E-2</v>
          </cell>
          <cell r="AF121">
            <v>42718</v>
          </cell>
          <cell r="AG121">
            <v>6.5972222222222224E-2</v>
          </cell>
          <cell r="AH121">
            <v>0.11805555555555557</v>
          </cell>
          <cell r="AI121">
            <v>42718</v>
          </cell>
          <cell r="AJ121">
            <v>0.21527777777777779</v>
          </cell>
          <cell r="AK121">
            <v>0.22569444444444445</v>
          </cell>
          <cell r="AL121">
            <v>42718</v>
          </cell>
          <cell r="AM121">
            <v>1.06</v>
          </cell>
          <cell r="AN121">
            <v>9</v>
          </cell>
          <cell r="AO121">
            <v>22</v>
          </cell>
          <cell r="AP121">
            <v>0</v>
          </cell>
          <cell r="AQ121">
            <v>0.23263888888888887</v>
          </cell>
          <cell r="AR121">
            <v>0.23611111111111113</v>
          </cell>
          <cell r="AS121">
            <v>42718</v>
          </cell>
          <cell r="AT121">
            <v>37.549999999999997</v>
          </cell>
          <cell r="AU121">
            <v>0.23958333333333334</v>
          </cell>
          <cell r="AV121">
            <v>42718</v>
          </cell>
          <cell r="AW121">
            <v>0.36458333333333331</v>
          </cell>
          <cell r="AX121">
            <v>42718</v>
          </cell>
          <cell r="AY121">
            <v>8</v>
          </cell>
          <cell r="AZ121">
            <v>61</v>
          </cell>
        </row>
        <row r="122">
          <cell r="B122" t="str">
            <v>A69</v>
          </cell>
          <cell r="C122">
            <v>0.66666666666666663</v>
          </cell>
          <cell r="D122">
            <v>0.72916666666666663</v>
          </cell>
          <cell r="E122">
            <v>42717</v>
          </cell>
          <cell r="F122">
            <v>0.74305555555555547</v>
          </cell>
          <cell r="G122">
            <v>0.75347222222222221</v>
          </cell>
          <cell r="H122">
            <v>42717</v>
          </cell>
          <cell r="I122">
            <v>5.0000000000000001E-3</v>
          </cell>
          <cell r="J122">
            <v>6.0000000000000001E-3</v>
          </cell>
          <cell r="K122">
            <v>6.0999999999999999E-2</v>
          </cell>
          <cell r="L122">
            <v>-0.51100000000000001</v>
          </cell>
          <cell r="M122">
            <v>0.79166666666666663</v>
          </cell>
          <cell r="N122">
            <v>0.79861111111111116</v>
          </cell>
          <cell r="O122">
            <v>42717</v>
          </cell>
          <cell r="P122">
            <v>1.06</v>
          </cell>
          <cell r="Q122">
            <v>9</v>
          </cell>
          <cell r="R122">
            <v>26</v>
          </cell>
          <cell r="S122">
            <v>0</v>
          </cell>
          <cell r="T122">
            <v>0.83333333333333337</v>
          </cell>
          <cell r="U122">
            <v>42717</v>
          </cell>
          <cell r="V122">
            <v>19.100000000000001</v>
          </cell>
          <cell r="W122">
            <v>0.38194444444444442</v>
          </cell>
          <cell r="X122">
            <v>42718</v>
          </cell>
          <cell r="Y122">
            <v>26.96</v>
          </cell>
          <cell r="Z122">
            <v>0.40277777777777773</v>
          </cell>
          <cell r="AA122">
            <v>0.41666666666666669</v>
          </cell>
          <cell r="AB122">
            <v>42718</v>
          </cell>
          <cell r="AC122">
            <v>26.96</v>
          </cell>
          <cell r="AD122">
            <v>0.4201388888888889</v>
          </cell>
          <cell r="AE122">
            <v>0.43055555555555558</v>
          </cell>
          <cell r="AF122">
            <v>42718</v>
          </cell>
          <cell r="AG122">
            <v>0.44444444444444442</v>
          </cell>
          <cell r="AH122">
            <v>0.5</v>
          </cell>
          <cell r="AI122">
            <v>42718</v>
          </cell>
          <cell r="AJ122">
            <v>0.59027777777777779</v>
          </cell>
          <cell r="AK122">
            <v>0.60069444444444442</v>
          </cell>
          <cell r="AL122">
            <v>42718</v>
          </cell>
          <cell r="AM122">
            <v>1.06</v>
          </cell>
          <cell r="AN122">
            <v>9</v>
          </cell>
          <cell r="AO122">
            <v>26</v>
          </cell>
          <cell r="AP122">
            <v>0</v>
          </cell>
          <cell r="AQ122">
            <v>0.60763888888888895</v>
          </cell>
          <cell r="AR122">
            <v>0.61111111111111105</v>
          </cell>
          <cell r="AS122">
            <v>42718</v>
          </cell>
          <cell r="AT122">
            <v>26.96</v>
          </cell>
          <cell r="AU122">
            <v>0.61458333333333337</v>
          </cell>
          <cell r="AV122">
            <v>42718</v>
          </cell>
          <cell r="AW122">
            <v>0.70486111111111116</v>
          </cell>
          <cell r="AX122">
            <v>42718</v>
          </cell>
          <cell r="AY122">
            <v>8.6</v>
          </cell>
          <cell r="AZ122">
            <v>25.5</v>
          </cell>
        </row>
        <row r="123">
          <cell r="B123" t="str">
            <v>A158</v>
          </cell>
          <cell r="C123">
            <v>0.5625</v>
          </cell>
          <cell r="D123">
            <v>0.625</v>
          </cell>
          <cell r="E123">
            <v>42718</v>
          </cell>
          <cell r="F123">
            <v>0.64930555555555558</v>
          </cell>
          <cell r="G123">
            <v>0.65972222222222221</v>
          </cell>
          <cell r="H123">
            <v>42718</v>
          </cell>
          <cell r="I123">
            <v>5.0000000000000001E-3</v>
          </cell>
          <cell r="J123">
            <v>-2.3E-2</v>
          </cell>
          <cell r="K123">
            <v>-0.222</v>
          </cell>
          <cell r="L123">
            <v>-0.66800000000000004</v>
          </cell>
          <cell r="M123">
            <v>0.66666666666666663</v>
          </cell>
          <cell r="N123">
            <v>0.67708333333333337</v>
          </cell>
          <cell r="O123">
            <v>42718</v>
          </cell>
          <cell r="P123">
            <v>1.05</v>
          </cell>
          <cell r="Q123">
            <v>9</v>
          </cell>
          <cell r="R123">
            <v>26</v>
          </cell>
          <cell r="S123">
            <v>0</v>
          </cell>
          <cell r="T123">
            <v>0.70138888888888884</v>
          </cell>
          <cell r="U123">
            <v>42718</v>
          </cell>
          <cell r="V123">
            <v>20.9</v>
          </cell>
          <cell r="W123">
            <v>0.81944444444444453</v>
          </cell>
          <cell r="X123">
            <v>42718</v>
          </cell>
          <cell r="Y123">
            <v>24.5</v>
          </cell>
          <cell r="Z123">
            <v>0.84375</v>
          </cell>
          <cell r="AA123">
            <v>0.85416666666666663</v>
          </cell>
          <cell r="AB123">
            <v>42718</v>
          </cell>
          <cell r="AC123">
            <v>24.55</v>
          </cell>
          <cell r="AD123">
            <v>0.86111111111111116</v>
          </cell>
          <cell r="AE123">
            <v>0.86805555555555547</v>
          </cell>
          <cell r="AF123">
            <v>42718</v>
          </cell>
          <cell r="AG123">
            <v>0.875</v>
          </cell>
          <cell r="AH123">
            <v>0.90972222222222221</v>
          </cell>
          <cell r="AI123">
            <v>42718</v>
          </cell>
          <cell r="AJ123">
            <v>0.95833333333333337</v>
          </cell>
          <cell r="AK123">
            <v>0.96527777777777779</v>
          </cell>
          <cell r="AL123">
            <v>42718</v>
          </cell>
          <cell r="AM123">
            <v>1.06</v>
          </cell>
          <cell r="AN123">
            <v>9</v>
          </cell>
          <cell r="AO123">
            <v>22</v>
          </cell>
          <cell r="AP123">
            <v>0</v>
          </cell>
          <cell r="AQ123">
            <v>0.96875</v>
          </cell>
          <cell r="AR123">
            <v>0.97222222222222221</v>
          </cell>
          <cell r="AS123">
            <v>42718</v>
          </cell>
          <cell r="AT123">
            <v>24.55</v>
          </cell>
          <cell r="AU123">
            <v>0.97916666666666663</v>
          </cell>
          <cell r="AV123">
            <v>42718</v>
          </cell>
          <cell r="AW123">
            <v>0</v>
          </cell>
          <cell r="AX123">
            <v>42719</v>
          </cell>
          <cell r="AY123">
            <v>7.4</v>
          </cell>
          <cell r="AZ123">
            <v>21</v>
          </cell>
        </row>
        <row r="124">
          <cell r="B124" t="str">
            <v>B44</v>
          </cell>
          <cell r="C124">
            <v>0.5625</v>
          </cell>
          <cell r="D124">
            <v>0.625</v>
          </cell>
          <cell r="E124">
            <v>42718</v>
          </cell>
          <cell r="F124">
            <v>0.63194444444444442</v>
          </cell>
          <cell r="G124">
            <v>0.64236111111111105</v>
          </cell>
          <cell r="H124">
            <v>42718</v>
          </cell>
          <cell r="I124">
            <v>-0.01</v>
          </cell>
          <cell r="J124">
            <v>-1.4999999999999999E-2</v>
          </cell>
          <cell r="K124">
            <v>-4.7E-2</v>
          </cell>
          <cell r="L124">
            <v>-0.4</v>
          </cell>
          <cell r="M124">
            <v>0.6875</v>
          </cell>
          <cell r="N124">
            <v>0.70138888888888884</v>
          </cell>
          <cell r="O124">
            <v>42718</v>
          </cell>
          <cell r="P124">
            <v>1.06</v>
          </cell>
          <cell r="Q124">
            <v>9</v>
          </cell>
          <cell r="R124">
            <v>27</v>
          </cell>
          <cell r="S124">
            <v>0</v>
          </cell>
          <cell r="T124">
            <v>0.79166666666666663</v>
          </cell>
          <cell r="U124">
            <v>42718</v>
          </cell>
          <cell r="V124">
            <v>18.7</v>
          </cell>
          <cell r="W124">
            <v>0.84375</v>
          </cell>
          <cell r="X124">
            <v>42718</v>
          </cell>
          <cell r="Y124">
            <v>27.45</v>
          </cell>
          <cell r="Z124">
            <v>0.86111111111111116</v>
          </cell>
          <cell r="AA124">
            <v>0.88194444444444453</v>
          </cell>
          <cell r="AB124">
            <v>42718</v>
          </cell>
          <cell r="AC124">
            <v>27.45</v>
          </cell>
          <cell r="AD124">
            <v>0.88888888888888884</v>
          </cell>
          <cell r="AE124">
            <v>0.89583333333333337</v>
          </cell>
          <cell r="AF124">
            <v>42718</v>
          </cell>
          <cell r="AG124">
            <v>0.90972222222222221</v>
          </cell>
          <cell r="AH124">
            <v>0.94444444444444453</v>
          </cell>
          <cell r="AI124">
            <v>42718</v>
          </cell>
          <cell r="AJ124">
            <v>0.53472222222222221</v>
          </cell>
          <cell r="AK124">
            <v>4.1666666666666664E-2</v>
          </cell>
          <cell r="AL124">
            <v>42718</v>
          </cell>
          <cell r="AM124">
            <v>1.05</v>
          </cell>
          <cell r="AN124">
            <v>9</v>
          </cell>
          <cell r="AO124">
            <v>24</v>
          </cell>
          <cell r="AP124">
            <v>0</v>
          </cell>
          <cell r="AQ124">
            <v>4.8611111111111112E-2</v>
          </cell>
          <cell r="AR124">
            <v>5.2083333333333336E-2</v>
          </cell>
          <cell r="AS124">
            <v>42719</v>
          </cell>
          <cell r="AT124">
            <v>27.45</v>
          </cell>
          <cell r="AU124">
            <v>5.5555555555555552E-2</v>
          </cell>
          <cell r="AV124">
            <v>42719</v>
          </cell>
          <cell r="AW124">
            <v>6.25E-2</v>
          </cell>
          <cell r="AX124">
            <v>42719</v>
          </cell>
          <cell r="AY124">
            <v>5.9</v>
          </cell>
          <cell r="AZ124">
            <v>12</v>
          </cell>
        </row>
        <row r="125">
          <cell r="B125" t="str">
            <v>A73</v>
          </cell>
          <cell r="C125">
            <v>0.875</v>
          </cell>
          <cell r="D125">
            <v>0.9375</v>
          </cell>
          <cell r="E125">
            <v>42718</v>
          </cell>
          <cell r="F125">
            <v>0.94791666666666663</v>
          </cell>
          <cell r="G125">
            <v>0.95833333333333337</v>
          </cell>
          <cell r="H125">
            <v>42718</v>
          </cell>
          <cell r="I125">
            <v>-2.1999999999999999E-2</v>
          </cell>
          <cell r="J125">
            <v>1.7999999999999999E-2</v>
          </cell>
          <cell r="K125">
            <v>0.18</v>
          </cell>
          <cell r="L125">
            <v>-0.69899999999999995</v>
          </cell>
          <cell r="M125">
            <v>0.96527777777777779</v>
          </cell>
          <cell r="N125">
            <v>0.97569444444444453</v>
          </cell>
          <cell r="O125">
            <v>42718</v>
          </cell>
          <cell r="P125">
            <v>1.06</v>
          </cell>
          <cell r="Q125">
            <v>9</v>
          </cell>
          <cell r="R125">
            <v>25</v>
          </cell>
          <cell r="S125">
            <v>0</v>
          </cell>
          <cell r="T125">
            <v>0.17708333333333334</v>
          </cell>
          <cell r="U125">
            <v>42719</v>
          </cell>
          <cell r="V125">
            <v>20.8</v>
          </cell>
          <cell r="W125">
            <v>0.4375</v>
          </cell>
          <cell r="X125">
            <v>42719</v>
          </cell>
          <cell r="Y125">
            <v>28.5</v>
          </cell>
          <cell r="Z125">
            <v>0.45833333333333331</v>
          </cell>
          <cell r="AA125">
            <v>0.47916666666666669</v>
          </cell>
          <cell r="AB125">
            <v>42719</v>
          </cell>
          <cell r="AC125">
            <v>28.6</v>
          </cell>
          <cell r="AD125">
            <v>0.4861111111111111</v>
          </cell>
          <cell r="AE125">
            <v>0.50694444444444442</v>
          </cell>
          <cell r="AF125">
            <v>42719</v>
          </cell>
          <cell r="AG125">
            <v>0.51388888888888895</v>
          </cell>
          <cell r="AH125">
            <v>0.5625</v>
          </cell>
          <cell r="AI125">
            <v>42719</v>
          </cell>
          <cell r="AJ125">
            <v>0.63541666666666663</v>
          </cell>
          <cell r="AK125">
            <v>0.63888888888888895</v>
          </cell>
          <cell r="AL125">
            <v>42719</v>
          </cell>
          <cell r="AM125">
            <v>1.06</v>
          </cell>
          <cell r="AN125">
            <v>9</v>
          </cell>
          <cell r="AO125">
            <v>25</v>
          </cell>
          <cell r="AP125">
            <v>0</v>
          </cell>
          <cell r="AQ125">
            <v>0.64583333333333337</v>
          </cell>
          <cell r="AR125">
            <v>0.64930555555555558</v>
          </cell>
          <cell r="AS125">
            <v>42719</v>
          </cell>
          <cell r="AT125">
            <v>28.6</v>
          </cell>
          <cell r="AU125">
            <v>0.65277777777777779</v>
          </cell>
          <cell r="AV125">
            <v>42719</v>
          </cell>
          <cell r="AW125">
            <v>0.72916666666666663</v>
          </cell>
          <cell r="AX125">
            <v>42719</v>
          </cell>
          <cell r="AY125">
            <v>7.6</v>
          </cell>
          <cell r="AZ125">
            <v>33</v>
          </cell>
        </row>
        <row r="126">
          <cell r="B126" t="str">
            <v>A14</v>
          </cell>
          <cell r="C126">
            <v>0.35416666666666669</v>
          </cell>
          <cell r="D126">
            <v>0.41666666666666669</v>
          </cell>
          <cell r="E126">
            <v>42719</v>
          </cell>
          <cell r="F126">
            <v>0.43055555555555558</v>
          </cell>
          <cell r="G126">
            <v>0.44097222222222227</v>
          </cell>
          <cell r="H126">
            <v>42719</v>
          </cell>
          <cell r="I126">
            <v>-2.1000000000000001E-2</v>
          </cell>
          <cell r="J126">
            <v>-8.9999999999999993E-3</v>
          </cell>
          <cell r="K126">
            <v>0.01</v>
          </cell>
          <cell r="L126">
            <v>-0.21</v>
          </cell>
          <cell r="M126">
            <v>0.58333333333333337</v>
          </cell>
          <cell r="N126">
            <v>0.59375</v>
          </cell>
          <cell r="O126">
            <v>42719</v>
          </cell>
          <cell r="P126">
            <v>1.06</v>
          </cell>
          <cell r="Q126">
            <v>9</v>
          </cell>
          <cell r="R126">
            <v>26</v>
          </cell>
          <cell r="S126">
            <v>0</v>
          </cell>
          <cell r="T126">
            <v>0.79166666666666663</v>
          </cell>
          <cell r="U126">
            <v>42719</v>
          </cell>
          <cell r="V126">
            <v>20.2</v>
          </cell>
          <cell r="W126">
            <v>0.83333333333333337</v>
          </cell>
          <cell r="X126">
            <v>42719</v>
          </cell>
          <cell r="Y126">
            <v>24.8</v>
          </cell>
          <cell r="Z126">
            <v>0.85416666666666663</v>
          </cell>
          <cell r="AA126">
            <v>0.86458333333333337</v>
          </cell>
          <cell r="AB126">
            <v>42719</v>
          </cell>
          <cell r="AC126">
            <v>24.85</v>
          </cell>
          <cell r="AD126">
            <v>0.875</v>
          </cell>
          <cell r="AE126">
            <v>0.88541666666666663</v>
          </cell>
          <cell r="AF126">
            <v>42719</v>
          </cell>
          <cell r="AG126">
            <v>0.89583333333333337</v>
          </cell>
          <cell r="AH126">
            <v>0.94097222222222221</v>
          </cell>
          <cell r="AI126">
            <v>42719</v>
          </cell>
          <cell r="AJ126">
            <v>0.97916666666666663</v>
          </cell>
          <cell r="AK126">
            <v>0.98958333333333337</v>
          </cell>
          <cell r="AL126">
            <v>42719</v>
          </cell>
          <cell r="AM126">
            <v>1.05</v>
          </cell>
          <cell r="AN126">
            <v>9</v>
          </cell>
          <cell r="AO126">
            <v>26</v>
          </cell>
          <cell r="AP126">
            <v>0</v>
          </cell>
          <cell r="AQ126">
            <v>0.99305555555555547</v>
          </cell>
          <cell r="AR126">
            <v>0.99652777777777779</v>
          </cell>
          <cell r="AS126">
            <v>42719</v>
          </cell>
          <cell r="AT126">
            <v>24.85</v>
          </cell>
          <cell r="AU126">
            <v>0</v>
          </cell>
          <cell r="AV126">
            <v>42720</v>
          </cell>
          <cell r="AW126">
            <v>9.7222222222222224E-2</v>
          </cell>
          <cell r="AX126">
            <v>42720</v>
          </cell>
          <cell r="AY126">
            <v>7.6</v>
          </cell>
          <cell r="AZ126">
            <v>24</v>
          </cell>
        </row>
        <row r="127">
          <cell r="B127" t="str">
            <v>BP3</v>
          </cell>
          <cell r="C127">
            <v>0.5625</v>
          </cell>
          <cell r="D127">
            <v>0.61458333333333337</v>
          </cell>
          <cell r="E127">
            <v>42719</v>
          </cell>
          <cell r="F127">
            <v>0.62152777777777779</v>
          </cell>
          <cell r="G127">
            <v>0.63194444444444442</v>
          </cell>
          <cell r="H127">
            <v>42719</v>
          </cell>
          <cell r="I127">
            <v>8.9999999999999993E-3</v>
          </cell>
          <cell r="J127">
            <v>-1.4E-2</v>
          </cell>
          <cell r="K127">
            <v>0.27500000000000002</v>
          </cell>
          <cell r="L127">
            <v>-0.68400000000000005</v>
          </cell>
          <cell r="M127">
            <v>0.63541666666666663</v>
          </cell>
          <cell r="N127">
            <v>0.64583333333333337</v>
          </cell>
          <cell r="O127">
            <v>42719</v>
          </cell>
          <cell r="P127">
            <v>1.06</v>
          </cell>
          <cell r="Q127">
            <v>9</v>
          </cell>
          <cell r="R127">
            <v>26</v>
          </cell>
          <cell r="S127">
            <v>0</v>
          </cell>
          <cell r="T127">
            <v>0.71875</v>
          </cell>
          <cell r="U127">
            <v>42719</v>
          </cell>
          <cell r="V127">
            <v>22.2</v>
          </cell>
          <cell r="W127">
            <v>0.91666666666666663</v>
          </cell>
          <cell r="X127">
            <v>42719</v>
          </cell>
          <cell r="Y127">
            <v>30.8</v>
          </cell>
          <cell r="Z127">
            <v>0.95833333333333337</v>
          </cell>
          <cell r="AA127">
            <v>6.9444444444444441E-3</v>
          </cell>
          <cell r="AB127">
            <v>42720</v>
          </cell>
          <cell r="AC127">
            <v>30.8</v>
          </cell>
          <cell r="AD127">
            <v>1.3888888888888888E-2</v>
          </cell>
          <cell r="AE127">
            <v>2.4305555555555556E-2</v>
          </cell>
          <cell r="AF127">
            <v>42720</v>
          </cell>
          <cell r="AG127">
            <v>3.125E-2</v>
          </cell>
          <cell r="AH127">
            <v>6.25E-2</v>
          </cell>
          <cell r="AI127">
            <v>42720</v>
          </cell>
          <cell r="AJ127">
            <v>0.21875</v>
          </cell>
          <cell r="AK127">
            <v>0.22916666666666666</v>
          </cell>
          <cell r="AL127">
            <v>42720</v>
          </cell>
          <cell r="AM127">
            <v>1.06</v>
          </cell>
          <cell r="AN127">
            <v>9</v>
          </cell>
          <cell r="AO127">
            <v>23</v>
          </cell>
          <cell r="AP127">
            <v>0</v>
          </cell>
          <cell r="AQ127">
            <v>0.23263888888888887</v>
          </cell>
          <cell r="AR127">
            <v>0.25347222222222221</v>
          </cell>
          <cell r="AS127">
            <v>42720</v>
          </cell>
          <cell r="AT127">
            <v>30.8</v>
          </cell>
          <cell r="AU127">
            <v>0.23958333333333334</v>
          </cell>
          <cell r="AV127">
            <v>42720</v>
          </cell>
          <cell r="AW127">
            <v>0.25347222222222221</v>
          </cell>
          <cell r="AX127">
            <v>42720</v>
          </cell>
          <cell r="AY127">
            <v>6.1</v>
          </cell>
          <cell r="AZ127">
            <v>16</v>
          </cell>
        </row>
        <row r="128">
          <cell r="B128" t="str">
            <v>A74</v>
          </cell>
          <cell r="C128">
            <v>0.39583333333333331</v>
          </cell>
          <cell r="D128">
            <v>0.45833333333333331</v>
          </cell>
          <cell r="E128">
            <v>42720</v>
          </cell>
          <cell r="F128">
            <v>0.47222222222222227</v>
          </cell>
          <cell r="G128">
            <v>0.4826388888888889</v>
          </cell>
          <cell r="H128">
            <v>42720</v>
          </cell>
          <cell r="I128">
            <v>1.4E-2</v>
          </cell>
          <cell r="J128">
            <v>2.5999999999999999E-2</v>
          </cell>
          <cell r="K128">
            <v>-0.01</v>
          </cell>
          <cell r="L128">
            <v>-0.315</v>
          </cell>
          <cell r="M128">
            <v>0.51041666666666663</v>
          </cell>
          <cell r="N128">
            <v>0.52083333333333337</v>
          </cell>
          <cell r="O128">
            <v>42720</v>
          </cell>
          <cell r="P128">
            <v>1.05</v>
          </cell>
          <cell r="Q128">
            <v>9</v>
          </cell>
          <cell r="R128">
            <v>28</v>
          </cell>
          <cell r="S128">
            <v>0</v>
          </cell>
          <cell r="T128">
            <v>0.625</v>
          </cell>
          <cell r="U128">
            <v>42720</v>
          </cell>
          <cell r="V128">
            <v>22.2</v>
          </cell>
          <cell r="W128">
            <v>0.91666666666666663</v>
          </cell>
          <cell r="X128">
            <v>42720</v>
          </cell>
          <cell r="Y128">
            <v>28.3</v>
          </cell>
          <cell r="Z128">
            <v>0.95138888888888884</v>
          </cell>
          <cell r="AA128">
            <v>0.98958333333333337</v>
          </cell>
          <cell r="AB128">
            <v>42720</v>
          </cell>
          <cell r="AC128">
            <v>28.3</v>
          </cell>
          <cell r="AD128">
            <v>0</v>
          </cell>
          <cell r="AE128">
            <v>1.0416666666666666E-2</v>
          </cell>
          <cell r="AF128">
            <v>42720</v>
          </cell>
          <cell r="AG128">
            <v>2.0833333333333332E-2</v>
          </cell>
          <cell r="AH128">
            <v>5.5555555555555552E-2</v>
          </cell>
          <cell r="AI128">
            <v>42721</v>
          </cell>
          <cell r="AJ128">
            <v>9.375E-2</v>
          </cell>
          <cell r="AK128">
            <v>0.10069444444444443</v>
          </cell>
          <cell r="AL128">
            <v>42721</v>
          </cell>
          <cell r="AM128">
            <v>1.06</v>
          </cell>
          <cell r="AN128">
            <v>9</v>
          </cell>
          <cell r="AO128">
            <v>20</v>
          </cell>
          <cell r="AP128">
            <v>0</v>
          </cell>
          <cell r="AQ128">
            <v>0.10416666666666667</v>
          </cell>
          <cell r="AR128">
            <v>0.1076388888888889</v>
          </cell>
          <cell r="AS128">
            <v>42721</v>
          </cell>
          <cell r="AT128">
            <v>28.3</v>
          </cell>
          <cell r="AU128">
            <v>0.11458333333333333</v>
          </cell>
          <cell r="AV128">
            <v>42721</v>
          </cell>
          <cell r="AW128">
            <v>0.1388888888888889</v>
          </cell>
          <cell r="AX128">
            <v>42721</v>
          </cell>
          <cell r="AY128">
            <v>7.6</v>
          </cell>
          <cell r="AZ128">
            <v>27</v>
          </cell>
        </row>
        <row r="129">
          <cell r="B129" t="str">
            <v>A76</v>
          </cell>
          <cell r="C129">
            <v>0.29166666666666669</v>
          </cell>
          <cell r="D129">
            <v>0.35416666666666669</v>
          </cell>
          <cell r="E129">
            <v>42720</v>
          </cell>
          <cell r="F129">
            <v>0.46180555555555558</v>
          </cell>
          <cell r="G129">
            <v>0.46875</v>
          </cell>
          <cell r="H129">
            <v>42720</v>
          </cell>
          <cell r="I129">
            <v>-1.6E-2</v>
          </cell>
          <cell r="J129">
            <v>2.1999999999999999E-2</v>
          </cell>
          <cell r="K129">
            <v>-0.114</v>
          </cell>
          <cell r="L129">
            <v>-0.38100000000000001</v>
          </cell>
          <cell r="M129">
            <v>0.49305555555555558</v>
          </cell>
          <cell r="N129">
            <v>0.5</v>
          </cell>
          <cell r="O129">
            <v>42720</v>
          </cell>
          <cell r="P129">
            <v>1.05</v>
          </cell>
          <cell r="Q129">
            <v>9</v>
          </cell>
          <cell r="R129">
            <v>27</v>
          </cell>
          <cell r="S129">
            <v>0</v>
          </cell>
          <cell r="T129">
            <v>0.64583333333333337</v>
          </cell>
          <cell r="U129">
            <v>42720</v>
          </cell>
          <cell r="V129">
            <v>20.399999999999999</v>
          </cell>
          <cell r="W129">
            <v>0.91666666666666663</v>
          </cell>
          <cell r="X129">
            <v>42720</v>
          </cell>
          <cell r="Y129">
            <v>26.8</v>
          </cell>
          <cell r="Z129">
            <v>0.41666666666666669</v>
          </cell>
          <cell r="AA129">
            <v>0.45833333333333331</v>
          </cell>
          <cell r="AB129">
            <v>42720</v>
          </cell>
          <cell r="AC129">
            <v>26.8</v>
          </cell>
          <cell r="AD129">
            <v>0.375</v>
          </cell>
          <cell r="AE129">
            <v>0.41666666666666669</v>
          </cell>
          <cell r="AF129">
            <v>42720</v>
          </cell>
          <cell r="AG129">
            <v>0.5</v>
          </cell>
          <cell r="AH129">
            <v>0.54166666666666663</v>
          </cell>
          <cell r="AI129">
            <v>42721</v>
          </cell>
          <cell r="AJ129">
            <v>0.58333333333333337</v>
          </cell>
          <cell r="AK129">
            <v>0.59027777777777779</v>
          </cell>
          <cell r="AL129">
            <v>42721</v>
          </cell>
          <cell r="AM129">
            <v>1.05</v>
          </cell>
          <cell r="AN129">
            <v>9</v>
          </cell>
          <cell r="AO129">
            <v>28</v>
          </cell>
          <cell r="AP129">
            <v>0</v>
          </cell>
          <cell r="AQ129">
            <v>0.59375</v>
          </cell>
          <cell r="AR129">
            <v>0.60069444444444442</v>
          </cell>
          <cell r="AS129">
            <v>42721</v>
          </cell>
          <cell r="AT129">
            <v>26.8</v>
          </cell>
          <cell r="AU129">
            <v>0.625</v>
          </cell>
          <cell r="AV129">
            <v>42721</v>
          </cell>
          <cell r="AW129">
            <v>0.6875</v>
          </cell>
          <cell r="AX129">
            <v>42721</v>
          </cell>
          <cell r="AY129">
            <v>8.5</v>
          </cell>
          <cell r="AZ129">
            <v>27</v>
          </cell>
        </row>
        <row r="130">
          <cell r="B130" t="str">
            <v>A157</v>
          </cell>
          <cell r="C130">
            <v>0.41666666666666669</v>
          </cell>
          <cell r="D130">
            <v>0.47916666666666669</v>
          </cell>
          <cell r="E130">
            <v>42722</v>
          </cell>
          <cell r="F130">
            <v>0.57638888888888895</v>
          </cell>
          <cell r="G130">
            <v>0.58680555555555558</v>
          </cell>
          <cell r="H130">
            <v>42722</v>
          </cell>
          <cell r="I130">
            <v>1.2E-2</v>
          </cell>
          <cell r="J130">
            <v>-1.2999999999999999E-2</v>
          </cell>
          <cell r="K130">
            <v>-0.38200000000000001</v>
          </cell>
          <cell r="L130">
            <v>-0.78200000000000003</v>
          </cell>
          <cell r="M130">
            <v>0.59375</v>
          </cell>
          <cell r="N130">
            <v>0.60416666666666663</v>
          </cell>
          <cell r="O130">
            <v>42722</v>
          </cell>
          <cell r="P130">
            <v>1.05</v>
          </cell>
          <cell r="Q130">
            <v>9</v>
          </cell>
          <cell r="R130">
            <v>28</v>
          </cell>
          <cell r="S130">
            <v>0</v>
          </cell>
          <cell r="T130">
            <v>0.66666666666666663</v>
          </cell>
          <cell r="U130">
            <v>42722</v>
          </cell>
          <cell r="V130">
            <v>23.3</v>
          </cell>
          <cell r="W130">
            <v>0.93055555555555547</v>
          </cell>
          <cell r="X130">
            <v>42722</v>
          </cell>
          <cell r="Y130">
            <v>30.15</v>
          </cell>
          <cell r="Z130">
            <v>0.96180555555555547</v>
          </cell>
          <cell r="AA130">
            <v>0.99305555555555547</v>
          </cell>
          <cell r="AB130">
            <v>42722</v>
          </cell>
          <cell r="AC130">
            <v>30.17</v>
          </cell>
          <cell r="AD130">
            <v>0.97916666666666663</v>
          </cell>
          <cell r="AE130">
            <v>0.99652777777777779</v>
          </cell>
          <cell r="AF130">
            <v>42722</v>
          </cell>
          <cell r="AG130">
            <v>0</v>
          </cell>
          <cell r="AH130">
            <v>6.25E-2</v>
          </cell>
          <cell r="AI130">
            <v>42723</v>
          </cell>
          <cell r="AJ130">
            <v>0.50347222222222221</v>
          </cell>
          <cell r="AK130">
            <v>0.51388888888888895</v>
          </cell>
          <cell r="AL130">
            <v>42723</v>
          </cell>
          <cell r="AM130">
            <v>1.05</v>
          </cell>
          <cell r="AN130">
            <v>9</v>
          </cell>
          <cell r="AO130">
            <v>28</v>
          </cell>
          <cell r="AP130">
            <v>0</v>
          </cell>
          <cell r="AQ130">
            <v>0.50694444444444442</v>
          </cell>
          <cell r="AR130">
            <v>0.51041666666666663</v>
          </cell>
          <cell r="AS130">
            <v>42723</v>
          </cell>
          <cell r="AT130">
            <v>30.18</v>
          </cell>
          <cell r="AU130">
            <v>0.52777777777777779</v>
          </cell>
          <cell r="AV130">
            <v>42723</v>
          </cell>
          <cell r="AW130">
            <v>0.58333333333333337</v>
          </cell>
          <cell r="AX130">
            <v>42723</v>
          </cell>
          <cell r="AY130">
            <v>7.3</v>
          </cell>
          <cell r="AZ130">
            <v>35</v>
          </cell>
        </row>
        <row r="131">
          <cell r="B131" t="str">
            <v>A75</v>
          </cell>
          <cell r="C131">
            <v>0.41666666666666669</v>
          </cell>
          <cell r="D131">
            <v>0.47222222222222227</v>
          </cell>
          <cell r="E131">
            <v>42723</v>
          </cell>
          <cell r="F131">
            <v>0.47569444444444442</v>
          </cell>
          <cell r="G131">
            <v>0.4861111111111111</v>
          </cell>
          <cell r="H131">
            <v>42723</v>
          </cell>
          <cell r="I131">
            <v>-1.7000000000000001E-2</v>
          </cell>
          <cell r="J131">
            <v>-1.9E-2</v>
          </cell>
          <cell r="K131">
            <v>-2.5000000000000001E-2</v>
          </cell>
          <cell r="L131">
            <v>-0.56499999999999995</v>
          </cell>
          <cell r="M131">
            <v>0.54861111111111105</v>
          </cell>
          <cell r="N131">
            <v>0.55902777777777779</v>
          </cell>
          <cell r="O131">
            <v>42723</v>
          </cell>
          <cell r="P131">
            <v>1.06</v>
          </cell>
          <cell r="Q131">
            <v>9</v>
          </cell>
          <cell r="R131">
            <v>28</v>
          </cell>
          <cell r="S131">
            <v>0</v>
          </cell>
          <cell r="T131">
            <v>0.6875</v>
          </cell>
          <cell r="U131">
            <v>42723</v>
          </cell>
          <cell r="V131">
            <v>22.7</v>
          </cell>
          <cell r="W131">
            <v>4.1666666666666664E-2</v>
          </cell>
          <cell r="X131">
            <v>42724</v>
          </cell>
          <cell r="Y131">
            <v>28.3</v>
          </cell>
          <cell r="Z131">
            <v>6.25E-2</v>
          </cell>
          <cell r="AA131">
            <v>9.0277777777777776E-2</v>
          </cell>
          <cell r="AB131">
            <v>42724</v>
          </cell>
          <cell r="AC131">
            <v>28.3</v>
          </cell>
          <cell r="AD131">
            <v>9.7222222222222224E-2</v>
          </cell>
          <cell r="AE131">
            <v>0.10416666666666667</v>
          </cell>
          <cell r="AF131">
            <v>42724</v>
          </cell>
          <cell r="AG131">
            <v>9.375E-2</v>
          </cell>
          <cell r="AH131">
            <v>0.15972222222222224</v>
          </cell>
          <cell r="AI131">
            <v>42724</v>
          </cell>
          <cell r="AJ131">
            <v>0.3576388888888889</v>
          </cell>
          <cell r="AK131">
            <v>0.36805555555555558</v>
          </cell>
          <cell r="AL131">
            <v>42724</v>
          </cell>
          <cell r="AM131">
            <v>1.05</v>
          </cell>
          <cell r="AN131">
            <v>9</v>
          </cell>
          <cell r="AO131">
            <v>28</v>
          </cell>
          <cell r="AP131">
            <v>0</v>
          </cell>
          <cell r="AQ131">
            <v>0.33333333333333331</v>
          </cell>
          <cell r="AR131">
            <v>0.34027777777777773</v>
          </cell>
          <cell r="AS131">
            <v>42724</v>
          </cell>
          <cell r="AT131">
            <v>28.3</v>
          </cell>
          <cell r="AU131">
            <v>0.34027777777777773</v>
          </cell>
          <cell r="AV131">
            <v>42724</v>
          </cell>
          <cell r="AW131">
            <v>0.36805555555555558</v>
          </cell>
          <cell r="AX131">
            <v>42724</v>
          </cell>
          <cell r="AY131">
            <v>8.6999999999999993</v>
          </cell>
          <cell r="AZ131">
            <v>26</v>
          </cell>
        </row>
        <row r="132">
          <cell r="B132" t="str">
            <v>A15</v>
          </cell>
          <cell r="C132">
            <v>0.39583333333333331</v>
          </cell>
          <cell r="D132">
            <v>0.45833333333333331</v>
          </cell>
          <cell r="E132">
            <v>42722</v>
          </cell>
          <cell r="F132">
            <v>0.5625</v>
          </cell>
          <cell r="G132">
            <v>0.57291666666666663</v>
          </cell>
          <cell r="H132">
            <v>42722</v>
          </cell>
          <cell r="I132">
            <v>-1.9E-2</v>
          </cell>
          <cell r="J132">
            <v>-1.4999999999999999E-2</v>
          </cell>
          <cell r="K132">
            <v>-0.01</v>
          </cell>
          <cell r="L132">
            <v>-0.55400000000000005</v>
          </cell>
          <cell r="M132">
            <v>0.58333333333333337</v>
          </cell>
          <cell r="N132">
            <v>0.59375</v>
          </cell>
          <cell r="O132">
            <v>42722</v>
          </cell>
          <cell r="P132">
            <v>1.05</v>
          </cell>
          <cell r="Q132">
            <v>9</v>
          </cell>
          <cell r="R132">
            <v>27</v>
          </cell>
          <cell r="S132">
            <v>0</v>
          </cell>
          <cell r="T132">
            <v>0.35416666666666669</v>
          </cell>
          <cell r="U132">
            <v>42723</v>
          </cell>
          <cell r="V132">
            <v>21.06</v>
          </cell>
          <cell r="W132">
            <v>0.75347222222222221</v>
          </cell>
          <cell r="X132">
            <v>42723</v>
          </cell>
          <cell r="Y132">
            <v>24.7</v>
          </cell>
          <cell r="Z132">
            <v>0.77777777777777779</v>
          </cell>
          <cell r="AA132">
            <v>0.80208333333333337</v>
          </cell>
          <cell r="AB132">
            <v>42723</v>
          </cell>
          <cell r="AC132">
            <v>24.75</v>
          </cell>
          <cell r="AD132">
            <v>0.8125</v>
          </cell>
          <cell r="AE132">
            <v>0.82291666666666663</v>
          </cell>
          <cell r="AF132">
            <v>42723</v>
          </cell>
          <cell r="AG132">
            <v>0.83680555555555547</v>
          </cell>
          <cell r="AH132">
            <v>0.86805555555555547</v>
          </cell>
          <cell r="AI132">
            <v>42723</v>
          </cell>
          <cell r="AJ132">
            <v>0.92013888888888884</v>
          </cell>
          <cell r="AK132">
            <v>0.92569444444444438</v>
          </cell>
          <cell r="AL132">
            <v>42723</v>
          </cell>
          <cell r="AM132">
            <v>1.05</v>
          </cell>
          <cell r="AN132">
            <v>9</v>
          </cell>
          <cell r="AO132">
            <v>24</v>
          </cell>
          <cell r="AP132">
            <v>0</v>
          </cell>
          <cell r="AQ132">
            <v>0.92708333333333337</v>
          </cell>
          <cell r="AR132">
            <v>0.93055555555555547</v>
          </cell>
          <cell r="AS132">
            <v>42723</v>
          </cell>
          <cell r="AT132">
            <v>24.75</v>
          </cell>
          <cell r="AU132">
            <v>0.9375</v>
          </cell>
          <cell r="AV132">
            <v>42723</v>
          </cell>
          <cell r="AW132">
            <v>0.97222222222222221</v>
          </cell>
          <cell r="AX132">
            <v>42723</v>
          </cell>
          <cell r="AY132">
            <v>7.5</v>
          </cell>
          <cell r="AZ132">
            <v>24</v>
          </cell>
        </row>
        <row r="133">
          <cell r="B133" t="str">
            <v>A16</v>
          </cell>
          <cell r="C133">
            <v>0.5625</v>
          </cell>
          <cell r="D133">
            <v>0.625</v>
          </cell>
          <cell r="E133">
            <v>42724</v>
          </cell>
          <cell r="F133">
            <v>0.65277777777777779</v>
          </cell>
          <cell r="G133">
            <v>0.66319444444444442</v>
          </cell>
          <cell r="H133">
            <v>42724</v>
          </cell>
          <cell r="I133">
            <v>-8.9999999999999993E-3</v>
          </cell>
          <cell r="J133">
            <v>1.4E-2</v>
          </cell>
          <cell r="K133">
            <v>-1.2E-2</v>
          </cell>
          <cell r="L133">
            <v>-0.60499999999999998</v>
          </cell>
          <cell r="M133">
            <v>0.66666666666666663</v>
          </cell>
          <cell r="N133">
            <v>0.67708333333333337</v>
          </cell>
          <cell r="O133">
            <v>42724</v>
          </cell>
          <cell r="P133">
            <v>1.05</v>
          </cell>
          <cell r="Q133">
            <v>9</v>
          </cell>
          <cell r="R133">
            <v>28</v>
          </cell>
          <cell r="S133">
            <v>0</v>
          </cell>
          <cell r="T133">
            <v>0.95833333333333337</v>
          </cell>
          <cell r="U133">
            <v>42724</v>
          </cell>
          <cell r="V133">
            <v>19.5</v>
          </cell>
          <cell r="W133">
            <v>5.2083333333333336E-2</v>
          </cell>
          <cell r="X133">
            <v>42725</v>
          </cell>
          <cell r="Y133">
            <v>25.3</v>
          </cell>
          <cell r="Z133">
            <v>7.2916666666666671E-2</v>
          </cell>
          <cell r="AA133">
            <v>0.10416666666666667</v>
          </cell>
          <cell r="AB133">
            <v>42725</v>
          </cell>
          <cell r="AC133">
            <v>25.38</v>
          </cell>
          <cell r="AD133">
            <v>0.1111111111111111</v>
          </cell>
          <cell r="AE133">
            <v>0.12152777777777778</v>
          </cell>
          <cell r="AF133">
            <v>42725</v>
          </cell>
          <cell r="AG133">
            <v>0.13194444444444445</v>
          </cell>
          <cell r="AH133">
            <v>0.16666666666666666</v>
          </cell>
          <cell r="AI133">
            <v>42725</v>
          </cell>
          <cell r="AJ133">
            <v>0.20833333333333334</v>
          </cell>
          <cell r="AK133">
            <v>0.21527777777777779</v>
          </cell>
          <cell r="AL133">
            <v>42725</v>
          </cell>
          <cell r="AM133">
            <v>1.05</v>
          </cell>
          <cell r="AN133">
            <v>9</v>
          </cell>
          <cell r="AO133">
            <v>23</v>
          </cell>
          <cell r="AP133">
            <v>0</v>
          </cell>
          <cell r="AQ133">
            <v>0.21875</v>
          </cell>
          <cell r="AR133">
            <v>0.22222222222222221</v>
          </cell>
          <cell r="AS133">
            <v>42725</v>
          </cell>
          <cell r="AT133">
            <v>25.38</v>
          </cell>
          <cell r="AU133">
            <v>0.22916666666666666</v>
          </cell>
          <cell r="AV133">
            <v>42725</v>
          </cell>
          <cell r="AW133">
            <v>0.26041666666666669</v>
          </cell>
          <cell r="AX133">
            <v>42725</v>
          </cell>
          <cell r="AY133">
            <v>7.6</v>
          </cell>
          <cell r="AZ133">
            <v>25</v>
          </cell>
        </row>
        <row r="134">
          <cell r="B134" t="str">
            <v>A159</v>
          </cell>
          <cell r="C134">
            <v>0.375</v>
          </cell>
          <cell r="D134">
            <v>0.44444444444444442</v>
          </cell>
          <cell r="E134">
            <v>42724</v>
          </cell>
          <cell r="F134">
            <v>0.45833333333333331</v>
          </cell>
          <cell r="G134">
            <v>0.46875</v>
          </cell>
          <cell r="H134">
            <v>42724</v>
          </cell>
          <cell r="I134">
            <v>-1.7000000000000001E-2</v>
          </cell>
          <cell r="J134">
            <v>-1.9E-2</v>
          </cell>
          <cell r="K134">
            <v>-0.23200000000000001</v>
          </cell>
          <cell r="L134">
            <v>-0.55600000000000005</v>
          </cell>
          <cell r="M134">
            <v>0.47222222222222227</v>
          </cell>
          <cell r="N134">
            <v>0.4861111111111111</v>
          </cell>
          <cell r="O134">
            <v>42724</v>
          </cell>
          <cell r="P134">
            <v>1.06</v>
          </cell>
          <cell r="Q134">
            <v>9</v>
          </cell>
          <cell r="R134">
            <v>28</v>
          </cell>
          <cell r="S134">
            <v>0</v>
          </cell>
          <cell r="T134">
            <v>0.66666666666666663</v>
          </cell>
          <cell r="U134">
            <v>42724</v>
          </cell>
          <cell r="V134">
            <v>22.8</v>
          </cell>
          <cell r="W134">
            <v>0.91666666666666663</v>
          </cell>
          <cell r="X134">
            <v>42724</v>
          </cell>
          <cell r="Y134">
            <v>30.3</v>
          </cell>
          <cell r="Z134">
            <v>0.9375</v>
          </cell>
          <cell r="AA134">
            <v>0.94791666666666663</v>
          </cell>
          <cell r="AB134">
            <v>42724</v>
          </cell>
          <cell r="AC134">
            <v>30.33</v>
          </cell>
          <cell r="AD134">
            <v>0.95486111111111116</v>
          </cell>
          <cell r="AE134">
            <v>0.96527777777777779</v>
          </cell>
          <cell r="AF134">
            <v>42724</v>
          </cell>
          <cell r="AG134">
            <v>6.9444444444444441E-3</v>
          </cell>
          <cell r="AH134">
            <v>5.5555555555555552E-2</v>
          </cell>
          <cell r="AI134">
            <v>42725</v>
          </cell>
          <cell r="AJ134">
            <v>6.25E-2</v>
          </cell>
          <cell r="AK134">
            <v>6.9444444444444434E-2</v>
          </cell>
          <cell r="AL134">
            <v>42725</v>
          </cell>
          <cell r="AM134">
            <v>1.05</v>
          </cell>
          <cell r="AN134">
            <v>9</v>
          </cell>
          <cell r="AO134">
            <v>24</v>
          </cell>
          <cell r="AP134">
            <v>0</v>
          </cell>
          <cell r="AQ134">
            <v>7.6388888888888895E-2</v>
          </cell>
          <cell r="AR134">
            <v>7.8472222222222221E-2</v>
          </cell>
          <cell r="AS134">
            <v>42725</v>
          </cell>
          <cell r="AT134">
            <v>30.33</v>
          </cell>
          <cell r="AU134">
            <v>7.9861111111111105E-2</v>
          </cell>
          <cell r="AV134">
            <v>42725</v>
          </cell>
          <cell r="AW134">
            <v>0.11458333333333333</v>
          </cell>
          <cell r="AX134">
            <v>42725</v>
          </cell>
          <cell r="AY134">
            <v>7.4</v>
          </cell>
          <cell r="AZ134">
            <v>32</v>
          </cell>
        </row>
        <row r="135">
          <cell r="B135" t="str">
            <v>A18</v>
          </cell>
          <cell r="C135">
            <v>0.5625</v>
          </cell>
          <cell r="D135">
            <v>0.625</v>
          </cell>
          <cell r="E135">
            <v>42725</v>
          </cell>
          <cell r="F135">
            <v>0.66666666666666663</v>
          </cell>
          <cell r="G135">
            <v>0.67708333333333337</v>
          </cell>
          <cell r="H135">
            <v>42725</v>
          </cell>
          <cell r="I135">
            <v>-0.02</v>
          </cell>
          <cell r="J135">
            <v>-1.2999999999999999E-2</v>
          </cell>
          <cell r="K135">
            <v>-0.01</v>
          </cell>
          <cell r="L135">
            <v>-0.432</v>
          </cell>
          <cell r="M135">
            <v>0.67708333333333337</v>
          </cell>
          <cell r="N135">
            <v>0.6875</v>
          </cell>
          <cell r="O135">
            <v>42725</v>
          </cell>
          <cell r="P135">
            <v>1.06</v>
          </cell>
          <cell r="Q135">
            <v>9</v>
          </cell>
          <cell r="R135">
            <v>26</v>
          </cell>
          <cell r="S135">
            <v>0</v>
          </cell>
          <cell r="T135">
            <v>0.88888888888888884</v>
          </cell>
          <cell r="U135">
            <v>42725</v>
          </cell>
          <cell r="V135">
            <v>21</v>
          </cell>
          <cell r="W135">
            <v>0.17708333333333334</v>
          </cell>
          <cell r="X135">
            <v>42726</v>
          </cell>
          <cell r="Y135">
            <v>25.3</v>
          </cell>
          <cell r="Z135">
            <v>0.19444444444444445</v>
          </cell>
          <cell r="AA135">
            <v>0.27083333333333331</v>
          </cell>
          <cell r="AB135">
            <v>42726</v>
          </cell>
          <cell r="AC135">
            <v>25.3</v>
          </cell>
          <cell r="AD135">
            <v>0.28125</v>
          </cell>
          <cell r="AE135">
            <v>0.30208333333333331</v>
          </cell>
          <cell r="AF135">
            <v>42726</v>
          </cell>
          <cell r="AG135">
            <v>0.3125</v>
          </cell>
          <cell r="AH135">
            <v>0.41666666666666669</v>
          </cell>
          <cell r="AI135">
            <v>42726</v>
          </cell>
          <cell r="AJ135">
            <v>0.52083333333333337</v>
          </cell>
          <cell r="AK135">
            <v>0.52777777777777779</v>
          </cell>
          <cell r="AL135">
            <v>42726</v>
          </cell>
          <cell r="AM135">
            <v>1.06</v>
          </cell>
          <cell r="AN135">
            <v>9</v>
          </cell>
          <cell r="AO135">
            <v>26</v>
          </cell>
          <cell r="AP135">
            <v>0</v>
          </cell>
          <cell r="AQ135">
            <v>0.52777777777777779</v>
          </cell>
          <cell r="AR135">
            <v>0.53125</v>
          </cell>
          <cell r="AS135">
            <v>42726</v>
          </cell>
          <cell r="AT135">
            <v>25.3</v>
          </cell>
          <cell r="AU135">
            <v>0.53472222222222221</v>
          </cell>
          <cell r="AV135">
            <v>42726</v>
          </cell>
          <cell r="AW135">
            <v>0.55902777777777779</v>
          </cell>
          <cell r="AX135">
            <v>42726</v>
          </cell>
          <cell r="AY135">
            <v>7.3</v>
          </cell>
          <cell r="AZ135">
            <v>24</v>
          </cell>
        </row>
        <row r="136">
          <cell r="B136" t="str">
            <v>A17</v>
          </cell>
          <cell r="C136">
            <v>0.79166666666666663</v>
          </cell>
          <cell r="D136">
            <v>0.85416666666666663</v>
          </cell>
          <cell r="E136">
            <v>42726</v>
          </cell>
          <cell r="F136">
            <v>0.88541666666666663</v>
          </cell>
          <cell r="G136">
            <v>0.89583333333333337</v>
          </cell>
          <cell r="H136">
            <v>42726</v>
          </cell>
          <cell r="I136">
            <v>-7.0000000000000001E-3</v>
          </cell>
          <cell r="J136">
            <v>2E-3</v>
          </cell>
          <cell r="K136">
            <v>-4.2000000000000003E-2</v>
          </cell>
          <cell r="L136">
            <v>-0.46800000000000003</v>
          </cell>
          <cell r="M136">
            <v>0.90625</v>
          </cell>
          <cell r="N136">
            <v>0.93055555555555547</v>
          </cell>
          <cell r="O136">
            <v>42726</v>
          </cell>
          <cell r="P136">
            <v>1.06</v>
          </cell>
          <cell r="Q136">
            <v>9</v>
          </cell>
          <cell r="R136">
            <v>24</v>
          </cell>
          <cell r="S136">
            <v>0</v>
          </cell>
          <cell r="T136">
            <v>1.0416666666666666E-2</v>
          </cell>
          <cell r="U136">
            <v>42727</v>
          </cell>
          <cell r="V136">
            <v>20.5</v>
          </cell>
          <cell r="W136">
            <v>8.6805555555555566E-2</v>
          </cell>
          <cell r="X136">
            <v>42727</v>
          </cell>
          <cell r="Y136">
            <v>25.3</v>
          </cell>
          <cell r="Z136">
            <v>0.1076388888888889</v>
          </cell>
          <cell r="AA136">
            <v>0.12152777777777778</v>
          </cell>
          <cell r="AB136">
            <v>42727</v>
          </cell>
          <cell r="AC136">
            <v>25.4</v>
          </cell>
          <cell r="AD136">
            <v>0.125</v>
          </cell>
          <cell r="AE136">
            <v>0.14583333333333334</v>
          </cell>
          <cell r="AF136">
            <v>42727</v>
          </cell>
          <cell r="AG136">
            <v>0.14930555555555555</v>
          </cell>
          <cell r="AH136">
            <v>0.20486111111111113</v>
          </cell>
          <cell r="AI136">
            <v>42727</v>
          </cell>
          <cell r="AJ136">
            <v>0.80555555555555547</v>
          </cell>
          <cell r="AK136">
            <v>0.8125</v>
          </cell>
          <cell r="AL136">
            <v>42727</v>
          </cell>
          <cell r="AM136">
            <v>1.06</v>
          </cell>
          <cell r="AN136">
            <v>9</v>
          </cell>
          <cell r="AO136">
            <v>25</v>
          </cell>
          <cell r="AP136">
            <v>0</v>
          </cell>
          <cell r="AQ136">
            <v>0.81944444444444453</v>
          </cell>
          <cell r="AR136">
            <v>0.82291666666666663</v>
          </cell>
          <cell r="AS136">
            <v>42727</v>
          </cell>
          <cell r="AT136">
            <v>25.4</v>
          </cell>
          <cell r="AU136">
            <v>0.82638888888888884</v>
          </cell>
          <cell r="AV136">
            <v>42727</v>
          </cell>
          <cell r="AW136">
            <v>0.86111111111111116</v>
          </cell>
          <cell r="AX136">
            <v>42727</v>
          </cell>
          <cell r="AY136">
            <v>7.6</v>
          </cell>
          <cell r="AZ136">
            <v>25</v>
          </cell>
        </row>
        <row r="137">
          <cell r="B137" t="str">
            <v>A78</v>
          </cell>
          <cell r="C137">
            <v>0.29166666666666669</v>
          </cell>
          <cell r="D137">
            <v>0.375</v>
          </cell>
          <cell r="E137">
            <v>42727</v>
          </cell>
          <cell r="F137">
            <v>0.38194444444444442</v>
          </cell>
          <cell r="G137">
            <v>0.3923611111111111</v>
          </cell>
          <cell r="H137">
            <v>42727</v>
          </cell>
          <cell r="I137">
            <v>-1.7999999999999999E-2</v>
          </cell>
          <cell r="J137">
            <v>-1.6E-2</v>
          </cell>
          <cell r="K137">
            <v>-0.16200000000000001</v>
          </cell>
          <cell r="L137">
            <v>-0.59699999999999998</v>
          </cell>
          <cell r="M137">
            <v>0.39583333333333331</v>
          </cell>
          <cell r="N137">
            <v>0.40277777777777773</v>
          </cell>
          <cell r="O137">
            <v>42727</v>
          </cell>
          <cell r="P137">
            <v>1.06</v>
          </cell>
          <cell r="Q137">
            <v>9</v>
          </cell>
          <cell r="R137">
            <v>26</v>
          </cell>
          <cell r="S137">
            <v>0</v>
          </cell>
          <cell r="T137">
            <v>0.63541666666666663</v>
          </cell>
          <cell r="U137">
            <v>42727</v>
          </cell>
          <cell r="V137">
            <v>20.7</v>
          </cell>
          <cell r="W137">
            <v>0.75</v>
          </cell>
          <cell r="X137">
            <v>42727</v>
          </cell>
          <cell r="Y137">
            <v>26.81</v>
          </cell>
          <cell r="Z137">
            <v>0.85416666666666663</v>
          </cell>
          <cell r="AA137">
            <v>0.88194444444444453</v>
          </cell>
          <cell r="AB137">
            <v>42727</v>
          </cell>
          <cell r="AC137">
            <v>26.8</v>
          </cell>
          <cell r="AD137">
            <v>0.88541666666666663</v>
          </cell>
          <cell r="AE137">
            <v>0.89583333333333337</v>
          </cell>
          <cell r="AF137">
            <v>42727</v>
          </cell>
          <cell r="AG137">
            <v>0.90625</v>
          </cell>
          <cell r="AH137">
            <v>0.94444444444444453</v>
          </cell>
          <cell r="AI137">
            <v>42727</v>
          </cell>
          <cell r="AJ137">
            <v>2.0833333333333332E-2</v>
          </cell>
          <cell r="AK137">
            <v>2.7777777777777776E-2</v>
          </cell>
          <cell r="AL137">
            <v>42727</v>
          </cell>
          <cell r="AM137">
            <v>1.06</v>
          </cell>
          <cell r="AN137">
            <v>9</v>
          </cell>
          <cell r="AO137">
            <v>24</v>
          </cell>
          <cell r="AP137">
            <v>0</v>
          </cell>
          <cell r="AQ137">
            <v>3.4722222222222224E-2</v>
          </cell>
          <cell r="AR137">
            <v>3.8194444444444441E-2</v>
          </cell>
          <cell r="AS137">
            <v>42728</v>
          </cell>
          <cell r="AT137">
            <v>26.85</v>
          </cell>
          <cell r="AU137">
            <v>7.9861111111111105E-2</v>
          </cell>
          <cell r="AV137">
            <v>42728</v>
          </cell>
          <cell r="AW137">
            <v>0.10416666666666667</v>
          </cell>
          <cell r="AX137">
            <v>42728</v>
          </cell>
          <cell r="AY137">
            <v>8.4</v>
          </cell>
          <cell r="AZ137">
            <v>24</v>
          </cell>
        </row>
        <row r="138">
          <cell r="B138" t="str">
            <v>A71</v>
          </cell>
          <cell r="C138">
            <v>0.39583333333333331</v>
          </cell>
          <cell r="D138">
            <v>0.45833333333333331</v>
          </cell>
          <cell r="E138">
            <v>42725</v>
          </cell>
          <cell r="F138">
            <v>0.62847222222222221</v>
          </cell>
          <cell r="G138">
            <v>0.63888888888888895</v>
          </cell>
          <cell r="H138">
            <v>42725</v>
          </cell>
          <cell r="I138">
            <v>-1.7000000000000001E-2</v>
          </cell>
          <cell r="J138">
            <v>1.2999999999999999E-2</v>
          </cell>
          <cell r="K138">
            <v>-0.216</v>
          </cell>
          <cell r="L138">
            <v>-0.63700000000000001</v>
          </cell>
          <cell r="M138">
            <v>0.63888888888888895</v>
          </cell>
          <cell r="N138">
            <v>0.64583333333333337</v>
          </cell>
          <cell r="O138">
            <v>42725</v>
          </cell>
          <cell r="P138">
            <v>1.06</v>
          </cell>
          <cell r="Q138">
            <v>9</v>
          </cell>
          <cell r="R138">
            <v>26</v>
          </cell>
          <cell r="S138">
            <v>0</v>
          </cell>
          <cell r="T138">
            <v>0.74305555555555547</v>
          </cell>
          <cell r="U138">
            <v>42725</v>
          </cell>
          <cell r="V138">
            <v>21.41</v>
          </cell>
          <cell r="W138">
            <v>0.10416666666666667</v>
          </cell>
          <cell r="X138">
            <v>42728</v>
          </cell>
          <cell r="Y138">
            <v>28.2</v>
          </cell>
          <cell r="Z138">
            <v>0.125</v>
          </cell>
          <cell r="AA138">
            <v>0.14583333333333334</v>
          </cell>
          <cell r="AB138">
            <v>42728</v>
          </cell>
          <cell r="AC138">
            <v>28.3</v>
          </cell>
          <cell r="AD138">
            <v>0.15277777777777776</v>
          </cell>
          <cell r="AE138">
            <v>0.16319444444444445</v>
          </cell>
          <cell r="AF138">
            <v>42728</v>
          </cell>
          <cell r="AG138">
            <v>0.16666666666666666</v>
          </cell>
          <cell r="AH138">
            <v>0.1875</v>
          </cell>
          <cell r="AI138">
            <v>42728</v>
          </cell>
          <cell r="AJ138">
            <v>0.19791666666666666</v>
          </cell>
          <cell r="AK138">
            <v>0.20486111111111113</v>
          </cell>
          <cell r="AL138">
            <v>42728</v>
          </cell>
          <cell r="AM138">
            <v>1.06</v>
          </cell>
          <cell r="AN138">
            <v>9</v>
          </cell>
          <cell r="AO138">
            <v>22</v>
          </cell>
          <cell r="AP138">
            <v>0</v>
          </cell>
          <cell r="AQ138">
            <v>0.20833333333333334</v>
          </cell>
          <cell r="AR138">
            <v>0.21180555555555555</v>
          </cell>
          <cell r="AS138">
            <v>42728</v>
          </cell>
          <cell r="AT138">
            <v>28.3</v>
          </cell>
          <cell r="AU138">
            <v>0.21527777777777779</v>
          </cell>
          <cell r="AV138">
            <v>42728</v>
          </cell>
          <cell r="AW138">
            <v>0.27777777777777779</v>
          </cell>
          <cell r="AX138">
            <v>42728</v>
          </cell>
          <cell r="AY138">
            <v>7.4</v>
          </cell>
          <cell r="AZ138">
            <v>49</v>
          </cell>
        </row>
        <row r="139">
          <cell r="B139" t="str">
            <v>B23</v>
          </cell>
          <cell r="C139">
            <v>0.58333333333333337</v>
          </cell>
          <cell r="D139">
            <v>0.64583333333333337</v>
          </cell>
          <cell r="E139">
            <v>42727</v>
          </cell>
          <cell r="F139">
            <v>0.64930555555555558</v>
          </cell>
          <cell r="G139">
            <v>0.65625</v>
          </cell>
          <cell r="H139">
            <v>42727</v>
          </cell>
          <cell r="I139">
            <v>-1.9E-2</v>
          </cell>
          <cell r="J139">
            <v>-8.0000000000000002E-3</v>
          </cell>
          <cell r="K139">
            <v>-0.63900000000000001</v>
          </cell>
          <cell r="L139">
            <v>-0.86699999999999999</v>
          </cell>
          <cell r="M139">
            <v>0.66319444444444442</v>
          </cell>
          <cell r="N139">
            <v>0.67708333333333337</v>
          </cell>
          <cell r="O139">
            <v>42727</v>
          </cell>
          <cell r="P139">
            <v>1.06</v>
          </cell>
          <cell r="Q139">
            <v>9</v>
          </cell>
          <cell r="R139">
            <v>26</v>
          </cell>
          <cell r="S139">
            <v>0</v>
          </cell>
          <cell r="T139">
            <v>0.875</v>
          </cell>
          <cell r="U139">
            <v>42727</v>
          </cell>
          <cell r="V139">
            <v>20.100000000000001</v>
          </cell>
          <cell r="W139">
            <v>0.42708333333333331</v>
          </cell>
          <cell r="X139">
            <v>42728</v>
          </cell>
          <cell r="Y139">
            <v>29.87</v>
          </cell>
          <cell r="Z139">
            <v>0.44444444444444442</v>
          </cell>
          <cell r="AA139">
            <v>0.46180555555555558</v>
          </cell>
          <cell r="AB139">
            <v>42728</v>
          </cell>
          <cell r="AC139">
            <v>29.9</v>
          </cell>
          <cell r="AD139">
            <v>0.46875</v>
          </cell>
          <cell r="AE139">
            <v>0.4861111111111111</v>
          </cell>
          <cell r="AF139">
            <v>42728</v>
          </cell>
          <cell r="AG139">
            <v>0.49305555555555558</v>
          </cell>
          <cell r="AH139">
            <v>0.53125</v>
          </cell>
          <cell r="AI139">
            <v>42728</v>
          </cell>
          <cell r="AJ139">
            <v>0.76041666666666663</v>
          </cell>
          <cell r="AK139">
            <v>0.76736111111111116</v>
          </cell>
          <cell r="AL139">
            <v>42728</v>
          </cell>
          <cell r="AM139">
            <v>1.06</v>
          </cell>
          <cell r="AN139">
            <v>9</v>
          </cell>
          <cell r="AO139">
            <v>24</v>
          </cell>
          <cell r="AP139">
            <v>0</v>
          </cell>
          <cell r="AQ139">
            <v>0.77083333333333337</v>
          </cell>
          <cell r="AR139">
            <v>0.77430555555555547</v>
          </cell>
          <cell r="AS139">
            <v>42728</v>
          </cell>
          <cell r="AT139">
            <v>29.9</v>
          </cell>
          <cell r="AU139">
            <v>0.77777777777777779</v>
          </cell>
          <cell r="AV139">
            <v>42728</v>
          </cell>
          <cell r="AW139">
            <v>0.79513888888888884</v>
          </cell>
          <cell r="AX139">
            <v>42728</v>
          </cell>
          <cell r="AY139">
            <v>5.3</v>
          </cell>
          <cell r="AZ139">
            <v>14</v>
          </cell>
        </row>
        <row r="140">
          <cell r="B140" t="str">
            <v>A133</v>
          </cell>
          <cell r="C140">
            <v>0.32291666666666669</v>
          </cell>
          <cell r="D140">
            <v>0.39583333333333331</v>
          </cell>
          <cell r="E140">
            <v>42728</v>
          </cell>
          <cell r="F140">
            <v>0.39930555555555558</v>
          </cell>
          <cell r="G140">
            <v>0.40972222222222227</v>
          </cell>
          <cell r="H140">
            <v>42728</v>
          </cell>
          <cell r="I140">
            <v>0.02</v>
          </cell>
          <cell r="J140">
            <v>-1.2E-2</v>
          </cell>
          <cell r="K140">
            <v>-0.32300000000000001</v>
          </cell>
          <cell r="L140">
            <v>-0.67100000000000004</v>
          </cell>
          <cell r="M140">
            <v>0.41319444444444442</v>
          </cell>
          <cell r="N140">
            <v>0.4236111111111111</v>
          </cell>
          <cell r="O140">
            <v>42728</v>
          </cell>
          <cell r="P140">
            <v>1.06</v>
          </cell>
          <cell r="Q140">
            <v>9</v>
          </cell>
          <cell r="R140">
            <v>26</v>
          </cell>
          <cell r="S140">
            <v>0</v>
          </cell>
          <cell r="T140">
            <v>0.4861111111111111</v>
          </cell>
          <cell r="U140">
            <v>42728</v>
          </cell>
          <cell r="V140">
            <v>20.9</v>
          </cell>
          <cell r="W140">
            <v>0.375</v>
          </cell>
          <cell r="X140">
            <v>42729</v>
          </cell>
          <cell r="Y140">
            <v>29.77</v>
          </cell>
          <cell r="Z140">
            <v>0.41666666666666669</v>
          </cell>
          <cell r="AA140">
            <v>0.4375</v>
          </cell>
          <cell r="AB140">
            <v>42729</v>
          </cell>
          <cell r="AC140">
            <v>29.8</v>
          </cell>
          <cell r="AD140">
            <v>0.44444444444444442</v>
          </cell>
          <cell r="AE140">
            <v>0.4548611111111111</v>
          </cell>
          <cell r="AF140">
            <v>42729</v>
          </cell>
          <cell r="AG140">
            <v>0.46875</v>
          </cell>
          <cell r="AH140">
            <v>0.61805555555555558</v>
          </cell>
          <cell r="AI140">
            <v>42729</v>
          </cell>
          <cell r="AJ140">
            <v>0.58680555555555558</v>
          </cell>
          <cell r="AK140">
            <v>0.59375</v>
          </cell>
          <cell r="AL140">
            <v>42729</v>
          </cell>
          <cell r="AM140">
            <v>1.06</v>
          </cell>
          <cell r="AN140">
            <v>9</v>
          </cell>
          <cell r="AO140">
            <v>26</v>
          </cell>
          <cell r="AP140">
            <v>0</v>
          </cell>
          <cell r="AQ140">
            <v>0.59722222222222221</v>
          </cell>
          <cell r="AR140">
            <v>0.60069444444444442</v>
          </cell>
          <cell r="AS140">
            <v>42729</v>
          </cell>
          <cell r="AT140">
            <v>29.8</v>
          </cell>
          <cell r="AU140">
            <v>0.60416666666666663</v>
          </cell>
          <cell r="AV140">
            <v>42729</v>
          </cell>
          <cell r="AW140">
            <v>0.67361111111111116</v>
          </cell>
          <cell r="AX140">
            <v>42729</v>
          </cell>
          <cell r="AY140">
            <v>7.2</v>
          </cell>
          <cell r="AZ140">
            <v>42</v>
          </cell>
        </row>
        <row r="141">
          <cell r="B141" t="str">
            <v>A70</v>
          </cell>
          <cell r="C141">
            <v>0.58333333333333337</v>
          </cell>
          <cell r="D141">
            <v>0.65625</v>
          </cell>
          <cell r="E141">
            <v>42728</v>
          </cell>
          <cell r="F141">
            <v>0.66319444444444442</v>
          </cell>
          <cell r="G141">
            <v>0.67361111111111116</v>
          </cell>
          <cell r="H141">
            <v>42728</v>
          </cell>
          <cell r="I141">
            <v>-0.01</v>
          </cell>
          <cell r="J141">
            <v>0.02</v>
          </cell>
          <cell r="K141">
            <v>-0.20599999999999999</v>
          </cell>
          <cell r="L141">
            <v>-0.73199999999999998</v>
          </cell>
          <cell r="M141">
            <v>0.67708333333333337</v>
          </cell>
          <cell r="N141">
            <v>0.6875</v>
          </cell>
          <cell r="O141">
            <v>42728</v>
          </cell>
          <cell r="P141">
            <v>1.06</v>
          </cell>
          <cell r="Q141">
            <v>9</v>
          </cell>
          <cell r="R141">
            <v>28</v>
          </cell>
          <cell r="S141">
            <v>0</v>
          </cell>
          <cell r="T141">
            <v>0.37847222222222227</v>
          </cell>
          <cell r="U141">
            <v>42729</v>
          </cell>
          <cell r="V141">
            <v>22.1</v>
          </cell>
          <cell r="W141">
            <v>0.60416666666666663</v>
          </cell>
          <cell r="X141">
            <v>42729</v>
          </cell>
          <cell r="Y141">
            <v>28.1</v>
          </cell>
          <cell r="Z141">
            <v>0.63541666666666663</v>
          </cell>
          <cell r="AA141">
            <v>0.66666666666666663</v>
          </cell>
          <cell r="AB141">
            <v>42729</v>
          </cell>
          <cell r="AC141">
            <v>28.15</v>
          </cell>
          <cell r="AD141">
            <v>0.67361111111111116</v>
          </cell>
          <cell r="AE141">
            <v>0.6875</v>
          </cell>
          <cell r="AF141">
            <v>42729</v>
          </cell>
          <cell r="AG141">
            <v>0.69791666666666663</v>
          </cell>
          <cell r="AH141">
            <v>0.76041666666666663</v>
          </cell>
          <cell r="AI141">
            <v>42729</v>
          </cell>
          <cell r="AJ141">
            <v>0.80208333333333337</v>
          </cell>
          <cell r="AK141">
            <v>0.80902777777777779</v>
          </cell>
          <cell r="AL141">
            <v>42729</v>
          </cell>
          <cell r="AM141">
            <v>1.06</v>
          </cell>
          <cell r="AN141">
            <v>9</v>
          </cell>
          <cell r="AO141">
            <v>28</v>
          </cell>
          <cell r="AP141">
            <v>0</v>
          </cell>
          <cell r="AQ141">
            <v>0.8125</v>
          </cell>
          <cell r="AR141">
            <v>0.81597222222222221</v>
          </cell>
          <cell r="AS141">
            <v>42729</v>
          </cell>
          <cell r="AT141">
            <v>28.15</v>
          </cell>
          <cell r="AU141">
            <v>0.81944444444444453</v>
          </cell>
          <cell r="AV141">
            <v>42729</v>
          </cell>
          <cell r="AW141">
            <v>0.90625</v>
          </cell>
          <cell r="AX141">
            <v>42729</v>
          </cell>
          <cell r="AY141">
            <v>8.1999999999999993</v>
          </cell>
          <cell r="AZ141">
            <v>31.5</v>
          </cell>
        </row>
        <row r="142">
          <cell r="B142" t="str">
            <v>A79</v>
          </cell>
          <cell r="C142">
            <v>0.52083333333333337</v>
          </cell>
          <cell r="D142">
            <v>0.58333333333333337</v>
          </cell>
          <cell r="E142">
            <v>42729</v>
          </cell>
          <cell r="F142">
            <v>0.59027777777777779</v>
          </cell>
          <cell r="G142">
            <v>0.60069444444444442</v>
          </cell>
          <cell r="H142">
            <v>42729</v>
          </cell>
          <cell r="I142">
            <v>-2.5000000000000001E-2</v>
          </cell>
          <cell r="J142">
            <v>0.01</v>
          </cell>
          <cell r="K142">
            <v>-0.16</v>
          </cell>
          <cell r="L142">
            <v>-0.68300000000000005</v>
          </cell>
          <cell r="M142">
            <v>0.60416666666666663</v>
          </cell>
          <cell r="N142">
            <v>0.61458333333333337</v>
          </cell>
          <cell r="O142">
            <v>42729</v>
          </cell>
          <cell r="P142">
            <v>1.06</v>
          </cell>
          <cell r="Q142">
            <v>9</v>
          </cell>
          <cell r="R142">
            <v>26</v>
          </cell>
          <cell r="S142">
            <v>0</v>
          </cell>
          <cell r="T142">
            <v>0.95833333333333337</v>
          </cell>
          <cell r="U142">
            <v>42729</v>
          </cell>
          <cell r="V142">
            <v>20.6</v>
          </cell>
          <cell r="W142">
            <v>0.39583333333333331</v>
          </cell>
          <cell r="X142">
            <v>42730</v>
          </cell>
          <cell r="Y142">
            <v>28.2</v>
          </cell>
          <cell r="Z142">
            <v>0.41666666666666669</v>
          </cell>
          <cell r="AA142">
            <v>0.43055555555555558</v>
          </cell>
          <cell r="AB142">
            <v>42730</v>
          </cell>
          <cell r="AC142">
            <v>28.2</v>
          </cell>
          <cell r="AD142">
            <v>0.4375</v>
          </cell>
          <cell r="AE142">
            <v>0.44791666666666669</v>
          </cell>
          <cell r="AF142">
            <v>42730</v>
          </cell>
          <cell r="AG142">
            <v>0.45833333333333331</v>
          </cell>
          <cell r="AH142">
            <v>0.49305555555555558</v>
          </cell>
          <cell r="AI142">
            <v>42730</v>
          </cell>
          <cell r="AJ142">
            <v>0.65277777777777779</v>
          </cell>
          <cell r="AK142">
            <v>0.66319444444444442</v>
          </cell>
          <cell r="AL142">
            <v>42730</v>
          </cell>
          <cell r="AM142">
            <v>1.05</v>
          </cell>
          <cell r="AN142">
            <v>9</v>
          </cell>
          <cell r="AO142">
            <v>25</v>
          </cell>
          <cell r="AP142">
            <v>0</v>
          </cell>
          <cell r="AQ142">
            <v>0.66666666666666663</v>
          </cell>
          <cell r="AR142">
            <v>0.67013888888888884</v>
          </cell>
          <cell r="AS142">
            <v>42730</v>
          </cell>
          <cell r="AT142">
            <v>28.2</v>
          </cell>
          <cell r="AU142">
            <v>0.67361111111111116</v>
          </cell>
          <cell r="AV142">
            <v>42730</v>
          </cell>
          <cell r="AW142">
            <v>0.69791666666666663</v>
          </cell>
          <cell r="AX142">
            <v>42730</v>
          </cell>
          <cell r="AY142">
            <v>8.4</v>
          </cell>
          <cell r="AZ142">
            <v>27</v>
          </cell>
        </row>
        <row r="143">
          <cell r="B143" t="str">
            <v>A72</v>
          </cell>
          <cell r="C143">
            <v>0.9375</v>
          </cell>
          <cell r="D143">
            <v>0.99652777777777779</v>
          </cell>
          <cell r="E143">
            <v>42729</v>
          </cell>
          <cell r="F143">
            <v>2.0833333333333332E-2</v>
          </cell>
          <cell r="G143">
            <v>3.125E-2</v>
          </cell>
          <cell r="H143">
            <v>42730</v>
          </cell>
          <cell r="I143">
            <v>-0.02</v>
          </cell>
          <cell r="J143">
            <v>-8.0000000000000002E-3</v>
          </cell>
          <cell r="K143">
            <v>-0.29199999999999998</v>
          </cell>
          <cell r="L143">
            <v>-0.56000000000000005</v>
          </cell>
          <cell r="M143">
            <v>3.472222222222222E-3</v>
          </cell>
          <cell r="N143">
            <v>1.0416666666666666E-2</v>
          </cell>
          <cell r="O143">
            <v>42730</v>
          </cell>
          <cell r="P143">
            <v>1.06</v>
          </cell>
          <cell r="Q143">
            <v>9</v>
          </cell>
          <cell r="R143">
            <v>26</v>
          </cell>
          <cell r="S143">
            <v>0</v>
          </cell>
          <cell r="T143">
            <v>0.39583333333333331</v>
          </cell>
          <cell r="U143">
            <v>42730</v>
          </cell>
          <cell r="V143">
            <v>20</v>
          </cell>
          <cell r="W143">
            <v>0.90625</v>
          </cell>
          <cell r="X143">
            <v>42730</v>
          </cell>
          <cell r="Y143">
            <v>28</v>
          </cell>
          <cell r="Z143">
            <v>0.9375</v>
          </cell>
          <cell r="AA143">
            <v>0.95833333333333337</v>
          </cell>
          <cell r="AB143">
            <v>42730</v>
          </cell>
          <cell r="AC143">
            <v>28.1</v>
          </cell>
          <cell r="AD143">
            <v>0.96875</v>
          </cell>
          <cell r="AE143">
            <v>0.99305555555555547</v>
          </cell>
          <cell r="AF143">
            <v>42730</v>
          </cell>
          <cell r="AG143">
            <v>0.99305555555555547</v>
          </cell>
          <cell r="AH143">
            <v>6.25E-2</v>
          </cell>
          <cell r="AI143">
            <v>42731</v>
          </cell>
          <cell r="AJ143">
            <v>0.41666666666666669</v>
          </cell>
          <cell r="AK143">
            <v>0.4236111111111111</v>
          </cell>
          <cell r="AL143">
            <v>42731</v>
          </cell>
          <cell r="AM143">
            <v>1.05</v>
          </cell>
          <cell r="AN143">
            <v>9</v>
          </cell>
          <cell r="AO143">
            <v>23</v>
          </cell>
          <cell r="AP143">
            <v>0</v>
          </cell>
          <cell r="AQ143">
            <v>0.42708333333333331</v>
          </cell>
          <cell r="AR143">
            <v>0.43055555555555558</v>
          </cell>
          <cell r="AS143">
            <v>42731</v>
          </cell>
          <cell r="AT143">
            <v>28.1</v>
          </cell>
          <cell r="AU143">
            <v>0.43402777777777773</v>
          </cell>
          <cell r="AV143">
            <v>42731</v>
          </cell>
          <cell r="AW143">
            <v>0.52083333333333337</v>
          </cell>
          <cell r="AX143">
            <v>42731</v>
          </cell>
          <cell r="AY143">
            <v>7.3</v>
          </cell>
          <cell r="AZ143">
            <v>34</v>
          </cell>
        </row>
        <row r="144">
          <cell r="B144" t="str">
            <v>A80</v>
          </cell>
          <cell r="C144">
            <v>0.58333333333333337</v>
          </cell>
          <cell r="D144">
            <v>0.64583333333333337</v>
          </cell>
          <cell r="E144">
            <v>42731</v>
          </cell>
          <cell r="F144">
            <v>0.65277777777777779</v>
          </cell>
          <cell r="G144">
            <v>0.65972222222222221</v>
          </cell>
          <cell r="H144">
            <v>42731</v>
          </cell>
          <cell r="I144">
            <v>-2E-3</v>
          </cell>
          <cell r="J144">
            <v>1.6E-2</v>
          </cell>
          <cell r="K144">
            <v>-0.23699999999999999</v>
          </cell>
          <cell r="L144">
            <v>-0.56000000000000005</v>
          </cell>
          <cell r="M144">
            <v>0.66666666666666663</v>
          </cell>
          <cell r="N144">
            <v>0.67013888888888884</v>
          </cell>
          <cell r="O144">
            <v>42731</v>
          </cell>
          <cell r="P144">
            <v>1.05</v>
          </cell>
          <cell r="Q144">
            <v>9</v>
          </cell>
          <cell r="R144">
            <v>25</v>
          </cell>
          <cell r="S144">
            <v>0</v>
          </cell>
          <cell r="T144">
            <v>0.83333333333333337</v>
          </cell>
          <cell r="U144">
            <v>42731</v>
          </cell>
          <cell r="V144">
            <v>22.8</v>
          </cell>
          <cell r="W144">
            <v>0.9375</v>
          </cell>
          <cell r="X144">
            <v>42731</v>
          </cell>
          <cell r="Y144">
            <v>28.11</v>
          </cell>
          <cell r="Z144">
            <v>0.96527777777777779</v>
          </cell>
          <cell r="AA144">
            <v>0.98611111111111116</v>
          </cell>
          <cell r="AB144">
            <v>42731</v>
          </cell>
          <cell r="AC144">
            <v>28.15</v>
          </cell>
          <cell r="AD144">
            <v>0.98958333333333337</v>
          </cell>
          <cell r="AE144">
            <v>1.0416666666666666E-2</v>
          </cell>
          <cell r="AF144">
            <v>42731</v>
          </cell>
          <cell r="AG144">
            <v>1.3888888888888888E-2</v>
          </cell>
          <cell r="AH144">
            <v>6.25E-2</v>
          </cell>
          <cell r="AI144">
            <v>42732</v>
          </cell>
          <cell r="AJ144">
            <v>9.0277777777777776E-2</v>
          </cell>
          <cell r="AK144">
            <v>9.7222222222222224E-2</v>
          </cell>
          <cell r="AL144">
            <v>42732</v>
          </cell>
          <cell r="AM144">
            <v>1.05</v>
          </cell>
          <cell r="AN144">
            <v>9</v>
          </cell>
          <cell r="AO144">
            <v>23</v>
          </cell>
          <cell r="AP144">
            <v>0</v>
          </cell>
          <cell r="AQ144">
            <v>0.10416666666666667</v>
          </cell>
          <cell r="AR144">
            <v>0.1076388888888889</v>
          </cell>
          <cell r="AS144">
            <v>42732</v>
          </cell>
          <cell r="AT144">
            <v>28.15</v>
          </cell>
          <cell r="AU144">
            <v>0.1111111111111111</v>
          </cell>
          <cell r="AV144">
            <v>42732</v>
          </cell>
          <cell r="AW144">
            <v>0.14583333333333334</v>
          </cell>
          <cell r="AX144">
            <v>42732</v>
          </cell>
          <cell r="AY144">
            <v>8.1999999999999993</v>
          </cell>
          <cell r="AZ144">
            <v>26</v>
          </cell>
        </row>
        <row r="145">
          <cell r="B145" t="str">
            <v>A132</v>
          </cell>
          <cell r="C145">
            <v>0.39583333333333331</v>
          </cell>
          <cell r="D145">
            <v>0.47916666666666669</v>
          </cell>
          <cell r="E145">
            <v>42731</v>
          </cell>
          <cell r="F145">
            <v>0.5625</v>
          </cell>
          <cell r="G145">
            <v>0.57291666666666663</v>
          </cell>
          <cell r="H145">
            <v>42731</v>
          </cell>
          <cell r="I145">
            <v>6.0000000000000001E-3</v>
          </cell>
          <cell r="J145">
            <v>-1.7999999999999999E-2</v>
          </cell>
          <cell r="K145">
            <v>-1.0189999999999999</v>
          </cell>
          <cell r="L145">
            <v>-0.97899999999999998</v>
          </cell>
          <cell r="M145">
            <v>0.59027777777777779</v>
          </cell>
          <cell r="N145">
            <v>0.60069444444444442</v>
          </cell>
          <cell r="O145">
            <v>42731</v>
          </cell>
          <cell r="P145">
            <v>1.06</v>
          </cell>
          <cell r="Q145">
            <v>9</v>
          </cell>
          <cell r="R145">
            <v>24</v>
          </cell>
          <cell r="S145">
            <v>0</v>
          </cell>
          <cell r="T145">
            <v>0.92361111111111116</v>
          </cell>
          <cell r="U145">
            <v>42731</v>
          </cell>
          <cell r="V145">
            <v>23.5</v>
          </cell>
          <cell r="W145">
            <v>0.80208333333333337</v>
          </cell>
          <cell r="X145">
            <v>42732</v>
          </cell>
          <cell r="Y145">
            <v>30.01</v>
          </cell>
          <cell r="Z145">
            <v>0.82291666666666663</v>
          </cell>
          <cell r="AA145">
            <v>0.84375</v>
          </cell>
          <cell r="AB145">
            <v>42732</v>
          </cell>
          <cell r="AC145">
            <v>30.05</v>
          </cell>
          <cell r="AD145">
            <v>0.84722222222222221</v>
          </cell>
          <cell r="AE145">
            <v>0.86111111111111116</v>
          </cell>
          <cell r="AF145">
            <v>42732</v>
          </cell>
          <cell r="AG145">
            <v>0.875</v>
          </cell>
          <cell r="AH145">
            <v>0.94791666666666663</v>
          </cell>
          <cell r="AI145">
            <v>42732</v>
          </cell>
          <cell r="AJ145">
            <v>1.3888888888888888E-2</v>
          </cell>
          <cell r="AK145">
            <v>2.0833333333333332E-2</v>
          </cell>
          <cell r="AL145">
            <v>42733</v>
          </cell>
          <cell r="AM145">
            <v>1.06</v>
          </cell>
          <cell r="AN145">
            <v>9</v>
          </cell>
          <cell r="AO145">
            <v>24</v>
          </cell>
          <cell r="AP145">
            <v>0</v>
          </cell>
          <cell r="AQ145">
            <v>2.4305555555555556E-2</v>
          </cell>
          <cell r="AR145">
            <v>2.7777777777777776E-2</v>
          </cell>
          <cell r="AS145">
            <v>42733</v>
          </cell>
          <cell r="AT145">
            <v>30.05</v>
          </cell>
          <cell r="AU145">
            <v>3.125E-2</v>
          </cell>
          <cell r="AV145">
            <v>42733</v>
          </cell>
          <cell r="AW145">
            <v>0.89583333333333337</v>
          </cell>
          <cell r="AX145">
            <v>42733</v>
          </cell>
          <cell r="AY145">
            <v>6.5</v>
          </cell>
          <cell r="AZ145">
            <v>50</v>
          </cell>
        </row>
        <row r="146">
          <cell r="B146" t="str">
            <v>A87</v>
          </cell>
          <cell r="C146">
            <v>0.375</v>
          </cell>
          <cell r="D146">
            <v>0.43055555555555558</v>
          </cell>
          <cell r="E146">
            <v>42732</v>
          </cell>
          <cell r="F146">
            <v>0.4375</v>
          </cell>
          <cell r="G146">
            <v>0.44791666666666669</v>
          </cell>
          <cell r="H146">
            <v>42732</v>
          </cell>
          <cell r="I146">
            <v>7.0000000000000001E-3</v>
          </cell>
          <cell r="J146">
            <v>1.4E-2</v>
          </cell>
          <cell r="K146">
            <v>-0.36199999999999999</v>
          </cell>
          <cell r="L146">
            <v>-0.59</v>
          </cell>
          <cell r="M146">
            <v>0.45833333333333331</v>
          </cell>
          <cell r="N146">
            <v>0.46527777777777773</v>
          </cell>
          <cell r="O146">
            <v>42732</v>
          </cell>
          <cell r="P146">
            <v>1.06</v>
          </cell>
          <cell r="Q146">
            <v>9</v>
          </cell>
          <cell r="R146">
            <v>23</v>
          </cell>
          <cell r="S146">
            <v>0</v>
          </cell>
          <cell r="T146">
            <v>0.58333333333333337</v>
          </cell>
          <cell r="U146">
            <v>42732</v>
          </cell>
          <cell r="V146">
            <v>20.5</v>
          </cell>
          <cell r="W146">
            <v>0.88194444444444453</v>
          </cell>
          <cell r="X146">
            <v>42734</v>
          </cell>
          <cell r="Y146">
            <v>42.8</v>
          </cell>
          <cell r="Z146">
            <v>0.91666666666666663</v>
          </cell>
          <cell r="AA146">
            <v>0.95486111111111116</v>
          </cell>
          <cell r="AB146">
            <v>42734</v>
          </cell>
          <cell r="AC146">
            <v>42.85</v>
          </cell>
          <cell r="AD146">
            <v>0.94444444444444453</v>
          </cell>
          <cell r="AE146">
            <v>0.95486111111111116</v>
          </cell>
          <cell r="AF146">
            <v>42734</v>
          </cell>
          <cell r="AG146">
            <v>3.472222222222222E-3</v>
          </cell>
          <cell r="AH146">
            <v>4.8611111111111112E-2</v>
          </cell>
          <cell r="AI146">
            <v>42735</v>
          </cell>
          <cell r="AJ146">
            <v>6.9444444444444434E-2</v>
          </cell>
          <cell r="AK146">
            <v>7.6388888888888895E-2</v>
          </cell>
          <cell r="AL146">
            <v>42735</v>
          </cell>
          <cell r="AM146">
            <v>1.06</v>
          </cell>
          <cell r="AN146">
            <v>9</v>
          </cell>
          <cell r="AO146">
            <v>25</v>
          </cell>
          <cell r="AP146">
            <v>0</v>
          </cell>
          <cell r="AQ146">
            <v>7.9861111111111105E-2</v>
          </cell>
          <cell r="AR146">
            <v>8.3333333333333329E-2</v>
          </cell>
          <cell r="AS146">
            <v>42735</v>
          </cell>
          <cell r="AT146">
            <v>42.85</v>
          </cell>
          <cell r="AU146">
            <v>8.6805555555555566E-2</v>
          </cell>
          <cell r="AV146">
            <v>42735</v>
          </cell>
          <cell r="AW146">
            <v>0.18055555555555555</v>
          </cell>
          <cell r="AX146">
            <v>42735</v>
          </cell>
          <cell r="AY146">
            <v>8.3000000000000007</v>
          </cell>
          <cell r="AZ146">
            <v>50</v>
          </cell>
        </row>
        <row r="147">
          <cell r="B147" t="str">
            <v>A64</v>
          </cell>
          <cell r="C147">
            <v>0.625</v>
          </cell>
          <cell r="D147">
            <v>0.6875</v>
          </cell>
          <cell r="E147">
            <v>42733</v>
          </cell>
          <cell r="F147">
            <v>0.75</v>
          </cell>
          <cell r="G147">
            <v>0.76041666666666663</v>
          </cell>
          <cell r="H147">
            <v>42733</v>
          </cell>
          <cell r="I147">
            <v>1.4E-2</v>
          </cell>
          <cell r="J147">
            <v>1.4E-2</v>
          </cell>
          <cell r="K147">
            <v>-0.02</v>
          </cell>
          <cell r="L147">
            <v>-0.54900000000000004</v>
          </cell>
          <cell r="M147">
            <v>0.75</v>
          </cell>
          <cell r="N147">
            <v>0.76041666666666663</v>
          </cell>
          <cell r="O147">
            <v>42733</v>
          </cell>
          <cell r="P147">
            <v>1.05</v>
          </cell>
          <cell r="Q147">
            <v>9</v>
          </cell>
          <cell r="R147">
            <v>28</v>
          </cell>
          <cell r="S147">
            <v>0</v>
          </cell>
          <cell r="T147">
            <v>0.91666666666666663</v>
          </cell>
          <cell r="U147">
            <v>42733</v>
          </cell>
          <cell r="V147">
            <v>21.5</v>
          </cell>
          <cell r="W147">
            <v>1.0416666666666666E-2</v>
          </cell>
          <cell r="X147">
            <v>42735</v>
          </cell>
          <cell r="Y147">
            <v>37.74</v>
          </cell>
          <cell r="Z147">
            <v>3.4722222222222224E-2</v>
          </cell>
          <cell r="AA147">
            <v>6.5972222222222224E-2</v>
          </cell>
          <cell r="AB147">
            <v>42735</v>
          </cell>
          <cell r="AC147">
            <v>37.75</v>
          </cell>
          <cell r="AD147">
            <v>7.2916666666666671E-2</v>
          </cell>
          <cell r="AE147">
            <v>8.3333333333333329E-2</v>
          </cell>
          <cell r="AF147">
            <v>42735</v>
          </cell>
          <cell r="AG147">
            <v>9.7222222222222224E-2</v>
          </cell>
          <cell r="AH147">
            <v>0.15625</v>
          </cell>
          <cell r="AI147">
            <v>42735</v>
          </cell>
          <cell r="AJ147">
            <v>0.20833333333333334</v>
          </cell>
          <cell r="AK147">
            <v>0.21527777777777779</v>
          </cell>
          <cell r="AL147">
            <v>42735</v>
          </cell>
          <cell r="AM147">
            <v>1.06</v>
          </cell>
          <cell r="AN147">
            <v>9</v>
          </cell>
          <cell r="AO147">
            <v>26</v>
          </cell>
          <cell r="AP147">
            <v>0</v>
          </cell>
          <cell r="AQ147">
            <v>0.21875</v>
          </cell>
          <cell r="AR147">
            <v>0.22222222222222221</v>
          </cell>
          <cell r="AS147">
            <v>42735</v>
          </cell>
          <cell r="AT147">
            <v>37.75</v>
          </cell>
          <cell r="AU147">
            <v>0.22916666666666666</v>
          </cell>
          <cell r="AV147">
            <v>42735</v>
          </cell>
          <cell r="AX147">
            <v>42735</v>
          </cell>
          <cell r="AY147">
            <v>7.3</v>
          </cell>
          <cell r="AZ147">
            <v>70</v>
          </cell>
        </row>
        <row r="148">
          <cell r="B148" t="str">
            <v>A160</v>
          </cell>
          <cell r="C148">
            <v>0.33333333333333331</v>
          </cell>
          <cell r="D148">
            <v>0.45833333333333331</v>
          </cell>
          <cell r="E148">
            <v>42735</v>
          </cell>
          <cell r="F148">
            <v>0.58333333333333337</v>
          </cell>
          <cell r="G148">
            <v>0.59722222222222221</v>
          </cell>
          <cell r="H148">
            <v>42735</v>
          </cell>
          <cell r="I148">
            <v>-3.0000000000000001E-3</v>
          </cell>
          <cell r="J148">
            <v>6.0000000000000001E-3</v>
          </cell>
          <cell r="K148">
            <v>-0.248</v>
          </cell>
          <cell r="L148">
            <v>-0.75900000000000001</v>
          </cell>
          <cell r="M148">
            <v>0.60069444444444442</v>
          </cell>
          <cell r="N148">
            <v>0.61458333333333337</v>
          </cell>
          <cell r="O148">
            <v>42735</v>
          </cell>
          <cell r="P148">
            <v>1.05</v>
          </cell>
          <cell r="Q148">
            <v>9</v>
          </cell>
          <cell r="R148">
            <v>28</v>
          </cell>
          <cell r="S148">
            <v>0</v>
          </cell>
          <cell r="T148">
            <v>0.74305555555555547</v>
          </cell>
          <cell r="U148">
            <v>42735</v>
          </cell>
          <cell r="V148">
            <v>20.12</v>
          </cell>
          <cell r="W148">
            <v>0.38541666666666669</v>
          </cell>
          <cell r="X148">
            <v>42737</v>
          </cell>
          <cell r="Y148">
            <v>30.31</v>
          </cell>
          <cell r="Z148">
            <v>0.40972222222222227</v>
          </cell>
          <cell r="AA148">
            <v>0.43402777777777773</v>
          </cell>
          <cell r="AB148">
            <v>42737</v>
          </cell>
          <cell r="AC148">
            <v>30.32</v>
          </cell>
          <cell r="AD148">
            <v>0.4375</v>
          </cell>
          <cell r="AE148">
            <v>0.4513888888888889</v>
          </cell>
          <cell r="AF148">
            <v>42737</v>
          </cell>
          <cell r="AG148">
            <v>0.49652777777777773</v>
          </cell>
          <cell r="AH148">
            <v>0.54861111111111105</v>
          </cell>
          <cell r="AI148">
            <v>42737</v>
          </cell>
          <cell r="AJ148">
            <v>0.59375</v>
          </cell>
          <cell r="AK148">
            <v>0.60416666666666663</v>
          </cell>
          <cell r="AL148">
            <v>42737</v>
          </cell>
          <cell r="AM148">
            <v>1.05</v>
          </cell>
          <cell r="AN148">
            <v>9</v>
          </cell>
          <cell r="AO148">
            <v>28</v>
          </cell>
          <cell r="AP148">
            <v>0</v>
          </cell>
          <cell r="AQ148">
            <v>0.60763888888888895</v>
          </cell>
          <cell r="AR148">
            <v>0.61111111111111105</v>
          </cell>
          <cell r="AS148">
            <v>42737</v>
          </cell>
          <cell r="AT148">
            <v>30.32</v>
          </cell>
          <cell r="AU148">
            <v>0.63194444444444442</v>
          </cell>
          <cell r="AV148">
            <v>42737</v>
          </cell>
          <cell r="AW148">
            <v>0.67361111111111116</v>
          </cell>
          <cell r="AX148">
            <v>42737</v>
          </cell>
          <cell r="AY148">
            <v>6.8</v>
          </cell>
          <cell r="AZ148">
            <v>35.5</v>
          </cell>
        </row>
        <row r="149">
          <cell r="B149" t="str">
            <v>A134</v>
          </cell>
          <cell r="C149">
            <v>0.375</v>
          </cell>
          <cell r="D149">
            <v>0.45833333333333331</v>
          </cell>
          <cell r="E149">
            <v>42734</v>
          </cell>
          <cell r="F149">
            <v>0.47569444444444442</v>
          </cell>
          <cell r="G149">
            <v>0.4861111111111111</v>
          </cell>
          <cell r="H149">
            <v>42734</v>
          </cell>
          <cell r="I149">
            <v>3.0000000000000001E-3</v>
          </cell>
          <cell r="J149">
            <v>-6.0000000000000001E-3</v>
          </cell>
          <cell r="K149">
            <v>-0.36</v>
          </cell>
          <cell r="L149">
            <v>-0.75</v>
          </cell>
          <cell r="M149">
            <v>0.49305555555555558</v>
          </cell>
          <cell r="N149">
            <v>0.5</v>
          </cell>
          <cell r="O149">
            <v>42734</v>
          </cell>
          <cell r="P149">
            <v>1.05</v>
          </cell>
          <cell r="Q149">
            <v>9</v>
          </cell>
          <cell r="R149">
            <v>23</v>
          </cell>
          <cell r="S149">
            <v>0</v>
          </cell>
          <cell r="T149">
            <v>0.2986111111111111</v>
          </cell>
          <cell r="U149">
            <v>42736</v>
          </cell>
          <cell r="V149">
            <v>22.8</v>
          </cell>
          <cell r="W149">
            <v>0.98958333333333337</v>
          </cell>
          <cell r="X149">
            <v>42737</v>
          </cell>
          <cell r="Y149">
            <v>30.3</v>
          </cell>
          <cell r="Z149">
            <v>1.3888888888888888E-2</v>
          </cell>
          <cell r="AA149">
            <v>3.125E-2</v>
          </cell>
          <cell r="AB149">
            <v>42738</v>
          </cell>
          <cell r="AC149">
            <v>30.34</v>
          </cell>
          <cell r="AD149">
            <v>3.4722222222222224E-2</v>
          </cell>
          <cell r="AE149">
            <v>4.1666666666666664E-2</v>
          </cell>
          <cell r="AF149">
            <v>42738</v>
          </cell>
          <cell r="AG149">
            <v>4.1666666666666664E-2</v>
          </cell>
          <cell r="AH149">
            <v>9.0277777777777776E-2</v>
          </cell>
          <cell r="AI149">
            <v>42738</v>
          </cell>
          <cell r="AJ149">
            <v>0.125</v>
          </cell>
          <cell r="AK149">
            <v>0.12986111111111112</v>
          </cell>
          <cell r="AL149">
            <v>42738</v>
          </cell>
          <cell r="AM149">
            <v>1.06</v>
          </cell>
          <cell r="AN149">
            <v>9</v>
          </cell>
          <cell r="AO149">
            <v>24</v>
          </cell>
          <cell r="AP149">
            <v>0</v>
          </cell>
          <cell r="AQ149">
            <v>0.13194444444444445</v>
          </cell>
          <cell r="AR149">
            <v>0.13541666666666666</v>
          </cell>
          <cell r="AS149">
            <v>42738</v>
          </cell>
          <cell r="AT149">
            <v>30.34</v>
          </cell>
          <cell r="AU149">
            <v>0.1388888888888889</v>
          </cell>
          <cell r="AV149">
            <v>42738</v>
          </cell>
          <cell r="AW149">
            <v>0.21666666666666667</v>
          </cell>
          <cell r="AX149">
            <v>42738</v>
          </cell>
          <cell r="AY149">
            <v>7.2</v>
          </cell>
          <cell r="AZ149">
            <v>43</v>
          </cell>
        </row>
        <row r="150">
          <cell r="B150" t="str">
            <v>A84</v>
          </cell>
          <cell r="C150">
            <v>0.29166666666666669</v>
          </cell>
          <cell r="D150">
            <v>0.375</v>
          </cell>
          <cell r="E150">
            <v>42737</v>
          </cell>
          <cell r="F150">
            <v>0.38194444444444442</v>
          </cell>
          <cell r="G150">
            <v>0.3923611111111111</v>
          </cell>
          <cell r="H150">
            <v>42737</v>
          </cell>
          <cell r="I150">
            <v>-2E-3</v>
          </cell>
          <cell r="J150">
            <v>-0.01</v>
          </cell>
          <cell r="K150">
            <v>-0.22</v>
          </cell>
          <cell r="L150">
            <v>-0.63100000000000001</v>
          </cell>
          <cell r="M150">
            <v>0.41666666666666669</v>
          </cell>
          <cell r="N150">
            <v>0.42708333333333331</v>
          </cell>
          <cell r="O150">
            <v>42737</v>
          </cell>
          <cell r="P150">
            <v>1.05</v>
          </cell>
          <cell r="Q150">
            <v>9</v>
          </cell>
          <cell r="R150">
            <v>28</v>
          </cell>
          <cell r="S150">
            <v>0</v>
          </cell>
          <cell r="T150">
            <v>0.67361111111111116</v>
          </cell>
          <cell r="U150">
            <v>42737</v>
          </cell>
          <cell r="V150">
            <v>20.12</v>
          </cell>
          <cell r="W150">
            <v>0.89583333333333337</v>
          </cell>
          <cell r="X150">
            <v>42737</v>
          </cell>
          <cell r="Y150">
            <v>28.1</v>
          </cell>
          <cell r="Z150">
            <v>0.92013888888888884</v>
          </cell>
          <cell r="AA150">
            <v>0.93055555555555547</v>
          </cell>
          <cell r="AB150">
            <v>42737</v>
          </cell>
          <cell r="AC150">
            <v>28.12</v>
          </cell>
          <cell r="AD150">
            <v>0.9375</v>
          </cell>
          <cell r="AE150">
            <v>0.94444444444444453</v>
          </cell>
          <cell r="AF150">
            <v>42737</v>
          </cell>
          <cell r="AG150">
            <v>0.95138888888888884</v>
          </cell>
          <cell r="AH150">
            <v>0.98263888888888884</v>
          </cell>
          <cell r="AI150">
            <v>42737</v>
          </cell>
          <cell r="AJ150">
            <v>0.34375</v>
          </cell>
          <cell r="AK150">
            <v>0.35416666666666669</v>
          </cell>
          <cell r="AL150">
            <v>42738</v>
          </cell>
          <cell r="AM150">
            <v>1.05</v>
          </cell>
          <cell r="AN150">
            <v>9</v>
          </cell>
          <cell r="AO150">
            <v>28</v>
          </cell>
          <cell r="AP150">
            <v>0</v>
          </cell>
          <cell r="AQ150">
            <v>0.3576388888888889</v>
          </cell>
          <cell r="AR150">
            <v>0.3611111111111111</v>
          </cell>
          <cell r="AS150">
            <v>42738</v>
          </cell>
          <cell r="AT150">
            <v>28.12</v>
          </cell>
          <cell r="AU150">
            <v>0.36458333333333331</v>
          </cell>
          <cell r="AV150">
            <v>42738</v>
          </cell>
          <cell r="AW150">
            <v>0.39583333333333331</v>
          </cell>
          <cell r="AX150">
            <v>42738</v>
          </cell>
          <cell r="AY150">
            <v>7.2</v>
          </cell>
          <cell r="AZ150">
            <v>30</v>
          </cell>
        </row>
        <row r="151">
          <cell r="B151" t="str">
            <v>B45</v>
          </cell>
          <cell r="C151">
            <v>0.54166666666666663</v>
          </cell>
          <cell r="D151">
            <v>0.625</v>
          </cell>
          <cell r="E151">
            <v>42737</v>
          </cell>
          <cell r="F151">
            <v>0.625</v>
          </cell>
          <cell r="G151">
            <v>0.63541666666666663</v>
          </cell>
          <cell r="H151">
            <v>42737</v>
          </cell>
          <cell r="I151">
            <v>0.01</v>
          </cell>
          <cell r="J151">
            <v>-5.0000000000000001E-3</v>
          </cell>
          <cell r="K151">
            <v>-0.14099999999999999</v>
          </cell>
          <cell r="L151">
            <v>-0.437</v>
          </cell>
          <cell r="M151">
            <v>0.63541666666666663</v>
          </cell>
          <cell r="N151">
            <v>0.64583333333333337</v>
          </cell>
          <cell r="O151">
            <v>42737</v>
          </cell>
          <cell r="P151">
            <v>1.05</v>
          </cell>
          <cell r="Q151">
            <v>9</v>
          </cell>
          <cell r="R151">
            <v>27</v>
          </cell>
          <cell r="S151">
            <v>0</v>
          </cell>
          <cell r="T151">
            <v>0.78125</v>
          </cell>
          <cell r="U151">
            <v>42737</v>
          </cell>
          <cell r="V151">
            <v>19</v>
          </cell>
          <cell r="W151">
            <v>0.64583333333333337</v>
          </cell>
          <cell r="X151">
            <v>42738</v>
          </cell>
          <cell r="Y151">
            <v>33.21</v>
          </cell>
          <cell r="Z151">
            <v>0.66666666666666663</v>
          </cell>
          <cell r="AA151">
            <v>0.68402777777777779</v>
          </cell>
          <cell r="AB151">
            <v>42738</v>
          </cell>
          <cell r="AC151">
            <v>33.25</v>
          </cell>
          <cell r="AD151">
            <v>0.6875</v>
          </cell>
          <cell r="AE151">
            <v>0.70833333333333337</v>
          </cell>
          <cell r="AF151">
            <v>42738</v>
          </cell>
          <cell r="AG151">
            <v>0.72222222222222221</v>
          </cell>
          <cell r="AH151">
            <v>0.79166666666666663</v>
          </cell>
          <cell r="AI151">
            <v>42738</v>
          </cell>
          <cell r="AJ151">
            <v>1.0416666666666666E-2</v>
          </cell>
          <cell r="AK151">
            <v>1.7361111111111112E-2</v>
          </cell>
          <cell r="AL151">
            <v>42739</v>
          </cell>
          <cell r="AM151">
            <v>1.06</v>
          </cell>
          <cell r="AN151">
            <v>9</v>
          </cell>
          <cell r="AO151">
            <v>23</v>
          </cell>
          <cell r="AP151">
            <v>0</v>
          </cell>
          <cell r="AQ151">
            <v>2.0833333333333332E-2</v>
          </cell>
          <cell r="AR151">
            <v>2.4305555555555556E-2</v>
          </cell>
          <cell r="AS151">
            <v>42739</v>
          </cell>
          <cell r="AT151">
            <v>33.25</v>
          </cell>
          <cell r="AU151">
            <v>3.125E-2</v>
          </cell>
          <cell r="AV151">
            <v>42739</v>
          </cell>
          <cell r="AW151">
            <v>7.1527777777777787E-2</v>
          </cell>
          <cell r="AX151">
            <v>42739</v>
          </cell>
          <cell r="AY151">
            <v>5.7</v>
          </cell>
          <cell r="AZ151">
            <v>24</v>
          </cell>
        </row>
        <row r="152">
          <cell r="B152" t="str">
            <v>A90</v>
          </cell>
          <cell r="C152">
            <v>0.875</v>
          </cell>
          <cell r="D152">
            <v>0.95833333333333337</v>
          </cell>
          <cell r="E152">
            <v>42738</v>
          </cell>
          <cell r="F152">
            <v>0.96180555555555547</v>
          </cell>
          <cell r="G152">
            <v>0.97222222222222221</v>
          </cell>
          <cell r="H152">
            <v>42738</v>
          </cell>
          <cell r="I152">
            <v>-1.9E-2</v>
          </cell>
          <cell r="J152">
            <v>-8.0000000000000002E-3</v>
          </cell>
          <cell r="K152">
            <v>-0.24099999999999999</v>
          </cell>
          <cell r="L152">
            <v>-0.59199999999999997</v>
          </cell>
          <cell r="M152">
            <v>0.27083333333333331</v>
          </cell>
          <cell r="N152">
            <v>0.27777777777777779</v>
          </cell>
          <cell r="O152">
            <v>42739</v>
          </cell>
          <cell r="P152">
            <v>1.06</v>
          </cell>
          <cell r="Q152">
            <v>9</v>
          </cell>
          <cell r="R152">
            <v>27</v>
          </cell>
          <cell r="S152">
            <v>0</v>
          </cell>
          <cell r="T152">
            <v>0.35416666666666669</v>
          </cell>
          <cell r="U152">
            <v>42739</v>
          </cell>
          <cell r="V152">
            <v>21.82</v>
          </cell>
          <cell r="W152">
            <v>0.45833333333333331</v>
          </cell>
          <cell r="X152">
            <v>42739</v>
          </cell>
          <cell r="Y152">
            <v>28.17</v>
          </cell>
          <cell r="Z152">
            <v>0.47916666666666669</v>
          </cell>
          <cell r="AA152">
            <v>0.51388888888888895</v>
          </cell>
          <cell r="AB152">
            <v>42739</v>
          </cell>
          <cell r="AC152">
            <v>28.24</v>
          </cell>
          <cell r="AD152">
            <v>0.51736111111111105</v>
          </cell>
          <cell r="AE152">
            <v>0.54166666666666663</v>
          </cell>
          <cell r="AF152">
            <v>42739</v>
          </cell>
          <cell r="AG152">
            <v>0.55208333333333337</v>
          </cell>
          <cell r="AH152">
            <v>0.61805555555555558</v>
          </cell>
          <cell r="AI152">
            <v>42739</v>
          </cell>
          <cell r="AJ152">
            <v>0.73611111111111116</v>
          </cell>
          <cell r="AK152">
            <v>0.74305555555555547</v>
          </cell>
          <cell r="AL152">
            <v>42739</v>
          </cell>
          <cell r="AM152">
            <v>1.06</v>
          </cell>
          <cell r="AN152">
            <v>9</v>
          </cell>
          <cell r="AO152">
            <v>27</v>
          </cell>
          <cell r="AP152">
            <v>0</v>
          </cell>
          <cell r="AQ152">
            <v>0.74652777777777779</v>
          </cell>
          <cell r="AR152">
            <v>0.75347222222222221</v>
          </cell>
          <cell r="AS152">
            <v>42739</v>
          </cell>
          <cell r="AT152">
            <v>28.24</v>
          </cell>
          <cell r="AU152">
            <v>0.75</v>
          </cell>
          <cell r="AV152">
            <v>42739</v>
          </cell>
          <cell r="AW152">
            <v>0.84027777777777779</v>
          </cell>
          <cell r="AX152">
            <v>42739</v>
          </cell>
          <cell r="AY152">
            <v>8.4</v>
          </cell>
          <cell r="AZ152">
            <v>28</v>
          </cell>
        </row>
        <row r="153">
          <cell r="B153" t="str">
            <v>A88</v>
          </cell>
          <cell r="C153">
            <v>0.54166666666666663</v>
          </cell>
          <cell r="D153">
            <v>0.60416666666666663</v>
          </cell>
          <cell r="E153">
            <v>42737</v>
          </cell>
          <cell r="F153">
            <v>0.67708333333333337</v>
          </cell>
          <cell r="G153">
            <v>0.6875</v>
          </cell>
          <cell r="H153">
            <v>42737</v>
          </cell>
          <cell r="I153">
            <v>-1.7000000000000001E-2</v>
          </cell>
          <cell r="J153">
            <v>0.02</v>
          </cell>
          <cell r="K153">
            <v>-8.2000000000000003E-2</v>
          </cell>
          <cell r="L153">
            <v>-0.49</v>
          </cell>
          <cell r="M153">
            <v>0.32291666666666669</v>
          </cell>
          <cell r="N153">
            <v>0.3298611111111111</v>
          </cell>
          <cell r="O153">
            <v>42738</v>
          </cell>
          <cell r="P153">
            <v>1.06</v>
          </cell>
          <cell r="Q153">
            <v>9</v>
          </cell>
          <cell r="R153">
            <v>28</v>
          </cell>
          <cell r="S153">
            <v>0</v>
          </cell>
          <cell r="T153">
            <v>0.38541666666666669</v>
          </cell>
          <cell r="U153">
            <v>42738</v>
          </cell>
          <cell r="V153">
            <v>21.22</v>
          </cell>
          <cell r="W153">
            <v>0.875</v>
          </cell>
          <cell r="X153">
            <v>42739</v>
          </cell>
          <cell r="Y153">
            <v>43.16</v>
          </cell>
          <cell r="Z153">
            <v>0.9375</v>
          </cell>
          <cell r="AA153">
            <v>0.98958333333333337</v>
          </cell>
          <cell r="AB153">
            <v>42739</v>
          </cell>
          <cell r="AC153">
            <v>43.16</v>
          </cell>
          <cell r="AD153">
            <v>0</v>
          </cell>
          <cell r="AE153">
            <v>1.0416666666666666E-2</v>
          </cell>
          <cell r="AF153">
            <v>42740</v>
          </cell>
          <cell r="AG153">
            <v>2.4305555555555556E-2</v>
          </cell>
          <cell r="AH153">
            <v>9.0277777777777776E-2</v>
          </cell>
          <cell r="AI153">
            <v>42740</v>
          </cell>
          <cell r="AJ153">
            <v>0.22222222222222221</v>
          </cell>
          <cell r="AK153">
            <v>0.23263888888888887</v>
          </cell>
          <cell r="AL153">
            <v>42740</v>
          </cell>
          <cell r="AM153">
            <v>1.06</v>
          </cell>
          <cell r="AN153">
            <v>9</v>
          </cell>
          <cell r="AO153">
            <v>25</v>
          </cell>
          <cell r="AP153">
            <v>0</v>
          </cell>
          <cell r="AQ153">
            <v>0.23611111111111113</v>
          </cell>
          <cell r="AR153">
            <v>0.23958333333333334</v>
          </cell>
          <cell r="AS153">
            <v>42740</v>
          </cell>
          <cell r="AT153">
            <v>43.16</v>
          </cell>
          <cell r="AU153">
            <v>0.24305555555555555</v>
          </cell>
          <cell r="AV153">
            <v>42740</v>
          </cell>
          <cell r="AW153">
            <v>0.3125</v>
          </cell>
          <cell r="AX153">
            <v>42740</v>
          </cell>
          <cell r="AY153">
            <v>8.1999999999999993</v>
          </cell>
          <cell r="AZ153">
            <v>48</v>
          </cell>
        </row>
        <row r="154">
          <cell r="B154" t="str">
            <v>A21</v>
          </cell>
          <cell r="C154">
            <v>0.52777777777777779</v>
          </cell>
          <cell r="D154">
            <v>0.57291666666666663</v>
          </cell>
          <cell r="E154">
            <v>42739</v>
          </cell>
          <cell r="F154">
            <v>0.57638888888888895</v>
          </cell>
          <cell r="G154">
            <v>0.58680555555555558</v>
          </cell>
          <cell r="H154">
            <v>42739</v>
          </cell>
          <cell r="I154">
            <v>-4.0000000000000001E-3</v>
          </cell>
          <cell r="J154">
            <v>2.7E-2</v>
          </cell>
          <cell r="K154">
            <v>0.16400000000000001</v>
          </cell>
          <cell r="L154">
            <v>-0.23200000000000001</v>
          </cell>
          <cell r="M154">
            <v>0.58680555555555558</v>
          </cell>
          <cell r="N154">
            <v>0.59027777777777779</v>
          </cell>
          <cell r="O154">
            <v>42739</v>
          </cell>
          <cell r="P154">
            <v>1.06</v>
          </cell>
          <cell r="Q154">
            <v>9</v>
          </cell>
          <cell r="R154">
            <v>27</v>
          </cell>
          <cell r="S154">
            <v>0</v>
          </cell>
          <cell r="T154">
            <v>0.74305555555555547</v>
          </cell>
          <cell r="U154">
            <v>42739</v>
          </cell>
          <cell r="V154">
            <v>23.81</v>
          </cell>
          <cell r="W154">
            <v>0.95138888888888884</v>
          </cell>
          <cell r="X154">
            <v>42739</v>
          </cell>
          <cell r="Y154">
            <v>33.53</v>
          </cell>
          <cell r="Z154">
            <v>0.96875</v>
          </cell>
          <cell r="AA154">
            <v>0.60416666666666663</v>
          </cell>
          <cell r="AB154">
            <v>42740</v>
          </cell>
          <cell r="AC154">
            <v>33.61</v>
          </cell>
          <cell r="AD154">
            <v>0.60763888888888895</v>
          </cell>
          <cell r="AE154">
            <v>0.625</v>
          </cell>
          <cell r="AF154">
            <v>42740</v>
          </cell>
          <cell r="AG154">
            <v>0.63194444444444442</v>
          </cell>
          <cell r="AH154">
            <v>0.72916666666666663</v>
          </cell>
          <cell r="AI154">
            <v>42740</v>
          </cell>
          <cell r="AJ154">
            <v>0.52083333333333337</v>
          </cell>
          <cell r="AK154">
            <v>0.53125</v>
          </cell>
          <cell r="AL154">
            <v>42741</v>
          </cell>
          <cell r="AM154">
            <v>1.06</v>
          </cell>
          <cell r="AN154">
            <v>9</v>
          </cell>
          <cell r="AO154">
            <v>27</v>
          </cell>
          <cell r="AP154">
            <v>0</v>
          </cell>
          <cell r="AQ154">
            <v>0.53472222222222221</v>
          </cell>
          <cell r="AR154">
            <v>0.53819444444444442</v>
          </cell>
          <cell r="AS154">
            <v>42741</v>
          </cell>
          <cell r="AT154">
            <v>33.61</v>
          </cell>
          <cell r="AU154">
            <v>0.55208333333333337</v>
          </cell>
          <cell r="AV154">
            <v>42741</v>
          </cell>
          <cell r="AW154">
            <v>0.63541666666666663</v>
          </cell>
          <cell r="AX154">
            <v>42741</v>
          </cell>
          <cell r="AY154">
            <v>6.7</v>
          </cell>
          <cell r="AZ154">
            <v>42.5</v>
          </cell>
        </row>
        <row r="155">
          <cell r="B155" t="str">
            <v>A91</v>
          </cell>
          <cell r="C155">
            <v>0.54166666666666663</v>
          </cell>
          <cell r="D155">
            <v>0.59375</v>
          </cell>
          <cell r="E155">
            <v>42740</v>
          </cell>
          <cell r="F155">
            <v>0.59722222222222221</v>
          </cell>
          <cell r="G155">
            <v>0.60763888888888895</v>
          </cell>
          <cell r="H155">
            <v>42740</v>
          </cell>
          <cell r="I155">
            <v>4.0000000000000001E-3</v>
          </cell>
          <cell r="J155">
            <v>4.0000000000000001E-3</v>
          </cell>
          <cell r="K155">
            <v>-0.27200000000000002</v>
          </cell>
          <cell r="L155">
            <v>-0.6</v>
          </cell>
          <cell r="M155">
            <v>0.63541666666666663</v>
          </cell>
          <cell r="N155">
            <v>0.64583333333333337</v>
          </cell>
          <cell r="O155">
            <v>42740</v>
          </cell>
          <cell r="P155">
            <v>1.06</v>
          </cell>
          <cell r="Q155">
            <v>9</v>
          </cell>
          <cell r="R155">
            <v>27</v>
          </cell>
          <cell r="S155">
            <v>0</v>
          </cell>
          <cell r="T155">
            <v>0.75</v>
          </cell>
          <cell r="U155">
            <v>42740</v>
          </cell>
          <cell r="V155">
            <v>22.12</v>
          </cell>
          <cell r="W155">
            <v>0.82638888888888884</v>
          </cell>
          <cell r="X155">
            <v>42740</v>
          </cell>
          <cell r="Y155">
            <v>26.16</v>
          </cell>
          <cell r="Z155">
            <v>0.41666666666666669</v>
          </cell>
          <cell r="AA155">
            <v>0.4375</v>
          </cell>
          <cell r="AB155">
            <v>42741</v>
          </cell>
          <cell r="AC155">
            <v>26.21</v>
          </cell>
          <cell r="AD155">
            <v>0.44097222222222227</v>
          </cell>
          <cell r="AE155">
            <v>0.46180555555555558</v>
          </cell>
          <cell r="AF155">
            <v>42741</v>
          </cell>
          <cell r="AG155">
            <v>0.47916666666666669</v>
          </cell>
          <cell r="AH155">
            <v>0.53125</v>
          </cell>
          <cell r="AI155">
            <v>42741</v>
          </cell>
          <cell r="AJ155">
            <v>0.71875</v>
          </cell>
          <cell r="AK155">
            <v>0.72916666666666663</v>
          </cell>
          <cell r="AL155">
            <v>42742</v>
          </cell>
          <cell r="AM155">
            <v>1.06</v>
          </cell>
          <cell r="AN155">
            <v>9</v>
          </cell>
          <cell r="AO155">
            <v>27</v>
          </cell>
          <cell r="AP155">
            <v>0</v>
          </cell>
          <cell r="AQ155">
            <v>0.73263888888888884</v>
          </cell>
          <cell r="AR155">
            <v>0.73958333333333337</v>
          </cell>
          <cell r="AS155">
            <v>42742</v>
          </cell>
          <cell r="AT155">
            <v>26.21</v>
          </cell>
          <cell r="AU155">
            <v>0.73611111111111116</v>
          </cell>
          <cell r="AV155">
            <v>42742</v>
          </cell>
          <cell r="AW155">
            <v>0.77083333333333337</v>
          </cell>
          <cell r="AX155">
            <v>42742</v>
          </cell>
          <cell r="AY155">
            <v>6.8</v>
          </cell>
          <cell r="AZ155">
            <v>26</v>
          </cell>
        </row>
        <row r="156">
          <cell r="B156" t="str">
            <v>A86</v>
          </cell>
          <cell r="C156">
            <v>0.85416666666666663</v>
          </cell>
          <cell r="D156">
            <v>0.9375</v>
          </cell>
          <cell r="E156">
            <v>42740</v>
          </cell>
          <cell r="F156">
            <v>0.94444444444444453</v>
          </cell>
          <cell r="G156">
            <v>0.95138888888888884</v>
          </cell>
          <cell r="H156">
            <v>42740</v>
          </cell>
          <cell r="I156">
            <v>-1.2E-2</v>
          </cell>
          <cell r="J156">
            <v>2.5000000000000001E-2</v>
          </cell>
          <cell r="K156">
            <v>-0.20499999999999999</v>
          </cell>
          <cell r="L156">
            <v>-0.66700000000000004</v>
          </cell>
          <cell r="M156">
            <v>0.27083333333333331</v>
          </cell>
          <cell r="N156">
            <v>0.28125</v>
          </cell>
          <cell r="O156">
            <v>42741</v>
          </cell>
          <cell r="P156">
            <v>1.06</v>
          </cell>
          <cell r="Q156">
            <v>9</v>
          </cell>
          <cell r="R156">
            <v>26</v>
          </cell>
          <cell r="S156">
            <v>0</v>
          </cell>
          <cell r="T156">
            <v>0.44791666666666669</v>
          </cell>
          <cell r="U156">
            <v>42741</v>
          </cell>
          <cell r="V156">
            <v>21.63</v>
          </cell>
          <cell r="W156">
            <v>0.71180555555555547</v>
          </cell>
          <cell r="X156">
            <v>42743</v>
          </cell>
          <cell r="Y156">
            <v>43.12</v>
          </cell>
          <cell r="Z156">
            <v>0.72916666666666663</v>
          </cell>
          <cell r="AA156">
            <v>0.76041666666666663</v>
          </cell>
          <cell r="AB156">
            <v>42743</v>
          </cell>
          <cell r="AC156">
            <v>43.15</v>
          </cell>
          <cell r="AD156">
            <v>0.79166666666666663</v>
          </cell>
          <cell r="AE156">
            <v>0.8125</v>
          </cell>
          <cell r="AF156">
            <v>42743</v>
          </cell>
          <cell r="AG156">
            <v>0.81944444444444453</v>
          </cell>
          <cell r="AH156">
            <v>0.90625</v>
          </cell>
          <cell r="AI156">
            <v>42743</v>
          </cell>
          <cell r="AJ156">
            <v>0</v>
          </cell>
          <cell r="AK156">
            <v>1.0416666666666666E-2</v>
          </cell>
          <cell r="AL156">
            <v>42743</v>
          </cell>
          <cell r="AM156">
            <v>1.06</v>
          </cell>
          <cell r="AN156">
            <v>9</v>
          </cell>
          <cell r="AO156">
            <v>26</v>
          </cell>
          <cell r="AP156">
            <v>0</v>
          </cell>
          <cell r="AQ156">
            <v>1.3888888888888888E-2</v>
          </cell>
          <cell r="AR156">
            <v>1.7361111111111112E-2</v>
          </cell>
          <cell r="AS156">
            <v>42744</v>
          </cell>
          <cell r="AT156">
            <v>43.15</v>
          </cell>
          <cell r="AU156">
            <v>2.0833333333333332E-2</v>
          </cell>
          <cell r="AV156">
            <v>42744</v>
          </cell>
          <cell r="AW156">
            <v>0.11458333333333333</v>
          </cell>
          <cell r="AX156">
            <v>42744</v>
          </cell>
          <cell r="AY156">
            <v>8.5</v>
          </cell>
          <cell r="AZ156">
            <v>60</v>
          </cell>
        </row>
        <row r="157">
          <cell r="B157" t="str">
            <v>A100</v>
          </cell>
          <cell r="C157">
            <v>0.58333333333333337</v>
          </cell>
          <cell r="D157">
            <v>0.63888888888888895</v>
          </cell>
          <cell r="E157">
            <v>42743</v>
          </cell>
          <cell r="F157">
            <v>0.64236111111111105</v>
          </cell>
          <cell r="G157">
            <v>0.65277777777777779</v>
          </cell>
          <cell r="H157">
            <v>42743</v>
          </cell>
          <cell r="I157">
            <v>1.2E-2</v>
          </cell>
          <cell r="J157">
            <v>8.9999999999999993E-3</v>
          </cell>
          <cell r="K157">
            <v>-0.222</v>
          </cell>
          <cell r="L157">
            <v>-0.46800000000000003</v>
          </cell>
          <cell r="M157">
            <v>0.65625</v>
          </cell>
          <cell r="N157">
            <v>0.66319444444444442</v>
          </cell>
          <cell r="O157">
            <v>42743</v>
          </cell>
          <cell r="P157">
            <v>1.06</v>
          </cell>
          <cell r="Q157">
            <v>9</v>
          </cell>
          <cell r="R157">
            <v>27</v>
          </cell>
          <cell r="S157">
            <v>0</v>
          </cell>
          <cell r="T157">
            <v>0.70833333333333337</v>
          </cell>
          <cell r="U157">
            <v>42743</v>
          </cell>
          <cell r="V157">
            <v>19.72</v>
          </cell>
          <cell r="W157">
            <v>0.89583333333333337</v>
          </cell>
          <cell r="X157">
            <v>42743</v>
          </cell>
          <cell r="Y157">
            <v>23.61</v>
          </cell>
          <cell r="Z157">
            <v>0.92361111111111116</v>
          </cell>
          <cell r="AA157">
            <v>0.94444444444444453</v>
          </cell>
          <cell r="AB157">
            <v>42743</v>
          </cell>
          <cell r="AC157">
            <v>23.62</v>
          </cell>
          <cell r="AD157">
            <v>0.95138888888888884</v>
          </cell>
          <cell r="AE157">
            <v>0.97222222222222221</v>
          </cell>
          <cell r="AF157">
            <v>42743</v>
          </cell>
          <cell r="AG157">
            <v>0.98958333333333337</v>
          </cell>
          <cell r="AH157">
            <v>0.10416666666666667</v>
          </cell>
          <cell r="AI157">
            <v>42744</v>
          </cell>
          <cell r="AJ157">
            <v>0.54166666666666663</v>
          </cell>
          <cell r="AK157">
            <v>0.54861111111111105</v>
          </cell>
          <cell r="AL157">
            <v>42744</v>
          </cell>
          <cell r="AM157">
            <v>1.06</v>
          </cell>
          <cell r="AN157">
            <v>9</v>
          </cell>
          <cell r="AO157">
            <v>25</v>
          </cell>
          <cell r="AP157">
            <v>0</v>
          </cell>
          <cell r="AQ157">
            <v>0.55555555555555558</v>
          </cell>
          <cell r="AR157">
            <v>0.55902777777777779</v>
          </cell>
          <cell r="AS157">
            <v>42744</v>
          </cell>
          <cell r="AT157">
            <v>23.62</v>
          </cell>
          <cell r="AU157">
            <v>0.5625</v>
          </cell>
          <cell r="AV157">
            <v>42744</v>
          </cell>
          <cell r="AW157">
            <v>0.59375</v>
          </cell>
          <cell r="AX157">
            <v>42744</v>
          </cell>
          <cell r="AY157">
            <v>6.2</v>
          </cell>
          <cell r="AZ157">
            <v>25</v>
          </cell>
        </row>
        <row r="158">
          <cell r="B158" t="str">
            <v>A141</v>
          </cell>
          <cell r="C158">
            <v>0.39583333333333331</v>
          </cell>
          <cell r="D158">
            <v>0.45833333333333331</v>
          </cell>
          <cell r="E158">
            <v>42741</v>
          </cell>
          <cell r="F158">
            <v>0.46875</v>
          </cell>
          <cell r="G158">
            <v>0.47916666666666669</v>
          </cell>
          <cell r="H158">
            <v>42741</v>
          </cell>
          <cell r="I158">
            <v>1.7000000000000001E-2</v>
          </cell>
          <cell r="J158">
            <v>-1.4999999999999999E-2</v>
          </cell>
          <cell r="K158">
            <v>-0.112</v>
          </cell>
          <cell r="L158">
            <v>-0.72399999999999998</v>
          </cell>
          <cell r="M158">
            <v>0.55208333333333337</v>
          </cell>
          <cell r="N158">
            <v>0.5625</v>
          </cell>
          <cell r="O158">
            <v>42741</v>
          </cell>
          <cell r="P158">
            <v>1.06</v>
          </cell>
          <cell r="Q158">
            <v>9</v>
          </cell>
          <cell r="R158">
            <v>28</v>
          </cell>
          <cell r="S158">
            <v>0</v>
          </cell>
          <cell r="T158">
            <v>0.65625</v>
          </cell>
          <cell r="U158">
            <v>42741</v>
          </cell>
          <cell r="V158">
            <v>22.93</v>
          </cell>
          <cell r="W158">
            <v>0.61458333333333337</v>
          </cell>
          <cell r="X158">
            <v>42744</v>
          </cell>
          <cell r="Y158">
            <v>38.72</v>
          </cell>
          <cell r="Z158">
            <v>0.89583333333333337</v>
          </cell>
          <cell r="AA158">
            <v>0.92708333333333337</v>
          </cell>
          <cell r="AB158">
            <v>42744</v>
          </cell>
          <cell r="AC158">
            <v>38.74</v>
          </cell>
          <cell r="AD158">
            <v>0.93055555555555547</v>
          </cell>
          <cell r="AE158">
            <v>0.94444444444444453</v>
          </cell>
          <cell r="AF158">
            <v>42744</v>
          </cell>
          <cell r="AG158">
            <v>0.95138888888888884</v>
          </cell>
          <cell r="AH158">
            <v>2.0833333333333332E-2</v>
          </cell>
          <cell r="AI158">
            <v>42745</v>
          </cell>
          <cell r="AJ158">
            <v>0.1076388888888889</v>
          </cell>
          <cell r="AK158">
            <v>0.11805555555555557</v>
          </cell>
          <cell r="AL158">
            <v>42745</v>
          </cell>
          <cell r="AM158">
            <v>1.06</v>
          </cell>
          <cell r="AN158">
            <v>9</v>
          </cell>
          <cell r="AO158">
            <v>28</v>
          </cell>
          <cell r="AP158">
            <v>0</v>
          </cell>
          <cell r="AQ158">
            <v>0.12152777777777778</v>
          </cell>
          <cell r="AR158">
            <v>0.12847222222222224</v>
          </cell>
          <cell r="AS158">
            <v>42745</v>
          </cell>
          <cell r="AT158">
            <v>38.74</v>
          </cell>
          <cell r="AU158">
            <v>0.13541666666666666</v>
          </cell>
          <cell r="AV158">
            <v>42745</v>
          </cell>
          <cell r="AW158">
            <v>0.25</v>
          </cell>
          <cell r="AX158">
            <v>42745</v>
          </cell>
          <cell r="AY158">
            <v>6.8</v>
          </cell>
          <cell r="AZ158">
            <v>44.5</v>
          </cell>
        </row>
        <row r="159">
          <cell r="B159" t="str">
            <v>A161</v>
          </cell>
          <cell r="C159">
            <v>0.375</v>
          </cell>
          <cell r="D159">
            <v>0.4375</v>
          </cell>
          <cell r="E159">
            <v>42744</v>
          </cell>
          <cell r="F159">
            <v>0.4513888888888889</v>
          </cell>
          <cell r="G159">
            <v>0.45833333333333331</v>
          </cell>
          <cell r="H159">
            <v>42744</v>
          </cell>
          <cell r="I159">
            <v>2.5000000000000001E-2</v>
          </cell>
          <cell r="J159">
            <v>-8.0000000000000002E-3</v>
          </cell>
          <cell r="K159">
            <v>-0.27200000000000002</v>
          </cell>
          <cell r="L159">
            <v>-0.52800000000000002</v>
          </cell>
          <cell r="M159">
            <v>0.46527777777777773</v>
          </cell>
          <cell r="N159">
            <v>0.47222222222222227</v>
          </cell>
          <cell r="O159">
            <v>42744</v>
          </cell>
          <cell r="P159">
            <v>1.05</v>
          </cell>
          <cell r="Q159">
            <v>9</v>
          </cell>
          <cell r="R159">
            <v>24</v>
          </cell>
          <cell r="S159">
            <v>0</v>
          </cell>
          <cell r="T159">
            <v>0.72222222222222221</v>
          </cell>
          <cell r="U159">
            <v>42744</v>
          </cell>
          <cell r="V159">
            <v>21.55</v>
          </cell>
          <cell r="W159">
            <v>0.9375</v>
          </cell>
          <cell r="X159">
            <v>42745</v>
          </cell>
          <cell r="Y159">
            <v>32.72</v>
          </cell>
          <cell r="Z159">
            <v>0.95486111111111116</v>
          </cell>
          <cell r="AA159">
            <v>0.97916666666666663</v>
          </cell>
          <cell r="AB159">
            <v>42745</v>
          </cell>
          <cell r="AC159">
            <v>32.78</v>
          </cell>
          <cell r="AD159">
            <v>0.98263888888888884</v>
          </cell>
          <cell r="AE159">
            <v>3.472222222222222E-3</v>
          </cell>
          <cell r="AF159">
            <v>42746</v>
          </cell>
          <cell r="AG159">
            <v>1.0416666666666666E-2</v>
          </cell>
          <cell r="AH159">
            <v>7.6388888888888895E-2</v>
          </cell>
          <cell r="AI159">
            <v>42746</v>
          </cell>
          <cell r="AJ159">
            <v>0.4375</v>
          </cell>
          <cell r="AK159">
            <v>0.44444444444444442</v>
          </cell>
          <cell r="AL159">
            <v>42746</v>
          </cell>
          <cell r="AM159">
            <v>1.05</v>
          </cell>
          <cell r="AN159">
            <v>9</v>
          </cell>
          <cell r="AO159">
            <v>27</v>
          </cell>
          <cell r="AP159">
            <v>0</v>
          </cell>
          <cell r="AQ159">
            <v>0.44791666666666669</v>
          </cell>
          <cell r="AR159">
            <v>0.4513888888888889</v>
          </cell>
          <cell r="AS159">
            <v>42746</v>
          </cell>
          <cell r="AT159">
            <v>32.78</v>
          </cell>
          <cell r="AU159">
            <v>0.45833333333333331</v>
          </cell>
          <cell r="AV159">
            <v>42746</v>
          </cell>
          <cell r="AW159">
            <v>0.55208333333333337</v>
          </cell>
          <cell r="AX159">
            <v>42746</v>
          </cell>
          <cell r="AY159">
            <v>6.5</v>
          </cell>
          <cell r="AZ159">
            <v>40</v>
          </cell>
        </row>
        <row r="160">
          <cell r="B160" t="str">
            <v>A94</v>
          </cell>
          <cell r="C160">
            <v>0.58333333333333337</v>
          </cell>
          <cell r="D160">
            <v>0.64583333333333337</v>
          </cell>
          <cell r="E160">
            <v>42745</v>
          </cell>
          <cell r="F160">
            <v>0.65625</v>
          </cell>
          <cell r="G160">
            <v>0.66666666666666663</v>
          </cell>
          <cell r="H160">
            <v>42745</v>
          </cell>
          <cell r="I160">
            <v>-1.4999999999999999E-2</v>
          </cell>
          <cell r="J160">
            <v>-1.7000000000000001E-2</v>
          </cell>
          <cell r="K160">
            <v>-0.36199999999999999</v>
          </cell>
          <cell r="L160">
            <v>-0.56200000000000006</v>
          </cell>
          <cell r="M160">
            <v>0.67708333333333337</v>
          </cell>
          <cell r="N160">
            <v>0.6875</v>
          </cell>
          <cell r="O160">
            <v>42745</v>
          </cell>
          <cell r="P160">
            <v>1.05</v>
          </cell>
          <cell r="Q160">
            <v>9</v>
          </cell>
          <cell r="R160">
            <v>27</v>
          </cell>
          <cell r="S160">
            <v>0</v>
          </cell>
          <cell r="T160">
            <v>0.8125</v>
          </cell>
          <cell r="U160">
            <v>42745</v>
          </cell>
          <cell r="V160">
            <v>22.03</v>
          </cell>
          <cell r="W160">
            <v>0.86805555555555547</v>
          </cell>
          <cell r="X160">
            <v>42745</v>
          </cell>
          <cell r="Y160">
            <v>26.05</v>
          </cell>
          <cell r="Z160">
            <v>0.88888888888888884</v>
          </cell>
          <cell r="AA160">
            <v>0.90625</v>
          </cell>
          <cell r="AB160">
            <v>42745</v>
          </cell>
          <cell r="AC160">
            <v>26.11</v>
          </cell>
          <cell r="AD160">
            <v>0.90972222222222221</v>
          </cell>
          <cell r="AE160">
            <v>0.93055555555555547</v>
          </cell>
          <cell r="AF160">
            <v>42745</v>
          </cell>
          <cell r="AG160">
            <v>0.9375</v>
          </cell>
          <cell r="AH160">
            <v>0.99305555555555547</v>
          </cell>
          <cell r="AI160">
            <v>42745</v>
          </cell>
          <cell r="AJ160">
            <v>0.71527777777777779</v>
          </cell>
          <cell r="AK160">
            <v>0.72222222222222221</v>
          </cell>
          <cell r="AL160">
            <v>42746</v>
          </cell>
          <cell r="AM160">
            <v>1.06</v>
          </cell>
          <cell r="AN160">
            <v>9</v>
          </cell>
          <cell r="AO160">
            <v>26</v>
          </cell>
          <cell r="AP160">
            <v>0</v>
          </cell>
          <cell r="AQ160">
            <v>0.72569444444444453</v>
          </cell>
          <cell r="AR160">
            <v>0.72916666666666663</v>
          </cell>
          <cell r="AS160">
            <v>42746</v>
          </cell>
          <cell r="AT160">
            <v>26.11</v>
          </cell>
          <cell r="AU160">
            <v>0.73611111111111116</v>
          </cell>
          <cell r="AV160">
            <v>42746</v>
          </cell>
          <cell r="AW160">
            <v>0.76041666666666663</v>
          </cell>
          <cell r="AX160">
            <v>42746</v>
          </cell>
          <cell r="AY160">
            <v>8.1</v>
          </cell>
          <cell r="AZ160">
            <v>25</v>
          </cell>
        </row>
        <row r="161">
          <cell r="B161" t="str">
            <v>A95</v>
          </cell>
          <cell r="C161">
            <v>0.375</v>
          </cell>
          <cell r="D161">
            <v>0.4375</v>
          </cell>
          <cell r="E161">
            <v>42744</v>
          </cell>
          <cell r="F161">
            <v>0.46527777777777773</v>
          </cell>
          <cell r="G161">
            <v>0.47569444444444442</v>
          </cell>
          <cell r="H161">
            <v>42744</v>
          </cell>
          <cell r="I161">
            <v>-7.0000000000000001E-3</v>
          </cell>
          <cell r="J161">
            <v>-4.0000000000000001E-3</v>
          </cell>
          <cell r="K161">
            <v>-0.13600000000000001</v>
          </cell>
          <cell r="L161">
            <v>-0.60499999999999998</v>
          </cell>
          <cell r="M161">
            <v>0.4826388888888889</v>
          </cell>
          <cell r="N161">
            <v>0.48958333333333331</v>
          </cell>
          <cell r="O161">
            <v>42744</v>
          </cell>
          <cell r="P161">
            <v>1.05</v>
          </cell>
          <cell r="Q161">
            <v>9</v>
          </cell>
          <cell r="R161">
            <v>24</v>
          </cell>
          <cell r="S161">
            <v>0</v>
          </cell>
          <cell r="T161">
            <v>0.65277777777777779</v>
          </cell>
          <cell r="U161">
            <v>42744</v>
          </cell>
          <cell r="V161">
            <v>21.85</v>
          </cell>
          <cell r="W161">
            <v>0.95833333333333337</v>
          </cell>
          <cell r="X161">
            <v>42746</v>
          </cell>
          <cell r="Y161">
            <v>43.11</v>
          </cell>
          <cell r="Z161">
            <v>0.97916666666666663</v>
          </cell>
          <cell r="AA161">
            <v>0.99652777777777779</v>
          </cell>
          <cell r="AB161">
            <v>42746</v>
          </cell>
          <cell r="AC161">
            <v>43.13</v>
          </cell>
          <cell r="AD161">
            <v>1.0416666666666666E-2</v>
          </cell>
          <cell r="AE161">
            <v>2.4305555555555556E-2</v>
          </cell>
          <cell r="AF161">
            <v>42747</v>
          </cell>
          <cell r="AG161">
            <v>2.7777777777777776E-2</v>
          </cell>
          <cell r="AH161">
            <v>7.6388888888888895E-2</v>
          </cell>
          <cell r="AI161">
            <v>42747</v>
          </cell>
          <cell r="AJ161">
            <v>0.125</v>
          </cell>
          <cell r="AK161">
            <v>0.13541666666666666</v>
          </cell>
          <cell r="AL161">
            <v>42747</v>
          </cell>
          <cell r="AM161">
            <v>1.05</v>
          </cell>
          <cell r="AN161">
            <v>9</v>
          </cell>
          <cell r="AO161">
            <v>24</v>
          </cell>
          <cell r="AP161">
            <v>0</v>
          </cell>
          <cell r="AQ161">
            <v>0.1388888888888889</v>
          </cell>
          <cell r="AR161">
            <v>0.1423611111111111</v>
          </cell>
          <cell r="AS161">
            <v>42747</v>
          </cell>
          <cell r="AT161">
            <v>43.13</v>
          </cell>
          <cell r="AU161">
            <v>0.14583333333333334</v>
          </cell>
          <cell r="AV161">
            <v>42747</v>
          </cell>
          <cell r="AW161">
            <v>0.22916666666666666</v>
          </cell>
          <cell r="AX161">
            <v>42747</v>
          </cell>
          <cell r="AY161">
            <v>8.5</v>
          </cell>
          <cell r="AZ161">
            <v>50</v>
          </cell>
        </row>
        <row r="162">
          <cell r="B162" t="str">
            <v>A96</v>
          </cell>
          <cell r="C162">
            <v>0.60416666666666663</v>
          </cell>
          <cell r="D162">
            <v>0.66666666666666663</v>
          </cell>
          <cell r="E162">
            <v>42746</v>
          </cell>
          <cell r="F162">
            <v>0.69791666666666663</v>
          </cell>
          <cell r="G162">
            <v>0.70833333333333337</v>
          </cell>
          <cell r="H162">
            <v>42746</v>
          </cell>
          <cell r="I162">
            <v>-0.02</v>
          </cell>
          <cell r="J162">
            <v>1.2E-2</v>
          </cell>
          <cell r="K162">
            <v>-0.32500000000000001</v>
          </cell>
          <cell r="L162">
            <v>-0.57699999999999996</v>
          </cell>
          <cell r="M162">
            <v>0.71527777777777779</v>
          </cell>
          <cell r="N162">
            <v>0.72222222222222221</v>
          </cell>
          <cell r="O162">
            <v>42746</v>
          </cell>
          <cell r="P162">
            <v>1.06</v>
          </cell>
          <cell r="Q162">
            <v>9</v>
          </cell>
          <cell r="R162">
            <v>23</v>
          </cell>
          <cell r="S162">
            <v>0</v>
          </cell>
          <cell r="T162">
            <v>0.82291666666666663</v>
          </cell>
          <cell r="U162">
            <v>42746</v>
          </cell>
          <cell r="V162">
            <v>19.22</v>
          </cell>
          <cell r="W162">
            <v>0.88194444444444453</v>
          </cell>
          <cell r="X162">
            <v>42746</v>
          </cell>
          <cell r="Y162">
            <v>23.48</v>
          </cell>
          <cell r="Z162">
            <v>0.90277777777777779</v>
          </cell>
          <cell r="AA162">
            <v>0.91666666666666663</v>
          </cell>
          <cell r="AB162">
            <v>42746</v>
          </cell>
          <cell r="AC162">
            <v>23.53</v>
          </cell>
          <cell r="AD162">
            <v>0.92013888888888884</v>
          </cell>
          <cell r="AE162">
            <v>0.9375</v>
          </cell>
          <cell r="AF162">
            <v>42746</v>
          </cell>
          <cell r="AG162">
            <v>0.94444444444444453</v>
          </cell>
          <cell r="AH162">
            <v>0.99652777777777779</v>
          </cell>
          <cell r="AI162">
            <v>42746</v>
          </cell>
          <cell r="AJ162">
            <v>0.27083333333333331</v>
          </cell>
          <cell r="AK162">
            <v>0.27777777777777779</v>
          </cell>
          <cell r="AL162">
            <v>42747</v>
          </cell>
          <cell r="AM162">
            <v>1.06</v>
          </cell>
          <cell r="AN162">
            <v>9</v>
          </cell>
          <cell r="AO162">
            <v>24</v>
          </cell>
          <cell r="AP162">
            <v>0</v>
          </cell>
          <cell r="AQ162">
            <v>0.29166666666666669</v>
          </cell>
          <cell r="AR162">
            <v>0.2951388888888889</v>
          </cell>
          <cell r="AS162">
            <v>42747</v>
          </cell>
          <cell r="AT162">
            <v>23.53</v>
          </cell>
          <cell r="AU162">
            <v>0.30208333333333331</v>
          </cell>
          <cell r="AV162">
            <v>42747</v>
          </cell>
          <cell r="AW162">
            <v>0.33333333333333331</v>
          </cell>
          <cell r="AX162">
            <v>42747</v>
          </cell>
          <cell r="AY162">
            <v>6.2</v>
          </cell>
          <cell r="AZ162">
            <v>26</v>
          </cell>
        </row>
        <row r="163">
          <cell r="B163" t="str">
            <v>A22</v>
          </cell>
          <cell r="C163">
            <v>0.60416666666666663</v>
          </cell>
          <cell r="D163">
            <v>0.66666666666666663</v>
          </cell>
          <cell r="E163">
            <v>42746</v>
          </cell>
          <cell r="F163">
            <v>0.71180555555555547</v>
          </cell>
          <cell r="G163">
            <v>0.72222222222222221</v>
          </cell>
          <cell r="H163">
            <v>42746</v>
          </cell>
          <cell r="I163">
            <v>-1.7000000000000001E-2</v>
          </cell>
          <cell r="J163">
            <v>2.3E-2</v>
          </cell>
          <cell r="K163">
            <v>0.01</v>
          </cell>
          <cell r="L163">
            <v>-0.25900000000000001</v>
          </cell>
          <cell r="M163">
            <v>0.72916666666666663</v>
          </cell>
          <cell r="N163">
            <v>0.72222222222222221</v>
          </cell>
          <cell r="O163">
            <v>42746</v>
          </cell>
          <cell r="P163">
            <v>1.06</v>
          </cell>
          <cell r="Q163">
            <v>9</v>
          </cell>
          <cell r="R163">
            <v>24</v>
          </cell>
          <cell r="S163">
            <v>0</v>
          </cell>
          <cell r="T163">
            <v>0.83680555555555547</v>
          </cell>
          <cell r="U163">
            <v>42746</v>
          </cell>
          <cell r="V163">
            <v>20.62</v>
          </cell>
          <cell r="W163">
            <v>0.94791666666666663</v>
          </cell>
          <cell r="X163">
            <v>42746</v>
          </cell>
          <cell r="Y163">
            <v>28.45</v>
          </cell>
          <cell r="Z163">
            <v>0.33333333333333331</v>
          </cell>
          <cell r="AA163">
            <v>0.35416666666666669</v>
          </cell>
          <cell r="AB163">
            <v>42747</v>
          </cell>
          <cell r="AC163">
            <v>28.45</v>
          </cell>
          <cell r="AD163">
            <v>0.3611111111111111</v>
          </cell>
          <cell r="AE163">
            <v>0.36805555555555558</v>
          </cell>
          <cell r="AF163">
            <v>42747</v>
          </cell>
          <cell r="AG163">
            <v>0.66666666666666663</v>
          </cell>
          <cell r="AH163">
            <v>0.72916666666666663</v>
          </cell>
          <cell r="AI163">
            <v>42747</v>
          </cell>
          <cell r="AJ163">
            <v>0.73611111111111116</v>
          </cell>
          <cell r="AK163">
            <v>0.74305555555555547</v>
          </cell>
          <cell r="AL163">
            <v>42747</v>
          </cell>
          <cell r="AM163">
            <v>1.06</v>
          </cell>
          <cell r="AN163">
            <v>9</v>
          </cell>
          <cell r="AO163">
            <v>24</v>
          </cell>
          <cell r="AP163">
            <v>0</v>
          </cell>
          <cell r="AQ163">
            <v>0.74652777777777779</v>
          </cell>
          <cell r="AR163">
            <v>0.75</v>
          </cell>
          <cell r="AS163">
            <v>42747</v>
          </cell>
          <cell r="AT163">
            <v>28.45</v>
          </cell>
          <cell r="AU163">
            <v>0.75694444444444453</v>
          </cell>
          <cell r="AV163">
            <v>42747</v>
          </cell>
          <cell r="AW163">
            <v>0.80555555555555547</v>
          </cell>
          <cell r="AX163">
            <v>42747</v>
          </cell>
          <cell r="AY163">
            <v>6.4</v>
          </cell>
          <cell r="AZ163">
            <v>30</v>
          </cell>
        </row>
        <row r="164">
          <cell r="B164" t="str">
            <v>A89</v>
          </cell>
          <cell r="C164">
            <v>0.59722222222222221</v>
          </cell>
          <cell r="D164">
            <v>0.65625</v>
          </cell>
          <cell r="E164">
            <v>42747</v>
          </cell>
          <cell r="F164">
            <v>0.65625</v>
          </cell>
          <cell r="G164">
            <v>0.66666666666666663</v>
          </cell>
          <cell r="H164">
            <v>42747</v>
          </cell>
          <cell r="I164">
            <v>1.0999999999999999E-2</v>
          </cell>
          <cell r="J164">
            <v>-7.0000000000000001E-3</v>
          </cell>
          <cell r="K164">
            <v>-0.28499999999999998</v>
          </cell>
          <cell r="L164">
            <v>-0.6</v>
          </cell>
          <cell r="M164">
            <v>0.28125</v>
          </cell>
          <cell r="N164">
            <v>0.29166666666666669</v>
          </cell>
          <cell r="O164">
            <v>42754</v>
          </cell>
          <cell r="P164">
            <v>1.06</v>
          </cell>
          <cell r="Q164">
            <v>9</v>
          </cell>
          <cell r="R164">
            <v>26</v>
          </cell>
          <cell r="S164">
            <v>0</v>
          </cell>
          <cell r="T164">
            <v>0.375</v>
          </cell>
          <cell r="U164">
            <v>42754</v>
          </cell>
          <cell r="V164">
            <v>22.12</v>
          </cell>
          <cell r="W164">
            <v>0.35416666666666669</v>
          </cell>
          <cell r="X164">
            <v>42755</v>
          </cell>
          <cell r="Y164">
            <v>42.95</v>
          </cell>
          <cell r="Z164">
            <v>0.375</v>
          </cell>
          <cell r="AA164">
            <v>0.39583333333333331</v>
          </cell>
          <cell r="AB164">
            <v>42755</v>
          </cell>
          <cell r="AC164">
            <v>42.97</v>
          </cell>
          <cell r="AD164">
            <v>0.40277777777777773</v>
          </cell>
          <cell r="AE164">
            <v>0.41666666666666669</v>
          </cell>
          <cell r="AF164">
            <v>42755</v>
          </cell>
          <cell r="AG164">
            <v>0.4201388888888889</v>
          </cell>
          <cell r="AH164">
            <v>0.53819444444444442</v>
          </cell>
          <cell r="AI164">
            <v>42755</v>
          </cell>
          <cell r="AJ164">
            <v>0.61458333333333337</v>
          </cell>
          <cell r="AK164">
            <v>0.625</v>
          </cell>
          <cell r="AL164">
            <v>42755</v>
          </cell>
          <cell r="AM164">
            <v>1.06</v>
          </cell>
          <cell r="AN164">
            <v>9</v>
          </cell>
          <cell r="AO164">
            <v>26</v>
          </cell>
          <cell r="AP164">
            <v>0</v>
          </cell>
          <cell r="AQ164">
            <v>0.63194444444444442</v>
          </cell>
          <cell r="AR164">
            <v>0.63541666666666663</v>
          </cell>
          <cell r="AS164">
            <v>42755</v>
          </cell>
          <cell r="AT164">
            <v>42.97</v>
          </cell>
          <cell r="AU164">
            <v>0.70138888888888884</v>
          </cell>
          <cell r="AV164">
            <v>42755</v>
          </cell>
          <cell r="AW164">
            <v>0.82291666666666663</v>
          </cell>
          <cell r="AX164">
            <v>42755</v>
          </cell>
          <cell r="AY164">
            <v>8.1999999999999993</v>
          </cell>
          <cell r="AZ164">
            <v>55</v>
          </cell>
        </row>
        <row r="165">
          <cell r="B165" t="str">
            <v>B22</v>
          </cell>
          <cell r="C165">
            <v>0.64583333333333337</v>
          </cell>
          <cell r="D165">
            <v>0.70833333333333337</v>
          </cell>
          <cell r="E165">
            <v>42754</v>
          </cell>
          <cell r="F165">
            <v>0.71875</v>
          </cell>
          <cell r="G165">
            <v>0.72916666666666663</v>
          </cell>
          <cell r="H165">
            <v>42754</v>
          </cell>
          <cell r="I165">
            <v>-1E-3</v>
          </cell>
          <cell r="J165">
            <v>-2.4E-2</v>
          </cell>
          <cell r="K165">
            <v>-0.432</v>
          </cell>
          <cell r="L165">
            <v>-0.70599999999999996</v>
          </cell>
          <cell r="M165">
            <v>0.74305555555555547</v>
          </cell>
          <cell r="N165">
            <v>0.75</v>
          </cell>
          <cell r="O165">
            <v>42754</v>
          </cell>
          <cell r="P165">
            <v>1.06</v>
          </cell>
          <cell r="Q165">
            <v>9</v>
          </cell>
          <cell r="R165">
            <v>23</v>
          </cell>
          <cell r="S165">
            <v>0</v>
          </cell>
          <cell r="T165">
            <v>0.83333333333333337</v>
          </cell>
          <cell r="U165">
            <v>42754</v>
          </cell>
          <cell r="V165">
            <v>22.91</v>
          </cell>
          <cell r="W165">
            <v>0.53472222222222221</v>
          </cell>
          <cell r="X165">
            <v>42755</v>
          </cell>
          <cell r="Y165">
            <v>32.43</v>
          </cell>
          <cell r="Z165">
            <v>0.54861111111111105</v>
          </cell>
          <cell r="AA165">
            <v>0.55972222222222223</v>
          </cell>
          <cell r="AB165">
            <v>42755</v>
          </cell>
          <cell r="AC165">
            <v>32.520000000000003</v>
          </cell>
          <cell r="AD165">
            <v>0.56597222222222221</v>
          </cell>
          <cell r="AE165">
            <v>0.57986111111111105</v>
          </cell>
          <cell r="AF165">
            <v>42755</v>
          </cell>
          <cell r="AG165">
            <v>0.59027777777777779</v>
          </cell>
          <cell r="AH165">
            <v>0.625</v>
          </cell>
          <cell r="AI165">
            <v>42755</v>
          </cell>
          <cell r="AJ165">
            <v>0.90277777777777779</v>
          </cell>
          <cell r="AK165">
            <v>0.90972222222222221</v>
          </cell>
          <cell r="AL165">
            <v>42755</v>
          </cell>
          <cell r="AM165">
            <v>1.06</v>
          </cell>
          <cell r="AN165">
            <v>9</v>
          </cell>
          <cell r="AO165">
            <v>26</v>
          </cell>
          <cell r="AP165">
            <v>0</v>
          </cell>
          <cell r="AQ165">
            <v>0.91666666666666663</v>
          </cell>
          <cell r="AR165">
            <v>0.92013888888888884</v>
          </cell>
          <cell r="AS165">
            <v>42755</v>
          </cell>
          <cell r="AT165">
            <v>32.520000000000003</v>
          </cell>
          <cell r="AU165">
            <v>0.92361111111111116</v>
          </cell>
          <cell r="AV165">
            <v>42755</v>
          </cell>
          <cell r="AW165">
            <v>0.9375</v>
          </cell>
          <cell r="AX165">
            <v>42755</v>
          </cell>
          <cell r="AY165">
            <v>4.9000000000000004</v>
          </cell>
          <cell r="AZ165">
            <v>16</v>
          </cell>
        </row>
        <row r="166">
          <cell r="B166" t="str">
            <v>A98</v>
          </cell>
          <cell r="C166">
            <v>0.4375</v>
          </cell>
          <cell r="D166">
            <v>0.5</v>
          </cell>
          <cell r="E166">
            <v>42755</v>
          </cell>
          <cell r="F166">
            <v>0.55208333333333337</v>
          </cell>
          <cell r="G166">
            <v>0.5625</v>
          </cell>
          <cell r="H166">
            <v>42755</v>
          </cell>
          <cell r="I166">
            <v>-2.1999999999999999E-2</v>
          </cell>
          <cell r="J166">
            <v>7.0000000000000001E-3</v>
          </cell>
          <cell r="K166">
            <v>-0.20200000000000001</v>
          </cell>
          <cell r="L166">
            <v>-0.40200000000000002</v>
          </cell>
          <cell r="M166">
            <v>0.50694444444444442</v>
          </cell>
          <cell r="N166">
            <v>0.52083333333333337</v>
          </cell>
          <cell r="O166">
            <v>42755</v>
          </cell>
          <cell r="P166">
            <v>1.06</v>
          </cell>
          <cell r="Q166">
            <v>9</v>
          </cell>
          <cell r="R166">
            <v>26</v>
          </cell>
          <cell r="S166">
            <v>0</v>
          </cell>
          <cell r="T166">
            <v>0.65972222222222221</v>
          </cell>
          <cell r="U166">
            <v>42755</v>
          </cell>
          <cell r="V166">
            <v>20.41</v>
          </cell>
          <cell r="W166">
            <v>0.85416666666666663</v>
          </cell>
          <cell r="X166">
            <v>42755</v>
          </cell>
          <cell r="Y166">
            <v>23.65</v>
          </cell>
          <cell r="Z166">
            <v>0.21527777777777779</v>
          </cell>
          <cell r="AA166">
            <v>0.24305555555555555</v>
          </cell>
          <cell r="AB166">
            <v>42756</v>
          </cell>
          <cell r="AC166">
            <v>23.65</v>
          </cell>
          <cell r="AD166">
            <v>0.25</v>
          </cell>
          <cell r="AE166">
            <v>0.25694444444444448</v>
          </cell>
          <cell r="AF166">
            <v>42756</v>
          </cell>
          <cell r="AG166">
            <v>0.2638888888888889</v>
          </cell>
          <cell r="AH166">
            <v>0.33333333333333331</v>
          </cell>
          <cell r="AI166">
            <v>42756</v>
          </cell>
          <cell r="AJ166">
            <v>0.45833333333333331</v>
          </cell>
          <cell r="AK166">
            <v>0.46875</v>
          </cell>
          <cell r="AL166">
            <v>42756</v>
          </cell>
          <cell r="AM166">
            <v>1.06</v>
          </cell>
          <cell r="AN166">
            <v>9</v>
          </cell>
          <cell r="AO166">
            <v>26</v>
          </cell>
          <cell r="AP166">
            <v>0</v>
          </cell>
          <cell r="AQ166">
            <v>0.47222222222222227</v>
          </cell>
          <cell r="AR166">
            <v>0.47569444444444442</v>
          </cell>
          <cell r="AS166">
            <v>42756</v>
          </cell>
          <cell r="AT166">
            <v>23.65</v>
          </cell>
          <cell r="AU166">
            <v>0.47916666666666669</v>
          </cell>
          <cell r="AV166">
            <v>42756</v>
          </cell>
          <cell r="AW166">
            <v>0.5</v>
          </cell>
          <cell r="AX166">
            <v>42756</v>
          </cell>
          <cell r="AY166">
            <v>6.4</v>
          </cell>
          <cell r="AZ166">
            <v>24</v>
          </cell>
        </row>
        <row r="167">
          <cell r="B167" t="str">
            <v>A97</v>
          </cell>
          <cell r="C167">
            <v>0.85416666666666663</v>
          </cell>
          <cell r="D167">
            <v>0.91666666666666663</v>
          </cell>
          <cell r="E167">
            <v>42757</v>
          </cell>
          <cell r="F167">
            <v>0.28125</v>
          </cell>
          <cell r="G167">
            <v>0.29166666666666669</v>
          </cell>
          <cell r="H167">
            <v>42757</v>
          </cell>
          <cell r="I167">
            <v>-1.7999999999999999E-2</v>
          </cell>
          <cell r="J167">
            <v>0.02</v>
          </cell>
          <cell r="K167">
            <v>-0.122</v>
          </cell>
          <cell r="L167">
            <v>-0.50700000000000001</v>
          </cell>
          <cell r="M167">
            <v>0.2986111111111111</v>
          </cell>
          <cell r="N167">
            <v>0.30555555555555552</v>
          </cell>
          <cell r="O167">
            <v>42757</v>
          </cell>
          <cell r="P167">
            <v>1.06</v>
          </cell>
          <cell r="Q167">
            <v>9</v>
          </cell>
          <cell r="R167">
            <v>25</v>
          </cell>
          <cell r="S167">
            <v>0</v>
          </cell>
          <cell r="T167">
            <v>0.35416666666666669</v>
          </cell>
          <cell r="U167">
            <v>42757</v>
          </cell>
          <cell r="V167">
            <v>21.1</v>
          </cell>
          <cell r="W167">
            <v>0.39930555555555558</v>
          </cell>
          <cell r="X167">
            <v>42757</v>
          </cell>
          <cell r="Y167">
            <v>23.75</v>
          </cell>
          <cell r="Z167">
            <v>0.41666666666666669</v>
          </cell>
          <cell r="AA167">
            <v>0.43055555555555558</v>
          </cell>
          <cell r="AB167">
            <v>42757</v>
          </cell>
          <cell r="AC167">
            <v>23.75</v>
          </cell>
          <cell r="AD167">
            <v>0.4375</v>
          </cell>
          <cell r="AE167">
            <v>0.44791666666666669</v>
          </cell>
          <cell r="AF167">
            <v>42757</v>
          </cell>
          <cell r="AG167">
            <v>0.45833333333333331</v>
          </cell>
          <cell r="AH167">
            <v>0.52083333333333337</v>
          </cell>
          <cell r="AI167">
            <v>42757</v>
          </cell>
          <cell r="AJ167">
            <v>0.54166666666666663</v>
          </cell>
          <cell r="AK167">
            <v>0.54861111111111105</v>
          </cell>
          <cell r="AL167">
            <v>42757</v>
          </cell>
          <cell r="AM167">
            <v>1.06</v>
          </cell>
          <cell r="AN167">
            <v>9</v>
          </cell>
          <cell r="AO167">
            <v>23</v>
          </cell>
          <cell r="AP167">
            <v>0</v>
          </cell>
          <cell r="AQ167">
            <v>0.55555555555555558</v>
          </cell>
          <cell r="AR167">
            <v>0.55902777777777779</v>
          </cell>
          <cell r="AS167">
            <v>42757</v>
          </cell>
          <cell r="AT167">
            <v>23.75</v>
          </cell>
          <cell r="AU167">
            <v>0.5625</v>
          </cell>
          <cell r="AV167">
            <v>42757</v>
          </cell>
          <cell r="AW167">
            <v>0.58333333333333337</v>
          </cell>
          <cell r="AX167">
            <v>42757</v>
          </cell>
          <cell r="AY167">
            <v>6.3</v>
          </cell>
          <cell r="AZ167">
            <v>25</v>
          </cell>
        </row>
        <row r="168">
          <cell r="B168" t="str">
            <v>A110</v>
          </cell>
          <cell r="C168">
            <v>0.375</v>
          </cell>
          <cell r="D168">
            <v>0.4375</v>
          </cell>
          <cell r="E168">
            <v>42756</v>
          </cell>
          <cell r="F168">
            <v>0.44444444444444442</v>
          </cell>
          <cell r="G168">
            <v>0.4513888888888889</v>
          </cell>
          <cell r="H168">
            <v>42756</v>
          </cell>
          <cell r="I168">
            <v>2E-3</v>
          </cell>
          <cell r="J168">
            <v>0.02</v>
          </cell>
          <cell r="K168">
            <v>-0.34300000000000003</v>
          </cell>
          <cell r="L168">
            <v>-0.63</v>
          </cell>
          <cell r="M168">
            <v>0.45833333333333331</v>
          </cell>
          <cell r="N168">
            <v>0.46527777777777773</v>
          </cell>
          <cell r="O168">
            <v>42756</v>
          </cell>
          <cell r="P168">
            <v>1.06</v>
          </cell>
          <cell r="Q168">
            <v>9</v>
          </cell>
          <cell r="R168">
            <v>24</v>
          </cell>
          <cell r="S168">
            <v>0</v>
          </cell>
          <cell r="T168">
            <v>0.27083333333333331</v>
          </cell>
          <cell r="U168">
            <v>42756</v>
          </cell>
          <cell r="V168">
            <v>22.05</v>
          </cell>
          <cell r="W168">
            <v>0.47916666666666669</v>
          </cell>
          <cell r="X168">
            <v>42757</v>
          </cell>
          <cell r="Y168">
            <v>32.67</v>
          </cell>
          <cell r="Z168">
            <v>0.52430555555555558</v>
          </cell>
          <cell r="AA168">
            <v>0.55208333333333337</v>
          </cell>
          <cell r="AB168">
            <v>42757</v>
          </cell>
          <cell r="AC168">
            <v>32.799999999999997</v>
          </cell>
          <cell r="AD168">
            <v>0.5625</v>
          </cell>
          <cell r="AE168">
            <v>0.57291666666666663</v>
          </cell>
          <cell r="AF168">
            <v>42757</v>
          </cell>
          <cell r="AG168">
            <v>0.58680555555555558</v>
          </cell>
          <cell r="AH168">
            <v>0.63194444444444442</v>
          </cell>
          <cell r="AI168">
            <v>42757</v>
          </cell>
          <cell r="AJ168">
            <v>0.83680555555555547</v>
          </cell>
          <cell r="AK168">
            <v>0.84375</v>
          </cell>
          <cell r="AL168">
            <v>42757</v>
          </cell>
          <cell r="AM168">
            <v>1.06</v>
          </cell>
          <cell r="AN168">
            <v>9</v>
          </cell>
          <cell r="AO168">
            <v>23</v>
          </cell>
          <cell r="AP168">
            <v>0</v>
          </cell>
          <cell r="AQ168">
            <v>0.84722222222222221</v>
          </cell>
          <cell r="AR168">
            <v>0.85069444444444453</v>
          </cell>
          <cell r="AS168">
            <v>42757</v>
          </cell>
          <cell r="AT168">
            <v>32.799999999999997</v>
          </cell>
          <cell r="AU168">
            <v>0.85416666666666663</v>
          </cell>
          <cell r="AV168">
            <v>42757</v>
          </cell>
          <cell r="AW168">
            <v>0.91666666666666663</v>
          </cell>
          <cell r="AX168">
            <v>42757</v>
          </cell>
          <cell r="AY168">
            <v>6.1</v>
          </cell>
          <cell r="AZ168">
            <v>40</v>
          </cell>
        </row>
        <row r="169">
          <cell r="B169" t="str">
            <v>A99</v>
          </cell>
          <cell r="C169">
            <v>0.64583333333333337</v>
          </cell>
          <cell r="D169">
            <v>0.70833333333333337</v>
          </cell>
          <cell r="E169">
            <v>42757</v>
          </cell>
          <cell r="F169">
            <v>0.72222222222222221</v>
          </cell>
          <cell r="G169">
            <v>0.73263888888888884</v>
          </cell>
          <cell r="H169">
            <v>42757</v>
          </cell>
          <cell r="I169">
            <v>-0.01</v>
          </cell>
          <cell r="J169">
            <v>-6.0000000000000001E-3</v>
          </cell>
          <cell r="K169">
            <v>-0.25800000000000001</v>
          </cell>
          <cell r="L169">
            <v>-0.74399999999999999</v>
          </cell>
          <cell r="M169">
            <v>0.29166666666666669</v>
          </cell>
          <cell r="N169">
            <v>0.30555555555555552</v>
          </cell>
          <cell r="O169">
            <v>42778</v>
          </cell>
          <cell r="P169">
            <v>1.05</v>
          </cell>
          <cell r="Q169">
            <v>9</v>
          </cell>
          <cell r="R169">
            <v>26</v>
          </cell>
          <cell r="S169">
            <v>0</v>
          </cell>
          <cell r="T169">
            <v>0.4201388888888889</v>
          </cell>
          <cell r="U169">
            <v>42778</v>
          </cell>
          <cell r="V169">
            <v>20.62</v>
          </cell>
          <cell r="W169">
            <v>0.5625</v>
          </cell>
          <cell r="X169">
            <v>42778</v>
          </cell>
          <cell r="Y169">
            <v>23.83</v>
          </cell>
          <cell r="Z169">
            <v>0.64583333333333337</v>
          </cell>
          <cell r="AA169">
            <v>0.67708333333333337</v>
          </cell>
          <cell r="AB169">
            <v>42778</v>
          </cell>
          <cell r="AC169">
            <v>23.83</v>
          </cell>
          <cell r="AD169">
            <v>0.6875</v>
          </cell>
          <cell r="AE169">
            <v>0.70138888888888884</v>
          </cell>
          <cell r="AF169">
            <v>42778</v>
          </cell>
          <cell r="AG169">
            <v>0.71180555555555547</v>
          </cell>
          <cell r="AH169">
            <v>0.77777777777777779</v>
          </cell>
          <cell r="AI169">
            <v>42778</v>
          </cell>
          <cell r="AJ169">
            <v>0.81944444444444453</v>
          </cell>
          <cell r="AK169">
            <v>0.82638888888888884</v>
          </cell>
          <cell r="AL169">
            <v>42778</v>
          </cell>
          <cell r="AM169">
            <v>1.05</v>
          </cell>
          <cell r="AN169">
            <v>9</v>
          </cell>
          <cell r="AO169">
            <v>23</v>
          </cell>
          <cell r="AP169">
            <v>0</v>
          </cell>
          <cell r="AQ169">
            <v>0.83333333333333337</v>
          </cell>
          <cell r="AR169">
            <v>0.83680555555555547</v>
          </cell>
          <cell r="AS169">
            <v>42778</v>
          </cell>
          <cell r="AT169">
            <v>23.85</v>
          </cell>
          <cell r="AU169">
            <v>0.84027777777777779</v>
          </cell>
          <cell r="AV169">
            <v>42778</v>
          </cell>
          <cell r="AW169">
            <v>0.86111111111111116</v>
          </cell>
          <cell r="AX169">
            <v>42778</v>
          </cell>
          <cell r="AY169">
            <v>6</v>
          </cell>
          <cell r="AZ169">
            <v>24</v>
          </cell>
        </row>
        <row r="170">
          <cell r="B170" t="str">
            <v>B17</v>
          </cell>
          <cell r="C170">
            <v>0.375</v>
          </cell>
          <cell r="D170">
            <v>0.4375</v>
          </cell>
          <cell r="E170">
            <v>42778</v>
          </cell>
          <cell r="F170">
            <v>0.44444444444444442</v>
          </cell>
          <cell r="G170">
            <v>0.4548611111111111</v>
          </cell>
          <cell r="H170">
            <v>42778</v>
          </cell>
          <cell r="I170">
            <v>-1.2999999999999999E-2</v>
          </cell>
          <cell r="J170">
            <v>0.01</v>
          </cell>
          <cell r="K170">
            <v>-0.7</v>
          </cell>
          <cell r="L170">
            <v>-1.2</v>
          </cell>
          <cell r="M170">
            <v>0.44444444444444442</v>
          </cell>
          <cell r="N170">
            <v>0.4548611111111111</v>
          </cell>
          <cell r="O170">
            <v>42778</v>
          </cell>
          <cell r="P170">
            <v>1.06</v>
          </cell>
          <cell r="Q170">
            <v>9</v>
          </cell>
          <cell r="R170">
            <v>26</v>
          </cell>
          <cell r="S170">
            <v>0</v>
          </cell>
          <cell r="T170">
            <v>0.5625</v>
          </cell>
          <cell r="U170">
            <v>42778</v>
          </cell>
          <cell r="V170">
            <v>17.75</v>
          </cell>
          <cell r="W170">
            <v>0.72222222222222221</v>
          </cell>
          <cell r="X170">
            <v>42778</v>
          </cell>
          <cell r="Y170">
            <v>29.71</v>
          </cell>
          <cell r="Z170">
            <v>0.79166666666666663</v>
          </cell>
          <cell r="AA170">
            <v>0.81597222222222221</v>
          </cell>
          <cell r="AB170">
            <v>42778</v>
          </cell>
          <cell r="AC170">
            <v>29.71</v>
          </cell>
          <cell r="AD170">
            <v>0.81944444444444453</v>
          </cell>
          <cell r="AE170">
            <v>0.82986111111111116</v>
          </cell>
          <cell r="AF170">
            <v>42778</v>
          </cell>
          <cell r="AG170">
            <v>0.84027777777777779</v>
          </cell>
          <cell r="AH170">
            <v>0.87847222222222221</v>
          </cell>
          <cell r="AI170">
            <v>42778</v>
          </cell>
          <cell r="AJ170">
            <v>0.97222222222222221</v>
          </cell>
          <cell r="AK170">
            <v>0.98263888888888884</v>
          </cell>
          <cell r="AL170">
            <v>42778</v>
          </cell>
          <cell r="AM170">
            <v>1.06</v>
          </cell>
          <cell r="AN170">
            <v>9</v>
          </cell>
          <cell r="AO170">
            <v>24</v>
          </cell>
          <cell r="AP170">
            <v>0</v>
          </cell>
          <cell r="AQ170">
            <v>0.98611111111111116</v>
          </cell>
          <cell r="AR170">
            <v>0.98958333333333337</v>
          </cell>
          <cell r="AS170">
            <v>42778</v>
          </cell>
          <cell r="AT170">
            <v>29.71</v>
          </cell>
          <cell r="AU170">
            <v>0.99305555555555547</v>
          </cell>
          <cell r="AV170">
            <v>42778</v>
          </cell>
          <cell r="AW170">
            <v>2.0833333333333332E-2</v>
          </cell>
          <cell r="AX170">
            <v>42778</v>
          </cell>
          <cell r="AY170">
            <v>4.2</v>
          </cell>
          <cell r="AZ170">
            <v>16</v>
          </cell>
        </row>
        <row r="171">
          <cell r="B171" t="str">
            <v>B16</v>
          </cell>
          <cell r="C171">
            <v>0.33333333333333331</v>
          </cell>
          <cell r="D171">
            <v>0.38541666666666669</v>
          </cell>
          <cell r="E171">
            <v>42779</v>
          </cell>
          <cell r="F171">
            <v>0.3923611111111111</v>
          </cell>
          <cell r="G171">
            <v>0.39930555555555558</v>
          </cell>
          <cell r="H171">
            <v>42779</v>
          </cell>
          <cell r="I171">
            <v>-3.0000000000000001E-3</v>
          </cell>
          <cell r="J171">
            <v>1.6E-2</v>
          </cell>
          <cell r="K171">
            <v>-0.69399999999999995</v>
          </cell>
          <cell r="L171">
            <v>-1.2150000000000001</v>
          </cell>
          <cell r="M171">
            <v>0.40277777777777773</v>
          </cell>
          <cell r="N171">
            <v>0.40972222222222227</v>
          </cell>
          <cell r="O171">
            <v>42779</v>
          </cell>
          <cell r="P171">
            <v>1.06</v>
          </cell>
          <cell r="Q171">
            <v>9</v>
          </cell>
          <cell r="R171">
            <v>26</v>
          </cell>
          <cell r="S171">
            <v>0</v>
          </cell>
          <cell r="T171">
            <v>0.54861111111111105</v>
          </cell>
          <cell r="U171">
            <v>42779</v>
          </cell>
          <cell r="V171">
            <v>18.54</v>
          </cell>
          <cell r="W171">
            <v>0.4375</v>
          </cell>
          <cell r="X171">
            <v>42781</v>
          </cell>
          <cell r="Y171">
            <v>28.41</v>
          </cell>
          <cell r="Z171">
            <v>0.52083333333333337</v>
          </cell>
          <cell r="AA171">
            <v>0.57291666666666663</v>
          </cell>
          <cell r="AB171">
            <v>42781</v>
          </cell>
          <cell r="AC171">
            <v>28.43</v>
          </cell>
          <cell r="AD171">
            <v>0.58333333333333337</v>
          </cell>
          <cell r="AE171">
            <v>0.59722222222222221</v>
          </cell>
          <cell r="AF171">
            <v>42781</v>
          </cell>
          <cell r="AG171">
            <v>0.625</v>
          </cell>
          <cell r="AH171">
            <v>0.71527777777777779</v>
          </cell>
          <cell r="AI171">
            <v>42781</v>
          </cell>
          <cell r="AJ171">
            <v>0.8125</v>
          </cell>
          <cell r="AK171">
            <v>0.82291666666666663</v>
          </cell>
          <cell r="AL171">
            <v>42781</v>
          </cell>
          <cell r="AM171">
            <v>1.06</v>
          </cell>
          <cell r="AN171">
            <v>9</v>
          </cell>
          <cell r="AO171">
            <v>25</v>
          </cell>
          <cell r="AP171">
            <v>0</v>
          </cell>
          <cell r="AQ171">
            <v>0.41319444444444442</v>
          </cell>
          <cell r="AR171">
            <v>0.83333333333333337</v>
          </cell>
          <cell r="AS171">
            <v>42781</v>
          </cell>
          <cell r="AT171">
            <v>28.43</v>
          </cell>
          <cell r="AU171">
            <v>0.83680555555555547</v>
          </cell>
          <cell r="AV171">
            <v>42781</v>
          </cell>
          <cell r="AW171">
            <v>0.85069444444444453</v>
          </cell>
          <cell r="AX171">
            <v>42781</v>
          </cell>
          <cell r="AY171">
            <v>4</v>
          </cell>
          <cell r="AZ171">
            <v>15</v>
          </cell>
        </row>
        <row r="172">
          <cell r="B172" t="str">
            <v>A24</v>
          </cell>
          <cell r="C172">
            <v>0.60069444444444442</v>
          </cell>
          <cell r="D172">
            <v>0.65277777777777779</v>
          </cell>
          <cell r="E172">
            <v>42778</v>
          </cell>
          <cell r="F172">
            <v>0.65625</v>
          </cell>
          <cell r="G172">
            <v>0.66666666666666663</v>
          </cell>
          <cell r="H172">
            <v>42778</v>
          </cell>
          <cell r="I172">
            <v>-0.02</v>
          </cell>
          <cell r="J172">
            <v>-8.0000000000000002E-3</v>
          </cell>
          <cell r="K172">
            <v>0.124</v>
          </cell>
          <cell r="L172">
            <v>-0.435</v>
          </cell>
          <cell r="M172">
            <v>0.67013888888888884</v>
          </cell>
          <cell r="N172">
            <v>0.6875</v>
          </cell>
          <cell r="O172">
            <v>42778</v>
          </cell>
          <cell r="P172">
            <v>1.06</v>
          </cell>
          <cell r="Q172">
            <v>9</v>
          </cell>
          <cell r="R172">
            <v>26</v>
          </cell>
          <cell r="S172">
            <v>0</v>
          </cell>
          <cell r="T172">
            <v>0.5625</v>
          </cell>
          <cell r="U172">
            <v>42781</v>
          </cell>
          <cell r="V172">
            <v>20.32</v>
          </cell>
          <cell r="W172">
            <v>0.71875</v>
          </cell>
          <cell r="X172">
            <v>42781</v>
          </cell>
          <cell r="Y172">
            <v>28.61</v>
          </cell>
          <cell r="Z172">
            <v>0.75</v>
          </cell>
          <cell r="AA172">
            <v>0.76388888888888884</v>
          </cell>
          <cell r="AB172">
            <v>42781</v>
          </cell>
          <cell r="AC172" t="str">
            <v>28.84</v>
          </cell>
          <cell r="AD172">
            <v>0.77083333333333337</v>
          </cell>
          <cell r="AE172">
            <v>0.78472222222222221</v>
          </cell>
          <cell r="AF172">
            <v>42781</v>
          </cell>
          <cell r="AG172">
            <v>0.79513888888888884</v>
          </cell>
          <cell r="AH172">
            <v>0.84027777777777779</v>
          </cell>
          <cell r="AI172">
            <v>42781</v>
          </cell>
          <cell r="AJ172">
            <v>5.9027777777777783E-2</v>
          </cell>
          <cell r="AK172">
            <v>6.6666666666666666E-2</v>
          </cell>
          <cell r="AL172">
            <v>42781</v>
          </cell>
          <cell r="AM172">
            <v>1.06</v>
          </cell>
          <cell r="AN172">
            <v>9</v>
          </cell>
          <cell r="AO172">
            <v>24</v>
          </cell>
          <cell r="AP172">
            <v>0</v>
          </cell>
          <cell r="AQ172">
            <v>6.9444444444444434E-2</v>
          </cell>
          <cell r="AR172">
            <v>7.2916666666666671E-2</v>
          </cell>
          <cell r="AS172">
            <v>42782</v>
          </cell>
          <cell r="AT172">
            <v>28.84</v>
          </cell>
          <cell r="AU172">
            <v>7.9861111111111105E-2</v>
          </cell>
          <cell r="AV172">
            <v>42782</v>
          </cell>
          <cell r="AW172">
            <v>0.13194444444444445</v>
          </cell>
          <cell r="AX172">
            <v>42782</v>
          </cell>
          <cell r="AY172">
            <v>6.5</v>
          </cell>
          <cell r="AZ172">
            <v>31</v>
          </cell>
        </row>
        <row r="173">
          <cell r="B173" t="str">
            <v>A26</v>
          </cell>
          <cell r="C173">
            <v>0.83333333333333337</v>
          </cell>
          <cell r="D173">
            <v>0.89583333333333337</v>
          </cell>
          <cell r="E173">
            <v>42781</v>
          </cell>
          <cell r="F173">
            <v>0.90625</v>
          </cell>
          <cell r="G173">
            <v>0.91666666666666663</v>
          </cell>
          <cell r="H173">
            <v>42781</v>
          </cell>
          <cell r="I173">
            <v>1.4E-2</v>
          </cell>
          <cell r="J173">
            <v>-6.0000000000000001E-3</v>
          </cell>
          <cell r="K173">
            <v>-7.6999999999999999E-2</v>
          </cell>
          <cell r="L173">
            <v>-0.42499999999999999</v>
          </cell>
          <cell r="M173">
            <v>0.92708333333333337</v>
          </cell>
          <cell r="N173">
            <v>0.9375</v>
          </cell>
          <cell r="O173">
            <v>42781</v>
          </cell>
          <cell r="P173">
            <v>1.06</v>
          </cell>
          <cell r="Q173">
            <v>9</v>
          </cell>
          <cell r="R173">
            <v>26</v>
          </cell>
          <cell r="S173">
            <v>0</v>
          </cell>
          <cell r="T173">
            <v>0.36805555555555558</v>
          </cell>
          <cell r="U173">
            <v>42782</v>
          </cell>
          <cell r="V173">
            <v>17.22</v>
          </cell>
          <cell r="W173">
            <v>0.72222222222222221</v>
          </cell>
          <cell r="X173">
            <v>42782</v>
          </cell>
          <cell r="Y173">
            <v>28.3</v>
          </cell>
          <cell r="Z173">
            <v>0.75</v>
          </cell>
          <cell r="AA173">
            <v>0.78125</v>
          </cell>
          <cell r="AB173">
            <v>42782</v>
          </cell>
          <cell r="AC173">
            <v>28.3</v>
          </cell>
          <cell r="AD173">
            <v>0.79166666666666663</v>
          </cell>
          <cell r="AE173">
            <v>0.79861111111111116</v>
          </cell>
          <cell r="AF173">
            <v>42782</v>
          </cell>
          <cell r="AG173">
            <v>0.8125</v>
          </cell>
          <cell r="AH173">
            <v>0.86111111111111116</v>
          </cell>
          <cell r="AI173">
            <v>42782</v>
          </cell>
          <cell r="AJ173">
            <v>0.89583333333333337</v>
          </cell>
          <cell r="AK173">
            <v>0.90277777777777779</v>
          </cell>
          <cell r="AL173">
            <v>42782</v>
          </cell>
          <cell r="AM173">
            <v>1.05</v>
          </cell>
          <cell r="AN173">
            <v>9</v>
          </cell>
          <cell r="AO173">
            <v>23</v>
          </cell>
          <cell r="AP173">
            <v>0</v>
          </cell>
          <cell r="AQ173">
            <v>0.90277777777777779</v>
          </cell>
          <cell r="AR173">
            <v>0.90972222222222221</v>
          </cell>
          <cell r="AS173">
            <v>42782</v>
          </cell>
          <cell r="AT173">
            <v>28.3</v>
          </cell>
          <cell r="AU173">
            <v>0.88888888888888884</v>
          </cell>
          <cell r="AV173">
            <v>42782</v>
          </cell>
          <cell r="AW173">
            <v>0.97569444444444453</v>
          </cell>
          <cell r="AX173">
            <v>42782</v>
          </cell>
          <cell r="AY173">
            <v>6.1</v>
          </cell>
          <cell r="AZ173">
            <v>34</v>
          </cell>
        </row>
        <row r="174">
          <cell r="B174" t="str">
            <v>A109</v>
          </cell>
          <cell r="C174">
            <v>0.61111111111111105</v>
          </cell>
          <cell r="D174">
            <v>0.66666666666666663</v>
          </cell>
          <cell r="E174">
            <v>42781</v>
          </cell>
          <cell r="F174">
            <v>0.67361111111111116</v>
          </cell>
          <cell r="G174">
            <v>0.68402777777777779</v>
          </cell>
          <cell r="H174">
            <v>42781</v>
          </cell>
          <cell r="I174">
            <v>1.2999999999999999E-2</v>
          </cell>
          <cell r="J174">
            <v>1.6E-2</v>
          </cell>
          <cell r="K174">
            <v>6.4000000000000001E-2</v>
          </cell>
          <cell r="L174">
            <v>-0.35599999999999998</v>
          </cell>
          <cell r="M174">
            <v>0.6875</v>
          </cell>
          <cell r="N174">
            <v>0.69444444444444453</v>
          </cell>
          <cell r="O174">
            <v>42781</v>
          </cell>
          <cell r="P174">
            <v>1.06</v>
          </cell>
          <cell r="Q174">
            <v>9</v>
          </cell>
          <cell r="R174">
            <v>26</v>
          </cell>
          <cell r="S174">
            <v>0</v>
          </cell>
          <cell r="T174">
            <v>0.73958333333333337</v>
          </cell>
          <cell r="U174">
            <v>42781</v>
          </cell>
          <cell r="V174">
            <v>20.13</v>
          </cell>
          <cell r="W174">
            <v>0.85416666666666663</v>
          </cell>
          <cell r="X174">
            <v>42782</v>
          </cell>
          <cell r="Y174">
            <v>33.01</v>
          </cell>
          <cell r="Z174">
            <v>0.88888888888888884</v>
          </cell>
          <cell r="AA174">
            <v>0.93402777777777779</v>
          </cell>
          <cell r="AB174">
            <v>42782</v>
          </cell>
          <cell r="AC174">
            <v>33.01</v>
          </cell>
          <cell r="AD174">
            <v>0.94444444444444453</v>
          </cell>
          <cell r="AE174">
            <v>0.95486111111111116</v>
          </cell>
          <cell r="AF174">
            <v>42782</v>
          </cell>
          <cell r="AG174">
            <v>0.96875</v>
          </cell>
          <cell r="AH174">
            <v>1.3888888888888888E-2</v>
          </cell>
          <cell r="AI174">
            <v>42782</v>
          </cell>
          <cell r="AJ174">
            <v>4.5138888888888888E-2</v>
          </cell>
          <cell r="AK174">
            <v>5.5555555555555552E-2</v>
          </cell>
          <cell r="AL174">
            <v>42783</v>
          </cell>
          <cell r="AM174">
            <v>1.06</v>
          </cell>
          <cell r="AN174">
            <v>9</v>
          </cell>
          <cell r="AO174">
            <v>23</v>
          </cell>
          <cell r="AP174">
            <v>0</v>
          </cell>
          <cell r="AQ174">
            <v>5.9027777777777783E-2</v>
          </cell>
          <cell r="AR174">
            <v>6.25E-2</v>
          </cell>
          <cell r="AS174">
            <v>42783</v>
          </cell>
          <cell r="AT174">
            <v>33.01</v>
          </cell>
          <cell r="AU174">
            <v>6.9444444444444434E-2</v>
          </cell>
          <cell r="AV174">
            <v>42783</v>
          </cell>
          <cell r="AW174">
            <v>0.1388888888888889</v>
          </cell>
          <cell r="AX174">
            <v>42783</v>
          </cell>
          <cell r="AY174">
            <v>6</v>
          </cell>
          <cell r="AZ174">
            <v>34</v>
          </cell>
        </row>
        <row r="175">
          <cell r="B175" t="str">
            <v>A107</v>
          </cell>
          <cell r="C175">
            <v>0.61458333333333337</v>
          </cell>
          <cell r="D175">
            <v>0.66666666666666663</v>
          </cell>
          <cell r="E175">
            <v>42782</v>
          </cell>
          <cell r="F175">
            <v>0.67708333333333337</v>
          </cell>
          <cell r="G175">
            <v>0.68402777777777779</v>
          </cell>
          <cell r="H175">
            <v>42782</v>
          </cell>
          <cell r="I175">
            <v>1.6E-2</v>
          </cell>
          <cell r="J175">
            <v>1.2999999999999999E-2</v>
          </cell>
          <cell r="K175">
            <v>-4.2000000000000003E-2</v>
          </cell>
          <cell r="L175">
            <v>-0.4</v>
          </cell>
          <cell r="M175">
            <v>0.67361111111111116</v>
          </cell>
          <cell r="N175">
            <v>0.6875</v>
          </cell>
          <cell r="O175">
            <v>42782</v>
          </cell>
          <cell r="P175">
            <v>1.07</v>
          </cell>
          <cell r="Q175">
            <v>9</v>
          </cell>
          <cell r="R175">
            <v>26</v>
          </cell>
          <cell r="S175">
            <v>0</v>
          </cell>
          <cell r="T175">
            <v>0.8125</v>
          </cell>
          <cell r="U175">
            <v>42782</v>
          </cell>
          <cell r="V175">
            <v>20.51</v>
          </cell>
          <cell r="W175">
            <v>0.99652777777777779</v>
          </cell>
          <cell r="X175">
            <v>42782</v>
          </cell>
          <cell r="Y175">
            <v>34.67</v>
          </cell>
          <cell r="Z175">
            <v>2.7777777777777776E-2</v>
          </cell>
          <cell r="AA175">
            <v>4.8611111111111112E-2</v>
          </cell>
          <cell r="AB175">
            <v>42783</v>
          </cell>
          <cell r="AC175">
            <v>34.67</v>
          </cell>
          <cell r="AD175">
            <v>5.9027777777777783E-2</v>
          </cell>
          <cell r="AE175">
            <v>6.5972222222222224E-2</v>
          </cell>
          <cell r="AF175">
            <v>42783</v>
          </cell>
          <cell r="AG175">
            <v>0.12847222222222224</v>
          </cell>
          <cell r="AH175">
            <v>0.16319444444444445</v>
          </cell>
          <cell r="AI175">
            <v>42783</v>
          </cell>
          <cell r="AJ175">
            <v>0.59722222222222221</v>
          </cell>
          <cell r="AK175">
            <v>0.60416666666666663</v>
          </cell>
          <cell r="AL175">
            <v>42783</v>
          </cell>
          <cell r="AM175">
            <v>1.06</v>
          </cell>
          <cell r="AN175">
            <v>9</v>
          </cell>
          <cell r="AO175">
            <v>26</v>
          </cell>
          <cell r="AP175">
            <v>0</v>
          </cell>
          <cell r="AQ175">
            <v>0.60763888888888895</v>
          </cell>
          <cell r="AR175">
            <v>0.61111111111111105</v>
          </cell>
          <cell r="AS175">
            <v>42783</v>
          </cell>
          <cell r="AT175">
            <v>34.67</v>
          </cell>
          <cell r="AU175">
            <v>0.61805555555555558</v>
          </cell>
          <cell r="AV175">
            <v>42783</v>
          </cell>
          <cell r="AW175">
            <v>0.65625</v>
          </cell>
          <cell r="AX175">
            <v>42783</v>
          </cell>
          <cell r="AY175">
            <v>6.5</v>
          </cell>
          <cell r="AZ175">
            <v>34</v>
          </cell>
        </row>
        <row r="176">
          <cell r="B176" t="str">
            <v>BP2</v>
          </cell>
          <cell r="C176">
            <v>0.54861111111111105</v>
          </cell>
          <cell r="D176">
            <v>0.60416666666666663</v>
          </cell>
          <cell r="E176">
            <v>42782</v>
          </cell>
          <cell r="F176">
            <v>0.61458333333333337</v>
          </cell>
          <cell r="G176">
            <v>0.625</v>
          </cell>
          <cell r="H176">
            <v>42782</v>
          </cell>
          <cell r="I176">
            <v>-0.01</v>
          </cell>
          <cell r="J176">
            <v>2.5000000000000001E-2</v>
          </cell>
          <cell r="K176">
            <v>-2.1999999999999999E-2</v>
          </cell>
          <cell r="L176">
            <v>-0.34300000000000003</v>
          </cell>
          <cell r="M176">
            <v>0.63194444444444442</v>
          </cell>
          <cell r="N176">
            <v>0.64236111111111105</v>
          </cell>
          <cell r="O176">
            <v>42782</v>
          </cell>
          <cell r="P176">
            <v>1.05</v>
          </cell>
          <cell r="Q176">
            <v>9</v>
          </cell>
          <cell r="R176">
            <v>27</v>
          </cell>
          <cell r="S176">
            <v>0</v>
          </cell>
          <cell r="T176">
            <v>0.69791666666666663</v>
          </cell>
          <cell r="U176">
            <v>42782</v>
          </cell>
          <cell r="V176">
            <v>18.53</v>
          </cell>
          <cell r="W176">
            <v>2.0833333333333332E-2</v>
          </cell>
          <cell r="X176">
            <v>42783</v>
          </cell>
          <cell r="Y176">
            <v>30.86</v>
          </cell>
          <cell r="Z176">
            <v>8.6805555555555566E-2</v>
          </cell>
          <cell r="AA176">
            <v>0.13541666666666666</v>
          </cell>
          <cell r="AB176">
            <v>42783</v>
          </cell>
          <cell r="AC176">
            <v>30.86</v>
          </cell>
          <cell r="AD176">
            <v>0.14583333333333334</v>
          </cell>
          <cell r="AE176">
            <v>0.15625</v>
          </cell>
          <cell r="AF176">
            <v>42783</v>
          </cell>
          <cell r="AG176">
            <v>0.16666666666666666</v>
          </cell>
          <cell r="AH176">
            <v>0.20138888888888887</v>
          </cell>
          <cell r="AI176">
            <v>42783</v>
          </cell>
          <cell r="AJ176">
            <v>0.72916666666666663</v>
          </cell>
          <cell r="AK176">
            <v>0.73611111111111116</v>
          </cell>
          <cell r="AL176">
            <v>42783</v>
          </cell>
          <cell r="AM176">
            <v>1.05</v>
          </cell>
          <cell r="AN176">
            <v>9</v>
          </cell>
          <cell r="AO176">
            <v>27</v>
          </cell>
          <cell r="AP176">
            <v>0</v>
          </cell>
          <cell r="AQ176">
            <v>0.74305555555555547</v>
          </cell>
          <cell r="AR176">
            <v>0.74652777777777779</v>
          </cell>
          <cell r="AS176">
            <v>42783</v>
          </cell>
          <cell r="AT176">
            <v>30.86</v>
          </cell>
          <cell r="AU176">
            <v>0.76041666666666663</v>
          </cell>
          <cell r="AV176">
            <v>42783</v>
          </cell>
          <cell r="AW176">
            <v>0.78125</v>
          </cell>
          <cell r="AX176">
            <v>42783</v>
          </cell>
          <cell r="AY176">
            <v>5</v>
          </cell>
          <cell r="AZ176">
            <v>16</v>
          </cell>
        </row>
        <row r="177">
          <cell r="B177" t="str">
            <v>B18</v>
          </cell>
          <cell r="C177">
            <v>0.34027777777777773</v>
          </cell>
          <cell r="D177">
            <v>0.39583333333333331</v>
          </cell>
          <cell r="E177">
            <v>42783</v>
          </cell>
          <cell r="F177">
            <v>0.40277777777777773</v>
          </cell>
          <cell r="G177">
            <v>0.41319444444444442</v>
          </cell>
          <cell r="H177">
            <v>42783</v>
          </cell>
          <cell r="I177">
            <v>1.7000000000000001E-2</v>
          </cell>
          <cell r="J177">
            <v>-1.9E-2</v>
          </cell>
          <cell r="K177">
            <v>-0.46899999999999997</v>
          </cell>
          <cell r="L177">
            <v>-0.80200000000000005</v>
          </cell>
          <cell r="M177">
            <v>0.41666666666666669</v>
          </cell>
          <cell r="N177">
            <v>0.42708333333333331</v>
          </cell>
          <cell r="O177">
            <v>42783</v>
          </cell>
          <cell r="P177">
            <v>1.06</v>
          </cell>
          <cell r="Q177">
            <v>9</v>
          </cell>
          <cell r="R177">
            <v>26</v>
          </cell>
          <cell r="S177">
            <v>0</v>
          </cell>
          <cell r="T177">
            <v>0.45833333333333331</v>
          </cell>
          <cell r="U177">
            <v>42783</v>
          </cell>
          <cell r="V177">
            <v>19.05</v>
          </cell>
          <cell r="W177">
            <v>0.71875</v>
          </cell>
          <cell r="X177">
            <v>42783</v>
          </cell>
          <cell r="Y177">
            <v>29.86</v>
          </cell>
          <cell r="Z177">
            <v>0.75</v>
          </cell>
          <cell r="AA177">
            <v>0.79166666666666663</v>
          </cell>
          <cell r="AB177">
            <v>42783</v>
          </cell>
          <cell r="AC177">
            <v>29.86</v>
          </cell>
          <cell r="AD177">
            <v>0.80208333333333337</v>
          </cell>
          <cell r="AE177">
            <v>0.8125</v>
          </cell>
          <cell r="AF177">
            <v>42783</v>
          </cell>
          <cell r="AG177">
            <v>0.81944444444444453</v>
          </cell>
          <cell r="AH177">
            <v>0.86805555555555547</v>
          </cell>
          <cell r="AI177">
            <v>42783</v>
          </cell>
          <cell r="AJ177">
            <v>0.96875</v>
          </cell>
          <cell r="AK177">
            <v>0.97916666666666663</v>
          </cell>
          <cell r="AL177">
            <v>42783</v>
          </cell>
          <cell r="AM177">
            <v>1.06</v>
          </cell>
          <cell r="AN177">
            <v>9</v>
          </cell>
          <cell r="AO177">
            <v>25</v>
          </cell>
          <cell r="AP177">
            <v>0</v>
          </cell>
          <cell r="AQ177">
            <v>0.98263888888888884</v>
          </cell>
          <cell r="AR177">
            <v>0.98611111111111116</v>
          </cell>
          <cell r="AS177">
            <v>42783</v>
          </cell>
          <cell r="AT177">
            <v>29.86</v>
          </cell>
          <cell r="AU177">
            <v>0.98958333333333337</v>
          </cell>
          <cell r="AV177">
            <v>42783</v>
          </cell>
          <cell r="AW177">
            <v>1.0416666666666666E-2</v>
          </cell>
          <cell r="AX177">
            <v>42784</v>
          </cell>
          <cell r="AY177">
            <v>4.3</v>
          </cell>
          <cell r="AZ177">
            <v>16</v>
          </cell>
        </row>
        <row r="178">
          <cell r="B178" t="str">
            <v>A111</v>
          </cell>
          <cell r="C178">
            <v>0.3125</v>
          </cell>
          <cell r="D178">
            <v>0.375</v>
          </cell>
          <cell r="E178">
            <v>42783</v>
          </cell>
          <cell r="F178">
            <v>0.38541666666666669</v>
          </cell>
          <cell r="G178">
            <v>0.39583333333333331</v>
          </cell>
          <cell r="H178">
            <v>42783</v>
          </cell>
          <cell r="I178">
            <v>8.0000000000000002E-3</v>
          </cell>
          <cell r="J178">
            <v>-2E-3</v>
          </cell>
          <cell r="K178">
            <v>-0.156</v>
          </cell>
          <cell r="L178">
            <v>-0.42199999999999999</v>
          </cell>
          <cell r="M178">
            <v>0.39930555555555558</v>
          </cell>
          <cell r="N178">
            <v>0.40625</v>
          </cell>
          <cell r="O178">
            <v>42783</v>
          </cell>
          <cell r="P178">
            <v>1.06</v>
          </cell>
          <cell r="Q178">
            <v>9</v>
          </cell>
          <cell r="R178">
            <v>26</v>
          </cell>
          <cell r="S178">
            <v>0</v>
          </cell>
          <cell r="T178">
            <v>0.67013888888888884</v>
          </cell>
          <cell r="U178">
            <v>42783</v>
          </cell>
          <cell r="V178">
            <v>21.81</v>
          </cell>
          <cell r="W178">
            <v>0.82638888888888884</v>
          </cell>
          <cell r="X178">
            <v>42783</v>
          </cell>
          <cell r="Y178">
            <v>32.75</v>
          </cell>
          <cell r="Z178">
            <v>0.89930555555555547</v>
          </cell>
          <cell r="AA178">
            <v>0.94444444444444453</v>
          </cell>
          <cell r="AB178">
            <v>42783</v>
          </cell>
          <cell r="AC178">
            <v>32.75</v>
          </cell>
          <cell r="AD178">
            <v>0.95138888888888884</v>
          </cell>
          <cell r="AE178">
            <v>0.96180555555555547</v>
          </cell>
          <cell r="AF178">
            <v>42783</v>
          </cell>
          <cell r="AG178">
            <v>0.97222222222222221</v>
          </cell>
          <cell r="AH178">
            <v>4.1666666666666664E-2</v>
          </cell>
          <cell r="AI178">
            <v>42784</v>
          </cell>
          <cell r="AJ178">
            <v>0.11805555555555557</v>
          </cell>
          <cell r="AK178">
            <v>0.125</v>
          </cell>
          <cell r="AL178">
            <v>42784</v>
          </cell>
          <cell r="AM178">
            <v>1.06</v>
          </cell>
          <cell r="AN178">
            <v>9</v>
          </cell>
          <cell r="AO178">
            <v>23</v>
          </cell>
          <cell r="AP178">
            <v>0</v>
          </cell>
          <cell r="AQ178">
            <v>0.12847222222222224</v>
          </cell>
          <cell r="AR178">
            <v>0.13194444444444445</v>
          </cell>
          <cell r="AS178">
            <v>42784</v>
          </cell>
          <cell r="AT178">
            <v>32.75</v>
          </cell>
          <cell r="AU178">
            <v>0.13541666666666666</v>
          </cell>
          <cell r="AV178">
            <v>42784</v>
          </cell>
          <cell r="AW178">
            <v>0.16666666666666666</v>
          </cell>
          <cell r="AX178">
            <v>42784</v>
          </cell>
          <cell r="AY178">
            <v>6.5</v>
          </cell>
          <cell r="AZ178">
            <v>30</v>
          </cell>
        </row>
        <row r="179">
          <cell r="B179" t="str">
            <v>A112</v>
          </cell>
          <cell r="C179">
            <v>0.64583333333333337</v>
          </cell>
          <cell r="D179">
            <v>0.70833333333333337</v>
          </cell>
          <cell r="E179">
            <v>42772</v>
          </cell>
          <cell r="F179">
            <v>0.72222222222222221</v>
          </cell>
          <cell r="G179">
            <v>0.72916666666666663</v>
          </cell>
          <cell r="H179">
            <v>42783</v>
          </cell>
          <cell r="I179">
            <v>-1.2E-2</v>
          </cell>
          <cell r="J179">
            <v>-2.5000000000000001E-2</v>
          </cell>
          <cell r="K179">
            <v>-0.25900000000000001</v>
          </cell>
          <cell r="L179">
            <v>-0.59099999999999997</v>
          </cell>
          <cell r="M179">
            <v>0.73958333333333337</v>
          </cell>
          <cell r="N179">
            <v>0.75</v>
          </cell>
          <cell r="O179">
            <v>42783</v>
          </cell>
          <cell r="P179">
            <v>1.06</v>
          </cell>
          <cell r="Q179">
            <v>9</v>
          </cell>
          <cell r="R179">
            <v>23</v>
          </cell>
          <cell r="S179">
            <v>0</v>
          </cell>
          <cell r="T179">
            <v>0.86111111111111116</v>
          </cell>
          <cell r="U179">
            <v>42783</v>
          </cell>
          <cell r="V179">
            <v>21.05</v>
          </cell>
          <cell r="W179">
            <v>0.98958333333333337</v>
          </cell>
          <cell r="X179">
            <v>42783</v>
          </cell>
          <cell r="Y179">
            <v>32.700000000000003</v>
          </cell>
          <cell r="Z179">
            <v>2.0833333333333332E-2</v>
          </cell>
          <cell r="AA179">
            <v>4.8611111111111112E-2</v>
          </cell>
          <cell r="AB179">
            <v>42784</v>
          </cell>
          <cell r="AC179">
            <v>32.700000000000003</v>
          </cell>
          <cell r="AD179">
            <v>6.25E-2</v>
          </cell>
          <cell r="AE179">
            <v>7.6388888888888895E-2</v>
          </cell>
          <cell r="AF179">
            <v>42784</v>
          </cell>
          <cell r="AG179">
            <v>8.6805555555555566E-2</v>
          </cell>
          <cell r="AH179">
            <v>0.13194444444444445</v>
          </cell>
          <cell r="AI179">
            <v>42784</v>
          </cell>
          <cell r="AJ179">
            <v>0.44444444444444442</v>
          </cell>
          <cell r="AK179">
            <v>0.44791666666666669</v>
          </cell>
          <cell r="AL179">
            <v>42784</v>
          </cell>
          <cell r="AM179">
            <v>1.06</v>
          </cell>
          <cell r="AN179">
            <v>9</v>
          </cell>
          <cell r="AO179">
            <v>26</v>
          </cell>
          <cell r="AP179">
            <v>0</v>
          </cell>
          <cell r="AQ179">
            <v>0.4513888888888889</v>
          </cell>
          <cell r="AR179">
            <v>0.4548611111111111</v>
          </cell>
          <cell r="AS179">
            <v>42784</v>
          </cell>
          <cell r="AT179">
            <v>32.700000000000003</v>
          </cell>
          <cell r="AU179">
            <v>0.45833333333333331</v>
          </cell>
          <cell r="AV179">
            <v>42784</v>
          </cell>
          <cell r="AW179">
            <v>0.50347222222222221</v>
          </cell>
          <cell r="AX179">
            <v>42784</v>
          </cell>
          <cell r="AY179">
            <v>6.5</v>
          </cell>
          <cell r="AZ179">
            <v>34</v>
          </cell>
        </row>
        <row r="180">
          <cell r="B180" t="str">
            <v>B6</v>
          </cell>
          <cell r="C180">
            <v>0.34027777777777773</v>
          </cell>
          <cell r="D180">
            <v>0.40277777777777773</v>
          </cell>
          <cell r="E180">
            <v>42784</v>
          </cell>
          <cell r="F180">
            <v>0.4236111111111111</v>
          </cell>
          <cell r="G180">
            <v>0.43055555555555558</v>
          </cell>
          <cell r="H180">
            <v>42784</v>
          </cell>
          <cell r="I180">
            <v>-2.1999999999999999E-2</v>
          </cell>
          <cell r="J180">
            <v>-0.01</v>
          </cell>
          <cell r="K180">
            <v>-0.432</v>
          </cell>
          <cell r="L180">
            <v>-0.72</v>
          </cell>
          <cell r="M180">
            <v>0.43402777777777773</v>
          </cell>
          <cell r="N180">
            <v>0.44097222222222227</v>
          </cell>
          <cell r="O180">
            <v>42784</v>
          </cell>
          <cell r="P180">
            <v>1.06</v>
          </cell>
          <cell r="Q180">
            <v>9</v>
          </cell>
          <cell r="R180">
            <v>26</v>
          </cell>
          <cell r="S180">
            <v>0</v>
          </cell>
          <cell r="T180">
            <v>0.59375</v>
          </cell>
          <cell r="U180">
            <v>42784</v>
          </cell>
          <cell r="V180">
            <v>19.84</v>
          </cell>
          <cell r="W180">
            <v>0.91666666666666663</v>
          </cell>
          <cell r="X180">
            <v>42784</v>
          </cell>
          <cell r="Y180">
            <v>30.98</v>
          </cell>
          <cell r="Z180">
            <v>0.94444444444444453</v>
          </cell>
          <cell r="AA180">
            <v>0.96527777777777779</v>
          </cell>
          <cell r="AB180">
            <v>42784</v>
          </cell>
          <cell r="AC180">
            <v>30.98</v>
          </cell>
          <cell r="AD180">
            <v>0.97569444444444453</v>
          </cell>
          <cell r="AE180">
            <v>0.98611111111111116</v>
          </cell>
          <cell r="AF180">
            <v>42784</v>
          </cell>
          <cell r="AG180">
            <v>0.99305555555555547</v>
          </cell>
          <cell r="AH180">
            <v>2.0833333333333332E-2</v>
          </cell>
          <cell r="AI180">
            <v>42784</v>
          </cell>
          <cell r="AJ180">
            <v>4.8611111111111112E-2</v>
          </cell>
          <cell r="AK180">
            <v>5.9027777777777783E-2</v>
          </cell>
          <cell r="AL180">
            <v>42784</v>
          </cell>
          <cell r="AM180">
            <v>1.05</v>
          </cell>
          <cell r="AN180">
            <v>9</v>
          </cell>
          <cell r="AO180">
            <v>24</v>
          </cell>
          <cell r="AP180">
            <v>0</v>
          </cell>
          <cell r="AQ180">
            <v>6.25E-2</v>
          </cell>
          <cell r="AR180">
            <v>6.5972222222222224E-2</v>
          </cell>
          <cell r="AS180">
            <v>42785</v>
          </cell>
          <cell r="AT180">
            <v>30.98</v>
          </cell>
          <cell r="AU180">
            <v>7.2916666666666671E-2</v>
          </cell>
          <cell r="AV180">
            <v>42785</v>
          </cell>
          <cell r="AW180">
            <v>0.11666666666666665</v>
          </cell>
          <cell r="AX180">
            <v>42785</v>
          </cell>
          <cell r="AY180">
            <v>6.5</v>
          </cell>
          <cell r="AZ180">
            <v>16</v>
          </cell>
        </row>
        <row r="181">
          <cell r="B181" t="str">
            <v>A23</v>
          </cell>
          <cell r="C181">
            <v>0.88194444444444453</v>
          </cell>
          <cell r="D181">
            <v>0.94444444444444453</v>
          </cell>
          <cell r="E181">
            <v>42783</v>
          </cell>
          <cell r="F181">
            <v>0.95833333333333337</v>
          </cell>
          <cell r="G181">
            <v>0.96875</v>
          </cell>
          <cell r="H181">
            <v>42783</v>
          </cell>
          <cell r="I181">
            <v>3.0000000000000001E-3</v>
          </cell>
          <cell r="J181">
            <v>-1.4E-2</v>
          </cell>
          <cell r="K181">
            <v>-0.19700000000000001</v>
          </cell>
          <cell r="L181">
            <v>-0.54</v>
          </cell>
          <cell r="M181">
            <v>0.97916666666666663</v>
          </cell>
          <cell r="N181">
            <v>0.98958333333333337</v>
          </cell>
          <cell r="O181">
            <v>42783</v>
          </cell>
          <cell r="P181">
            <v>1.05</v>
          </cell>
          <cell r="Q181">
            <v>9</v>
          </cell>
          <cell r="R181">
            <v>24</v>
          </cell>
          <cell r="S181">
            <v>0</v>
          </cell>
          <cell r="T181">
            <v>0.10416666666666667</v>
          </cell>
          <cell r="U181">
            <v>42784</v>
          </cell>
          <cell r="V181">
            <v>20.52</v>
          </cell>
          <cell r="W181">
            <v>0.32291666666666669</v>
          </cell>
          <cell r="X181">
            <v>42784</v>
          </cell>
          <cell r="Y181">
            <v>28.25</v>
          </cell>
          <cell r="Z181">
            <v>0.5</v>
          </cell>
          <cell r="AA181">
            <v>0.55208333333333337</v>
          </cell>
          <cell r="AB181">
            <v>42784</v>
          </cell>
          <cell r="AC181">
            <v>28.31</v>
          </cell>
          <cell r="AD181">
            <v>0.5625</v>
          </cell>
          <cell r="AE181">
            <v>0.57291666666666663</v>
          </cell>
          <cell r="AF181">
            <v>42784</v>
          </cell>
          <cell r="AG181">
            <v>0.58333333333333337</v>
          </cell>
          <cell r="AH181">
            <v>0.69444444444444453</v>
          </cell>
          <cell r="AI181">
            <v>42784</v>
          </cell>
          <cell r="AJ181">
            <v>0.72916666666666663</v>
          </cell>
          <cell r="AK181">
            <v>0.73958333333333337</v>
          </cell>
          <cell r="AL181">
            <v>42784</v>
          </cell>
          <cell r="AM181">
            <v>1.05</v>
          </cell>
          <cell r="AN181">
            <v>9</v>
          </cell>
          <cell r="AO181">
            <v>24</v>
          </cell>
          <cell r="AP181">
            <v>0</v>
          </cell>
          <cell r="AQ181">
            <v>0.74305555555555547</v>
          </cell>
          <cell r="AR181">
            <v>0.74861111111111101</v>
          </cell>
          <cell r="AS181">
            <v>42784</v>
          </cell>
          <cell r="AT181">
            <v>28.31</v>
          </cell>
          <cell r="AU181">
            <v>0.75</v>
          </cell>
          <cell r="AV181">
            <v>42784</v>
          </cell>
          <cell r="AW181">
            <v>0.82291666666666663</v>
          </cell>
          <cell r="AX181">
            <v>42784</v>
          </cell>
          <cell r="AY181">
            <v>6.4</v>
          </cell>
          <cell r="AZ181">
            <v>27</v>
          </cell>
        </row>
        <row r="182">
          <cell r="B182" t="str">
            <v>A142</v>
          </cell>
          <cell r="C182">
            <v>0.35416666666666669</v>
          </cell>
          <cell r="D182">
            <v>0.40972222222222227</v>
          </cell>
          <cell r="E182">
            <v>42784</v>
          </cell>
          <cell r="F182">
            <v>0.41319444444444442</v>
          </cell>
          <cell r="G182">
            <v>0.4201388888888889</v>
          </cell>
          <cell r="H182">
            <v>42784</v>
          </cell>
          <cell r="I182">
            <v>-5.0000000000000001E-3</v>
          </cell>
          <cell r="J182">
            <v>2.3E-2</v>
          </cell>
          <cell r="K182">
            <v>-0.02</v>
          </cell>
          <cell r="L182">
            <v>-0.40200000000000002</v>
          </cell>
          <cell r="M182">
            <v>0.4236111111111111</v>
          </cell>
          <cell r="N182">
            <v>0.43055555555555558</v>
          </cell>
          <cell r="O182">
            <v>42784</v>
          </cell>
          <cell r="P182">
            <v>1.06</v>
          </cell>
          <cell r="Q182">
            <v>9</v>
          </cell>
          <cell r="R182">
            <v>26</v>
          </cell>
          <cell r="S182">
            <v>0</v>
          </cell>
          <cell r="T182">
            <v>0.46875</v>
          </cell>
          <cell r="U182">
            <v>42784</v>
          </cell>
          <cell r="V182">
            <v>20.83</v>
          </cell>
          <cell r="W182">
            <v>0.96527777777777779</v>
          </cell>
          <cell r="X182">
            <v>42784</v>
          </cell>
          <cell r="Y182">
            <v>38.79</v>
          </cell>
          <cell r="Z182">
            <v>0.99305555555555547</v>
          </cell>
          <cell r="AA182">
            <v>2.0833333333333332E-2</v>
          </cell>
          <cell r="AB182">
            <v>42785</v>
          </cell>
          <cell r="AC182">
            <v>38.79</v>
          </cell>
          <cell r="AD182">
            <v>3.125E-2</v>
          </cell>
          <cell r="AE182">
            <v>4.1666666666666664E-2</v>
          </cell>
          <cell r="AF182">
            <v>42785</v>
          </cell>
          <cell r="AG182">
            <v>5.2083333333333336E-2</v>
          </cell>
          <cell r="AH182">
            <v>0.10416666666666667</v>
          </cell>
          <cell r="AI182">
            <v>42785</v>
          </cell>
          <cell r="AJ182">
            <v>0.25</v>
          </cell>
          <cell r="AK182">
            <v>0.25694444444444448</v>
          </cell>
          <cell r="AL182">
            <v>42785</v>
          </cell>
          <cell r="AM182">
            <v>1.06</v>
          </cell>
          <cell r="AN182">
            <v>9</v>
          </cell>
          <cell r="AO182">
            <v>24</v>
          </cell>
          <cell r="AP182">
            <v>0</v>
          </cell>
          <cell r="AQ182">
            <v>0.2638888888888889</v>
          </cell>
          <cell r="AR182">
            <v>0.26041666666666669</v>
          </cell>
          <cell r="AS182">
            <v>42785</v>
          </cell>
          <cell r="AT182">
            <v>38.79</v>
          </cell>
          <cell r="AU182">
            <v>0.27083333333333331</v>
          </cell>
          <cell r="AV182">
            <v>42785</v>
          </cell>
          <cell r="AW182">
            <v>0.34027777777777773</v>
          </cell>
          <cell r="AX182">
            <v>42785</v>
          </cell>
          <cell r="AY182">
            <v>6.8</v>
          </cell>
          <cell r="AZ182">
            <v>39.5</v>
          </cell>
        </row>
        <row r="183">
          <cell r="B183" t="str">
            <v>A25</v>
          </cell>
          <cell r="C183">
            <v>2.0833333333333332E-2</v>
          </cell>
          <cell r="D183">
            <v>8.3333333333333329E-2</v>
          </cell>
          <cell r="E183">
            <v>42785</v>
          </cell>
          <cell r="F183">
            <v>0.30208333333333331</v>
          </cell>
          <cell r="G183">
            <v>0.3125</v>
          </cell>
          <cell r="H183">
            <v>42785</v>
          </cell>
          <cell r="I183">
            <v>-1.7999999999999999E-2</v>
          </cell>
          <cell r="J183">
            <v>-2E-3</v>
          </cell>
          <cell r="K183">
            <v>-5.1999999999999998E-2</v>
          </cell>
          <cell r="L183">
            <v>-0.3</v>
          </cell>
          <cell r="M183">
            <v>0.31944444444444448</v>
          </cell>
          <cell r="N183">
            <v>0.3263888888888889</v>
          </cell>
          <cell r="O183">
            <v>42785</v>
          </cell>
          <cell r="P183">
            <v>1.06</v>
          </cell>
          <cell r="Q183">
            <v>9</v>
          </cell>
          <cell r="R183">
            <v>25</v>
          </cell>
          <cell r="S183">
            <v>0</v>
          </cell>
          <cell r="T183">
            <v>0.44097222222222227</v>
          </cell>
          <cell r="U183">
            <v>42785</v>
          </cell>
          <cell r="V183">
            <v>19.32</v>
          </cell>
          <cell r="W183">
            <v>0.91666666666666663</v>
          </cell>
          <cell r="X183">
            <v>42785</v>
          </cell>
          <cell r="Y183">
            <v>28.36</v>
          </cell>
          <cell r="Z183">
            <v>0.94444444444444453</v>
          </cell>
          <cell r="AA183">
            <v>0.96875</v>
          </cell>
          <cell r="AB183">
            <v>42785</v>
          </cell>
          <cell r="AC183">
            <v>28.36</v>
          </cell>
          <cell r="AD183">
            <v>0.97916666666666663</v>
          </cell>
          <cell r="AE183">
            <v>0.98958333333333337</v>
          </cell>
          <cell r="AF183">
            <v>42785</v>
          </cell>
          <cell r="AG183">
            <v>3.472222222222222E-3</v>
          </cell>
          <cell r="AH183">
            <v>4.1666666666666664E-2</v>
          </cell>
          <cell r="AI183">
            <v>42786</v>
          </cell>
          <cell r="AJ183">
            <v>0.1875</v>
          </cell>
          <cell r="AK183">
            <v>0.19791666666666666</v>
          </cell>
          <cell r="AL183">
            <v>42786</v>
          </cell>
          <cell r="AM183">
            <v>1.05</v>
          </cell>
          <cell r="AN183">
            <v>9</v>
          </cell>
          <cell r="AO183">
            <v>25</v>
          </cell>
          <cell r="AP183">
            <v>0</v>
          </cell>
          <cell r="AQ183">
            <v>0.20138888888888887</v>
          </cell>
          <cell r="AR183">
            <v>0.20833333333333334</v>
          </cell>
          <cell r="AS183">
            <v>42786</v>
          </cell>
          <cell r="AT183">
            <v>28.36</v>
          </cell>
          <cell r="AU183">
            <v>0.21527777777777779</v>
          </cell>
          <cell r="AV183">
            <v>42786</v>
          </cell>
          <cell r="AW183">
            <v>0.27777777777777779</v>
          </cell>
          <cell r="AX183">
            <v>42786</v>
          </cell>
          <cell r="AY183">
            <v>6.3</v>
          </cell>
          <cell r="AZ183">
            <v>32</v>
          </cell>
        </row>
        <row r="184">
          <cell r="B184" t="str">
            <v>A114</v>
          </cell>
          <cell r="C184">
            <v>0.3125</v>
          </cell>
          <cell r="D184">
            <v>0.375</v>
          </cell>
          <cell r="E184">
            <v>42785</v>
          </cell>
          <cell r="F184">
            <v>0.38541666666666669</v>
          </cell>
          <cell r="G184">
            <v>0.39583333333333331</v>
          </cell>
          <cell r="H184">
            <v>42785</v>
          </cell>
          <cell r="I184">
            <v>-2.5000000000000001E-2</v>
          </cell>
          <cell r="J184">
            <v>8.0000000000000002E-3</v>
          </cell>
          <cell r="K184">
            <v>-7.0000000000000007E-2</v>
          </cell>
          <cell r="L184">
            <v>-0.52800000000000002</v>
          </cell>
          <cell r="M184">
            <v>0.39930555555555558</v>
          </cell>
          <cell r="N184">
            <v>0.40972222222222227</v>
          </cell>
          <cell r="O184">
            <v>42785</v>
          </cell>
          <cell r="P184">
            <v>1.06</v>
          </cell>
          <cell r="Q184">
            <v>9</v>
          </cell>
          <cell r="R184">
            <v>26</v>
          </cell>
          <cell r="S184">
            <v>0</v>
          </cell>
          <cell r="T184">
            <v>0.4513888888888889</v>
          </cell>
          <cell r="U184">
            <v>42785</v>
          </cell>
          <cell r="V184">
            <v>20.43</v>
          </cell>
          <cell r="W184">
            <v>0.97916666666666663</v>
          </cell>
          <cell r="X184">
            <v>42785</v>
          </cell>
          <cell r="Y184">
            <v>44.95</v>
          </cell>
          <cell r="Z184">
            <v>2.0833333333333332E-2</v>
          </cell>
          <cell r="AA184">
            <v>6.9444444444444434E-2</v>
          </cell>
          <cell r="AB184">
            <v>42786</v>
          </cell>
          <cell r="AC184">
            <v>44.95</v>
          </cell>
          <cell r="AD184">
            <v>7.9861111111111105E-2</v>
          </cell>
          <cell r="AE184">
            <v>9.0277777777777776E-2</v>
          </cell>
          <cell r="AF184">
            <v>42786</v>
          </cell>
          <cell r="AG184">
            <v>9.7222222222222224E-2</v>
          </cell>
          <cell r="AH184">
            <v>0.1423611111111111</v>
          </cell>
          <cell r="AI184">
            <v>42786</v>
          </cell>
          <cell r="AJ184">
            <v>0.37847222222222227</v>
          </cell>
          <cell r="AK184">
            <v>0.38541666666666669</v>
          </cell>
          <cell r="AL184">
            <v>42786</v>
          </cell>
          <cell r="AM184">
            <v>1.05</v>
          </cell>
          <cell r="AN184">
            <v>9</v>
          </cell>
          <cell r="AO184">
            <v>23</v>
          </cell>
          <cell r="AP184">
            <v>0</v>
          </cell>
          <cell r="AQ184">
            <v>0.3888888888888889</v>
          </cell>
          <cell r="AR184">
            <v>0.39583333333333331</v>
          </cell>
          <cell r="AS184">
            <v>42786</v>
          </cell>
          <cell r="AT184">
            <v>44.95</v>
          </cell>
          <cell r="AU184">
            <v>0.39930555555555558</v>
          </cell>
          <cell r="AV184">
            <v>42786</v>
          </cell>
          <cell r="AW184">
            <v>0.48958333333333331</v>
          </cell>
          <cell r="AX184">
            <v>42786</v>
          </cell>
          <cell r="AY184">
            <v>6.5</v>
          </cell>
          <cell r="AZ184">
            <v>53.5</v>
          </cell>
        </row>
        <row r="185">
          <cell r="B185" t="str">
            <v>B15</v>
          </cell>
          <cell r="C185">
            <v>0.79166666666666663</v>
          </cell>
          <cell r="D185">
            <v>0.85416666666666663</v>
          </cell>
          <cell r="E185">
            <v>42785</v>
          </cell>
          <cell r="F185">
            <v>0.93055555555555547</v>
          </cell>
          <cell r="G185">
            <v>0.94097222222222221</v>
          </cell>
          <cell r="H185">
            <v>42785</v>
          </cell>
          <cell r="I185">
            <v>1.7999999999999999E-2</v>
          </cell>
          <cell r="J185">
            <v>-1.4E-2</v>
          </cell>
          <cell r="K185">
            <v>-0.79600000000000004</v>
          </cell>
          <cell r="L185">
            <v>-0.95599999999999996</v>
          </cell>
          <cell r="M185">
            <v>0.94444444444444453</v>
          </cell>
          <cell r="N185">
            <v>0.95138888888888884</v>
          </cell>
          <cell r="O185">
            <v>42785</v>
          </cell>
          <cell r="P185">
            <v>1.06</v>
          </cell>
          <cell r="Q185">
            <v>9</v>
          </cell>
          <cell r="R185">
            <v>26</v>
          </cell>
          <cell r="S185">
            <v>0</v>
          </cell>
          <cell r="T185">
            <v>0.39930555555555558</v>
          </cell>
          <cell r="U185">
            <v>42786</v>
          </cell>
          <cell r="V185">
            <v>21.54</v>
          </cell>
          <cell r="W185">
            <v>0.52083333333333337</v>
          </cell>
          <cell r="X185">
            <v>42786</v>
          </cell>
          <cell r="Y185">
            <v>28.24</v>
          </cell>
          <cell r="Z185">
            <v>0.5625</v>
          </cell>
          <cell r="AA185">
            <v>0.88541666666666663</v>
          </cell>
          <cell r="AB185">
            <v>42786</v>
          </cell>
          <cell r="AC185">
            <v>28.31</v>
          </cell>
          <cell r="AD185">
            <v>0.59722222222222221</v>
          </cell>
          <cell r="AE185">
            <v>0.61111111111111105</v>
          </cell>
          <cell r="AF185">
            <v>42786</v>
          </cell>
          <cell r="AG185">
            <v>0.61805555555555558</v>
          </cell>
          <cell r="AH185">
            <v>0.67361111111111116</v>
          </cell>
          <cell r="AI185">
            <v>42786</v>
          </cell>
          <cell r="AJ185">
            <v>0.70833333333333337</v>
          </cell>
          <cell r="AK185">
            <v>0.71527777777777779</v>
          </cell>
          <cell r="AL185">
            <v>42786</v>
          </cell>
          <cell r="AM185">
            <v>1.06</v>
          </cell>
          <cell r="AN185">
            <v>9</v>
          </cell>
          <cell r="AO185">
            <v>26</v>
          </cell>
          <cell r="AP185">
            <v>0</v>
          </cell>
          <cell r="AQ185">
            <v>0.71875</v>
          </cell>
          <cell r="AR185">
            <v>0.72222222222222221</v>
          </cell>
          <cell r="AS185">
            <v>42786</v>
          </cell>
          <cell r="AT185">
            <v>28.31</v>
          </cell>
          <cell r="AU185">
            <v>0.72916666666666663</v>
          </cell>
          <cell r="AV185">
            <v>42786</v>
          </cell>
          <cell r="AW185">
            <v>0.77083333333333337</v>
          </cell>
          <cell r="AX185">
            <v>42786</v>
          </cell>
          <cell r="AY185">
            <v>4</v>
          </cell>
          <cell r="AZ185">
            <v>15</v>
          </cell>
        </row>
        <row r="186">
          <cell r="B186" t="str">
            <v>B7</v>
          </cell>
          <cell r="C186">
            <v>0.86111111111111116</v>
          </cell>
          <cell r="D186">
            <v>0.91666666666666663</v>
          </cell>
          <cell r="E186">
            <v>42785</v>
          </cell>
          <cell r="F186">
            <v>0.94444444444444453</v>
          </cell>
          <cell r="G186">
            <v>0.95138888888888884</v>
          </cell>
          <cell r="H186">
            <v>42785</v>
          </cell>
          <cell r="I186">
            <v>8.0000000000000002E-3</v>
          </cell>
          <cell r="J186">
            <v>-1.4E-2</v>
          </cell>
          <cell r="K186">
            <v>-0.67800000000000005</v>
          </cell>
          <cell r="L186">
            <v>-0.98899999999999999</v>
          </cell>
          <cell r="M186">
            <v>0.95486111111111116</v>
          </cell>
          <cell r="N186">
            <v>0.96180555555555547</v>
          </cell>
          <cell r="O186">
            <v>42785</v>
          </cell>
          <cell r="P186">
            <v>1.06</v>
          </cell>
          <cell r="Q186">
            <v>9</v>
          </cell>
          <cell r="R186">
            <v>25</v>
          </cell>
          <cell r="S186">
            <v>0</v>
          </cell>
          <cell r="T186">
            <v>0.67361111111111116</v>
          </cell>
          <cell r="U186">
            <v>42786</v>
          </cell>
          <cell r="V186">
            <v>19.239999999999998</v>
          </cell>
          <cell r="W186">
            <v>0.79166666666666663</v>
          </cell>
          <cell r="X186">
            <v>42786</v>
          </cell>
          <cell r="Y186">
            <v>26.45</v>
          </cell>
          <cell r="Z186">
            <v>0.8125</v>
          </cell>
          <cell r="AA186">
            <v>0.83333333333333337</v>
          </cell>
          <cell r="AB186">
            <v>42786</v>
          </cell>
          <cell r="AC186">
            <v>26.45</v>
          </cell>
          <cell r="AD186">
            <v>0.84375</v>
          </cell>
          <cell r="AE186">
            <v>0.85416666666666663</v>
          </cell>
          <cell r="AF186">
            <v>42786</v>
          </cell>
          <cell r="AG186">
            <v>0.86805555555555547</v>
          </cell>
          <cell r="AH186">
            <v>0.91319444444444453</v>
          </cell>
          <cell r="AI186">
            <v>42786</v>
          </cell>
          <cell r="AJ186">
            <v>0.96875</v>
          </cell>
          <cell r="AK186">
            <v>0.97569444444444453</v>
          </cell>
          <cell r="AL186">
            <v>42786</v>
          </cell>
          <cell r="AM186">
            <v>1.06</v>
          </cell>
          <cell r="AN186">
            <v>9</v>
          </cell>
          <cell r="AO186">
            <v>23</v>
          </cell>
          <cell r="AP186">
            <v>0</v>
          </cell>
          <cell r="AQ186">
            <v>0.97916666666666663</v>
          </cell>
          <cell r="AR186">
            <v>0.98263888888888884</v>
          </cell>
          <cell r="AS186">
            <v>42786</v>
          </cell>
          <cell r="AT186">
            <v>26.45</v>
          </cell>
          <cell r="AU186">
            <v>0.98611111111111116</v>
          </cell>
          <cell r="AV186">
            <v>42786</v>
          </cell>
          <cell r="AW186">
            <v>0.99652777777777779</v>
          </cell>
          <cell r="AX186">
            <v>42786</v>
          </cell>
          <cell r="AY186">
            <v>6.3</v>
          </cell>
          <cell r="AZ186">
            <v>13</v>
          </cell>
        </row>
        <row r="187">
          <cell r="E187">
            <v>42780</v>
          </cell>
          <cell r="H187">
            <v>42780</v>
          </cell>
          <cell r="O187">
            <v>42780</v>
          </cell>
          <cell r="U187">
            <v>42780</v>
          </cell>
          <cell r="X187">
            <v>42781</v>
          </cell>
          <cell r="AB187">
            <v>42781</v>
          </cell>
          <cell r="AF187">
            <v>42781</v>
          </cell>
          <cell r="AI187">
            <v>42781</v>
          </cell>
          <cell r="AL187">
            <v>42781</v>
          </cell>
          <cell r="AS187">
            <v>42782</v>
          </cell>
          <cell r="AV187">
            <v>42782</v>
          </cell>
          <cell r="AX187">
            <v>42782</v>
          </cell>
        </row>
        <row r="188">
          <cell r="E188">
            <v>42781</v>
          </cell>
          <cell r="H188">
            <v>42781</v>
          </cell>
          <cell r="O188">
            <v>42781</v>
          </cell>
          <cell r="U188">
            <v>42781</v>
          </cell>
          <cell r="X188">
            <v>42782</v>
          </cell>
          <cell r="AB188">
            <v>42782</v>
          </cell>
          <cell r="AF188">
            <v>42782</v>
          </cell>
          <cell r="AI188">
            <v>42782</v>
          </cell>
          <cell r="AL188">
            <v>42782</v>
          </cell>
          <cell r="AS188">
            <v>42783</v>
          </cell>
          <cell r="AV188">
            <v>42783</v>
          </cell>
          <cell r="AX188">
            <v>42783</v>
          </cell>
        </row>
        <row r="189">
          <cell r="E189">
            <v>42782</v>
          </cell>
          <cell r="H189">
            <v>42782</v>
          </cell>
          <cell r="O189">
            <v>42782</v>
          </cell>
          <cell r="U189">
            <v>42782</v>
          </cell>
          <cell r="X189">
            <v>42783</v>
          </cell>
          <cell r="AB189">
            <v>42783</v>
          </cell>
          <cell r="AF189">
            <v>42783</v>
          </cell>
          <cell r="AI189">
            <v>42783</v>
          </cell>
          <cell r="AL189">
            <v>42783</v>
          </cell>
          <cell r="AS189">
            <v>42784</v>
          </cell>
          <cell r="AV189">
            <v>42784</v>
          </cell>
          <cell r="AX189">
            <v>42784</v>
          </cell>
        </row>
        <row r="190">
          <cell r="E190">
            <v>42783</v>
          </cell>
          <cell r="H190">
            <v>42783</v>
          </cell>
          <cell r="O190">
            <v>42783</v>
          </cell>
          <cell r="U190">
            <v>42783</v>
          </cell>
          <cell r="X190">
            <v>42784</v>
          </cell>
          <cell r="AB190">
            <v>42784</v>
          </cell>
          <cell r="AF190">
            <v>42784</v>
          </cell>
          <cell r="AI190">
            <v>42784</v>
          </cell>
          <cell r="AL190">
            <v>42784</v>
          </cell>
          <cell r="AS190">
            <v>42785</v>
          </cell>
          <cell r="AV190">
            <v>42785</v>
          </cell>
          <cell r="AX190">
            <v>42785</v>
          </cell>
        </row>
        <row r="191">
          <cell r="E191">
            <v>42784</v>
          </cell>
          <cell r="H191">
            <v>42784</v>
          </cell>
          <cell r="O191">
            <v>42784</v>
          </cell>
          <cell r="U191">
            <v>42784</v>
          </cell>
          <cell r="X191">
            <v>42785</v>
          </cell>
          <cell r="AB191">
            <v>42785</v>
          </cell>
          <cell r="AF191">
            <v>42785</v>
          </cell>
          <cell r="AI191">
            <v>42785</v>
          </cell>
          <cell r="AL191">
            <v>42785</v>
          </cell>
          <cell r="AS191">
            <v>42786</v>
          </cell>
          <cell r="AV191">
            <v>42786</v>
          </cell>
          <cell r="AX191">
            <v>42786</v>
          </cell>
        </row>
        <row r="192">
          <cell r="E192">
            <v>42785</v>
          </cell>
          <cell r="H192">
            <v>42785</v>
          </cell>
          <cell r="O192">
            <v>42785</v>
          </cell>
          <cell r="U192">
            <v>42785</v>
          </cell>
          <cell r="X192">
            <v>42786</v>
          </cell>
          <cell r="AB192">
            <v>42786</v>
          </cell>
          <cell r="AF192">
            <v>42786</v>
          </cell>
          <cell r="AI192">
            <v>42786</v>
          </cell>
          <cell r="AL192">
            <v>42786</v>
          </cell>
          <cell r="AS192">
            <v>42787</v>
          </cell>
          <cell r="AV192">
            <v>42787</v>
          </cell>
          <cell r="AX192">
            <v>42787</v>
          </cell>
        </row>
        <row r="193">
          <cell r="E193">
            <v>42786</v>
          </cell>
          <cell r="H193">
            <v>42786</v>
          </cell>
          <cell r="O193">
            <v>42786</v>
          </cell>
          <cell r="U193">
            <v>42786</v>
          </cell>
          <cell r="X193">
            <v>42787</v>
          </cell>
          <cell r="AB193">
            <v>42787</v>
          </cell>
          <cell r="AF193">
            <v>42787</v>
          </cell>
          <cell r="AI193">
            <v>42787</v>
          </cell>
          <cell r="AL193">
            <v>42787</v>
          </cell>
          <cell r="AS193">
            <v>42788</v>
          </cell>
          <cell r="AV193">
            <v>42788</v>
          </cell>
          <cell r="AX193">
            <v>42788</v>
          </cell>
        </row>
        <row r="194">
          <cell r="E194">
            <v>42787</v>
          </cell>
          <cell r="H194">
            <v>42787</v>
          </cell>
          <cell r="O194">
            <v>42787</v>
          </cell>
          <cell r="U194">
            <v>42787</v>
          </cell>
          <cell r="X194">
            <v>42788</v>
          </cell>
          <cell r="AB194">
            <v>42788</v>
          </cell>
          <cell r="AF194">
            <v>42788</v>
          </cell>
          <cell r="AI194">
            <v>42788</v>
          </cell>
          <cell r="AL194">
            <v>42788</v>
          </cell>
          <cell r="AS194">
            <v>42789</v>
          </cell>
          <cell r="AV194">
            <v>42789</v>
          </cell>
          <cell r="AX194">
            <v>42789</v>
          </cell>
        </row>
        <row r="195">
          <cell r="E195">
            <v>42788</v>
          </cell>
          <cell r="H195">
            <v>42788</v>
          </cell>
          <cell r="O195">
            <v>42788</v>
          </cell>
          <cell r="U195">
            <v>42788</v>
          </cell>
          <cell r="X195">
            <v>42789</v>
          </cell>
          <cell r="AB195">
            <v>42789</v>
          </cell>
          <cell r="AF195">
            <v>42789</v>
          </cell>
          <cell r="AI195">
            <v>42789</v>
          </cell>
          <cell r="AL195">
            <v>42789</v>
          </cell>
          <cell r="AS195">
            <v>42790</v>
          </cell>
          <cell r="AV195">
            <v>42790</v>
          </cell>
          <cell r="AX195">
            <v>42790</v>
          </cell>
        </row>
        <row r="196">
          <cell r="E196">
            <v>42789</v>
          </cell>
          <cell r="H196">
            <v>42789</v>
          </cell>
          <cell r="O196">
            <v>42789</v>
          </cell>
          <cell r="U196">
            <v>42789</v>
          </cell>
          <cell r="X196">
            <v>42790</v>
          </cell>
          <cell r="AB196">
            <v>42790</v>
          </cell>
          <cell r="AF196">
            <v>42790</v>
          </cell>
          <cell r="AI196">
            <v>42790</v>
          </cell>
          <cell r="AL196">
            <v>42790</v>
          </cell>
          <cell r="AS196">
            <v>42791</v>
          </cell>
          <cell r="AV196">
            <v>42791</v>
          </cell>
          <cell r="AX196">
            <v>42791</v>
          </cell>
        </row>
        <row r="197">
          <cell r="E197">
            <v>42790</v>
          </cell>
          <cell r="H197">
            <v>42790</v>
          </cell>
          <cell r="O197">
            <v>42790</v>
          </cell>
          <cell r="U197">
            <v>42790</v>
          </cell>
          <cell r="X197">
            <v>42791</v>
          </cell>
          <cell r="AB197">
            <v>42791</v>
          </cell>
          <cell r="AF197">
            <v>42791</v>
          </cell>
          <cell r="AI197">
            <v>42791</v>
          </cell>
          <cell r="AL197">
            <v>42791</v>
          </cell>
          <cell r="AS197">
            <v>42792</v>
          </cell>
          <cell r="AV197">
            <v>42792</v>
          </cell>
          <cell r="AX197">
            <v>42792</v>
          </cell>
        </row>
        <row r="198">
          <cell r="E198">
            <v>42791</v>
          </cell>
          <cell r="H198">
            <v>42791</v>
          </cell>
          <cell r="O198">
            <v>42791</v>
          </cell>
          <cell r="U198">
            <v>42791</v>
          </cell>
          <cell r="X198">
            <v>42792</v>
          </cell>
          <cell r="AB198">
            <v>42792</v>
          </cell>
          <cell r="AF198">
            <v>42792</v>
          </cell>
          <cell r="AI198">
            <v>42792</v>
          </cell>
          <cell r="AL198">
            <v>42792</v>
          </cell>
          <cell r="AS198">
            <v>42793</v>
          </cell>
          <cell r="AV198">
            <v>42793</v>
          </cell>
          <cell r="AX198">
            <v>42793</v>
          </cell>
        </row>
        <row r="199">
          <cell r="E199">
            <v>42792</v>
          </cell>
          <cell r="H199">
            <v>42792</v>
          </cell>
          <cell r="O199">
            <v>42792</v>
          </cell>
          <cell r="U199">
            <v>42792</v>
          </cell>
          <cell r="X199">
            <v>42793</v>
          </cell>
          <cell r="AB199">
            <v>42793</v>
          </cell>
          <cell r="AF199">
            <v>42793</v>
          </cell>
          <cell r="AI199">
            <v>42793</v>
          </cell>
          <cell r="AL199">
            <v>42793</v>
          </cell>
          <cell r="AS199">
            <v>42794</v>
          </cell>
          <cell r="AV199">
            <v>42794</v>
          </cell>
          <cell r="AX199">
            <v>42794</v>
          </cell>
        </row>
        <row r="200">
          <cell r="E200">
            <v>42793</v>
          </cell>
          <cell r="H200">
            <v>42793</v>
          </cell>
          <cell r="O200">
            <v>42793</v>
          </cell>
          <cell r="U200">
            <v>42793</v>
          </cell>
          <cell r="X200">
            <v>42794</v>
          </cell>
          <cell r="AB200">
            <v>42794</v>
          </cell>
          <cell r="AF200">
            <v>42794</v>
          </cell>
          <cell r="AI200">
            <v>42794</v>
          </cell>
          <cell r="AL200">
            <v>42794</v>
          </cell>
          <cell r="AS200">
            <v>42795</v>
          </cell>
          <cell r="AV200">
            <v>42795</v>
          </cell>
          <cell r="AX200">
            <v>42795</v>
          </cell>
        </row>
        <row r="201">
          <cell r="E201">
            <v>42794</v>
          </cell>
          <cell r="H201">
            <v>42794</v>
          </cell>
          <cell r="O201">
            <v>42794</v>
          </cell>
          <cell r="U201">
            <v>42794</v>
          </cell>
          <cell r="X201">
            <v>42795</v>
          </cell>
          <cell r="AB201">
            <v>42795</v>
          </cell>
          <cell r="AF201">
            <v>42795</v>
          </cell>
          <cell r="AI201">
            <v>42795</v>
          </cell>
          <cell r="AL201">
            <v>42795</v>
          </cell>
          <cell r="AS201">
            <v>42796</v>
          </cell>
          <cell r="AV201">
            <v>42796</v>
          </cell>
          <cell r="AX201">
            <v>42796</v>
          </cell>
        </row>
        <row r="202">
          <cell r="E202">
            <v>42795</v>
          </cell>
          <cell r="H202">
            <v>42795</v>
          </cell>
          <cell r="O202">
            <v>42795</v>
          </cell>
          <cell r="U202">
            <v>42795</v>
          </cell>
          <cell r="X202">
            <v>42796</v>
          </cell>
          <cell r="AB202">
            <v>42796</v>
          </cell>
          <cell r="AF202">
            <v>42796</v>
          </cell>
          <cell r="AI202">
            <v>42796</v>
          </cell>
          <cell r="AL202">
            <v>42796</v>
          </cell>
          <cell r="AS202">
            <v>42797</v>
          </cell>
          <cell r="AV202">
            <v>42797</v>
          </cell>
          <cell r="AX202">
            <v>42797</v>
          </cell>
        </row>
        <row r="203">
          <cell r="E203">
            <v>42796</v>
          </cell>
          <cell r="H203">
            <v>42796</v>
          </cell>
          <cell r="O203">
            <v>42796</v>
          </cell>
          <cell r="U203">
            <v>42796</v>
          </cell>
          <cell r="X203">
            <v>42797</v>
          </cell>
          <cell r="AB203">
            <v>42797</v>
          </cell>
          <cell r="AF203">
            <v>42797</v>
          </cell>
          <cell r="AI203">
            <v>42797</v>
          </cell>
          <cell r="AL203">
            <v>42797</v>
          </cell>
          <cell r="AS203">
            <v>42798</v>
          </cell>
          <cell r="AV203">
            <v>42798</v>
          </cell>
          <cell r="AX203">
            <v>42798</v>
          </cell>
        </row>
        <row r="204">
          <cell r="E204">
            <v>42797</v>
          </cell>
          <cell r="H204">
            <v>42797</v>
          </cell>
          <cell r="O204">
            <v>42797</v>
          </cell>
          <cell r="U204">
            <v>42797</v>
          </cell>
          <cell r="X204">
            <v>42798</v>
          </cell>
          <cell r="AB204">
            <v>42798</v>
          </cell>
          <cell r="AF204">
            <v>42798</v>
          </cell>
          <cell r="AI204">
            <v>42798</v>
          </cell>
          <cell r="AL204">
            <v>42798</v>
          </cell>
          <cell r="AS204">
            <v>42799</v>
          </cell>
          <cell r="AV204">
            <v>42799</v>
          </cell>
          <cell r="AX204">
            <v>42799</v>
          </cell>
        </row>
        <row r="205">
          <cell r="E205">
            <v>42798</v>
          </cell>
          <cell r="H205">
            <v>42798</v>
          </cell>
          <cell r="O205">
            <v>42798</v>
          </cell>
          <cell r="U205">
            <v>42798</v>
          </cell>
          <cell r="X205">
            <v>42799</v>
          </cell>
          <cell r="AB205">
            <v>42799</v>
          </cell>
          <cell r="AF205">
            <v>42799</v>
          </cell>
          <cell r="AI205">
            <v>42799</v>
          </cell>
          <cell r="AL205">
            <v>42799</v>
          </cell>
          <cell r="AS205">
            <v>42800</v>
          </cell>
          <cell r="AV205">
            <v>42800</v>
          </cell>
          <cell r="AX205">
            <v>42800</v>
          </cell>
        </row>
        <row r="206">
          <cell r="E206">
            <v>42799</v>
          </cell>
          <cell r="H206">
            <v>42799</v>
          </cell>
          <cell r="O206">
            <v>42799</v>
          </cell>
          <cell r="U206">
            <v>42799</v>
          </cell>
          <cell r="X206">
            <v>42800</v>
          </cell>
          <cell r="AB206">
            <v>42800</v>
          </cell>
          <cell r="AF206">
            <v>42800</v>
          </cell>
          <cell r="AI206">
            <v>42800</v>
          </cell>
          <cell r="AL206">
            <v>42800</v>
          </cell>
          <cell r="AS206">
            <v>42801</v>
          </cell>
          <cell r="AV206">
            <v>42801</v>
          </cell>
          <cell r="AX206">
            <v>42801</v>
          </cell>
        </row>
        <row r="207">
          <cell r="E207">
            <v>42800</v>
          </cell>
          <cell r="H207">
            <v>42800</v>
          </cell>
          <cell r="O207">
            <v>42800</v>
          </cell>
          <cell r="U207">
            <v>42800</v>
          </cell>
          <cell r="X207">
            <v>42801</v>
          </cell>
          <cell r="AB207">
            <v>42801</v>
          </cell>
          <cell r="AF207">
            <v>42801</v>
          </cell>
          <cell r="AI207">
            <v>42801</v>
          </cell>
          <cell r="AL207">
            <v>42801</v>
          </cell>
          <cell r="AS207">
            <v>42802</v>
          </cell>
          <cell r="AV207">
            <v>42802</v>
          </cell>
          <cell r="AX207">
            <v>42802</v>
          </cell>
        </row>
        <row r="208">
          <cell r="E208">
            <v>42801</v>
          </cell>
          <cell r="H208">
            <v>42801</v>
          </cell>
          <cell r="O208">
            <v>42801</v>
          </cell>
          <cell r="U208">
            <v>42801</v>
          </cell>
          <cell r="X208">
            <v>42802</v>
          </cell>
          <cell r="AB208">
            <v>42802</v>
          </cell>
          <cell r="AF208">
            <v>42802</v>
          </cell>
          <cell r="AI208">
            <v>42802</v>
          </cell>
          <cell r="AL208">
            <v>42802</v>
          </cell>
          <cell r="AS208">
            <v>42803</v>
          </cell>
          <cell r="AV208">
            <v>42803</v>
          </cell>
          <cell r="AX208">
            <v>42803</v>
          </cell>
        </row>
        <row r="209">
          <cell r="E209">
            <v>42802</v>
          </cell>
          <cell r="H209">
            <v>42802</v>
          </cell>
          <cell r="O209">
            <v>42802</v>
          </cell>
          <cell r="U209">
            <v>42802</v>
          </cell>
          <cell r="X209">
            <v>42803</v>
          </cell>
          <cell r="AB209">
            <v>42803</v>
          </cell>
          <cell r="AF209">
            <v>42803</v>
          </cell>
          <cell r="AI209">
            <v>42803</v>
          </cell>
          <cell r="AL209">
            <v>42803</v>
          </cell>
          <cell r="AS209">
            <v>42804</v>
          </cell>
          <cell r="AV209">
            <v>42804</v>
          </cell>
          <cell r="AX209">
            <v>42804</v>
          </cell>
        </row>
        <row r="210">
          <cell r="E210">
            <v>42803</v>
          </cell>
          <cell r="H210">
            <v>42803</v>
          </cell>
          <cell r="O210">
            <v>42803</v>
          </cell>
          <cell r="U210">
            <v>42803</v>
          </cell>
          <cell r="X210">
            <v>42804</v>
          </cell>
          <cell r="AB210">
            <v>42804</v>
          </cell>
          <cell r="AF210">
            <v>42804</v>
          </cell>
          <cell r="AI210">
            <v>42804</v>
          </cell>
          <cell r="AL210">
            <v>42804</v>
          </cell>
          <cell r="AS210">
            <v>42805</v>
          </cell>
          <cell r="AV210">
            <v>42805</v>
          </cell>
          <cell r="AX210">
            <v>42805</v>
          </cell>
        </row>
        <row r="211">
          <cell r="E211">
            <v>42804</v>
          </cell>
          <cell r="H211">
            <v>42804</v>
          </cell>
          <cell r="O211">
            <v>42804</v>
          </cell>
          <cell r="U211">
            <v>42804</v>
          </cell>
          <cell r="X211">
            <v>42805</v>
          </cell>
          <cell r="AB211">
            <v>42805</v>
          </cell>
          <cell r="AF211">
            <v>42805</v>
          </cell>
          <cell r="AI211">
            <v>42805</v>
          </cell>
          <cell r="AL211">
            <v>42805</v>
          </cell>
          <cell r="AS211">
            <v>42806</v>
          </cell>
          <cell r="AV211">
            <v>42806</v>
          </cell>
          <cell r="AX211">
            <v>42806</v>
          </cell>
        </row>
        <row r="212">
          <cell r="E212">
            <v>42805</v>
          </cell>
          <cell r="H212">
            <v>42805</v>
          </cell>
          <cell r="O212">
            <v>42805</v>
          </cell>
          <cell r="U212">
            <v>42805</v>
          </cell>
          <cell r="X212">
            <v>42806</v>
          </cell>
          <cell r="AB212">
            <v>42806</v>
          </cell>
          <cell r="AF212">
            <v>42806</v>
          </cell>
          <cell r="AI212">
            <v>42806</v>
          </cell>
          <cell r="AL212">
            <v>42806</v>
          </cell>
          <cell r="AS212">
            <v>42807</v>
          </cell>
          <cell r="AV212">
            <v>42807</v>
          </cell>
          <cell r="AX212">
            <v>42807</v>
          </cell>
        </row>
        <row r="213">
          <cell r="E213">
            <v>42806</v>
          </cell>
          <cell r="H213">
            <v>42806</v>
          </cell>
          <cell r="O213">
            <v>42806</v>
          </cell>
          <cell r="U213">
            <v>42806</v>
          </cell>
          <cell r="X213">
            <v>42807</v>
          </cell>
          <cell r="AB213">
            <v>42807</v>
          </cell>
          <cell r="AF213">
            <v>42807</v>
          </cell>
          <cell r="AI213">
            <v>42807</v>
          </cell>
          <cell r="AL213">
            <v>42807</v>
          </cell>
          <cell r="AS213">
            <v>42808</v>
          </cell>
          <cell r="AV213">
            <v>42808</v>
          </cell>
          <cell r="AX213">
            <v>42808</v>
          </cell>
        </row>
        <row r="214">
          <cell r="E214">
            <v>42807</v>
          </cell>
          <cell r="H214">
            <v>42807</v>
          </cell>
          <cell r="O214">
            <v>42807</v>
          </cell>
          <cell r="U214">
            <v>42807</v>
          </cell>
          <cell r="X214">
            <v>42808</v>
          </cell>
          <cell r="AB214">
            <v>42808</v>
          </cell>
          <cell r="AF214">
            <v>42808</v>
          </cell>
          <cell r="AI214">
            <v>42808</v>
          </cell>
          <cell r="AL214">
            <v>42808</v>
          </cell>
          <cell r="AS214">
            <v>42809</v>
          </cell>
          <cell r="AV214">
            <v>42809</v>
          </cell>
          <cell r="AX214">
            <v>42809</v>
          </cell>
        </row>
        <row r="215">
          <cell r="E215">
            <v>42808</v>
          </cell>
          <cell r="H215">
            <v>42808</v>
          </cell>
          <cell r="O215">
            <v>42808</v>
          </cell>
          <cell r="U215">
            <v>42808</v>
          </cell>
          <cell r="X215">
            <v>42809</v>
          </cell>
          <cell r="AB215">
            <v>42809</v>
          </cell>
          <cell r="AF215">
            <v>42809</v>
          </cell>
          <cell r="AI215">
            <v>42809</v>
          </cell>
          <cell r="AL215">
            <v>42809</v>
          </cell>
          <cell r="AS215">
            <v>42810</v>
          </cell>
          <cell r="AV215">
            <v>42810</v>
          </cell>
          <cell r="AX215">
            <v>42810</v>
          </cell>
        </row>
        <row r="216">
          <cell r="E216">
            <v>42809</v>
          </cell>
          <cell r="H216">
            <v>42809</v>
          </cell>
          <cell r="O216">
            <v>42809</v>
          </cell>
          <cell r="U216">
            <v>42809</v>
          </cell>
          <cell r="X216">
            <v>42810</v>
          </cell>
          <cell r="AB216">
            <v>42810</v>
          </cell>
          <cell r="AF216">
            <v>42810</v>
          </cell>
          <cell r="AI216">
            <v>42810</v>
          </cell>
          <cell r="AL216">
            <v>42810</v>
          </cell>
          <cell r="AS216">
            <v>42811</v>
          </cell>
          <cell r="AV216">
            <v>42811</v>
          </cell>
          <cell r="AX216">
            <v>42811</v>
          </cell>
        </row>
        <row r="217">
          <cell r="E217">
            <v>42810</v>
          </cell>
          <cell r="H217">
            <v>42810</v>
          </cell>
          <cell r="O217">
            <v>42810</v>
          </cell>
          <cell r="U217">
            <v>42810</v>
          </cell>
          <cell r="X217">
            <v>42811</v>
          </cell>
          <cell r="AB217">
            <v>42811</v>
          </cell>
          <cell r="AF217">
            <v>42811</v>
          </cell>
          <cell r="AI217">
            <v>42811</v>
          </cell>
          <cell r="AL217">
            <v>42811</v>
          </cell>
          <cell r="AS217">
            <v>42812</v>
          </cell>
          <cell r="AV217">
            <v>42812</v>
          </cell>
          <cell r="AX217">
            <v>42812</v>
          </cell>
        </row>
        <row r="218">
          <cell r="E218">
            <v>42811</v>
          </cell>
          <cell r="H218">
            <v>42811</v>
          </cell>
          <cell r="O218">
            <v>42811</v>
          </cell>
          <cell r="U218">
            <v>42811</v>
          </cell>
          <cell r="X218">
            <v>42812</v>
          </cell>
          <cell r="AB218">
            <v>42812</v>
          </cell>
          <cell r="AF218">
            <v>42812</v>
          </cell>
          <cell r="AI218">
            <v>42812</v>
          </cell>
          <cell r="AL218">
            <v>42812</v>
          </cell>
          <cell r="AS218">
            <v>42813</v>
          </cell>
          <cell r="AV218">
            <v>42813</v>
          </cell>
          <cell r="AX218">
            <v>42813</v>
          </cell>
        </row>
        <row r="219">
          <cell r="E219">
            <v>42812</v>
          </cell>
          <cell r="H219">
            <v>42812</v>
          </cell>
          <cell r="O219">
            <v>42812</v>
          </cell>
          <cell r="U219">
            <v>42812</v>
          </cell>
          <cell r="X219">
            <v>42813</v>
          </cell>
          <cell r="AB219">
            <v>42813</v>
          </cell>
          <cell r="AF219">
            <v>42813</v>
          </cell>
          <cell r="AI219">
            <v>42813</v>
          </cell>
          <cell r="AL219">
            <v>42813</v>
          </cell>
          <cell r="AS219">
            <v>42814</v>
          </cell>
          <cell r="AV219">
            <v>42814</v>
          </cell>
          <cell r="AX219">
            <v>42814</v>
          </cell>
        </row>
        <row r="220">
          <cell r="E220">
            <v>42813</v>
          </cell>
          <cell r="H220">
            <v>42813</v>
          </cell>
          <cell r="O220">
            <v>42813</v>
          </cell>
          <cell r="U220">
            <v>42813</v>
          </cell>
          <cell r="X220">
            <v>42814</v>
          </cell>
          <cell r="AB220">
            <v>42814</v>
          </cell>
          <cell r="AF220">
            <v>42814</v>
          </cell>
          <cell r="AI220">
            <v>42814</v>
          </cell>
          <cell r="AL220">
            <v>42814</v>
          </cell>
          <cell r="AS220">
            <v>42815</v>
          </cell>
          <cell r="AV220">
            <v>42815</v>
          </cell>
          <cell r="AX220">
            <v>42815</v>
          </cell>
        </row>
        <row r="221">
          <cell r="E221">
            <v>42814</v>
          </cell>
          <cell r="H221">
            <v>42814</v>
          </cell>
          <cell r="O221">
            <v>42814</v>
          </cell>
          <cell r="U221">
            <v>42814</v>
          </cell>
          <cell r="X221">
            <v>42815</v>
          </cell>
          <cell r="AB221">
            <v>42815</v>
          </cell>
          <cell r="AF221">
            <v>42815</v>
          </cell>
          <cell r="AI221">
            <v>42815</v>
          </cell>
          <cell r="AL221">
            <v>42815</v>
          </cell>
          <cell r="AS221">
            <v>42816</v>
          </cell>
          <cell r="AV221">
            <v>42816</v>
          </cell>
          <cell r="AX221">
            <v>42816</v>
          </cell>
        </row>
        <row r="222">
          <cell r="E222">
            <v>42815</v>
          </cell>
          <cell r="H222">
            <v>42815</v>
          </cell>
          <cell r="O222">
            <v>42815</v>
          </cell>
          <cell r="U222">
            <v>42815</v>
          </cell>
          <cell r="X222">
            <v>42816</v>
          </cell>
          <cell r="AB222">
            <v>42816</v>
          </cell>
          <cell r="AF222">
            <v>42816</v>
          </cell>
          <cell r="AI222">
            <v>42816</v>
          </cell>
          <cell r="AL222">
            <v>42816</v>
          </cell>
          <cell r="AS222">
            <v>42817</v>
          </cell>
          <cell r="AV222">
            <v>42817</v>
          </cell>
          <cell r="AX222">
            <v>42817</v>
          </cell>
        </row>
        <row r="223">
          <cell r="E223">
            <v>42816</v>
          </cell>
          <cell r="H223">
            <v>42816</v>
          </cell>
          <cell r="O223">
            <v>42816</v>
          </cell>
          <cell r="U223">
            <v>42816</v>
          </cell>
          <cell r="X223">
            <v>42817</v>
          </cell>
          <cell r="AB223">
            <v>42817</v>
          </cell>
          <cell r="AF223">
            <v>42817</v>
          </cell>
          <cell r="AI223">
            <v>42817</v>
          </cell>
          <cell r="AL223">
            <v>42817</v>
          </cell>
          <cell r="AS223">
            <v>42818</v>
          </cell>
          <cell r="AV223">
            <v>42818</v>
          </cell>
          <cell r="AX223">
            <v>42818</v>
          </cell>
        </row>
        <row r="224">
          <cell r="E224">
            <v>42817</v>
          </cell>
          <cell r="H224">
            <v>42817</v>
          </cell>
          <cell r="O224">
            <v>42817</v>
          </cell>
          <cell r="U224">
            <v>42817</v>
          </cell>
          <cell r="X224">
            <v>42818</v>
          </cell>
          <cell r="AB224">
            <v>42818</v>
          </cell>
          <cell r="AF224">
            <v>42818</v>
          </cell>
          <cell r="AI224">
            <v>42818</v>
          </cell>
          <cell r="AL224">
            <v>42818</v>
          </cell>
          <cell r="AS224">
            <v>42819</v>
          </cell>
          <cell r="AV224">
            <v>42819</v>
          </cell>
          <cell r="AX224">
            <v>42819</v>
          </cell>
        </row>
        <row r="225">
          <cell r="E225">
            <v>42818</v>
          </cell>
          <cell r="H225">
            <v>42818</v>
          </cell>
          <cell r="O225">
            <v>42818</v>
          </cell>
          <cell r="U225">
            <v>42818</v>
          </cell>
          <cell r="X225">
            <v>42819</v>
          </cell>
          <cell r="AB225">
            <v>42819</v>
          </cell>
          <cell r="AF225">
            <v>42819</v>
          </cell>
          <cell r="AI225">
            <v>42819</v>
          </cell>
          <cell r="AL225">
            <v>42819</v>
          </cell>
          <cell r="AS225">
            <v>42820</v>
          </cell>
          <cell r="AV225">
            <v>42820</v>
          </cell>
          <cell r="AX225">
            <v>42820</v>
          </cell>
        </row>
        <row r="226">
          <cell r="E226">
            <v>42819</v>
          </cell>
          <cell r="H226">
            <v>42819</v>
          </cell>
          <cell r="O226">
            <v>42819</v>
          </cell>
          <cell r="U226">
            <v>42819</v>
          </cell>
          <cell r="X226">
            <v>42820</v>
          </cell>
          <cell r="AB226">
            <v>42820</v>
          </cell>
          <cell r="AF226">
            <v>42820</v>
          </cell>
          <cell r="AI226">
            <v>42820</v>
          </cell>
          <cell r="AL226">
            <v>42820</v>
          </cell>
          <cell r="AS226">
            <v>42821</v>
          </cell>
          <cell r="AV226">
            <v>42821</v>
          </cell>
          <cell r="AX226">
            <v>42821</v>
          </cell>
        </row>
        <row r="227">
          <cell r="E227">
            <v>42820</v>
          </cell>
          <cell r="H227">
            <v>42820</v>
          </cell>
          <cell r="O227">
            <v>42820</v>
          </cell>
          <cell r="U227">
            <v>42820</v>
          </cell>
          <cell r="X227">
            <v>42821</v>
          </cell>
          <cell r="AB227">
            <v>42821</v>
          </cell>
          <cell r="AF227">
            <v>42821</v>
          </cell>
          <cell r="AI227">
            <v>42821</v>
          </cell>
          <cell r="AL227">
            <v>42821</v>
          </cell>
          <cell r="AS227">
            <v>42822</v>
          </cell>
          <cell r="AV227">
            <v>42822</v>
          </cell>
          <cell r="AX227">
            <v>42822</v>
          </cell>
        </row>
        <row r="228">
          <cell r="E228">
            <v>42821</v>
          </cell>
          <cell r="H228">
            <v>42821</v>
          </cell>
          <cell r="O228">
            <v>42821</v>
          </cell>
          <cell r="U228">
            <v>42821</v>
          </cell>
          <cell r="X228">
            <v>42822</v>
          </cell>
          <cell r="AB228">
            <v>42822</v>
          </cell>
          <cell r="AF228">
            <v>42822</v>
          </cell>
          <cell r="AI228">
            <v>42822</v>
          </cell>
          <cell r="AL228">
            <v>42822</v>
          </cell>
          <cell r="AS228">
            <v>42823</v>
          </cell>
          <cell r="AV228">
            <v>42823</v>
          </cell>
          <cell r="AX228">
            <v>42823</v>
          </cell>
        </row>
        <row r="229">
          <cell r="E229">
            <v>42822</v>
          </cell>
          <cell r="H229">
            <v>42822</v>
          </cell>
          <cell r="O229">
            <v>42822</v>
          </cell>
          <cell r="U229">
            <v>42822</v>
          </cell>
          <cell r="X229">
            <v>42823</v>
          </cell>
          <cell r="AB229">
            <v>42823</v>
          </cell>
          <cell r="AF229">
            <v>42823</v>
          </cell>
          <cell r="AI229">
            <v>42823</v>
          </cell>
          <cell r="AL229">
            <v>42823</v>
          </cell>
          <cell r="AS229">
            <v>42824</v>
          </cell>
          <cell r="AV229">
            <v>42824</v>
          </cell>
          <cell r="AX229">
            <v>42824</v>
          </cell>
        </row>
        <row r="230">
          <cell r="E230">
            <v>42823</v>
          </cell>
          <cell r="H230">
            <v>42823</v>
          </cell>
          <cell r="O230">
            <v>42823</v>
          </cell>
          <cell r="U230">
            <v>42823</v>
          </cell>
          <cell r="X230">
            <v>42824</v>
          </cell>
          <cell r="AB230">
            <v>42824</v>
          </cell>
          <cell r="AF230">
            <v>42824</v>
          </cell>
          <cell r="AI230">
            <v>42824</v>
          </cell>
          <cell r="AL230">
            <v>42824</v>
          </cell>
          <cell r="AS230">
            <v>42825</v>
          </cell>
          <cell r="AV230">
            <v>42825</v>
          </cell>
          <cell r="AX230">
            <v>42825</v>
          </cell>
        </row>
        <row r="231">
          <cell r="E231">
            <v>42824</v>
          </cell>
          <cell r="H231">
            <v>42824</v>
          </cell>
          <cell r="O231">
            <v>42824</v>
          </cell>
          <cell r="U231">
            <v>42824</v>
          </cell>
          <cell r="X231">
            <v>42825</v>
          </cell>
          <cell r="AB231">
            <v>42825</v>
          </cell>
          <cell r="AF231">
            <v>42825</v>
          </cell>
          <cell r="AI231">
            <v>42825</v>
          </cell>
          <cell r="AL231">
            <v>42825</v>
          </cell>
          <cell r="AS231">
            <v>42826</v>
          </cell>
          <cell r="AV231">
            <v>42826</v>
          </cell>
          <cell r="AX231">
            <v>42826</v>
          </cell>
        </row>
        <row r="232">
          <cell r="E232">
            <v>42825</v>
          </cell>
          <cell r="H232">
            <v>42825</v>
          </cell>
          <cell r="O232">
            <v>42825</v>
          </cell>
          <cell r="U232">
            <v>42825</v>
          </cell>
          <cell r="X232">
            <v>42826</v>
          </cell>
          <cell r="AB232">
            <v>42826</v>
          </cell>
          <cell r="AF232">
            <v>42826</v>
          </cell>
          <cell r="AI232">
            <v>42826</v>
          </cell>
          <cell r="AL232">
            <v>42826</v>
          </cell>
          <cell r="AS232">
            <v>42827</v>
          </cell>
          <cell r="AV232">
            <v>42827</v>
          </cell>
          <cell r="AX232">
            <v>42827</v>
          </cell>
        </row>
        <row r="233">
          <cell r="E233">
            <v>42826</v>
          </cell>
          <cell r="H233">
            <v>42826</v>
          </cell>
          <cell r="O233">
            <v>42826</v>
          </cell>
          <cell r="U233">
            <v>42826</v>
          </cell>
          <cell r="X233">
            <v>42827</v>
          </cell>
          <cell r="AB233">
            <v>42827</v>
          </cell>
          <cell r="AF233">
            <v>42827</v>
          </cell>
          <cell r="AI233">
            <v>42827</v>
          </cell>
          <cell r="AL233">
            <v>42827</v>
          </cell>
          <cell r="AS233">
            <v>42828</v>
          </cell>
          <cell r="AV233">
            <v>42828</v>
          </cell>
          <cell r="AX233">
            <v>42828</v>
          </cell>
        </row>
        <row r="234">
          <cell r="E234">
            <v>42827</v>
          </cell>
          <cell r="H234">
            <v>42827</v>
          </cell>
          <cell r="O234">
            <v>42827</v>
          </cell>
          <cell r="U234">
            <v>42827</v>
          </cell>
          <cell r="X234">
            <v>42828</v>
          </cell>
          <cell r="AB234">
            <v>42828</v>
          </cell>
          <cell r="AF234">
            <v>42828</v>
          </cell>
          <cell r="AI234">
            <v>42828</v>
          </cell>
          <cell r="AL234">
            <v>42828</v>
          </cell>
          <cell r="AS234">
            <v>42829</v>
          </cell>
          <cell r="AV234">
            <v>42829</v>
          </cell>
          <cell r="AX234">
            <v>42829</v>
          </cell>
        </row>
        <row r="235">
          <cell r="E235">
            <v>42828</v>
          </cell>
          <cell r="H235">
            <v>42828</v>
          </cell>
          <cell r="O235">
            <v>42828</v>
          </cell>
          <cell r="U235">
            <v>42828</v>
          </cell>
          <cell r="X235">
            <v>42829</v>
          </cell>
          <cell r="AB235">
            <v>42829</v>
          </cell>
          <cell r="AF235">
            <v>42829</v>
          </cell>
          <cell r="AI235">
            <v>42829</v>
          </cell>
          <cell r="AL235">
            <v>42829</v>
          </cell>
          <cell r="AS235">
            <v>42830</v>
          </cell>
          <cell r="AV235">
            <v>42830</v>
          </cell>
          <cell r="AX235">
            <v>42830</v>
          </cell>
        </row>
        <row r="236">
          <cell r="E236">
            <v>42829</v>
          </cell>
          <cell r="H236">
            <v>42829</v>
          </cell>
          <cell r="O236">
            <v>42829</v>
          </cell>
          <cell r="U236">
            <v>42829</v>
          </cell>
          <cell r="X236">
            <v>42830</v>
          </cell>
          <cell r="AB236">
            <v>42830</v>
          </cell>
          <cell r="AF236">
            <v>42830</v>
          </cell>
          <cell r="AI236">
            <v>42830</v>
          </cell>
          <cell r="AL236">
            <v>42830</v>
          </cell>
          <cell r="AS236">
            <v>42831</v>
          </cell>
          <cell r="AV236">
            <v>42831</v>
          </cell>
          <cell r="AX236">
            <v>42831</v>
          </cell>
        </row>
        <row r="237">
          <cell r="E237">
            <v>42830</v>
          </cell>
          <cell r="H237">
            <v>42830</v>
          </cell>
          <cell r="O237">
            <v>42830</v>
          </cell>
          <cell r="U237">
            <v>42830</v>
          </cell>
          <cell r="X237">
            <v>42831</v>
          </cell>
          <cell r="AB237">
            <v>42831</v>
          </cell>
          <cell r="AF237">
            <v>42831</v>
          </cell>
          <cell r="AI237">
            <v>42831</v>
          </cell>
          <cell r="AL237">
            <v>42831</v>
          </cell>
          <cell r="AS237">
            <v>42832</v>
          </cell>
          <cell r="AV237">
            <v>42832</v>
          </cell>
          <cell r="AX237">
            <v>42832</v>
          </cell>
        </row>
        <row r="238">
          <cell r="E238">
            <v>42831</v>
          </cell>
          <cell r="H238">
            <v>42831</v>
          </cell>
          <cell r="O238">
            <v>42831</v>
          </cell>
          <cell r="U238">
            <v>42831</v>
          </cell>
          <cell r="X238">
            <v>42832</v>
          </cell>
          <cell r="AB238">
            <v>42832</v>
          </cell>
          <cell r="AF238">
            <v>42832</v>
          </cell>
          <cell r="AI238">
            <v>42832</v>
          </cell>
          <cell r="AL238">
            <v>42832</v>
          </cell>
          <cell r="AS238">
            <v>42833</v>
          </cell>
          <cell r="AV238">
            <v>42833</v>
          </cell>
          <cell r="AX238">
            <v>42833</v>
          </cell>
        </row>
        <row r="239">
          <cell r="E239">
            <v>42832</v>
          </cell>
          <cell r="H239">
            <v>42832</v>
          </cell>
          <cell r="O239">
            <v>42832</v>
          </cell>
          <cell r="U239">
            <v>42832</v>
          </cell>
          <cell r="X239">
            <v>42833</v>
          </cell>
          <cell r="AB239">
            <v>42833</v>
          </cell>
          <cell r="AF239">
            <v>42833</v>
          </cell>
          <cell r="AI239">
            <v>42833</v>
          </cell>
          <cell r="AL239">
            <v>42833</v>
          </cell>
          <cell r="AS239">
            <v>42834</v>
          </cell>
          <cell r="AV239">
            <v>42834</v>
          </cell>
          <cell r="AX239">
            <v>42834</v>
          </cell>
        </row>
        <row r="240">
          <cell r="E240">
            <v>42833</v>
          </cell>
          <cell r="H240">
            <v>42833</v>
          </cell>
          <cell r="O240">
            <v>42833</v>
          </cell>
          <cell r="U240">
            <v>42833</v>
          </cell>
          <cell r="X240">
            <v>42834</v>
          </cell>
          <cell r="AB240">
            <v>42834</v>
          </cell>
          <cell r="AF240">
            <v>42834</v>
          </cell>
          <cell r="AI240">
            <v>42834</v>
          </cell>
          <cell r="AL240">
            <v>42834</v>
          </cell>
          <cell r="AS240">
            <v>42835</v>
          </cell>
          <cell r="AV240">
            <v>42835</v>
          </cell>
          <cell r="AX240">
            <v>42835</v>
          </cell>
        </row>
        <row r="241">
          <cell r="E241">
            <v>42834</v>
          </cell>
          <cell r="H241">
            <v>42834</v>
          </cell>
          <cell r="O241">
            <v>42834</v>
          </cell>
          <cell r="U241">
            <v>42834</v>
          </cell>
          <cell r="X241">
            <v>42835</v>
          </cell>
          <cell r="AB241">
            <v>42835</v>
          </cell>
          <cell r="AF241">
            <v>42835</v>
          </cell>
          <cell r="AI241">
            <v>42835</v>
          </cell>
          <cell r="AL241">
            <v>42835</v>
          </cell>
          <cell r="AS241">
            <v>42836</v>
          </cell>
          <cell r="AV241">
            <v>42836</v>
          </cell>
          <cell r="AX241">
            <v>42836</v>
          </cell>
        </row>
        <row r="242">
          <cell r="E242">
            <v>42835</v>
          </cell>
          <cell r="H242">
            <v>42835</v>
          </cell>
          <cell r="O242">
            <v>42835</v>
          </cell>
          <cell r="U242">
            <v>42835</v>
          </cell>
          <cell r="X242">
            <v>42836</v>
          </cell>
          <cell r="AB242">
            <v>42836</v>
          </cell>
          <cell r="AF242">
            <v>42836</v>
          </cell>
          <cell r="AI242">
            <v>42836</v>
          </cell>
          <cell r="AL242">
            <v>42836</v>
          </cell>
          <cell r="AS242">
            <v>42837</v>
          </cell>
          <cell r="AV242">
            <v>42837</v>
          </cell>
          <cell r="AX242">
            <v>42837</v>
          </cell>
        </row>
        <row r="243">
          <cell r="E243">
            <v>42836</v>
          </cell>
          <cell r="H243">
            <v>42836</v>
          </cell>
          <cell r="O243">
            <v>42836</v>
          </cell>
          <cell r="U243">
            <v>42836</v>
          </cell>
          <cell r="X243">
            <v>42837</v>
          </cell>
          <cell r="AB243">
            <v>42837</v>
          </cell>
          <cell r="AF243">
            <v>42837</v>
          </cell>
          <cell r="AI243">
            <v>42837</v>
          </cell>
          <cell r="AL243">
            <v>42837</v>
          </cell>
          <cell r="AS243">
            <v>42838</v>
          </cell>
          <cell r="AV243">
            <v>42838</v>
          </cell>
          <cell r="AX243">
            <v>42838</v>
          </cell>
        </row>
        <row r="244">
          <cell r="E244">
            <v>42837</v>
          </cell>
          <cell r="H244">
            <v>42837</v>
          </cell>
          <cell r="O244">
            <v>42837</v>
          </cell>
          <cell r="U244">
            <v>42837</v>
          </cell>
          <cell r="X244">
            <v>42838</v>
          </cell>
          <cell r="AB244">
            <v>42838</v>
          </cell>
          <cell r="AF244">
            <v>42838</v>
          </cell>
          <cell r="AI244">
            <v>42838</v>
          </cell>
          <cell r="AL244">
            <v>42838</v>
          </cell>
          <cell r="AS244">
            <v>42839</v>
          </cell>
          <cell r="AV244">
            <v>42839</v>
          </cell>
          <cell r="AX244">
            <v>42839</v>
          </cell>
        </row>
        <row r="245">
          <cell r="E245">
            <v>42838</v>
          </cell>
          <cell r="H245">
            <v>42838</v>
          </cell>
          <cell r="O245">
            <v>42838</v>
          </cell>
          <cell r="U245">
            <v>42838</v>
          </cell>
          <cell r="X245">
            <v>42839</v>
          </cell>
          <cell r="AB245">
            <v>42839</v>
          </cell>
          <cell r="AF245">
            <v>42839</v>
          </cell>
          <cell r="AI245">
            <v>42839</v>
          </cell>
          <cell r="AL245">
            <v>42839</v>
          </cell>
          <cell r="AS245">
            <v>42840</v>
          </cell>
          <cell r="AV245">
            <v>42840</v>
          </cell>
          <cell r="AX245">
            <v>42840</v>
          </cell>
        </row>
        <row r="246">
          <cell r="E246">
            <v>42839</v>
          </cell>
          <cell r="H246">
            <v>42839</v>
          </cell>
          <cell r="O246">
            <v>42839</v>
          </cell>
          <cell r="U246">
            <v>42839</v>
          </cell>
          <cell r="X246">
            <v>42840</v>
          </cell>
          <cell r="AB246">
            <v>42840</v>
          </cell>
          <cell r="AF246">
            <v>42840</v>
          </cell>
          <cell r="AI246">
            <v>42840</v>
          </cell>
          <cell r="AL246">
            <v>42840</v>
          </cell>
          <cell r="AS246">
            <v>42841</v>
          </cell>
          <cell r="AV246">
            <v>42841</v>
          </cell>
          <cell r="AX246">
            <v>42841</v>
          </cell>
        </row>
        <row r="247">
          <cell r="E247">
            <v>42840</v>
          </cell>
          <cell r="H247">
            <v>42840</v>
          </cell>
          <cell r="O247">
            <v>42840</v>
          </cell>
          <cell r="U247">
            <v>42840</v>
          </cell>
          <cell r="X247">
            <v>42841</v>
          </cell>
          <cell r="AB247">
            <v>42841</v>
          </cell>
          <cell r="AF247">
            <v>42841</v>
          </cell>
          <cell r="AI247">
            <v>42841</v>
          </cell>
          <cell r="AL247">
            <v>42841</v>
          </cell>
          <cell r="AS247">
            <v>42842</v>
          </cell>
          <cell r="AV247">
            <v>42842</v>
          </cell>
          <cell r="AX247">
            <v>42842</v>
          </cell>
        </row>
        <row r="248">
          <cell r="E248">
            <v>42841</v>
          </cell>
          <cell r="H248">
            <v>42841</v>
          </cell>
          <cell r="O248">
            <v>42841</v>
          </cell>
          <cell r="U248">
            <v>42841</v>
          </cell>
          <cell r="X248">
            <v>42842</v>
          </cell>
          <cell r="AB248">
            <v>42842</v>
          </cell>
          <cell r="AF248">
            <v>42842</v>
          </cell>
          <cell r="AI248">
            <v>42842</v>
          </cell>
          <cell r="AL248">
            <v>42842</v>
          </cell>
          <cell r="AS248">
            <v>42843</v>
          </cell>
          <cell r="AV248">
            <v>42843</v>
          </cell>
          <cell r="AX248">
            <v>42843</v>
          </cell>
        </row>
        <row r="249">
          <cell r="E249">
            <v>42842</v>
          </cell>
          <cell r="H249">
            <v>42842</v>
          </cell>
          <cell r="O249">
            <v>42842</v>
          </cell>
          <cell r="U249">
            <v>42842</v>
          </cell>
          <cell r="X249">
            <v>42843</v>
          </cell>
          <cell r="AB249">
            <v>42843</v>
          </cell>
          <cell r="AF249">
            <v>42843</v>
          </cell>
          <cell r="AI249">
            <v>42843</v>
          </cell>
          <cell r="AL249">
            <v>42843</v>
          </cell>
          <cell r="AS249">
            <v>42844</v>
          </cell>
          <cell r="AV249">
            <v>42844</v>
          </cell>
          <cell r="AX249">
            <v>42844</v>
          </cell>
        </row>
        <row r="250">
          <cell r="E250">
            <v>42843</v>
          </cell>
          <cell r="H250">
            <v>42843</v>
          </cell>
          <cell r="O250">
            <v>42843</v>
          </cell>
          <cell r="U250">
            <v>42843</v>
          </cell>
          <cell r="X250">
            <v>42844</v>
          </cell>
          <cell r="AB250">
            <v>42844</v>
          </cell>
          <cell r="AF250">
            <v>42844</v>
          </cell>
          <cell r="AI250">
            <v>42844</v>
          </cell>
          <cell r="AL250">
            <v>42844</v>
          </cell>
          <cell r="AS250">
            <v>42845</v>
          </cell>
          <cell r="AV250">
            <v>42845</v>
          </cell>
          <cell r="AX250">
            <v>42845</v>
          </cell>
        </row>
        <row r="251">
          <cell r="E251">
            <v>42844</v>
          </cell>
          <cell r="H251">
            <v>42844</v>
          </cell>
          <cell r="O251">
            <v>42844</v>
          </cell>
          <cell r="U251">
            <v>42844</v>
          </cell>
          <cell r="X251">
            <v>42845</v>
          </cell>
          <cell r="AB251">
            <v>42845</v>
          </cell>
          <cell r="AF251">
            <v>42845</v>
          </cell>
          <cell r="AI251">
            <v>42845</v>
          </cell>
          <cell r="AL251">
            <v>42845</v>
          </cell>
          <cell r="AS251">
            <v>42846</v>
          </cell>
          <cell r="AV251">
            <v>42846</v>
          </cell>
          <cell r="AX251">
            <v>42846</v>
          </cell>
        </row>
        <row r="252">
          <cell r="E252">
            <v>42845</v>
          </cell>
          <cell r="H252">
            <v>42845</v>
          </cell>
          <cell r="O252">
            <v>42845</v>
          </cell>
          <cell r="U252">
            <v>42845</v>
          </cell>
          <cell r="X252">
            <v>42846</v>
          </cell>
          <cell r="AB252">
            <v>42846</v>
          </cell>
          <cell r="AF252">
            <v>42846</v>
          </cell>
          <cell r="AI252">
            <v>42846</v>
          </cell>
          <cell r="AL252">
            <v>42846</v>
          </cell>
          <cell r="AS252">
            <v>42847</v>
          </cell>
          <cell r="AV252">
            <v>42847</v>
          </cell>
          <cell r="AX252">
            <v>42847</v>
          </cell>
        </row>
        <row r="253">
          <cell r="E253">
            <v>42846</v>
          </cell>
          <cell r="H253">
            <v>42846</v>
          </cell>
          <cell r="O253">
            <v>42846</v>
          </cell>
          <cell r="U253">
            <v>42846</v>
          </cell>
          <cell r="X253">
            <v>42847</v>
          </cell>
          <cell r="AB253">
            <v>42847</v>
          </cell>
          <cell r="AF253">
            <v>42847</v>
          </cell>
          <cell r="AI253">
            <v>42847</v>
          </cell>
          <cell r="AL253">
            <v>42847</v>
          </cell>
          <cell r="AS253">
            <v>42848</v>
          </cell>
          <cell r="AV253">
            <v>42848</v>
          </cell>
          <cell r="AX253">
            <v>42848</v>
          </cell>
        </row>
        <row r="254">
          <cell r="E254">
            <v>42847</v>
          </cell>
          <cell r="H254">
            <v>42847</v>
          </cell>
          <cell r="O254">
            <v>42847</v>
          </cell>
          <cell r="U254">
            <v>42847</v>
          </cell>
          <cell r="X254">
            <v>42848</v>
          </cell>
          <cell r="AB254">
            <v>42848</v>
          </cell>
          <cell r="AF254">
            <v>42848</v>
          </cell>
          <cell r="AI254">
            <v>42848</v>
          </cell>
          <cell r="AL254">
            <v>42848</v>
          </cell>
          <cell r="AS254">
            <v>42849</v>
          </cell>
          <cell r="AV254">
            <v>42849</v>
          </cell>
          <cell r="AX254">
            <v>42849</v>
          </cell>
        </row>
        <row r="255">
          <cell r="E255">
            <v>42848</v>
          </cell>
          <cell r="H255">
            <v>42848</v>
          </cell>
          <cell r="O255">
            <v>42848</v>
          </cell>
          <cell r="U255">
            <v>42848</v>
          </cell>
          <cell r="X255">
            <v>42849</v>
          </cell>
          <cell r="AB255">
            <v>42849</v>
          </cell>
          <cell r="AF255">
            <v>42849</v>
          </cell>
          <cell r="AI255">
            <v>42849</v>
          </cell>
          <cell r="AL255">
            <v>42849</v>
          </cell>
          <cell r="AS255">
            <v>42850</v>
          </cell>
          <cell r="AV255">
            <v>42850</v>
          </cell>
          <cell r="AX255">
            <v>42850</v>
          </cell>
        </row>
        <row r="256">
          <cell r="E256">
            <v>42849</v>
          </cell>
          <cell r="H256">
            <v>42849</v>
          </cell>
          <cell r="O256">
            <v>42849</v>
          </cell>
          <cell r="U256">
            <v>42849</v>
          </cell>
          <cell r="X256">
            <v>42850</v>
          </cell>
          <cell r="AB256">
            <v>42850</v>
          </cell>
          <cell r="AF256">
            <v>42850</v>
          </cell>
          <cell r="AI256">
            <v>42850</v>
          </cell>
          <cell r="AL256">
            <v>42850</v>
          </cell>
          <cell r="AS256">
            <v>42851</v>
          </cell>
          <cell r="AV256">
            <v>42851</v>
          </cell>
          <cell r="AX256">
            <v>42851</v>
          </cell>
        </row>
        <row r="257">
          <cell r="E257">
            <v>42850</v>
          </cell>
          <cell r="H257">
            <v>42850</v>
          </cell>
          <cell r="O257">
            <v>42850</v>
          </cell>
          <cell r="U257">
            <v>42850</v>
          </cell>
          <cell r="X257">
            <v>42851</v>
          </cell>
          <cell r="AB257">
            <v>42851</v>
          </cell>
          <cell r="AF257">
            <v>42851</v>
          </cell>
          <cell r="AI257">
            <v>42851</v>
          </cell>
          <cell r="AL257">
            <v>42851</v>
          </cell>
          <cell r="AS257">
            <v>42852</v>
          </cell>
          <cell r="AV257">
            <v>42852</v>
          </cell>
          <cell r="AX257">
            <v>42852</v>
          </cell>
        </row>
        <row r="258">
          <cell r="E258">
            <v>42851</v>
          </cell>
          <cell r="H258">
            <v>42851</v>
          </cell>
          <cell r="O258">
            <v>42851</v>
          </cell>
          <cell r="U258">
            <v>42851</v>
          </cell>
          <cell r="X258">
            <v>42852</v>
          </cell>
          <cell r="AB258">
            <v>42852</v>
          </cell>
          <cell r="AF258">
            <v>42852</v>
          </cell>
          <cell r="AI258">
            <v>42852</v>
          </cell>
          <cell r="AL258">
            <v>42852</v>
          </cell>
          <cell r="AS258">
            <v>42853</v>
          </cell>
          <cell r="AV258">
            <v>42853</v>
          </cell>
          <cell r="AX258">
            <v>42853</v>
          </cell>
        </row>
        <row r="259">
          <cell r="E259">
            <v>42852</v>
          </cell>
          <cell r="H259">
            <v>42852</v>
          </cell>
          <cell r="O259">
            <v>42852</v>
          </cell>
          <cell r="U259">
            <v>42852</v>
          </cell>
          <cell r="X259">
            <v>42853</v>
          </cell>
          <cell r="AB259">
            <v>42853</v>
          </cell>
          <cell r="AF259">
            <v>42853</v>
          </cell>
          <cell r="AI259">
            <v>42853</v>
          </cell>
          <cell r="AL259">
            <v>42853</v>
          </cell>
          <cell r="AS259">
            <v>42854</v>
          </cell>
          <cell r="AV259">
            <v>42854</v>
          </cell>
          <cell r="AX259">
            <v>42854</v>
          </cell>
        </row>
        <row r="260">
          <cell r="E260">
            <v>42853</v>
          </cell>
          <cell r="H260">
            <v>42853</v>
          </cell>
          <cell r="O260">
            <v>42853</v>
          </cell>
          <cell r="U260">
            <v>42853</v>
          </cell>
          <cell r="X260">
            <v>42854</v>
          </cell>
          <cell r="AB260">
            <v>42854</v>
          </cell>
          <cell r="AF260">
            <v>42854</v>
          </cell>
          <cell r="AI260">
            <v>42854</v>
          </cell>
          <cell r="AL260">
            <v>42854</v>
          </cell>
          <cell r="AS260">
            <v>42855</v>
          </cell>
          <cell r="AV260">
            <v>42855</v>
          </cell>
          <cell r="AX260">
            <v>42855</v>
          </cell>
        </row>
        <row r="261">
          <cell r="E261">
            <v>42854</v>
          </cell>
          <cell r="H261">
            <v>42854</v>
          </cell>
          <cell r="O261">
            <v>42854</v>
          </cell>
          <cell r="U261">
            <v>42854</v>
          </cell>
          <cell r="X261">
            <v>42855</v>
          </cell>
          <cell r="AB261">
            <v>42855</v>
          </cell>
          <cell r="AF261">
            <v>42855</v>
          </cell>
          <cell r="AI261">
            <v>42855</v>
          </cell>
          <cell r="AL261">
            <v>42855</v>
          </cell>
          <cell r="AS261">
            <v>42856</v>
          </cell>
          <cell r="AV261">
            <v>42856</v>
          </cell>
          <cell r="AX261">
            <v>42856</v>
          </cell>
        </row>
        <row r="262">
          <cell r="E262">
            <v>42855</v>
          </cell>
          <cell r="H262">
            <v>42855</v>
          </cell>
          <cell r="O262">
            <v>42855</v>
          </cell>
          <cell r="U262">
            <v>42855</v>
          </cell>
          <cell r="X262">
            <v>42856</v>
          </cell>
          <cell r="AB262">
            <v>42856</v>
          </cell>
          <cell r="AF262">
            <v>42856</v>
          </cell>
          <cell r="AI262">
            <v>42856</v>
          </cell>
          <cell r="AL262">
            <v>42856</v>
          </cell>
          <cell r="AS262">
            <v>42857</v>
          </cell>
          <cell r="AV262">
            <v>42857</v>
          </cell>
          <cell r="AX262">
            <v>42857</v>
          </cell>
        </row>
        <row r="263">
          <cell r="E263">
            <v>42856</v>
          </cell>
          <cell r="H263">
            <v>42856</v>
          </cell>
          <cell r="O263">
            <v>42856</v>
          </cell>
          <cell r="U263">
            <v>42856</v>
          </cell>
          <cell r="X263">
            <v>42857</v>
          </cell>
          <cell r="AB263">
            <v>42857</v>
          </cell>
          <cell r="AF263">
            <v>42857</v>
          </cell>
          <cell r="AI263">
            <v>42857</v>
          </cell>
          <cell r="AL263">
            <v>42857</v>
          </cell>
          <cell r="AS263">
            <v>42858</v>
          </cell>
          <cell r="AV263">
            <v>42858</v>
          </cell>
          <cell r="AX263">
            <v>42858</v>
          </cell>
        </row>
        <row r="264">
          <cell r="E264">
            <v>42857</v>
          </cell>
          <cell r="H264">
            <v>42857</v>
          </cell>
          <cell r="O264">
            <v>42857</v>
          </cell>
          <cell r="U264">
            <v>42857</v>
          </cell>
          <cell r="X264">
            <v>42858</v>
          </cell>
          <cell r="AB264">
            <v>42858</v>
          </cell>
          <cell r="AF264">
            <v>42858</v>
          </cell>
          <cell r="AI264">
            <v>42858</v>
          </cell>
          <cell r="AL264">
            <v>42858</v>
          </cell>
          <cell r="AS264">
            <v>42859</v>
          </cell>
          <cell r="AV264">
            <v>42859</v>
          </cell>
          <cell r="AX264">
            <v>42859</v>
          </cell>
        </row>
        <row r="265">
          <cell r="E265">
            <v>42858</v>
          </cell>
          <cell r="H265">
            <v>42858</v>
          </cell>
          <cell r="O265">
            <v>42858</v>
          </cell>
          <cell r="U265">
            <v>42858</v>
          </cell>
          <cell r="X265">
            <v>42859</v>
          </cell>
          <cell r="AB265">
            <v>42859</v>
          </cell>
          <cell r="AF265">
            <v>42859</v>
          </cell>
          <cell r="AI265">
            <v>42859</v>
          </cell>
          <cell r="AL265">
            <v>42859</v>
          </cell>
          <cell r="AS265">
            <v>42860</v>
          </cell>
          <cell r="AV265">
            <v>42860</v>
          </cell>
          <cell r="AX265">
            <v>42860</v>
          </cell>
        </row>
        <row r="266">
          <cell r="E266">
            <v>42859</v>
          </cell>
          <cell r="H266">
            <v>42859</v>
          </cell>
          <cell r="O266">
            <v>42859</v>
          </cell>
          <cell r="U266">
            <v>42859</v>
          </cell>
          <cell r="X266">
            <v>42860</v>
          </cell>
          <cell r="AB266">
            <v>42860</v>
          </cell>
          <cell r="AF266">
            <v>42860</v>
          </cell>
          <cell r="AI266">
            <v>42860</v>
          </cell>
          <cell r="AL266">
            <v>42860</v>
          </cell>
          <cell r="AS266">
            <v>42861</v>
          </cell>
          <cell r="AV266">
            <v>42861</v>
          </cell>
          <cell r="AX266">
            <v>42861</v>
          </cell>
        </row>
        <row r="267">
          <cell r="E267">
            <v>42860</v>
          </cell>
          <cell r="H267">
            <v>42860</v>
          </cell>
          <cell r="O267">
            <v>42860</v>
          </cell>
          <cell r="U267">
            <v>42860</v>
          </cell>
          <cell r="X267">
            <v>42861</v>
          </cell>
          <cell r="AB267">
            <v>42861</v>
          </cell>
          <cell r="AF267">
            <v>42861</v>
          </cell>
          <cell r="AI267">
            <v>42861</v>
          </cell>
          <cell r="AL267">
            <v>42861</v>
          </cell>
          <cell r="AS267">
            <v>42862</v>
          </cell>
          <cell r="AV267">
            <v>42862</v>
          </cell>
          <cell r="AX267">
            <v>42862</v>
          </cell>
        </row>
        <row r="268">
          <cell r="E268">
            <v>42861</v>
          </cell>
          <cell r="H268">
            <v>42861</v>
          </cell>
          <cell r="O268">
            <v>42861</v>
          </cell>
          <cell r="U268">
            <v>42861</v>
          </cell>
          <cell r="X268">
            <v>42862</v>
          </cell>
          <cell r="AB268">
            <v>42862</v>
          </cell>
          <cell r="AF268">
            <v>42862</v>
          </cell>
          <cell r="AI268">
            <v>42862</v>
          </cell>
          <cell r="AL268">
            <v>42862</v>
          </cell>
          <cell r="AS268">
            <v>42863</v>
          </cell>
          <cell r="AV268">
            <v>42863</v>
          </cell>
          <cell r="AX268">
            <v>42863</v>
          </cell>
        </row>
        <row r="269">
          <cell r="E269">
            <v>42862</v>
          </cell>
          <cell r="H269">
            <v>42862</v>
          </cell>
          <cell r="O269">
            <v>42862</v>
          </cell>
          <cell r="U269">
            <v>42862</v>
          </cell>
          <cell r="X269">
            <v>42863</v>
          </cell>
          <cell r="AB269">
            <v>42863</v>
          </cell>
          <cell r="AF269">
            <v>42863</v>
          </cell>
          <cell r="AI269">
            <v>42863</v>
          </cell>
          <cell r="AL269">
            <v>42863</v>
          </cell>
          <cell r="AS269">
            <v>42864</v>
          </cell>
          <cell r="AV269">
            <v>42864</v>
          </cell>
          <cell r="AX269">
            <v>42864</v>
          </cell>
        </row>
        <row r="270">
          <cell r="E270">
            <v>42863</v>
          </cell>
          <cell r="H270">
            <v>42863</v>
          </cell>
          <cell r="O270">
            <v>42863</v>
          </cell>
          <cell r="U270">
            <v>42863</v>
          </cell>
          <cell r="X270">
            <v>42864</v>
          </cell>
          <cell r="AB270">
            <v>42864</v>
          </cell>
          <cell r="AF270">
            <v>42864</v>
          </cell>
          <cell r="AI270">
            <v>42864</v>
          </cell>
          <cell r="AL270">
            <v>42864</v>
          </cell>
          <cell r="AS270">
            <v>42865</v>
          </cell>
          <cell r="AV270">
            <v>42865</v>
          </cell>
          <cell r="AX270">
            <v>42865</v>
          </cell>
        </row>
        <row r="271">
          <cell r="E271">
            <v>42864</v>
          </cell>
          <cell r="H271">
            <v>42864</v>
          </cell>
          <cell r="O271">
            <v>42864</v>
          </cell>
          <cell r="U271">
            <v>42864</v>
          </cell>
          <cell r="X271">
            <v>42865</v>
          </cell>
          <cell r="AB271">
            <v>42865</v>
          </cell>
          <cell r="AF271">
            <v>42865</v>
          </cell>
          <cell r="AI271">
            <v>42865</v>
          </cell>
          <cell r="AL271">
            <v>42865</v>
          </cell>
          <cell r="AS271">
            <v>42866</v>
          </cell>
          <cell r="AV271">
            <v>42866</v>
          </cell>
          <cell r="AX271">
            <v>42866</v>
          </cell>
        </row>
        <row r="272">
          <cell r="E272">
            <v>42865</v>
          </cell>
          <cell r="H272">
            <v>42865</v>
          </cell>
          <cell r="O272">
            <v>42865</v>
          </cell>
          <cell r="U272">
            <v>42865</v>
          </cell>
          <cell r="X272">
            <v>42866</v>
          </cell>
          <cell r="AB272">
            <v>42866</v>
          </cell>
          <cell r="AF272">
            <v>42866</v>
          </cell>
          <cell r="AI272">
            <v>42866</v>
          </cell>
          <cell r="AL272">
            <v>42866</v>
          </cell>
          <cell r="AS272">
            <v>42867</v>
          </cell>
          <cell r="AV272">
            <v>42867</v>
          </cell>
          <cell r="AX272">
            <v>42867</v>
          </cell>
        </row>
        <row r="273">
          <cell r="E273">
            <v>42866</v>
          </cell>
          <cell r="H273">
            <v>42866</v>
          </cell>
          <cell r="O273">
            <v>42866</v>
          </cell>
          <cell r="U273">
            <v>42866</v>
          </cell>
          <cell r="X273">
            <v>42867</v>
          </cell>
          <cell r="AB273">
            <v>42867</v>
          </cell>
          <cell r="AF273">
            <v>42867</v>
          </cell>
          <cell r="AI273">
            <v>42867</v>
          </cell>
          <cell r="AL273">
            <v>42867</v>
          </cell>
          <cell r="AS273">
            <v>42868</v>
          </cell>
          <cell r="AV273">
            <v>42868</v>
          </cell>
          <cell r="AX273">
            <v>42868</v>
          </cell>
        </row>
        <row r="274">
          <cell r="E274">
            <v>42867</v>
          </cell>
          <cell r="H274">
            <v>42867</v>
          </cell>
          <cell r="O274">
            <v>42867</v>
          </cell>
          <cell r="U274">
            <v>42867</v>
          </cell>
          <cell r="X274">
            <v>42868</v>
          </cell>
          <cell r="AB274">
            <v>42868</v>
          </cell>
          <cell r="AF274">
            <v>42868</v>
          </cell>
          <cell r="AI274">
            <v>42868</v>
          </cell>
          <cell r="AL274">
            <v>42868</v>
          </cell>
          <cell r="AS274">
            <v>42869</v>
          </cell>
          <cell r="AV274">
            <v>42869</v>
          </cell>
          <cell r="AX274">
            <v>42869</v>
          </cell>
        </row>
        <row r="275">
          <cell r="E275">
            <v>42868</v>
          </cell>
        </row>
        <row r="276">
          <cell r="E276">
            <v>42869</v>
          </cell>
        </row>
        <row r="277">
          <cell r="E277">
            <v>42870</v>
          </cell>
        </row>
        <row r="278">
          <cell r="E278">
            <v>42871</v>
          </cell>
        </row>
        <row r="279">
          <cell r="E279">
            <v>42872</v>
          </cell>
        </row>
        <row r="280">
          <cell r="E280">
            <v>42873</v>
          </cell>
        </row>
        <row r="281">
          <cell r="E281">
            <v>42874</v>
          </cell>
        </row>
        <row r="282">
          <cell r="E282">
            <v>42875</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NK (2)"/>
      <sheetName val="DTKP"/>
      <sheetName val="Dia chat"/>
      <sheetName val="Thong tin"/>
      <sheetName val="Du lieu"/>
      <sheetName val="1. Bia"/>
      <sheetName val="2. NK"/>
      <sheetName val="DT.NK"/>
      <sheetName val="3. Dia Chat"/>
      <sheetName val="ĐT ĐC"/>
      <sheetName val="4. Phieu theo doi bt"/>
      <sheetName val="ĐTBT"/>
      <sheetName val="5.BBLMBT"/>
      <sheetName val="ĐTBBLMBT"/>
      <sheetName val="N ĐO BT"/>
      <sheetName val="6. Bieu do BT"/>
      <sheetName val="Bien ban 2"/>
      <sheetName val="Bien ban"/>
      <sheetName val="7.BBCT"/>
      <sheetName val="8.BBKT-  TĐC"/>
      <sheetName val="9.BB- CKBT"/>
      <sheetName val="2"/>
      <sheetName val="3"/>
      <sheetName val="4"/>
      <sheetName val="5"/>
      <sheetName val="6"/>
      <sheetName val="7"/>
      <sheetName val="8"/>
      <sheetName val="9"/>
      <sheetName val="Sheet2"/>
      <sheetName val="Sheet1"/>
      <sheetName val="Sheet3"/>
      <sheetName val="Sheet4"/>
      <sheetName val="Sheet5"/>
    </sheetNames>
    <sheetDataSet>
      <sheetData sheetId="0"/>
      <sheetData sheetId="1"/>
      <sheetData sheetId="2"/>
      <sheetData sheetId="3">
        <row r="1">
          <cell r="A1">
            <v>1</v>
          </cell>
          <cell r="B1">
            <v>2</v>
          </cell>
          <cell r="C1">
            <v>3</v>
          </cell>
          <cell r="D1">
            <v>4</v>
          </cell>
          <cell r="E1">
            <v>5</v>
          </cell>
          <cell r="F1">
            <v>6</v>
          </cell>
          <cell r="G1">
            <v>7</v>
          </cell>
          <cell r="H1">
            <v>8</v>
          </cell>
          <cell r="I1">
            <v>9</v>
          </cell>
          <cell r="J1">
            <v>10</v>
          </cell>
          <cell r="K1">
            <v>11</v>
          </cell>
          <cell r="L1">
            <v>12</v>
          </cell>
          <cell r="M1">
            <v>13</v>
          </cell>
        </row>
        <row r="2">
          <cell r="A2" t="str">
            <v>Tên cọc</v>
          </cell>
          <cell r="B2" t="str">
            <v>Xi</v>
          </cell>
          <cell r="C2" t="str">
            <v>Yi</v>
          </cell>
          <cell r="D2" t="str">
            <v>Chiều dài(m)</v>
          </cell>
          <cell r="E2" t="str">
            <v>Tên đài</v>
          </cell>
          <cell r="F2" t="str">
            <v>Cao độ cắt cọc</v>
          </cell>
          <cell r="G2" t="str">
            <v>Cao độ dừng đổ BT</v>
          </cell>
          <cell r="H2" t="str">
            <v>Cọc đặt 4 ống siêu âm</v>
          </cell>
          <cell r="I2" t="str">
            <v>Cọc đặt ống khoan lõi</v>
          </cell>
          <cell r="J2" t="str">
            <v>Cọc đặt loại ống gì</v>
          </cell>
          <cell r="K2" t="str">
            <v>Ống D60</v>
          </cell>
          <cell r="L2" t="str">
            <v>Ống D113,5</v>
          </cell>
          <cell r="M2" t="str">
            <v>Đường kính cọc</v>
          </cell>
        </row>
        <row r="3">
          <cell r="A3" t="str">
            <v>A1</v>
          </cell>
          <cell r="B3">
            <v>2317786.5950000002</v>
          </cell>
          <cell r="C3">
            <v>430304.554</v>
          </cell>
          <cell r="D3">
            <v>21.6</v>
          </cell>
          <cell r="E3" t="str">
            <v>DC6</v>
          </cell>
          <cell r="F3">
            <v>-8.6999999999999993</v>
          </cell>
          <cell r="G3">
            <v>-7.6999999999999993</v>
          </cell>
          <cell r="H3">
            <v>0</v>
          </cell>
          <cell r="I3">
            <v>0</v>
          </cell>
          <cell r="J3" t="str">
            <v/>
          </cell>
          <cell r="K3">
            <v>0</v>
          </cell>
          <cell r="L3">
            <v>0</v>
          </cell>
          <cell r="M3">
            <v>1200</v>
          </cell>
        </row>
        <row r="4">
          <cell r="A4" t="str">
            <v>A2</v>
          </cell>
          <cell r="B4">
            <v>2317786.7310000001</v>
          </cell>
          <cell r="C4">
            <v>430307.55099999998</v>
          </cell>
          <cell r="D4">
            <v>21.6</v>
          </cell>
          <cell r="E4" t="str">
            <v>DC6</v>
          </cell>
          <cell r="F4">
            <v>-8.6999999999999993</v>
          </cell>
          <cell r="G4">
            <v>-7.6999999999999993</v>
          </cell>
          <cell r="H4" t="str">
            <v>X</v>
          </cell>
          <cell r="I4">
            <v>0</v>
          </cell>
          <cell r="J4" t="str">
            <v>SA</v>
          </cell>
          <cell r="K4">
            <v>4</v>
          </cell>
          <cell r="L4">
            <v>0</v>
          </cell>
          <cell r="M4">
            <v>1200</v>
          </cell>
        </row>
        <row r="5">
          <cell r="A5" t="str">
            <v>A3</v>
          </cell>
          <cell r="B5">
            <v>2317788.0419999999</v>
          </cell>
          <cell r="C5">
            <v>430313.49800000002</v>
          </cell>
          <cell r="D5">
            <v>25.8</v>
          </cell>
          <cell r="E5" t="str">
            <v>DC5</v>
          </cell>
          <cell r="F5">
            <v>-8.6999999999999993</v>
          </cell>
          <cell r="G5">
            <v>-7.6999999999999993</v>
          </cell>
          <cell r="H5">
            <v>0</v>
          </cell>
          <cell r="I5">
            <v>0</v>
          </cell>
          <cell r="J5" t="str">
            <v/>
          </cell>
          <cell r="K5">
            <v>0</v>
          </cell>
          <cell r="L5">
            <v>0</v>
          </cell>
          <cell r="M5">
            <v>1200</v>
          </cell>
        </row>
        <row r="6">
          <cell r="A6" t="str">
            <v>A4</v>
          </cell>
          <cell r="B6">
            <v>2317788.179</v>
          </cell>
          <cell r="C6">
            <v>430316.49400000001</v>
          </cell>
          <cell r="D6">
            <v>25.8</v>
          </cell>
          <cell r="E6" t="str">
            <v>DC5</v>
          </cell>
          <cell r="F6">
            <v>-8.6999999999999993</v>
          </cell>
          <cell r="G6">
            <v>-7.6999999999999993</v>
          </cell>
          <cell r="H6">
            <v>0</v>
          </cell>
          <cell r="I6">
            <v>0</v>
          </cell>
          <cell r="J6" t="str">
            <v/>
          </cell>
          <cell r="K6">
            <v>0</v>
          </cell>
          <cell r="L6">
            <v>0</v>
          </cell>
          <cell r="M6">
            <v>1200</v>
          </cell>
        </row>
        <row r="7">
          <cell r="A7" t="str">
            <v>A5</v>
          </cell>
          <cell r="B7">
            <v>2317785.4130000002</v>
          </cell>
          <cell r="C7">
            <v>430315.11900000001</v>
          </cell>
          <cell r="D7">
            <v>25.8</v>
          </cell>
          <cell r="E7" t="str">
            <v>DC5</v>
          </cell>
          <cell r="F7">
            <v>-8.6999999999999993</v>
          </cell>
          <cell r="G7">
            <v>-7.6999999999999993</v>
          </cell>
          <cell r="H7" t="str">
            <v>X</v>
          </cell>
          <cell r="I7">
            <v>0</v>
          </cell>
          <cell r="J7" t="str">
            <v>SA</v>
          </cell>
          <cell r="K7">
            <v>4</v>
          </cell>
          <cell r="L7">
            <v>0</v>
          </cell>
          <cell r="M7">
            <v>1200</v>
          </cell>
        </row>
        <row r="8">
          <cell r="A8" t="str">
            <v>A6</v>
          </cell>
          <cell r="B8">
            <v>2317788.4509999999</v>
          </cell>
          <cell r="C8">
            <v>430322.48800000001</v>
          </cell>
          <cell r="D8">
            <v>23.5</v>
          </cell>
          <cell r="E8" t="str">
            <v>DC5</v>
          </cell>
          <cell r="F8">
            <v>-8.6999999999999993</v>
          </cell>
          <cell r="G8">
            <v>-7.6999999999999993</v>
          </cell>
          <cell r="H8">
            <v>0</v>
          </cell>
          <cell r="I8">
            <v>0</v>
          </cell>
          <cell r="J8" t="str">
            <v/>
          </cell>
          <cell r="K8">
            <v>0</v>
          </cell>
          <cell r="L8">
            <v>0</v>
          </cell>
          <cell r="M8">
            <v>1200</v>
          </cell>
        </row>
        <row r="9">
          <cell r="A9" t="str">
            <v>A7</v>
          </cell>
          <cell r="B9">
            <v>2317788.5869999998</v>
          </cell>
          <cell r="C9">
            <v>430325.48499999999</v>
          </cell>
          <cell r="D9">
            <v>23.5</v>
          </cell>
          <cell r="E9" t="str">
            <v>DC5</v>
          </cell>
          <cell r="F9">
            <v>-8.6999999999999993</v>
          </cell>
          <cell r="G9">
            <v>-7.6999999999999993</v>
          </cell>
          <cell r="H9" t="str">
            <v>X</v>
          </cell>
          <cell r="I9">
            <v>0</v>
          </cell>
          <cell r="J9" t="str">
            <v>SA</v>
          </cell>
          <cell r="K9">
            <v>4</v>
          </cell>
          <cell r="L9">
            <v>0</v>
          </cell>
          <cell r="M9">
            <v>1200</v>
          </cell>
        </row>
        <row r="10">
          <cell r="A10" t="str">
            <v>A8</v>
          </cell>
          <cell r="B10">
            <v>2317785.8220000002</v>
          </cell>
          <cell r="C10">
            <v>430324.109</v>
          </cell>
          <cell r="D10">
            <v>23.5</v>
          </cell>
          <cell r="E10" t="str">
            <v>DC5</v>
          </cell>
          <cell r="F10">
            <v>-8.6999999999999993</v>
          </cell>
          <cell r="G10">
            <v>-7.6999999999999993</v>
          </cell>
          <cell r="H10">
            <v>0</v>
          </cell>
          <cell r="I10">
            <v>0</v>
          </cell>
          <cell r="J10" t="str">
            <v/>
          </cell>
          <cell r="K10">
            <v>0</v>
          </cell>
          <cell r="L10">
            <v>0</v>
          </cell>
          <cell r="M10">
            <v>1200</v>
          </cell>
        </row>
        <row r="11">
          <cell r="A11" t="str">
            <v>A9</v>
          </cell>
          <cell r="B11">
            <v>2317787.821</v>
          </cell>
          <cell r="C11">
            <v>430331.52600000001</v>
          </cell>
          <cell r="D11">
            <v>23.5</v>
          </cell>
          <cell r="E11" t="str">
            <v>DC6</v>
          </cell>
          <cell r="F11">
            <v>-8.6999999999999993</v>
          </cell>
          <cell r="G11">
            <v>-7.6999999999999993</v>
          </cell>
          <cell r="H11">
            <v>0</v>
          </cell>
          <cell r="I11">
            <v>0</v>
          </cell>
          <cell r="J11" t="str">
            <v/>
          </cell>
          <cell r="K11">
            <v>0</v>
          </cell>
          <cell r="L11">
            <v>0</v>
          </cell>
          <cell r="M11">
            <v>1200</v>
          </cell>
        </row>
        <row r="12">
          <cell r="A12" t="str">
            <v>A10</v>
          </cell>
          <cell r="B12">
            <v>2317787.9569999999</v>
          </cell>
          <cell r="C12">
            <v>430334.52299999999</v>
          </cell>
          <cell r="D12">
            <v>23.5</v>
          </cell>
          <cell r="E12" t="str">
            <v>DC6</v>
          </cell>
          <cell r="F12">
            <v>-8.6999999999999993</v>
          </cell>
          <cell r="G12">
            <v>-7.6999999999999993</v>
          </cell>
          <cell r="H12" t="str">
            <v>X</v>
          </cell>
          <cell r="I12">
            <v>0</v>
          </cell>
          <cell r="J12" t="str">
            <v>SA</v>
          </cell>
          <cell r="K12">
            <v>4</v>
          </cell>
          <cell r="L12">
            <v>0</v>
          </cell>
          <cell r="M12">
            <v>1200</v>
          </cell>
        </row>
        <row r="13">
          <cell r="A13" t="str">
            <v>A11</v>
          </cell>
          <cell r="B13">
            <v>2317788.2889999999</v>
          </cell>
          <cell r="C13">
            <v>430342.91700000002</v>
          </cell>
          <cell r="D13">
            <v>22.7</v>
          </cell>
          <cell r="E13" t="str">
            <v>DC6</v>
          </cell>
          <cell r="F13">
            <v>-8.6999999999999993</v>
          </cell>
          <cell r="G13">
            <v>-7.6999999999999993</v>
          </cell>
          <cell r="H13">
            <v>0</v>
          </cell>
          <cell r="I13">
            <v>0</v>
          </cell>
          <cell r="J13" t="str">
            <v/>
          </cell>
          <cell r="K13">
            <v>0</v>
          </cell>
          <cell r="L13">
            <v>0</v>
          </cell>
          <cell r="M13">
            <v>1200</v>
          </cell>
        </row>
        <row r="14">
          <cell r="A14" t="str">
            <v>A12</v>
          </cell>
          <cell r="B14">
            <v>2317788.4249999998</v>
          </cell>
          <cell r="C14">
            <v>430345.91399999999</v>
          </cell>
          <cell r="D14">
            <v>22.7</v>
          </cell>
          <cell r="E14" t="str">
            <v>DC6</v>
          </cell>
          <cell r="F14">
            <v>-8.6999999999999993</v>
          </cell>
          <cell r="G14">
            <v>-7.6999999999999993</v>
          </cell>
          <cell r="H14">
            <v>0</v>
          </cell>
          <cell r="I14" t="str">
            <v>X</v>
          </cell>
          <cell r="J14" t="str">
            <v>L</v>
          </cell>
          <cell r="K14">
            <v>3</v>
          </cell>
          <cell r="L14">
            <v>1</v>
          </cell>
          <cell r="M14">
            <v>1200</v>
          </cell>
        </row>
        <row r="15">
          <cell r="A15" t="str">
            <v>A13</v>
          </cell>
          <cell r="B15">
            <v>2317789.6680000001</v>
          </cell>
          <cell r="C15">
            <v>430351.46299999999</v>
          </cell>
          <cell r="D15">
            <v>23.2</v>
          </cell>
          <cell r="E15" t="str">
            <v>DC5</v>
          </cell>
          <cell r="F15">
            <v>-8.6999999999999993</v>
          </cell>
          <cell r="G15">
            <v>-7.6999999999999993</v>
          </cell>
          <cell r="H15">
            <v>0</v>
          </cell>
          <cell r="I15">
            <v>0</v>
          </cell>
          <cell r="J15" t="str">
            <v/>
          </cell>
          <cell r="K15">
            <v>0</v>
          </cell>
          <cell r="L15">
            <v>0</v>
          </cell>
          <cell r="M15">
            <v>1200</v>
          </cell>
        </row>
        <row r="16">
          <cell r="A16" t="str">
            <v>A14</v>
          </cell>
          <cell r="B16">
            <v>2317789.8050000002</v>
          </cell>
          <cell r="C16">
            <v>430354.46</v>
          </cell>
          <cell r="D16">
            <v>23.2</v>
          </cell>
          <cell r="E16" t="str">
            <v>DC5</v>
          </cell>
          <cell r="F16">
            <v>-8.6999999999999993</v>
          </cell>
          <cell r="G16">
            <v>-7.6999999999999993</v>
          </cell>
          <cell r="H16" t="str">
            <v>X</v>
          </cell>
          <cell r="I16">
            <v>0</v>
          </cell>
          <cell r="J16" t="str">
            <v>SA</v>
          </cell>
          <cell r="K16">
            <v>4</v>
          </cell>
          <cell r="L16">
            <v>0</v>
          </cell>
          <cell r="M16">
            <v>1200</v>
          </cell>
        </row>
        <row r="17">
          <cell r="A17" t="str">
            <v>A15</v>
          </cell>
          <cell r="B17">
            <v>2317787.0389999999</v>
          </cell>
          <cell r="C17">
            <v>430353.08399999997</v>
          </cell>
          <cell r="D17">
            <v>23.2</v>
          </cell>
          <cell r="E17" t="str">
            <v>DC5</v>
          </cell>
          <cell r="F17">
            <v>-8.6999999999999993</v>
          </cell>
          <cell r="G17">
            <v>-7.6999999999999993</v>
          </cell>
          <cell r="H17">
            <v>0</v>
          </cell>
          <cell r="I17">
            <v>0</v>
          </cell>
          <cell r="J17" t="str">
            <v/>
          </cell>
          <cell r="K17">
            <v>0</v>
          </cell>
          <cell r="L17">
            <v>0</v>
          </cell>
          <cell r="M17">
            <v>1200</v>
          </cell>
        </row>
        <row r="18">
          <cell r="A18" t="str">
            <v>A16</v>
          </cell>
          <cell r="B18">
            <v>2317790.068</v>
          </cell>
          <cell r="C18">
            <v>430360.25400000002</v>
          </cell>
          <cell r="D18">
            <v>39.6</v>
          </cell>
          <cell r="E18" t="str">
            <v>DC5</v>
          </cell>
          <cell r="F18">
            <v>-8.6999999999999993</v>
          </cell>
          <cell r="G18">
            <v>-7.6999999999999993</v>
          </cell>
          <cell r="H18" t="str">
            <v>X</v>
          </cell>
          <cell r="I18">
            <v>0</v>
          </cell>
          <cell r="J18" t="str">
            <v>SA</v>
          </cell>
          <cell r="K18">
            <v>4</v>
          </cell>
          <cell r="L18">
            <v>0</v>
          </cell>
          <cell r="M18">
            <v>1200</v>
          </cell>
        </row>
        <row r="19">
          <cell r="A19" t="str">
            <v>A17</v>
          </cell>
          <cell r="B19">
            <v>2317790.2039999999</v>
          </cell>
          <cell r="C19">
            <v>430363.25099999999</v>
          </cell>
          <cell r="D19">
            <v>39.6</v>
          </cell>
          <cell r="E19" t="str">
            <v>DC5</v>
          </cell>
          <cell r="F19">
            <v>-8.6999999999999993</v>
          </cell>
          <cell r="G19">
            <v>-7.6999999999999993</v>
          </cell>
          <cell r="H19">
            <v>0</v>
          </cell>
          <cell r="I19">
            <v>0</v>
          </cell>
          <cell r="J19" t="str">
            <v/>
          </cell>
          <cell r="K19">
            <v>0</v>
          </cell>
          <cell r="L19">
            <v>0</v>
          </cell>
          <cell r="M19">
            <v>1200</v>
          </cell>
        </row>
        <row r="20">
          <cell r="A20" t="str">
            <v>A18</v>
          </cell>
          <cell r="B20">
            <v>2317787.4389999998</v>
          </cell>
          <cell r="C20">
            <v>430361.875</v>
          </cell>
          <cell r="D20">
            <v>39.6</v>
          </cell>
          <cell r="E20" t="str">
            <v>DC5</v>
          </cell>
          <cell r="F20">
            <v>-8.6999999999999993</v>
          </cell>
          <cell r="G20">
            <v>-7.6999999999999993</v>
          </cell>
          <cell r="H20" t="str">
            <v>X</v>
          </cell>
          <cell r="I20">
            <v>0</v>
          </cell>
          <cell r="J20" t="str">
            <v>SA</v>
          </cell>
          <cell r="K20">
            <v>4</v>
          </cell>
          <cell r="L20">
            <v>0</v>
          </cell>
          <cell r="M20">
            <v>1200</v>
          </cell>
        </row>
        <row r="21">
          <cell r="A21" t="str">
            <v>A19</v>
          </cell>
          <cell r="B21">
            <v>2317790.486</v>
          </cell>
          <cell r="C21">
            <v>430369.44400000002</v>
          </cell>
          <cell r="D21">
            <v>39.6</v>
          </cell>
          <cell r="E21" t="str">
            <v>DC5A</v>
          </cell>
          <cell r="F21">
            <v>-7.7</v>
          </cell>
          <cell r="G21">
            <v>-6.7</v>
          </cell>
          <cell r="H21" t="str">
            <v>X</v>
          </cell>
          <cell r="I21">
            <v>0</v>
          </cell>
          <cell r="J21" t="str">
            <v>SA</v>
          </cell>
          <cell r="K21">
            <v>4</v>
          </cell>
          <cell r="L21">
            <v>0</v>
          </cell>
          <cell r="M21">
            <v>1200</v>
          </cell>
        </row>
        <row r="22">
          <cell r="A22" t="str">
            <v>A20</v>
          </cell>
          <cell r="B22">
            <v>2317787.8569999998</v>
          </cell>
          <cell r="C22">
            <v>430371.065</v>
          </cell>
          <cell r="D22">
            <v>39.6</v>
          </cell>
          <cell r="E22" t="str">
            <v>DC5A</v>
          </cell>
          <cell r="F22">
            <v>-7.7</v>
          </cell>
          <cell r="G22">
            <v>-6.7</v>
          </cell>
          <cell r="H22">
            <v>0</v>
          </cell>
          <cell r="I22">
            <v>0</v>
          </cell>
          <cell r="J22" t="str">
            <v/>
          </cell>
          <cell r="K22">
            <v>0</v>
          </cell>
          <cell r="L22">
            <v>0</v>
          </cell>
          <cell r="M22">
            <v>1200</v>
          </cell>
        </row>
        <row r="23">
          <cell r="A23" t="str">
            <v>A21</v>
          </cell>
          <cell r="B23">
            <v>2317790.622</v>
          </cell>
          <cell r="C23">
            <v>430372.44099999999</v>
          </cell>
          <cell r="D23">
            <v>31.8</v>
          </cell>
          <cell r="E23" t="str">
            <v>DC5A</v>
          </cell>
          <cell r="F23">
            <v>-7.7</v>
          </cell>
          <cell r="G23">
            <v>-6.7</v>
          </cell>
          <cell r="H23" t="str">
            <v>X</v>
          </cell>
          <cell r="I23">
            <v>0</v>
          </cell>
          <cell r="J23" t="str">
            <v>SA</v>
          </cell>
          <cell r="K23">
            <v>4</v>
          </cell>
          <cell r="L23">
            <v>0</v>
          </cell>
          <cell r="M23">
            <v>1200</v>
          </cell>
        </row>
        <row r="24">
          <cell r="A24" t="str">
            <v>A22</v>
          </cell>
          <cell r="B24">
            <v>2317790.895</v>
          </cell>
          <cell r="C24">
            <v>430378.435</v>
          </cell>
          <cell r="D24">
            <v>26.9</v>
          </cell>
          <cell r="E24" t="str">
            <v>DC5A</v>
          </cell>
          <cell r="F24">
            <v>-7.7</v>
          </cell>
          <cell r="G24">
            <v>-6.7</v>
          </cell>
          <cell r="H24" t="str">
            <v>X</v>
          </cell>
          <cell r="I24">
            <v>0</v>
          </cell>
          <cell r="J24" t="str">
            <v>SA</v>
          </cell>
          <cell r="K24">
            <v>4</v>
          </cell>
          <cell r="L24">
            <v>0</v>
          </cell>
          <cell r="M24">
            <v>1200</v>
          </cell>
        </row>
        <row r="25">
          <cell r="A25" t="str">
            <v>A23</v>
          </cell>
          <cell r="B25">
            <v>2317788.2659999998</v>
          </cell>
          <cell r="C25">
            <v>430380.05599999998</v>
          </cell>
          <cell r="D25">
            <v>26.9</v>
          </cell>
          <cell r="E25" t="str">
            <v>DC5A</v>
          </cell>
          <cell r="F25">
            <v>-7.7</v>
          </cell>
          <cell r="G25">
            <v>-6.7</v>
          </cell>
          <cell r="H25">
            <v>0</v>
          </cell>
          <cell r="I25" t="str">
            <v>X</v>
          </cell>
          <cell r="J25" t="str">
            <v>L</v>
          </cell>
          <cell r="K25">
            <v>3</v>
          </cell>
          <cell r="L25">
            <v>1</v>
          </cell>
          <cell r="M25">
            <v>1200</v>
          </cell>
        </row>
        <row r="26">
          <cell r="A26" t="str">
            <v>A24</v>
          </cell>
          <cell r="B26">
            <v>2317791.031</v>
          </cell>
          <cell r="C26">
            <v>430381.43199999997</v>
          </cell>
          <cell r="D26">
            <v>26.9</v>
          </cell>
          <cell r="E26" t="str">
            <v>DC5A</v>
          </cell>
          <cell r="F26">
            <v>-7.7</v>
          </cell>
          <cell r="G26">
            <v>-6.7</v>
          </cell>
          <cell r="H26" t="str">
            <v>X</v>
          </cell>
          <cell r="I26">
            <v>0</v>
          </cell>
          <cell r="J26" t="str">
            <v>SA</v>
          </cell>
          <cell r="K26">
            <v>4</v>
          </cell>
          <cell r="L26">
            <v>0</v>
          </cell>
          <cell r="M26">
            <v>1200</v>
          </cell>
        </row>
        <row r="27">
          <cell r="A27" t="str">
            <v>A25</v>
          </cell>
          <cell r="B27">
            <v>2317790.2969999998</v>
          </cell>
          <cell r="C27">
            <v>430387.08100000001</v>
          </cell>
          <cell r="D27">
            <v>26.9</v>
          </cell>
          <cell r="E27" t="str">
            <v>DC6A</v>
          </cell>
          <cell r="F27">
            <v>-7.7</v>
          </cell>
          <cell r="G27">
            <v>-6.7</v>
          </cell>
          <cell r="H27" t="str">
            <v>X</v>
          </cell>
          <cell r="I27">
            <v>0</v>
          </cell>
          <cell r="J27" t="str">
            <v>SA</v>
          </cell>
          <cell r="K27">
            <v>4</v>
          </cell>
          <cell r="L27">
            <v>0</v>
          </cell>
          <cell r="M27">
            <v>1200</v>
          </cell>
        </row>
        <row r="28">
          <cell r="A28" t="str">
            <v>A26</v>
          </cell>
          <cell r="B28">
            <v>2317790.4330000002</v>
          </cell>
          <cell r="C28">
            <v>430390.07799999998</v>
          </cell>
          <cell r="D28">
            <v>26.9</v>
          </cell>
          <cell r="E28" t="str">
            <v>DC6A</v>
          </cell>
          <cell r="F28">
            <v>-7.7</v>
          </cell>
          <cell r="G28">
            <v>-6.7</v>
          </cell>
          <cell r="H28" t="str">
            <v>X</v>
          </cell>
          <cell r="I28">
            <v>0</v>
          </cell>
          <cell r="J28" t="str">
            <v>SA</v>
          </cell>
          <cell r="K28">
            <v>4</v>
          </cell>
          <cell r="L28">
            <v>0</v>
          </cell>
          <cell r="M28">
            <v>1200</v>
          </cell>
        </row>
        <row r="29">
          <cell r="A29" t="str">
            <v>A27</v>
          </cell>
          <cell r="B29">
            <v>2317779.4610000001</v>
          </cell>
          <cell r="C29">
            <v>430305.28899999999</v>
          </cell>
          <cell r="D29">
            <v>26</v>
          </cell>
          <cell r="E29" t="str">
            <v>DC5</v>
          </cell>
          <cell r="F29">
            <v>-8.6999999999999993</v>
          </cell>
          <cell r="G29">
            <v>-7.6999999999999993</v>
          </cell>
          <cell r="H29">
            <v>0</v>
          </cell>
          <cell r="I29" t="str">
            <v>X</v>
          </cell>
          <cell r="J29" t="str">
            <v>L</v>
          </cell>
          <cell r="K29">
            <v>3</v>
          </cell>
          <cell r="L29">
            <v>1</v>
          </cell>
          <cell r="M29">
            <v>1200</v>
          </cell>
        </row>
        <row r="30">
          <cell r="A30" t="str">
            <v>A28</v>
          </cell>
          <cell r="B30">
            <v>2317776.4640000002</v>
          </cell>
          <cell r="C30">
            <v>430305.42499999999</v>
          </cell>
          <cell r="D30">
            <v>26</v>
          </cell>
          <cell r="E30" t="str">
            <v>DC5</v>
          </cell>
          <cell r="F30">
            <v>-8.6999999999999993</v>
          </cell>
          <cell r="G30">
            <v>-7.6999999999999993</v>
          </cell>
          <cell r="H30">
            <v>0</v>
          </cell>
          <cell r="I30">
            <v>0</v>
          </cell>
          <cell r="J30" t="str">
            <v/>
          </cell>
          <cell r="K30">
            <v>0</v>
          </cell>
          <cell r="L30">
            <v>0</v>
          </cell>
          <cell r="M30">
            <v>1200</v>
          </cell>
        </row>
        <row r="31">
          <cell r="A31" t="str">
            <v>A29</v>
          </cell>
          <cell r="B31">
            <v>2317778.085</v>
          </cell>
          <cell r="C31">
            <v>430308.054</v>
          </cell>
          <cell r="D31">
            <v>26</v>
          </cell>
          <cell r="E31" t="str">
            <v>DC5</v>
          </cell>
          <cell r="F31">
            <v>-8.6999999999999993</v>
          </cell>
          <cell r="G31">
            <v>-7.6999999999999993</v>
          </cell>
          <cell r="H31">
            <v>0</v>
          </cell>
          <cell r="I31">
            <v>0</v>
          </cell>
          <cell r="J31" t="str">
            <v/>
          </cell>
          <cell r="K31">
            <v>0</v>
          </cell>
          <cell r="L31">
            <v>0</v>
          </cell>
          <cell r="M31">
            <v>1200</v>
          </cell>
        </row>
        <row r="32">
          <cell r="A32" t="str">
            <v>A30</v>
          </cell>
          <cell r="B32">
            <v>2317770.81</v>
          </cell>
          <cell r="C32">
            <v>430305.68199999997</v>
          </cell>
          <cell r="D32">
            <v>31.5</v>
          </cell>
          <cell r="E32" t="str">
            <v>DC5</v>
          </cell>
          <cell r="F32">
            <v>-8.6999999999999993</v>
          </cell>
          <cell r="G32">
            <v>-7.6999999999999993</v>
          </cell>
          <cell r="H32">
            <v>0</v>
          </cell>
          <cell r="I32">
            <v>0</v>
          </cell>
          <cell r="J32" t="str">
            <v/>
          </cell>
          <cell r="K32">
            <v>0</v>
          </cell>
          <cell r="L32">
            <v>0</v>
          </cell>
          <cell r="M32">
            <v>1200</v>
          </cell>
        </row>
        <row r="33">
          <cell r="A33" t="str">
            <v>A31</v>
          </cell>
          <cell r="B33">
            <v>2317767.8130000001</v>
          </cell>
          <cell r="C33">
            <v>430305.81800000003</v>
          </cell>
          <cell r="D33">
            <v>31.5</v>
          </cell>
          <cell r="E33" t="str">
            <v>DC5</v>
          </cell>
          <cell r="F33">
            <v>-8.6999999999999993</v>
          </cell>
          <cell r="G33">
            <v>-7.6999999999999993</v>
          </cell>
          <cell r="H33">
            <v>0</v>
          </cell>
          <cell r="I33">
            <v>0</v>
          </cell>
          <cell r="J33" t="str">
            <v/>
          </cell>
          <cell r="K33">
            <v>0</v>
          </cell>
          <cell r="L33">
            <v>0</v>
          </cell>
          <cell r="M33">
            <v>1200</v>
          </cell>
        </row>
        <row r="34">
          <cell r="A34" t="str">
            <v>A32</v>
          </cell>
          <cell r="B34">
            <v>2317769.4339999999</v>
          </cell>
          <cell r="C34">
            <v>430308.44699999999</v>
          </cell>
          <cell r="D34">
            <v>31.5</v>
          </cell>
          <cell r="E34" t="str">
            <v>DC5</v>
          </cell>
          <cell r="F34">
            <v>-8.6999999999999993</v>
          </cell>
          <cell r="G34">
            <v>-7.6999999999999993</v>
          </cell>
          <cell r="H34" t="str">
            <v>X</v>
          </cell>
          <cell r="I34">
            <v>0</v>
          </cell>
          <cell r="J34" t="str">
            <v>SA</v>
          </cell>
          <cell r="K34">
            <v>4</v>
          </cell>
          <cell r="L34">
            <v>0</v>
          </cell>
          <cell r="M34">
            <v>1200</v>
          </cell>
        </row>
        <row r="35">
          <cell r="A35" t="str">
            <v>A33</v>
          </cell>
          <cell r="B35">
            <v>2317778.6519999998</v>
          </cell>
          <cell r="C35">
            <v>430313.924</v>
          </cell>
          <cell r="D35">
            <v>34.299999999999997</v>
          </cell>
          <cell r="E35" t="str">
            <v>DC2</v>
          </cell>
          <cell r="F35">
            <v>-8.6999999999999993</v>
          </cell>
          <cell r="G35">
            <v>-7.6999999999999993</v>
          </cell>
          <cell r="H35">
            <v>0</v>
          </cell>
          <cell r="I35">
            <v>0</v>
          </cell>
          <cell r="J35" t="str">
            <v/>
          </cell>
          <cell r="K35">
            <v>0</v>
          </cell>
          <cell r="L35">
            <v>0</v>
          </cell>
          <cell r="M35">
            <v>1200</v>
          </cell>
        </row>
        <row r="36">
          <cell r="A36" t="str">
            <v>A34</v>
          </cell>
          <cell r="B36">
            <v>2317774.656</v>
          </cell>
          <cell r="C36">
            <v>430314.10600000003</v>
          </cell>
          <cell r="D36">
            <v>34.299999999999997</v>
          </cell>
          <cell r="E36" t="str">
            <v>DC2</v>
          </cell>
          <cell r="F36">
            <v>-8.6999999999999993</v>
          </cell>
          <cell r="G36">
            <v>-7.6999999999999993</v>
          </cell>
          <cell r="H36" t="str">
            <v>X</v>
          </cell>
          <cell r="I36">
            <v>0</v>
          </cell>
          <cell r="J36" t="str">
            <v>SA</v>
          </cell>
          <cell r="K36">
            <v>4</v>
          </cell>
          <cell r="L36">
            <v>0</v>
          </cell>
          <cell r="M36">
            <v>1200</v>
          </cell>
        </row>
        <row r="37">
          <cell r="A37" t="str">
            <v>A35</v>
          </cell>
          <cell r="B37">
            <v>2317771.659</v>
          </cell>
          <cell r="C37">
            <v>430314.24200000003</v>
          </cell>
          <cell r="D37">
            <v>23</v>
          </cell>
          <cell r="E37" t="str">
            <v>DC2</v>
          </cell>
          <cell r="F37">
            <v>-8.6999999999999993</v>
          </cell>
          <cell r="G37">
            <v>-7.6999999999999993</v>
          </cell>
          <cell r="H37">
            <v>0</v>
          </cell>
          <cell r="I37">
            <v>0</v>
          </cell>
          <cell r="J37" t="str">
            <v/>
          </cell>
          <cell r="K37">
            <v>0</v>
          </cell>
          <cell r="L37">
            <v>0</v>
          </cell>
          <cell r="M37">
            <v>1200</v>
          </cell>
        </row>
        <row r="38">
          <cell r="A38" t="str">
            <v>A36</v>
          </cell>
          <cell r="B38">
            <v>2317768.662</v>
          </cell>
          <cell r="C38">
            <v>430314.37900000002</v>
          </cell>
          <cell r="D38">
            <v>23</v>
          </cell>
          <cell r="E38" t="str">
            <v>DC2</v>
          </cell>
          <cell r="F38">
            <v>-8.6999999999999993</v>
          </cell>
          <cell r="G38">
            <v>-7.6999999999999993</v>
          </cell>
          <cell r="H38">
            <v>0</v>
          </cell>
          <cell r="I38">
            <v>0</v>
          </cell>
          <cell r="J38" t="str">
            <v/>
          </cell>
          <cell r="K38">
            <v>0</v>
          </cell>
          <cell r="L38">
            <v>0</v>
          </cell>
          <cell r="M38">
            <v>1200</v>
          </cell>
        </row>
        <row r="39">
          <cell r="A39" t="str">
            <v>A37</v>
          </cell>
          <cell r="B39">
            <v>2317768.7990000001</v>
          </cell>
          <cell r="C39">
            <v>430317.37599999999</v>
          </cell>
          <cell r="D39">
            <v>23</v>
          </cell>
          <cell r="E39" t="str">
            <v>DC2</v>
          </cell>
          <cell r="F39">
            <v>-8.6999999999999993</v>
          </cell>
          <cell r="G39">
            <v>-7.6999999999999993</v>
          </cell>
          <cell r="H39" t="str">
            <v>X</v>
          </cell>
          <cell r="I39">
            <v>0</v>
          </cell>
          <cell r="J39" t="str">
            <v>SA</v>
          </cell>
          <cell r="K39">
            <v>4</v>
          </cell>
          <cell r="L39">
            <v>0</v>
          </cell>
          <cell r="M39">
            <v>1200</v>
          </cell>
        </row>
        <row r="40">
          <cell r="A40" t="str">
            <v>A38</v>
          </cell>
          <cell r="B40">
            <v>2317771.7960000001</v>
          </cell>
          <cell r="C40">
            <v>430317.239</v>
          </cell>
          <cell r="D40">
            <v>23</v>
          </cell>
          <cell r="E40" t="str">
            <v>DC2</v>
          </cell>
          <cell r="F40">
            <v>-9.6999999999999993</v>
          </cell>
          <cell r="G40">
            <v>-8.6999999999999993</v>
          </cell>
          <cell r="H40">
            <v>0</v>
          </cell>
          <cell r="I40">
            <v>0</v>
          </cell>
          <cell r="J40" t="str">
            <v/>
          </cell>
          <cell r="K40">
            <v>0</v>
          </cell>
          <cell r="L40">
            <v>0</v>
          </cell>
          <cell r="M40">
            <v>1200</v>
          </cell>
        </row>
        <row r="41">
          <cell r="A41" t="str">
            <v>A39</v>
          </cell>
          <cell r="B41">
            <v>2317774.7919999999</v>
          </cell>
          <cell r="C41">
            <v>430317.103</v>
          </cell>
          <cell r="D41">
            <v>34.299999999999997</v>
          </cell>
          <cell r="E41" t="str">
            <v>DC2</v>
          </cell>
          <cell r="F41">
            <v>-9.6999999999999993</v>
          </cell>
          <cell r="G41">
            <v>-8.6999999999999993</v>
          </cell>
          <cell r="H41">
            <v>0</v>
          </cell>
          <cell r="I41">
            <v>0</v>
          </cell>
          <cell r="J41" t="str">
            <v/>
          </cell>
          <cell r="K41">
            <v>0</v>
          </cell>
          <cell r="L41">
            <v>0</v>
          </cell>
          <cell r="M41">
            <v>1200</v>
          </cell>
        </row>
        <row r="42">
          <cell r="A42" t="str">
            <v>A40</v>
          </cell>
          <cell r="B42">
            <v>2317778.7880000002</v>
          </cell>
          <cell r="C42">
            <v>430316.92099999997</v>
          </cell>
          <cell r="D42">
            <v>34.299999999999997</v>
          </cell>
          <cell r="E42" t="str">
            <v>DC2</v>
          </cell>
          <cell r="F42">
            <v>-8.6999999999999993</v>
          </cell>
          <cell r="G42">
            <v>-7.6999999999999993</v>
          </cell>
          <cell r="H42">
            <v>0</v>
          </cell>
          <cell r="I42">
            <v>0</v>
          </cell>
          <cell r="J42" t="str">
            <v/>
          </cell>
          <cell r="K42">
            <v>0</v>
          </cell>
          <cell r="L42">
            <v>0</v>
          </cell>
          <cell r="M42">
            <v>1200</v>
          </cell>
        </row>
        <row r="43">
          <cell r="A43" t="str">
            <v>A41</v>
          </cell>
          <cell r="B43">
            <v>2317778.952</v>
          </cell>
          <cell r="C43">
            <v>430320.51799999998</v>
          </cell>
          <cell r="D43">
            <v>30.7</v>
          </cell>
          <cell r="E43" t="str">
            <v>DC2</v>
          </cell>
          <cell r="F43">
            <v>-8.6999999999999993</v>
          </cell>
          <cell r="G43">
            <v>-7.6999999999999993</v>
          </cell>
          <cell r="H43">
            <v>0</v>
          </cell>
          <cell r="I43" t="str">
            <v>X</v>
          </cell>
          <cell r="J43" t="str">
            <v>L</v>
          </cell>
          <cell r="K43">
            <v>3</v>
          </cell>
          <cell r="L43">
            <v>1</v>
          </cell>
          <cell r="M43">
            <v>1200</v>
          </cell>
        </row>
        <row r="44">
          <cell r="A44" t="str">
            <v>A42</v>
          </cell>
          <cell r="B44">
            <v>2317774.9559999998</v>
          </cell>
          <cell r="C44">
            <v>430320.69900000002</v>
          </cell>
          <cell r="D44">
            <v>30.7</v>
          </cell>
          <cell r="E44" t="str">
            <v>DC2</v>
          </cell>
          <cell r="F44">
            <v>-9.6999999999999993</v>
          </cell>
          <cell r="G44">
            <v>-8.6999999999999993</v>
          </cell>
          <cell r="H44">
            <v>0</v>
          </cell>
          <cell r="I44">
            <v>0</v>
          </cell>
          <cell r="J44" t="str">
            <v/>
          </cell>
          <cell r="K44">
            <v>0</v>
          </cell>
          <cell r="L44">
            <v>0</v>
          </cell>
          <cell r="M44">
            <v>1200</v>
          </cell>
        </row>
        <row r="45">
          <cell r="A45" t="str">
            <v>A43</v>
          </cell>
          <cell r="B45">
            <v>2317771.9589999998</v>
          </cell>
          <cell r="C45">
            <v>430320.83600000001</v>
          </cell>
          <cell r="D45">
            <v>30.7</v>
          </cell>
          <cell r="E45" t="str">
            <v>DC2</v>
          </cell>
          <cell r="F45">
            <v>-9.6999999999999993</v>
          </cell>
          <cell r="G45">
            <v>-8.6999999999999993</v>
          </cell>
          <cell r="H45">
            <v>0</v>
          </cell>
          <cell r="I45">
            <v>0</v>
          </cell>
          <cell r="J45" t="str">
            <v/>
          </cell>
          <cell r="K45">
            <v>0</v>
          </cell>
          <cell r="L45">
            <v>0</v>
          </cell>
          <cell r="M45">
            <v>1200</v>
          </cell>
        </row>
        <row r="46">
          <cell r="A46" t="str">
            <v>A44</v>
          </cell>
          <cell r="B46">
            <v>2317768.9619999998</v>
          </cell>
          <cell r="C46">
            <v>430320.97200000001</v>
          </cell>
          <cell r="D46">
            <v>23.4</v>
          </cell>
          <cell r="E46" t="str">
            <v>DC2</v>
          </cell>
          <cell r="F46">
            <v>-8.6999999999999993</v>
          </cell>
          <cell r="G46">
            <v>-7.6999999999999993</v>
          </cell>
          <cell r="H46">
            <v>0</v>
          </cell>
          <cell r="I46">
            <v>0</v>
          </cell>
          <cell r="J46" t="str">
            <v/>
          </cell>
          <cell r="K46">
            <v>0</v>
          </cell>
          <cell r="L46">
            <v>0</v>
          </cell>
          <cell r="M46">
            <v>1200</v>
          </cell>
        </row>
        <row r="47">
          <cell r="A47" t="str">
            <v>A45</v>
          </cell>
          <cell r="B47">
            <v>2317769.1260000002</v>
          </cell>
          <cell r="C47">
            <v>430324.56800000003</v>
          </cell>
          <cell r="D47">
            <v>23.4</v>
          </cell>
          <cell r="E47" t="str">
            <v>DC2</v>
          </cell>
          <cell r="F47">
            <v>-8.6999999999999993</v>
          </cell>
          <cell r="G47">
            <v>-7.6999999999999993</v>
          </cell>
          <cell r="H47">
            <v>0</v>
          </cell>
          <cell r="I47">
            <v>0</v>
          </cell>
          <cell r="J47" t="str">
            <v/>
          </cell>
          <cell r="K47">
            <v>0</v>
          </cell>
          <cell r="L47">
            <v>0</v>
          </cell>
          <cell r="M47">
            <v>1200</v>
          </cell>
        </row>
        <row r="48">
          <cell r="A48" t="str">
            <v>A46</v>
          </cell>
          <cell r="B48">
            <v>2317772.1230000001</v>
          </cell>
          <cell r="C48">
            <v>430324.43199999997</v>
          </cell>
          <cell r="D48">
            <v>30.7</v>
          </cell>
          <cell r="E48" t="str">
            <v>DC2</v>
          </cell>
          <cell r="F48">
            <v>-9.6999999999999993</v>
          </cell>
          <cell r="G48">
            <v>-8.6999999999999993</v>
          </cell>
          <cell r="H48" t="str">
            <v>X</v>
          </cell>
          <cell r="I48">
            <v>0</v>
          </cell>
          <cell r="J48" t="str">
            <v>SA</v>
          </cell>
          <cell r="K48">
            <v>4</v>
          </cell>
          <cell r="L48">
            <v>0</v>
          </cell>
          <cell r="M48">
            <v>1200</v>
          </cell>
        </row>
        <row r="49">
          <cell r="A49" t="str">
            <v>A47</v>
          </cell>
          <cell r="B49">
            <v>2317775.1189999999</v>
          </cell>
          <cell r="C49">
            <v>430324.29599999997</v>
          </cell>
          <cell r="D49">
            <v>30.7</v>
          </cell>
          <cell r="E49" t="str">
            <v>DC2</v>
          </cell>
          <cell r="F49">
            <v>-9.6999999999999993</v>
          </cell>
          <cell r="G49">
            <v>-8.6999999999999993</v>
          </cell>
          <cell r="H49" t="str">
            <v>X</v>
          </cell>
          <cell r="I49">
            <v>0</v>
          </cell>
          <cell r="J49" t="str">
            <v>SA</v>
          </cell>
          <cell r="K49">
            <v>4</v>
          </cell>
          <cell r="L49">
            <v>0</v>
          </cell>
          <cell r="M49">
            <v>1200</v>
          </cell>
        </row>
        <row r="50">
          <cell r="A50" t="str">
            <v>A48</v>
          </cell>
          <cell r="B50">
            <v>2317779.1150000002</v>
          </cell>
          <cell r="C50">
            <v>430324.114</v>
          </cell>
          <cell r="D50">
            <v>30.7</v>
          </cell>
          <cell r="E50" t="str">
            <v>DC2</v>
          </cell>
          <cell r="F50">
            <v>-8.6999999999999993</v>
          </cell>
          <cell r="G50">
            <v>-7.6999999999999993</v>
          </cell>
          <cell r="H50">
            <v>0</v>
          </cell>
          <cell r="I50">
            <v>0</v>
          </cell>
          <cell r="J50" t="str">
            <v/>
          </cell>
          <cell r="K50">
            <v>0</v>
          </cell>
          <cell r="L50">
            <v>0</v>
          </cell>
          <cell r="M50">
            <v>1200</v>
          </cell>
        </row>
        <row r="51">
          <cell r="A51" t="str">
            <v>A49</v>
          </cell>
          <cell r="B51">
            <v>2317779.2790000001</v>
          </cell>
          <cell r="C51">
            <v>430327.71</v>
          </cell>
          <cell r="D51">
            <v>30.7</v>
          </cell>
          <cell r="E51" t="str">
            <v>DC2</v>
          </cell>
          <cell r="F51">
            <v>-8.6999999999999993</v>
          </cell>
          <cell r="G51">
            <v>-7.6999999999999993</v>
          </cell>
          <cell r="H51" t="str">
            <v>X</v>
          </cell>
          <cell r="I51">
            <v>0</v>
          </cell>
          <cell r="J51" t="str">
            <v>SA</v>
          </cell>
          <cell r="K51">
            <v>4</v>
          </cell>
          <cell r="L51">
            <v>0</v>
          </cell>
          <cell r="M51">
            <v>1200</v>
          </cell>
        </row>
        <row r="52">
          <cell r="A52" t="str">
            <v>A50</v>
          </cell>
          <cell r="B52">
            <v>2317775.2829999998</v>
          </cell>
          <cell r="C52">
            <v>430327.89199999999</v>
          </cell>
          <cell r="D52">
            <v>29.5</v>
          </cell>
          <cell r="E52" t="str">
            <v>DC2</v>
          </cell>
          <cell r="F52">
            <v>-8.6999999999999993</v>
          </cell>
          <cell r="G52">
            <v>-7.6999999999999993</v>
          </cell>
          <cell r="H52">
            <v>0</v>
          </cell>
          <cell r="I52">
            <v>0</v>
          </cell>
          <cell r="J52" t="str">
            <v/>
          </cell>
          <cell r="K52">
            <v>0</v>
          </cell>
          <cell r="L52">
            <v>0</v>
          </cell>
          <cell r="M52">
            <v>1200</v>
          </cell>
        </row>
        <row r="53">
          <cell r="A53" t="str">
            <v>A51</v>
          </cell>
          <cell r="B53">
            <v>2317772.2859999998</v>
          </cell>
          <cell r="C53">
            <v>430328.02799999999</v>
          </cell>
          <cell r="D53">
            <v>30.7</v>
          </cell>
          <cell r="E53" t="str">
            <v>DC2</v>
          </cell>
          <cell r="F53">
            <v>-8.6999999999999993</v>
          </cell>
          <cell r="G53">
            <v>-7.6999999999999993</v>
          </cell>
          <cell r="H53">
            <v>0</v>
          </cell>
          <cell r="I53">
            <v>0</v>
          </cell>
          <cell r="J53" t="str">
            <v/>
          </cell>
          <cell r="K53">
            <v>0</v>
          </cell>
          <cell r="L53">
            <v>0</v>
          </cell>
          <cell r="M53">
            <v>1200</v>
          </cell>
        </row>
        <row r="54">
          <cell r="A54" t="str">
            <v>A52</v>
          </cell>
          <cell r="B54">
            <v>2317769.2889999999</v>
          </cell>
          <cell r="C54">
            <v>430328.16399999999</v>
          </cell>
          <cell r="D54">
            <v>23.4</v>
          </cell>
          <cell r="E54" t="str">
            <v>DC2</v>
          </cell>
          <cell r="F54">
            <v>-8.6999999999999993</v>
          </cell>
          <cell r="G54">
            <v>-7.6999999999999993</v>
          </cell>
          <cell r="H54">
            <v>0</v>
          </cell>
          <cell r="I54" t="str">
            <v>X</v>
          </cell>
          <cell r="J54" t="str">
            <v>L</v>
          </cell>
          <cell r="K54">
            <v>3</v>
          </cell>
          <cell r="L54">
            <v>1</v>
          </cell>
          <cell r="M54">
            <v>1200</v>
          </cell>
        </row>
        <row r="55">
          <cell r="A55" t="str">
            <v>A53</v>
          </cell>
          <cell r="B55">
            <v>2317769.4530000002</v>
          </cell>
          <cell r="C55">
            <v>430331.761</v>
          </cell>
          <cell r="D55">
            <v>23.4</v>
          </cell>
          <cell r="E55" t="str">
            <v>DC2</v>
          </cell>
          <cell r="F55">
            <v>-8.6999999999999993</v>
          </cell>
          <cell r="G55">
            <v>-7.6999999999999993</v>
          </cell>
          <cell r="H55">
            <v>0</v>
          </cell>
          <cell r="I55">
            <v>0</v>
          </cell>
          <cell r="J55" t="str">
            <v/>
          </cell>
          <cell r="K55">
            <v>0</v>
          </cell>
          <cell r="L55">
            <v>0</v>
          </cell>
          <cell r="M55">
            <v>1200</v>
          </cell>
        </row>
        <row r="56">
          <cell r="A56" t="str">
            <v>A54</v>
          </cell>
          <cell r="B56">
            <v>2317772.4500000002</v>
          </cell>
          <cell r="C56">
            <v>430331.62400000001</v>
          </cell>
          <cell r="D56">
            <v>19.7</v>
          </cell>
          <cell r="E56" t="str">
            <v>DC2</v>
          </cell>
          <cell r="F56">
            <v>-8.6999999999999993</v>
          </cell>
          <cell r="G56">
            <v>-7.6999999999999993</v>
          </cell>
          <cell r="H56">
            <v>0</v>
          </cell>
          <cell r="I56">
            <v>0</v>
          </cell>
          <cell r="J56" t="str">
            <v/>
          </cell>
          <cell r="K56">
            <v>0</v>
          </cell>
          <cell r="L56">
            <v>0</v>
          </cell>
          <cell r="M56">
            <v>1200</v>
          </cell>
        </row>
        <row r="57">
          <cell r="A57" t="str">
            <v>A55</v>
          </cell>
          <cell r="B57">
            <v>2317775.446</v>
          </cell>
          <cell r="C57">
            <v>430331.48800000001</v>
          </cell>
          <cell r="D57">
            <v>25.8</v>
          </cell>
          <cell r="E57" t="str">
            <v>DC2</v>
          </cell>
          <cell r="F57">
            <v>-8.6999999999999993</v>
          </cell>
          <cell r="G57">
            <v>-7.6999999999999993</v>
          </cell>
          <cell r="H57" t="str">
            <v>X</v>
          </cell>
          <cell r="I57">
            <v>0</v>
          </cell>
          <cell r="J57" t="str">
            <v>SA</v>
          </cell>
          <cell r="K57">
            <v>4</v>
          </cell>
          <cell r="L57">
            <v>0</v>
          </cell>
          <cell r="M57">
            <v>1200</v>
          </cell>
        </row>
        <row r="58">
          <cell r="A58" t="str">
            <v>A56</v>
          </cell>
          <cell r="B58">
            <v>2317779.4419999998</v>
          </cell>
          <cell r="C58">
            <v>430331.30599999998</v>
          </cell>
          <cell r="D58">
            <v>25.8</v>
          </cell>
          <cell r="E58" t="str">
            <v>DC2</v>
          </cell>
          <cell r="F58">
            <v>-8.6999999999999993</v>
          </cell>
          <cell r="G58">
            <v>-7.6999999999999993</v>
          </cell>
          <cell r="H58">
            <v>0</v>
          </cell>
          <cell r="I58">
            <v>0</v>
          </cell>
          <cell r="J58" t="str">
            <v/>
          </cell>
          <cell r="K58">
            <v>0</v>
          </cell>
          <cell r="L58">
            <v>0</v>
          </cell>
          <cell r="M58">
            <v>1200</v>
          </cell>
        </row>
        <row r="59">
          <cell r="A59" t="str">
            <v>A57</v>
          </cell>
          <cell r="B59">
            <v>2317779.6060000001</v>
          </cell>
          <cell r="C59">
            <v>430334.90299999999</v>
          </cell>
          <cell r="D59">
            <v>25.8</v>
          </cell>
          <cell r="E59" t="str">
            <v>DC2</v>
          </cell>
          <cell r="F59">
            <v>-8.6999999999999993</v>
          </cell>
          <cell r="G59">
            <v>-7.6999999999999993</v>
          </cell>
          <cell r="H59" t="str">
            <v>X</v>
          </cell>
          <cell r="I59">
            <v>0</v>
          </cell>
          <cell r="J59" t="str">
            <v>SA</v>
          </cell>
          <cell r="K59">
            <v>4</v>
          </cell>
          <cell r="L59">
            <v>0</v>
          </cell>
          <cell r="M59">
            <v>1200</v>
          </cell>
        </row>
        <row r="60">
          <cell r="A60" t="str">
            <v>A58</v>
          </cell>
          <cell r="B60">
            <v>2317775.61</v>
          </cell>
          <cell r="C60">
            <v>430335.08399999997</v>
          </cell>
          <cell r="D60">
            <v>25.8</v>
          </cell>
          <cell r="E60" t="str">
            <v>DC2</v>
          </cell>
          <cell r="F60">
            <v>-8.6999999999999993</v>
          </cell>
          <cell r="G60">
            <v>-7.6999999999999993</v>
          </cell>
          <cell r="H60">
            <v>0</v>
          </cell>
          <cell r="I60">
            <v>0</v>
          </cell>
          <cell r="J60" t="str">
            <v/>
          </cell>
          <cell r="K60">
            <v>0</v>
          </cell>
          <cell r="L60">
            <v>0</v>
          </cell>
          <cell r="M60">
            <v>1200</v>
          </cell>
        </row>
        <row r="61">
          <cell r="A61" t="str">
            <v>A59</v>
          </cell>
          <cell r="B61">
            <v>2317772.6129999999</v>
          </cell>
          <cell r="C61">
            <v>430335.22100000002</v>
          </cell>
          <cell r="D61">
            <v>19.7</v>
          </cell>
          <cell r="E61" t="str">
            <v>DC2</v>
          </cell>
          <cell r="F61">
            <v>-8.6999999999999993</v>
          </cell>
          <cell r="G61">
            <v>-7.6999999999999993</v>
          </cell>
          <cell r="H61">
            <v>0</v>
          </cell>
          <cell r="I61">
            <v>0</v>
          </cell>
          <cell r="J61" t="str">
            <v/>
          </cell>
          <cell r="K61">
            <v>0</v>
          </cell>
          <cell r="L61">
            <v>0</v>
          </cell>
          <cell r="M61">
            <v>1200</v>
          </cell>
        </row>
        <row r="62">
          <cell r="A62" t="str">
            <v>A60</v>
          </cell>
          <cell r="B62">
            <v>2317769.6159999999</v>
          </cell>
          <cell r="C62">
            <v>430335.35700000002</v>
          </cell>
          <cell r="D62">
            <v>23.4</v>
          </cell>
          <cell r="E62" t="str">
            <v>DC2</v>
          </cell>
          <cell r="F62">
            <v>-8.6999999999999993</v>
          </cell>
          <cell r="G62">
            <v>-7.6999999999999993</v>
          </cell>
          <cell r="H62">
            <v>0</v>
          </cell>
          <cell r="I62">
            <v>0</v>
          </cell>
          <cell r="J62" t="str">
            <v/>
          </cell>
          <cell r="K62">
            <v>0</v>
          </cell>
          <cell r="L62">
            <v>0</v>
          </cell>
          <cell r="M62">
            <v>1200</v>
          </cell>
        </row>
        <row r="63">
          <cell r="A63" t="str">
            <v>A61</v>
          </cell>
          <cell r="B63">
            <v>2317768.2110000001</v>
          </cell>
          <cell r="C63">
            <v>430337.92300000001</v>
          </cell>
          <cell r="D63">
            <v>23.4</v>
          </cell>
          <cell r="E63" t="str">
            <v>DC6</v>
          </cell>
          <cell r="F63">
            <v>-8.6999999999999993</v>
          </cell>
          <cell r="G63">
            <v>-7.6999999999999993</v>
          </cell>
          <cell r="H63">
            <v>0</v>
          </cell>
          <cell r="I63">
            <v>0</v>
          </cell>
          <cell r="J63" t="str">
            <v/>
          </cell>
          <cell r="K63">
            <v>0</v>
          </cell>
          <cell r="L63">
            <v>0</v>
          </cell>
          <cell r="M63">
            <v>1200</v>
          </cell>
        </row>
        <row r="64">
          <cell r="A64" t="str">
            <v>A62</v>
          </cell>
          <cell r="B64">
            <v>2317768.3480000002</v>
          </cell>
          <cell r="C64">
            <v>430340.92</v>
          </cell>
          <cell r="D64">
            <v>23.4</v>
          </cell>
          <cell r="E64" t="str">
            <v>DC6</v>
          </cell>
          <cell r="F64">
            <v>-8.6999999999999993</v>
          </cell>
          <cell r="G64">
            <v>-7.6999999999999993</v>
          </cell>
          <cell r="H64" t="str">
            <v>X</v>
          </cell>
          <cell r="I64">
            <v>0</v>
          </cell>
          <cell r="J64" t="str">
            <v>SA</v>
          </cell>
          <cell r="K64">
            <v>4</v>
          </cell>
          <cell r="L64">
            <v>0</v>
          </cell>
          <cell r="M64">
            <v>1200</v>
          </cell>
        </row>
        <row r="65">
          <cell r="A65" t="str">
            <v>A63</v>
          </cell>
          <cell r="B65">
            <v>2317770.2379999999</v>
          </cell>
          <cell r="C65">
            <v>430344.63799999998</v>
          </cell>
          <cell r="D65">
            <v>37.4</v>
          </cell>
          <cell r="E65" t="str">
            <v>DC1</v>
          </cell>
          <cell r="F65">
            <v>-8.6999999999999993</v>
          </cell>
          <cell r="G65">
            <v>-7.6999999999999993</v>
          </cell>
          <cell r="H65">
            <v>0</v>
          </cell>
          <cell r="I65">
            <v>0</v>
          </cell>
          <cell r="J65" t="str">
            <v/>
          </cell>
          <cell r="K65">
            <v>0</v>
          </cell>
          <cell r="L65">
            <v>0</v>
          </cell>
          <cell r="M65">
            <v>1200</v>
          </cell>
        </row>
        <row r="66">
          <cell r="A66" t="str">
            <v>A64</v>
          </cell>
          <cell r="B66">
            <v>2317773.3309999998</v>
          </cell>
          <cell r="C66">
            <v>430346.6</v>
          </cell>
          <cell r="D66">
            <v>36.200000000000003</v>
          </cell>
          <cell r="E66" t="str">
            <v>DC1</v>
          </cell>
          <cell r="F66">
            <v>-8.6999999999999993</v>
          </cell>
          <cell r="G66">
            <v>-7.6999999999999993</v>
          </cell>
          <cell r="H66" t="str">
            <v>X</v>
          </cell>
          <cell r="I66">
            <v>0</v>
          </cell>
          <cell r="J66" t="str">
            <v>SA</v>
          </cell>
          <cell r="K66">
            <v>4</v>
          </cell>
          <cell r="L66">
            <v>0</v>
          </cell>
          <cell r="M66">
            <v>1200</v>
          </cell>
        </row>
        <row r="67">
          <cell r="A67" t="str">
            <v>A65</v>
          </cell>
          <cell r="B67">
            <v>2317776.2319999998</v>
          </cell>
          <cell r="C67">
            <v>430344.36599999998</v>
          </cell>
          <cell r="D67">
            <v>36.200000000000003</v>
          </cell>
          <cell r="E67" t="str">
            <v>DC1</v>
          </cell>
          <cell r="F67">
            <v>-9.6999999999999993</v>
          </cell>
          <cell r="G67">
            <v>-8.6999999999999993</v>
          </cell>
          <cell r="H67" t="str">
            <v>X</v>
          </cell>
          <cell r="I67">
            <v>0</v>
          </cell>
          <cell r="J67" t="str">
            <v>SA</v>
          </cell>
          <cell r="K67">
            <v>4</v>
          </cell>
          <cell r="L67">
            <v>0</v>
          </cell>
          <cell r="M67">
            <v>1200</v>
          </cell>
        </row>
        <row r="68">
          <cell r="A68" t="str">
            <v>A66</v>
          </cell>
          <cell r="B68">
            <v>2317779.324</v>
          </cell>
          <cell r="C68">
            <v>430346.32699999999</v>
          </cell>
          <cell r="D68">
            <v>25.4</v>
          </cell>
          <cell r="E68" t="str">
            <v>DC1</v>
          </cell>
          <cell r="F68">
            <v>-9.6999999999999993</v>
          </cell>
          <cell r="G68">
            <v>-8.6999999999999993</v>
          </cell>
          <cell r="H68">
            <v>0</v>
          </cell>
          <cell r="I68">
            <v>0</v>
          </cell>
          <cell r="J68" t="str">
            <v/>
          </cell>
          <cell r="K68">
            <v>0</v>
          </cell>
          <cell r="L68">
            <v>0</v>
          </cell>
          <cell r="M68">
            <v>1200</v>
          </cell>
        </row>
        <row r="69">
          <cell r="A69" t="str">
            <v>A67</v>
          </cell>
          <cell r="B69">
            <v>2317782.2259999998</v>
          </cell>
          <cell r="C69">
            <v>430344.09299999999</v>
          </cell>
          <cell r="D69">
            <v>26.5</v>
          </cell>
          <cell r="E69" t="str">
            <v>DC1</v>
          </cell>
          <cell r="F69">
            <v>-9.6999999999999993</v>
          </cell>
          <cell r="G69">
            <v>-8.6999999999999993</v>
          </cell>
          <cell r="H69">
            <v>0</v>
          </cell>
          <cell r="I69">
            <v>0</v>
          </cell>
          <cell r="J69" t="str">
            <v/>
          </cell>
          <cell r="K69">
            <v>0</v>
          </cell>
          <cell r="L69">
            <v>0</v>
          </cell>
          <cell r="M69">
            <v>1200</v>
          </cell>
        </row>
        <row r="70">
          <cell r="A70" t="str">
            <v>A68</v>
          </cell>
          <cell r="B70">
            <v>2317782.389</v>
          </cell>
          <cell r="C70">
            <v>430347.69</v>
          </cell>
          <cell r="D70">
            <v>25.4</v>
          </cell>
          <cell r="E70" t="str">
            <v>DC1</v>
          </cell>
          <cell r="F70">
            <v>-9.6999999999999993</v>
          </cell>
          <cell r="G70">
            <v>-8.6999999999999993</v>
          </cell>
          <cell r="H70" t="str">
            <v>X</v>
          </cell>
          <cell r="I70">
            <v>0</v>
          </cell>
          <cell r="J70" t="str">
            <v>SA</v>
          </cell>
          <cell r="K70">
            <v>4</v>
          </cell>
          <cell r="L70">
            <v>0</v>
          </cell>
          <cell r="M70">
            <v>1200</v>
          </cell>
        </row>
        <row r="71">
          <cell r="A71" t="str">
            <v>A69</v>
          </cell>
          <cell r="B71">
            <v>2317779.4610000001</v>
          </cell>
          <cell r="C71">
            <v>430349.32400000002</v>
          </cell>
          <cell r="D71">
            <v>25.4</v>
          </cell>
          <cell r="E71" t="str">
            <v>DC1</v>
          </cell>
          <cell r="F71">
            <v>-9.6999999999999993</v>
          </cell>
          <cell r="G71">
            <v>-8.6999999999999993</v>
          </cell>
          <cell r="H71">
            <v>0</v>
          </cell>
          <cell r="I71">
            <v>0</v>
          </cell>
          <cell r="J71" t="str">
            <v/>
          </cell>
          <cell r="K71">
            <v>0</v>
          </cell>
          <cell r="L71">
            <v>0</v>
          </cell>
          <cell r="M71">
            <v>1200</v>
          </cell>
        </row>
        <row r="72">
          <cell r="A72" t="str">
            <v>A70</v>
          </cell>
          <cell r="B72">
            <v>2317776.3960000002</v>
          </cell>
          <cell r="C72">
            <v>430347.962</v>
          </cell>
          <cell r="D72">
            <v>26.8</v>
          </cell>
          <cell r="E72" t="str">
            <v>DC1</v>
          </cell>
          <cell r="F72">
            <v>-9.6999999999999993</v>
          </cell>
          <cell r="G72">
            <v>-8.6999999999999993</v>
          </cell>
          <cell r="H72">
            <v>0</v>
          </cell>
          <cell r="I72">
            <v>0</v>
          </cell>
          <cell r="J72" t="str">
            <v/>
          </cell>
          <cell r="K72">
            <v>0</v>
          </cell>
          <cell r="L72">
            <v>0</v>
          </cell>
          <cell r="M72">
            <v>1200</v>
          </cell>
        </row>
        <row r="73">
          <cell r="A73" t="str">
            <v>A71</v>
          </cell>
          <cell r="B73">
            <v>2317773.4670000002</v>
          </cell>
          <cell r="C73">
            <v>430349.59700000001</v>
          </cell>
          <cell r="D73">
            <v>26.8</v>
          </cell>
          <cell r="E73" t="str">
            <v>DC1</v>
          </cell>
          <cell r="F73">
            <v>-8.6999999999999993</v>
          </cell>
          <cell r="G73">
            <v>-7.6999999999999993</v>
          </cell>
          <cell r="H73">
            <v>0</v>
          </cell>
          <cell r="I73">
            <v>0</v>
          </cell>
          <cell r="J73" t="str">
            <v/>
          </cell>
          <cell r="K73">
            <v>0</v>
          </cell>
          <cell r="L73">
            <v>0</v>
          </cell>
          <cell r="M73">
            <v>1200</v>
          </cell>
        </row>
        <row r="74">
          <cell r="A74" t="str">
            <v>A72</v>
          </cell>
          <cell r="B74">
            <v>2317770.4019999998</v>
          </cell>
          <cell r="C74">
            <v>430348.23499999999</v>
          </cell>
          <cell r="D74">
            <v>26.8</v>
          </cell>
          <cell r="E74" t="str">
            <v>DC1</v>
          </cell>
          <cell r="F74">
            <v>-8.6999999999999993</v>
          </cell>
          <cell r="G74">
            <v>-7.6999999999999993</v>
          </cell>
          <cell r="H74">
            <v>0</v>
          </cell>
          <cell r="I74" t="str">
            <v>X</v>
          </cell>
          <cell r="J74" t="str">
            <v>L</v>
          </cell>
          <cell r="K74">
            <v>3</v>
          </cell>
          <cell r="L74">
            <v>1</v>
          </cell>
          <cell r="M74">
            <v>1200</v>
          </cell>
        </row>
        <row r="75">
          <cell r="A75" t="str">
            <v>A73</v>
          </cell>
          <cell r="B75">
            <v>2317770.5380000002</v>
          </cell>
          <cell r="C75">
            <v>430351.23100000003</v>
          </cell>
          <cell r="D75">
            <v>26.8</v>
          </cell>
          <cell r="E75" t="str">
            <v>DC1</v>
          </cell>
          <cell r="F75">
            <v>-8.6999999999999993</v>
          </cell>
          <cell r="G75">
            <v>-7.6999999999999993</v>
          </cell>
          <cell r="H75">
            <v>0</v>
          </cell>
          <cell r="I75">
            <v>0</v>
          </cell>
          <cell r="J75" t="str">
            <v/>
          </cell>
          <cell r="K75">
            <v>0</v>
          </cell>
          <cell r="L75">
            <v>0</v>
          </cell>
          <cell r="M75">
            <v>1200</v>
          </cell>
        </row>
        <row r="76">
          <cell r="A76" t="str">
            <v>A74</v>
          </cell>
          <cell r="B76">
            <v>2317773.6030000001</v>
          </cell>
          <cell r="C76">
            <v>430352.59399999998</v>
          </cell>
          <cell r="D76">
            <v>26.8</v>
          </cell>
          <cell r="E76" t="str">
            <v>DC1</v>
          </cell>
          <cell r="F76">
            <v>-8.6999999999999993</v>
          </cell>
          <cell r="G76">
            <v>-7.6999999999999993</v>
          </cell>
          <cell r="H76">
            <v>0</v>
          </cell>
          <cell r="I76">
            <v>0</v>
          </cell>
          <cell r="J76" t="str">
            <v/>
          </cell>
          <cell r="K76">
            <v>0</v>
          </cell>
          <cell r="L76">
            <v>0</v>
          </cell>
          <cell r="M76">
            <v>1200</v>
          </cell>
        </row>
        <row r="77">
          <cell r="A77" t="str">
            <v>A75</v>
          </cell>
          <cell r="B77">
            <v>2317776.5320000001</v>
          </cell>
          <cell r="C77">
            <v>430350.95899999997</v>
          </cell>
          <cell r="D77">
            <v>26.8</v>
          </cell>
          <cell r="E77" t="str">
            <v>DC1</v>
          </cell>
          <cell r="F77">
            <v>-9.6999999999999993</v>
          </cell>
          <cell r="G77">
            <v>-8.6999999999999993</v>
          </cell>
          <cell r="H77" t="str">
            <v>X</v>
          </cell>
          <cell r="I77">
            <v>0</v>
          </cell>
          <cell r="J77" t="str">
            <v>SA</v>
          </cell>
          <cell r="K77">
            <v>4</v>
          </cell>
          <cell r="L77">
            <v>0</v>
          </cell>
          <cell r="M77">
            <v>1200</v>
          </cell>
        </row>
        <row r="78">
          <cell r="A78" t="str">
            <v>A76</v>
          </cell>
          <cell r="B78">
            <v>2317779.5970000001</v>
          </cell>
          <cell r="C78">
            <v>430352.321</v>
          </cell>
          <cell r="D78">
            <v>25.4</v>
          </cell>
          <cell r="E78" t="str">
            <v>DC1</v>
          </cell>
          <cell r="F78">
            <v>-9.6999999999999993</v>
          </cell>
          <cell r="G78">
            <v>-8.6999999999999993</v>
          </cell>
          <cell r="H78">
            <v>0</v>
          </cell>
          <cell r="I78">
            <v>0</v>
          </cell>
          <cell r="J78" t="str">
            <v/>
          </cell>
          <cell r="K78">
            <v>0</v>
          </cell>
          <cell r="L78">
            <v>0</v>
          </cell>
          <cell r="M78">
            <v>1200</v>
          </cell>
        </row>
        <row r="79">
          <cell r="A79" t="str">
            <v>A77</v>
          </cell>
          <cell r="B79">
            <v>2317782.5260000001</v>
          </cell>
          <cell r="C79">
            <v>430350.68599999999</v>
          </cell>
          <cell r="D79">
            <v>25.4</v>
          </cell>
          <cell r="E79" t="str">
            <v>DC1</v>
          </cell>
          <cell r="F79">
            <v>-9.6999999999999993</v>
          </cell>
          <cell r="G79">
            <v>-8.6999999999999993</v>
          </cell>
          <cell r="H79">
            <v>0</v>
          </cell>
          <cell r="I79">
            <v>0</v>
          </cell>
          <cell r="J79" t="str">
            <v/>
          </cell>
          <cell r="K79">
            <v>0</v>
          </cell>
          <cell r="L79">
            <v>0</v>
          </cell>
          <cell r="M79">
            <v>1200</v>
          </cell>
        </row>
        <row r="80">
          <cell r="A80" t="str">
            <v>A78</v>
          </cell>
          <cell r="B80">
            <v>2317782.662</v>
          </cell>
          <cell r="C80">
            <v>430353.68300000002</v>
          </cell>
          <cell r="D80">
            <v>25.4</v>
          </cell>
          <cell r="E80" t="str">
            <v>DC1</v>
          </cell>
          <cell r="F80">
            <v>-9.6999999999999993</v>
          </cell>
          <cell r="G80">
            <v>-8.6999999999999993</v>
          </cell>
          <cell r="H80" t="str">
            <v>X</v>
          </cell>
          <cell r="I80">
            <v>0</v>
          </cell>
          <cell r="J80" t="str">
            <v>SA</v>
          </cell>
          <cell r="K80">
            <v>4</v>
          </cell>
          <cell r="L80">
            <v>0</v>
          </cell>
          <cell r="M80">
            <v>1200</v>
          </cell>
        </row>
        <row r="81">
          <cell r="A81" t="str">
            <v>A79</v>
          </cell>
          <cell r="B81">
            <v>2317779.733</v>
          </cell>
          <cell r="C81">
            <v>430355.31800000003</v>
          </cell>
          <cell r="D81">
            <v>26.8</v>
          </cell>
          <cell r="E81" t="str">
            <v>DC1</v>
          </cell>
          <cell r="F81">
            <v>-9.6999999999999993</v>
          </cell>
          <cell r="G81">
            <v>-8.6999999999999993</v>
          </cell>
          <cell r="H81">
            <v>0</v>
          </cell>
          <cell r="I81">
            <v>0</v>
          </cell>
          <cell r="J81" t="str">
            <v/>
          </cell>
          <cell r="K81">
            <v>0</v>
          </cell>
          <cell r="L81">
            <v>0</v>
          </cell>
          <cell r="M81">
            <v>1200</v>
          </cell>
        </row>
        <row r="82">
          <cell r="A82" t="str">
            <v>A80</v>
          </cell>
          <cell r="B82">
            <v>2317776.6680000001</v>
          </cell>
          <cell r="C82">
            <v>430353.95600000001</v>
          </cell>
          <cell r="D82">
            <v>26.8</v>
          </cell>
          <cell r="E82" t="str">
            <v>DC1</v>
          </cell>
          <cell r="F82">
            <v>-9.6999999999999993</v>
          </cell>
          <cell r="G82">
            <v>-8.6999999999999993</v>
          </cell>
          <cell r="H82">
            <v>0</v>
          </cell>
          <cell r="I82">
            <v>0</v>
          </cell>
          <cell r="J82" t="str">
            <v/>
          </cell>
          <cell r="K82">
            <v>0</v>
          </cell>
          <cell r="L82">
            <v>0</v>
          </cell>
          <cell r="M82">
            <v>1200</v>
          </cell>
        </row>
        <row r="83">
          <cell r="A83" t="str">
            <v>A81</v>
          </cell>
          <cell r="B83">
            <v>2317773.7390000001</v>
          </cell>
          <cell r="C83">
            <v>430355.59100000001</v>
          </cell>
          <cell r="D83">
            <v>26.8</v>
          </cell>
          <cell r="E83" t="str">
            <v>DC1</v>
          </cell>
          <cell r="F83">
            <v>-8.6999999999999993</v>
          </cell>
          <cell r="G83">
            <v>-7.6999999999999993</v>
          </cell>
          <cell r="H83">
            <v>0</v>
          </cell>
          <cell r="I83">
            <v>0</v>
          </cell>
          <cell r="J83" t="str">
            <v/>
          </cell>
          <cell r="K83">
            <v>0</v>
          </cell>
          <cell r="L83">
            <v>0</v>
          </cell>
          <cell r="M83">
            <v>1200</v>
          </cell>
        </row>
        <row r="84">
          <cell r="A84" t="str">
            <v>A82</v>
          </cell>
          <cell r="B84">
            <v>2317770.6740000001</v>
          </cell>
          <cell r="C84">
            <v>430354.228</v>
          </cell>
          <cell r="D84">
            <v>26.8</v>
          </cell>
          <cell r="E84" t="str">
            <v>DC1</v>
          </cell>
          <cell r="F84">
            <v>-8.6999999999999993</v>
          </cell>
          <cell r="G84">
            <v>-7.6999999999999993</v>
          </cell>
          <cell r="H84">
            <v>0</v>
          </cell>
          <cell r="I84">
            <v>0</v>
          </cell>
          <cell r="J84" t="str">
            <v/>
          </cell>
          <cell r="K84">
            <v>0</v>
          </cell>
          <cell r="L84">
            <v>0</v>
          </cell>
          <cell r="M84">
            <v>1200</v>
          </cell>
        </row>
        <row r="85">
          <cell r="A85" t="str">
            <v>A83</v>
          </cell>
          <cell r="B85">
            <v>2317770.8110000002</v>
          </cell>
          <cell r="C85">
            <v>430357.22499999998</v>
          </cell>
          <cell r="D85">
            <v>26.8</v>
          </cell>
          <cell r="E85" t="str">
            <v>DC1</v>
          </cell>
          <cell r="F85">
            <v>-8.6999999999999993</v>
          </cell>
          <cell r="G85">
            <v>-7.6999999999999993</v>
          </cell>
          <cell r="H85">
            <v>0</v>
          </cell>
          <cell r="I85">
            <v>0</v>
          </cell>
          <cell r="J85" t="str">
            <v/>
          </cell>
          <cell r="K85">
            <v>0</v>
          </cell>
          <cell r="L85">
            <v>0</v>
          </cell>
          <cell r="M85">
            <v>1200</v>
          </cell>
        </row>
        <row r="86">
          <cell r="A86" t="str">
            <v>A84</v>
          </cell>
          <cell r="B86">
            <v>2317773.8760000002</v>
          </cell>
          <cell r="C86">
            <v>430358.587</v>
          </cell>
          <cell r="D86">
            <v>26.8</v>
          </cell>
          <cell r="E86" t="str">
            <v>DC1</v>
          </cell>
          <cell r="F86">
            <v>-8.6999999999999993</v>
          </cell>
          <cell r="G86">
            <v>-7.6999999999999993</v>
          </cell>
          <cell r="H86">
            <v>0</v>
          </cell>
          <cell r="I86">
            <v>0</v>
          </cell>
          <cell r="J86" t="str">
            <v/>
          </cell>
          <cell r="K86">
            <v>0</v>
          </cell>
          <cell r="L86">
            <v>0</v>
          </cell>
          <cell r="M86">
            <v>1200</v>
          </cell>
        </row>
        <row r="87">
          <cell r="A87" t="str">
            <v>A85</v>
          </cell>
          <cell r="B87">
            <v>2317776.804</v>
          </cell>
          <cell r="C87">
            <v>430356.95299999998</v>
          </cell>
          <cell r="D87">
            <v>26.8</v>
          </cell>
          <cell r="E87" t="str">
            <v>DC1</v>
          </cell>
          <cell r="F87">
            <v>-9.6999999999999993</v>
          </cell>
          <cell r="G87">
            <v>-8.6999999999999993</v>
          </cell>
          <cell r="H87">
            <v>0</v>
          </cell>
          <cell r="I87" t="str">
            <v>X</v>
          </cell>
          <cell r="J87" t="str">
            <v>L</v>
          </cell>
          <cell r="K87">
            <v>3</v>
          </cell>
          <cell r="L87">
            <v>1</v>
          </cell>
          <cell r="M87">
            <v>1200</v>
          </cell>
        </row>
        <row r="88">
          <cell r="A88" t="str">
            <v>A86</v>
          </cell>
          <cell r="B88">
            <v>2317779.8689999999</v>
          </cell>
          <cell r="C88">
            <v>430358.315</v>
          </cell>
          <cell r="D88">
            <v>41.7</v>
          </cell>
          <cell r="E88" t="str">
            <v>DC1</v>
          </cell>
          <cell r="F88">
            <v>-9.6999999999999993</v>
          </cell>
          <cell r="G88">
            <v>-8.6999999999999993</v>
          </cell>
          <cell r="H88" t="str">
            <v>X</v>
          </cell>
          <cell r="I88">
            <v>0</v>
          </cell>
          <cell r="J88" t="str">
            <v>SA</v>
          </cell>
          <cell r="K88">
            <v>4</v>
          </cell>
          <cell r="L88">
            <v>0</v>
          </cell>
          <cell r="M88">
            <v>1200</v>
          </cell>
        </row>
        <row r="89">
          <cell r="A89" t="str">
            <v>A87</v>
          </cell>
          <cell r="B89">
            <v>2317782.798</v>
          </cell>
          <cell r="C89">
            <v>430356.68</v>
          </cell>
          <cell r="D89">
            <v>41.7</v>
          </cell>
          <cell r="E89" t="str">
            <v>DC1</v>
          </cell>
          <cell r="F89">
            <v>-9.6999999999999993</v>
          </cell>
          <cell r="G89">
            <v>-8.6999999999999993</v>
          </cell>
          <cell r="H89">
            <v>0</v>
          </cell>
          <cell r="I89">
            <v>0</v>
          </cell>
          <cell r="J89" t="str">
            <v/>
          </cell>
          <cell r="K89">
            <v>0</v>
          </cell>
          <cell r="L89">
            <v>0</v>
          </cell>
          <cell r="M89">
            <v>1200</v>
          </cell>
        </row>
        <row r="90">
          <cell r="A90" t="str">
            <v>A88</v>
          </cell>
          <cell r="B90">
            <v>2317782.9339999999</v>
          </cell>
          <cell r="C90">
            <v>430359.67700000003</v>
          </cell>
          <cell r="D90">
            <v>41.7</v>
          </cell>
          <cell r="E90" t="str">
            <v>DC1</v>
          </cell>
          <cell r="F90">
            <v>-9.6999999999999993</v>
          </cell>
          <cell r="G90">
            <v>-8.6999999999999993</v>
          </cell>
          <cell r="H90" t="str">
            <v>X</v>
          </cell>
          <cell r="I90">
            <v>0</v>
          </cell>
          <cell r="J90" t="str">
            <v>SA</v>
          </cell>
          <cell r="K90">
            <v>4</v>
          </cell>
          <cell r="L90">
            <v>0</v>
          </cell>
          <cell r="M90">
            <v>1200</v>
          </cell>
        </row>
        <row r="91">
          <cell r="A91" t="str">
            <v>A89</v>
          </cell>
          <cell r="B91">
            <v>2317780.0060000001</v>
          </cell>
          <cell r="C91">
            <v>430361.31199999998</v>
          </cell>
          <cell r="D91">
            <v>41.7</v>
          </cell>
          <cell r="E91" t="str">
            <v>DC1</v>
          </cell>
          <cell r="F91">
            <v>-9.6999999999999993</v>
          </cell>
          <cell r="G91">
            <v>-8.6999999999999993</v>
          </cell>
          <cell r="H91">
            <v>0</v>
          </cell>
          <cell r="I91">
            <v>0</v>
          </cell>
          <cell r="J91" t="str">
            <v/>
          </cell>
          <cell r="K91">
            <v>0</v>
          </cell>
          <cell r="L91">
            <v>0</v>
          </cell>
          <cell r="M91">
            <v>1200</v>
          </cell>
        </row>
        <row r="92">
          <cell r="A92" t="str">
            <v>A90</v>
          </cell>
          <cell r="B92">
            <v>2317776.9410000001</v>
          </cell>
          <cell r="C92">
            <v>430359.95</v>
          </cell>
          <cell r="D92">
            <v>26.8</v>
          </cell>
          <cell r="E92" t="str">
            <v>DC1</v>
          </cell>
          <cell r="F92">
            <v>-9.6999999999999993</v>
          </cell>
          <cell r="G92">
            <v>-8.6999999999999993</v>
          </cell>
          <cell r="H92">
            <v>0</v>
          </cell>
          <cell r="I92">
            <v>0</v>
          </cell>
          <cell r="J92" t="str">
            <v/>
          </cell>
          <cell r="K92">
            <v>0</v>
          </cell>
          <cell r="L92">
            <v>0</v>
          </cell>
          <cell r="M92">
            <v>1200</v>
          </cell>
        </row>
        <row r="93">
          <cell r="A93" t="str">
            <v>A91</v>
          </cell>
          <cell r="B93">
            <v>2317774.0120000001</v>
          </cell>
          <cell r="C93">
            <v>430361.58399999997</v>
          </cell>
          <cell r="D93">
            <v>24.9</v>
          </cell>
          <cell r="E93" t="str">
            <v>DC1</v>
          </cell>
          <cell r="F93">
            <v>-8.6999999999999993</v>
          </cell>
          <cell r="G93">
            <v>-7.6999999999999993</v>
          </cell>
          <cell r="H93" t="str">
            <v>X</v>
          </cell>
          <cell r="I93">
            <v>0</v>
          </cell>
          <cell r="J93" t="str">
            <v>SA</v>
          </cell>
          <cell r="K93">
            <v>4</v>
          </cell>
          <cell r="L93">
            <v>0</v>
          </cell>
          <cell r="M93">
            <v>1200</v>
          </cell>
        </row>
        <row r="94">
          <cell r="A94" t="str">
            <v>A92</v>
          </cell>
          <cell r="B94">
            <v>2317770.9470000002</v>
          </cell>
          <cell r="C94">
            <v>430360.22200000001</v>
          </cell>
          <cell r="D94">
            <v>24.9</v>
          </cell>
          <cell r="E94" t="str">
            <v>DC1</v>
          </cell>
          <cell r="F94">
            <v>-8.6999999999999993</v>
          </cell>
          <cell r="G94">
            <v>-7.6999999999999993</v>
          </cell>
          <cell r="H94" t="str">
            <v>X</v>
          </cell>
          <cell r="I94">
            <v>0</v>
          </cell>
          <cell r="J94" t="str">
            <v>SA</v>
          </cell>
          <cell r="K94">
            <v>4</v>
          </cell>
          <cell r="L94">
            <v>0</v>
          </cell>
          <cell r="M94">
            <v>1200</v>
          </cell>
        </row>
        <row r="95">
          <cell r="A95" t="str">
            <v>A93</v>
          </cell>
          <cell r="B95">
            <v>2317771.0830000001</v>
          </cell>
          <cell r="C95">
            <v>430363.21899999998</v>
          </cell>
          <cell r="D95">
            <v>24.9</v>
          </cell>
          <cell r="E95" t="str">
            <v>DC1</v>
          </cell>
          <cell r="F95">
            <v>-8.6999999999999993</v>
          </cell>
          <cell r="G95">
            <v>-7.6999999999999993</v>
          </cell>
          <cell r="H95">
            <v>0</v>
          </cell>
          <cell r="I95">
            <v>0</v>
          </cell>
          <cell r="J95" t="str">
            <v/>
          </cell>
          <cell r="K95">
            <v>0</v>
          </cell>
          <cell r="L95">
            <v>0</v>
          </cell>
          <cell r="M95">
            <v>1200</v>
          </cell>
        </row>
        <row r="96">
          <cell r="A96" t="str">
            <v>A94</v>
          </cell>
          <cell r="B96">
            <v>2317777.077</v>
          </cell>
          <cell r="C96">
            <v>430362.94699999999</v>
          </cell>
          <cell r="D96">
            <v>24.9</v>
          </cell>
          <cell r="E96" t="str">
            <v>DC1</v>
          </cell>
          <cell r="F96">
            <v>-9.6999999999999993</v>
          </cell>
          <cell r="G96">
            <v>-8.6999999999999993</v>
          </cell>
          <cell r="H96" t="str">
            <v>X</v>
          </cell>
          <cell r="I96">
            <v>0</v>
          </cell>
          <cell r="J96" t="str">
            <v>SA</v>
          </cell>
          <cell r="K96">
            <v>4</v>
          </cell>
          <cell r="L96">
            <v>0</v>
          </cell>
          <cell r="M96">
            <v>1200</v>
          </cell>
        </row>
        <row r="97">
          <cell r="A97" t="str">
            <v>A95</v>
          </cell>
          <cell r="B97">
            <v>2317783.071</v>
          </cell>
          <cell r="C97">
            <v>430362.674</v>
          </cell>
          <cell r="D97">
            <v>41.7</v>
          </cell>
          <cell r="E97" t="str">
            <v>DC1</v>
          </cell>
          <cell r="F97">
            <v>-9.6999999999999993</v>
          </cell>
          <cell r="G97">
            <v>-8.6999999999999993</v>
          </cell>
          <cell r="H97">
            <v>0</v>
          </cell>
          <cell r="I97">
            <v>0</v>
          </cell>
          <cell r="J97" t="str">
            <v/>
          </cell>
          <cell r="K97">
            <v>0</v>
          </cell>
          <cell r="L97">
            <v>0</v>
          </cell>
          <cell r="M97">
            <v>1200</v>
          </cell>
        </row>
        <row r="98">
          <cell r="A98" t="str">
            <v>A96</v>
          </cell>
          <cell r="B98">
            <v>2317783.0210000002</v>
          </cell>
          <cell r="C98">
            <v>430369.283</v>
          </cell>
          <cell r="D98">
            <v>22.3</v>
          </cell>
          <cell r="E98" t="str">
            <v>DC3</v>
          </cell>
          <cell r="F98">
            <v>-7.7</v>
          </cell>
          <cell r="G98">
            <v>-6.7</v>
          </cell>
          <cell r="H98" t="str">
            <v>X</v>
          </cell>
          <cell r="I98">
            <v>0</v>
          </cell>
          <cell r="J98" t="str">
            <v>SA</v>
          </cell>
          <cell r="K98">
            <v>4</v>
          </cell>
          <cell r="L98">
            <v>0</v>
          </cell>
          <cell r="M98">
            <v>1200</v>
          </cell>
        </row>
        <row r="99">
          <cell r="A99" t="str">
            <v>A97</v>
          </cell>
          <cell r="B99">
            <v>2317779.0249999999</v>
          </cell>
          <cell r="C99">
            <v>430369.46500000003</v>
          </cell>
          <cell r="D99">
            <v>22.3</v>
          </cell>
          <cell r="E99" t="str">
            <v>DC3</v>
          </cell>
          <cell r="F99">
            <v>-7.7</v>
          </cell>
          <cell r="G99">
            <v>-6.7</v>
          </cell>
          <cell r="H99">
            <v>0</v>
          </cell>
          <cell r="I99">
            <v>0</v>
          </cell>
          <cell r="J99" t="str">
            <v/>
          </cell>
          <cell r="K99">
            <v>0</v>
          </cell>
          <cell r="L99">
            <v>0</v>
          </cell>
          <cell r="M99">
            <v>1200</v>
          </cell>
        </row>
        <row r="100">
          <cell r="A100" t="str">
            <v>A98</v>
          </cell>
          <cell r="B100">
            <v>2317781.1140000001</v>
          </cell>
          <cell r="C100">
            <v>430371.37199999997</v>
          </cell>
          <cell r="D100">
            <v>22.3</v>
          </cell>
          <cell r="E100" t="str">
            <v>DC3</v>
          </cell>
          <cell r="F100">
            <v>-7.7</v>
          </cell>
          <cell r="G100">
            <v>-6.7</v>
          </cell>
          <cell r="H100">
            <v>0</v>
          </cell>
          <cell r="I100">
            <v>0</v>
          </cell>
          <cell r="J100" t="str">
            <v/>
          </cell>
          <cell r="K100">
            <v>0</v>
          </cell>
          <cell r="L100">
            <v>0</v>
          </cell>
          <cell r="M100">
            <v>1200</v>
          </cell>
        </row>
        <row r="101">
          <cell r="A101" t="str">
            <v>A99</v>
          </cell>
          <cell r="B101">
            <v>2317779.2069999999</v>
          </cell>
          <cell r="C101">
            <v>430373.46100000001</v>
          </cell>
          <cell r="D101">
            <v>22.3</v>
          </cell>
          <cell r="E101" t="str">
            <v>DC3</v>
          </cell>
          <cell r="F101">
            <v>-7.7</v>
          </cell>
          <cell r="G101">
            <v>-6.7</v>
          </cell>
          <cell r="H101" t="str">
            <v>X</v>
          </cell>
          <cell r="I101">
            <v>0</v>
          </cell>
          <cell r="J101" t="str">
            <v>SA</v>
          </cell>
          <cell r="K101">
            <v>4</v>
          </cell>
          <cell r="L101">
            <v>0</v>
          </cell>
          <cell r="M101">
            <v>1200</v>
          </cell>
        </row>
        <row r="102">
          <cell r="A102" t="str">
            <v>A100</v>
          </cell>
          <cell r="B102">
            <v>2317783.2030000002</v>
          </cell>
          <cell r="C102">
            <v>430373.27899999998</v>
          </cell>
          <cell r="D102">
            <v>22.3</v>
          </cell>
          <cell r="E102" t="str">
            <v>DC3</v>
          </cell>
          <cell r="F102">
            <v>-7.7</v>
          </cell>
          <cell r="G102">
            <v>-6.7</v>
          </cell>
          <cell r="H102" t="str">
            <v>X</v>
          </cell>
          <cell r="I102">
            <v>0</v>
          </cell>
          <cell r="J102" t="str">
            <v>SA</v>
          </cell>
          <cell r="K102">
            <v>4</v>
          </cell>
          <cell r="L102">
            <v>0</v>
          </cell>
          <cell r="M102">
            <v>1200</v>
          </cell>
        </row>
        <row r="103">
          <cell r="A103" t="str">
            <v>A101</v>
          </cell>
          <cell r="B103">
            <v>2317783.4300000002</v>
          </cell>
          <cell r="C103">
            <v>430378.27399999998</v>
          </cell>
          <cell r="D103">
            <v>32.9</v>
          </cell>
          <cell r="E103" t="str">
            <v>DC3</v>
          </cell>
          <cell r="F103">
            <v>-7.7</v>
          </cell>
          <cell r="G103">
            <v>-6.7</v>
          </cell>
          <cell r="H103" t="str">
            <v>X</v>
          </cell>
          <cell r="I103">
            <v>0</v>
          </cell>
          <cell r="J103" t="str">
            <v>SA</v>
          </cell>
          <cell r="K103">
            <v>4</v>
          </cell>
          <cell r="L103">
            <v>0</v>
          </cell>
          <cell r="M103">
            <v>1200</v>
          </cell>
        </row>
        <row r="104">
          <cell r="A104" t="str">
            <v>A102</v>
          </cell>
          <cell r="B104">
            <v>2317779.4339999999</v>
          </cell>
          <cell r="C104">
            <v>430378.45600000001</v>
          </cell>
          <cell r="D104">
            <v>32.9</v>
          </cell>
          <cell r="E104" t="str">
            <v>DC3</v>
          </cell>
          <cell r="F104">
            <v>-7.7</v>
          </cell>
          <cell r="G104">
            <v>-6.7</v>
          </cell>
          <cell r="H104" t="str">
            <v>X</v>
          </cell>
          <cell r="I104">
            <v>0</v>
          </cell>
          <cell r="J104" t="str">
            <v>SA</v>
          </cell>
          <cell r="K104">
            <v>4</v>
          </cell>
          <cell r="L104">
            <v>0</v>
          </cell>
          <cell r="M104">
            <v>1200</v>
          </cell>
        </row>
        <row r="105">
          <cell r="A105" t="str">
            <v>A103</v>
          </cell>
          <cell r="B105">
            <v>2317781.523</v>
          </cell>
          <cell r="C105">
            <v>430380.36300000001</v>
          </cell>
          <cell r="D105">
            <v>32.9</v>
          </cell>
          <cell r="E105" t="str">
            <v>DC3</v>
          </cell>
          <cell r="F105">
            <v>-7.7</v>
          </cell>
          <cell r="G105">
            <v>-6.7</v>
          </cell>
          <cell r="H105">
            <v>0</v>
          </cell>
          <cell r="I105">
            <v>0</v>
          </cell>
          <cell r="J105" t="str">
            <v/>
          </cell>
          <cell r="K105">
            <v>0</v>
          </cell>
          <cell r="L105">
            <v>0</v>
          </cell>
          <cell r="M105">
            <v>1200</v>
          </cell>
        </row>
        <row r="106">
          <cell r="A106" t="str">
            <v>A104</v>
          </cell>
          <cell r="B106">
            <v>2317783.611</v>
          </cell>
          <cell r="C106">
            <v>430382.27</v>
          </cell>
          <cell r="D106">
            <v>32.9</v>
          </cell>
          <cell r="E106" t="str">
            <v>DC3</v>
          </cell>
          <cell r="F106">
            <v>-7.7</v>
          </cell>
          <cell r="G106">
            <v>-6.7</v>
          </cell>
          <cell r="H106" t="str">
            <v>X</v>
          </cell>
          <cell r="I106">
            <v>0</v>
          </cell>
          <cell r="J106" t="str">
            <v>SA</v>
          </cell>
          <cell r="K106">
            <v>4</v>
          </cell>
          <cell r="L106">
            <v>0</v>
          </cell>
          <cell r="M106">
            <v>1200</v>
          </cell>
        </row>
        <row r="107">
          <cell r="A107" t="str">
            <v>A105</v>
          </cell>
          <cell r="B107">
            <v>2317779.6150000002</v>
          </cell>
          <cell r="C107">
            <v>430382.451</v>
          </cell>
          <cell r="D107">
            <v>32.9</v>
          </cell>
          <cell r="E107" t="str">
            <v>DC3</v>
          </cell>
          <cell r="F107">
            <v>-7.7</v>
          </cell>
          <cell r="G107">
            <v>-6.7</v>
          </cell>
          <cell r="H107" t="str">
            <v>X</v>
          </cell>
          <cell r="I107">
            <v>0</v>
          </cell>
          <cell r="J107" t="str">
            <v>SA</v>
          </cell>
          <cell r="K107">
            <v>4</v>
          </cell>
          <cell r="L107">
            <v>0</v>
          </cell>
          <cell r="M107">
            <v>1200</v>
          </cell>
        </row>
        <row r="108">
          <cell r="A108" t="str">
            <v>A106</v>
          </cell>
          <cell r="B108">
            <v>2317781.8360000001</v>
          </cell>
          <cell r="C108">
            <v>430387.25599999999</v>
          </cell>
          <cell r="D108">
            <v>33.200000000000003</v>
          </cell>
          <cell r="E108" t="str">
            <v>DC5A</v>
          </cell>
          <cell r="F108">
            <v>-7.7</v>
          </cell>
          <cell r="G108">
            <v>-6.7</v>
          </cell>
          <cell r="H108" t="str">
            <v>X</v>
          </cell>
          <cell r="I108">
            <v>0</v>
          </cell>
          <cell r="J108" t="str">
            <v>SA</v>
          </cell>
          <cell r="K108">
            <v>4</v>
          </cell>
          <cell r="L108">
            <v>0</v>
          </cell>
          <cell r="M108">
            <v>1200</v>
          </cell>
        </row>
        <row r="109">
          <cell r="A109" t="str">
            <v>A107</v>
          </cell>
          <cell r="B109">
            <v>2317783.4569999999</v>
          </cell>
          <cell r="C109">
            <v>430389.88500000001</v>
          </cell>
          <cell r="D109">
            <v>33.200000000000003</v>
          </cell>
          <cell r="E109" t="str">
            <v>DC5A</v>
          </cell>
          <cell r="F109">
            <v>-7.7</v>
          </cell>
          <cell r="G109">
            <v>-6.7</v>
          </cell>
          <cell r="H109" t="str">
            <v>X</v>
          </cell>
          <cell r="I109">
            <v>0</v>
          </cell>
          <cell r="J109" t="str">
            <v>SA</v>
          </cell>
          <cell r="K109">
            <v>4</v>
          </cell>
          <cell r="L109">
            <v>0</v>
          </cell>
          <cell r="M109">
            <v>1200</v>
          </cell>
        </row>
        <row r="110">
          <cell r="A110" t="str">
            <v>A108</v>
          </cell>
          <cell r="B110">
            <v>2317780.46</v>
          </cell>
          <cell r="C110">
            <v>430390.02100000001</v>
          </cell>
          <cell r="D110">
            <v>33.200000000000003</v>
          </cell>
          <cell r="E110" t="str">
            <v>DC5A</v>
          </cell>
          <cell r="F110">
            <v>-7.7</v>
          </cell>
          <cell r="G110">
            <v>-6.7</v>
          </cell>
          <cell r="H110">
            <v>0</v>
          </cell>
          <cell r="I110" t="str">
            <v>X</v>
          </cell>
          <cell r="J110" t="str">
            <v>L</v>
          </cell>
          <cell r="K110">
            <v>3</v>
          </cell>
          <cell r="L110">
            <v>1</v>
          </cell>
          <cell r="M110">
            <v>1200</v>
          </cell>
        </row>
        <row r="111">
          <cell r="A111" t="str">
            <v>A109</v>
          </cell>
          <cell r="B111">
            <v>2317770.8960000002</v>
          </cell>
          <cell r="C111">
            <v>430370.33500000002</v>
          </cell>
          <cell r="D111">
            <v>31.4</v>
          </cell>
          <cell r="E111" t="str">
            <v>DC3A</v>
          </cell>
          <cell r="F111">
            <v>-7.7</v>
          </cell>
          <cell r="G111">
            <v>-6.7</v>
          </cell>
          <cell r="H111" t="str">
            <v>X</v>
          </cell>
          <cell r="I111">
            <v>0</v>
          </cell>
          <cell r="J111" t="str">
            <v>SA</v>
          </cell>
          <cell r="K111">
            <v>4</v>
          </cell>
          <cell r="L111">
            <v>0</v>
          </cell>
          <cell r="M111">
            <v>1200</v>
          </cell>
        </row>
        <row r="112">
          <cell r="A112" t="str">
            <v>A110</v>
          </cell>
          <cell r="B112">
            <v>2317773.8930000002</v>
          </cell>
          <cell r="C112">
            <v>430370.19900000002</v>
          </cell>
          <cell r="D112">
            <v>31.4</v>
          </cell>
          <cell r="E112" t="str">
            <v>DC3A</v>
          </cell>
          <cell r="F112">
            <v>-7.7</v>
          </cell>
          <cell r="G112">
            <v>-6.7</v>
          </cell>
          <cell r="H112">
            <v>0</v>
          </cell>
          <cell r="I112">
            <v>0</v>
          </cell>
          <cell r="J112" t="str">
            <v/>
          </cell>
          <cell r="K112">
            <v>0</v>
          </cell>
          <cell r="L112">
            <v>0</v>
          </cell>
          <cell r="M112">
            <v>1200</v>
          </cell>
        </row>
        <row r="113">
          <cell r="A113" t="str">
            <v>A111</v>
          </cell>
          <cell r="B113">
            <v>2317774.0290000001</v>
          </cell>
          <cell r="C113">
            <v>430373.196</v>
          </cell>
          <cell r="D113">
            <v>31.4</v>
          </cell>
          <cell r="E113" t="str">
            <v>DC3A</v>
          </cell>
          <cell r="F113">
            <v>-7.7</v>
          </cell>
          <cell r="G113">
            <v>-6.7</v>
          </cell>
          <cell r="H113" t="str">
            <v>X</v>
          </cell>
          <cell r="I113">
            <v>0</v>
          </cell>
          <cell r="J113" t="str">
            <v>SA</v>
          </cell>
          <cell r="K113">
            <v>4</v>
          </cell>
          <cell r="L113">
            <v>0</v>
          </cell>
          <cell r="M113">
            <v>1200</v>
          </cell>
        </row>
        <row r="114">
          <cell r="A114" t="str">
            <v>A112</v>
          </cell>
          <cell r="B114">
            <v>2317771.0320000001</v>
          </cell>
          <cell r="C114">
            <v>430373.33199999999</v>
          </cell>
          <cell r="D114">
            <v>31.4</v>
          </cell>
          <cell r="E114" t="str">
            <v>DC3A</v>
          </cell>
          <cell r="F114">
            <v>-7.7</v>
          </cell>
          <cell r="G114">
            <v>-6.7</v>
          </cell>
          <cell r="H114">
            <v>0</v>
          </cell>
          <cell r="I114">
            <v>0</v>
          </cell>
          <cell r="J114" t="str">
            <v/>
          </cell>
          <cell r="K114">
            <v>0</v>
          </cell>
          <cell r="L114">
            <v>0</v>
          </cell>
          <cell r="M114">
            <v>1200</v>
          </cell>
        </row>
        <row r="115">
          <cell r="A115" t="str">
            <v>A113</v>
          </cell>
          <cell r="B115">
            <v>2317771.3050000002</v>
          </cell>
          <cell r="C115">
            <v>430379.326</v>
          </cell>
          <cell r="D115">
            <v>43.5</v>
          </cell>
          <cell r="E115" t="str">
            <v>DC3A</v>
          </cell>
          <cell r="F115">
            <v>-7.7</v>
          </cell>
          <cell r="G115">
            <v>-6.7</v>
          </cell>
          <cell r="H115">
            <v>0</v>
          </cell>
          <cell r="I115" t="str">
            <v>X</v>
          </cell>
          <cell r="J115" t="str">
            <v>L</v>
          </cell>
          <cell r="K115">
            <v>3</v>
          </cell>
          <cell r="L115">
            <v>1</v>
          </cell>
          <cell r="M115">
            <v>1200</v>
          </cell>
        </row>
        <row r="116">
          <cell r="A116" t="str">
            <v>A114</v>
          </cell>
          <cell r="B116">
            <v>2317774.3020000001</v>
          </cell>
          <cell r="C116">
            <v>430379.18900000001</v>
          </cell>
          <cell r="D116">
            <v>43.5</v>
          </cell>
          <cell r="E116" t="str">
            <v>DC3A</v>
          </cell>
          <cell r="F116">
            <v>-7.7</v>
          </cell>
          <cell r="G116">
            <v>-6.7</v>
          </cell>
          <cell r="H116" t="str">
            <v>X</v>
          </cell>
          <cell r="I116">
            <v>0</v>
          </cell>
          <cell r="J116" t="str">
            <v>SA</v>
          </cell>
          <cell r="K116">
            <v>4</v>
          </cell>
          <cell r="L116">
            <v>0</v>
          </cell>
          <cell r="M116">
            <v>1200</v>
          </cell>
        </row>
        <row r="117">
          <cell r="A117" t="str">
            <v>A115</v>
          </cell>
          <cell r="B117">
            <v>2317774.4380000001</v>
          </cell>
          <cell r="C117">
            <v>430382.18599999999</v>
          </cell>
          <cell r="D117">
            <v>43.5</v>
          </cell>
          <cell r="E117" t="str">
            <v>DC3A</v>
          </cell>
          <cell r="F117">
            <v>-7.7</v>
          </cell>
          <cell r="G117">
            <v>-6.7</v>
          </cell>
          <cell r="H117" t="str">
            <v>X</v>
          </cell>
          <cell r="I117">
            <v>0</v>
          </cell>
          <cell r="J117" t="str">
            <v>SA</v>
          </cell>
          <cell r="K117">
            <v>4</v>
          </cell>
          <cell r="L117">
            <v>0</v>
          </cell>
          <cell r="M117">
            <v>1200</v>
          </cell>
        </row>
        <row r="118">
          <cell r="A118" t="str">
            <v>A116</v>
          </cell>
          <cell r="B118">
            <v>2317771.4410000001</v>
          </cell>
          <cell r="C118">
            <v>430382.32299999997</v>
          </cell>
          <cell r="D118">
            <v>43.5</v>
          </cell>
          <cell r="E118" t="str">
            <v>DC3A</v>
          </cell>
          <cell r="F118">
            <v>-7.7</v>
          </cell>
          <cell r="G118">
            <v>-6.7</v>
          </cell>
          <cell r="H118">
            <v>0</v>
          </cell>
          <cell r="I118">
            <v>0</v>
          </cell>
          <cell r="J118" t="str">
            <v/>
          </cell>
          <cell r="K118">
            <v>0</v>
          </cell>
          <cell r="L118">
            <v>0</v>
          </cell>
          <cell r="M118">
            <v>1200</v>
          </cell>
        </row>
        <row r="119">
          <cell r="A119" t="str">
            <v>A117</v>
          </cell>
          <cell r="B119">
            <v>2317773.1850000001</v>
          </cell>
          <cell r="C119">
            <v>430387.64899999998</v>
          </cell>
          <cell r="D119">
            <v>40.4</v>
          </cell>
          <cell r="E119" t="str">
            <v>DC5A</v>
          </cell>
          <cell r="F119">
            <v>-7.7</v>
          </cell>
          <cell r="G119">
            <v>-6.7</v>
          </cell>
          <cell r="H119" t="str">
            <v>X</v>
          </cell>
          <cell r="I119">
            <v>0</v>
          </cell>
          <cell r="J119" t="str">
            <v>SA</v>
          </cell>
          <cell r="K119">
            <v>4</v>
          </cell>
          <cell r="L119">
            <v>0</v>
          </cell>
          <cell r="M119">
            <v>1200</v>
          </cell>
        </row>
        <row r="120">
          <cell r="A120" t="str">
            <v>A118</v>
          </cell>
          <cell r="B120">
            <v>2317771.8089999999</v>
          </cell>
          <cell r="C120">
            <v>430390.41399999999</v>
          </cell>
          <cell r="D120">
            <v>40.4</v>
          </cell>
          <cell r="E120" t="str">
            <v>DC5A</v>
          </cell>
          <cell r="F120">
            <v>-7.7</v>
          </cell>
          <cell r="G120">
            <v>-6.7</v>
          </cell>
          <cell r="H120" t="str">
            <v>X</v>
          </cell>
          <cell r="I120">
            <v>0</v>
          </cell>
          <cell r="J120" t="str">
            <v>SA</v>
          </cell>
          <cell r="K120">
            <v>4</v>
          </cell>
          <cell r="L120">
            <v>0</v>
          </cell>
          <cell r="M120">
            <v>1200</v>
          </cell>
        </row>
        <row r="121">
          <cell r="A121" t="str">
            <v>A119</v>
          </cell>
          <cell r="B121">
            <v>2317774.8059999999</v>
          </cell>
          <cell r="C121">
            <v>430390.27799999999</v>
          </cell>
          <cell r="D121">
            <v>40.4</v>
          </cell>
          <cell r="E121" t="str">
            <v>DC5A</v>
          </cell>
          <cell r="F121">
            <v>-7.7</v>
          </cell>
          <cell r="G121">
            <v>-6.7</v>
          </cell>
          <cell r="H121" t="str">
            <v>X</v>
          </cell>
          <cell r="I121">
            <v>0</v>
          </cell>
          <cell r="J121" t="str">
            <v>SA</v>
          </cell>
          <cell r="K121">
            <v>4</v>
          </cell>
          <cell r="L121">
            <v>0</v>
          </cell>
          <cell r="M121">
            <v>1200</v>
          </cell>
        </row>
        <row r="122">
          <cell r="A122" t="str">
            <v>A120</v>
          </cell>
          <cell r="B122">
            <v>2317761.4789999998</v>
          </cell>
          <cell r="C122">
            <v>430306.10600000003</v>
          </cell>
          <cell r="D122">
            <v>23</v>
          </cell>
          <cell r="E122" t="str">
            <v>DC5</v>
          </cell>
          <cell r="F122">
            <v>-8.6999999999999993</v>
          </cell>
          <cell r="G122">
            <v>-7.6999999999999993</v>
          </cell>
          <cell r="H122" t="str">
            <v>X</v>
          </cell>
          <cell r="I122">
            <v>0</v>
          </cell>
          <cell r="J122" t="str">
            <v>SA</v>
          </cell>
          <cell r="K122">
            <v>4</v>
          </cell>
          <cell r="L122">
            <v>0</v>
          </cell>
          <cell r="M122">
            <v>1200</v>
          </cell>
        </row>
        <row r="123">
          <cell r="A123" t="str">
            <v>A121</v>
          </cell>
          <cell r="B123">
            <v>2317758.4819999998</v>
          </cell>
          <cell r="C123">
            <v>430306.24300000002</v>
          </cell>
          <cell r="D123">
            <v>23</v>
          </cell>
          <cell r="E123" t="str">
            <v>DC5</v>
          </cell>
          <cell r="F123">
            <v>-8.6999999999999993</v>
          </cell>
          <cell r="G123">
            <v>-7.6999999999999993</v>
          </cell>
          <cell r="H123">
            <v>0</v>
          </cell>
          <cell r="I123">
            <v>0</v>
          </cell>
          <cell r="J123" t="str">
            <v/>
          </cell>
          <cell r="K123">
            <v>0</v>
          </cell>
          <cell r="L123">
            <v>0</v>
          </cell>
          <cell r="M123">
            <v>1200</v>
          </cell>
        </row>
        <row r="124">
          <cell r="A124" t="str">
            <v>A122</v>
          </cell>
          <cell r="B124">
            <v>2317760.1030000001</v>
          </cell>
          <cell r="C124">
            <v>430308.87199999997</v>
          </cell>
          <cell r="D124">
            <v>23</v>
          </cell>
          <cell r="E124" t="str">
            <v>DC5</v>
          </cell>
          <cell r="F124">
            <v>-8.6999999999999993</v>
          </cell>
          <cell r="G124">
            <v>-7.6999999999999993</v>
          </cell>
          <cell r="H124">
            <v>0</v>
          </cell>
          <cell r="I124">
            <v>0</v>
          </cell>
          <cell r="J124" t="str">
            <v/>
          </cell>
          <cell r="K124">
            <v>0</v>
          </cell>
          <cell r="L124">
            <v>0</v>
          </cell>
          <cell r="M124">
            <v>1200</v>
          </cell>
        </row>
        <row r="125">
          <cell r="A125" t="str">
            <v>A123</v>
          </cell>
          <cell r="B125">
            <v>2317762.1869999999</v>
          </cell>
          <cell r="C125">
            <v>430316.17499999999</v>
          </cell>
          <cell r="D125">
            <v>23</v>
          </cell>
          <cell r="E125" t="str">
            <v>DC5</v>
          </cell>
          <cell r="F125">
            <v>-8.6999999999999993</v>
          </cell>
          <cell r="G125">
            <v>-7.6999999999999993</v>
          </cell>
          <cell r="H125">
            <v>0</v>
          </cell>
          <cell r="I125">
            <v>0</v>
          </cell>
          <cell r="J125" t="str">
            <v/>
          </cell>
          <cell r="K125">
            <v>0</v>
          </cell>
          <cell r="L125">
            <v>0</v>
          </cell>
          <cell r="M125">
            <v>1200</v>
          </cell>
        </row>
        <row r="126">
          <cell r="A126" t="str">
            <v>A124</v>
          </cell>
          <cell r="B126">
            <v>2317759.4219999998</v>
          </cell>
          <cell r="C126">
            <v>430314.799</v>
          </cell>
          <cell r="D126">
            <v>23</v>
          </cell>
          <cell r="E126" t="str">
            <v>DC5</v>
          </cell>
          <cell r="F126">
            <v>-8.6999999999999993</v>
          </cell>
          <cell r="G126">
            <v>-7.6999999999999993</v>
          </cell>
          <cell r="H126" t="str">
            <v>X</v>
          </cell>
          <cell r="I126">
            <v>0</v>
          </cell>
          <cell r="J126" t="str">
            <v>SA</v>
          </cell>
          <cell r="K126">
            <v>4</v>
          </cell>
          <cell r="L126">
            <v>0</v>
          </cell>
          <cell r="M126">
            <v>1200</v>
          </cell>
        </row>
        <row r="127">
          <cell r="A127" t="str">
            <v>A125</v>
          </cell>
          <cell r="B127">
            <v>2317759.5580000002</v>
          </cell>
          <cell r="C127">
            <v>430317.79599999997</v>
          </cell>
          <cell r="D127">
            <v>23</v>
          </cell>
          <cell r="E127" t="str">
            <v>DC5</v>
          </cell>
          <cell r="F127">
            <v>-8.6999999999999993</v>
          </cell>
          <cell r="G127">
            <v>-7.6999999999999993</v>
          </cell>
          <cell r="H127">
            <v>0</v>
          </cell>
          <cell r="I127" t="str">
            <v>X</v>
          </cell>
          <cell r="J127" t="str">
            <v>L</v>
          </cell>
          <cell r="K127">
            <v>3</v>
          </cell>
          <cell r="L127">
            <v>1</v>
          </cell>
          <cell r="M127">
            <v>1200</v>
          </cell>
        </row>
        <row r="128">
          <cell r="A128" t="str">
            <v>A126</v>
          </cell>
          <cell r="B128">
            <v>2317762.5780000002</v>
          </cell>
          <cell r="C128">
            <v>430324.77600000001</v>
          </cell>
          <cell r="D128">
            <v>23.4</v>
          </cell>
          <cell r="E128" t="str">
            <v>DC5</v>
          </cell>
          <cell r="F128">
            <v>-8.6999999999999993</v>
          </cell>
          <cell r="G128">
            <v>-7.6999999999999993</v>
          </cell>
          <cell r="H128" t="str">
            <v>X</v>
          </cell>
          <cell r="I128">
            <v>0</v>
          </cell>
          <cell r="J128" t="str">
            <v>SA</v>
          </cell>
          <cell r="K128">
            <v>4</v>
          </cell>
          <cell r="L128">
            <v>0</v>
          </cell>
          <cell r="M128">
            <v>1200</v>
          </cell>
        </row>
        <row r="129">
          <cell r="A129" t="str">
            <v>A127</v>
          </cell>
          <cell r="B129">
            <v>2317759.8130000001</v>
          </cell>
          <cell r="C129">
            <v>430323.4</v>
          </cell>
          <cell r="D129">
            <v>23.4</v>
          </cell>
          <cell r="E129" t="str">
            <v>DC5</v>
          </cell>
          <cell r="F129">
            <v>-8.6999999999999993</v>
          </cell>
          <cell r="G129">
            <v>-7.6999999999999993</v>
          </cell>
          <cell r="H129">
            <v>0</v>
          </cell>
          <cell r="I129">
            <v>0</v>
          </cell>
          <cell r="J129" t="str">
            <v/>
          </cell>
          <cell r="K129">
            <v>0</v>
          </cell>
          <cell r="L129">
            <v>0</v>
          </cell>
          <cell r="M129">
            <v>1200</v>
          </cell>
        </row>
        <row r="130">
          <cell r="A130" t="str">
            <v>A128</v>
          </cell>
          <cell r="B130">
            <v>2317759.949</v>
          </cell>
          <cell r="C130">
            <v>430326.397</v>
          </cell>
          <cell r="D130">
            <v>23.4</v>
          </cell>
          <cell r="E130" t="str">
            <v>DC5</v>
          </cell>
          <cell r="F130">
            <v>-8.6999999999999993</v>
          </cell>
          <cell r="G130">
            <v>-7.6999999999999993</v>
          </cell>
          <cell r="H130">
            <v>0</v>
          </cell>
          <cell r="I130">
            <v>0</v>
          </cell>
          <cell r="J130" t="str">
            <v/>
          </cell>
          <cell r="K130">
            <v>0</v>
          </cell>
          <cell r="L130">
            <v>0</v>
          </cell>
          <cell r="M130">
            <v>1200</v>
          </cell>
        </row>
        <row r="131">
          <cell r="A131" t="str">
            <v>A129</v>
          </cell>
          <cell r="B131">
            <v>2317761.2349999999</v>
          </cell>
          <cell r="C131">
            <v>430333.77600000001</v>
          </cell>
          <cell r="D131">
            <v>29.5</v>
          </cell>
          <cell r="E131" t="str">
            <v>DC7</v>
          </cell>
          <cell r="F131">
            <v>-8.6999999999999993</v>
          </cell>
          <cell r="G131">
            <v>-7.6999999999999993</v>
          </cell>
          <cell r="H131">
            <v>0</v>
          </cell>
          <cell r="I131">
            <v>0</v>
          </cell>
          <cell r="J131" t="str">
            <v/>
          </cell>
          <cell r="K131">
            <v>0</v>
          </cell>
          <cell r="L131">
            <v>0</v>
          </cell>
          <cell r="M131">
            <v>1200</v>
          </cell>
        </row>
        <row r="132">
          <cell r="A132" t="str">
            <v>A130</v>
          </cell>
          <cell r="B132">
            <v>2317761.3990000002</v>
          </cell>
          <cell r="C132">
            <v>430337.37199999997</v>
          </cell>
          <cell r="D132">
            <v>29.5</v>
          </cell>
          <cell r="E132" t="str">
            <v>DC7</v>
          </cell>
          <cell r="F132">
            <v>-8.6999999999999993</v>
          </cell>
          <cell r="G132">
            <v>-7.6999999999999993</v>
          </cell>
          <cell r="H132" t="str">
            <v>X</v>
          </cell>
          <cell r="I132">
            <v>0</v>
          </cell>
          <cell r="J132" t="str">
            <v>SA</v>
          </cell>
          <cell r="K132">
            <v>4</v>
          </cell>
          <cell r="L132">
            <v>0</v>
          </cell>
          <cell r="M132">
            <v>1200</v>
          </cell>
        </row>
        <row r="133">
          <cell r="A133" t="str">
            <v>A131</v>
          </cell>
          <cell r="B133">
            <v>2317761.5619999999</v>
          </cell>
          <cell r="C133">
            <v>430340.96799999999</v>
          </cell>
          <cell r="D133">
            <v>29.5</v>
          </cell>
          <cell r="E133" t="str">
            <v>DC7</v>
          </cell>
          <cell r="F133">
            <v>-8.6999999999999993</v>
          </cell>
          <cell r="G133">
            <v>-7.6999999999999993</v>
          </cell>
          <cell r="H133">
            <v>0</v>
          </cell>
          <cell r="I133">
            <v>0</v>
          </cell>
          <cell r="J133" t="str">
            <v/>
          </cell>
          <cell r="K133">
            <v>0</v>
          </cell>
          <cell r="L133">
            <v>0</v>
          </cell>
          <cell r="M133">
            <v>1200</v>
          </cell>
        </row>
        <row r="134">
          <cell r="A134" t="str">
            <v>A132</v>
          </cell>
          <cell r="B134">
            <v>2317760.838</v>
          </cell>
          <cell r="C134">
            <v>430345.967</v>
          </cell>
          <cell r="D134">
            <v>28.6</v>
          </cell>
          <cell r="E134" t="str">
            <v>DC5</v>
          </cell>
          <cell r="F134">
            <v>-8.6999999999999993</v>
          </cell>
          <cell r="G134">
            <v>-7.6999999999999993</v>
          </cell>
          <cell r="H134" t="str">
            <v>X</v>
          </cell>
          <cell r="I134">
            <v>0</v>
          </cell>
          <cell r="J134" t="str">
            <v>SA</v>
          </cell>
          <cell r="K134">
            <v>4</v>
          </cell>
          <cell r="L134">
            <v>0</v>
          </cell>
          <cell r="M134">
            <v>1200</v>
          </cell>
        </row>
        <row r="135">
          <cell r="A135" t="str">
            <v>A133</v>
          </cell>
          <cell r="B135">
            <v>2317763.6039999998</v>
          </cell>
          <cell r="C135">
            <v>430347.342</v>
          </cell>
          <cell r="D135">
            <v>28.6</v>
          </cell>
          <cell r="E135" t="str">
            <v>DC5</v>
          </cell>
          <cell r="F135">
            <v>-8.6999999999999993</v>
          </cell>
          <cell r="G135">
            <v>-7.6999999999999993</v>
          </cell>
          <cell r="H135">
            <v>0</v>
          </cell>
          <cell r="I135" t="str">
            <v>X</v>
          </cell>
          <cell r="J135" t="str">
            <v>L</v>
          </cell>
          <cell r="K135">
            <v>3</v>
          </cell>
          <cell r="L135">
            <v>1</v>
          </cell>
          <cell r="M135">
            <v>1200</v>
          </cell>
        </row>
        <row r="136">
          <cell r="A136" t="str">
            <v>A134</v>
          </cell>
          <cell r="B136">
            <v>2317760.9750000001</v>
          </cell>
          <cell r="C136">
            <v>430348.96299999999</v>
          </cell>
          <cell r="D136">
            <v>29.5</v>
          </cell>
          <cell r="E136" t="str">
            <v>DC5</v>
          </cell>
          <cell r="F136">
            <v>-8.6999999999999993</v>
          </cell>
          <cell r="G136">
            <v>-7.6999999999999993</v>
          </cell>
          <cell r="H136" t="str">
            <v>X</v>
          </cell>
          <cell r="I136">
            <v>0</v>
          </cell>
          <cell r="J136" t="str">
            <v>SA</v>
          </cell>
          <cell r="K136">
            <v>4</v>
          </cell>
          <cell r="L136">
            <v>0</v>
          </cell>
          <cell r="M136">
            <v>1200</v>
          </cell>
        </row>
        <row r="137">
          <cell r="A137" t="str">
            <v>A135</v>
          </cell>
          <cell r="B137">
            <v>2317763.5950000002</v>
          </cell>
          <cell r="C137">
            <v>430352.64799999999</v>
          </cell>
          <cell r="D137">
            <v>27.2</v>
          </cell>
          <cell r="E137" t="str">
            <v>DC4</v>
          </cell>
          <cell r="F137">
            <v>-8.6999999999999993</v>
          </cell>
          <cell r="G137">
            <v>-7.6999999999999993</v>
          </cell>
          <cell r="H137">
            <v>0</v>
          </cell>
          <cell r="I137">
            <v>0</v>
          </cell>
          <cell r="J137" t="str">
            <v/>
          </cell>
          <cell r="K137">
            <v>0</v>
          </cell>
          <cell r="L137">
            <v>0</v>
          </cell>
          <cell r="M137">
            <v>1200</v>
          </cell>
        </row>
        <row r="138">
          <cell r="A138" t="str">
            <v>A136</v>
          </cell>
          <cell r="B138">
            <v>2317760.5980000002</v>
          </cell>
          <cell r="C138">
            <v>430352.78499999997</v>
          </cell>
          <cell r="D138">
            <v>27.2</v>
          </cell>
          <cell r="E138" t="str">
            <v>DC4</v>
          </cell>
          <cell r="F138">
            <v>-8.6999999999999993</v>
          </cell>
          <cell r="G138">
            <v>-7.6999999999999993</v>
          </cell>
          <cell r="H138">
            <v>0</v>
          </cell>
          <cell r="I138" t="str">
            <v>X</v>
          </cell>
          <cell r="J138" t="str">
            <v>L</v>
          </cell>
          <cell r="K138">
            <v>3</v>
          </cell>
          <cell r="L138">
            <v>1</v>
          </cell>
          <cell r="M138">
            <v>1200</v>
          </cell>
        </row>
        <row r="139">
          <cell r="A139" t="str">
            <v>A137</v>
          </cell>
          <cell r="B139">
            <v>2317763.7319999998</v>
          </cell>
          <cell r="C139">
            <v>430355.64500000002</v>
          </cell>
          <cell r="D139">
            <v>27.2</v>
          </cell>
          <cell r="E139" t="str">
            <v>DC4</v>
          </cell>
          <cell r="F139">
            <v>-8.6999999999999993</v>
          </cell>
          <cell r="G139">
            <v>-7.6999999999999993</v>
          </cell>
          <cell r="H139">
            <v>0</v>
          </cell>
          <cell r="I139">
            <v>0</v>
          </cell>
          <cell r="J139" t="str">
            <v/>
          </cell>
          <cell r="K139">
            <v>0</v>
          </cell>
          <cell r="L139">
            <v>0</v>
          </cell>
          <cell r="M139">
            <v>1200</v>
          </cell>
        </row>
        <row r="140">
          <cell r="A140" t="str">
            <v>A138</v>
          </cell>
          <cell r="B140">
            <v>2317760.7340000002</v>
          </cell>
          <cell r="C140">
            <v>430355.78100000002</v>
          </cell>
          <cell r="D140">
            <v>27.2</v>
          </cell>
          <cell r="E140" t="str">
            <v>DC4</v>
          </cell>
          <cell r="F140">
            <v>-8.6999999999999993</v>
          </cell>
          <cell r="G140">
            <v>-7.6999999999999993</v>
          </cell>
          <cell r="H140">
            <v>0</v>
          </cell>
          <cell r="I140">
            <v>0</v>
          </cell>
          <cell r="J140" t="str">
            <v/>
          </cell>
          <cell r="K140">
            <v>0</v>
          </cell>
          <cell r="L140">
            <v>0</v>
          </cell>
          <cell r="M140">
            <v>1200</v>
          </cell>
        </row>
        <row r="141">
          <cell r="A141" t="str">
            <v>A139</v>
          </cell>
          <cell r="B141">
            <v>2317762.4980000001</v>
          </cell>
          <cell r="C141">
            <v>430361.55699999997</v>
          </cell>
          <cell r="D141">
            <v>27.2</v>
          </cell>
          <cell r="E141" t="str">
            <v>DC6</v>
          </cell>
          <cell r="F141">
            <v>-8.6999999999999993</v>
          </cell>
          <cell r="G141">
            <v>-7.6999999999999993</v>
          </cell>
          <cell r="H141" t="str">
            <v>X</v>
          </cell>
          <cell r="I141">
            <v>0</v>
          </cell>
          <cell r="J141" t="str">
            <v>SA</v>
          </cell>
          <cell r="K141">
            <v>4</v>
          </cell>
          <cell r="L141">
            <v>0</v>
          </cell>
          <cell r="M141">
            <v>1200</v>
          </cell>
        </row>
        <row r="142">
          <cell r="A142" t="str">
            <v>A140</v>
          </cell>
          <cell r="B142">
            <v>2317762.6340000001</v>
          </cell>
          <cell r="C142">
            <v>430364.554</v>
          </cell>
          <cell r="D142">
            <v>27.2</v>
          </cell>
          <cell r="E142" t="str">
            <v>DC6</v>
          </cell>
          <cell r="F142">
            <v>-8.6999999999999993</v>
          </cell>
          <cell r="G142">
            <v>-7.6999999999999993</v>
          </cell>
          <cell r="H142">
            <v>0</v>
          </cell>
          <cell r="I142">
            <v>0</v>
          </cell>
          <cell r="J142" t="str">
            <v/>
          </cell>
          <cell r="K142">
            <v>0</v>
          </cell>
          <cell r="L142">
            <v>0</v>
          </cell>
          <cell r="M142">
            <v>1200</v>
          </cell>
        </row>
        <row r="143">
          <cell r="A143" t="str">
            <v>A141</v>
          </cell>
          <cell r="B143">
            <v>2317762.9819999998</v>
          </cell>
          <cell r="C143">
            <v>430372.196</v>
          </cell>
          <cell r="D143">
            <v>37.299999999999997</v>
          </cell>
          <cell r="E143" t="str">
            <v>DC8</v>
          </cell>
          <cell r="F143">
            <v>-8</v>
          </cell>
          <cell r="G143">
            <v>-7</v>
          </cell>
          <cell r="H143" t="str">
            <v>X</v>
          </cell>
          <cell r="I143">
            <v>0</v>
          </cell>
          <cell r="J143" t="str">
            <v>SA</v>
          </cell>
          <cell r="K143">
            <v>4</v>
          </cell>
          <cell r="L143">
            <v>0</v>
          </cell>
          <cell r="M143">
            <v>1200</v>
          </cell>
        </row>
        <row r="144">
          <cell r="A144" t="str">
            <v>A142</v>
          </cell>
          <cell r="B144">
            <v>2317763.39</v>
          </cell>
          <cell r="C144">
            <v>430381.18699999998</v>
          </cell>
          <cell r="D144">
            <v>37.299999999999997</v>
          </cell>
          <cell r="E144" t="str">
            <v>DC8</v>
          </cell>
          <cell r="F144">
            <v>-8</v>
          </cell>
          <cell r="G144">
            <v>-7</v>
          </cell>
          <cell r="H144" t="str">
            <v>X</v>
          </cell>
          <cell r="I144">
            <v>0</v>
          </cell>
          <cell r="J144" t="str">
            <v>SA</v>
          </cell>
          <cell r="K144">
            <v>4</v>
          </cell>
          <cell r="L144">
            <v>0</v>
          </cell>
          <cell r="M144">
            <v>1200</v>
          </cell>
        </row>
        <row r="145">
          <cell r="A145" t="str">
            <v>A143</v>
          </cell>
          <cell r="B145">
            <v>2317763.7880000002</v>
          </cell>
          <cell r="C145">
            <v>430389.94500000001</v>
          </cell>
          <cell r="D145">
            <v>40.4</v>
          </cell>
          <cell r="E145" t="str">
            <v>DC8</v>
          </cell>
          <cell r="F145">
            <v>-8</v>
          </cell>
          <cell r="G145">
            <v>-7</v>
          </cell>
          <cell r="H145">
            <v>0</v>
          </cell>
          <cell r="I145" t="str">
            <v>X</v>
          </cell>
          <cell r="J145" t="str">
            <v>L</v>
          </cell>
          <cell r="K145">
            <v>3</v>
          </cell>
          <cell r="L145">
            <v>1</v>
          </cell>
          <cell r="M145">
            <v>1200</v>
          </cell>
        </row>
        <row r="146">
          <cell r="A146" t="str">
            <v>A144</v>
          </cell>
          <cell r="B146">
            <v>2317750.9709999999</v>
          </cell>
          <cell r="C146">
            <v>430306.174</v>
          </cell>
          <cell r="D146">
            <v>30.8</v>
          </cell>
          <cell r="E146" t="str">
            <v>DC6</v>
          </cell>
          <cell r="F146">
            <v>-8.6999999999999993</v>
          </cell>
          <cell r="G146">
            <v>-7.6999999999999993</v>
          </cell>
          <cell r="H146">
            <v>0</v>
          </cell>
          <cell r="I146">
            <v>0</v>
          </cell>
          <cell r="J146" t="str">
            <v/>
          </cell>
          <cell r="K146">
            <v>0</v>
          </cell>
          <cell r="L146">
            <v>0</v>
          </cell>
          <cell r="M146">
            <v>1200</v>
          </cell>
        </row>
        <row r="147">
          <cell r="A147" t="str">
            <v>A145</v>
          </cell>
          <cell r="B147">
            <v>2317751.1069999998</v>
          </cell>
          <cell r="C147">
            <v>430309.17099999997</v>
          </cell>
          <cell r="D147">
            <v>30.8</v>
          </cell>
          <cell r="E147" t="str">
            <v>DC6</v>
          </cell>
          <cell r="F147">
            <v>-8.6999999999999993</v>
          </cell>
          <cell r="G147">
            <v>-7.6999999999999993</v>
          </cell>
          <cell r="H147">
            <v>0</v>
          </cell>
          <cell r="I147">
            <v>0</v>
          </cell>
          <cell r="J147" t="str">
            <v/>
          </cell>
          <cell r="K147">
            <v>0</v>
          </cell>
          <cell r="L147">
            <v>0</v>
          </cell>
          <cell r="M147">
            <v>1200</v>
          </cell>
        </row>
        <row r="148">
          <cell r="A148" t="str">
            <v>A146</v>
          </cell>
          <cell r="B148">
            <v>2317750.4309999999</v>
          </cell>
          <cell r="C148">
            <v>430315.20799999998</v>
          </cell>
          <cell r="D148">
            <v>30.8</v>
          </cell>
          <cell r="E148" t="str">
            <v>DC5</v>
          </cell>
          <cell r="F148">
            <v>-8.6999999999999993</v>
          </cell>
          <cell r="G148">
            <v>-7.6999999999999993</v>
          </cell>
          <cell r="H148">
            <v>0</v>
          </cell>
          <cell r="I148">
            <v>0</v>
          </cell>
          <cell r="J148" t="str">
            <v/>
          </cell>
          <cell r="K148">
            <v>0</v>
          </cell>
          <cell r="L148">
            <v>0</v>
          </cell>
          <cell r="M148">
            <v>1200</v>
          </cell>
        </row>
        <row r="149">
          <cell r="A149" t="str">
            <v>A147</v>
          </cell>
          <cell r="B149">
            <v>2317753.196</v>
          </cell>
          <cell r="C149">
            <v>430316.58299999998</v>
          </cell>
          <cell r="D149">
            <v>30.8</v>
          </cell>
          <cell r="E149" t="str">
            <v>DC5</v>
          </cell>
          <cell r="F149">
            <v>-8.6999999999999993</v>
          </cell>
          <cell r="G149">
            <v>-7.6999999999999993</v>
          </cell>
          <cell r="H149">
            <v>0</v>
          </cell>
          <cell r="I149">
            <v>0</v>
          </cell>
          <cell r="J149" t="str">
            <v/>
          </cell>
          <cell r="K149">
            <v>0</v>
          </cell>
          <cell r="L149">
            <v>0</v>
          </cell>
          <cell r="M149">
            <v>1200</v>
          </cell>
        </row>
        <row r="150">
          <cell r="A150" t="str">
            <v>A148</v>
          </cell>
          <cell r="B150">
            <v>2317750.5669999998</v>
          </cell>
          <cell r="C150">
            <v>430318.20400000003</v>
          </cell>
          <cell r="D150">
            <v>30.8</v>
          </cell>
          <cell r="E150" t="str">
            <v>DC5</v>
          </cell>
          <cell r="F150">
            <v>-8.6999999999999993</v>
          </cell>
          <cell r="G150">
            <v>-7.6999999999999993</v>
          </cell>
          <cell r="H150" t="str">
            <v>X</v>
          </cell>
          <cell r="I150">
            <v>0</v>
          </cell>
          <cell r="J150" t="str">
            <v>SA</v>
          </cell>
          <cell r="K150">
            <v>4</v>
          </cell>
          <cell r="L150">
            <v>0</v>
          </cell>
          <cell r="M150">
            <v>1200</v>
          </cell>
        </row>
        <row r="151">
          <cell r="A151" t="str">
            <v>A149</v>
          </cell>
          <cell r="B151">
            <v>2317751.773</v>
          </cell>
          <cell r="C151">
            <v>430323.815</v>
          </cell>
          <cell r="D151">
            <v>30.8</v>
          </cell>
          <cell r="E151" t="str">
            <v>DC6</v>
          </cell>
          <cell r="F151">
            <v>-8.6999999999999993</v>
          </cell>
          <cell r="G151">
            <v>-7.6999999999999993</v>
          </cell>
          <cell r="H151">
            <v>0</v>
          </cell>
          <cell r="I151" t="str">
            <v>X</v>
          </cell>
          <cell r="J151" t="str">
            <v>L</v>
          </cell>
          <cell r="K151">
            <v>3</v>
          </cell>
          <cell r="L151">
            <v>1</v>
          </cell>
          <cell r="M151">
            <v>1200</v>
          </cell>
        </row>
        <row r="152">
          <cell r="A152" t="str">
            <v>A150</v>
          </cell>
          <cell r="B152">
            <v>2317751.909</v>
          </cell>
          <cell r="C152">
            <v>430326.81199999998</v>
          </cell>
          <cell r="D152">
            <v>30.8</v>
          </cell>
          <cell r="E152" t="str">
            <v>DC6</v>
          </cell>
          <cell r="F152">
            <v>-8.6999999999999993</v>
          </cell>
          <cell r="G152">
            <v>-7.6999999999999993</v>
          </cell>
          <cell r="H152">
            <v>0</v>
          </cell>
          <cell r="I152">
            <v>0</v>
          </cell>
          <cell r="J152" t="str">
            <v/>
          </cell>
          <cell r="K152">
            <v>0</v>
          </cell>
          <cell r="L152">
            <v>0</v>
          </cell>
          <cell r="M152">
            <v>1200</v>
          </cell>
        </row>
        <row r="153">
          <cell r="A153" t="str">
            <v>A151</v>
          </cell>
          <cell r="B153">
            <v>2317752.2650000001</v>
          </cell>
          <cell r="C153">
            <v>430334.64399999997</v>
          </cell>
          <cell r="D153">
            <v>30.8</v>
          </cell>
          <cell r="E153" t="str">
            <v>DC8A</v>
          </cell>
          <cell r="F153">
            <v>-8.1</v>
          </cell>
          <cell r="G153">
            <v>-7.1</v>
          </cell>
          <cell r="H153" t="str">
            <v>X</v>
          </cell>
          <cell r="I153">
            <v>0</v>
          </cell>
          <cell r="J153" t="str">
            <v>SA</v>
          </cell>
          <cell r="K153">
            <v>4</v>
          </cell>
          <cell r="L153">
            <v>0</v>
          </cell>
          <cell r="M153">
            <v>1200</v>
          </cell>
        </row>
        <row r="154">
          <cell r="A154" t="str">
            <v>A152</v>
          </cell>
          <cell r="B154">
            <v>2317752.4470000002</v>
          </cell>
          <cell r="C154">
            <v>430338.64</v>
          </cell>
          <cell r="D154">
            <v>30.8</v>
          </cell>
          <cell r="E154" t="str">
            <v>DC6</v>
          </cell>
          <cell r="F154">
            <v>-8.6999999999999993</v>
          </cell>
          <cell r="G154">
            <v>-7.6999999999999993</v>
          </cell>
          <cell r="H154">
            <v>0</v>
          </cell>
          <cell r="I154">
            <v>0</v>
          </cell>
          <cell r="J154" t="str">
            <v/>
          </cell>
          <cell r="K154">
            <v>0</v>
          </cell>
          <cell r="L154">
            <v>0</v>
          </cell>
          <cell r="M154">
            <v>1200</v>
          </cell>
        </row>
        <row r="155">
          <cell r="A155" t="str">
            <v>A153</v>
          </cell>
          <cell r="B155">
            <v>2317752.5830000001</v>
          </cell>
          <cell r="C155">
            <v>430341.63699999999</v>
          </cell>
          <cell r="D155">
            <v>30.8</v>
          </cell>
          <cell r="E155" t="str">
            <v>DC6</v>
          </cell>
          <cell r="F155">
            <v>-8.6999999999999993</v>
          </cell>
          <cell r="G155">
            <v>-7.6999999999999993</v>
          </cell>
          <cell r="H155">
            <v>0</v>
          </cell>
          <cell r="I155">
            <v>0</v>
          </cell>
          <cell r="J155" t="str">
            <v/>
          </cell>
          <cell r="K155">
            <v>0</v>
          </cell>
          <cell r="L155">
            <v>0</v>
          </cell>
          <cell r="M155">
            <v>1200</v>
          </cell>
        </row>
        <row r="156">
          <cell r="A156" t="str">
            <v>A154</v>
          </cell>
          <cell r="B156">
            <v>2317751.8459999999</v>
          </cell>
          <cell r="C156">
            <v>430346.32500000001</v>
          </cell>
          <cell r="D156">
            <v>25.8</v>
          </cell>
          <cell r="E156" t="str">
            <v>DC5</v>
          </cell>
          <cell r="F156">
            <v>-8.6999999999999993</v>
          </cell>
          <cell r="G156">
            <v>-7.6999999999999993</v>
          </cell>
          <cell r="H156">
            <v>0</v>
          </cell>
          <cell r="I156">
            <v>0</v>
          </cell>
          <cell r="J156" t="str">
            <v/>
          </cell>
          <cell r="K156">
            <v>0</v>
          </cell>
          <cell r="L156">
            <v>0</v>
          </cell>
          <cell r="M156">
            <v>1200</v>
          </cell>
        </row>
        <row r="157">
          <cell r="A157" t="str">
            <v>A155</v>
          </cell>
          <cell r="B157">
            <v>2317754.611</v>
          </cell>
          <cell r="C157">
            <v>430347.701</v>
          </cell>
          <cell r="D157">
            <v>25.8</v>
          </cell>
          <cell r="E157" t="str">
            <v>DC5</v>
          </cell>
          <cell r="F157">
            <v>-8.6999999999999993</v>
          </cell>
          <cell r="G157">
            <v>-7.6999999999999993</v>
          </cell>
          <cell r="H157">
            <v>0</v>
          </cell>
          <cell r="I157">
            <v>0</v>
          </cell>
          <cell r="J157" t="str">
            <v/>
          </cell>
          <cell r="K157">
            <v>0</v>
          </cell>
          <cell r="L157">
            <v>0</v>
          </cell>
          <cell r="M157">
            <v>1200</v>
          </cell>
        </row>
        <row r="158">
          <cell r="A158" t="str">
            <v>A156</v>
          </cell>
          <cell r="B158">
            <v>2317751.9819999998</v>
          </cell>
          <cell r="C158">
            <v>430349.32199999999</v>
          </cell>
          <cell r="D158">
            <v>26.5</v>
          </cell>
          <cell r="E158" t="str">
            <v>DC5</v>
          </cell>
          <cell r="F158">
            <v>-8.6999999999999993</v>
          </cell>
          <cell r="G158">
            <v>-7.6999999999999993</v>
          </cell>
          <cell r="H158">
            <v>0</v>
          </cell>
          <cell r="I158">
            <v>0</v>
          </cell>
          <cell r="J158" t="str">
            <v/>
          </cell>
          <cell r="K158">
            <v>0</v>
          </cell>
          <cell r="L158">
            <v>0</v>
          </cell>
          <cell r="M158">
            <v>1200</v>
          </cell>
        </row>
        <row r="159">
          <cell r="A159" t="str">
            <v>A157</v>
          </cell>
          <cell r="B159">
            <v>2317752.5</v>
          </cell>
          <cell r="C159">
            <v>430353.45299999998</v>
          </cell>
          <cell r="D159">
            <v>29</v>
          </cell>
          <cell r="E159" t="str">
            <v>DC5</v>
          </cell>
          <cell r="F159">
            <v>-8.6999999999999993</v>
          </cell>
          <cell r="G159">
            <v>-7.6999999999999993</v>
          </cell>
          <cell r="H159">
            <v>0</v>
          </cell>
          <cell r="I159">
            <v>0</v>
          </cell>
          <cell r="J159" t="str">
            <v/>
          </cell>
          <cell r="K159">
            <v>0</v>
          </cell>
          <cell r="L159">
            <v>0</v>
          </cell>
          <cell r="M159">
            <v>1200</v>
          </cell>
        </row>
        <row r="160">
          <cell r="A160" t="str">
            <v>A158</v>
          </cell>
          <cell r="B160">
            <v>2317755.2650000001</v>
          </cell>
          <cell r="C160">
            <v>430354.82900000003</v>
          </cell>
          <cell r="D160">
            <v>23.2</v>
          </cell>
          <cell r="E160" t="str">
            <v>DC5</v>
          </cell>
          <cell r="F160">
            <v>-8.6999999999999993</v>
          </cell>
          <cell r="G160">
            <v>-7.6999999999999993</v>
          </cell>
          <cell r="H160" t="str">
            <v>X</v>
          </cell>
          <cell r="I160">
            <v>0</v>
          </cell>
          <cell r="J160" t="str">
            <v>SA</v>
          </cell>
          <cell r="K160">
            <v>4</v>
          </cell>
          <cell r="L160">
            <v>0</v>
          </cell>
          <cell r="M160">
            <v>1200</v>
          </cell>
        </row>
        <row r="161">
          <cell r="A161" t="str">
            <v>A159</v>
          </cell>
          <cell r="B161">
            <v>2317752.6370000001</v>
          </cell>
          <cell r="C161">
            <v>430356.45</v>
          </cell>
          <cell r="D161">
            <v>29</v>
          </cell>
          <cell r="E161" t="str">
            <v>DC5</v>
          </cell>
          <cell r="F161">
            <v>-8.6999999999999993</v>
          </cell>
          <cell r="G161">
            <v>-7.6999999999999993</v>
          </cell>
          <cell r="H161" t="str">
            <v>X</v>
          </cell>
          <cell r="I161">
            <v>0</v>
          </cell>
          <cell r="J161" t="str">
            <v>SA</v>
          </cell>
          <cell r="K161">
            <v>4</v>
          </cell>
          <cell r="L161">
            <v>0</v>
          </cell>
          <cell r="M161">
            <v>1200</v>
          </cell>
        </row>
        <row r="162">
          <cell r="A162" t="str">
            <v>A160</v>
          </cell>
          <cell r="B162">
            <v>2317753.5819999999</v>
          </cell>
          <cell r="C162">
            <v>430363.614</v>
          </cell>
          <cell r="D162">
            <v>29</v>
          </cell>
          <cell r="E162" t="str">
            <v>DC8A</v>
          </cell>
          <cell r="F162">
            <v>-8.1</v>
          </cell>
          <cell r="G162">
            <v>-7.1</v>
          </cell>
          <cell r="H162" t="str">
            <v>X</v>
          </cell>
          <cell r="I162">
            <v>0</v>
          </cell>
          <cell r="J162" t="str">
            <v>SA</v>
          </cell>
          <cell r="K162">
            <v>4</v>
          </cell>
          <cell r="L162">
            <v>0</v>
          </cell>
          <cell r="M162">
            <v>1200</v>
          </cell>
        </row>
        <row r="163">
          <cell r="A163" t="str">
            <v>A161</v>
          </cell>
          <cell r="B163">
            <v>2317753.9909999999</v>
          </cell>
          <cell r="C163">
            <v>430372.60499999998</v>
          </cell>
          <cell r="D163">
            <v>31.3</v>
          </cell>
          <cell r="E163" t="str">
            <v>DC8</v>
          </cell>
          <cell r="F163">
            <v>-8</v>
          </cell>
          <cell r="G163">
            <v>-7</v>
          </cell>
          <cell r="H163">
            <v>0</v>
          </cell>
          <cell r="I163" t="str">
            <v>X</v>
          </cell>
          <cell r="J163" t="str">
            <v>L</v>
          </cell>
          <cell r="K163">
            <v>3</v>
          </cell>
          <cell r="L163">
            <v>1</v>
          </cell>
          <cell r="M163">
            <v>1200</v>
          </cell>
        </row>
        <row r="164">
          <cell r="A164" t="str">
            <v>A162</v>
          </cell>
          <cell r="B164">
            <v>2317754.4</v>
          </cell>
          <cell r="C164">
            <v>430381.59600000002</v>
          </cell>
          <cell r="D164">
            <v>31.3</v>
          </cell>
          <cell r="E164" t="str">
            <v>DC8</v>
          </cell>
          <cell r="F164">
            <v>-8</v>
          </cell>
          <cell r="G164">
            <v>-7</v>
          </cell>
          <cell r="H164" t="str">
            <v>X</v>
          </cell>
          <cell r="I164">
            <v>0</v>
          </cell>
          <cell r="J164" t="str">
            <v>SA</v>
          </cell>
          <cell r="K164">
            <v>4</v>
          </cell>
          <cell r="L164">
            <v>0</v>
          </cell>
          <cell r="M164">
            <v>1200</v>
          </cell>
        </row>
        <row r="165">
          <cell r="A165" t="str">
            <v>A163</v>
          </cell>
          <cell r="B165">
            <v>2317754.798</v>
          </cell>
          <cell r="C165">
            <v>430390.35399999999</v>
          </cell>
          <cell r="D165">
            <v>31.3</v>
          </cell>
          <cell r="E165" t="str">
            <v>DC8</v>
          </cell>
          <cell r="F165">
            <v>-8</v>
          </cell>
          <cell r="G165">
            <v>-7</v>
          </cell>
          <cell r="H165" t="str">
            <v>X</v>
          </cell>
          <cell r="I165">
            <v>0</v>
          </cell>
          <cell r="J165" t="str">
            <v>SA</v>
          </cell>
          <cell r="K165">
            <v>4</v>
          </cell>
          <cell r="L165">
            <v>0</v>
          </cell>
          <cell r="M165">
            <v>1200</v>
          </cell>
        </row>
        <row r="166">
          <cell r="A166" t="str">
            <v>B1</v>
          </cell>
          <cell r="B166">
            <v>2317790.6910000001</v>
          </cell>
          <cell r="C166">
            <v>430397.96399999998</v>
          </cell>
          <cell r="D166">
            <v>24.5</v>
          </cell>
          <cell r="E166" t="str">
            <v>DC9</v>
          </cell>
          <cell r="F166">
            <v>-8</v>
          </cell>
          <cell r="G166">
            <v>-7</v>
          </cell>
          <cell r="H166">
            <v>0</v>
          </cell>
          <cell r="I166" t="str">
            <v>X</v>
          </cell>
          <cell r="J166" t="str">
            <v>L</v>
          </cell>
          <cell r="K166">
            <v>2</v>
          </cell>
          <cell r="L166">
            <v>1</v>
          </cell>
          <cell r="M166">
            <v>800</v>
          </cell>
        </row>
        <row r="167">
          <cell r="A167" t="str">
            <v>B2</v>
          </cell>
          <cell r="B167">
            <v>2317782.34</v>
          </cell>
          <cell r="C167">
            <v>430398.34399999998</v>
          </cell>
          <cell r="D167">
            <v>28.5</v>
          </cell>
          <cell r="E167" t="str">
            <v>DC9</v>
          </cell>
          <cell r="F167">
            <v>-8</v>
          </cell>
          <cell r="G167">
            <v>-7</v>
          </cell>
          <cell r="H167">
            <v>0</v>
          </cell>
          <cell r="I167">
            <v>0</v>
          </cell>
          <cell r="J167" t="str">
            <v/>
          </cell>
          <cell r="K167">
            <v>0</v>
          </cell>
          <cell r="L167">
            <v>0</v>
          </cell>
          <cell r="M167">
            <v>800</v>
          </cell>
        </row>
        <row r="168">
          <cell r="A168" t="str">
            <v>B3</v>
          </cell>
          <cell r="B168">
            <v>2317773.6880000001</v>
          </cell>
          <cell r="C168">
            <v>430398.73700000002</v>
          </cell>
          <cell r="D168">
            <v>27.5</v>
          </cell>
          <cell r="E168" t="str">
            <v>DC9</v>
          </cell>
          <cell r="F168">
            <v>-8</v>
          </cell>
          <cell r="G168">
            <v>-7</v>
          </cell>
          <cell r="H168" t="str">
            <v>X</v>
          </cell>
          <cell r="I168">
            <v>0</v>
          </cell>
          <cell r="J168" t="str">
            <v>SA</v>
          </cell>
          <cell r="K168">
            <v>3</v>
          </cell>
          <cell r="L168">
            <v>0</v>
          </cell>
          <cell r="M168">
            <v>800</v>
          </cell>
        </row>
        <row r="169">
          <cell r="A169" t="str">
            <v>B4</v>
          </cell>
          <cell r="B169">
            <v>2317764.2089999998</v>
          </cell>
          <cell r="C169">
            <v>430399.16800000001</v>
          </cell>
          <cell r="D169">
            <v>27.5</v>
          </cell>
          <cell r="E169" t="str">
            <v>DC9</v>
          </cell>
          <cell r="F169">
            <v>-8</v>
          </cell>
          <cell r="G169">
            <v>-7</v>
          </cell>
          <cell r="H169">
            <v>0</v>
          </cell>
          <cell r="I169">
            <v>0</v>
          </cell>
          <cell r="J169" t="str">
            <v/>
          </cell>
          <cell r="K169">
            <v>0</v>
          </cell>
          <cell r="L169">
            <v>0</v>
          </cell>
          <cell r="M169">
            <v>800</v>
          </cell>
        </row>
        <row r="170">
          <cell r="A170" t="str">
            <v>B5</v>
          </cell>
          <cell r="B170">
            <v>2317755.2179999999</v>
          </cell>
          <cell r="C170">
            <v>430399.57699999999</v>
          </cell>
          <cell r="D170">
            <v>29.9</v>
          </cell>
          <cell r="E170" t="str">
            <v>DC9</v>
          </cell>
          <cell r="F170">
            <v>-8</v>
          </cell>
          <cell r="G170">
            <v>-7</v>
          </cell>
          <cell r="H170" t="str">
            <v>X</v>
          </cell>
          <cell r="I170">
            <v>0</v>
          </cell>
          <cell r="J170" t="str">
            <v>SA</v>
          </cell>
          <cell r="K170">
            <v>3</v>
          </cell>
          <cell r="L170">
            <v>0</v>
          </cell>
          <cell r="M170">
            <v>800</v>
          </cell>
        </row>
        <row r="171">
          <cell r="A171" t="str">
            <v>B6</v>
          </cell>
          <cell r="B171">
            <v>2317755.6269999999</v>
          </cell>
          <cell r="C171">
            <v>430408.56800000003</v>
          </cell>
          <cell r="D171">
            <v>29.9</v>
          </cell>
          <cell r="E171" t="str">
            <v>DC9</v>
          </cell>
          <cell r="F171">
            <v>-8</v>
          </cell>
          <cell r="G171">
            <v>-7</v>
          </cell>
          <cell r="H171">
            <v>0</v>
          </cell>
          <cell r="I171">
            <v>0</v>
          </cell>
          <cell r="J171" t="str">
            <v/>
          </cell>
          <cell r="K171">
            <v>0</v>
          </cell>
          <cell r="L171">
            <v>0</v>
          </cell>
          <cell r="M171">
            <v>800</v>
          </cell>
        </row>
        <row r="172">
          <cell r="A172" t="str">
            <v>B7</v>
          </cell>
          <cell r="B172">
            <v>2317764.6170000001</v>
          </cell>
          <cell r="C172">
            <v>430408.15899999999</v>
          </cell>
          <cell r="D172">
            <v>25.6</v>
          </cell>
          <cell r="E172" t="str">
            <v>DC9</v>
          </cell>
          <cell r="F172">
            <v>-8</v>
          </cell>
          <cell r="G172">
            <v>-7</v>
          </cell>
          <cell r="H172" t="str">
            <v>X</v>
          </cell>
          <cell r="I172">
            <v>0</v>
          </cell>
          <cell r="J172" t="str">
            <v>SA</v>
          </cell>
          <cell r="K172">
            <v>3</v>
          </cell>
          <cell r="L172">
            <v>0</v>
          </cell>
          <cell r="M172">
            <v>800</v>
          </cell>
        </row>
        <row r="173">
          <cell r="A173" t="str">
            <v>B8</v>
          </cell>
          <cell r="B173">
            <v>2317774.0970000001</v>
          </cell>
          <cell r="C173">
            <v>430407.728</v>
          </cell>
          <cell r="D173">
            <v>28.5</v>
          </cell>
          <cell r="E173" t="str">
            <v>DC9</v>
          </cell>
          <cell r="F173">
            <v>-8</v>
          </cell>
          <cell r="G173">
            <v>-7</v>
          </cell>
          <cell r="H173">
            <v>0</v>
          </cell>
          <cell r="I173">
            <v>0</v>
          </cell>
          <cell r="J173" t="str">
            <v/>
          </cell>
          <cell r="K173">
            <v>0</v>
          </cell>
          <cell r="L173">
            <v>0</v>
          </cell>
          <cell r="M173">
            <v>800</v>
          </cell>
        </row>
        <row r="174">
          <cell r="A174" t="str">
            <v>B9</v>
          </cell>
          <cell r="B174">
            <v>2317782.7489999998</v>
          </cell>
          <cell r="C174">
            <v>430407.33500000002</v>
          </cell>
          <cell r="D174">
            <v>28.5</v>
          </cell>
          <cell r="E174" t="str">
            <v>DC9</v>
          </cell>
          <cell r="F174">
            <v>-8</v>
          </cell>
          <cell r="G174">
            <v>-7</v>
          </cell>
          <cell r="H174" t="str">
            <v>X</v>
          </cell>
          <cell r="I174">
            <v>0</v>
          </cell>
          <cell r="J174" t="str">
            <v>SA</v>
          </cell>
          <cell r="K174">
            <v>3</v>
          </cell>
          <cell r="L174">
            <v>0</v>
          </cell>
          <cell r="M174">
            <v>800</v>
          </cell>
        </row>
        <row r="175">
          <cell r="A175" t="str">
            <v>B10</v>
          </cell>
          <cell r="B175">
            <v>2317791.1</v>
          </cell>
          <cell r="C175">
            <v>430406.95500000002</v>
          </cell>
          <cell r="D175">
            <v>25.6</v>
          </cell>
          <cell r="E175" t="str">
            <v>DC9</v>
          </cell>
          <cell r="F175">
            <v>-8</v>
          </cell>
          <cell r="G175">
            <v>-7</v>
          </cell>
          <cell r="H175">
            <v>0</v>
          </cell>
          <cell r="I175">
            <v>0</v>
          </cell>
          <cell r="J175" t="str">
            <v/>
          </cell>
          <cell r="K175">
            <v>0</v>
          </cell>
          <cell r="L175">
            <v>0</v>
          </cell>
          <cell r="M175">
            <v>800</v>
          </cell>
        </row>
        <row r="176">
          <cell r="A176" t="str">
            <v>B11</v>
          </cell>
          <cell r="B176">
            <v>2317797.2000000002</v>
          </cell>
          <cell r="C176">
            <v>430412.54599999997</v>
          </cell>
          <cell r="D176">
            <v>25.6</v>
          </cell>
          <cell r="E176" t="str">
            <v>DC10A</v>
          </cell>
          <cell r="F176">
            <v>-5.9</v>
          </cell>
          <cell r="G176">
            <v>-4.9000000000000004</v>
          </cell>
          <cell r="H176">
            <v>0</v>
          </cell>
          <cell r="I176">
            <v>0</v>
          </cell>
          <cell r="J176" t="str">
            <v/>
          </cell>
          <cell r="K176">
            <v>0</v>
          </cell>
          <cell r="L176">
            <v>0</v>
          </cell>
          <cell r="M176">
            <v>800</v>
          </cell>
        </row>
        <row r="177">
          <cell r="A177" t="str">
            <v>B12</v>
          </cell>
          <cell r="B177">
            <v>2317791.466</v>
          </cell>
          <cell r="C177">
            <v>430412.80699999997</v>
          </cell>
          <cell r="D177">
            <v>25.6</v>
          </cell>
          <cell r="E177" t="str">
            <v>DC10A</v>
          </cell>
          <cell r="F177">
            <v>-5.9</v>
          </cell>
          <cell r="G177">
            <v>-4.9000000000000004</v>
          </cell>
          <cell r="H177" t="str">
            <v>X</v>
          </cell>
          <cell r="I177">
            <v>0</v>
          </cell>
          <cell r="J177" t="str">
            <v>SA</v>
          </cell>
          <cell r="K177">
            <v>3</v>
          </cell>
          <cell r="L177">
            <v>0</v>
          </cell>
          <cell r="M177">
            <v>800</v>
          </cell>
        </row>
        <row r="178">
          <cell r="A178" t="str">
            <v>B13</v>
          </cell>
          <cell r="B178">
            <v>2317783.014</v>
          </cell>
          <cell r="C178">
            <v>430413.19099999999</v>
          </cell>
          <cell r="D178">
            <v>28.5</v>
          </cell>
          <cell r="E178" t="str">
            <v>DC10A</v>
          </cell>
          <cell r="F178">
            <v>-5.9</v>
          </cell>
          <cell r="G178">
            <v>-4.9000000000000004</v>
          </cell>
          <cell r="H178">
            <v>0</v>
          </cell>
          <cell r="I178">
            <v>0</v>
          </cell>
          <cell r="J178" t="str">
            <v/>
          </cell>
          <cell r="K178">
            <v>0</v>
          </cell>
          <cell r="L178">
            <v>0</v>
          </cell>
          <cell r="M178">
            <v>800</v>
          </cell>
        </row>
        <row r="179">
          <cell r="A179" t="str">
            <v>B14</v>
          </cell>
          <cell r="B179">
            <v>2317774.3739999998</v>
          </cell>
          <cell r="C179">
            <v>430413.58399999997</v>
          </cell>
          <cell r="D179">
            <v>28.5</v>
          </cell>
          <cell r="E179" t="str">
            <v>DC10A</v>
          </cell>
          <cell r="F179">
            <v>-5.9</v>
          </cell>
          <cell r="G179">
            <v>-4.9000000000000004</v>
          </cell>
          <cell r="H179">
            <v>0</v>
          </cell>
          <cell r="I179" t="str">
            <v>X</v>
          </cell>
          <cell r="J179" t="str">
            <v>L</v>
          </cell>
          <cell r="K179">
            <v>2</v>
          </cell>
          <cell r="L179">
            <v>1</v>
          </cell>
          <cell r="M179">
            <v>800</v>
          </cell>
        </row>
        <row r="180">
          <cell r="A180" t="str">
            <v>B15</v>
          </cell>
          <cell r="B180">
            <v>2317764.8840000001</v>
          </cell>
          <cell r="C180">
            <v>430414.01500000001</v>
          </cell>
          <cell r="D180">
            <v>27.5</v>
          </cell>
          <cell r="E180" t="str">
            <v>DC10A</v>
          </cell>
          <cell r="F180">
            <v>-5.9</v>
          </cell>
          <cell r="G180">
            <v>-4.9000000000000004</v>
          </cell>
          <cell r="H180">
            <v>0</v>
          </cell>
          <cell r="I180">
            <v>0</v>
          </cell>
          <cell r="J180" t="str">
            <v/>
          </cell>
          <cell r="K180">
            <v>0</v>
          </cell>
          <cell r="L180">
            <v>0</v>
          </cell>
          <cell r="M180">
            <v>800</v>
          </cell>
        </row>
        <row r="181">
          <cell r="A181" t="str">
            <v>B16</v>
          </cell>
          <cell r="B181">
            <v>2317755.8930000002</v>
          </cell>
          <cell r="C181">
            <v>430414.424</v>
          </cell>
          <cell r="D181">
            <v>27.5</v>
          </cell>
          <cell r="E181" t="str">
            <v>DC10A</v>
          </cell>
          <cell r="F181">
            <v>-5.9</v>
          </cell>
          <cell r="G181">
            <v>-4.9000000000000004</v>
          </cell>
          <cell r="H181" t="str">
            <v>X</v>
          </cell>
          <cell r="I181">
            <v>0</v>
          </cell>
          <cell r="J181" t="str">
            <v>SA</v>
          </cell>
          <cell r="K181">
            <v>3</v>
          </cell>
          <cell r="L181">
            <v>0</v>
          </cell>
          <cell r="M181">
            <v>800</v>
          </cell>
        </row>
        <row r="182">
          <cell r="A182" t="str">
            <v>B17</v>
          </cell>
          <cell r="B182">
            <v>2317748.551</v>
          </cell>
          <cell r="C182">
            <v>430414.75799999997</v>
          </cell>
          <cell r="D182">
            <v>28.8</v>
          </cell>
          <cell r="E182" t="str">
            <v>DC10A</v>
          </cell>
          <cell r="F182">
            <v>-5.9</v>
          </cell>
          <cell r="G182">
            <v>-4.9000000000000004</v>
          </cell>
          <cell r="H182">
            <v>0</v>
          </cell>
          <cell r="I182">
            <v>0</v>
          </cell>
          <cell r="J182" t="str">
            <v/>
          </cell>
          <cell r="K182">
            <v>0</v>
          </cell>
          <cell r="L182">
            <v>0</v>
          </cell>
          <cell r="M182">
            <v>800</v>
          </cell>
        </row>
        <row r="183">
          <cell r="A183" t="str">
            <v>B18</v>
          </cell>
          <cell r="B183">
            <v>2317748.284</v>
          </cell>
          <cell r="C183">
            <v>430408.902</v>
          </cell>
          <cell r="D183">
            <v>28.8</v>
          </cell>
          <cell r="E183" t="str">
            <v>DC10A</v>
          </cell>
          <cell r="F183">
            <v>-5.9</v>
          </cell>
          <cell r="G183">
            <v>-4.9000000000000004</v>
          </cell>
          <cell r="H183">
            <v>0</v>
          </cell>
          <cell r="I183" t="str">
            <v>X</v>
          </cell>
          <cell r="J183" t="str">
            <v>L</v>
          </cell>
          <cell r="K183">
            <v>2</v>
          </cell>
          <cell r="L183">
            <v>1</v>
          </cell>
          <cell r="M183">
            <v>800</v>
          </cell>
        </row>
        <row r="184">
          <cell r="A184" t="str">
            <v>B19</v>
          </cell>
          <cell r="B184">
            <v>2317747.8760000002</v>
          </cell>
          <cell r="C184">
            <v>430399.91100000002</v>
          </cell>
          <cell r="D184">
            <v>29.9</v>
          </cell>
          <cell r="E184" t="str">
            <v>DC10A</v>
          </cell>
          <cell r="F184">
            <v>-5.9</v>
          </cell>
          <cell r="G184">
            <v>-4.9000000000000004</v>
          </cell>
          <cell r="H184">
            <v>0</v>
          </cell>
          <cell r="I184">
            <v>0</v>
          </cell>
          <cell r="J184" t="str">
            <v/>
          </cell>
          <cell r="K184">
            <v>0</v>
          </cell>
          <cell r="L184">
            <v>0</v>
          </cell>
          <cell r="M184">
            <v>800</v>
          </cell>
        </row>
        <row r="185">
          <cell r="A185" t="str">
            <v>B20</v>
          </cell>
          <cell r="B185">
            <v>2317747.4559999998</v>
          </cell>
          <cell r="C185">
            <v>430390.68800000002</v>
          </cell>
          <cell r="D185">
            <v>29.9</v>
          </cell>
          <cell r="E185" t="str">
            <v>DC10A</v>
          </cell>
          <cell r="F185">
            <v>-5.9</v>
          </cell>
          <cell r="G185">
            <v>-4.9000000000000004</v>
          </cell>
          <cell r="H185" t="str">
            <v>X</v>
          </cell>
          <cell r="I185">
            <v>0</v>
          </cell>
          <cell r="J185" t="str">
            <v>SA</v>
          </cell>
          <cell r="K185">
            <v>3</v>
          </cell>
          <cell r="L185">
            <v>0</v>
          </cell>
          <cell r="M185">
            <v>800</v>
          </cell>
        </row>
        <row r="186">
          <cell r="A186" t="str">
            <v>B21</v>
          </cell>
          <cell r="B186">
            <v>2317747.0580000002</v>
          </cell>
          <cell r="C186">
            <v>430381.93</v>
          </cell>
          <cell r="D186">
            <v>31.3</v>
          </cell>
          <cell r="E186" t="str">
            <v>DC10A</v>
          </cell>
          <cell r="F186">
            <v>-5.9</v>
          </cell>
          <cell r="G186">
            <v>-4.9000000000000004</v>
          </cell>
          <cell r="H186">
            <v>0</v>
          </cell>
          <cell r="I186">
            <v>0</v>
          </cell>
          <cell r="J186" t="str">
            <v/>
          </cell>
          <cell r="K186">
            <v>0</v>
          </cell>
          <cell r="L186">
            <v>0</v>
          </cell>
          <cell r="M186">
            <v>800</v>
          </cell>
        </row>
        <row r="187">
          <cell r="A187" t="str">
            <v>B22</v>
          </cell>
          <cell r="B187">
            <v>2317746.6490000002</v>
          </cell>
          <cell r="C187">
            <v>430372.93900000001</v>
          </cell>
          <cell r="D187">
            <v>31.3</v>
          </cell>
          <cell r="E187" t="str">
            <v>DC10B</v>
          </cell>
          <cell r="F187">
            <v>-6.9</v>
          </cell>
          <cell r="G187">
            <v>-5.9</v>
          </cell>
          <cell r="H187">
            <v>0</v>
          </cell>
          <cell r="I187">
            <v>0</v>
          </cell>
          <cell r="J187" t="str">
            <v/>
          </cell>
          <cell r="K187">
            <v>0</v>
          </cell>
          <cell r="L187">
            <v>0</v>
          </cell>
          <cell r="M187">
            <v>800</v>
          </cell>
        </row>
        <row r="188">
          <cell r="A188" t="str">
            <v>B23</v>
          </cell>
          <cell r="B188">
            <v>2317746.2409999999</v>
          </cell>
          <cell r="C188">
            <v>430363.94799999997</v>
          </cell>
          <cell r="D188">
            <v>29</v>
          </cell>
          <cell r="E188" t="str">
            <v>DC10</v>
          </cell>
          <cell r="F188">
            <v>-6.9</v>
          </cell>
          <cell r="G188">
            <v>-5.9</v>
          </cell>
          <cell r="H188" t="str">
            <v>X</v>
          </cell>
          <cell r="I188">
            <v>0</v>
          </cell>
          <cell r="J188" t="str">
            <v>SA</v>
          </cell>
          <cell r="K188">
            <v>3</v>
          </cell>
          <cell r="L188">
            <v>0</v>
          </cell>
          <cell r="M188">
            <v>800</v>
          </cell>
        </row>
        <row r="189">
          <cell r="A189" t="str">
            <v>B24</v>
          </cell>
          <cell r="B189">
            <v>2317745.8390000002</v>
          </cell>
          <cell r="C189">
            <v>430355.10700000002</v>
          </cell>
          <cell r="D189">
            <v>29</v>
          </cell>
          <cell r="E189" t="str">
            <v>DC10</v>
          </cell>
          <cell r="F189">
            <v>-6.9</v>
          </cell>
          <cell r="G189">
            <v>-5.9</v>
          </cell>
          <cell r="H189">
            <v>0</v>
          </cell>
          <cell r="I189">
            <v>0</v>
          </cell>
          <cell r="J189" t="str">
            <v/>
          </cell>
          <cell r="K189">
            <v>0</v>
          </cell>
          <cell r="L189">
            <v>0</v>
          </cell>
          <cell r="M189">
            <v>800</v>
          </cell>
        </row>
        <row r="190">
          <cell r="A190" t="str">
            <v>B25</v>
          </cell>
          <cell r="B190">
            <v>2317745.523</v>
          </cell>
          <cell r="C190">
            <v>430348.16399999999</v>
          </cell>
          <cell r="D190">
            <v>29</v>
          </cell>
          <cell r="E190" t="str">
            <v>DC10</v>
          </cell>
          <cell r="F190">
            <v>-6.9</v>
          </cell>
          <cell r="G190">
            <v>-5.9</v>
          </cell>
          <cell r="H190">
            <v>0</v>
          </cell>
          <cell r="I190">
            <v>0</v>
          </cell>
          <cell r="J190" t="str">
            <v/>
          </cell>
          <cell r="K190">
            <v>0</v>
          </cell>
          <cell r="L190">
            <v>0</v>
          </cell>
          <cell r="M190">
            <v>800</v>
          </cell>
        </row>
        <row r="191">
          <cell r="A191" t="str">
            <v>B26</v>
          </cell>
          <cell r="B191">
            <v>2317745.1749999998</v>
          </cell>
          <cell r="C191">
            <v>430340.51199999999</v>
          </cell>
          <cell r="D191">
            <v>29.9</v>
          </cell>
          <cell r="E191" t="str">
            <v>DC10</v>
          </cell>
          <cell r="F191">
            <v>-6.9</v>
          </cell>
          <cell r="G191">
            <v>-5.9</v>
          </cell>
          <cell r="H191" t="str">
            <v>X</v>
          </cell>
          <cell r="I191">
            <v>0</v>
          </cell>
          <cell r="J191" t="str">
            <v>SA</v>
          </cell>
          <cell r="K191">
            <v>3</v>
          </cell>
          <cell r="L191">
            <v>0</v>
          </cell>
          <cell r="M191">
            <v>800</v>
          </cell>
        </row>
        <row r="192">
          <cell r="A192" t="str">
            <v>B27</v>
          </cell>
          <cell r="B192">
            <v>2317744.923</v>
          </cell>
          <cell r="C192">
            <v>430334.978</v>
          </cell>
          <cell r="D192">
            <v>26</v>
          </cell>
          <cell r="E192" t="str">
            <v>DC10</v>
          </cell>
          <cell r="F192">
            <v>-6.9</v>
          </cell>
          <cell r="G192">
            <v>-5.9</v>
          </cell>
          <cell r="H192">
            <v>0</v>
          </cell>
          <cell r="I192">
            <v>0</v>
          </cell>
          <cell r="J192" t="str">
            <v/>
          </cell>
          <cell r="K192">
            <v>0</v>
          </cell>
          <cell r="L192">
            <v>0</v>
          </cell>
          <cell r="M192">
            <v>800</v>
          </cell>
        </row>
        <row r="193">
          <cell r="A193" t="str">
            <v>B28</v>
          </cell>
          <cell r="B193">
            <v>2317744.5150000001</v>
          </cell>
          <cell r="C193">
            <v>430325.98700000002</v>
          </cell>
          <cell r="D193">
            <v>26</v>
          </cell>
          <cell r="E193" t="str">
            <v>DC10</v>
          </cell>
          <cell r="F193">
            <v>-6.9</v>
          </cell>
          <cell r="G193">
            <v>-5.9</v>
          </cell>
          <cell r="H193">
            <v>0</v>
          </cell>
          <cell r="I193" t="str">
            <v>X</v>
          </cell>
          <cell r="J193" t="str">
            <v>L</v>
          </cell>
          <cell r="K193">
            <v>2</v>
          </cell>
          <cell r="L193">
            <v>1</v>
          </cell>
          <cell r="M193">
            <v>800</v>
          </cell>
        </row>
        <row r="194">
          <cell r="A194" t="str">
            <v>B29</v>
          </cell>
          <cell r="B194">
            <v>2317744.1060000001</v>
          </cell>
          <cell r="C194">
            <v>430316.99699999997</v>
          </cell>
          <cell r="D194">
            <v>26</v>
          </cell>
          <cell r="E194" t="str">
            <v>DC10</v>
          </cell>
          <cell r="F194">
            <v>-6.9</v>
          </cell>
          <cell r="G194">
            <v>-5.9</v>
          </cell>
          <cell r="H194">
            <v>0</v>
          </cell>
          <cell r="I194">
            <v>0</v>
          </cell>
          <cell r="J194" t="str">
            <v/>
          </cell>
          <cell r="K194">
            <v>0</v>
          </cell>
          <cell r="L194">
            <v>0</v>
          </cell>
          <cell r="M194">
            <v>800</v>
          </cell>
        </row>
        <row r="195">
          <cell r="A195" t="str">
            <v>B30</v>
          </cell>
          <cell r="B195">
            <v>2317743.6970000002</v>
          </cell>
          <cell r="C195">
            <v>430308.00599999999</v>
          </cell>
          <cell r="D195">
            <v>33.1</v>
          </cell>
          <cell r="E195" t="str">
            <v>DC10</v>
          </cell>
          <cell r="F195">
            <v>-6.9</v>
          </cell>
          <cell r="G195">
            <v>-5.9</v>
          </cell>
          <cell r="H195" t="str">
            <v>X</v>
          </cell>
          <cell r="I195">
            <v>0</v>
          </cell>
          <cell r="J195" t="str">
            <v>SA</v>
          </cell>
          <cell r="K195">
            <v>3</v>
          </cell>
          <cell r="L195">
            <v>0</v>
          </cell>
          <cell r="M195">
            <v>800</v>
          </cell>
        </row>
        <row r="196">
          <cell r="A196" t="str">
            <v>B31</v>
          </cell>
          <cell r="B196">
            <v>2317745.2149999999</v>
          </cell>
          <cell r="C196">
            <v>430303.88900000002</v>
          </cell>
          <cell r="D196">
            <v>26</v>
          </cell>
          <cell r="E196" t="str">
            <v>DC10</v>
          </cell>
          <cell r="F196">
            <v>-6.9</v>
          </cell>
          <cell r="G196">
            <v>-5.9</v>
          </cell>
          <cell r="H196" t="str">
            <v>X</v>
          </cell>
          <cell r="I196">
            <v>0</v>
          </cell>
          <cell r="J196" t="str">
            <v>SA</v>
          </cell>
          <cell r="K196">
            <v>3</v>
          </cell>
          <cell r="L196">
            <v>0</v>
          </cell>
          <cell r="M196">
            <v>800</v>
          </cell>
        </row>
        <row r="197">
          <cell r="A197" t="str">
            <v>B32</v>
          </cell>
          <cell r="B197">
            <v>2317750.7779999999</v>
          </cell>
          <cell r="C197">
            <v>430301.92800000001</v>
          </cell>
          <cell r="D197">
            <v>26</v>
          </cell>
          <cell r="E197" t="str">
            <v>DC10</v>
          </cell>
          <cell r="F197">
            <v>-6.9</v>
          </cell>
          <cell r="G197">
            <v>-5.9</v>
          </cell>
          <cell r="H197" t="str">
            <v>X</v>
          </cell>
          <cell r="I197">
            <v>0</v>
          </cell>
          <cell r="J197" t="str">
            <v>SA</v>
          </cell>
          <cell r="K197">
            <v>3</v>
          </cell>
          <cell r="L197">
            <v>0</v>
          </cell>
          <cell r="M197">
            <v>800</v>
          </cell>
        </row>
        <row r="198">
          <cell r="A198" t="str">
            <v>B33</v>
          </cell>
          <cell r="B198">
            <v>2317759.7689999999</v>
          </cell>
          <cell r="C198">
            <v>430301.51899999997</v>
          </cell>
          <cell r="D198">
            <v>26</v>
          </cell>
          <cell r="E198" t="str">
            <v>DC10</v>
          </cell>
          <cell r="F198">
            <v>-6.9</v>
          </cell>
          <cell r="G198">
            <v>-5.9</v>
          </cell>
          <cell r="H198">
            <v>0</v>
          </cell>
          <cell r="I198">
            <v>0</v>
          </cell>
          <cell r="J198" t="str">
            <v/>
          </cell>
          <cell r="K198">
            <v>0</v>
          </cell>
          <cell r="L198">
            <v>0</v>
          </cell>
          <cell r="M198">
            <v>800</v>
          </cell>
        </row>
        <row r="199">
          <cell r="A199" t="str">
            <v>B34</v>
          </cell>
          <cell r="B199">
            <v>2317768.85</v>
          </cell>
          <cell r="C199">
            <v>430301.10600000003</v>
          </cell>
          <cell r="D199">
            <v>26</v>
          </cell>
          <cell r="E199" t="str">
            <v>DC10</v>
          </cell>
          <cell r="F199">
            <v>-6.9</v>
          </cell>
          <cell r="G199">
            <v>-5.9</v>
          </cell>
          <cell r="H199">
            <v>0</v>
          </cell>
          <cell r="I199" t="str">
            <v>X</v>
          </cell>
          <cell r="J199" t="str">
            <v>L</v>
          </cell>
          <cell r="K199">
            <v>2</v>
          </cell>
          <cell r="L199">
            <v>1</v>
          </cell>
          <cell r="M199">
            <v>800</v>
          </cell>
        </row>
        <row r="200">
          <cell r="A200" t="str">
            <v>B35</v>
          </cell>
          <cell r="B200">
            <v>2317777.7510000002</v>
          </cell>
          <cell r="C200">
            <v>430300.70199999999</v>
          </cell>
          <cell r="D200">
            <v>26</v>
          </cell>
          <cell r="E200" t="str">
            <v>DC10</v>
          </cell>
          <cell r="F200">
            <v>-6.9</v>
          </cell>
          <cell r="G200">
            <v>-5.9</v>
          </cell>
          <cell r="H200">
            <v>0</v>
          </cell>
          <cell r="I200">
            <v>0</v>
          </cell>
          <cell r="J200" t="str">
            <v/>
          </cell>
          <cell r="K200">
            <v>0</v>
          </cell>
          <cell r="L200">
            <v>0</v>
          </cell>
          <cell r="M200">
            <v>800</v>
          </cell>
        </row>
        <row r="201">
          <cell r="A201" t="str">
            <v>B36</v>
          </cell>
          <cell r="B201">
            <v>2317786.4019999998</v>
          </cell>
          <cell r="C201">
            <v>430300.30800000002</v>
          </cell>
          <cell r="D201">
            <v>26</v>
          </cell>
          <cell r="E201" t="str">
            <v>DC10</v>
          </cell>
          <cell r="F201">
            <v>-6.9</v>
          </cell>
          <cell r="G201">
            <v>-5.9</v>
          </cell>
          <cell r="H201" t="str">
            <v>X</v>
          </cell>
          <cell r="I201">
            <v>0</v>
          </cell>
          <cell r="J201" t="str">
            <v>SA</v>
          </cell>
          <cell r="K201">
            <v>3</v>
          </cell>
          <cell r="L201">
            <v>0</v>
          </cell>
          <cell r="M201">
            <v>800</v>
          </cell>
        </row>
        <row r="202">
          <cell r="A202" t="str">
            <v>B37</v>
          </cell>
          <cell r="B202">
            <v>2317790.4589999998</v>
          </cell>
          <cell r="C202">
            <v>430301.83199999999</v>
          </cell>
          <cell r="D202">
            <v>26</v>
          </cell>
          <cell r="E202" t="str">
            <v>DC10</v>
          </cell>
          <cell r="F202">
            <v>-6.9</v>
          </cell>
          <cell r="G202">
            <v>-5.9</v>
          </cell>
          <cell r="H202">
            <v>0</v>
          </cell>
          <cell r="I202">
            <v>0</v>
          </cell>
          <cell r="J202" t="str">
            <v/>
          </cell>
          <cell r="K202">
            <v>0</v>
          </cell>
          <cell r="L202">
            <v>0</v>
          </cell>
          <cell r="M202">
            <v>800</v>
          </cell>
        </row>
        <row r="203">
          <cell r="A203" t="str">
            <v>B38</v>
          </cell>
          <cell r="B203">
            <v>2317792.3470000001</v>
          </cell>
          <cell r="C203">
            <v>430305.79399999999</v>
          </cell>
          <cell r="D203">
            <v>26</v>
          </cell>
          <cell r="E203" t="str">
            <v>DC10</v>
          </cell>
          <cell r="F203">
            <v>-6.9</v>
          </cell>
          <cell r="G203">
            <v>-5.9</v>
          </cell>
          <cell r="H203">
            <v>0</v>
          </cell>
          <cell r="I203">
            <v>0</v>
          </cell>
          <cell r="J203" t="str">
            <v/>
          </cell>
          <cell r="K203">
            <v>0</v>
          </cell>
          <cell r="L203">
            <v>0</v>
          </cell>
          <cell r="M203">
            <v>800</v>
          </cell>
        </row>
        <row r="204">
          <cell r="A204" t="str">
            <v>B39</v>
          </cell>
          <cell r="B204">
            <v>2317792.7560000001</v>
          </cell>
          <cell r="C204">
            <v>430314.78499999997</v>
          </cell>
          <cell r="D204">
            <v>26</v>
          </cell>
          <cell r="E204" t="str">
            <v>DC10</v>
          </cell>
          <cell r="F204">
            <v>-6.9</v>
          </cell>
          <cell r="G204">
            <v>-5.9</v>
          </cell>
          <cell r="H204" t="str">
            <v>X</v>
          </cell>
          <cell r="I204">
            <v>0</v>
          </cell>
          <cell r="J204" t="str">
            <v>SA</v>
          </cell>
          <cell r="K204">
            <v>3</v>
          </cell>
          <cell r="L204">
            <v>0</v>
          </cell>
          <cell r="M204">
            <v>800</v>
          </cell>
        </row>
        <row r="205">
          <cell r="A205" t="str">
            <v>B40</v>
          </cell>
          <cell r="B205">
            <v>2317793.1639999999</v>
          </cell>
          <cell r="C205">
            <v>430323.77600000001</v>
          </cell>
          <cell r="D205">
            <v>29.4</v>
          </cell>
          <cell r="E205" t="str">
            <v>DC10</v>
          </cell>
          <cell r="F205">
            <v>-6.9</v>
          </cell>
          <cell r="G205">
            <v>-5.9</v>
          </cell>
          <cell r="H205">
            <v>0</v>
          </cell>
          <cell r="I205">
            <v>0</v>
          </cell>
          <cell r="J205" t="str">
            <v/>
          </cell>
          <cell r="K205">
            <v>0</v>
          </cell>
          <cell r="L205">
            <v>0</v>
          </cell>
          <cell r="M205">
            <v>800</v>
          </cell>
        </row>
        <row r="206">
          <cell r="A206" t="str">
            <v>B41</v>
          </cell>
          <cell r="B206">
            <v>2317793.5729999999</v>
          </cell>
          <cell r="C206">
            <v>430332.766</v>
          </cell>
          <cell r="D206">
            <v>26</v>
          </cell>
          <cell r="E206" t="str">
            <v>DC10</v>
          </cell>
          <cell r="F206">
            <v>-6.9</v>
          </cell>
          <cell r="G206">
            <v>-5.9</v>
          </cell>
          <cell r="H206" t="str">
            <v>X</v>
          </cell>
          <cell r="I206">
            <v>0</v>
          </cell>
          <cell r="J206" t="str">
            <v>SA</v>
          </cell>
          <cell r="K206">
            <v>3</v>
          </cell>
          <cell r="L206">
            <v>0</v>
          </cell>
          <cell r="M206">
            <v>800</v>
          </cell>
        </row>
        <row r="207">
          <cell r="A207" t="str">
            <v>B42</v>
          </cell>
          <cell r="B207">
            <v>2317794.057</v>
          </cell>
          <cell r="C207">
            <v>430343.40500000003</v>
          </cell>
          <cell r="D207">
            <v>22.7</v>
          </cell>
          <cell r="E207" t="str">
            <v>DC10</v>
          </cell>
          <cell r="F207">
            <v>-6.9</v>
          </cell>
          <cell r="G207">
            <v>-5.9</v>
          </cell>
          <cell r="H207">
            <v>0</v>
          </cell>
          <cell r="I207">
            <v>0</v>
          </cell>
          <cell r="J207" t="str">
            <v/>
          </cell>
          <cell r="K207">
            <v>0</v>
          </cell>
          <cell r="L207">
            <v>0</v>
          </cell>
          <cell r="M207">
            <v>800</v>
          </cell>
        </row>
        <row r="208">
          <cell r="A208" t="str">
            <v>B43</v>
          </cell>
          <cell r="B208">
            <v>2317794.4819999998</v>
          </cell>
          <cell r="C208">
            <v>430352.74599999998</v>
          </cell>
          <cell r="D208">
            <v>23.2</v>
          </cell>
          <cell r="E208" t="str">
            <v>DC10</v>
          </cell>
          <cell r="F208">
            <v>-6.9</v>
          </cell>
          <cell r="G208">
            <v>-5.9</v>
          </cell>
          <cell r="H208">
            <v>0</v>
          </cell>
          <cell r="I208">
            <v>0</v>
          </cell>
          <cell r="J208" t="str">
            <v/>
          </cell>
          <cell r="K208">
            <v>0</v>
          </cell>
          <cell r="L208">
            <v>0</v>
          </cell>
          <cell r="M208">
            <v>800</v>
          </cell>
        </row>
        <row r="209">
          <cell r="A209" t="str">
            <v>B44</v>
          </cell>
          <cell r="B209">
            <v>2317794.8879999998</v>
          </cell>
          <cell r="C209">
            <v>430361.68599999999</v>
          </cell>
          <cell r="D209">
            <v>26</v>
          </cell>
          <cell r="E209" t="str">
            <v>DC10B</v>
          </cell>
          <cell r="F209">
            <v>-6.9</v>
          </cell>
          <cell r="G209">
            <v>-5.9</v>
          </cell>
          <cell r="H209">
            <v>0</v>
          </cell>
          <cell r="I209">
            <v>0</v>
          </cell>
          <cell r="J209" t="str">
            <v/>
          </cell>
          <cell r="K209">
            <v>0</v>
          </cell>
          <cell r="L209">
            <v>0</v>
          </cell>
          <cell r="M209">
            <v>800</v>
          </cell>
        </row>
        <row r="210">
          <cell r="A210" t="str">
            <v>B45</v>
          </cell>
          <cell r="B210">
            <v>2317795.2990000001</v>
          </cell>
          <cell r="C210">
            <v>430370.72700000001</v>
          </cell>
          <cell r="D210">
            <v>31.8</v>
          </cell>
          <cell r="E210" t="str">
            <v>DC10A</v>
          </cell>
          <cell r="F210">
            <v>-5.9</v>
          </cell>
          <cell r="G210">
            <v>-4.9000000000000004</v>
          </cell>
          <cell r="H210" t="str">
            <v>X</v>
          </cell>
          <cell r="I210">
            <v>0</v>
          </cell>
          <cell r="J210" t="str">
            <v>SA</v>
          </cell>
          <cell r="K210">
            <v>3</v>
          </cell>
          <cell r="L210">
            <v>0</v>
          </cell>
          <cell r="M210">
            <v>800</v>
          </cell>
        </row>
        <row r="211">
          <cell r="A211" t="str">
            <v>B46</v>
          </cell>
          <cell r="B211">
            <v>2317795.7080000001</v>
          </cell>
          <cell r="C211">
            <v>430379.71799999999</v>
          </cell>
          <cell r="D211">
            <v>26.9</v>
          </cell>
          <cell r="E211" t="str">
            <v>DC10A</v>
          </cell>
          <cell r="F211">
            <v>-5.9</v>
          </cell>
          <cell r="G211">
            <v>-4.9000000000000004</v>
          </cell>
          <cell r="H211">
            <v>0</v>
          </cell>
          <cell r="I211">
            <v>0</v>
          </cell>
          <cell r="J211" t="str">
            <v/>
          </cell>
          <cell r="K211">
            <v>0</v>
          </cell>
          <cell r="L211">
            <v>0</v>
          </cell>
          <cell r="M211">
            <v>800</v>
          </cell>
        </row>
        <row r="212">
          <cell r="A212" t="str">
            <v>B47</v>
          </cell>
          <cell r="B212">
            <v>2317796.1120000002</v>
          </cell>
          <cell r="C212">
            <v>430388.61900000001</v>
          </cell>
          <cell r="D212">
            <v>26.9</v>
          </cell>
          <cell r="E212" t="str">
            <v>DC10A</v>
          </cell>
          <cell r="F212">
            <v>-5.9</v>
          </cell>
          <cell r="G212">
            <v>-4.9000000000000004</v>
          </cell>
          <cell r="H212">
            <v>0</v>
          </cell>
          <cell r="I212" t="str">
            <v>X</v>
          </cell>
          <cell r="J212" t="str">
            <v>L</v>
          </cell>
          <cell r="K212">
            <v>2</v>
          </cell>
          <cell r="L212">
            <v>1</v>
          </cell>
          <cell r="M212">
            <v>800</v>
          </cell>
        </row>
        <row r="213">
          <cell r="A213" t="str">
            <v>B48</v>
          </cell>
          <cell r="B213">
            <v>2317796.5249999999</v>
          </cell>
          <cell r="C213">
            <v>430397.69900000002</v>
          </cell>
          <cell r="D213">
            <v>24.5</v>
          </cell>
          <cell r="E213" t="str">
            <v>DC10A</v>
          </cell>
          <cell r="F213">
            <v>-5.9</v>
          </cell>
          <cell r="G213">
            <v>-4.9000000000000004</v>
          </cell>
          <cell r="H213">
            <v>0</v>
          </cell>
          <cell r="I213">
            <v>0</v>
          </cell>
          <cell r="J213" t="str">
            <v/>
          </cell>
          <cell r="K213">
            <v>0</v>
          </cell>
          <cell r="L213">
            <v>0</v>
          </cell>
          <cell r="M213">
            <v>800</v>
          </cell>
        </row>
        <row r="214">
          <cell r="A214" t="str">
            <v>B49</v>
          </cell>
          <cell r="B214">
            <v>2317796.9339999999</v>
          </cell>
          <cell r="C214">
            <v>430406.69</v>
          </cell>
          <cell r="D214">
            <v>25.6</v>
          </cell>
          <cell r="E214" t="str">
            <v>DC10A</v>
          </cell>
          <cell r="F214">
            <v>-5.9</v>
          </cell>
          <cell r="G214">
            <v>-4.9000000000000004</v>
          </cell>
          <cell r="H214" t="str">
            <v>X</v>
          </cell>
          <cell r="I214">
            <v>0</v>
          </cell>
          <cell r="J214" t="str">
            <v>SA</v>
          </cell>
          <cell r="K214">
            <v>3</v>
          </cell>
          <cell r="L214">
            <v>0</v>
          </cell>
          <cell r="M214">
            <v>800</v>
          </cell>
        </row>
        <row r="215">
          <cell r="A215" t="str">
            <v>BP1</v>
          </cell>
          <cell r="B215">
            <v>2317782.8459999999</v>
          </cell>
          <cell r="C215">
            <v>430300.92099999997</v>
          </cell>
          <cell r="D215">
            <v>29.9</v>
          </cell>
          <cell r="E215">
            <v>0</v>
          </cell>
          <cell r="F215">
            <v>-6.9</v>
          </cell>
          <cell r="G215">
            <v>-5.9</v>
          </cell>
          <cell r="H215">
            <v>0</v>
          </cell>
          <cell r="I215">
            <v>0</v>
          </cell>
          <cell r="J215" t="str">
            <v/>
          </cell>
          <cell r="K215">
            <v>0</v>
          </cell>
          <cell r="L215">
            <v>0</v>
          </cell>
          <cell r="M215">
            <v>1200</v>
          </cell>
        </row>
        <row r="216">
          <cell r="A216" t="str">
            <v>BP2</v>
          </cell>
          <cell r="B216">
            <v>2317794.9530000002</v>
          </cell>
          <cell r="C216">
            <v>430375.24699999997</v>
          </cell>
          <cell r="D216">
            <v>32.25</v>
          </cell>
          <cell r="E216">
            <v>0</v>
          </cell>
          <cell r="F216">
            <v>-5.9</v>
          </cell>
          <cell r="G216">
            <v>-4.9000000000000004</v>
          </cell>
          <cell r="H216">
            <v>0</v>
          </cell>
          <cell r="I216">
            <v>0</v>
          </cell>
          <cell r="J216" t="str">
            <v/>
          </cell>
          <cell r="K216">
            <v>0</v>
          </cell>
          <cell r="L216">
            <v>0</v>
          </cell>
          <cell r="M216">
            <v>800</v>
          </cell>
        </row>
        <row r="217">
          <cell r="A217" t="str">
            <v>BP3</v>
          </cell>
          <cell r="B217">
            <v>2317745.682</v>
          </cell>
          <cell r="C217">
            <v>430251.685</v>
          </cell>
          <cell r="D217">
            <v>29</v>
          </cell>
          <cell r="E217">
            <v>0</v>
          </cell>
          <cell r="F217">
            <v>-6.9</v>
          </cell>
          <cell r="G217">
            <v>-5.9</v>
          </cell>
          <cell r="H217">
            <v>0</v>
          </cell>
          <cell r="I217">
            <v>0</v>
          </cell>
          <cell r="J217" t="str">
            <v/>
          </cell>
          <cell r="K217">
            <v>0</v>
          </cell>
          <cell r="L217">
            <v>0</v>
          </cell>
          <cell r="M217">
            <v>800</v>
          </cell>
        </row>
        <row r="218">
          <cell r="A218" t="str">
            <v>BP4</v>
          </cell>
          <cell r="B218">
            <v>2317794.6809999999</v>
          </cell>
          <cell r="C218">
            <v>430357.147</v>
          </cell>
          <cell r="D218">
            <v>25.7</v>
          </cell>
          <cell r="E218">
            <v>0</v>
          </cell>
          <cell r="F218">
            <v>-6.9</v>
          </cell>
          <cell r="G218">
            <v>-5.9</v>
          </cell>
          <cell r="H218">
            <v>0</v>
          </cell>
          <cell r="I218">
            <v>0</v>
          </cell>
          <cell r="J218" t="str">
            <v/>
          </cell>
          <cell r="K218">
            <v>0</v>
          </cell>
          <cell r="L218">
            <v>0</v>
          </cell>
          <cell r="M218">
            <v>800</v>
          </cell>
        </row>
      </sheetData>
      <sheetData sheetId="4"/>
      <sheetData sheetId="5"/>
      <sheetData sheetId="6"/>
      <sheetData sheetId="7">
        <row r="1">
          <cell r="D1">
            <v>0</v>
          </cell>
        </row>
        <row r="2">
          <cell r="B2" t="str">
            <v>Tên cọc</v>
          </cell>
          <cell r="C2" t="str">
            <v xml:space="preserve">1.Khoan tạo lỗ :   </v>
          </cell>
          <cell r="D2">
            <v>0</v>
          </cell>
          <cell r="E2">
            <v>0</v>
          </cell>
          <cell r="F2" t="str">
            <v xml:space="preserve">2.Nghiệm thu định vị ống Casing: </v>
          </cell>
          <cell r="G2">
            <v>0</v>
          </cell>
          <cell r="H2">
            <v>0</v>
          </cell>
          <cell r="I2">
            <v>0</v>
          </cell>
          <cell r="J2">
            <v>0</v>
          </cell>
          <cell r="K2">
            <v>0</v>
          </cell>
          <cell r="L2">
            <v>0</v>
          </cell>
          <cell r="M2" t="str">
            <v>3.Kiểm tra Polymer lần1:</v>
          </cell>
          <cell r="N2">
            <v>0</v>
          </cell>
          <cell r="O2">
            <v>0</v>
          </cell>
          <cell r="P2">
            <v>0</v>
          </cell>
          <cell r="Q2">
            <v>0</v>
          </cell>
          <cell r="R2">
            <v>0</v>
          </cell>
          <cell r="S2">
            <v>0</v>
          </cell>
          <cell r="T2" t="str">
            <v xml:space="preserve">4.Khoan gặp đá: </v>
          </cell>
          <cell r="U2">
            <v>0</v>
          </cell>
          <cell r="V2">
            <v>0</v>
          </cell>
          <cell r="W2" t="str">
            <v>5.Kết thúc khoan hồi :</v>
          </cell>
          <cell r="X2">
            <v>0</v>
          </cell>
          <cell r="Y2">
            <v>0</v>
          </cell>
          <cell r="Z2" t="str">
            <v xml:space="preserve">6.Vét lắng  </v>
          </cell>
          <cell r="AA2">
            <v>0</v>
          </cell>
          <cell r="AB2">
            <v>0</v>
          </cell>
          <cell r="AC2">
            <v>0</v>
          </cell>
          <cell r="AD2" t="str">
            <v>7.Nghiệm thu lồng thép:</v>
          </cell>
          <cell r="AE2">
            <v>0</v>
          </cell>
          <cell r="AF2">
            <v>0</v>
          </cell>
          <cell r="AG2" t="str">
            <v>8.Hạ lồng thép, ống đổ, ống thổi :</v>
          </cell>
          <cell r="AH2">
            <v>0</v>
          </cell>
          <cell r="AI2">
            <v>0</v>
          </cell>
          <cell r="AJ2" t="str">
            <v>9.Kiểm tra Polymer lần 2:</v>
          </cell>
          <cell r="AK2">
            <v>0</v>
          </cell>
          <cell r="AL2">
            <v>0</v>
          </cell>
          <cell r="AM2">
            <v>0</v>
          </cell>
          <cell r="AN2">
            <v>0</v>
          </cell>
          <cell r="AO2">
            <v>0</v>
          </cell>
          <cell r="AP2">
            <v>0</v>
          </cell>
          <cell r="AQ2" t="str">
            <v>10.Kiểm tra chiều sâu hố khoan trước khi đổ bê tông</v>
          </cell>
          <cell r="AR2">
            <v>0</v>
          </cell>
          <cell r="AS2">
            <v>0</v>
          </cell>
          <cell r="AT2">
            <v>0</v>
          </cell>
          <cell r="AU2" t="str">
            <v>11.Tvgs  đồng ý cho đổ bê tông</v>
          </cell>
          <cell r="AV2">
            <v>0</v>
          </cell>
          <cell r="AW2">
            <v>0</v>
          </cell>
          <cell r="AX2">
            <v>0</v>
          </cell>
          <cell r="AY2">
            <v>0</v>
          </cell>
          <cell r="AZ2">
            <v>0</v>
          </cell>
        </row>
        <row r="3">
          <cell r="B3">
            <v>0</v>
          </cell>
          <cell r="C3" t="str">
            <v>Bắt đầu</v>
          </cell>
          <cell r="D3" t="str">
            <v>Kết thúc</v>
          </cell>
          <cell r="E3" t="str">
            <v>Ngày:</v>
          </cell>
          <cell r="F3" t="str">
            <v>Bắt đầu</v>
          </cell>
          <cell r="G3" t="str">
            <v>Kết thúc</v>
          </cell>
          <cell r="H3" t="str">
            <v>Ngày:</v>
          </cell>
          <cell r="I3" t="str">
            <v>DX</v>
          </cell>
          <cell r="J3" t="str">
            <v>DY</v>
          </cell>
          <cell r="K3" t="str">
            <v>CĐ sing</v>
          </cell>
          <cell r="L3" t="str">
            <v>CĐ TN</v>
          </cell>
          <cell r="M3" t="str">
            <v>Bắt đầu</v>
          </cell>
          <cell r="N3" t="str">
            <v>Kết thúc</v>
          </cell>
          <cell r="O3" t="str">
            <v>Ngày:</v>
          </cell>
          <cell r="P3" t="str">
            <v>Tỷ trọng</v>
          </cell>
          <cell r="Q3" t="str">
            <v>PH</v>
          </cell>
          <cell r="R3" t="str">
            <v>Độ nhớt</v>
          </cell>
          <cell r="S3" t="str">
            <v>HL cát</v>
          </cell>
          <cell r="T3" t="str">
            <v>Bắt đầu</v>
          </cell>
          <cell r="U3" t="str">
            <v>Ngày:</v>
          </cell>
          <cell r="V3" t="str">
            <v>chiều sâu</v>
          </cell>
          <cell r="W3" t="str">
            <v>Bắt đầu</v>
          </cell>
          <cell r="X3" t="str">
            <v>Ngày</v>
          </cell>
          <cell r="Y3" t="str">
            <v>chiều sâu</v>
          </cell>
          <cell r="Z3" t="str">
            <v>Bắt đầu</v>
          </cell>
          <cell r="AA3" t="str">
            <v>Kết thúc</v>
          </cell>
          <cell r="AB3" t="str">
            <v>Ngày:</v>
          </cell>
          <cell r="AC3" t="str">
            <v>chiều sâu</v>
          </cell>
          <cell r="AD3" t="str">
            <v>Bắt đầu</v>
          </cell>
          <cell r="AE3" t="str">
            <v>Kết thúc</v>
          </cell>
          <cell r="AF3" t="str">
            <v>Ngày:</v>
          </cell>
          <cell r="AG3" t="str">
            <v>Bắt đầu</v>
          </cell>
          <cell r="AH3" t="str">
            <v>Kết thúc</v>
          </cell>
          <cell r="AI3" t="str">
            <v>Ngày:</v>
          </cell>
          <cell r="AJ3" t="str">
            <v>Bắt đầu</v>
          </cell>
          <cell r="AK3" t="str">
            <v>Kết thúc</v>
          </cell>
          <cell r="AL3" t="str">
            <v>Ngày:</v>
          </cell>
          <cell r="AM3" t="str">
            <v>Tỷ trọng</v>
          </cell>
          <cell r="AN3" t="str">
            <v>PH</v>
          </cell>
          <cell r="AO3" t="str">
            <v>Độ nhớt</v>
          </cell>
          <cell r="AP3" t="str">
            <v>HL cát</v>
          </cell>
          <cell r="AQ3" t="str">
            <v>Bắt đầu</v>
          </cell>
          <cell r="AR3" t="str">
            <v>Kết thúc</v>
          </cell>
          <cell r="AS3" t="str">
            <v>Ngày:</v>
          </cell>
          <cell r="AT3" t="str">
            <v>chiều sâu</v>
          </cell>
          <cell r="AU3" t="str">
            <v>Bắt đầu</v>
          </cell>
          <cell r="AV3" t="str">
            <v>Ngày</v>
          </cell>
          <cell r="AW3" t="str">
            <v>Kết thúc</v>
          </cell>
          <cell r="AX3" t="str">
            <v>Ngày</v>
          </cell>
          <cell r="AY3" t="str">
            <v>Chiều sâu dừng đổ</v>
          </cell>
          <cell r="AZ3" t="str">
            <v>BT  thực tế</v>
          </cell>
        </row>
        <row r="4">
          <cell r="B4">
            <v>1</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row>
        <row r="5">
          <cell r="B5" t="str">
            <v>A20</v>
          </cell>
          <cell r="C5">
            <v>0.39930555555555558</v>
          </cell>
          <cell r="D5">
            <v>0.42708333333333331</v>
          </cell>
          <cell r="E5">
            <v>42512</v>
          </cell>
          <cell r="F5">
            <v>0.4375</v>
          </cell>
          <cell r="G5">
            <v>0.45833333333333331</v>
          </cell>
          <cell r="H5">
            <v>42512</v>
          </cell>
          <cell r="I5">
            <v>2E-3</v>
          </cell>
          <cell r="J5">
            <v>1.4999999999999999E-2</v>
          </cell>
          <cell r="K5">
            <v>-0.4</v>
          </cell>
          <cell r="L5">
            <v>-0.81499999999999995</v>
          </cell>
          <cell r="M5">
            <v>0.4375</v>
          </cell>
          <cell r="N5">
            <v>0.44444444444444442</v>
          </cell>
          <cell r="O5">
            <v>42512</v>
          </cell>
          <cell r="P5">
            <v>1.07</v>
          </cell>
          <cell r="Q5">
            <v>9</v>
          </cell>
          <cell r="R5">
            <v>21</v>
          </cell>
          <cell r="S5">
            <v>1</v>
          </cell>
          <cell r="T5">
            <v>0.72916666666666663</v>
          </cell>
          <cell r="U5">
            <v>42512</v>
          </cell>
          <cell r="V5">
            <v>25.9</v>
          </cell>
          <cell r="W5">
            <v>0.39583333333333331</v>
          </cell>
          <cell r="X5">
            <v>42518</v>
          </cell>
          <cell r="Y5">
            <v>39.450000000000003</v>
          </cell>
          <cell r="Z5">
            <v>0.73611111111111116</v>
          </cell>
          <cell r="AA5">
            <v>0.75</v>
          </cell>
          <cell r="AB5">
            <v>42518</v>
          </cell>
          <cell r="AC5">
            <v>39.549999999999997</v>
          </cell>
          <cell r="AD5">
            <v>0.40972222222222227</v>
          </cell>
          <cell r="AE5">
            <v>0.41319444444444442</v>
          </cell>
          <cell r="AF5">
            <v>42518</v>
          </cell>
          <cell r="AG5">
            <v>0.75694444444444453</v>
          </cell>
          <cell r="AH5">
            <v>0.97222222222222221</v>
          </cell>
          <cell r="AI5">
            <v>42518</v>
          </cell>
          <cell r="AJ5">
            <v>0.97916666666666663</v>
          </cell>
          <cell r="AK5">
            <v>0.98611111111111116</v>
          </cell>
          <cell r="AL5">
            <v>42518</v>
          </cell>
          <cell r="AM5">
            <v>1.08</v>
          </cell>
          <cell r="AN5">
            <v>9</v>
          </cell>
          <cell r="AO5">
            <v>28</v>
          </cell>
          <cell r="AP5">
            <v>0</v>
          </cell>
          <cell r="AQ5">
            <v>0.98958333333333337</v>
          </cell>
          <cell r="AR5">
            <v>0.99305555555555547</v>
          </cell>
          <cell r="AS5">
            <v>42518</v>
          </cell>
          <cell r="AT5">
            <v>39.6</v>
          </cell>
          <cell r="AU5">
            <v>0.99305555555555547</v>
          </cell>
          <cell r="AV5">
            <v>42518</v>
          </cell>
          <cell r="AW5">
            <v>7.2916666666666671E-2</v>
          </cell>
          <cell r="AX5">
            <v>42519</v>
          </cell>
          <cell r="AY5">
            <v>5.5</v>
          </cell>
          <cell r="AZ5">
            <v>49</v>
          </cell>
        </row>
        <row r="6">
          <cell r="B6" t="str">
            <v>B1</v>
          </cell>
          <cell r="C6">
            <v>0.375</v>
          </cell>
          <cell r="D6">
            <v>0.4375</v>
          </cell>
          <cell r="E6">
            <v>42519</v>
          </cell>
          <cell r="F6">
            <v>0.4375</v>
          </cell>
          <cell r="G6">
            <v>0.44444444444444442</v>
          </cell>
          <cell r="H6">
            <v>42519</v>
          </cell>
          <cell r="I6">
            <v>1E-3</v>
          </cell>
          <cell r="J6">
            <v>0.02</v>
          </cell>
          <cell r="K6">
            <v>-0.35299999999999998</v>
          </cell>
          <cell r="L6">
            <v>-0.71699999999999997</v>
          </cell>
          <cell r="M6">
            <v>0.4375</v>
          </cell>
          <cell r="N6">
            <v>0.44791666666666669</v>
          </cell>
          <cell r="O6">
            <v>42519</v>
          </cell>
          <cell r="P6">
            <v>1.08</v>
          </cell>
          <cell r="Q6">
            <v>9</v>
          </cell>
          <cell r="R6">
            <v>19</v>
          </cell>
          <cell r="S6">
            <v>0</v>
          </cell>
          <cell r="T6">
            <v>0.625</v>
          </cell>
          <cell r="U6">
            <v>42519</v>
          </cell>
          <cell r="V6">
            <v>22.3</v>
          </cell>
          <cell r="W6">
            <v>0.76388888888888884</v>
          </cell>
          <cell r="X6">
            <v>42520</v>
          </cell>
          <cell r="Y6">
            <v>29.35</v>
          </cell>
          <cell r="Z6">
            <v>0.80555555555555547</v>
          </cell>
          <cell r="AA6">
            <v>0.81944444444444453</v>
          </cell>
          <cell r="AB6">
            <v>42520</v>
          </cell>
          <cell r="AC6">
            <v>29.35</v>
          </cell>
          <cell r="AD6">
            <v>0.55902777777777779</v>
          </cell>
          <cell r="AE6">
            <v>0.56597222222222221</v>
          </cell>
          <cell r="AF6">
            <v>42520</v>
          </cell>
          <cell r="AG6">
            <v>0.88541666666666663</v>
          </cell>
          <cell r="AH6">
            <v>4.1666666666666664E-2</v>
          </cell>
          <cell r="AI6">
            <v>42521</v>
          </cell>
          <cell r="AJ6">
            <v>0.13194444444444445</v>
          </cell>
          <cell r="AK6">
            <v>0.1388888888888889</v>
          </cell>
          <cell r="AL6">
            <v>42521</v>
          </cell>
          <cell r="AM6">
            <v>1.0900000000000001</v>
          </cell>
          <cell r="AN6">
            <v>9</v>
          </cell>
          <cell r="AO6">
            <v>28</v>
          </cell>
          <cell r="AP6">
            <v>0</v>
          </cell>
          <cell r="AQ6">
            <v>0.13541666666666666</v>
          </cell>
          <cell r="AR6">
            <v>0.1388888888888889</v>
          </cell>
          <cell r="AS6">
            <v>42521</v>
          </cell>
          <cell r="AT6">
            <v>29.35</v>
          </cell>
          <cell r="AU6">
            <v>0.1423611111111111</v>
          </cell>
          <cell r="AV6">
            <v>42521</v>
          </cell>
          <cell r="AW6">
            <v>0.20138888888888887</v>
          </cell>
          <cell r="AX6">
            <v>42521</v>
          </cell>
          <cell r="AY6">
            <v>0</v>
          </cell>
          <cell r="AZ6">
            <v>18</v>
          </cell>
        </row>
        <row r="7">
          <cell r="B7" t="str">
            <v>A19</v>
          </cell>
          <cell r="C7">
            <v>0.29166666666666669</v>
          </cell>
          <cell r="D7">
            <v>0.33333333333333331</v>
          </cell>
          <cell r="E7">
            <v>42521</v>
          </cell>
          <cell r="F7">
            <v>0.36458333333333331</v>
          </cell>
          <cell r="G7">
            <v>0.375</v>
          </cell>
          <cell r="H7">
            <v>42521</v>
          </cell>
          <cell r="I7">
            <v>2.5000000000000001E-2</v>
          </cell>
          <cell r="J7">
            <v>6.0000000000000001E-3</v>
          </cell>
          <cell r="K7">
            <v>-0.156</v>
          </cell>
          <cell r="L7">
            <v>-0.78400000000000003</v>
          </cell>
          <cell r="M7">
            <v>0.38194444444444442</v>
          </cell>
          <cell r="N7">
            <v>0.38541666666666669</v>
          </cell>
          <cell r="O7">
            <v>42521</v>
          </cell>
          <cell r="P7">
            <v>1.05</v>
          </cell>
          <cell r="Q7">
            <v>9</v>
          </cell>
          <cell r="R7">
            <v>24</v>
          </cell>
          <cell r="S7">
            <v>0</v>
          </cell>
          <cell r="T7">
            <v>0.66666666666666663</v>
          </cell>
          <cell r="U7">
            <v>42521</v>
          </cell>
          <cell r="V7">
            <v>29</v>
          </cell>
          <cell r="W7">
            <v>0.39583333333333331</v>
          </cell>
          <cell r="X7">
            <v>42522</v>
          </cell>
          <cell r="Y7">
            <v>39.6</v>
          </cell>
          <cell r="Z7">
            <v>0.55555555555555558</v>
          </cell>
          <cell r="AA7">
            <v>0.57638888888888895</v>
          </cell>
          <cell r="AB7">
            <v>42522</v>
          </cell>
          <cell r="AC7">
            <v>39.799999999999997</v>
          </cell>
          <cell r="AD7">
            <v>0.40972222222222227</v>
          </cell>
          <cell r="AE7">
            <v>0.41319444444444442</v>
          </cell>
          <cell r="AF7">
            <v>42522</v>
          </cell>
          <cell r="AG7">
            <v>0.65972222222222221</v>
          </cell>
          <cell r="AH7">
            <v>0.90972222222222221</v>
          </cell>
          <cell r="AI7">
            <v>42522</v>
          </cell>
          <cell r="AJ7">
            <v>0</v>
          </cell>
          <cell r="AK7">
            <v>3.472222222222222E-3</v>
          </cell>
          <cell r="AL7">
            <v>42522</v>
          </cell>
          <cell r="AM7">
            <v>1.06</v>
          </cell>
          <cell r="AN7">
            <v>8</v>
          </cell>
          <cell r="AO7">
            <v>27</v>
          </cell>
          <cell r="AP7">
            <v>0</v>
          </cell>
          <cell r="AQ7">
            <v>3.472222222222222E-3</v>
          </cell>
          <cell r="AR7">
            <v>6.9444444444444441E-3</v>
          </cell>
          <cell r="AS7">
            <v>42523</v>
          </cell>
          <cell r="AT7">
            <v>39.799999999999997</v>
          </cell>
          <cell r="AU7">
            <v>6.9444444444444441E-3</v>
          </cell>
          <cell r="AV7">
            <v>42523</v>
          </cell>
          <cell r="AW7">
            <v>0.11458333333333333</v>
          </cell>
          <cell r="AX7">
            <v>42523</v>
          </cell>
          <cell r="AY7">
            <v>0</v>
          </cell>
          <cell r="AZ7">
            <v>54</v>
          </cell>
        </row>
        <row r="8">
          <cell r="B8" t="str">
            <v>A126</v>
          </cell>
          <cell r="C8">
            <v>0.66666666666666663</v>
          </cell>
          <cell r="D8">
            <v>0.85763888888888884</v>
          </cell>
          <cell r="E8">
            <v>42522</v>
          </cell>
          <cell r="F8">
            <v>0.85763888888888884</v>
          </cell>
          <cell r="G8">
            <v>0.86111111111111116</v>
          </cell>
          <cell r="H8">
            <v>42522</v>
          </cell>
          <cell r="I8">
            <v>1.7999999999999999E-2</v>
          </cell>
          <cell r="J8">
            <v>6.0000000000000001E-3</v>
          </cell>
          <cell r="K8">
            <v>-0.26700000000000002</v>
          </cell>
          <cell r="L8">
            <v>-0.72</v>
          </cell>
          <cell r="M8">
            <v>0.3125</v>
          </cell>
          <cell r="N8">
            <v>0.31597222222222221</v>
          </cell>
          <cell r="O8">
            <v>42523</v>
          </cell>
          <cell r="P8">
            <v>1.06</v>
          </cell>
          <cell r="Q8">
            <v>8</v>
          </cell>
          <cell r="R8">
            <v>22</v>
          </cell>
          <cell r="S8">
            <v>0</v>
          </cell>
          <cell r="T8">
            <v>0.40972222222222227</v>
          </cell>
          <cell r="U8">
            <v>42523</v>
          </cell>
          <cell r="V8">
            <v>22.3</v>
          </cell>
          <cell r="W8">
            <v>0.60416666666666663</v>
          </cell>
          <cell r="X8">
            <v>42523</v>
          </cell>
          <cell r="Y8">
            <v>23.4</v>
          </cell>
          <cell r="Z8">
            <v>0.83333333333333337</v>
          </cell>
          <cell r="AA8">
            <v>0.85416666666666663</v>
          </cell>
          <cell r="AB8">
            <v>42523</v>
          </cell>
          <cell r="AC8">
            <v>23.6</v>
          </cell>
          <cell r="AD8">
            <v>0.86111111111111116</v>
          </cell>
          <cell r="AE8">
            <v>0.87847222222222221</v>
          </cell>
          <cell r="AF8">
            <v>42523</v>
          </cell>
          <cell r="AG8">
            <v>0.88888888888888884</v>
          </cell>
          <cell r="AH8">
            <v>9.7222222222222224E-2</v>
          </cell>
          <cell r="AI8">
            <v>42524</v>
          </cell>
          <cell r="AJ8">
            <v>0.10416666666666667</v>
          </cell>
          <cell r="AK8">
            <v>0.1076388888888889</v>
          </cell>
          <cell r="AL8">
            <v>42524</v>
          </cell>
          <cell r="AM8">
            <v>1.07</v>
          </cell>
          <cell r="AN8">
            <v>9</v>
          </cell>
          <cell r="AO8">
            <v>23</v>
          </cell>
          <cell r="AP8">
            <v>0</v>
          </cell>
          <cell r="AQ8">
            <v>0.11805555555555557</v>
          </cell>
          <cell r="AR8">
            <v>0.12152777777777778</v>
          </cell>
          <cell r="AS8">
            <v>42524</v>
          </cell>
          <cell r="AT8">
            <v>23.6</v>
          </cell>
          <cell r="AU8">
            <v>0.12847222222222224</v>
          </cell>
          <cell r="AV8">
            <v>42524</v>
          </cell>
          <cell r="AW8">
            <v>0.20833333333333334</v>
          </cell>
          <cell r="AX8">
            <v>42524</v>
          </cell>
          <cell r="AY8">
            <v>0</v>
          </cell>
          <cell r="AZ8">
            <v>30</v>
          </cell>
        </row>
        <row r="9">
          <cell r="B9" t="str">
            <v>A151</v>
          </cell>
          <cell r="C9">
            <v>0.3888888888888889</v>
          </cell>
          <cell r="D9">
            <v>0.47916666666666669</v>
          </cell>
          <cell r="E9">
            <v>42524</v>
          </cell>
          <cell r="F9">
            <v>0.58333333333333337</v>
          </cell>
          <cell r="G9">
            <v>0.59722222222222221</v>
          </cell>
          <cell r="H9">
            <v>42524</v>
          </cell>
          <cell r="I9">
            <v>0.02</v>
          </cell>
          <cell r="J9">
            <v>6.0000000000000001E-3</v>
          </cell>
          <cell r="K9">
            <v>-0.57799999999999996</v>
          </cell>
          <cell r="L9">
            <v>-0.93500000000000005</v>
          </cell>
          <cell r="M9">
            <v>0.60069444444444442</v>
          </cell>
          <cell r="N9">
            <v>0.60416666666666663</v>
          </cell>
          <cell r="O9">
            <v>42524</v>
          </cell>
          <cell r="P9">
            <v>1.01</v>
          </cell>
          <cell r="Q9">
            <v>9</v>
          </cell>
          <cell r="R9">
            <v>23</v>
          </cell>
          <cell r="S9">
            <v>0</v>
          </cell>
          <cell r="T9">
            <v>0.72916666666666663</v>
          </cell>
          <cell r="U9">
            <v>42524</v>
          </cell>
          <cell r="V9">
            <v>24.8</v>
          </cell>
          <cell r="W9">
            <v>0.125</v>
          </cell>
          <cell r="X9">
            <v>42525</v>
          </cell>
          <cell r="Y9">
            <v>32</v>
          </cell>
          <cell r="Z9">
            <v>0.30555555555555552</v>
          </cell>
          <cell r="AA9">
            <v>0.31736111111111115</v>
          </cell>
          <cell r="AB9">
            <v>42525</v>
          </cell>
          <cell r="AC9">
            <v>32.200000000000003</v>
          </cell>
          <cell r="AD9">
            <v>0.55902777777777779</v>
          </cell>
          <cell r="AE9">
            <v>0.56597222222222221</v>
          </cell>
          <cell r="AF9">
            <v>42525</v>
          </cell>
          <cell r="AG9">
            <v>0.4375</v>
          </cell>
          <cell r="AH9">
            <v>0.5625</v>
          </cell>
          <cell r="AI9">
            <v>42525</v>
          </cell>
          <cell r="AJ9">
            <v>0.70138888888888884</v>
          </cell>
          <cell r="AK9">
            <v>0.70833333333333337</v>
          </cell>
          <cell r="AL9">
            <v>42525</v>
          </cell>
          <cell r="AM9">
            <v>1.06</v>
          </cell>
          <cell r="AN9">
            <v>8</v>
          </cell>
          <cell r="AO9">
            <v>21.5</v>
          </cell>
          <cell r="AP9">
            <v>0</v>
          </cell>
          <cell r="AQ9">
            <v>0.76388888888888884</v>
          </cell>
          <cell r="AR9">
            <v>0.76736111111111116</v>
          </cell>
          <cell r="AS9">
            <v>42525</v>
          </cell>
          <cell r="AT9">
            <v>32.200000000000003</v>
          </cell>
          <cell r="AU9">
            <v>0.79513888888888884</v>
          </cell>
          <cell r="AV9">
            <v>42525</v>
          </cell>
          <cell r="AW9">
            <v>0.92013888888888884</v>
          </cell>
          <cell r="AX9">
            <v>42525</v>
          </cell>
          <cell r="AY9">
            <v>6.5</v>
          </cell>
          <cell r="AZ9">
            <v>33</v>
          </cell>
        </row>
        <row r="10">
          <cell r="B10" t="str">
            <v>B28</v>
          </cell>
          <cell r="C10">
            <v>0.32569444444444445</v>
          </cell>
          <cell r="D10">
            <v>0.4375</v>
          </cell>
          <cell r="E10">
            <v>42527</v>
          </cell>
          <cell r="F10">
            <v>0.46875</v>
          </cell>
          <cell r="G10">
            <v>0.47916666666666669</v>
          </cell>
          <cell r="H10">
            <v>42527</v>
          </cell>
          <cell r="I10">
            <v>-1E-3</v>
          </cell>
          <cell r="J10">
            <v>2.5999999999999999E-2</v>
          </cell>
          <cell r="K10">
            <v>-1.016</v>
          </cell>
          <cell r="L10">
            <v>-1.288</v>
          </cell>
          <cell r="M10">
            <v>0.54166666666666663</v>
          </cell>
          <cell r="N10">
            <v>0.55555555555555558</v>
          </cell>
          <cell r="O10">
            <v>42527</v>
          </cell>
          <cell r="P10">
            <v>1.06</v>
          </cell>
          <cell r="Q10">
            <v>9</v>
          </cell>
          <cell r="R10">
            <v>27</v>
          </cell>
          <cell r="S10">
            <v>0</v>
          </cell>
          <cell r="T10">
            <v>0.64583333333333337</v>
          </cell>
          <cell r="U10">
            <v>42527</v>
          </cell>
          <cell r="V10">
            <v>20.8</v>
          </cell>
          <cell r="W10">
            <v>0.70833333333333337</v>
          </cell>
          <cell r="X10">
            <v>42527</v>
          </cell>
          <cell r="Y10">
            <v>21.95</v>
          </cell>
          <cell r="Z10">
            <v>0.80555555555555547</v>
          </cell>
          <cell r="AA10">
            <v>0.81944444444444453</v>
          </cell>
          <cell r="AB10">
            <v>42527</v>
          </cell>
          <cell r="AC10">
            <v>22.08</v>
          </cell>
          <cell r="AD10">
            <v>0.83333333333333337</v>
          </cell>
          <cell r="AE10">
            <v>0.84375</v>
          </cell>
          <cell r="AF10">
            <v>42527</v>
          </cell>
          <cell r="AG10">
            <v>0.85416666666666663</v>
          </cell>
          <cell r="AH10">
            <v>0.88888888888888884</v>
          </cell>
          <cell r="AI10">
            <v>42527</v>
          </cell>
          <cell r="AJ10">
            <v>0.89236111111111116</v>
          </cell>
          <cell r="AK10">
            <v>0.88888888888888884</v>
          </cell>
          <cell r="AL10">
            <v>42527</v>
          </cell>
          <cell r="AM10">
            <v>1.07</v>
          </cell>
          <cell r="AN10">
            <v>9</v>
          </cell>
          <cell r="AO10">
            <v>28</v>
          </cell>
          <cell r="AP10">
            <v>0</v>
          </cell>
          <cell r="AQ10">
            <v>3.4722222222222224E-2</v>
          </cell>
          <cell r="AR10">
            <v>3.8194444444444441E-2</v>
          </cell>
          <cell r="AS10">
            <v>42528</v>
          </cell>
          <cell r="AT10">
            <v>22.08</v>
          </cell>
          <cell r="AU10">
            <v>4.8611111111111112E-2</v>
          </cell>
          <cell r="AV10">
            <v>42528</v>
          </cell>
          <cell r="AW10">
            <v>5.9027777777777783E-2</v>
          </cell>
          <cell r="AX10">
            <v>42528</v>
          </cell>
          <cell r="AY10">
            <v>3.8</v>
          </cell>
          <cell r="AZ10">
            <v>9.5</v>
          </cell>
        </row>
        <row r="11">
          <cell r="B11" t="str">
            <v>A1</v>
          </cell>
          <cell r="C11">
            <v>0.79166666666666663</v>
          </cell>
          <cell r="D11">
            <v>0.875</v>
          </cell>
          <cell r="E11">
            <v>42548</v>
          </cell>
          <cell r="F11">
            <v>0.33333333333333331</v>
          </cell>
          <cell r="G11">
            <v>0.34722222222222227</v>
          </cell>
          <cell r="H11">
            <v>42549</v>
          </cell>
          <cell r="I11">
            <v>1.4999999999999999E-2</v>
          </cell>
          <cell r="J11">
            <v>1E-3</v>
          </cell>
          <cell r="K11">
            <v>-0.55500000000000005</v>
          </cell>
          <cell r="L11">
            <v>-0.95499999999999996</v>
          </cell>
          <cell r="M11">
            <v>0.35069444444444442</v>
          </cell>
          <cell r="N11">
            <v>0.35416666666666669</v>
          </cell>
          <cell r="O11">
            <v>42549</v>
          </cell>
          <cell r="P11">
            <v>1.05</v>
          </cell>
          <cell r="Q11">
            <v>9</v>
          </cell>
          <cell r="R11">
            <v>23</v>
          </cell>
          <cell r="S11">
            <v>0</v>
          </cell>
          <cell r="T11">
            <v>0.67708333333333337</v>
          </cell>
          <cell r="U11">
            <v>42549</v>
          </cell>
          <cell r="V11">
            <v>20.9</v>
          </cell>
          <cell r="W11">
            <v>0.72222222222222221</v>
          </cell>
          <cell r="X11">
            <v>42549</v>
          </cell>
          <cell r="Y11">
            <v>22.6</v>
          </cell>
          <cell r="Z11">
            <v>0.80208333333333337</v>
          </cell>
          <cell r="AA11">
            <v>0.8125</v>
          </cell>
          <cell r="AB11">
            <v>42549</v>
          </cell>
          <cell r="AC11">
            <v>22.82</v>
          </cell>
          <cell r="AD11">
            <v>0.81597222222222221</v>
          </cell>
          <cell r="AE11">
            <v>0.82638888888888884</v>
          </cell>
          <cell r="AF11">
            <v>42549</v>
          </cell>
          <cell r="AG11">
            <v>0.82986111111111116</v>
          </cell>
          <cell r="AH11">
            <v>0.88194444444444453</v>
          </cell>
          <cell r="AI11">
            <v>42549</v>
          </cell>
          <cell r="AJ11">
            <v>0.95833333333333337</v>
          </cell>
          <cell r="AK11">
            <v>0.96180555555555547</v>
          </cell>
          <cell r="AL11">
            <v>42549</v>
          </cell>
          <cell r="AM11">
            <v>1.01</v>
          </cell>
          <cell r="AN11">
            <v>9</v>
          </cell>
          <cell r="AO11">
            <v>22</v>
          </cell>
          <cell r="AP11">
            <v>0</v>
          </cell>
          <cell r="AQ11">
            <v>0.37847222222222227</v>
          </cell>
          <cell r="AR11">
            <v>0.38194444444444442</v>
          </cell>
          <cell r="AS11">
            <v>42550</v>
          </cell>
          <cell r="AT11">
            <v>22.82</v>
          </cell>
          <cell r="AU11">
            <v>0.40277777777777773</v>
          </cell>
          <cell r="AV11">
            <v>42550</v>
          </cell>
          <cell r="AW11">
            <v>0.45902777777777781</v>
          </cell>
          <cell r="AX11">
            <v>42550</v>
          </cell>
          <cell r="AY11">
            <v>5.5</v>
          </cell>
          <cell r="AZ11">
            <v>19.5</v>
          </cell>
        </row>
        <row r="12">
          <cell r="B12" t="str">
            <v>A27</v>
          </cell>
          <cell r="C12">
            <v>0.89583333333333337</v>
          </cell>
          <cell r="D12">
            <v>0.97916666666666663</v>
          </cell>
          <cell r="E12">
            <v>42549</v>
          </cell>
          <cell r="F12">
            <v>0.45833333333333331</v>
          </cell>
          <cell r="G12">
            <v>0.46527777777777773</v>
          </cell>
          <cell r="H12">
            <v>42549</v>
          </cell>
          <cell r="I12">
            <v>1.9E-2</v>
          </cell>
          <cell r="J12">
            <v>2.1999999999999999E-2</v>
          </cell>
          <cell r="K12">
            <v>-0.85899999999999999</v>
          </cell>
          <cell r="L12">
            <v>-1.2949999999999999</v>
          </cell>
          <cell r="M12">
            <v>0.58680555555555558</v>
          </cell>
          <cell r="N12">
            <v>0.59375</v>
          </cell>
          <cell r="O12">
            <v>42549</v>
          </cell>
          <cell r="P12">
            <v>1.05</v>
          </cell>
          <cell r="Q12">
            <v>9</v>
          </cell>
          <cell r="R12">
            <v>23</v>
          </cell>
          <cell r="S12">
            <v>0</v>
          </cell>
          <cell r="T12">
            <v>0.89583333333333337</v>
          </cell>
          <cell r="U12">
            <v>42549</v>
          </cell>
          <cell r="V12">
            <v>24.8</v>
          </cell>
          <cell r="W12">
            <v>0.92361111111111116</v>
          </cell>
          <cell r="X12">
            <v>42549</v>
          </cell>
          <cell r="Y12">
            <v>26.7</v>
          </cell>
          <cell r="Z12">
            <v>0.31597222222222221</v>
          </cell>
          <cell r="AA12">
            <v>0.3263888888888889</v>
          </cell>
          <cell r="AB12">
            <v>42550</v>
          </cell>
          <cell r="AC12">
            <v>27.23</v>
          </cell>
          <cell r="AD12">
            <v>0.34027777777777773</v>
          </cell>
          <cell r="AE12">
            <v>0.35069444444444442</v>
          </cell>
          <cell r="AF12">
            <v>42550</v>
          </cell>
          <cell r="AG12">
            <v>0.39583333333333331</v>
          </cell>
          <cell r="AH12">
            <v>0.44444444444444442</v>
          </cell>
          <cell r="AI12">
            <v>42550</v>
          </cell>
          <cell r="AJ12">
            <v>0.57291666666666663</v>
          </cell>
          <cell r="AK12">
            <v>0.57986111111111105</v>
          </cell>
          <cell r="AL12">
            <v>42550</v>
          </cell>
          <cell r="AM12">
            <v>1.05</v>
          </cell>
          <cell r="AN12">
            <v>9</v>
          </cell>
          <cell r="AO12">
            <v>22</v>
          </cell>
          <cell r="AP12">
            <v>0</v>
          </cell>
          <cell r="AQ12">
            <v>0.67361111111111116</v>
          </cell>
          <cell r="AR12">
            <v>0.67708333333333337</v>
          </cell>
          <cell r="AS12">
            <v>42550</v>
          </cell>
          <cell r="AT12">
            <v>27.23</v>
          </cell>
          <cell r="AU12">
            <v>0.68402777777777779</v>
          </cell>
          <cell r="AV12">
            <v>42550</v>
          </cell>
          <cell r="AW12">
            <v>0.73611111111111116</v>
          </cell>
          <cell r="AX12">
            <v>42550</v>
          </cell>
          <cell r="AY12">
            <v>6.4</v>
          </cell>
          <cell r="AZ12">
            <v>23</v>
          </cell>
        </row>
        <row r="13">
          <cell r="B13" t="str">
            <v>A3</v>
          </cell>
          <cell r="C13">
            <v>0.66666666666666663</v>
          </cell>
          <cell r="D13">
            <v>0.75</v>
          </cell>
          <cell r="E13">
            <v>42550</v>
          </cell>
          <cell r="F13">
            <v>0.76041666666666663</v>
          </cell>
          <cell r="G13">
            <v>0.77083333333333337</v>
          </cell>
          <cell r="H13">
            <v>42550</v>
          </cell>
          <cell r="I13">
            <v>1.9E-2</v>
          </cell>
          <cell r="J13">
            <v>0.01</v>
          </cell>
          <cell r="K13">
            <v>-0.60499999999999998</v>
          </cell>
          <cell r="L13">
            <v>-1.05</v>
          </cell>
          <cell r="M13">
            <v>0.79166666666666663</v>
          </cell>
          <cell r="N13">
            <v>0.79513888888888884</v>
          </cell>
          <cell r="O13">
            <v>42550</v>
          </cell>
          <cell r="P13">
            <v>1.05</v>
          </cell>
          <cell r="Q13">
            <v>9</v>
          </cell>
          <cell r="R13">
            <v>23</v>
          </cell>
          <cell r="S13">
            <v>0</v>
          </cell>
          <cell r="T13">
            <v>0.92708333333333337</v>
          </cell>
          <cell r="U13">
            <v>42550</v>
          </cell>
          <cell r="V13">
            <v>22.8</v>
          </cell>
          <cell r="W13">
            <v>0.17013888888888887</v>
          </cell>
          <cell r="X13">
            <v>42551</v>
          </cell>
          <cell r="Y13">
            <v>27.6</v>
          </cell>
          <cell r="Z13">
            <v>0.19444444444444445</v>
          </cell>
          <cell r="AA13">
            <v>0.20833333333333334</v>
          </cell>
          <cell r="AB13">
            <v>42551</v>
          </cell>
          <cell r="AC13">
            <v>27.6</v>
          </cell>
          <cell r="AD13">
            <v>0.81597222222222221</v>
          </cell>
          <cell r="AE13">
            <v>0.82638888888888884</v>
          </cell>
          <cell r="AF13">
            <v>42551</v>
          </cell>
          <cell r="AG13">
            <v>0.22916666666666666</v>
          </cell>
          <cell r="AH13">
            <v>0.69791666666666663</v>
          </cell>
          <cell r="AI13">
            <v>42551</v>
          </cell>
          <cell r="AJ13">
            <v>0.70833333333333337</v>
          </cell>
          <cell r="AK13">
            <v>0.71527777777777779</v>
          </cell>
          <cell r="AL13">
            <v>42551</v>
          </cell>
          <cell r="AM13">
            <v>1.05</v>
          </cell>
          <cell r="AN13">
            <v>9</v>
          </cell>
          <cell r="AO13">
            <v>22</v>
          </cell>
          <cell r="AP13">
            <v>0</v>
          </cell>
          <cell r="AQ13">
            <v>0.79166666666666663</v>
          </cell>
          <cell r="AR13">
            <v>0.79513888888888884</v>
          </cell>
          <cell r="AS13">
            <v>42551</v>
          </cell>
          <cell r="AT13">
            <v>27.6</v>
          </cell>
          <cell r="AU13">
            <v>0.80208333333333337</v>
          </cell>
          <cell r="AV13">
            <v>42551</v>
          </cell>
          <cell r="AW13">
            <v>0.86805555555555547</v>
          </cell>
          <cell r="AX13">
            <v>42551</v>
          </cell>
          <cell r="AY13">
            <v>6.8</v>
          </cell>
          <cell r="AZ13">
            <v>28</v>
          </cell>
        </row>
        <row r="14">
          <cell r="B14" t="str">
            <v>A121</v>
          </cell>
          <cell r="C14">
            <v>0.54166666666666663</v>
          </cell>
          <cell r="D14">
            <v>0.59166666666666667</v>
          </cell>
          <cell r="E14">
            <v>42550</v>
          </cell>
          <cell r="F14">
            <v>0.625</v>
          </cell>
          <cell r="G14">
            <v>0.63541666666666663</v>
          </cell>
          <cell r="H14">
            <v>42550</v>
          </cell>
          <cell r="I14">
            <v>5.0000000000000001E-3</v>
          </cell>
          <cell r="J14">
            <v>1.6E-2</v>
          </cell>
          <cell r="K14">
            <v>-0.875</v>
          </cell>
          <cell r="L14">
            <v>-1.3149999999999999</v>
          </cell>
          <cell r="M14">
            <v>0.9375</v>
          </cell>
          <cell r="N14">
            <v>0.94097222222222221</v>
          </cell>
          <cell r="O14">
            <v>42550</v>
          </cell>
          <cell r="P14">
            <v>1.05</v>
          </cell>
          <cell r="Q14">
            <v>9</v>
          </cell>
          <cell r="R14">
            <v>24</v>
          </cell>
          <cell r="S14">
            <v>0</v>
          </cell>
          <cell r="T14">
            <v>0.78472222222222221</v>
          </cell>
          <cell r="U14">
            <v>42551</v>
          </cell>
          <cell r="V14">
            <v>22.3</v>
          </cell>
          <cell r="W14">
            <v>0.8125</v>
          </cell>
          <cell r="X14">
            <v>42551</v>
          </cell>
          <cell r="Y14">
            <v>23.8</v>
          </cell>
          <cell r="Z14">
            <v>0.89236111111111116</v>
          </cell>
          <cell r="AA14">
            <v>0.89583333333333337</v>
          </cell>
          <cell r="AB14">
            <v>42551</v>
          </cell>
          <cell r="AC14">
            <v>23.8</v>
          </cell>
          <cell r="AD14">
            <v>0.90277777777777779</v>
          </cell>
          <cell r="AE14">
            <v>0.90972222222222221</v>
          </cell>
          <cell r="AF14">
            <v>42551</v>
          </cell>
          <cell r="AG14">
            <v>0.91666666666666663</v>
          </cell>
          <cell r="AH14">
            <v>0.92708333333333337</v>
          </cell>
          <cell r="AI14">
            <v>42551</v>
          </cell>
          <cell r="AJ14">
            <v>0.97916666666666663</v>
          </cell>
          <cell r="AK14">
            <v>0.98958333333333337</v>
          </cell>
          <cell r="AL14">
            <v>42551</v>
          </cell>
          <cell r="AM14">
            <v>1.05</v>
          </cell>
          <cell r="AN14">
            <v>9</v>
          </cell>
          <cell r="AO14">
            <v>23</v>
          </cell>
          <cell r="AP14">
            <v>0</v>
          </cell>
          <cell r="AQ14">
            <v>3.472222222222222E-3</v>
          </cell>
          <cell r="AR14">
            <v>6.9444444444444441E-3</v>
          </cell>
          <cell r="AS14">
            <v>42552</v>
          </cell>
          <cell r="AT14">
            <v>23.8</v>
          </cell>
          <cell r="AU14">
            <v>9.375E-2</v>
          </cell>
          <cell r="AV14">
            <v>42552</v>
          </cell>
          <cell r="AW14">
            <v>0.19444444444444445</v>
          </cell>
          <cell r="AX14">
            <v>42552</v>
          </cell>
          <cell r="AY14">
            <v>7</v>
          </cell>
          <cell r="AZ14">
            <v>24</v>
          </cell>
        </row>
        <row r="15">
          <cell r="B15" t="str">
            <v>B30</v>
          </cell>
          <cell r="C15">
            <v>0.58333333333333337</v>
          </cell>
          <cell r="D15">
            <v>0.66666666666666663</v>
          </cell>
          <cell r="E15">
            <v>42549</v>
          </cell>
          <cell r="F15">
            <v>0.69097222222222221</v>
          </cell>
          <cell r="G15">
            <v>0.70138888888888884</v>
          </cell>
          <cell r="H15">
            <v>42549</v>
          </cell>
          <cell r="I15">
            <v>1.7000000000000001E-2</v>
          </cell>
          <cell r="J15">
            <v>1E-3</v>
          </cell>
          <cell r="K15">
            <v>-1.333</v>
          </cell>
          <cell r="L15">
            <v>-1.56</v>
          </cell>
          <cell r="M15">
            <v>0.70833333333333337</v>
          </cell>
          <cell r="N15">
            <v>0.71527777777777779</v>
          </cell>
          <cell r="O15">
            <v>42549</v>
          </cell>
          <cell r="P15">
            <v>1.06</v>
          </cell>
          <cell r="Q15">
            <v>9</v>
          </cell>
          <cell r="R15">
            <v>22</v>
          </cell>
          <cell r="S15">
            <v>0</v>
          </cell>
          <cell r="T15">
            <v>0.84861111111111109</v>
          </cell>
          <cell r="U15">
            <v>42550</v>
          </cell>
          <cell r="V15">
            <v>23.7</v>
          </cell>
          <cell r="W15">
            <v>0.54513888888888895</v>
          </cell>
          <cell r="X15">
            <v>42551</v>
          </cell>
          <cell r="Y15">
            <v>33.82</v>
          </cell>
          <cell r="Z15">
            <v>0.74305555555555547</v>
          </cell>
          <cell r="AA15">
            <v>0.78472222222222221</v>
          </cell>
          <cell r="AB15">
            <v>42551</v>
          </cell>
          <cell r="AC15">
            <v>33.869999999999997</v>
          </cell>
          <cell r="AD15">
            <v>0.15277777777777776</v>
          </cell>
          <cell r="AE15">
            <v>0.16666666666666666</v>
          </cell>
          <cell r="AF15">
            <v>42552</v>
          </cell>
          <cell r="AG15">
            <v>0.17013888888888887</v>
          </cell>
          <cell r="AH15">
            <v>0.22916666666666666</v>
          </cell>
          <cell r="AI15">
            <v>42552</v>
          </cell>
          <cell r="AJ15">
            <v>0.33333333333333331</v>
          </cell>
          <cell r="AK15">
            <v>0.34027777777777773</v>
          </cell>
          <cell r="AL15">
            <v>42552</v>
          </cell>
          <cell r="AM15">
            <v>1.06</v>
          </cell>
          <cell r="AN15">
            <v>9</v>
          </cell>
          <cell r="AO15">
            <v>21</v>
          </cell>
          <cell r="AP15">
            <v>0</v>
          </cell>
          <cell r="AQ15">
            <v>0.43055555555555558</v>
          </cell>
          <cell r="AR15">
            <v>0.43402777777777773</v>
          </cell>
          <cell r="AS15">
            <v>42552</v>
          </cell>
          <cell r="AT15">
            <v>33.869999999999997</v>
          </cell>
          <cell r="AU15">
            <v>0.44097222222222227</v>
          </cell>
          <cell r="AV15">
            <v>42552</v>
          </cell>
          <cell r="AW15">
            <v>0.48958333333333331</v>
          </cell>
          <cell r="AX15">
            <v>42552</v>
          </cell>
          <cell r="AY15">
            <v>4.5</v>
          </cell>
          <cell r="AZ15">
            <v>16</v>
          </cell>
        </row>
        <row r="16">
          <cell r="B16" t="str">
            <v>A33</v>
          </cell>
          <cell r="C16">
            <v>0.58333333333333337</v>
          </cell>
          <cell r="D16">
            <v>0.64583333333333337</v>
          </cell>
          <cell r="E16">
            <v>42551</v>
          </cell>
          <cell r="F16">
            <v>0.70833333333333337</v>
          </cell>
          <cell r="G16">
            <v>0.72916666666666663</v>
          </cell>
          <cell r="H16">
            <v>42551</v>
          </cell>
          <cell r="I16">
            <v>2.5999999999999999E-2</v>
          </cell>
          <cell r="J16">
            <v>1.2999999999999999E-2</v>
          </cell>
          <cell r="K16">
            <v>-0.61</v>
          </cell>
          <cell r="L16">
            <v>-1.038</v>
          </cell>
          <cell r="M16">
            <v>0.2638888888888889</v>
          </cell>
          <cell r="N16">
            <v>0.27083333333333331</v>
          </cell>
          <cell r="O16">
            <v>42552</v>
          </cell>
          <cell r="P16">
            <v>1.05</v>
          </cell>
          <cell r="Q16">
            <v>9</v>
          </cell>
          <cell r="R16">
            <v>23</v>
          </cell>
          <cell r="S16">
            <v>0</v>
          </cell>
          <cell r="T16">
            <v>0.38194444444444442</v>
          </cell>
          <cell r="U16">
            <v>42552</v>
          </cell>
          <cell r="V16">
            <v>22.8</v>
          </cell>
          <cell r="W16">
            <v>0.99305555555555547</v>
          </cell>
          <cell r="X16">
            <v>42555</v>
          </cell>
          <cell r="Y16">
            <v>35.200000000000003</v>
          </cell>
          <cell r="Z16">
            <v>7.2916666666666671E-2</v>
          </cell>
          <cell r="AA16">
            <v>9.7222222222222224E-2</v>
          </cell>
          <cell r="AB16">
            <v>42556</v>
          </cell>
          <cell r="AC16">
            <v>35.4</v>
          </cell>
          <cell r="AD16">
            <v>0.10416666666666667</v>
          </cell>
          <cell r="AE16">
            <v>0.1388888888888889</v>
          </cell>
          <cell r="AF16">
            <v>42556</v>
          </cell>
          <cell r="AG16">
            <v>0.14583333333333334</v>
          </cell>
          <cell r="AH16">
            <v>0.25</v>
          </cell>
          <cell r="AI16">
            <v>42556</v>
          </cell>
          <cell r="AJ16">
            <v>0.26041666666666669</v>
          </cell>
          <cell r="AK16">
            <v>0.27083333333333331</v>
          </cell>
          <cell r="AL16">
            <v>42556</v>
          </cell>
          <cell r="AM16">
            <v>1.05</v>
          </cell>
          <cell r="AN16">
            <v>9</v>
          </cell>
          <cell r="AO16">
            <v>23</v>
          </cell>
          <cell r="AP16">
            <v>0</v>
          </cell>
          <cell r="AQ16">
            <v>0.27430555555555552</v>
          </cell>
          <cell r="AR16">
            <v>0.28125</v>
          </cell>
          <cell r="AS16">
            <v>42556</v>
          </cell>
          <cell r="AT16">
            <v>35.4</v>
          </cell>
          <cell r="AU16">
            <v>0.2986111111111111</v>
          </cell>
          <cell r="AV16">
            <v>42556</v>
          </cell>
          <cell r="AW16">
            <v>0.37847222222222227</v>
          </cell>
          <cell r="AX16">
            <v>42556</v>
          </cell>
          <cell r="AY16">
            <v>6</v>
          </cell>
          <cell r="AZ16">
            <v>38.5</v>
          </cell>
        </row>
        <row r="17">
          <cell r="B17" t="str">
            <v>A2</v>
          </cell>
          <cell r="C17">
            <v>0.3125</v>
          </cell>
          <cell r="D17">
            <v>0.375</v>
          </cell>
          <cell r="E17">
            <v>42553</v>
          </cell>
          <cell r="F17">
            <v>0.77083333333333337</v>
          </cell>
          <cell r="G17">
            <v>0.78125</v>
          </cell>
          <cell r="H17">
            <v>42553</v>
          </cell>
          <cell r="I17">
            <v>1.4999999999999999E-2</v>
          </cell>
          <cell r="J17">
            <v>1E-3</v>
          </cell>
          <cell r="K17">
            <v>-0.745</v>
          </cell>
          <cell r="L17">
            <v>-1.1559999999999999</v>
          </cell>
          <cell r="M17">
            <v>0.79513888888888884</v>
          </cell>
          <cell r="N17">
            <v>0.80208333333333337</v>
          </cell>
          <cell r="O17">
            <v>42553</v>
          </cell>
          <cell r="P17">
            <v>1.05</v>
          </cell>
          <cell r="Q17">
            <v>9</v>
          </cell>
          <cell r="R17">
            <v>22</v>
          </cell>
          <cell r="S17">
            <v>0</v>
          </cell>
          <cell r="T17">
            <v>0.94444444444444453</v>
          </cell>
          <cell r="U17">
            <v>42553</v>
          </cell>
          <cell r="V17">
            <v>19.82</v>
          </cell>
          <cell r="W17">
            <v>0.4201388888888889</v>
          </cell>
          <cell r="X17">
            <v>42556</v>
          </cell>
          <cell r="Y17">
            <v>22.45</v>
          </cell>
          <cell r="Z17">
            <v>0.54166666666666663</v>
          </cell>
          <cell r="AA17">
            <v>0.55902777777777779</v>
          </cell>
          <cell r="AB17">
            <v>42556</v>
          </cell>
          <cell r="AC17">
            <v>22.5</v>
          </cell>
          <cell r="AD17">
            <v>0.81597222222222221</v>
          </cell>
          <cell r="AE17">
            <v>0.82638888888888884</v>
          </cell>
          <cell r="AF17">
            <v>42556</v>
          </cell>
          <cell r="AG17">
            <v>0.59375</v>
          </cell>
          <cell r="AH17">
            <v>0.33333333333333331</v>
          </cell>
          <cell r="AI17">
            <v>42557</v>
          </cell>
          <cell r="AJ17">
            <v>0.34027777777777773</v>
          </cell>
          <cell r="AK17">
            <v>0.34375</v>
          </cell>
          <cell r="AL17">
            <v>42557</v>
          </cell>
          <cell r="AM17">
            <v>1.06</v>
          </cell>
          <cell r="AN17">
            <v>9</v>
          </cell>
          <cell r="AO17">
            <v>23</v>
          </cell>
          <cell r="AP17">
            <v>0</v>
          </cell>
          <cell r="AQ17">
            <v>0.40972222222222227</v>
          </cell>
          <cell r="AR17">
            <v>0.41319444444444442</v>
          </cell>
          <cell r="AS17">
            <v>42557</v>
          </cell>
          <cell r="AT17">
            <v>22.5</v>
          </cell>
          <cell r="AU17">
            <v>0.4201388888888889</v>
          </cell>
          <cell r="AV17">
            <v>42557</v>
          </cell>
          <cell r="AW17">
            <v>0.47569444444444442</v>
          </cell>
          <cell r="AX17">
            <v>42557</v>
          </cell>
          <cell r="AY17">
            <v>5.5</v>
          </cell>
          <cell r="AZ17">
            <v>18.5</v>
          </cell>
        </row>
        <row r="18">
          <cell r="B18" t="str">
            <v>A4</v>
          </cell>
          <cell r="C18">
            <v>0.39583333333333331</v>
          </cell>
          <cell r="D18">
            <v>0.45833333333333331</v>
          </cell>
          <cell r="E18">
            <v>42553</v>
          </cell>
          <cell r="F18">
            <v>0.69791666666666663</v>
          </cell>
          <cell r="G18">
            <v>0.70833333333333337</v>
          </cell>
          <cell r="H18">
            <v>42554</v>
          </cell>
          <cell r="I18">
            <v>2.5999999999999999E-2</v>
          </cell>
          <cell r="J18">
            <v>5.0000000000000001E-3</v>
          </cell>
          <cell r="K18">
            <v>-0.56499999999999995</v>
          </cell>
          <cell r="L18">
            <v>-1.1100000000000001</v>
          </cell>
          <cell r="M18">
            <v>0.29166666666666669</v>
          </cell>
          <cell r="N18">
            <v>0.30555555555555552</v>
          </cell>
          <cell r="O18">
            <v>42554</v>
          </cell>
          <cell r="P18">
            <v>1.05</v>
          </cell>
          <cell r="Q18">
            <v>9</v>
          </cell>
          <cell r="R18">
            <v>24</v>
          </cell>
          <cell r="S18">
            <v>0</v>
          </cell>
          <cell r="T18">
            <v>0.4375</v>
          </cell>
          <cell r="U18">
            <v>42554</v>
          </cell>
          <cell r="V18">
            <v>22.5</v>
          </cell>
          <cell r="W18">
            <v>0.54166666666666663</v>
          </cell>
          <cell r="X18">
            <v>42556</v>
          </cell>
          <cell r="Y18">
            <v>26.73</v>
          </cell>
          <cell r="Z18">
            <v>0.29166666666666669</v>
          </cell>
          <cell r="AA18">
            <v>0.3125</v>
          </cell>
          <cell r="AB18">
            <v>42557</v>
          </cell>
          <cell r="AC18">
            <v>26.8</v>
          </cell>
          <cell r="AD18">
            <v>0.40972222222222227</v>
          </cell>
          <cell r="AE18">
            <v>0.41319444444444442</v>
          </cell>
          <cell r="AF18">
            <v>42557</v>
          </cell>
          <cell r="AG18">
            <v>0.4201388888888889</v>
          </cell>
          <cell r="AH18">
            <v>0.46527777777777773</v>
          </cell>
          <cell r="AI18">
            <v>42557</v>
          </cell>
          <cell r="AJ18">
            <v>0.54513888888888895</v>
          </cell>
          <cell r="AK18">
            <v>0.54861111111111105</v>
          </cell>
          <cell r="AL18">
            <v>42557</v>
          </cell>
          <cell r="AM18">
            <v>1.06</v>
          </cell>
          <cell r="AN18">
            <v>9</v>
          </cell>
          <cell r="AO18">
            <v>25</v>
          </cell>
          <cell r="AP18">
            <v>0</v>
          </cell>
          <cell r="AQ18">
            <v>0.57291666666666663</v>
          </cell>
          <cell r="AR18">
            <v>0.57638888888888895</v>
          </cell>
          <cell r="AS18">
            <v>42557</v>
          </cell>
          <cell r="AT18">
            <v>26.8</v>
          </cell>
          <cell r="AU18">
            <v>0.58750000000000002</v>
          </cell>
          <cell r="AV18">
            <v>42557</v>
          </cell>
          <cell r="AW18">
            <v>0.61527777777777781</v>
          </cell>
          <cell r="AX18">
            <v>42557</v>
          </cell>
          <cell r="AY18">
            <v>7.2</v>
          </cell>
          <cell r="AZ18">
            <v>23</v>
          </cell>
        </row>
        <row r="19">
          <cell r="B19" t="str">
            <v>A29</v>
          </cell>
          <cell r="C19">
            <v>0.66666666666666663</v>
          </cell>
          <cell r="D19">
            <v>0.72222222222222221</v>
          </cell>
          <cell r="E19">
            <v>42553</v>
          </cell>
          <cell r="F19">
            <v>0.72916666666666663</v>
          </cell>
          <cell r="G19">
            <v>0.73958333333333337</v>
          </cell>
          <cell r="H19">
            <v>42553</v>
          </cell>
          <cell r="I19">
            <v>1E-3</v>
          </cell>
          <cell r="J19">
            <v>2.1000000000000001E-2</v>
          </cell>
          <cell r="K19">
            <v>-0.64500000000000002</v>
          </cell>
          <cell r="L19">
            <v>-1.1000000000000001</v>
          </cell>
          <cell r="M19">
            <v>0.58680555555555558</v>
          </cell>
          <cell r="N19">
            <v>0.59375</v>
          </cell>
          <cell r="O19">
            <v>42556</v>
          </cell>
          <cell r="P19">
            <v>1.05</v>
          </cell>
          <cell r="Q19">
            <v>9</v>
          </cell>
          <cell r="R19">
            <v>24</v>
          </cell>
          <cell r="S19">
            <v>0</v>
          </cell>
          <cell r="T19">
            <v>0.61111111111111105</v>
          </cell>
          <cell r="U19">
            <v>42556</v>
          </cell>
          <cell r="V19">
            <v>25</v>
          </cell>
          <cell r="W19">
            <v>0.83333333333333337</v>
          </cell>
          <cell r="X19">
            <v>42557</v>
          </cell>
          <cell r="Y19">
            <v>26.88</v>
          </cell>
          <cell r="Z19">
            <v>0.65694444444444444</v>
          </cell>
          <cell r="AA19">
            <v>0.67013888888888884</v>
          </cell>
          <cell r="AB19">
            <v>42557</v>
          </cell>
          <cell r="AC19">
            <v>26.9</v>
          </cell>
          <cell r="AD19">
            <v>0.67361111111111116</v>
          </cell>
          <cell r="AE19">
            <v>0.68402777777777779</v>
          </cell>
          <cell r="AF19">
            <v>42557</v>
          </cell>
          <cell r="AG19">
            <v>0.68402777777777779</v>
          </cell>
          <cell r="AH19">
            <v>0.70833333333333337</v>
          </cell>
          <cell r="AI19">
            <v>42557</v>
          </cell>
          <cell r="AJ19">
            <v>0.83333333333333337</v>
          </cell>
          <cell r="AK19">
            <v>0.84027777777777779</v>
          </cell>
          <cell r="AL19">
            <v>42557</v>
          </cell>
          <cell r="AM19">
            <v>1.05</v>
          </cell>
          <cell r="AN19">
            <v>8</v>
          </cell>
          <cell r="AO19">
            <v>22</v>
          </cell>
          <cell r="AP19">
            <v>0</v>
          </cell>
          <cell r="AQ19">
            <v>0.90625</v>
          </cell>
          <cell r="AR19">
            <v>0.90972222222222221</v>
          </cell>
          <cell r="AS19">
            <v>42557</v>
          </cell>
          <cell r="AT19">
            <v>26.9</v>
          </cell>
          <cell r="AU19">
            <v>0.91319444444444453</v>
          </cell>
          <cell r="AV19">
            <v>42557</v>
          </cell>
          <cell r="AW19">
            <v>0.95833333333333337</v>
          </cell>
          <cell r="AX19">
            <v>42557</v>
          </cell>
          <cell r="AY19">
            <v>5.7</v>
          </cell>
          <cell r="AZ19">
            <v>24</v>
          </cell>
        </row>
        <row r="20">
          <cell r="B20" t="str">
            <v>A120</v>
          </cell>
          <cell r="C20">
            <v>0.29166666666666669</v>
          </cell>
          <cell r="D20">
            <v>0.36805555555555558</v>
          </cell>
          <cell r="E20">
            <v>42556</v>
          </cell>
          <cell r="F20">
            <v>0.72916666666666663</v>
          </cell>
          <cell r="G20">
            <v>0.73958333333333337</v>
          </cell>
          <cell r="H20">
            <v>42556</v>
          </cell>
          <cell r="I20">
            <v>2.5999999999999999E-2</v>
          </cell>
          <cell r="J20">
            <v>1.4E-2</v>
          </cell>
          <cell r="K20">
            <v>-0.5</v>
          </cell>
          <cell r="L20">
            <v>-0.98499999999999999</v>
          </cell>
          <cell r="M20">
            <v>0.33680555555555558</v>
          </cell>
          <cell r="N20">
            <v>0.34027777777777773</v>
          </cell>
          <cell r="O20">
            <v>42557</v>
          </cell>
          <cell r="P20">
            <v>1.05</v>
          </cell>
          <cell r="Q20">
            <v>9</v>
          </cell>
          <cell r="R20">
            <v>23</v>
          </cell>
          <cell r="S20">
            <v>0</v>
          </cell>
          <cell r="T20">
            <v>0.64930555555555558</v>
          </cell>
          <cell r="U20">
            <v>42557</v>
          </cell>
          <cell r="V20">
            <v>21.3</v>
          </cell>
          <cell r="W20">
            <v>0.875</v>
          </cell>
          <cell r="X20">
            <v>42557</v>
          </cell>
          <cell r="Y20">
            <v>25.2</v>
          </cell>
          <cell r="Z20">
            <v>6.25E-2</v>
          </cell>
          <cell r="AA20">
            <v>9.375E-2</v>
          </cell>
          <cell r="AB20">
            <v>42558</v>
          </cell>
          <cell r="AC20">
            <v>25.25</v>
          </cell>
          <cell r="AD20">
            <v>0.10416666666666667</v>
          </cell>
          <cell r="AE20">
            <v>0.11458333333333333</v>
          </cell>
          <cell r="AF20">
            <v>42558</v>
          </cell>
          <cell r="AG20">
            <v>0.14583333333333334</v>
          </cell>
          <cell r="AH20">
            <v>0.26041666666666669</v>
          </cell>
          <cell r="AI20">
            <v>42558</v>
          </cell>
          <cell r="AJ20">
            <v>0.34027777777777773</v>
          </cell>
          <cell r="AK20">
            <v>0.34375</v>
          </cell>
          <cell r="AL20">
            <v>42558</v>
          </cell>
          <cell r="AM20">
            <v>1.05</v>
          </cell>
          <cell r="AN20">
            <v>9</v>
          </cell>
          <cell r="AO20">
            <v>27</v>
          </cell>
          <cell r="AP20">
            <v>0</v>
          </cell>
          <cell r="AQ20">
            <v>0.3611111111111111</v>
          </cell>
          <cell r="AR20">
            <v>0.36458333333333331</v>
          </cell>
          <cell r="AS20">
            <v>42558</v>
          </cell>
          <cell r="AT20">
            <v>25.25</v>
          </cell>
          <cell r="AU20">
            <v>0.3888888888888889</v>
          </cell>
          <cell r="AV20">
            <v>42558</v>
          </cell>
          <cell r="AW20">
            <v>0.44444444444444442</v>
          </cell>
          <cell r="AX20">
            <v>42558</v>
          </cell>
          <cell r="AY20">
            <v>6.8</v>
          </cell>
          <cell r="AZ20">
            <v>28</v>
          </cell>
        </row>
        <row r="21">
          <cell r="B21" t="str">
            <v>A144</v>
          </cell>
          <cell r="C21">
            <v>0.375</v>
          </cell>
          <cell r="D21">
            <v>0.45833333333333331</v>
          </cell>
          <cell r="E21">
            <v>42556</v>
          </cell>
          <cell r="F21">
            <v>0.73958333333333337</v>
          </cell>
          <cell r="G21">
            <v>0.75</v>
          </cell>
          <cell r="H21">
            <v>42556</v>
          </cell>
          <cell r="I21">
            <v>1.4999999999999999E-2</v>
          </cell>
          <cell r="J21">
            <v>1.4999999999999999E-2</v>
          </cell>
          <cell r="K21">
            <v>-0.8</v>
          </cell>
          <cell r="L21">
            <v>-1.2050000000000001</v>
          </cell>
          <cell r="M21">
            <v>0.33680555555555558</v>
          </cell>
          <cell r="N21">
            <v>0.34027777777777773</v>
          </cell>
          <cell r="O21">
            <v>42557</v>
          </cell>
          <cell r="P21">
            <v>1.05</v>
          </cell>
          <cell r="Q21">
            <v>9</v>
          </cell>
          <cell r="R21">
            <v>23</v>
          </cell>
          <cell r="S21">
            <v>0</v>
          </cell>
          <cell r="T21">
            <v>0.46527777777777773</v>
          </cell>
          <cell r="U21">
            <v>42557</v>
          </cell>
          <cell r="V21">
            <v>23.1</v>
          </cell>
          <cell r="W21">
            <v>0.39930555555555558</v>
          </cell>
          <cell r="X21">
            <v>42558</v>
          </cell>
          <cell r="Y21">
            <v>33</v>
          </cell>
          <cell r="Z21">
            <v>0.4236111111111111</v>
          </cell>
          <cell r="AA21">
            <v>0.43402777777777773</v>
          </cell>
          <cell r="AB21">
            <v>42558</v>
          </cell>
          <cell r="AC21">
            <v>33</v>
          </cell>
          <cell r="AD21">
            <v>0.54166666666666663</v>
          </cell>
          <cell r="AE21">
            <v>0.54861111111111105</v>
          </cell>
          <cell r="AF21">
            <v>42558</v>
          </cell>
          <cell r="AG21">
            <v>0.55555555555555558</v>
          </cell>
          <cell r="AH21">
            <v>0.60069444444444442</v>
          </cell>
          <cell r="AI21">
            <v>42558</v>
          </cell>
          <cell r="AJ21">
            <v>0.68055555555555547</v>
          </cell>
          <cell r="AK21">
            <v>0.69097222222222221</v>
          </cell>
          <cell r="AL21">
            <v>42558</v>
          </cell>
          <cell r="AM21">
            <v>1.06</v>
          </cell>
          <cell r="AN21">
            <v>9</v>
          </cell>
          <cell r="AO21">
            <v>23</v>
          </cell>
          <cell r="AP21">
            <v>0</v>
          </cell>
          <cell r="AQ21">
            <v>0.75694444444444453</v>
          </cell>
          <cell r="AR21">
            <v>0.76041666666666663</v>
          </cell>
          <cell r="AS21">
            <v>42558</v>
          </cell>
          <cell r="AT21">
            <v>33</v>
          </cell>
          <cell r="AU21">
            <v>0.78819444444444453</v>
          </cell>
          <cell r="AV21">
            <v>42558</v>
          </cell>
          <cell r="AW21">
            <v>0.85416666666666663</v>
          </cell>
          <cell r="AX21">
            <v>42558</v>
          </cell>
          <cell r="AY21">
            <v>6.7</v>
          </cell>
          <cell r="AZ21">
            <v>32</v>
          </cell>
        </row>
        <row r="22">
          <cell r="B22" t="str">
            <v>A30</v>
          </cell>
          <cell r="C22">
            <v>0.54166666666666663</v>
          </cell>
          <cell r="D22">
            <v>0.60416666666666663</v>
          </cell>
          <cell r="E22">
            <v>42557</v>
          </cell>
          <cell r="F22">
            <v>0.625</v>
          </cell>
          <cell r="G22">
            <v>0.64583333333333337</v>
          </cell>
          <cell r="H22">
            <v>42557</v>
          </cell>
          <cell r="I22">
            <v>7.0000000000000001E-3</v>
          </cell>
          <cell r="J22">
            <v>4.0000000000000001E-3</v>
          </cell>
          <cell r="K22">
            <v>-0.745</v>
          </cell>
          <cell r="L22">
            <v>-0.94499999999999995</v>
          </cell>
          <cell r="M22">
            <v>0.59375</v>
          </cell>
          <cell r="N22">
            <v>0.59722222222222221</v>
          </cell>
          <cell r="O22">
            <v>42557</v>
          </cell>
          <cell r="P22">
            <v>1.05</v>
          </cell>
          <cell r="Q22">
            <v>9</v>
          </cell>
          <cell r="R22">
            <v>23</v>
          </cell>
          <cell r="S22">
            <v>0</v>
          </cell>
          <cell r="T22">
            <v>0.82638888888888884</v>
          </cell>
          <cell r="U22">
            <v>42557</v>
          </cell>
          <cell r="V22">
            <v>23.9</v>
          </cell>
          <cell r="W22">
            <v>0.10416666666666667</v>
          </cell>
          <cell r="X22">
            <v>42559</v>
          </cell>
          <cell r="Y22">
            <v>32.299999999999997</v>
          </cell>
          <cell r="Z22">
            <v>0.15625</v>
          </cell>
          <cell r="AA22">
            <v>0.16319444444444445</v>
          </cell>
          <cell r="AB22">
            <v>42559</v>
          </cell>
          <cell r="AC22">
            <v>32.4</v>
          </cell>
          <cell r="AD22">
            <v>0.16666666666666666</v>
          </cell>
          <cell r="AE22">
            <v>0.18055555555555555</v>
          </cell>
          <cell r="AF22">
            <v>42559</v>
          </cell>
          <cell r="AG22">
            <v>0.1875</v>
          </cell>
          <cell r="AH22">
            <v>0.27083333333333331</v>
          </cell>
          <cell r="AI22">
            <v>42559</v>
          </cell>
          <cell r="AJ22">
            <v>0.3125</v>
          </cell>
          <cell r="AK22">
            <v>0.31944444444444448</v>
          </cell>
          <cell r="AL22">
            <v>42559</v>
          </cell>
          <cell r="AM22">
            <v>1.06</v>
          </cell>
          <cell r="AN22">
            <v>9</v>
          </cell>
          <cell r="AO22">
            <v>23</v>
          </cell>
          <cell r="AP22">
            <v>0</v>
          </cell>
          <cell r="AQ22">
            <v>0.35416666666666669</v>
          </cell>
          <cell r="AR22">
            <v>0.3576388888888889</v>
          </cell>
          <cell r="AS22">
            <v>42559</v>
          </cell>
          <cell r="AT22">
            <v>32.4</v>
          </cell>
          <cell r="AU22">
            <v>0.38194444444444442</v>
          </cell>
          <cell r="AV22">
            <v>42559</v>
          </cell>
          <cell r="AW22">
            <v>0.49722222222222223</v>
          </cell>
          <cell r="AX22">
            <v>42559</v>
          </cell>
          <cell r="AY22">
            <v>7</v>
          </cell>
          <cell r="AZ22">
            <v>44.5</v>
          </cell>
        </row>
        <row r="23">
          <cell r="B23" t="str">
            <v>A5</v>
          </cell>
          <cell r="C23">
            <v>0.70833333333333337</v>
          </cell>
          <cell r="D23">
            <v>0.75</v>
          </cell>
          <cell r="E23">
            <v>42558</v>
          </cell>
          <cell r="F23">
            <v>0.75</v>
          </cell>
          <cell r="G23">
            <v>0.76041666666666663</v>
          </cell>
          <cell r="H23">
            <v>42558</v>
          </cell>
          <cell r="I23">
            <v>2.1000000000000001E-2</v>
          </cell>
          <cell r="J23">
            <v>1.9E-2</v>
          </cell>
          <cell r="K23">
            <v>-0.78500000000000003</v>
          </cell>
          <cell r="L23">
            <v>-1.1000000000000001</v>
          </cell>
          <cell r="M23">
            <v>0.83333333333333337</v>
          </cell>
          <cell r="N23">
            <v>0.84722222222222221</v>
          </cell>
          <cell r="O23">
            <v>42558</v>
          </cell>
          <cell r="P23">
            <v>1.05</v>
          </cell>
          <cell r="Q23">
            <v>9</v>
          </cell>
          <cell r="R23">
            <v>24</v>
          </cell>
          <cell r="S23">
            <v>0</v>
          </cell>
          <cell r="T23">
            <v>0.375</v>
          </cell>
          <cell r="U23">
            <v>42559</v>
          </cell>
          <cell r="V23">
            <v>20.7</v>
          </cell>
          <cell r="W23">
            <v>0.65972222222222221</v>
          </cell>
          <cell r="X23">
            <v>42559</v>
          </cell>
          <cell r="Y23">
            <v>26.5</v>
          </cell>
          <cell r="Z23">
            <v>0.75</v>
          </cell>
          <cell r="AA23">
            <v>0.77083333333333337</v>
          </cell>
          <cell r="AB23">
            <v>42559</v>
          </cell>
          <cell r="AC23">
            <v>26.55</v>
          </cell>
          <cell r="AD23">
            <v>0.40972222222222227</v>
          </cell>
          <cell r="AE23">
            <v>0.41319444444444442</v>
          </cell>
          <cell r="AF23">
            <v>42559</v>
          </cell>
          <cell r="AG23">
            <v>0.79166666666666663</v>
          </cell>
          <cell r="AH23">
            <v>0.86111111111111116</v>
          </cell>
          <cell r="AI23">
            <v>42559</v>
          </cell>
          <cell r="AJ23">
            <v>6.25E-2</v>
          </cell>
          <cell r="AK23">
            <v>6.9444444444444434E-2</v>
          </cell>
          <cell r="AL23">
            <v>42560</v>
          </cell>
          <cell r="AM23">
            <v>1.05</v>
          </cell>
          <cell r="AN23">
            <v>9</v>
          </cell>
          <cell r="AO23">
            <v>24</v>
          </cell>
          <cell r="AP23">
            <v>0</v>
          </cell>
          <cell r="AQ23">
            <v>0.10416666666666667</v>
          </cell>
          <cell r="AR23">
            <v>0.1076388888888889</v>
          </cell>
          <cell r="AS23">
            <v>42560</v>
          </cell>
          <cell r="AT23">
            <v>26.55</v>
          </cell>
          <cell r="AU23">
            <v>0.1076388888888889</v>
          </cell>
          <cell r="AV23">
            <v>42560</v>
          </cell>
          <cell r="AW23">
            <v>0.125</v>
          </cell>
          <cell r="AX23">
            <v>42560</v>
          </cell>
          <cell r="AY23">
            <v>7</v>
          </cell>
          <cell r="AZ23">
            <v>25</v>
          </cell>
        </row>
        <row r="24">
          <cell r="B24" t="str">
            <v>B29</v>
          </cell>
          <cell r="C24">
            <v>0.58333333333333337</v>
          </cell>
          <cell r="D24">
            <v>0.66666666666666663</v>
          </cell>
          <cell r="E24">
            <v>42558</v>
          </cell>
          <cell r="F24">
            <v>0.75</v>
          </cell>
          <cell r="G24">
            <v>0.76041666666666663</v>
          </cell>
          <cell r="H24">
            <v>42558</v>
          </cell>
          <cell r="I24">
            <v>8.9999999999999993E-3</v>
          </cell>
          <cell r="J24">
            <v>2E-3</v>
          </cell>
          <cell r="K24">
            <v>-0.79500000000000004</v>
          </cell>
          <cell r="L24">
            <v>-1.135</v>
          </cell>
          <cell r="M24">
            <v>0.6875</v>
          </cell>
          <cell r="N24">
            <v>0.69444444444444453</v>
          </cell>
          <cell r="O24">
            <v>42559</v>
          </cell>
          <cell r="P24">
            <v>1.05</v>
          </cell>
          <cell r="Q24">
            <v>9</v>
          </cell>
          <cell r="R24">
            <v>24</v>
          </cell>
          <cell r="S24">
            <v>0</v>
          </cell>
          <cell r="T24">
            <v>0.81944444444444453</v>
          </cell>
          <cell r="U24">
            <v>42559</v>
          </cell>
          <cell r="V24">
            <v>22.9</v>
          </cell>
          <cell r="W24">
            <v>0.3888888888888889</v>
          </cell>
          <cell r="X24">
            <v>42560</v>
          </cell>
          <cell r="Y24">
            <v>26.75</v>
          </cell>
          <cell r="Z24">
            <v>0.5625</v>
          </cell>
          <cell r="AA24">
            <v>0.57638888888888895</v>
          </cell>
          <cell r="AB24">
            <v>42560</v>
          </cell>
          <cell r="AC24">
            <v>26.75</v>
          </cell>
          <cell r="AD24">
            <v>0.58680555555555558</v>
          </cell>
          <cell r="AE24">
            <v>0.59375</v>
          </cell>
          <cell r="AF24">
            <v>42560</v>
          </cell>
          <cell r="AG24">
            <v>0.61458333333333337</v>
          </cell>
          <cell r="AH24">
            <v>0.67013888888888884</v>
          </cell>
          <cell r="AI24">
            <v>42560</v>
          </cell>
          <cell r="AJ24">
            <v>0.67361111111111116</v>
          </cell>
          <cell r="AK24">
            <v>0.68055555555555547</v>
          </cell>
          <cell r="AL24">
            <v>42560</v>
          </cell>
          <cell r="AM24">
            <v>1.06</v>
          </cell>
          <cell r="AN24">
            <v>9</v>
          </cell>
          <cell r="AO24">
            <v>23</v>
          </cell>
          <cell r="AP24">
            <v>0</v>
          </cell>
          <cell r="AQ24">
            <v>0.77777777777777779</v>
          </cell>
          <cell r="AR24">
            <v>0.78125</v>
          </cell>
          <cell r="AS24">
            <v>42560</v>
          </cell>
          <cell r="AT24">
            <v>26.75</v>
          </cell>
          <cell r="AU24">
            <v>0.78125</v>
          </cell>
          <cell r="AV24">
            <v>42560</v>
          </cell>
          <cell r="AW24">
            <v>0.8125</v>
          </cell>
          <cell r="AX24">
            <v>42560</v>
          </cell>
          <cell r="AY24">
            <v>5.3</v>
          </cell>
          <cell r="AZ24">
            <v>11.5</v>
          </cell>
        </row>
        <row r="25">
          <cell r="B25" t="str">
            <v>A156</v>
          </cell>
          <cell r="C25">
            <v>0.375</v>
          </cell>
          <cell r="D25">
            <v>0.45833333333333331</v>
          </cell>
          <cell r="E25">
            <v>42559</v>
          </cell>
          <cell r="F25">
            <v>0.66666666666666663</v>
          </cell>
          <cell r="G25">
            <v>0.68055555555555547</v>
          </cell>
          <cell r="H25">
            <v>42559</v>
          </cell>
          <cell r="I25">
            <v>2.8000000000000001E-2</v>
          </cell>
          <cell r="J25">
            <v>4.0000000000000001E-3</v>
          </cell>
          <cell r="K25">
            <v>-0.9</v>
          </cell>
          <cell r="L25">
            <v>-0.95199999999999996</v>
          </cell>
          <cell r="M25">
            <v>0.75</v>
          </cell>
          <cell r="N25">
            <v>0.75694444444444453</v>
          </cell>
          <cell r="O25">
            <v>42559</v>
          </cell>
          <cell r="P25">
            <v>1.05</v>
          </cell>
          <cell r="Q25">
            <v>9</v>
          </cell>
          <cell r="R25">
            <v>23</v>
          </cell>
          <cell r="S25">
            <v>0</v>
          </cell>
          <cell r="T25">
            <v>0.34722222222222227</v>
          </cell>
          <cell r="U25">
            <v>42560</v>
          </cell>
          <cell r="V25">
            <v>26.45</v>
          </cell>
          <cell r="W25">
            <v>0.73611111111111116</v>
          </cell>
          <cell r="X25">
            <v>42560</v>
          </cell>
          <cell r="Y25">
            <v>27.45</v>
          </cell>
          <cell r="Z25">
            <v>0.77777777777777779</v>
          </cell>
          <cell r="AA25">
            <v>0.78125</v>
          </cell>
          <cell r="AB25">
            <v>42560</v>
          </cell>
          <cell r="AC25">
            <v>27.5</v>
          </cell>
          <cell r="AD25">
            <v>0.78819444444444453</v>
          </cell>
          <cell r="AE25">
            <v>0.79861111111111116</v>
          </cell>
          <cell r="AF25">
            <v>42560</v>
          </cell>
          <cell r="AG25">
            <v>0.79166666666666663</v>
          </cell>
          <cell r="AH25">
            <v>0.85416666666666663</v>
          </cell>
          <cell r="AI25">
            <v>42560</v>
          </cell>
          <cell r="AJ25">
            <v>0.89930555555555547</v>
          </cell>
          <cell r="AK25">
            <v>0.90625</v>
          </cell>
          <cell r="AL25">
            <v>42560</v>
          </cell>
          <cell r="AM25">
            <v>1.05</v>
          </cell>
          <cell r="AN25">
            <v>9</v>
          </cell>
          <cell r="AO25">
            <v>23</v>
          </cell>
          <cell r="AP25">
            <v>0</v>
          </cell>
          <cell r="AQ25">
            <v>0.93055555555555547</v>
          </cell>
          <cell r="AR25">
            <v>0.94444444444444453</v>
          </cell>
          <cell r="AS25">
            <v>42560</v>
          </cell>
          <cell r="AT25">
            <v>27.5</v>
          </cell>
          <cell r="AU25">
            <v>0.98611111111111116</v>
          </cell>
          <cell r="AV25">
            <v>42560</v>
          </cell>
          <cell r="AW25">
            <v>2.0833333333333332E-2</v>
          </cell>
          <cell r="AX25">
            <v>42561</v>
          </cell>
          <cell r="AY25">
            <v>6.8</v>
          </cell>
          <cell r="AZ25">
            <v>26</v>
          </cell>
        </row>
        <row r="26">
          <cell r="B26" t="str">
            <v>A28</v>
          </cell>
          <cell r="C26">
            <v>0.5625</v>
          </cell>
          <cell r="D26">
            <v>0.625</v>
          </cell>
          <cell r="E26">
            <v>42560</v>
          </cell>
          <cell r="F26">
            <v>0.67708333333333337</v>
          </cell>
          <cell r="G26">
            <v>0.6875</v>
          </cell>
          <cell r="H26">
            <v>42560</v>
          </cell>
          <cell r="I26">
            <v>3.0000000000000001E-3</v>
          </cell>
          <cell r="J26">
            <v>6.0000000000000001E-3</v>
          </cell>
          <cell r="K26">
            <v>-0.7</v>
          </cell>
          <cell r="L26">
            <v>-1.0900000000000001</v>
          </cell>
          <cell r="M26">
            <v>0.27777777777777779</v>
          </cell>
          <cell r="N26">
            <v>0.28125</v>
          </cell>
          <cell r="O26">
            <v>42561</v>
          </cell>
          <cell r="P26">
            <v>1.05</v>
          </cell>
          <cell r="Q26">
            <v>9</v>
          </cell>
          <cell r="R26">
            <v>23</v>
          </cell>
          <cell r="S26">
            <v>0</v>
          </cell>
          <cell r="T26">
            <v>0.28819444444444448</v>
          </cell>
          <cell r="U26">
            <v>42561</v>
          </cell>
          <cell r="V26">
            <v>24.3</v>
          </cell>
          <cell r="W26">
            <v>0.32291666666666669</v>
          </cell>
          <cell r="X26">
            <v>42561</v>
          </cell>
          <cell r="Y26">
            <v>26.8</v>
          </cell>
          <cell r="Z26">
            <v>0.42708333333333331</v>
          </cell>
          <cell r="AA26">
            <v>0.4375</v>
          </cell>
          <cell r="AB26">
            <v>42561</v>
          </cell>
          <cell r="AC26">
            <v>26.8</v>
          </cell>
          <cell r="AD26">
            <v>0.45833333333333331</v>
          </cell>
          <cell r="AE26">
            <v>0.47916666666666669</v>
          </cell>
          <cell r="AF26">
            <v>42561</v>
          </cell>
          <cell r="AG26">
            <v>0.48958333333333331</v>
          </cell>
          <cell r="AH26">
            <v>0.54166666666666663</v>
          </cell>
          <cell r="AI26">
            <v>42561</v>
          </cell>
          <cell r="AJ26">
            <v>0.58680555555555558</v>
          </cell>
          <cell r="AK26">
            <v>0.59375</v>
          </cell>
          <cell r="AL26">
            <v>42561</v>
          </cell>
          <cell r="AM26">
            <v>1.06</v>
          </cell>
          <cell r="AN26">
            <v>9</v>
          </cell>
          <cell r="AO26">
            <v>24</v>
          </cell>
          <cell r="AP26">
            <v>0</v>
          </cell>
          <cell r="AQ26">
            <v>0.63194444444444442</v>
          </cell>
          <cell r="AR26">
            <v>0.63541666666666663</v>
          </cell>
          <cell r="AS26">
            <v>42561</v>
          </cell>
          <cell r="AT26">
            <v>26.8</v>
          </cell>
          <cell r="AU26">
            <v>0.65694444444444444</v>
          </cell>
          <cell r="AV26">
            <v>42561</v>
          </cell>
          <cell r="AW26">
            <v>0.70486111111111116</v>
          </cell>
          <cell r="AX26">
            <v>42561</v>
          </cell>
          <cell r="AY26">
            <v>5.4</v>
          </cell>
          <cell r="AZ26">
            <v>23</v>
          </cell>
        </row>
        <row r="27">
          <cell r="B27" t="str">
            <v>A145</v>
          </cell>
          <cell r="C27">
            <v>0.39583333333333331</v>
          </cell>
          <cell r="D27">
            <v>0.47916666666666669</v>
          </cell>
          <cell r="E27">
            <v>42560</v>
          </cell>
          <cell r="F27">
            <v>0.6875</v>
          </cell>
          <cell r="G27">
            <v>0.69791666666666663</v>
          </cell>
          <cell r="H27">
            <v>42560</v>
          </cell>
          <cell r="I27">
            <v>1.4E-2</v>
          </cell>
          <cell r="J27">
            <v>5.0000000000000001E-3</v>
          </cell>
          <cell r="K27">
            <v>-1.1100000000000001</v>
          </cell>
          <cell r="L27">
            <v>-1.2450000000000001</v>
          </cell>
          <cell r="M27">
            <v>0.70486111111111116</v>
          </cell>
          <cell r="N27">
            <v>0.71250000000000002</v>
          </cell>
          <cell r="O27">
            <v>42560</v>
          </cell>
          <cell r="P27">
            <v>1.05</v>
          </cell>
          <cell r="Q27">
            <v>9</v>
          </cell>
          <cell r="R27">
            <v>23</v>
          </cell>
          <cell r="S27">
            <v>0</v>
          </cell>
          <cell r="T27">
            <v>0.57638888888888895</v>
          </cell>
          <cell r="U27">
            <v>42561</v>
          </cell>
          <cell r="V27">
            <v>22.2</v>
          </cell>
          <cell r="W27">
            <v>0.40972222222222227</v>
          </cell>
          <cell r="X27">
            <v>42562</v>
          </cell>
          <cell r="Y27">
            <v>31.2</v>
          </cell>
          <cell r="Z27">
            <v>0.4513888888888889</v>
          </cell>
          <cell r="AA27">
            <v>0.47916666666666669</v>
          </cell>
          <cell r="AB27">
            <v>42562</v>
          </cell>
          <cell r="AC27">
            <v>31.52</v>
          </cell>
          <cell r="AD27">
            <v>0.49652777777777773</v>
          </cell>
          <cell r="AE27">
            <v>0.50694444444444442</v>
          </cell>
          <cell r="AF27">
            <v>42562</v>
          </cell>
          <cell r="AG27">
            <v>0.52083333333333337</v>
          </cell>
          <cell r="AH27">
            <v>0.57291666666666663</v>
          </cell>
          <cell r="AI27">
            <v>42562</v>
          </cell>
          <cell r="AJ27">
            <v>0.58333333333333337</v>
          </cell>
          <cell r="AK27">
            <v>0.58888888888888891</v>
          </cell>
          <cell r="AL27">
            <v>42562</v>
          </cell>
          <cell r="AM27">
            <v>1.06</v>
          </cell>
          <cell r="AN27">
            <v>9</v>
          </cell>
          <cell r="AO27">
            <v>22</v>
          </cell>
          <cell r="AP27">
            <v>0</v>
          </cell>
          <cell r="AQ27">
            <v>0.69097222222222221</v>
          </cell>
          <cell r="AR27">
            <v>0.69444444444444453</v>
          </cell>
          <cell r="AS27">
            <v>42562</v>
          </cell>
          <cell r="AT27">
            <v>31.52</v>
          </cell>
          <cell r="AU27">
            <v>0.69791666666666663</v>
          </cell>
          <cell r="AV27">
            <v>42562</v>
          </cell>
          <cell r="AW27">
            <v>0.74652777777777779</v>
          </cell>
          <cell r="AX27">
            <v>42562</v>
          </cell>
          <cell r="AY27">
            <v>6.5</v>
          </cell>
          <cell r="AZ27">
            <v>29</v>
          </cell>
        </row>
        <row r="28">
          <cell r="B28" t="str">
            <v>A31</v>
          </cell>
          <cell r="C28">
            <v>0.33333333333333331</v>
          </cell>
          <cell r="D28">
            <v>0.41666666666666669</v>
          </cell>
          <cell r="E28">
            <v>42561</v>
          </cell>
          <cell r="F28">
            <v>0.43055555555555558</v>
          </cell>
          <cell r="G28">
            <v>0.44097222222222227</v>
          </cell>
          <cell r="H28">
            <v>42561</v>
          </cell>
          <cell r="I28">
            <v>2.1999999999999999E-2</v>
          </cell>
          <cell r="J28">
            <v>3.0000000000000001E-3</v>
          </cell>
          <cell r="K28">
            <v>-0.58799999999999997</v>
          </cell>
          <cell r="L28">
            <v>-0.86799999999999999</v>
          </cell>
          <cell r="M28">
            <v>0.3611111111111111</v>
          </cell>
          <cell r="N28">
            <v>0.36805555555555558</v>
          </cell>
          <cell r="O28">
            <v>42561</v>
          </cell>
          <cell r="P28">
            <v>1.05</v>
          </cell>
          <cell r="Q28">
            <v>9</v>
          </cell>
          <cell r="R28">
            <v>23</v>
          </cell>
          <cell r="S28">
            <v>0</v>
          </cell>
          <cell r="T28">
            <v>0.45833333333333331</v>
          </cell>
          <cell r="U28">
            <v>42561</v>
          </cell>
          <cell r="V28">
            <v>23.13</v>
          </cell>
          <cell r="W28">
            <v>0.84375</v>
          </cell>
          <cell r="X28">
            <v>42562</v>
          </cell>
          <cell r="Y28">
            <v>32.4</v>
          </cell>
          <cell r="Z28">
            <v>0.88888888888888884</v>
          </cell>
          <cell r="AA28">
            <v>0.91319444444444453</v>
          </cell>
          <cell r="AB28">
            <v>42562</v>
          </cell>
          <cell r="AC28">
            <v>32.4</v>
          </cell>
          <cell r="AD28">
            <v>0.92013888888888884</v>
          </cell>
          <cell r="AE28">
            <v>0.93055555555555547</v>
          </cell>
          <cell r="AF28">
            <v>42562</v>
          </cell>
          <cell r="AG28">
            <v>0.9375</v>
          </cell>
          <cell r="AH28">
            <v>0.98611111111111116</v>
          </cell>
          <cell r="AI28">
            <v>42562</v>
          </cell>
          <cell r="AJ28">
            <v>0.99305555555555547</v>
          </cell>
          <cell r="AK28">
            <v>0.99861111111111101</v>
          </cell>
          <cell r="AL28">
            <v>42562</v>
          </cell>
          <cell r="AM28">
            <v>1.06</v>
          </cell>
          <cell r="AN28">
            <v>9</v>
          </cell>
          <cell r="AO28">
            <v>22</v>
          </cell>
          <cell r="AP28">
            <v>0</v>
          </cell>
          <cell r="AQ28">
            <v>6.25E-2</v>
          </cell>
          <cell r="AR28">
            <v>6.5972222222222224E-2</v>
          </cell>
          <cell r="AS28">
            <v>42563</v>
          </cell>
          <cell r="AT28">
            <v>32.4</v>
          </cell>
          <cell r="AU28">
            <v>0.14930555555555555</v>
          </cell>
          <cell r="AV28">
            <v>42563</v>
          </cell>
          <cell r="AW28">
            <v>0.30763888888888891</v>
          </cell>
          <cell r="AX28">
            <v>42563</v>
          </cell>
          <cell r="AY28">
            <v>7</v>
          </cell>
          <cell r="AZ28">
            <v>44.5</v>
          </cell>
        </row>
        <row r="29">
          <cell r="B29" t="str">
            <v>A6</v>
          </cell>
          <cell r="C29">
            <v>0.65625</v>
          </cell>
          <cell r="D29">
            <v>0.72916666666666663</v>
          </cell>
          <cell r="E29">
            <v>42562</v>
          </cell>
          <cell r="F29">
            <v>0.73958333333333337</v>
          </cell>
          <cell r="G29">
            <v>0.75</v>
          </cell>
          <cell r="H29">
            <v>42562</v>
          </cell>
          <cell r="I29">
            <v>1.7999999999999999E-2</v>
          </cell>
          <cell r="J29">
            <v>1E-3</v>
          </cell>
          <cell r="K29">
            <v>-0.66800000000000004</v>
          </cell>
          <cell r="L29">
            <v>-1.1499999999999999</v>
          </cell>
          <cell r="M29">
            <v>0.75694444444444453</v>
          </cell>
          <cell r="N29">
            <v>0.76388888888888884</v>
          </cell>
          <cell r="O29">
            <v>42562</v>
          </cell>
          <cell r="P29">
            <v>1.05</v>
          </cell>
          <cell r="Q29">
            <v>9</v>
          </cell>
          <cell r="R29">
            <v>22</v>
          </cell>
          <cell r="S29">
            <v>0</v>
          </cell>
          <cell r="T29">
            <v>0.90972222222222221</v>
          </cell>
          <cell r="U29">
            <v>42562</v>
          </cell>
          <cell r="V29">
            <v>22.3</v>
          </cell>
          <cell r="W29">
            <v>0.97222222222222221</v>
          </cell>
          <cell r="X29">
            <v>42562</v>
          </cell>
          <cell r="Y29">
            <v>24.45</v>
          </cell>
          <cell r="Z29">
            <v>1.0416666666666666E-2</v>
          </cell>
          <cell r="AA29">
            <v>2.7777777777777776E-2</v>
          </cell>
          <cell r="AB29">
            <v>42563</v>
          </cell>
          <cell r="AC29">
            <v>24.45</v>
          </cell>
          <cell r="AD29">
            <v>3.4722222222222224E-2</v>
          </cell>
          <cell r="AE29">
            <v>4.5138888888888888E-2</v>
          </cell>
          <cell r="AF29">
            <v>42563</v>
          </cell>
          <cell r="AG29">
            <v>6.25E-2</v>
          </cell>
          <cell r="AH29">
            <v>0.1388888888888889</v>
          </cell>
          <cell r="AI29">
            <v>42563</v>
          </cell>
          <cell r="AJ29">
            <v>0.1875</v>
          </cell>
          <cell r="AK29">
            <v>0.20138888888888887</v>
          </cell>
          <cell r="AL29">
            <v>42563</v>
          </cell>
          <cell r="AM29">
            <v>1.05</v>
          </cell>
          <cell r="AN29">
            <v>9</v>
          </cell>
          <cell r="AO29">
            <v>22</v>
          </cell>
          <cell r="AP29">
            <v>0</v>
          </cell>
          <cell r="AQ29">
            <v>0.5</v>
          </cell>
          <cell r="AR29">
            <v>0.50694444444444442</v>
          </cell>
          <cell r="AS29">
            <v>42563</v>
          </cell>
          <cell r="AT29">
            <v>24.45</v>
          </cell>
          <cell r="AU29">
            <v>0.51388888888888895</v>
          </cell>
          <cell r="AV29">
            <v>42563</v>
          </cell>
          <cell r="AW29">
            <v>0.61805555555555558</v>
          </cell>
          <cell r="AX29">
            <v>42563</v>
          </cell>
          <cell r="AY29">
            <v>5.9</v>
          </cell>
          <cell r="AZ29">
            <v>24</v>
          </cell>
        </row>
        <row r="30">
          <cell r="B30" t="str">
            <v>B27</v>
          </cell>
          <cell r="C30">
            <v>0.70833333333333337</v>
          </cell>
          <cell r="D30">
            <v>0.79166666666666663</v>
          </cell>
          <cell r="E30">
            <v>42561</v>
          </cell>
          <cell r="F30">
            <v>0.38541666666666669</v>
          </cell>
          <cell r="G30">
            <v>0.39583333333333331</v>
          </cell>
          <cell r="H30">
            <v>42562</v>
          </cell>
          <cell r="I30">
            <v>1.6E-2</v>
          </cell>
          <cell r="J30">
            <v>8.9999999999999993E-3</v>
          </cell>
          <cell r="K30">
            <v>-1.2050000000000001</v>
          </cell>
          <cell r="L30">
            <v>-1.48</v>
          </cell>
          <cell r="M30">
            <v>0.40277777777777773</v>
          </cell>
          <cell r="N30">
            <v>0.40625</v>
          </cell>
          <cell r="O30">
            <v>42562</v>
          </cell>
          <cell r="P30">
            <v>1.05</v>
          </cell>
          <cell r="Q30">
            <v>9</v>
          </cell>
          <cell r="R30">
            <v>24</v>
          </cell>
          <cell r="S30">
            <v>0</v>
          </cell>
          <cell r="T30">
            <v>0.52083333333333337</v>
          </cell>
          <cell r="U30">
            <v>42562</v>
          </cell>
          <cell r="V30">
            <v>20.55</v>
          </cell>
          <cell r="W30">
            <v>0.63888888888888895</v>
          </cell>
          <cell r="X30">
            <v>42563</v>
          </cell>
          <cell r="Y30">
            <v>26.5</v>
          </cell>
          <cell r="Z30">
            <v>0.70138888888888884</v>
          </cell>
          <cell r="AA30">
            <v>0.72222222222222221</v>
          </cell>
          <cell r="AB30">
            <v>42563</v>
          </cell>
          <cell r="AC30">
            <v>26.54</v>
          </cell>
          <cell r="AD30">
            <v>0.72916666666666663</v>
          </cell>
          <cell r="AE30">
            <v>0.73958333333333337</v>
          </cell>
          <cell r="AF30">
            <v>42563</v>
          </cell>
          <cell r="AG30">
            <v>0.75</v>
          </cell>
          <cell r="AH30">
            <v>0.79513888888888884</v>
          </cell>
          <cell r="AI30">
            <v>42563</v>
          </cell>
          <cell r="AJ30">
            <v>0.80208333333333337</v>
          </cell>
          <cell r="AK30">
            <v>0.8125</v>
          </cell>
          <cell r="AL30">
            <v>42563</v>
          </cell>
          <cell r="AM30">
            <v>1.06</v>
          </cell>
          <cell r="AN30">
            <v>9</v>
          </cell>
          <cell r="AO30">
            <v>24</v>
          </cell>
          <cell r="AP30">
            <v>0</v>
          </cell>
          <cell r="AQ30">
            <v>0.9375</v>
          </cell>
          <cell r="AR30">
            <v>0.94097222222222221</v>
          </cell>
          <cell r="AS30">
            <v>42563</v>
          </cell>
          <cell r="AT30">
            <v>26.5</v>
          </cell>
          <cell r="AU30">
            <v>0.94444444444444453</v>
          </cell>
          <cell r="AV30">
            <v>42563</v>
          </cell>
          <cell r="AW30">
            <v>0.99861111111111101</v>
          </cell>
          <cell r="AX30">
            <v>42563</v>
          </cell>
          <cell r="AY30">
            <v>4.9000000000000004</v>
          </cell>
          <cell r="AZ30">
            <v>12.5</v>
          </cell>
        </row>
        <row r="31">
          <cell r="B31" t="str">
            <v>A122</v>
          </cell>
          <cell r="C31">
            <v>0.83333333333333337</v>
          </cell>
          <cell r="D31">
            <v>0.91666666666666663</v>
          </cell>
          <cell r="E31">
            <v>42561</v>
          </cell>
          <cell r="F31">
            <v>0.375</v>
          </cell>
          <cell r="G31">
            <v>0.38541666666666669</v>
          </cell>
          <cell r="H31">
            <v>42562</v>
          </cell>
          <cell r="I31">
            <v>2.5000000000000001E-2</v>
          </cell>
          <cell r="J31">
            <v>1.0999999999999999E-2</v>
          </cell>
          <cell r="K31">
            <v>-0.71</v>
          </cell>
          <cell r="L31">
            <v>-1.1100000000000001</v>
          </cell>
          <cell r="M31">
            <v>0.4375</v>
          </cell>
          <cell r="N31">
            <v>0.44444444444444442</v>
          </cell>
          <cell r="O31">
            <v>42562</v>
          </cell>
          <cell r="P31">
            <v>1.05</v>
          </cell>
          <cell r="Q31">
            <v>9</v>
          </cell>
          <cell r="R31">
            <v>24</v>
          </cell>
          <cell r="S31">
            <v>0</v>
          </cell>
          <cell r="T31">
            <v>0.35416666666666669</v>
          </cell>
          <cell r="U31">
            <v>42563</v>
          </cell>
          <cell r="V31">
            <v>21.25</v>
          </cell>
          <cell r="W31">
            <v>0.90972222222222221</v>
          </cell>
          <cell r="X31">
            <v>42563</v>
          </cell>
          <cell r="Y31">
            <v>23.8</v>
          </cell>
          <cell r="Z31">
            <v>0.94791666666666663</v>
          </cell>
          <cell r="AA31">
            <v>0.96180555555555547</v>
          </cell>
          <cell r="AB31">
            <v>42563</v>
          </cell>
          <cell r="AC31">
            <v>23.8</v>
          </cell>
          <cell r="AD31">
            <v>0.96875</v>
          </cell>
          <cell r="AE31">
            <v>0.97916666666666663</v>
          </cell>
          <cell r="AF31">
            <v>42563</v>
          </cell>
          <cell r="AG31">
            <v>0.99305555555555547</v>
          </cell>
          <cell r="AH31">
            <v>3.125E-2</v>
          </cell>
          <cell r="AI31">
            <v>42564</v>
          </cell>
          <cell r="AJ31">
            <v>3.4722222222222224E-2</v>
          </cell>
          <cell r="AK31">
            <v>3.8194444444444441E-2</v>
          </cell>
          <cell r="AL31">
            <v>42564</v>
          </cell>
          <cell r="AM31">
            <v>1.06</v>
          </cell>
          <cell r="AN31">
            <v>9</v>
          </cell>
          <cell r="AO31">
            <v>22</v>
          </cell>
          <cell r="AP31">
            <v>0</v>
          </cell>
          <cell r="AQ31">
            <v>0.22916666666666666</v>
          </cell>
          <cell r="AR31">
            <v>0.23263888888888887</v>
          </cell>
          <cell r="AS31">
            <v>42564</v>
          </cell>
          <cell r="AT31">
            <v>23.8</v>
          </cell>
          <cell r="AU31">
            <v>0.23958333333333334</v>
          </cell>
          <cell r="AV31">
            <v>42564</v>
          </cell>
          <cell r="AW31">
            <v>0.2673611111111111</v>
          </cell>
          <cell r="AX31">
            <v>42564</v>
          </cell>
          <cell r="AY31">
            <v>6.7</v>
          </cell>
          <cell r="AZ31">
            <v>21</v>
          </cell>
        </row>
        <row r="32">
          <cell r="B32" t="str">
            <v>A8</v>
          </cell>
          <cell r="C32">
            <v>0.39583333333333331</v>
          </cell>
          <cell r="D32">
            <v>0.47916666666666669</v>
          </cell>
          <cell r="E32">
            <v>42564</v>
          </cell>
          <cell r="F32">
            <v>0.55208333333333337</v>
          </cell>
          <cell r="G32">
            <v>0.5625</v>
          </cell>
          <cell r="H32">
            <v>42564</v>
          </cell>
          <cell r="I32">
            <v>0.02</v>
          </cell>
          <cell r="J32">
            <v>1.9E-2</v>
          </cell>
          <cell r="K32">
            <v>-0.72</v>
          </cell>
          <cell r="L32">
            <v>-1.0900000000000001</v>
          </cell>
          <cell r="M32">
            <v>0.56944444444444442</v>
          </cell>
          <cell r="N32">
            <v>0.57638888888888895</v>
          </cell>
          <cell r="O32">
            <v>42564</v>
          </cell>
          <cell r="P32">
            <v>1.05</v>
          </cell>
          <cell r="Q32">
            <v>9</v>
          </cell>
          <cell r="R32">
            <v>23</v>
          </cell>
          <cell r="S32">
            <v>0</v>
          </cell>
          <cell r="T32">
            <v>0.66666666666666663</v>
          </cell>
          <cell r="U32">
            <v>42564</v>
          </cell>
          <cell r="V32">
            <v>21.85</v>
          </cell>
          <cell r="W32">
            <v>0.79861111111111116</v>
          </cell>
          <cell r="X32">
            <v>42564</v>
          </cell>
          <cell r="Y32">
            <v>24.25</v>
          </cell>
          <cell r="Z32">
            <v>0.84027777777777779</v>
          </cell>
          <cell r="AA32">
            <v>0.85069444444444453</v>
          </cell>
          <cell r="AB32">
            <v>42564</v>
          </cell>
          <cell r="AC32">
            <v>24.35</v>
          </cell>
          <cell r="AD32">
            <v>0.86111111111111116</v>
          </cell>
          <cell r="AE32">
            <v>0.8652777777777777</v>
          </cell>
          <cell r="AF32">
            <v>42564</v>
          </cell>
          <cell r="AG32">
            <v>0.87152777777777779</v>
          </cell>
          <cell r="AH32">
            <v>0.90763888888888899</v>
          </cell>
          <cell r="AI32">
            <v>42564</v>
          </cell>
          <cell r="AJ32">
            <v>0.90972222222222221</v>
          </cell>
          <cell r="AK32">
            <v>0.91319444444444453</v>
          </cell>
          <cell r="AL32">
            <v>42564</v>
          </cell>
          <cell r="AM32">
            <v>1.06</v>
          </cell>
          <cell r="AN32">
            <v>9</v>
          </cell>
          <cell r="AO32">
            <v>22</v>
          </cell>
          <cell r="AP32">
            <v>0</v>
          </cell>
          <cell r="AQ32">
            <v>9.0277777777777776E-2</v>
          </cell>
          <cell r="AR32">
            <v>9.375E-2</v>
          </cell>
          <cell r="AS32">
            <v>42565</v>
          </cell>
          <cell r="AT32">
            <v>24.35</v>
          </cell>
          <cell r="AU32">
            <v>9.7222222222222224E-2</v>
          </cell>
          <cell r="AV32">
            <v>42565</v>
          </cell>
          <cell r="AW32">
            <v>0.14930555555555555</v>
          </cell>
          <cell r="AX32">
            <v>42565</v>
          </cell>
          <cell r="AY32">
            <v>7</v>
          </cell>
          <cell r="AZ32">
            <v>23</v>
          </cell>
        </row>
        <row r="33">
          <cell r="B33" t="str">
            <v>A146</v>
          </cell>
          <cell r="C33">
            <v>0.36458333333333331</v>
          </cell>
          <cell r="D33">
            <v>0.4375</v>
          </cell>
          <cell r="E33">
            <v>42563</v>
          </cell>
          <cell r="F33">
            <v>0.54166666666666663</v>
          </cell>
          <cell r="G33">
            <v>0.55208333333333337</v>
          </cell>
          <cell r="H33">
            <v>42563</v>
          </cell>
          <cell r="I33">
            <v>8.0000000000000002E-3</v>
          </cell>
          <cell r="J33">
            <v>8.0000000000000002E-3</v>
          </cell>
          <cell r="K33">
            <v>-0.94799999999999995</v>
          </cell>
          <cell r="L33">
            <v>-1.31</v>
          </cell>
          <cell r="M33">
            <v>0.54513888888888895</v>
          </cell>
          <cell r="N33">
            <v>0.54861111111111105</v>
          </cell>
          <cell r="O33">
            <v>42563</v>
          </cell>
          <cell r="P33">
            <v>1.05</v>
          </cell>
          <cell r="Q33">
            <v>9</v>
          </cell>
          <cell r="R33">
            <v>23</v>
          </cell>
          <cell r="S33">
            <v>0</v>
          </cell>
          <cell r="T33">
            <v>0.63888888888888895</v>
          </cell>
          <cell r="U33">
            <v>42563</v>
          </cell>
          <cell r="V33">
            <v>22.2</v>
          </cell>
          <cell r="W33">
            <v>0.79166666666666663</v>
          </cell>
          <cell r="X33">
            <v>42564</v>
          </cell>
          <cell r="Y33">
            <v>31.35</v>
          </cell>
          <cell r="Z33">
            <v>0.85069444444444453</v>
          </cell>
          <cell r="AA33">
            <v>0.86111111111111116</v>
          </cell>
          <cell r="AB33">
            <v>42564</v>
          </cell>
          <cell r="AC33">
            <v>31.35</v>
          </cell>
          <cell r="AD33">
            <v>0.90972222222222221</v>
          </cell>
          <cell r="AE33">
            <v>0.91666666666666663</v>
          </cell>
          <cell r="AF33">
            <v>42564</v>
          </cell>
          <cell r="AG33">
            <v>0.92708333333333337</v>
          </cell>
          <cell r="AH33">
            <v>0.98611111111111116</v>
          </cell>
          <cell r="AI33">
            <v>42564</v>
          </cell>
          <cell r="AJ33">
            <v>0.99305555555555547</v>
          </cell>
          <cell r="AK33">
            <v>0</v>
          </cell>
          <cell r="AL33">
            <v>42565</v>
          </cell>
          <cell r="AM33">
            <v>1.05</v>
          </cell>
          <cell r="AN33">
            <v>9</v>
          </cell>
          <cell r="AO33">
            <v>22</v>
          </cell>
          <cell r="AP33">
            <v>0</v>
          </cell>
          <cell r="AQ33">
            <v>0.33333333333333331</v>
          </cell>
          <cell r="AR33">
            <v>0.34027777777777773</v>
          </cell>
          <cell r="AS33">
            <v>42565</v>
          </cell>
          <cell r="AT33">
            <v>31.35</v>
          </cell>
          <cell r="AU33">
            <v>0.34513888888888888</v>
          </cell>
          <cell r="AV33">
            <v>42565</v>
          </cell>
          <cell r="AW33">
            <v>0.4201388888888889</v>
          </cell>
          <cell r="AX33">
            <v>42565</v>
          </cell>
          <cell r="AY33">
            <v>6.4</v>
          </cell>
          <cell r="AZ33">
            <v>31</v>
          </cell>
        </row>
        <row r="34">
          <cell r="B34" t="str">
            <v>A124</v>
          </cell>
          <cell r="C34">
            <v>0.66666666666666663</v>
          </cell>
          <cell r="D34">
            <v>0.78125</v>
          </cell>
          <cell r="E34">
            <v>42564</v>
          </cell>
          <cell r="F34">
            <v>0.77083333333333337</v>
          </cell>
          <cell r="G34">
            <v>0.78125</v>
          </cell>
          <cell r="H34">
            <v>42564</v>
          </cell>
          <cell r="I34">
            <v>2E-3</v>
          </cell>
          <cell r="J34">
            <v>2.1000000000000001E-2</v>
          </cell>
          <cell r="K34">
            <v>-0.74</v>
          </cell>
          <cell r="L34">
            <v>-1.135</v>
          </cell>
          <cell r="M34">
            <v>0.4201388888888889</v>
          </cell>
          <cell r="N34">
            <v>0.42708333333333331</v>
          </cell>
          <cell r="O34">
            <v>42565</v>
          </cell>
          <cell r="P34">
            <v>1.05</v>
          </cell>
          <cell r="Q34">
            <v>9</v>
          </cell>
          <cell r="R34">
            <v>23</v>
          </cell>
          <cell r="S34">
            <v>0</v>
          </cell>
          <cell r="T34">
            <v>0.60416666666666663</v>
          </cell>
          <cell r="U34">
            <v>42565</v>
          </cell>
          <cell r="V34">
            <v>21.2</v>
          </cell>
          <cell r="W34">
            <v>0.69791666666666663</v>
          </cell>
          <cell r="X34">
            <v>42565</v>
          </cell>
          <cell r="Y34">
            <v>23.85</v>
          </cell>
          <cell r="Z34">
            <v>0.77083333333333337</v>
          </cell>
          <cell r="AA34">
            <v>0.77777777777777779</v>
          </cell>
          <cell r="AB34">
            <v>42565</v>
          </cell>
          <cell r="AC34">
            <v>24.2</v>
          </cell>
          <cell r="AD34">
            <v>0.78472222222222221</v>
          </cell>
          <cell r="AE34">
            <v>0.78819444444444453</v>
          </cell>
          <cell r="AF34">
            <v>42565</v>
          </cell>
          <cell r="AG34">
            <v>0.80555555555555547</v>
          </cell>
          <cell r="AH34">
            <v>0.84583333333333333</v>
          </cell>
          <cell r="AI34">
            <v>42565</v>
          </cell>
          <cell r="AJ34">
            <v>0.85416666666666663</v>
          </cell>
          <cell r="AK34">
            <v>0.85763888888888884</v>
          </cell>
          <cell r="AL34">
            <v>42565</v>
          </cell>
          <cell r="AM34">
            <v>1.05</v>
          </cell>
          <cell r="AN34">
            <v>9</v>
          </cell>
          <cell r="AO34">
            <v>22</v>
          </cell>
          <cell r="AP34">
            <v>0</v>
          </cell>
          <cell r="AQ34">
            <v>2.0833333333333332E-2</v>
          </cell>
          <cell r="AR34">
            <v>2.4305555555555556E-2</v>
          </cell>
          <cell r="AS34">
            <v>42566</v>
          </cell>
          <cell r="AT34">
            <v>24.2</v>
          </cell>
          <cell r="AU34">
            <v>3.125E-2</v>
          </cell>
          <cell r="AV34">
            <v>42566</v>
          </cell>
          <cell r="AW34">
            <v>6.5972222222222224E-2</v>
          </cell>
          <cell r="AX34">
            <v>42566</v>
          </cell>
          <cell r="AY34">
            <v>7</v>
          </cell>
          <cell r="AZ34">
            <v>21</v>
          </cell>
        </row>
        <row r="35">
          <cell r="B35" t="str">
            <v>A7</v>
          </cell>
          <cell r="C35">
            <v>0.60416666666666663</v>
          </cell>
          <cell r="D35">
            <v>0.6875</v>
          </cell>
          <cell r="E35">
            <v>42565</v>
          </cell>
          <cell r="F35">
            <v>0.69791666666666663</v>
          </cell>
          <cell r="G35">
            <v>0.70833333333333337</v>
          </cell>
          <cell r="H35">
            <v>42565</v>
          </cell>
          <cell r="I35">
            <v>7.0000000000000001E-3</v>
          </cell>
          <cell r="J35">
            <v>1.4E-2</v>
          </cell>
          <cell r="K35">
            <v>-0.65800000000000003</v>
          </cell>
          <cell r="L35">
            <v>-1.06</v>
          </cell>
          <cell r="M35">
            <v>0.70833333333333337</v>
          </cell>
          <cell r="N35">
            <v>0.72222222222222221</v>
          </cell>
          <cell r="O35">
            <v>42565</v>
          </cell>
          <cell r="P35">
            <v>1.05</v>
          </cell>
          <cell r="Q35">
            <v>9</v>
          </cell>
          <cell r="R35">
            <v>23</v>
          </cell>
          <cell r="S35">
            <v>0</v>
          </cell>
          <cell r="T35">
            <v>0.84027777777777779</v>
          </cell>
          <cell r="U35">
            <v>42565</v>
          </cell>
          <cell r="V35">
            <v>21.8</v>
          </cell>
          <cell r="W35">
            <v>0.875</v>
          </cell>
          <cell r="X35">
            <v>42565</v>
          </cell>
          <cell r="Y35">
            <v>24.4</v>
          </cell>
          <cell r="Z35">
            <v>0.90625</v>
          </cell>
          <cell r="AA35">
            <v>0.91666666666666663</v>
          </cell>
          <cell r="AB35">
            <v>42565</v>
          </cell>
          <cell r="AC35">
            <v>24.4</v>
          </cell>
          <cell r="AD35">
            <v>0.92361111111111116</v>
          </cell>
          <cell r="AE35">
            <v>0.93402777777777779</v>
          </cell>
          <cell r="AF35">
            <v>42565</v>
          </cell>
          <cell r="AG35">
            <v>0.95833333333333337</v>
          </cell>
          <cell r="AH35">
            <v>0.99791666666666667</v>
          </cell>
          <cell r="AI35">
            <v>42565</v>
          </cell>
          <cell r="AJ35">
            <v>1.0416666666666666E-2</v>
          </cell>
          <cell r="AK35">
            <v>1.7361111111111112E-2</v>
          </cell>
          <cell r="AL35">
            <v>42566</v>
          </cell>
          <cell r="AM35">
            <v>1.06</v>
          </cell>
          <cell r="AN35">
            <v>9</v>
          </cell>
          <cell r="AO35">
            <v>22</v>
          </cell>
          <cell r="AP35">
            <v>0</v>
          </cell>
          <cell r="AQ35">
            <v>0.1388888888888889</v>
          </cell>
          <cell r="AR35">
            <v>0.1423611111111111</v>
          </cell>
          <cell r="AS35">
            <v>42566</v>
          </cell>
          <cell r="AT35">
            <v>24.4</v>
          </cell>
          <cell r="AU35">
            <v>0.15416666666666667</v>
          </cell>
          <cell r="AV35">
            <v>42566</v>
          </cell>
          <cell r="AW35">
            <v>0.17708333333333334</v>
          </cell>
          <cell r="AX35">
            <v>42566</v>
          </cell>
          <cell r="AY35">
            <v>6.2</v>
          </cell>
          <cell r="AZ35">
            <v>21</v>
          </cell>
        </row>
        <row r="36">
          <cell r="B36" t="str">
            <v>A128</v>
          </cell>
          <cell r="C36">
            <v>0.40625</v>
          </cell>
          <cell r="D36">
            <v>0.47916666666666669</v>
          </cell>
          <cell r="E36">
            <v>42566</v>
          </cell>
          <cell r="F36">
            <v>0.70833333333333337</v>
          </cell>
          <cell r="G36">
            <v>0.71875</v>
          </cell>
          <cell r="H36">
            <v>42566</v>
          </cell>
          <cell r="I36">
            <v>0.02</v>
          </cell>
          <cell r="J36">
            <v>2.1999999999999999E-2</v>
          </cell>
          <cell r="K36">
            <v>-0.495</v>
          </cell>
          <cell r="L36">
            <v>-0.97199999999999998</v>
          </cell>
          <cell r="M36">
            <v>0.5</v>
          </cell>
          <cell r="N36">
            <v>0.50694444444444442</v>
          </cell>
          <cell r="O36">
            <v>42566</v>
          </cell>
          <cell r="P36">
            <v>1.05</v>
          </cell>
          <cell r="Q36">
            <v>9</v>
          </cell>
          <cell r="R36">
            <v>23</v>
          </cell>
          <cell r="S36">
            <v>0</v>
          </cell>
          <cell r="T36">
            <v>0.625</v>
          </cell>
          <cell r="U36">
            <v>42566</v>
          </cell>
          <cell r="V36">
            <v>20.399999999999999</v>
          </cell>
          <cell r="W36">
            <v>0.72916666666666663</v>
          </cell>
          <cell r="X36">
            <v>42566</v>
          </cell>
          <cell r="Y36">
            <v>24.5</v>
          </cell>
          <cell r="Z36">
            <v>0.74305555555555547</v>
          </cell>
          <cell r="AA36">
            <v>0.75347222222222221</v>
          </cell>
          <cell r="AB36">
            <v>42566</v>
          </cell>
          <cell r="AC36">
            <v>24.5</v>
          </cell>
          <cell r="AD36">
            <v>0.75694444444444453</v>
          </cell>
          <cell r="AE36">
            <v>0.76388888888888884</v>
          </cell>
          <cell r="AF36">
            <v>42566</v>
          </cell>
          <cell r="AG36">
            <v>0.77083333333333337</v>
          </cell>
          <cell r="AH36">
            <v>0.80902777777777779</v>
          </cell>
          <cell r="AI36">
            <v>42566</v>
          </cell>
          <cell r="AJ36">
            <v>0.87847222222222221</v>
          </cell>
          <cell r="AK36">
            <v>0.88888888888888884</v>
          </cell>
          <cell r="AL36">
            <v>42566</v>
          </cell>
          <cell r="AM36">
            <v>1.05</v>
          </cell>
          <cell r="AN36">
            <v>9</v>
          </cell>
          <cell r="AO36">
            <v>22</v>
          </cell>
          <cell r="AP36">
            <v>0</v>
          </cell>
          <cell r="AQ36">
            <v>0.16666666666666666</v>
          </cell>
          <cell r="AR36">
            <v>0.17013888888888887</v>
          </cell>
          <cell r="AS36">
            <v>42567</v>
          </cell>
          <cell r="AT36">
            <v>24.5</v>
          </cell>
          <cell r="AU36">
            <v>0.17708333333333334</v>
          </cell>
          <cell r="AV36">
            <v>42567</v>
          </cell>
          <cell r="AW36">
            <v>0.19444444444444445</v>
          </cell>
          <cell r="AX36">
            <v>42567</v>
          </cell>
          <cell r="AY36">
            <v>7</v>
          </cell>
          <cell r="AZ36">
            <v>20</v>
          </cell>
        </row>
        <row r="37">
          <cell r="B37" t="str">
            <v>A34</v>
          </cell>
          <cell r="C37">
            <v>0.65972222222222221</v>
          </cell>
          <cell r="D37">
            <v>0.72916666666666663</v>
          </cell>
          <cell r="E37">
            <v>42563</v>
          </cell>
          <cell r="F37">
            <v>0.73958333333333337</v>
          </cell>
          <cell r="G37">
            <v>0.75</v>
          </cell>
          <cell r="H37">
            <v>42563</v>
          </cell>
          <cell r="I37">
            <v>8.0000000000000002E-3</v>
          </cell>
          <cell r="J37">
            <v>1.7000000000000001E-2</v>
          </cell>
          <cell r="K37">
            <v>-0.69899999999999995</v>
          </cell>
          <cell r="L37">
            <v>-1.1000000000000001</v>
          </cell>
          <cell r="M37">
            <v>0.625</v>
          </cell>
          <cell r="N37">
            <v>0.63541666666666663</v>
          </cell>
          <cell r="O37">
            <v>42563</v>
          </cell>
          <cell r="P37">
            <v>1.05</v>
          </cell>
          <cell r="Q37">
            <v>9</v>
          </cell>
          <cell r="R37">
            <v>23</v>
          </cell>
          <cell r="S37">
            <v>0</v>
          </cell>
          <cell r="T37">
            <v>0.40277777777777773</v>
          </cell>
          <cell r="U37">
            <v>42564</v>
          </cell>
          <cell r="V37">
            <v>21.5</v>
          </cell>
          <cell r="W37">
            <v>0.74305555555555547</v>
          </cell>
          <cell r="X37">
            <v>42566</v>
          </cell>
          <cell r="Y37">
            <v>35.1</v>
          </cell>
          <cell r="Z37">
            <v>0.79861111111111116</v>
          </cell>
          <cell r="AA37">
            <v>0.82361111111111107</v>
          </cell>
          <cell r="AB37">
            <v>42566</v>
          </cell>
          <cell r="AC37">
            <v>35.25</v>
          </cell>
          <cell r="AD37">
            <v>0.83333333333333337</v>
          </cell>
          <cell r="AE37">
            <v>0.84375</v>
          </cell>
          <cell r="AF37">
            <v>42566</v>
          </cell>
          <cell r="AG37">
            <v>0.85763888888888884</v>
          </cell>
          <cell r="AH37">
            <v>0.90625</v>
          </cell>
          <cell r="AI37">
            <v>42566</v>
          </cell>
          <cell r="AJ37">
            <v>0.91666666666666663</v>
          </cell>
          <cell r="AK37">
            <v>0.92361111111111116</v>
          </cell>
          <cell r="AL37">
            <v>42566</v>
          </cell>
          <cell r="AM37">
            <v>1.06</v>
          </cell>
          <cell r="AN37">
            <v>9</v>
          </cell>
          <cell r="AO37">
            <v>24</v>
          </cell>
          <cell r="AP37">
            <v>0</v>
          </cell>
          <cell r="AQ37">
            <v>0.27777777777777779</v>
          </cell>
          <cell r="AR37">
            <v>0.28125</v>
          </cell>
          <cell r="AS37">
            <v>42567</v>
          </cell>
          <cell r="AT37">
            <v>35.25</v>
          </cell>
          <cell r="AU37">
            <v>0.30555555555555552</v>
          </cell>
          <cell r="AV37">
            <v>42567</v>
          </cell>
          <cell r="AW37">
            <v>0.42708333333333331</v>
          </cell>
          <cell r="AX37">
            <v>42567</v>
          </cell>
          <cell r="AY37">
            <v>6.8</v>
          </cell>
          <cell r="AZ37">
            <v>56</v>
          </cell>
        </row>
        <row r="38">
          <cell r="B38" t="str">
            <v>A125</v>
          </cell>
          <cell r="C38">
            <v>0.33333333333333331</v>
          </cell>
          <cell r="D38">
            <v>0.39583333333333331</v>
          </cell>
          <cell r="E38">
            <v>42566</v>
          </cell>
          <cell r="F38">
            <v>0.72916666666666663</v>
          </cell>
          <cell r="G38">
            <v>0.73958333333333337</v>
          </cell>
          <cell r="H38">
            <v>42566</v>
          </cell>
          <cell r="I38">
            <v>2.3E-2</v>
          </cell>
          <cell r="J38">
            <v>1.7999999999999999E-2</v>
          </cell>
          <cell r="K38">
            <v>-0.87</v>
          </cell>
          <cell r="L38">
            <v>-1.1950000000000001</v>
          </cell>
          <cell r="M38">
            <v>0.75</v>
          </cell>
          <cell r="N38">
            <v>0.75694444444444453</v>
          </cell>
          <cell r="O38">
            <v>42566</v>
          </cell>
          <cell r="P38">
            <v>1.05</v>
          </cell>
          <cell r="Q38">
            <v>9</v>
          </cell>
          <cell r="R38">
            <v>23</v>
          </cell>
          <cell r="S38">
            <v>0</v>
          </cell>
          <cell r="T38">
            <v>0.3611111111111111</v>
          </cell>
          <cell r="U38">
            <v>42567</v>
          </cell>
          <cell r="V38">
            <v>19.55</v>
          </cell>
          <cell r="W38">
            <v>0.36458333333333331</v>
          </cell>
          <cell r="X38">
            <v>42568</v>
          </cell>
          <cell r="Y38">
            <v>23.6</v>
          </cell>
          <cell r="Z38">
            <v>0.52083333333333337</v>
          </cell>
          <cell r="AA38">
            <v>0.52777777777777779</v>
          </cell>
          <cell r="AB38">
            <v>42568</v>
          </cell>
          <cell r="AC38">
            <v>23.62</v>
          </cell>
          <cell r="AD38">
            <v>0.53472222222222221</v>
          </cell>
          <cell r="AE38">
            <v>0.54861111111111105</v>
          </cell>
          <cell r="AF38">
            <v>42568</v>
          </cell>
          <cell r="AG38">
            <v>0.55208333333333337</v>
          </cell>
          <cell r="AH38">
            <v>0.64583333333333337</v>
          </cell>
          <cell r="AI38">
            <v>42568</v>
          </cell>
          <cell r="AJ38">
            <v>0.64930555555555558</v>
          </cell>
          <cell r="AK38">
            <v>0.65277777777777779</v>
          </cell>
          <cell r="AL38">
            <v>42568</v>
          </cell>
          <cell r="AM38">
            <v>1.05</v>
          </cell>
          <cell r="AN38">
            <v>9</v>
          </cell>
          <cell r="AO38">
            <v>23</v>
          </cell>
          <cell r="AP38">
            <v>0</v>
          </cell>
          <cell r="AQ38">
            <v>0.65625</v>
          </cell>
          <cell r="AR38">
            <v>0.65972222222222221</v>
          </cell>
          <cell r="AS38">
            <v>42568</v>
          </cell>
          <cell r="AT38">
            <v>23.62</v>
          </cell>
          <cell r="AU38">
            <v>0.66319444444444442</v>
          </cell>
          <cell r="AV38">
            <v>42568</v>
          </cell>
          <cell r="AW38">
            <v>0.69444444444444453</v>
          </cell>
          <cell r="AX38">
            <v>42568</v>
          </cell>
          <cell r="AY38">
            <v>6.2</v>
          </cell>
          <cell r="AZ38">
            <v>20</v>
          </cell>
        </row>
        <row r="39">
          <cell r="B39" t="str">
            <v>A148</v>
          </cell>
          <cell r="C39">
            <v>0.39583333333333331</v>
          </cell>
          <cell r="D39">
            <v>0.46875</v>
          </cell>
          <cell r="E39">
            <v>42567</v>
          </cell>
          <cell r="F39">
            <v>0.59375</v>
          </cell>
          <cell r="G39">
            <v>0.60416666666666663</v>
          </cell>
          <cell r="H39">
            <v>42567</v>
          </cell>
          <cell r="I39">
            <v>2.5999999999999999E-2</v>
          </cell>
          <cell r="J39">
            <v>1.2E-2</v>
          </cell>
          <cell r="K39">
            <v>-0.66500000000000004</v>
          </cell>
          <cell r="L39">
            <v>-1.1519999999999999</v>
          </cell>
          <cell r="M39">
            <v>0.61111111111111105</v>
          </cell>
          <cell r="N39">
            <v>0.61805555555555558</v>
          </cell>
          <cell r="O39">
            <v>42567</v>
          </cell>
          <cell r="P39">
            <v>1.05</v>
          </cell>
          <cell r="Q39">
            <v>9</v>
          </cell>
          <cell r="R39">
            <v>23</v>
          </cell>
          <cell r="S39">
            <v>0</v>
          </cell>
          <cell r="T39">
            <v>0.75</v>
          </cell>
          <cell r="U39">
            <v>42567</v>
          </cell>
          <cell r="V39">
            <v>22.3</v>
          </cell>
          <cell r="W39">
            <v>0.47916666666666669</v>
          </cell>
          <cell r="X39">
            <v>42568</v>
          </cell>
          <cell r="Y39">
            <v>31.7</v>
          </cell>
          <cell r="Z39">
            <v>0.64583333333333337</v>
          </cell>
          <cell r="AA39">
            <v>0.65625</v>
          </cell>
          <cell r="AB39">
            <v>42568</v>
          </cell>
          <cell r="AC39">
            <v>31.8</v>
          </cell>
          <cell r="AD39">
            <v>0.65972222222222221</v>
          </cell>
          <cell r="AE39">
            <v>0.66666666666666663</v>
          </cell>
          <cell r="AF39">
            <v>42568</v>
          </cell>
          <cell r="AG39">
            <v>0.70833333333333337</v>
          </cell>
          <cell r="AH39">
            <v>0.8125</v>
          </cell>
          <cell r="AI39">
            <v>42568</v>
          </cell>
          <cell r="AJ39">
            <v>0.83333333333333337</v>
          </cell>
          <cell r="AK39">
            <v>0.84027777777777779</v>
          </cell>
          <cell r="AL39">
            <v>42568</v>
          </cell>
          <cell r="AM39">
            <v>1.05</v>
          </cell>
          <cell r="AN39">
            <v>9</v>
          </cell>
          <cell r="AO39">
            <v>23</v>
          </cell>
          <cell r="AP39">
            <v>0</v>
          </cell>
          <cell r="AQ39">
            <v>0.89583333333333337</v>
          </cell>
          <cell r="AR39">
            <v>0.90277777777777779</v>
          </cell>
          <cell r="AS39">
            <v>42568</v>
          </cell>
          <cell r="AT39">
            <v>31.8</v>
          </cell>
          <cell r="AU39">
            <v>0.90972222222222221</v>
          </cell>
          <cell r="AV39">
            <v>42568</v>
          </cell>
          <cell r="AW39">
            <v>0.94444444444444453</v>
          </cell>
          <cell r="AX39">
            <v>42568</v>
          </cell>
          <cell r="AY39">
            <v>5.5</v>
          </cell>
          <cell r="AZ39">
            <v>31</v>
          </cell>
        </row>
        <row r="40">
          <cell r="B40" t="str">
            <v>A127</v>
          </cell>
          <cell r="C40">
            <v>0.5625</v>
          </cell>
          <cell r="D40">
            <v>0.64583333333333337</v>
          </cell>
          <cell r="E40">
            <v>42568</v>
          </cell>
          <cell r="F40">
            <v>0.70833333333333337</v>
          </cell>
          <cell r="G40">
            <v>0.71875</v>
          </cell>
          <cell r="H40">
            <v>42568</v>
          </cell>
          <cell r="I40">
            <v>2.1999999999999999E-2</v>
          </cell>
          <cell r="J40">
            <v>0.02</v>
          </cell>
          <cell r="K40">
            <v>-0.68500000000000005</v>
          </cell>
          <cell r="L40">
            <v>-0.998</v>
          </cell>
          <cell r="M40">
            <v>0.66666666666666663</v>
          </cell>
          <cell r="N40">
            <v>0.67361111111111116</v>
          </cell>
          <cell r="O40">
            <v>42568</v>
          </cell>
          <cell r="P40">
            <v>1.05</v>
          </cell>
          <cell r="Q40">
            <v>9</v>
          </cell>
          <cell r="R40">
            <v>23</v>
          </cell>
          <cell r="S40">
            <v>0</v>
          </cell>
          <cell r="T40">
            <v>0.58333333333333337</v>
          </cell>
          <cell r="U40">
            <v>42569</v>
          </cell>
          <cell r="V40">
            <v>21.9</v>
          </cell>
          <cell r="W40">
            <v>0.75</v>
          </cell>
          <cell r="X40">
            <v>42569</v>
          </cell>
          <cell r="Y40">
            <v>25.3</v>
          </cell>
          <cell r="Z40">
            <v>0.79166666666666663</v>
          </cell>
          <cell r="AA40">
            <v>0.8125</v>
          </cell>
          <cell r="AB40">
            <v>42569</v>
          </cell>
          <cell r="AC40">
            <v>25.3</v>
          </cell>
          <cell r="AD40">
            <v>0.75694444444444453</v>
          </cell>
          <cell r="AE40">
            <v>0.76388888888888884</v>
          </cell>
          <cell r="AF40">
            <v>42569</v>
          </cell>
          <cell r="AG40">
            <v>0.77083333333333337</v>
          </cell>
          <cell r="AH40">
            <v>0.83333333333333337</v>
          </cell>
          <cell r="AI40">
            <v>42569</v>
          </cell>
          <cell r="AJ40">
            <v>0.84027777777777779</v>
          </cell>
          <cell r="AK40">
            <v>0.84722222222222221</v>
          </cell>
          <cell r="AL40">
            <v>42569</v>
          </cell>
          <cell r="AM40">
            <v>1.05</v>
          </cell>
          <cell r="AN40">
            <v>9</v>
          </cell>
          <cell r="AO40">
            <v>23</v>
          </cell>
          <cell r="AP40">
            <v>0</v>
          </cell>
          <cell r="AQ40">
            <v>0.91666666666666663</v>
          </cell>
          <cell r="AR40">
            <v>0.92361111111111116</v>
          </cell>
          <cell r="AS40">
            <v>42569</v>
          </cell>
          <cell r="AT40">
            <v>25.3</v>
          </cell>
          <cell r="AU40">
            <v>0.92708333333333337</v>
          </cell>
          <cell r="AV40">
            <v>42569</v>
          </cell>
          <cell r="AW40">
            <v>0.97916666666666663</v>
          </cell>
          <cell r="AX40">
            <v>42569</v>
          </cell>
          <cell r="AY40">
            <v>6.5</v>
          </cell>
          <cell r="AZ40">
            <v>28</v>
          </cell>
        </row>
        <row r="41">
          <cell r="B41" t="str">
            <v>A32</v>
          </cell>
          <cell r="C41">
            <v>0.35416666666666669</v>
          </cell>
          <cell r="D41">
            <v>0.44791666666666669</v>
          </cell>
          <cell r="E41">
            <v>42567</v>
          </cell>
          <cell r="F41">
            <v>0.64930555555555558</v>
          </cell>
          <cell r="G41">
            <v>0.65625</v>
          </cell>
          <cell r="H41">
            <v>42567</v>
          </cell>
          <cell r="I41">
            <v>1.2999999999999999E-2</v>
          </cell>
          <cell r="J41">
            <v>8.0000000000000002E-3</v>
          </cell>
          <cell r="K41">
            <v>-0.72499999999999998</v>
          </cell>
          <cell r="L41">
            <v>-1.004</v>
          </cell>
          <cell r="M41">
            <v>0.75347222222222221</v>
          </cell>
          <cell r="N41">
            <v>0.75694444444444453</v>
          </cell>
          <cell r="O41">
            <v>42567</v>
          </cell>
          <cell r="P41">
            <v>1.05</v>
          </cell>
          <cell r="Q41">
            <v>9</v>
          </cell>
          <cell r="R41">
            <v>23</v>
          </cell>
          <cell r="S41">
            <v>0</v>
          </cell>
          <cell r="T41">
            <v>0.45833333333333331</v>
          </cell>
          <cell r="U41">
            <v>42568</v>
          </cell>
          <cell r="V41">
            <v>22.5</v>
          </cell>
          <cell r="W41">
            <v>0.625</v>
          </cell>
          <cell r="X41">
            <v>42570</v>
          </cell>
          <cell r="Y41">
            <v>32.299999999999997</v>
          </cell>
          <cell r="Z41">
            <v>0.67013888888888884</v>
          </cell>
          <cell r="AA41">
            <v>0.6875</v>
          </cell>
          <cell r="AB41">
            <v>42570</v>
          </cell>
          <cell r="AC41">
            <v>32.299999999999997</v>
          </cell>
          <cell r="AD41">
            <v>0.69861111111111107</v>
          </cell>
          <cell r="AE41">
            <v>0.70833333333333337</v>
          </cell>
          <cell r="AF41">
            <v>42570</v>
          </cell>
          <cell r="AG41">
            <v>0.75</v>
          </cell>
          <cell r="AH41">
            <v>0.8125</v>
          </cell>
          <cell r="AI41">
            <v>42570</v>
          </cell>
          <cell r="AJ41">
            <v>0.875</v>
          </cell>
          <cell r="AK41">
            <v>0.88541666666666663</v>
          </cell>
          <cell r="AL41">
            <v>42570</v>
          </cell>
          <cell r="AM41">
            <v>1.05</v>
          </cell>
          <cell r="AN41">
            <v>9</v>
          </cell>
          <cell r="AO41">
            <v>23</v>
          </cell>
          <cell r="AP41">
            <v>0</v>
          </cell>
          <cell r="AQ41">
            <v>0.92361111111111116</v>
          </cell>
          <cell r="AR41">
            <v>0.92708333333333337</v>
          </cell>
          <cell r="AS41">
            <v>42570</v>
          </cell>
          <cell r="AT41">
            <v>32.299999999999997</v>
          </cell>
          <cell r="AU41">
            <v>0.9375</v>
          </cell>
          <cell r="AV41">
            <v>42570</v>
          </cell>
          <cell r="AW41">
            <v>2.0833333333333332E-2</v>
          </cell>
          <cell r="AX41">
            <v>42571</v>
          </cell>
          <cell r="AY41">
            <v>6.7</v>
          </cell>
          <cell r="AZ41">
            <v>38</v>
          </cell>
        </row>
        <row r="42">
          <cell r="B42" t="str">
            <v>A123</v>
          </cell>
          <cell r="C42">
            <v>0.625</v>
          </cell>
          <cell r="D42">
            <v>0.70833333333333337</v>
          </cell>
          <cell r="E42">
            <v>42570</v>
          </cell>
          <cell r="F42">
            <v>0.72222222222222221</v>
          </cell>
          <cell r="G42">
            <v>0.73263888888888884</v>
          </cell>
          <cell r="H42">
            <v>42570</v>
          </cell>
          <cell r="I42">
            <v>-8.0000000000000002E-3</v>
          </cell>
          <cell r="J42">
            <v>1.4999999999999999E-2</v>
          </cell>
          <cell r="K42">
            <v>-0.70899999999999996</v>
          </cell>
          <cell r="L42">
            <v>-1.081</v>
          </cell>
          <cell r="M42">
            <v>0.73958333333333337</v>
          </cell>
          <cell r="N42">
            <v>0.74652777777777779</v>
          </cell>
          <cell r="O42">
            <v>42570</v>
          </cell>
          <cell r="P42">
            <v>1.05</v>
          </cell>
          <cell r="Q42">
            <v>9</v>
          </cell>
          <cell r="R42">
            <v>23</v>
          </cell>
          <cell r="S42">
            <v>0</v>
          </cell>
          <cell r="T42">
            <v>0.86805555555555547</v>
          </cell>
          <cell r="U42">
            <v>42570</v>
          </cell>
          <cell r="V42">
            <v>20.7</v>
          </cell>
          <cell r="W42">
            <v>0.90972222222222221</v>
          </cell>
          <cell r="X42">
            <v>42570</v>
          </cell>
          <cell r="Y42">
            <v>23.9</v>
          </cell>
          <cell r="Z42">
            <v>0.9375</v>
          </cell>
          <cell r="AA42">
            <v>0.98958333333333337</v>
          </cell>
          <cell r="AB42">
            <v>42570</v>
          </cell>
          <cell r="AC42">
            <v>23.9</v>
          </cell>
          <cell r="AD42">
            <v>0.97916666666666663</v>
          </cell>
          <cell r="AE42">
            <v>0.98958333333333337</v>
          </cell>
          <cell r="AF42">
            <v>42570</v>
          </cell>
          <cell r="AG42">
            <v>3.125E-2</v>
          </cell>
          <cell r="AH42">
            <v>7.2916666666666671E-2</v>
          </cell>
          <cell r="AI42">
            <v>42571</v>
          </cell>
          <cell r="AJ42">
            <v>8.3333333333333329E-2</v>
          </cell>
          <cell r="AK42">
            <v>9.0277777777777776E-2</v>
          </cell>
          <cell r="AL42">
            <v>42571</v>
          </cell>
          <cell r="AM42">
            <v>1.05</v>
          </cell>
          <cell r="AN42">
            <v>9</v>
          </cell>
          <cell r="AO42">
            <v>23</v>
          </cell>
          <cell r="AP42">
            <v>0</v>
          </cell>
          <cell r="AQ42">
            <v>0.10069444444444443</v>
          </cell>
          <cell r="AR42">
            <v>0.1111111111111111</v>
          </cell>
          <cell r="AS42">
            <v>42571</v>
          </cell>
          <cell r="AT42">
            <v>23.9</v>
          </cell>
          <cell r="AU42">
            <v>0.11458333333333333</v>
          </cell>
          <cell r="AV42">
            <v>42571</v>
          </cell>
          <cell r="AW42">
            <v>0.27083333333333331</v>
          </cell>
          <cell r="AX42">
            <v>42571</v>
          </cell>
          <cell r="AY42">
            <v>6.6</v>
          </cell>
          <cell r="AZ42">
            <v>24</v>
          </cell>
        </row>
        <row r="43">
          <cell r="B43" t="str">
            <v>A35</v>
          </cell>
          <cell r="C43">
            <v>0.41666666666666669</v>
          </cell>
          <cell r="D43">
            <v>0.48958333333333331</v>
          </cell>
          <cell r="E43">
            <v>42571</v>
          </cell>
          <cell r="F43">
            <v>0.60416666666666663</v>
          </cell>
          <cell r="G43">
            <v>0.61111111111111105</v>
          </cell>
          <cell r="H43">
            <v>42571</v>
          </cell>
          <cell r="I43">
            <v>2E-3</v>
          </cell>
          <cell r="J43">
            <v>1.7999999999999999E-2</v>
          </cell>
          <cell r="K43">
            <v>-0.65500000000000003</v>
          </cell>
          <cell r="L43">
            <v>-0.83</v>
          </cell>
          <cell r="M43">
            <v>0.60416666666666663</v>
          </cell>
          <cell r="N43">
            <v>0.61111111111111105</v>
          </cell>
          <cell r="O43">
            <v>42571</v>
          </cell>
          <cell r="P43">
            <v>1.06</v>
          </cell>
          <cell r="Q43">
            <v>9</v>
          </cell>
          <cell r="R43">
            <v>23</v>
          </cell>
          <cell r="S43">
            <v>0</v>
          </cell>
          <cell r="T43">
            <v>0.68055555555555547</v>
          </cell>
          <cell r="U43">
            <v>42571</v>
          </cell>
          <cell r="V43">
            <v>21.2</v>
          </cell>
          <cell r="W43">
            <v>0.79166666666666663</v>
          </cell>
          <cell r="X43">
            <v>42571</v>
          </cell>
          <cell r="Y43">
            <v>23.85</v>
          </cell>
          <cell r="Z43">
            <v>0.82638888888888884</v>
          </cell>
          <cell r="AA43">
            <v>0.83333333333333337</v>
          </cell>
          <cell r="AB43">
            <v>42571</v>
          </cell>
          <cell r="AC43">
            <v>23.9</v>
          </cell>
          <cell r="AD43">
            <v>0.84375</v>
          </cell>
          <cell r="AE43">
            <v>0.85416666666666663</v>
          </cell>
          <cell r="AF43">
            <v>42571</v>
          </cell>
          <cell r="AG43">
            <v>0.86111111111111116</v>
          </cell>
          <cell r="AH43">
            <v>0.90277777777777779</v>
          </cell>
          <cell r="AI43">
            <v>42571</v>
          </cell>
          <cell r="AJ43">
            <v>0.91666666666666663</v>
          </cell>
          <cell r="AK43">
            <v>0.92708333333333337</v>
          </cell>
          <cell r="AL43">
            <v>42571</v>
          </cell>
          <cell r="AM43">
            <v>1.05</v>
          </cell>
          <cell r="AN43">
            <v>9</v>
          </cell>
          <cell r="AO43">
            <v>23</v>
          </cell>
          <cell r="AP43">
            <v>0</v>
          </cell>
          <cell r="AQ43">
            <v>8.3333333333333329E-2</v>
          </cell>
          <cell r="AR43">
            <v>8.6805555555555566E-2</v>
          </cell>
          <cell r="AS43">
            <v>42572</v>
          </cell>
          <cell r="AT43">
            <v>23.9</v>
          </cell>
          <cell r="AU43">
            <v>5.2083333333333336E-2</v>
          </cell>
          <cell r="AV43">
            <v>42572</v>
          </cell>
          <cell r="AW43">
            <v>0.11805555555555557</v>
          </cell>
          <cell r="AX43">
            <v>42572</v>
          </cell>
          <cell r="AY43">
            <v>7</v>
          </cell>
          <cell r="AZ43">
            <v>20</v>
          </cell>
        </row>
        <row r="44">
          <cell r="B44" t="str">
            <v>A147</v>
          </cell>
          <cell r="C44">
            <v>0.39583333333333331</v>
          </cell>
          <cell r="D44">
            <v>0.47916666666666669</v>
          </cell>
          <cell r="E44">
            <v>42569</v>
          </cell>
          <cell r="F44">
            <v>0.69791666666666663</v>
          </cell>
          <cell r="G44">
            <v>0.70833333333333337</v>
          </cell>
          <cell r="H44">
            <v>42569</v>
          </cell>
          <cell r="I44">
            <v>-1.2999999999999999E-2</v>
          </cell>
          <cell r="J44">
            <v>8.0000000000000002E-3</v>
          </cell>
          <cell r="K44">
            <v>-0.755</v>
          </cell>
          <cell r="L44">
            <v>-1.0840000000000001</v>
          </cell>
          <cell r="M44">
            <v>0.71527777777777779</v>
          </cell>
          <cell r="N44">
            <v>0.72222222222222221</v>
          </cell>
          <cell r="O44">
            <v>42569</v>
          </cell>
          <cell r="P44">
            <v>1.05</v>
          </cell>
          <cell r="Q44">
            <v>9</v>
          </cell>
          <cell r="R44">
            <v>23</v>
          </cell>
          <cell r="S44">
            <v>0</v>
          </cell>
          <cell r="T44">
            <v>0.33333333333333331</v>
          </cell>
          <cell r="U44">
            <v>42572</v>
          </cell>
          <cell r="V44">
            <v>21.3</v>
          </cell>
          <cell r="W44">
            <v>0.60416666666666663</v>
          </cell>
          <cell r="X44">
            <v>42572</v>
          </cell>
          <cell r="Y44">
            <v>31.55</v>
          </cell>
          <cell r="Z44">
            <v>0.83333333333333337</v>
          </cell>
          <cell r="AA44">
            <v>0.85416666666666663</v>
          </cell>
          <cell r="AB44">
            <v>42572</v>
          </cell>
          <cell r="AC44">
            <v>31.55</v>
          </cell>
          <cell r="AD44">
            <v>0.85763888888888884</v>
          </cell>
          <cell r="AE44">
            <v>0.86458333333333337</v>
          </cell>
          <cell r="AF44">
            <v>42572</v>
          </cell>
          <cell r="AG44">
            <v>0.86805555555555547</v>
          </cell>
          <cell r="AH44">
            <v>0.91319444444444453</v>
          </cell>
          <cell r="AI44">
            <v>42572</v>
          </cell>
          <cell r="AJ44">
            <v>0.92361111111111116</v>
          </cell>
          <cell r="AK44">
            <v>0.92708333333333337</v>
          </cell>
          <cell r="AL44">
            <v>42572</v>
          </cell>
          <cell r="AM44">
            <v>1.05</v>
          </cell>
          <cell r="AN44">
            <v>9</v>
          </cell>
          <cell r="AO44">
            <v>22</v>
          </cell>
          <cell r="AP44">
            <v>0</v>
          </cell>
          <cell r="AQ44">
            <v>0.94444444444444453</v>
          </cell>
          <cell r="AR44">
            <v>0.94791666666666663</v>
          </cell>
          <cell r="AS44">
            <v>42572</v>
          </cell>
          <cell r="AT44">
            <v>31.55</v>
          </cell>
          <cell r="AU44">
            <v>0.95486111111111116</v>
          </cell>
          <cell r="AV44">
            <v>42572</v>
          </cell>
          <cell r="AW44">
            <v>4.5138888888888888E-2</v>
          </cell>
          <cell r="AX44">
            <v>42573</v>
          </cell>
          <cell r="AY44">
            <v>6.8</v>
          </cell>
          <cell r="AZ44">
            <v>36</v>
          </cell>
        </row>
        <row r="45">
          <cell r="B45" t="str">
            <v>A36</v>
          </cell>
          <cell r="C45">
            <v>0.5</v>
          </cell>
          <cell r="D45">
            <v>0.58333333333333337</v>
          </cell>
          <cell r="E45">
            <v>42571</v>
          </cell>
          <cell r="F45">
            <v>0.59375</v>
          </cell>
          <cell r="G45">
            <v>0.60069444444444442</v>
          </cell>
          <cell r="H45">
            <v>42571</v>
          </cell>
          <cell r="I45">
            <v>-1.0999999999999999E-2</v>
          </cell>
          <cell r="J45">
            <v>-3.0000000000000001E-3</v>
          </cell>
          <cell r="K45">
            <v>-0.5</v>
          </cell>
          <cell r="L45">
            <v>-0.8</v>
          </cell>
          <cell r="M45">
            <v>0.60416666666666663</v>
          </cell>
          <cell r="N45">
            <v>0.61111111111111105</v>
          </cell>
          <cell r="O45">
            <v>42571</v>
          </cell>
          <cell r="P45">
            <v>1.06</v>
          </cell>
          <cell r="Q45">
            <v>9</v>
          </cell>
          <cell r="R45">
            <v>23</v>
          </cell>
          <cell r="S45">
            <v>0</v>
          </cell>
          <cell r="T45">
            <v>0.875</v>
          </cell>
          <cell r="U45">
            <v>42572</v>
          </cell>
          <cell r="V45">
            <v>20.8</v>
          </cell>
          <cell r="W45">
            <v>0.95833333333333337</v>
          </cell>
          <cell r="X45">
            <v>42572</v>
          </cell>
          <cell r="Y45">
            <v>24.1</v>
          </cell>
          <cell r="Z45">
            <v>4.1666666666666664E-2</v>
          </cell>
          <cell r="AA45">
            <v>6.9444444444444434E-2</v>
          </cell>
          <cell r="AB45">
            <v>42573</v>
          </cell>
          <cell r="AC45">
            <v>24.1</v>
          </cell>
          <cell r="AD45">
            <v>7.6388888888888895E-2</v>
          </cell>
          <cell r="AE45">
            <v>8.6805555555555566E-2</v>
          </cell>
          <cell r="AF45">
            <v>42573</v>
          </cell>
          <cell r="AG45">
            <v>9.1666666666666674E-2</v>
          </cell>
          <cell r="AH45">
            <v>0.11805555555555557</v>
          </cell>
          <cell r="AI45">
            <v>42573</v>
          </cell>
          <cell r="AJ45">
            <v>0.12152777777777778</v>
          </cell>
          <cell r="AK45">
            <v>0.125</v>
          </cell>
          <cell r="AL45">
            <v>42573</v>
          </cell>
          <cell r="AM45">
            <v>1.05</v>
          </cell>
          <cell r="AN45">
            <v>9</v>
          </cell>
          <cell r="AO45">
            <v>23</v>
          </cell>
          <cell r="AP45">
            <v>0</v>
          </cell>
          <cell r="AQ45">
            <v>0.13194444444444445</v>
          </cell>
          <cell r="AR45">
            <v>0.13541666666666666</v>
          </cell>
          <cell r="AS45">
            <v>42573</v>
          </cell>
          <cell r="AT45">
            <v>24.1</v>
          </cell>
          <cell r="AU45">
            <v>0.1388888888888889</v>
          </cell>
          <cell r="AV45">
            <v>42573</v>
          </cell>
          <cell r="AW45">
            <v>0.19652777777777777</v>
          </cell>
          <cell r="AX45">
            <v>42573</v>
          </cell>
          <cell r="AY45">
            <v>6.7</v>
          </cell>
          <cell r="AZ45">
            <v>22</v>
          </cell>
        </row>
        <row r="46">
          <cell r="B46" t="str">
            <v>A45</v>
          </cell>
          <cell r="C46">
            <v>0.60763888888888895</v>
          </cell>
          <cell r="D46">
            <v>0.6875</v>
          </cell>
          <cell r="E46">
            <v>42574</v>
          </cell>
          <cell r="F46">
            <v>0.69097222222222221</v>
          </cell>
          <cell r="G46">
            <v>0.70833333333333337</v>
          </cell>
          <cell r="H46">
            <v>42574</v>
          </cell>
          <cell r="I46">
            <v>-2.7E-2</v>
          </cell>
          <cell r="J46">
            <v>-0.01</v>
          </cell>
          <cell r="K46">
            <v>-0.76100000000000001</v>
          </cell>
          <cell r="L46">
            <v>-1.01</v>
          </cell>
          <cell r="M46">
            <v>0.71527777777777779</v>
          </cell>
          <cell r="N46">
            <v>0.72222222222222221</v>
          </cell>
          <cell r="O46">
            <v>42574</v>
          </cell>
          <cell r="P46">
            <v>1.06</v>
          </cell>
          <cell r="Q46">
            <v>9</v>
          </cell>
          <cell r="R46">
            <v>23</v>
          </cell>
          <cell r="S46">
            <v>0</v>
          </cell>
          <cell r="T46">
            <v>0.77083333333333337</v>
          </cell>
          <cell r="U46">
            <v>42574</v>
          </cell>
          <cell r="V46">
            <v>20.8</v>
          </cell>
          <cell r="W46">
            <v>0.94791666666666663</v>
          </cell>
          <cell r="X46">
            <v>42574</v>
          </cell>
          <cell r="Y46">
            <v>24.32</v>
          </cell>
          <cell r="Z46">
            <v>0.97916666666666663</v>
          </cell>
          <cell r="AA46">
            <v>3.472222222222222E-3</v>
          </cell>
          <cell r="AB46">
            <v>42575</v>
          </cell>
          <cell r="AC46">
            <v>24.32</v>
          </cell>
          <cell r="AD46">
            <v>3.472222222222222E-3</v>
          </cell>
          <cell r="AE46">
            <v>1.0416666666666666E-2</v>
          </cell>
          <cell r="AF46">
            <v>42575</v>
          </cell>
          <cell r="AG46">
            <v>1.3888888888888888E-2</v>
          </cell>
          <cell r="AH46">
            <v>4.1666666666666664E-2</v>
          </cell>
          <cell r="AI46">
            <v>42575</v>
          </cell>
          <cell r="AJ46">
            <v>8.3333333333333329E-2</v>
          </cell>
          <cell r="AK46">
            <v>9.0277777777777776E-2</v>
          </cell>
          <cell r="AL46">
            <v>42575</v>
          </cell>
          <cell r="AM46">
            <v>1.06</v>
          </cell>
          <cell r="AN46">
            <v>9</v>
          </cell>
          <cell r="AO46">
            <v>23</v>
          </cell>
          <cell r="AP46">
            <v>0</v>
          </cell>
          <cell r="AQ46">
            <v>0.125</v>
          </cell>
          <cell r="AR46">
            <v>0.12847222222222224</v>
          </cell>
          <cell r="AS46">
            <v>42575</v>
          </cell>
          <cell r="AT46">
            <v>24.32</v>
          </cell>
          <cell r="AU46">
            <v>0.13541666666666666</v>
          </cell>
          <cell r="AV46">
            <v>42575</v>
          </cell>
          <cell r="AW46">
            <v>0.1875</v>
          </cell>
          <cell r="AX46">
            <v>42575</v>
          </cell>
          <cell r="AY46">
            <v>6.8</v>
          </cell>
          <cell r="AZ46">
            <v>22</v>
          </cell>
        </row>
        <row r="47">
          <cell r="B47" t="str">
            <v>A37</v>
          </cell>
          <cell r="C47">
            <v>0.52083333333333337</v>
          </cell>
          <cell r="D47">
            <v>0.60416666666666663</v>
          </cell>
          <cell r="E47">
            <v>42574</v>
          </cell>
          <cell r="F47">
            <v>0.69097222222222221</v>
          </cell>
          <cell r="G47">
            <v>0.69791666666666663</v>
          </cell>
          <cell r="H47">
            <v>42574</v>
          </cell>
          <cell r="I47">
            <v>8.9999999999999993E-3</v>
          </cell>
          <cell r="J47">
            <v>-1.9E-2</v>
          </cell>
          <cell r="K47">
            <v>-0.69199999999999995</v>
          </cell>
          <cell r="L47">
            <v>-1.071</v>
          </cell>
          <cell r="M47">
            <v>0.70138888888888884</v>
          </cell>
          <cell r="N47">
            <v>0.70833333333333337</v>
          </cell>
          <cell r="O47">
            <v>42574</v>
          </cell>
          <cell r="P47">
            <v>1.06</v>
          </cell>
          <cell r="Q47">
            <v>9</v>
          </cell>
          <cell r="R47">
            <v>22</v>
          </cell>
          <cell r="S47">
            <v>0</v>
          </cell>
          <cell r="T47">
            <v>0.375</v>
          </cell>
          <cell r="U47">
            <v>42575</v>
          </cell>
          <cell r="V47">
            <v>21.5</v>
          </cell>
          <cell r="W47">
            <v>0.4375</v>
          </cell>
          <cell r="X47">
            <v>42575</v>
          </cell>
          <cell r="Y47">
            <v>23.81</v>
          </cell>
          <cell r="Z47">
            <v>0.54166666666666663</v>
          </cell>
          <cell r="AA47">
            <v>0.55208333333333337</v>
          </cell>
          <cell r="AB47">
            <v>42575</v>
          </cell>
          <cell r="AC47">
            <v>23.95</v>
          </cell>
          <cell r="AD47">
            <v>0.55902777777777779</v>
          </cell>
          <cell r="AE47">
            <v>0.56597222222222221</v>
          </cell>
          <cell r="AF47">
            <v>42575</v>
          </cell>
          <cell r="AG47">
            <v>0.57361111111111118</v>
          </cell>
          <cell r="AH47">
            <v>0.60416666666666663</v>
          </cell>
          <cell r="AI47">
            <v>42575</v>
          </cell>
          <cell r="AJ47">
            <v>0.61111111111111105</v>
          </cell>
          <cell r="AK47">
            <v>0.61805555555555558</v>
          </cell>
          <cell r="AL47">
            <v>42575</v>
          </cell>
          <cell r="AM47">
            <v>1.06</v>
          </cell>
          <cell r="AN47">
            <v>9</v>
          </cell>
          <cell r="AO47">
            <v>23</v>
          </cell>
          <cell r="AP47">
            <v>0</v>
          </cell>
          <cell r="AQ47">
            <v>0.71875</v>
          </cell>
          <cell r="AR47">
            <v>0.72222222222222221</v>
          </cell>
          <cell r="AS47">
            <v>42575</v>
          </cell>
          <cell r="AT47">
            <v>23.95</v>
          </cell>
          <cell r="AU47">
            <v>0.72916666666666663</v>
          </cell>
          <cell r="AV47">
            <v>42575</v>
          </cell>
          <cell r="AW47">
            <v>0.81944444444444453</v>
          </cell>
          <cell r="AX47">
            <v>42575</v>
          </cell>
          <cell r="AY47">
            <v>6.7</v>
          </cell>
          <cell r="AZ47">
            <v>23</v>
          </cell>
        </row>
        <row r="48">
          <cell r="B48" t="str">
            <v>A10</v>
          </cell>
          <cell r="C48">
            <v>0.39583333333333331</v>
          </cell>
          <cell r="D48">
            <v>0.47916666666666669</v>
          </cell>
          <cell r="E48">
            <v>42575</v>
          </cell>
          <cell r="F48">
            <v>0.54861111111111105</v>
          </cell>
          <cell r="G48">
            <v>0.55555555555555558</v>
          </cell>
          <cell r="H48">
            <v>42575</v>
          </cell>
          <cell r="I48">
            <v>-1.2999999999999999E-2</v>
          </cell>
          <cell r="J48">
            <v>2E-3</v>
          </cell>
          <cell r="K48">
            <v>-0.53</v>
          </cell>
          <cell r="L48">
            <v>-0.95</v>
          </cell>
          <cell r="M48">
            <v>0.58333333333333337</v>
          </cell>
          <cell r="N48">
            <v>0.59027777777777779</v>
          </cell>
          <cell r="O48">
            <v>42575</v>
          </cell>
          <cell r="P48">
            <v>1.05</v>
          </cell>
          <cell r="Q48">
            <v>9</v>
          </cell>
          <cell r="R48">
            <v>23</v>
          </cell>
          <cell r="S48">
            <v>0</v>
          </cell>
          <cell r="T48">
            <v>0.85416666666666663</v>
          </cell>
          <cell r="U48">
            <v>42576</v>
          </cell>
          <cell r="V48">
            <v>21.6</v>
          </cell>
          <cell r="W48">
            <v>0.90972222222222221</v>
          </cell>
          <cell r="X48">
            <v>42576</v>
          </cell>
          <cell r="Y48">
            <v>24.6</v>
          </cell>
          <cell r="Z48">
            <v>0.95833333333333337</v>
          </cell>
          <cell r="AA48">
            <v>0.96875</v>
          </cell>
          <cell r="AB48">
            <v>42576</v>
          </cell>
          <cell r="AC48">
            <v>24.85</v>
          </cell>
          <cell r="AD48">
            <v>0.97916666666666663</v>
          </cell>
          <cell r="AE48">
            <v>0.98958333333333337</v>
          </cell>
          <cell r="AF48">
            <v>42576</v>
          </cell>
          <cell r="AG48">
            <v>0</v>
          </cell>
          <cell r="AH48">
            <v>3.4722222222222224E-2</v>
          </cell>
          <cell r="AI48">
            <v>42577</v>
          </cell>
          <cell r="AJ48">
            <v>4.1666666666666664E-2</v>
          </cell>
          <cell r="AK48">
            <v>4.8611111111111112E-2</v>
          </cell>
          <cell r="AL48">
            <v>42577</v>
          </cell>
          <cell r="AM48">
            <v>1.06</v>
          </cell>
          <cell r="AN48">
            <v>9</v>
          </cell>
          <cell r="AO48">
            <v>22</v>
          </cell>
          <cell r="AP48">
            <v>0</v>
          </cell>
          <cell r="AQ48">
            <v>0.11805555555555557</v>
          </cell>
          <cell r="AR48">
            <v>0.12152777777777778</v>
          </cell>
          <cell r="AS48">
            <v>42577</v>
          </cell>
          <cell r="AT48">
            <v>24.85</v>
          </cell>
          <cell r="AU48">
            <v>0.12847222222222224</v>
          </cell>
          <cell r="AV48">
            <v>42577</v>
          </cell>
          <cell r="AW48">
            <v>0.15972222222222224</v>
          </cell>
          <cell r="AX48">
            <v>42577</v>
          </cell>
          <cell r="AY48">
            <v>7</v>
          </cell>
          <cell r="AZ48">
            <v>21</v>
          </cell>
        </row>
        <row r="49">
          <cell r="B49" t="str">
            <v>A149</v>
          </cell>
          <cell r="C49">
            <v>0.70833333333333337</v>
          </cell>
          <cell r="D49">
            <v>0.75</v>
          </cell>
          <cell r="E49">
            <v>42573</v>
          </cell>
          <cell r="F49">
            <v>0.76388888888888884</v>
          </cell>
          <cell r="G49">
            <v>0.77083333333333337</v>
          </cell>
          <cell r="H49">
            <v>42573</v>
          </cell>
          <cell r="I49">
            <v>1.4999999999999999E-2</v>
          </cell>
          <cell r="J49">
            <v>-8.0000000000000002E-3</v>
          </cell>
          <cell r="K49">
            <v>-0.69</v>
          </cell>
          <cell r="L49">
            <v>-1.0900000000000001</v>
          </cell>
          <cell r="M49">
            <v>0.77777777777777779</v>
          </cell>
          <cell r="N49">
            <v>0.78125</v>
          </cell>
          <cell r="O49">
            <v>42573</v>
          </cell>
          <cell r="P49">
            <v>1.06</v>
          </cell>
          <cell r="Q49">
            <v>9</v>
          </cell>
          <cell r="R49">
            <v>23</v>
          </cell>
          <cell r="S49">
            <v>0</v>
          </cell>
          <cell r="T49">
            <v>0.58333333333333337</v>
          </cell>
          <cell r="U49">
            <v>42574</v>
          </cell>
          <cell r="V49">
            <v>22</v>
          </cell>
          <cell r="W49">
            <v>0.61111111111111105</v>
          </cell>
          <cell r="X49">
            <v>42575</v>
          </cell>
          <cell r="Y49">
            <v>31.67</v>
          </cell>
          <cell r="Z49">
            <v>0.72222222222222221</v>
          </cell>
          <cell r="AA49">
            <v>0.73958333333333337</v>
          </cell>
          <cell r="AB49">
            <v>42576</v>
          </cell>
          <cell r="AC49">
            <v>32.35</v>
          </cell>
          <cell r="AD49">
            <v>0.75</v>
          </cell>
          <cell r="AE49">
            <v>0.76041666666666663</v>
          </cell>
          <cell r="AF49">
            <v>42576</v>
          </cell>
          <cell r="AG49">
            <v>0.77083333333333337</v>
          </cell>
          <cell r="AH49">
            <v>0.82638888888888884</v>
          </cell>
          <cell r="AI49">
            <v>42576</v>
          </cell>
          <cell r="AJ49">
            <v>0.83333333333333337</v>
          </cell>
          <cell r="AK49">
            <v>0.84027777777777779</v>
          </cell>
          <cell r="AL49">
            <v>42576</v>
          </cell>
          <cell r="AM49">
            <v>1.06</v>
          </cell>
          <cell r="AN49">
            <v>9</v>
          </cell>
          <cell r="AO49">
            <v>22</v>
          </cell>
          <cell r="AP49">
            <v>0</v>
          </cell>
          <cell r="AQ49">
            <v>0.96875</v>
          </cell>
          <cell r="AR49">
            <v>0.97222222222222221</v>
          </cell>
          <cell r="AS49">
            <v>42576</v>
          </cell>
          <cell r="AT49">
            <v>32.35</v>
          </cell>
          <cell r="AU49">
            <v>0.9604166666666667</v>
          </cell>
          <cell r="AV49">
            <v>42576</v>
          </cell>
          <cell r="AW49">
            <v>4.5138888888888888E-2</v>
          </cell>
          <cell r="AX49">
            <v>42577</v>
          </cell>
          <cell r="AY49">
            <v>6.7</v>
          </cell>
          <cell r="AZ49">
            <v>32</v>
          </cell>
        </row>
        <row r="50">
          <cell r="B50" t="str">
            <v>A44</v>
          </cell>
          <cell r="C50">
            <v>0.3125</v>
          </cell>
          <cell r="D50">
            <v>0.39583333333333331</v>
          </cell>
          <cell r="E50">
            <v>42577</v>
          </cell>
          <cell r="F50">
            <v>0.40277777777777773</v>
          </cell>
          <cell r="G50">
            <v>0.40972222222222227</v>
          </cell>
          <cell r="H50">
            <v>42577</v>
          </cell>
          <cell r="I50">
            <v>6.0000000000000001E-3</v>
          </cell>
          <cell r="J50">
            <v>-5.0000000000000001E-3</v>
          </cell>
          <cell r="K50">
            <v>-0.6</v>
          </cell>
          <cell r="L50">
            <v>-1.0369999999999999</v>
          </cell>
          <cell r="M50">
            <v>0.41666666666666669</v>
          </cell>
          <cell r="N50">
            <v>0.4236111111111111</v>
          </cell>
          <cell r="O50">
            <v>42577</v>
          </cell>
          <cell r="P50">
            <v>1.05</v>
          </cell>
          <cell r="Q50">
            <v>9</v>
          </cell>
          <cell r="R50">
            <v>23</v>
          </cell>
          <cell r="S50">
            <v>0</v>
          </cell>
          <cell r="T50">
            <v>0.64583333333333337</v>
          </cell>
          <cell r="U50">
            <v>42577</v>
          </cell>
          <cell r="V50">
            <v>22.2</v>
          </cell>
          <cell r="W50">
            <v>0.8125</v>
          </cell>
          <cell r="X50">
            <v>42577</v>
          </cell>
          <cell r="Y50">
            <v>24.3</v>
          </cell>
          <cell r="Z50">
            <v>0.84305555555555556</v>
          </cell>
          <cell r="AA50">
            <v>0.85416666666666663</v>
          </cell>
          <cell r="AB50">
            <v>42577</v>
          </cell>
          <cell r="AC50">
            <v>24.35</v>
          </cell>
          <cell r="AD50">
            <v>0.86111111111111116</v>
          </cell>
          <cell r="AE50">
            <v>0.86805555555555547</v>
          </cell>
          <cell r="AF50">
            <v>42577</v>
          </cell>
          <cell r="AG50">
            <v>0.875</v>
          </cell>
          <cell r="AH50">
            <v>0.90694444444444444</v>
          </cell>
          <cell r="AI50">
            <v>42577</v>
          </cell>
          <cell r="AJ50">
            <v>0.90972222222222221</v>
          </cell>
          <cell r="AK50">
            <v>0.91666666666666663</v>
          </cell>
          <cell r="AL50">
            <v>42577</v>
          </cell>
          <cell r="AM50">
            <v>1.05</v>
          </cell>
          <cell r="AN50">
            <v>9</v>
          </cell>
          <cell r="AO50">
            <v>22</v>
          </cell>
          <cell r="AP50">
            <v>0</v>
          </cell>
          <cell r="AQ50">
            <v>0</v>
          </cell>
          <cell r="AR50">
            <v>3.472222222222222E-3</v>
          </cell>
          <cell r="AS50">
            <v>42578</v>
          </cell>
          <cell r="AT50">
            <v>24.35</v>
          </cell>
          <cell r="AU50">
            <v>6.9444444444444441E-3</v>
          </cell>
          <cell r="AV50">
            <v>42578</v>
          </cell>
          <cell r="AW50">
            <v>2.7777777777777776E-2</v>
          </cell>
          <cell r="AX50">
            <v>42578</v>
          </cell>
          <cell r="AY50">
            <v>7</v>
          </cell>
          <cell r="AZ50">
            <v>21</v>
          </cell>
        </row>
        <row r="51">
          <cell r="B51" t="str">
            <v>A40</v>
          </cell>
          <cell r="C51">
            <v>0.42708333333333331</v>
          </cell>
          <cell r="D51">
            <v>0.5</v>
          </cell>
          <cell r="E51">
            <v>42572</v>
          </cell>
          <cell r="F51">
            <v>0.59375</v>
          </cell>
          <cell r="G51">
            <v>0.60416666666666663</v>
          </cell>
          <cell r="H51">
            <v>42572</v>
          </cell>
          <cell r="I51">
            <v>8.9999999999999993E-3</v>
          </cell>
          <cell r="J51">
            <v>-3.0000000000000001E-3</v>
          </cell>
          <cell r="K51">
            <v>-0.64</v>
          </cell>
          <cell r="L51">
            <v>-0.97699999999999998</v>
          </cell>
          <cell r="M51">
            <v>0.61111111111111105</v>
          </cell>
          <cell r="N51">
            <v>0.61458333333333337</v>
          </cell>
          <cell r="O51">
            <v>42572</v>
          </cell>
          <cell r="P51">
            <v>1.06</v>
          </cell>
          <cell r="Q51">
            <v>9</v>
          </cell>
          <cell r="R51">
            <v>23</v>
          </cell>
          <cell r="S51">
            <v>0</v>
          </cell>
          <cell r="T51">
            <v>0.70833333333333337</v>
          </cell>
          <cell r="U51">
            <v>42573</v>
          </cell>
          <cell r="V51">
            <v>21.7</v>
          </cell>
          <cell r="W51">
            <v>0.87847222222222221</v>
          </cell>
          <cell r="X51">
            <v>42577</v>
          </cell>
          <cell r="Y51">
            <v>32.5</v>
          </cell>
          <cell r="Z51">
            <v>0.91666666666666663</v>
          </cell>
          <cell r="AA51">
            <v>0.94097222222222221</v>
          </cell>
          <cell r="AB51">
            <v>42577</v>
          </cell>
          <cell r="AC51">
            <v>35.200000000000003</v>
          </cell>
          <cell r="AD51">
            <v>0.94791666666666663</v>
          </cell>
          <cell r="AE51">
            <v>0.95486111111111116</v>
          </cell>
          <cell r="AF51">
            <v>42577</v>
          </cell>
          <cell r="AG51">
            <v>0.96180555555555547</v>
          </cell>
          <cell r="AH51">
            <v>0.99305555555555547</v>
          </cell>
          <cell r="AI51">
            <v>42577</v>
          </cell>
          <cell r="AJ51">
            <v>1.3888888888888888E-2</v>
          </cell>
          <cell r="AK51">
            <v>2.0833333333333332E-2</v>
          </cell>
          <cell r="AL51">
            <v>42578</v>
          </cell>
          <cell r="AM51">
            <v>1.05</v>
          </cell>
          <cell r="AN51">
            <v>9</v>
          </cell>
          <cell r="AO51">
            <v>23</v>
          </cell>
          <cell r="AP51">
            <v>0</v>
          </cell>
          <cell r="AQ51">
            <v>0.16666666666666666</v>
          </cell>
          <cell r="AR51">
            <v>0.17013888888888887</v>
          </cell>
          <cell r="AS51">
            <v>42578</v>
          </cell>
          <cell r="AT51">
            <v>35.200000000000003</v>
          </cell>
          <cell r="AU51">
            <v>0.17361111111111113</v>
          </cell>
          <cell r="AV51">
            <v>42578</v>
          </cell>
          <cell r="AW51">
            <v>0.2986111111111111</v>
          </cell>
          <cell r="AX51">
            <v>42578</v>
          </cell>
          <cell r="AY51">
            <v>6.4</v>
          </cell>
          <cell r="AZ51">
            <v>47</v>
          </cell>
        </row>
        <row r="52">
          <cell r="B52" t="str">
            <v>A38</v>
          </cell>
          <cell r="C52">
            <v>0.58333333333333337</v>
          </cell>
          <cell r="D52">
            <v>0.66666666666666663</v>
          </cell>
          <cell r="E52">
            <v>42577</v>
          </cell>
          <cell r="F52">
            <v>0.72222222222222221</v>
          </cell>
          <cell r="G52">
            <v>0.72916666666666663</v>
          </cell>
          <cell r="H52">
            <v>42577</v>
          </cell>
          <cell r="I52">
            <v>-3.0000000000000001E-3</v>
          </cell>
          <cell r="J52">
            <v>7.0000000000000001E-3</v>
          </cell>
          <cell r="K52">
            <v>-0.47499999999999998</v>
          </cell>
          <cell r="L52">
            <v>-1.139</v>
          </cell>
          <cell r="M52">
            <v>0.73611111111111116</v>
          </cell>
          <cell r="N52">
            <v>0.74305555555555547</v>
          </cell>
          <cell r="O52">
            <v>42577</v>
          </cell>
          <cell r="P52">
            <v>1.05</v>
          </cell>
          <cell r="Q52">
            <v>9</v>
          </cell>
          <cell r="R52">
            <v>22</v>
          </cell>
          <cell r="S52">
            <v>0</v>
          </cell>
          <cell r="T52">
            <v>0.83333333333333337</v>
          </cell>
          <cell r="U52">
            <v>42577</v>
          </cell>
          <cell r="V52">
            <v>21.3</v>
          </cell>
          <cell r="W52">
            <v>0.45833333333333331</v>
          </cell>
          <cell r="X52">
            <v>42578</v>
          </cell>
          <cell r="Y52">
            <v>24</v>
          </cell>
          <cell r="Z52">
            <v>0.52083333333333337</v>
          </cell>
          <cell r="AA52">
            <v>0.53125</v>
          </cell>
          <cell r="AB52">
            <v>42578</v>
          </cell>
          <cell r="AC52">
            <v>24</v>
          </cell>
          <cell r="AD52">
            <v>0.53472222222222221</v>
          </cell>
          <cell r="AE52">
            <v>0.53819444444444442</v>
          </cell>
          <cell r="AF52">
            <v>42578</v>
          </cell>
          <cell r="AG52">
            <v>0.54166666666666663</v>
          </cell>
          <cell r="AH52">
            <v>0.59375</v>
          </cell>
          <cell r="AI52">
            <v>42578</v>
          </cell>
          <cell r="AJ52">
            <v>0.60416666666666663</v>
          </cell>
          <cell r="AK52">
            <v>0.61111111111111105</v>
          </cell>
          <cell r="AL52">
            <v>42578</v>
          </cell>
          <cell r="AM52">
            <v>1.05</v>
          </cell>
          <cell r="AN52">
            <v>9</v>
          </cell>
          <cell r="AO52">
            <v>22</v>
          </cell>
          <cell r="AP52">
            <v>0</v>
          </cell>
          <cell r="AQ52">
            <v>0.6118055555555556</v>
          </cell>
          <cell r="AR52">
            <v>0.61458333333333337</v>
          </cell>
          <cell r="AS52">
            <v>42578</v>
          </cell>
          <cell r="AT52">
            <v>24</v>
          </cell>
          <cell r="AU52">
            <v>0.64583333333333337</v>
          </cell>
          <cell r="AV52">
            <v>42578</v>
          </cell>
          <cell r="AW52">
            <v>0.69791666666666663</v>
          </cell>
          <cell r="AX52">
            <v>42578</v>
          </cell>
          <cell r="AY52">
            <v>7.9</v>
          </cell>
          <cell r="AZ52">
            <v>19</v>
          </cell>
        </row>
        <row r="53">
          <cell r="B53" t="str">
            <v>A153</v>
          </cell>
          <cell r="C53">
            <v>0.29166666666666669</v>
          </cell>
          <cell r="D53">
            <v>0.375</v>
          </cell>
          <cell r="E53">
            <v>42569</v>
          </cell>
          <cell r="F53">
            <v>0.71180555555555547</v>
          </cell>
          <cell r="G53">
            <v>0.71875</v>
          </cell>
          <cell r="H53">
            <v>42569</v>
          </cell>
          <cell r="I53">
            <v>1.4E-2</v>
          </cell>
          <cell r="J53">
            <v>-4.0000000000000001E-3</v>
          </cell>
          <cell r="K53">
            <v>-0.69399999999999995</v>
          </cell>
          <cell r="L53">
            <v>-0.92200000000000004</v>
          </cell>
          <cell r="M53">
            <v>0.33333333333333331</v>
          </cell>
          <cell r="N53">
            <v>0.34375</v>
          </cell>
          <cell r="O53">
            <v>42571</v>
          </cell>
          <cell r="P53">
            <v>1.05</v>
          </cell>
          <cell r="Q53">
            <v>9</v>
          </cell>
          <cell r="R53">
            <v>23</v>
          </cell>
          <cell r="S53">
            <v>0</v>
          </cell>
          <cell r="T53">
            <v>0.80208333333333337</v>
          </cell>
          <cell r="U53">
            <v>42571</v>
          </cell>
          <cell r="V53">
            <v>18.8</v>
          </cell>
          <cell r="W53">
            <v>0.75</v>
          </cell>
          <cell r="X53">
            <v>42580</v>
          </cell>
          <cell r="Y53">
            <v>31.6</v>
          </cell>
          <cell r="Z53">
            <v>0.77083333333333337</v>
          </cell>
          <cell r="AA53">
            <v>0.77777777777777779</v>
          </cell>
          <cell r="AB53">
            <v>42580</v>
          </cell>
          <cell r="AC53">
            <v>31.6</v>
          </cell>
          <cell r="AD53">
            <v>0.55902777777777779</v>
          </cell>
          <cell r="AE53">
            <v>0.56597222222222221</v>
          </cell>
          <cell r="AF53">
            <v>42580</v>
          </cell>
          <cell r="AG53">
            <v>0.8125</v>
          </cell>
          <cell r="AH53">
            <v>0.85138888888888886</v>
          </cell>
          <cell r="AI53">
            <v>42580</v>
          </cell>
          <cell r="AJ53">
            <v>0.86111111111111116</v>
          </cell>
          <cell r="AK53">
            <v>0.86805555555555547</v>
          </cell>
          <cell r="AL53">
            <v>42580</v>
          </cell>
          <cell r="AM53">
            <v>1.06</v>
          </cell>
          <cell r="AN53">
            <v>9</v>
          </cell>
          <cell r="AO53">
            <v>23</v>
          </cell>
          <cell r="AP53">
            <v>0</v>
          </cell>
          <cell r="AQ53">
            <v>0.88194444444444453</v>
          </cell>
          <cell r="AR53">
            <v>0.88541666666666663</v>
          </cell>
          <cell r="AS53">
            <v>42580</v>
          </cell>
          <cell r="AT53">
            <v>31.6</v>
          </cell>
          <cell r="AU53">
            <v>0.89583333333333337</v>
          </cell>
          <cell r="AV53">
            <v>42580</v>
          </cell>
          <cell r="AW53">
            <v>3.7499999999999999E-2</v>
          </cell>
          <cell r="AX53">
            <v>42581</v>
          </cell>
          <cell r="AY53">
            <v>7</v>
          </cell>
          <cell r="AZ53">
            <v>44</v>
          </cell>
        </row>
        <row r="54">
          <cell r="B54" t="str">
            <v>A52</v>
          </cell>
          <cell r="C54">
            <v>0.40625</v>
          </cell>
          <cell r="D54">
            <v>0.48958333333333331</v>
          </cell>
          <cell r="E54">
            <v>42580</v>
          </cell>
          <cell r="F54">
            <v>0.58333333333333337</v>
          </cell>
          <cell r="G54">
            <v>0.59375</v>
          </cell>
          <cell r="H54">
            <v>42580</v>
          </cell>
          <cell r="I54">
            <v>1.4999999999999999E-2</v>
          </cell>
          <cell r="J54">
            <v>1.7999999999999999E-2</v>
          </cell>
          <cell r="K54">
            <v>-0.6</v>
          </cell>
          <cell r="L54">
            <v>-0.97699999999999998</v>
          </cell>
          <cell r="M54">
            <v>0.60416666666666663</v>
          </cell>
          <cell r="N54">
            <v>0.61111111111111105</v>
          </cell>
          <cell r="O54">
            <v>42580</v>
          </cell>
          <cell r="P54">
            <v>1.05</v>
          </cell>
          <cell r="Q54">
            <v>9</v>
          </cell>
          <cell r="R54">
            <v>23</v>
          </cell>
          <cell r="S54">
            <v>0</v>
          </cell>
          <cell r="T54">
            <v>0.75</v>
          </cell>
          <cell r="U54">
            <v>42580</v>
          </cell>
          <cell r="V54">
            <v>21.9</v>
          </cell>
          <cell r="W54">
            <v>0.87152777777777779</v>
          </cell>
          <cell r="X54">
            <v>42580</v>
          </cell>
          <cell r="Y54">
            <v>24.3</v>
          </cell>
          <cell r="Z54">
            <v>0.90277777777777779</v>
          </cell>
          <cell r="AA54">
            <v>0.91527777777777775</v>
          </cell>
          <cell r="AB54">
            <v>42580</v>
          </cell>
          <cell r="AC54">
            <v>24.3</v>
          </cell>
          <cell r="AD54">
            <v>3.472222222222222E-3</v>
          </cell>
          <cell r="AE54">
            <v>1.3888888888888888E-2</v>
          </cell>
          <cell r="AF54">
            <v>42581</v>
          </cell>
          <cell r="AG54">
            <v>2.0833333333333332E-2</v>
          </cell>
          <cell r="AH54">
            <v>5.9027777777777783E-2</v>
          </cell>
          <cell r="AI54">
            <v>42581</v>
          </cell>
          <cell r="AJ54">
            <v>0.20833333333333334</v>
          </cell>
          <cell r="AK54">
            <v>0.21180555555555555</v>
          </cell>
          <cell r="AL54">
            <v>42581</v>
          </cell>
          <cell r="AM54">
            <v>1.06</v>
          </cell>
          <cell r="AN54">
            <v>9</v>
          </cell>
          <cell r="AO54">
            <v>23</v>
          </cell>
          <cell r="AP54">
            <v>0</v>
          </cell>
          <cell r="AQ54">
            <v>0.21527777777777779</v>
          </cell>
          <cell r="AR54">
            <v>0.21875</v>
          </cell>
          <cell r="AS54">
            <v>42581</v>
          </cell>
          <cell r="AT54">
            <v>24.3</v>
          </cell>
          <cell r="AU54">
            <v>0.22222222222222221</v>
          </cell>
          <cell r="AV54">
            <v>42581</v>
          </cell>
          <cell r="AW54">
            <v>0.27430555555555552</v>
          </cell>
          <cell r="AX54">
            <v>42581</v>
          </cell>
          <cell r="AY54">
            <v>6.7</v>
          </cell>
          <cell r="AZ54">
            <v>21.5</v>
          </cell>
        </row>
        <row r="55">
          <cell r="B55" t="str">
            <v>A150</v>
          </cell>
          <cell r="C55">
            <v>0.58333333333333337</v>
          </cell>
          <cell r="D55">
            <v>0.66666666666666663</v>
          </cell>
          <cell r="E55">
            <v>42575</v>
          </cell>
          <cell r="F55">
            <v>0.6875</v>
          </cell>
          <cell r="G55">
            <v>0.69791666666666663</v>
          </cell>
          <cell r="H55">
            <v>42575</v>
          </cell>
          <cell r="I55">
            <v>-1.9E-2</v>
          </cell>
          <cell r="J55">
            <v>2.3E-2</v>
          </cell>
          <cell r="K55">
            <v>-0.65</v>
          </cell>
          <cell r="L55">
            <v>-1.101</v>
          </cell>
          <cell r="M55">
            <v>0.70833333333333337</v>
          </cell>
          <cell r="N55">
            <v>0.71875</v>
          </cell>
          <cell r="O55">
            <v>42575</v>
          </cell>
          <cell r="P55">
            <v>1.06</v>
          </cell>
          <cell r="Q55">
            <v>9</v>
          </cell>
          <cell r="R55">
            <v>23</v>
          </cell>
          <cell r="S55">
            <v>0</v>
          </cell>
          <cell r="T55">
            <v>0.84027777777777779</v>
          </cell>
          <cell r="U55">
            <v>42578</v>
          </cell>
          <cell r="V55">
            <v>22.8</v>
          </cell>
          <cell r="W55">
            <v>0.76041666666666663</v>
          </cell>
          <cell r="X55">
            <v>42581</v>
          </cell>
          <cell r="Y55">
            <v>31.65</v>
          </cell>
          <cell r="Z55">
            <v>0.79513888888888884</v>
          </cell>
          <cell r="AA55">
            <v>0.8125</v>
          </cell>
          <cell r="AB55">
            <v>42581</v>
          </cell>
          <cell r="AC55">
            <v>31.65</v>
          </cell>
          <cell r="AD55">
            <v>0.82638888888888884</v>
          </cell>
          <cell r="AE55">
            <v>0.83333333333333337</v>
          </cell>
          <cell r="AF55">
            <v>42581</v>
          </cell>
          <cell r="AG55">
            <v>0.85416666666666663</v>
          </cell>
          <cell r="AH55">
            <v>0.89930555555555547</v>
          </cell>
          <cell r="AI55">
            <v>42581</v>
          </cell>
          <cell r="AJ55">
            <v>0.90277777777777779</v>
          </cell>
          <cell r="AK55">
            <v>0.90972222222222221</v>
          </cell>
          <cell r="AL55">
            <v>42581</v>
          </cell>
          <cell r="AM55">
            <v>1.06</v>
          </cell>
          <cell r="AN55">
            <v>9</v>
          </cell>
          <cell r="AO55">
            <v>23</v>
          </cell>
          <cell r="AP55">
            <v>0</v>
          </cell>
          <cell r="AQ55">
            <v>0.94444444444444453</v>
          </cell>
          <cell r="AR55">
            <v>0.94791666666666663</v>
          </cell>
          <cell r="AS55">
            <v>42581</v>
          </cell>
          <cell r="AT55">
            <v>31.65</v>
          </cell>
          <cell r="AU55">
            <v>0.95138888888888884</v>
          </cell>
          <cell r="AV55">
            <v>42581</v>
          </cell>
          <cell r="AW55">
            <v>3.4722222222222224E-2</v>
          </cell>
          <cell r="AX55">
            <v>42582</v>
          </cell>
          <cell r="AY55">
            <v>7</v>
          </cell>
          <cell r="AZ55">
            <v>33.5</v>
          </cell>
        </row>
        <row r="56">
          <cell r="B56" t="str">
            <v>A62</v>
          </cell>
          <cell r="C56">
            <v>0.65625</v>
          </cell>
          <cell r="D56">
            <v>0.73958333333333337</v>
          </cell>
          <cell r="E56">
            <v>42581</v>
          </cell>
          <cell r="F56">
            <v>0.76041666666666663</v>
          </cell>
          <cell r="G56">
            <v>0.77083333333333337</v>
          </cell>
          <cell r="H56">
            <v>42581</v>
          </cell>
          <cell r="I56">
            <v>-2.3E-2</v>
          </cell>
          <cell r="J56">
            <v>1.4E-2</v>
          </cell>
          <cell r="K56">
            <v>-0.68</v>
          </cell>
          <cell r="L56">
            <v>-1.012</v>
          </cell>
          <cell r="M56">
            <v>0.79166666666666663</v>
          </cell>
          <cell r="N56">
            <v>0.80208333333333337</v>
          </cell>
          <cell r="O56">
            <v>42581</v>
          </cell>
          <cell r="P56">
            <v>1.05</v>
          </cell>
          <cell r="Q56">
            <v>9</v>
          </cell>
          <cell r="R56">
            <v>22</v>
          </cell>
          <cell r="S56">
            <v>0</v>
          </cell>
          <cell r="T56">
            <v>0.89583333333333337</v>
          </cell>
          <cell r="U56">
            <v>42581</v>
          </cell>
          <cell r="V56">
            <v>21.4</v>
          </cell>
          <cell r="W56">
            <v>0.96180555555555547</v>
          </cell>
          <cell r="X56">
            <v>42581</v>
          </cell>
          <cell r="Y56">
            <v>24.22</v>
          </cell>
          <cell r="Z56">
            <v>0.99305555555555547</v>
          </cell>
          <cell r="AA56">
            <v>1.3888888888888888E-2</v>
          </cell>
          <cell r="AB56">
            <v>42582</v>
          </cell>
          <cell r="AC56">
            <v>24.22</v>
          </cell>
          <cell r="AD56">
            <v>2.0833333333333332E-2</v>
          </cell>
          <cell r="AE56">
            <v>3.125E-2</v>
          </cell>
          <cell r="AF56">
            <v>42582</v>
          </cell>
          <cell r="AG56">
            <v>4.1666666666666664E-2</v>
          </cell>
          <cell r="AH56">
            <v>8.0555555555555561E-2</v>
          </cell>
          <cell r="AI56">
            <v>42582</v>
          </cell>
          <cell r="AJ56">
            <v>8.3333333333333329E-2</v>
          </cell>
          <cell r="AK56">
            <v>9.0277777777777776E-2</v>
          </cell>
          <cell r="AL56">
            <v>42582</v>
          </cell>
          <cell r="AM56">
            <v>1.06</v>
          </cell>
          <cell r="AN56">
            <v>9</v>
          </cell>
          <cell r="AO56">
            <v>23</v>
          </cell>
          <cell r="AP56">
            <v>0</v>
          </cell>
          <cell r="AQ56">
            <v>0.13541666666666666</v>
          </cell>
          <cell r="AR56">
            <v>0.1388888888888889</v>
          </cell>
          <cell r="AS56">
            <v>42582</v>
          </cell>
          <cell r="AT56">
            <v>24.22</v>
          </cell>
          <cell r="AU56">
            <v>0.1423611111111111</v>
          </cell>
          <cell r="AV56">
            <v>42582</v>
          </cell>
          <cell r="AW56">
            <v>0.16319444444444445</v>
          </cell>
          <cell r="AX56">
            <v>42582</v>
          </cell>
          <cell r="AY56">
            <v>6.6</v>
          </cell>
          <cell r="AZ56">
            <v>20</v>
          </cell>
        </row>
        <row r="57">
          <cell r="B57" t="str">
            <v>A41</v>
          </cell>
          <cell r="C57">
            <v>0.35416666666666669</v>
          </cell>
          <cell r="D57">
            <v>0.39583333333333331</v>
          </cell>
          <cell r="E57">
            <v>42581</v>
          </cell>
          <cell r="F57">
            <v>0.39930555555555558</v>
          </cell>
          <cell r="G57">
            <v>0.41319444444444442</v>
          </cell>
          <cell r="H57">
            <v>42581</v>
          </cell>
          <cell r="I57">
            <v>-2.1000000000000001E-2</v>
          </cell>
          <cell r="J57">
            <v>-1.2999999999999999E-2</v>
          </cell>
          <cell r="K57">
            <v>-0.52500000000000002</v>
          </cell>
          <cell r="L57">
            <v>-1.0720000000000001</v>
          </cell>
          <cell r="M57">
            <v>0.41666666666666669</v>
          </cell>
          <cell r="N57">
            <v>0.4201388888888889</v>
          </cell>
          <cell r="O57">
            <v>42581</v>
          </cell>
          <cell r="P57">
            <v>1.05</v>
          </cell>
          <cell r="Q57">
            <v>9</v>
          </cell>
          <cell r="R57">
            <v>23</v>
          </cell>
          <cell r="S57">
            <v>0</v>
          </cell>
          <cell r="T57">
            <v>0.51041666666666663</v>
          </cell>
          <cell r="U57">
            <v>42581</v>
          </cell>
          <cell r="V57">
            <v>24</v>
          </cell>
          <cell r="W57">
            <v>0.40625</v>
          </cell>
          <cell r="X57">
            <v>42582</v>
          </cell>
          <cell r="Y57">
            <v>31.8</v>
          </cell>
          <cell r="Z57">
            <v>0.4375</v>
          </cell>
          <cell r="AA57">
            <v>0.47916666666666669</v>
          </cell>
          <cell r="AB57">
            <v>42582</v>
          </cell>
          <cell r="AC57">
            <v>31.8</v>
          </cell>
          <cell r="AD57">
            <v>0.46527777777777773</v>
          </cell>
          <cell r="AE57">
            <v>0.47916666666666669</v>
          </cell>
          <cell r="AF57">
            <v>42582</v>
          </cell>
          <cell r="AG57">
            <v>0.48958333333333331</v>
          </cell>
          <cell r="AH57">
            <v>0.60416666666666663</v>
          </cell>
          <cell r="AI57">
            <v>42582</v>
          </cell>
          <cell r="AJ57">
            <v>0.60763888888888895</v>
          </cell>
          <cell r="AK57">
            <v>0.61111111111111105</v>
          </cell>
          <cell r="AL57">
            <v>42582</v>
          </cell>
          <cell r="AM57">
            <v>1.05</v>
          </cell>
          <cell r="AN57">
            <v>9</v>
          </cell>
          <cell r="AO57">
            <v>23</v>
          </cell>
          <cell r="AP57">
            <v>0</v>
          </cell>
          <cell r="AQ57">
            <v>0.61111111111111105</v>
          </cell>
          <cell r="AR57">
            <v>0.61458333333333337</v>
          </cell>
          <cell r="AS57">
            <v>42582</v>
          </cell>
          <cell r="AT57">
            <v>31.8</v>
          </cell>
          <cell r="AU57">
            <v>0.62847222222222221</v>
          </cell>
          <cell r="AV57">
            <v>42582</v>
          </cell>
          <cell r="AW57">
            <v>0.66319444444444442</v>
          </cell>
          <cell r="AX57">
            <v>42582</v>
          </cell>
          <cell r="AY57">
            <v>6.8</v>
          </cell>
          <cell r="AZ57">
            <v>32</v>
          </cell>
        </row>
        <row r="58">
          <cell r="B58" t="str">
            <v>A61</v>
          </cell>
          <cell r="C58">
            <v>0.66666666666666663</v>
          </cell>
          <cell r="D58">
            <v>0.75</v>
          </cell>
          <cell r="E58">
            <v>42583</v>
          </cell>
          <cell r="F58">
            <v>0.76041666666666663</v>
          </cell>
          <cell r="G58">
            <v>0.77083333333333337</v>
          </cell>
          <cell r="H58">
            <v>42583</v>
          </cell>
          <cell r="I58">
            <v>-1.6E-2</v>
          </cell>
          <cell r="J58">
            <v>1.2E-2</v>
          </cell>
          <cell r="K58">
            <v>-0.3</v>
          </cell>
          <cell r="L58">
            <v>-0.93500000000000005</v>
          </cell>
          <cell r="M58">
            <v>0.88888888888888884</v>
          </cell>
          <cell r="N58">
            <v>0.89236111111111116</v>
          </cell>
          <cell r="O58">
            <v>42583</v>
          </cell>
          <cell r="P58">
            <v>1.05</v>
          </cell>
          <cell r="Q58">
            <v>9</v>
          </cell>
          <cell r="R58">
            <v>23</v>
          </cell>
          <cell r="S58">
            <v>0</v>
          </cell>
          <cell r="T58">
            <v>0.85416666666666663</v>
          </cell>
          <cell r="U58">
            <v>42583</v>
          </cell>
          <cell r="V58">
            <v>21.2</v>
          </cell>
          <cell r="W58">
            <v>0.22916666666666666</v>
          </cell>
          <cell r="X58">
            <v>42584</v>
          </cell>
          <cell r="Y58">
            <v>24.8</v>
          </cell>
          <cell r="Z58">
            <v>0.28125</v>
          </cell>
          <cell r="AA58">
            <v>0.28472222222222221</v>
          </cell>
          <cell r="AB58">
            <v>42584</v>
          </cell>
          <cell r="AC58">
            <v>24.8</v>
          </cell>
          <cell r="AD58">
            <v>0.30555555555555552</v>
          </cell>
          <cell r="AE58">
            <v>0.3125</v>
          </cell>
          <cell r="AF58">
            <v>42584</v>
          </cell>
          <cell r="AG58">
            <v>0.33333333333333331</v>
          </cell>
          <cell r="AH58">
            <v>0.36805555555555558</v>
          </cell>
          <cell r="AI58">
            <v>42584</v>
          </cell>
          <cell r="AJ58">
            <v>0.58333333333333337</v>
          </cell>
          <cell r="AK58">
            <v>0.58680555555555558</v>
          </cell>
          <cell r="AL58">
            <v>42584</v>
          </cell>
          <cell r="AM58">
            <v>1.05</v>
          </cell>
          <cell r="AN58">
            <v>9</v>
          </cell>
          <cell r="AO58">
            <v>22</v>
          </cell>
          <cell r="AP58">
            <v>0</v>
          </cell>
          <cell r="AQ58">
            <v>0.59027777777777779</v>
          </cell>
          <cell r="AR58">
            <v>0.59375</v>
          </cell>
          <cell r="AS58">
            <v>42584</v>
          </cell>
          <cell r="AT58">
            <v>24.8</v>
          </cell>
          <cell r="AU58">
            <v>0.59722222222222221</v>
          </cell>
          <cell r="AV58">
            <v>42584</v>
          </cell>
          <cell r="AW58">
            <v>0.61805555555555558</v>
          </cell>
          <cell r="AX58">
            <v>42584</v>
          </cell>
          <cell r="AY58">
            <v>7</v>
          </cell>
          <cell r="AZ58">
            <v>21.5</v>
          </cell>
        </row>
        <row r="59">
          <cell r="B59" t="str">
            <v>A152</v>
          </cell>
          <cell r="C59">
            <v>0.41666666666666669</v>
          </cell>
          <cell r="D59">
            <v>0.5</v>
          </cell>
          <cell r="E59">
            <v>42582</v>
          </cell>
          <cell r="F59">
            <v>0.61458333333333337</v>
          </cell>
          <cell r="G59">
            <v>0.625</v>
          </cell>
          <cell r="H59">
            <v>42582</v>
          </cell>
          <cell r="I59">
            <v>0.02</v>
          </cell>
          <cell r="J59">
            <v>1.4E-2</v>
          </cell>
          <cell r="K59">
            <v>-0.64500000000000002</v>
          </cell>
          <cell r="L59">
            <v>-1.0960000000000001</v>
          </cell>
          <cell r="M59">
            <v>0.63541666666666663</v>
          </cell>
          <cell r="N59">
            <v>0.63888888888888895</v>
          </cell>
          <cell r="O59">
            <v>42582</v>
          </cell>
          <cell r="P59">
            <v>1.05</v>
          </cell>
          <cell r="Q59">
            <v>9</v>
          </cell>
          <cell r="R59">
            <v>23</v>
          </cell>
          <cell r="S59">
            <v>0</v>
          </cell>
          <cell r="T59">
            <v>0.70138888888888884</v>
          </cell>
          <cell r="U59">
            <v>42582</v>
          </cell>
          <cell r="V59">
            <v>20.100000000000001</v>
          </cell>
          <cell r="W59">
            <v>0.83333333333333337</v>
          </cell>
          <cell r="X59">
            <v>42584</v>
          </cell>
          <cell r="Y59">
            <v>31.65</v>
          </cell>
          <cell r="Z59">
            <v>0.86458333333333337</v>
          </cell>
          <cell r="AA59">
            <v>0.88541666666666663</v>
          </cell>
          <cell r="AB59">
            <v>42584</v>
          </cell>
          <cell r="AC59">
            <v>31.68</v>
          </cell>
          <cell r="AD59">
            <v>0.92708333333333337</v>
          </cell>
          <cell r="AE59">
            <v>0.9375</v>
          </cell>
          <cell r="AF59">
            <v>42584</v>
          </cell>
          <cell r="AG59">
            <v>0.94444444444444453</v>
          </cell>
          <cell r="AH59">
            <v>2.0833333333333332E-2</v>
          </cell>
          <cell r="AI59">
            <v>42585</v>
          </cell>
          <cell r="AJ59">
            <v>0.15972222222222224</v>
          </cell>
          <cell r="AK59">
            <v>0.16319444444444445</v>
          </cell>
          <cell r="AL59">
            <v>42585</v>
          </cell>
          <cell r="AM59">
            <v>1.06</v>
          </cell>
          <cell r="AN59">
            <v>9</v>
          </cell>
          <cell r="AO59">
            <v>23</v>
          </cell>
          <cell r="AP59">
            <v>0</v>
          </cell>
          <cell r="AQ59">
            <v>0.17361111111111113</v>
          </cell>
          <cell r="AR59">
            <v>0.17708333333333334</v>
          </cell>
          <cell r="AS59">
            <v>42585</v>
          </cell>
          <cell r="AT59">
            <v>31.68</v>
          </cell>
          <cell r="AU59">
            <v>0.1875</v>
          </cell>
          <cell r="AV59">
            <v>42585</v>
          </cell>
          <cell r="AW59">
            <v>0.28472222222222221</v>
          </cell>
          <cell r="AX59">
            <v>42585</v>
          </cell>
          <cell r="AY59">
            <v>6.5</v>
          </cell>
          <cell r="AZ59">
            <v>32</v>
          </cell>
        </row>
        <row r="60">
          <cell r="B60" t="str">
            <v>A53</v>
          </cell>
          <cell r="C60">
            <v>0.54166666666666663</v>
          </cell>
          <cell r="D60">
            <v>0.63541666666666663</v>
          </cell>
          <cell r="E60">
            <v>42584</v>
          </cell>
          <cell r="F60">
            <v>0.71180555555555547</v>
          </cell>
          <cell r="G60">
            <v>0.71875</v>
          </cell>
          <cell r="H60">
            <v>42584</v>
          </cell>
          <cell r="I60">
            <v>1.7000000000000001E-2</v>
          </cell>
          <cell r="J60">
            <v>1.6E-2</v>
          </cell>
          <cell r="K60">
            <v>-0.44</v>
          </cell>
          <cell r="L60">
            <v>-1.01</v>
          </cell>
          <cell r="M60">
            <v>0.6875</v>
          </cell>
          <cell r="N60">
            <v>0.69791666666666663</v>
          </cell>
          <cell r="O60">
            <v>42584</v>
          </cell>
          <cell r="P60">
            <v>1.05</v>
          </cell>
          <cell r="Q60">
            <v>9</v>
          </cell>
          <cell r="R60">
            <v>20</v>
          </cell>
          <cell r="S60">
            <v>0</v>
          </cell>
          <cell r="T60">
            <v>0.94444444444444453</v>
          </cell>
          <cell r="U60">
            <v>42584</v>
          </cell>
          <cell r="V60">
            <v>21.5</v>
          </cell>
          <cell r="W60">
            <v>0.4513888888888889</v>
          </cell>
          <cell r="X60">
            <v>42585</v>
          </cell>
          <cell r="Y60">
            <v>24.5</v>
          </cell>
          <cell r="Z60">
            <v>0.45833333333333331</v>
          </cell>
          <cell r="AA60">
            <v>0.47222222222222227</v>
          </cell>
          <cell r="AB60">
            <v>42585</v>
          </cell>
          <cell r="AC60">
            <v>24.5</v>
          </cell>
          <cell r="AD60">
            <v>0.47916666666666669</v>
          </cell>
          <cell r="AE60">
            <v>0.48958333333333331</v>
          </cell>
          <cell r="AF60">
            <v>42585</v>
          </cell>
          <cell r="AG60">
            <v>0.51388888888888895</v>
          </cell>
          <cell r="AH60">
            <v>0.55555555555555558</v>
          </cell>
          <cell r="AI60">
            <v>42585</v>
          </cell>
          <cell r="AJ60">
            <v>0.75694444444444453</v>
          </cell>
          <cell r="AK60">
            <v>0.76041666666666663</v>
          </cell>
          <cell r="AL60">
            <v>42585</v>
          </cell>
          <cell r="AM60">
            <v>1.06</v>
          </cell>
          <cell r="AN60">
            <v>9</v>
          </cell>
          <cell r="AO60">
            <v>24</v>
          </cell>
          <cell r="AP60">
            <v>0</v>
          </cell>
          <cell r="AQ60">
            <v>0.76388888888888884</v>
          </cell>
          <cell r="AR60">
            <v>0.76736111111111116</v>
          </cell>
          <cell r="AS60">
            <v>42585</v>
          </cell>
          <cell r="AT60">
            <v>24.5</v>
          </cell>
          <cell r="AU60">
            <v>0.77083333333333337</v>
          </cell>
          <cell r="AV60">
            <v>42585</v>
          </cell>
          <cell r="AW60">
            <v>0.82638888888888884</v>
          </cell>
          <cell r="AX60">
            <v>42585</v>
          </cell>
          <cell r="AY60">
            <v>6.8</v>
          </cell>
          <cell r="AZ60">
            <v>23.5</v>
          </cell>
        </row>
        <row r="61">
          <cell r="B61" t="str">
            <v>A48</v>
          </cell>
          <cell r="C61">
            <v>0.58333333333333337</v>
          </cell>
          <cell r="D61">
            <v>0.66666666666666663</v>
          </cell>
          <cell r="E61">
            <v>42585</v>
          </cell>
          <cell r="F61">
            <v>0.6875</v>
          </cell>
          <cell r="G61">
            <v>0.70833333333333337</v>
          </cell>
          <cell r="H61">
            <v>42585</v>
          </cell>
          <cell r="I61">
            <v>-1.4E-2</v>
          </cell>
          <cell r="J61">
            <v>2.8000000000000001E-2</v>
          </cell>
          <cell r="K61">
            <v>-0.64500000000000002</v>
          </cell>
          <cell r="L61">
            <v>-0.80600000000000005</v>
          </cell>
          <cell r="M61">
            <v>0.71527777777777779</v>
          </cell>
          <cell r="N61">
            <v>0.72222222222222221</v>
          </cell>
          <cell r="O61">
            <v>42585</v>
          </cell>
          <cell r="P61">
            <v>1.06</v>
          </cell>
          <cell r="Q61">
            <v>9</v>
          </cell>
          <cell r="R61">
            <v>23</v>
          </cell>
          <cell r="S61">
            <v>0</v>
          </cell>
          <cell r="T61">
            <v>0.77777777777777779</v>
          </cell>
          <cell r="U61">
            <v>42585</v>
          </cell>
          <cell r="V61">
            <v>22.4</v>
          </cell>
          <cell r="W61">
            <v>0.45833333333333331</v>
          </cell>
          <cell r="X61">
            <v>42586</v>
          </cell>
          <cell r="Y61">
            <v>31.7</v>
          </cell>
          <cell r="Z61">
            <v>0.50347222222222221</v>
          </cell>
          <cell r="AA61">
            <v>0.52083333333333337</v>
          </cell>
          <cell r="AB61">
            <v>42586</v>
          </cell>
          <cell r="AC61">
            <v>31.75</v>
          </cell>
          <cell r="AD61">
            <v>0.54166666666666663</v>
          </cell>
          <cell r="AE61">
            <v>0.54861111111111105</v>
          </cell>
          <cell r="AF61">
            <v>42586</v>
          </cell>
          <cell r="AG61">
            <v>0.5625</v>
          </cell>
          <cell r="AH61">
            <v>0.60763888888888895</v>
          </cell>
          <cell r="AI61">
            <v>42586</v>
          </cell>
          <cell r="AJ61">
            <v>0.77083333333333337</v>
          </cell>
          <cell r="AK61">
            <v>0.77777777777777779</v>
          </cell>
          <cell r="AL61">
            <v>42586</v>
          </cell>
          <cell r="AM61">
            <v>1.06</v>
          </cell>
          <cell r="AN61">
            <v>9</v>
          </cell>
          <cell r="AO61">
            <v>23</v>
          </cell>
          <cell r="AP61">
            <v>0</v>
          </cell>
          <cell r="AQ61">
            <v>0.78472222222222221</v>
          </cell>
          <cell r="AR61">
            <v>0.78819444444444453</v>
          </cell>
          <cell r="AS61">
            <v>42586</v>
          </cell>
          <cell r="AT61">
            <v>31.75</v>
          </cell>
          <cell r="AU61">
            <v>0.79166666666666663</v>
          </cell>
          <cell r="AV61">
            <v>42586</v>
          </cell>
          <cell r="AW61">
            <v>0.83680555555555547</v>
          </cell>
          <cell r="AX61">
            <v>42586</v>
          </cell>
          <cell r="AY61">
            <v>7</v>
          </cell>
          <cell r="AZ61">
            <v>30</v>
          </cell>
        </row>
        <row r="62">
          <cell r="B62" t="str">
            <v>A9</v>
          </cell>
          <cell r="C62">
            <v>0.59375</v>
          </cell>
          <cell r="D62">
            <v>0.67708333333333337</v>
          </cell>
          <cell r="E62">
            <v>42592</v>
          </cell>
          <cell r="F62">
            <v>0.6875</v>
          </cell>
          <cell r="G62">
            <v>0.69444444444444453</v>
          </cell>
          <cell r="H62">
            <v>42592</v>
          </cell>
          <cell r="I62">
            <v>-8.0000000000000002E-3</v>
          </cell>
          <cell r="J62">
            <v>-1.2E-2</v>
          </cell>
          <cell r="K62">
            <v>-0.47</v>
          </cell>
          <cell r="L62">
            <v>-0.88500000000000001</v>
          </cell>
          <cell r="M62">
            <v>0.70833333333333337</v>
          </cell>
          <cell r="N62">
            <v>0.71527777777777779</v>
          </cell>
          <cell r="O62">
            <v>42592</v>
          </cell>
          <cell r="P62">
            <v>1.06</v>
          </cell>
          <cell r="Q62">
            <v>9</v>
          </cell>
          <cell r="R62">
            <v>23</v>
          </cell>
          <cell r="S62">
            <v>0</v>
          </cell>
          <cell r="T62">
            <v>0.77083333333333337</v>
          </cell>
          <cell r="U62">
            <v>42592</v>
          </cell>
          <cell r="V62">
            <v>22.7</v>
          </cell>
          <cell r="W62">
            <v>0.85416666666666663</v>
          </cell>
          <cell r="X62">
            <v>42592</v>
          </cell>
          <cell r="Y62">
            <v>24.8</v>
          </cell>
          <cell r="Z62">
            <v>0.89236111111111116</v>
          </cell>
          <cell r="AA62">
            <v>0.92013888888888884</v>
          </cell>
          <cell r="AB62">
            <v>42592</v>
          </cell>
          <cell r="AC62">
            <v>24.8</v>
          </cell>
          <cell r="AD62">
            <v>0.91319444444444453</v>
          </cell>
          <cell r="AE62">
            <v>0.92013888888888884</v>
          </cell>
          <cell r="AF62">
            <v>42592</v>
          </cell>
          <cell r="AG62">
            <v>0.9375</v>
          </cell>
          <cell r="AH62">
            <v>0.98958333333333337</v>
          </cell>
          <cell r="AI62">
            <v>42592</v>
          </cell>
          <cell r="AJ62">
            <v>2.7777777777777776E-2</v>
          </cell>
          <cell r="AK62">
            <v>3.4722222222222224E-2</v>
          </cell>
          <cell r="AL62">
            <v>42592</v>
          </cell>
          <cell r="AM62">
            <v>1.06</v>
          </cell>
          <cell r="AN62">
            <v>9</v>
          </cell>
          <cell r="AO62">
            <v>24</v>
          </cell>
          <cell r="AP62">
            <v>0</v>
          </cell>
          <cell r="AQ62">
            <v>4.5138888888888888E-2</v>
          </cell>
          <cell r="AR62">
            <v>4.8611111111111112E-2</v>
          </cell>
          <cell r="AS62">
            <v>42593</v>
          </cell>
          <cell r="AT62">
            <v>24.8</v>
          </cell>
          <cell r="AU62">
            <v>5.2777777777777778E-2</v>
          </cell>
          <cell r="AV62">
            <v>42593</v>
          </cell>
          <cell r="AW62">
            <v>6.9444444444444434E-2</v>
          </cell>
          <cell r="AX62">
            <v>42593</v>
          </cell>
          <cell r="AY62">
            <v>7</v>
          </cell>
          <cell r="AZ62">
            <v>21</v>
          </cell>
        </row>
        <row r="63">
          <cell r="B63" t="str">
            <v>A131</v>
          </cell>
          <cell r="C63">
            <v>0.60416666666666663</v>
          </cell>
          <cell r="D63">
            <v>0.6875</v>
          </cell>
          <cell r="E63">
            <v>42586</v>
          </cell>
          <cell r="F63">
            <v>0.70138888888888884</v>
          </cell>
          <cell r="G63">
            <v>17</v>
          </cell>
          <cell r="H63">
            <v>42586</v>
          </cell>
          <cell r="I63">
            <v>-2.7E-2</v>
          </cell>
          <cell r="J63">
            <v>2E-3</v>
          </cell>
          <cell r="K63">
            <v>-0.46</v>
          </cell>
          <cell r="L63">
            <v>-0.98599999999999999</v>
          </cell>
          <cell r="M63">
            <v>0.71875</v>
          </cell>
          <cell r="N63">
            <v>0.72569444444444453</v>
          </cell>
          <cell r="O63">
            <v>42586</v>
          </cell>
          <cell r="P63">
            <v>1.06</v>
          </cell>
          <cell r="Q63">
            <v>9</v>
          </cell>
          <cell r="R63">
            <v>24</v>
          </cell>
          <cell r="S63">
            <v>0</v>
          </cell>
          <cell r="T63">
            <v>0.77083333333333337</v>
          </cell>
          <cell r="U63">
            <v>42586</v>
          </cell>
          <cell r="V63">
            <v>20</v>
          </cell>
          <cell r="W63">
            <v>0.78125</v>
          </cell>
          <cell r="X63">
            <v>42593</v>
          </cell>
          <cell r="Y63">
            <v>30.72</v>
          </cell>
          <cell r="Z63">
            <v>0.82638888888888884</v>
          </cell>
          <cell r="AA63">
            <v>0.88194444444444453</v>
          </cell>
          <cell r="AB63">
            <v>42593</v>
          </cell>
          <cell r="AC63">
            <v>30.75</v>
          </cell>
          <cell r="AD63">
            <v>0.84375</v>
          </cell>
          <cell r="AE63">
            <v>0.85069444444444453</v>
          </cell>
          <cell r="AF63">
            <v>42593</v>
          </cell>
          <cell r="AG63">
            <v>0.85763888888888884</v>
          </cell>
          <cell r="AH63">
            <v>0.88888888888888884</v>
          </cell>
          <cell r="AI63">
            <v>42593</v>
          </cell>
          <cell r="AJ63">
            <v>0.97222222222222221</v>
          </cell>
          <cell r="AK63">
            <v>0.97569444444444453</v>
          </cell>
          <cell r="AL63">
            <v>42593</v>
          </cell>
          <cell r="AM63">
            <v>1.06</v>
          </cell>
          <cell r="AN63">
            <v>9</v>
          </cell>
          <cell r="AO63">
            <v>23</v>
          </cell>
          <cell r="AP63">
            <v>0</v>
          </cell>
          <cell r="AQ63">
            <v>0.97916666666666663</v>
          </cell>
          <cell r="AR63">
            <v>0.98263888888888884</v>
          </cell>
          <cell r="AS63">
            <v>42593</v>
          </cell>
          <cell r="AT63">
            <v>30.75</v>
          </cell>
          <cell r="AU63">
            <v>0.98611111111111116</v>
          </cell>
          <cell r="AV63">
            <v>42593</v>
          </cell>
          <cell r="AW63">
            <v>4.8611111111111112E-2</v>
          </cell>
          <cell r="AX63">
            <v>42594</v>
          </cell>
          <cell r="AY63">
            <v>6.8</v>
          </cell>
          <cell r="AZ63">
            <v>34</v>
          </cell>
        </row>
        <row r="64">
          <cell r="B64" t="str">
            <v>A39</v>
          </cell>
          <cell r="C64">
            <v>0.67361111111111116</v>
          </cell>
          <cell r="D64">
            <v>0.75694444444444453</v>
          </cell>
          <cell r="E64">
            <v>42580</v>
          </cell>
          <cell r="F64">
            <v>0.76388888888888884</v>
          </cell>
          <cell r="G64">
            <v>0.77083333333333337</v>
          </cell>
          <cell r="H64">
            <v>42580</v>
          </cell>
          <cell r="I64">
            <v>-1.6E-2</v>
          </cell>
          <cell r="J64">
            <v>-2.1000000000000001E-2</v>
          </cell>
          <cell r="K64">
            <v>-0.68300000000000005</v>
          </cell>
          <cell r="L64">
            <v>-1.081</v>
          </cell>
          <cell r="M64">
            <v>0.33333333333333331</v>
          </cell>
          <cell r="N64">
            <v>0.34375</v>
          </cell>
          <cell r="O64">
            <v>42581</v>
          </cell>
          <cell r="P64">
            <v>1.05</v>
          </cell>
          <cell r="Q64">
            <v>9</v>
          </cell>
          <cell r="R64">
            <v>24</v>
          </cell>
          <cell r="S64">
            <v>0</v>
          </cell>
          <cell r="T64">
            <v>0.51041666666666663</v>
          </cell>
          <cell r="U64">
            <v>42581</v>
          </cell>
          <cell r="V64">
            <v>22.25</v>
          </cell>
          <cell r="W64">
            <v>0.75347222222222221</v>
          </cell>
          <cell r="X64">
            <v>42594</v>
          </cell>
          <cell r="Y64">
            <v>35.6</v>
          </cell>
          <cell r="Z64">
            <v>0.79166666666666663</v>
          </cell>
          <cell r="AA64">
            <v>0.81944444444444453</v>
          </cell>
          <cell r="AB64">
            <v>42594</v>
          </cell>
          <cell r="AC64">
            <v>35.65</v>
          </cell>
          <cell r="AD64">
            <v>0.83333333333333337</v>
          </cell>
          <cell r="AE64">
            <v>0.84027777777777779</v>
          </cell>
          <cell r="AF64">
            <v>42594</v>
          </cell>
          <cell r="AG64">
            <v>0.85416666666666663</v>
          </cell>
          <cell r="AH64">
            <v>0.90277777777777779</v>
          </cell>
          <cell r="AI64">
            <v>42594</v>
          </cell>
          <cell r="AJ64">
            <v>0.93055555555555547</v>
          </cell>
          <cell r="AK64">
            <v>0.9375</v>
          </cell>
          <cell r="AL64">
            <v>42594</v>
          </cell>
          <cell r="AM64">
            <v>1.06</v>
          </cell>
          <cell r="AN64">
            <v>9</v>
          </cell>
          <cell r="AO64">
            <v>22</v>
          </cell>
          <cell r="AP64">
            <v>0</v>
          </cell>
          <cell r="AQ64">
            <v>0.9375</v>
          </cell>
          <cell r="AR64">
            <v>0.94791666666666663</v>
          </cell>
          <cell r="AS64">
            <v>42594</v>
          </cell>
          <cell r="AT64">
            <v>35.65</v>
          </cell>
          <cell r="AU64">
            <v>0.96875</v>
          </cell>
          <cell r="AV64">
            <v>42594</v>
          </cell>
          <cell r="AW64">
            <v>7.3611111111111113E-2</v>
          </cell>
          <cell r="AX64">
            <v>42595</v>
          </cell>
          <cell r="AY64">
            <v>7.9</v>
          </cell>
          <cell r="AZ64">
            <v>43.5</v>
          </cell>
        </row>
        <row r="65">
          <cell r="B65" t="str">
            <v>A60</v>
          </cell>
          <cell r="C65">
            <v>0.60416666666666663</v>
          </cell>
          <cell r="D65">
            <v>0.66666666666666663</v>
          </cell>
          <cell r="E65">
            <v>42655</v>
          </cell>
          <cell r="F65">
            <v>0.67361111111111116</v>
          </cell>
          <cell r="G65">
            <v>0.68055555555555547</v>
          </cell>
          <cell r="H65">
            <v>42655</v>
          </cell>
          <cell r="I65">
            <v>-2.5000000000000001E-2</v>
          </cell>
          <cell r="J65">
            <v>-8.0000000000000002E-3</v>
          </cell>
          <cell r="K65">
            <v>-0.38</v>
          </cell>
          <cell r="L65">
            <v>-0.76800000000000002</v>
          </cell>
          <cell r="M65">
            <v>0.53472222222222221</v>
          </cell>
          <cell r="N65">
            <v>0.5625</v>
          </cell>
          <cell r="O65">
            <v>42657</v>
          </cell>
          <cell r="P65">
            <v>1.05</v>
          </cell>
          <cell r="Q65">
            <v>9</v>
          </cell>
          <cell r="R65">
            <v>24</v>
          </cell>
          <cell r="S65">
            <v>0</v>
          </cell>
          <cell r="T65">
            <v>0.58333333333333337</v>
          </cell>
          <cell r="U65">
            <v>42657</v>
          </cell>
          <cell r="V65">
            <v>20.399999999999999</v>
          </cell>
          <cell r="W65">
            <v>0.82291666666666663</v>
          </cell>
          <cell r="X65">
            <v>42657</v>
          </cell>
          <cell r="Y65">
            <v>25.15</v>
          </cell>
          <cell r="Z65">
            <v>0.86458333333333337</v>
          </cell>
          <cell r="AA65">
            <v>0.87847222222222221</v>
          </cell>
          <cell r="AB65">
            <v>42657</v>
          </cell>
          <cell r="AC65">
            <v>25.2</v>
          </cell>
          <cell r="AD65">
            <v>0.88541666666666663</v>
          </cell>
          <cell r="AE65">
            <v>0.89583333333333337</v>
          </cell>
          <cell r="AF65">
            <v>42657</v>
          </cell>
          <cell r="AG65">
            <v>0.91666666666666663</v>
          </cell>
          <cell r="AH65">
            <v>0.97916666666666663</v>
          </cell>
          <cell r="AI65">
            <v>42657</v>
          </cell>
          <cell r="AJ65">
            <v>0.98263888888888884</v>
          </cell>
          <cell r="AK65">
            <v>0.98611111111111116</v>
          </cell>
          <cell r="AL65">
            <v>42657</v>
          </cell>
          <cell r="AM65">
            <v>1.05</v>
          </cell>
          <cell r="AN65">
            <v>9</v>
          </cell>
          <cell r="AO65">
            <v>24</v>
          </cell>
          <cell r="AP65">
            <v>0</v>
          </cell>
          <cell r="AQ65">
            <v>6.25E-2</v>
          </cell>
          <cell r="AR65">
            <v>6.5972222222222224E-2</v>
          </cell>
          <cell r="AS65">
            <v>42658</v>
          </cell>
          <cell r="AT65">
            <v>25.2</v>
          </cell>
          <cell r="AU65">
            <v>7.6388888888888895E-2</v>
          </cell>
          <cell r="AV65">
            <v>42658</v>
          </cell>
          <cell r="AW65">
            <v>0.16666666666666666</v>
          </cell>
          <cell r="AX65">
            <v>42658</v>
          </cell>
          <cell r="AY65">
            <v>7.32</v>
          </cell>
          <cell r="AZ65">
            <v>23.5</v>
          </cell>
        </row>
        <row r="66">
          <cell r="B66" t="str">
            <v>B39</v>
          </cell>
          <cell r="C66">
            <v>0.53125</v>
          </cell>
          <cell r="D66">
            <v>0.59722222222222221</v>
          </cell>
          <cell r="E66">
            <v>42657</v>
          </cell>
          <cell r="F66">
            <v>0.60416666666666663</v>
          </cell>
          <cell r="G66">
            <v>0.61458333333333337</v>
          </cell>
          <cell r="H66">
            <v>42657</v>
          </cell>
          <cell r="I66">
            <v>-1.9E-2</v>
          </cell>
          <cell r="J66">
            <v>1E-3</v>
          </cell>
          <cell r="K66">
            <v>-0.64300000000000002</v>
          </cell>
          <cell r="L66">
            <v>-0.83399999999999996</v>
          </cell>
          <cell r="M66">
            <v>0.625</v>
          </cell>
          <cell r="N66">
            <v>0.63194444444444442</v>
          </cell>
          <cell r="O66">
            <v>42657</v>
          </cell>
          <cell r="P66">
            <v>1.05</v>
          </cell>
          <cell r="Q66">
            <v>9</v>
          </cell>
          <cell r="R66">
            <v>22</v>
          </cell>
          <cell r="S66">
            <v>0</v>
          </cell>
          <cell r="T66">
            <v>0.68055555555555547</v>
          </cell>
          <cell r="U66">
            <v>42657</v>
          </cell>
          <cell r="V66">
            <v>25</v>
          </cell>
          <cell r="W66">
            <v>0.86458333333333337</v>
          </cell>
          <cell r="X66">
            <v>42657</v>
          </cell>
          <cell r="Y66">
            <v>26.85</v>
          </cell>
          <cell r="Z66">
            <v>9.0277777777777776E-2</v>
          </cell>
          <cell r="AA66">
            <v>0.1076388888888889</v>
          </cell>
          <cell r="AB66">
            <v>42658</v>
          </cell>
          <cell r="AC66">
            <v>27.14</v>
          </cell>
          <cell r="AD66">
            <v>0.11805555555555557</v>
          </cell>
          <cell r="AE66">
            <v>0.12152777777777778</v>
          </cell>
          <cell r="AF66">
            <v>42658</v>
          </cell>
          <cell r="AG66">
            <v>0.125</v>
          </cell>
          <cell r="AH66">
            <v>0.19791666666666666</v>
          </cell>
          <cell r="AI66">
            <v>42658</v>
          </cell>
          <cell r="AJ66">
            <v>0.25</v>
          </cell>
          <cell r="AK66">
            <v>0.25347222222222221</v>
          </cell>
          <cell r="AL66">
            <v>42658</v>
          </cell>
          <cell r="AM66">
            <v>1.06</v>
          </cell>
          <cell r="AN66">
            <v>9</v>
          </cell>
          <cell r="AO66">
            <v>23</v>
          </cell>
          <cell r="AP66">
            <v>0</v>
          </cell>
          <cell r="AQ66">
            <v>0.26041666666666669</v>
          </cell>
          <cell r="AR66">
            <v>0.2638888888888889</v>
          </cell>
          <cell r="AS66">
            <v>42658</v>
          </cell>
          <cell r="AT66">
            <v>27.14</v>
          </cell>
          <cell r="AU66">
            <v>0.27083333333333331</v>
          </cell>
          <cell r="AV66">
            <v>42658</v>
          </cell>
          <cell r="AW66">
            <v>0.2951388888888889</v>
          </cell>
          <cell r="AX66">
            <v>42658</v>
          </cell>
          <cell r="AY66">
            <v>5.2</v>
          </cell>
          <cell r="AZ66">
            <v>12</v>
          </cell>
        </row>
        <row r="67">
          <cell r="B67" t="str">
            <v>B33</v>
          </cell>
          <cell r="C67">
            <v>0.38541666666666669</v>
          </cell>
          <cell r="D67">
            <v>0.42708333333333331</v>
          </cell>
          <cell r="E67">
            <v>42658</v>
          </cell>
          <cell r="F67">
            <v>0.4375</v>
          </cell>
          <cell r="G67">
            <v>0.44791666666666669</v>
          </cell>
          <cell r="H67">
            <v>42658</v>
          </cell>
          <cell r="I67">
            <v>-4.0000000000000001E-3</v>
          </cell>
          <cell r="J67">
            <v>-1.9E-2</v>
          </cell>
          <cell r="K67">
            <v>-0.79500000000000004</v>
          </cell>
          <cell r="L67">
            <v>-1.1850000000000001</v>
          </cell>
          <cell r="M67">
            <v>0.4513888888888889</v>
          </cell>
          <cell r="N67">
            <v>0.44791666666666669</v>
          </cell>
          <cell r="O67">
            <v>42658</v>
          </cell>
          <cell r="P67">
            <v>1.06</v>
          </cell>
          <cell r="Q67">
            <v>9</v>
          </cell>
          <cell r="R67">
            <v>22</v>
          </cell>
          <cell r="S67">
            <v>0</v>
          </cell>
          <cell r="T67">
            <v>0.54166666666666663</v>
          </cell>
          <cell r="U67">
            <v>42658</v>
          </cell>
          <cell r="V67">
            <v>22.3</v>
          </cell>
          <cell r="W67">
            <v>0</v>
          </cell>
          <cell r="X67">
            <v>0</v>
          </cell>
          <cell r="Y67">
            <v>26.7</v>
          </cell>
          <cell r="Z67">
            <v>0.52083333333333337</v>
          </cell>
          <cell r="AA67">
            <v>0.54513888888888895</v>
          </cell>
          <cell r="AB67">
            <v>0</v>
          </cell>
          <cell r="AC67">
            <v>26.85</v>
          </cell>
          <cell r="AD67">
            <v>0.55208333333333337</v>
          </cell>
          <cell r="AE67">
            <v>0.5625</v>
          </cell>
          <cell r="AF67">
            <v>0</v>
          </cell>
          <cell r="AG67">
            <v>0.58333333333333337</v>
          </cell>
          <cell r="AH67">
            <v>0.63888888888888895</v>
          </cell>
          <cell r="AI67">
            <v>0</v>
          </cell>
          <cell r="AJ67">
            <v>0.86805555555555547</v>
          </cell>
          <cell r="AK67">
            <v>0.87152777777777779</v>
          </cell>
          <cell r="AL67">
            <v>0</v>
          </cell>
          <cell r="AM67">
            <v>1.06</v>
          </cell>
          <cell r="AN67">
            <v>9</v>
          </cell>
          <cell r="AO67">
            <v>22</v>
          </cell>
          <cell r="AP67">
            <v>0</v>
          </cell>
          <cell r="AQ67">
            <v>0.90277777777777779</v>
          </cell>
          <cell r="AR67">
            <v>0.90625</v>
          </cell>
          <cell r="AS67">
            <v>0</v>
          </cell>
          <cell r="AT67">
            <v>26.85</v>
          </cell>
          <cell r="AU67">
            <v>0.90972222222222221</v>
          </cell>
          <cell r="AV67">
            <v>0</v>
          </cell>
          <cell r="AW67">
            <v>0.93055555555555547</v>
          </cell>
          <cell r="AX67">
            <v>0</v>
          </cell>
          <cell r="AY67">
            <v>4.3</v>
          </cell>
          <cell r="AZ67">
            <v>13.5</v>
          </cell>
        </row>
        <row r="68">
          <cell r="B68" t="str">
            <v>A43</v>
          </cell>
          <cell r="C68">
            <v>0.39583333333333331</v>
          </cell>
          <cell r="D68">
            <v>0.45833333333333331</v>
          </cell>
          <cell r="E68">
            <v>42657</v>
          </cell>
          <cell r="F68">
            <v>0.61458333333333337</v>
          </cell>
          <cell r="G68">
            <v>0.62152777777777779</v>
          </cell>
          <cell r="H68">
            <v>42657</v>
          </cell>
          <cell r="I68">
            <v>6.0000000000000001E-3</v>
          </cell>
          <cell r="J68">
            <v>-1.2E-2</v>
          </cell>
          <cell r="K68">
            <v>-0.77</v>
          </cell>
          <cell r="L68">
            <v>-1.012</v>
          </cell>
          <cell r="M68">
            <v>0.625</v>
          </cell>
          <cell r="N68">
            <v>0.63194444444444442</v>
          </cell>
          <cell r="O68">
            <v>42657</v>
          </cell>
          <cell r="P68">
            <v>1.05</v>
          </cell>
          <cell r="Q68">
            <v>9</v>
          </cell>
          <cell r="R68">
            <v>23</v>
          </cell>
          <cell r="S68">
            <v>0</v>
          </cell>
          <cell r="T68">
            <v>0.70833333333333337</v>
          </cell>
          <cell r="U68">
            <v>42657</v>
          </cell>
          <cell r="V68">
            <v>22.45</v>
          </cell>
          <cell r="W68">
            <v>0.74305555555555547</v>
          </cell>
          <cell r="X68">
            <v>42659</v>
          </cell>
          <cell r="Y68">
            <v>31.45</v>
          </cell>
          <cell r="Z68">
            <v>0.95833333333333337</v>
          </cell>
          <cell r="AA68">
            <v>0.97916666666666663</v>
          </cell>
          <cell r="AB68">
            <v>42659</v>
          </cell>
          <cell r="AC68">
            <v>31.6</v>
          </cell>
          <cell r="AD68">
            <v>0.98611111111111116</v>
          </cell>
          <cell r="AE68">
            <v>0.98958333333333337</v>
          </cell>
          <cell r="AF68">
            <v>42659</v>
          </cell>
          <cell r="AG68">
            <v>0.99305555555555547</v>
          </cell>
          <cell r="AH68">
            <v>4.8611111111111112E-2</v>
          </cell>
          <cell r="AI68">
            <v>42660</v>
          </cell>
          <cell r="AJ68">
            <v>5.2083333333333336E-2</v>
          </cell>
          <cell r="AK68">
            <v>5.5555555555555552E-2</v>
          </cell>
          <cell r="AL68">
            <v>42660</v>
          </cell>
          <cell r="AM68">
            <v>1.05</v>
          </cell>
          <cell r="AN68">
            <v>9</v>
          </cell>
          <cell r="AO68">
            <v>23</v>
          </cell>
          <cell r="AP68">
            <v>0</v>
          </cell>
          <cell r="AQ68">
            <v>5.9027777777777783E-2</v>
          </cell>
          <cell r="AR68">
            <v>6.25E-2</v>
          </cell>
          <cell r="AS68">
            <v>42660</v>
          </cell>
          <cell r="AT68">
            <v>31.6</v>
          </cell>
          <cell r="AU68">
            <v>6.5972222222222224E-2</v>
          </cell>
          <cell r="AV68">
            <v>42660</v>
          </cell>
          <cell r="AW68">
            <v>0.21180555555555555</v>
          </cell>
          <cell r="AX68">
            <v>42660</v>
          </cell>
          <cell r="AY68">
            <v>7.1</v>
          </cell>
          <cell r="AZ68">
            <v>34</v>
          </cell>
        </row>
        <row r="69">
          <cell r="B69" t="str">
            <v>B31</v>
          </cell>
          <cell r="C69">
            <v>0.33333333333333331</v>
          </cell>
          <cell r="D69">
            <v>0.375</v>
          </cell>
          <cell r="E69">
            <v>42658</v>
          </cell>
          <cell r="F69">
            <v>0.46180555555555558</v>
          </cell>
          <cell r="G69">
            <v>0.47222222222222227</v>
          </cell>
          <cell r="H69">
            <v>42658</v>
          </cell>
          <cell r="I69">
            <v>2.5999999999999999E-2</v>
          </cell>
          <cell r="J69">
            <v>1.4999999999999999E-2</v>
          </cell>
          <cell r="K69">
            <v>-0.84299999999999997</v>
          </cell>
          <cell r="L69">
            <v>-1.0369999999999999</v>
          </cell>
          <cell r="M69">
            <v>0.47916666666666669</v>
          </cell>
          <cell r="N69">
            <v>0.4861111111111111</v>
          </cell>
          <cell r="O69">
            <v>42660</v>
          </cell>
          <cell r="P69">
            <v>1.05</v>
          </cell>
          <cell r="Q69">
            <v>9</v>
          </cell>
          <cell r="R69">
            <v>23</v>
          </cell>
          <cell r="S69">
            <v>0</v>
          </cell>
          <cell r="T69">
            <v>0.77083333333333337</v>
          </cell>
          <cell r="U69">
            <v>42660</v>
          </cell>
          <cell r="V69">
            <v>23.8</v>
          </cell>
          <cell r="W69">
            <v>0.80208333333333337</v>
          </cell>
          <cell r="X69">
            <v>42660</v>
          </cell>
          <cell r="Y69">
            <v>26.65</v>
          </cell>
          <cell r="Z69">
            <v>0.84722222222222221</v>
          </cell>
          <cell r="AA69">
            <v>0.86805555555555547</v>
          </cell>
          <cell r="AB69">
            <v>42660</v>
          </cell>
          <cell r="AC69">
            <v>26.7</v>
          </cell>
          <cell r="AD69">
            <v>0.90972222222222221</v>
          </cell>
          <cell r="AE69">
            <v>0.91666666666666663</v>
          </cell>
          <cell r="AF69">
            <v>42660</v>
          </cell>
          <cell r="AG69">
            <v>0.92708333333333337</v>
          </cell>
          <cell r="AH69">
            <v>0.99305555555555547</v>
          </cell>
          <cell r="AI69">
            <v>42660</v>
          </cell>
          <cell r="AJ69">
            <v>0.11458333333333333</v>
          </cell>
          <cell r="AK69">
            <v>0.12152777777777778</v>
          </cell>
          <cell r="AL69">
            <v>42661</v>
          </cell>
          <cell r="AM69">
            <v>1.05</v>
          </cell>
          <cell r="AN69">
            <v>9</v>
          </cell>
          <cell r="AO69">
            <v>23</v>
          </cell>
          <cell r="AP69">
            <v>0</v>
          </cell>
          <cell r="AQ69">
            <v>0.125</v>
          </cell>
          <cell r="AR69">
            <v>0.12847222222222224</v>
          </cell>
          <cell r="AS69">
            <v>42661</v>
          </cell>
          <cell r="AT69">
            <v>26.7</v>
          </cell>
          <cell r="AU69">
            <v>0.13194444444444445</v>
          </cell>
          <cell r="AV69">
            <v>42661</v>
          </cell>
          <cell r="AW69">
            <v>0.15277777777777776</v>
          </cell>
          <cell r="AX69">
            <v>42661</v>
          </cell>
          <cell r="AY69">
            <v>4.96</v>
          </cell>
          <cell r="AZ69">
            <v>13</v>
          </cell>
        </row>
        <row r="70">
          <cell r="B70" t="str">
            <v>A63</v>
          </cell>
          <cell r="C70">
            <v>0.35416666666666669</v>
          </cell>
          <cell r="D70">
            <v>0.41666666666666669</v>
          </cell>
          <cell r="E70">
            <v>42658</v>
          </cell>
          <cell r="F70">
            <v>0.4513888888888889</v>
          </cell>
          <cell r="G70">
            <v>0.45833333333333331</v>
          </cell>
          <cell r="H70">
            <v>42658</v>
          </cell>
          <cell r="I70">
            <v>-1.6E-2</v>
          </cell>
          <cell r="J70">
            <v>1.7999999999999999E-2</v>
          </cell>
          <cell r="K70">
            <v>-0.309</v>
          </cell>
          <cell r="L70">
            <v>-0.91300000000000003</v>
          </cell>
          <cell r="M70">
            <v>0.46180555555555558</v>
          </cell>
          <cell r="N70">
            <v>0.46875</v>
          </cell>
          <cell r="O70">
            <v>42658</v>
          </cell>
          <cell r="P70">
            <v>1.05</v>
          </cell>
          <cell r="Q70">
            <v>9</v>
          </cell>
          <cell r="R70">
            <v>23</v>
          </cell>
          <cell r="S70">
            <v>0</v>
          </cell>
          <cell r="T70">
            <v>0.60833333333333328</v>
          </cell>
          <cell r="U70">
            <v>42658</v>
          </cell>
          <cell r="V70">
            <v>22.85</v>
          </cell>
          <cell r="W70">
            <v>0.19166666666666665</v>
          </cell>
          <cell r="X70">
            <v>42661</v>
          </cell>
          <cell r="Y70">
            <v>38.619999999999997</v>
          </cell>
          <cell r="Z70">
            <v>0.21875</v>
          </cell>
          <cell r="AA70">
            <v>0.23958333333333334</v>
          </cell>
          <cell r="AB70">
            <v>42661</v>
          </cell>
          <cell r="AC70">
            <v>38.619999999999997</v>
          </cell>
          <cell r="AD70">
            <v>0.25</v>
          </cell>
          <cell r="AE70">
            <v>0.25694444444444448</v>
          </cell>
          <cell r="AF70">
            <v>42661</v>
          </cell>
          <cell r="AG70">
            <v>0.27083333333333331</v>
          </cell>
          <cell r="AH70">
            <v>0.31597222222222221</v>
          </cell>
          <cell r="AI70">
            <v>42661</v>
          </cell>
          <cell r="AJ70">
            <v>0.4236111111111111</v>
          </cell>
          <cell r="AK70">
            <v>0.42708333333333331</v>
          </cell>
          <cell r="AL70">
            <v>42662</v>
          </cell>
          <cell r="AM70">
            <v>1.06</v>
          </cell>
          <cell r="AN70">
            <v>9</v>
          </cell>
          <cell r="AO70">
            <v>22</v>
          </cell>
          <cell r="AP70">
            <v>0</v>
          </cell>
          <cell r="AQ70">
            <v>0.43055555555555558</v>
          </cell>
          <cell r="AR70">
            <v>0.43402777777777773</v>
          </cell>
          <cell r="AS70">
            <v>42662</v>
          </cell>
          <cell r="AT70">
            <v>38.619999999999997</v>
          </cell>
          <cell r="AU70">
            <v>0.4375</v>
          </cell>
          <cell r="AV70">
            <v>42662</v>
          </cell>
          <cell r="AW70">
            <v>0.53472222222222221</v>
          </cell>
          <cell r="AX70">
            <v>42662</v>
          </cell>
          <cell r="AY70">
            <v>6.5</v>
          </cell>
          <cell r="AZ70">
            <v>54</v>
          </cell>
        </row>
        <row r="71">
          <cell r="B71" t="str">
            <v>B32</v>
          </cell>
          <cell r="C71">
            <v>0.29166666666666669</v>
          </cell>
          <cell r="D71">
            <v>0.34722222222222227</v>
          </cell>
          <cell r="E71">
            <v>42661</v>
          </cell>
          <cell r="F71">
            <v>0.41666666666666669</v>
          </cell>
          <cell r="G71">
            <v>0.42708333333333331</v>
          </cell>
          <cell r="H71">
            <v>42661</v>
          </cell>
          <cell r="I71">
            <v>2.7E-2</v>
          </cell>
          <cell r="J71">
            <v>-2.5999999999999999E-2</v>
          </cell>
          <cell r="K71">
            <v>-0.64500000000000002</v>
          </cell>
          <cell r="L71">
            <v>-0.84</v>
          </cell>
          <cell r="M71">
            <v>0.43402777777777773</v>
          </cell>
          <cell r="N71">
            <v>0.44097222222222227</v>
          </cell>
          <cell r="O71">
            <v>42661</v>
          </cell>
          <cell r="P71">
            <v>1.06</v>
          </cell>
          <cell r="Q71">
            <v>9</v>
          </cell>
          <cell r="R71">
            <v>23</v>
          </cell>
          <cell r="S71">
            <v>0</v>
          </cell>
          <cell r="T71">
            <v>0.36805555555555558</v>
          </cell>
          <cell r="U71">
            <v>42665</v>
          </cell>
          <cell r="V71">
            <v>22</v>
          </cell>
          <cell r="W71">
            <v>0.52083333333333337</v>
          </cell>
          <cell r="X71">
            <v>42665</v>
          </cell>
          <cell r="Y71">
            <v>26.86</v>
          </cell>
          <cell r="Z71">
            <v>0.59027777777777779</v>
          </cell>
          <cell r="AA71">
            <v>0.61111111111111105</v>
          </cell>
          <cell r="AB71">
            <v>42665</v>
          </cell>
          <cell r="AC71">
            <v>27</v>
          </cell>
          <cell r="AD71">
            <v>0.61458333333333337</v>
          </cell>
          <cell r="AE71">
            <v>0.625</v>
          </cell>
          <cell r="AF71">
            <v>42665</v>
          </cell>
          <cell r="AG71">
            <v>0.63888888888888895</v>
          </cell>
          <cell r="AH71">
            <v>0.71180555555555547</v>
          </cell>
          <cell r="AI71">
            <v>42665</v>
          </cell>
          <cell r="AJ71">
            <v>0.90972222222222221</v>
          </cell>
          <cell r="AK71">
            <v>0.91666666666666663</v>
          </cell>
          <cell r="AL71">
            <v>42665</v>
          </cell>
          <cell r="AM71">
            <v>1.06</v>
          </cell>
          <cell r="AN71">
            <v>9</v>
          </cell>
          <cell r="AO71">
            <v>23</v>
          </cell>
          <cell r="AP71">
            <v>0</v>
          </cell>
          <cell r="AQ71">
            <v>0.92361111111111116</v>
          </cell>
          <cell r="AR71">
            <v>0.92708333333333337</v>
          </cell>
          <cell r="AS71">
            <v>42665</v>
          </cell>
          <cell r="AT71">
            <v>27</v>
          </cell>
          <cell r="AU71">
            <v>0.9375</v>
          </cell>
          <cell r="AV71">
            <v>42665</v>
          </cell>
          <cell r="AW71">
            <v>0.96180555555555547</v>
          </cell>
          <cell r="AX71">
            <v>42665</v>
          </cell>
          <cell r="AY71">
            <v>4.3</v>
          </cell>
          <cell r="AZ71">
            <v>13</v>
          </cell>
        </row>
        <row r="72">
          <cell r="B72" t="str">
            <v>A46</v>
          </cell>
          <cell r="C72">
            <v>0.40277777777777773</v>
          </cell>
          <cell r="D72">
            <v>0.43055555555555558</v>
          </cell>
          <cell r="E72">
            <v>42661</v>
          </cell>
          <cell r="F72">
            <v>0.4375</v>
          </cell>
          <cell r="G72">
            <v>0.44791666666666669</v>
          </cell>
          <cell r="H72">
            <v>42661</v>
          </cell>
          <cell r="I72">
            <v>0.03</v>
          </cell>
          <cell r="J72">
            <v>-1.7999999999999999E-2</v>
          </cell>
          <cell r="K72">
            <v>-0.80500000000000005</v>
          </cell>
          <cell r="L72">
            <v>-1.1579999999999999</v>
          </cell>
          <cell r="M72">
            <v>0.45833333333333331</v>
          </cell>
          <cell r="N72">
            <v>0.46527777777777773</v>
          </cell>
          <cell r="O72">
            <v>42661</v>
          </cell>
          <cell r="P72">
            <v>1.05</v>
          </cell>
          <cell r="Q72">
            <v>9</v>
          </cell>
          <cell r="R72">
            <v>22</v>
          </cell>
          <cell r="S72">
            <v>0</v>
          </cell>
          <cell r="T72">
            <v>0.58333333333333337</v>
          </cell>
          <cell r="U72">
            <v>42665</v>
          </cell>
          <cell r="V72">
            <v>21.3</v>
          </cell>
          <cell r="W72">
            <v>0.97916666666666663</v>
          </cell>
          <cell r="X72">
            <v>42665</v>
          </cell>
          <cell r="Y72">
            <v>31.55</v>
          </cell>
          <cell r="Z72">
            <v>1.0416666666666666E-2</v>
          </cell>
          <cell r="AA72">
            <v>2.4305555555555556E-2</v>
          </cell>
          <cell r="AB72">
            <v>42666</v>
          </cell>
          <cell r="AC72">
            <v>31.7</v>
          </cell>
          <cell r="AD72">
            <v>2.7777777777777776E-2</v>
          </cell>
          <cell r="AE72">
            <v>3.4722222222222224E-2</v>
          </cell>
          <cell r="AF72">
            <v>42666</v>
          </cell>
          <cell r="AG72">
            <v>4.1666666666666664E-2</v>
          </cell>
          <cell r="AH72">
            <v>0.1875</v>
          </cell>
          <cell r="AI72">
            <v>42666</v>
          </cell>
          <cell r="AJ72">
            <v>0.22916666666666666</v>
          </cell>
          <cell r="AK72">
            <v>0.23611111111111113</v>
          </cell>
          <cell r="AL72">
            <v>42666</v>
          </cell>
          <cell r="AM72">
            <v>1.06</v>
          </cell>
          <cell r="AN72">
            <v>9</v>
          </cell>
          <cell r="AO72">
            <v>22</v>
          </cell>
          <cell r="AP72">
            <v>0</v>
          </cell>
          <cell r="AQ72">
            <v>0.24305555555555555</v>
          </cell>
          <cell r="AR72">
            <v>0.24652777777777779</v>
          </cell>
          <cell r="AS72">
            <v>42666</v>
          </cell>
          <cell r="AT72">
            <v>31.7</v>
          </cell>
          <cell r="AU72">
            <v>0.25347222222222221</v>
          </cell>
          <cell r="AV72">
            <v>42666</v>
          </cell>
          <cell r="AW72">
            <v>0.33333333333333331</v>
          </cell>
          <cell r="AX72">
            <v>42666</v>
          </cell>
          <cell r="AY72">
            <v>7.1</v>
          </cell>
          <cell r="AZ72">
            <v>33</v>
          </cell>
        </row>
        <row r="73">
          <cell r="B73" t="str">
            <v>A67</v>
          </cell>
          <cell r="C73">
            <v>0.41666666666666669</v>
          </cell>
          <cell r="D73">
            <v>0.47916666666666669</v>
          </cell>
          <cell r="E73">
            <v>42665</v>
          </cell>
          <cell r="F73">
            <v>0.57291666666666663</v>
          </cell>
          <cell r="G73">
            <v>0.58333333333333337</v>
          </cell>
          <cell r="H73">
            <v>42665</v>
          </cell>
          <cell r="I73">
            <v>0.01</v>
          </cell>
          <cell r="J73">
            <v>1.2999999999999999E-2</v>
          </cell>
          <cell r="K73">
            <v>-0.20499999999999999</v>
          </cell>
          <cell r="L73">
            <v>-0.81399999999999995</v>
          </cell>
          <cell r="M73">
            <v>0.59375</v>
          </cell>
          <cell r="N73">
            <v>0.60138888888888886</v>
          </cell>
          <cell r="O73">
            <v>42665</v>
          </cell>
          <cell r="P73">
            <v>1.06</v>
          </cell>
          <cell r="Q73">
            <v>9</v>
          </cell>
          <cell r="R73">
            <v>21</v>
          </cell>
          <cell r="S73">
            <v>0</v>
          </cell>
          <cell r="T73">
            <v>0.67013888888888884</v>
          </cell>
          <cell r="U73">
            <v>42665</v>
          </cell>
          <cell r="V73">
            <v>21.3</v>
          </cell>
          <cell r="W73">
            <v>0.40625</v>
          </cell>
          <cell r="X73">
            <v>42666</v>
          </cell>
          <cell r="Y73">
            <v>27.8</v>
          </cell>
          <cell r="Z73">
            <v>0.4375</v>
          </cell>
          <cell r="AA73">
            <v>0.45833333333333331</v>
          </cell>
          <cell r="AB73">
            <v>42666</v>
          </cell>
          <cell r="AC73">
            <v>28</v>
          </cell>
          <cell r="AD73">
            <v>0.46875</v>
          </cell>
          <cell r="AE73">
            <v>0.47916666666666669</v>
          </cell>
          <cell r="AF73">
            <v>42666</v>
          </cell>
          <cell r="AG73">
            <v>0.48958333333333331</v>
          </cell>
          <cell r="AH73">
            <v>0.54166666666666663</v>
          </cell>
          <cell r="AI73">
            <v>42666</v>
          </cell>
          <cell r="AJ73">
            <v>0.57638888888888895</v>
          </cell>
          <cell r="AK73">
            <v>0.58194444444444449</v>
          </cell>
          <cell r="AL73">
            <v>42666</v>
          </cell>
          <cell r="AM73">
            <v>1.05</v>
          </cell>
          <cell r="AN73">
            <v>9</v>
          </cell>
          <cell r="AO73">
            <v>22</v>
          </cell>
          <cell r="AP73">
            <v>0</v>
          </cell>
          <cell r="AQ73">
            <v>0.58333333333333337</v>
          </cell>
          <cell r="AR73">
            <v>0.58680555555555558</v>
          </cell>
          <cell r="AS73">
            <v>42666</v>
          </cell>
          <cell r="AT73">
            <v>28</v>
          </cell>
          <cell r="AU73">
            <v>0.59722222222222221</v>
          </cell>
          <cell r="AV73">
            <v>42666</v>
          </cell>
          <cell r="AW73">
            <v>0.68055555555555547</v>
          </cell>
          <cell r="AX73">
            <v>42666</v>
          </cell>
          <cell r="AY73">
            <v>8</v>
          </cell>
          <cell r="AZ73">
            <v>29</v>
          </cell>
        </row>
        <row r="74">
          <cell r="B74" t="str">
            <v>B34</v>
          </cell>
          <cell r="C74">
            <v>0.35416666666666669</v>
          </cell>
          <cell r="D74">
            <v>0.40625</v>
          </cell>
          <cell r="E74">
            <v>42661</v>
          </cell>
          <cell r="F74">
            <v>0.42708333333333331</v>
          </cell>
          <cell r="G74">
            <v>0.4375</v>
          </cell>
          <cell r="H74">
            <v>42661</v>
          </cell>
          <cell r="I74">
            <v>5.0000000000000001E-3</v>
          </cell>
          <cell r="J74">
            <v>1.7999999999999999E-2</v>
          </cell>
          <cell r="K74">
            <v>-0.63800000000000001</v>
          </cell>
          <cell r="L74">
            <v>-0.81</v>
          </cell>
          <cell r="M74">
            <v>0.39583333333333331</v>
          </cell>
          <cell r="N74">
            <v>0.40277777777777773</v>
          </cell>
          <cell r="O74">
            <v>42666</v>
          </cell>
          <cell r="P74">
            <v>1.06</v>
          </cell>
          <cell r="Q74">
            <v>9</v>
          </cell>
          <cell r="R74">
            <v>23</v>
          </cell>
          <cell r="S74">
            <v>0</v>
          </cell>
          <cell r="T74">
            <v>0.59444444444444444</v>
          </cell>
          <cell r="U74">
            <v>42666</v>
          </cell>
          <cell r="V74">
            <v>22.5</v>
          </cell>
          <cell r="W74">
            <v>0.66666666666666663</v>
          </cell>
          <cell r="X74">
            <v>42666</v>
          </cell>
          <cell r="Y74">
            <v>26.87</v>
          </cell>
          <cell r="Z74">
            <v>0.22916666666666666</v>
          </cell>
          <cell r="AA74">
            <v>0.83333333333333337</v>
          </cell>
          <cell r="AB74">
            <v>42666</v>
          </cell>
          <cell r="AC74">
            <v>27</v>
          </cell>
          <cell r="AD74">
            <v>0.84375</v>
          </cell>
          <cell r="AE74">
            <v>0.85069444444444453</v>
          </cell>
          <cell r="AF74">
            <v>42666</v>
          </cell>
          <cell r="AG74">
            <v>0.86111111111111116</v>
          </cell>
          <cell r="AH74">
            <v>0.91319444444444453</v>
          </cell>
          <cell r="AI74">
            <v>42666</v>
          </cell>
          <cell r="AJ74">
            <v>2.0833333333333332E-2</v>
          </cell>
          <cell r="AK74">
            <v>2.7777777777777776E-2</v>
          </cell>
          <cell r="AL74">
            <v>42666</v>
          </cell>
          <cell r="AM74">
            <v>1.06</v>
          </cell>
          <cell r="AN74">
            <v>9</v>
          </cell>
          <cell r="AO74">
            <v>22</v>
          </cell>
          <cell r="AP74">
            <v>0</v>
          </cell>
          <cell r="AQ74">
            <v>3.8194444444444441E-2</v>
          </cell>
          <cell r="AR74">
            <v>4.1666666666666664E-2</v>
          </cell>
          <cell r="AS74">
            <v>42667</v>
          </cell>
          <cell r="AT74">
            <v>27</v>
          </cell>
          <cell r="AU74">
            <v>7.9861111111111105E-2</v>
          </cell>
          <cell r="AV74">
            <v>42667</v>
          </cell>
          <cell r="AW74">
            <v>9.375E-2</v>
          </cell>
          <cell r="AX74">
            <v>42667</v>
          </cell>
          <cell r="AY74">
            <v>4.7</v>
          </cell>
          <cell r="AZ74">
            <v>12</v>
          </cell>
        </row>
        <row r="75">
          <cell r="B75" t="str">
            <v>B35</v>
          </cell>
          <cell r="C75">
            <v>0.375</v>
          </cell>
          <cell r="D75">
            <v>0.43055555555555558</v>
          </cell>
          <cell r="E75">
            <v>42666</v>
          </cell>
          <cell r="F75">
            <v>0.44444444444444442</v>
          </cell>
          <cell r="G75">
            <v>0.4548611111111111</v>
          </cell>
          <cell r="H75">
            <v>42666</v>
          </cell>
          <cell r="I75">
            <v>-2.1000000000000001E-2</v>
          </cell>
          <cell r="J75">
            <v>-2.1999999999999999E-2</v>
          </cell>
          <cell r="K75">
            <v>-0.47499999999999998</v>
          </cell>
          <cell r="L75">
            <v>-1.107</v>
          </cell>
          <cell r="M75">
            <v>0.45833333333333331</v>
          </cell>
          <cell r="N75">
            <v>0.46875</v>
          </cell>
          <cell r="O75">
            <v>42666</v>
          </cell>
          <cell r="P75">
            <v>1.06</v>
          </cell>
          <cell r="Q75">
            <v>9</v>
          </cell>
          <cell r="R75">
            <v>23</v>
          </cell>
          <cell r="S75">
            <v>0</v>
          </cell>
          <cell r="T75">
            <v>0.96527777777777779</v>
          </cell>
          <cell r="U75">
            <v>42666</v>
          </cell>
          <cell r="V75">
            <v>22.8</v>
          </cell>
          <cell r="W75">
            <v>0.125</v>
          </cell>
          <cell r="X75">
            <v>42667</v>
          </cell>
          <cell r="Y75">
            <v>27</v>
          </cell>
          <cell r="Z75">
            <v>0.15625</v>
          </cell>
          <cell r="AA75">
            <v>0.17013888888888887</v>
          </cell>
          <cell r="AB75">
            <v>42667</v>
          </cell>
          <cell r="AC75">
            <v>27</v>
          </cell>
          <cell r="AD75">
            <v>0.18055555555555555</v>
          </cell>
          <cell r="AE75">
            <v>0.1875</v>
          </cell>
          <cell r="AF75">
            <v>42667</v>
          </cell>
          <cell r="AG75">
            <v>0.19166666666666665</v>
          </cell>
          <cell r="AH75">
            <v>0.21180555555555555</v>
          </cell>
          <cell r="AI75">
            <v>42667</v>
          </cell>
          <cell r="AJ75">
            <v>0.22916666666666666</v>
          </cell>
          <cell r="AK75">
            <v>0.23611111111111113</v>
          </cell>
          <cell r="AL75">
            <v>42667</v>
          </cell>
          <cell r="AM75">
            <v>1.06</v>
          </cell>
          <cell r="AN75">
            <v>9</v>
          </cell>
          <cell r="AO75">
            <v>22</v>
          </cell>
          <cell r="AP75">
            <v>0</v>
          </cell>
          <cell r="AQ75">
            <v>0.24305555555555555</v>
          </cell>
          <cell r="AR75">
            <v>0.24652777777777779</v>
          </cell>
          <cell r="AS75">
            <v>42667</v>
          </cell>
          <cell r="AT75">
            <v>27</v>
          </cell>
          <cell r="AU75">
            <v>0.25</v>
          </cell>
          <cell r="AV75">
            <v>42667</v>
          </cell>
          <cell r="AW75">
            <v>0.27083333333333331</v>
          </cell>
          <cell r="AX75">
            <v>42667</v>
          </cell>
          <cell r="AY75">
            <v>4.8</v>
          </cell>
          <cell r="AZ75">
            <v>12</v>
          </cell>
        </row>
        <row r="76">
          <cell r="B76" t="str">
            <v>B37</v>
          </cell>
          <cell r="C76">
            <v>0.33333333333333331</v>
          </cell>
          <cell r="D76">
            <v>0.39583333333333331</v>
          </cell>
          <cell r="E76">
            <v>42667</v>
          </cell>
          <cell r="F76">
            <v>0.70833333333333337</v>
          </cell>
          <cell r="G76">
            <v>0.71875</v>
          </cell>
          <cell r="H76">
            <v>42667</v>
          </cell>
          <cell r="I76">
            <v>1.4999999999999999E-2</v>
          </cell>
          <cell r="J76">
            <v>-5.0000000000000001E-3</v>
          </cell>
          <cell r="K76">
            <v>-0.63</v>
          </cell>
          <cell r="L76">
            <v>-0.85399999999999998</v>
          </cell>
          <cell r="M76">
            <v>0.71875</v>
          </cell>
          <cell r="N76">
            <v>0.72222222222222221</v>
          </cell>
          <cell r="O76">
            <v>42667</v>
          </cell>
          <cell r="P76">
            <v>1.05</v>
          </cell>
          <cell r="Q76">
            <v>9</v>
          </cell>
          <cell r="R76">
            <v>22</v>
          </cell>
          <cell r="S76">
            <v>0</v>
          </cell>
          <cell r="T76">
            <v>0.875</v>
          </cell>
          <cell r="U76">
            <v>42667</v>
          </cell>
          <cell r="V76">
            <v>21</v>
          </cell>
          <cell r="W76">
            <v>0.96875</v>
          </cell>
          <cell r="X76">
            <v>42667</v>
          </cell>
          <cell r="Y76">
            <v>27</v>
          </cell>
          <cell r="Z76">
            <v>0</v>
          </cell>
          <cell r="AA76">
            <v>2.0833333333333332E-2</v>
          </cell>
          <cell r="AB76">
            <v>42668</v>
          </cell>
          <cell r="AC76">
            <v>27</v>
          </cell>
          <cell r="AD76">
            <v>3.125E-2</v>
          </cell>
          <cell r="AE76">
            <v>4.1666666666666664E-2</v>
          </cell>
          <cell r="AF76">
            <v>42668</v>
          </cell>
          <cell r="AG76">
            <v>5.5555555555555552E-2</v>
          </cell>
          <cell r="AH76">
            <v>9.0277777777777776E-2</v>
          </cell>
          <cell r="AI76">
            <v>42668</v>
          </cell>
          <cell r="AJ76">
            <v>0.16666666666666666</v>
          </cell>
          <cell r="AK76">
            <v>0.17361111111111113</v>
          </cell>
          <cell r="AL76">
            <v>42668</v>
          </cell>
          <cell r="AM76">
            <v>1.06</v>
          </cell>
          <cell r="AN76">
            <v>9</v>
          </cell>
          <cell r="AO76">
            <v>23</v>
          </cell>
          <cell r="AP76">
            <v>0</v>
          </cell>
          <cell r="AQ76">
            <v>0.17708333333333334</v>
          </cell>
          <cell r="AR76">
            <v>0.18055555555555555</v>
          </cell>
          <cell r="AS76">
            <v>42668</v>
          </cell>
          <cell r="AT76">
            <v>27</v>
          </cell>
          <cell r="AU76">
            <v>0.1875</v>
          </cell>
          <cell r="AV76">
            <v>42668</v>
          </cell>
          <cell r="AW76">
            <v>0.21180555555555555</v>
          </cell>
          <cell r="AX76">
            <v>42668</v>
          </cell>
          <cell r="AY76">
            <v>5</v>
          </cell>
          <cell r="AZ76">
            <v>12</v>
          </cell>
        </row>
        <row r="77">
          <cell r="B77" t="str">
            <v>A129</v>
          </cell>
          <cell r="C77">
            <v>0.58333333333333337</v>
          </cell>
          <cell r="D77">
            <v>0.64583333333333337</v>
          </cell>
          <cell r="E77">
            <v>42667</v>
          </cell>
          <cell r="F77">
            <v>0.77083333333333337</v>
          </cell>
          <cell r="G77">
            <v>0.78125</v>
          </cell>
          <cell r="H77">
            <v>42667</v>
          </cell>
          <cell r="I77">
            <v>3.0000000000000001E-3</v>
          </cell>
          <cell r="J77">
            <v>-6.0000000000000001E-3</v>
          </cell>
          <cell r="K77">
            <v>-0.83099999999999996</v>
          </cell>
          <cell r="L77">
            <v>-1.177</v>
          </cell>
          <cell r="M77">
            <v>0.79166666666666663</v>
          </cell>
          <cell r="N77">
            <v>0.79861111111111116</v>
          </cell>
          <cell r="O77">
            <v>42667</v>
          </cell>
          <cell r="P77">
            <v>1.05</v>
          </cell>
          <cell r="Q77">
            <v>9</v>
          </cell>
          <cell r="R77">
            <v>22</v>
          </cell>
          <cell r="S77">
            <v>0</v>
          </cell>
          <cell r="T77">
            <v>0.88888888888888884</v>
          </cell>
          <cell r="U77">
            <v>42667</v>
          </cell>
          <cell r="V77">
            <v>19</v>
          </cell>
          <cell r="W77">
            <v>6.9444444444444434E-2</v>
          </cell>
          <cell r="X77">
            <v>42667</v>
          </cell>
          <cell r="Y77">
            <v>30.2</v>
          </cell>
          <cell r="Z77">
            <v>0.10416666666666667</v>
          </cell>
          <cell r="AA77">
            <v>0.12847222222222224</v>
          </cell>
          <cell r="AB77">
            <v>42670</v>
          </cell>
          <cell r="AC77">
            <v>30.2</v>
          </cell>
          <cell r="AD77">
            <v>0.13541666666666666</v>
          </cell>
          <cell r="AE77">
            <v>0.14583333333333334</v>
          </cell>
          <cell r="AF77">
            <v>42670</v>
          </cell>
          <cell r="AG77">
            <v>0.15972222222222224</v>
          </cell>
          <cell r="AH77">
            <v>0.19791666666666666</v>
          </cell>
          <cell r="AI77">
            <v>42670</v>
          </cell>
          <cell r="AJ77">
            <v>0.23958333333333334</v>
          </cell>
          <cell r="AK77">
            <v>0.24652777777777779</v>
          </cell>
          <cell r="AL77">
            <v>42670</v>
          </cell>
          <cell r="AM77">
            <v>1.06</v>
          </cell>
          <cell r="AN77">
            <v>9</v>
          </cell>
          <cell r="AO77">
            <v>23</v>
          </cell>
          <cell r="AP77">
            <v>0</v>
          </cell>
          <cell r="AQ77">
            <v>0.25</v>
          </cell>
          <cell r="AR77">
            <v>0.25347222222222221</v>
          </cell>
          <cell r="AS77">
            <v>42670</v>
          </cell>
          <cell r="AT77">
            <v>30.2</v>
          </cell>
          <cell r="AU77">
            <v>0.25694444444444448</v>
          </cell>
          <cell r="AV77">
            <v>42670</v>
          </cell>
          <cell r="AW77">
            <v>0.375</v>
          </cell>
          <cell r="AX77">
            <v>42670</v>
          </cell>
          <cell r="AY77">
            <v>6.3</v>
          </cell>
          <cell r="AZ77">
            <v>44</v>
          </cell>
        </row>
        <row r="78">
          <cell r="B78" t="str">
            <v>B38</v>
          </cell>
          <cell r="C78">
            <v>0.63541666666666663</v>
          </cell>
          <cell r="D78">
            <v>0.69791666666666663</v>
          </cell>
          <cell r="E78">
            <v>42670</v>
          </cell>
          <cell r="F78">
            <v>0.70833333333333337</v>
          </cell>
          <cell r="G78">
            <v>0.71527777777777779</v>
          </cell>
          <cell r="H78">
            <v>42670</v>
          </cell>
          <cell r="I78">
            <v>-1.7999999999999999E-2</v>
          </cell>
          <cell r="J78">
            <v>1.2E-2</v>
          </cell>
          <cell r="K78">
            <v>-0.44500000000000001</v>
          </cell>
          <cell r="L78">
            <v>-0.875</v>
          </cell>
          <cell r="M78">
            <v>0.72222222222222221</v>
          </cell>
          <cell r="N78">
            <v>0.72916666666666663</v>
          </cell>
          <cell r="O78">
            <v>42670</v>
          </cell>
          <cell r="P78">
            <v>1.06</v>
          </cell>
          <cell r="Q78">
            <v>9</v>
          </cell>
          <cell r="R78">
            <v>23</v>
          </cell>
          <cell r="S78">
            <v>0</v>
          </cell>
          <cell r="T78">
            <v>0.80208333333333337</v>
          </cell>
          <cell r="U78">
            <v>42670</v>
          </cell>
          <cell r="V78">
            <v>21.3</v>
          </cell>
          <cell r="W78">
            <v>0.9375</v>
          </cell>
          <cell r="X78">
            <v>42670</v>
          </cell>
          <cell r="Y78">
            <v>27.1</v>
          </cell>
          <cell r="Z78">
            <v>0.96527777777777779</v>
          </cell>
          <cell r="AA78">
            <v>0.98958333333333337</v>
          </cell>
          <cell r="AB78">
            <v>42670</v>
          </cell>
          <cell r="AC78">
            <v>27.2</v>
          </cell>
          <cell r="AD78">
            <v>0.99305555555555547</v>
          </cell>
          <cell r="AE78">
            <v>0.98958333333333337</v>
          </cell>
          <cell r="AF78">
            <v>42670</v>
          </cell>
          <cell r="AG78">
            <v>1.3888888888888888E-2</v>
          </cell>
          <cell r="AH78">
            <v>5.2083333333333336E-2</v>
          </cell>
          <cell r="AI78">
            <v>42671</v>
          </cell>
          <cell r="AJ78">
            <v>0.14583333333333334</v>
          </cell>
          <cell r="AK78">
            <v>0.15277777777777776</v>
          </cell>
          <cell r="AL78">
            <v>42671</v>
          </cell>
          <cell r="AM78">
            <v>1.06</v>
          </cell>
          <cell r="AN78">
            <v>9</v>
          </cell>
          <cell r="AO78">
            <v>22</v>
          </cell>
          <cell r="AP78">
            <v>0</v>
          </cell>
          <cell r="AQ78">
            <v>0.15972222222222224</v>
          </cell>
          <cell r="AR78">
            <v>0.16319444444444445</v>
          </cell>
          <cell r="AS78">
            <v>42671</v>
          </cell>
          <cell r="AT78">
            <v>27.2</v>
          </cell>
          <cell r="AU78">
            <v>0.16666666666666666</v>
          </cell>
          <cell r="AV78">
            <v>42671</v>
          </cell>
          <cell r="AW78">
            <v>0.1875</v>
          </cell>
          <cell r="AX78">
            <v>42671</v>
          </cell>
          <cell r="AY78">
            <v>4.9000000000000004</v>
          </cell>
          <cell r="AZ78">
            <v>12</v>
          </cell>
        </row>
        <row r="79">
          <cell r="B79" t="str">
            <v>A42</v>
          </cell>
          <cell r="C79">
            <v>0.70833333333333337</v>
          </cell>
          <cell r="D79">
            <v>0.76041666666666663</v>
          </cell>
          <cell r="E79">
            <v>42666</v>
          </cell>
          <cell r="F79">
            <v>0.76736111111111116</v>
          </cell>
          <cell r="G79">
            <v>0.77777777777777779</v>
          </cell>
          <cell r="H79">
            <v>42666</v>
          </cell>
          <cell r="I79">
            <v>-2.1000000000000001E-2</v>
          </cell>
          <cell r="J79">
            <v>-2E-3</v>
          </cell>
          <cell r="K79">
            <v>-0.66500000000000004</v>
          </cell>
          <cell r="L79">
            <v>-1.1000000000000001</v>
          </cell>
          <cell r="M79">
            <v>0.79166666666666663</v>
          </cell>
          <cell r="N79">
            <v>0.80208333333333337</v>
          </cell>
          <cell r="O79">
            <v>42666</v>
          </cell>
          <cell r="P79">
            <v>1.06</v>
          </cell>
          <cell r="Q79">
            <v>9</v>
          </cell>
          <cell r="R79">
            <v>22</v>
          </cell>
          <cell r="S79">
            <v>0</v>
          </cell>
          <cell r="T79">
            <v>9.7222222222222224E-2</v>
          </cell>
          <cell r="U79">
            <v>42668</v>
          </cell>
          <cell r="V79">
            <v>23</v>
          </cell>
          <cell r="W79">
            <v>0.36805555555555558</v>
          </cell>
          <cell r="X79">
            <v>42668</v>
          </cell>
          <cell r="Y79">
            <v>31.7</v>
          </cell>
          <cell r="Z79">
            <v>0.29166666666666669</v>
          </cell>
          <cell r="AA79">
            <v>0.37847222222222227</v>
          </cell>
          <cell r="AB79">
            <v>42683</v>
          </cell>
          <cell r="AC79">
            <v>31.9</v>
          </cell>
          <cell r="AD79">
            <v>0.38194444444444442</v>
          </cell>
          <cell r="AE79">
            <v>0.3888888888888889</v>
          </cell>
          <cell r="AF79">
            <v>42683</v>
          </cell>
          <cell r="AG79">
            <v>0.40972222222222227</v>
          </cell>
          <cell r="AH79">
            <v>0.4548611111111111</v>
          </cell>
          <cell r="AI79">
            <v>42689</v>
          </cell>
          <cell r="AJ79">
            <v>2.0833333333333332E-2</v>
          </cell>
          <cell r="AK79">
            <v>2.7777777777777776E-2</v>
          </cell>
          <cell r="AL79">
            <v>42690</v>
          </cell>
          <cell r="AM79">
            <v>1.05</v>
          </cell>
          <cell r="AN79">
            <v>9</v>
          </cell>
          <cell r="AO79">
            <v>24</v>
          </cell>
          <cell r="AP79">
            <v>0</v>
          </cell>
          <cell r="AQ79">
            <v>3.4722222222222224E-2</v>
          </cell>
          <cell r="AR79">
            <v>3.8194444444444441E-2</v>
          </cell>
          <cell r="AS79">
            <v>42690</v>
          </cell>
          <cell r="AT79">
            <v>31.9</v>
          </cell>
          <cell r="AU79">
            <v>4.5138888888888888E-2</v>
          </cell>
          <cell r="AV79">
            <v>42690</v>
          </cell>
          <cell r="AW79">
            <v>0.27777777777777779</v>
          </cell>
          <cell r="AX79">
            <v>42690</v>
          </cell>
          <cell r="AY79">
            <v>7.7</v>
          </cell>
          <cell r="AZ79">
            <v>62</v>
          </cell>
        </row>
        <row r="80">
          <cell r="B80" t="str">
            <v>B36</v>
          </cell>
          <cell r="C80">
            <v>0.70833333333333337</v>
          </cell>
          <cell r="D80">
            <v>0.76041666666666663</v>
          </cell>
          <cell r="E80">
            <v>42671</v>
          </cell>
          <cell r="F80">
            <v>0.76388888888888884</v>
          </cell>
          <cell r="G80">
            <v>0.77430555555555547</v>
          </cell>
          <cell r="H80">
            <v>42671</v>
          </cell>
          <cell r="I80">
            <v>-1.7999999999999999E-2</v>
          </cell>
          <cell r="J80">
            <v>1.6E-2</v>
          </cell>
          <cell r="K80">
            <v>-0.57499999999999996</v>
          </cell>
          <cell r="L80">
            <v>-0.81599999999999995</v>
          </cell>
          <cell r="M80">
            <v>0.78125</v>
          </cell>
          <cell r="N80">
            <v>0.78819444444444453</v>
          </cell>
          <cell r="O80">
            <v>42671</v>
          </cell>
          <cell r="P80">
            <v>1.05</v>
          </cell>
          <cell r="Q80">
            <v>9</v>
          </cell>
          <cell r="R80">
            <v>23</v>
          </cell>
          <cell r="S80">
            <v>0</v>
          </cell>
          <cell r="T80">
            <v>0.91666666666666663</v>
          </cell>
          <cell r="U80">
            <v>42691</v>
          </cell>
          <cell r="V80">
            <v>19.8</v>
          </cell>
          <cell r="W80">
            <v>2.0833333333333332E-2</v>
          </cell>
          <cell r="X80">
            <v>42692</v>
          </cell>
          <cell r="Y80">
            <v>27.15</v>
          </cell>
          <cell r="Z80">
            <v>0.79861111111111116</v>
          </cell>
          <cell r="AA80">
            <v>0.82291666666666663</v>
          </cell>
          <cell r="AB80">
            <v>42692</v>
          </cell>
          <cell r="AC80">
            <v>27.15</v>
          </cell>
          <cell r="AD80">
            <v>0.83333333333333337</v>
          </cell>
          <cell r="AE80">
            <v>0.84027777777777779</v>
          </cell>
          <cell r="AF80">
            <v>42692</v>
          </cell>
          <cell r="AG80">
            <v>0.85069444444444453</v>
          </cell>
          <cell r="AH80">
            <v>0.92361111111111116</v>
          </cell>
          <cell r="AI80">
            <v>42692</v>
          </cell>
          <cell r="AJ80">
            <v>0.9375</v>
          </cell>
          <cell r="AK80">
            <v>0.94444444444444453</v>
          </cell>
          <cell r="AL80">
            <v>42692</v>
          </cell>
          <cell r="AM80">
            <v>1.06</v>
          </cell>
          <cell r="AN80">
            <v>9</v>
          </cell>
          <cell r="AO80">
            <v>25</v>
          </cell>
          <cell r="AP80">
            <v>0</v>
          </cell>
          <cell r="AQ80">
            <v>0.95138888888888884</v>
          </cell>
          <cell r="AR80">
            <v>0.95486111111111116</v>
          </cell>
          <cell r="AS80">
            <v>42692</v>
          </cell>
          <cell r="AT80">
            <v>27.15</v>
          </cell>
          <cell r="AU80">
            <v>0.95833333333333337</v>
          </cell>
          <cell r="AV80">
            <v>42692</v>
          </cell>
          <cell r="AW80">
            <v>0.97916666666666663</v>
          </cell>
          <cell r="AX80">
            <v>42692</v>
          </cell>
          <cell r="AY80">
            <v>4.8</v>
          </cell>
          <cell r="AZ80">
            <v>12</v>
          </cell>
        </row>
        <row r="81">
          <cell r="B81" t="str">
            <v>B40</v>
          </cell>
          <cell r="C81">
            <v>0.375</v>
          </cell>
          <cell r="D81">
            <v>0.43055555555555558</v>
          </cell>
          <cell r="E81">
            <v>42695</v>
          </cell>
          <cell r="F81">
            <v>0.44444444444444442</v>
          </cell>
          <cell r="G81">
            <v>0.4513888888888889</v>
          </cell>
          <cell r="H81">
            <v>42695</v>
          </cell>
          <cell r="I81">
            <v>-4.0000000000000001E-3</v>
          </cell>
          <cell r="J81">
            <v>-1.6E-2</v>
          </cell>
          <cell r="K81">
            <v>-0.48899999999999999</v>
          </cell>
          <cell r="L81">
            <v>-0.68899999999999995</v>
          </cell>
          <cell r="M81">
            <v>0.79166666666666663</v>
          </cell>
          <cell r="N81">
            <v>0.80208333333333337</v>
          </cell>
          <cell r="O81">
            <v>42695</v>
          </cell>
          <cell r="P81">
            <v>1.06</v>
          </cell>
          <cell r="Q81">
            <v>9</v>
          </cell>
          <cell r="R81">
            <v>23</v>
          </cell>
          <cell r="S81">
            <v>0</v>
          </cell>
          <cell r="T81">
            <v>0.4375</v>
          </cell>
          <cell r="U81">
            <v>42696</v>
          </cell>
          <cell r="V81">
            <v>30.4</v>
          </cell>
          <cell r="W81">
            <v>0.85625000000000007</v>
          </cell>
          <cell r="X81">
            <v>42696</v>
          </cell>
          <cell r="Y81">
            <v>31.6</v>
          </cell>
          <cell r="Z81">
            <v>0.375</v>
          </cell>
          <cell r="AA81">
            <v>0.40277777777777773</v>
          </cell>
          <cell r="AB81">
            <v>42697</v>
          </cell>
          <cell r="AC81">
            <v>31.7</v>
          </cell>
          <cell r="AD81">
            <v>0.40972222222222227</v>
          </cell>
          <cell r="AE81">
            <v>0.4201388888888889</v>
          </cell>
          <cell r="AF81">
            <v>42697</v>
          </cell>
          <cell r="AG81">
            <v>0.42708333333333331</v>
          </cell>
          <cell r="AH81">
            <v>0.45833333333333331</v>
          </cell>
          <cell r="AI81">
            <v>42697</v>
          </cell>
          <cell r="AJ81">
            <v>0.46875</v>
          </cell>
          <cell r="AK81">
            <v>0.47569444444444442</v>
          </cell>
          <cell r="AL81">
            <v>42697</v>
          </cell>
          <cell r="AM81">
            <v>1.05</v>
          </cell>
          <cell r="AN81">
            <v>9</v>
          </cell>
          <cell r="AO81">
            <v>22</v>
          </cell>
          <cell r="AP81">
            <v>0</v>
          </cell>
          <cell r="AQ81">
            <v>0.5</v>
          </cell>
          <cell r="AR81">
            <v>0.50347222222222221</v>
          </cell>
          <cell r="AS81">
            <v>42697</v>
          </cell>
          <cell r="AT81">
            <v>31.7</v>
          </cell>
          <cell r="AU81">
            <v>0.50694444444444442</v>
          </cell>
          <cell r="AV81">
            <v>42697</v>
          </cell>
          <cell r="AW81">
            <v>0.55555555555555558</v>
          </cell>
          <cell r="AX81">
            <v>42697</v>
          </cell>
          <cell r="AY81">
            <v>5.2</v>
          </cell>
          <cell r="AZ81">
            <v>15</v>
          </cell>
        </row>
        <row r="82">
          <cell r="B82" t="str">
            <v>A47</v>
          </cell>
          <cell r="C82">
            <v>0.3125</v>
          </cell>
          <cell r="D82">
            <v>0.375</v>
          </cell>
          <cell r="E82">
            <v>42695</v>
          </cell>
          <cell r="F82">
            <v>0.38541666666666669</v>
          </cell>
          <cell r="G82">
            <v>0.39583333333333331</v>
          </cell>
          <cell r="H82">
            <v>42695</v>
          </cell>
          <cell r="I82">
            <v>1.7000000000000001E-2</v>
          </cell>
          <cell r="J82">
            <v>1.6E-2</v>
          </cell>
          <cell r="K82">
            <v>-0.71899999999999997</v>
          </cell>
          <cell r="L82">
            <v>-0.98399999999999999</v>
          </cell>
          <cell r="M82">
            <v>0.80208333333333337</v>
          </cell>
          <cell r="N82">
            <v>0.8125</v>
          </cell>
          <cell r="O82">
            <v>42695</v>
          </cell>
          <cell r="P82">
            <v>1.06</v>
          </cell>
          <cell r="Q82">
            <v>9</v>
          </cell>
          <cell r="R82">
            <v>23</v>
          </cell>
          <cell r="S82">
            <v>0</v>
          </cell>
          <cell r="T82">
            <v>0.39583333333333331</v>
          </cell>
          <cell r="U82">
            <v>42696</v>
          </cell>
          <cell r="V82">
            <v>24.4</v>
          </cell>
          <cell r="W82">
            <v>0.41666666666666669</v>
          </cell>
          <cell r="X82">
            <v>42697</v>
          </cell>
          <cell r="Y82">
            <v>31.5</v>
          </cell>
          <cell r="Z82">
            <v>0.4375</v>
          </cell>
          <cell r="AA82">
            <v>0.49305555555555558</v>
          </cell>
          <cell r="AB82">
            <v>42697</v>
          </cell>
          <cell r="AC82">
            <v>31.5</v>
          </cell>
          <cell r="AD82">
            <v>0.46875</v>
          </cell>
          <cell r="AE82">
            <v>0.47916666666666669</v>
          </cell>
          <cell r="AF82">
            <v>42697</v>
          </cell>
          <cell r="AG82">
            <v>0.5</v>
          </cell>
          <cell r="AH82">
            <v>0.61458333333333337</v>
          </cell>
          <cell r="AI82">
            <v>42697</v>
          </cell>
          <cell r="AJ82">
            <v>0.90972222222222221</v>
          </cell>
          <cell r="AK82">
            <v>0.91319444444444453</v>
          </cell>
          <cell r="AL82">
            <v>42697</v>
          </cell>
          <cell r="AM82">
            <v>1.06</v>
          </cell>
          <cell r="AN82">
            <v>9</v>
          </cell>
          <cell r="AO82">
            <v>23</v>
          </cell>
          <cell r="AP82">
            <v>0</v>
          </cell>
          <cell r="AQ82">
            <v>0.91666666666666663</v>
          </cell>
          <cell r="AR82">
            <v>0.92013888888888884</v>
          </cell>
          <cell r="AS82">
            <v>42697</v>
          </cell>
          <cell r="AT82">
            <v>31.5</v>
          </cell>
          <cell r="AU82">
            <v>0.92361111111111116</v>
          </cell>
          <cell r="AV82">
            <v>42697</v>
          </cell>
          <cell r="AW82">
            <v>0.95833333333333337</v>
          </cell>
          <cell r="AX82">
            <v>42697</v>
          </cell>
          <cell r="AY82">
            <v>7.8</v>
          </cell>
          <cell r="AZ82">
            <v>30.5</v>
          </cell>
        </row>
        <row r="83">
          <cell r="B83" t="str">
            <v>A92</v>
          </cell>
          <cell r="C83">
            <v>0.33333333333333331</v>
          </cell>
          <cell r="D83">
            <v>0.41666666666666669</v>
          </cell>
          <cell r="E83">
            <v>42697</v>
          </cell>
          <cell r="F83">
            <v>0.4236111111111111</v>
          </cell>
          <cell r="G83">
            <v>0.43055555555555558</v>
          </cell>
          <cell r="H83">
            <v>42697</v>
          </cell>
          <cell r="I83">
            <v>-8.0000000000000002E-3</v>
          </cell>
          <cell r="J83">
            <v>2.5000000000000001E-2</v>
          </cell>
          <cell r="K83">
            <v>-0.35899999999999999</v>
          </cell>
          <cell r="L83">
            <v>-0.92900000000000005</v>
          </cell>
          <cell r="M83">
            <v>0.4375</v>
          </cell>
          <cell r="N83">
            <v>0.44444444444444442</v>
          </cell>
          <cell r="O83">
            <v>42697</v>
          </cell>
          <cell r="P83">
            <v>1.06</v>
          </cell>
          <cell r="Q83">
            <v>9</v>
          </cell>
          <cell r="R83">
            <v>23</v>
          </cell>
          <cell r="S83">
            <v>0</v>
          </cell>
          <cell r="T83">
            <v>0.58333333333333337</v>
          </cell>
          <cell r="U83">
            <v>42697</v>
          </cell>
          <cell r="V83">
            <v>20.7</v>
          </cell>
          <cell r="W83">
            <v>0.31944444444444448</v>
          </cell>
          <cell r="X83">
            <v>42698</v>
          </cell>
          <cell r="Y83">
            <v>26.46</v>
          </cell>
          <cell r="Z83">
            <v>0.35416666666666669</v>
          </cell>
          <cell r="AA83">
            <v>0.375</v>
          </cell>
          <cell r="AB83">
            <v>42698</v>
          </cell>
          <cell r="AC83">
            <v>26.5</v>
          </cell>
          <cell r="AD83">
            <v>0.38541666666666669</v>
          </cell>
          <cell r="AE83">
            <v>0.39583333333333331</v>
          </cell>
          <cell r="AF83">
            <v>42698</v>
          </cell>
          <cell r="AG83">
            <v>0.41666666666666669</v>
          </cell>
          <cell r="AH83">
            <v>0.47916666666666669</v>
          </cell>
          <cell r="AI83">
            <v>42698</v>
          </cell>
          <cell r="AJ83">
            <v>0.52083333333333337</v>
          </cell>
          <cell r="AK83">
            <v>0.52777777777777779</v>
          </cell>
          <cell r="AL83">
            <v>42698</v>
          </cell>
          <cell r="AM83">
            <v>1.06</v>
          </cell>
          <cell r="AN83">
            <v>9</v>
          </cell>
          <cell r="AO83">
            <v>22</v>
          </cell>
          <cell r="AP83">
            <v>0</v>
          </cell>
          <cell r="AQ83">
            <v>0.53472222222222221</v>
          </cell>
          <cell r="AR83">
            <v>0.53819444444444442</v>
          </cell>
          <cell r="AS83">
            <v>42698</v>
          </cell>
          <cell r="AT83">
            <v>26.5</v>
          </cell>
          <cell r="AU83">
            <v>0.54166666666666663</v>
          </cell>
          <cell r="AV83">
            <v>42698</v>
          </cell>
          <cell r="AW83">
            <v>0.59722222222222221</v>
          </cell>
          <cell r="AX83">
            <v>42698</v>
          </cell>
          <cell r="AY83">
            <v>6.6</v>
          </cell>
          <cell r="AZ83">
            <v>29</v>
          </cell>
        </row>
        <row r="84">
          <cell r="B84" t="str">
            <v>A51</v>
          </cell>
          <cell r="C84">
            <v>0.375</v>
          </cell>
          <cell r="D84">
            <v>0.43055555555555558</v>
          </cell>
          <cell r="E84">
            <v>42698</v>
          </cell>
          <cell r="F84">
            <v>0.4375</v>
          </cell>
          <cell r="G84">
            <v>0.44444444444444442</v>
          </cell>
          <cell r="H84">
            <v>42698</v>
          </cell>
          <cell r="I84">
            <v>-6.0000000000000001E-3</v>
          </cell>
          <cell r="J84">
            <v>0</v>
          </cell>
          <cell r="K84">
            <v>-0.45300000000000001</v>
          </cell>
          <cell r="L84">
            <v>-1.071</v>
          </cell>
          <cell r="M84">
            <v>0.4513888888888889</v>
          </cell>
          <cell r="N84">
            <v>0.45833333333333331</v>
          </cell>
          <cell r="O84">
            <v>42698</v>
          </cell>
          <cell r="P84">
            <v>1.05</v>
          </cell>
          <cell r="Q84">
            <v>9</v>
          </cell>
          <cell r="R84">
            <v>28</v>
          </cell>
          <cell r="S84">
            <v>0</v>
          </cell>
          <cell r="T84">
            <v>0.61458333333333337</v>
          </cell>
          <cell r="U84">
            <v>42698</v>
          </cell>
          <cell r="V84">
            <v>21.1</v>
          </cell>
          <cell r="W84">
            <v>4.1666666666666664E-2</v>
          </cell>
          <cell r="X84">
            <v>42699</v>
          </cell>
          <cell r="Y84">
            <v>31.22</v>
          </cell>
          <cell r="Z84">
            <v>0.32291666666666669</v>
          </cell>
          <cell r="AA84">
            <v>0.35416666666666669</v>
          </cell>
          <cell r="AB84">
            <v>42699</v>
          </cell>
          <cell r="AC84">
            <v>31.5</v>
          </cell>
          <cell r="AD84">
            <v>0.375</v>
          </cell>
          <cell r="AE84">
            <v>0.38541666666666669</v>
          </cell>
          <cell r="AF84">
            <v>42699</v>
          </cell>
          <cell r="AG84">
            <v>0.40277777777777773</v>
          </cell>
          <cell r="AH84">
            <v>0.44097222222222227</v>
          </cell>
          <cell r="AI84">
            <v>42699</v>
          </cell>
          <cell r="AJ84">
            <v>0.46875</v>
          </cell>
          <cell r="AK84">
            <v>0.47569444444444442</v>
          </cell>
          <cell r="AL84">
            <v>42699</v>
          </cell>
          <cell r="AM84">
            <v>1.05</v>
          </cell>
          <cell r="AN84">
            <v>9</v>
          </cell>
          <cell r="AO84">
            <v>20</v>
          </cell>
          <cell r="AP84">
            <v>0</v>
          </cell>
          <cell r="AQ84">
            <v>0.47916666666666669</v>
          </cell>
          <cell r="AR84">
            <v>0.4826388888888889</v>
          </cell>
          <cell r="AS84">
            <v>42699</v>
          </cell>
          <cell r="AT84">
            <v>31.5</v>
          </cell>
          <cell r="AU84">
            <v>0.48958333333333331</v>
          </cell>
          <cell r="AV84">
            <v>42699</v>
          </cell>
          <cell r="AW84">
            <v>0.57291666666666663</v>
          </cell>
          <cell r="AX84">
            <v>42699</v>
          </cell>
          <cell r="AY84">
            <v>6.8</v>
          </cell>
          <cell r="AZ84">
            <v>36</v>
          </cell>
        </row>
        <row r="85">
          <cell r="B85" t="str">
            <v>B41</v>
          </cell>
          <cell r="C85">
            <v>0.38541666666666669</v>
          </cell>
          <cell r="D85">
            <v>0.44791666666666669</v>
          </cell>
          <cell r="E85">
            <v>42699</v>
          </cell>
          <cell r="F85">
            <v>0.4548611111111111</v>
          </cell>
          <cell r="G85">
            <v>0.46527777777777773</v>
          </cell>
          <cell r="H85">
            <v>42699</v>
          </cell>
          <cell r="I85">
            <v>-1.4E-2</v>
          </cell>
          <cell r="J85">
            <v>2.7E-2</v>
          </cell>
          <cell r="K85">
            <v>-0.33</v>
          </cell>
          <cell r="L85">
            <v>-0.82899999999999996</v>
          </cell>
          <cell r="M85">
            <v>0.66666666666666663</v>
          </cell>
          <cell r="N85">
            <v>0.6875</v>
          </cell>
          <cell r="O85">
            <v>42699</v>
          </cell>
          <cell r="P85">
            <v>1.05</v>
          </cell>
          <cell r="Q85">
            <v>9</v>
          </cell>
          <cell r="R85">
            <v>26</v>
          </cell>
          <cell r="S85">
            <v>0</v>
          </cell>
          <cell r="T85">
            <v>0.85069444444444453</v>
          </cell>
          <cell r="U85">
            <v>42699</v>
          </cell>
          <cell r="V85">
            <v>25.9</v>
          </cell>
          <cell r="W85">
            <v>0.92638888888888893</v>
          </cell>
          <cell r="X85">
            <v>42699</v>
          </cell>
          <cell r="Y85">
            <v>27.62</v>
          </cell>
          <cell r="Z85">
            <v>0.96875</v>
          </cell>
          <cell r="AA85">
            <v>0.97916666666666663</v>
          </cell>
          <cell r="AB85">
            <v>42699</v>
          </cell>
          <cell r="AC85">
            <v>27.7</v>
          </cell>
          <cell r="AD85">
            <v>0.99305555555555547</v>
          </cell>
          <cell r="AE85">
            <v>3.472222222222222E-3</v>
          </cell>
          <cell r="AF85">
            <v>42700</v>
          </cell>
          <cell r="AG85">
            <v>2.0833333333333332E-2</v>
          </cell>
          <cell r="AH85">
            <v>0.13194444444444445</v>
          </cell>
          <cell r="AI85">
            <v>42700</v>
          </cell>
          <cell r="AJ85">
            <v>0.26041666666666669</v>
          </cell>
          <cell r="AK85">
            <v>0.2638888888888889</v>
          </cell>
          <cell r="AL85">
            <v>42700</v>
          </cell>
          <cell r="AM85">
            <v>1.05</v>
          </cell>
          <cell r="AN85">
            <v>9</v>
          </cell>
          <cell r="AO85">
            <v>26</v>
          </cell>
          <cell r="AP85">
            <v>0</v>
          </cell>
          <cell r="AQ85">
            <v>0.2673611111111111</v>
          </cell>
          <cell r="AR85">
            <v>0.27083333333333331</v>
          </cell>
          <cell r="AS85">
            <v>42700</v>
          </cell>
          <cell r="AT85">
            <v>27.7</v>
          </cell>
          <cell r="AU85">
            <v>0.27430555555555552</v>
          </cell>
          <cell r="AV85">
            <v>42700</v>
          </cell>
          <cell r="AW85">
            <v>0.3125</v>
          </cell>
          <cell r="AX85">
            <v>42700</v>
          </cell>
          <cell r="AY85">
            <v>5.4</v>
          </cell>
          <cell r="AZ85">
            <v>13.5</v>
          </cell>
        </row>
        <row r="86">
          <cell r="B86" t="str">
            <v>A139</v>
          </cell>
          <cell r="C86">
            <v>0.625</v>
          </cell>
          <cell r="D86">
            <v>0.6875</v>
          </cell>
          <cell r="E86">
            <v>42698</v>
          </cell>
          <cell r="F86">
            <v>0.69444444444444453</v>
          </cell>
          <cell r="G86">
            <v>0.70138888888888884</v>
          </cell>
          <cell r="H86">
            <v>42698</v>
          </cell>
          <cell r="I86">
            <v>1.7999999999999999E-2</v>
          </cell>
          <cell r="J86">
            <v>-1.2E-2</v>
          </cell>
          <cell r="K86">
            <v>-0.47199999999999998</v>
          </cell>
          <cell r="L86">
            <v>-0.96299999999999997</v>
          </cell>
          <cell r="M86">
            <v>0.70833333333333337</v>
          </cell>
          <cell r="N86">
            <v>0.71527777777777779</v>
          </cell>
          <cell r="O86">
            <v>42698</v>
          </cell>
          <cell r="P86">
            <v>1.05</v>
          </cell>
          <cell r="Q86">
            <v>9</v>
          </cell>
          <cell r="R86">
            <v>26</v>
          </cell>
          <cell r="S86">
            <v>0</v>
          </cell>
          <cell r="T86">
            <v>0.80208333333333337</v>
          </cell>
          <cell r="U86">
            <v>42698</v>
          </cell>
          <cell r="V86">
            <v>20.5</v>
          </cell>
          <cell r="W86">
            <v>0.72222222222222221</v>
          </cell>
          <cell r="X86">
            <v>42699</v>
          </cell>
          <cell r="Y86">
            <v>28.7</v>
          </cell>
          <cell r="Z86">
            <v>0.80208333333333337</v>
          </cell>
          <cell r="AA86">
            <v>0.8125</v>
          </cell>
          <cell r="AB86">
            <v>42699</v>
          </cell>
          <cell r="AC86">
            <v>28.7</v>
          </cell>
          <cell r="AD86">
            <v>0.81944444444444453</v>
          </cell>
          <cell r="AE86">
            <v>0.82986111111111116</v>
          </cell>
          <cell r="AF86">
            <v>42699</v>
          </cell>
          <cell r="AG86">
            <v>0.84375</v>
          </cell>
          <cell r="AH86">
            <v>0.96875</v>
          </cell>
          <cell r="AI86">
            <v>42699</v>
          </cell>
          <cell r="AJ86">
            <v>0.1111111111111111</v>
          </cell>
          <cell r="AK86">
            <v>0.11458333333333333</v>
          </cell>
          <cell r="AL86">
            <v>42700</v>
          </cell>
          <cell r="AM86">
            <v>1.05</v>
          </cell>
          <cell r="AN86">
            <v>9</v>
          </cell>
          <cell r="AO86">
            <v>26</v>
          </cell>
          <cell r="AP86">
            <v>0.6</v>
          </cell>
          <cell r="AQ86">
            <v>0.11805555555555557</v>
          </cell>
          <cell r="AR86">
            <v>0.12152777777777778</v>
          </cell>
          <cell r="AS86">
            <v>42700</v>
          </cell>
          <cell r="AT86">
            <v>28.72</v>
          </cell>
          <cell r="AU86">
            <v>0.125</v>
          </cell>
          <cell r="AV86">
            <v>42700</v>
          </cell>
          <cell r="AW86">
            <v>0.1875</v>
          </cell>
          <cell r="AX86">
            <v>42700</v>
          </cell>
          <cell r="AY86">
            <v>7.1</v>
          </cell>
          <cell r="AZ86">
            <v>30.5</v>
          </cell>
        </row>
        <row r="87">
          <cell r="B87" t="str">
            <v>A49</v>
          </cell>
          <cell r="C87">
            <v>0.64583333333333337</v>
          </cell>
          <cell r="D87">
            <v>0.70833333333333337</v>
          </cell>
          <cell r="E87">
            <v>42485</v>
          </cell>
          <cell r="F87">
            <v>0.72222222222222221</v>
          </cell>
          <cell r="G87">
            <v>0.72916666666666663</v>
          </cell>
          <cell r="H87">
            <v>42485</v>
          </cell>
          <cell r="I87">
            <v>8.9999999999999993E-3</v>
          </cell>
          <cell r="J87">
            <v>-1.6E-2</v>
          </cell>
          <cell r="K87">
            <v>-6.2E-2</v>
          </cell>
          <cell r="L87">
            <v>-0.52</v>
          </cell>
          <cell r="M87">
            <v>0.77083333333333337</v>
          </cell>
          <cell r="N87">
            <v>0.78472222222222221</v>
          </cell>
          <cell r="O87">
            <v>42485</v>
          </cell>
          <cell r="P87">
            <v>1.05</v>
          </cell>
          <cell r="Q87">
            <v>9</v>
          </cell>
          <cell r="R87">
            <v>27</v>
          </cell>
          <cell r="S87">
            <v>0</v>
          </cell>
          <cell r="T87">
            <v>0.9375</v>
          </cell>
          <cell r="U87">
            <v>42485</v>
          </cell>
          <cell r="V87">
            <v>20.7</v>
          </cell>
          <cell r="W87">
            <v>0.3125</v>
          </cell>
          <cell r="X87">
            <v>42487</v>
          </cell>
          <cell r="Y87">
            <v>32.15</v>
          </cell>
          <cell r="Z87">
            <v>0.35416666666666669</v>
          </cell>
          <cell r="AA87">
            <v>0.375</v>
          </cell>
          <cell r="AB87">
            <v>42487</v>
          </cell>
          <cell r="AC87">
            <v>32.17</v>
          </cell>
          <cell r="AD87">
            <v>0.37847222222222227</v>
          </cell>
          <cell r="AE87">
            <v>0.38541666666666669</v>
          </cell>
          <cell r="AF87">
            <v>42487</v>
          </cell>
          <cell r="AG87">
            <v>0.4513888888888889</v>
          </cell>
          <cell r="AH87">
            <v>0.54166666666666663</v>
          </cell>
          <cell r="AI87">
            <v>42487</v>
          </cell>
          <cell r="AJ87">
            <v>0.58333333333333337</v>
          </cell>
          <cell r="AK87">
            <v>0.59027777777777779</v>
          </cell>
          <cell r="AL87">
            <v>42487</v>
          </cell>
          <cell r="AM87">
            <v>1.05</v>
          </cell>
          <cell r="AN87">
            <v>9</v>
          </cell>
          <cell r="AO87">
            <v>28</v>
          </cell>
          <cell r="AP87">
            <v>0</v>
          </cell>
          <cell r="AQ87">
            <v>0.59722222222222221</v>
          </cell>
          <cell r="AR87">
            <v>0.60069444444444442</v>
          </cell>
          <cell r="AS87">
            <v>42487</v>
          </cell>
          <cell r="AT87">
            <v>32.17</v>
          </cell>
          <cell r="AU87">
            <v>0.59375</v>
          </cell>
          <cell r="AV87">
            <v>42487</v>
          </cell>
          <cell r="AW87">
            <v>0.66666666666666663</v>
          </cell>
          <cell r="AX87">
            <v>42487</v>
          </cell>
          <cell r="AY87">
            <v>6.7</v>
          </cell>
          <cell r="AZ87">
            <v>37</v>
          </cell>
        </row>
        <row r="88">
          <cell r="B88" t="str">
            <v>B26</v>
          </cell>
          <cell r="C88">
            <v>0.29166666666666669</v>
          </cell>
          <cell r="D88">
            <v>0.35416666666666669</v>
          </cell>
          <cell r="E88">
            <v>42700</v>
          </cell>
          <cell r="F88">
            <v>0.42708333333333331</v>
          </cell>
          <cell r="G88">
            <v>0.4375</v>
          </cell>
          <cell r="H88">
            <v>42700</v>
          </cell>
          <cell r="I88">
            <v>-7.0000000000000001E-3</v>
          </cell>
          <cell r="J88">
            <v>7.0000000000000001E-3</v>
          </cell>
          <cell r="K88">
            <v>-0.108</v>
          </cell>
          <cell r="L88">
            <v>-0.501</v>
          </cell>
          <cell r="M88">
            <v>0.44097222222222227</v>
          </cell>
          <cell r="N88">
            <v>0.44791666666666669</v>
          </cell>
          <cell r="O88">
            <v>42700</v>
          </cell>
          <cell r="P88">
            <v>1.06</v>
          </cell>
          <cell r="Q88">
            <v>9</v>
          </cell>
          <cell r="R88">
            <v>22</v>
          </cell>
          <cell r="S88">
            <v>0</v>
          </cell>
          <cell r="T88">
            <v>0.59722222222222221</v>
          </cell>
          <cell r="U88">
            <v>42700</v>
          </cell>
          <cell r="V88">
            <v>21.1</v>
          </cell>
          <cell r="W88">
            <v>0.41666666666666669</v>
          </cell>
          <cell r="X88">
            <v>42701</v>
          </cell>
          <cell r="Y88">
            <v>31.3</v>
          </cell>
          <cell r="Z88">
            <v>0.59722222222222221</v>
          </cell>
          <cell r="AA88">
            <v>0.64236111111111105</v>
          </cell>
          <cell r="AB88">
            <v>42701</v>
          </cell>
          <cell r="AC88">
            <v>31.32</v>
          </cell>
          <cell r="AD88">
            <v>0.64930555555555558</v>
          </cell>
          <cell r="AE88">
            <v>0.65972222222222221</v>
          </cell>
          <cell r="AF88">
            <v>42701</v>
          </cell>
          <cell r="AG88">
            <v>0.6875</v>
          </cell>
          <cell r="AH88">
            <v>0.73958333333333337</v>
          </cell>
          <cell r="AI88">
            <v>42701</v>
          </cell>
          <cell r="AJ88">
            <v>0.88541666666666663</v>
          </cell>
          <cell r="AK88">
            <v>0.89583333333333337</v>
          </cell>
          <cell r="AL88">
            <v>42701</v>
          </cell>
          <cell r="AM88">
            <v>1.06</v>
          </cell>
          <cell r="AN88">
            <v>9</v>
          </cell>
          <cell r="AO88">
            <v>28</v>
          </cell>
          <cell r="AP88">
            <v>0</v>
          </cell>
          <cell r="AQ88">
            <v>0.89930555555555547</v>
          </cell>
          <cell r="AR88">
            <v>0.90277777777777779</v>
          </cell>
          <cell r="AS88">
            <v>42701</v>
          </cell>
          <cell r="AT88">
            <v>31.32</v>
          </cell>
          <cell r="AU88">
            <v>0.88194444444444453</v>
          </cell>
          <cell r="AV88">
            <v>42701</v>
          </cell>
          <cell r="AW88">
            <v>0.97222222222222221</v>
          </cell>
          <cell r="AX88">
            <v>42701</v>
          </cell>
          <cell r="AY88">
            <v>5.3</v>
          </cell>
          <cell r="AZ88">
            <v>19</v>
          </cell>
        </row>
        <row r="89">
          <cell r="B89" t="str">
            <v>A83</v>
          </cell>
          <cell r="C89">
            <v>0.35416666666666669</v>
          </cell>
          <cell r="D89">
            <v>0.41666666666666669</v>
          </cell>
          <cell r="E89">
            <v>42700</v>
          </cell>
          <cell r="F89">
            <v>0.4201388888888889</v>
          </cell>
          <cell r="G89">
            <v>0.42708333333333331</v>
          </cell>
          <cell r="H89">
            <v>42700</v>
          </cell>
          <cell r="I89">
            <v>0</v>
          </cell>
          <cell r="J89">
            <v>-7.0000000000000001E-3</v>
          </cell>
          <cell r="K89">
            <v>5.8000000000000003E-2</v>
          </cell>
          <cell r="L89">
            <v>-0.54200000000000004</v>
          </cell>
          <cell r="M89">
            <v>0.44097222222222227</v>
          </cell>
          <cell r="N89">
            <v>0.44791666666666669</v>
          </cell>
          <cell r="O89">
            <v>42700</v>
          </cell>
          <cell r="P89">
            <v>1.06</v>
          </cell>
          <cell r="Q89">
            <v>9</v>
          </cell>
          <cell r="R89">
            <v>22</v>
          </cell>
          <cell r="S89">
            <v>0</v>
          </cell>
          <cell r="T89">
            <v>0.60416666666666663</v>
          </cell>
          <cell r="U89">
            <v>42700</v>
          </cell>
          <cell r="V89">
            <v>21.15</v>
          </cell>
          <cell r="W89">
            <v>0.875</v>
          </cell>
          <cell r="X89">
            <v>42701</v>
          </cell>
          <cell r="Y89">
            <v>28.27</v>
          </cell>
          <cell r="Z89">
            <v>0.95833333333333337</v>
          </cell>
          <cell r="AA89">
            <v>0.98611111111111116</v>
          </cell>
          <cell r="AB89">
            <v>42701</v>
          </cell>
          <cell r="AC89">
            <v>28.5</v>
          </cell>
          <cell r="AD89">
            <v>0.98958333333333337</v>
          </cell>
          <cell r="AE89">
            <v>0.99652777777777779</v>
          </cell>
          <cell r="AF89">
            <v>42701</v>
          </cell>
          <cell r="AG89">
            <v>3.472222222222222E-3</v>
          </cell>
          <cell r="AH89">
            <v>4.1666666666666664E-2</v>
          </cell>
          <cell r="AI89">
            <v>42702</v>
          </cell>
          <cell r="AJ89">
            <v>8.3333333333333329E-2</v>
          </cell>
          <cell r="AK89">
            <v>8.819444444444445E-2</v>
          </cell>
          <cell r="AL89">
            <v>42702</v>
          </cell>
          <cell r="AM89">
            <v>1.05</v>
          </cell>
          <cell r="AN89">
            <v>9</v>
          </cell>
          <cell r="AO89">
            <v>24</v>
          </cell>
          <cell r="AP89">
            <v>0</v>
          </cell>
          <cell r="AQ89">
            <v>9.0277777777777776E-2</v>
          </cell>
          <cell r="AR89">
            <v>9.375E-2</v>
          </cell>
          <cell r="AS89">
            <v>42702</v>
          </cell>
          <cell r="AT89">
            <v>28.5</v>
          </cell>
          <cell r="AU89">
            <v>9.7222222222222224E-2</v>
          </cell>
          <cell r="AV89">
            <v>42702</v>
          </cell>
          <cell r="AW89">
            <v>0.16666666666666666</v>
          </cell>
          <cell r="AX89">
            <v>42702</v>
          </cell>
          <cell r="AY89">
            <v>7.4</v>
          </cell>
          <cell r="AZ89">
            <v>32</v>
          </cell>
        </row>
        <row r="90">
          <cell r="B90" t="str">
            <v>B42</v>
          </cell>
          <cell r="C90">
            <v>0.41666666666666669</v>
          </cell>
          <cell r="D90">
            <v>0.47916666666666669</v>
          </cell>
          <cell r="E90">
            <v>42701</v>
          </cell>
          <cell r="F90">
            <v>0.58333333333333337</v>
          </cell>
          <cell r="G90">
            <v>0.59027777777777779</v>
          </cell>
          <cell r="H90">
            <v>42701</v>
          </cell>
          <cell r="I90">
            <v>1.6E-2</v>
          </cell>
          <cell r="J90">
            <v>-3.0000000000000001E-3</v>
          </cell>
          <cell r="K90">
            <v>-9.5000000000000001E-2</v>
          </cell>
          <cell r="L90">
            <v>-0.29299999999999998</v>
          </cell>
          <cell r="M90">
            <v>0.60416666666666663</v>
          </cell>
          <cell r="N90">
            <v>0.61111111111111105</v>
          </cell>
          <cell r="O90">
            <v>42701</v>
          </cell>
          <cell r="P90">
            <v>1.06</v>
          </cell>
          <cell r="Q90">
            <v>9</v>
          </cell>
          <cell r="R90">
            <v>25</v>
          </cell>
          <cell r="S90">
            <v>0</v>
          </cell>
          <cell r="T90">
            <v>0.80555555555555547</v>
          </cell>
          <cell r="U90">
            <v>42701</v>
          </cell>
          <cell r="V90">
            <v>21.7</v>
          </cell>
          <cell r="W90">
            <v>0.89583333333333337</v>
          </cell>
          <cell r="X90">
            <v>42701</v>
          </cell>
          <cell r="Y90">
            <v>24.45</v>
          </cell>
          <cell r="Z90">
            <v>0.41666666666666669</v>
          </cell>
          <cell r="AA90">
            <v>0.42708333333333331</v>
          </cell>
          <cell r="AB90">
            <v>42702</v>
          </cell>
          <cell r="AC90">
            <v>24.55</v>
          </cell>
          <cell r="AD90">
            <v>0.43055555555555558</v>
          </cell>
          <cell r="AE90">
            <v>0.4375</v>
          </cell>
          <cell r="AF90">
            <v>42702</v>
          </cell>
          <cell r="AG90">
            <v>0.46875</v>
          </cell>
          <cell r="AH90">
            <v>0.53125</v>
          </cell>
          <cell r="AI90">
            <v>42702</v>
          </cell>
          <cell r="AJ90">
            <v>0.56944444444444442</v>
          </cell>
          <cell r="AK90">
            <v>0.57638888888888895</v>
          </cell>
          <cell r="AL90">
            <v>42702</v>
          </cell>
          <cell r="AM90">
            <v>1.06</v>
          </cell>
          <cell r="AN90">
            <v>9</v>
          </cell>
          <cell r="AO90">
            <v>25</v>
          </cell>
          <cell r="AP90">
            <v>0</v>
          </cell>
          <cell r="AQ90">
            <v>0.57986111111111105</v>
          </cell>
          <cell r="AR90">
            <v>0.58333333333333337</v>
          </cell>
          <cell r="AS90">
            <v>42702</v>
          </cell>
          <cell r="AT90">
            <v>24.55</v>
          </cell>
          <cell r="AU90">
            <v>0.59375</v>
          </cell>
          <cell r="AV90">
            <v>42702</v>
          </cell>
          <cell r="AW90">
            <v>0.60069444444444442</v>
          </cell>
          <cell r="AX90">
            <v>42702</v>
          </cell>
          <cell r="AY90">
            <v>5.6</v>
          </cell>
          <cell r="AZ90">
            <v>10</v>
          </cell>
        </row>
        <row r="91">
          <cell r="B91" t="str">
            <v>BP1</v>
          </cell>
          <cell r="C91">
            <v>0.68055555555555547</v>
          </cell>
          <cell r="D91">
            <v>0.75</v>
          </cell>
          <cell r="E91">
            <v>42701</v>
          </cell>
          <cell r="F91">
            <v>0.76041666666666663</v>
          </cell>
          <cell r="G91">
            <v>0.77083333333333337</v>
          </cell>
          <cell r="H91">
            <v>42701</v>
          </cell>
          <cell r="I91">
            <v>2E-3</v>
          </cell>
          <cell r="J91">
            <v>-2.1000000000000001E-2</v>
          </cell>
          <cell r="K91">
            <v>0.17299999999999999</v>
          </cell>
          <cell r="L91">
            <v>-0.27900000000000003</v>
          </cell>
          <cell r="M91">
            <v>0.78125</v>
          </cell>
          <cell r="N91">
            <v>0.79166666666666663</v>
          </cell>
          <cell r="O91">
            <v>42701</v>
          </cell>
          <cell r="P91">
            <v>1.06</v>
          </cell>
          <cell r="Q91">
            <v>9</v>
          </cell>
          <cell r="R91">
            <v>21</v>
          </cell>
          <cell r="S91">
            <v>0</v>
          </cell>
          <cell r="T91">
            <v>0.92708333333333337</v>
          </cell>
          <cell r="U91">
            <v>42701</v>
          </cell>
          <cell r="V91">
            <v>20.22</v>
          </cell>
          <cell r="W91">
            <v>0.3888888888888889</v>
          </cell>
          <cell r="X91">
            <v>42702</v>
          </cell>
          <cell r="Y91">
            <v>27.7</v>
          </cell>
          <cell r="Z91">
            <v>0.625</v>
          </cell>
          <cell r="AA91">
            <v>0.63888888888888895</v>
          </cell>
          <cell r="AB91">
            <v>42702</v>
          </cell>
          <cell r="AC91">
            <v>27.95</v>
          </cell>
          <cell r="AD91">
            <v>0.63888888888888895</v>
          </cell>
          <cell r="AE91">
            <v>0.65277777777777779</v>
          </cell>
          <cell r="AF91">
            <v>42702</v>
          </cell>
          <cell r="AG91">
            <v>0.65972222222222221</v>
          </cell>
          <cell r="AH91">
            <v>0.70138888888888884</v>
          </cell>
          <cell r="AI91">
            <v>42702</v>
          </cell>
          <cell r="AJ91">
            <v>0.84722222222222221</v>
          </cell>
          <cell r="AK91">
            <v>0.85416666666666663</v>
          </cell>
          <cell r="AL91">
            <v>42702</v>
          </cell>
          <cell r="AM91">
            <v>1.06</v>
          </cell>
          <cell r="AN91">
            <v>9</v>
          </cell>
          <cell r="AO91">
            <v>24</v>
          </cell>
          <cell r="AP91">
            <v>0</v>
          </cell>
          <cell r="AQ91">
            <v>0.86111111111111116</v>
          </cell>
          <cell r="AR91">
            <v>0.86458333333333337</v>
          </cell>
          <cell r="AS91">
            <v>42702</v>
          </cell>
          <cell r="AT91">
            <v>27.95</v>
          </cell>
          <cell r="AU91">
            <v>0.87152777777777779</v>
          </cell>
          <cell r="AV91">
            <v>42702</v>
          </cell>
          <cell r="AW91">
            <v>0.92361111111111116</v>
          </cell>
          <cell r="AX91">
            <v>42702</v>
          </cell>
          <cell r="AY91">
            <v>5.4</v>
          </cell>
          <cell r="AZ91">
            <v>32</v>
          </cell>
        </row>
        <row r="92">
          <cell r="B92" t="str">
            <v>A130</v>
          </cell>
          <cell r="C92">
            <v>0.5625</v>
          </cell>
          <cell r="D92">
            <v>0.625</v>
          </cell>
          <cell r="E92">
            <v>42701</v>
          </cell>
          <cell r="F92">
            <v>0.63541666666666663</v>
          </cell>
          <cell r="G92">
            <v>0.64583333333333337</v>
          </cell>
          <cell r="H92">
            <v>42701</v>
          </cell>
          <cell r="I92">
            <v>-1.4999999999999999E-2</v>
          </cell>
          <cell r="J92">
            <v>-8.9999999999999993E-3</v>
          </cell>
          <cell r="K92">
            <v>-0.63</v>
          </cell>
          <cell r="L92">
            <v>-1.0429999999999999</v>
          </cell>
          <cell r="M92">
            <v>0.30208333333333331</v>
          </cell>
          <cell r="N92">
            <v>0.3125</v>
          </cell>
          <cell r="O92">
            <v>42702</v>
          </cell>
          <cell r="P92">
            <v>1.05</v>
          </cell>
          <cell r="Q92">
            <v>9</v>
          </cell>
          <cell r="R92">
            <v>22</v>
          </cell>
          <cell r="S92">
            <v>0</v>
          </cell>
          <cell r="T92">
            <v>0.40625</v>
          </cell>
          <cell r="U92">
            <v>42702</v>
          </cell>
          <cell r="V92">
            <v>17.5</v>
          </cell>
          <cell r="W92">
            <v>0.92708333333333337</v>
          </cell>
          <cell r="X92">
            <v>42702</v>
          </cell>
          <cell r="Y92">
            <v>30.4</v>
          </cell>
          <cell r="Z92">
            <v>0.95833333333333337</v>
          </cell>
          <cell r="AA92">
            <v>0.98958333333333337</v>
          </cell>
          <cell r="AB92">
            <v>42702</v>
          </cell>
          <cell r="AC92">
            <v>30.45</v>
          </cell>
          <cell r="AD92">
            <v>0.99305555555555547</v>
          </cell>
          <cell r="AE92">
            <v>0.98958333333333337</v>
          </cell>
          <cell r="AF92">
            <v>42702</v>
          </cell>
          <cell r="AG92">
            <v>1.0416666666666666E-2</v>
          </cell>
          <cell r="AH92">
            <v>6.25E-2</v>
          </cell>
          <cell r="AI92">
            <v>42703</v>
          </cell>
          <cell r="AJ92">
            <v>8.3333333333333329E-2</v>
          </cell>
          <cell r="AK92">
            <v>9.0277777777777776E-2</v>
          </cell>
          <cell r="AL92">
            <v>42703</v>
          </cell>
          <cell r="AM92">
            <v>1.05</v>
          </cell>
          <cell r="AN92">
            <v>9</v>
          </cell>
          <cell r="AO92">
            <v>24</v>
          </cell>
          <cell r="AP92">
            <v>0</v>
          </cell>
          <cell r="AQ92">
            <v>0.1076388888888889</v>
          </cell>
          <cell r="AR92">
            <v>0.1111111111111111</v>
          </cell>
          <cell r="AS92">
            <v>42703</v>
          </cell>
          <cell r="AT92">
            <v>30.45</v>
          </cell>
          <cell r="AU92">
            <v>0.11805555555555557</v>
          </cell>
          <cell r="AV92">
            <v>42703</v>
          </cell>
          <cell r="AW92">
            <v>0.23958333333333334</v>
          </cell>
          <cell r="AX92">
            <v>42703</v>
          </cell>
          <cell r="AY92">
            <v>6.5</v>
          </cell>
          <cell r="AZ92">
            <v>49</v>
          </cell>
        </row>
        <row r="93">
          <cell r="B93" t="str">
            <v>A85</v>
          </cell>
          <cell r="C93">
            <v>0.375</v>
          </cell>
          <cell r="D93">
            <v>0.4375</v>
          </cell>
          <cell r="E93">
            <v>42701</v>
          </cell>
          <cell r="F93">
            <v>0.59027777777777779</v>
          </cell>
          <cell r="G93">
            <v>0.59722222222222221</v>
          </cell>
          <cell r="H93">
            <v>42701</v>
          </cell>
          <cell r="I93">
            <v>1.4E-2</v>
          </cell>
          <cell r="J93">
            <v>0.03</v>
          </cell>
          <cell r="K93">
            <v>9.9000000000000005E-2</v>
          </cell>
          <cell r="L93">
            <v>-0.21299999999999999</v>
          </cell>
          <cell r="M93">
            <v>0.2951388888888889</v>
          </cell>
          <cell r="N93">
            <v>0.2986111111111111</v>
          </cell>
          <cell r="O93">
            <v>42702</v>
          </cell>
          <cell r="P93">
            <v>1.06</v>
          </cell>
          <cell r="Q93">
            <v>9</v>
          </cell>
          <cell r="R93">
            <v>26</v>
          </cell>
          <cell r="S93">
            <v>0</v>
          </cell>
          <cell r="T93">
            <v>0.36805555555555558</v>
          </cell>
          <cell r="U93">
            <v>42702</v>
          </cell>
          <cell r="V93">
            <v>22.8</v>
          </cell>
          <cell r="W93">
            <v>0.86805555555555547</v>
          </cell>
          <cell r="X93">
            <v>42703</v>
          </cell>
          <cell r="Y93">
            <v>28.3</v>
          </cell>
          <cell r="Z93">
            <v>0.3125</v>
          </cell>
          <cell r="AA93">
            <v>0.3263888888888889</v>
          </cell>
          <cell r="AB93">
            <v>42703</v>
          </cell>
          <cell r="AC93">
            <v>28.33</v>
          </cell>
          <cell r="AD93">
            <v>0.33333333333333331</v>
          </cell>
          <cell r="AE93">
            <v>0.34722222222222227</v>
          </cell>
          <cell r="AF93">
            <v>42703</v>
          </cell>
          <cell r="AG93">
            <v>0.35069444444444442</v>
          </cell>
          <cell r="AH93">
            <v>0.47916666666666669</v>
          </cell>
          <cell r="AI93">
            <v>42703</v>
          </cell>
          <cell r="AJ93">
            <v>0.5625</v>
          </cell>
          <cell r="AK93">
            <v>0.56944444444444442</v>
          </cell>
          <cell r="AL93">
            <v>42703</v>
          </cell>
          <cell r="AM93">
            <v>1.06</v>
          </cell>
          <cell r="AN93">
            <v>9</v>
          </cell>
          <cell r="AO93">
            <v>26</v>
          </cell>
          <cell r="AP93">
            <v>0</v>
          </cell>
          <cell r="AQ93">
            <v>0.57291666666666663</v>
          </cell>
          <cell r="AR93">
            <v>0.58263888888888882</v>
          </cell>
          <cell r="AS93">
            <v>42703</v>
          </cell>
          <cell r="AT93">
            <v>28.33</v>
          </cell>
          <cell r="AU93">
            <v>0.59375</v>
          </cell>
          <cell r="AV93">
            <v>42703</v>
          </cell>
          <cell r="AW93">
            <v>0.63541666666666663</v>
          </cell>
          <cell r="AX93">
            <v>42703</v>
          </cell>
          <cell r="AY93">
            <v>8.6</v>
          </cell>
          <cell r="AZ93">
            <v>29</v>
          </cell>
        </row>
        <row r="94">
          <cell r="B94" t="str">
            <v>A50</v>
          </cell>
          <cell r="C94">
            <v>0.375</v>
          </cell>
          <cell r="D94">
            <v>0.4375</v>
          </cell>
          <cell r="E94">
            <v>42703</v>
          </cell>
          <cell r="F94">
            <v>0.44097222222222227</v>
          </cell>
          <cell r="G94">
            <v>0.4513888888888889</v>
          </cell>
          <cell r="H94">
            <v>42703</v>
          </cell>
          <cell r="I94">
            <v>-2.4E-2</v>
          </cell>
          <cell r="J94">
            <v>2.4E-2</v>
          </cell>
          <cell r="K94">
            <v>-9.5000000000000001E-2</v>
          </cell>
          <cell r="L94">
            <v>-0.68899999999999995</v>
          </cell>
          <cell r="M94">
            <v>0.4548611111111111</v>
          </cell>
          <cell r="N94">
            <v>0.46527777777777773</v>
          </cell>
          <cell r="O94">
            <v>42703</v>
          </cell>
          <cell r="P94">
            <v>1.05</v>
          </cell>
          <cell r="Q94">
            <v>9</v>
          </cell>
          <cell r="R94">
            <v>27</v>
          </cell>
          <cell r="S94">
            <v>0</v>
          </cell>
          <cell r="T94">
            <v>0.64583333333333337</v>
          </cell>
          <cell r="U94">
            <v>42703</v>
          </cell>
          <cell r="V94">
            <v>21.2</v>
          </cell>
          <cell r="W94">
            <v>0.5625</v>
          </cell>
          <cell r="X94">
            <v>42704</v>
          </cell>
          <cell r="Y94">
            <v>30.9</v>
          </cell>
          <cell r="Z94">
            <v>0.58333333333333337</v>
          </cell>
          <cell r="AA94">
            <v>0.60069444444444442</v>
          </cell>
          <cell r="AB94">
            <v>42704</v>
          </cell>
          <cell r="AC94">
            <v>30.93</v>
          </cell>
          <cell r="AD94">
            <v>0.60416666666666663</v>
          </cell>
          <cell r="AE94">
            <v>0.625</v>
          </cell>
          <cell r="AF94">
            <v>42704</v>
          </cell>
          <cell r="AG94">
            <v>0.62847222222222221</v>
          </cell>
          <cell r="AH94">
            <v>0.69791666666666663</v>
          </cell>
          <cell r="AI94">
            <v>42704</v>
          </cell>
          <cell r="AJ94">
            <v>0.76388888888888884</v>
          </cell>
          <cell r="AK94">
            <v>0.76736111111111116</v>
          </cell>
          <cell r="AL94">
            <v>42704</v>
          </cell>
          <cell r="AM94">
            <v>1.05</v>
          </cell>
          <cell r="AN94">
            <v>9</v>
          </cell>
          <cell r="AO94">
            <v>27</v>
          </cell>
          <cell r="AP94">
            <v>0</v>
          </cell>
          <cell r="AQ94">
            <v>0.77083333333333337</v>
          </cell>
          <cell r="AR94">
            <v>0.77430555555555547</v>
          </cell>
          <cell r="AS94">
            <v>42704</v>
          </cell>
          <cell r="AT94">
            <v>30.93</v>
          </cell>
          <cell r="AU94">
            <v>0.77777777777777779</v>
          </cell>
          <cell r="AV94">
            <v>42704</v>
          </cell>
          <cell r="AW94">
            <v>0.86805555555555547</v>
          </cell>
          <cell r="AX94">
            <v>42704</v>
          </cell>
          <cell r="AY94">
            <v>7.4</v>
          </cell>
          <cell r="AZ94">
            <v>48</v>
          </cell>
        </row>
        <row r="95">
          <cell r="B95" t="str">
            <v>A54</v>
          </cell>
          <cell r="C95">
            <v>0.43055555555555558</v>
          </cell>
          <cell r="D95">
            <v>0.48958333333333331</v>
          </cell>
          <cell r="E95">
            <v>42703</v>
          </cell>
          <cell r="F95">
            <v>0.60416666666666663</v>
          </cell>
          <cell r="G95">
            <v>0.61111111111111105</v>
          </cell>
          <cell r="H95">
            <v>42703</v>
          </cell>
          <cell r="I95">
            <v>2.5999999999999999E-2</v>
          </cell>
          <cell r="J95">
            <v>-1.2E-2</v>
          </cell>
          <cell r="K95">
            <v>-0.316</v>
          </cell>
          <cell r="L95">
            <v>-0.629</v>
          </cell>
          <cell r="M95">
            <v>0.58333333333333337</v>
          </cell>
          <cell r="N95">
            <v>0.59375</v>
          </cell>
          <cell r="O95">
            <v>42704</v>
          </cell>
          <cell r="P95">
            <v>1.06</v>
          </cell>
          <cell r="Q95">
            <v>9</v>
          </cell>
          <cell r="R95">
            <v>26</v>
          </cell>
          <cell r="S95">
            <v>0</v>
          </cell>
          <cell r="T95">
            <v>0.88888888888888884</v>
          </cell>
          <cell r="U95">
            <v>42704</v>
          </cell>
          <cell r="V95">
            <v>19.600000000000001</v>
          </cell>
          <cell r="W95">
            <v>0.90277777777777779</v>
          </cell>
          <cell r="X95">
            <v>42704</v>
          </cell>
          <cell r="Y95">
            <v>21</v>
          </cell>
          <cell r="Z95">
            <v>0.96527777777777779</v>
          </cell>
          <cell r="AA95">
            <v>0.98611111111111116</v>
          </cell>
          <cell r="AB95">
            <v>42704</v>
          </cell>
          <cell r="AC95">
            <v>21</v>
          </cell>
          <cell r="AD95">
            <v>0.99305555555555547</v>
          </cell>
          <cell r="AE95">
            <v>0.99652777777777779</v>
          </cell>
          <cell r="AF95">
            <v>42704</v>
          </cell>
          <cell r="AG95">
            <v>6.9444444444444441E-3</v>
          </cell>
          <cell r="AH95">
            <v>2.0833333333333332E-2</v>
          </cell>
          <cell r="AI95">
            <v>42705</v>
          </cell>
          <cell r="AJ95">
            <v>5.5555555555555552E-2</v>
          </cell>
          <cell r="AK95">
            <v>5.9722222222222225E-2</v>
          </cell>
          <cell r="AL95">
            <v>42705</v>
          </cell>
          <cell r="AM95">
            <v>1.05</v>
          </cell>
          <cell r="AN95">
            <v>9</v>
          </cell>
          <cell r="AO95">
            <v>22</v>
          </cell>
          <cell r="AP95">
            <v>0</v>
          </cell>
          <cell r="AQ95">
            <v>6.25E-2</v>
          </cell>
          <cell r="AR95">
            <v>6.5972222222222224E-2</v>
          </cell>
          <cell r="AS95">
            <v>42705</v>
          </cell>
          <cell r="AT95">
            <v>21</v>
          </cell>
          <cell r="AU95">
            <v>6.9444444444444434E-2</v>
          </cell>
          <cell r="AV95">
            <v>42705</v>
          </cell>
          <cell r="AW95">
            <v>8.5416666666666655E-2</v>
          </cell>
          <cell r="AX95">
            <v>42705</v>
          </cell>
          <cell r="AY95">
            <v>7</v>
          </cell>
          <cell r="AZ95">
            <v>19</v>
          </cell>
        </row>
        <row r="96">
          <cell r="B96" t="str">
            <v>A140</v>
          </cell>
          <cell r="C96">
            <v>0.39583333333333331</v>
          </cell>
          <cell r="D96">
            <v>0.45833333333333331</v>
          </cell>
          <cell r="E96">
            <v>42702</v>
          </cell>
          <cell r="F96">
            <v>0.47569444444444442</v>
          </cell>
          <cell r="G96">
            <v>0.4861111111111111</v>
          </cell>
          <cell r="H96">
            <v>42702</v>
          </cell>
          <cell r="I96">
            <v>-3.0000000000000001E-3</v>
          </cell>
          <cell r="J96">
            <v>2.5999999999999999E-2</v>
          </cell>
          <cell r="K96">
            <v>1.7999999999999999E-2</v>
          </cell>
          <cell r="L96">
            <v>-0.33200000000000002</v>
          </cell>
          <cell r="M96">
            <v>0.57291666666666663</v>
          </cell>
          <cell r="N96">
            <v>0.57638888888888895</v>
          </cell>
          <cell r="O96">
            <v>42702</v>
          </cell>
          <cell r="P96">
            <v>1.06</v>
          </cell>
          <cell r="Q96">
            <v>9</v>
          </cell>
          <cell r="R96">
            <v>25</v>
          </cell>
          <cell r="S96">
            <v>0</v>
          </cell>
          <cell r="T96">
            <v>0.61458333333333337</v>
          </cell>
          <cell r="U96">
            <v>42703</v>
          </cell>
          <cell r="V96">
            <v>21.1</v>
          </cell>
          <cell r="W96">
            <v>0.76388888888888884</v>
          </cell>
          <cell r="X96">
            <v>42705</v>
          </cell>
          <cell r="Y96">
            <v>28.71</v>
          </cell>
          <cell r="Z96">
            <v>0.79166666666666663</v>
          </cell>
          <cell r="AA96">
            <v>0.8125</v>
          </cell>
          <cell r="AB96">
            <v>42705</v>
          </cell>
          <cell r="AC96">
            <v>28.75</v>
          </cell>
          <cell r="AD96">
            <v>0.81944444444444453</v>
          </cell>
          <cell r="AE96">
            <v>0.82638888888888884</v>
          </cell>
          <cell r="AF96">
            <v>42705</v>
          </cell>
          <cell r="AG96">
            <v>0.83680555555555547</v>
          </cell>
          <cell r="AH96">
            <v>0.86111111111111116</v>
          </cell>
          <cell r="AI96">
            <v>42705</v>
          </cell>
          <cell r="AJ96">
            <v>0.91666666666666663</v>
          </cell>
          <cell r="AK96">
            <v>0.92361111111111116</v>
          </cell>
          <cell r="AL96">
            <v>42705</v>
          </cell>
          <cell r="AM96">
            <v>1.05</v>
          </cell>
          <cell r="AN96">
            <v>9</v>
          </cell>
          <cell r="AO96">
            <v>25</v>
          </cell>
          <cell r="AP96">
            <v>0</v>
          </cell>
          <cell r="AQ96">
            <v>0.92708333333333337</v>
          </cell>
          <cell r="AR96">
            <v>0.93055555555555547</v>
          </cell>
          <cell r="AS96">
            <v>42705</v>
          </cell>
          <cell r="AT96">
            <v>28.75</v>
          </cell>
          <cell r="AU96">
            <v>0.93402777777777779</v>
          </cell>
          <cell r="AV96">
            <v>42705</v>
          </cell>
          <cell r="AW96">
            <v>0.98958333333333337</v>
          </cell>
          <cell r="AX96">
            <v>42705</v>
          </cell>
          <cell r="AY96">
            <v>7.6</v>
          </cell>
          <cell r="AZ96">
            <v>30</v>
          </cell>
        </row>
        <row r="97">
          <cell r="B97" t="str">
            <v>A82</v>
          </cell>
          <cell r="C97">
            <v>0.625</v>
          </cell>
          <cell r="D97">
            <v>0.70833333333333337</v>
          </cell>
          <cell r="E97">
            <v>42704</v>
          </cell>
          <cell r="F97">
            <v>0.77083333333333337</v>
          </cell>
          <cell r="G97">
            <v>0.78125</v>
          </cell>
          <cell r="H97">
            <v>42704</v>
          </cell>
          <cell r="I97">
            <v>0.115</v>
          </cell>
          <cell r="J97">
            <v>-0.02</v>
          </cell>
          <cell r="K97">
            <v>1.2999999999999999E-2</v>
          </cell>
          <cell r="L97">
            <v>-0.29599999999999999</v>
          </cell>
          <cell r="M97">
            <v>0.79166666666666663</v>
          </cell>
          <cell r="N97">
            <v>0.80208333333333337</v>
          </cell>
          <cell r="O97">
            <v>42704</v>
          </cell>
          <cell r="P97">
            <v>1.05</v>
          </cell>
          <cell r="Q97">
            <v>9</v>
          </cell>
          <cell r="R97">
            <v>23</v>
          </cell>
          <cell r="S97">
            <v>0</v>
          </cell>
          <cell r="T97">
            <v>0.34375</v>
          </cell>
          <cell r="U97">
            <v>42705</v>
          </cell>
          <cell r="V97">
            <v>21.1</v>
          </cell>
          <cell r="W97">
            <v>0.91666666666666663</v>
          </cell>
          <cell r="X97">
            <v>42705</v>
          </cell>
          <cell r="Y97">
            <v>28.35</v>
          </cell>
          <cell r="Z97">
            <v>0.96527777777777779</v>
          </cell>
          <cell r="AA97">
            <v>0.98958333333333337</v>
          </cell>
          <cell r="AB97">
            <v>42705</v>
          </cell>
          <cell r="AC97">
            <v>28.4</v>
          </cell>
          <cell r="AD97">
            <v>0.99097222222222225</v>
          </cell>
          <cell r="AE97">
            <v>0.99652777777777779</v>
          </cell>
          <cell r="AF97">
            <v>42705</v>
          </cell>
          <cell r="AG97">
            <v>0</v>
          </cell>
          <cell r="AH97">
            <v>5.5555555555555552E-2</v>
          </cell>
          <cell r="AI97">
            <v>42706</v>
          </cell>
          <cell r="AJ97">
            <v>0.13541666666666666</v>
          </cell>
          <cell r="AK97">
            <v>0.1423611111111111</v>
          </cell>
          <cell r="AL97">
            <v>42706</v>
          </cell>
          <cell r="AM97">
            <v>1.06</v>
          </cell>
          <cell r="AN97">
            <v>9</v>
          </cell>
          <cell r="AO97">
            <v>25</v>
          </cell>
          <cell r="AP97">
            <v>0</v>
          </cell>
          <cell r="AQ97">
            <v>0.15277777777777776</v>
          </cell>
          <cell r="AR97">
            <v>0.15625</v>
          </cell>
          <cell r="AS97">
            <v>42706</v>
          </cell>
          <cell r="AT97">
            <v>28.4</v>
          </cell>
          <cell r="AU97">
            <v>0.16319444444444445</v>
          </cell>
          <cell r="AV97">
            <v>42706</v>
          </cell>
          <cell r="AW97">
            <v>0.18888888888888888</v>
          </cell>
          <cell r="AX97">
            <v>42706</v>
          </cell>
          <cell r="AY97">
            <v>7.5</v>
          </cell>
          <cell r="AZ97">
            <v>27</v>
          </cell>
        </row>
        <row r="98">
          <cell r="B98" t="str">
            <v>A59</v>
          </cell>
          <cell r="C98">
            <v>0.5625</v>
          </cell>
          <cell r="D98">
            <v>0.60416666666666663</v>
          </cell>
          <cell r="E98">
            <v>42705</v>
          </cell>
          <cell r="F98">
            <v>0.65625</v>
          </cell>
          <cell r="G98">
            <v>0.66666666666666663</v>
          </cell>
          <cell r="H98">
            <v>42705</v>
          </cell>
          <cell r="I98">
            <v>-2.1000000000000001E-2</v>
          </cell>
          <cell r="J98">
            <v>1.4E-2</v>
          </cell>
          <cell r="K98">
            <v>-0.17899999999999999</v>
          </cell>
          <cell r="L98">
            <v>-0.68400000000000005</v>
          </cell>
          <cell r="M98">
            <v>0.67361111111111116</v>
          </cell>
          <cell r="N98">
            <v>0.68402777777777779</v>
          </cell>
          <cell r="O98">
            <v>42705</v>
          </cell>
          <cell r="P98">
            <v>1.05</v>
          </cell>
          <cell r="Q98">
            <v>9</v>
          </cell>
          <cell r="R98">
            <v>26</v>
          </cell>
          <cell r="S98">
            <v>0</v>
          </cell>
          <cell r="T98">
            <v>0.76041666666666663</v>
          </cell>
          <cell r="U98">
            <v>42705</v>
          </cell>
          <cell r="V98">
            <v>19.350000000000001</v>
          </cell>
          <cell r="W98">
            <v>0.875</v>
          </cell>
          <cell r="X98">
            <v>42705</v>
          </cell>
          <cell r="Y98">
            <v>21.05</v>
          </cell>
          <cell r="Z98">
            <v>0.9375</v>
          </cell>
          <cell r="AA98">
            <v>0.97222222222222221</v>
          </cell>
          <cell r="AB98">
            <v>42705</v>
          </cell>
          <cell r="AC98">
            <v>21.15</v>
          </cell>
          <cell r="AD98">
            <v>0.98611111111111116</v>
          </cell>
          <cell r="AE98">
            <v>0.99652777777777779</v>
          </cell>
          <cell r="AF98">
            <v>42705</v>
          </cell>
          <cell r="AG98">
            <v>6.9444444444444441E-3</v>
          </cell>
          <cell r="AH98">
            <v>2.4305555555555556E-2</v>
          </cell>
          <cell r="AI98">
            <v>42706</v>
          </cell>
          <cell r="AJ98">
            <v>4.1666666666666664E-2</v>
          </cell>
          <cell r="AK98">
            <v>4.5138888888888888E-2</v>
          </cell>
          <cell r="AL98">
            <v>42706</v>
          </cell>
          <cell r="AM98">
            <v>1.05</v>
          </cell>
          <cell r="AN98">
            <v>9</v>
          </cell>
          <cell r="AO98">
            <v>22</v>
          </cell>
          <cell r="AP98">
            <v>0</v>
          </cell>
          <cell r="AQ98">
            <v>4.8611111111111112E-2</v>
          </cell>
          <cell r="AR98">
            <v>5.2083333333333336E-2</v>
          </cell>
          <cell r="AS98">
            <v>42706</v>
          </cell>
          <cell r="AT98">
            <v>21.15</v>
          </cell>
          <cell r="AU98">
            <v>0.89236111111111116</v>
          </cell>
          <cell r="AV98">
            <v>42706</v>
          </cell>
          <cell r="AW98">
            <v>0.1111111111111111</v>
          </cell>
          <cell r="AX98">
            <v>42706</v>
          </cell>
          <cell r="AY98">
            <v>7.1</v>
          </cell>
          <cell r="AZ98">
            <v>19</v>
          </cell>
        </row>
        <row r="99">
          <cell r="B99" t="str">
            <v>A55</v>
          </cell>
          <cell r="C99">
            <v>0.60416666666666663</v>
          </cell>
          <cell r="D99">
            <v>0.64583333333333337</v>
          </cell>
          <cell r="E99">
            <v>42705</v>
          </cell>
          <cell r="F99">
            <v>0.69097222222222221</v>
          </cell>
          <cell r="G99">
            <v>0.70138888888888884</v>
          </cell>
          <cell r="H99">
            <v>42705</v>
          </cell>
          <cell r="I99">
            <v>-1.6E-2</v>
          </cell>
          <cell r="J99">
            <v>2.1999999999999999E-2</v>
          </cell>
          <cell r="K99">
            <v>-0.34599999999999997</v>
          </cell>
          <cell r="L99">
            <v>-0.68400000000000005</v>
          </cell>
          <cell r="M99">
            <v>0.70486111111111116</v>
          </cell>
          <cell r="N99">
            <v>0.71180555555555547</v>
          </cell>
          <cell r="O99">
            <v>42705</v>
          </cell>
          <cell r="P99">
            <v>1.06</v>
          </cell>
          <cell r="Q99">
            <v>9</v>
          </cell>
          <cell r="R99">
            <v>26</v>
          </cell>
          <cell r="S99">
            <v>0</v>
          </cell>
          <cell r="T99">
            <v>0.75</v>
          </cell>
          <cell r="U99">
            <v>42705</v>
          </cell>
          <cell r="V99">
            <v>20.5</v>
          </cell>
          <cell r="W99">
            <v>0.94444444444444453</v>
          </cell>
          <cell r="X99">
            <v>42705</v>
          </cell>
          <cell r="Y99">
            <v>27</v>
          </cell>
          <cell r="Z99">
            <v>0.33333333333333331</v>
          </cell>
          <cell r="AA99">
            <v>0.35416666666666669</v>
          </cell>
          <cell r="AB99">
            <v>42706</v>
          </cell>
          <cell r="AC99">
            <v>27.05</v>
          </cell>
          <cell r="AD99">
            <v>0.3611111111111111</v>
          </cell>
          <cell r="AE99">
            <v>0.38194444444444442</v>
          </cell>
          <cell r="AF99">
            <v>42706</v>
          </cell>
          <cell r="AG99">
            <v>0.38541666666666669</v>
          </cell>
          <cell r="AH99">
            <v>0.5</v>
          </cell>
          <cell r="AI99">
            <v>42706</v>
          </cell>
          <cell r="AJ99">
            <v>0.59027777777777779</v>
          </cell>
          <cell r="AK99">
            <v>0.59375</v>
          </cell>
          <cell r="AL99">
            <v>42706</v>
          </cell>
          <cell r="AM99">
            <v>1.06</v>
          </cell>
          <cell r="AN99">
            <v>9</v>
          </cell>
          <cell r="AO99">
            <v>26</v>
          </cell>
          <cell r="AP99">
            <v>0</v>
          </cell>
          <cell r="AQ99">
            <v>0.59375</v>
          </cell>
          <cell r="AR99">
            <v>0.59722222222222221</v>
          </cell>
          <cell r="AS99">
            <v>42706</v>
          </cell>
          <cell r="AT99">
            <v>27.05</v>
          </cell>
          <cell r="AU99">
            <v>0.60416666666666663</v>
          </cell>
          <cell r="AV99">
            <v>42706</v>
          </cell>
          <cell r="AW99">
            <v>0.64930555555555558</v>
          </cell>
          <cell r="AX99">
            <v>42706</v>
          </cell>
          <cell r="AY99">
            <v>7.4</v>
          </cell>
          <cell r="AZ99">
            <v>25</v>
          </cell>
        </row>
        <row r="100">
          <cell r="B100" t="str">
            <v>A137</v>
          </cell>
          <cell r="C100">
            <v>0.35416666666666669</v>
          </cell>
          <cell r="D100">
            <v>0.41666666666666669</v>
          </cell>
          <cell r="E100">
            <v>42706</v>
          </cell>
          <cell r="F100">
            <v>0.47222222222222227</v>
          </cell>
          <cell r="G100">
            <v>0.4826388888888889</v>
          </cell>
          <cell r="H100">
            <v>42706</v>
          </cell>
          <cell r="I100">
            <v>-2.4E-2</v>
          </cell>
          <cell r="J100">
            <v>6.0000000000000001E-3</v>
          </cell>
          <cell r="K100">
            <v>-0.187</v>
          </cell>
          <cell r="L100">
            <v>-0.49299999999999999</v>
          </cell>
          <cell r="M100">
            <v>0.54513888888888895</v>
          </cell>
          <cell r="N100">
            <v>0.55555555555555558</v>
          </cell>
          <cell r="O100">
            <v>42706</v>
          </cell>
          <cell r="P100">
            <v>1.06</v>
          </cell>
          <cell r="Q100">
            <v>9</v>
          </cell>
          <cell r="R100">
            <v>26</v>
          </cell>
          <cell r="S100">
            <v>0</v>
          </cell>
          <cell r="T100">
            <v>0.60416666666666663</v>
          </cell>
          <cell r="U100">
            <v>42706</v>
          </cell>
          <cell r="V100">
            <v>21.9</v>
          </cell>
          <cell r="W100">
            <v>0.74305555555555547</v>
          </cell>
          <cell r="X100">
            <v>42706</v>
          </cell>
          <cell r="Y100">
            <v>28.6</v>
          </cell>
          <cell r="Z100">
            <v>0.79166666666666663</v>
          </cell>
          <cell r="AA100">
            <v>0.81944444444444453</v>
          </cell>
          <cell r="AB100">
            <v>42706</v>
          </cell>
          <cell r="AC100">
            <v>28.65</v>
          </cell>
          <cell r="AD100">
            <v>0.84027777777777779</v>
          </cell>
          <cell r="AE100">
            <v>0.84722222222222221</v>
          </cell>
          <cell r="AF100">
            <v>42706</v>
          </cell>
          <cell r="AG100">
            <v>0.85763888888888884</v>
          </cell>
          <cell r="AH100">
            <v>0.90277777777777779</v>
          </cell>
          <cell r="AI100">
            <v>42706</v>
          </cell>
          <cell r="AJ100">
            <v>0.96527777777777779</v>
          </cell>
          <cell r="AK100">
            <v>0.96875</v>
          </cell>
          <cell r="AL100">
            <v>42706</v>
          </cell>
          <cell r="AM100">
            <v>1.05</v>
          </cell>
          <cell r="AN100">
            <v>9</v>
          </cell>
          <cell r="AO100">
            <v>23</v>
          </cell>
          <cell r="AP100">
            <v>0</v>
          </cell>
          <cell r="AQ100">
            <v>0.97222222222222221</v>
          </cell>
          <cell r="AR100">
            <v>0.97569444444444453</v>
          </cell>
          <cell r="AS100">
            <v>42706</v>
          </cell>
          <cell r="AT100">
            <v>28.65</v>
          </cell>
          <cell r="AU100">
            <v>0.97916666666666663</v>
          </cell>
          <cell r="AV100">
            <v>42706</v>
          </cell>
          <cell r="AW100">
            <v>6.25E-2</v>
          </cell>
          <cell r="AX100">
            <v>42707</v>
          </cell>
          <cell r="AY100">
            <v>6.7</v>
          </cell>
          <cell r="AZ100">
            <v>32</v>
          </cell>
        </row>
        <row r="101">
          <cell r="B101" t="str">
            <v>A68</v>
          </cell>
          <cell r="C101">
            <v>0.70833333333333337</v>
          </cell>
          <cell r="D101">
            <v>0.75</v>
          </cell>
          <cell r="E101">
            <v>42706</v>
          </cell>
          <cell r="F101">
            <v>0.90972222222222221</v>
          </cell>
          <cell r="G101">
            <v>0.91666666666666663</v>
          </cell>
          <cell r="H101">
            <v>42706</v>
          </cell>
          <cell r="I101">
            <v>-2.5999999999999999E-2</v>
          </cell>
          <cell r="J101">
            <v>-1.4E-2</v>
          </cell>
          <cell r="K101">
            <v>0.125</v>
          </cell>
          <cell r="L101">
            <v>-0.10100000000000001</v>
          </cell>
          <cell r="M101">
            <v>0.875</v>
          </cell>
          <cell r="N101">
            <v>0.88541666666666663</v>
          </cell>
          <cell r="O101">
            <v>42706</v>
          </cell>
          <cell r="P101">
            <v>1.06</v>
          </cell>
          <cell r="Q101">
            <v>9</v>
          </cell>
          <cell r="R101">
            <v>26</v>
          </cell>
          <cell r="S101">
            <v>0</v>
          </cell>
          <cell r="T101">
            <v>0.40625</v>
          </cell>
          <cell r="U101">
            <v>42707</v>
          </cell>
          <cell r="V101">
            <v>19.899999999999999</v>
          </cell>
          <cell r="W101">
            <v>0.60416666666666663</v>
          </cell>
          <cell r="X101">
            <v>42707</v>
          </cell>
          <cell r="Y101">
            <v>27.01</v>
          </cell>
          <cell r="Z101">
            <v>0.63541666666666663</v>
          </cell>
          <cell r="AA101">
            <v>0.65277777777777779</v>
          </cell>
          <cell r="AB101">
            <v>42707</v>
          </cell>
          <cell r="AC101">
            <v>27.01</v>
          </cell>
          <cell r="AD101">
            <v>0.65625</v>
          </cell>
          <cell r="AE101">
            <v>0.67361111111111116</v>
          </cell>
          <cell r="AF101">
            <v>42707</v>
          </cell>
          <cell r="AG101">
            <v>0.67708333333333337</v>
          </cell>
          <cell r="AH101">
            <v>0.72222222222222221</v>
          </cell>
          <cell r="AI101">
            <v>42707</v>
          </cell>
          <cell r="AJ101">
            <v>0.80555555555555547</v>
          </cell>
          <cell r="AK101">
            <v>0.8125</v>
          </cell>
          <cell r="AL101">
            <v>42707</v>
          </cell>
          <cell r="AM101">
            <v>1.05</v>
          </cell>
          <cell r="AN101">
            <v>9</v>
          </cell>
          <cell r="AO101">
            <v>25</v>
          </cell>
          <cell r="AP101">
            <v>0</v>
          </cell>
          <cell r="AQ101">
            <v>0.81944444444444453</v>
          </cell>
          <cell r="AR101">
            <v>0.82291666666666663</v>
          </cell>
          <cell r="AS101">
            <v>42707</v>
          </cell>
          <cell r="AT101">
            <v>27.01</v>
          </cell>
          <cell r="AU101">
            <v>0.82638888888888884</v>
          </cell>
          <cell r="AV101">
            <v>42707</v>
          </cell>
          <cell r="AW101">
            <v>0.85416666666666663</v>
          </cell>
          <cell r="AX101">
            <v>42707</v>
          </cell>
          <cell r="AY101">
            <v>7.9</v>
          </cell>
          <cell r="AZ101">
            <v>23</v>
          </cell>
        </row>
        <row r="102">
          <cell r="B102" t="str">
            <v>A56</v>
          </cell>
          <cell r="C102">
            <v>0.77083333333333337</v>
          </cell>
          <cell r="D102">
            <v>0.79166666666666663</v>
          </cell>
          <cell r="E102">
            <v>42706</v>
          </cell>
          <cell r="F102">
            <v>0.91666666666666663</v>
          </cell>
          <cell r="G102">
            <v>0.92708333333333337</v>
          </cell>
          <cell r="H102">
            <v>42706</v>
          </cell>
          <cell r="I102">
            <v>1.7999999999999999E-2</v>
          </cell>
          <cell r="J102">
            <v>7.0000000000000001E-3</v>
          </cell>
          <cell r="K102">
            <v>-0.30199999999999999</v>
          </cell>
          <cell r="L102">
            <v>-0.51200000000000001</v>
          </cell>
          <cell r="M102">
            <v>0.30555555555555552</v>
          </cell>
          <cell r="N102">
            <v>0.3125</v>
          </cell>
          <cell r="O102">
            <v>42707</v>
          </cell>
          <cell r="P102">
            <v>1.06</v>
          </cell>
          <cell r="Q102">
            <v>9</v>
          </cell>
          <cell r="R102">
            <v>26</v>
          </cell>
          <cell r="S102">
            <v>0</v>
          </cell>
          <cell r="T102">
            <v>0.3888888888888889</v>
          </cell>
          <cell r="U102">
            <v>42707</v>
          </cell>
          <cell r="V102">
            <v>20.2</v>
          </cell>
          <cell r="W102">
            <v>0.73958333333333337</v>
          </cell>
          <cell r="X102">
            <v>42707</v>
          </cell>
          <cell r="Y102">
            <v>27.03</v>
          </cell>
          <cell r="Z102">
            <v>0.86111111111111116</v>
          </cell>
          <cell r="AA102">
            <v>0.88888888888888884</v>
          </cell>
          <cell r="AB102">
            <v>42707</v>
          </cell>
          <cell r="AC102">
            <v>27.03</v>
          </cell>
          <cell r="AD102">
            <v>0.90625</v>
          </cell>
          <cell r="AE102">
            <v>0.91666666666666663</v>
          </cell>
          <cell r="AF102">
            <v>42707</v>
          </cell>
          <cell r="AG102">
            <v>0.92361111111111116</v>
          </cell>
          <cell r="AH102">
            <v>0.96180555555555547</v>
          </cell>
          <cell r="AI102">
            <v>42707</v>
          </cell>
          <cell r="AJ102">
            <v>6.9444444444444441E-3</v>
          </cell>
          <cell r="AK102">
            <v>1.1111111111111112E-2</v>
          </cell>
          <cell r="AL102">
            <v>42708</v>
          </cell>
          <cell r="AM102">
            <v>1.06</v>
          </cell>
          <cell r="AN102">
            <v>9</v>
          </cell>
          <cell r="AO102">
            <v>24</v>
          </cell>
          <cell r="AP102">
            <v>0</v>
          </cell>
          <cell r="AQ102">
            <v>1.3888888888888888E-2</v>
          </cell>
          <cell r="AR102">
            <v>1.7361111111111112E-2</v>
          </cell>
          <cell r="AS102">
            <v>42708</v>
          </cell>
          <cell r="AT102">
            <v>27.03</v>
          </cell>
          <cell r="AU102">
            <v>2.0833333333333332E-2</v>
          </cell>
          <cell r="AV102">
            <v>42708</v>
          </cell>
          <cell r="AW102">
            <v>8.3333333333333329E-2</v>
          </cell>
          <cell r="AX102">
            <v>42708</v>
          </cell>
          <cell r="AY102">
            <v>7.3</v>
          </cell>
          <cell r="AZ102">
            <v>34</v>
          </cell>
        </row>
        <row r="103">
          <cell r="B103" t="str">
            <v>A58</v>
          </cell>
          <cell r="C103">
            <v>0.29166666666666669</v>
          </cell>
          <cell r="D103">
            <v>0.35416666666666669</v>
          </cell>
          <cell r="E103">
            <v>42707</v>
          </cell>
          <cell r="F103">
            <v>0.39583333333333331</v>
          </cell>
          <cell r="G103">
            <v>0.40625</v>
          </cell>
          <cell r="H103">
            <v>42707</v>
          </cell>
          <cell r="I103">
            <v>-1.7000000000000001E-2</v>
          </cell>
          <cell r="J103">
            <v>1.4999999999999999E-2</v>
          </cell>
          <cell r="K103">
            <v>1.2999999999999999E-2</v>
          </cell>
          <cell r="L103">
            <v>-0.57799999999999996</v>
          </cell>
          <cell r="M103">
            <v>0.44444444444444442</v>
          </cell>
          <cell r="N103">
            <v>0.4513888888888889</v>
          </cell>
          <cell r="O103">
            <v>42707</v>
          </cell>
          <cell r="P103">
            <v>1.06</v>
          </cell>
          <cell r="Q103">
            <v>9</v>
          </cell>
          <cell r="R103">
            <v>26</v>
          </cell>
          <cell r="S103">
            <v>0</v>
          </cell>
          <cell r="T103">
            <v>0.47222222222222227</v>
          </cell>
          <cell r="U103">
            <v>42707</v>
          </cell>
          <cell r="V103">
            <v>19.760000000000002</v>
          </cell>
          <cell r="W103">
            <v>0.92708333333333337</v>
          </cell>
          <cell r="X103">
            <v>42707</v>
          </cell>
          <cell r="Y103">
            <v>27.32</v>
          </cell>
          <cell r="Z103">
            <v>0.97916666666666663</v>
          </cell>
          <cell r="AA103">
            <v>0.98958333333333337</v>
          </cell>
          <cell r="AB103">
            <v>42707</v>
          </cell>
          <cell r="AC103">
            <v>27.34</v>
          </cell>
          <cell r="AD103">
            <v>0.97916666666666663</v>
          </cell>
          <cell r="AE103">
            <v>0.98958333333333337</v>
          </cell>
          <cell r="AF103">
            <v>42707</v>
          </cell>
          <cell r="AG103">
            <v>3.472222222222222E-3</v>
          </cell>
          <cell r="AH103">
            <v>4.1666666666666664E-2</v>
          </cell>
          <cell r="AI103">
            <v>42708</v>
          </cell>
          <cell r="AJ103">
            <v>8.3333333333333329E-2</v>
          </cell>
          <cell r="AK103">
            <v>9.0277777777777776E-2</v>
          </cell>
          <cell r="AL103">
            <v>42708</v>
          </cell>
          <cell r="AM103">
            <v>1.06</v>
          </cell>
          <cell r="AN103">
            <v>9</v>
          </cell>
          <cell r="AO103">
            <v>24</v>
          </cell>
          <cell r="AP103">
            <v>0</v>
          </cell>
          <cell r="AQ103">
            <v>9.7222222222222224E-2</v>
          </cell>
          <cell r="AR103">
            <v>0.10069444444444443</v>
          </cell>
          <cell r="AS103">
            <v>42708</v>
          </cell>
          <cell r="AT103">
            <v>27.34</v>
          </cell>
          <cell r="AU103">
            <v>0.1076388888888889</v>
          </cell>
          <cell r="AV103">
            <v>42708</v>
          </cell>
          <cell r="AW103">
            <v>0.15972222222222224</v>
          </cell>
          <cell r="AX103">
            <v>42708</v>
          </cell>
          <cell r="AY103">
            <v>7.3</v>
          </cell>
          <cell r="AZ103">
            <v>30</v>
          </cell>
        </row>
        <row r="104">
          <cell r="B104" t="str">
            <v>A138</v>
          </cell>
          <cell r="C104">
            <v>0.375</v>
          </cell>
          <cell r="D104">
            <v>0.45833333333333331</v>
          </cell>
          <cell r="E104">
            <v>42708</v>
          </cell>
          <cell r="F104">
            <v>0.5625</v>
          </cell>
          <cell r="G104">
            <v>0.57291666666666663</v>
          </cell>
          <cell r="H104">
            <v>42708</v>
          </cell>
          <cell r="I104">
            <v>-2.5000000000000001E-2</v>
          </cell>
          <cell r="J104">
            <v>1.7000000000000001E-2</v>
          </cell>
          <cell r="K104">
            <v>-6.6000000000000003E-2</v>
          </cell>
          <cell r="L104">
            <v>-0.54</v>
          </cell>
          <cell r="M104">
            <v>0.58333333333333337</v>
          </cell>
          <cell r="N104">
            <v>0.59027777777777779</v>
          </cell>
          <cell r="O104">
            <v>42708</v>
          </cell>
          <cell r="P104">
            <v>1.06</v>
          </cell>
          <cell r="Q104">
            <v>9</v>
          </cell>
          <cell r="R104">
            <v>26</v>
          </cell>
          <cell r="S104">
            <v>0</v>
          </cell>
          <cell r="T104">
            <v>0.69791666666666663</v>
          </cell>
          <cell r="U104">
            <v>42708</v>
          </cell>
          <cell r="V104">
            <v>19.309999999999999</v>
          </cell>
          <cell r="W104">
            <v>0.94791666666666663</v>
          </cell>
          <cell r="X104">
            <v>42709</v>
          </cell>
          <cell r="Y104">
            <v>28.72</v>
          </cell>
          <cell r="Z104">
            <v>0.17708333333333334</v>
          </cell>
          <cell r="AA104">
            <v>0.27777777777777779</v>
          </cell>
          <cell r="AB104">
            <v>42709</v>
          </cell>
          <cell r="AC104">
            <v>29.2</v>
          </cell>
          <cell r="AD104">
            <v>0.30208333333333331</v>
          </cell>
          <cell r="AE104">
            <v>0.31944444444444448</v>
          </cell>
          <cell r="AF104">
            <v>42709</v>
          </cell>
          <cell r="AG104">
            <v>0.33333333333333331</v>
          </cell>
          <cell r="AH104">
            <v>0.375</v>
          </cell>
          <cell r="AI104">
            <v>42709</v>
          </cell>
          <cell r="AJ104">
            <v>0.41666666666666669</v>
          </cell>
          <cell r="AK104">
            <v>0.4236111111111111</v>
          </cell>
          <cell r="AL104">
            <v>42709</v>
          </cell>
          <cell r="AM104">
            <v>1.06</v>
          </cell>
          <cell r="AN104">
            <v>9</v>
          </cell>
          <cell r="AO104">
            <v>26</v>
          </cell>
          <cell r="AP104">
            <v>0</v>
          </cell>
          <cell r="AQ104">
            <v>0.42708333333333331</v>
          </cell>
          <cell r="AR104">
            <v>0.43055555555555558</v>
          </cell>
          <cell r="AS104">
            <v>42709</v>
          </cell>
          <cell r="AT104">
            <v>29.2</v>
          </cell>
          <cell r="AU104">
            <v>0.4375</v>
          </cell>
          <cell r="AV104">
            <v>42709</v>
          </cell>
          <cell r="AW104">
            <v>0.49652777777777773</v>
          </cell>
          <cell r="AX104">
            <v>42709</v>
          </cell>
          <cell r="AY104">
            <v>7</v>
          </cell>
          <cell r="AZ104">
            <v>32</v>
          </cell>
        </row>
        <row r="105">
          <cell r="B105" t="str">
            <v>A11</v>
          </cell>
          <cell r="C105">
            <v>0.60416666666666663</v>
          </cell>
          <cell r="D105">
            <v>0.66666666666666663</v>
          </cell>
          <cell r="E105">
            <v>42708</v>
          </cell>
          <cell r="F105">
            <v>0.67708333333333337</v>
          </cell>
          <cell r="G105">
            <v>0.6875</v>
          </cell>
          <cell r="H105">
            <v>42708</v>
          </cell>
          <cell r="I105">
            <v>-2.3E-2</v>
          </cell>
          <cell r="J105">
            <v>-0.01</v>
          </cell>
          <cell r="K105">
            <v>-0.123</v>
          </cell>
          <cell r="L105">
            <v>-0.5</v>
          </cell>
          <cell r="M105">
            <v>0.6875</v>
          </cell>
          <cell r="N105">
            <v>0.69791666666666663</v>
          </cell>
          <cell r="O105">
            <v>42708</v>
          </cell>
          <cell r="P105">
            <v>1.05</v>
          </cell>
          <cell r="Q105">
            <v>9</v>
          </cell>
          <cell r="R105">
            <v>27</v>
          </cell>
          <cell r="S105">
            <v>0</v>
          </cell>
          <cell r="T105">
            <v>0.8125</v>
          </cell>
          <cell r="U105">
            <v>42708</v>
          </cell>
          <cell r="V105">
            <v>20.27</v>
          </cell>
          <cell r="W105">
            <v>0.39583333333333331</v>
          </cell>
          <cell r="X105">
            <v>42709</v>
          </cell>
          <cell r="Y105">
            <v>24.1</v>
          </cell>
          <cell r="Z105">
            <v>0.47222222222222227</v>
          </cell>
          <cell r="AA105">
            <v>0.52083333333333337</v>
          </cell>
          <cell r="AB105">
            <v>42709</v>
          </cell>
          <cell r="AC105">
            <v>24.15</v>
          </cell>
          <cell r="AD105">
            <v>0.54513888888888895</v>
          </cell>
          <cell r="AE105">
            <v>0.55555555555555558</v>
          </cell>
          <cell r="AF105">
            <v>42709</v>
          </cell>
          <cell r="AG105">
            <v>0.58333333333333337</v>
          </cell>
          <cell r="AH105">
            <v>0.61805555555555558</v>
          </cell>
          <cell r="AI105">
            <v>42709</v>
          </cell>
          <cell r="AJ105">
            <v>0.6875</v>
          </cell>
          <cell r="AK105">
            <v>0.69444444444444453</v>
          </cell>
          <cell r="AL105">
            <v>42709</v>
          </cell>
          <cell r="AM105">
            <v>1.05</v>
          </cell>
          <cell r="AN105">
            <v>9</v>
          </cell>
          <cell r="AO105">
            <v>27</v>
          </cell>
          <cell r="AP105">
            <v>0</v>
          </cell>
          <cell r="AQ105">
            <v>0.70138888888888884</v>
          </cell>
          <cell r="AR105">
            <v>0.70486111111111116</v>
          </cell>
          <cell r="AS105">
            <v>42709</v>
          </cell>
          <cell r="AT105">
            <v>24.15</v>
          </cell>
          <cell r="AU105">
            <v>0.70694444444444438</v>
          </cell>
          <cell r="AV105">
            <v>42709</v>
          </cell>
          <cell r="AW105">
            <v>0.75</v>
          </cell>
          <cell r="AX105">
            <v>42709</v>
          </cell>
          <cell r="AY105">
            <v>7.2</v>
          </cell>
          <cell r="AZ105">
            <v>23</v>
          </cell>
        </row>
        <row r="106">
          <cell r="B106" t="str">
            <v>A57</v>
          </cell>
          <cell r="C106">
            <v>0.25</v>
          </cell>
          <cell r="D106">
            <v>0.29166666666666669</v>
          </cell>
          <cell r="E106">
            <v>42709</v>
          </cell>
          <cell r="F106">
            <v>0.29166666666666669</v>
          </cell>
          <cell r="G106">
            <v>0.30208333333333331</v>
          </cell>
          <cell r="H106">
            <v>42709</v>
          </cell>
          <cell r="I106">
            <v>-1E-3</v>
          </cell>
          <cell r="J106">
            <v>-2.5000000000000001E-2</v>
          </cell>
          <cell r="K106">
            <v>6.3E-2</v>
          </cell>
          <cell r="L106">
            <v>-2.5000000000000001E-2</v>
          </cell>
          <cell r="M106">
            <v>0.30902777777777779</v>
          </cell>
          <cell r="N106">
            <v>0.31944444444444448</v>
          </cell>
          <cell r="O106">
            <v>42709</v>
          </cell>
          <cell r="P106">
            <v>1.06</v>
          </cell>
          <cell r="Q106">
            <v>9</v>
          </cell>
          <cell r="R106">
            <v>26</v>
          </cell>
          <cell r="S106">
            <v>0</v>
          </cell>
          <cell r="T106">
            <v>0.83333333333333337</v>
          </cell>
          <cell r="U106">
            <v>42709</v>
          </cell>
          <cell r="V106">
            <v>21.1</v>
          </cell>
          <cell r="W106">
            <v>0.40277777777777773</v>
          </cell>
          <cell r="X106">
            <v>42710</v>
          </cell>
          <cell r="Y106">
            <v>27.48</v>
          </cell>
          <cell r="Z106">
            <v>0.42708333333333331</v>
          </cell>
          <cell r="AA106">
            <v>0.44097222222222227</v>
          </cell>
          <cell r="AB106">
            <v>42710</v>
          </cell>
          <cell r="AC106">
            <v>27.5</v>
          </cell>
          <cell r="AD106">
            <v>0.4513888888888889</v>
          </cell>
          <cell r="AE106">
            <v>0.46527777777777773</v>
          </cell>
          <cell r="AF106">
            <v>42710</v>
          </cell>
          <cell r="AG106">
            <v>0.53472222222222221</v>
          </cell>
          <cell r="AH106">
            <v>0.60416666666666663</v>
          </cell>
          <cell r="AI106">
            <v>42710</v>
          </cell>
          <cell r="AJ106">
            <v>0.75</v>
          </cell>
          <cell r="AK106">
            <v>0.75694444444444453</v>
          </cell>
          <cell r="AL106">
            <v>42710</v>
          </cell>
          <cell r="AM106">
            <v>1.06</v>
          </cell>
          <cell r="AN106">
            <v>9</v>
          </cell>
          <cell r="AO106">
            <v>26</v>
          </cell>
          <cell r="AP106">
            <v>0</v>
          </cell>
          <cell r="AQ106">
            <v>0.76041666666666663</v>
          </cell>
          <cell r="AR106">
            <v>0.76388888888888884</v>
          </cell>
          <cell r="AS106">
            <v>42710</v>
          </cell>
          <cell r="AT106">
            <v>27.5</v>
          </cell>
          <cell r="AU106">
            <v>0.76388888888888884</v>
          </cell>
          <cell r="AV106">
            <v>42710</v>
          </cell>
          <cell r="AW106">
            <v>0.84027777777777779</v>
          </cell>
          <cell r="AX106">
            <v>42710</v>
          </cell>
          <cell r="AY106">
            <v>7.1</v>
          </cell>
          <cell r="AZ106">
            <v>30.5</v>
          </cell>
        </row>
        <row r="107">
          <cell r="B107" t="str">
            <v>A12</v>
          </cell>
          <cell r="C107">
            <v>0.5625</v>
          </cell>
          <cell r="D107">
            <v>0.625</v>
          </cell>
          <cell r="E107">
            <v>42710</v>
          </cell>
          <cell r="F107">
            <v>0.63888888888888895</v>
          </cell>
          <cell r="G107">
            <v>0.64583333333333337</v>
          </cell>
          <cell r="H107">
            <v>42710</v>
          </cell>
          <cell r="I107">
            <v>-1.7999999999999999E-2</v>
          </cell>
          <cell r="J107">
            <v>1.4999999999999999E-2</v>
          </cell>
          <cell r="K107">
            <v>-9.9000000000000005E-2</v>
          </cell>
          <cell r="L107">
            <v>-0.434</v>
          </cell>
          <cell r="M107">
            <v>0.6875</v>
          </cell>
          <cell r="N107">
            <v>0.69444444444444453</v>
          </cell>
          <cell r="O107">
            <v>42710</v>
          </cell>
          <cell r="P107">
            <v>1.06</v>
          </cell>
          <cell r="Q107">
            <v>9</v>
          </cell>
          <cell r="R107">
            <v>28</v>
          </cell>
          <cell r="S107">
            <v>0</v>
          </cell>
          <cell r="T107">
            <v>0.71875</v>
          </cell>
          <cell r="U107">
            <v>42710</v>
          </cell>
          <cell r="V107">
            <v>19</v>
          </cell>
          <cell r="W107">
            <v>0.81597222222222221</v>
          </cell>
          <cell r="X107">
            <v>42710</v>
          </cell>
          <cell r="Y107">
            <v>24.1</v>
          </cell>
          <cell r="Z107">
            <v>0.84722222222222221</v>
          </cell>
          <cell r="AA107">
            <v>0.86111111111111116</v>
          </cell>
          <cell r="AB107">
            <v>42710</v>
          </cell>
          <cell r="AC107">
            <v>24.15</v>
          </cell>
          <cell r="AD107">
            <v>0.86458333333333337</v>
          </cell>
          <cell r="AE107">
            <v>0.88541666666666663</v>
          </cell>
          <cell r="AF107">
            <v>42710</v>
          </cell>
          <cell r="AG107">
            <v>0.88888888888888884</v>
          </cell>
          <cell r="AH107">
            <v>2.0833333333333332E-2</v>
          </cell>
          <cell r="AI107">
            <v>42711</v>
          </cell>
          <cell r="AJ107">
            <v>7.9861111111111105E-2</v>
          </cell>
          <cell r="AK107">
            <v>8.3333333333333329E-2</v>
          </cell>
          <cell r="AL107">
            <v>42711</v>
          </cell>
          <cell r="AM107">
            <v>1.06</v>
          </cell>
          <cell r="AN107">
            <v>9</v>
          </cell>
          <cell r="AO107">
            <v>28</v>
          </cell>
          <cell r="AP107">
            <v>0</v>
          </cell>
          <cell r="AQ107">
            <v>9.0277777777777776E-2</v>
          </cell>
          <cell r="AR107">
            <v>9.375E-2</v>
          </cell>
          <cell r="AS107">
            <v>42711</v>
          </cell>
          <cell r="AT107">
            <v>24.15</v>
          </cell>
          <cell r="AU107">
            <v>9.7222222222222224E-2</v>
          </cell>
          <cell r="AV107">
            <v>42711</v>
          </cell>
          <cell r="AW107">
            <v>0.14930555555555555</v>
          </cell>
          <cell r="AX107">
            <v>42711</v>
          </cell>
          <cell r="AY107">
            <v>7.3</v>
          </cell>
          <cell r="AZ107">
            <v>20.6</v>
          </cell>
        </row>
        <row r="108">
          <cell r="B108" t="str">
            <v>A93</v>
          </cell>
          <cell r="C108">
            <v>0.54166666666666663</v>
          </cell>
          <cell r="D108">
            <v>0.60416666666666663</v>
          </cell>
          <cell r="E108">
            <v>42710</v>
          </cell>
          <cell r="F108">
            <v>0.64583333333333337</v>
          </cell>
          <cell r="G108">
            <v>0.65625</v>
          </cell>
          <cell r="H108">
            <v>42710</v>
          </cell>
          <cell r="I108">
            <v>2.1000000000000001E-2</v>
          </cell>
          <cell r="J108">
            <v>1E-3</v>
          </cell>
          <cell r="K108">
            <v>-1.7999999999999999E-2</v>
          </cell>
          <cell r="L108">
            <v>-0.52300000000000002</v>
          </cell>
          <cell r="M108">
            <v>0.69444444444444453</v>
          </cell>
          <cell r="N108">
            <v>0.70138888888888884</v>
          </cell>
          <cell r="O108">
            <v>42710</v>
          </cell>
          <cell r="P108">
            <v>1.06</v>
          </cell>
          <cell r="Q108">
            <v>9</v>
          </cell>
          <cell r="R108">
            <v>28</v>
          </cell>
          <cell r="S108">
            <v>0</v>
          </cell>
          <cell r="T108">
            <v>0.81597222222222221</v>
          </cell>
          <cell r="U108">
            <v>42710</v>
          </cell>
          <cell r="V108">
            <v>20.399999999999999</v>
          </cell>
          <cell r="W108">
            <v>0.95138888888888884</v>
          </cell>
          <cell r="X108">
            <v>42710</v>
          </cell>
          <cell r="Y108">
            <v>26.4</v>
          </cell>
          <cell r="Z108">
            <v>0.99305555555555547</v>
          </cell>
          <cell r="AA108">
            <v>2.0833333333333332E-2</v>
          </cell>
          <cell r="AB108">
            <v>42711</v>
          </cell>
          <cell r="AC108">
            <v>26.4</v>
          </cell>
          <cell r="AD108">
            <v>2.4305555555555556E-2</v>
          </cell>
          <cell r="AE108">
            <v>3.4722222222222224E-2</v>
          </cell>
          <cell r="AF108">
            <v>42711</v>
          </cell>
          <cell r="AG108">
            <v>4.1666666666666664E-2</v>
          </cell>
          <cell r="AH108">
            <v>7.9861111111111105E-2</v>
          </cell>
          <cell r="AI108">
            <v>42711</v>
          </cell>
          <cell r="AJ108">
            <v>0.14583333333333334</v>
          </cell>
          <cell r="AK108">
            <v>0.15625</v>
          </cell>
          <cell r="AL108">
            <v>42711</v>
          </cell>
          <cell r="AM108">
            <v>1.06</v>
          </cell>
          <cell r="AN108">
            <v>9</v>
          </cell>
          <cell r="AO108">
            <v>28</v>
          </cell>
          <cell r="AP108">
            <v>0</v>
          </cell>
          <cell r="AQ108">
            <v>0.15972222222222224</v>
          </cell>
          <cell r="AR108">
            <v>0.16319444444444445</v>
          </cell>
          <cell r="AS108">
            <v>42711</v>
          </cell>
          <cell r="AT108">
            <v>26.4</v>
          </cell>
          <cell r="AU108">
            <v>0.17013888888888887</v>
          </cell>
          <cell r="AV108">
            <v>42711</v>
          </cell>
          <cell r="AW108">
            <v>0.24305555555555555</v>
          </cell>
          <cell r="AX108">
            <v>42711</v>
          </cell>
          <cell r="AY108">
            <v>7.5</v>
          </cell>
          <cell r="AZ108">
            <v>27</v>
          </cell>
        </row>
        <row r="109">
          <cell r="B109" t="str">
            <v>A77</v>
          </cell>
          <cell r="C109">
            <v>0.33333333333333331</v>
          </cell>
          <cell r="D109">
            <v>0.39583333333333331</v>
          </cell>
          <cell r="E109">
            <v>42711</v>
          </cell>
          <cell r="F109">
            <v>0.46527777777777773</v>
          </cell>
          <cell r="G109">
            <v>0.47222222222222227</v>
          </cell>
          <cell r="H109">
            <v>42711</v>
          </cell>
          <cell r="I109">
            <v>-0.02</v>
          </cell>
          <cell r="J109">
            <v>-1.9E-2</v>
          </cell>
          <cell r="K109">
            <v>0.10199999999999999</v>
          </cell>
          <cell r="L109">
            <v>-0.38900000000000001</v>
          </cell>
          <cell r="M109">
            <v>0.47916666666666669</v>
          </cell>
          <cell r="N109">
            <v>0.4861111111111111</v>
          </cell>
          <cell r="O109">
            <v>42711</v>
          </cell>
          <cell r="P109">
            <v>1.06</v>
          </cell>
          <cell r="Q109">
            <v>9</v>
          </cell>
          <cell r="R109">
            <v>22</v>
          </cell>
          <cell r="S109">
            <v>0</v>
          </cell>
          <cell r="T109">
            <v>0.56944444444444442</v>
          </cell>
          <cell r="U109">
            <v>42711</v>
          </cell>
          <cell r="V109">
            <v>22</v>
          </cell>
          <cell r="W109">
            <v>0.84375</v>
          </cell>
          <cell r="X109">
            <v>42711</v>
          </cell>
          <cell r="Y109">
            <v>27.02</v>
          </cell>
          <cell r="Z109">
            <v>0.89583333333333337</v>
          </cell>
          <cell r="AA109">
            <v>0.94791666666666663</v>
          </cell>
          <cell r="AB109">
            <v>42711</v>
          </cell>
          <cell r="AC109">
            <v>27.3</v>
          </cell>
          <cell r="AD109">
            <v>0.95486111111111116</v>
          </cell>
          <cell r="AE109">
            <v>0.97222222222222221</v>
          </cell>
          <cell r="AF109">
            <v>42711</v>
          </cell>
          <cell r="AG109">
            <v>0.98958333333333337</v>
          </cell>
          <cell r="AH109">
            <v>3.4722222222222224E-2</v>
          </cell>
          <cell r="AI109">
            <v>42712</v>
          </cell>
          <cell r="AJ109">
            <v>0.1111111111111111</v>
          </cell>
          <cell r="AK109">
            <v>0.11805555555555557</v>
          </cell>
          <cell r="AL109">
            <v>42712</v>
          </cell>
          <cell r="AM109">
            <v>1.06</v>
          </cell>
          <cell r="AN109">
            <v>9</v>
          </cell>
          <cell r="AO109">
            <v>22</v>
          </cell>
          <cell r="AP109">
            <v>0</v>
          </cell>
          <cell r="AQ109">
            <v>0.12152777777777778</v>
          </cell>
          <cell r="AR109">
            <v>0.125</v>
          </cell>
          <cell r="AS109">
            <v>42712</v>
          </cell>
          <cell r="AT109">
            <v>27.3</v>
          </cell>
          <cell r="AU109">
            <v>0.13194444444444445</v>
          </cell>
          <cell r="AV109">
            <v>42712</v>
          </cell>
          <cell r="AW109">
            <v>0.17361111111111113</v>
          </cell>
          <cell r="AX109">
            <v>42712</v>
          </cell>
          <cell r="AY109">
            <v>8.6999999999999993</v>
          </cell>
          <cell r="AZ109">
            <v>25</v>
          </cell>
        </row>
        <row r="110">
          <cell r="B110" t="str">
            <v>A136</v>
          </cell>
          <cell r="C110">
            <v>0.66666666666666663</v>
          </cell>
          <cell r="D110">
            <v>0.72916666666666663</v>
          </cell>
          <cell r="E110">
            <v>42710</v>
          </cell>
          <cell r="F110">
            <v>0.73263888888888884</v>
          </cell>
          <cell r="G110">
            <v>0.73958333333333337</v>
          </cell>
          <cell r="H110">
            <v>42710</v>
          </cell>
          <cell r="I110">
            <v>-2.4E-2</v>
          </cell>
          <cell r="J110">
            <v>2E-3</v>
          </cell>
          <cell r="K110">
            <v>-0.20899999999999999</v>
          </cell>
          <cell r="L110">
            <v>-0.68300000000000005</v>
          </cell>
          <cell r="M110">
            <v>0.75</v>
          </cell>
          <cell r="N110">
            <v>0.76041666666666663</v>
          </cell>
          <cell r="O110">
            <v>42710</v>
          </cell>
          <cell r="P110">
            <v>1.06</v>
          </cell>
          <cell r="Q110">
            <v>9</v>
          </cell>
          <cell r="R110">
            <v>24</v>
          </cell>
          <cell r="S110">
            <v>0</v>
          </cell>
          <cell r="T110">
            <v>0.39583333333333331</v>
          </cell>
          <cell r="U110">
            <v>42711</v>
          </cell>
          <cell r="V110">
            <v>20.45</v>
          </cell>
          <cell r="W110">
            <v>0.61111111111111105</v>
          </cell>
          <cell r="X110">
            <v>42712</v>
          </cell>
          <cell r="Y110">
            <v>28.52</v>
          </cell>
          <cell r="Z110">
            <v>0.81597222222222221</v>
          </cell>
          <cell r="AA110">
            <v>0.84722222222222221</v>
          </cell>
          <cell r="AB110">
            <v>42712</v>
          </cell>
          <cell r="AC110">
            <v>28.52</v>
          </cell>
          <cell r="AD110">
            <v>0.85069444444444453</v>
          </cell>
          <cell r="AE110">
            <v>0.86805555555555547</v>
          </cell>
          <cell r="AF110">
            <v>42712</v>
          </cell>
          <cell r="AG110">
            <v>0.875</v>
          </cell>
          <cell r="AH110">
            <v>0.96527777777777779</v>
          </cell>
          <cell r="AI110">
            <v>42712</v>
          </cell>
          <cell r="AJ110">
            <v>5.2083333333333336E-2</v>
          </cell>
          <cell r="AK110">
            <v>5.9027777777777783E-2</v>
          </cell>
          <cell r="AL110">
            <v>42712</v>
          </cell>
          <cell r="AM110">
            <v>1.06</v>
          </cell>
          <cell r="AN110">
            <v>9</v>
          </cell>
          <cell r="AO110">
            <v>24</v>
          </cell>
          <cell r="AP110">
            <v>0</v>
          </cell>
          <cell r="AQ110">
            <v>6.25E-2</v>
          </cell>
          <cell r="AR110">
            <v>6.5972222222222224E-2</v>
          </cell>
          <cell r="AS110">
            <v>42713</v>
          </cell>
          <cell r="AT110">
            <v>28.52</v>
          </cell>
          <cell r="AU110">
            <v>7.2916666666666671E-2</v>
          </cell>
          <cell r="AV110">
            <v>42713</v>
          </cell>
          <cell r="AW110">
            <v>0.11805555555555557</v>
          </cell>
          <cell r="AX110">
            <v>42713</v>
          </cell>
          <cell r="AY110">
            <v>7.2</v>
          </cell>
          <cell r="AZ110">
            <v>33.5</v>
          </cell>
        </row>
        <row r="111">
          <cell r="B111" t="str">
            <v>A81</v>
          </cell>
          <cell r="C111">
            <v>0.40625</v>
          </cell>
          <cell r="D111">
            <v>0.46875</v>
          </cell>
          <cell r="E111">
            <v>42711</v>
          </cell>
          <cell r="F111">
            <v>0.47222222222222227</v>
          </cell>
          <cell r="G111">
            <v>0.4826388888888889</v>
          </cell>
          <cell r="H111">
            <v>42711</v>
          </cell>
          <cell r="I111">
            <v>-1.9E-2</v>
          </cell>
          <cell r="J111">
            <v>1.9E-2</v>
          </cell>
          <cell r="K111">
            <v>0.01</v>
          </cell>
          <cell r="L111">
            <v>-0.39900000000000002</v>
          </cell>
          <cell r="M111">
            <v>0.4861111111111111</v>
          </cell>
          <cell r="N111">
            <v>0.49305555555555558</v>
          </cell>
          <cell r="O111">
            <v>42711</v>
          </cell>
          <cell r="P111">
            <v>1.06</v>
          </cell>
          <cell r="Q111">
            <v>9</v>
          </cell>
          <cell r="R111">
            <v>22</v>
          </cell>
          <cell r="S111">
            <v>0</v>
          </cell>
          <cell r="T111">
            <v>0.63888888888888895</v>
          </cell>
          <cell r="U111">
            <v>42711</v>
          </cell>
          <cell r="V111">
            <v>20.6</v>
          </cell>
          <cell r="W111">
            <v>0.8125</v>
          </cell>
          <cell r="X111">
            <v>42712</v>
          </cell>
          <cell r="Y111">
            <v>28.32</v>
          </cell>
          <cell r="Z111">
            <v>0.84027777777777779</v>
          </cell>
          <cell r="AA111">
            <v>0.86111111111111116</v>
          </cell>
          <cell r="AB111">
            <v>42712</v>
          </cell>
          <cell r="AC111">
            <v>28.32</v>
          </cell>
          <cell r="AD111">
            <v>0.86458333333333337</v>
          </cell>
          <cell r="AE111">
            <v>0.88541666666666663</v>
          </cell>
          <cell r="AF111">
            <v>42712</v>
          </cell>
          <cell r="AG111">
            <v>0.88888888888888884</v>
          </cell>
          <cell r="AH111">
            <v>0.92708333333333337</v>
          </cell>
          <cell r="AI111">
            <v>42712</v>
          </cell>
          <cell r="AJ111">
            <v>0.1388888888888889</v>
          </cell>
          <cell r="AK111">
            <v>0.14583333333333334</v>
          </cell>
          <cell r="AL111">
            <v>42712</v>
          </cell>
          <cell r="AM111">
            <v>1.06</v>
          </cell>
          <cell r="AN111">
            <v>9</v>
          </cell>
          <cell r="AO111">
            <v>22</v>
          </cell>
          <cell r="AP111">
            <v>0</v>
          </cell>
          <cell r="AQ111">
            <v>0.15277777777777776</v>
          </cell>
          <cell r="AR111">
            <v>0.15625</v>
          </cell>
          <cell r="AS111">
            <v>42713</v>
          </cell>
          <cell r="AT111">
            <v>28.32</v>
          </cell>
          <cell r="AU111">
            <v>0.16666666666666666</v>
          </cell>
          <cell r="AV111">
            <v>42713</v>
          </cell>
          <cell r="AW111">
            <v>0.22916666666666666</v>
          </cell>
          <cell r="AX111">
            <v>42713</v>
          </cell>
          <cell r="AY111">
            <v>7.3</v>
          </cell>
          <cell r="AZ111">
            <v>33</v>
          </cell>
        </row>
        <row r="112">
          <cell r="B112" t="str">
            <v>A66</v>
          </cell>
          <cell r="C112">
            <v>0.3125</v>
          </cell>
          <cell r="D112">
            <v>0.375</v>
          </cell>
          <cell r="E112">
            <v>42712</v>
          </cell>
          <cell r="F112">
            <v>0.4236111111111111</v>
          </cell>
          <cell r="G112">
            <v>0.43402777777777773</v>
          </cell>
          <cell r="H112">
            <v>42712</v>
          </cell>
          <cell r="I112">
            <v>-2.5000000000000001E-2</v>
          </cell>
          <cell r="J112">
            <v>1.4999999999999999E-2</v>
          </cell>
          <cell r="K112">
            <v>0.104</v>
          </cell>
          <cell r="L112">
            <v>-0.38400000000000001</v>
          </cell>
          <cell r="M112">
            <v>0.44444444444444442</v>
          </cell>
          <cell r="N112">
            <v>0.4513888888888889</v>
          </cell>
          <cell r="O112">
            <v>42712</v>
          </cell>
          <cell r="P112">
            <v>1.06</v>
          </cell>
          <cell r="Q112">
            <v>9</v>
          </cell>
          <cell r="R112">
            <v>23</v>
          </cell>
          <cell r="S112">
            <v>0</v>
          </cell>
          <cell r="T112">
            <v>0.5625</v>
          </cell>
          <cell r="U112">
            <v>42712</v>
          </cell>
          <cell r="V112">
            <v>20</v>
          </cell>
          <cell r="W112">
            <v>0.75</v>
          </cell>
          <cell r="X112">
            <v>42712</v>
          </cell>
          <cell r="Y112">
            <v>27.05</v>
          </cell>
          <cell r="Z112">
            <v>0.8125</v>
          </cell>
          <cell r="AA112">
            <v>0.83333333333333337</v>
          </cell>
          <cell r="AB112">
            <v>42712</v>
          </cell>
          <cell r="AC112">
            <v>27.05</v>
          </cell>
          <cell r="AD112">
            <v>0.83680555555555547</v>
          </cell>
          <cell r="AE112">
            <v>0.85416666666666663</v>
          </cell>
          <cell r="AF112">
            <v>42712</v>
          </cell>
          <cell r="AG112">
            <v>0.85763888888888884</v>
          </cell>
          <cell r="AH112">
            <v>0.91319444444444453</v>
          </cell>
          <cell r="AI112">
            <v>42712</v>
          </cell>
          <cell r="AJ112">
            <v>0.25</v>
          </cell>
          <cell r="AK112">
            <v>0.26041666666666669</v>
          </cell>
          <cell r="AL112">
            <v>42713</v>
          </cell>
          <cell r="AM112">
            <v>1.06</v>
          </cell>
          <cell r="AN112">
            <v>9</v>
          </cell>
          <cell r="AO112">
            <v>23</v>
          </cell>
          <cell r="AP112">
            <v>0</v>
          </cell>
          <cell r="AQ112">
            <v>0.2638888888888889</v>
          </cell>
          <cell r="AR112">
            <v>0.27083333333333331</v>
          </cell>
          <cell r="AS112">
            <v>42713</v>
          </cell>
          <cell r="AT112">
            <v>27.05</v>
          </cell>
          <cell r="AU112">
            <v>0.27430555555555552</v>
          </cell>
          <cell r="AV112">
            <v>42713</v>
          </cell>
          <cell r="AW112">
            <v>0.30208333333333331</v>
          </cell>
          <cell r="AX112">
            <v>42713</v>
          </cell>
          <cell r="AY112">
            <v>8.5</v>
          </cell>
          <cell r="AZ112">
            <v>24</v>
          </cell>
        </row>
        <row r="113">
          <cell r="B113" t="str">
            <v>B25</v>
          </cell>
          <cell r="C113">
            <v>0.84375</v>
          </cell>
          <cell r="D113">
            <v>0.91666666666666663</v>
          </cell>
          <cell r="E113">
            <v>42712</v>
          </cell>
          <cell r="F113">
            <v>0.92013888888888884</v>
          </cell>
          <cell r="G113">
            <v>0.92708333333333337</v>
          </cell>
          <cell r="H113">
            <v>42712</v>
          </cell>
          <cell r="I113">
            <v>-1.2E-2</v>
          </cell>
          <cell r="J113">
            <v>2.3E-2</v>
          </cell>
          <cell r="K113">
            <v>0.26500000000000001</v>
          </cell>
          <cell r="L113">
            <v>-0.73199999999999998</v>
          </cell>
          <cell r="M113">
            <v>0.93055555555555547</v>
          </cell>
          <cell r="N113">
            <v>0.9375</v>
          </cell>
          <cell r="O113">
            <v>42712</v>
          </cell>
          <cell r="P113">
            <v>1.06</v>
          </cell>
          <cell r="Q113">
            <v>9</v>
          </cell>
          <cell r="R113">
            <v>26</v>
          </cell>
          <cell r="S113">
            <v>0</v>
          </cell>
          <cell r="T113">
            <v>0.41666666666666669</v>
          </cell>
          <cell r="U113">
            <v>42712</v>
          </cell>
          <cell r="V113">
            <v>20.2</v>
          </cell>
          <cell r="W113">
            <v>0.89583333333333337</v>
          </cell>
          <cell r="X113">
            <v>42713</v>
          </cell>
          <cell r="Y113">
            <v>30.8</v>
          </cell>
          <cell r="Z113">
            <v>0.41666666666666669</v>
          </cell>
          <cell r="AA113">
            <v>0.46875</v>
          </cell>
          <cell r="AB113">
            <v>42714</v>
          </cell>
          <cell r="AC113">
            <v>30.81</v>
          </cell>
          <cell r="AD113">
            <v>0.47916666666666669</v>
          </cell>
          <cell r="AE113">
            <v>0.48958333333333331</v>
          </cell>
          <cell r="AF113">
            <v>42714</v>
          </cell>
          <cell r="AG113">
            <v>0.50347222222222221</v>
          </cell>
          <cell r="AH113">
            <v>0.54166666666666663</v>
          </cell>
          <cell r="AI113">
            <v>42714</v>
          </cell>
          <cell r="AJ113">
            <v>0.54513888888888895</v>
          </cell>
          <cell r="AK113">
            <v>0.55208333333333337</v>
          </cell>
          <cell r="AL113">
            <v>42714</v>
          </cell>
          <cell r="AM113">
            <v>1.06</v>
          </cell>
          <cell r="AN113">
            <v>9</v>
          </cell>
          <cell r="AO113">
            <v>25</v>
          </cell>
          <cell r="AP113">
            <v>0</v>
          </cell>
          <cell r="AQ113">
            <v>0.55555555555555558</v>
          </cell>
          <cell r="AR113">
            <v>0.55902777777777779</v>
          </cell>
          <cell r="AS113">
            <v>42714</v>
          </cell>
          <cell r="AT113">
            <v>30.81</v>
          </cell>
          <cell r="AU113">
            <v>0.56597222222222221</v>
          </cell>
          <cell r="AV113">
            <v>42714</v>
          </cell>
          <cell r="AW113">
            <v>0.57986111111111105</v>
          </cell>
          <cell r="AX113">
            <v>42714</v>
          </cell>
          <cell r="AY113">
            <v>6.1</v>
          </cell>
          <cell r="AZ113">
            <v>15</v>
          </cell>
        </row>
        <row r="114">
          <cell r="B114" t="str">
            <v>A13</v>
          </cell>
          <cell r="C114">
            <v>0.375</v>
          </cell>
          <cell r="D114">
            <v>0.4375</v>
          </cell>
          <cell r="E114">
            <v>42713</v>
          </cell>
          <cell r="F114">
            <v>0.45833333333333331</v>
          </cell>
          <cell r="G114">
            <v>0.46875</v>
          </cell>
          <cell r="H114">
            <v>42713</v>
          </cell>
          <cell r="I114">
            <v>1E-3</v>
          </cell>
          <cell r="J114">
            <v>1.4999999999999999E-2</v>
          </cell>
          <cell r="K114">
            <v>9.2999999999999999E-2</v>
          </cell>
          <cell r="L114">
            <v>-0.438</v>
          </cell>
          <cell r="M114">
            <v>0.58333333333333337</v>
          </cell>
          <cell r="N114">
            <v>0.59027777777777779</v>
          </cell>
          <cell r="O114">
            <v>42713</v>
          </cell>
          <cell r="P114">
            <v>1.06</v>
          </cell>
          <cell r="Q114">
            <v>9</v>
          </cell>
          <cell r="R114">
            <v>25</v>
          </cell>
          <cell r="S114">
            <v>0</v>
          </cell>
          <cell r="T114">
            <v>0.64930555555555558</v>
          </cell>
          <cell r="U114">
            <v>42713</v>
          </cell>
          <cell r="V114">
            <v>18.399999999999999</v>
          </cell>
          <cell r="W114">
            <v>0.4375</v>
          </cell>
          <cell r="X114">
            <v>42714</v>
          </cell>
          <cell r="Y114">
            <v>24.8</v>
          </cell>
          <cell r="Z114">
            <v>0.5625</v>
          </cell>
          <cell r="AA114">
            <v>0.59722222222222221</v>
          </cell>
          <cell r="AB114">
            <v>42714</v>
          </cell>
          <cell r="AC114">
            <v>24.85</v>
          </cell>
          <cell r="AD114">
            <v>0.625</v>
          </cell>
          <cell r="AE114">
            <v>0.64583333333333337</v>
          </cell>
          <cell r="AF114">
            <v>42714</v>
          </cell>
          <cell r="AG114">
            <v>0.66666666666666663</v>
          </cell>
          <cell r="AH114">
            <v>0.74305555555555547</v>
          </cell>
          <cell r="AI114">
            <v>42714</v>
          </cell>
          <cell r="AJ114">
            <v>0.75</v>
          </cell>
          <cell r="AK114">
            <v>0.75486111111111109</v>
          </cell>
          <cell r="AL114">
            <v>42714</v>
          </cell>
          <cell r="AM114">
            <v>1.06</v>
          </cell>
          <cell r="AN114">
            <v>9</v>
          </cell>
          <cell r="AO114">
            <v>25</v>
          </cell>
          <cell r="AP114">
            <v>0</v>
          </cell>
          <cell r="AQ114">
            <v>0.75694444444444453</v>
          </cell>
          <cell r="AR114">
            <v>0.76041666666666663</v>
          </cell>
          <cell r="AS114">
            <v>42714</v>
          </cell>
          <cell r="AT114">
            <v>24.85</v>
          </cell>
          <cell r="AU114">
            <v>0.79166666666666663</v>
          </cell>
          <cell r="AV114">
            <v>42714</v>
          </cell>
          <cell r="AW114">
            <v>0.83333333333333337</v>
          </cell>
          <cell r="AX114">
            <v>42714</v>
          </cell>
          <cell r="AY114">
            <v>7.7</v>
          </cell>
          <cell r="AZ114">
            <v>24</v>
          </cell>
        </row>
        <row r="115">
          <cell r="B115" t="str">
            <v>A155</v>
          </cell>
          <cell r="C115">
            <v>0.41666666666666669</v>
          </cell>
          <cell r="D115">
            <v>0.47916666666666669</v>
          </cell>
          <cell r="E115">
            <v>42714</v>
          </cell>
          <cell r="F115">
            <v>0.66666666666666663</v>
          </cell>
          <cell r="G115">
            <v>0.67708333333333337</v>
          </cell>
          <cell r="H115">
            <v>42714</v>
          </cell>
          <cell r="I115">
            <v>3.0000000000000001E-3</v>
          </cell>
          <cell r="J115">
            <v>2.3E-2</v>
          </cell>
          <cell r="K115">
            <v>-0.38500000000000001</v>
          </cell>
          <cell r="L115">
            <v>-0.78900000000000003</v>
          </cell>
          <cell r="M115">
            <v>0.6875</v>
          </cell>
          <cell r="N115">
            <v>0.69791666666666663</v>
          </cell>
          <cell r="O115">
            <v>42714</v>
          </cell>
          <cell r="P115">
            <v>1.06</v>
          </cell>
          <cell r="Q115">
            <v>9</v>
          </cell>
          <cell r="R115">
            <v>23</v>
          </cell>
          <cell r="S115">
            <v>0</v>
          </cell>
          <cell r="T115">
            <v>0.84722222222222221</v>
          </cell>
          <cell r="U115">
            <v>42714</v>
          </cell>
          <cell r="V115">
            <v>23.2</v>
          </cell>
          <cell r="W115">
            <v>0.92013888888888884</v>
          </cell>
          <cell r="X115">
            <v>42714</v>
          </cell>
          <cell r="Y115">
            <v>26.95</v>
          </cell>
          <cell r="Z115">
            <v>0.94791666666666663</v>
          </cell>
          <cell r="AA115">
            <v>0.97916666666666663</v>
          </cell>
          <cell r="AB115">
            <v>42714</v>
          </cell>
          <cell r="AC115">
            <v>26.97</v>
          </cell>
          <cell r="AD115">
            <v>0.98263888888888884</v>
          </cell>
          <cell r="AE115">
            <v>0.98958333333333337</v>
          </cell>
          <cell r="AF115">
            <v>42714</v>
          </cell>
          <cell r="AG115">
            <v>0.98958333333333337</v>
          </cell>
          <cell r="AH115">
            <v>2.4305555555555556E-2</v>
          </cell>
          <cell r="AI115">
            <v>42715</v>
          </cell>
          <cell r="AJ115">
            <v>7.6388888888888895E-2</v>
          </cell>
          <cell r="AK115">
            <v>8.3333333333333329E-2</v>
          </cell>
          <cell r="AL115">
            <v>42715</v>
          </cell>
          <cell r="AM115">
            <v>1.05</v>
          </cell>
          <cell r="AN115">
            <v>9</v>
          </cell>
          <cell r="AO115">
            <v>25</v>
          </cell>
          <cell r="AP115">
            <v>0</v>
          </cell>
          <cell r="AQ115">
            <v>6.25E-2</v>
          </cell>
          <cell r="AR115">
            <v>6.9444444444444434E-2</v>
          </cell>
          <cell r="AS115">
            <v>42715</v>
          </cell>
          <cell r="AT115">
            <v>26.97</v>
          </cell>
          <cell r="AU115">
            <v>7.2916666666666671E-2</v>
          </cell>
          <cell r="AV115">
            <v>42715</v>
          </cell>
          <cell r="AW115">
            <v>0.1875</v>
          </cell>
          <cell r="AX115">
            <v>42715</v>
          </cell>
          <cell r="AY115">
            <v>7.1</v>
          </cell>
          <cell r="AZ115">
            <v>31.5</v>
          </cell>
        </row>
        <row r="116">
          <cell r="B116" t="str">
            <v>B43</v>
          </cell>
          <cell r="C116">
            <v>0.39583333333333331</v>
          </cell>
          <cell r="D116">
            <v>0.45833333333333331</v>
          </cell>
          <cell r="E116">
            <v>42713</v>
          </cell>
          <cell r="F116">
            <v>0.57291666666666663</v>
          </cell>
          <cell r="G116">
            <v>0.58333333333333337</v>
          </cell>
          <cell r="H116">
            <v>42713</v>
          </cell>
          <cell r="I116">
            <v>7.0000000000000001E-3</v>
          </cell>
          <cell r="J116">
            <v>2.9000000000000001E-2</v>
          </cell>
          <cell r="K116">
            <v>0.20300000000000001</v>
          </cell>
          <cell r="L116">
            <v>-0.27900000000000003</v>
          </cell>
          <cell r="M116">
            <v>0.98958333333333337</v>
          </cell>
          <cell r="N116">
            <v>0.99652777777777779</v>
          </cell>
          <cell r="O116">
            <v>42714</v>
          </cell>
          <cell r="P116">
            <v>1.06</v>
          </cell>
          <cell r="Q116">
            <v>9</v>
          </cell>
          <cell r="R116">
            <v>26</v>
          </cell>
          <cell r="S116">
            <v>0</v>
          </cell>
          <cell r="T116">
            <v>0.34722222222222227</v>
          </cell>
          <cell r="U116">
            <v>42715</v>
          </cell>
          <cell r="V116">
            <v>23.2</v>
          </cell>
          <cell r="W116">
            <v>0.39583333333333331</v>
          </cell>
          <cell r="X116">
            <v>42715</v>
          </cell>
          <cell r="Y116">
            <v>24.95</v>
          </cell>
          <cell r="Z116">
            <v>0.4236111111111111</v>
          </cell>
          <cell r="AA116">
            <v>0.44444444444444442</v>
          </cell>
          <cell r="AB116">
            <v>42715</v>
          </cell>
          <cell r="AC116">
            <v>24.97</v>
          </cell>
          <cell r="AD116">
            <v>0.4548611111111111</v>
          </cell>
          <cell r="AE116">
            <v>0.46527777777777773</v>
          </cell>
          <cell r="AF116">
            <v>42715</v>
          </cell>
          <cell r="AG116">
            <v>0.47569444444444442</v>
          </cell>
          <cell r="AH116">
            <v>0.53125</v>
          </cell>
          <cell r="AI116">
            <v>42715</v>
          </cell>
          <cell r="AJ116">
            <v>0.55555555555555558</v>
          </cell>
          <cell r="AK116">
            <v>0.5625</v>
          </cell>
          <cell r="AL116">
            <v>42715</v>
          </cell>
          <cell r="AM116">
            <v>1.06</v>
          </cell>
          <cell r="AN116">
            <v>9</v>
          </cell>
          <cell r="AO116">
            <v>22</v>
          </cell>
          <cell r="AP116">
            <v>0</v>
          </cell>
          <cell r="AQ116">
            <v>0.56597222222222221</v>
          </cell>
          <cell r="AR116">
            <v>0.56944444444444442</v>
          </cell>
          <cell r="AS116">
            <v>42715</v>
          </cell>
          <cell r="AT116">
            <v>24.97</v>
          </cell>
          <cell r="AU116">
            <v>0.57291666666666663</v>
          </cell>
          <cell r="AV116">
            <v>42715</v>
          </cell>
          <cell r="AW116">
            <v>0.57986111111111105</v>
          </cell>
          <cell r="AX116">
            <v>42715</v>
          </cell>
          <cell r="AY116">
            <v>6</v>
          </cell>
          <cell r="AZ116">
            <v>11</v>
          </cell>
        </row>
        <row r="117">
          <cell r="B117" t="str">
            <v>A135</v>
          </cell>
          <cell r="C117">
            <v>0.39583333333333331</v>
          </cell>
          <cell r="D117">
            <v>0.47916666666666669</v>
          </cell>
          <cell r="E117">
            <v>42715</v>
          </cell>
          <cell r="F117">
            <v>0.58333333333333337</v>
          </cell>
          <cell r="G117">
            <v>0.59375</v>
          </cell>
          <cell r="H117">
            <v>42715</v>
          </cell>
          <cell r="I117">
            <v>-4.0000000000000001E-3</v>
          </cell>
          <cell r="J117">
            <v>1.7000000000000001E-2</v>
          </cell>
          <cell r="K117">
            <v>-7.0000000000000001E-3</v>
          </cell>
          <cell r="L117">
            <v>-0.46899999999999997</v>
          </cell>
          <cell r="M117">
            <v>0.59722222222222221</v>
          </cell>
          <cell r="N117">
            <v>0.60416666666666663</v>
          </cell>
          <cell r="O117">
            <v>42715</v>
          </cell>
          <cell r="P117">
            <v>1.05</v>
          </cell>
          <cell r="Q117">
            <v>9</v>
          </cell>
          <cell r="R117">
            <v>25</v>
          </cell>
          <cell r="S117">
            <v>0</v>
          </cell>
          <cell r="T117">
            <v>0.68055555555555547</v>
          </cell>
          <cell r="U117">
            <v>42715</v>
          </cell>
          <cell r="V117">
            <v>21.5</v>
          </cell>
          <cell r="W117">
            <v>0.94444444444444453</v>
          </cell>
          <cell r="X117">
            <v>42715</v>
          </cell>
          <cell r="Y117">
            <v>28.7</v>
          </cell>
          <cell r="Z117">
            <v>0.96875</v>
          </cell>
          <cell r="AA117">
            <v>0.98958333333333337</v>
          </cell>
          <cell r="AB117">
            <v>42715</v>
          </cell>
          <cell r="AC117">
            <v>28.75</v>
          </cell>
          <cell r="AD117">
            <v>0.99305555555555547</v>
          </cell>
          <cell r="AE117">
            <v>3.472222222222222E-3</v>
          </cell>
          <cell r="AF117">
            <v>42715</v>
          </cell>
          <cell r="AG117">
            <v>1.0416666666666666E-2</v>
          </cell>
          <cell r="AH117">
            <v>4.1666666666666664E-2</v>
          </cell>
          <cell r="AI117">
            <v>42716</v>
          </cell>
          <cell r="AJ117">
            <v>9.0277777777777776E-2</v>
          </cell>
          <cell r="AK117">
            <v>9.7222222222222224E-2</v>
          </cell>
          <cell r="AL117">
            <v>42716</v>
          </cell>
          <cell r="AM117">
            <v>1.05</v>
          </cell>
          <cell r="AN117">
            <v>9</v>
          </cell>
          <cell r="AO117">
            <v>22</v>
          </cell>
          <cell r="AP117">
            <v>0</v>
          </cell>
          <cell r="AQ117">
            <v>0.10416666666666667</v>
          </cell>
          <cell r="AR117">
            <v>0.1076388888888889</v>
          </cell>
          <cell r="AS117">
            <v>42716</v>
          </cell>
          <cell r="AT117">
            <v>28.75</v>
          </cell>
          <cell r="AU117">
            <v>0.1111111111111111</v>
          </cell>
          <cell r="AV117">
            <v>42716</v>
          </cell>
          <cell r="AW117">
            <v>0.16319444444444445</v>
          </cell>
          <cell r="AX117">
            <v>42716</v>
          </cell>
          <cell r="AY117">
            <v>7.1</v>
          </cell>
          <cell r="AZ117">
            <v>28.5</v>
          </cell>
        </row>
        <row r="118">
          <cell r="B118" t="str">
            <v>B24</v>
          </cell>
          <cell r="C118">
            <v>0.70833333333333337</v>
          </cell>
          <cell r="D118">
            <v>0.77083333333333337</v>
          </cell>
          <cell r="E118">
            <v>42715</v>
          </cell>
          <cell r="F118">
            <v>0.79166666666666663</v>
          </cell>
          <cell r="G118">
            <v>0.80208333333333337</v>
          </cell>
          <cell r="H118">
            <v>42715</v>
          </cell>
          <cell r="I118">
            <v>2.3E-2</v>
          </cell>
          <cell r="J118">
            <v>-1.4999999999999999E-2</v>
          </cell>
          <cell r="K118">
            <v>9.4E-2</v>
          </cell>
          <cell r="L118">
            <v>-0.93300000000000005</v>
          </cell>
          <cell r="M118">
            <v>0.83333333333333337</v>
          </cell>
          <cell r="N118">
            <v>0.84722222222222221</v>
          </cell>
          <cell r="O118">
            <v>42715</v>
          </cell>
          <cell r="P118">
            <v>1.0900000000000001</v>
          </cell>
          <cell r="Q118">
            <v>9</v>
          </cell>
          <cell r="R118">
            <v>26</v>
          </cell>
          <cell r="S118">
            <v>0</v>
          </cell>
          <cell r="T118">
            <v>0.43402777777777773</v>
          </cell>
          <cell r="U118">
            <v>42715</v>
          </cell>
          <cell r="V118">
            <v>21.61</v>
          </cell>
          <cell r="W118">
            <v>0.86805555555555547</v>
          </cell>
          <cell r="X118">
            <v>42716</v>
          </cell>
          <cell r="Y118">
            <v>30.65</v>
          </cell>
          <cell r="Z118">
            <v>0.89583333333333337</v>
          </cell>
          <cell r="AA118">
            <v>0.92013888888888884</v>
          </cell>
          <cell r="AB118">
            <v>42716</v>
          </cell>
          <cell r="AC118">
            <v>30.7</v>
          </cell>
          <cell r="AD118">
            <v>0.92708333333333337</v>
          </cell>
          <cell r="AE118">
            <v>0.9375</v>
          </cell>
          <cell r="AF118">
            <v>42716</v>
          </cell>
          <cell r="AG118">
            <v>0.94444444444444453</v>
          </cell>
          <cell r="AH118">
            <v>0.98263888888888884</v>
          </cell>
          <cell r="AI118">
            <v>42716</v>
          </cell>
          <cell r="AJ118">
            <v>8.6805555555555566E-2</v>
          </cell>
          <cell r="AK118">
            <v>9.375E-2</v>
          </cell>
          <cell r="AL118">
            <v>42717</v>
          </cell>
          <cell r="AM118">
            <v>1.06</v>
          </cell>
          <cell r="AN118">
            <v>9</v>
          </cell>
          <cell r="AO118">
            <v>24</v>
          </cell>
          <cell r="AP118">
            <v>0</v>
          </cell>
          <cell r="AQ118">
            <v>9.7222222222222224E-2</v>
          </cell>
          <cell r="AR118">
            <v>0.10069444444444443</v>
          </cell>
          <cell r="AS118">
            <v>42717</v>
          </cell>
          <cell r="AT118">
            <v>30.7</v>
          </cell>
          <cell r="AU118">
            <v>0.1076388888888889</v>
          </cell>
          <cell r="AV118">
            <v>42717</v>
          </cell>
          <cell r="AW118">
            <v>0.14583333333333334</v>
          </cell>
          <cell r="AX118">
            <v>42717</v>
          </cell>
          <cell r="AY118">
            <v>6</v>
          </cell>
          <cell r="AZ118">
            <v>17</v>
          </cell>
        </row>
        <row r="119">
          <cell r="B119" t="str">
            <v>A154</v>
          </cell>
          <cell r="C119">
            <v>0.30555555555555552</v>
          </cell>
          <cell r="D119">
            <v>0.3611111111111111</v>
          </cell>
          <cell r="E119">
            <v>42716</v>
          </cell>
          <cell r="F119">
            <v>0.36458333333333331</v>
          </cell>
          <cell r="G119">
            <v>0.37152777777777773</v>
          </cell>
          <cell r="H119">
            <v>42716</v>
          </cell>
          <cell r="I119">
            <v>-7.0000000000000001E-3</v>
          </cell>
          <cell r="J119">
            <v>-1.7000000000000001E-2</v>
          </cell>
          <cell r="K119">
            <v>-0.17499999999999999</v>
          </cell>
          <cell r="L119">
            <v>-0.67300000000000004</v>
          </cell>
          <cell r="M119">
            <v>0.375</v>
          </cell>
          <cell r="N119">
            <v>0.38541666666666669</v>
          </cell>
          <cell r="O119">
            <v>42716</v>
          </cell>
          <cell r="P119">
            <v>1.06</v>
          </cell>
          <cell r="Q119">
            <v>9</v>
          </cell>
          <cell r="R119">
            <v>26</v>
          </cell>
          <cell r="S119">
            <v>0</v>
          </cell>
          <cell r="T119">
            <v>0.4375</v>
          </cell>
          <cell r="U119">
            <v>42716</v>
          </cell>
          <cell r="V119">
            <v>20.3</v>
          </cell>
          <cell r="W119">
            <v>0.68055555555555547</v>
          </cell>
          <cell r="X119">
            <v>42717</v>
          </cell>
          <cell r="Y119">
            <v>27.15</v>
          </cell>
          <cell r="Z119">
            <v>0.70138888888888884</v>
          </cell>
          <cell r="AA119">
            <v>0.71527777777777779</v>
          </cell>
          <cell r="AB119">
            <v>42717</v>
          </cell>
          <cell r="AC119">
            <v>27.2</v>
          </cell>
          <cell r="AD119">
            <v>0.72222222222222221</v>
          </cell>
          <cell r="AE119">
            <v>0.75</v>
          </cell>
          <cell r="AF119">
            <v>42717</v>
          </cell>
          <cell r="AG119">
            <v>0.75347222222222221</v>
          </cell>
          <cell r="AH119">
            <v>0.79166666666666663</v>
          </cell>
          <cell r="AI119">
            <v>42717</v>
          </cell>
          <cell r="AJ119">
            <v>0.8125</v>
          </cell>
          <cell r="AK119">
            <v>0.81944444444444453</v>
          </cell>
          <cell r="AL119">
            <v>42717</v>
          </cell>
          <cell r="AM119">
            <v>1.05</v>
          </cell>
          <cell r="AN119">
            <v>9</v>
          </cell>
          <cell r="AO119">
            <v>24</v>
          </cell>
          <cell r="AP119">
            <v>0</v>
          </cell>
          <cell r="AQ119">
            <v>0.83333333333333337</v>
          </cell>
          <cell r="AR119">
            <v>0.83680555555555547</v>
          </cell>
          <cell r="AS119">
            <v>42717</v>
          </cell>
          <cell r="AT119">
            <v>27.2</v>
          </cell>
          <cell r="AU119">
            <v>0.84027777777777779</v>
          </cell>
          <cell r="AV119">
            <v>42717</v>
          </cell>
          <cell r="AW119">
            <v>0.99652777777777779</v>
          </cell>
          <cell r="AX119">
            <v>42717</v>
          </cell>
          <cell r="AY119">
            <v>7.2</v>
          </cell>
          <cell r="AZ119">
            <v>72</v>
          </cell>
        </row>
        <row r="120">
          <cell r="B120" t="str">
            <v>BP4</v>
          </cell>
          <cell r="C120">
            <v>0.35416666666666669</v>
          </cell>
          <cell r="D120">
            <v>0.41666666666666669</v>
          </cell>
          <cell r="E120">
            <v>42717</v>
          </cell>
          <cell r="F120">
            <v>0.4513888888888889</v>
          </cell>
          <cell r="G120">
            <v>0.46180555555555558</v>
          </cell>
          <cell r="H120">
            <v>42717</v>
          </cell>
          <cell r="I120">
            <v>2.4E-2</v>
          </cell>
          <cell r="J120">
            <v>-2.1999999999999999E-2</v>
          </cell>
          <cell r="K120">
            <v>0.222</v>
          </cell>
          <cell r="L120">
            <v>-0.46700000000000003</v>
          </cell>
          <cell r="M120">
            <v>0</v>
          </cell>
          <cell r="N120">
            <v>0</v>
          </cell>
          <cell r="O120">
            <v>42717</v>
          </cell>
          <cell r="P120">
            <v>1.06</v>
          </cell>
          <cell r="Q120">
            <v>9</v>
          </cell>
          <cell r="R120">
            <v>26</v>
          </cell>
          <cell r="S120">
            <v>0</v>
          </cell>
          <cell r="T120">
            <v>0.84027777777777779</v>
          </cell>
          <cell r="U120">
            <v>42717</v>
          </cell>
          <cell r="V120">
            <v>23.9</v>
          </cell>
          <cell r="W120">
            <v>0.875</v>
          </cell>
          <cell r="X120">
            <v>42717</v>
          </cell>
          <cell r="Y120">
            <v>27.45</v>
          </cell>
          <cell r="Z120">
            <v>0.92013888888888884</v>
          </cell>
          <cell r="AA120">
            <v>0.9375</v>
          </cell>
          <cell r="AB120">
            <v>42717</v>
          </cell>
          <cell r="AC120">
            <v>27.45</v>
          </cell>
          <cell r="AD120">
            <v>0.94444444444444453</v>
          </cell>
          <cell r="AE120">
            <v>0.95486111111111116</v>
          </cell>
          <cell r="AF120">
            <v>42717</v>
          </cell>
          <cell r="AG120">
            <v>0.96527777777777779</v>
          </cell>
          <cell r="AH120">
            <v>0.98958333333333337</v>
          </cell>
          <cell r="AI120">
            <v>42717</v>
          </cell>
          <cell r="AJ120">
            <v>7.9861111111111105E-2</v>
          </cell>
          <cell r="AK120">
            <v>8.6805555555555566E-2</v>
          </cell>
          <cell r="AL120">
            <v>42717</v>
          </cell>
          <cell r="AM120">
            <v>1.06</v>
          </cell>
          <cell r="AN120">
            <v>9</v>
          </cell>
          <cell r="AO120">
            <v>23</v>
          </cell>
          <cell r="AP120">
            <v>0</v>
          </cell>
          <cell r="AQ120">
            <v>9.0277777777777776E-2</v>
          </cell>
          <cell r="AR120">
            <v>9.375E-2</v>
          </cell>
          <cell r="AS120">
            <v>42718</v>
          </cell>
          <cell r="AT120">
            <v>27.45</v>
          </cell>
          <cell r="AU120">
            <v>0.10069444444444443</v>
          </cell>
          <cell r="AV120">
            <v>42718</v>
          </cell>
          <cell r="AW120">
            <v>0.11458333333333333</v>
          </cell>
          <cell r="AX120">
            <v>42718</v>
          </cell>
          <cell r="AY120">
            <v>6.1</v>
          </cell>
          <cell r="AZ120">
            <v>13</v>
          </cell>
        </row>
        <row r="121">
          <cell r="B121" t="str">
            <v>A65</v>
          </cell>
          <cell r="C121">
            <v>0.625</v>
          </cell>
          <cell r="D121">
            <v>0.6875</v>
          </cell>
          <cell r="E121">
            <v>42714</v>
          </cell>
          <cell r="F121">
            <v>0.70138888888888884</v>
          </cell>
          <cell r="G121">
            <v>0.71180555555555547</v>
          </cell>
          <cell r="H121">
            <v>42714</v>
          </cell>
          <cell r="I121">
            <v>0.02</v>
          </cell>
          <cell r="J121">
            <v>-0.02</v>
          </cell>
          <cell r="K121">
            <v>-0.35799999999999998</v>
          </cell>
          <cell r="L121">
            <v>-0.78900000000000003</v>
          </cell>
          <cell r="M121">
            <v>0.71875</v>
          </cell>
          <cell r="N121">
            <v>0.72916666666666663</v>
          </cell>
          <cell r="O121">
            <v>42714</v>
          </cell>
          <cell r="P121">
            <v>1.05</v>
          </cell>
          <cell r="Q121">
            <v>9</v>
          </cell>
          <cell r="R121">
            <v>26</v>
          </cell>
          <cell r="S121">
            <v>0</v>
          </cell>
          <cell r="T121">
            <v>0.33333333333333331</v>
          </cell>
          <cell r="U121">
            <v>42715</v>
          </cell>
          <cell r="V121">
            <v>20.6</v>
          </cell>
          <cell r="W121">
            <v>0.98263888888888884</v>
          </cell>
          <cell r="X121">
            <v>42717</v>
          </cell>
          <cell r="Y121">
            <v>37.4</v>
          </cell>
          <cell r="Z121">
            <v>1.0416666666666666E-2</v>
          </cell>
          <cell r="AA121">
            <v>3.125E-2</v>
          </cell>
          <cell r="AB121">
            <v>42718</v>
          </cell>
          <cell r="AC121">
            <v>37.549999999999997</v>
          </cell>
          <cell r="AD121">
            <v>4.1666666666666664E-2</v>
          </cell>
          <cell r="AE121">
            <v>5.2083333333333336E-2</v>
          </cell>
          <cell r="AF121">
            <v>42718</v>
          </cell>
          <cell r="AG121">
            <v>6.5972222222222224E-2</v>
          </cell>
          <cell r="AH121">
            <v>0.11805555555555557</v>
          </cell>
          <cell r="AI121">
            <v>42718</v>
          </cell>
          <cell r="AJ121">
            <v>0.21527777777777779</v>
          </cell>
          <cell r="AK121">
            <v>0.22569444444444445</v>
          </cell>
          <cell r="AL121">
            <v>42718</v>
          </cell>
          <cell r="AM121">
            <v>1.06</v>
          </cell>
          <cell r="AN121">
            <v>9</v>
          </cell>
          <cell r="AO121">
            <v>22</v>
          </cell>
          <cell r="AP121">
            <v>0</v>
          </cell>
          <cell r="AQ121">
            <v>0.23263888888888887</v>
          </cell>
          <cell r="AR121">
            <v>0.23611111111111113</v>
          </cell>
          <cell r="AS121">
            <v>42718</v>
          </cell>
          <cell r="AT121">
            <v>37.549999999999997</v>
          </cell>
          <cell r="AU121">
            <v>0.23958333333333334</v>
          </cell>
          <cell r="AV121">
            <v>42718</v>
          </cell>
          <cell r="AW121">
            <v>0.36458333333333331</v>
          </cell>
          <cell r="AX121">
            <v>42718</v>
          </cell>
          <cell r="AY121">
            <v>8</v>
          </cell>
          <cell r="AZ121">
            <v>61</v>
          </cell>
        </row>
        <row r="122">
          <cell r="B122" t="str">
            <v>A69</v>
          </cell>
          <cell r="C122">
            <v>0.66666666666666663</v>
          </cell>
          <cell r="D122">
            <v>0.72916666666666663</v>
          </cell>
          <cell r="E122">
            <v>42717</v>
          </cell>
          <cell r="F122">
            <v>0.74305555555555547</v>
          </cell>
          <cell r="G122">
            <v>0.75347222222222221</v>
          </cell>
          <cell r="H122">
            <v>42717</v>
          </cell>
          <cell r="I122">
            <v>5.0000000000000001E-3</v>
          </cell>
          <cell r="J122">
            <v>6.0000000000000001E-3</v>
          </cell>
          <cell r="K122">
            <v>6.0999999999999999E-2</v>
          </cell>
          <cell r="L122">
            <v>-0.51100000000000001</v>
          </cell>
          <cell r="M122">
            <v>0.79166666666666663</v>
          </cell>
          <cell r="N122">
            <v>0.79861111111111116</v>
          </cell>
          <cell r="O122">
            <v>42717</v>
          </cell>
          <cell r="P122">
            <v>1.06</v>
          </cell>
          <cell r="Q122">
            <v>9</v>
          </cell>
          <cell r="R122">
            <v>26</v>
          </cell>
          <cell r="S122">
            <v>0</v>
          </cell>
          <cell r="T122">
            <v>0.83333333333333337</v>
          </cell>
          <cell r="U122">
            <v>42717</v>
          </cell>
          <cell r="V122">
            <v>19.100000000000001</v>
          </cell>
          <cell r="W122">
            <v>0.38194444444444442</v>
          </cell>
          <cell r="X122">
            <v>42718</v>
          </cell>
          <cell r="Y122">
            <v>26.96</v>
          </cell>
          <cell r="Z122">
            <v>0.40277777777777773</v>
          </cell>
          <cell r="AA122">
            <v>0.41666666666666669</v>
          </cell>
          <cell r="AB122">
            <v>42718</v>
          </cell>
          <cell r="AC122">
            <v>26.96</v>
          </cell>
          <cell r="AD122">
            <v>0.4201388888888889</v>
          </cell>
          <cell r="AE122">
            <v>0.43055555555555558</v>
          </cell>
          <cell r="AF122">
            <v>42718</v>
          </cell>
          <cell r="AG122">
            <v>0.44444444444444442</v>
          </cell>
          <cell r="AH122">
            <v>0.5</v>
          </cell>
          <cell r="AI122">
            <v>42718</v>
          </cell>
          <cell r="AJ122">
            <v>0.59027777777777779</v>
          </cell>
          <cell r="AK122">
            <v>0.60069444444444442</v>
          </cell>
          <cell r="AL122">
            <v>42718</v>
          </cell>
          <cell r="AM122">
            <v>1.06</v>
          </cell>
          <cell r="AN122">
            <v>9</v>
          </cell>
          <cell r="AO122">
            <v>26</v>
          </cell>
          <cell r="AP122">
            <v>0</v>
          </cell>
          <cell r="AQ122">
            <v>0.60763888888888895</v>
          </cell>
          <cell r="AR122">
            <v>0.61111111111111105</v>
          </cell>
          <cell r="AS122">
            <v>42718</v>
          </cell>
          <cell r="AT122">
            <v>26.96</v>
          </cell>
          <cell r="AU122">
            <v>0.61458333333333337</v>
          </cell>
          <cell r="AV122">
            <v>42718</v>
          </cell>
          <cell r="AW122">
            <v>0.70486111111111116</v>
          </cell>
          <cell r="AX122">
            <v>42718</v>
          </cell>
          <cell r="AY122">
            <v>8.6</v>
          </cell>
          <cell r="AZ122">
            <v>25.5</v>
          </cell>
        </row>
        <row r="123">
          <cell r="B123" t="str">
            <v>A158</v>
          </cell>
          <cell r="C123">
            <v>0.5625</v>
          </cell>
          <cell r="D123">
            <v>0.625</v>
          </cell>
          <cell r="E123">
            <v>42718</v>
          </cell>
          <cell r="F123">
            <v>0.64930555555555558</v>
          </cell>
          <cell r="G123">
            <v>0.65972222222222221</v>
          </cell>
          <cell r="H123">
            <v>42718</v>
          </cell>
          <cell r="I123">
            <v>5.0000000000000001E-3</v>
          </cell>
          <cell r="J123">
            <v>-2.3E-2</v>
          </cell>
          <cell r="K123">
            <v>-0.222</v>
          </cell>
          <cell r="L123">
            <v>-0.66800000000000004</v>
          </cell>
          <cell r="M123">
            <v>0.66666666666666663</v>
          </cell>
          <cell r="N123">
            <v>0.67708333333333337</v>
          </cell>
          <cell r="O123">
            <v>42718</v>
          </cell>
          <cell r="P123">
            <v>1.05</v>
          </cell>
          <cell r="Q123">
            <v>9</v>
          </cell>
          <cell r="R123">
            <v>26</v>
          </cell>
          <cell r="S123">
            <v>0</v>
          </cell>
          <cell r="T123">
            <v>0.70138888888888884</v>
          </cell>
          <cell r="U123">
            <v>42718</v>
          </cell>
          <cell r="V123">
            <v>20.9</v>
          </cell>
          <cell r="W123">
            <v>0.81944444444444453</v>
          </cell>
          <cell r="X123">
            <v>42718</v>
          </cell>
          <cell r="Y123">
            <v>24.5</v>
          </cell>
          <cell r="Z123">
            <v>0.84375</v>
          </cell>
          <cell r="AA123">
            <v>0.85416666666666663</v>
          </cell>
          <cell r="AB123">
            <v>42718</v>
          </cell>
          <cell r="AC123">
            <v>24.55</v>
          </cell>
          <cell r="AD123">
            <v>0.86111111111111116</v>
          </cell>
          <cell r="AE123">
            <v>0.86805555555555547</v>
          </cell>
          <cell r="AF123">
            <v>42718</v>
          </cell>
          <cell r="AG123">
            <v>0.875</v>
          </cell>
          <cell r="AH123">
            <v>0.90972222222222221</v>
          </cell>
          <cell r="AI123">
            <v>42718</v>
          </cell>
          <cell r="AJ123">
            <v>0.95833333333333337</v>
          </cell>
          <cell r="AK123">
            <v>0.96527777777777779</v>
          </cell>
          <cell r="AL123">
            <v>42718</v>
          </cell>
          <cell r="AM123">
            <v>1.06</v>
          </cell>
          <cell r="AN123">
            <v>9</v>
          </cell>
          <cell r="AO123">
            <v>22</v>
          </cell>
          <cell r="AP123">
            <v>0</v>
          </cell>
          <cell r="AQ123">
            <v>0.96875</v>
          </cell>
          <cell r="AR123">
            <v>0.97222222222222221</v>
          </cell>
          <cell r="AS123">
            <v>42718</v>
          </cell>
          <cell r="AT123">
            <v>24.55</v>
          </cell>
          <cell r="AU123">
            <v>0.97916666666666663</v>
          </cell>
          <cell r="AV123">
            <v>42718</v>
          </cell>
          <cell r="AW123">
            <v>0</v>
          </cell>
          <cell r="AX123">
            <v>42719</v>
          </cell>
          <cell r="AY123">
            <v>7.4</v>
          </cell>
          <cell r="AZ123">
            <v>21</v>
          </cell>
        </row>
        <row r="124">
          <cell r="B124" t="str">
            <v>B44</v>
          </cell>
          <cell r="C124">
            <v>0.5625</v>
          </cell>
          <cell r="D124">
            <v>0.625</v>
          </cell>
          <cell r="E124">
            <v>42718</v>
          </cell>
          <cell r="F124">
            <v>0.63194444444444442</v>
          </cell>
          <cell r="G124">
            <v>0.64236111111111105</v>
          </cell>
          <cell r="H124">
            <v>42718</v>
          </cell>
          <cell r="I124">
            <v>-0.01</v>
          </cell>
          <cell r="J124">
            <v>-1.4999999999999999E-2</v>
          </cell>
          <cell r="K124">
            <v>-4.7E-2</v>
          </cell>
          <cell r="L124">
            <v>-0.4</v>
          </cell>
          <cell r="M124">
            <v>0.6875</v>
          </cell>
          <cell r="N124">
            <v>0.70138888888888884</v>
          </cell>
          <cell r="O124">
            <v>42718</v>
          </cell>
          <cell r="P124">
            <v>1.06</v>
          </cell>
          <cell r="Q124">
            <v>9</v>
          </cell>
          <cell r="R124">
            <v>27</v>
          </cell>
          <cell r="S124">
            <v>0</v>
          </cell>
          <cell r="T124">
            <v>0.79166666666666663</v>
          </cell>
          <cell r="U124">
            <v>42718</v>
          </cell>
          <cell r="V124">
            <v>18.7</v>
          </cell>
          <cell r="W124">
            <v>0.84375</v>
          </cell>
          <cell r="X124">
            <v>42718</v>
          </cell>
          <cell r="Y124">
            <v>27.45</v>
          </cell>
          <cell r="Z124">
            <v>0.86111111111111116</v>
          </cell>
          <cell r="AA124">
            <v>0.88194444444444453</v>
          </cell>
          <cell r="AB124">
            <v>42718</v>
          </cell>
          <cell r="AC124">
            <v>27.45</v>
          </cell>
          <cell r="AD124">
            <v>0.88888888888888884</v>
          </cell>
          <cell r="AE124">
            <v>0.89583333333333337</v>
          </cell>
          <cell r="AF124">
            <v>42718</v>
          </cell>
          <cell r="AG124">
            <v>0.90972222222222221</v>
          </cell>
          <cell r="AH124">
            <v>0.94444444444444453</v>
          </cell>
          <cell r="AI124">
            <v>42718</v>
          </cell>
          <cell r="AJ124">
            <v>0.53472222222222221</v>
          </cell>
          <cell r="AK124">
            <v>4.1666666666666664E-2</v>
          </cell>
          <cell r="AL124">
            <v>42718</v>
          </cell>
          <cell r="AM124">
            <v>1.05</v>
          </cell>
          <cell r="AN124">
            <v>9</v>
          </cell>
          <cell r="AO124">
            <v>24</v>
          </cell>
          <cell r="AP124">
            <v>0</v>
          </cell>
          <cell r="AQ124">
            <v>4.8611111111111112E-2</v>
          </cell>
          <cell r="AR124">
            <v>5.2083333333333336E-2</v>
          </cell>
          <cell r="AS124">
            <v>42719</v>
          </cell>
          <cell r="AT124">
            <v>27.45</v>
          </cell>
          <cell r="AU124">
            <v>5.5555555555555552E-2</v>
          </cell>
          <cell r="AV124">
            <v>42719</v>
          </cell>
          <cell r="AW124">
            <v>6.25E-2</v>
          </cell>
          <cell r="AX124">
            <v>42719</v>
          </cell>
          <cell r="AY124">
            <v>5.9</v>
          </cell>
          <cell r="AZ124">
            <v>12</v>
          </cell>
        </row>
        <row r="125">
          <cell r="B125" t="str">
            <v>A73</v>
          </cell>
          <cell r="C125">
            <v>0.875</v>
          </cell>
          <cell r="D125">
            <v>0.9375</v>
          </cell>
          <cell r="E125">
            <v>42718</v>
          </cell>
          <cell r="F125">
            <v>0.94791666666666663</v>
          </cell>
          <cell r="G125">
            <v>0.95833333333333337</v>
          </cell>
          <cell r="H125">
            <v>42718</v>
          </cell>
          <cell r="I125">
            <v>-2.1999999999999999E-2</v>
          </cell>
          <cell r="J125">
            <v>1.7999999999999999E-2</v>
          </cell>
          <cell r="K125">
            <v>0.18</v>
          </cell>
          <cell r="L125">
            <v>-0.69899999999999995</v>
          </cell>
          <cell r="M125">
            <v>0.96527777777777779</v>
          </cell>
          <cell r="N125">
            <v>0.97569444444444453</v>
          </cell>
          <cell r="O125">
            <v>42718</v>
          </cell>
          <cell r="P125">
            <v>1.06</v>
          </cell>
          <cell r="Q125">
            <v>9</v>
          </cell>
          <cell r="R125">
            <v>25</v>
          </cell>
          <cell r="S125">
            <v>0</v>
          </cell>
          <cell r="T125">
            <v>0.17708333333333334</v>
          </cell>
          <cell r="U125">
            <v>42719</v>
          </cell>
          <cell r="V125">
            <v>20.8</v>
          </cell>
          <cell r="W125">
            <v>0.4375</v>
          </cell>
          <cell r="X125">
            <v>42719</v>
          </cell>
          <cell r="Y125">
            <v>28.5</v>
          </cell>
          <cell r="Z125">
            <v>0.45833333333333331</v>
          </cell>
          <cell r="AA125">
            <v>0.47916666666666669</v>
          </cell>
          <cell r="AB125">
            <v>42719</v>
          </cell>
          <cell r="AC125">
            <v>28.6</v>
          </cell>
          <cell r="AD125">
            <v>0.4861111111111111</v>
          </cell>
          <cell r="AE125">
            <v>0.50694444444444442</v>
          </cell>
          <cell r="AF125">
            <v>42719</v>
          </cell>
          <cell r="AG125">
            <v>0.51388888888888895</v>
          </cell>
          <cell r="AH125">
            <v>0.5625</v>
          </cell>
          <cell r="AI125">
            <v>42719</v>
          </cell>
          <cell r="AJ125">
            <v>0.63541666666666663</v>
          </cell>
          <cell r="AK125">
            <v>0.63888888888888895</v>
          </cell>
          <cell r="AL125">
            <v>42719</v>
          </cell>
          <cell r="AM125">
            <v>1.06</v>
          </cell>
          <cell r="AN125">
            <v>9</v>
          </cell>
          <cell r="AO125">
            <v>25</v>
          </cell>
          <cell r="AP125">
            <v>0</v>
          </cell>
          <cell r="AQ125">
            <v>0.64583333333333337</v>
          </cell>
          <cell r="AR125">
            <v>0.64930555555555558</v>
          </cell>
          <cell r="AS125">
            <v>42719</v>
          </cell>
          <cell r="AT125">
            <v>28.6</v>
          </cell>
          <cell r="AU125">
            <v>0.65277777777777779</v>
          </cell>
          <cell r="AV125">
            <v>42719</v>
          </cell>
          <cell r="AW125">
            <v>0.72916666666666663</v>
          </cell>
          <cell r="AX125">
            <v>42719</v>
          </cell>
          <cell r="AY125">
            <v>7.6</v>
          </cell>
          <cell r="AZ125">
            <v>33</v>
          </cell>
        </row>
        <row r="126">
          <cell r="B126" t="str">
            <v>A14</v>
          </cell>
          <cell r="C126">
            <v>0.35416666666666669</v>
          </cell>
          <cell r="D126">
            <v>0.41666666666666669</v>
          </cell>
          <cell r="E126">
            <v>42719</v>
          </cell>
          <cell r="F126">
            <v>0.43055555555555558</v>
          </cell>
          <cell r="G126">
            <v>0.44097222222222227</v>
          </cell>
          <cell r="H126">
            <v>42719</v>
          </cell>
          <cell r="I126">
            <v>-2.1000000000000001E-2</v>
          </cell>
          <cell r="J126">
            <v>-8.9999999999999993E-3</v>
          </cell>
          <cell r="K126">
            <v>0.01</v>
          </cell>
          <cell r="L126">
            <v>-0.21</v>
          </cell>
          <cell r="M126">
            <v>0.58333333333333337</v>
          </cell>
          <cell r="N126">
            <v>0.59375</v>
          </cell>
          <cell r="O126">
            <v>42719</v>
          </cell>
          <cell r="P126">
            <v>1.06</v>
          </cell>
          <cell r="Q126">
            <v>9</v>
          </cell>
          <cell r="R126">
            <v>26</v>
          </cell>
          <cell r="S126">
            <v>0</v>
          </cell>
          <cell r="T126">
            <v>0.79166666666666663</v>
          </cell>
          <cell r="U126">
            <v>42719</v>
          </cell>
          <cell r="V126">
            <v>20.2</v>
          </cell>
          <cell r="W126">
            <v>0.83333333333333337</v>
          </cell>
          <cell r="X126">
            <v>42719</v>
          </cell>
          <cell r="Y126">
            <v>24.8</v>
          </cell>
          <cell r="Z126">
            <v>0.85416666666666663</v>
          </cell>
          <cell r="AA126">
            <v>0.86458333333333337</v>
          </cell>
          <cell r="AB126">
            <v>42719</v>
          </cell>
          <cell r="AC126">
            <v>24.85</v>
          </cell>
          <cell r="AD126">
            <v>0.875</v>
          </cell>
          <cell r="AE126">
            <v>0.88541666666666663</v>
          </cell>
          <cell r="AF126">
            <v>42719</v>
          </cell>
          <cell r="AG126">
            <v>0.89583333333333337</v>
          </cell>
          <cell r="AH126">
            <v>0.94097222222222221</v>
          </cell>
          <cell r="AI126">
            <v>42719</v>
          </cell>
          <cell r="AJ126">
            <v>0.97916666666666663</v>
          </cell>
          <cell r="AK126">
            <v>0.98958333333333337</v>
          </cell>
          <cell r="AL126">
            <v>42719</v>
          </cell>
          <cell r="AM126">
            <v>1.05</v>
          </cell>
          <cell r="AN126">
            <v>9</v>
          </cell>
          <cell r="AO126">
            <v>26</v>
          </cell>
          <cell r="AP126">
            <v>0</v>
          </cell>
          <cell r="AQ126">
            <v>0.99305555555555547</v>
          </cell>
          <cell r="AR126">
            <v>0.99652777777777779</v>
          </cell>
          <cell r="AS126">
            <v>42719</v>
          </cell>
          <cell r="AT126">
            <v>24.85</v>
          </cell>
          <cell r="AU126">
            <v>0</v>
          </cell>
          <cell r="AV126">
            <v>42720</v>
          </cell>
          <cell r="AW126">
            <v>9.7222222222222224E-2</v>
          </cell>
          <cell r="AX126">
            <v>42720</v>
          </cell>
          <cell r="AY126">
            <v>7.6</v>
          </cell>
          <cell r="AZ126">
            <v>24</v>
          </cell>
        </row>
        <row r="127">
          <cell r="B127" t="str">
            <v>BP3</v>
          </cell>
          <cell r="C127">
            <v>0.5625</v>
          </cell>
          <cell r="D127">
            <v>0.61458333333333337</v>
          </cell>
          <cell r="E127">
            <v>42719</v>
          </cell>
          <cell r="F127">
            <v>0.62152777777777779</v>
          </cell>
          <cell r="G127">
            <v>0.63194444444444442</v>
          </cell>
          <cell r="H127">
            <v>42719</v>
          </cell>
          <cell r="I127">
            <v>8.9999999999999993E-3</v>
          </cell>
          <cell r="J127">
            <v>-1.4E-2</v>
          </cell>
          <cell r="K127">
            <v>0.27500000000000002</v>
          </cell>
          <cell r="L127">
            <v>-0.68400000000000005</v>
          </cell>
          <cell r="M127">
            <v>0.63541666666666663</v>
          </cell>
          <cell r="N127">
            <v>0.64583333333333337</v>
          </cell>
          <cell r="O127">
            <v>42719</v>
          </cell>
          <cell r="P127">
            <v>1.06</v>
          </cell>
          <cell r="Q127">
            <v>9</v>
          </cell>
          <cell r="R127">
            <v>26</v>
          </cell>
          <cell r="S127">
            <v>0</v>
          </cell>
          <cell r="T127">
            <v>0.71875</v>
          </cell>
          <cell r="U127">
            <v>42719</v>
          </cell>
          <cell r="V127">
            <v>22.2</v>
          </cell>
          <cell r="W127">
            <v>0.91666666666666663</v>
          </cell>
          <cell r="X127">
            <v>42719</v>
          </cell>
          <cell r="Y127">
            <v>30.8</v>
          </cell>
          <cell r="Z127">
            <v>0.95833333333333337</v>
          </cell>
          <cell r="AA127">
            <v>6.9444444444444441E-3</v>
          </cell>
          <cell r="AB127">
            <v>42720</v>
          </cell>
          <cell r="AC127">
            <v>30.8</v>
          </cell>
          <cell r="AD127">
            <v>1.3888888888888888E-2</v>
          </cell>
          <cell r="AE127">
            <v>2.4305555555555556E-2</v>
          </cell>
          <cell r="AF127">
            <v>42720</v>
          </cell>
          <cell r="AG127">
            <v>3.125E-2</v>
          </cell>
          <cell r="AH127">
            <v>6.25E-2</v>
          </cell>
          <cell r="AI127">
            <v>42720</v>
          </cell>
          <cell r="AJ127">
            <v>0.21875</v>
          </cell>
          <cell r="AK127">
            <v>0.22916666666666666</v>
          </cell>
          <cell r="AL127">
            <v>42720</v>
          </cell>
          <cell r="AM127">
            <v>1.06</v>
          </cell>
          <cell r="AN127">
            <v>9</v>
          </cell>
          <cell r="AO127">
            <v>23</v>
          </cell>
          <cell r="AP127">
            <v>0</v>
          </cell>
          <cell r="AQ127">
            <v>0.23263888888888887</v>
          </cell>
          <cell r="AR127">
            <v>0.25347222222222221</v>
          </cell>
          <cell r="AS127">
            <v>42720</v>
          </cell>
          <cell r="AT127">
            <v>30.8</v>
          </cell>
          <cell r="AU127">
            <v>0.23958333333333334</v>
          </cell>
          <cell r="AV127">
            <v>42720</v>
          </cell>
          <cell r="AW127">
            <v>0.25347222222222221</v>
          </cell>
          <cell r="AX127">
            <v>42720</v>
          </cell>
          <cell r="AY127">
            <v>6.1</v>
          </cell>
          <cell r="AZ127">
            <v>16</v>
          </cell>
        </row>
        <row r="128">
          <cell r="B128" t="str">
            <v>A74</v>
          </cell>
          <cell r="C128">
            <v>0.39583333333333331</v>
          </cell>
          <cell r="D128">
            <v>0.45833333333333331</v>
          </cell>
          <cell r="E128">
            <v>42720</v>
          </cell>
          <cell r="F128">
            <v>0.47222222222222227</v>
          </cell>
          <cell r="G128">
            <v>0.4826388888888889</v>
          </cell>
          <cell r="H128">
            <v>42720</v>
          </cell>
          <cell r="I128">
            <v>1.4E-2</v>
          </cell>
          <cell r="J128">
            <v>2.5999999999999999E-2</v>
          </cell>
          <cell r="K128">
            <v>-0.01</v>
          </cell>
          <cell r="L128">
            <v>-0.315</v>
          </cell>
          <cell r="M128">
            <v>0.51041666666666663</v>
          </cell>
          <cell r="N128">
            <v>0.52083333333333337</v>
          </cell>
          <cell r="O128">
            <v>42720</v>
          </cell>
          <cell r="P128">
            <v>1.05</v>
          </cell>
          <cell r="Q128">
            <v>9</v>
          </cell>
          <cell r="R128">
            <v>28</v>
          </cell>
          <cell r="S128">
            <v>0</v>
          </cell>
          <cell r="T128">
            <v>0.625</v>
          </cell>
          <cell r="U128">
            <v>42720</v>
          </cell>
          <cell r="V128">
            <v>22.2</v>
          </cell>
          <cell r="W128">
            <v>0.91666666666666663</v>
          </cell>
          <cell r="X128">
            <v>42720</v>
          </cell>
          <cell r="Y128">
            <v>28.3</v>
          </cell>
          <cell r="Z128">
            <v>0.95138888888888884</v>
          </cell>
          <cell r="AA128">
            <v>0.98958333333333337</v>
          </cell>
          <cell r="AB128">
            <v>42720</v>
          </cell>
          <cell r="AC128">
            <v>28.3</v>
          </cell>
          <cell r="AD128">
            <v>0</v>
          </cell>
          <cell r="AE128">
            <v>1.0416666666666666E-2</v>
          </cell>
          <cell r="AF128">
            <v>42720</v>
          </cell>
          <cell r="AG128">
            <v>2.0833333333333332E-2</v>
          </cell>
          <cell r="AH128">
            <v>5.5555555555555552E-2</v>
          </cell>
          <cell r="AI128">
            <v>42721</v>
          </cell>
          <cell r="AJ128">
            <v>9.375E-2</v>
          </cell>
          <cell r="AK128">
            <v>0.10069444444444443</v>
          </cell>
          <cell r="AL128">
            <v>42721</v>
          </cell>
          <cell r="AM128">
            <v>1.06</v>
          </cell>
          <cell r="AN128">
            <v>9</v>
          </cell>
          <cell r="AO128">
            <v>20</v>
          </cell>
          <cell r="AP128">
            <v>0</v>
          </cell>
          <cell r="AQ128">
            <v>0.10416666666666667</v>
          </cell>
          <cell r="AR128">
            <v>0.1076388888888889</v>
          </cell>
          <cell r="AS128">
            <v>42721</v>
          </cell>
          <cell r="AT128">
            <v>28.3</v>
          </cell>
          <cell r="AU128">
            <v>0.11458333333333333</v>
          </cell>
          <cell r="AV128">
            <v>42721</v>
          </cell>
          <cell r="AW128">
            <v>0.1388888888888889</v>
          </cell>
          <cell r="AX128">
            <v>42721</v>
          </cell>
          <cell r="AY128">
            <v>7.6</v>
          </cell>
          <cell r="AZ128">
            <v>27</v>
          </cell>
        </row>
        <row r="129">
          <cell r="B129" t="str">
            <v>A76</v>
          </cell>
          <cell r="C129">
            <v>0.29166666666666669</v>
          </cell>
          <cell r="D129">
            <v>0.35416666666666669</v>
          </cell>
          <cell r="E129">
            <v>42720</v>
          </cell>
          <cell r="F129">
            <v>0.46180555555555558</v>
          </cell>
          <cell r="G129">
            <v>0.46875</v>
          </cell>
          <cell r="H129">
            <v>42720</v>
          </cell>
          <cell r="I129">
            <v>-1.6E-2</v>
          </cell>
          <cell r="J129">
            <v>2.1999999999999999E-2</v>
          </cell>
          <cell r="K129">
            <v>-0.114</v>
          </cell>
          <cell r="L129">
            <v>-0.38100000000000001</v>
          </cell>
          <cell r="M129">
            <v>0.49305555555555558</v>
          </cell>
          <cell r="N129">
            <v>0.5</v>
          </cell>
          <cell r="O129">
            <v>42720</v>
          </cell>
          <cell r="P129">
            <v>1.05</v>
          </cell>
          <cell r="Q129">
            <v>9</v>
          </cell>
          <cell r="R129">
            <v>27</v>
          </cell>
          <cell r="S129">
            <v>0</v>
          </cell>
          <cell r="T129">
            <v>0.64583333333333337</v>
          </cell>
          <cell r="U129">
            <v>42720</v>
          </cell>
          <cell r="V129">
            <v>20.399999999999999</v>
          </cell>
          <cell r="W129">
            <v>0.91666666666666663</v>
          </cell>
          <cell r="X129">
            <v>42720</v>
          </cell>
          <cell r="Y129">
            <v>26.8</v>
          </cell>
          <cell r="Z129">
            <v>0.41666666666666669</v>
          </cell>
          <cell r="AA129">
            <v>0.45833333333333331</v>
          </cell>
          <cell r="AB129">
            <v>42720</v>
          </cell>
          <cell r="AC129">
            <v>26.8</v>
          </cell>
          <cell r="AD129">
            <v>0.375</v>
          </cell>
          <cell r="AE129">
            <v>0.41666666666666669</v>
          </cell>
          <cell r="AF129">
            <v>42720</v>
          </cell>
          <cell r="AG129">
            <v>0.5</v>
          </cell>
          <cell r="AH129">
            <v>0.54166666666666663</v>
          </cell>
          <cell r="AI129">
            <v>42721</v>
          </cell>
          <cell r="AJ129">
            <v>0.58333333333333337</v>
          </cell>
          <cell r="AK129">
            <v>0.59027777777777779</v>
          </cell>
          <cell r="AL129">
            <v>42721</v>
          </cell>
          <cell r="AM129">
            <v>1.05</v>
          </cell>
          <cell r="AN129">
            <v>9</v>
          </cell>
          <cell r="AO129">
            <v>28</v>
          </cell>
          <cell r="AP129">
            <v>0</v>
          </cell>
          <cell r="AQ129">
            <v>0.59375</v>
          </cell>
          <cell r="AR129">
            <v>0.60069444444444442</v>
          </cell>
          <cell r="AS129">
            <v>42721</v>
          </cell>
          <cell r="AT129">
            <v>26.8</v>
          </cell>
          <cell r="AU129">
            <v>0.625</v>
          </cell>
          <cell r="AV129">
            <v>42721</v>
          </cell>
          <cell r="AW129">
            <v>0.6875</v>
          </cell>
          <cell r="AX129">
            <v>42721</v>
          </cell>
          <cell r="AY129">
            <v>8.5</v>
          </cell>
          <cell r="AZ129">
            <v>27</v>
          </cell>
        </row>
        <row r="130">
          <cell r="B130" t="str">
            <v>A157</v>
          </cell>
          <cell r="C130">
            <v>0.41666666666666669</v>
          </cell>
          <cell r="D130">
            <v>0.47916666666666669</v>
          </cell>
          <cell r="E130">
            <v>42722</v>
          </cell>
          <cell r="F130">
            <v>0.57638888888888895</v>
          </cell>
          <cell r="G130">
            <v>0.58680555555555558</v>
          </cell>
          <cell r="H130">
            <v>42722</v>
          </cell>
          <cell r="I130">
            <v>1.2E-2</v>
          </cell>
          <cell r="J130">
            <v>-1.2999999999999999E-2</v>
          </cell>
          <cell r="K130">
            <v>-0.38200000000000001</v>
          </cell>
          <cell r="L130">
            <v>-0.78200000000000003</v>
          </cell>
          <cell r="M130">
            <v>0.59375</v>
          </cell>
          <cell r="N130">
            <v>0.60416666666666663</v>
          </cell>
          <cell r="O130">
            <v>42722</v>
          </cell>
          <cell r="P130">
            <v>1.05</v>
          </cell>
          <cell r="Q130">
            <v>9</v>
          </cell>
          <cell r="R130">
            <v>28</v>
          </cell>
          <cell r="S130">
            <v>0</v>
          </cell>
          <cell r="T130">
            <v>0.66666666666666663</v>
          </cell>
          <cell r="U130">
            <v>42722</v>
          </cell>
          <cell r="V130">
            <v>23.3</v>
          </cell>
          <cell r="W130">
            <v>0.93055555555555547</v>
          </cell>
          <cell r="X130">
            <v>42722</v>
          </cell>
          <cell r="Y130">
            <v>30.15</v>
          </cell>
          <cell r="Z130">
            <v>0.96180555555555547</v>
          </cell>
          <cell r="AA130">
            <v>0.99305555555555547</v>
          </cell>
          <cell r="AB130">
            <v>42722</v>
          </cell>
          <cell r="AC130">
            <v>30.17</v>
          </cell>
          <cell r="AD130">
            <v>0.97916666666666663</v>
          </cell>
          <cell r="AE130">
            <v>0.99652777777777779</v>
          </cell>
          <cell r="AF130">
            <v>42722</v>
          </cell>
          <cell r="AG130">
            <v>0</v>
          </cell>
          <cell r="AH130">
            <v>6.25E-2</v>
          </cell>
          <cell r="AI130">
            <v>42723</v>
          </cell>
          <cell r="AJ130">
            <v>0.50347222222222221</v>
          </cell>
          <cell r="AK130">
            <v>0.51388888888888895</v>
          </cell>
          <cell r="AL130">
            <v>42723</v>
          </cell>
          <cell r="AM130">
            <v>1.05</v>
          </cell>
          <cell r="AN130">
            <v>9</v>
          </cell>
          <cell r="AO130">
            <v>28</v>
          </cell>
          <cell r="AP130">
            <v>0</v>
          </cell>
          <cell r="AQ130">
            <v>0.50694444444444442</v>
          </cell>
          <cell r="AR130">
            <v>0.51041666666666663</v>
          </cell>
          <cell r="AS130">
            <v>42723</v>
          </cell>
          <cell r="AT130">
            <v>30.18</v>
          </cell>
          <cell r="AU130">
            <v>0.52777777777777779</v>
          </cell>
          <cell r="AV130">
            <v>42723</v>
          </cell>
          <cell r="AW130">
            <v>0.58333333333333337</v>
          </cell>
          <cell r="AX130">
            <v>42723</v>
          </cell>
          <cell r="AY130">
            <v>7.3</v>
          </cell>
          <cell r="AZ130">
            <v>35</v>
          </cell>
        </row>
        <row r="131">
          <cell r="B131" t="str">
            <v>A75</v>
          </cell>
          <cell r="C131">
            <v>0.41666666666666669</v>
          </cell>
          <cell r="D131">
            <v>0.47222222222222227</v>
          </cell>
          <cell r="E131">
            <v>42723</v>
          </cell>
          <cell r="F131">
            <v>0.47569444444444442</v>
          </cell>
          <cell r="G131">
            <v>0.4861111111111111</v>
          </cell>
          <cell r="H131">
            <v>42723</v>
          </cell>
          <cell r="I131">
            <v>-1.7000000000000001E-2</v>
          </cell>
          <cell r="J131">
            <v>-1.9E-2</v>
          </cell>
          <cell r="K131">
            <v>-2.5000000000000001E-2</v>
          </cell>
          <cell r="L131">
            <v>-0.56499999999999995</v>
          </cell>
          <cell r="M131">
            <v>0.54861111111111105</v>
          </cell>
          <cell r="N131">
            <v>0.55902777777777779</v>
          </cell>
          <cell r="O131">
            <v>42723</v>
          </cell>
          <cell r="P131">
            <v>1.06</v>
          </cell>
          <cell r="Q131">
            <v>9</v>
          </cell>
          <cell r="R131">
            <v>28</v>
          </cell>
          <cell r="S131">
            <v>0</v>
          </cell>
          <cell r="T131">
            <v>0.6875</v>
          </cell>
          <cell r="U131">
            <v>42723</v>
          </cell>
          <cell r="V131">
            <v>22.7</v>
          </cell>
          <cell r="W131">
            <v>4.1666666666666664E-2</v>
          </cell>
          <cell r="X131">
            <v>42724</v>
          </cell>
          <cell r="Y131">
            <v>28.3</v>
          </cell>
          <cell r="Z131">
            <v>6.25E-2</v>
          </cell>
          <cell r="AA131">
            <v>9.0277777777777776E-2</v>
          </cell>
          <cell r="AB131">
            <v>42724</v>
          </cell>
          <cell r="AC131">
            <v>28.3</v>
          </cell>
          <cell r="AD131">
            <v>9.7222222222222224E-2</v>
          </cell>
          <cell r="AE131">
            <v>0.10416666666666667</v>
          </cell>
          <cell r="AF131">
            <v>42724</v>
          </cell>
          <cell r="AG131">
            <v>9.375E-2</v>
          </cell>
          <cell r="AH131">
            <v>0.15972222222222224</v>
          </cell>
          <cell r="AI131">
            <v>42724</v>
          </cell>
          <cell r="AJ131">
            <v>0.3576388888888889</v>
          </cell>
          <cell r="AK131">
            <v>0.36805555555555558</v>
          </cell>
          <cell r="AL131">
            <v>42724</v>
          </cell>
          <cell r="AM131">
            <v>1.05</v>
          </cell>
          <cell r="AN131">
            <v>9</v>
          </cell>
          <cell r="AO131">
            <v>28</v>
          </cell>
          <cell r="AP131">
            <v>0</v>
          </cell>
          <cell r="AQ131">
            <v>0.33333333333333331</v>
          </cell>
          <cell r="AR131">
            <v>0.34027777777777773</v>
          </cell>
          <cell r="AS131">
            <v>42724</v>
          </cell>
          <cell r="AT131">
            <v>28.3</v>
          </cell>
          <cell r="AU131">
            <v>0.34027777777777773</v>
          </cell>
          <cell r="AV131">
            <v>42724</v>
          </cell>
          <cell r="AW131">
            <v>0.36805555555555558</v>
          </cell>
          <cell r="AX131">
            <v>42724</v>
          </cell>
          <cell r="AY131">
            <v>8.6999999999999993</v>
          </cell>
          <cell r="AZ131">
            <v>26</v>
          </cell>
        </row>
        <row r="132">
          <cell r="B132" t="str">
            <v>A15</v>
          </cell>
          <cell r="C132">
            <v>0.39583333333333331</v>
          </cell>
          <cell r="D132">
            <v>0.45833333333333331</v>
          </cell>
          <cell r="E132">
            <v>42722</v>
          </cell>
          <cell r="F132">
            <v>0.5625</v>
          </cell>
          <cell r="G132">
            <v>0.57291666666666663</v>
          </cell>
          <cell r="H132">
            <v>42722</v>
          </cell>
          <cell r="I132">
            <v>-1.9E-2</v>
          </cell>
          <cell r="J132">
            <v>-1.4999999999999999E-2</v>
          </cell>
          <cell r="K132">
            <v>-0.01</v>
          </cell>
          <cell r="L132">
            <v>-0.55400000000000005</v>
          </cell>
          <cell r="M132">
            <v>0.58333333333333337</v>
          </cell>
          <cell r="N132">
            <v>0.59375</v>
          </cell>
          <cell r="O132">
            <v>42722</v>
          </cell>
          <cell r="P132">
            <v>1.05</v>
          </cell>
          <cell r="Q132">
            <v>9</v>
          </cell>
          <cell r="R132">
            <v>27</v>
          </cell>
          <cell r="S132">
            <v>0</v>
          </cell>
          <cell r="T132">
            <v>0.35416666666666669</v>
          </cell>
          <cell r="U132">
            <v>42723</v>
          </cell>
          <cell r="V132">
            <v>21.06</v>
          </cell>
          <cell r="W132">
            <v>0.75347222222222221</v>
          </cell>
          <cell r="X132">
            <v>42723</v>
          </cell>
          <cell r="Y132">
            <v>24.7</v>
          </cell>
          <cell r="Z132">
            <v>0.77777777777777779</v>
          </cell>
          <cell r="AA132">
            <v>0.80208333333333337</v>
          </cell>
          <cell r="AB132">
            <v>42723</v>
          </cell>
          <cell r="AC132">
            <v>24.75</v>
          </cell>
          <cell r="AD132">
            <v>0.8125</v>
          </cell>
          <cell r="AE132">
            <v>0.82291666666666663</v>
          </cell>
          <cell r="AF132">
            <v>42723</v>
          </cell>
          <cell r="AG132">
            <v>0.83680555555555547</v>
          </cell>
          <cell r="AH132">
            <v>0.86805555555555547</v>
          </cell>
          <cell r="AI132">
            <v>42723</v>
          </cell>
          <cell r="AJ132">
            <v>0.92013888888888884</v>
          </cell>
          <cell r="AK132">
            <v>0.92569444444444438</v>
          </cell>
          <cell r="AL132">
            <v>42723</v>
          </cell>
          <cell r="AM132">
            <v>1.05</v>
          </cell>
          <cell r="AN132">
            <v>9</v>
          </cell>
          <cell r="AO132">
            <v>24</v>
          </cell>
          <cell r="AP132">
            <v>0</v>
          </cell>
          <cell r="AQ132">
            <v>0.92708333333333337</v>
          </cell>
          <cell r="AR132">
            <v>0.93055555555555547</v>
          </cell>
          <cell r="AS132">
            <v>42723</v>
          </cell>
          <cell r="AT132">
            <v>24.75</v>
          </cell>
          <cell r="AU132">
            <v>0.9375</v>
          </cell>
          <cell r="AV132">
            <v>42723</v>
          </cell>
          <cell r="AW132">
            <v>0.97222222222222221</v>
          </cell>
          <cell r="AX132">
            <v>42723</v>
          </cell>
          <cell r="AY132">
            <v>7.5</v>
          </cell>
          <cell r="AZ132">
            <v>24</v>
          </cell>
        </row>
        <row r="133">
          <cell r="B133" t="str">
            <v>A16</v>
          </cell>
          <cell r="C133">
            <v>0.5625</v>
          </cell>
          <cell r="D133">
            <v>0.625</v>
          </cell>
          <cell r="E133">
            <v>42724</v>
          </cell>
          <cell r="F133">
            <v>0.65277777777777779</v>
          </cell>
          <cell r="G133">
            <v>0.66319444444444442</v>
          </cell>
          <cell r="H133">
            <v>42724</v>
          </cell>
          <cell r="I133">
            <v>-8.9999999999999993E-3</v>
          </cell>
          <cell r="J133">
            <v>1.4E-2</v>
          </cell>
          <cell r="K133">
            <v>-1.2E-2</v>
          </cell>
          <cell r="L133">
            <v>-0.60499999999999998</v>
          </cell>
          <cell r="M133">
            <v>0.66666666666666663</v>
          </cell>
          <cell r="N133">
            <v>0.67708333333333337</v>
          </cell>
          <cell r="O133">
            <v>42724</v>
          </cell>
          <cell r="P133">
            <v>1.05</v>
          </cell>
          <cell r="Q133">
            <v>9</v>
          </cell>
          <cell r="R133">
            <v>28</v>
          </cell>
          <cell r="S133">
            <v>0</v>
          </cell>
          <cell r="T133">
            <v>0.95833333333333337</v>
          </cell>
          <cell r="U133">
            <v>42724</v>
          </cell>
          <cell r="V133">
            <v>19.5</v>
          </cell>
          <cell r="W133">
            <v>5.2083333333333336E-2</v>
          </cell>
          <cell r="X133">
            <v>42725</v>
          </cell>
          <cell r="Y133">
            <v>25.3</v>
          </cell>
          <cell r="Z133">
            <v>7.2916666666666671E-2</v>
          </cell>
          <cell r="AA133">
            <v>0.10416666666666667</v>
          </cell>
          <cell r="AB133">
            <v>42725</v>
          </cell>
          <cell r="AC133">
            <v>25.38</v>
          </cell>
          <cell r="AD133">
            <v>0.1111111111111111</v>
          </cell>
          <cell r="AE133">
            <v>0.12152777777777778</v>
          </cell>
          <cell r="AF133">
            <v>42725</v>
          </cell>
          <cell r="AG133">
            <v>0.13194444444444445</v>
          </cell>
          <cell r="AH133">
            <v>0.16666666666666666</v>
          </cell>
          <cell r="AI133">
            <v>42725</v>
          </cell>
          <cell r="AJ133">
            <v>0.20833333333333334</v>
          </cell>
          <cell r="AK133">
            <v>0.21527777777777779</v>
          </cell>
          <cell r="AL133">
            <v>42725</v>
          </cell>
          <cell r="AM133">
            <v>1.05</v>
          </cell>
          <cell r="AN133">
            <v>9</v>
          </cell>
          <cell r="AO133">
            <v>23</v>
          </cell>
          <cell r="AP133">
            <v>0</v>
          </cell>
          <cell r="AQ133">
            <v>0.21875</v>
          </cell>
          <cell r="AR133">
            <v>0.22222222222222221</v>
          </cell>
          <cell r="AS133">
            <v>42725</v>
          </cell>
          <cell r="AT133">
            <v>25.38</v>
          </cell>
          <cell r="AU133">
            <v>0.22916666666666666</v>
          </cell>
          <cell r="AV133">
            <v>42725</v>
          </cell>
          <cell r="AW133">
            <v>0.26041666666666669</v>
          </cell>
          <cell r="AX133">
            <v>42725</v>
          </cell>
          <cell r="AY133">
            <v>7.6</v>
          </cell>
          <cell r="AZ133">
            <v>25</v>
          </cell>
        </row>
        <row r="134">
          <cell r="B134" t="str">
            <v>A159</v>
          </cell>
          <cell r="C134">
            <v>0.375</v>
          </cell>
          <cell r="D134">
            <v>0.44444444444444442</v>
          </cell>
          <cell r="E134">
            <v>42724</v>
          </cell>
          <cell r="F134">
            <v>0.45833333333333331</v>
          </cell>
          <cell r="G134">
            <v>0.46875</v>
          </cell>
          <cell r="H134">
            <v>42724</v>
          </cell>
          <cell r="I134">
            <v>-1.7000000000000001E-2</v>
          </cell>
          <cell r="J134">
            <v>-1.9E-2</v>
          </cell>
          <cell r="K134">
            <v>-0.23200000000000001</v>
          </cell>
          <cell r="L134">
            <v>-0.55600000000000005</v>
          </cell>
          <cell r="M134">
            <v>0.47222222222222227</v>
          </cell>
          <cell r="N134">
            <v>0.4861111111111111</v>
          </cell>
          <cell r="O134">
            <v>42724</v>
          </cell>
          <cell r="P134">
            <v>1.06</v>
          </cell>
          <cell r="Q134">
            <v>9</v>
          </cell>
          <cell r="R134">
            <v>28</v>
          </cell>
          <cell r="S134">
            <v>0</v>
          </cell>
          <cell r="T134">
            <v>0.66666666666666663</v>
          </cell>
          <cell r="U134">
            <v>42724</v>
          </cell>
          <cell r="V134">
            <v>22.8</v>
          </cell>
          <cell r="W134">
            <v>0.91666666666666663</v>
          </cell>
          <cell r="X134">
            <v>42724</v>
          </cell>
          <cell r="Y134">
            <v>30.3</v>
          </cell>
          <cell r="Z134">
            <v>0.9375</v>
          </cell>
          <cell r="AA134">
            <v>0.94791666666666663</v>
          </cell>
          <cell r="AB134">
            <v>42724</v>
          </cell>
          <cell r="AC134">
            <v>30.33</v>
          </cell>
          <cell r="AD134">
            <v>0.95486111111111116</v>
          </cell>
          <cell r="AE134">
            <v>0.96527777777777779</v>
          </cell>
          <cell r="AF134">
            <v>42724</v>
          </cell>
          <cell r="AG134">
            <v>6.9444444444444441E-3</v>
          </cell>
          <cell r="AH134">
            <v>5.5555555555555552E-2</v>
          </cell>
          <cell r="AI134">
            <v>42725</v>
          </cell>
          <cell r="AJ134">
            <v>6.25E-2</v>
          </cell>
          <cell r="AK134">
            <v>6.9444444444444434E-2</v>
          </cell>
          <cell r="AL134">
            <v>42725</v>
          </cell>
          <cell r="AM134">
            <v>1.05</v>
          </cell>
          <cell r="AN134">
            <v>9</v>
          </cell>
          <cell r="AO134">
            <v>24</v>
          </cell>
          <cell r="AP134">
            <v>0</v>
          </cell>
          <cell r="AQ134">
            <v>7.6388888888888895E-2</v>
          </cell>
          <cell r="AR134">
            <v>7.8472222222222221E-2</v>
          </cell>
          <cell r="AS134">
            <v>42725</v>
          </cell>
          <cell r="AT134">
            <v>30.33</v>
          </cell>
          <cell r="AU134">
            <v>7.9861111111111105E-2</v>
          </cell>
          <cell r="AV134">
            <v>42725</v>
          </cell>
          <cell r="AW134">
            <v>0.11458333333333333</v>
          </cell>
          <cell r="AX134">
            <v>42725</v>
          </cell>
          <cell r="AY134">
            <v>7.4</v>
          </cell>
          <cell r="AZ134">
            <v>32</v>
          </cell>
        </row>
        <row r="135">
          <cell r="B135" t="str">
            <v>A18</v>
          </cell>
          <cell r="C135">
            <v>0.5625</v>
          </cell>
          <cell r="D135">
            <v>0.625</v>
          </cell>
          <cell r="E135">
            <v>42725</v>
          </cell>
          <cell r="F135">
            <v>0.66666666666666663</v>
          </cell>
          <cell r="G135">
            <v>0.67708333333333337</v>
          </cell>
          <cell r="H135">
            <v>42725</v>
          </cell>
          <cell r="I135">
            <v>-0.02</v>
          </cell>
          <cell r="J135">
            <v>-1.2999999999999999E-2</v>
          </cell>
          <cell r="K135">
            <v>-0.01</v>
          </cell>
          <cell r="L135">
            <v>-0.432</v>
          </cell>
          <cell r="M135">
            <v>0.67708333333333337</v>
          </cell>
          <cell r="N135">
            <v>0.6875</v>
          </cell>
          <cell r="O135">
            <v>42725</v>
          </cell>
          <cell r="P135">
            <v>1.06</v>
          </cell>
          <cell r="Q135">
            <v>9</v>
          </cell>
          <cell r="R135">
            <v>26</v>
          </cell>
          <cell r="S135">
            <v>0</v>
          </cell>
          <cell r="T135">
            <v>0.88888888888888884</v>
          </cell>
          <cell r="U135">
            <v>42725</v>
          </cell>
          <cell r="V135">
            <v>21</v>
          </cell>
          <cell r="W135">
            <v>0.17708333333333334</v>
          </cell>
          <cell r="X135">
            <v>42726</v>
          </cell>
          <cell r="Y135">
            <v>25.3</v>
          </cell>
          <cell r="Z135">
            <v>0.19444444444444445</v>
          </cell>
          <cell r="AA135">
            <v>0.27083333333333331</v>
          </cell>
          <cell r="AB135">
            <v>42726</v>
          </cell>
          <cell r="AC135">
            <v>25.3</v>
          </cell>
          <cell r="AD135">
            <v>0.28125</v>
          </cell>
          <cell r="AE135">
            <v>0.30208333333333331</v>
          </cell>
          <cell r="AF135">
            <v>42726</v>
          </cell>
          <cell r="AG135">
            <v>0.3125</v>
          </cell>
          <cell r="AH135">
            <v>0.41666666666666669</v>
          </cell>
          <cell r="AI135">
            <v>42726</v>
          </cell>
          <cell r="AJ135">
            <v>0.52083333333333337</v>
          </cell>
          <cell r="AK135">
            <v>0.52777777777777779</v>
          </cell>
          <cell r="AL135">
            <v>42726</v>
          </cell>
          <cell r="AM135">
            <v>1.06</v>
          </cell>
          <cell r="AN135">
            <v>9</v>
          </cell>
          <cell r="AO135">
            <v>26</v>
          </cell>
          <cell r="AP135">
            <v>0</v>
          </cell>
          <cell r="AQ135">
            <v>0.52777777777777779</v>
          </cell>
          <cell r="AR135">
            <v>0.53125</v>
          </cell>
          <cell r="AS135">
            <v>42726</v>
          </cell>
          <cell r="AT135">
            <v>25.3</v>
          </cell>
          <cell r="AU135">
            <v>0.53472222222222221</v>
          </cell>
          <cell r="AV135">
            <v>42726</v>
          </cell>
          <cell r="AW135">
            <v>0.55902777777777779</v>
          </cell>
          <cell r="AX135">
            <v>42726</v>
          </cell>
          <cell r="AY135">
            <v>7.3</v>
          </cell>
          <cell r="AZ135">
            <v>24</v>
          </cell>
        </row>
        <row r="136">
          <cell r="B136" t="str">
            <v>A17</v>
          </cell>
          <cell r="C136">
            <v>0.79166666666666663</v>
          </cell>
          <cell r="D136">
            <v>0.85416666666666663</v>
          </cell>
          <cell r="E136">
            <v>42726</v>
          </cell>
          <cell r="F136">
            <v>0.88541666666666663</v>
          </cell>
          <cell r="G136">
            <v>0.89583333333333337</v>
          </cell>
          <cell r="H136">
            <v>42726</v>
          </cell>
          <cell r="I136">
            <v>-7.0000000000000001E-3</v>
          </cell>
          <cell r="J136">
            <v>2E-3</v>
          </cell>
          <cell r="K136">
            <v>-4.2000000000000003E-2</v>
          </cell>
          <cell r="L136">
            <v>-0.46800000000000003</v>
          </cell>
          <cell r="M136">
            <v>0.90625</v>
          </cell>
          <cell r="N136">
            <v>0.93055555555555547</v>
          </cell>
          <cell r="O136">
            <v>42726</v>
          </cell>
          <cell r="P136">
            <v>1.06</v>
          </cell>
          <cell r="Q136">
            <v>9</v>
          </cell>
          <cell r="R136">
            <v>24</v>
          </cell>
          <cell r="S136">
            <v>0</v>
          </cell>
          <cell r="T136">
            <v>1.0416666666666666E-2</v>
          </cell>
          <cell r="U136">
            <v>42727</v>
          </cell>
          <cell r="V136">
            <v>20.5</v>
          </cell>
          <cell r="W136">
            <v>8.6805555555555566E-2</v>
          </cell>
          <cell r="X136">
            <v>42727</v>
          </cell>
          <cell r="Y136">
            <v>25.3</v>
          </cell>
          <cell r="Z136">
            <v>0.1076388888888889</v>
          </cell>
          <cell r="AA136">
            <v>0.12152777777777778</v>
          </cell>
          <cell r="AB136">
            <v>42727</v>
          </cell>
          <cell r="AC136">
            <v>25.4</v>
          </cell>
          <cell r="AD136">
            <v>0.125</v>
          </cell>
          <cell r="AE136">
            <v>0.14583333333333334</v>
          </cell>
          <cell r="AF136">
            <v>42727</v>
          </cell>
          <cell r="AG136">
            <v>0.14930555555555555</v>
          </cell>
          <cell r="AH136">
            <v>0.20486111111111113</v>
          </cell>
          <cell r="AI136">
            <v>42727</v>
          </cell>
          <cell r="AJ136">
            <v>0.80555555555555547</v>
          </cell>
          <cell r="AK136">
            <v>0.8125</v>
          </cell>
          <cell r="AL136">
            <v>42727</v>
          </cell>
          <cell r="AM136">
            <v>1.06</v>
          </cell>
          <cell r="AN136">
            <v>9</v>
          </cell>
          <cell r="AO136">
            <v>25</v>
          </cell>
          <cell r="AP136">
            <v>0</v>
          </cell>
          <cell r="AQ136">
            <v>0.81944444444444453</v>
          </cell>
          <cell r="AR136">
            <v>0.82291666666666663</v>
          </cell>
          <cell r="AS136">
            <v>42727</v>
          </cell>
          <cell r="AT136">
            <v>25.4</v>
          </cell>
          <cell r="AU136">
            <v>0.82638888888888884</v>
          </cell>
          <cell r="AV136">
            <v>42727</v>
          </cell>
          <cell r="AW136">
            <v>0.86111111111111116</v>
          </cell>
          <cell r="AX136">
            <v>42727</v>
          </cell>
          <cell r="AY136">
            <v>7.6</v>
          </cell>
          <cell r="AZ136">
            <v>25</v>
          </cell>
        </row>
        <row r="137">
          <cell r="B137" t="str">
            <v>A78</v>
          </cell>
          <cell r="C137">
            <v>0.29166666666666669</v>
          </cell>
          <cell r="D137">
            <v>0.375</v>
          </cell>
          <cell r="E137">
            <v>42727</v>
          </cell>
          <cell r="F137">
            <v>0.38194444444444442</v>
          </cell>
          <cell r="G137">
            <v>0.3923611111111111</v>
          </cell>
          <cell r="H137">
            <v>42727</v>
          </cell>
          <cell r="I137">
            <v>-1.7999999999999999E-2</v>
          </cell>
          <cell r="J137">
            <v>-1.6E-2</v>
          </cell>
          <cell r="K137">
            <v>-0.16200000000000001</v>
          </cell>
          <cell r="L137">
            <v>-0.59699999999999998</v>
          </cell>
          <cell r="M137">
            <v>0.39583333333333331</v>
          </cell>
          <cell r="N137">
            <v>0.40277777777777773</v>
          </cell>
          <cell r="O137">
            <v>42727</v>
          </cell>
          <cell r="P137">
            <v>1.06</v>
          </cell>
          <cell r="Q137">
            <v>9</v>
          </cell>
          <cell r="R137">
            <v>26</v>
          </cell>
          <cell r="S137">
            <v>0</v>
          </cell>
          <cell r="T137">
            <v>0.63541666666666663</v>
          </cell>
          <cell r="U137">
            <v>42727</v>
          </cell>
          <cell r="V137">
            <v>20.7</v>
          </cell>
          <cell r="W137">
            <v>0.75</v>
          </cell>
          <cell r="X137">
            <v>42727</v>
          </cell>
          <cell r="Y137">
            <v>26.81</v>
          </cell>
          <cell r="Z137">
            <v>0.85416666666666663</v>
          </cell>
          <cell r="AA137">
            <v>0.88194444444444453</v>
          </cell>
          <cell r="AB137">
            <v>42727</v>
          </cell>
          <cell r="AC137">
            <v>26.8</v>
          </cell>
          <cell r="AD137">
            <v>0.88541666666666663</v>
          </cell>
          <cell r="AE137">
            <v>0.89583333333333337</v>
          </cell>
          <cell r="AF137">
            <v>42727</v>
          </cell>
          <cell r="AG137">
            <v>0.90625</v>
          </cell>
          <cell r="AH137">
            <v>0.94444444444444453</v>
          </cell>
          <cell r="AI137">
            <v>42727</v>
          </cell>
          <cell r="AJ137">
            <v>2.0833333333333332E-2</v>
          </cell>
          <cell r="AK137">
            <v>2.7777777777777776E-2</v>
          </cell>
          <cell r="AL137">
            <v>42727</v>
          </cell>
          <cell r="AM137">
            <v>1.06</v>
          </cell>
          <cell r="AN137">
            <v>9</v>
          </cell>
          <cell r="AO137">
            <v>24</v>
          </cell>
          <cell r="AP137">
            <v>0</v>
          </cell>
          <cell r="AQ137">
            <v>3.4722222222222224E-2</v>
          </cell>
          <cell r="AR137">
            <v>3.8194444444444441E-2</v>
          </cell>
          <cell r="AS137">
            <v>42728</v>
          </cell>
          <cell r="AT137">
            <v>26.85</v>
          </cell>
          <cell r="AU137">
            <v>7.9861111111111105E-2</v>
          </cell>
          <cell r="AV137">
            <v>42728</v>
          </cell>
          <cell r="AW137">
            <v>0.10416666666666667</v>
          </cell>
          <cell r="AX137">
            <v>42728</v>
          </cell>
          <cell r="AY137">
            <v>8.4</v>
          </cell>
          <cell r="AZ137">
            <v>24</v>
          </cell>
        </row>
        <row r="138">
          <cell r="B138" t="str">
            <v>A71</v>
          </cell>
          <cell r="C138">
            <v>0.39583333333333331</v>
          </cell>
          <cell r="D138">
            <v>0.45833333333333331</v>
          </cell>
          <cell r="E138">
            <v>42725</v>
          </cell>
          <cell r="F138">
            <v>0.62847222222222221</v>
          </cell>
          <cell r="G138">
            <v>0.63888888888888895</v>
          </cell>
          <cell r="H138">
            <v>42725</v>
          </cell>
          <cell r="I138">
            <v>-1.7000000000000001E-2</v>
          </cell>
          <cell r="J138">
            <v>1.2999999999999999E-2</v>
          </cell>
          <cell r="K138">
            <v>-0.216</v>
          </cell>
          <cell r="L138">
            <v>-0.63700000000000001</v>
          </cell>
          <cell r="M138">
            <v>0.63888888888888895</v>
          </cell>
          <cell r="N138">
            <v>0.64583333333333337</v>
          </cell>
          <cell r="O138">
            <v>42725</v>
          </cell>
          <cell r="P138">
            <v>1.06</v>
          </cell>
          <cell r="Q138">
            <v>9</v>
          </cell>
          <cell r="R138">
            <v>26</v>
          </cell>
          <cell r="S138">
            <v>0</v>
          </cell>
          <cell r="T138">
            <v>0.74305555555555547</v>
          </cell>
          <cell r="U138">
            <v>42725</v>
          </cell>
          <cell r="V138">
            <v>21.41</v>
          </cell>
          <cell r="W138">
            <v>0.10416666666666667</v>
          </cell>
          <cell r="X138">
            <v>42728</v>
          </cell>
          <cell r="Y138">
            <v>28.2</v>
          </cell>
          <cell r="Z138">
            <v>0.125</v>
          </cell>
          <cell r="AA138">
            <v>0.14583333333333334</v>
          </cell>
          <cell r="AB138">
            <v>42728</v>
          </cell>
          <cell r="AC138">
            <v>28.3</v>
          </cell>
          <cell r="AD138">
            <v>0.15277777777777776</v>
          </cell>
          <cell r="AE138">
            <v>0.16319444444444445</v>
          </cell>
          <cell r="AF138">
            <v>42728</v>
          </cell>
          <cell r="AG138">
            <v>0.16666666666666666</v>
          </cell>
          <cell r="AH138">
            <v>0.1875</v>
          </cell>
          <cell r="AI138">
            <v>42728</v>
          </cell>
          <cell r="AJ138">
            <v>0.19791666666666666</v>
          </cell>
          <cell r="AK138">
            <v>0.20486111111111113</v>
          </cell>
          <cell r="AL138">
            <v>42728</v>
          </cell>
          <cell r="AM138">
            <v>1.06</v>
          </cell>
          <cell r="AN138">
            <v>9</v>
          </cell>
          <cell r="AO138">
            <v>22</v>
          </cell>
          <cell r="AP138">
            <v>0</v>
          </cell>
          <cell r="AQ138">
            <v>0.20833333333333334</v>
          </cell>
          <cell r="AR138">
            <v>0.21180555555555555</v>
          </cell>
          <cell r="AS138">
            <v>42728</v>
          </cell>
          <cell r="AT138">
            <v>28.3</v>
          </cell>
          <cell r="AU138">
            <v>0.21527777777777779</v>
          </cell>
          <cell r="AV138">
            <v>42728</v>
          </cell>
          <cell r="AW138">
            <v>0.27777777777777779</v>
          </cell>
          <cell r="AX138">
            <v>42728</v>
          </cell>
          <cell r="AY138">
            <v>7.4</v>
          </cell>
          <cell r="AZ138">
            <v>49</v>
          </cell>
        </row>
        <row r="139">
          <cell r="B139" t="str">
            <v>B23</v>
          </cell>
          <cell r="C139">
            <v>0.58333333333333337</v>
          </cell>
          <cell r="D139">
            <v>0.64583333333333337</v>
          </cell>
          <cell r="E139">
            <v>42727</v>
          </cell>
          <cell r="F139">
            <v>0.64930555555555558</v>
          </cell>
          <cell r="G139">
            <v>0.65625</v>
          </cell>
          <cell r="H139">
            <v>42727</v>
          </cell>
          <cell r="I139">
            <v>-1.9E-2</v>
          </cell>
          <cell r="J139">
            <v>-8.0000000000000002E-3</v>
          </cell>
          <cell r="K139">
            <v>-0.63900000000000001</v>
          </cell>
          <cell r="L139">
            <v>-0.86699999999999999</v>
          </cell>
          <cell r="M139">
            <v>0.66319444444444442</v>
          </cell>
          <cell r="N139">
            <v>0.67708333333333337</v>
          </cell>
          <cell r="O139">
            <v>42727</v>
          </cell>
          <cell r="P139">
            <v>1.06</v>
          </cell>
          <cell r="Q139">
            <v>9</v>
          </cell>
          <cell r="R139">
            <v>26</v>
          </cell>
          <cell r="S139">
            <v>0</v>
          </cell>
          <cell r="T139">
            <v>0.875</v>
          </cell>
          <cell r="U139">
            <v>42727</v>
          </cell>
          <cell r="V139">
            <v>20.100000000000001</v>
          </cell>
          <cell r="W139">
            <v>0.42708333333333331</v>
          </cell>
          <cell r="X139">
            <v>42728</v>
          </cell>
          <cell r="Y139">
            <v>29.87</v>
          </cell>
          <cell r="Z139">
            <v>0.44444444444444442</v>
          </cell>
          <cell r="AA139">
            <v>0.46180555555555558</v>
          </cell>
          <cell r="AB139">
            <v>42728</v>
          </cell>
          <cell r="AC139">
            <v>29.9</v>
          </cell>
          <cell r="AD139">
            <v>0.46875</v>
          </cell>
          <cell r="AE139">
            <v>0.4861111111111111</v>
          </cell>
          <cell r="AF139">
            <v>42728</v>
          </cell>
          <cell r="AG139">
            <v>0.49305555555555558</v>
          </cell>
          <cell r="AH139">
            <v>0.53125</v>
          </cell>
          <cell r="AI139">
            <v>42728</v>
          </cell>
          <cell r="AJ139">
            <v>0.76041666666666663</v>
          </cell>
          <cell r="AK139">
            <v>0.76736111111111116</v>
          </cell>
          <cell r="AL139">
            <v>42728</v>
          </cell>
          <cell r="AM139">
            <v>1.06</v>
          </cell>
          <cell r="AN139">
            <v>9</v>
          </cell>
          <cell r="AO139">
            <v>24</v>
          </cell>
          <cell r="AP139">
            <v>0</v>
          </cell>
          <cell r="AQ139">
            <v>0.77083333333333337</v>
          </cell>
          <cell r="AR139">
            <v>0.77430555555555547</v>
          </cell>
          <cell r="AS139">
            <v>42728</v>
          </cell>
          <cell r="AT139">
            <v>29.9</v>
          </cell>
          <cell r="AU139">
            <v>0.77777777777777779</v>
          </cell>
          <cell r="AV139">
            <v>42728</v>
          </cell>
          <cell r="AW139">
            <v>0.79513888888888884</v>
          </cell>
          <cell r="AX139">
            <v>42728</v>
          </cell>
          <cell r="AY139">
            <v>5.3</v>
          </cell>
          <cell r="AZ139">
            <v>14</v>
          </cell>
        </row>
        <row r="140">
          <cell r="B140" t="str">
            <v>A133</v>
          </cell>
          <cell r="C140">
            <v>0.32291666666666669</v>
          </cell>
          <cell r="D140">
            <v>0.39583333333333331</v>
          </cell>
          <cell r="E140">
            <v>42728</v>
          </cell>
          <cell r="F140">
            <v>0.39930555555555558</v>
          </cell>
          <cell r="G140">
            <v>0.40972222222222227</v>
          </cell>
          <cell r="H140">
            <v>42728</v>
          </cell>
          <cell r="I140">
            <v>0.02</v>
          </cell>
          <cell r="J140">
            <v>-1.2E-2</v>
          </cell>
          <cell r="K140">
            <v>-0.32300000000000001</v>
          </cell>
          <cell r="L140">
            <v>-0.67100000000000004</v>
          </cell>
          <cell r="M140">
            <v>0.41319444444444442</v>
          </cell>
          <cell r="N140">
            <v>0.4236111111111111</v>
          </cell>
          <cell r="O140">
            <v>42728</v>
          </cell>
          <cell r="P140">
            <v>1.06</v>
          </cell>
          <cell r="Q140">
            <v>9</v>
          </cell>
          <cell r="R140">
            <v>26</v>
          </cell>
          <cell r="S140">
            <v>0</v>
          </cell>
          <cell r="T140">
            <v>0.4861111111111111</v>
          </cell>
          <cell r="U140">
            <v>42728</v>
          </cell>
          <cell r="V140">
            <v>20.9</v>
          </cell>
          <cell r="W140">
            <v>0.375</v>
          </cell>
          <cell r="X140">
            <v>42729</v>
          </cell>
          <cell r="Y140">
            <v>29.77</v>
          </cell>
          <cell r="Z140">
            <v>0.41666666666666669</v>
          </cell>
          <cell r="AA140">
            <v>0.4375</v>
          </cell>
          <cell r="AB140">
            <v>42729</v>
          </cell>
          <cell r="AC140">
            <v>29.8</v>
          </cell>
          <cell r="AD140">
            <v>0.44444444444444442</v>
          </cell>
          <cell r="AE140">
            <v>0.4548611111111111</v>
          </cell>
          <cell r="AF140">
            <v>42729</v>
          </cell>
          <cell r="AG140">
            <v>0.46875</v>
          </cell>
          <cell r="AH140">
            <v>0.61805555555555558</v>
          </cell>
          <cell r="AI140">
            <v>42729</v>
          </cell>
          <cell r="AJ140">
            <v>0.58680555555555558</v>
          </cell>
          <cell r="AK140">
            <v>0.59375</v>
          </cell>
          <cell r="AL140">
            <v>42729</v>
          </cell>
          <cell r="AM140">
            <v>1.06</v>
          </cell>
          <cell r="AN140">
            <v>9</v>
          </cell>
          <cell r="AO140">
            <v>26</v>
          </cell>
          <cell r="AP140">
            <v>0</v>
          </cell>
          <cell r="AQ140">
            <v>0.59722222222222221</v>
          </cell>
          <cell r="AR140">
            <v>0.60069444444444442</v>
          </cell>
          <cell r="AS140">
            <v>42729</v>
          </cell>
          <cell r="AT140">
            <v>29.8</v>
          </cell>
          <cell r="AU140">
            <v>0.60416666666666663</v>
          </cell>
          <cell r="AV140">
            <v>42729</v>
          </cell>
          <cell r="AW140">
            <v>0.67361111111111116</v>
          </cell>
          <cell r="AX140">
            <v>42729</v>
          </cell>
          <cell r="AY140">
            <v>7.2</v>
          </cell>
          <cell r="AZ140">
            <v>42</v>
          </cell>
        </row>
        <row r="141">
          <cell r="B141" t="str">
            <v>A70</v>
          </cell>
          <cell r="C141">
            <v>0.58333333333333337</v>
          </cell>
          <cell r="D141">
            <v>0.65625</v>
          </cell>
          <cell r="E141">
            <v>42728</v>
          </cell>
          <cell r="F141">
            <v>0.66319444444444442</v>
          </cell>
          <cell r="G141">
            <v>0.67361111111111116</v>
          </cell>
          <cell r="H141">
            <v>42728</v>
          </cell>
          <cell r="I141">
            <v>-0.01</v>
          </cell>
          <cell r="J141">
            <v>0.02</v>
          </cell>
          <cell r="K141">
            <v>-0.20599999999999999</v>
          </cell>
          <cell r="L141">
            <v>-0.73199999999999998</v>
          </cell>
          <cell r="M141">
            <v>0.67708333333333337</v>
          </cell>
          <cell r="N141">
            <v>0.6875</v>
          </cell>
          <cell r="O141">
            <v>42728</v>
          </cell>
          <cell r="P141">
            <v>1.06</v>
          </cell>
          <cell r="Q141">
            <v>9</v>
          </cell>
          <cell r="R141">
            <v>28</v>
          </cell>
          <cell r="S141">
            <v>0</v>
          </cell>
          <cell r="T141">
            <v>0.37847222222222227</v>
          </cell>
          <cell r="U141">
            <v>42729</v>
          </cell>
          <cell r="V141">
            <v>22.1</v>
          </cell>
          <cell r="W141">
            <v>0.60416666666666663</v>
          </cell>
          <cell r="X141">
            <v>42729</v>
          </cell>
          <cell r="Y141">
            <v>28.1</v>
          </cell>
          <cell r="Z141">
            <v>0.63541666666666663</v>
          </cell>
          <cell r="AA141">
            <v>0.66666666666666663</v>
          </cell>
          <cell r="AB141">
            <v>42729</v>
          </cell>
          <cell r="AC141">
            <v>28.15</v>
          </cell>
          <cell r="AD141">
            <v>0.67361111111111116</v>
          </cell>
          <cell r="AE141">
            <v>0.6875</v>
          </cell>
          <cell r="AF141">
            <v>42729</v>
          </cell>
          <cell r="AG141">
            <v>0.69791666666666663</v>
          </cell>
          <cell r="AH141">
            <v>0.76041666666666663</v>
          </cell>
          <cell r="AI141">
            <v>42729</v>
          </cell>
          <cell r="AJ141">
            <v>0.80208333333333337</v>
          </cell>
          <cell r="AK141">
            <v>0.80902777777777779</v>
          </cell>
          <cell r="AL141">
            <v>42729</v>
          </cell>
          <cell r="AM141">
            <v>1.06</v>
          </cell>
          <cell r="AN141">
            <v>9</v>
          </cell>
          <cell r="AO141">
            <v>28</v>
          </cell>
          <cell r="AP141">
            <v>0</v>
          </cell>
          <cell r="AQ141">
            <v>0.8125</v>
          </cell>
          <cell r="AR141">
            <v>0.81597222222222221</v>
          </cell>
          <cell r="AS141">
            <v>42729</v>
          </cell>
          <cell r="AT141">
            <v>28.15</v>
          </cell>
          <cell r="AU141">
            <v>0.81944444444444453</v>
          </cell>
          <cell r="AV141">
            <v>42729</v>
          </cell>
          <cell r="AW141">
            <v>0.90625</v>
          </cell>
          <cell r="AX141">
            <v>42729</v>
          </cell>
          <cell r="AY141">
            <v>8.1999999999999993</v>
          </cell>
          <cell r="AZ141">
            <v>31.5</v>
          </cell>
        </row>
        <row r="142">
          <cell r="B142" t="str">
            <v>A79</v>
          </cell>
          <cell r="C142">
            <v>0.52083333333333337</v>
          </cell>
          <cell r="D142">
            <v>0.58333333333333337</v>
          </cell>
          <cell r="E142">
            <v>42729</v>
          </cell>
          <cell r="F142">
            <v>0.59027777777777779</v>
          </cell>
          <cell r="G142">
            <v>0.60069444444444442</v>
          </cell>
          <cell r="H142">
            <v>42729</v>
          </cell>
          <cell r="I142">
            <v>-2.5000000000000001E-2</v>
          </cell>
          <cell r="J142">
            <v>0.01</v>
          </cell>
          <cell r="K142">
            <v>-0.16</v>
          </cell>
          <cell r="L142">
            <v>-0.68300000000000005</v>
          </cell>
          <cell r="M142">
            <v>0.60416666666666663</v>
          </cell>
          <cell r="N142">
            <v>0.61458333333333337</v>
          </cell>
          <cell r="O142">
            <v>42729</v>
          </cell>
          <cell r="P142">
            <v>1.06</v>
          </cell>
          <cell r="Q142">
            <v>9</v>
          </cell>
          <cell r="R142">
            <v>26</v>
          </cell>
          <cell r="S142">
            <v>0</v>
          </cell>
          <cell r="T142">
            <v>0.95833333333333337</v>
          </cell>
          <cell r="U142">
            <v>42729</v>
          </cell>
          <cell r="V142">
            <v>20.6</v>
          </cell>
          <cell r="W142">
            <v>0.39583333333333331</v>
          </cell>
          <cell r="X142">
            <v>42730</v>
          </cell>
          <cell r="Y142">
            <v>28.2</v>
          </cell>
          <cell r="Z142">
            <v>0.41666666666666669</v>
          </cell>
          <cell r="AA142">
            <v>0.43055555555555558</v>
          </cell>
          <cell r="AB142">
            <v>42730</v>
          </cell>
          <cell r="AC142">
            <v>28.2</v>
          </cell>
          <cell r="AD142">
            <v>0.4375</v>
          </cell>
          <cell r="AE142">
            <v>0.44791666666666669</v>
          </cell>
          <cell r="AF142">
            <v>42730</v>
          </cell>
          <cell r="AG142">
            <v>0.45833333333333331</v>
          </cell>
          <cell r="AH142">
            <v>0.49305555555555558</v>
          </cell>
          <cell r="AI142">
            <v>42730</v>
          </cell>
          <cell r="AJ142">
            <v>0.65277777777777779</v>
          </cell>
          <cell r="AK142">
            <v>0.66319444444444442</v>
          </cell>
          <cell r="AL142">
            <v>42730</v>
          </cell>
          <cell r="AM142">
            <v>1.05</v>
          </cell>
          <cell r="AN142">
            <v>9</v>
          </cell>
          <cell r="AO142">
            <v>25</v>
          </cell>
          <cell r="AP142">
            <v>0</v>
          </cell>
          <cell r="AQ142">
            <v>0.66666666666666663</v>
          </cell>
          <cell r="AR142">
            <v>0.67013888888888884</v>
          </cell>
          <cell r="AS142">
            <v>42730</v>
          </cell>
          <cell r="AT142">
            <v>28.2</v>
          </cell>
          <cell r="AU142">
            <v>0.67361111111111116</v>
          </cell>
          <cell r="AV142">
            <v>42730</v>
          </cell>
          <cell r="AW142">
            <v>0.69791666666666663</v>
          </cell>
          <cell r="AX142">
            <v>42730</v>
          </cell>
          <cell r="AY142">
            <v>8.4</v>
          </cell>
          <cell r="AZ142">
            <v>27</v>
          </cell>
        </row>
        <row r="143">
          <cell r="B143" t="str">
            <v>A72</v>
          </cell>
          <cell r="C143">
            <v>0.9375</v>
          </cell>
          <cell r="D143">
            <v>0.99652777777777779</v>
          </cell>
          <cell r="E143">
            <v>42729</v>
          </cell>
          <cell r="F143">
            <v>2.0833333333333332E-2</v>
          </cell>
          <cell r="G143">
            <v>3.125E-2</v>
          </cell>
          <cell r="H143">
            <v>42730</v>
          </cell>
          <cell r="I143">
            <v>-0.02</v>
          </cell>
          <cell r="J143">
            <v>-8.0000000000000002E-3</v>
          </cell>
          <cell r="K143">
            <v>-0.29199999999999998</v>
          </cell>
          <cell r="L143">
            <v>-0.56000000000000005</v>
          </cell>
          <cell r="M143">
            <v>3.472222222222222E-3</v>
          </cell>
          <cell r="N143">
            <v>1.0416666666666666E-2</v>
          </cell>
          <cell r="O143">
            <v>42730</v>
          </cell>
          <cell r="P143">
            <v>1.06</v>
          </cell>
          <cell r="Q143">
            <v>9</v>
          </cell>
          <cell r="R143">
            <v>26</v>
          </cell>
          <cell r="S143">
            <v>0</v>
          </cell>
          <cell r="T143">
            <v>0.39583333333333331</v>
          </cell>
          <cell r="U143">
            <v>42730</v>
          </cell>
          <cell r="V143">
            <v>20</v>
          </cell>
          <cell r="W143">
            <v>0.90625</v>
          </cell>
          <cell r="X143">
            <v>42730</v>
          </cell>
          <cell r="Y143">
            <v>28</v>
          </cell>
          <cell r="Z143">
            <v>0.9375</v>
          </cell>
          <cell r="AA143">
            <v>0.95833333333333337</v>
          </cell>
          <cell r="AB143">
            <v>42730</v>
          </cell>
          <cell r="AC143">
            <v>28.1</v>
          </cell>
          <cell r="AD143">
            <v>0.96875</v>
          </cell>
          <cell r="AE143">
            <v>0.99305555555555547</v>
          </cell>
          <cell r="AF143">
            <v>42730</v>
          </cell>
          <cell r="AG143">
            <v>0.99305555555555547</v>
          </cell>
          <cell r="AH143">
            <v>6.25E-2</v>
          </cell>
          <cell r="AI143">
            <v>42731</v>
          </cell>
          <cell r="AJ143">
            <v>0.41666666666666669</v>
          </cell>
          <cell r="AK143">
            <v>0.4236111111111111</v>
          </cell>
          <cell r="AL143">
            <v>42731</v>
          </cell>
          <cell r="AM143">
            <v>1.05</v>
          </cell>
          <cell r="AN143">
            <v>9</v>
          </cell>
          <cell r="AO143">
            <v>23</v>
          </cell>
          <cell r="AP143">
            <v>0</v>
          </cell>
          <cell r="AQ143">
            <v>0.42708333333333331</v>
          </cell>
          <cell r="AR143">
            <v>0.43055555555555558</v>
          </cell>
          <cell r="AS143">
            <v>42731</v>
          </cell>
          <cell r="AT143">
            <v>28.1</v>
          </cell>
          <cell r="AU143">
            <v>0.43402777777777773</v>
          </cell>
          <cell r="AV143">
            <v>42731</v>
          </cell>
          <cell r="AW143">
            <v>0.52083333333333337</v>
          </cell>
          <cell r="AX143">
            <v>42731</v>
          </cell>
          <cell r="AY143">
            <v>7.3</v>
          </cell>
          <cell r="AZ143">
            <v>34</v>
          </cell>
        </row>
        <row r="144">
          <cell r="B144" t="str">
            <v>A80</v>
          </cell>
          <cell r="C144">
            <v>0.58333333333333337</v>
          </cell>
          <cell r="D144">
            <v>0.64583333333333337</v>
          </cell>
          <cell r="E144">
            <v>42731</v>
          </cell>
          <cell r="F144">
            <v>0.65277777777777779</v>
          </cell>
          <cell r="G144">
            <v>0.65972222222222221</v>
          </cell>
          <cell r="H144">
            <v>42731</v>
          </cell>
          <cell r="I144">
            <v>-2E-3</v>
          </cell>
          <cell r="J144">
            <v>1.6E-2</v>
          </cell>
          <cell r="K144">
            <v>-0.23699999999999999</v>
          </cell>
          <cell r="L144">
            <v>-0.56000000000000005</v>
          </cell>
          <cell r="M144">
            <v>0.66666666666666663</v>
          </cell>
          <cell r="N144">
            <v>0.67013888888888884</v>
          </cell>
          <cell r="O144">
            <v>42731</v>
          </cell>
          <cell r="P144">
            <v>1.05</v>
          </cell>
          <cell r="Q144">
            <v>9</v>
          </cell>
          <cell r="R144">
            <v>25</v>
          </cell>
          <cell r="S144">
            <v>0</v>
          </cell>
          <cell r="T144">
            <v>0.83333333333333337</v>
          </cell>
          <cell r="U144">
            <v>42731</v>
          </cell>
          <cell r="V144">
            <v>22.8</v>
          </cell>
          <cell r="W144">
            <v>0.9375</v>
          </cell>
          <cell r="X144">
            <v>42731</v>
          </cell>
          <cell r="Y144">
            <v>28.11</v>
          </cell>
          <cell r="Z144">
            <v>0.96527777777777779</v>
          </cell>
          <cell r="AA144">
            <v>0.98611111111111116</v>
          </cell>
          <cell r="AB144">
            <v>42731</v>
          </cell>
          <cell r="AC144">
            <v>28.15</v>
          </cell>
          <cell r="AD144">
            <v>0.98958333333333337</v>
          </cell>
          <cell r="AE144">
            <v>1.0416666666666666E-2</v>
          </cell>
          <cell r="AF144">
            <v>42731</v>
          </cell>
          <cell r="AG144">
            <v>1.3888888888888888E-2</v>
          </cell>
          <cell r="AH144">
            <v>6.25E-2</v>
          </cell>
          <cell r="AI144">
            <v>42732</v>
          </cell>
          <cell r="AJ144">
            <v>9.0277777777777776E-2</v>
          </cell>
          <cell r="AK144">
            <v>9.7222222222222224E-2</v>
          </cell>
          <cell r="AL144">
            <v>42732</v>
          </cell>
          <cell r="AM144">
            <v>1.05</v>
          </cell>
          <cell r="AN144">
            <v>9</v>
          </cell>
          <cell r="AO144">
            <v>23</v>
          </cell>
          <cell r="AP144">
            <v>0</v>
          </cell>
          <cell r="AQ144">
            <v>0.10416666666666667</v>
          </cell>
          <cell r="AR144">
            <v>0.1076388888888889</v>
          </cell>
          <cell r="AS144">
            <v>42732</v>
          </cell>
          <cell r="AT144">
            <v>28.15</v>
          </cell>
          <cell r="AU144">
            <v>0.1111111111111111</v>
          </cell>
          <cell r="AV144">
            <v>42732</v>
          </cell>
          <cell r="AW144">
            <v>0.14583333333333334</v>
          </cell>
          <cell r="AX144">
            <v>42732</v>
          </cell>
          <cell r="AY144">
            <v>8.1999999999999993</v>
          </cell>
          <cell r="AZ144">
            <v>26</v>
          </cell>
        </row>
        <row r="145">
          <cell r="B145" t="str">
            <v>A132</v>
          </cell>
          <cell r="C145">
            <v>0.39583333333333331</v>
          </cell>
          <cell r="D145">
            <v>0.47916666666666669</v>
          </cell>
          <cell r="E145">
            <v>42731</v>
          </cell>
          <cell r="F145">
            <v>0.5625</v>
          </cell>
          <cell r="G145">
            <v>0.57291666666666663</v>
          </cell>
          <cell r="H145">
            <v>42731</v>
          </cell>
          <cell r="I145">
            <v>6.0000000000000001E-3</v>
          </cell>
          <cell r="J145">
            <v>-1.7999999999999999E-2</v>
          </cell>
          <cell r="K145">
            <v>-1.0189999999999999</v>
          </cell>
          <cell r="L145">
            <v>-0.97899999999999998</v>
          </cell>
          <cell r="M145">
            <v>0.59027777777777779</v>
          </cell>
          <cell r="N145">
            <v>0.60069444444444442</v>
          </cell>
          <cell r="O145">
            <v>42731</v>
          </cell>
          <cell r="P145">
            <v>1.06</v>
          </cell>
          <cell r="Q145">
            <v>9</v>
          </cell>
          <cell r="R145">
            <v>24</v>
          </cell>
          <cell r="S145">
            <v>0</v>
          </cell>
          <cell r="T145">
            <v>0.92361111111111116</v>
          </cell>
          <cell r="U145">
            <v>42731</v>
          </cell>
          <cell r="V145">
            <v>23.5</v>
          </cell>
          <cell r="W145">
            <v>0.80208333333333337</v>
          </cell>
          <cell r="X145">
            <v>42732</v>
          </cell>
          <cell r="Y145">
            <v>30.01</v>
          </cell>
          <cell r="Z145">
            <v>0.82291666666666663</v>
          </cell>
          <cell r="AA145">
            <v>0.84375</v>
          </cell>
          <cell r="AB145">
            <v>42732</v>
          </cell>
          <cell r="AC145">
            <v>30.05</v>
          </cell>
          <cell r="AD145">
            <v>0.84722222222222221</v>
          </cell>
          <cell r="AE145">
            <v>0.86111111111111116</v>
          </cell>
          <cell r="AF145">
            <v>42732</v>
          </cell>
          <cell r="AG145">
            <v>0.875</v>
          </cell>
          <cell r="AH145">
            <v>0.94791666666666663</v>
          </cell>
          <cell r="AI145">
            <v>42732</v>
          </cell>
          <cell r="AJ145">
            <v>1.3888888888888888E-2</v>
          </cell>
          <cell r="AK145">
            <v>2.0833333333333332E-2</v>
          </cell>
          <cell r="AL145">
            <v>42733</v>
          </cell>
          <cell r="AM145">
            <v>1.06</v>
          </cell>
          <cell r="AN145">
            <v>9</v>
          </cell>
          <cell r="AO145">
            <v>24</v>
          </cell>
          <cell r="AP145">
            <v>0</v>
          </cell>
          <cell r="AQ145">
            <v>2.4305555555555556E-2</v>
          </cell>
          <cell r="AR145">
            <v>2.7777777777777776E-2</v>
          </cell>
          <cell r="AS145">
            <v>42733</v>
          </cell>
          <cell r="AT145">
            <v>30.05</v>
          </cell>
          <cell r="AU145">
            <v>3.125E-2</v>
          </cell>
          <cell r="AV145">
            <v>42733</v>
          </cell>
          <cell r="AW145">
            <v>0.89583333333333337</v>
          </cell>
          <cell r="AX145">
            <v>42733</v>
          </cell>
          <cell r="AY145">
            <v>6.5</v>
          </cell>
          <cell r="AZ145">
            <v>50</v>
          </cell>
        </row>
        <row r="146">
          <cell r="B146" t="str">
            <v>A87</v>
          </cell>
          <cell r="C146">
            <v>0.375</v>
          </cell>
          <cell r="D146">
            <v>0.43055555555555558</v>
          </cell>
          <cell r="E146">
            <v>42732</v>
          </cell>
          <cell r="F146">
            <v>0.4375</v>
          </cell>
          <cell r="G146">
            <v>0.44791666666666669</v>
          </cell>
          <cell r="H146">
            <v>42732</v>
          </cell>
          <cell r="I146">
            <v>7.0000000000000001E-3</v>
          </cell>
          <cell r="J146">
            <v>1.4E-2</v>
          </cell>
          <cell r="K146">
            <v>-0.36199999999999999</v>
          </cell>
          <cell r="L146">
            <v>-0.59</v>
          </cell>
          <cell r="M146">
            <v>0.45833333333333331</v>
          </cell>
          <cell r="N146">
            <v>0.46527777777777773</v>
          </cell>
          <cell r="O146">
            <v>42732</v>
          </cell>
          <cell r="P146">
            <v>1.06</v>
          </cell>
          <cell r="Q146">
            <v>9</v>
          </cell>
          <cell r="R146">
            <v>23</v>
          </cell>
          <cell r="S146">
            <v>0</v>
          </cell>
          <cell r="T146">
            <v>0.58333333333333337</v>
          </cell>
          <cell r="U146">
            <v>42732</v>
          </cell>
          <cell r="V146">
            <v>20.5</v>
          </cell>
          <cell r="W146">
            <v>0.88194444444444453</v>
          </cell>
          <cell r="X146">
            <v>42734</v>
          </cell>
          <cell r="Y146">
            <v>42.8</v>
          </cell>
          <cell r="Z146">
            <v>0.91666666666666663</v>
          </cell>
          <cell r="AA146">
            <v>0.95486111111111116</v>
          </cell>
          <cell r="AB146">
            <v>42734</v>
          </cell>
          <cell r="AC146">
            <v>42.85</v>
          </cell>
          <cell r="AD146">
            <v>0.94444444444444453</v>
          </cell>
          <cell r="AE146">
            <v>0.95486111111111116</v>
          </cell>
          <cell r="AF146">
            <v>42734</v>
          </cell>
          <cell r="AG146">
            <v>3.472222222222222E-3</v>
          </cell>
          <cell r="AH146">
            <v>4.8611111111111112E-2</v>
          </cell>
          <cell r="AI146">
            <v>42735</v>
          </cell>
          <cell r="AJ146">
            <v>6.9444444444444434E-2</v>
          </cell>
          <cell r="AK146">
            <v>7.6388888888888895E-2</v>
          </cell>
          <cell r="AL146">
            <v>42735</v>
          </cell>
          <cell r="AM146">
            <v>1.06</v>
          </cell>
          <cell r="AN146">
            <v>9</v>
          </cell>
          <cell r="AO146">
            <v>25</v>
          </cell>
          <cell r="AP146">
            <v>0</v>
          </cell>
          <cell r="AQ146">
            <v>7.9861111111111105E-2</v>
          </cell>
          <cell r="AR146">
            <v>8.3333333333333329E-2</v>
          </cell>
          <cell r="AS146">
            <v>42735</v>
          </cell>
          <cell r="AT146">
            <v>42.85</v>
          </cell>
          <cell r="AU146">
            <v>8.6805555555555566E-2</v>
          </cell>
          <cell r="AV146">
            <v>42735</v>
          </cell>
          <cell r="AW146">
            <v>0.18055555555555555</v>
          </cell>
          <cell r="AX146">
            <v>42735</v>
          </cell>
          <cell r="AY146">
            <v>8.3000000000000007</v>
          </cell>
          <cell r="AZ146">
            <v>50</v>
          </cell>
        </row>
        <row r="147">
          <cell r="B147" t="str">
            <v>A64</v>
          </cell>
          <cell r="C147">
            <v>0.625</v>
          </cell>
          <cell r="D147">
            <v>0.6875</v>
          </cell>
          <cell r="E147">
            <v>42733</v>
          </cell>
          <cell r="F147">
            <v>0.75</v>
          </cell>
          <cell r="G147">
            <v>0.76041666666666663</v>
          </cell>
          <cell r="H147">
            <v>42733</v>
          </cell>
          <cell r="I147">
            <v>1.4E-2</v>
          </cell>
          <cell r="J147">
            <v>1.4E-2</v>
          </cell>
          <cell r="K147">
            <v>-0.02</v>
          </cell>
          <cell r="L147">
            <v>-0.54900000000000004</v>
          </cell>
          <cell r="M147">
            <v>0.75</v>
          </cell>
          <cell r="N147">
            <v>0.76041666666666663</v>
          </cell>
          <cell r="O147">
            <v>42733</v>
          </cell>
          <cell r="P147">
            <v>1.05</v>
          </cell>
          <cell r="Q147">
            <v>9</v>
          </cell>
          <cell r="R147">
            <v>28</v>
          </cell>
          <cell r="S147">
            <v>0</v>
          </cell>
          <cell r="T147">
            <v>0.91666666666666663</v>
          </cell>
          <cell r="U147">
            <v>42733</v>
          </cell>
          <cell r="V147">
            <v>21.5</v>
          </cell>
          <cell r="W147">
            <v>1.0416666666666666E-2</v>
          </cell>
          <cell r="X147">
            <v>42735</v>
          </cell>
          <cell r="Y147">
            <v>37.74</v>
          </cell>
          <cell r="Z147">
            <v>3.4722222222222224E-2</v>
          </cell>
          <cell r="AA147">
            <v>6.5972222222222224E-2</v>
          </cell>
          <cell r="AB147">
            <v>42735</v>
          </cell>
          <cell r="AC147">
            <v>37.75</v>
          </cell>
          <cell r="AD147">
            <v>7.2916666666666671E-2</v>
          </cell>
          <cell r="AE147">
            <v>8.3333333333333329E-2</v>
          </cell>
          <cell r="AF147">
            <v>42735</v>
          </cell>
          <cell r="AG147">
            <v>9.7222222222222224E-2</v>
          </cell>
          <cell r="AH147">
            <v>0.15625</v>
          </cell>
          <cell r="AI147">
            <v>42735</v>
          </cell>
          <cell r="AJ147">
            <v>0.20833333333333334</v>
          </cell>
          <cell r="AK147">
            <v>0.21527777777777779</v>
          </cell>
          <cell r="AL147">
            <v>42735</v>
          </cell>
          <cell r="AM147">
            <v>1.06</v>
          </cell>
          <cell r="AN147">
            <v>9</v>
          </cell>
          <cell r="AO147">
            <v>26</v>
          </cell>
          <cell r="AP147">
            <v>0</v>
          </cell>
          <cell r="AQ147">
            <v>0.21875</v>
          </cell>
          <cell r="AR147">
            <v>0.22222222222222221</v>
          </cell>
          <cell r="AS147">
            <v>42735</v>
          </cell>
          <cell r="AT147">
            <v>37.75</v>
          </cell>
          <cell r="AU147">
            <v>0.22916666666666666</v>
          </cell>
          <cell r="AV147">
            <v>42735</v>
          </cell>
          <cell r="AW147">
            <v>0</v>
          </cell>
          <cell r="AX147">
            <v>42735</v>
          </cell>
          <cell r="AY147">
            <v>7.3</v>
          </cell>
          <cell r="AZ147">
            <v>70</v>
          </cell>
        </row>
        <row r="148">
          <cell r="B148" t="str">
            <v>A160</v>
          </cell>
          <cell r="C148">
            <v>0.33333333333333331</v>
          </cell>
          <cell r="D148">
            <v>0.45833333333333331</v>
          </cell>
          <cell r="E148">
            <v>42735</v>
          </cell>
          <cell r="F148">
            <v>0.58333333333333337</v>
          </cell>
          <cell r="G148">
            <v>0.59722222222222221</v>
          </cell>
          <cell r="H148">
            <v>42735</v>
          </cell>
          <cell r="I148">
            <v>-3.0000000000000001E-3</v>
          </cell>
          <cell r="J148">
            <v>6.0000000000000001E-3</v>
          </cell>
          <cell r="K148">
            <v>-0.248</v>
          </cell>
          <cell r="L148">
            <v>-0.75900000000000001</v>
          </cell>
          <cell r="M148">
            <v>0.60069444444444442</v>
          </cell>
          <cell r="N148">
            <v>0.61458333333333337</v>
          </cell>
          <cell r="O148">
            <v>42735</v>
          </cell>
          <cell r="P148">
            <v>1.05</v>
          </cell>
          <cell r="Q148">
            <v>9</v>
          </cell>
          <cell r="R148">
            <v>28</v>
          </cell>
          <cell r="S148">
            <v>0</v>
          </cell>
          <cell r="T148">
            <v>0.74305555555555547</v>
          </cell>
          <cell r="U148">
            <v>42735</v>
          </cell>
          <cell r="V148">
            <v>20.12</v>
          </cell>
          <cell r="W148">
            <v>0.38541666666666669</v>
          </cell>
          <cell r="X148">
            <v>42737</v>
          </cell>
          <cell r="Y148">
            <v>30.31</v>
          </cell>
          <cell r="Z148">
            <v>0.40972222222222227</v>
          </cell>
          <cell r="AA148">
            <v>0.43402777777777773</v>
          </cell>
          <cell r="AB148">
            <v>42737</v>
          </cell>
          <cell r="AC148">
            <v>30.32</v>
          </cell>
          <cell r="AD148">
            <v>0.4375</v>
          </cell>
          <cell r="AE148">
            <v>0.4513888888888889</v>
          </cell>
          <cell r="AF148">
            <v>42737</v>
          </cell>
          <cell r="AG148">
            <v>0.49652777777777773</v>
          </cell>
          <cell r="AH148">
            <v>0.54861111111111105</v>
          </cell>
          <cell r="AI148">
            <v>42737</v>
          </cell>
          <cell r="AJ148">
            <v>0.59375</v>
          </cell>
          <cell r="AK148">
            <v>0.60416666666666663</v>
          </cell>
          <cell r="AL148">
            <v>42737</v>
          </cell>
          <cell r="AM148">
            <v>1.05</v>
          </cell>
          <cell r="AN148">
            <v>9</v>
          </cell>
          <cell r="AO148">
            <v>28</v>
          </cell>
          <cell r="AP148">
            <v>0</v>
          </cell>
          <cell r="AQ148">
            <v>0.60763888888888895</v>
          </cell>
          <cell r="AR148">
            <v>0.61111111111111105</v>
          </cell>
          <cell r="AS148">
            <v>42737</v>
          </cell>
          <cell r="AT148">
            <v>30.32</v>
          </cell>
          <cell r="AU148">
            <v>0.63194444444444442</v>
          </cell>
          <cell r="AV148">
            <v>42737</v>
          </cell>
          <cell r="AW148">
            <v>0.67361111111111116</v>
          </cell>
          <cell r="AX148">
            <v>42737</v>
          </cell>
          <cell r="AY148">
            <v>6.8</v>
          </cell>
          <cell r="AZ148">
            <v>35.5</v>
          </cell>
        </row>
        <row r="149">
          <cell r="B149" t="str">
            <v>A134</v>
          </cell>
          <cell r="C149">
            <v>0.375</v>
          </cell>
          <cell r="D149">
            <v>0.45833333333333331</v>
          </cell>
          <cell r="E149">
            <v>42734</v>
          </cell>
          <cell r="F149">
            <v>0.47569444444444442</v>
          </cell>
          <cell r="G149">
            <v>0.4861111111111111</v>
          </cell>
          <cell r="H149">
            <v>42734</v>
          </cell>
          <cell r="I149">
            <v>3.0000000000000001E-3</v>
          </cell>
          <cell r="J149">
            <v>-6.0000000000000001E-3</v>
          </cell>
          <cell r="K149">
            <v>-0.36</v>
          </cell>
          <cell r="L149">
            <v>-0.75</v>
          </cell>
          <cell r="M149">
            <v>0.49305555555555558</v>
          </cell>
          <cell r="N149">
            <v>0.5</v>
          </cell>
          <cell r="O149">
            <v>42734</v>
          </cell>
          <cell r="P149">
            <v>1.05</v>
          </cell>
          <cell r="Q149">
            <v>9</v>
          </cell>
          <cell r="R149">
            <v>23</v>
          </cell>
          <cell r="S149">
            <v>0</v>
          </cell>
          <cell r="T149">
            <v>0.2986111111111111</v>
          </cell>
          <cell r="U149">
            <v>42736</v>
          </cell>
          <cell r="V149">
            <v>22.8</v>
          </cell>
          <cell r="W149">
            <v>0.98958333333333337</v>
          </cell>
          <cell r="X149">
            <v>42737</v>
          </cell>
          <cell r="Y149">
            <v>30.3</v>
          </cell>
          <cell r="Z149">
            <v>1.3888888888888888E-2</v>
          </cell>
          <cell r="AA149">
            <v>3.125E-2</v>
          </cell>
          <cell r="AB149">
            <v>42738</v>
          </cell>
          <cell r="AC149">
            <v>30.34</v>
          </cell>
          <cell r="AD149">
            <v>3.4722222222222224E-2</v>
          </cell>
          <cell r="AE149">
            <v>4.1666666666666664E-2</v>
          </cell>
          <cell r="AF149">
            <v>42738</v>
          </cell>
          <cell r="AG149">
            <v>4.1666666666666664E-2</v>
          </cell>
          <cell r="AH149">
            <v>9.0277777777777776E-2</v>
          </cell>
          <cell r="AI149">
            <v>42738</v>
          </cell>
          <cell r="AJ149">
            <v>0.125</v>
          </cell>
          <cell r="AK149">
            <v>0.12986111111111112</v>
          </cell>
          <cell r="AL149">
            <v>42738</v>
          </cell>
          <cell r="AM149">
            <v>1.06</v>
          </cell>
          <cell r="AN149">
            <v>9</v>
          </cell>
          <cell r="AO149">
            <v>24</v>
          </cell>
          <cell r="AP149">
            <v>0</v>
          </cell>
          <cell r="AQ149">
            <v>0.13194444444444445</v>
          </cell>
          <cell r="AR149">
            <v>0.13541666666666666</v>
          </cell>
          <cell r="AS149">
            <v>42738</v>
          </cell>
          <cell r="AT149">
            <v>30.34</v>
          </cell>
          <cell r="AU149">
            <v>0.1388888888888889</v>
          </cell>
          <cell r="AV149">
            <v>42738</v>
          </cell>
          <cell r="AW149">
            <v>0.21666666666666667</v>
          </cell>
          <cell r="AX149">
            <v>42738</v>
          </cell>
          <cell r="AY149">
            <v>7.2</v>
          </cell>
          <cell r="AZ149">
            <v>43</v>
          </cell>
        </row>
        <row r="150">
          <cell r="B150" t="str">
            <v>A84</v>
          </cell>
          <cell r="C150">
            <v>0.29166666666666669</v>
          </cell>
          <cell r="D150">
            <v>0.375</v>
          </cell>
          <cell r="E150">
            <v>42737</v>
          </cell>
          <cell r="F150">
            <v>0.38194444444444442</v>
          </cell>
          <cell r="G150">
            <v>0.3923611111111111</v>
          </cell>
          <cell r="H150">
            <v>42737</v>
          </cell>
          <cell r="I150">
            <v>-2E-3</v>
          </cell>
          <cell r="J150">
            <v>-0.01</v>
          </cell>
          <cell r="K150">
            <v>-0.22</v>
          </cell>
          <cell r="L150">
            <v>-0.63100000000000001</v>
          </cell>
          <cell r="M150">
            <v>0.41666666666666669</v>
          </cell>
          <cell r="N150">
            <v>0.42708333333333331</v>
          </cell>
          <cell r="O150">
            <v>42737</v>
          </cell>
          <cell r="P150">
            <v>1.05</v>
          </cell>
          <cell r="Q150">
            <v>9</v>
          </cell>
          <cell r="R150">
            <v>28</v>
          </cell>
          <cell r="S150">
            <v>0</v>
          </cell>
          <cell r="T150">
            <v>0.67361111111111116</v>
          </cell>
          <cell r="U150">
            <v>42737</v>
          </cell>
          <cell r="V150">
            <v>20.12</v>
          </cell>
          <cell r="W150">
            <v>0.89583333333333337</v>
          </cell>
          <cell r="X150">
            <v>42737</v>
          </cell>
          <cell r="Y150">
            <v>28.1</v>
          </cell>
          <cell r="Z150">
            <v>0.92013888888888884</v>
          </cell>
          <cell r="AA150">
            <v>0.93055555555555547</v>
          </cell>
          <cell r="AB150">
            <v>42737</v>
          </cell>
          <cell r="AC150">
            <v>28.12</v>
          </cell>
          <cell r="AD150">
            <v>0.9375</v>
          </cell>
          <cell r="AE150">
            <v>0.94444444444444453</v>
          </cell>
          <cell r="AF150">
            <v>42737</v>
          </cell>
          <cell r="AG150">
            <v>0.95138888888888884</v>
          </cell>
          <cell r="AH150">
            <v>0.98263888888888884</v>
          </cell>
          <cell r="AI150">
            <v>42737</v>
          </cell>
          <cell r="AJ150">
            <v>0.34375</v>
          </cell>
          <cell r="AK150">
            <v>0.35416666666666669</v>
          </cell>
          <cell r="AL150">
            <v>42738</v>
          </cell>
          <cell r="AM150">
            <v>1.05</v>
          </cell>
          <cell r="AN150">
            <v>9</v>
          </cell>
          <cell r="AO150">
            <v>28</v>
          </cell>
          <cell r="AP150">
            <v>0</v>
          </cell>
          <cell r="AQ150">
            <v>0.3576388888888889</v>
          </cell>
          <cell r="AR150">
            <v>0.3611111111111111</v>
          </cell>
          <cell r="AS150">
            <v>42738</v>
          </cell>
          <cell r="AT150">
            <v>28.12</v>
          </cell>
          <cell r="AU150">
            <v>0.36458333333333331</v>
          </cell>
          <cell r="AV150">
            <v>42738</v>
          </cell>
          <cell r="AW150">
            <v>0.39583333333333331</v>
          </cell>
          <cell r="AX150">
            <v>42738</v>
          </cell>
          <cell r="AY150">
            <v>7.2</v>
          </cell>
          <cell r="AZ150">
            <v>30</v>
          </cell>
        </row>
        <row r="151">
          <cell r="B151" t="str">
            <v>B45</v>
          </cell>
          <cell r="C151">
            <v>0.54166666666666663</v>
          </cell>
          <cell r="D151">
            <v>0.625</v>
          </cell>
          <cell r="E151">
            <v>42737</v>
          </cell>
          <cell r="F151">
            <v>0.625</v>
          </cell>
          <cell r="G151">
            <v>0.63541666666666663</v>
          </cell>
          <cell r="H151">
            <v>42737</v>
          </cell>
          <cell r="I151">
            <v>0.01</v>
          </cell>
          <cell r="J151">
            <v>-5.0000000000000001E-3</v>
          </cell>
          <cell r="K151">
            <v>-0.14099999999999999</v>
          </cell>
          <cell r="L151">
            <v>-0.437</v>
          </cell>
          <cell r="M151">
            <v>0.63541666666666663</v>
          </cell>
          <cell r="N151">
            <v>0.64583333333333337</v>
          </cell>
          <cell r="O151">
            <v>42737</v>
          </cell>
          <cell r="P151">
            <v>1.05</v>
          </cell>
          <cell r="Q151">
            <v>9</v>
          </cell>
          <cell r="R151">
            <v>27</v>
          </cell>
          <cell r="S151">
            <v>0</v>
          </cell>
          <cell r="T151">
            <v>0.78125</v>
          </cell>
          <cell r="U151">
            <v>42737</v>
          </cell>
          <cell r="V151">
            <v>19</v>
          </cell>
          <cell r="W151">
            <v>0.64583333333333337</v>
          </cell>
          <cell r="X151">
            <v>42738</v>
          </cell>
          <cell r="Y151">
            <v>33.21</v>
          </cell>
          <cell r="Z151">
            <v>0.66666666666666663</v>
          </cell>
          <cell r="AA151">
            <v>0.68402777777777779</v>
          </cell>
          <cell r="AB151">
            <v>42738</v>
          </cell>
          <cell r="AC151">
            <v>33.25</v>
          </cell>
          <cell r="AD151">
            <v>0.6875</v>
          </cell>
          <cell r="AE151">
            <v>0.70833333333333337</v>
          </cell>
          <cell r="AF151">
            <v>42738</v>
          </cell>
          <cell r="AG151">
            <v>0.72222222222222221</v>
          </cell>
          <cell r="AH151">
            <v>0.79166666666666663</v>
          </cell>
          <cell r="AI151">
            <v>42738</v>
          </cell>
          <cell r="AJ151">
            <v>1.0416666666666666E-2</v>
          </cell>
          <cell r="AK151">
            <v>1.7361111111111112E-2</v>
          </cell>
          <cell r="AL151">
            <v>42739</v>
          </cell>
          <cell r="AM151">
            <v>1.06</v>
          </cell>
          <cell r="AN151">
            <v>9</v>
          </cell>
          <cell r="AO151">
            <v>23</v>
          </cell>
          <cell r="AP151">
            <v>0</v>
          </cell>
          <cell r="AQ151">
            <v>2.0833333333333332E-2</v>
          </cell>
          <cell r="AR151">
            <v>2.4305555555555556E-2</v>
          </cell>
          <cell r="AS151">
            <v>42739</v>
          </cell>
          <cell r="AT151">
            <v>33.25</v>
          </cell>
          <cell r="AU151">
            <v>3.125E-2</v>
          </cell>
          <cell r="AV151">
            <v>42739</v>
          </cell>
          <cell r="AW151">
            <v>7.1527777777777787E-2</v>
          </cell>
          <cell r="AX151">
            <v>42739</v>
          </cell>
          <cell r="AY151">
            <v>5.7</v>
          </cell>
          <cell r="AZ151">
            <v>24</v>
          </cell>
        </row>
        <row r="152">
          <cell r="B152" t="str">
            <v>A90</v>
          </cell>
          <cell r="C152">
            <v>0.875</v>
          </cell>
          <cell r="D152">
            <v>0.95833333333333337</v>
          </cell>
          <cell r="E152">
            <v>42738</v>
          </cell>
          <cell r="F152">
            <v>0.96180555555555547</v>
          </cell>
          <cell r="G152">
            <v>0.97222222222222221</v>
          </cell>
          <cell r="H152">
            <v>42738</v>
          </cell>
          <cell r="I152">
            <v>-1.9E-2</v>
          </cell>
          <cell r="J152">
            <v>-8.0000000000000002E-3</v>
          </cell>
          <cell r="K152">
            <v>-0.24099999999999999</v>
          </cell>
          <cell r="L152">
            <v>-0.59199999999999997</v>
          </cell>
          <cell r="M152">
            <v>0.27083333333333331</v>
          </cell>
          <cell r="N152">
            <v>0.27777777777777779</v>
          </cell>
          <cell r="O152">
            <v>42739</v>
          </cell>
          <cell r="P152">
            <v>1.06</v>
          </cell>
          <cell r="Q152">
            <v>9</v>
          </cell>
          <cell r="R152">
            <v>27</v>
          </cell>
          <cell r="S152">
            <v>0</v>
          </cell>
          <cell r="T152">
            <v>0.35416666666666669</v>
          </cell>
          <cell r="U152">
            <v>42739</v>
          </cell>
          <cell r="V152">
            <v>21.82</v>
          </cell>
          <cell r="W152">
            <v>0.45833333333333331</v>
          </cell>
          <cell r="X152">
            <v>42739</v>
          </cell>
          <cell r="Y152">
            <v>28.17</v>
          </cell>
          <cell r="Z152">
            <v>0.47916666666666669</v>
          </cell>
          <cell r="AA152">
            <v>0.51388888888888895</v>
          </cell>
          <cell r="AB152">
            <v>42739</v>
          </cell>
          <cell r="AC152">
            <v>28.24</v>
          </cell>
          <cell r="AD152">
            <v>0.51736111111111105</v>
          </cell>
          <cell r="AE152">
            <v>0.54166666666666663</v>
          </cell>
          <cell r="AF152">
            <v>42739</v>
          </cell>
          <cell r="AG152">
            <v>0.55208333333333337</v>
          </cell>
          <cell r="AH152">
            <v>0.61805555555555558</v>
          </cell>
          <cell r="AI152">
            <v>42739</v>
          </cell>
          <cell r="AJ152">
            <v>0.73611111111111116</v>
          </cell>
          <cell r="AK152">
            <v>0.74305555555555547</v>
          </cell>
          <cell r="AL152">
            <v>42739</v>
          </cell>
          <cell r="AM152">
            <v>1.06</v>
          </cell>
          <cell r="AN152">
            <v>9</v>
          </cell>
          <cell r="AO152">
            <v>27</v>
          </cell>
          <cell r="AP152">
            <v>0</v>
          </cell>
          <cell r="AQ152">
            <v>0.74652777777777779</v>
          </cell>
          <cell r="AR152">
            <v>0.75347222222222221</v>
          </cell>
          <cell r="AS152">
            <v>42739</v>
          </cell>
          <cell r="AT152">
            <v>28.24</v>
          </cell>
          <cell r="AU152">
            <v>0.75</v>
          </cell>
          <cell r="AV152">
            <v>42739</v>
          </cell>
          <cell r="AW152">
            <v>0.84027777777777779</v>
          </cell>
          <cell r="AX152">
            <v>42739</v>
          </cell>
          <cell r="AY152">
            <v>8.4</v>
          </cell>
          <cell r="AZ152">
            <v>28</v>
          </cell>
        </row>
        <row r="153">
          <cell r="B153" t="str">
            <v>A88</v>
          </cell>
          <cell r="C153">
            <v>0.54166666666666663</v>
          </cell>
          <cell r="D153">
            <v>0.60416666666666663</v>
          </cell>
          <cell r="E153">
            <v>42737</v>
          </cell>
          <cell r="F153">
            <v>0.67708333333333337</v>
          </cell>
          <cell r="G153">
            <v>0.6875</v>
          </cell>
          <cell r="H153">
            <v>42737</v>
          </cell>
          <cell r="I153">
            <v>-1.7000000000000001E-2</v>
          </cell>
          <cell r="J153">
            <v>0.02</v>
          </cell>
          <cell r="K153">
            <v>-8.2000000000000003E-2</v>
          </cell>
          <cell r="L153">
            <v>-0.49</v>
          </cell>
          <cell r="M153">
            <v>0.32291666666666669</v>
          </cell>
          <cell r="N153">
            <v>0.3298611111111111</v>
          </cell>
          <cell r="O153">
            <v>42738</v>
          </cell>
          <cell r="P153">
            <v>1.06</v>
          </cell>
          <cell r="Q153">
            <v>9</v>
          </cell>
          <cell r="R153">
            <v>28</v>
          </cell>
          <cell r="S153">
            <v>0</v>
          </cell>
          <cell r="T153">
            <v>0.38541666666666669</v>
          </cell>
          <cell r="U153">
            <v>42738</v>
          </cell>
          <cell r="V153">
            <v>21.22</v>
          </cell>
          <cell r="W153">
            <v>0.875</v>
          </cell>
          <cell r="X153">
            <v>42739</v>
          </cell>
          <cell r="Y153">
            <v>43.16</v>
          </cell>
          <cell r="Z153">
            <v>0.9375</v>
          </cell>
          <cell r="AA153">
            <v>0.98958333333333337</v>
          </cell>
          <cell r="AB153">
            <v>42739</v>
          </cell>
          <cell r="AC153">
            <v>43.16</v>
          </cell>
          <cell r="AD153">
            <v>0</v>
          </cell>
          <cell r="AE153">
            <v>1.0416666666666666E-2</v>
          </cell>
          <cell r="AF153">
            <v>42740</v>
          </cell>
          <cell r="AG153">
            <v>2.4305555555555556E-2</v>
          </cell>
          <cell r="AH153">
            <v>9.0277777777777776E-2</v>
          </cell>
          <cell r="AI153">
            <v>42740</v>
          </cell>
          <cell r="AJ153">
            <v>0.22222222222222221</v>
          </cell>
          <cell r="AK153">
            <v>0.23263888888888887</v>
          </cell>
          <cell r="AL153">
            <v>42740</v>
          </cell>
          <cell r="AM153">
            <v>1.06</v>
          </cell>
          <cell r="AN153">
            <v>9</v>
          </cell>
          <cell r="AO153">
            <v>25</v>
          </cell>
          <cell r="AP153">
            <v>0</v>
          </cell>
          <cell r="AQ153">
            <v>0.23611111111111113</v>
          </cell>
          <cell r="AR153">
            <v>0.23958333333333334</v>
          </cell>
          <cell r="AS153">
            <v>42740</v>
          </cell>
          <cell r="AT153">
            <v>43.16</v>
          </cell>
          <cell r="AU153">
            <v>0.24305555555555555</v>
          </cell>
          <cell r="AV153">
            <v>42740</v>
          </cell>
          <cell r="AW153">
            <v>0.3125</v>
          </cell>
          <cell r="AX153">
            <v>42740</v>
          </cell>
          <cell r="AY153">
            <v>8.1999999999999993</v>
          </cell>
          <cell r="AZ153">
            <v>48</v>
          </cell>
        </row>
        <row r="154">
          <cell r="B154" t="str">
            <v>A21</v>
          </cell>
          <cell r="C154">
            <v>0.52777777777777779</v>
          </cell>
          <cell r="D154">
            <v>0.57291666666666663</v>
          </cell>
          <cell r="E154">
            <v>42739</v>
          </cell>
          <cell r="F154">
            <v>0.57638888888888895</v>
          </cell>
          <cell r="G154">
            <v>0.58680555555555558</v>
          </cell>
          <cell r="H154">
            <v>42739</v>
          </cell>
          <cell r="I154">
            <v>-4.0000000000000001E-3</v>
          </cell>
          <cell r="J154">
            <v>2.7E-2</v>
          </cell>
          <cell r="K154">
            <v>0.16400000000000001</v>
          </cell>
          <cell r="L154">
            <v>-0.23200000000000001</v>
          </cell>
          <cell r="M154">
            <v>0.58680555555555558</v>
          </cell>
          <cell r="N154">
            <v>0.59027777777777779</v>
          </cell>
          <cell r="O154">
            <v>42739</v>
          </cell>
          <cell r="P154">
            <v>1.06</v>
          </cell>
          <cell r="Q154">
            <v>9</v>
          </cell>
          <cell r="R154">
            <v>27</v>
          </cell>
          <cell r="S154">
            <v>0</v>
          </cell>
          <cell r="T154">
            <v>0.74305555555555547</v>
          </cell>
          <cell r="U154">
            <v>42739</v>
          </cell>
          <cell r="V154">
            <v>23.81</v>
          </cell>
          <cell r="W154">
            <v>0.95138888888888884</v>
          </cell>
          <cell r="X154">
            <v>42739</v>
          </cell>
          <cell r="Y154">
            <v>33.53</v>
          </cell>
          <cell r="Z154">
            <v>0.96875</v>
          </cell>
          <cell r="AA154">
            <v>0.60416666666666663</v>
          </cell>
          <cell r="AB154">
            <v>42740</v>
          </cell>
          <cell r="AC154">
            <v>33.61</v>
          </cell>
          <cell r="AD154">
            <v>0.60763888888888895</v>
          </cell>
          <cell r="AE154">
            <v>0.625</v>
          </cell>
          <cell r="AF154">
            <v>42740</v>
          </cell>
          <cell r="AG154">
            <v>0.63194444444444442</v>
          </cell>
          <cell r="AH154">
            <v>0.72916666666666663</v>
          </cell>
          <cell r="AI154">
            <v>42740</v>
          </cell>
          <cell r="AJ154">
            <v>0.52083333333333337</v>
          </cell>
          <cell r="AK154">
            <v>0.53125</v>
          </cell>
          <cell r="AL154">
            <v>42741</v>
          </cell>
          <cell r="AM154">
            <v>1.06</v>
          </cell>
          <cell r="AN154">
            <v>9</v>
          </cell>
          <cell r="AO154">
            <v>27</v>
          </cell>
          <cell r="AP154">
            <v>0</v>
          </cell>
          <cell r="AQ154">
            <v>0.53472222222222221</v>
          </cell>
          <cell r="AR154">
            <v>0.53819444444444442</v>
          </cell>
          <cell r="AS154">
            <v>42741</v>
          </cell>
          <cell r="AT154">
            <v>33.61</v>
          </cell>
          <cell r="AU154">
            <v>0.55208333333333337</v>
          </cell>
          <cell r="AV154">
            <v>42741</v>
          </cell>
          <cell r="AW154">
            <v>0.63541666666666663</v>
          </cell>
          <cell r="AX154">
            <v>42741</v>
          </cell>
          <cell r="AY154">
            <v>6.7</v>
          </cell>
          <cell r="AZ154">
            <v>42.5</v>
          </cell>
        </row>
        <row r="155">
          <cell r="B155" t="str">
            <v>A91</v>
          </cell>
          <cell r="C155">
            <v>0.54166666666666663</v>
          </cell>
          <cell r="D155">
            <v>0.59375</v>
          </cell>
          <cell r="E155">
            <v>42740</v>
          </cell>
          <cell r="F155">
            <v>0.59722222222222221</v>
          </cell>
          <cell r="G155">
            <v>0.60763888888888895</v>
          </cell>
          <cell r="H155">
            <v>42740</v>
          </cell>
          <cell r="I155">
            <v>4.0000000000000001E-3</v>
          </cell>
          <cell r="J155">
            <v>4.0000000000000001E-3</v>
          </cell>
          <cell r="K155">
            <v>-0.27200000000000002</v>
          </cell>
          <cell r="L155">
            <v>-0.6</v>
          </cell>
          <cell r="M155">
            <v>0.63541666666666663</v>
          </cell>
          <cell r="N155">
            <v>0.64583333333333337</v>
          </cell>
          <cell r="O155">
            <v>42740</v>
          </cell>
          <cell r="P155">
            <v>1.06</v>
          </cell>
          <cell r="Q155">
            <v>9</v>
          </cell>
          <cell r="R155">
            <v>27</v>
          </cell>
          <cell r="S155">
            <v>0</v>
          </cell>
          <cell r="T155">
            <v>0.75</v>
          </cell>
          <cell r="U155">
            <v>42740</v>
          </cell>
          <cell r="V155">
            <v>22.12</v>
          </cell>
          <cell r="W155">
            <v>0.82638888888888884</v>
          </cell>
          <cell r="X155">
            <v>42740</v>
          </cell>
          <cell r="Y155">
            <v>26.16</v>
          </cell>
          <cell r="Z155">
            <v>0.41666666666666669</v>
          </cell>
          <cell r="AA155">
            <v>0.4375</v>
          </cell>
          <cell r="AB155">
            <v>42741</v>
          </cell>
          <cell r="AC155">
            <v>26.21</v>
          </cell>
          <cell r="AD155">
            <v>0.44097222222222227</v>
          </cell>
          <cell r="AE155">
            <v>0.46180555555555558</v>
          </cell>
          <cell r="AF155">
            <v>42741</v>
          </cell>
          <cell r="AG155">
            <v>0.47916666666666669</v>
          </cell>
          <cell r="AH155">
            <v>0.53125</v>
          </cell>
          <cell r="AI155">
            <v>42741</v>
          </cell>
          <cell r="AJ155">
            <v>0.71875</v>
          </cell>
          <cell r="AK155">
            <v>0.72916666666666663</v>
          </cell>
          <cell r="AL155">
            <v>42742</v>
          </cell>
          <cell r="AM155">
            <v>1.06</v>
          </cell>
          <cell r="AN155">
            <v>9</v>
          </cell>
          <cell r="AO155">
            <v>27</v>
          </cell>
          <cell r="AP155">
            <v>0</v>
          </cell>
          <cell r="AQ155">
            <v>0.73263888888888884</v>
          </cell>
          <cell r="AR155">
            <v>0.73958333333333337</v>
          </cell>
          <cell r="AS155">
            <v>42742</v>
          </cell>
          <cell r="AT155">
            <v>26.21</v>
          </cell>
          <cell r="AU155">
            <v>0.73611111111111116</v>
          </cell>
          <cell r="AV155">
            <v>42742</v>
          </cell>
          <cell r="AW155">
            <v>0.77083333333333337</v>
          </cell>
          <cell r="AX155">
            <v>42742</v>
          </cell>
          <cell r="AY155">
            <v>6.8</v>
          </cell>
          <cell r="AZ155">
            <v>26</v>
          </cell>
        </row>
        <row r="156">
          <cell r="B156" t="str">
            <v>A86</v>
          </cell>
          <cell r="C156">
            <v>0.85416666666666663</v>
          </cell>
          <cell r="D156">
            <v>0.9375</v>
          </cell>
          <cell r="E156">
            <v>42740</v>
          </cell>
          <cell r="F156">
            <v>0.94444444444444453</v>
          </cell>
          <cell r="G156">
            <v>0.95138888888888884</v>
          </cell>
          <cell r="H156">
            <v>42740</v>
          </cell>
          <cell r="I156">
            <v>-1.2E-2</v>
          </cell>
          <cell r="J156">
            <v>2.5000000000000001E-2</v>
          </cell>
          <cell r="K156">
            <v>-0.20499999999999999</v>
          </cell>
          <cell r="L156">
            <v>-0.66700000000000004</v>
          </cell>
          <cell r="M156">
            <v>0.27083333333333331</v>
          </cell>
          <cell r="N156">
            <v>0.28125</v>
          </cell>
          <cell r="O156">
            <v>42741</v>
          </cell>
          <cell r="P156">
            <v>1.06</v>
          </cell>
          <cell r="Q156">
            <v>9</v>
          </cell>
          <cell r="R156">
            <v>26</v>
          </cell>
          <cell r="S156">
            <v>0</v>
          </cell>
          <cell r="T156">
            <v>0.44791666666666669</v>
          </cell>
          <cell r="U156">
            <v>42741</v>
          </cell>
          <cell r="V156">
            <v>21.63</v>
          </cell>
          <cell r="W156">
            <v>0.71180555555555547</v>
          </cell>
          <cell r="X156">
            <v>42743</v>
          </cell>
          <cell r="Y156">
            <v>43.12</v>
          </cell>
          <cell r="Z156">
            <v>0.72916666666666663</v>
          </cell>
          <cell r="AA156">
            <v>0.76041666666666663</v>
          </cell>
          <cell r="AB156">
            <v>42743</v>
          </cell>
          <cell r="AC156">
            <v>43.15</v>
          </cell>
          <cell r="AD156">
            <v>0.79166666666666663</v>
          </cell>
          <cell r="AE156">
            <v>0.8125</v>
          </cell>
          <cell r="AF156">
            <v>42743</v>
          </cell>
          <cell r="AG156">
            <v>0.81944444444444453</v>
          </cell>
          <cell r="AH156">
            <v>0.90625</v>
          </cell>
          <cell r="AI156">
            <v>42743</v>
          </cell>
          <cell r="AJ156">
            <v>0</v>
          </cell>
          <cell r="AK156">
            <v>1.0416666666666666E-2</v>
          </cell>
          <cell r="AL156">
            <v>42743</v>
          </cell>
          <cell r="AM156">
            <v>1.06</v>
          </cell>
          <cell r="AN156">
            <v>9</v>
          </cell>
          <cell r="AO156">
            <v>26</v>
          </cell>
          <cell r="AP156">
            <v>0</v>
          </cell>
          <cell r="AQ156">
            <v>1.3888888888888888E-2</v>
          </cell>
          <cell r="AR156">
            <v>1.7361111111111112E-2</v>
          </cell>
          <cell r="AS156">
            <v>42744</v>
          </cell>
          <cell r="AT156">
            <v>43.15</v>
          </cell>
          <cell r="AU156">
            <v>2.0833333333333332E-2</v>
          </cell>
          <cell r="AV156">
            <v>42744</v>
          </cell>
          <cell r="AW156">
            <v>0.11458333333333333</v>
          </cell>
          <cell r="AX156">
            <v>42744</v>
          </cell>
          <cell r="AY156">
            <v>8.5</v>
          </cell>
          <cell r="AZ156">
            <v>60</v>
          </cell>
        </row>
        <row r="157">
          <cell r="B157" t="str">
            <v>A100</v>
          </cell>
          <cell r="C157">
            <v>0.58333333333333337</v>
          </cell>
          <cell r="D157">
            <v>0.63888888888888895</v>
          </cell>
          <cell r="E157">
            <v>42743</v>
          </cell>
          <cell r="F157">
            <v>0.64236111111111105</v>
          </cell>
          <cell r="G157">
            <v>0.65277777777777779</v>
          </cell>
          <cell r="H157">
            <v>42743</v>
          </cell>
          <cell r="I157">
            <v>1.2E-2</v>
          </cell>
          <cell r="J157">
            <v>8.9999999999999993E-3</v>
          </cell>
          <cell r="K157">
            <v>-0.222</v>
          </cell>
          <cell r="L157">
            <v>-0.46800000000000003</v>
          </cell>
          <cell r="M157">
            <v>0.65625</v>
          </cell>
          <cell r="N157">
            <v>0.66319444444444442</v>
          </cell>
          <cell r="O157">
            <v>42743</v>
          </cell>
          <cell r="P157">
            <v>1.06</v>
          </cell>
          <cell r="Q157">
            <v>9</v>
          </cell>
          <cell r="R157">
            <v>27</v>
          </cell>
          <cell r="S157">
            <v>0</v>
          </cell>
          <cell r="T157">
            <v>0.70833333333333337</v>
          </cell>
          <cell r="U157">
            <v>42743</v>
          </cell>
          <cell r="V157">
            <v>19.72</v>
          </cell>
          <cell r="W157">
            <v>0.89583333333333337</v>
          </cell>
          <cell r="X157">
            <v>42743</v>
          </cell>
          <cell r="Y157">
            <v>23.61</v>
          </cell>
          <cell r="Z157">
            <v>0.92361111111111116</v>
          </cell>
          <cell r="AA157">
            <v>0.94444444444444453</v>
          </cell>
          <cell r="AB157">
            <v>42743</v>
          </cell>
          <cell r="AC157">
            <v>23.62</v>
          </cell>
          <cell r="AD157">
            <v>0.95138888888888884</v>
          </cell>
          <cell r="AE157">
            <v>0.97222222222222221</v>
          </cell>
          <cell r="AF157">
            <v>42743</v>
          </cell>
          <cell r="AG157">
            <v>0.98958333333333337</v>
          </cell>
          <cell r="AH157">
            <v>0.10416666666666667</v>
          </cell>
          <cell r="AI157">
            <v>42744</v>
          </cell>
          <cell r="AJ157">
            <v>0.54166666666666663</v>
          </cell>
          <cell r="AK157">
            <v>0.54861111111111105</v>
          </cell>
          <cell r="AL157">
            <v>42744</v>
          </cell>
          <cell r="AM157">
            <v>1.06</v>
          </cell>
          <cell r="AN157">
            <v>9</v>
          </cell>
          <cell r="AO157">
            <v>25</v>
          </cell>
          <cell r="AP157">
            <v>0</v>
          </cell>
          <cell r="AQ157">
            <v>0.55555555555555558</v>
          </cell>
          <cell r="AR157">
            <v>0.55902777777777779</v>
          </cell>
          <cell r="AS157">
            <v>42744</v>
          </cell>
          <cell r="AT157">
            <v>23.62</v>
          </cell>
          <cell r="AU157">
            <v>0.5625</v>
          </cell>
          <cell r="AV157">
            <v>42744</v>
          </cell>
          <cell r="AW157">
            <v>0.59375</v>
          </cell>
          <cell r="AX157">
            <v>42744</v>
          </cell>
          <cell r="AY157">
            <v>6.2</v>
          </cell>
          <cell r="AZ157">
            <v>25</v>
          </cell>
        </row>
        <row r="158">
          <cell r="B158" t="str">
            <v>A141</v>
          </cell>
          <cell r="C158">
            <v>0.39583333333333331</v>
          </cell>
          <cell r="D158">
            <v>0.45833333333333331</v>
          </cell>
          <cell r="E158">
            <v>42741</v>
          </cell>
          <cell r="F158">
            <v>0.46875</v>
          </cell>
          <cell r="G158">
            <v>0.47916666666666669</v>
          </cell>
          <cell r="H158">
            <v>42741</v>
          </cell>
          <cell r="I158">
            <v>1.7000000000000001E-2</v>
          </cell>
          <cell r="J158">
            <v>-1.4999999999999999E-2</v>
          </cell>
          <cell r="K158">
            <v>-0.112</v>
          </cell>
          <cell r="L158">
            <v>-0.72399999999999998</v>
          </cell>
          <cell r="M158">
            <v>0.55208333333333337</v>
          </cell>
          <cell r="N158">
            <v>0.5625</v>
          </cell>
          <cell r="O158">
            <v>42741</v>
          </cell>
          <cell r="P158">
            <v>1.06</v>
          </cell>
          <cell r="Q158">
            <v>9</v>
          </cell>
          <cell r="R158">
            <v>28</v>
          </cell>
          <cell r="S158">
            <v>0</v>
          </cell>
          <cell r="T158">
            <v>0.65625</v>
          </cell>
          <cell r="U158">
            <v>42741</v>
          </cell>
          <cell r="V158">
            <v>22.93</v>
          </cell>
          <cell r="W158">
            <v>0.61458333333333337</v>
          </cell>
          <cell r="X158">
            <v>42744</v>
          </cell>
          <cell r="Y158">
            <v>38.72</v>
          </cell>
          <cell r="Z158">
            <v>0.89583333333333337</v>
          </cell>
          <cell r="AA158">
            <v>0.92708333333333337</v>
          </cell>
          <cell r="AB158">
            <v>42744</v>
          </cell>
          <cell r="AC158">
            <v>38.74</v>
          </cell>
          <cell r="AD158">
            <v>0.93055555555555547</v>
          </cell>
          <cell r="AE158">
            <v>0.94444444444444453</v>
          </cell>
          <cell r="AF158">
            <v>42744</v>
          </cell>
          <cell r="AG158">
            <v>0.95138888888888884</v>
          </cell>
          <cell r="AH158">
            <v>2.0833333333333332E-2</v>
          </cell>
          <cell r="AI158">
            <v>42745</v>
          </cell>
          <cell r="AJ158">
            <v>0.1076388888888889</v>
          </cell>
          <cell r="AK158">
            <v>0.11805555555555557</v>
          </cell>
          <cell r="AL158">
            <v>42745</v>
          </cell>
          <cell r="AM158">
            <v>1.06</v>
          </cell>
          <cell r="AN158">
            <v>9</v>
          </cell>
          <cell r="AO158">
            <v>28</v>
          </cell>
          <cell r="AP158">
            <v>0</v>
          </cell>
          <cell r="AQ158">
            <v>0.12152777777777778</v>
          </cell>
          <cell r="AR158">
            <v>0.12847222222222224</v>
          </cell>
          <cell r="AS158">
            <v>42745</v>
          </cell>
          <cell r="AT158">
            <v>38.74</v>
          </cell>
          <cell r="AU158">
            <v>0.13541666666666666</v>
          </cell>
          <cell r="AV158">
            <v>42745</v>
          </cell>
          <cell r="AW158">
            <v>0.25</v>
          </cell>
          <cell r="AX158">
            <v>42745</v>
          </cell>
          <cell r="AY158">
            <v>6.8</v>
          </cell>
          <cell r="AZ158">
            <v>44.5</v>
          </cell>
        </row>
        <row r="159">
          <cell r="B159" t="str">
            <v>A161</v>
          </cell>
          <cell r="C159">
            <v>0.375</v>
          </cell>
          <cell r="D159">
            <v>0.4375</v>
          </cell>
          <cell r="E159">
            <v>42744</v>
          </cell>
          <cell r="F159">
            <v>0.4513888888888889</v>
          </cell>
          <cell r="G159">
            <v>0.45833333333333331</v>
          </cell>
          <cell r="H159">
            <v>42744</v>
          </cell>
          <cell r="I159">
            <v>2.5000000000000001E-2</v>
          </cell>
          <cell r="J159">
            <v>-8.0000000000000002E-3</v>
          </cell>
          <cell r="K159">
            <v>-0.27200000000000002</v>
          </cell>
          <cell r="L159">
            <v>-0.52800000000000002</v>
          </cell>
          <cell r="M159">
            <v>0.46527777777777773</v>
          </cell>
          <cell r="N159">
            <v>0.47222222222222227</v>
          </cell>
          <cell r="O159">
            <v>42744</v>
          </cell>
          <cell r="P159">
            <v>1.05</v>
          </cell>
          <cell r="Q159">
            <v>9</v>
          </cell>
          <cell r="R159">
            <v>24</v>
          </cell>
          <cell r="S159">
            <v>0</v>
          </cell>
          <cell r="T159">
            <v>0.72222222222222221</v>
          </cell>
          <cell r="U159">
            <v>42744</v>
          </cell>
          <cell r="V159">
            <v>21.55</v>
          </cell>
          <cell r="W159">
            <v>0.9375</v>
          </cell>
          <cell r="X159">
            <v>42745</v>
          </cell>
          <cell r="Y159">
            <v>32.72</v>
          </cell>
          <cell r="Z159">
            <v>0.95486111111111116</v>
          </cell>
          <cell r="AA159">
            <v>0.97916666666666663</v>
          </cell>
          <cell r="AB159">
            <v>42745</v>
          </cell>
          <cell r="AC159">
            <v>32.78</v>
          </cell>
          <cell r="AD159">
            <v>0.98263888888888884</v>
          </cell>
          <cell r="AE159">
            <v>3.472222222222222E-3</v>
          </cell>
          <cell r="AF159">
            <v>42746</v>
          </cell>
          <cell r="AG159">
            <v>1.0416666666666666E-2</v>
          </cell>
          <cell r="AH159">
            <v>7.6388888888888895E-2</v>
          </cell>
          <cell r="AI159">
            <v>42746</v>
          </cell>
          <cell r="AJ159">
            <v>0.4375</v>
          </cell>
          <cell r="AK159">
            <v>0.44444444444444442</v>
          </cell>
          <cell r="AL159">
            <v>42746</v>
          </cell>
          <cell r="AM159">
            <v>1.05</v>
          </cell>
          <cell r="AN159">
            <v>9</v>
          </cell>
          <cell r="AO159">
            <v>27</v>
          </cell>
          <cell r="AP159">
            <v>0</v>
          </cell>
          <cell r="AQ159">
            <v>0.44791666666666669</v>
          </cell>
          <cell r="AR159">
            <v>0.4513888888888889</v>
          </cell>
          <cell r="AS159">
            <v>42746</v>
          </cell>
          <cell r="AT159">
            <v>32.78</v>
          </cell>
          <cell r="AU159">
            <v>0.45833333333333331</v>
          </cell>
          <cell r="AV159">
            <v>42746</v>
          </cell>
          <cell r="AW159">
            <v>0.55208333333333337</v>
          </cell>
          <cell r="AX159">
            <v>42746</v>
          </cell>
          <cell r="AY159">
            <v>6.5</v>
          </cell>
          <cell r="AZ159">
            <v>40</v>
          </cell>
        </row>
        <row r="160">
          <cell r="B160" t="str">
            <v>A94</v>
          </cell>
          <cell r="C160">
            <v>0.58333333333333337</v>
          </cell>
          <cell r="D160">
            <v>0.64583333333333337</v>
          </cell>
          <cell r="E160">
            <v>42745</v>
          </cell>
          <cell r="F160">
            <v>0.65625</v>
          </cell>
          <cell r="G160">
            <v>0.66666666666666663</v>
          </cell>
          <cell r="H160">
            <v>42745</v>
          </cell>
          <cell r="I160">
            <v>-1.4999999999999999E-2</v>
          </cell>
          <cell r="J160">
            <v>-1.7000000000000001E-2</v>
          </cell>
          <cell r="K160">
            <v>-0.36199999999999999</v>
          </cell>
          <cell r="L160">
            <v>-0.56200000000000006</v>
          </cell>
          <cell r="M160">
            <v>0.67708333333333337</v>
          </cell>
          <cell r="N160">
            <v>0.6875</v>
          </cell>
          <cell r="O160">
            <v>42745</v>
          </cell>
          <cell r="P160">
            <v>1.05</v>
          </cell>
          <cell r="Q160">
            <v>9</v>
          </cell>
          <cell r="R160">
            <v>27</v>
          </cell>
          <cell r="S160">
            <v>0</v>
          </cell>
          <cell r="T160">
            <v>0.8125</v>
          </cell>
          <cell r="U160">
            <v>42745</v>
          </cell>
          <cell r="V160">
            <v>22.03</v>
          </cell>
          <cell r="W160">
            <v>0.86805555555555547</v>
          </cell>
          <cell r="X160">
            <v>42745</v>
          </cell>
          <cell r="Y160">
            <v>26.05</v>
          </cell>
          <cell r="Z160">
            <v>0.88888888888888884</v>
          </cell>
          <cell r="AA160">
            <v>0.90625</v>
          </cell>
          <cell r="AB160">
            <v>42745</v>
          </cell>
          <cell r="AC160">
            <v>26.11</v>
          </cell>
          <cell r="AD160">
            <v>0.90972222222222221</v>
          </cell>
          <cell r="AE160">
            <v>0.93055555555555547</v>
          </cell>
          <cell r="AF160">
            <v>42745</v>
          </cell>
          <cell r="AG160">
            <v>0.9375</v>
          </cell>
          <cell r="AH160">
            <v>0.99305555555555547</v>
          </cell>
          <cell r="AI160">
            <v>42745</v>
          </cell>
          <cell r="AJ160">
            <v>0.71527777777777779</v>
          </cell>
          <cell r="AK160">
            <v>0.72222222222222221</v>
          </cell>
          <cell r="AL160">
            <v>42746</v>
          </cell>
          <cell r="AM160">
            <v>1.06</v>
          </cell>
          <cell r="AN160">
            <v>9</v>
          </cell>
          <cell r="AO160">
            <v>26</v>
          </cell>
          <cell r="AP160">
            <v>0</v>
          </cell>
          <cell r="AQ160">
            <v>0.72569444444444453</v>
          </cell>
          <cell r="AR160">
            <v>0.72916666666666663</v>
          </cell>
          <cell r="AS160">
            <v>42746</v>
          </cell>
          <cell r="AT160">
            <v>26.11</v>
          </cell>
          <cell r="AU160">
            <v>0.73611111111111116</v>
          </cell>
          <cell r="AV160">
            <v>42746</v>
          </cell>
          <cell r="AW160">
            <v>0.76041666666666663</v>
          </cell>
          <cell r="AX160">
            <v>42746</v>
          </cell>
          <cell r="AY160">
            <v>8.1</v>
          </cell>
          <cell r="AZ160">
            <v>25</v>
          </cell>
        </row>
        <row r="161">
          <cell r="B161" t="str">
            <v>A95</v>
          </cell>
          <cell r="C161">
            <v>0.375</v>
          </cell>
          <cell r="D161">
            <v>0.4375</v>
          </cell>
          <cell r="E161">
            <v>42744</v>
          </cell>
          <cell r="F161">
            <v>0.46527777777777773</v>
          </cell>
          <cell r="G161">
            <v>0.47569444444444442</v>
          </cell>
          <cell r="H161">
            <v>42744</v>
          </cell>
          <cell r="I161">
            <v>-7.0000000000000001E-3</v>
          </cell>
          <cell r="J161">
            <v>-4.0000000000000001E-3</v>
          </cell>
          <cell r="K161">
            <v>-0.13600000000000001</v>
          </cell>
          <cell r="L161">
            <v>-0.60499999999999998</v>
          </cell>
          <cell r="M161">
            <v>0.4826388888888889</v>
          </cell>
          <cell r="N161">
            <v>0.48958333333333331</v>
          </cell>
          <cell r="O161">
            <v>42744</v>
          </cell>
          <cell r="P161">
            <v>1.05</v>
          </cell>
          <cell r="Q161">
            <v>9</v>
          </cell>
          <cell r="R161">
            <v>24</v>
          </cell>
          <cell r="S161">
            <v>0</v>
          </cell>
          <cell r="T161">
            <v>0.65277777777777779</v>
          </cell>
          <cell r="U161">
            <v>42744</v>
          </cell>
          <cell r="V161">
            <v>21.85</v>
          </cell>
          <cell r="W161">
            <v>0.95833333333333337</v>
          </cell>
          <cell r="X161">
            <v>42746</v>
          </cell>
          <cell r="Y161">
            <v>43.11</v>
          </cell>
          <cell r="Z161">
            <v>0.97916666666666663</v>
          </cell>
          <cell r="AA161">
            <v>0.99652777777777779</v>
          </cell>
          <cell r="AB161">
            <v>42746</v>
          </cell>
          <cell r="AC161">
            <v>43.13</v>
          </cell>
          <cell r="AD161">
            <v>1.0416666666666666E-2</v>
          </cell>
          <cell r="AE161">
            <v>2.4305555555555556E-2</v>
          </cell>
          <cell r="AF161">
            <v>42747</v>
          </cell>
          <cell r="AG161">
            <v>2.7777777777777776E-2</v>
          </cell>
          <cell r="AH161">
            <v>7.6388888888888895E-2</v>
          </cell>
          <cell r="AI161">
            <v>42747</v>
          </cell>
          <cell r="AJ161">
            <v>0.125</v>
          </cell>
          <cell r="AK161">
            <v>0.13541666666666666</v>
          </cell>
          <cell r="AL161">
            <v>42747</v>
          </cell>
          <cell r="AM161">
            <v>1.05</v>
          </cell>
          <cell r="AN161">
            <v>9</v>
          </cell>
          <cell r="AO161">
            <v>24</v>
          </cell>
          <cell r="AP161">
            <v>0</v>
          </cell>
          <cell r="AQ161">
            <v>0.1388888888888889</v>
          </cell>
          <cell r="AR161">
            <v>0.1423611111111111</v>
          </cell>
          <cell r="AS161">
            <v>42747</v>
          </cell>
          <cell r="AT161">
            <v>43.13</v>
          </cell>
          <cell r="AU161">
            <v>0.14583333333333334</v>
          </cell>
          <cell r="AV161">
            <v>42747</v>
          </cell>
          <cell r="AW161">
            <v>0.22916666666666666</v>
          </cell>
          <cell r="AX161">
            <v>42747</v>
          </cell>
          <cell r="AY161">
            <v>8.5</v>
          </cell>
          <cell r="AZ161">
            <v>50</v>
          </cell>
        </row>
        <row r="162">
          <cell r="B162" t="str">
            <v>A96</v>
          </cell>
          <cell r="C162">
            <v>0.60416666666666663</v>
          </cell>
          <cell r="D162">
            <v>0.66666666666666663</v>
          </cell>
          <cell r="E162">
            <v>42746</v>
          </cell>
          <cell r="F162">
            <v>0.69791666666666663</v>
          </cell>
          <cell r="G162">
            <v>0.70833333333333337</v>
          </cell>
          <cell r="H162">
            <v>42746</v>
          </cell>
          <cell r="I162">
            <v>-0.02</v>
          </cell>
          <cell r="J162">
            <v>1.2E-2</v>
          </cell>
          <cell r="K162">
            <v>-0.32500000000000001</v>
          </cell>
          <cell r="L162">
            <v>-0.57699999999999996</v>
          </cell>
          <cell r="M162">
            <v>0.71527777777777779</v>
          </cell>
          <cell r="N162">
            <v>0.72222222222222221</v>
          </cell>
          <cell r="O162">
            <v>42746</v>
          </cell>
          <cell r="P162">
            <v>1.06</v>
          </cell>
          <cell r="Q162">
            <v>9</v>
          </cell>
          <cell r="R162">
            <v>23</v>
          </cell>
          <cell r="S162">
            <v>0</v>
          </cell>
          <cell r="T162">
            <v>0.82291666666666663</v>
          </cell>
          <cell r="U162">
            <v>42746</v>
          </cell>
          <cell r="V162">
            <v>19.22</v>
          </cell>
          <cell r="W162">
            <v>0.88194444444444453</v>
          </cell>
          <cell r="X162">
            <v>42746</v>
          </cell>
          <cell r="Y162">
            <v>23.48</v>
          </cell>
          <cell r="Z162">
            <v>0.90277777777777779</v>
          </cell>
          <cell r="AA162">
            <v>0.91666666666666663</v>
          </cell>
          <cell r="AB162">
            <v>42746</v>
          </cell>
          <cell r="AC162">
            <v>23.53</v>
          </cell>
          <cell r="AD162">
            <v>0.92013888888888884</v>
          </cell>
          <cell r="AE162">
            <v>0.9375</v>
          </cell>
          <cell r="AF162">
            <v>42746</v>
          </cell>
          <cell r="AG162">
            <v>0.94444444444444453</v>
          </cell>
          <cell r="AH162">
            <v>0.99652777777777779</v>
          </cell>
          <cell r="AI162">
            <v>42746</v>
          </cell>
          <cell r="AJ162">
            <v>0.27083333333333331</v>
          </cell>
          <cell r="AK162">
            <v>0.27777777777777779</v>
          </cell>
          <cell r="AL162">
            <v>42747</v>
          </cell>
          <cell r="AM162">
            <v>1.06</v>
          </cell>
          <cell r="AN162">
            <v>9</v>
          </cell>
          <cell r="AO162">
            <v>24</v>
          </cell>
          <cell r="AP162">
            <v>0</v>
          </cell>
          <cell r="AQ162">
            <v>0.29166666666666669</v>
          </cell>
          <cell r="AR162">
            <v>0.2951388888888889</v>
          </cell>
          <cell r="AS162">
            <v>42747</v>
          </cell>
          <cell r="AT162">
            <v>23.53</v>
          </cell>
          <cell r="AU162">
            <v>0.30208333333333331</v>
          </cell>
          <cell r="AV162">
            <v>42747</v>
          </cell>
          <cell r="AW162">
            <v>0.33333333333333331</v>
          </cell>
          <cell r="AX162">
            <v>42747</v>
          </cell>
          <cell r="AY162">
            <v>6.2</v>
          </cell>
          <cell r="AZ162">
            <v>26</v>
          </cell>
        </row>
        <row r="163">
          <cell r="B163" t="str">
            <v>A22</v>
          </cell>
          <cell r="C163">
            <v>0.60416666666666663</v>
          </cell>
          <cell r="D163">
            <v>0.66666666666666663</v>
          </cell>
          <cell r="E163">
            <v>42746</v>
          </cell>
          <cell r="F163">
            <v>0.71180555555555547</v>
          </cell>
          <cell r="G163">
            <v>0.72222222222222221</v>
          </cell>
          <cell r="H163">
            <v>42746</v>
          </cell>
          <cell r="I163">
            <v>-1.7000000000000001E-2</v>
          </cell>
          <cell r="J163">
            <v>2.3E-2</v>
          </cell>
          <cell r="K163">
            <v>0.01</v>
          </cell>
          <cell r="L163">
            <v>-0.25900000000000001</v>
          </cell>
          <cell r="M163">
            <v>0.72916666666666663</v>
          </cell>
          <cell r="N163">
            <v>0.72222222222222221</v>
          </cell>
          <cell r="O163">
            <v>42746</v>
          </cell>
          <cell r="P163">
            <v>1.06</v>
          </cell>
          <cell r="Q163">
            <v>9</v>
          </cell>
          <cell r="R163">
            <v>24</v>
          </cell>
          <cell r="S163">
            <v>0</v>
          </cell>
          <cell r="T163">
            <v>0.83680555555555547</v>
          </cell>
          <cell r="U163">
            <v>42746</v>
          </cell>
          <cell r="V163">
            <v>20.62</v>
          </cell>
          <cell r="W163">
            <v>0.94791666666666663</v>
          </cell>
          <cell r="X163">
            <v>42746</v>
          </cell>
          <cell r="Y163">
            <v>28.45</v>
          </cell>
          <cell r="Z163">
            <v>0.33333333333333331</v>
          </cell>
          <cell r="AA163">
            <v>0.35416666666666669</v>
          </cell>
          <cell r="AB163">
            <v>42747</v>
          </cell>
          <cell r="AC163">
            <v>28.45</v>
          </cell>
          <cell r="AD163">
            <v>0.3611111111111111</v>
          </cell>
          <cell r="AE163">
            <v>0.36805555555555558</v>
          </cell>
          <cell r="AF163">
            <v>42747</v>
          </cell>
          <cell r="AG163">
            <v>0.66666666666666663</v>
          </cell>
          <cell r="AH163">
            <v>0.72916666666666663</v>
          </cell>
          <cell r="AI163">
            <v>42747</v>
          </cell>
          <cell r="AJ163">
            <v>0.73611111111111116</v>
          </cell>
          <cell r="AK163">
            <v>0.74305555555555547</v>
          </cell>
          <cell r="AL163">
            <v>42747</v>
          </cell>
          <cell r="AM163">
            <v>1.06</v>
          </cell>
          <cell r="AN163">
            <v>9</v>
          </cell>
          <cell r="AO163">
            <v>24</v>
          </cell>
          <cell r="AP163">
            <v>0</v>
          </cell>
          <cell r="AQ163">
            <v>0.74652777777777779</v>
          </cell>
          <cell r="AR163">
            <v>0.75</v>
          </cell>
          <cell r="AS163">
            <v>42747</v>
          </cell>
          <cell r="AT163">
            <v>28.45</v>
          </cell>
          <cell r="AU163">
            <v>0.75694444444444453</v>
          </cell>
          <cell r="AV163">
            <v>42747</v>
          </cell>
          <cell r="AW163">
            <v>0.80555555555555547</v>
          </cell>
          <cell r="AX163">
            <v>42747</v>
          </cell>
          <cell r="AY163">
            <v>6.4</v>
          </cell>
          <cell r="AZ163">
            <v>30</v>
          </cell>
        </row>
        <row r="164">
          <cell r="B164" t="str">
            <v>A89</v>
          </cell>
          <cell r="C164">
            <v>0.59722222222222221</v>
          </cell>
          <cell r="D164">
            <v>0.65625</v>
          </cell>
          <cell r="E164">
            <v>42747</v>
          </cell>
          <cell r="F164">
            <v>0.65625</v>
          </cell>
          <cell r="G164">
            <v>0.66666666666666663</v>
          </cell>
          <cell r="H164">
            <v>42747</v>
          </cell>
          <cell r="I164">
            <v>1.0999999999999999E-2</v>
          </cell>
          <cell r="J164">
            <v>-7.0000000000000001E-3</v>
          </cell>
          <cell r="K164">
            <v>-0.28499999999999998</v>
          </cell>
          <cell r="L164">
            <v>-0.6</v>
          </cell>
          <cell r="M164">
            <v>0.28125</v>
          </cell>
          <cell r="N164">
            <v>0.29166666666666669</v>
          </cell>
          <cell r="O164">
            <v>42754</v>
          </cell>
          <cell r="P164">
            <v>1.06</v>
          </cell>
          <cell r="Q164">
            <v>9</v>
          </cell>
          <cell r="R164">
            <v>26</v>
          </cell>
          <cell r="S164">
            <v>0</v>
          </cell>
          <cell r="T164">
            <v>0.375</v>
          </cell>
          <cell r="U164">
            <v>42754</v>
          </cell>
          <cell r="V164">
            <v>22.12</v>
          </cell>
          <cell r="W164">
            <v>0.35416666666666669</v>
          </cell>
          <cell r="X164">
            <v>42755</v>
          </cell>
          <cell r="Y164">
            <v>42.95</v>
          </cell>
          <cell r="Z164">
            <v>0.375</v>
          </cell>
          <cell r="AA164">
            <v>0.39583333333333331</v>
          </cell>
          <cell r="AB164">
            <v>42755</v>
          </cell>
          <cell r="AC164">
            <v>42.97</v>
          </cell>
          <cell r="AD164">
            <v>0.40277777777777773</v>
          </cell>
          <cell r="AE164">
            <v>0.41666666666666669</v>
          </cell>
          <cell r="AF164">
            <v>42755</v>
          </cell>
          <cell r="AG164">
            <v>0.4201388888888889</v>
          </cell>
          <cell r="AH164">
            <v>0.53819444444444442</v>
          </cell>
          <cell r="AI164">
            <v>42755</v>
          </cell>
          <cell r="AJ164">
            <v>0.61458333333333337</v>
          </cell>
          <cell r="AK164">
            <v>0.625</v>
          </cell>
          <cell r="AL164">
            <v>42755</v>
          </cell>
          <cell r="AM164">
            <v>1.06</v>
          </cell>
          <cell r="AN164">
            <v>9</v>
          </cell>
          <cell r="AO164">
            <v>26</v>
          </cell>
          <cell r="AP164">
            <v>0</v>
          </cell>
          <cell r="AQ164">
            <v>0.63194444444444442</v>
          </cell>
          <cell r="AR164">
            <v>0.63541666666666663</v>
          </cell>
          <cell r="AS164">
            <v>42755</v>
          </cell>
          <cell r="AT164">
            <v>42.97</v>
          </cell>
          <cell r="AU164">
            <v>0.70138888888888884</v>
          </cell>
          <cell r="AV164">
            <v>42755</v>
          </cell>
          <cell r="AW164">
            <v>0.82291666666666663</v>
          </cell>
          <cell r="AX164">
            <v>42755</v>
          </cell>
          <cell r="AY164">
            <v>8.1999999999999993</v>
          </cell>
          <cell r="AZ164">
            <v>55</v>
          </cell>
        </row>
        <row r="165">
          <cell r="B165" t="str">
            <v>B22</v>
          </cell>
          <cell r="C165">
            <v>0.64583333333333337</v>
          </cell>
          <cell r="D165">
            <v>0.70833333333333337</v>
          </cell>
          <cell r="E165">
            <v>42754</v>
          </cell>
          <cell r="F165">
            <v>0.71875</v>
          </cell>
          <cell r="G165">
            <v>0.72916666666666663</v>
          </cell>
          <cell r="H165">
            <v>42754</v>
          </cell>
          <cell r="I165">
            <v>-1E-3</v>
          </cell>
          <cell r="J165">
            <v>-2.4E-2</v>
          </cell>
          <cell r="K165">
            <v>-0.432</v>
          </cell>
          <cell r="L165">
            <v>-0.70599999999999996</v>
          </cell>
          <cell r="M165">
            <v>0.74305555555555547</v>
          </cell>
          <cell r="N165">
            <v>0.75</v>
          </cell>
          <cell r="O165">
            <v>42754</v>
          </cell>
          <cell r="P165">
            <v>1.06</v>
          </cell>
          <cell r="Q165">
            <v>9</v>
          </cell>
          <cell r="R165">
            <v>23</v>
          </cell>
          <cell r="S165">
            <v>0</v>
          </cell>
          <cell r="T165">
            <v>0.83333333333333337</v>
          </cell>
          <cell r="U165">
            <v>42754</v>
          </cell>
          <cell r="V165">
            <v>22.91</v>
          </cell>
          <cell r="W165">
            <v>0.53472222222222221</v>
          </cell>
          <cell r="X165">
            <v>42755</v>
          </cell>
          <cell r="Y165">
            <v>32.43</v>
          </cell>
          <cell r="Z165">
            <v>0.54861111111111105</v>
          </cell>
          <cell r="AA165">
            <v>0.55972222222222223</v>
          </cell>
          <cell r="AB165">
            <v>42755</v>
          </cell>
          <cell r="AC165">
            <v>32.520000000000003</v>
          </cell>
          <cell r="AD165">
            <v>0.56597222222222221</v>
          </cell>
          <cell r="AE165">
            <v>0.57986111111111105</v>
          </cell>
          <cell r="AF165">
            <v>42755</v>
          </cell>
          <cell r="AG165">
            <v>0.59027777777777779</v>
          </cell>
          <cell r="AH165">
            <v>0.625</v>
          </cell>
          <cell r="AI165">
            <v>42755</v>
          </cell>
          <cell r="AJ165">
            <v>0.90277777777777779</v>
          </cell>
          <cell r="AK165">
            <v>0.90972222222222221</v>
          </cell>
          <cell r="AL165">
            <v>42755</v>
          </cell>
          <cell r="AM165">
            <v>1.06</v>
          </cell>
          <cell r="AN165">
            <v>9</v>
          </cell>
          <cell r="AO165">
            <v>26</v>
          </cell>
          <cell r="AP165">
            <v>0</v>
          </cell>
          <cell r="AQ165">
            <v>0.91666666666666663</v>
          </cell>
          <cell r="AR165">
            <v>0.92013888888888884</v>
          </cell>
          <cell r="AS165">
            <v>42755</v>
          </cell>
          <cell r="AT165">
            <v>32.520000000000003</v>
          </cell>
          <cell r="AU165">
            <v>0.92361111111111116</v>
          </cell>
          <cell r="AV165">
            <v>42755</v>
          </cell>
          <cell r="AW165">
            <v>0.9375</v>
          </cell>
          <cell r="AX165">
            <v>42755</v>
          </cell>
          <cell r="AY165">
            <v>4.9000000000000004</v>
          </cell>
          <cell r="AZ165">
            <v>16</v>
          </cell>
        </row>
        <row r="166">
          <cell r="B166" t="str">
            <v>A98</v>
          </cell>
          <cell r="C166">
            <v>0.4375</v>
          </cell>
          <cell r="D166">
            <v>0.5</v>
          </cell>
          <cell r="E166">
            <v>42755</v>
          </cell>
          <cell r="F166">
            <v>0.55208333333333337</v>
          </cell>
          <cell r="G166">
            <v>0.5625</v>
          </cell>
          <cell r="H166">
            <v>42755</v>
          </cell>
          <cell r="I166">
            <v>-2.1999999999999999E-2</v>
          </cell>
          <cell r="J166">
            <v>7.0000000000000001E-3</v>
          </cell>
          <cell r="K166">
            <v>-0.20200000000000001</v>
          </cell>
          <cell r="L166">
            <v>-0.40200000000000002</v>
          </cell>
          <cell r="M166">
            <v>0.50694444444444442</v>
          </cell>
          <cell r="N166">
            <v>0.52083333333333337</v>
          </cell>
          <cell r="O166">
            <v>42755</v>
          </cell>
          <cell r="P166">
            <v>1.06</v>
          </cell>
          <cell r="Q166">
            <v>9</v>
          </cell>
          <cell r="R166">
            <v>26</v>
          </cell>
          <cell r="S166">
            <v>0</v>
          </cell>
          <cell r="T166">
            <v>0.65972222222222221</v>
          </cell>
          <cell r="U166">
            <v>42755</v>
          </cell>
          <cell r="V166">
            <v>20.41</v>
          </cell>
          <cell r="W166">
            <v>0.85416666666666663</v>
          </cell>
          <cell r="X166">
            <v>42755</v>
          </cell>
          <cell r="Y166">
            <v>23.65</v>
          </cell>
          <cell r="Z166">
            <v>0.21527777777777779</v>
          </cell>
          <cell r="AA166">
            <v>0.24305555555555555</v>
          </cell>
          <cell r="AB166">
            <v>42756</v>
          </cell>
          <cell r="AC166">
            <v>23.65</v>
          </cell>
          <cell r="AD166">
            <v>0.25</v>
          </cell>
          <cell r="AE166">
            <v>0.25694444444444448</v>
          </cell>
          <cell r="AF166">
            <v>42756</v>
          </cell>
          <cell r="AG166">
            <v>0.2638888888888889</v>
          </cell>
          <cell r="AH166">
            <v>0.33333333333333331</v>
          </cell>
          <cell r="AI166">
            <v>42756</v>
          </cell>
          <cell r="AJ166">
            <v>0.45833333333333331</v>
          </cell>
          <cell r="AK166">
            <v>0.46875</v>
          </cell>
          <cell r="AL166">
            <v>42756</v>
          </cell>
          <cell r="AM166">
            <v>1.06</v>
          </cell>
          <cell r="AN166">
            <v>9</v>
          </cell>
          <cell r="AO166">
            <v>26</v>
          </cell>
          <cell r="AP166">
            <v>0</v>
          </cell>
          <cell r="AQ166">
            <v>0.47222222222222227</v>
          </cell>
          <cell r="AR166">
            <v>0.47569444444444442</v>
          </cell>
          <cell r="AS166">
            <v>42756</v>
          </cell>
          <cell r="AT166">
            <v>23.65</v>
          </cell>
          <cell r="AU166">
            <v>0.47916666666666669</v>
          </cell>
          <cell r="AV166">
            <v>42756</v>
          </cell>
          <cell r="AW166">
            <v>0.5</v>
          </cell>
          <cell r="AX166">
            <v>42756</v>
          </cell>
          <cell r="AY166">
            <v>6.4</v>
          </cell>
          <cell r="AZ166">
            <v>24</v>
          </cell>
        </row>
        <row r="167">
          <cell r="B167" t="str">
            <v>A97</v>
          </cell>
          <cell r="C167">
            <v>0.85416666666666663</v>
          </cell>
          <cell r="D167">
            <v>0.91666666666666663</v>
          </cell>
          <cell r="E167">
            <v>42757</v>
          </cell>
          <cell r="F167">
            <v>0.28125</v>
          </cell>
          <cell r="G167">
            <v>0.29166666666666669</v>
          </cell>
          <cell r="H167">
            <v>42757</v>
          </cell>
          <cell r="I167">
            <v>-1.7999999999999999E-2</v>
          </cell>
          <cell r="J167">
            <v>0.02</v>
          </cell>
          <cell r="K167">
            <v>-0.122</v>
          </cell>
          <cell r="L167">
            <v>-0.50700000000000001</v>
          </cell>
          <cell r="M167">
            <v>0.2986111111111111</v>
          </cell>
          <cell r="N167">
            <v>0.30555555555555552</v>
          </cell>
          <cell r="O167">
            <v>42757</v>
          </cell>
          <cell r="P167">
            <v>1.06</v>
          </cell>
          <cell r="Q167">
            <v>9</v>
          </cell>
          <cell r="R167">
            <v>25</v>
          </cell>
          <cell r="S167">
            <v>0</v>
          </cell>
          <cell r="T167">
            <v>0.35416666666666669</v>
          </cell>
          <cell r="U167">
            <v>42757</v>
          </cell>
          <cell r="V167">
            <v>21.1</v>
          </cell>
          <cell r="W167">
            <v>0.39930555555555558</v>
          </cell>
          <cell r="X167">
            <v>42757</v>
          </cell>
          <cell r="Y167">
            <v>23.75</v>
          </cell>
          <cell r="Z167">
            <v>0.41666666666666669</v>
          </cell>
          <cell r="AA167">
            <v>0.43055555555555558</v>
          </cell>
          <cell r="AB167">
            <v>42757</v>
          </cell>
          <cell r="AC167">
            <v>23.75</v>
          </cell>
          <cell r="AD167">
            <v>0.4375</v>
          </cell>
          <cell r="AE167">
            <v>0.44791666666666669</v>
          </cell>
          <cell r="AF167">
            <v>42757</v>
          </cell>
          <cell r="AG167">
            <v>0.45833333333333331</v>
          </cell>
          <cell r="AH167">
            <v>0.52083333333333337</v>
          </cell>
          <cell r="AI167">
            <v>42757</v>
          </cell>
          <cell r="AJ167">
            <v>0.54166666666666663</v>
          </cell>
          <cell r="AK167">
            <v>0.54861111111111105</v>
          </cell>
          <cell r="AL167">
            <v>42757</v>
          </cell>
          <cell r="AM167">
            <v>1.06</v>
          </cell>
          <cell r="AN167">
            <v>9</v>
          </cell>
          <cell r="AO167">
            <v>23</v>
          </cell>
          <cell r="AP167">
            <v>0</v>
          </cell>
          <cell r="AQ167">
            <v>0.55555555555555558</v>
          </cell>
          <cell r="AR167">
            <v>0.55902777777777779</v>
          </cell>
          <cell r="AS167">
            <v>42757</v>
          </cell>
          <cell r="AT167">
            <v>23.75</v>
          </cell>
          <cell r="AU167">
            <v>0.5625</v>
          </cell>
          <cell r="AV167">
            <v>42757</v>
          </cell>
          <cell r="AW167">
            <v>0.58333333333333337</v>
          </cell>
          <cell r="AX167">
            <v>42757</v>
          </cell>
          <cell r="AY167">
            <v>6.3</v>
          </cell>
          <cell r="AZ167">
            <v>25</v>
          </cell>
        </row>
        <row r="168">
          <cell r="B168" t="str">
            <v>A110</v>
          </cell>
          <cell r="C168">
            <v>0.375</v>
          </cell>
          <cell r="D168">
            <v>0.4375</v>
          </cell>
          <cell r="E168">
            <v>42756</v>
          </cell>
          <cell r="F168">
            <v>0.44444444444444442</v>
          </cell>
          <cell r="G168">
            <v>0.4513888888888889</v>
          </cell>
          <cell r="H168">
            <v>42756</v>
          </cell>
          <cell r="I168">
            <v>2E-3</v>
          </cell>
          <cell r="J168">
            <v>0.02</v>
          </cell>
          <cell r="K168">
            <v>-0.34300000000000003</v>
          </cell>
          <cell r="L168">
            <v>-0.63</v>
          </cell>
          <cell r="M168">
            <v>0.45833333333333331</v>
          </cell>
          <cell r="N168">
            <v>0.46527777777777773</v>
          </cell>
          <cell r="O168">
            <v>42756</v>
          </cell>
          <cell r="P168">
            <v>1.06</v>
          </cell>
          <cell r="Q168">
            <v>9</v>
          </cell>
          <cell r="R168">
            <v>24</v>
          </cell>
          <cell r="S168">
            <v>0</v>
          </cell>
          <cell r="T168">
            <v>0.27083333333333331</v>
          </cell>
          <cell r="U168">
            <v>42756</v>
          </cell>
          <cell r="V168">
            <v>22.05</v>
          </cell>
          <cell r="W168">
            <v>0.47916666666666669</v>
          </cell>
          <cell r="X168">
            <v>42757</v>
          </cell>
          <cell r="Y168">
            <v>32.67</v>
          </cell>
          <cell r="Z168">
            <v>0.52430555555555558</v>
          </cell>
          <cell r="AA168">
            <v>0.55208333333333337</v>
          </cell>
          <cell r="AB168">
            <v>42757</v>
          </cell>
          <cell r="AC168">
            <v>32.799999999999997</v>
          </cell>
          <cell r="AD168">
            <v>0.5625</v>
          </cell>
          <cell r="AE168">
            <v>0.57291666666666663</v>
          </cell>
          <cell r="AF168">
            <v>42757</v>
          </cell>
          <cell r="AG168">
            <v>0.58680555555555558</v>
          </cell>
          <cell r="AH168">
            <v>0.63194444444444442</v>
          </cell>
          <cell r="AI168">
            <v>42757</v>
          </cell>
          <cell r="AJ168">
            <v>0.83680555555555547</v>
          </cell>
          <cell r="AK168">
            <v>0.84375</v>
          </cell>
          <cell r="AL168">
            <v>42757</v>
          </cell>
          <cell r="AM168">
            <v>1.06</v>
          </cell>
          <cell r="AN168">
            <v>9</v>
          </cell>
          <cell r="AO168">
            <v>23</v>
          </cell>
          <cell r="AP168">
            <v>0</v>
          </cell>
          <cell r="AQ168">
            <v>0.84722222222222221</v>
          </cell>
          <cell r="AR168">
            <v>0.85069444444444453</v>
          </cell>
          <cell r="AS168">
            <v>42757</v>
          </cell>
          <cell r="AT168">
            <v>32.799999999999997</v>
          </cell>
          <cell r="AU168">
            <v>0.85416666666666663</v>
          </cell>
          <cell r="AV168">
            <v>42757</v>
          </cell>
          <cell r="AW168">
            <v>0.91666666666666663</v>
          </cell>
          <cell r="AX168">
            <v>42757</v>
          </cell>
          <cell r="AY168">
            <v>6.1</v>
          </cell>
          <cell r="AZ168">
            <v>40</v>
          </cell>
        </row>
        <row r="169">
          <cell r="B169" t="str">
            <v>A99</v>
          </cell>
          <cell r="C169">
            <v>0.64583333333333337</v>
          </cell>
          <cell r="D169">
            <v>0.70833333333333337</v>
          </cell>
          <cell r="E169">
            <v>42757</v>
          </cell>
          <cell r="F169">
            <v>0.72222222222222221</v>
          </cell>
          <cell r="G169">
            <v>0.73263888888888884</v>
          </cell>
          <cell r="H169">
            <v>42757</v>
          </cell>
          <cell r="I169">
            <v>-0.01</v>
          </cell>
          <cell r="J169">
            <v>-6.0000000000000001E-3</v>
          </cell>
          <cell r="K169">
            <v>-0.25800000000000001</v>
          </cell>
          <cell r="L169">
            <v>-0.74399999999999999</v>
          </cell>
          <cell r="M169">
            <v>0.29166666666666669</v>
          </cell>
          <cell r="N169">
            <v>0.30555555555555552</v>
          </cell>
          <cell r="O169">
            <v>42778</v>
          </cell>
          <cell r="P169">
            <v>1.05</v>
          </cell>
          <cell r="Q169">
            <v>9</v>
          </cell>
          <cell r="R169">
            <v>26</v>
          </cell>
          <cell r="S169">
            <v>0</v>
          </cell>
          <cell r="T169">
            <v>0.4201388888888889</v>
          </cell>
          <cell r="U169">
            <v>42778</v>
          </cell>
          <cell r="V169">
            <v>20.62</v>
          </cell>
          <cell r="W169">
            <v>0.5625</v>
          </cell>
          <cell r="X169">
            <v>42778</v>
          </cell>
          <cell r="Y169">
            <v>23.83</v>
          </cell>
          <cell r="Z169">
            <v>0.64583333333333337</v>
          </cell>
          <cell r="AA169">
            <v>0.67708333333333337</v>
          </cell>
          <cell r="AB169">
            <v>42778</v>
          </cell>
          <cell r="AC169">
            <v>23.83</v>
          </cell>
          <cell r="AD169">
            <v>0.6875</v>
          </cell>
          <cell r="AE169">
            <v>0.70138888888888884</v>
          </cell>
          <cell r="AF169">
            <v>42778</v>
          </cell>
          <cell r="AG169">
            <v>0.71180555555555547</v>
          </cell>
          <cell r="AH169">
            <v>0.77777777777777779</v>
          </cell>
          <cell r="AI169">
            <v>42778</v>
          </cell>
          <cell r="AJ169">
            <v>0.81944444444444453</v>
          </cell>
          <cell r="AK169">
            <v>0.82638888888888884</v>
          </cell>
          <cell r="AL169">
            <v>42778</v>
          </cell>
          <cell r="AM169">
            <v>1.05</v>
          </cell>
          <cell r="AN169">
            <v>9</v>
          </cell>
          <cell r="AO169">
            <v>23</v>
          </cell>
          <cell r="AP169">
            <v>0</v>
          </cell>
          <cell r="AQ169">
            <v>0.83333333333333337</v>
          </cell>
          <cell r="AR169">
            <v>0.83680555555555547</v>
          </cell>
          <cell r="AS169">
            <v>42778</v>
          </cell>
          <cell r="AT169">
            <v>23.85</v>
          </cell>
          <cell r="AU169">
            <v>0.84027777777777779</v>
          </cell>
          <cell r="AV169">
            <v>42778</v>
          </cell>
          <cell r="AW169">
            <v>0.86111111111111116</v>
          </cell>
          <cell r="AX169">
            <v>42778</v>
          </cell>
          <cell r="AY169">
            <v>6</v>
          </cell>
          <cell r="AZ169">
            <v>24</v>
          </cell>
        </row>
        <row r="170">
          <cell r="B170" t="str">
            <v>B17</v>
          </cell>
          <cell r="C170">
            <v>0.375</v>
          </cell>
          <cell r="D170">
            <v>0.4375</v>
          </cell>
          <cell r="E170">
            <v>42778</v>
          </cell>
          <cell r="F170">
            <v>0.44444444444444442</v>
          </cell>
          <cell r="G170">
            <v>0.4548611111111111</v>
          </cell>
          <cell r="H170">
            <v>42778</v>
          </cell>
          <cell r="I170">
            <v>-1.2999999999999999E-2</v>
          </cell>
          <cell r="J170">
            <v>0.01</v>
          </cell>
          <cell r="K170">
            <v>-0.7</v>
          </cell>
          <cell r="L170">
            <v>-1.2</v>
          </cell>
          <cell r="M170">
            <v>0.44444444444444442</v>
          </cell>
          <cell r="N170">
            <v>0.4548611111111111</v>
          </cell>
          <cell r="O170">
            <v>42778</v>
          </cell>
          <cell r="P170">
            <v>1.06</v>
          </cell>
          <cell r="Q170">
            <v>9</v>
          </cell>
          <cell r="R170">
            <v>26</v>
          </cell>
          <cell r="S170">
            <v>0</v>
          </cell>
          <cell r="T170">
            <v>0.5625</v>
          </cell>
          <cell r="U170">
            <v>42778</v>
          </cell>
          <cell r="V170">
            <v>17.75</v>
          </cell>
          <cell r="W170">
            <v>0.72222222222222221</v>
          </cell>
          <cell r="X170">
            <v>42778</v>
          </cell>
          <cell r="Y170">
            <v>29.71</v>
          </cell>
          <cell r="Z170">
            <v>0.79166666666666663</v>
          </cell>
          <cell r="AA170">
            <v>0.81597222222222221</v>
          </cell>
          <cell r="AB170">
            <v>42778</v>
          </cell>
          <cell r="AC170">
            <v>29.71</v>
          </cell>
          <cell r="AD170">
            <v>0.81944444444444453</v>
          </cell>
          <cell r="AE170">
            <v>0.82986111111111116</v>
          </cell>
          <cell r="AF170">
            <v>42778</v>
          </cell>
          <cell r="AG170">
            <v>0.84027777777777779</v>
          </cell>
          <cell r="AH170">
            <v>0.87847222222222221</v>
          </cell>
          <cell r="AI170">
            <v>42778</v>
          </cell>
          <cell r="AJ170">
            <v>0.97222222222222221</v>
          </cell>
          <cell r="AK170">
            <v>0.98263888888888884</v>
          </cell>
          <cell r="AL170">
            <v>42778</v>
          </cell>
          <cell r="AM170">
            <v>1.06</v>
          </cell>
          <cell r="AN170">
            <v>9</v>
          </cell>
          <cell r="AO170">
            <v>24</v>
          </cell>
          <cell r="AP170">
            <v>0</v>
          </cell>
          <cell r="AQ170">
            <v>0.98611111111111116</v>
          </cell>
          <cell r="AR170">
            <v>0.98958333333333337</v>
          </cell>
          <cell r="AS170">
            <v>42778</v>
          </cell>
          <cell r="AT170">
            <v>29.71</v>
          </cell>
          <cell r="AU170">
            <v>0.99305555555555547</v>
          </cell>
          <cell r="AV170">
            <v>42778</v>
          </cell>
          <cell r="AW170">
            <v>2.0833333333333332E-2</v>
          </cell>
          <cell r="AX170">
            <v>42778</v>
          </cell>
          <cell r="AY170">
            <v>4.2</v>
          </cell>
          <cell r="AZ170">
            <v>16</v>
          </cell>
        </row>
        <row r="171">
          <cell r="B171" t="str">
            <v>B16</v>
          </cell>
          <cell r="C171">
            <v>0.33333333333333331</v>
          </cell>
          <cell r="D171">
            <v>0.38541666666666669</v>
          </cell>
          <cell r="E171">
            <v>42779</v>
          </cell>
          <cell r="F171">
            <v>0.3923611111111111</v>
          </cell>
          <cell r="G171">
            <v>0.39930555555555558</v>
          </cell>
          <cell r="H171">
            <v>42779</v>
          </cell>
          <cell r="I171">
            <v>-3.0000000000000001E-3</v>
          </cell>
          <cell r="J171">
            <v>1.6E-2</v>
          </cell>
          <cell r="K171">
            <v>-0.69399999999999995</v>
          </cell>
          <cell r="L171">
            <v>-1.2150000000000001</v>
          </cell>
          <cell r="M171">
            <v>0.40277777777777773</v>
          </cell>
          <cell r="N171">
            <v>0.40972222222222227</v>
          </cell>
          <cell r="O171">
            <v>42779</v>
          </cell>
          <cell r="P171">
            <v>1.06</v>
          </cell>
          <cell r="Q171">
            <v>9</v>
          </cell>
          <cell r="R171">
            <v>26</v>
          </cell>
          <cell r="S171">
            <v>0</v>
          </cell>
          <cell r="T171">
            <v>0.54861111111111105</v>
          </cell>
          <cell r="U171">
            <v>42779</v>
          </cell>
          <cell r="V171">
            <v>18.54</v>
          </cell>
          <cell r="W171">
            <v>0.4375</v>
          </cell>
          <cell r="X171">
            <v>42781</v>
          </cell>
          <cell r="Y171">
            <v>28.41</v>
          </cell>
          <cell r="Z171">
            <v>0.52083333333333337</v>
          </cell>
          <cell r="AA171">
            <v>0.57291666666666663</v>
          </cell>
          <cell r="AB171">
            <v>42781</v>
          </cell>
          <cell r="AC171">
            <v>28.43</v>
          </cell>
          <cell r="AD171">
            <v>0.58333333333333337</v>
          </cell>
          <cell r="AE171">
            <v>0.59722222222222221</v>
          </cell>
          <cell r="AF171">
            <v>42781</v>
          </cell>
          <cell r="AG171">
            <v>0.625</v>
          </cell>
          <cell r="AH171">
            <v>0.71527777777777779</v>
          </cell>
          <cell r="AI171">
            <v>42781</v>
          </cell>
          <cell r="AJ171">
            <v>0.8125</v>
          </cell>
          <cell r="AK171">
            <v>0.82291666666666663</v>
          </cell>
          <cell r="AL171">
            <v>42781</v>
          </cell>
          <cell r="AM171">
            <v>1.06</v>
          </cell>
          <cell r="AN171">
            <v>9</v>
          </cell>
          <cell r="AO171">
            <v>25</v>
          </cell>
          <cell r="AP171">
            <v>0</v>
          </cell>
          <cell r="AQ171">
            <v>0.41319444444444442</v>
          </cell>
          <cell r="AR171">
            <v>0.83333333333333337</v>
          </cell>
          <cell r="AS171">
            <v>42781</v>
          </cell>
          <cell r="AT171">
            <v>28.43</v>
          </cell>
          <cell r="AU171">
            <v>0.83680555555555547</v>
          </cell>
          <cell r="AV171">
            <v>42781</v>
          </cell>
          <cell r="AW171">
            <v>0.85069444444444453</v>
          </cell>
          <cell r="AX171">
            <v>42781</v>
          </cell>
          <cell r="AY171">
            <v>4</v>
          </cell>
          <cell r="AZ171">
            <v>15</v>
          </cell>
        </row>
        <row r="172">
          <cell r="B172" t="str">
            <v>A24</v>
          </cell>
          <cell r="C172">
            <v>0.60069444444444442</v>
          </cell>
          <cell r="D172">
            <v>0.65277777777777779</v>
          </cell>
          <cell r="E172">
            <v>42778</v>
          </cell>
          <cell r="F172">
            <v>0.65625</v>
          </cell>
          <cell r="G172">
            <v>0.66666666666666663</v>
          </cell>
          <cell r="H172">
            <v>42778</v>
          </cell>
          <cell r="I172">
            <v>-0.02</v>
          </cell>
          <cell r="J172">
            <v>-8.0000000000000002E-3</v>
          </cell>
          <cell r="K172">
            <v>0.124</v>
          </cell>
          <cell r="L172">
            <v>-0.435</v>
          </cell>
          <cell r="M172">
            <v>0.67013888888888884</v>
          </cell>
          <cell r="N172">
            <v>0.6875</v>
          </cell>
          <cell r="O172">
            <v>42778</v>
          </cell>
          <cell r="P172">
            <v>1.06</v>
          </cell>
          <cell r="Q172">
            <v>9</v>
          </cell>
          <cell r="R172">
            <v>26</v>
          </cell>
          <cell r="S172">
            <v>0</v>
          </cell>
          <cell r="T172">
            <v>0.5625</v>
          </cell>
          <cell r="U172">
            <v>42781</v>
          </cell>
          <cell r="V172">
            <v>20.32</v>
          </cell>
          <cell r="W172">
            <v>0.71875</v>
          </cell>
          <cell r="X172">
            <v>42781</v>
          </cell>
          <cell r="Y172">
            <v>28.61</v>
          </cell>
          <cell r="Z172">
            <v>0.75</v>
          </cell>
          <cell r="AA172">
            <v>0.76388888888888884</v>
          </cell>
          <cell r="AB172">
            <v>42781</v>
          </cell>
          <cell r="AC172">
            <v>28.84</v>
          </cell>
          <cell r="AD172">
            <v>0.77083333333333337</v>
          </cell>
          <cell r="AE172">
            <v>0.78472222222222221</v>
          </cell>
          <cell r="AF172">
            <v>42781</v>
          </cell>
          <cell r="AG172">
            <v>0.79513888888888884</v>
          </cell>
          <cell r="AH172">
            <v>0.84027777777777779</v>
          </cell>
          <cell r="AI172">
            <v>42781</v>
          </cell>
          <cell r="AJ172">
            <v>5.9027777777777783E-2</v>
          </cell>
          <cell r="AK172">
            <v>6.6666666666666666E-2</v>
          </cell>
          <cell r="AL172">
            <v>42781</v>
          </cell>
          <cell r="AM172">
            <v>1.06</v>
          </cell>
          <cell r="AN172">
            <v>9</v>
          </cell>
          <cell r="AO172">
            <v>24</v>
          </cell>
          <cell r="AP172">
            <v>0</v>
          </cell>
          <cell r="AQ172">
            <v>6.9444444444444434E-2</v>
          </cell>
          <cell r="AR172">
            <v>7.2916666666666671E-2</v>
          </cell>
          <cell r="AS172">
            <v>42782</v>
          </cell>
          <cell r="AT172">
            <v>28.84</v>
          </cell>
          <cell r="AU172">
            <v>7.9861111111111105E-2</v>
          </cell>
          <cell r="AV172">
            <v>42782</v>
          </cell>
          <cell r="AW172">
            <v>0.13194444444444445</v>
          </cell>
          <cell r="AX172">
            <v>42782</v>
          </cell>
          <cell r="AY172">
            <v>6.5</v>
          </cell>
          <cell r="AZ172">
            <v>31</v>
          </cell>
        </row>
        <row r="173">
          <cell r="B173" t="str">
            <v>A26</v>
          </cell>
          <cell r="C173">
            <v>0.83333333333333337</v>
          </cell>
          <cell r="D173">
            <v>0.89583333333333337</v>
          </cell>
          <cell r="E173">
            <v>42781</v>
          </cell>
          <cell r="F173">
            <v>0.90625</v>
          </cell>
          <cell r="G173">
            <v>0.91666666666666663</v>
          </cell>
          <cell r="H173">
            <v>42781</v>
          </cell>
          <cell r="I173">
            <v>1.4E-2</v>
          </cell>
          <cell r="J173">
            <v>-6.0000000000000001E-3</v>
          </cell>
          <cell r="K173">
            <v>-7.6999999999999999E-2</v>
          </cell>
          <cell r="L173">
            <v>-0.42499999999999999</v>
          </cell>
          <cell r="M173">
            <v>0.92708333333333337</v>
          </cell>
          <cell r="N173">
            <v>0.9375</v>
          </cell>
          <cell r="O173">
            <v>42781</v>
          </cell>
          <cell r="P173">
            <v>1.06</v>
          </cell>
          <cell r="Q173">
            <v>9</v>
          </cell>
          <cell r="R173">
            <v>26</v>
          </cell>
          <cell r="S173">
            <v>0</v>
          </cell>
          <cell r="T173">
            <v>0.36805555555555558</v>
          </cell>
          <cell r="U173">
            <v>42782</v>
          </cell>
          <cell r="V173">
            <v>17.22</v>
          </cell>
          <cell r="W173">
            <v>0.72222222222222221</v>
          </cell>
          <cell r="X173">
            <v>42782</v>
          </cell>
          <cell r="Y173">
            <v>28.3</v>
          </cell>
          <cell r="Z173">
            <v>0.75</v>
          </cell>
          <cell r="AA173">
            <v>0.78125</v>
          </cell>
          <cell r="AB173">
            <v>42782</v>
          </cell>
          <cell r="AC173">
            <v>28.3</v>
          </cell>
          <cell r="AD173">
            <v>0.79166666666666663</v>
          </cell>
          <cell r="AE173">
            <v>0.79861111111111116</v>
          </cell>
          <cell r="AF173">
            <v>42782</v>
          </cell>
          <cell r="AG173">
            <v>0.8125</v>
          </cell>
          <cell r="AH173">
            <v>0.86111111111111116</v>
          </cell>
          <cell r="AI173">
            <v>42782</v>
          </cell>
          <cell r="AJ173">
            <v>0.89583333333333337</v>
          </cell>
          <cell r="AK173">
            <v>0.90277777777777779</v>
          </cell>
          <cell r="AL173">
            <v>42782</v>
          </cell>
          <cell r="AM173">
            <v>1.05</v>
          </cell>
          <cell r="AN173">
            <v>9</v>
          </cell>
          <cell r="AO173">
            <v>23</v>
          </cell>
          <cell r="AP173">
            <v>0</v>
          </cell>
          <cell r="AQ173">
            <v>0.90277777777777779</v>
          </cell>
          <cell r="AR173">
            <v>0.90972222222222221</v>
          </cell>
          <cell r="AS173">
            <v>42782</v>
          </cell>
          <cell r="AT173">
            <v>28.3</v>
          </cell>
          <cell r="AU173">
            <v>0.88888888888888884</v>
          </cell>
          <cell r="AV173">
            <v>42782</v>
          </cell>
          <cell r="AW173">
            <v>0.97569444444444453</v>
          </cell>
          <cell r="AX173">
            <v>42782</v>
          </cell>
          <cell r="AY173">
            <v>6.1</v>
          </cell>
          <cell r="AZ173">
            <v>34</v>
          </cell>
        </row>
        <row r="174">
          <cell r="B174" t="str">
            <v>A109</v>
          </cell>
          <cell r="C174">
            <v>0.61111111111111105</v>
          </cell>
          <cell r="D174">
            <v>0.66666666666666663</v>
          </cell>
          <cell r="E174">
            <v>42781</v>
          </cell>
          <cell r="F174">
            <v>0.67361111111111116</v>
          </cell>
          <cell r="G174">
            <v>0.68402777777777779</v>
          </cell>
          <cell r="H174">
            <v>42781</v>
          </cell>
          <cell r="I174">
            <v>1.2999999999999999E-2</v>
          </cell>
          <cell r="J174">
            <v>1.6E-2</v>
          </cell>
          <cell r="K174">
            <v>6.4000000000000001E-2</v>
          </cell>
          <cell r="L174">
            <v>-0.35599999999999998</v>
          </cell>
          <cell r="M174">
            <v>0.6875</v>
          </cell>
          <cell r="N174">
            <v>0.69444444444444453</v>
          </cell>
          <cell r="O174">
            <v>42781</v>
          </cell>
          <cell r="P174">
            <v>1.06</v>
          </cell>
          <cell r="Q174">
            <v>9</v>
          </cell>
          <cell r="R174">
            <v>26</v>
          </cell>
          <cell r="S174">
            <v>0</v>
          </cell>
          <cell r="T174">
            <v>0.73958333333333337</v>
          </cell>
          <cell r="U174">
            <v>42781</v>
          </cell>
          <cell r="V174">
            <v>20.13</v>
          </cell>
          <cell r="W174">
            <v>0.85416666666666663</v>
          </cell>
          <cell r="X174">
            <v>42782</v>
          </cell>
          <cell r="Y174">
            <v>33.01</v>
          </cell>
          <cell r="Z174">
            <v>0.88888888888888884</v>
          </cell>
          <cell r="AA174">
            <v>0.93402777777777779</v>
          </cell>
          <cell r="AB174">
            <v>42782</v>
          </cell>
          <cell r="AC174">
            <v>33.01</v>
          </cell>
          <cell r="AD174">
            <v>0.94444444444444453</v>
          </cell>
          <cell r="AE174">
            <v>0.95486111111111116</v>
          </cell>
          <cell r="AF174">
            <v>42782</v>
          </cell>
          <cell r="AG174">
            <v>0.96875</v>
          </cell>
          <cell r="AH174">
            <v>1.3888888888888888E-2</v>
          </cell>
          <cell r="AI174">
            <v>42782</v>
          </cell>
          <cell r="AJ174">
            <v>4.5138888888888888E-2</v>
          </cell>
          <cell r="AK174">
            <v>5.5555555555555552E-2</v>
          </cell>
          <cell r="AL174">
            <v>42783</v>
          </cell>
          <cell r="AM174">
            <v>1.06</v>
          </cell>
          <cell r="AN174">
            <v>9</v>
          </cell>
          <cell r="AO174">
            <v>23</v>
          </cell>
          <cell r="AP174">
            <v>0</v>
          </cell>
          <cell r="AQ174">
            <v>5.9027777777777783E-2</v>
          </cell>
          <cell r="AR174">
            <v>6.25E-2</v>
          </cell>
          <cell r="AS174">
            <v>42783</v>
          </cell>
          <cell r="AT174">
            <v>33.01</v>
          </cell>
          <cell r="AU174">
            <v>6.9444444444444434E-2</v>
          </cell>
          <cell r="AV174">
            <v>42783</v>
          </cell>
          <cell r="AW174">
            <v>0.1388888888888889</v>
          </cell>
          <cell r="AX174">
            <v>42783</v>
          </cell>
          <cell r="AY174">
            <v>6</v>
          </cell>
          <cell r="AZ174">
            <v>34</v>
          </cell>
        </row>
        <row r="175">
          <cell r="B175" t="str">
            <v>A107</v>
          </cell>
          <cell r="C175">
            <v>0.61458333333333337</v>
          </cell>
          <cell r="D175">
            <v>0.66666666666666663</v>
          </cell>
          <cell r="E175">
            <v>42782</v>
          </cell>
          <cell r="F175">
            <v>0.67708333333333337</v>
          </cell>
          <cell r="G175">
            <v>0.68402777777777779</v>
          </cell>
          <cell r="H175">
            <v>42782</v>
          </cell>
          <cell r="I175">
            <v>1.6E-2</v>
          </cell>
          <cell r="J175">
            <v>1.2999999999999999E-2</v>
          </cell>
          <cell r="K175">
            <v>-4.2000000000000003E-2</v>
          </cell>
          <cell r="L175">
            <v>-0.4</v>
          </cell>
          <cell r="M175">
            <v>0.67361111111111116</v>
          </cell>
          <cell r="N175">
            <v>0.6875</v>
          </cell>
          <cell r="O175">
            <v>42782</v>
          </cell>
          <cell r="P175">
            <v>1.07</v>
          </cell>
          <cell r="Q175">
            <v>9</v>
          </cell>
          <cell r="R175">
            <v>26</v>
          </cell>
          <cell r="S175">
            <v>0</v>
          </cell>
          <cell r="T175">
            <v>0.8125</v>
          </cell>
          <cell r="U175">
            <v>42782</v>
          </cell>
          <cell r="V175">
            <v>20.51</v>
          </cell>
          <cell r="W175">
            <v>0.99652777777777779</v>
          </cell>
          <cell r="X175">
            <v>42782</v>
          </cell>
          <cell r="Y175">
            <v>34.67</v>
          </cell>
          <cell r="Z175">
            <v>2.7777777777777776E-2</v>
          </cell>
          <cell r="AA175">
            <v>4.8611111111111112E-2</v>
          </cell>
          <cell r="AB175">
            <v>42783</v>
          </cell>
          <cell r="AC175">
            <v>34.67</v>
          </cell>
          <cell r="AD175">
            <v>5.9027777777777783E-2</v>
          </cell>
          <cell r="AE175">
            <v>6.5972222222222224E-2</v>
          </cell>
          <cell r="AF175">
            <v>42783</v>
          </cell>
          <cell r="AG175">
            <v>0.12847222222222224</v>
          </cell>
          <cell r="AH175">
            <v>0.16319444444444445</v>
          </cell>
          <cell r="AI175">
            <v>42783</v>
          </cell>
          <cell r="AJ175">
            <v>0.59722222222222221</v>
          </cell>
          <cell r="AK175">
            <v>0.60416666666666663</v>
          </cell>
          <cell r="AL175">
            <v>42783</v>
          </cell>
          <cell r="AM175">
            <v>1.06</v>
          </cell>
          <cell r="AN175">
            <v>9</v>
          </cell>
          <cell r="AO175">
            <v>26</v>
          </cell>
          <cell r="AP175">
            <v>0</v>
          </cell>
          <cell r="AQ175">
            <v>0.60763888888888895</v>
          </cell>
          <cell r="AR175">
            <v>0.61111111111111105</v>
          </cell>
          <cell r="AS175">
            <v>42783</v>
          </cell>
          <cell r="AT175">
            <v>34.67</v>
          </cell>
          <cell r="AU175">
            <v>0.61805555555555558</v>
          </cell>
          <cell r="AV175">
            <v>42783</v>
          </cell>
          <cell r="AW175">
            <v>0.65625</v>
          </cell>
          <cell r="AX175">
            <v>42783</v>
          </cell>
          <cell r="AY175">
            <v>6.5</v>
          </cell>
          <cell r="AZ175">
            <v>34</v>
          </cell>
        </row>
        <row r="176">
          <cell r="B176" t="str">
            <v>BP2</v>
          </cell>
          <cell r="C176">
            <v>0.54861111111111105</v>
          </cell>
          <cell r="D176">
            <v>0.60416666666666663</v>
          </cell>
          <cell r="E176">
            <v>42782</v>
          </cell>
          <cell r="F176">
            <v>0.61458333333333337</v>
          </cell>
          <cell r="G176">
            <v>0.625</v>
          </cell>
          <cell r="H176">
            <v>42782</v>
          </cell>
          <cell r="I176">
            <v>-0.01</v>
          </cell>
          <cell r="J176">
            <v>2.5000000000000001E-2</v>
          </cell>
          <cell r="K176">
            <v>-2.1999999999999999E-2</v>
          </cell>
          <cell r="L176">
            <v>-0.34300000000000003</v>
          </cell>
          <cell r="M176">
            <v>0.63194444444444442</v>
          </cell>
          <cell r="N176">
            <v>0.64236111111111105</v>
          </cell>
          <cell r="O176">
            <v>42782</v>
          </cell>
          <cell r="P176">
            <v>1.05</v>
          </cell>
          <cell r="Q176">
            <v>9</v>
          </cell>
          <cell r="R176">
            <v>27</v>
          </cell>
          <cell r="S176">
            <v>0</v>
          </cell>
          <cell r="T176">
            <v>0.69791666666666663</v>
          </cell>
          <cell r="U176">
            <v>42782</v>
          </cell>
          <cell r="V176">
            <v>18.53</v>
          </cell>
          <cell r="W176">
            <v>2.0833333333333332E-2</v>
          </cell>
          <cell r="X176">
            <v>42783</v>
          </cell>
          <cell r="Y176">
            <v>30.86</v>
          </cell>
          <cell r="Z176">
            <v>8.6805555555555566E-2</v>
          </cell>
          <cell r="AA176">
            <v>0.13541666666666666</v>
          </cell>
          <cell r="AB176">
            <v>42783</v>
          </cell>
          <cell r="AC176">
            <v>30.86</v>
          </cell>
          <cell r="AD176">
            <v>0.14583333333333334</v>
          </cell>
          <cell r="AE176">
            <v>0.15625</v>
          </cell>
          <cell r="AF176">
            <v>42783</v>
          </cell>
          <cell r="AG176">
            <v>0.16666666666666666</v>
          </cell>
          <cell r="AH176">
            <v>0.20138888888888887</v>
          </cell>
          <cell r="AI176">
            <v>42783</v>
          </cell>
          <cell r="AJ176">
            <v>0.72916666666666663</v>
          </cell>
          <cell r="AK176">
            <v>0.73611111111111116</v>
          </cell>
          <cell r="AL176">
            <v>42783</v>
          </cell>
          <cell r="AM176">
            <v>1.05</v>
          </cell>
          <cell r="AN176">
            <v>9</v>
          </cell>
          <cell r="AO176">
            <v>27</v>
          </cell>
          <cell r="AP176">
            <v>0</v>
          </cell>
          <cell r="AQ176">
            <v>0.74305555555555547</v>
          </cell>
          <cell r="AR176">
            <v>0.74652777777777779</v>
          </cell>
          <cell r="AS176">
            <v>42783</v>
          </cell>
          <cell r="AT176">
            <v>30.86</v>
          </cell>
          <cell r="AU176">
            <v>0.76041666666666663</v>
          </cell>
          <cell r="AV176">
            <v>42783</v>
          </cell>
          <cell r="AW176">
            <v>0.78125</v>
          </cell>
          <cell r="AX176">
            <v>42783</v>
          </cell>
          <cell r="AY176">
            <v>5</v>
          </cell>
          <cell r="AZ176">
            <v>16</v>
          </cell>
        </row>
        <row r="177">
          <cell r="B177" t="str">
            <v>B18</v>
          </cell>
          <cell r="C177">
            <v>0.34027777777777773</v>
          </cell>
          <cell r="D177">
            <v>0.39583333333333331</v>
          </cell>
          <cell r="E177">
            <v>42783</v>
          </cell>
          <cell r="F177">
            <v>0.40277777777777773</v>
          </cell>
          <cell r="G177">
            <v>0.41319444444444442</v>
          </cell>
          <cell r="H177">
            <v>42783</v>
          </cell>
          <cell r="I177">
            <v>1.7000000000000001E-2</v>
          </cell>
          <cell r="J177">
            <v>-1.9E-2</v>
          </cell>
          <cell r="K177">
            <v>-0.46899999999999997</v>
          </cell>
          <cell r="L177">
            <v>-0.80200000000000005</v>
          </cell>
          <cell r="M177">
            <v>0.41666666666666669</v>
          </cell>
          <cell r="N177">
            <v>0.42708333333333331</v>
          </cell>
          <cell r="O177">
            <v>42783</v>
          </cell>
          <cell r="P177">
            <v>1.06</v>
          </cell>
          <cell r="Q177">
            <v>9</v>
          </cell>
          <cell r="R177">
            <v>26</v>
          </cell>
          <cell r="S177">
            <v>0</v>
          </cell>
          <cell r="T177">
            <v>0.45833333333333331</v>
          </cell>
          <cell r="U177">
            <v>42783</v>
          </cell>
          <cell r="V177">
            <v>19.05</v>
          </cell>
          <cell r="W177">
            <v>0.71875</v>
          </cell>
          <cell r="X177">
            <v>42783</v>
          </cell>
          <cell r="Y177">
            <v>29.86</v>
          </cell>
          <cell r="Z177">
            <v>0.75</v>
          </cell>
          <cell r="AA177">
            <v>0.79166666666666663</v>
          </cell>
          <cell r="AB177">
            <v>42783</v>
          </cell>
          <cell r="AC177">
            <v>29.86</v>
          </cell>
          <cell r="AD177">
            <v>0.80208333333333337</v>
          </cell>
          <cell r="AE177">
            <v>0.8125</v>
          </cell>
          <cell r="AF177">
            <v>42783</v>
          </cell>
          <cell r="AG177">
            <v>0.81944444444444453</v>
          </cell>
          <cell r="AH177">
            <v>0.86805555555555547</v>
          </cell>
          <cell r="AI177">
            <v>42783</v>
          </cell>
          <cell r="AJ177">
            <v>0.96875</v>
          </cell>
          <cell r="AK177">
            <v>0.97916666666666663</v>
          </cell>
          <cell r="AL177">
            <v>42783</v>
          </cell>
          <cell r="AM177">
            <v>1.06</v>
          </cell>
          <cell r="AN177">
            <v>9</v>
          </cell>
          <cell r="AO177">
            <v>25</v>
          </cell>
          <cell r="AP177">
            <v>0</v>
          </cell>
          <cell r="AQ177">
            <v>0.98263888888888884</v>
          </cell>
          <cell r="AR177">
            <v>0.98611111111111116</v>
          </cell>
          <cell r="AS177">
            <v>42783</v>
          </cell>
          <cell r="AT177">
            <v>29.86</v>
          </cell>
          <cell r="AU177">
            <v>0.98958333333333337</v>
          </cell>
          <cell r="AV177">
            <v>42783</v>
          </cell>
          <cell r="AW177">
            <v>1.0416666666666666E-2</v>
          </cell>
          <cell r="AX177">
            <v>42784</v>
          </cell>
          <cell r="AY177">
            <v>4.3</v>
          </cell>
          <cell r="AZ177">
            <v>16</v>
          </cell>
        </row>
        <row r="178">
          <cell r="B178" t="str">
            <v>A111</v>
          </cell>
          <cell r="C178">
            <v>0.3125</v>
          </cell>
          <cell r="D178">
            <v>0.375</v>
          </cell>
          <cell r="E178">
            <v>42783</v>
          </cell>
          <cell r="F178">
            <v>0.38541666666666669</v>
          </cell>
          <cell r="G178">
            <v>0.39583333333333331</v>
          </cell>
          <cell r="H178">
            <v>42783</v>
          </cell>
          <cell r="I178">
            <v>8.0000000000000002E-3</v>
          </cell>
          <cell r="J178">
            <v>-2E-3</v>
          </cell>
          <cell r="K178">
            <v>-0.156</v>
          </cell>
          <cell r="L178">
            <v>-0.42199999999999999</v>
          </cell>
          <cell r="M178">
            <v>0.39930555555555558</v>
          </cell>
          <cell r="N178">
            <v>0.40625</v>
          </cell>
          <cell r="O178">
            <v>42783</v>
          </cell>
          <cell r="P178">
            <v>1.06</v>
          </cell>
          <cell r="Q178">
            <v>9</v>
          </cell>
          <cell r="R178">
            <v>26</v>
          </cell>
          <cell r="S178">
            <v>0</v>
          </cell>
          <cell r="T178">
            <v>0.67013888888888884</v>
          </cell>
          <cell r="U178">
            <v>42783</v>
          </cell>
          <cell r="V178">
            <v>21.81</v>
          </cell>
          <cell r="W178">
            <v>0.82638888888888884</v>
          </cell>
          <cell r="X178">
            <v>42783</v>
          </cell>
          <cell r="Y178">
            <v>32.75</v>
          </cell>
          <cell r="Z178">
            <v>0.89930555555555547</v>
          </cell>
          <cell r="AA178">
            <v>0.94444444444444453</v>
          </cell>
          <cell r="AB178">
            <v>42783</v>
          </cell>
          <cell r="AC178">
            <v>32.75</v>
          </cell>
          <cell r="AD178">
            <v>0.95138888888888884</v>
          </cell>
          <cell r="AE178">
            <v>0.96180555555555547</v>
          </cell>
          <cell r="AF178">
            <v>42783</v>
          </cell>
          <cell r="AG178">
            <v>0.97222222222222221</v>
          </cell>
          <cell r="AH178">
            <v>4.1666666666666664E-2</v>
          </cell>
          <cell r="AI178">
            <v>42784</v>
          </cell>
          <cell r="AJ178">
            <v>0.11805555555555557</v>
          </cell>
          <cell r="AK178">
            <v>0.125</v>
          </cell>
          <cell r="AL178">
            <v>42784</v>
          </cell>
          <cell r="AM178">
            <v>1.06</v>
          </cell>
          <cell r="AN178">
            <v>9</v>
          </cell>
          <cell r="AO178">
            <v>23</v>
          </cell>
          <cell r="AP178">
            <v>0</v>
          </cell>
          <cell r="AQ178">
            <v>0.12847222222222224</v>
          </cell>
          <cell r="AR178">
            <v>0.13194444444444445</v>
          </cell>
          <cell r="AS178">
            <v>42784</v>
          </cell>
          <cell r="AT178">
            <v>32.75</v>
          </cell>
          <cell r="AU178">
            <v>0.13541666666666666</v>
          </cell>
          <cell r="AV178">
            <v>42784</v>
          </cell>
          <cell r="AW178">
            <v>0.16666666666666666</v>
          </cell>
          <cell r="AX178">
            <v>42784</v>
          </cell>
          <cell r="AY178">
            <v>6.5</v>
          </cell>
          <cell r="AZ178">
            <v>30</v>
          </cell>
        </row>
        <row r="179">
          <cell r="B179" t="str">
            <v>A112</v>
          </cell>
          <cell r="C179">
            <v>0.64583333333333337</v>
          </cell>
          <cell r="D179">
            <v>0.70833333333333337</v>
          </cell>
          <cell r="E179">
            <v>42772</v>
          </cell>
          <cell r="F179">
            <v>0.72222222222222221</v>
          </cell>
          <cell r="G179">
            <v>0.72916666666666663</v>
          </cell>
          <cell r="H179">
            <v>42783</v>
          </cell>
          <cell r="I179">
            <v>-1.2E-2</v>
          </cell>
          <cell r="J179">
            <v>-2.5000000000000001E-2</v>
          </cell>
          <cell r="K179">
            <v>-0.25900000000000001</v>
          </cell>
          <cell r="L179">
            <v>-0.59099999999999997</v>
          </cell>
          <cell r="M179">
            <v>0.73958333333333337</v>
          </cell>
          <cell r="N179">
            <v>0.75</v>
          </cell>
          <cell r="O179">
            <v>42783</v>
          </cell>
          <cell r="P179">
            <v>1.06</v>
          </cell>
          <cell r="Q179">
            <v>9</v>
          </cell>
          <cell r="R179">
            <v>23</v>
          </cell>
          <cell r="S179">
            <v>0</v>
          </cell>
          <cell r="T179">
            <v>0.86111111111111116</v>
          </cell>
          <cell r="U179">
            <v>42783</v>
          </cell>
          <cell r="V179">
            <v>21.05</v>
          </cell>
          <cell r="W179">
            <v>0.98958333333333337</v>
          </cell>
          <cell r="X179">
            <v>42783</v>
          </cell>
          <cell r="Y179">
            <v>32.700000000000003</v>
          </cell>
          <cell r="Z179">
            <v>2.0833333333333332E-2</v>
          </cell>
          <cell r="AA179">
            <v>4.8611111111111112E-2</v>
          </cell>
          <cell r="AB179">
            <v>42784</v>
          </cell>
          <cell r="AC179">
            <v>32.700000000000003</v>
          </cell>
          <cell r="AD179">
            <v>6.25E-2</v>
          </cell>
          <cell r="AE179">
            <v>7.6388888888888895E-2</v>
          </cell>
          <cell r="AF179">
            <v>42784</v>
          </cell>
          <cell r="AG179">
            <v>8.6805555555555566E-2</v>
          </cell>
          <cell r="AH179">
            <v>0.13194444444444445</v>
          </cell>
          <cell r="AI179">
            <v>42784</v>
          </cell>
          <cell r="AJ179">
            <v>0.44444444444444442</v>
          </cell>
          <cell r="AK179">
            <v>0.44791666666666669</v>
          </cell>
          <cell r="AL179">
            <v>42784</v>
          </cell>
          <cell r="AM179">
            <v>1.06</v>
          </cell>
          <cell r="AN179">
            <v>9</v>
          </cell>
          <cell r="AO179">
            <v>26</v>
          </cell>
          <cell r="AP179">
            <v>0</v>
          </cell>
          <cell r="AQ179">
            <v>0.4513888888888889</v>
          </cell>
          <cell r="AR179">
            <v>0.4548611111111111</v>
          </cell>
          <cell r="AS179">
            <v>42784</v>
          </cell>
          <cell r="AT179">
            <v>32.700000000000003</v>
          </cell>
          <cell r="AU179">
            <v>0.45833333333333331</v>
          </cell>
          <cell r="AV179">
            <v>42784</v>
          </cell>
          <cell r="AW179">
            <v>0.50347222222222221</v>
          </cell>
          <cell r="AX179">
            <v>42784</v>
          </cell>
          <cell r="AY179">
            <v>6.5</v>
          </cell>
          <cell r="AZ179">
            <v>34</v>
          </cell>
        </row>
        <row r="180">
          <cell r="B180" t="str">
            <v>B6</v>
          </cell>
          <cell r="C180">
            <v>0.34027777777777773</v>
          </cell>
          <cell r="D180">
            <v>0.40277777777777773</v>
          </cell>
          <cell r="E180">
            <v>42784</v>
          </cell>
          <cell r="F180">
            <v>0.4236111111111111</v>
          </cell>
          <cell r="G180">
            <v>0.43055555555555558</v>
          </cell>
          <cell r="H180">
            <v>42784</v>
          </cell>
          <cell r="I180">
            <v>-2.1999999999999999E-2</v>
          </cell>
          <cell r="J180">
            <v>-0.01</v>
          </cell>
          <cell r="K180">
            <v>-0.432</v>
          </cell>
          <cell r="L180">
            <v>-0.72</v>
          </cell>
          <cell r="M180">
            <v>0.43402777777777773</v>
          </cell>
          <cell r="N180">
            <v>0.44097222222222227</v>
          </cell>
          <cell r="O180">
            <v>42784</v>
          </cell>
          <cell r="P180">
            <v>1.06</v>
          </cell>
          <cell r="Q180">
            <v>9</v>
          </cell>
          <cell r="R180">
            <v>26</v>
          </cell>
          <cell r="S180">
            <v>0</v>
          </cell>
          <cell r="T180">
            <v>0.59375</v>
          </cell>
          <cell r="U180">
            <v>42784</v>
          </cell>
          <cell r="V180">
            <v>19.84</v>
          </cell>
          <cell r="W180">
            <v>0.91666666666666663</v>
          </cell>
          <cell r="X180">
            <v>42784</v>
          </cell>
          <cell r="Y180">
            <v>30.98</v>
          </cell>
          <cell r="Z180">
            <v>0.94444444444444453</v>
          </cell>
          <cell r="AA180">
            <v>0.96527777777777779</v>
          </cell>
          <cell r="AB180">
            <v>42784</v>
          </cell>
          <cell r="AC180">
            <v>30.98</v>
          </cell>
          <cell r="AD180">
            <v>0.97569444444444453</v>
          </cell>
          <cell r="AE180">
            <v>0.98611111111111116</v>
          </cell>
          <cell r="AF180">
            <v>42784</v>
          </cell>
          <cell r="AG180">
            <v>0.99305555555555547</v>
          </cell>
          <cell r="AH180">
            <v>2.0833333333333332E-2</v>
          </cell>
          <cell r="AI180">
            <v>42784</v>
          </cell>
          <cell r="AJ180">
            <v>4.8611111111111112E-2</v>
          </cell>
          <cell r="AK180">
            <v>5.9027777777777783E-2</v>
          </cell>
          <cell r="AL180">
            <v>42784</v>
          </cell>
          <cell r="AM180">
            <v>1.05</v>
          </cell>
          <cell r="AN180">
            <v>9</v>
          </cell>
          <cell r="AO180">
            <v>24</v>
          </cell>
          <cell r="AP180">
            <v>0</v>
          </cell>
          <cell r="AQ180">
            <v>6.25E-2</v>
          </cell>
          <cell r="AR180">
            <v>6.5972222222222224E-2</v>
          </cell>
          <cell r="AS180">
            <v>42785</v>
          </cell>
          <cell r="AT180">
            <v>30.98</v>
          </cell>
          <cell r="AU180">
            <v>7.2916666666666671E-2</v>
          </cell>
          <cell r="AV180">
            <v>42785</v>
          </cell>
          <cell r="AW180">
            <v>0.11666666666666665</v>
          </cell>
          <cell r="AX180">
            <v>42785</v>
          </cell>
          <cell r="AY180">
            <v>6.5</v>
          </cell>
          <cell r="AZ180">
            <v>16</v>
          </cell>
        </row>
        <row r="181">
          <cell r="B181" t="str">
            <v>A23</v>
          </cell>
          <cell r="C181">
            <v>0.88194444444444453</v>
          </cell>
          <cell r="D181">
            <v>0.94444444444444453</v>
          </cell>
          <cell r="E181">
            <v>42783</v>
          </cell>
          <cell r="F181">
            <v>0.95833333333333337</v>
          </cell>
          <cell r="G181">
            <v>0.96875</v>
          </cell>
          <cell r="H181">
            <v>42783</v>
          </cell>
          <cell r="I181">
            <v>3.0000000000000001E-3</v>
          </cell>
          <cell r="J181">
            <v>-1.4E-2</v>
          </cell>
          <cell r="K181">
            <v>-0.19700000000000001</v>
          </cell>
          <cell r="L181">
            <v>-0.54</v>
          </cell>
          <cell r="M181">
            <v>0.97916666666666663</v>
          </cell>
          <cell r="N181">
            <v>0.98958333333333337</v>
          </cell>
          <cell r="O181">
            <v>42783</v>
          </cell>
          <cell r="P181">
            <v>1.05</v>
          </cell>
          <cell r="Q181">
            <v>9</v>
          </cell>
          <cell r="R181">
            <v>24</v>
          </cell>
          <cell r="S181">
            <v>0</v>
          </cell>
          <cell r="T181">
            <v>0.10416666666666667</v>
          </cell>
          <cell r="U181">
            <v>42784</v>
          </cell>
          <cell r="V181">
            <v>20.52</v>
          </cell>
          <cell r="W181">
            <v>0.32291666666666669</v>
          </cell>
          <cell r="X181">
            <v>42784</v>
          </cell>
          <cell r="Y181">
            <v>28.25</v>
          </cell>
          <cell r="Z181">
            <v>0.5</v>
          </cell>
          <cell r="AA181">
            <v>0.55208333333333337</v>
          </cell>
          <cell r="AB181">
            <v>42784</v>
          </cell>
          <cell r="AC181">
            <v>28.31</v>
          </cell>
          <cell r="AD181">
            <v>0.5625</v>
          </cell>
          <cell r="AE181">
            <v>0.57291666666666663</v>
          </cell>
          <cell r="AF181">
            <v>42784</v>
          </cell>
          <cell r="AG181">
            <v>0.58333333333333337</v>
          </cell>
          <cell r="AH181">
            <v>0.69444444444444453</v>
          </cell>
          <cell r="AI181">
            <v>42784</v>
          </cell>
          <cell r="AJ181">
            <v>0.72916666666666663</v>
          </cell>
          <cell r="AK181">
            <v>0.73958333333333337</v>
          </cell>
          <cell r="AL181">
            <v>42784</v>
          </cell>
          <cell r="AM181">
            <v>1.05</v>
          </cell>
          <cell r="AN181">
            <v>9</v>
          </cell>
          <cell r="AO181">
            <v>24</v>
          </cell>
          <cell r="AP181">
            <v>0</v>
          </cell>
          <cell r="AQ181">
            <v>0.74305555555555547</v>
          </cell>
          <cell r="AR181">
            <v>0.74861111111111101</v>
          </cell>
          <cell r="AS181">
            <v>42784</v>
          </cell>
          <cell r="AT181">
            <v>28.31</v>
          </cell>
          <cell r="AU181">
            <v>0.75</v>
          </cell>
          <cell r="AV181">
            <v>42784</v>
          </cell>
          <cell r="AW181">
            <v>0.82291666666666663</v>
          </cell>
          <cell r="AX181">
            <v>42784</v>
          </cell>
          <cell r="AY181">
            <v>6.4</v>
          </cell>
          <cell r="AZ181">
            <v>27</v>
          </cell>
        </row>
        <row r="182">
          <cell r="B182" t="str">
            <v>A142</v>
          </cell>
          <cell r="C182">
            <v>0.35416666666666669</v>
          </cell>
          <cell r="D182">
            <v>0.40972222222222227</v>
          </cell>
          <cell r="E182">
            <v>42784</v>
          </cell>
          <cell r="F182">
            <v>0.41319444444444442</v>
          </cell>
          <cell r="G182">
            <v>0.4201388888888889</v>
          </cell>
          <cell r="H182">
            <v>42784</v>
          </cell>
          <cell r="I182">
            <v>-5.0000000000000001E-3</v>
          </cell>
          <cell r="J182">
            <v>2.3E-2</v>
          </cell>
          <cell r="K182">
            <v>-0.02</v>
          </cell>
          <cell r="L182">
            <v>-0.40200000000000002</v>
          </cell>
          <cell r="M182">
            <v>0.4236111111111111</v>
          </cell>
          <cell r="N182">
            <v>0.43055555555555558</v>
          </cell>
          <cell r="O182">
            <v>42784</v>
          </cell>
          <cell r="P182">
            <v>1.06</v>
          </cell>
          <cell r="Q182">
            <v>9</v>
          </cell>
          <cell r="R182">
            <v>26</v>
          </cell>
          <cell r="S182">
            <v>0</v>
          </cell>
          <cell r="T182">
            <v>0.46875</v>
          </cell>
          <cell r="U182">
            <v>42784</v>
          </cell>
          <cell r="V182">
            <v>20.83</v>
          </cell>
          <cell r="W182">
            <v>0.96527777777777779</v>
          </cell>
          <cell r="X182">
            <v>42784</v>
          </cell>
          <cell r="Y182">
            <v>38.79</v>
          </cell>
          <cell r="Z182">
            <v>0.99305555555555547</v>
          </cell>
          <cell r="AA182">
            <v>2.0833333333333332E-2</v>
          </cell>
          <cell r="AB182">
            <v>42785</v>
          </cell>
          <cell r="AC182">
            <v>38.79</v>
          </cell>
          <cell r="AD182">
            <v>3.125E-2</v>
          </cell>
          <cell r="AE182">
            <v>4.1666666666666664E-2</v>
          </cell>
          <cell r="AF182">
            <v>42785</v>
          </cell>
          <cell r="AG182">
            <v>5.2083333333333336E-2</v>
          </cell>
          <cell r="AH182">
            <v>0.10416666666666667</v>
          </cell>
          <cell r="AI182">
            <v>42785</v>
          </cell>
          <cell r="AJ182">
            <v>0.25</v>
          </cell>
          <cell r="AK182">
            <v>0.25694444444444448</v>
          </cell>
          <cell r="AL182">
            <v>42785</v>
          </cell>
          <cell r="AM182">
            <v>1.06</v>
          </cell>
          <cell r="AN182">
            <v>9</v>
          </cell>
          <cell r="AO182">
            <v>24</v>
          </cell>
          <cell r="AP182">
            <v>0</v>
          </cell>
          <cell r="AQ182">
            <v>0.2638888888888889</v>
          </cell>
          <cell r="AR182">
            <v>0.26041666666666669</v>
          </cell>
          <cell r="AS182">
            <v>42785</v>
          </cell>
          <cell r="AT182">
            <v>38.79</v>
          </cell>
          <cell r="AU182">
            <v>0.27083333333333331</v>
          </cell>
          <cell r="AV182">
            <v>42785</v>
          </cell>
          <cell r="AW182">
            <v>0.34027777777777773</v>
          </cell>
          <cell r="AX182">
            <v>42785</v>
          </cell>
          <cell r="AY182">
            <v>6.8</v>
          </cell>
          <cell r="AZ182">
            <v>39.5</v>
          </cell>
        </row>
        <row r="183">
          <cell r="B183" t="str">
            <v>A25</v>
          </cell>
          <cell r="C183">
            <v>2.0833333333333332E-2</v>
          </cell>
          <cell r="D183">
            <v>8.3333333333333329E-2</v>
          </cell>
          <cell r="E183">
            <v>42785</v>
          </cell>
          <cell r="F183">
            <v>0.30208333333333331</v>
          </cell>
          <cell r="G183">
            <v>0.3125</v>
          </cell>
          <cell r="H183">
            <v>42785</v>
          </cell>
          <cell r="I183">
            <v>-1.7999999999999999E-2</v>
          </cell>
          <cell r="J183">
            <v>-2E-3</v>
          </cell>
          <cell r="K183">
            <v>-5.1999999999999998E-2</v>
          </cell>
          <cell r="L183">
            <v>-0.3</v>
          </cell>
          <cell r="M183">
            <v>0.31944444444444448</v>
          </cell>
          <cell r="N183">
            <v>0.3263888888888889</v>
          </cell>
          <cell r="O183">
            <v>42785</v>
          </cell>
          <cell r="P183">
            <v>1.06</v>
          </cell>
          <cell r="Q183">
            <v>9</v>
          </cell>
          <cell r="R183">
            <v>25</v>
          </cell>
          <cell r="S183">
            <v>0</v>
          </cell>
          <cell r="T183">
            <v>0.44097222222222227</v>
          </cell>
          <cell r="U183">
            <v>42785</v>
          </cell>
          <cell r="V183">
            <v>19.32</v>
          </cell>
          <cell r="W183">
            <v>0.91666666666666663</v>
          </cell>
          <cell r="X183">
            <v>42785</v>
          </cell>
          <cell r="Y183">
            <v>28.36</v>
          </cell>
          <cell r="Z183">
            <v>0.94444444444444453</v>
          </cell>
          <cell r="AA183">
            <v>0.96875</v>
          </cell>
          <cell r="AB183">
            <v>42785</v>
          </cell>
          <cell r="AC183">
            <v>28.36</v>
          </cell>
          <cell r="AD183">
            <v>0.97916666666666663</v>
          </cell>
          <cell r="AE183">
            <v>0.98958333333333337</v>
          </cell>
          <cell r="AF183">
            <v>42785</v>
          </cell>
          <cell r="AG183">
            <v>3.472222222222222E-3</v>
          </cell>
          <cell r="AH183">
            <v>4.1666666666666664E-2</v>
          </cell>
          <cell r="AI183">
            <v>42786</v>
          </cell>
          <cell r="AJ183">
            <v>0.1875</v>
          </cell>
          <cell r="AK183">
            <v>0.19791666666666666</v>
          </cell>
          <cell r="AL183">
            <v>42786</v>
          </cell>
          <cell r="AM183">
            <v>1.05</v>
          </cell>
          <cell r="AN183">
            <v>9</v>
          </cell>
          <cell r="AO183">
            <v>25</v>
          </cell>
          <cell r="AP183">
            <v>0</v>
          </cell>
          <cell r="AQ183">
            <v>0.20138888888888887</v>
          </cell>
          <cell r="AR183">
            <v>0.20833333333333334</v>
          </cell>
          <cell r="AS183">
            <v>42786</v>
          </cell>
          <cell r="AT183">
            <v>28.36</v>
          </cell>
          <cell r="AU183">
            <v>0.21527777777777779</v>
          </cell>
          <cell r="AV183">
            <v>42786</v>
          </cell>
          <cell r="AW183">
            <v>0.27777777777777779</v>
          </cell>
          <cell r="AX183">
            <v>42786</v>
          </cell>
          <cell r="AY183">
            <v>6.3</v>
          </cell>
          <cell r="AZ183">
            <v>32</v>
          </cell>
        </row>
        <row r="184">
          <cell r="B184" t="str">
            <v>A114</v>
          </cell>
          <cell r="C184">
            <v>0.3125</v>
          </cell>
          <cell r="D184">
            <v>0.375</v>
          </cell>
          <cell r="E184">
            <v>42785</v>
          </cell>
          <cell r="F184">
            <v>0.38541666666666669</v>
          </cell>
          <cell r="G184">
            <v>0.39583333333333331</v>
          </cell>
          <cell r="H184">
            <v>42785</v>
          </cell>
          <cell r="I184">
            <v>-2.5000000000000001E-2</v>
          </cell>
          <cell r="J184">
            <v>8.0000000000000002E-3</v>
          </cell>
          <cell r="K184">
            <v>-7.0000000000000007E-2</v>
          </cell>
          <cell r="L184">
            <v>-0.52800000000000002</v>
          </cell>
          <cell r="M184">
            <v>0.39930555555555558</v>
          </cell>
          <cell r="N184">
            <v>0.40972222222222227</v>
          </cell>
          <cell r="O184">
            <v>42785</v>
          </cell>
          <cell r="P184">
            <v>1.06</v>
          </cell>
          <cell r="Q184">
            <v>9</v>
          </cell>
          <cell r="R184">
            <v>26</v>
          </cell>
          <cell r="S184">
            <v>0</v>
          </cell>
          <cell r="T184">
            <v>0.4513888888888889</v>
          </cell>
          <cell r="U184">
            <v>42785</v>
          </cell>
          <cell r="V184">
            <v>20.43</v>
          </cell>
          <cell r="W184">
            <v>0.97916666666666663</v>
          </cell>
          <cell r="X184">
            <v>42785</v>
          </cell>
          <cell r="Y184">
            <v>44.95</v>
          </cell>
          <cell r="Z184">
            <v>2.0833333333333332E-2</v>
          </cell>
          <cell r="AA184">
            <v>6.9444444444444434E-2</v>
          </cell>
          <cell r="AB184">
            <v>42786</v>
          </cell>
          <cell r="AC184">
            <v>44.95</v>
          </cell>
          <cell r="AD184">
            <v>7.9861111111111105E-2</v>
          </cell>
          <cell r="AE184">
            <v>9.0277777777777776E-2</v>
          </cell>
          <cell r="AF184">
            <v>42786</v>
          </cell>
          <cell r="AG184">
            <v>9.7222222222222224E-2</v>
          </cell>
          <cell r="AH184">
            <v>0.1423611111111111</v>
          </cell>
          <cell r="AI184">
            <v>42786</v>
          </cell>
          <cell r="AJ184">
            <v>0.37847222222222227</v>
          </cell>
          <cell r="AK184">
            <v>0.38541666666666669</v>
          </cell>
          <cell r="AL184">
            <v>42786</v>
          </cell>
          <cell r="AM184">
            <v>1.05</v>
          </cell>
          <cell r="AN184">
            <v>9</v>
          </cell>
          <cell r="AO184">
            <v>23</v>
          </cell>
          <cell r="AP184">
            <v>0</v>
          </cell>
          <cell r="AQ184">
            <v>0.3888888888888889</v>
          </cell>
          <cell r="AR184">
            <v>0.39583333333333331</v>
          </cell>
          <cell r="AS184">
            <v>42786</v>
          </cell>
          <cell r="AT184">
            <v>44.95</v>
          </cell>
          <cell r="AU184">
            <v>0.39930555555555558</v>
          </cell>
          <cell r="AV184">
            <v>42786</v>
          </cell>
          <cell r="AW184">
            <v>0.48958333333333331</v>
          </cell>
          <cell r="AX184">
            <v>42786</v>
          </cell>
          <cell r="AY184">
            <v>6.5</v>
          </cell>
          <cell r="AZ184">
            <v>53.5</v>
          </cell>
        </row>
        <row r="185">
          <cell r="B185" t="str">
            <v>B15</v>
          </cell>
          <cell r="C185">
            <v>0.79166666666666663</v>
          </cell>
          <cell r="D185">
            <v>0.85416666666666663</v>
          </cell>
          <cell r="E185">
            <v>42785</v>
          </cell>
          <cell r="F185">
            <v>0.93055555555555547</v>
          </cell>
          <cell r="G185">
            <v>0.94097222222222221</v>
          </cell>
          <cell r="H185">
            <v>42785</v>
          </cell>
          <cell r="I185">
            <v>1.7999999999999999E-2</v>
          </cell>
          <cell r="J185">
            <v>-1.4E-2</v>
          </cell>
          <cell r="K185">
            <v>-0.79600000000000004</v>
          </cell>
          <cell r="L185">
            <v>-0.95599999999999996</v>
          </cell>
          <cell r="M185">
            <v>0.94444444444444453</v>
          </cell>
          <cell r="N185">
            <v>0.95138888888888884</v>
          </cell>
          <cell r="O185">
            <v>42785</v>
          </cell>
          <cell r="P185">
            <v>1.06</v>
          </cell>
          <cell r="Q185">
            <v>9</v>
          </cell>
          <cell r="R185">
            <v>26</v>
          </cell>
          <cell r="S185">
            <v>0</v>
          </cell>
          <cell r="T185">
            <v>0.39930555555555558</v>
          </cell>
          <cell r="U185">
            <v>42786</v>
          </cell>
          <cell r="V185">
            <v>21.54</v>
          </cell>
          <cell r="W185">
            <v>0.52083333333333337</v>
          </cell>
          <cell r="X185">
            <v>42786</v>
          </cell>
          <cell r="Y185">
            <v>28.24</v>
          </cell>
          <cell r="Z185">
            <v>0.5625</v>
          </cell>
          <cell r="AA185">
            <v>0.88541666666666663</v>
          </cell>
          <cell r="AB185">
            <v>42786</v>
          </cell>
          <cell r="AC185">
            <v>28.31</v>
          </cell>
          <cell r="AD185">
            <v>0.59722222222222221</v>
          </cell>
          <cell r="AE185">
            <v>0.61111111111111105</v>
          </cell>
          <cell r="AF185">
            <v>42786</v>
          </cell>
          <cell r="AG185">
            <v>0.61805555555555558</v>
          </cell>
          <cell r="AH185">
            <v>0.67361111111111116</v>
          </cell>
          <cell r="AI185">
            <v>42786</v>
          </cell>
          <cell r="AJ185">
            <v>0.70833333333333337</v>
          </cell>
          <cell r="AK185">
            <v>0.71527777777777779</v>
          </cell>
          <cell r="AL185">
            <v>42786</v>
          </cell>
          <cell r="AM185">
            <v>1.06</v>
          </cell>
          <cell r="AN185">
            <v>9</v>
          </cell>
          <cell r="AO185">
            <v>26</v>
          </cell>
          <cell r="AP185">
            <v>0</v>
          </cell>
          <cell r="AQ185">
            <v>0.71875</v>
          </cell>
          <cell r="AR185">
            <v>0.72222222222222221</v>
          </cell>
          <cell r="AS185">
            <v>42786</v>
          </cell>
          <cell r="AT185">
            <v>28.31</v>
          </cell>
          <cell r="AU185">
            <v>0.72916666666666663</v>
          </cell>
          <cell r="AV185">
            <v>42786</v>
          </cell>
          <cell r="AW185">
            <v>0.77083333333333337</v>
          </cell>
          <cell r="AX185">
            <v>42786</v>
          </cell>
          <cell r="AY185">
            <v>4</v>
          </cell>
          <cell r="AZ185">
            <v>15</v>
          </cell>
        </row>
        <row r="186">
          <cell r="B186" t="str">
            <v>B7</v>
          </cell>
          <cell r="C186">
            <v>0.86111111111111116</v>
          </cell>
          <cell r="D186">
            <v>0.91666666666666663</v>
          </cell>
          <cell r="E186">
            <v>42785</v>
          </cell>
          <cell r="F186">
            <v>0.94444444444444453</v>
          </cell>
          <cell r="G186">
            <v>0.95138888888888884</v>
          </cell>
          <cell r="H186">
            <v>42785</v>
          </cell>
          <cell r="I186">
            <v>8.0000000000000002E-3</v>
          </cell>
          <cell r="J186">
            <v>-1.4E-2</v>
          </cell>
          <cell r="K186">
            <v>-0.67800000000000005</v>
          </cell>
          <cell r="L186">
            <v>-0.98899999999999999</v>
          </cell>
          <cell r="M186">
            <v>0.95486111111111116</v>
          </cell>
          <cell r="N186">
            <v>0.96180555555555547</v>
          </cell>
          <cell r="O186">
            <v>42785</v>
          </cell>
          <cell r="P186">
            <v>1.06</v>
          </cell>
          <cell r="Q186">
            <v>9</v>
          </cell>
          <cell r="R186">
            <v>25</v>
          </cell>
          <cell r="S186">
            <v>0</v>
          </cell>
          <cell r="T186">
            <v>0.67361111111111116</v>
          </cell>
          <cell r="U186">
            <v>42786</v>
          </cell>
          <cell r="V186">
            <v>19.239999999999998</v>
          </cell>
          <cell r="W186">
            <v>0.79166666666666663</v>
          </cell>
          <cell r="X186">
            <v>42786</v>
          </cell>
          <cell r="Y186">
            <v>26.45</v>
          </cell>
          <cell r="Z186">
            <v>0.8125</v>
          </cell>
          <cell r="AA186">
            <v>0.83333333333333337</v>
          </cell>
          <cell r="AB186">
            <v>42786</v>
          </cell>
          <cell r="AC186">
            <v>26.45</v>
          </cell>
          <cell r="AD186">
            <v>0.84375</v>
          </cell>
          <cell r="AE186">
            <v>0.85416666666666663</v>
          </cell>
          <cell r="AF186">
            <v>42786</v>
          </cell>
          <cell r="AG186">
            <v>0.86805555555555547</v>
          </cell>
          <cell r="AH186">
            <v>0.91319444444444453</v>
          </cell>
          <cell r="AI186">
            <v>42786</v>
          </cell>
          <cell r="AJ186">
            <v>0.96875</v>
          </cell>
          <cell r="AK186">
            <v>0.97569444444444453</v>
          </cell>
          <cell r="AL186">
            <v>42786</v>
          </cell>
          <cell r="AM186">
            <v>1.06</v>
          </cell>
          <cell r="AN186">
            <v>9</v>
          </cell>
          <cell r="AO186">
            <v>23</v>
          </cell>
          <cell r="AP186">
            <v>0</v>
          </cell>
          <cell r="AQ186">
            <v>0.97916666666666663</v>
          </cell>
          <cell r="AR186">
            <v>0.98263888888888884</v>
          </cell>
          <cell r="AS186">
            <v>42786</v>
          </cell>
          <cell r="AT186">
            <v>26.45</v>
          </cell>
          <cell r="AU186">
            <v>0.98611111111111116</v>
          </cell>
          <cell r="AV186">
            <v>42786</v>
          </cell>
          <cell r="AW186">
            <v>0.99652777777777779</v>
          </cell>
          <cell r="AX186">
            <v>42786</v>
          </cell>
          <cell r="AY186">
            <v>6.3</v>
          </cell>
          <cell r="AZ186">
            <v>13</v>
          </cell>
        </row>
        <row r="187">
          <cell r="B187" t="str">
            <v>A101</v>
          </cell>
          <cell r="C187">
            <v>0.33333333333333331</v>
          </cell>
          <cell r="D187">
            <v>0.3888888888888889</v>
          </cell>
          <cell r="E187">
            <v>42786</v>
          </cell>
          <cell r="F187">
            <v>0.39583333333333331</v>
          </cell>
          <cell r="G187">
            <v>0.40277777777777773</v>
          </cell>
          <cell r="H187">
            <v>42786</v>
          </cell>
          <cell r="I187">
            <v>-5.0000000000000001E-3</v>
          </cell>
          <cell r="J187">
            <v>-1.2E-2</v>
          </cell>
          <cell r="K187">
            <v>-0.24199999999999999</v>
          </cell>
          <cell r="L187">
            <v>-0.54800000000000004</v>
          </cell>
          <cell r="M187">
            <v>0.40625</v>
          </cell>
          <cell r="N187">
            <v>0.41319444444444442</v>
          </cell>
          <cell r="O187">
            <v>42786</v>
          </cell>
          <cell r="P187">
            <v>1.05</v>
          </cell>
          <cell r="Q187">
            <v>9</v>
          </cell>
          <cell r="R187">
            <v>26</v>
          </cell>
          <cell r="S187">
            <v>0</v>
          </cell>
          <cell r="T187">
            <v>0.70138888888888884</v>
          </cell>
          <cell r="U187">
            <v>42786</v>
          </cell>
          <cell r="V187">
            <v>20.91</v>
          </cell>
          <cell r="W187">
            <v>0.96527777777777779</v>
          </cell>
          <cell r="X187">
            <v>42786</v>
          </cell>
          <cell r="Y187">
            <v>34.22</v>
          </cell>
          <cell r="Z187">
            <v>1.0416666666666666E-2</v>
          </cell>
          <cell r="AA187">
            <v>4.1666666666666664E-2</v>
          </cell>
          <cell r="AB187">
            <v>42787</v>
          </cell>
          <cell r="AC187">
            <v>34.22</v>
          </cell>
          <cell r="AD187">
            <v>5.2083333333333336E-2</v>
          </cell>
          <cell r="AE187">
            <v>6.25E-2</v>
          </cell>
          <cell r="AF187">
            <v>42787</v>
          </cell>
          <cell r="AG187">
            <v>6.9444444444444434E-2</v>
          </cell>
          <cell r="AH187">
            <v>0.11805555555555557</v>
          </cell>
          <cell r="AI187">
            <v>42787</v>
          </cell>
          <cell r="AJ187">
            <v>0.38194444444444442</v>
          </cell>
          <cell r="AK187">
            <v>0.3888888888888889</v>
          </cell>
          <cell r="AL187">
            <v>42787</v>
          </cell>
          <cell r="AM187">
            <v>1.05</v>
          </cell>
          <cell r="AN187">
            <v>9</v>
          </cell>
          <cell r="AO187">
            <v>26</v>
          </cell>
          <cell r="AP187">
            <v>0</v>
          </cell>
          <cell r="AQ187">
            <v>0.39583333333333331</v>
          </cell>
          <cell r="AR187">
            <v>0.39930555555555558</v>
          </cell>
          <cell r="AS187">
            <v>42787</v>
          </cell>
          <cell r="AT187">
            <v>34.22</v>
          </cell>
          <cell r="AU187">
            <v>0.40625</v>
          </cell>
          <cell r="AV187">
            <v>42787</v>
          </cell>
          <cell r="AW187">
            <v>0.45833333333333331</v>
          </cell>
          <cell r="AX187">
            <v>42787</v>
          </cell>
          <cell r="AY187">
            <v>6.4</v>
          </cell>
          <cell r="AZ187">
            <v>35</v>
          </cell>
        </row>
        <row r="188">
          <cell r="B188" t="str">
            <v>B13</v>
          </cell>
          <cell r="C188">
            <v>6.9444444444444434E-2</v>
          </cell>
          <cell r="D188">
            <v>0.125</v>
          </cell>
          <cell r="E188">
            <v>42787</v>
          </cell>
          <cell r="F188">
            <v>0.13194444444444445</v>
          </cell>
          <cell r="G188">
            <v>0.1388888888888889</v>
          </cell>
          <cell r="H188">
            <v>42787</v>
          </cell>
          <cell r="I188">
            <v>-0.02</v>
          </cell>
          <cell r="J188">
            <v>-1.4E-2</v>
          </cell>
          <cell r="K188">
            <v>-0.01</v>
          </cell>
          <cell r="L188">
            <v>-0.4</v>
          </cell>
          <cell r="M188">
            <v>0.14583333333333334</v>
          </cell>
          <cell r="N188">
            <v>0.15625</v>
          </cell>
          <cell r="O188">
            <v>42787</v>
          </cell>
          <cell r="P188">
            <v>1.06</v>
          </cell>
          <cell r="Q188">
            <v>9</v>
          </cell>
          <cell r="R188">
            <v>23</v>
          </cell>
          <cell r="S188">
            <v>0</v>
          </cell>
          <cell r="T188">
            <v>0.2638888888888889</v>
          </cell>
          <cell r="U188">
            <v>42787</v>
          </cell>
          <cell r="V188">
            <v>20.62</v>
          </cell>
          <cell r="W188">
            <v>0.40277777777777773</v>
          </cell>
          <cell r="X188">
            <v>42787</v>
          </cell>
          <cell r="Y188">
            <v>30.23</v>
          </cell>
          <cell r="Z188">
            <v>0.45833333333333331</v>
          </cell>
          <cell r="AA188">
            <v>0.47916666666666669</v>
          </cell>
          <cell r="AB188">
            <v>42787</v>
          </cell>
          <cell r="AC188">
            <v>30.27</v>
          </cell>
          <cell r="AD188">
            <v>0.49305555555555558</v>
          </cell>
          <cell r="AE188">
            <v>0.5</v>
          </cell>
          <cell r="AF188">
            <v>42787</v>
          </cell>
          <cell r="AG188">
            <v>0.52083333333333337</v>
          </cell>
          <cell r="AH188">
            <v>0.59027777777777779</v>
          </cell>
          <cell r="AI188">
            <v>42787</v>
          </cell>
          <cell r="AJ188">
            <v>0.66666666666666663</v>
          </cell>
          <cell r="AK188">
            <v>0.68055555555555547</v>
          </cell>
          <cell r="AL188">
            <v>42787</v>
          </cell>
          <cell r="AM188">
            <v>1.06</v>
          </cell>
          <cell r="AN188">
            <v>9</v>
          </cell>
          <cell r="AO188">
            <v>23</v>
          </cell>
          <cell r="AP188">
            <v>0</v>
          </cell>
          <cell r="AQ188">
            <v>0.68402777777777779</v>
          </cell>
          <cell r="AR188">
            <v>0.6875</v>
          </cell>
          <cell r="AS188">
            <v>42787</v>
          </cell>
          <cell r="AT188">
            <v>30.27</v>
          </cell>
          <cell r="AU188">
            <v>0.69097222222222221</v>
          </cell>
          <cell r="AV188">
            <v>42787</v>
          </cell>
          <cell r="AW188">
            <v>0.72430555555555554</v>
          </cell>
          <cell r="AX188">
            <v>42787</v>
          </cell>
          <cell r="AY188">
            <v>4.8</v>
          </cell>
          <cell r="AZ188">
            <v>17</v>
          </cell>
        </row>
        <row r="189">
          <cell r="B189" t="str">
            <v>B14</v>
          </cell>
          <cell r="C189">
            <v>0.44444444444444442</v>
          </cell>
          <cell r="D189">
            <v>0.5</v>
          </cell>
          <cell r="E189">
            <v>42787</v>
          </cell>
          <cell r="F189">
            <v>0.54166666666666663</v>
          </cell>
          <cell r="G189">
            <v>0.55208333333333337</v>
          </cell>
          <cell r="H189">
            <v>42787</v>
          </cell>
          <cell r="I189">
            <v>-2E-3</v>
          </cell>
          <cell r="J189">
            <v>1.7999999999999999E-2</v>
          </cell>
          <cell r="K189">
            <v>-0.53200000000000003</v>
          </cell>
          <cell r="L189">
            <v>-0.77300000000000002</v>
          </cell>
          <cell r="M189">
            <v>0.50694444444444442</v>
          </cell>
          <cell r="N189">
            <v>0.52083333333333337</v>
          </cell>
          <cell r="O189">
            <v>42787</v>
          </cell>
          <cell r="P189">
            <v>1.06</v>
          </cell>
          <cell r="Q189">
            <v>9</v>
          </cell>
          <cell r="R189">
            <v>26</v>
          </cell>
          <cell r="S189">
            <v>0</v>
          </cell>
          <cell r="T189">
            <v>0.67708333333333337</v>
          </cell>
          <cell r="U189">
            <v>42787</v>
          </cell>
          <cell r="V189">
            <v>20.53</v>
          </cell>
          <cell r="W189">
            <v>0.79166666666666663</v>
          </cell>
          <cell r="X189">
            <v>42787</v>
          </cell>
          <cell r="Y189">
            <v>29.55</v>
          </cell>
          <cell r="Z189">
            <v>0.83680555555555547</v>
          </cell>
          <cell r="AA189">
            <v>0.88541666666666663</v>
          </cell>
          <cell r="AB189">
            <v>42787</v>
          </cell>
          <cell r="AC189">
            <v>29.55</v>
          </cell>
          <cell r="AD189">
            <v>0.89583333333333337</v>
          </cell>
          <cell r="AE189">
            <v>0.90625</v>
          </cell>
          <cell r="AF189">
            <v>42787</v>
          </cell>
          <cell r="AG189">
            <v>0.91666666666666663</v>
          </cell>
          <cell r="AH189">
            <v>0.97916666666666663</v>
          </cell>
          <cell r="AI189">
            <v>42787</v>
          </cell>
          <cell r="AJ189">
            <v>0.10416666666666667</v>
          </cell>
          <cell r="AK189">
            <v>0.11458333333333333</v>
          </cell>
          <cell r="AL189">
            <v>42788</v>
          </cell>
          <cell r="AM189">
            <v>1.06</v>
          </cell>
          <cell r="AN189">
            <v>9</v>
          </cell>
          <cell r="AO189">
            <v>22</v>
          </cell>
          <cell r="AP189">
            <v>0</v>
          </cell>
          <cell r="AQ189">
            <v>0.11805555555555557</v>
          </cell>
          <cell r="AR189">
            <v>0.12152777777777778</v>
          </cell>
          <cell r="AS189">
            <v>42788</v>
          </cell>
          <cell r="AT189">
            <v>29.55</v>
          </cell>
          <cell r="AU189">
            <v>0.125</v>
          </cell>
          <cell r="AV189">
            <v>42788</v>
          </cell>
          <cell r="AW189">
            <v>0.1388888888888889</v>
          </cell>
          <cell r="AX189">
            <v>42788</v>
          </cell>
          <cell r="AY189">
            <v>4.5</v>
          </cell>
          <cell r="AZ189">
            <v>13</v>
          </cell>
        </row>
        <row r="190">
          <cell r="B190" t="str">
            <v>A113</v>
          </cell>
          <cell r="C190">
            <v>0.8125</v>
          </cell>
          <cell r="D190">
            <v>0.875</v>
          </cell>
          <cell r="E190">
            <v>42786</v>
          </cell>
          <cell r="F190">
            <v>0.94791666666666663</v>
          </cell>
          <cell r="G190">
            <v>0.95833333333333337</v>
          </cell>
          <cell r="H190">
            <v>42786</v>
          </cell>
          <cell r="I190">
            <v>-1.9E-2</v>
          </cell>
          <cell r="J190">
            <v>-1.6E-2</v>
          </cell>
          <cell r="K190">
            <v>-0.22600000000000001</v>
          </cell>
          <cell r="L190">
            <v>-0.55600000000000005</v>
          </cell>
          <cell r="M190">
            <v>0.96180555555555547</v>
          </cell>
          <cell r="N190">
            <v>0.97222222222222221</v>
          </cell>
          <cell r="O190">
            <v>42786</v>
          </cell>
          <cell r="P190">
            <v>1.06</v>
          </cell>
          <cell r="Q190">
            <v>9</v>
          </cell>
          <cell r="R190">
            <v>25</v>
          </cell>
          <cell r="S190">
            <v>0</v>
          </cell>
          <cell r="T190">
            <v>0.4375</v>
          </cell>
          <cell r="U190">
            <v>42787</v>
          </cell>
          <cell r="V190">
            <v>21.52</v>
          </cell>
          <cell r="W190">
            <v>0.10416666666666667</v>
          </cell>
          <cell r="X190">
            <v>42788</v>
          </cell>
          <cell r="Y190">
            <v>44.8</v>
          </cell>
          <cell r="Z190">
            <v>0.12847222222222224</v>
          </cell>
          <cell r="AA190">
            <v>0.15277777777777776</v>
          </cell>
          <cell r="AB190">
            <v>42788</v>
          </cell>
          <cell r="AC190">
            <v>44.8</v>
          </cell>
          <cell r="AD190">
            <v>0.16666666666666666</v>
          </cell>
          <cell r="AE190">
            <v>0.17708333333333334</v>
          </cell>
          <cell r="AF190">
            <v>42788</v>
          </cell>
          <cell r="AG190">
            <v>0.18402777777777779</v>
          </cell>
          <cell r="AH190">
            <v>0.23611111111111113</v>
          </cell>
          <cell r="AI190">
            <v>42788</v>
          </cell>
          <cell r="AJ190">
            <v>0.34027777777777773</v>
          </cell>
          <cell r="AK190">
            <v>0.34722222222222227</v>
          </cell>
          <cell r="AL190">
            <v>42788</v>
          </cell>
          <cell r="AM190">
            <v>1.06</v>
          </cell>
          <cell r="AN190">
            <v>9</v>
          </cell>
          <cell r="AO190">
            <v>25</v>
          </cell>
          <cell r="AP190">
            <v>0</v>
          </cell>
          <cell r="AQ190">
            <v>0.35069444444444442</v>
          </cell>
          <cell r="AR190">
            <v>0.35416666666666669</v>
          </cell>
          <cell r="AS190">
            <v>42788</v>
          </cell>
          <cell r="AT190">
            <v>44.8</v>
          </cell>
          <cell r="AU190">
            <v>0.38541666666666669</v>
          </cell>
          <cell r="AV190">
            <v>42788</v>
          </cell>
          <cell r="AW190">
            <v>0.4861111111111111</v>
          </cell>
          <cell r="AX190">
            <v>42788</v>
          </cell>
          <cell r="AY190">
            <v>6.5</v>
          </cell>
          <cell r="AZ190">
            <v>50.5</v>
          </cell>
        </row>
        <row r="191">
          <cell r="B191" t="str">
            <v>A102</v>
          </cell>
          <cell r="C191">
            <v>0.625</v>
          </cell>
          <cell r="D191">
            <v>0.68055555555555547</v>
          </cell>
          <cell r="E191">
            <v>42786</v>
          </cell>
          <cell r="F191">
            <v>0.6875</v>
          </cell>
          <cell r="G191">
            <v>0.69444444444444453</v>
          </cell>
          <cell r="H191">
            <v>42786</v>
          </cell>
          <cell r="I191">
            <v>-1.2E-2</v>
          </cell>
          <cell r="J191">
            <v>-2.1999999999999999E-2</v>
          </cell>
          <cell r="K191">
            <v>-0.35199999999999998</v>
          </cell>
          <cell r="L191">
            <v>-0.52600000000000002</v>
          </cell>
          <cell r="M191">
            <v>0.70833333333333337</v>
          </cell>
          <cell r="N191">
            <v>0.71875</v>
          </cell>
          <cell r="O191">
            <v>42786</v>
          </cell>
          <cell r="P191">
            <v>1.06</v>
          </cell>
          <cell r="Q191">
            <v>9</v>
          </cell>
          <cell r="R191">
            <v>25</v>
          </cell>
          <cell r="S191">
            <v>0</v>
          </cell>
          <cell r="T191">
            <v>1.3888888888888888E-2</v>
          </cell>
          <cell r="U191">
            <v>42787</v>
          </cell>
          <cell r="V191">
            <v>21.15</v>
          </cell>
          <cell r="W191">
            <v>0</v>
          </cell>
          <cell r="X191">
            <v>42788</v>
          </cell>
          <cell r="Y191">
            <v>34.049999999999997</v>
          </cell>
          <cell r="Z191">
            <v>9.375E-2</v>
          </cell>
          <cell r="AA191">
            <v>0.1423611111111111</v>
          </cell>
          <cell r="AB191">
            <v>42788</v>
          </cell>
          <cell r="AC191">
            <v>34.049999999999997</v>
          </cell>
          <cell r="AD191">
            <v>0.15277777777777776</v>
          </cell>
          <cell r="AE191">
            <v>0.16666666666666666</v>
          </cell>
          <cell r="AF191">
            <v>42788</v>
          </cell>
          <cell r="AG191">
            <v>0.17361111111111113</v>
          </cell>
          <cell r="AH191">
            <v>0.27083333333333331</v>
          </cell>
          <cell r="AI191">
            <v>42788</v>
          </cell>
          <cell r="AJ191">
            <v>0.55208333333333337</v>
          </cell>
          <cell r="AK191">
            <v>0.55902777777777779</v>
          </cell>
          <cell r="AL191">
            <v>42788</v>
          </cell>
          <cell r="AM191">
            <v>1.06</v>
          </cell>
          <cell r="AN191">
            <v>9</v>
          </cell>
          <cell r="AO191">
            <v>25</v>
          </cell>
          <cell r="AP191">
            <v>0</v>
          </cell>
          <cell r="AQ191">
            <v>0.55902777777777779</v>
          </cell>
          <cell r="AR191">
            <v>0.5625</v>
          </cell>
          <cell r="AS191">
            <v>42788</v>
          </cell>
          <cell r="AT191">
            <v>34.049999999999997</v>
          </cell>
          <cell r="AU191">
            <v>0.5625</v>
          </cell>
          <cell r="AV191">
            <v>42788</v>
          </cell>
          <cell r="AW191">
            <v>0.63541666666666663</v>
          </cell>
          <cell r="AX191">
            <v>42788</v>
          </cell>
          <cell r="AY191">
            <v>6.1</v>
          </cell>
          <cell r="AZ191">
            <v>36</v>
          </cell>
        </row>
        <row r="192">
          <cell r="B192" t="str">
            <v>B8</v>
          </cell>
          <cell r="C192">
            <v>0.85416666666666663</v>
          </cell>
          <cell r="D192">
            <v>0.91666666666666663</v>
          </cell>
          <cell r="E192">
            <v>42787</v>
          </cell>
          <cell r="F192">
            <v>0.93055555555555547</v>
          </cell>
          <cell r="G192">
            <v>0.9375</v>
          </cell>
          <cell r="H192">
            <v>42787</v>
          </cell>
          <cell r="I192">
            <v>-2E-3</v>
          </cell>
          <cell r="J192">
            <v>2.5999999999999999E-2</v>
          </cell>
          <cell r="K192">
            <v>-0.20200000000000001</v>
          </cell>
          <cell r="L192">
            <v>-0.625</v>
          </cell>
          <cell r="M192">
            <v>0.26041666666666669</v>
          </cell>
          <cell r="N192">
            <v>0.27083333333333331</v>
          </cell>
          <cell r="O192">
            <v>42788</v>
          </cell>
          <cell r="P192">
            <v>1.06</v>
          </cell>
          <cell r="Q192">
            <v>9</v>
          </cell>
          <cell r="R192">
            <v>25</v>
          </cell>
          <cell r="S192">
            <v>0</v>
          </cell>
          <cell r="T192">
            <v>0.63888888888888895</v>
          </cell>
          <cell r="U192">
            <v>42788</v>
          </cell>
          <cell r="V192">
            <v>22.22</v>
          </cell>
          <cell r="W192">
            <v>0.76388888888888884</v>
          </cell>
          <cell r="X192">
            <v>42788</v>
          </cell>
          <cell r="Y192">
            <v>29.99</v>
          </cell>
          <cell r="Z192">
            <v>0.80208333333333337</v>
          </cell>
          <cell r="AA192">
            <v>0.83333333333333337</v>
          </cell>
          <cell r="AB192">
            <v>42788</v>
          </cell>
          <cell r="AC192">
            <v>29.99</v>
          </cell>
          <cell r="AD192">
            <v>0.84027777777777779</v>
          </cell>
          <cell r="AE192">
            <v>0.85069444444444453</v>
          </cell>
          <cell r="AF192">
            <v>42788</v>
          </cell>
          <cell r="AG192">
            <v>0.86458333333333337</v>
          </cell>
          <cell r="AH192">
            <v>0.91319444444444453</v>
          </cell>
          <cell r="AI192">
            <v>42788</v>
          </cell>
          <cell r="AJ192">
            <v>9.7222222222222224E-2</v>
          </cell>
          <cell r="AK192">
            <v>0.1076388888888889</v>
          </cell>
          <cell r="AL192">
            <v>42789</v>
          </cell>
          <cell r="AM192">
            <v>1.06</v>
          </cell>
          <cell r="AN192">
            <v>9</v>
          </cell>
          <cell r="AO192">
            <v>23</v>
          </cell>
          <cell r="AP192">
            <v>0</v>
          </cell>
          <cell r="AQ192">
            <v>0.1111111111111111</v>
          </cell>
          <cell r="AR192">
            <v>0.11458333333333333</v>
          </cell>
          <cell r="AS192">
            <v>42789</v>
          </cell>
          <cell r="AT192">
            <v>29.99</v>
          </cell>
          <cell r="AU192">
            <v>0.11805555555555557</v>
          </cell>
          <cell r="AV192">
            <v>42789</v>
          </cell>
          <cell r="AW192">
            <v>0.18402777777777779</v>
          </cell>
          <cell r="AX192">
            <v>42789</v>
          </cell>
          <cell r="AY192">
            <v>6.7</v>
          </cell>
          <cell r="AZ192">
            <v>16</v>
          </cell>
        </row>
        <row r="193">
          <cell r="B193" t="str">
            <v>A104</v>
          </cell>
          <cell r="C193">
            <v>0.66666666666666663</v>
          </cell>
          <cell r="D193">
            <v>0.72916666666666663</v>
          </cell>
          <cell r="E193">
            <v>42787</v>
          </cell>
          <cell r="F193">
            <v>0.91666666666666663</v>
          </cell>
          <cell r="G193">
            <v>0.92708333333333337</v>
          </cell>
          <cell r="H193">
            <v>42787</v>
          </cell>
          <cell r="I193">
            <v>-2.3E-2</v>
          </cell>
          <cell r="J193">
            <v>1.7000000000000001E-2</v>
          </cell>
          <cell r="K193">
            <v>-0.38200000000000001</v>
          </cell>
          <cell r="L193">
            <v>-0.63200000000000001</v>
          </cell>
          <cell r="M193">
            <v>0.27083333333333331</v>
          </cell>
          <cell r="N193">
            <v>0.28125</v>
          </cell>
          <cell r="O193">
            <v>42788</v>
          </cell>
          <cell r="P193">
            <v>1.06</v>
          </cell>
          <cell r="Q193">
            <v>9</v>
          </cell>
          <cell r="R193">
            <v>24</v>
          </cell>
          <cell r="S193">
            <v>0</v>
          </cell>
          <cell r="T193">
            <v>0.6875</v>
          </cell>
          <cell r="U193">
            <v>42788</v>
          </cell>
          <cell r="V193">
            <v>21.52</v>
          </cell>
          <cell r="W193">
            <v>0.86111111111111116</v>
          </cell>
          <cell r="X193">
            <v>42788</v>
          </cell>
          <cell r="Y193">
            <v>34.049999999999997</v>
          </cell>
          <cell r="Z193">
            <v>0.91666666666666663</v>
          </cell>
          <cell r="AA193">
            <v>0.96180555555555547</v>
          </cell>
          <cell r="AB193">
            <v>42788</v>
          </cell>
          <cell r="AC193">
            <v>34.049999999999997</v>
          </cell>
          <cell r="AD193">
            <v>0.97569444444444453</v>
          </cell>
          <cell r="AE193">
            <v>0.98611111111111116</v>
          </cell>
          <cell r="AF193">
            <v>42788</v>
          </cell>
          <cell r="AG193">
            <v>3.472222222222222E-3</v>
          </cell>
          <cell r="AH193">
            <v>5.2083333333333336E-2</v>
          </cell>
          <cell r="AI193">
            <v>42788</v>
          </cell>
          <cell r="AJ193">
            <v>0.5</v>
          </cell>
          <cell r="AK193">
            <v>0.51041666666666663</v>
          </cell>
          <cell r="AL193">
            <v>42788</v>
          </cell>
          <cell r="AM193">
            <v>1.06</v>
          </cell>
          <cell r="AN193">
            <v>9</v>
          </cell>
          <cell r="AO193">
            <v>24</v>
          </cell>
          <cell r="AP193">
            <v>0</v>
          </cell>
          <cell r="AQ193">
            <v>0.51388888888888895</v>
          </cell>
          <cell r="AR193">
            <v>0.52083333333333337</v>
          </cell>
          <cell r="AS193">
            <v>42789</v>
          </cell>
          <cell r="AT193">
            <v>34.049999999999997</v>
          </cell>
          <cell r="AU193">
            <v>0.51388888888888895</v>
          </cell>
          <cell r="AV193">
            <v>42789</v>
          </cell>
          <cell r="AW193">
            <v>0.60416666666666663</v>
          </cell>
          <cell r="AX193">
            <v>42789</v>
          </cell>
          <cell r="AY193">
            <v>6.3</v>
          </cell>
          <cell r="AZ193">
            <v>38.5</v>
          </cell>
        </row>
        <row r="194">
          <cell r="B194" t="str">
            <v>A116</v>
          </cell>
          <cell r="C194">
            <v>6.25E-2</v>
          </cell>
          <cell r="D194">
            <v>0.14583333333333334</v>
          </cell>
          <cell r="E194">
            <v>42789</v>
          </cell>
          <cell r="F194">
            <v>0.13541666666666666</v>
          </cell>
          <cell r="G194">
            <v>0.14583333333333334</v>
          </cell>
          <cell r="H194">
            <v>42789</v>
          </cell>
          <cell r="I194">
            <v>-1.7000000000000001E-2</v>
          </cell>
          <cell r="J194">
            <v>1.0999999999999999E-2</v>
          </cell>
          <cell r="K194">
            <v>-0.30499999999999999</v>
          </cell>
          <cell r="L194">
            <v>-0.55500000000000005</v>
          </cell>
          <cell r="M194">
            <v>0.15625</v>
          </cell>
          <cell r="N194">
            <v>0.16666666666666666</v>
          </cell>
          <cell r="O194">
            <v>42789</v>
          </cell>
          <cell r="P194">
            <v>1.06</v>
          </cell>
          <cell r="Q194">
            <v>9</v>
          </cell>
          <cell r="R194">
            <v>23</v>
          </cell>
          <cell r="S194">
            <v>0</v>
          </cell>
          <cell r="T194">
            <v>0.22916666666666666</v>
          </cell>
          <cell r="U194">
            <v>42789</v>
          </cell>
          <cell r="V194">
            <v>20.55</v>
          </cell>
          <cell r="W194">
            <v>0.875</v>
          </cell>
          <cell r="X194">
            <v>42789</v>
          </cell>
          <cell r="Y194">
            <v>44.8</v>
          </cell>
          <cell r="Z194">
            <v>0.89583333333333337</v>
          </cell>
          <cell r="AA194">
            <v>0.92708333333333337</v>
          </cell>
          <cell r="AB194">
            <v>42789</v>
          </cell>
          <cell r="AC194">
            <v>44.8</v>
          </cell>
          <cell r="AD194">
            <v>0.9375</v>
          </cell>
          <cell r="AE194">
            <v>0.94791666666666663</v>
          </cell>
          <cell r="AF194">
            <v>42789</v>
          </cell>
          <cell r="AG194">
            <v>0.95486111111111116</v>
          </cell>
          <cell r="AH194">
            <v>0.98749999999999993</v>
          </cell>
          <cell r="AI194">
            <v>42789</v>
          </cell>
          <cell r="AJ194">
            <v>0.10416666666666667</v>
          </cell>
          <cell r="AK194">
            <v>0.11458333333333333</v>
          </cell>
          <cell r="AL194">
            <v>42790</v>
          </cell>
          <cell r="AM194">
            <v>1.06</v>
          </cell>
          <cell r="AN194">
            <v>9</v>
          </cell>
          <cell r="AO194">
            <v>23</v>
          </cell>
          <cell r="AP194">
            <v>0</v>
          </cell>
          <cell r="AQ194">
            <v>0.11805555555555557</v>
          </cell>
          <cell r="AR194">
            <v>0.12152777777777778</v>
          </cell>
          <cell r="AS194">
            <v>42790</v>
          </cell>
          <cell r="AT194">
            <v>44.8</v>
          </cell>
          <cell r="AU194">
            <v>9.375E-2</v>
          </cell>
          <cell r="AV194">
            <v>42790</v>
          </cell>
          <cell r="AW194">
            <v>0.20833333333333334</v>
          </cell>
          <cell r="AX194">
            <v>42790</v>
          </cell>
          <cell r="AY194">
            <v>6.1</v>
          </cell>
          <cell r="AZ194">
            <v>49</v>
          </cell>
        </row>
        <row r="195">
          <cell r="B195" t="str">
            <v>A105</v>
          </cell>
          <cell r="C195">
            <v>0.65625</v>
          </cell>
          <cell r="D195">
            <v>0.70833333333333337</v>
          </cell>
          <cell r="E195">
            <v>42789</v>
          </cell>
          <cell r="F195">
            <v>0.71180555555555547</v>
          </cell>
          <cell r="G195">
            <v>0.71875</v>
          </cell>
          <cell r="H195">
            <v>42789</v>
          </cell>
          <cell r="I195">
            <v>-2.5999999999999999E-2</v>
          </cell>
          <cell r="J195">
            <v>6.0000000000000001E-3</v>
          </cell>
          <cell r="K195">
            <v>-0.47199999999999998</v>
          </cell>
          <cell r="L195">
            <v>-0.73199999999999998</v>
          </cell>
          <cell r="M195">
            <v>0.72569444444444453</v>
          </cell>
          <cell r="N195">
            <v>0.73611111111111116</v>
          </cell>
          <cell r="O195">
            <v>42789</v>
          </cell>
          <cell r="P195">
            <v>1.06</v>
          </cell>
          <cell r="Q195">
            <v>9</v>
          </cell>
          <cell r="R195">
            <v>24</v>
          </cell>
          <cell r="S195">
            <v>0</v>
          </cell>
          <cell r="T195">
            <v>0.89583333333333337</v>
          </cell>
          <cell r="U195">
            <v>42789</v>
          </cell>
          <cell r="V195">
            <v>20.149999999999999</v>
          </cell>
          <cell r="W195">
            <v>0.14583333333333334</v>
          </cell>
          <cell r="X195">
            <v>42790</v>
          </cell>
          <cell r="Y195">
            <v>34.049999999999997</v>
          </cell>
          <cell r="Z195">
            <v>0.18055555555555555</v>
          </cell>
          <cell r="AA195">
            <v>0.21875</v>
          </cell>
          <cell r="AB195">
            <v>42790</v>
          </cell>
          <cell r="AC195">
            <v>34.049999999999997</v>
          </cell>
          <cell r="AD195">
            <v>0.22569444444444445</v>
          </cell>
          <cell r="AE195">
            <v>0.23611111111111113</v>
          </cell>
          <cell r="AF195">
            <v>42790</v>
          </cell>
          <cell r="AG195">
            <v>0.24305555555555555</v>
          </cell>
          <cell r="AH195">
            <v>0.3125</v>
          </cell>
          <cell r="AI195">
            <v>42790</v>
          </cell>
          <cell r="AJ195">
            <v>0.38541666666666669</v>
          </cell>
          <cell r="AK195">
            <v>0.3923611111111111</v>
          </cell>
          <cell r="AL195">
            <v>42790</v>
          </cell>
          <cell r="AM195">
            <v>1.06</v>
          </cell>
          <cell r="AN195">
            <v>9</v>
          </cell>
          <cell r="AO195">
            <v>24</v>
          </cell>
          <cell r="AP195">
            <v>0</v>
          </cell>
          <cell r="AQ195">
            <v>0.39583333333333331</v>
          </cell>
          <cell r="AR195">
            <v>0.39930555555555558</v>
          </cell>
          <cell r="AS195">
            <v>42790</v>
          </cell>
          <cell r="AT195">
            <v>34.049999999999997</v>
          </cell>
          <cell r="AU195">
            <v>0.40625</v>
          </cell>
          <cell r="AV195">
            <v>42790</v>
          </cell>
          <cell r="AW195">
            <v>0.47916666666666669</v>
          </cell>
          <cell r="AX195">
            <v>42790</v>
          </cell>
          <cell r="AY195">
            <v>6.1</v>
          </cell>
          <cell r="AZ195">
            <v>38</v>
          </cell>
        </row>
        <row r="196">
          <cell r="B196" t="str">
            <v>A115</v>
          </cell>
          <cell r="C196">
            <v>0.41319444444444442</v>
          </cell>
          <cell r="D196">
            <v>0.46875</v>
          </cell>
          <cell r="E196">
            <v>42790</v>
          </cell>
          <cell r="F196">
            <v>0.47222222222222227</v>
          </cell>
          <cell r="G196">
            <v>0.4826388888888889</v>
          </cell>
          <cell r="H196">
            <v>42790</v>
          </cell>
          <cell r="I196">
            <v>-2.8000000000000001E-2</v>
          </cell>
          <cell r="J196">
            <v>-3.0000000000000001E-3</v>
          </cell>
          <cell r="K196">
            <v>-0.42199999999999999</v>
          </cell>
          <cell r="L196">
            <v>-0.68400000000000005</v>
          </cell>
          <cell r="M196">
            <v>0.4861111111111111</v>
          </cell>
          <cell r="N196">
            <v>0.49305555555555558</v>
          </cell>
          <cell r="O196">
            <v>42790</v>
          </cell>
          <cell r="P196">
            <v>1.06</v>
          </cell>
          <cell r="Q196">
            <v>9</v>
          </cell>
          <cell r="R196">
            <v>25</v>
          </cell>
          <cell r="S196">
            <v>0</v>
          </cell>
          <cell r="T196">
            <v>0.63541666666666663</v>
          </cell>
          <cell r="U196">
            <v>42790</v>
          </cell>
          <cell r="V196">
            <v>22.12</v>
          </cell>
          <cell r="W196">
            <v>0.96527777777777779</v>
          </cell>
          <cell r="X196">
            <v>42790</v>
          </cell>
          <cell r="Y196">
            <v>44.61</v>
          </cell>
          <cell r="Z196">
            <v>3.472222222222222E-3</v>
          </cell>
          <cell r="AA196">
            <v>3.4722222222222224E-2</v>
          </cell>
          <cell r="AB196">
            <v>42791</v>
          </cell>
          <cell r="AC196">
            <v>44.61</v>
          </cell>
          <cell r="AD196">
            <v>4.5138888888888888E-2</v>
          </cell>
          <cell r="AE196">
            <v>5.5555555555555552E-2</v>
          </cell>
          <cell r="AF196">
            <v>42791</v>
          </cell>
          <cell r="AG196">
            <v>6.25E-2</v>
          </cell>
          <cell r="AH196">
            <v>0.11458333333333333</v>
          </cell>
          <cell r="AI196">
            <v>42791</v>
          </cell>
          <cell r="AJ196">
            <v>0.23263888888888887</v>
          </cell>
          <cell r="AK196">
            <v>0.23958333333333334</v>
          </cell>
          <cell r="AL196">
            <v>42791</v>
          </cell>
          <cell r="AM196">
            <v>1.06</v>
          </cell>
          <cell r="AN196">
            <v>9</v>
          </cell>
          <cell r="AO196">
            <v>25</v>
          </cell>
          <cell r="AP196">
            <v>0</v>
          </cell>
          <cell r="AQ196">
            <v>0.24305555555555555</v>
          </cell>
          <cell r="AR196">
            <v>0.24652777777777779</v>
          </cell>
          <cell r="AS196">
            <v>42791</v>
          </cell>
          <cell r="AT196">
            <v>44.61</v>
          </cell>
          <cell r="AU196">
            <v>0.25</v>
          </cell>
          <cell r="AV196">
            <v>42791</v>
          </cell>
          <cell r="AW196">
            <v>0.34375</v>
          </cell>
          <cell r="AX196">
            <v>42791</v>
          </cell>
          <cell r="AY196">
            <v>6.3</v>
          </cell>
          <cell r="AZ196">
            <v>52</v>
          </cell>
        </row>
        <row r="197">
          <cell r="B197" t="str">
            <v>B9</v>
          </cell>
          <cell r="C197">
            <v>0.83333333333333337</v>
          </cell>
          <cell r="D197">
            <v>0.88541666666666663</v>
          </cell>
          <cell r="E197">
            <v>42790</v>
          </cell>
          <cell r="F197">
            <v>0.89583333333333337</v>
          </cell>
          <cell r="G197">
            <v>0.90277777777777779</v>
          </cell>
          <cell r="H197">
            <v>42790</v>
          </cell>
          <cell r="I197">
            <v>-1.7999999999999999E-2</v>
          </cell>
          <cell r="J197">
            <v>-0.01</v>
          </cell>
          <cell r="K197">
            <v>-2.1999999999999999E-2</v>
          </cell>
          <cell r="L197">
            <v>-0.4</v>
          </cell>
          <cell r="M197">
            <v>0.91666666666666663</v>
          </cell>
          <cell r="N197">
            <v>0.92708333333333337</v>
          </cell>
          <cell r="O197">
            <v>42790</v>
          </cell>
          <cell r="P197">
            <v>1.06</v>
          </cell>
          <cell r="Q197">
            <v>9</v>
          </cell>
          <cell r="R197">
            <v>24</v>
          </cell>
          <cell r="S197">
            <v>0</v>
          </cell>
          <cell r="T197">
            <v>0.36458333333333331</v>
          </cell>
          <cell r="U197">
            <v>42791</v>
          </cell>
          <cell r="V197">
            <v>20.41</v>
          </cell>
          <cell r="W197">
            <v>0.45833333333333331</v>
          </cell>
          <cell r="X197">
            <v>42791</v>
          </cell>
          <cell r="Y197">
            <v>30.02</v>
          </cell>
          <cell r="Z197">
            <v>0.5625</v>
          </cell>
          <cell r="AA197">
            <v>0.57638888888888895</v>
          </cell>
          <cell r="AB197">
            <v>42791</v>
          </cell>
          <cell r="AC197">
            <v>30.05</v>
          </cell>
          <cell r="AD197">
            <v>0.58333333333333337</v>
          </cell>
          <cell r="AE197">
            <v>0.59722222222222221</v>
          </cell>
          <cell r="AF197">
            <v>42791</v>
          </cell>
          <cell r="AG197">
            <v>0.60416666666666663</v>
          </cell>
          <cell r="AH197">
            <v>0.64583333333333337</v>
          </cell>
          <cell r="AI197">
            <v>42791</v>
          </cell>
          <cell r="AJ197">
            <v>0.65972222222222221</v>
          </cell>
          <cell r="AK197">
            <v>0.66666666666666663</v>
          </cell>
          <cell r="AL197">
            <v>42791</v>
          </cell>
          <cell r="AM197">
            <v>1.06</v>
          </cell>
          <cell r="AN197">
            <v>9</v>
          </cell>
          <cell r="AO197">
            <v>24</v>
          </cell>
          <cell r="AP197">
            <v>0</v>
          </cell>
          <cell r="AQ197">
            <v>0.67013888888888884</v>
          </cell>
          <cell r="AR197">
            <v>0.67708333333333337</v>
          </cell>
          <cell r="AS197">
            <v>42791</v>
          </cell>
          <cell r="AT197">
            <v>30.05</v>
          </cell>
          <cell r="AU197">
            <v>0.68055555555555547</v>
          </cell>
          <cell r="AV197">
            <v>42791</v>
          </cell>
          <cell r="AW197">
            <v>0.70138888888888884</v>
          </cell>
          <cell r="AX197">
            <v>42791</v>
          </cell>
          <cell r="AY197">
            <v>6.9</v>
          </cell>
          <cell r="AZ197">
            <v>16</v>
          </cell>
        </row>
        <row r="198">
          <cell r="B198" t="str">
            <v>A103</v>
          </cell>
          <cell r="C198">
            <v>7.2916666666666671E-2</v>
          </cell>
          <cell r="D198">
            <v>0.125</v>
          </cell>
          <cell r="E198">
            <v>42791</v>
          </cell>
          <cell r="F198">
            <v>0.12847222222222224</v>
          </cell>
          <cell r="G198">
            <v>0.13541666666666666</v>
          </cell>
          <cell r="H198">
            <v>42791</v>
          </cell>
          <cell r="I198">
            <v>3.0000000000000001E-3</v>
          </cell>
          <cell r="J198">
            <v>-0.01</v>
          </cell>
          <cell r="K198">
            <v>-0.53200000000000003</v>
          </cell>
          <cell r="L198">
            <v>-0.877</v>
          </cell>
          <cell r="M198">
            <v>0.28125</v>
          </cell>
          <cell r="N198">
            <v>0.29166666666666669</v>
          </cell>
          <cell r="O198">
            <v>42791</v>
          </cell>
          <cell r="P198">
            <v>1.06</v>
          </cell>
          <cell r="Q198">
            <v>9</v>
          </cell>
          <cell r="R198">
            <v>25</v>
          </cell>
          <cell r="S198">
            <v>0</v>
          </cell>
          <cell r="T198">
            <v>0.41666666666666669</v>
          </cell>
          <cell r="U198">
            <v>42791</v>
          </cell>
          <cell r="V198">
            <v>22.12</v>
          </cell>
          <cell r="W198">
            <v>0.85416666666666663</v>
          </cell>
          <cell r="X198">
            <v>42791</v>
          </cell>
          <cell r="Y198">
            <v>33.869999999999997</v>
          </cell>
          <cell r="Z198">
            <v>0.88888888888888884</v>
          </cell>
          <cell r="AA198">
            <v>0.92708333333333337</v>
          </cell>
          <cell r="AB198">
            <v>42791</v>
          </cell>
          <cell r="AC198">
            <v>33.869999999999997</v>
          </cell>
          <cell r="AD198">
            <v>0.9375</v>
          </cell>
          <cell r="AE198">
            <v>0.94791666666666663</v>
          </cell>
          <cell r="AF198">
            <v>42791</v>
          </cell>
          <cell r="AG198">
            <v>0.95138888888888884</v>
          </cell>
          <cell r="AH198">
            <v>0.98958333333333337</v>
          </cell>
          <cell r="AI198">
            <v>42791</v>
          </cell>
          <cell r="AJ198">
            <v>3.4722222222222224E-2</v>
          </cell>
          <cell r="AK198">
            <v>4.1666666666666664E-2</v>
          </cell>
          <cell r="AL198">
            <v>42792</v>
          </cell>
          <cell r="AM198">
            <v>1.06</v>
          </cell>
          <cell r="AN198">
            <v>9</v>
          </cell>
          <cell r="AO198">
            <v>24</v>
          </cell>
          <cell r="AP198">
            <v>0</v>
          </cell>
          <cell r="AQ198">
            <v>4.5138888888888888E-2</v>
          </cell>
          <cell r="AR198">
            <v>4.8611111111111112E-2</v>
          </cell>
          <cell r="AS198">
            <v>42792</v>
          </cell>
          <cell r="AT198">
            <v>33.869999999999997</v>
          </cell>
          <cell r="AU198">
            <v>5.2083333333333336E-2</v>
          </cell>
          <cell r="AV198">
            <v>42792</v>
          </cell>
          <cell r="AW198">
            <v>0.11805555555555557</v>
          </cell>
          <cell r="AX198">
            <v>42792</v>
          </cell>
          <cell r="AY198">
            <v>6</v>
          </cell>
          <cell r="AZ198">
            <v>37</v>
          </cell>
        </row>
        <row r="199">
          <cell r="B199" t="str">
            <v>B12</v>
          </cell>
          <cell r="C199">
            <v>0.55208333333333337</v>
          </cell>
          <cell r="D199">
            <v>0.61458333333333337</v>
          </cell>
          <cell r="E199">
            <v>42791</v>
          </cell>
          <cell r="F199">
            <v>0.625</v>
          </cell>
          <cell r="G199">
            <v>0.63194444444444442</v>
          </cell>
          <cell r="H199">
            <v>42791</v>
          </cell>
          <cell r="I199">
            <v>1.6E-2</v>
          </cell>
          <cell r="J199">
            <v>-2.3E-2</v>
          </cell>
          <cell r="K199">
            <v>0.11799999999999999</v>
          </cell>
          <cell r="L199">
            <v>-0.3</v>
          </cell>
          <cell r="M199">
            <v>0.55208333333333337</v>
          </cell>
          <cell r="N199">
            <v>0.64583333333333337</v>
          </cell>
          <cell r="O199">
            <v>42791</v>
          </cell>
          <cell r="P199">
            <v>1.06</v>
          </cell>
          <cell r="Q199">
            <v>9</v>
          </cell>
          <cell r="R199">
            <v>25</v>
          </cell>
          <cell r="S199">
            <v>0</v>
          </cell>
          <cell r="T199">
            <v>0.73958333333333337</v>
          </cell>
          <cell r="U199">
            <v>42791</v>
          </cell>
          <cell r="V199">
            <v>21.22</v>
          </cell>
          <cell r="W199">
            <v>0.89583333333333337</v>
          </cell>
          <cell r="X199">
            <v>42791</v>
          </cell>
          <cell r="Y199">
            <v>27.25</v>
          </cell>
          <cell r="Z199">
            <v>0.9375</v>
          </cell>
          <cell r="AA199">
            <v>0.97222222222222221</v>
          </cell>
          <cell r="AB199">
            <v>42791</v>
          </cell>
          <cell r="AC199">
            <v>27.25</v>
          </cell>
          <cell r="AD199">
            <v>0.97569444444444453</v>
          </cell>
          <cell r="AE199">
            <v>0.99305555555555547</v>
          </cell>
          <cell r="AF199">
            <v>42791</v>
          </cell>
          <cell r="AG199">
            <v>6.9444444444444441E-3</v>
          </cell>
          <cell r="AH199">
            <v>5.2083333333333336E-2</v>
          </cell>
          <cell r="AI199">
            <v>42792</v>
          </cell>
          <cell r="AJ199">
            <v>0.15972222222222224</v>
          </cell>
          <cell r="AK199">
            <v>0.17013888888888887</v>
          </cell>
          <cell r="AL199">
            <v>42792</v>
          </cell>
          <cell r="AM199">
            <v>1.05</v>
          </cell>
          <cell r="AN199">
            <v>9</v>
          </cell>
          <cell r="AO199">
            <v>22</v>
          </cell>
          <cell r="AP199">
            <v>0</v>
          </cell>
          <cell r="AQ199">
            <v>0.17361111111111113</v>
          </cell>
          <cell r="AR199">
            <v>0.17708333333333334</v>
          </cell>
          <cell r="AS199">
            <v>42792</v>
          </cell>
          <cell r="AT199">
            <v>27.25</v>
          </cell>
          <cell r="AU199">
            <v>0.18055555555555555</v>
          </cell>
          <cell r="AV199">
            <v>42792</v>
          </cell>
          <cell r="AW199">
            <v>0.19444444444444445</v>
          </cell>
          <cell r="AX199">
            <v>42792</v>
          </cell>
          <cell r="AY199">
            <v>4.5999999999999996</v>
          </cell>
          <cell r="AZ199">
            <v>16</v>
          </cell>
        </row>
        <row r="200">
          <cell r="B200" t="str">
            <v>B11</v>
          </cell>
          <cell r="C200">
            <v>0.33333333333333331</v>
          </cell>
          <cell r="D200">
            <v>0.40625</v>
          </cell>
          <cell r="E200">
            <v>42792</v>
          </cell>
          <cell r="F200">
            <v>0.40972222222222227</v>
          </cell>
          <cell r="G200">
            <v>0.41666666666666669</v>
          </cell>
          <cell r="H200">
            <v>42792</v>
          </cell>
          <cell r="I200">
            <v>-0.02</v>
          </cell>
          <cell r="J200">
            <v>-8.0000000000000002E-3</v>
          </cell>
          <cell r="K200">
            <v>0.16800000000000001</v>
          </cell>
          <cell r="L200">
            <v>-0.19800000000000001</v>
          </cell>
          <cell r="M200">
            <v>0.4201388888888889</v>
          </cell>
          <cell r="N200">
            <v>0.43055555555555558</v>
          </cell>
          <cell r="O200">
            <v>42792</v>
          </cell>
          <cell r="P200">
            <v>1.06</v>
          </cell>
          <cell r="Q200">
            <v>9</v>
          </cell>
          <cell r="R200">
            <v>25</v>
          </cell>
          <cell r="S200">
            <v>0</v>
          </cell>
          <cell r="T200">
            <v>0.56944444444444442</v>
          </cell>
          <cell r="U200">
            <v>42792</v>
          </cell>
          <cell r="V200">
            <v>21.05</v>
          </cell>
          <cell r="W200">
            <v>0.625</v>
          </cell>
          <cell r="X200">
            <v>42792</v>
          </cell>
          <cell r="Y200">
            <v>27.25</v>
          </cell>
          <cell r="Z200">
            <v>0.63888888888888895</v>
          </cell>
          <cell r="AA200">
            <v>0.65277777777777779</v>
          </cell>
          <cell r="AB200">
            <v>42792</v>
          </cell>
          <cell r="AC200">
            <v>27.3</v>
          </cell>
          <cell r="AD200">
            <v>0.65972222222222221</v>
          </cell>
          <cell r="AE200">
            <v>0.66666666666666663</v>
          </cell>
          <cell r="AF200">
            <v>42792</v>
          </cell>
          <cell r="AG200">
            <v>0.67361111111111116</v>
          </cell>
          <cell r="AH200">
            <v>0.72222222222222221</v>
          </cell>
          <cell r="AI200">
            <v>42792</v>
          </cell>
          <cell r="AJ200">
            <v>0.72569444444444453</v>
          </cell>
          <cell r="AK200">
            <v>0.73263888888888884</v>
          </cell>
          <cell r="AL200">
            <v>42792</v>
          </cell>
          <cell r="AM200">
            <v>1.06</v>
          </cell>
          <cell r="AN200">
            <v>9</v>
          </cell>
          <cell r="AO200">
            <v>25</v>
          </cell>
          <cell r="AP200">
            <v>0</v>
          </cell>
          <cell r="AQ200">
            <v>0.73263888888888884</v>
          </cell>
          <cell r="AR200">
            <v>0.73611111111111116</v>
          </cell>
          <cell r="AS200">
            <v>42792</v>
          </cell>
          <cell r="AT200">
            <v>27.3</v>
          </cell>
          <cell r="AU200">
            <v>0.73958333333333337</v>
          </cell>
          <cell r="AV200">
            <v>42792</v>
          </cell>
          <cell r="AW200">
            <v>0.76388888888888884</v>
          </cell>
          <cell r="AX200">
            <v>42792</v>
          </cell>
          <cell r="AY200">
            <v>4.9000000000000004</v>
          </cell>
          <cell r="AZ200">
            <v>15</v>
          </cell>
        </row>
        <row r="201">
          <cell r="B201" t="str">
            <v>A162</v>
          </cell>
          <cell r="C201">
            <v>0.86458333333333337</v>
          </cell>
          <cell r="D201">
            <v>0.92708333333333337</v>
          </cell>
          <cell r="E201">
            <v>42791</v>
          </cell>
          <cell r="F201">
            <v>0.9375</v>
          </cell>
          <cell r="G201">
            <v>0.94444444444444453</v>
          </cell>
          <cell r="H201">
            <v>42791</v>
          </cell>
          <cell r="I201">
            <v>8.0000000000000002E-3</v>
          </cell>
          <cell r="J201">
            <v>2.4E-2</v>
          </cell>
          <cell r="K201">
            <v>-0.22900000000000001</v>
          </cell>
          <cell r="L201">
            <v>-0.502</v>
          </cell>
          <cell r="M201">
            <v>0.95138888888888884</v>
          </cell>
          <cell r="N201">
            <v>0.96527777777777779</v>
          </cell>
          <cell r="O201">
            <v>42791</v>
          </cell>
          <cell r="P201">
            <v>1.06</v>
          </cell>
          <cell r="Q201">
            <v>9</v>
          </cell>
          <cell r="R201">
            <v>25</v>
          </cell>
          <cell r="S201">
            <v>0</v>
          </cell>
          <cell r="T201">
            <v>0.1875</v>
          </cell>
          <cell r="U201">
            <v>42792</v>
          </cell>
          <cell r="V201">
            <v>21.12</v>
          </cell>
          <cell r="W201">
            <v>0.67708333333333337</v>
          </cell>
          <cell r="X201">
            <v>42792</v>
          </cell>
          <cell r="Y201">
            <v>32.61</v>
          </cell>
          <cell r="Z201">
            <v>0.69791666666666663</v>
          </cell>
          <cell r="AA201">
            <v>0.73611111111111116</v>
          </cell>
          <cell r="AB201">
            <v>42792</v>
          </cell>
          <cell r="AC201">
            <v>32.619999999999997</v>
          </cell>
          <cell r="AD201">
            <v>0.75</v>
          </cell>
          <cell r="AE201">
            <v>0.76388888888888884</v>
          </cell>
          <cell r="AF201">
            <v>42792</v>
          </cell>
          <cell r="AG201">
            <v>0.49305555555555558</v>
          </cell>
          <cell r="AH201">
            <v>0.86458333333333337</v>
          </cell>
          <cell r="AI201">
            <v>42792</v>
          </cell>
          <cell r="AJ201">
            <v>1.7361111111111112E-2</v>
          </cell>
          <cell r="AK201">
            <v>2.4305555555555556E-2</v>
          </cell>
          <cell r="AL201">
            <v>42792</v>
          </cell>
          <cell r="AM201">
            <v>1.06</v>
          </cell>
          <cell r="AN201">
            <v>9</v>
          </cell>
          <cell r="AO201">
            <v>24</v>
          </cell>
          <cell r="AP201">
            <v>0</v>
          </cell>
          <cell r="AQ201">
            <v>2.7777777777777776E-2</v>
          </cell>
          <cell r="AR201">
            <v>3.125E-2</v>
          </cell>
          <cell r="AS201">
            <v>42793</v>
          </cell>
          <cell r="AT201">
            <v>32.619999999999997</v>
          </cell>
          <cell r="AU201">
            <v>3.4722222222222224E-2</v>
          </cell>
          <cell r="AV201">
            <v>42793</v>
          </cell>
          <cell r="AW201">
            <v>8.6805555555555566E-2</v>
          </cell>
          <cell r="AX201">
            <v>42793</v>
          </cell>
          <cell r="AY201">
            <v>6.4</v>
          </cell>
          <cell r="AZ201">
            <v>40</v>
          </cell>
        </row>
        <row r="202">
          <cell r="B202" t="str">
            <v>B21</v>
          </cell>
          <cell r="C202">
            <v>0.9375</v>
          </cell>
          <cell r="D202">
            <v>0.98958333333333337</v>
          </cell>
          <cell r="E202">
            <v>42791</v>
          </cell>
          <cell r="F202">
            <v>0.99305555555555547</v>
          </cell>
          <cell r="G202">
            <v>0</v>
          </cell>
          <cell r="H202">
            <v>42791</v>
          </cell>
          <cell r="I202">
            <v>-0.01</v>
          </cell>
          <cell r="J202">
            <v>-2.4E-2</v>
          </cell>
          <cell r="K202">
            <v>-0.442</v>
          </cell>
          <cell r="L202">
            <v>-0.65200000000000002</v>
          </cell>
          <cell r="M202">
            <v>0.29166666666666669</v>
          </cell>
          <cell r="N202">
            <v>0.2986111111111111</v>
          </cell>
          <cell r="O202">
            <v>42792</v>
          </cell>
          <cell r="P202">
            <v>1.06</v>
          </cell>
          <cell r="Q202">
            <v>9</v>
          </cell>
          <cell r="R202">
            <v>25</v>
          </cell>
          <cell r="S202">
            <v>0</v>
          </cell>
          <cell r="T202">
            <v>0.39583333333333331</v>
          </cell>
          <cell r="U202">
            <v>42792</v>
          </cell>
          <cell r="V202">
            <v>22.11</v>
          </cell>
          <cell r="W202">
            <v>0.79513888888888884</v>
          </cell>
          <cell r="X202">
            <v>42793</v>
          </cell>
          <cell r="Y202">
            <v>32.409999999999997</v>
          </cell>
          <cell r="Z202">
            <v>0.82638888888888884</v>
          </cell>
          <cell r="AA202">
            <v>0.85416666666666663</v>
          </cell>
          <cell r="AB202">
            <v>42793</v>
          </cell>
          <cell r="AC202">
            <v>32.409999999999997</v>
          </cell>
          <cell r="AD202">
            <v>0.86458333333333337</v>
          </cell>
          <cell r="AE202">
            <v>0.875</v>
          </cell>
          <cell r="AF202">
            <v>42793</v>
          </cell>
          <cell r="AG202">
            <v>0.88194444444444453</v>
          </cell>
          <cell r="AH202">
            <v>0.90625</v>
          </cell>
          <cell r="AI202">
            <v>42793</v>
          </cell>
          <cell r="AJ202">
            <v>0.92361111111111116</v>
          </cell>
          <cell r="AK202">
            <v>0.9375</v>
          </cell>
          <cell r="AL202">
            <v>42793</v>
          </cell>
          <cell r="AM202">
            <v>1.06</v>
          </cell>
          <cell r="AN202">
            <v>9</v>
          </cell>
          <cell r="AO202">
            <v>23</v>
          </cell>
          <cell r="AP202">
            <v>0</v>
          </cell>
          <cell r="AQ202">
            <v>0.93055555555555547</v>
          </cell>
          <cell r="AR202">
            <v>0.93402777777777779</v>
          </cell>
          <cell r="AS202">
            <v>42793</v>
          </cell>
          <cell r="AT202">
            <v>32.409999999999997</v>
          </cell>
          <cell r="AU202">
            <v>0.94097222222222221</v>
          </cell>
          <cell r="AV202">
            <v>42793</v>
          </cell>
          <cell r="AW202">
            <v>0.95833333333333337</v>
          </cell>
          <cell r="AX202">
            <v>42793</v>
          </cell>
          <cell r="AY202">
            <v>4.5</v>
          </cell>
          <cell r="AZ202">
            <v>17</v>
          </cell>
        </row>
        <row r="203">
          <cell r="B203" t="str">
            <v>A106</v>
          </cell>
          <cell r="C203">
            <v>0.6875</v>
          </cell>
          <cell r="D203">
            <v>0.75</v>
          </cell>
          <cell r="E203">
            <v>42792</v>
          </cell>
          <cell r="F203">
            <v>0.75347222222222221</v>
          </cell>
          <cell r="G203">
            <v>0.76041666666666663</v>
          </cell>
          <cell r="H203">
            <v>42792</v>
          </cell>
          <cell r="I203">
            <v>2.1000000000000001E-2</v>
          </cell>
          <cell r="J203">
            <v>3.0000000000000001E-3</v>
          </cell>
          <cell r="K203">
            <v>-0.33300000000000002</v>
          </cell>
          <cell r="L203">
            <v>-0.66300000000000003</v>
          </cell>
          <cell r="M203">
            <v>0.54166666666666663</v>
          </cell>
          <cell r="N203">
            <v>0.55208333333333337</v>
          </cell>
          <cell r="O203">
            <v>42793</v>
          </cell>
          <cell r="P203">
            <v>1.06</v>
          </cell>
          <cell r="Q203">
            <v>9</v>
          </cell>
          <cell r="R203">
            <v>27</v>
          </cell>
          <cell r="S203">
            <v>0</v>
          </cell>
          <cell r="T203">
            <v>0.64583333333333337</v>
          </cell>
          <cell r="U203">
            <v>42793</v>
          </cell>
          <cell r="V203">
            <v>21.22</v>
          </cell>
          <cell r="W203">
            <v>0.86805555555555547</v>
          </cell>
          <cell r="X203">
            <v>42793</v>
          </cell>
          <cell r="Y203">
            <v>34.42</v>
          </cell>
          <cell r="Z203">
            <v>0.90277777777777779</v>
          </cell>
          <cell r="AA203">
            <v>0.9375</v>
          </cell>
          <cell r="AB203">
            <v>42793</v>
          </cell>
          <cell r="AC203">
            <v>34.42</v>
          </cell>
          <cell r="AD203">
            <v>0.94791666666666663</v>
          </cell>
          <cell r="AE203">
            <v>0.95833333333333337</v>
          </cell>
          <cell r="AF203">
            <v>42793</v>
          </cell>
          <cell r="AG203">
            <v>0.96875</v>
          </cell>
          <cell r="AH203">
            <v>2.7777777777777776E-2</v>
          </cell>
          <cell r="AI203">
            <v>42794</v>
          </cell>
          <cell r="AJ203">
            <v>7.2916666666666671E-2</v>
          </cell>
          <cell r="AK203">
            <v>8.3333333333333329E-2</v>
          </cell>
          <cell r="AL203">
            <v>42794</v>
          </cell>
          <cell r="AM203">
            <v>1.05</v>
          </cell>
          <cell r="AN203">
            <v>9</v>
          </cell>
          <cell r="AO203">
            <v>22</v>
          </cell>
          <cell r="AP203">
            <v>0</v>
          </cell>
          <cell r="AQ203">
            <v>8.6805555555555566E-2</v>
          </cell>
          <cell r="AR203">
            <v>9.0277777777777776E-2</v>
          </cell>
          <cell r="AS203">
            <v>42794</v>
          </cell>
          <cell r="AT203">
            <v>34.42</v>
          </cell>
          <cell r="AU203">
            <v>9.375E-2</v>
          </cell>
          <cell r="AV203">
            <v>42794</v>
          </cell>
          <cell r="AW203">
            <v>0.11805555555555557</v>
          </cell>
          <cell r="AX203">
            <v>42794</v>
          </cell>
          <cell r="AY203">
            <v>6.2</v>
          </cell>
          <cell r="AZ203">
            <v>35</v>
          </cell>
        </row>
        <row r="204">
          <cell r="B204" t="str">
            <v>B20</v>
          </cell>
          <cell r="C204">
            <v>0.60416666666666663</v>
          </cell>
          <cell r="D204">
            <v>0.65625</v>
          </cell>
          <cell r="E204">
            <v>42793</v>
          </cell>
          <cell r="F204">
            <v>0</v>
          </cell>
          <cell r="G204">
            <v>0</v>
          </cell>
          <cell r="H204">
            <v>42793</v>
          </cell>
          <cell r="I204">
            <v>1.9E-2</v>
          </cell>
          <cell r="J204">
            <v>-1.7999999999999999E-2</v>
          </cell>
          <cell r="K204">
            <v>-0.52100000000000002</v>
          </cell>
          <cell r="L204">
            <v>-0.751</v>
          </cell>
          <cell r="M204">
            <v>0.66319444444444442</v>
          </cell>
          <cell r="N204">
            <v>0.66666666666666663</v>
          </cell>
          <cell r="O204">
            <v>42793</v>
          </cell>
          <cell r="P204">
            <v>1.06</v>
          </cell>
          <cell r="Q204">
            <v>9</v>
          </cell>
          <cell r="R204">
            <v>25</v>
          </cell>
          <cell r="S204">
            <v>0</v>
          </cell>
          <cell r="T204">
            <v>0.74305555555555547</v>
          </cell>
          <cell r="U204">
            <v>42793</v>
          </cell>
          <cell r="V204">
            <v>21.43</v>
          </cell>
          <cell r="W204">
            <v>4.1666666666666664E-2</v>
          </cell>
          <cell r="X204">
            <v>42794</v>
          </cell>
          <cell r="Y204">
            <v>30.88</v>
          </cell>
          <cell r="Z204">
            <v>6.9444444444444434E-2</v>
          </cell>
          <cell r="AA204">
            <v>0.10416666666666667</v>
          </cell>
          <cell r="AB204">
            <v>42794</v>
          </cell>
          <cell r="AC204">
            <v>30.88</v>
          </cell>
          <cell r="AD204">
            <v>0.11458333333333333</v>
          </cell>
          <cell r="AE204">
            <v>0.125</v>
          </cell>
          <cell r="AF204">
            <v>42794</v>
          </cell>
          <cell r="AG204">
            <v>0.13194444444444445</v>
          </cell>
          <cell r="AH204">
            <v>0.17708333333333334</v>
          </cell>
          <cell r="AI204">
            <v>42794</v>
          </cell>
          <cell r="AJ204">
            <v>0.22916666666666666</v>
          </cell>
          <cell r="AK204">
            <v>0.23958333333333334</v>
          </cell>
          <cell r="AL204">
            <v>42794</v>
          </cell>
          <cell r="AM204">
            <v>1.06</v>
          </cell>
          <cell r="AN204">
            <v>9</v>
          </cell>
          <cell r="AO204">
            <v>23</v>
          </cell>
          <cell r="AP204">
            <v>0</v>
          </cell>
          <cell r="AQ204">
            <v>0.24305555555555555</v>
          </cell>
          <cell r="AR204">
            <v>0.24652777777777779</v>
          </cell>
          <cell r="AS204">
            <v>42794</v>
          </cell>
          <cell r="AT204">
            <v>30.88</v>
          </cell>
          <cell r="AU204">
            <v>0.25694444444444448</v>
          </cell>
          <cell r="AV204">
            <v>42794</v>
          </cell>
          <cell r="AW204">
            <v>0.30555555555555552</v>
          </cell>
          <cell r="AX204">
            <v>42794</v>
          </cell>
          <cell r="AY204">
            <v>4.3</v>
          </cell>
          <cell r="AZ204">
            <v>17</v>
          </cell>
        </row>
        <row r="205">
          <cell r="B205" t="str">
            <v>B49</v>
          </cell>
          <cell r="C205">
            <v>0.3125</v>
          </cell>
          <cell r="D205">
            <v>0.36805555555555558</v>
          </cell>
          <cell r="E205">
            <v>42794</v>
          </cell>
          <cell r="F205">
            <v>0.375</v>
          </cell>
          <cell r="G205">
            <v>0.38194444444444442</v>
          </cell>
          <cell r="H205">
            <v>42794</v>
          </cell>
          <cell r="I205">
            <v>-1.0999999999999999E-2</v>
          </cell>
          <cell r="J205">
            <v>-4.0000000000000001E-3</v>
          </cell>
          <cell r="K205">
            <v>0.158</v>
          </cell>
          <cell r="L205">
            <v>-0.2</v>
          </cell>
          <cell r="M205">
            <v>0.3888888888888889</v>
          </cell>
          <cell r="N205">
            <v>0.39583333333333331</v>
          </cell>
          <cell r="O205">
            <v>42794</v>
          </cell>
          <cell r="P205">
            <v>1.06</v>
          </cell>
          <cell r="Q205">
            <v>9</v>
          </cell>
          <cell r="R205">
            <v>25</v>
          </cell>
          <cell r="S205">
            <v>0</v>
          </cell>
          <cell r="T205">
            <v>0.4375</v>
          </cell>
          <cell r="U205">
            <v>42794</v>
          </cell>
          <cell r="V205">
            <v>20.51</v>
          </cell>
          <cell r="W205">
            <v>0.54166666666666663</v>
          </cell>
          <cell r="X205">
            <v>42794</v>
          </cell>
          <cell r="Y205">
            <v>27.25</v>
          </cell>
          <cell r="Z205">
            <v>0.5625</v>
          </cell>
          <cell r="AA205">
            <v>0.59027777777777779</v>
          </cell>
          <cell r="AB205">
            <v>42794</v>
          </cell>
          <cell r="AC205">
            <v>27.31</v>
          </cell>
          <cell r="AD205">
            <v>0.59722222222222221</v>
          </cell>
          <cell r="AE205">
            <v>0.60763888888888895</v>
          </cell>
          <cell r="AF205">
            <v>42794</v>
          </cell>
          <cell r="AG205">
            <v>0.61805555555555558</v>
          </cell>
          <cell r="AH205">
            <v>0.65694444444444444</v>
          </cell>
          <cell r="AI205">
            <v>42794</v>
          </cell>
          <cell r="AJ205">
            <v>0.77777777777777779</v>
          </cell>
          <cell r="AK205">
            <v>0.82986111111111116</v>
          </cell>
          <cell r="AL205">
            <v>42794</v>
          </cell>
          <cell r="AM205">
            <v>1.06</v>
          </cell>
          <cell r="AN205">
            <v>9</v>
          </cell>
          <cell r="AO205">
            <v>23</v>
          </cell>
          <cell r="AP205">
            <v>0</v>
          </cell>
          <cell r="AQ205">
            <v>0.79166666666666663</v>
          </cell>
          <cell r="AR205">
            <v>0.79513888888888884</v>
          </cell>
          <cell r="AS205">
            <v>42794</v>
          </cell>
          <cell r="AT205">
            <v>27.31</v>
          </cell>
          <cell r="AU205">
            <v>0.79861111111111116</v>
          </cell>
          <cell r="AV205">
            <v>42794</v>
          </cell>
          <cell r="AW205">
            <v>0.81597222222222221</v>
          </cell>
          <cell r="AX205">
            <v>42794</v>
          </cell>
          <cell r="AY205">
            <v>4.5</v>
          </cell>
          <cell r="AZ205">
            <v>15</v>
          </cell>
        </row>
        <row r="206">
          <cell r="B206" t="str">
            <v>A117</v>
          </cell>
          <cell r="C206">
            <v>0.75</v>
          </cell>
          <cell r="D206">
            <v>0.80208333333333337</v>
          </cell>
          <cell r="E206">
            <v>42792</v>
          </cell>
          <cell r="F206">
            <v>0.875</v>
          </cell>
          <cell r="G206">
            <v>0.88541666666666663</v>
          </cell>
          <cell r="H206">
            <v>42792</v>
          </cell>
          <cell r="I206">
            <v>6.0000000000000001E-3</v>
          </cell>
          <cell r="J206">
            <v>-2.5000000000000001E-2</v>
          </cell>
          <cell r="K206">
            <v>-0.17799999999999999</v>
          </cell>
          <cell r="L206">
            <v>-0.71199999999999997</v>
          </cell>
          <cell r="M206">
            <v>0.89583333333333337</v>
          </cell>
          <cell r="N206">
            <v>0.90625</v>
          </cell>
          <cell r="O206">
            <v>42793</v>
          </cell>
          <cell r="P206">
            <v>1.06</v>
          </cell>
          <cell r="Q206">
            <v>9</v>
          </cell>
          <cell r="R206">
            <v>22</v>
          </cell>
          <cell r="S206">
            <v>0</v>
          </cell>
          <cell r="T206">
            <v>0.19027777777777777</v>
          </cell>
          <cell r="U206">
            <v>42794</v>
          </cell>
          <cell r="V206">
            <v>23.7</v>
          </cell>
          <cell r="W206">
            <v>0.8125</v>
          </cell>
          <cell r="X206">
            <v>42794</v>
          </cell>
          <cell r="Y206">
            <v>41.73</v>
          </cell>
          <cell r="Z206">
            <v>0.90972222222222221</v>
          </cell>
          <cell r="AA206">
            <v>0.92152777777777783</v>
          </cell>
          <cell r="AB206">
            <v>42794</v>
          </cell>
          <cell r="AC206">
            <v>41.73</v>
          </cell>
          <cell r="AD206">
            <v>0.90972222222222221</v>
          </cell>
          <cell r="AE206">
            <v>0.92152777777777783</v>
          </cell>
          <cell r="AF206">
            <v>42794</v>
          </cell>
          <cell r="AG206">
            <v>0.93055555555555547</v>
          </cell>
          <cell r="AH206">
            <v>0.98958333333333337</v>
          </cell>
          <cell r="AI206">
            <v>42794</v>
          </cell>
          <cell r="AJ206">
            <v>0.38194444444444442</v>
          </cell>
          <cell r="AK206">
            <v>0.3888888888888889</v>
          </cell>
          <cell r="AL206">
            <v>42794</v>
          </cell>
          <cell r="AM206">
            <v>1.06</v>
          </cell>
          <cell r="AN206">
            <v>9</v>
          </cell>
          <cell r="AO206">
            <v>22</v>
          </cell>
          <cell r="AP206">
            <v>0</v>
          </cell>
          <cell r="AQ206">
            <v>0.3888888888888889</v>
          </cell>
          <cell r="AR206">
            <v>0.3923611111111111</v>
          </cell>
          <cell r="AS206">
            <v>42795</v>
          </cell>
          <cell r="AT206">
            <v>41.73</v>
          </cell>
          <cell r="AU206">
            <v>0.39583333333333331</v>
          </cell>
          <cell r="AV206">
            <v>42795</v>
          </cell>
          <cell r="AW206">
            <v>0.45833333333333331</v>
          </cell>
          <cell r="AX206">
            <v>42795</v>
          </cell>
          <cell r="AY206">
            <v>6.5</v>
          </cell>
          <cell r="AZ206">
            <v>43</v>
          </cell>
        </row>
        <row r="207">
          <cell r="B207" t="str">
            <v>B19</v>
          </cell>
          <cell r="C207">
            <v>0.61458333333333337</v>
          </cell>
          <cell r="D207">
            <v>0.67013888888888884</v>
          </cell>
          <cell r="E207">
            <v>42794</v>
          </cell>
          <cell r="F207">
            <v>0.67361111111111116</v>
          </cell>
          <cell r="G207">
            <v>0.68055555555555547</v>
          </cell>
          <cell r="H207">
            <v>42794</v>
          </cell>
          <cell r="I207">
            <v>-1.9E-2</v>
          </cell>
          <cell r="J207">
            <v>8.9999999999999993E-3</v>
          </cell>
          <cell r="K207">
            <v>-0.5</v>
          </cell>
          <cell r="L207">
            <v>-0.72</v>
          </cell>
          <cell r="M207">
            <v>0.67361111111111116</v>
          </cell>
          <cell r="N207">
            <v>0.68055555555555547</v>
          </cell>
          <cell r="O207">
            <v>42794</v>
          </cell>
          <cell r="P207">
            <v>1.06</v>
          </cell>
          <cell r="Q207">
            <v>9</v>
          </cell>
          <cell r="R207">
            <v>26</v>
          </cell>
          <cell r="S207">
            <v>0</v>
          </cell>
          <cell r="T207">
            <v>0.8125</v>
          </cell>
          <cell r="U207">
            <v>42794</v>
          </cell>
          <cell r="V207">
            <v>22.15</v>
          </cell>
          <cell r="W207">
            <v>0.88888888888888884</v>
          </cell>
          <cell r="X207">
            <v>42794</v>
          </cell>
          <cell r="Y207">
            <v>31.05</v>
          </cell>
          <cell r="Z207">
            <v>0.92361111111111116</v>
          </cell>
          <cell r="AA207">
            <v>0.95138888888888884</v>
          </cell>
          <cell r="AB207">
            <v>42794</v>
          </cell>
          <cell r="AC207">
            <v>31.05</v>
          </cell>
          <cell r="AD207">
            <v>0.96180555555555547</v>
          </cell>
          <cell r="AE207">
            <v>0.96875</v>
          </cell>
          <cell r="AF207">
            <v>42794</v>
          </cell>
          <cell r="AG207">
            <v>0.99652777777777779</v>
          </cell>
          <cell r="AH207">
            <v>2.7777777777777776E-2</v>
          </cell>
          <cell r="AI207">
            <v>42795</v>
          </cell>
          <cell r="AJ207">
            <v>0.49652777777777773</v>
          </cell>
          <cell r="AK207">
            <v>0.5</v>
          </cell>
          <cell r="AL207">
            <v>42795</v>
          </cell>
          <cell r="AM207">
            <v>1.06</v>
          </cell>
          <cell r="AN207">
            <v>9</v>
          </cell>
          <cell r="AO207">
            <v>26</v>
          </cell>
          <cell r="AP207">
            <v>0</v>
          </cell>
          <cell r="AQ207">
            <v>0.50347222222222221</v>
          </cell>
          <cell r="AR207">
            <v>0.50694444444444442</v>
          </cell>
          <cell r="AS207">
            <v>42795</v>
          </cell>
          <cell r="AT207">
            <v>31.05</v>
          </cell>
          <cell r="AU207">
            <v>0.51041666666666663</v>
          </cell>
          <cell r="AV207">
            <v>42795</v>
          </cell>
          <cell r="AW207">
            <v>0.54861111111111105</v>
          </cell>
          <cell r="AX207">
            <v>42795</v>
          </cell>
          <cell r="AY207">
            <v>4.4000000000000004</v>
          </cell>
          <cell r="AZ207">
            <v>17</v>
          </cell>
        </row>
        <row r="208">
          <cell r="B208" t="str">
            <v>A163</v>
          </cell>
          <cell r="C208">
            <v>0.5625</v>
          </cell>
          <cell r="D208">
            <v>0.625</v>
          </cell>
          <cell r="E208">
            <v>42794</v>
          </cell>
          <cell r="F208">
            <v>0.63194444444444442</v>
          </cell>
          <cell r="G208">
            <v>0.63888888888888895</v>
          </cell>
          <cell r="H208">
            <v>42794</v>
          </cell>
          <cell r="I208">
            <v>-2.8000000000000001E-2</v>
          </cell>
          <cell r="J208">
            <v>0.01</v>
          </cell>
          <cell r="K208">
            <v>7.0000000000000007E-2</v>
          </cell>
          <cell r="L208">
            <v>-0.56000000000000005</v>
          </cell>
          <cell r="M208">
            <v>0.64583333333333337</v>
          </cell>
          <cell r="N208">
            <v>0.65277777777777779</v>
          </cell>
          <cell r="O208">
            <v>42794</v>
          </cell>
          <cell r="P208">
            <v>1.06</v>
          </cell>
          <cell r="Q208">
            <v>9</v>
          </cell>
          <cell r="R208">
            <v>25</v>
          </cell>
          <cell r="S208">
            <v>0</v>
          </cell>
          <cell r="T208">
            <v>0.70138888888888884</v>
          </cell>
          <cell r="U208">
            <v>42794</v>
          </cell>
          <cell r="V208">
            <v>21.21</v>
          </cell>
          <cell r="W208">
            <v>4.1666666666666664E-2</v>
          </cell>
          <cell r="X208">
            <v>42795</v>
          </cell>
          <cell r="Y208">
            <v>32.89</v>
          </cell>
          <cell r="Z208">
            <v>8.3333333333333329E-2</v>
          </cell>
          <cell r="AA208">
            <v>0.10416666666666667</v>
          </cell>
          <cell r="AB208">
            <v>42795</v>
          </cell>
          <cell r="AC208">
            <v>32.89</v>
          </cell>
          <cell r="AD208">
            <v>0.11458333333333333</v>
          </cell>
          <cell r="AE208">
            <v>0.125</v>
          </cell>
          <cell r="AF208">
            <v>42795</v>
          </cell>
          <cell r="AG208">
            <v>0.13194444444444445</v>
          </cell>
          <cell r="AH208">
            <v>0.17708333333333334</v>
          </cell>
          <cell r="AI208">
            <v>42795</v>
          </cell>
          <cell r="AJ208">
            <v>0.64583333333333337</v>
          </cell>
          <cell r="AK208">
            <v>0.64930555555555558</v>
          </cell>
          <cell r="AL208">
            <v>42795</v>
          </cell>
          <cell r="AM208">
            <v>1.06</v>
          </cell>
          <cell r="AN208">
            <v>9</v>
          </cell>
          <cell r="AO208">
            <v>25</v>
          </cell>
          <cell r="AP208">
            <v>0</v>
          </cell>
          <cell r="AQ208">
            <v>0.65277777777777779</v>
          </cell>
          <cell r="AR208">
            <v>0.65625</v>
          </cell>
          <cell r="AS208">
            <v>42795</v>
          </cell>
          <cell r="AT208">
            <v>32.89</v>
          </cell>
          <cell r="AU208">
            <v>0.65972222222222221</v>
          </cell>
          <cell r="AV208">
            <v>42795</v>
          </cell>
          <cell r="AW208">
            <v>0.69791666666666663</v>
          </cell>
          <cell r="AX208">
            <v>42795</v>
          </cell>
          <cell r="AY208">
            <v>6.8</v>
          </cell>
          <cell r="AZ208">
            <v>32</v>
          </cell>
        </row>
        <row r="209">
          <cell r="B209" t="str">
            <v>B10</v>
          </cell>
          <cell r="C209">
            <v>0.92708333333333337</v>
          </cell>
          <cell r="D209">
            <v>0.97916666666666663</v>
          </cell>
          <cell r="E209">
            <v>42794</v>
          </cell>
          <cell r="F209">
            <v>0.98263888888888884</v>
          </cell>
          <cell r="G209">
            <v>0.98958333333333337</v>
          </cell>
          <cell r="H209">
            <v>42794</v>
          </cell>
          <cell r="I209">
            <v>-0.02</v>
          </cell>
          <cell r="J209">
            <v>8.9999999999999993E-3</v>
          </cell>
          <cell r="K209">
            <v>7.9000000000000001E-2</v>
          </cell>
          <cell r="L209">
            <v>-0.2</v>
          </cell>
          <cell r="M209">
            <v>0.99652777777777779</v>
          </cell>
          <cell r="N209">
            <v>6.9444444444444441E-3</v>
          </cell>
          <cell r="O209">
            <v>42795</v>
          </cell>
          <cell r="P209">
            <v>1.06</v>
          </cell>
          <cell r="Q209">
            <v>9</v>
          </cell>
          <cell r="R209">
            <v>26</v>
          </cell>
          <cell r="S209">
            <v>0</v>
          </cell>
          <cell r="T209">
            <v>0.10416666666666667</v>
          </cell>
          <cell r="U209">
            <v>42795</v>
          </cell>
          <cell r="V209">
            <v>20.85</v>
          </cell>
          <cell r="W209">
            <v>0.45833333333333331</v>
          </cell>
          <cell r="X209">
            <v>42795</v>
          </cell>
          <cell r="Y209">
            <v>27.18</v>
          </cell>
          <cell r="Z209">
            <v>0.79166666666666663</v>
          </cell>
          <cell r="AA209">
            <v>0.85416666666666663</v>
          </cell>
          <cell r="AB209">
            <v>42795</v>
          </cell>
          <cell r="AC209">
            <v>27.18</v>
          </cell>
          <cell r="AD209">
            <v>0.86458333333333337</v>
          </cell>
          <cell r="AE209">
            <v>0.875</v>
          </cell>
          <cell r="AF209">
            <v>42795</v>
          </cell>
          <cell r="AG209">
            <v>0.87847222222222221</v>
          </cell>
          <cell r="AH209">
            <v>0.91666666666666663</v>
          </cell>
          <cell r="AI209">
            <v>42795</v>
          </cell>
          <cell r="AJ209">
            <v>0.95833333333333337</v>
          </cell>
          <cell r="AK209">
            <v>0.96875</v>
          </cell>
          <cell r="AL209">
            <v>42795</v>
          </cell>
          <cell r="AM209">
            <v>1.06</v>
          </cell>
          <cell r="AN209">
            <v>9</v>
          </cell>
          <cell r="AO209">
            <v>25</v>
          </cell>
          <cell r="AP209">
            <v>0</v>
          </cell>
          <cell r="AQ209">
            <v>0.97222222222222221</v>
          </cell>
          <cell r="AR209">
            <v>0.97569444444444453</v>
          </cell>
          <cell r="AS209">
            <v>42795</v>
          </cell>
          <cell r="AT209">
            <v>27.18</v>
          </cell>
          <cell r="AU209">
            <v>0.97916666666666663</v>
          </cell>
          <cell r="AV209">
            <v>42795</v>
          </cell>
          <cell r="AW209">
            <v>0.99305555555555547</v>
          </cell>
          <cell r="AX209">
            <v>42795</v>
          </cell>
          <cell r="AY209">
            <v>6.8</v>
          </cell>
          <cell r="AZ209">
            <v>13</v>
          </cell>
        </row>
        <row r="210">
          <cell r="B210" t="str">
            <v>B5</v>
          </cell>
          <cell r="C210">
            <v>0.79513888888888884</v>
          </cell>
          <cell r="D210">
            <v>0.86458333333333337</v>
          </cell>
          <cell r="E210">
            <v>42795</v>
          </cell>
          <cell r="F210">
            <v>0.86805555555555547</v>
          </cell>
          <cell r="G210">
            <v>0.87152777777777779</v>
          </cell>
          <cell r="H210">
            <v>42795</v>
          </cell>
          <cell r="I210">
            <v>-1.6E-2</v>
          </cell>
          <cell r="J210">
            <v>2.3E-2</v>
          </cell>
          <cell r="K210">
            <v>-7.0000000000000007E-2</v>
          </cell>
          <cell r="L210">
            <v>-0.67</v>
          </cell>
          <cell r="M210">
            <v>0.87152777777777779</v>
          </cell>
          <cell r="N210">
            <v>0.88194444444444453</v>
          </cell>
          <cell r="O210">
            <v>42795</v>
          </cell>
          <cell r="P210">
            <v>1.06</v>
          </cell>
          <cell r="Q210">
            <v>9</v>
          </cell>
          <cell r="R210">
            <v>23</v>
          </cell>
          <cell r="S210">
            <v>0</v>
          </cell>
          <cell r="T210">
            <v>0.97916666666666663</v>
          </cell>
          <cell r="U210">
            <v>42795</v>
          </cell>
          <cell r="V210">
            <v>20.85</v>
          </cell>
          <cell r="W210">
            <v>0.1076388888888889</v>
          </cell>
          <cell r="X210">
            <v>42796</v>
          </cell>
          <cell r="Y210">
            <v>31.35</v>
          </cell>
          <cell r="Z210">
            <v>0.13194444444444445</v>
          </cell>
          <cell r="AA210">
            <v>0.15277777777777776</v>
          </cell>
          <cell r="AB210">
            <v>42796</v>
          </cell>
          <cell r="AC210">
            <v>31.35</v>
          </cell>
          <cell r="AD210">
            <v>0.15972222222222224</v>
          </cell>
          <cell r="AE210">
            <v>0.16666666666666666</v>
          </cell>
          <cell r="AF210">
            <v>42796</v>
          </cell>
          <cell r="AG210">
            <v>0.17013888888888887</v>
          </cell>
          <cell r="AH210">
            <v>0.1986111111111111</v>
          </cell>
          <cell r="AI210">
            <v>42796</v>
          </cell>
          <cell r="AJ210">
            <v>0.375</v>
          </cell>
          <cell r="AK210">
            <v>0.37847222222222227</v>
          </cell>
          <cell r="AL210">
            <v>42796</v>
          </cell>
          <cell r="AM210">
            <v>1.06</v>
          </cell>
          <cell r="AN210">
            <v>9</v>
          </cell>
          <cell r="AO210">
            <v>23</v>
          </cell>
          <cell r="AP210">
            <v>0</v>
          </cell>
          <cell r="AQ210">
            <v>0.38194444444444442</v>
          </cell>
          <cell r="AR210">
            <v>0.38541666666666669</v>
          </cell>
          <cell r="AS210">
            <v>42796</v>
          </cell>
          <cell r="AT210">
            <v>31.35</v>
          </cell>
          <cell r="AU210">
            <v>0.3888888888888889</v>
          </cell>
          <cell r="AV210">
            <v>42796</v>
          </cell>
          <cell r="AW210">
            <v>0.41666666666666669</v>
          </cell>
          <cell r="AX210">
            <v>42796</v>
          </cell>
          <cell r="AY210">
            <v>6.8</v>
          </cell>
          <cell r="AZ210">
            <v>16</v>
          </cell>
        </row>
        <row r="211">
          <cell r="B211" t="str">
            <v>A143</v>
          </cell>
          <cell r="C211">
            <v>0.34375</v>
          </cell>
          <cell r="D211">
            <v>0.40277777777777773</v>
          </cell>
          <cell r="E211">
            <v>42795</v>
          </cell>
          <cell r="F211">
            <v>0.40972222222222227</v>
          </cell>
          <cell r="G211">
            <v>0.41666666666666669</v>
          </cell>
          <cell r="H211">
            <v>42795</v>
          </cell>
          <cell r="I211">
            <v>-2.7E-2</v>
          </cell>
          <cell r="J211">
            <v>-4.0000000000000001E-3</v>
          </cell>
          <cell r="K211">
            <v>-0.245</v>
          </cell>
          <cell r="L211">
            <v>-0.56000000000000005</v>
          </cell>
          <cell r="M211">
            <v>0.55208333333333337</v>
          </cell>
          <cell r="N211">
            <v>0.55555555555555558</v>
          </cell>
          <cell r="O211">
            <v>42795</v>
          </cell>
          <cell r="P211">
            <v>1.06</v>
          </cell>
          <cell r="Q211">
            <v>9</v>
          </cell>
          <cell r="R211">
            <v>24</v>
          </cell>
          <cell r="S211">
            <v>0</v>
          </cell>
          <cell r="T211">
            <v>0.64583333333333337</v>
          </cell>
          <cell r="U211">
            <v>42795</v>
          </cell>
          <cell r="V211">
            <v>22.11</v>
          </cell>
          <cell r="W211">
            <v>0.10416666666666667</v>
          </cell>
          <cell r="X211">
            <v>42796</v>
          </cell>
          <cell r="Y211">
            <v>41.66</v>
          </cell>
          <cell r="Z211">
            <v>0.13541666666666666</v>
          </cell>
          <cell r="AA211">
            <v>0.15972222222222224</v>
          </cell>
          <cell r="AB211">
            <v>42796</v>
          </cell>
          <cell r="AC211">
            <v>41.66</v>
          </cell>
          <cell r="AD211">
            <v>0.17013888888888887</v>
          </cell>
          <cell r="AE211">
            <v>0.18055555555555555</v>
          </cell>
          <cell r="AF211">
            <v>42796</v>
          </cell>
          <cell r="AG211">
            <v>0.18402777777777779</v>
          </cell>
          <cell r="AH211">
            <v>0.27083333333333331</v>
          </cell>
          <cell r="AI211">
            <v>42796</v>
          </cell>
          <cell r="AJ211">
            <v>0.4236111111111111</v>
          </cell>
          <cell r="AK211">
            <v>0.43055555555555558</v>
          </cell>
          <cell r="AL211">
            <v>42796</v>
          </cell>
          <cell r="AM211">
            <v>1.06</v>
          </cell>
          <cell r="AN211">
            <v>9</v>
          </cell>
          <cell r="AO211">
            <v>24</v>
          </cell>
          <cell r="AP211">
            <v>0</v>
          </cell>
          <cell r="AQ211">
            <v>0.43055555555555558</v>
          </cell>
          <cell r="AR211">
            <v>0.43402777777777773</v>
          </cell>
          <cell r="AS211">
            <v>42796</v>
          </cell>
          <cell r="AT211">
            <v>41.66</v>
          </cell>
          <cell r="AU211">
            <v>0.4375</v>
          </cell>
          <cell r="AV211">
            <v>42796</v>
          </cell>
          <cell r="AW211">
            <v>0.5</v>
          </cell>
          <cell r="AX211">
            <v>42796</v>
          </cell>
          <cell r="AY211">
            <v>6.7</v>
          </cell>
          <cell r="AZ211">
            <v>43</v>
          </cell>
        </row>
        <row r="212">
          <cell r="B212" t="str">
            <v>B4</v>
          </cell>
          <cell r="C212">
            <v>0.58333333333333337</v>
          </cell>
          <cell r="D212">
            <v>0.63888888888888895</v>
          </cell>
          <cell r="E212">
            <v>42796</v>
          </cell>
          <cell r="F212">
            <v>0</v>
          </cell>
          <cell r="G212">
            <v>0</v>
          </cell>
          <cell r="H212">
            <v>42796</v>
          </cell>
          <cell r="I212">
            <v>-1.2999999999999999E-2</v>
          </cell>
          <cell r="J212">
            <v>-2.3E-2</v>
          </cell>
          <cell r="K212">
            <v>-0.32500000000000001</v>
          </cell>
          <cell r="L212">
            <v>-0.58499999999999996</v>
          </cell>
          <cell r="M212">
            <v>0.64583333333333337</v>
          </cell>
          <cell r="N212">
            <v>0.65277777777777779</v>
          </cell>
          <cell r="O212">
            <v>42796</v>
          </cell>
          <cell r="P212">
            <v>1.06</v>
          </cell>
          <cell r="Q212">
            <v>9</v>
          </cell>
          <cell r="R212">
            <v>23</v>
          </cell>
          <cell r="S212">
            <v>0</v>
          </cell>
          <cell r="T212">
            <v>0.72916666666666663</v>
          </cell>
          <cell r="U212">
            <v>42796</v>
          </cell>
          <cell r="V212">
            <v>21.15</v>
          </cell>
          <cell r="W212">
            <v>0.82291666666666663</v>
          </cell>
          <cell r="X212">
            <v>42796</v>
          </cell>
          <cell r="Y212">
            <v>28.71</v>
          </cell>
          <cell r="Z212">
            <v>0.85416666666666663</v>
          </cell>
          <cell r="AA212">
            <v>0.875</v>
          </cell>
          <cell r="AB212">
            <v>42796</v>
          </cell>
          <cell r="AC212">
            <v>28.71</v>
          </cell>
          <cell r="AD212">
            <v>0</v>
          </cell>
          <cell r="AE212">
            <v>0</v>
          </cell>
          <cell r="AF212">
            <v>42796</v>
          </cell>
          <cell r="AG212">
            <v>0.92708333333333337</v>
          </cell>
          <cell r="AH212">
            <v>0.9375</v>
          </cell>
          <cell r="AI212">
            <v>42796</v>
          </cell>
          <cell r="AJ212">
            <v>0.92013888888888884</v>
          </cell>
          <cell r="AK212">
            <v>0.93055555555555547</v>
          </cell>
          <cell r="AL212">
            <v>42796</v>
          </cell>
          <cell r="AM212">
            <v>1.06</v>
          </cell>
          <cell r="AN212">
            <v>9</v>
          </cell>
          <cell r="AO212">
            <v>23</v>
          </cell>
          <cell r="AP212">
            <v>0</v>
          </cell>
          <cell r="AQ212">
            <v>0.93402777777777779</v>
          </cell>
          <cell r="AR212">
            <v>0.9375</v>
          </cell>
          <cell r="AS212">
            <v>42796</v>
          </cell>
          <cell r="AT212">
            <v>28.71</v>
          </cell>
          <cell r="AU212">
            <v>0.94444444444444453</v>
          </cell>
          <cell r="AV212">
            <v>42796</v>
          </cell>
          <cell r="AW212">
            <v>0.95833333333333337</v>
          </cell>
          <cell r="AX212">
            <v>42796</v>
          </cell>
          <cell r="AY212">
            <v>7.6</v>
          </cell>
          <cell r="AZ212">
            <v>14</v>
          </cell>
        </row>
        <row r="213">
          <cell r="B213" t="str">
            <v>A118</v>
          </cell>
          <cell r="C213">
            <v>0.39583333333333331</v>
          </cell>
          <cell r="D213">
            <v>0.44791666666666669</v>
          </cell>
          <cell r="E213">
            <v>42797</v>
          </cell>
          <cell r="F213">
            <v>0.4513888888888889</v>
          </cell>
          <cell r="G213">
            <v>0.45833333333333331</v>
          </cell>
          <cell r="H213">
            <v>42797</v>
          </cell>
          <cell r="I213">
            <v>-0.02</v>
          </cell>
          <cell r="J213">
            <v>-2.3E-2</v>
          </cell>
          <cell r="K213">
            <v>-6.2E-2</v>
          </cell>
          <cell r="L213">
            <v>-0.51200000000000001</v>
          </cell>
          <cell r="M213">
            <v>0.46875</v>
          </cell>
          <cell r="N213">
            <v>0.47916666666666669</v>
          </cell>
          <cell r="O213">
            <v>42797</v>
          </cell>
          <cell r="P213">
            <v>1.06</v>
          </cell>
          <cell r="Q213">
            <v>9</v>
          </cell>
          <cell r="R213">
            <v>24</v>
          </cell>
          <cell r="S213">
            <v>0</v>
          </cell>
          <cell r="T213">
            <v>0.625</v>
          </cell>
          <cell r="U213">
            <v>42797</v>
          </cell>
          <cell r="V213">
            <v>22.75</v>
          </cell>
          <cell r="W213">
            <v>0.89583333333333337</v>
          </cell>
          <cell r="X213">
            <v>42797</v>
          </cell>
          <cell r="Y213">
            <v>41.85</v>
          </cell>
          <cell r="Z213">
            <v>0.91666666666666663</v>
          </cell>
          <cell r="AA213">
            <v>0.9375</v>
          </cell>
          <cell r="AB213">
            <v>42797</v>
          </cell>
          <cell r="AC213">
            <v>41.87</v>
          </cell>
          <cell r="AD213">
            <v>0.94444444444444453</v>
          </cell>
          <cell r="AE213">
            <v>0.96180555555555547</v>
          </cell>
          <cell r="AF213">
            <v>42797</v>
          </cell>
          <cell r="AG213">
            <v>0.96527777777777779</v>
          </cell>
          <cell r="AH213">
            <v>3.125E-2</v>
          </cell>
          <cell r="AI213">
            <v>42797</v>
          </cell>
          <cell r="AJ213">
            <v>4.8611111111111112E-2</v>
          </cell>
          <cell r="AK213">
            <v>5.5555555555555552E-2</v>
          </cell>
          <cell r="AL213">
            <v>42798</v>
          </cell>
          <cell r="AM213">
            <v>1.06</v>
          </cell>
          <cell r="AN213">
            <v>9</v>
          </cell>
          <cell r="AO213">
            <v>24</v>
          </cell>
          <cell r="AP213">
            <v>0</v>
          </cell>
          <cell r="AQ213">
            <v>6.25E-2</v>
          </cell>
          <cell r="AR213">
            <v>6.5972222222222224E-2</v>
          </cell>
          <cell r="AS213">
            <v>42798</v>
          </cell>
          <cell r="AT213">
            <v>41.87</v>
          </cell>
          <cell r="AU213">
            <v>6.9444444444444434E-2</v>
          </cell>
          <cell r="AV213">
            <v>42798</v>
          </cell>
          <cell r="AW213">
            <v>0.10416666666666667</v>
          </cell>
          <cell r="AX213">
            <v>42798</v>
          </cell>
          <cell r="AY213">
            <v>6.5</v>
          </cell>
          <cell r="AZ213">
            <v>43</v>
          </cell>
        </row>
        <row r="214">
          <cell r="B214" t="str">
            <v>A119</v>
          </cell>
          <cell r="C214">
            <v>0.38541666666666669</v>
          </cell>
          <cell r="D214">
            <v>0.4375</v>
          </cell>
          <cell r="E214">
            <v>42796</v>
          </cell>
          <cell r="F214">
            <v>0.44097222222222227</v>
          </cell>
          <cell r="G214">
            <v>0.44791666666666669</v>
          </cell>
          <cell r="H214">
            <v>42796</v>
          </cell>
          <cell r="I214">
            <v>-0.02</v>
          </cell>
          <cell r="J214">
            <v>-2.1999999999999999E-2</v>
          </cell>
          <cell r="K214">
            <v>-0.26400000000000001</v>
          </cell>
          <cell r="L214">
            <v>-0.59199999999999997</v>
          </cell>
          <cell r="M214">
            <v>0.45833333333333331</v>
          </cell>
          <cell r="N214">
            <v>0.46875</v>
          </cell>
          <cell r="O214">
            <v>42796</v>
          </cell>
          <cell r="P214">
            <v>1.06</v>
          </cell>
          <cell r="Q214">
            <v>9</v>
          </cell>
          <cell r="R214">
            <v>24</v>
          </cell>
          <cell r="S214">
            <v>0</v>
          </cell>
          <cell r="T214">
            <v>0.65625</v>
          </cell>
          <cell r="U214">
            <v>42796</v>
          </cell>
          <cell r="V214">
            <v>22.52</v>
          </cell>
          <cell r="W214">
            <v>0.92708333333333337</v>
          </cell>
          <cell r="X214">
            <v>42796</v>
          </cell>
          <cell r="Y214">
            <v>41.65</v>
          </cell>
          <cell r="Z214">
            <v>0.94444444444444453</v>
          </cell>
          <cell r="AA214">
            <v>0.96875</v>
          </cell>
          <cell r="AB214">
            <v>42796</v>
          </cell>
          <cell r="AC214">
            <v>41.68</v>
          </cell>
          <cell r="AD214">
            <v>0.97222222222222221</v>
          </cell>
          <cell r="AE214">
            <v>0.99305555555555547</v>
          </cell>
          <cell r="AF214">
            <v>42796</v>
          </cell>
          <cell r="AG214">
            <v>3.472222222222222E-3</v>
          </cell>
          <cell r="AH214">
            <v>7.6388888888888895E-2</v>
          </cell>
          <cell r="AI214">
            <v>42797</v>
          </cell>
          <cell r="AJ214">
            <v>0.16666666666666666</v>
          </cell>
          <cell r="AK214">
            <v>0.17361111111111113</v>
          </cell>
          <cell r="AL214">
            <v>42797</v>
          </cell>
          <cell r="AM214">
            <v>1.06</v>
          </cell>
          <cell r="AN214">
            <v>9</v>
          </cell>
          <cell r="AO214">
            <v>24</v>
          </cell>
          <cell r="AP214">
            <v>0</v>
          </cell>
          <cell r="AQ214">
            <v>0.17708333333333334</v>
          </cell>
          <cell r="AR214">
            <v>0.18055555555555555</v>
          </cell>
          <cell r="AS214">
            <v>42797</v>
          </cell>
          <cell r="AT214">
            <v>41.68</v>
          </cell>
          <cell r="AU214">
            <v>0.1875</v>
          </cell>
          <cell r="AV214">
            <v>42797</v>
          </cell>
          <cell r="AW214">
            <v>0.25</v>
          </cell>
          <cell r="AX214">
            <v>42797</v>
          </cell>
          <cell r="AY214">
            <v>6.3</v>
          </cell>
          <cell r="AZ214">
            <v>43</v>
          </cell>
        </row>
        <row r="215">
          <cell r="B215" t="str">
            <v>B48</v>
          </cell>
          <cell r="C215">
            <v>0.27083333333333331</v>
          </cell>
          <cell r="D215">
            <v>0.3298611111111111</v>
          </cell>
          <cell r="E215">
            <v>42797</v>
          </cell>
          <cell r="F215">
            <v>0.33333333333333331</v>
          </cell>
          <cell r="G215">
            <v>0.34027777777777773</v>
          </cell>
          <cell r="H215">
            <v>42797</v>
          </cell>
          <cell r="I215">
            <v>-2.7E-2</v>
          </cell>
          <cell r="J215">
            <v>3.0000000000000001E-3</v>
          </cell>
          <cell r="K215">
            <v>0.16800000000000001</v>
          </cell>
          <cell r="L215">
            <v>-0.4</v>
          </cell>
          <cell r="M215">
            <v>0.34375</v>
          </cell>
          <cell r="N215">
            <v>0.35069444444444442</v>
          </cell>
          <cell r="O215">
            <v>42797</v>
          </cell>
          <cell r="P215">
            <v>1.06</v>
          </cell>
          <cell r="Q215">
            <v>9</v>
          </cell>
          <cell r="R215">
            <v>24</v>
          </cell>
          <cell r="S215">
            <v>0</v>
          </cell>
          <cell r="T215">
            <v>0.39583333333333331</v>
          </cell>
          <cell r="U215">
            <v>42797</v>
          </cell>
          <cell r="V215">
            <v>22.52</v>
          </cell>
          <cell r="W215">
            <v>0.76041666666666663</v>
          </cell>
          <cell r="X215">
            <v>42797</v>
          </cell>
          <cell r="Y215">
            <v>26.15</v>
          </cell>
          <cell r="Z215">
            <v>0.78472222222222221</v>
          </cell>
          <cell r="AA215">
            <v>0.80902777777777779</v>
          </cell>
          <cell r="AB215">
            <v>42797</v>
          </cell>
          <cell r="AC215">
            <v>26.17</v>
          </cell>
          <cell r="AD215">
            <v>0.8125</v>
          </cell>
          <cell r="AE215">
            <v>0.82638888888888884</v>
          </cell>
          <cell r="AF215">
            <v>42797</v>
          </cell>
          <cell r="AG215">
            <v>0.83333333333333337</v>
          </cell>
          <cell r="AH215">
            <v>0.875</v>
          </cell>
          <cell r="AI215">
            <v>42797</v>
          </cell>
          <cell r="AJ215">
            <v>0.88194444444444453</v>
          </cell>
          <cell r="AK215">
            <v>0.88888888888888884</v>
          </cell>
          <cell r="AL215">
            <v>42797</v>
          </cell>
          <cell r="AM215">
            <v>1.06</v>
          </cell>
          <cell r="AN215">
            <v>9</v>
          </cell>
          <cell r="AO215">
            <v>24</v>
          </cell>
          <cell r="AP215">
            <v>0</v>
          </cell>
          <cell r="AQ215">
            <v>0.89236111111111116</v>
          </cell>
          <cell r="AR215">
            <v>0.89583333333333337</v>
          </cell>
          <cell r="AS215">
            <v>42797</v>
          </cell>
          <cell r="AT215">
            <v>26.17</v>
          </cell>
          <cell r="AU215">
            <v>0.90277777777777779</v>
          </cell>
          <cell r="AV215">
            <v>42797</v>
          </cell>
          <cell r="AW215">
            <v>0.92708333333333337</v>
          </cell>
          <cell r="AX215">
            <v>42797</v>
          </cell>
          <cell r="AY215">
            <v>5</v>
          </cell>
          <cell r="AZ215">
            <v>13</v>
          </cell>
        </row>
        <row r="216">
          <cell r="B216" t="str">
            <v>A108</v>
          </cell>
          <cell r="C216">
            <v>0.33333333333333331</v>
          </cell>
          <cell r="D216">
            <v>0.38541666666666669</v>
          </cell>
          <cell r="E216">
            <v>42797</v>
          </cell>
          <cell r="F216">
            <v>0.46180555555555558</v>
          </cell>
          <cell r="G216">
            <v>0.46875</v>
          </cell>
          <cell r="H216">
            <v>42797</v>
          </cell>
          <cell r="I216">
            <v>4.0000000000000001E-3</v>
          </cell>
          <cell r="J216">
            <v>2.8000000000000001E-2</v>
          </cell>
          <cell r="K216">
            <v>-0.30199999999999999</v>
          </cell>
          <cell r="L216">
            <v>-0.60499999999999998</v>
          </cell>
          <cell r="M216">
            <v>0.28125</v>
          </cell>
          <cell r="N216">
            <v>0.2951388888888889</v>
          </cell>
          <cell r="O216">
            <v>42798</v>
          </cell>
          <cell r="P216">
            <v>1.06</v>
          </cell>
          <cell r="Q216">
            <v>9</v>
          </cell>
          <cell r="R216">
            <v>24</v>
          </cell>
          <cell r="S216">
            <v>0</v>
          </cell>
          <cell r="T216">
            <v>0.38541666666666669</v>
          </cell>
          <cell r="U216">
            <v>42798</v>
          </cell>
          <cell r="V216">
            <v>21.05</v>
          </cell>
          <cell r="W216">
            <v>0.91319444444444453</v>
          </cell>
          <cell r="X216">
            <v>42798</v>
          </cell>
          <cell r="Y216">
            <v>34.409999999999997</v>
          </cell>
          <cell r="Z216">
            <v>0.9375</v>
          </cell>
          <cell r="AA216">
            <v>0.95833333333333337</v>
          </cell>
          <cell r="AB216">
            <v>42798</v>
          </cell>
          <cell r="AC216">
            <v>34.43</v>
          </cell>
          <cell r="AD216">
            <v>0.96527777777777779</v>
          </cell>
          <cell r="AE216">
            <v>0.97222222222222221</v>
          </cell>
          <cell r="AF216">
            <v>42798</v>
          </cell>
          <cell r="AG216">
            <v>0.97916666666666663</v>
          </cell>
          <cell r="AH216">
            <v>6.25E-2</v>
          </cell>
          <cell r="AI216">
            <v>42799</v>
          </cell>
          <cell r="AJ216">
            <v>0.16666666666666666</v>
          </cell>
          <cell r="AK216">
            <v>0.18402777777777779</v>
          </cell>
          <cell r="AL216">
            <v>42799</v>
          </cell>
          <cell r="AM216">
            <v>1.06</v>
          </cell>
          <cell r="AN216">
            <v>9</v>
          </cell>
          <cell r="AO216">
            <v>24</v>
          </cell>
          <cell r="AP216">
            <v>0</v>
          </cell>
          <cell r="AQ216">
            <v>0.19097222222222221</v>
          </cell>
          <cell r="AR216">
            <v>0.19444444444444445</v>
          </cell>
          <cell r="AS216">
            <v>42799</v>
          </cell>
          <cell r="AT216">
            <v>34.43</v>
          </cell>
          <cell r="AU216">
            <v>0.19791666666666666</v>
          </cell>
          <cell r="AV216">
            <v>42799</v>
          </cell>
          <cell r="AW216">
            <v>0.23611111111111113</v>
          </cell>
          <cell r="AX216">
            <v>42799</v>
          </cell>
          <cell r="AY216">
            <v>6.4</v>
          </cell>
          <cell r="AZ216">
            <v>39</v>
          </cell>
        </row>
        <row r="217">
          <cell r="B217" t="str">
            <v>B2</v>
          </cell>
          <cell r="C217">
            <v>0.33333333333333331</v>
          </cell>
          <cell r="D217">
            <v>0.39583333333333331</v>
          </cell>
          <cell r="E217">
            <v>42800</v>
          </cell>
          <cell r="F217">
            <v>0.39930555555555558</v>
          </cell>
          <cell r="G217">
            <v>0.40625</v>
          </cell>
          <cell r="H217">
            <v>42800</v>
          </cell>
          <cell r="I217">
            <v>-1.7000000000000001E-2</v>
          </cell>
          <cell r="J217">
            <v>-1.9E-2</v>
          </cell>
          <cell r="K217">
            <v>-0.252</v>
          </cell>
          <cell r="L217">
            <v>-0.56200000000000006</v>
          </cell>
          <cell r="M217">
            <v>0.40972222222222227</v>
          </cell>
          <cell r="N217">
            <v>0.38194444444444442</v>
          </cell>
          <cell r="O217">
            <v>42800</v>
          </cell>
          <cell r="P217">
            <v>1.06</v>
          </cell>
          <cell r="Q217">
            <v>9</v>
          </cell>
          <cell r="R217">
            <v>25</v>
          </cell>
          <cell r="S217">
            <v>0</v>
          </cell>
          <cell r="T217">
            <v>0.44444444444444442</v>
          </cell>
          <cell r="U217">
            <v>42800</v>
          </cell>
          <cell r="V217">
            <v>19.52</v>
          </cell>
          <cell r="W217">
            <v>0.48958333333333331</v>
          </cell>
          <cell r="X217">
            <v>42800</v>
          </cell>
          <cell r="Y217">
            <v>29.75</v>
          </cell>
          <cell r="Z217">
            <v>0.51041666666666663</v>
          </cell>
          <cell r="AA217">
            <v>0.52777777777777779</v>
          </cell>
          <cell r="AB217">
            <v>42800</v>
          </cell>
          <cell r="AC217">
            <v>29.78</v>
          </cell>
          <cell r="AD217">
            <v>0.53125</v>
          </cell>
          <cell r="AE217">
            <v>0.53819444444444442</v>
          </cell>
          <cell r="AF217">
            <v>42800</v>
          </cell>
          <cell r="AG217">
            <v>0.54166666666666663</v>
          </cell>
          <cell r="AH217">
            <v>0.57638888888888895</v>
          </cell>
          <cell r="AI217">
            <v>42800</v>
          </cell>
          <cell r="AJ217">
            <v>0.58333333333333337</v>
          </cell>
          <cell r="AK217">
            <v>0.59375</v>
          </cell>
          <cell r="AL217">
            <v>42800</v>
          </cell>
          <cell r="AM217">
            <v>1.06</v>
          </cell>
          <cell r="AN217">
            <v>9</v>
          </cell>
          <cell r="AO217">
            <v>25</v>
          </cell>
          <cell r="AP217">
            <v>0</v>
          </cell>
          <cell r="AQ217">
            <v>0.59722222222222221</v>
          </cell>
          <cell r="AR217">
            <v>0.60069444444444442</v>
          </cell>
          <cell r="AS217">
            <v>42800</v>
          </cell>
          <cell r="AT217">
            <v>29.78</v>
          </cell>
          <cell r="AU217">
            <v>0.60416666666666663</v>
          </cell>
          <cell r="AV217">
            <v>42800</v>
          </cell>
          <cell r="AW217">
            <v>0.625</v>
          </cell>
          <cell r="AX217">
            <v>42800</v>
          </cell>
          <cell r="AY217">
            <v>6.6</v>
          </cell>
          <cell r="AZ217">
            <v>15</v>
          </cell>
        </row>
        <row r="218">
          <cell r="B218" t="str">
            <v>B3</v>
          </cell>
          <cell r="C218">
            <v>0.36458333333333331</v>
          </cell>
          <cell r="D218">
            <v>0.41666666666666669</v>
          </cell>
          <cell r="E218">
            <v>42799</v>
          </cell>
          <cell r="F218">
            <v>0.4201388888888889</v>
          </cell>
          <cell r="G218">
            <v>0.4236111111111111</v>
          </cell>
          <cell r="H218">
            <v>42799</v>
          </cell>
          <cell r="I218">
            <v>-2E-3</v>
          </cell>
          <cell r="J218">
            <v>1.9E-2</v>
          </cell>
          <cell r="K218">
            <v>-0.45200000000000001</v>
          </cell>
          <cell r="L218">
            <v>-0.69199999999999995</v>
          </cell>
          <cell r="M218">
            <v>0.42708333333333331</v>
          </cell>
          <cell r="N218">
            <v>0.4375</v>
          </cell>
          <cell r="O218">
            <v>42799</v>
          </cell>
          <cell r="P218">
            <v>1.06</v>
          </cell>
          <cell r="Q218">
            <v>9</v>
          </cell>
          <cell r="R218">
            <v>24</v>
          </cell>
          <cell r="S218">
            <v>0</v>
          </cell>
          <cell r="T218">
            <v>0.56597222222222221</v>
          </cell>
          <cell r="U218">
            <v>42799</v>
          </cell>
          <cell r="V218">
            <v>21.07</v>
          </cell>
          <cell r="W218">
            <v>0.70833333333333337</v>
          </cell>
          <cell r="X218">
            <v>42799</v>
          </cell>
          <cell r="Y218">
            <v>28.57</v>
          </cell>
          <cell r="Z218">
            <v>0.72916666666666663</v>
          </cell>
          <cell r="AA218">
            <v>0.74652777777777779</v>
          </cell>
          <cell r="AB218">
            <v>42799</v>
          </cell>
          <cell r="AC218">
            <v>28.61</v>
          </cell>
          <cell r="AD218">
            <v>0.75</v>
          </cell>
          <cell r="AE218">
            <v>0.77083333333333337</v>
          </cell>
          <cell r="AF218">
            <v>42799</v>
          </cell>
          <cell r="AG218">
            <v>0.77430555555555547</v>
          </cell>
          <cell r="AH218">
            <v>0.81944444444444453</v>
          </cell>
          <cell r="AI218">
            <v>42799</v>
          </cell>
          <cell r="AJ218">
            <v>0.83333333333333337</v>
          </cell>
          <cell r="AK218">
            <v>0.84375</v>
          </cell>
          <cell r="AL218">
            <v>42799</v>
          </cell>
          <cell r="AM218">
            <v>1.06</v>
          </cell>
          <cell r="AN218">
            <v>9</v>
          </cell>
          <cell r="AO218">
            <v>24</v>
          </cell>
          <cell r="AP218">
            <v>0</v>
          </cell>
          <cell r="AQ218">
            <v>0.84722222222222221</v>
          </cell>
          <cell r="AR218">
            <v>0.85069444444444453</v>
          </cell>
          <cell r="AS218">
            <v>42799</v>
          </cell>
          <cell r="AT218">
            <v>28.61</v>
          </cell>
          <cell r="AU218">
            <v>0.85416666666666663</v>
          </cell>
          <cell r="AV218">
            <v>42799</v>
          </cell>
          <cell r="AW218">
            <v>0.86458333333333337</v>
          </cell>
          <cell r="AX218">
            <v>42799</v>
          </cell>
          <cell r="AY218">
            <v>6.5</v>
          </cell>
          <cell r="AZ218">
            <v>14</v>
          </cell>
        </row>
        <row r="219">
          <cell r="B219" t="str">
            <v>B46</v>
          </cell>
          <cell r="C219">
            <v>0.46875</v>
          </cell>
          <cell r="D219">
            <v>0.52083333333333337</v>
          </cell>
          <cell r="E219">
            <v>42800</v>
          </cell>
          <cell r="F219">
            <v>0.52777777777777779</v>
          </cell>
          <cell r="G219">
            <v>0.53472222222222221</v>
          </cell>
          <cell r="H219">
            <v>42800</v>
          </cell>
          <cell r="I219">
            <v>0.71799999999999997</v>
          </cell>
          <cell r="J219">
            <v>0.74299999999999999</v>
          </cell>
          <cell r="K219">
            <v>-0.14000000000000001</v>
          </cell>
          <cell r="L219">
            <v>-0.59</v>
          </cell>
          <cell r="M219">
            <v>0.54166666666666663</v>
          </cell>
          <cell r="N219">
            <v>0.5625</v>
          </cell>
          <cell r="O219">
            <v>42800</v>
          </cell>
          <cell r="P219">
            <v>1.06</v>
          </cell>
          <cell r="Q219">
            <v>9</v>
          </cell>
          <cell r="R219">
            <v>25</v>
          </cell>
          <cell r="S219">
            <v>0</v>
          </cell>
          <cell r="T219">
            <v>0.64583333333333337</v>
          </cell>
          <cell r="U219">
            <v>42800</v>
          </cell>
          <cell r="V219">
            <v>20.149999999999999</v>
          </cell>
          <cell r="W219">
            <v>0.95138888888888884</v>
          </cell>
          <cell r="X219">
            <v>42800</v>
          </cell>
          <cell r="Y219">
            <v>28.25</v>
          </cell>
          <cell r="Z219">
            <v>0.98611111111111116</v>
          </cell>
          <cell r="AA219">
            <v>2.0833333333333332E-2</v>
          </cell>
          <cell r="AB219">
            <v>42801</v>
          </cell>
          <cell r="AC219">
            <v>28.27</v>
          </cell>
          <cell r="AD219">
            <v>2.4305555555555556E-2</v>
          </cell>
          <cell r="AE219">
            <v>3.8194444444444441E-2</v>
          </cell>
          <cell r="AF219">
            <v>42801</v>
          </cell>
          <cell r="AG219">
            <v>4.1666666666666664E-2</v>
          </cell>
          <cell r="AH219">
            <v>7.9861111111111105E-2</v>
          </cell>
          <cell r="AI219">
            <v>42801</v>
          </cell>
          <cell r="AJ219">
            <v>8.3333333333333329E-2</v>
          </cell>
          <cell r="AK219">
            <v>9.0277777777777776E-2</v>
          </cell>
          <cell r="AL219">
            <v>42801</v>
          </cell>
          <cell r="AM219">
            <v>1.06</v>
          </cell>
          <cell r="AN219">
            <v>9</v>
          </cell>
          <cell r="AO219">
            <v>25</v>
          </cell>
          <cell r="AP219">
            <v>0</v>
          </cell>
          <cell r="AQ219">
            <v>9.375E-2</v>
          </cell>
          <cell r="AR219">
            <v>9.7222222222222224E-2</v>
          </cell>
          <cell r="AS219">
            <v>42801</v>
          </cell>
          <cell r="AT219">
            <v>28.27</v>
          </cell>
          <cell r="AU219">
            <v>0.10416666666666667</v>
          </cell>
          <cell r="AV219">
            <v>42801</v>
          </cell>
          <cell r="AW219">
            <v>0.11805555555555557</v>
          </cell>
          <cell r="AX219">
            <v>42801</v>
          </cell>
          <cell r="AY219">
            <v>4.76</v>
          </cell>
          <cell r="AZ219">
            <v>15</v>
          </cell>
        </row>
        <row r="220">
          <cell r="B220" t="str">
            <v>B47</v>
          </cell>
          <cell r="C220">
            <v>0.77083333333333337</v>
          </cell>
          <cell r="D220">
            <v>0.83333333333333337</v>
          </cell>
          <cell r="E220">
            <v>42798</v>
          </cell>
          <cell r="F220">
            <v>0.83680555555555547</v>
          </cell>
          <cell r="G220">
            <v>0.84375</v>
          </cell>
          <cell r="H220">
            <v>42798</v>
          </cell>
          <cell r="I220">
            <v>2.4E-2</v>
          </cell>
          <cell r="J220">
            <v>0.01</v>
          </cell>
          <cell r="K220">
            <v>0.152</v>
          </cell>
          <cell r="L220">
            <v>-0.35</v>
          </cell>
          <cell r="M220">
            <v>0.84722222222222221</v>
          </cell>
          <cell r="N220">
            <v>0.86111111111111116</v>
          </cell>
          <cell r="O220">
            <v>42798</v>
          </cell>
          <cell r="P220">
            <v>1.06</v>
          </cell>
          <cell r="Q220">
            <v>9</v>
          </cell>
          <cell r="R220">
            <v>25</v>
          </cell>
          <cell r="S220">
            <v>0</v>
          </cell>
          <cell r="T220">
            <v>0.4236111111111111</v>
          </cell>
          <cell r="U220">
            <v>42799</v>
          </cell>
          <cell r="V220">
            <v>20.059999999999999</v>
          </cell>
          <cell r="W220">
            <v>0.75</v>
          </cell>
          <cell r="X220">
            <v>42799</v>
          </cell>
          <cell r="Y220">
            <v>28.58</v>
          </cell>
          <cell r="Z220">
            <v>0.77777777777777779</v>
          </cell>
          <cell r="AA220">
            <v>0.80555555555555547</v>
          </cell>
          <cell r="AB220">
            <v>42799</v>
          </cell>
          <cell r="AC220">
            <v>28.63</v>
          </cell>
          <cell r="AD220">
            <v>0.8125</v>
          </cell>
          <cell r="AE220">
            <v>0.81944444444444453</v>
          </cell>
          <cell r="AF220">
            <v>42799</v>
          </cell>
          <cell r="AG220">
            <v>0.82986111111111116</v>
          </cell>
          <cell r="AH220">
            <v>0.88541666666666663</v>
          </cell>
          <cell r="AI220">
            <v>42799</v>
          </cell>
          <cell r="AJ220">
            <v>6.9444444444444441E-3</v>
          </cell>
          <cell r="AK220">
            <v>1.7361111111111112E-2</v>
          </cell>
          <cell r="AL220">
            <v>42800</v>
          </cell>
          <cell r="AM220">
            <v>1.06</v>
          </cell>
          <cell r="AN220">
            <v>9</v>
          </cell>
          <cell r="AO220">
            <v>25</v>
          </cell>
          <cell r="AP220">
            <v>0</v>
          </cell>
          <cell r="AQ220">
            <v>2.4305555555555556E-2</v>
          </cell>
          <cell r="AR220">
            <v>2.7777777777777776E-2</v>
          </cell>
          <cell r="AS220">
            <v>42800</v>
          </cell>
          <cell r="AT220">
            <v>28.63</v>
          </cell>
          <cell r="AU220">
            <v>3.4722222222222224E-2</v>
          </cell>
          <cell r="AV220">
            <v>42800</v>
          </cell>
          <cell r="AW220">
            <v>0.125</v>
          </cell>
          <cell r="AX220">
            <v>42800</v>
          </cell>
          <cell r="AY220">
            <v>5</v>
          </cell>
          <cell r="AZ220">
            <v>29</v>
          </cell>
        </row>
        <row r="221">
          <cell r="B221">
            <v>0</v>
          </cell>
          <cell r="C221">
            <v>0</v>
          </cell>
          <cell r="D221">
            <v>0</v>
          </cell>
          <cell r="E221">
            <v>42814</v>
          </cell>
          <cell r="F221">
            <v>0</v>
          </cell>
          <cell r="G221">
            <v>0</v>
          </cell>
          <cell r="H221">
            <v>42814</v>
          </cell>
          <cell r="I221">
            <v>0</v>
          </cell>
          <cell r="J221">
            <v>0</v>
          </cell>
          <cell r="K221">
            <v>0</v>
          </cell>
          <cell r="L221">
            <v>0</v>
          </cell>
          <cell r="M221">
            <v>0</v>
          </cell>
          <cell r="N221">
            <v>0</v>
          </cell>
          <cell r="O221">
            <v>42814</v>
          </cell>
          <cell r="P221">
            <v>0</v>
          </cell>
          <cell r="Q221">
            <v>0</v>
          </cell>
          <cell r="R221">
            <v>0</v>
          </cell>
          <cell r="S221">
            <v>0</v>
          </cell>
          <cell r="T221">
            <v>0</v>
          </cell>
          <cell r="U221">
            <v>42814</v>
          </cell>
          <cell r="V221">
            <v>0</v>
          </cell>
          <cell r="W221">
            <v>0</v>
          </cell>
          <cell r="X221">
            <v>42815</v>
          </cell>
          <cell r="Y221">
            <v>0</v>
          </cell>
          <cell r="Z221">
            <v>0</v>
          </cell>
          <cell r="AA221">
            <v>0</v>
          </cell>
          <cell r="AB221">
            <v>42815</v>
          </cell>
          <cell r="AC221">
            <v>0</v>
          </cell>
          <cell r="AD221">
            <v>0</v>
          </cell>
          <cell r="AE221">
            <v>0</v>
          </cell>
          <cell r="AF221">
            <v>42815</v>
          </cell>
          <cell r="AG221">
            <v>0</v>
          </cell>
          <cell r="AH221">
            <v>0</v>
          </cell>
          <cell r="AI221">
            <v>42815</v>
          </cell>
          <cell r="AJ221">
            <v>0</v>
          </cell>
          <cell r="AK221">
            <v>0</v>
          </cell>
          <cell r="AL221">
            <v>42815</v>
          </cell>
          <cell r="AM221">
            <v>0</v>
          </cell>
          <cell r="AN221">
            <v>0</v>
          </cell>
          <cell r="AO221">
            <v>0</v>
          </cell>
          <cell r="AP221">
            <v>0</v>
          </cell>
          <cell r="AQ221">
            <v>0</v>
          </cell>
          <cell r="AR221">
            <v>0</v>
          </cell>
          <cell r="AS221">
            <v>42816</v>
          </cell>
          <cell r="AT221">
            <v>0</v>
          </cell>
          <cell r="AU221">
            <v>0</v>
          </cell>
          <cell r="AV221">
            <v>42816</v>
          </cell>
          <cell r="AW221">
            <v>0</v>
          </cell>
          <cell r="AX221">
            <v>42816</v>
          </cell>
          <cell r="AY221">
            <v>0</v>
          </cell>
          <cell r="AZ221">
            <v>0</v>
          </cell>
        </row>
        <row r="222">
          <cell r="B222">
            <v>0</v>
          </cell>
          <cell r="C222">
            <v>0</v>
          </cell>
          <cell r="D222">
            <v>0</v>
          </cell>
          <cell r="E222">
            <v>42815</v>
          </cell>
          <cell r="F222">
            <v>0</v>
          </cell>
          <cell r="G222">
            <v>0</v>
          </cell>
          <cell r="H222">
            <v>42815</v>
          </cell>
          <cell r="I222">
            <v>0</v>
          </cell>
          <cell r="J222">
            <v>0</v>
          </cell>
          <cell r="K222">
            <v>0</v>
          </cell>
          <cell r="L222">
            <v>0</v>
          </cell>
          <cell r="M222">
            <v>0</v>
          </cell>
          <cell r="N222">
            <v>0</v>
          </cell>
          <cell r="O222">
            <v>42815</v>
          </cell>
          <cell r="P222">
            <v>0</v>
          </cell>
          <cell r="Q222">
            <v>0</v>
          </cell>
          <cell r="R222">
            <v>0</v>
          </cell>
          <cell r="S222">
            <v>0</v>
          </cell>
          <cell r="T222">
            <v>0</v>
          </cell>
          <cell r="U222">
            <v>42815</v>
          </cell>
          <cell r="V222">
            <v>0</v>
          </cell>
          <cell r="W222">
            <v>0</v>
          </cell>
          <cell r="X222">
            <v>42816</v>
          </cell>
          <cell r="Y222">
            <v>0</v>
          </cell>
          <cell r="Z222">
            <v>0</v>
          </cell>
          <cell r="AA222">
            <v>0</v>
          </cell>
          <cell r="AB222">
            <v>42816</v>
          </cell>
          <cell r="AC222">
            <v>0</v>
          </cell>
          <cell r="AD222">
            <v>0</v>
          </cell>
          <cell r="AE222">
            <v>0</v>
          </cell>
          <cell r="AF222">
            <v>42816</v>
          </cell>
          <cell r="AG222">
            <v>0</v>
          </cell>
          <cell r="AH222">
            <v>0</v>
          </cell>
          <cell r="AI222">
            <v>42816</v>
          </cell>
          <cell r="AJ222">
            <v>0</v>
          </cell>
          <cell r="AK222">
            <v>0</v>
          </cell>
          <cell r="AL222">
            <v>42816</v>
          </cell>
          <cell r="AM222">
            <v>0</v>
          </cell>
          <cell r="AN222">
            <v>0</v>
          </cell>
          <cell r="AO222">
            <v>0</v>
          </cell>
          <cell r="AP222">
            <v>0</v>
          </cell>
          <cell r="AQ222">
            <v>0</v>
          </cell>
          <cell r="AR222">
            <v>0</v>
          </cell>
          <cell r="AS222">
            <v>42817</v>
          </cell>
          <cell r="AT222">
            <v>0</v>
          </cell>
          <cell r="AU222">
            <v>0</v>
          </cell>
          <cell r="AV222">
            <v>42817</v>
          </cell>
          <cell r="AW222">
            <v>0</v>
          </cell>
          <cell r="AX222">
            <v>42817</v>
          </cell>
          <cell r="AY222">
            <v>0</v>
          </cell>
          <cell r="AZ222">
            <v>0</v>
          </cell>
        </row>
        <row r="223">
          <cell r="B223">
            <v>0</v>
          </cell>
          <cell r="C223">
            <v>0</v>
          </cell>
          <cell r="D223">
            <v>0</v>
          </cell>
          <cell r="E223">
            <v>42816</v>
          </cell>
          <cell r="F223">
            <v>0</v>
          </cell>
          <cell r="G223">
            <v>0</v>
          </cell>
          <cell r="H223">
            <v>42816</v>
          </cell>
          <cell r="I223">
            <v>0</v>
          </cell>
          <cell r="J223">
            <v>0</v>
          </cell>
          <cell r="K223">
            <v>0</v>
          </cell>
          <cell r="L223">
            <v>0</v>
          </cell>
          <cell r="M223">
            <v>0</v>
          </cell>
          <cell r="N223">
            <v>0</v>
          </cell>
          <cell r="O223">
            <v>42816</v>
          </cell>
          <cell r="P223">
            <v>0</v>
          </cell>
          <cell r="Q223">
            <v>0</v>
          </cell>
          <cell r="R223">
            <v>0</v>
          </cell>
          <cell r="S223">
            <v>0</v>
          </cell>
          <cell r="T223">
            <v>0</v>
          </cell>
          <cell r="U223">
            <v>42816</v>
          </cell>
          <cell r="V223">
            <v>0</v>
          </cell>
          <cell r="W223">
            <v>0</v>
          </cell>
          <cell r="X223">
            <v>42817</v>
          </cell>
          <cell r="Y223">
            <v>0</v>
          </cell>
          <cell r="Z223">
            <v>0</v>
          </cell>
          <cell r="AA223">
            <v>0</v>
          </cell>
          <cell r="AB223">
            <v>42817</v>
          </cell>
          <cell r="AC223">
            <v>0</v>
          </cell>
          <cell r="AD223">
            <v>0</v>
          </cell>
          <cell r="AE223">
            <v>0</v>
          </cell>
          <cell r="AF223">
            <v>42817</v>
          </cell>
          <cell r="AG223">
            <v>0</v>
          </cell>
          <cell r="AH223">
            <v>0</v>
          </cell>
          <cell r="AI223">
            <v>42817</v>
          </cell>
          <cell r="AJ223">
            <v>0</v>
          </cell>
          <cell r="AK223">
            <v>0</v>
          </cell>
          <cell r="AL223">
            <v>42817</v>
          </cell>
          <cell r="AM223">
            <v>0</v>
          </cell>
          <cell r="AN223">
            <v>0</v>
          </cell>
          <cell r="AO223">
            <v>0</v>
          </cell>
          <cell r="AP223">
            <v>0</v>
          </cell>
          <cell r="AQ223">
            <v>0</v>
          </cell>
          <cell r="AR223">
            <v>0</v>
          </cell>
          <cell r="AS223">
            <v>42818</v>
          </cell>
          <cell r="AT223">
            <v>0</v>
          </cell>
          <cell r="AU223">
            <v>0</v>
          </cell>
          <cell r="AV223">
            <v>42818</v>
          </cell>
          <cell r="AW223">
            <v>0</v>
          </cell>
          <cell r="AX223">
            <v>42818</v>
          </cell>
          <cell r="AY223">
            <v>0</v>
          </cell>
          <cell r="AZ223">
            <v>0</v>
          </cell>
        </row>
        <row r="224">
          <cell r="B224">
            <v>0</v>
          </cell>
          <cell r="C224">
            <v>0</v>
          </cell>
          <cell r="D224">
            <v>0</v>
          </cell>
          <cell r="E224">
            <v>42817</v>
          </cell>
          <cell r="F224">
            <v>0</v>
          </cell>
          <cell r="G224">
            <v>0</v>
          </cell>
          <cell r="H224">
            <v>42817</v>
          </cell>
          <cell r="I224">
            <v>0</v>
          </cell>
          <cell r="J224">
            <v>0</v>
          </cell>
          <cell r="K224">
            <v>0</v>
          </cell>
          <cell r="L224">
            <v>0</v>
          </cell>
          <cell r="M224">
            <v>0</v>
          </cell>
          <cell r="N224">
            <v>0</v>
          </cell>
          <cell r="O224">
            <v>42817</v>
          </cell>
          <cell r="P224">
            <v>0</v>
          </cell>
          <cell r="Q224">
            <v>0</v>
          </cell>
          <cell r="R224">
            <v>0</v>
          </cell>
          <cell r="S224">
            <v>0</v>
          </cell>
          <cell r="T224">
            <v>0</v>
          </cell>
          <cell r="U224">
            <v>42817</v>
          </cell>
          <cell r="V224">
            <v>0</v>
          </cell>
          <cell r="W224">
            <v>0</v>
          </cell>
          <cell r="X224">
            <v>42818</v>
          </cell>
          <cell r="Y224">
            <v>0</v>
          </cell>
          <cell r="Z224">
            <v>0</v>
          </cell>
          <cell r="AA224">
            <v>0</v>
          </cell>
          <cell r="AB224">
            <v>42818</v>
          </cell>
          <cell r="AC224">
            <v>0</v>
          </cell>
          <cell r="AD224">
            <v>0</v>
          </cell>
          <cell r="AE224">
            <v>0</v>
          </cell>
          <cell r="AF224">
            <v>42818</v>
          </cell>
          <cell r="AG224">
            <v>0</v>
          </cell>
          <cell r="AH224">
            <v>0</v>
          </cell>
          <cell r="AI224">
            <v>42818</v>
          </cell>
          <cell r="AJ224">
            <v>0</v>
          </cell>
          <cell r="AK224">
            <v>0</v>
          </cell>
          <cell r="AL224">
            <v>42818</v>
          </cell>
          <cell r="AM224">
            <v>0</v>
          </cell>
          <cell r="AN224">
            <v>0</v>
          </cell>
          <cell r="AO224">
            <v>0</v>
          </cell>
          <cell r="AP224">
            <v>0</v>
          </cell>
          <cell r="AQ224">
            <v>0</v>
          </cell>
          <cell r="AR224">
            <v>0</v>
          </cell>
          <cell r="AS224">
            <v>42819</v>
          </cell>
          <cell r="AT224">
            <v>0</v>
          </cell>
          <cell r="AU224">
            <v>0</v>
          </cell>
          <cell r="AV224">
            <v>42819</v>
          </cell>
          <cell r="AW224">
            <v>0</v>
          </cell>
          <cell r="AX224">
            <v>42819</v>
          </cell>
          <cell r="AY224">
            <v>0</v>
          </cell>
          <cell r="AZ224">
            <v>0</v>
          </cell>
        </row>
        <row r="225">
          <cell r="B225">
            <v>0</v>
          </cell>
          <cell r="C225">
            <v>0</v>
          </cell>
          <cell r="D225">
            <v>0</v>
          </cell>
          <cell r="E225">
            <v>42818</v>
          </cell>
          <cell r="F225">
            <v>0</v>
          </cell>
          <cell r="G225">
            <v>0</v>
          </cell>
          <cell r="H225">
            <v>42818</v>
          </cell>
          <cell r="I225">
            <v>0</v>
          </cell>
          <cell r="J225">
            <v>0</v>
          </cell>
          <cell r="K225">
            <v>0</v>
          </cell>
          <cell r="L225">
            <v>0</v>
          </cell>
          <cell r="M225">
            <v>0</v>
          </cell>
          <cell r="N225">
            <v>0</v>
          </cell>
          <cell r="O225">
            <v>42818</v>
          </cell>
          <cell r="P225">
            <v>0</v>
          </cell>
          <cell r="Q225">
            <v>0</v>
          </cell>
          <cell r="R225">
            <v>0</v>
          </cell>
          <cell r="S225">
            <v>0</v>
          </cell>
          <cell r="T225">
            <v>0</v>
          </cell>
          <cell r="U225">
            <v>42818</v>
          </cell>
          <cell r="V225">
            <v>0</v>
          </cell>
          <cell r="W225">
            <v>0</v>
          </cell>
          <cell r="X225">
            <v>42819</v>
          </cell>
          <cell r="Y225">
            <v>0</v>
          </cell>
          <cell r="Z225">
            <v>0</v>
          </cell>
          <cell r="AA225">
            <v>0</v>
          </cell>
          <cell r="AB225">
            <v>42819</v>
          </cell>
          <cell r="AC225">
            <v>0</v>
          </cell>
          <cell r="AD225">
            <v>0</v>
          </cell>
          <cell r="AE225">
            <v>0</v>
          </cell>
          <cell r="AF225">
            <v>42819</v>
          </cell>
          <cell r="AG225">
            <v>0</v>
          </cell>
          <cell r="AH225">
            <v>0</v>
          </cell>
          <cell r="AI225">
            <v>42819</v>
          </cell>
          <cell r="AJ225">
            <v>0</v>
          </cell>
          <cell r="AK225">
            <v>0</v>
          </cell>
          <cell r="AL225">
            <v>42819</v>
          </cell>
          <cell r="AM225">
            <v>0</v>
          </cell>
          <cell r="AN225">
            <v>0</v>
          </cell>
          <cell r="AO225">
            <v>0</v>
          </cell>
          <cell r="AP225">
            <v>0</v>
          </cell>
          <cell r="AQ225">
            <v>0</v>
          </cell>
          <cell r="AR225">
            <v>0</v>
          </cell>
          <cell r="AS225">
            <v>42820</v>
          </cell>
          <cell r="AT225">
            <v>0</v>
          </cell>
          <cell r="AU225">
            <v>0</v>
          </cell>
          <cell r="AV225">
            <v>42820</v>
          </cell>
          <cell r="AW225">
            <v>0</v>
          </cell>
          <cell r="AX225">
            <v>42820</v>
          </cell>
          <cell r="AY225">
            <v>0</v>
          </cell>
          <cell r="AZ225">
            <v>0</v>
          </cell>
        </row>
        <row r="226">
          <cell r="B226">
            <v>0</v>
          </cell>
          <cell r="C226">
            <v>0</v>
          </cell>
          <cell r="D226">
            <v>0</v>
          </cell>
          <cell r="E226">
            <v>42819</v>
          </cell>
          <cell r="F226">
            <v>0</v>
          </cell>
          <cell r="G226">
            <v>0</v>
          </cell>
          <cell r="H226">
            <v>42819</v>
          </cell>
          <cell r="I226">
            <v>0</v>
          </cell>
          <cell r="J226">
            <v>0</v>
          </cell>
          <cell r="K226">
            <v>0</v>
          </cell>
          <cell r="L226">
            <v>0</v>
          </cell>
          <cell r="M226">
            <v>0</v>
          </cell>
          <cell r="N226">
            <v>0</v>
          </cell>
          <cell r="O226">
            <v>42819</v>
          </cell>
          <cell r="P226">
            <v>0</v>
          </cell>
          <cell r="Q226">
            <v>0</v>
          </cell>
          <cell r="R226">
            <v>0</v>
          </cell>
          <cell r="S226">
            <v>0</v>
          </cell>
          <cell r="T226">
            <v>0</v>
          </cell>
          <cell r="U226">
            <v>42819</v>
          </cell>
          <cell r="V226">
            <v>0</v>
          </cell>
          <cell r="W226">
            <v>0</v>
          </cell>
          <cell r="X226">
            <v>42820</v>
          </cell>
          <cell r="Y226">
            <v>0</v>
          </cell>
          <cell r="Z226">
            <v>0</v>
          </cell>
          <cell r="AA226">
            <v>0</v>
          </cell>
          <cell r="AB226">
            <v>42820</v>
          </cell>
          <cell r="AC226">
            <v>0</v>
          </cell>
          <cell r="AD226">
            <v>0</v>
          </cell>
          <cell r="AE226">
            <v>0</v>
          </cell>
          <cell r="AF226">
            <v>42820</v>
          </cell>
          <cell r="AG226">
            <v>0</v>
          </cell>
          <cell r="AH226">
            <v>0</v>
          </cell>
          <cell r="AI226">
            <v>42820</v>
          </cell>
          <cell r="AJ226">
            <v>0</v>
          </cell>
          <cell r="AK226">
            <v>0</v>
          </cell>
          <cell r="AL226">
            <v>42820</v>
          </cell>
          <cell r="AM226">
            <v>0</v>
          </cell>
          <cell r="AN226">
            <v>0</v>
          </cell>
          <cell r="AO226">
            <v>0</v>
          </cell>
          <cell r="AP226">
            <v>0</v>
          </cell>
          <cell r="AQ226">
            <v>0</v>
          </cell>
          <cell r="AR226">
            <v>0</v>
          </cell>
          <cell r="AS226">
            <v>42821</v>
          </cell>
          <cell r="AT226">
            <v>0</v>
          </cell>
          <cell r="AU226">
            <v>0</v>
          </cell>
          <cell r="AV226">
            <v>42821</v>
          </cell>
          <cell r="AW226">
            <v>0</v>
          </cell>
          <cell r="AX226">
            <v>42821</v>
          </cell>
          <cell r="AY226">
            <v>0</v>
          </cell>
          <cell r="AZ226">
            <v>0</v>
          </cell>
        </row>
        <row r="227">
          <cell r="B227">
            <v>0</v>
          </cell>
          <cell r="C227">
            <v>0</v>
          </cell>
          <cell r="D227">
            <v>0</v>
          </cell>
          <cell r="E227">
            <v>42820</v>
          </cell>
          <cell r="F227">
            <v>0</v>
          </cell>
          <cell r="G227">
            <v>0</v>
          </cell>
          <cell r="H227">
            <v>42820</v>
          </cell>
          <cell r="I227">
            <v>0</v>
          </cell>
          <cell r="J227">
            <v>0</v>
          </cell>
          <cell r="K227">
            <v>0</v>
          </cell>
          <cell r="L227">
            <v>0</v>
          </cell>
          <cell r="M227">
            <v>0</v>
          </cell>
          <cell r="N227">
            <v>0</v>
          </cell>
          <cell r="O227">
            <v>42820</v>
          </cell>
          <cell r="P227">
            <v>0</v>
          </cell>
          <cell r="Q227">
            <v>0</v>
          </cell>
          <cell r="R227">
            <v>0</v>
          </cell>
          <cell r="S227">
            <v>0</v>
          </cell>
          <cell r="T227">
            <v>0</v>
          </cell>
          <cell r="U227">
            <v>42820</v>
          </cell>
          <cell r="V227">
            <v>0</v>
          </cell>
          <cell r="W227">
            <v>0</v>
          </cell>
          <cell r="X227">
            <v>42821</v>
          </cell>
          <cell r="Y227">
            <v>0</v>
          </cell>
          <cell r="Z227">
            <v>0</v>
          </cell>
          <cell r="AA227">
            <v>0</v>
          </cell>
          <cell r="AB227">
            <v>42821</v>
          </cell>
          <cell r="AC227">
            <v>0</v>
          </cell>
          <cell r="AD227">
            <v>0</v>
          </cell>
          <cell r="AE227">
            <v>0</v>
          </cell>
          <cell r="AF227">
            <v>42821</v>
          </cell>
          <cell r="AG227">
            <v>0</v>
          </cell>
          <cell r="AH227">
            <v>0</v>
          </cell>
          <cell r="AI227">
            <v>42821</v>
          </cell>
          <cell r="AJ227">
            <v>0</v>
          </cell>
          <cell r="AK227">
            <v>0</v>
          </cell>
          <cell r="AL227">
            <v>42821</v>
          </cell>
          <cell r="AM227">
            <v>0</v>
          </cell>
          <cell r="AN227">
            <v>0</v>
          </cell>
          <cell r="AO227">
            <v>0</v>
          </cell>
          <cell r="AP227">
            <v>0</v>
          </cell>
          <cell r="AQ227">
            <v>0</v>
          </cell>
          <cell r="AR227">
            <v>0</v>
          </cell>
          <cell r="AS227">
            <v>42822</v>
          </cell>
          <cell r="AT227">
            <v>0</v>
          </cell>
          <cell r="AU227">
            <v>0</v>
          </cell>
          <cell r="AV227">
            <v>42822</v>
          </cell>
          <cell r="AW227">
            <v>0</v>
          </cell>
          <cell r="AX227">
            <v>42822</v>
          </cell>
          <cell r="AY227">
            <v>0</v>
          </cell>
          <cell r="AZ227">
            <v>0</v>
          </cell>
        </row>
        <row r="228">
          <cell r="B228">
            <v>0</v>
          </cell>
          <cell r="C228">
            <v>0</v>
          </cell>
          <cell r="D228">
            <v>0</v>
          </cell>
          <cell r="E228">
            <v>42821</v>
          </cell>
          <cell r="F228">
            <v>0</v>
          </cell>
          <cell r="G228">
            <v>0</v>
          </cell>
          <cell r="H228">
            <v>42821</v>
          </cell>
          <cell r="I228">
            <v>0</v>
          </cell>
          <cell r="J228">
            <v>0</v>
          </cell>
          <cell r="K228">
            <v>0</v>
          </cell>
          <cell r="L228">
            <v>0</v>
          </cell>
          <cell r="M228">
            <v>0</v>
          </cell>
          <cell r="N228">
            <v>0</v>
          </cell>
          <cell r="O228">
            <v>42821</v>
          </cell>
          <cell r="P228">
            <v>0</v>
          </cell>
          <cell r="Q228">
            <v>0</v>
          </cell>
          <cell r="R228">
            <v>0</v>
          </cell>
          <cell r="S228">
            <v>0</v>
          </cell>
          <cell r="T228">
            <v>0</v>
          </cell>
          <cell r="U228">
            <v>42821</v>
          </cell>
          <cell r="V228">
            <v>0</v>
          </cell>
          <cell r="W228">
            <v>0</v>
          </cell>
          <cell r="X228">
            <v>42822</v>
          </cell>
          <cell r="Y228">
            <v>0</v>
          </cell>
          <cell r="Z228">
            <v>0</v>
          </cell>
          <cell r="AA228">
            <v>0</v>
          </cell>
          <cell r="AB228">
            <v>42822</v>
          </cell>
          <cell r="AC228">
            <v>0</v>
          </cell>
          <cell r="AD228">
            <v>0</v>
          </cell>
          <cell r="AE228">
            <v>0</v>
          </cell>
          <cell r="AF228">
            <v>42822</v>
          </cell>
          <cell r="AG228">
            <v>0</v>
          </cell>
          <cell r="AH228">
            <v>0</v>
          </cell>
          <cell r="AI228">
            <v>42822</v>
          </cell>
          <cell r="AJ228">
            <v>0</v>
          </cell>
          <cell r="AK228">
            <v>0</v>
          </cell>
          <cell r="AL228">
            <v>42822</v>
          </cell>
          <cell r="AM228">
            <v>0</v>
          </cell>
          <cell r="AN228">
            <v>0</v>
          </cell>
          <cell r="AO228">
            <v>0</v>
          </cell>
          <cell r="AP228">
            <v>0</v>
          </cell>
          <cell r="AQ228">
            <v>0</v>
          </cell>
          <cell r="AR228">
            <v>0</v>
          </cell>
          <cell r="AS228">
            <v>42823</v>
          </cell>
          <cell r="AT228">
            <v>0</v>
          </cell>
          <cell r="AU228">
            <v>0</v>
          </cell>
          <cell r="AV228">
            <v>42823</v>
          </cell>
          <cell r="AW228">
            <v>0</v>
          </cell>
          <cell r="AX228">
            <v>42823</v>
          </cell>
          <cell r="AY228">
            <v>0</v>
          </cell>
          <cell r="AZ228">
            <v>0</v>
          </cell>
        </row>
        <row r="229">
          <cell r="B229">
            <v>0</v>
          </cell>
          <cell r="C229">
            <v>0</v>
          </cell>
          <cell r="D229">
            <v>0</v>
          </cell>
          <cell r="E229">
            <v>42822</v>
          </cell>
          <cell r="F229">
            <v>0</v>
          </cell>
          <cell r="G229">
            <v>0</v>
          </cell>
          <cell r="H229">
            <v>42822</v>
          </cell>
          <cell r="I229">
            <v>0</v>
          </cell>
          <cell r="J229">
            <v>0</v>
          </cell>
          <cell r="K229">
            <v>0</v>
          </cell>
          <cell r="L229">
            <v>0</v>
          </cell>
          <cell r="M229">
            <v>0</v>
          </cell>
          <cell r="N229">
            <v>0</v>
          </cell>
          <cell r="O229">
            <v>42822</v>
          </cell>
          <cell r="P229">
            <v>0</v>
          </cell>
          <cell r="Q229">
            <v>0</v>
          </cell>
          <cell r="R229">
            <v>0</v>
          </cell>
          <cell r="S229">
            <v>0</v>
          </cell>
          <cell r="T229">
            <v>0</v>
          </cell>
          <cell r="U229">
            <v>42822</v>
          </cell>
          <cell r="V229">
            <v>0</v>
          </cell>
          <cell r="W229">
            <v>0</v>
          </cell>
          <cell r="X229">
            <v>42823</v>
          </cell>
          <cell r="Y229">
            <v>0</v>
          </cell>
          <cell r="Z229">
            <v>0</v>
          </cell>
          <cell r="AA229">
            <v>0</v>
          </cell>
          <cell r="AB229">
            <v>42823</v>
          </cell>
          <cell r="AC229">
            <v>0</v>
          </cell>
          <cell r="AD229">
            <v>0</v>
          </cell>
          <cell r="AE229">
            <v>0</v>
          </cell>
          <cell r="AF229">
            <v>42823</v>
          </cell>
          <cell r="AG229">
            <v>0</v>
          </cell>
          <cell r="AH229">
            <v>0</v>
          </cell>
          <cell r="AI229">
            <v>42823</v>
          </cell>
          <cell r="AJ229">
            <v>0</v>
          </cell>
          <cell r="AK229">
            <v>0</v>
          </cell>
          <cell r="AL229">
            <v>42823</v>
          </cell>
          <cell r="AM229">
            <v>0</v>
          </cell>
          <cell r="AN229">
            <v>0</v>
          </cell>
          <cell r="AO229">
            <v>0</v>
          </cell>
          <cell r="AP229">
            <v>0</v>
          </cell>
          <cell r="AQ229">
            <v>0</v>
          </cell>
          <cell r="AR229">
            <v>0</v>
          </cell>
          <cell r="AS229">
            <v>42824</v>
          </cell>
          <cell r="AT229">
            <v>0</v>
          </cell>
          <cell r="AU229">
            <v>0</v>
          </cell>
          <cell r="AV229">
            <v>42824</v>
          </cell>
          <cell r="AW229">
            <v>0</v>
          </cell>
          <cell r="AX229">
            <v>42824</v>
          </cell>
          <cell r="AY229">
            <v>0</v>
          </cell>
          <cell r="AZ229">
            <v>0</v>
          </cell>
        </row>
        <row r="230">
          <cell r="B230">
            <v>0</v>
          </cell>
          <cell r="C230">
            <v>0</v>
          </cell>
          <cell r="D230">
            <v>0</v>
          </cell>
          <cell r="E230">
            <v>42823</v>
          </cell>
          <cell r="F230">
            <v>0</v>
          </cell>
          <cell r="G230">
            <v>0</v>
          </cell>
          <cell r="H230">
            <v>42823</v>
          </cell>
          <cell r="I230">
            <v>0</v>
          </cell>
          <cell r="J230">
            <v>0</v>
          </cell>
          <cell r="K230">
            <v>0</v>
          </cell>
          <cell r="L230">
            <v>0</v>
          </cell>
          <cell r="M230">
            <v>0</v>
          </cell>
          <cell r="N230">
            <v>0</v>
          </cell>
          <cell r="O230">
            <v>42823</v>
          </cell>
          <cell r="P230">
            <v>0</v>
          </cell>
          <cell r="Q230">
            <v>0</v>
          </cell>
          <cell r="R230">
            <v>0</v>
          </cell>
          <cell r="S230">
            <v>0</v>
          </cell>
          <cell r="T230">
            <v>0</v>
          </cell>
          <cell r="U230">
            <v>42823</v>
          </cell>
          <cell r="V230">
            <v>0</v>
          </cell>
          <cell r="W230">
            <v>0</v>
          </cell>
          <cell r="X230">
            <v>42824</v>
          </cell>
          <cell r="Y230">
            <v>0</v>
          </cell>
          <cell r="Z230">
            <v>0</v>
          </cell>
          <cell r="AA230">
            <v>0</v>
          </cell>
          <cell r="AB230">
            <v>42824</v>
          </cell>
          <cell r="AC230">
            <v>0</v>
          </cell>
          <cell r="AD230">
            <v>0</v>
          </cell>
          <cell r="AE230">
            <v>0</v>
          </cell>
          <cell r="AF230">
            <v>42824</v>
          </cell>
          <cell r="AG230">
            <v>0</v>
          </cell>
          <cell r="AH230">
            <v>0</v>
          </cell>
          <cell r="AI230">
            <v>42824</v>
          </cell>
          <cell r="AJ230">
            <v>0</v>
          </cell>
          <cell r="AK230">
            <v>0</v>
          </cell>
          <cell r="AL230">
            <v>42824</v>
          </cell>
          <cell r="AM230">
            <v>0</v>
          </cell>
          <cell r="AN230">
            <v>0</v>
          </cell>
          <cell r="AO230">
            <v>0</v>
          </cell>
          <cell r="AP230">
            <v>0</v>
          </cell>
          <cell r="AQ230">
            <v>0</v>
          </cell>
          <cell r="AR230">
            <v>0</v>
          </cell>
          <cell r="AS230">
            <v>42825</v>
          </cell>
          <cell r="AT230">
            <v>0</v>
          </cell>
          <cell r="AU230">
            <v>0</v>
          </cell>
          <cell r="AV230">
            <v>42825</v>
          </cell>
          <cell r="AW230">
            <v>0</v>
          </cell>
          <cell r="AX230">
            <v>42825</v>
          </cell>
          <cell r="AY230">
            <v>0</v>
          </cell>
          <cell r="AZ230">
            <v>0</v>
          </cell>
        </row>
        <row r="231">
          <cell r="B231">
            <v>0</v>
          </cell>
          <cell r="C231">
            <v>0</v>
          </cell>
          <cell r="D231">
            <v>0</v>
          </cell>
          <cell r="E231">
            <v>42824</v>
          </cell>
          <cell r="F231">
            <v>0</v>
          </cell>
          <cell r="G231">
            <v>0</v>
          </cell>
          <cell r="H231">
            <v>42824</v>
          </cell>
          <cell r="I231">
            <v>0</v>
          </cell>
          <cell r="J231">
            <v>0</v>
          </cell>
          <cell r="K231">
            <v>0</v>
          </cell>
          <cell r="L231">
            <v>0</v>
          </cell>
          <cell r="M231">
            <v>0</v>
          </cell>
          <cell r="N231">
            <v>0</v>
          </cell>
          <cell r="O231">
            <v>42824</v>
          </cell>
          <cell r="P231">
            <v>0</v>
          </cell>
          <cell r="Q231">
            <v>0</v>
          </cell>
          <cell r="R231">
            <v>0</v>
          </cell>
          <cell r="S231">
            <v>0</v>
          </cell>
          <cell r="T231">
            <v>0</v>
          </cell>
          <cell r="U231">
            <v>42824</v>
          </cell>
          <cell r="V231">
            <v>0</v>
          </cell>
          <cell r="W231">
            <v>0</v>
          </cell>
          <cell r="X231">
            <v>42825</v>
          </cell>
          <cell r="Y231">
            <v>0</v>
          </cell>
          <cell r="Z231">
            <v>0</v>
          </cell>
          <cell r="AA231">
            <v>0</v>
          </cell>
          <cell r="AB231">
            <v>42825</v>
          </cell>
          <cell r="AC231">
            <v>0</v>
          </cell>
          <cell r="AD231">
            <v>0</v>
          </cell>
          <cell r="AE231">
            <v>0</v>
          </cell>
          <cell r="AF231">
            <v>42825</v>
          </cell>
          <cell r="AG231">
            <v>0</v>
          </cell>
          <cell r="AH231">
            <v>0</v>
          </cell>
          <cell r="AI231">
            <v>42825</v>
          </cell>
          <cell r="AJ231">
            <v>0</v>
          </cell>
          <cell r="AK231">
            <v>0</v>
          </cell>
          <cell r="AL231">
            <v>42825</v>
          </cell>
          <cell r="AM231">
            <v>0</v>
          </cell>
          <cell r="AN231">
            <v>0</v>
          </cell>
          <cell r="AO231">
            <v>0</v>
          </cell>
          <cell r="AP231">
            <v>0</v>
          </cell>
          <cell r="AQ231">
            <v>0</v>
          </cell>
          <cell r="AR231">
            <v>0</v>
          </cell>
          <cell r="AS231">
            <v>42826</v>
          </cell>
          <cell r="AT231">
            <v>0</v>
          </cell>
          <cell r="AU231">
            <v>0</v>
          </cell>
          <cell r="AV231">
            <v>42826</v>
          </cell>
          <cell r="AW231">
            <v>0</v>
          </cell>
          <cell r="AX231">
            <v>42826</v>
          </cell>
          <cell r="AY231">
            <v>0</v>
          </cell>
          <cell r="AZ231">
            <v>0</v>
          </cell>
        </row>
        <row r="232">
          <cell r="B232">
            <v>0</v>
          </cell>
          <cell r="C232">
            <v>0</v>
          </cell>
          <cell r="D232">
            <v>0</v>
          </cell>
          <cell r="E232">
            <v>42825</v>
          </cell>
          <cell r="F232">
            <v>0</v>
          </cell>
          <cell r="G232">
            <v>0</v>
          </cell>
          <cell r="H232">
            <v>42825</v>
          </cell>
          <cell r="I232">
            <v>0</v>
          </cell>
          <cell r="J232">
            <v>0</v>
          </cell>
          <cell r="K232">
            <v>0</v>
          </cell>
          <cell r="L232">
            <v>0</v>
          </cell>
          <cell r="M232">
            <v>0</v>
          </cell>
          <cell r="N232">
            <v>0</v>
          </cell>
          <cell r="O232">
            <v>42825</v>
          </cell>
          <cell r="P232">
            <v>0</v>
          </cell>
          <cell r="Q232">
            <v>0</v>
          </cell>
          <cell r="R232">
            <v>0</v>
          </cell>
          <cell r="S232">
            <v>0</v>
          </cell>
          <cell r="T232">
            <v>0</v>
          </cell>
          <cell r="U232">
            <v>42825</v>
          </cell>
          <cell r="V232">
            <v>0</v>
          </cell>
          <cell r="W232">
            <v>0</v>
          </cell>
          <cell r="X232">
            <v>42826</v>
          </cell>
          <cell r="Y232">
            <v>0</v>
          </cell>
          <cell r="Z232">
            <v>0</v>
          </cell>
          <cell r="AA232">
            <v>0</v>
          </cell>
          <cell r="AB232">
            <v>42826</v>
          </cell>
          <cell r="AC232">
            <v>0</v>
          </cell>
          <cell r="AD232">
            <v>0</v>
          </cell>
          <cell r="AE232">
            <v>0</v>
          </cell>
          <cell r="AF232">
            <v>42826</v>
          </cell>
          <cell r="AG232">
            <v>0</v>
          </cell>
          <cell r="AH232">
            <v>0</v>
          </cell>
          <cell r="AI232">
            <v>42826</v>
          </cell>
          <cell r="AJ232">
            <v>0</v>
          </cell>
          <cell r="AK232">
            <v>0</v>
          </cell>
          <cell r="AL232">
            <v>42826</v>
          </cell>
          <cell r="AM232">
            <v>0</v>
          </cell>
          <cell r="AN232">
            <v>0</v>
          </cell>
          <cell r="AO232">
            <v>0</v>
          </cell>
          <cell r="AP232">
            <v>0</v>
          </cell>
          <cell r="AQ232">
            <v>0</v>
          </cell>
          <cell r="AR232">
            <v>0</v>
          </cell>
          <cell r="AS232">
            <v>42827</v>
          </cell>
          <cell r="AT232">
            <v>0</v>
          </cell>
          <cell r="AU232">
            <v>0</v>
          </cell>
          <cell r="AV232">
            <v>42827</v>
          </cell>
          <cell r="AW232">
            <v>0</v>
          </cell>
          <cell r="AX232">
            <v>42827</v>
          </cell>
          <cell r="AY232">
            <v>0</v>
          </cell>
          <cell r="AZ232">
            <v>0</v>
          </cell>
        </row>
        <row r="233">
          <cell r="B233">
            <v>0</v>
          </cell>
          <cell r="C233">
            <v>0</v>
          </cell>
          <cell r="D233">
            <v>0</v>
          </cell>
          <cell r="E233">
            <v>42826</v>
          </cell>
          <cell r="F233">
            <v>0</v>
          </cell>
          <cell r="G233">
            <v>0</v>
          </cell>
          <cell r="H233">
            <v>42826</v>
          </cell>
          <cell r="I233">
            <v>0</v>
          </cell>
          <cell r="J233">
            <v>0</v>
          </cell>
          <cell r="K233">
            <v>0</v>
          </cell>
          <cell r="L233">
            <v>0</v>
          </cell>
          <cell r="M233">
            <v>0</v>
          </cell>
          <cell r="N233">
            <v>0</v>
          </cell>
          <cell r="O233">
            <v>42826</v>
          </cell>
          <cell r="P233">
            <v>0</v>
          </cell>
          <cell r="Q233">
            <v>0</v>
          </cell>
          <cell r="R233">
            <v>0</v>
          </cell>
          <cell r="S233">
            <v>0</v>
          </cell>
          <cell r="T233">
            <v>0</v>
          </cell>
          <cell r="U233">
            <v>42826</v>
          </cell>
          <cell r="V233">
            <v>0</v>
          </cell>
          <cell r="W233">
            <v>0</v>
          </cell>
          <cell r="X233">
            <v>42827</v>
          </cell>
          <cell r="Y233">
            <v>0</v>
          </cell>
          <cell r="Z233">
            <v>0</v>
          </cell>
          <cell r="AA233">
            <v>0</v>
          </cell>
          <cell r="AB233">
            <v>42827</v>
          </cell>
          <cell r="AC233">
            <v>0</v>
          </cell>
          <cell r="AD233">
            <v>0</v>
          </cell>
          <cell r="AE233">
            <v>0</v>
          </cell>
          <cell r="AF233">
            <v>42827</v>
          </cell>
          <cell r="AG233">
            <v>0</v>
          </cell>
          <cell r="AH233">
            <v>0</v>
          </cell>
          <cell r="AI233">
            <v>42827</v>
          </cell>
          <cell r="AJ233">
            <v>0</v>
          </cell>
          <cell r="AK233">
            <v>0</v>
          </cell>
          <cell r="AL233">
            <v>42827</v>
          </cell>
          <cell r="AM233">
            <v>0</v>
          </cell>
          <cell r="AN233">
            <v>0</v>
          </cell>
          <cell r="AO233">
            <v>0</v>
          </cell>
          <cell r="AP233">
            <v>0</v>
          </cell>
          <cell r="AQ233">
            <v>0</v>
          </cell>
          <cell r="AR233">
            <v>0</v>
          </cell>
          <cell r="AS233">
            <v>42828</v>
          </cell>
          <cell r="AT233">
            <v>0</v>
          </cell>
          <cell r="AU233">
            <v>0</v>
          </cell>
          <cell r="AV233">
            <v>42828</v>
          </cell>
          <cell r="AW233">
            <v>0</v>
          </cell>
          <cell r="AX233">
            <v>42828</v>
          </cell>
          <cell r="AY233">
            <v>0</v>
          </cell>
          <cell r="AZ233">
            <v>0</v>
          </cell>
        </row>
        <row r="234">
          <cell r="B234">
            <v>0</v>
          </cell>
          <cell r="C234">
            <v>0</v>
          </cell>
          <cell r="D234">
            <v>0</v>
          </cell>
          <cell r="E234">
            <v>42827</v>
          </cell>
          <cell r="F234">
            <v>0</v>
          </cell>
          <cell r="G234">
            <v>0</v>
          </cell>
          <cell r="H234">
            <v>42827</v>
          </cell>
          <cell r="I234">
            <v>0</v>
          </cell>
          <cell r="J234">
            <v>0</v>
          </cell>
          <cell r="K234">
            <v>0</v>
          </cell>
          <cell r="L234">
            <v>0</v>
          </cell>
          <cell r="M234">
            <v>0</v>
          </cell>
          <cell r="N234">
            <v>0</v>
          </cell>
          <cell r="O234">
            <v>42827</v>
          </cell>
          <cell r="P234">
            <v>0</v>
          </cell>
          <cell r="Q234">
            <v>0</v>
          </cell>
          <cell r="R234">
            <v>0</v>
          </cell>
          <cell r="S234">
            <v>0</v>
          </cell>
          <cell r="T234">
            <v>0</v>
          </cell>
          <cell r="U234">
            <v>42827</v>
          </cell>
          <cell r="V234">
            <v>0</v>
          </cell>
          <cell r="W234">
            <v>0</v>
          </cell>
          <cell r="X234">
            <v>42828</v>
          </cell>
          <cell r="Y234">
            <v>0</v>
          </cell>
          <cell r="Z234">
            <v>0</v>
          </cell>
          <cell r="AA234">
            <v>0</v>
          </cell>
          <cell r="AB234">
            <v>42828</v>
          </cell>
          <cell r="AC234">
            <v>0</v>
          </cell>
          <cell r="AD234">
            <v>0</v>
          </cell>
          <cell r="AE234">
            <v>0</v>
          </cell>
          <cell r="AF234">
            <v>42828</v>
          </cell>
          <cell r="AG234">
            <v>0</v>
          </cell>
          <cell r="AH234">
            <v>0</v>
          </cell>
          <cell r="AI234">
            <v>42828</v>
          </cell>
          <cell r="AJ234">
            <v>0</v>
          </cell>
          <cell r="AK234">
            <v>0</v>
          </cell>
          <cell r="AL234">
            <v>42828</v>
          </cell>
          <cell r="AM234">
            <v>0</v>
          </cell>
          <cell r="AN234">
            <v>0</v>
          </cell>
          <cell r="AO234">
            <v>0</v>
          </cell>
          <cell r="AP234">
            <v>0</v>
          </cell>
          <cell r="AQ234">
            <v>0</v>
          </cell>
          <cell r="AR234">
            <v>0</v>
          </cell>
          <cell r="AS234">
            <v>42829</v>
          </cell>
          <cell r="AT234">
            <v>0</v>
          </cell>
          <cell r="AU234">
            <v>0</v>
          </cell>
          <cell r="AV234">
            <v>42829</v>
          </cell>
          <cell r="AW234">
            <v>0</v>
          </cell>
          <cell r="AX234">
            <v>42829</v>
          </cell>
          <cell r="AY234">
            <v>0</v>
          </cell>
          <cell r="AZ234">
            <v>0</v>
          </cell>
        </row>
        <row r="235">
          <cell r="B235">
            <v>0</v>
          </cell>
          <cell r="C235">
            <v>0</v>
          </cell>
          <cell r="D235">
            <v>0</v>
          </cell>
          <cell r="E235">
            <v>42828</v>
          </cell>
          <cell r="F235">
            <v>0</v>
          </cell>
          <cell r="G235">
            <v>0</v>
          </cell>
          <cell r="H235">
            <v>42828</v>
          </cell>
          <cell r="I235">
            <v>0</v>
          </cell>
          <cell r="J235">
            <v>0</v>
          </cell>
          <cell r="K235">
            <v>0</v>
          </cell>
          <cell r="L235">
            <v>0</v>
          </cell>
          <cell r="M235">
            <v>0</v>
          </cell>
          <cell r="N235">
            <v>0</v>
          </cell>
          <cell r="O235">
            <v>42828</v>
          </cell>
          <cell r="P235">
            <v>0</v>
          </cell>
          <cell r="Q235">
            <v>0</v>
          </cell>
          <cell r="R235">
            <v>0</v>
          </cell>
          <cell r="S235">
            <v>0</v>
          </cell>
          <cell r="T235">
            <v>0</v>
          </cell>
          <cell r="U235">
            <v>42828</v>
          </cell>
          <cell r="V235">
            <v>0</v>
          </cell>
          <cell r="W235">
            <v>0</v>
          </cell>
          <cell r="X235">
            <v>42829</v>
          </cell>
          <cell r="Y235">
            <v>0</v>
          </cell>
          <cell r="Z235">
            <v>0</v>
          </cell>
          <cell r="AA235">
            <v>0</v>
          </cell>
          <cell r="AB235">
            <v>42829</v>
          </cell>
          <cell r="AC235">
            <v>0</v>
          </cell>
          <cell r="AD235">
            <v>0</v>
          </cell>
          <cell r="AE235">
            <v>0</v>
          </cell>
          <cell r="AF235">
            <v>42829</v>
          </cell>
          <cell r="AG235">
            <v>0</v>
          </cell>
          <cell r="AH235">
            <v>0</v>
          </cell>
          <cell r="AI235">
            <v>42829</v>
          </cell>
          <cell r="AJ235">
            <v>0</v>
          </cell>
          <cell r="AK235">
            <v>0</v>
          </cell>
          <cell r="AL235">
            <v>42829</v>
          </cell>
          <cell r="AM235">
            <v>0</v>
          </cell>
          <cell r="AN235">
            <v>0</v>
          </cell>
          <cell r="AO235">
            <v>0</v>
          </cell>
          <cell r="AP235">
            <v>0</v>
          </cell>
          <cell r="AQ235">
            <v>0</v>
          </cell>
          <cell r="AR235">
            <v>0</v>
          </cell>
          <cell r="AS235">
            <v>42830</v>
          </cell>
          <cell r="AT235">
            <v>0</v>
          </cell>
          <cell r="AU235">
            <v>0</v>
          </cell>
          <cell r="AV235">
            <v>42830</v>
          </cell>
          <cell r="AW235">
            <v>0</v>
          </cell>
          <cell r="AX235">
            <v>42830</v>
          </cell>
          <cell r="AY235">
            <v>0</v>
          </cell>
          <cell r="AZ235">
            <v>0</v>
          </cell>
        </row>
        <row r="236">
          <cell r="B236">
            <v>0</v>
          </cell>
          <cell r="C236">
            <v>0</v>
          </cell>
          <cell r="D236">
            <v>0</v>
          </cell>
          <cell r="E236">
            <v>42829</v>
          </cell>
          <cell r="F236">
            <v>0</v>
          </cell>
          <cell r="G236">
            <v>0</v>
          </cell>
          <cell r="H236">
            <v>42829</v>
          </cell>
          <cell r="I236">
            <v>0</v>
          </cell>
          <cell r="J236">
            <v>0</v>
          </cell>
          <cell r="K236">
            <v>0</v>
          </cell>
          <cell r="L236">
            <v>0</v>
          </cell>
          <cell r="M236">
            <v>0</v>
          </cell>
          <cell r="N236">
            <v>0</v>
          </cell>
          <cell r="O236">
            <v>42829</v>
          </cell>
          <cell r="P236">
            <v>0</v>
          </cell>
          <cell r="Q236">
            <v>0</v>
          </cell>
          <cell r="R236">
            <v>0</v>
          </cell>
          <cell r="S236">
            <v>0</v>
          </cell>
          <cell r="T236">
            <v>0</v>
          </cell>
          <cell r="U236">
            <v>42829</v>
          </cell>
          <cell r="V236">
            <v>0</v>
          </cell>
          <cell r="W236">
            <v>0</v>
          </cell>
          <cell r="X236">
            <v>42830</v>
          </cell>
          <cell r="Y236">
            <v>0</v>
          </cell>
          <cell r="Z236">
            <v>0</v>
          </cell>
          <cell r="AA236">
            <v>0</v>
          </cell>
          <cell r="AB236">
            <v>42830</v>
          </cell>
          <cell r="AC236">
            <v>0</v>
          </cell>
          <cell r="AD236">
            <v>0</v>
          </cell>
          <cell r="AE236">
            <v>0</v>
          </cell>
          <cell r="AF236">
            <v>42830</v>
          </cell>
          <cell r="AG236">
            <v>0</v>
          </cell>
          <cell r="AH236">
            <v>0</v>
          </cell>
          <cell r="AI236">
            <v>42830</v>
          </cell>
          <cell r="AJ236">
            <v>0</v>
          </cell>
          <cell r="AK236">
            <v>0</v>
          </cell>
          <cell r="AL236">
            <v>42830</v>
          </cell>
          <cell r="AM236">
            <v>0</v>
          </cell>
          <cell r="AN236">
            <v>0</v>
          </cell>
          <cell r="AO236">
            <v>0</v>
          </cell>
          <cell r="AP236">
            <v>0</v>
          </cell>
          <cell r="AQ236">
            <v>0</v>
          </cell>
          <cell r="AR236">
            <v>0</v>
          </cell>
          <cell r="AS236">
            <v>42831</v>
          </cell>
          <cell r="AT236">
            <v>0</v>
          </cell>
          <cell r="AU236">
            <v>0</v>
          </cell>
          <cell r="AV236">
            <v>42831</v>
          </cell>
          <cell r="AW236">
            <v>0</v>
          </cell>
          <cell r="AX236">
            <v>42831</v>
          </cell>
          <cell r="AY236">
            <v>0</v>
          </cell>
          <cell r="AZ236">
            <v>0</v>
          </cell>
        </row>
        <row r="237">
          <cell r="B237">
            <v>0</v>
          </cell>
          <cell r="C237">
            <v>0</v>
          </cell>
          <cell r="D237">
            <v>0</v>
          </cell>
          <cell r="E237">
            <v>42830</v>
          </cell>
          <cell r="F237">
            <v>0</v>
          </cell>
          <cell r="G237">
            <v>0</v>
          </cell>
          <cell r="H237">
            <v>42830</v>
          </cell>
          <cell r="I237">
            <v>0</v>
          </cell>
          <cell r="J237">
            <v>0</v>
          </cell>
          <cell r="K237">
            <v>0</v>
          </cell>
          <cell r="L237">
            <v>0</v>
          </cell>
          <cell r="M237">
            <v>0</v>
          </cell>
          <cell r="N237">
            <v>0</v>
          </cell>
          <cell r="O237">
            <v>42830</v>
          </cell>
          <cell r="P237">
            <v>0</v>
          </cell>
          <cell r="Q237">
            <v>0</v>
          </cell>
          <cell r="R237">
            <v>0</v>
          </cell>
          <cell r="S237">
            <v>0</v>
          </cell>
          <cell r="T237">
            <v>0</v>
          </cell>
          <cell r="U237">
            <v>42830</v>
          </cell>
          <cell r="V237">
            <v>0</v>
          </cell>
          <cell r="W237">
            <v>0</v>
          </cell>
          <cell r="X237">
            <v>42831</v>
          </cell>
          <cell r="Y237">
            <v>0</v>
          </cell>
          <cell r="Z237">
            <v>0</v>
          </cell>
          <cell r="AA237">
            <v>0</v>
          </cell>
          <cell r="AB237">
            <v>42831</v>
          </cell>
          <cell r="AC237">
            <v>0</v>
          </cell>
          <cell r="AD237">
            <v>0</v>
          </cell>
          <cell r="AE237">
            <v>0</v>
          </cell>
          <cell r="AF237">
            <v>42831</v>
          </cell>
          <cell r="AG237">
            <v>0</v>
          </cell>
          <cell r="AH237">
            <v>0</v>
          </cell>
          <cell r="AI237">
            <v>42831</v>
          </cell>
          <cell r="AJ237">
            <v>0</v>
          </cell>
          <cell r="AK237">
            <v>0</v>
          </cell>
          <cell r="AL237">
            <v>42831</v>
          </cell>
          <cell r="AM237">
            <v>0</v>
          </cell>
          <cell r="AN237">
            <v>0</v>
          </cell>
          <cell r="AO237">
            <v>0</v>
          </cell>
          <cell r="AP237">
            <v>0</v>
          </cell>
          <cell r="AQ237">
            <v>0</v>
          </cell>
          <cell r="AR237">
            <v>0</v>
          </cell>
          <cell r="AS237">
            <v>42832</v>
          </cell>
          <cell r="AT237">
            <v>0</v>
          </cell>
          <cell r="AU237">
            <v>0</v>
          </cell>
          <cell r="AV237">
            <v>42832</v>
          </cell>
          <cell r="AW237">
            <v>0</v>
          </cell>
          <cell r="AX237">
            <v>42832</v>
          </cell>
          <cell r="AY237">
            <v>0</v>
          </cell>
          <cell r="AZ237">
            <v>0</v>
          </cell>
        </row>
        <row r="238">
          <cell r="B238">
            <v>0</v>
          </cell>
          <cell r="C238">
            <v>0</v>
          </cell>
          <cell r="D238">
            <v>0</v>
          </cell>
          <cell r="E238">
            <v>42831</v>
          </cell>
          <cell r="F238">
            <v>0</v>
          </cell>
          <cell r="G238">
            <v>0</v>
          </cell>
          <cell r="H238">
            <v>42831</v>
          </cell>
          <cell r="I238">
            <v>0</v>
          </cell>
          <cell r="J238">
            <v>0</v>
          </cell>
          <cell r="K238">
            <v>0</v>
          </cell>
          <cell r="L238">
            <v>0</v>
          </cell>
          <cell r="M238">
            <v>0</v>
          </cell>
          <cell r="N238">
            <v>0</v>
          </cell>
          <cell r="O238">
            <v>42831</v>
          </cell>
          <cell r="P238">
            <v>0</v>
          </cell>
          <cell r="Q238">
            <v>0</v>
          </cell>
          <cell r="R238">
            <v>0</v>
          </cell>
          <cell r="S238">
            <v>0</v>
          </cell>
          <cell r="T238">
            <v>0</v>
          </cell>
          <cell r="U238">
            <v>42831</v>
          </cell>
          <cell r="V238">
            <v>0</v>
          </cell>
          <cell r="W238">
            <v>0</v>
          </cell>
          <cell r="X238">
            <v>42832</v>
          </cell>
          <cell r="Y238">
            <v>0</v>
          </cell>
          <cell r="Z238">
            <v>0</v>
          </cell>
          <cell r="AA238">
            <v>0</v>
          </cell>
          <cell r="AB238">
            <v>42832</v>
          </cell>
          <cell r="AC238">
            <v>0</v>
          </cell>
          <cell r="AD238">
            <v>0</v>
          </cell>
          <cell r="AE238">
            <v>0</v>
          </cell>
          <cell r="AF238">
            <v>42832</v>
          </cell>
          <cell r="AG238">
            <v>0</v>
          </cell>
          <cell r="AH238">
            <v>0</v>
          </cell>
          <cell r="AI238">
            <v>42832</v>
          </cell>
          <cell r="AJ238">
            <v>0</v>
          </cell>
          <cell r="AK238">
            <v>0</v>
          </cell>
          <cell r="AL238">
            <v>42832</v>
          </cell>
          <cell r="AM238">
            <v>0</v>
          </cell>
          <cell r="AN238">
            <v>0</v>
          </cell>
          <cell r="AO238">
            <v>0</v>
          </cell>
          <cell r="AP238">
            <v>0</v>
          </cell>
          <cell r="AQ238">
            <v>0</v>
          </cell>
          <cell r="AR238">
            <v>0</v>
          </cell>
          <cell r="AS238">
            <v>42833</v>
          </cell>
          <cell r="AT238">
            <v>0</v>
          </cell>
          <cell r="AU238">
            <v>0</v>
          </cell>
          <cell r="AV238">
            <v>42833</v>
          </cell>
          <cell r="AW238">
            <v>0</v>
          </cell>
          <cell r="AX238">
            <v>42833</v>
          </cell>
          <cell r="AY238">
            <v>0</v>
          </cell>
          <cell r="AZ238">
            <v>0</v>
          </cell>
        </row>
        <row r="239">
          <cell r="B239">
            <v>0</v>
          </cell>
          <cell r="C239">
            <v>0</v>
          </cell>
          <cell r="D239">
            <v>0</v>
          </cell>
          <cell r="E239">
            <v>42832</v>
          </cell>
          <cell r="F239">
            <v>0</v>
          </cell>
          <cell r="G239">
            <v>0</v>
          </cell>
          <cell r="H239">
            <v>42832</v>
          </cell>
          <cell r="I239">
            <v>0</v>
          </cell>
          <cell r="J239">
            <v>0</v>
          </cell>
          <cell r="K239">
            <v>0</v>
          </cell>
          <cell r="L239">
            <v>0</v>
          </cell>
          <cell r="M239">
            <v>0</v>
          </cell>
          <cell r="N239">
            <v>0</v>
          </cell>
          <cell r="O239">
            <v>42832</v>
          </cell>
          <cell r="P239">
            <v>0</v>
          </cell>
          <cell r="Q239">
            <v>0</v>
          </cell>
          <cell r="R239">
            <v>0</v>
          </cell>
          <cell r="S239">
            <v>0</v>
          </cell>
          <cell r="T239">
            <v>0</v>
          </cell>
          <cell r="U239">
            <v>42832</v>
          </cell>
          <cell r="V239">
            <v>0</v>
          </cell>
          <cell r="W239">
            <v>0</v>
          </cell>
          <cell r="X239">
            <v>42833</v>
          </cell>
          <cell r="Y239">
            <v>0</v>
          </cell>
          <cell r="Z239">
            <v>0</v>
          </cell>
          <cell r="AA239">
            <v>0</v>
          </cell>
          <cell r="AB239">
            <v>42833</v>
          </cell>
          <cell r="AC239">
            <v>0</v>
          </cell>
          <cell r="AD239">
            <v>0</v>
          </cell>
          <cell r="AE239">
            <v>0</v>
          </cell>
          <cell r="AF239">
            <v>42833</v>
          </cell>
          <cell r="AG239">
            <v>0</v>
          </cell>
          <cell r="AH239">
            <v>0</v>
          </cell>
          <cell r="AI239">
            <v>42833</v>
          </cell>
          <cell r="AJ239">
            <v>0</v>
          </cell>
          <cell r="AK239">
            <v>0</v>
          </cell>
          <cell r="AL239">
            <v>42833</v>
          </cell>
          <cell r="AM239">
            <v>0</v>
          </cell>
          <cell r="AN239">
            <v>0</v>
          </cell>
          <cell r="AO239">
            <v>0</v>
          </cell>
          <cell r="AP239">
            <v>0</v>
          </cell>
          <cell r="AQ239">
            <v>0</v>
          </cell>
          <cell r="AR239">
            <v>0</v>
          </cell>
          <cell r="AS239">
            <v>42834</v>
          </cell>
          <cell r="AT239">
            <v>0</v>
          </cell>
          <cell r="AU239">
            <v>0</v>
          </cell>
          <cell r="AV239">
            <v>42834</v>
          </cell>
          <cell r="AW239">
            <v>0</v>
          </cell>
          <cell r="AX239">
            <v>42834</v>
          </cell>
          <cell r="AY239">
            <v>0</v>
          </cell>
          <cell r="AZ239">
            <v>0</v>
          </cell>
        </row>
        <row r="240">
          <cell r="B240">
            <v>0</v>
          </cell>
          <cell r="C240">
            <v>0</v>
          </cell>
          <cell r="D240">
            <v>0</v>
          </cell>
          <cell r="E240">
            <v>42833</v>
          </cell>
          <cell r="F240">
            <v>0</v>
          </cell>
          <cell r="G240">
            <v>0</v>
          </cell>
          <cell r="H240">
            <v>42833</v>
          </cell>
          <cell r="I240">
            <v>0</v>
          </cell>
          <cell r="J240">
            <v>0</v>
          </cell>
          <cell r="K240">
            <v>0</v>
          </cell>
          <cell r="L240">
            <v>0</v>
          </cell>
          <cell r="M240">
            <v>0</v>
          </cell>
          <cell r="N240">
            <v>0</v>
          </cell>
          <cell r="O240">
            <v>42833</v>
          </cell>
          <cell r="P240">
            <v>0</v>
          </cell>
          <cell r="Q240">
            <v>0</v>
          </cell>
          <cell r="R240">
            <v>0</v>
          </cell>
          <cell r="S240">
            <v>0</v>
          </cell>
          <cell r="T240">
            <v>0</v>
          </cell>
          <cell r="U240">
            <v>42833</v>
          </cell>
          <cell r="V240">
            <v>0</v>
          </cell>
          <cell r="W240">
            <v>0</v>
          </cell>
          <cell r="X240">
            <v>42834</v>
          </cell>
          <cell r="Y240">
            <v>0</v>
          </cell>
          <cell r="Z240">
            <v>0</v>
          </cell>
          <cell r="AA240">
            <v>0</v>
          </cell>
          <cell r="AB240">
            <v>42834</v>
          </cell>
          <cell r="AC240">
            <v>0</v>
          </cell>
          <cell r="AD240">
            <v>0</v>
          </cell>
          <cell r="AE240">
            <v>0</v>
          </cell>
          <cell r="AF240">
            <v>42834</v>
          </cell>
          <cell r="AG240">
            <v>0</v>
          </cell>
          <cell r="AH240">
            <v>0</v>
          </cell>
          <cell r="AI240">
            <v>42834</v>
          </cell>
          <cell r="AJ240">
            <v>0</v>
          </cell>
          <cell r="AK240">
            <v>0</v>
          </cell>
          <cell r="AL240">
            <v>42834</v>
          </cell>
          <cell r="AM240">
            <v>0</v>
          </cell>
          <cell r="AN240">
            <v>0</v>
          </cell>
          <cell r="AO240">
            <v>0</v>
          </cell>
          <cell r="AP240">
            <v>0</v>
          </cell>
          <cell r="AQ240">
            <v>0</v>
          </cell>
          <cell r="AR240">
            <v>0</v>
          </cell>
          <cell r="AS240">
            <v>42835</v>
          </cell>
          <cell r="AT240">
            <v>0</v>
          </cell>
          <cell r="AU240">
            <v>0</v>
          </cell>
          <cell r="AV240">
            <v>42835</v>
          </cell>
          <cell r="AW240">
            <v>0</v>
          </cell>
          <cell r="AX240">
            <v>42835</v>
          </cell>
          <cell r="AY240">
            <v>0</v>
          </cell>
          <cell r="AZ240">
            <v>0</v>
          </cell>
        </row>
        <row r="241">
          <cell r="B241">
            <v>0</v>
          </cell>
          <cell r="C241">
            <v>0</v>
          </cell>
          <cell r="D241">
            <v>0</v>
          </cell>
          <cell r="E241">
            <v>42834</v>
          </cell>
          <cell r="F241">
            <v>0</v>
          </cell>
          <cell r="G241">
            <v>0</v>
          </cell>
          <cell r="H241">
            <v>42834</v>
          </cell>
          <cell r="I241">
            <v>0</v>
          </cell>
          <cell r="J241">
            <v>0</v>
          </cell>
          <cell r="K241">
            <v>0</v>
          </cell>
          <cell r="L241">
            <v>0</v>
          </cell>
          <cell r="M241">
            <v>0</v>
          </cell>
          <cell r="N241">
            <v>0</v>
          </cell>
          <cell r="O241">
            <v>42834</v>
          </cell>
          <cell r="P241">
            <v>0</v>
          </cell>
          <cell r="Q241">
            <v>0</v>
          </cell>
          <cell r="R241">
            <v>0</v>
          </cell>
          <cell r="S241">
            <v>0</v>
          </cell>
          <cell r="T241">
            <v>0</v>
          </cell>
          <cell r="U241">
            <v>42834</v>
          </cell>
          <cell r="V241">
            <v>0</v>
          </cell>
          <cell r="W241">
            <v>0</v>
          </cell>
          <cell r="X241">
            <v>42835</v>
          </cell>
          <cell r="Y241">
            <v>0</v>
          </cell>
          <cell r="Z241">
            <v>0</v>
          </cell>
          <cell r="AA241">
            <v>0</v>
          </cell>
          <cell r="AB241">
            <v>42835</v>
          </cell>
          <cell r="AC241">
            <v>0</v>
          </cell>
          <cell r="AD241">
            <v>0</v>
          </cell>
          <cell r="AE241">
            <v>0</v>
          </cell>
          <cell r="AF241">
            <v>42835</v>
          </cell>
          <cell r="AG241">
            <v>0</v>
          </cell>
          <cell r="AH241">
            <v>0</v>
          </cell>
          <cell r="AI241">
            <v>42835</v>
          </cell>
          <cell r="AJ241">
            <v>0</v>
          </cell>
          <cell r="AK241">
            <v>0</v>
          </cell>
          <cell r="AL241">
            <v>42835</v>
          </cell>
          <cell r="AM241">
            <v>0</v>
          </cell>
          <cell r="AN241">
            <v>0</v>
          </cell>
          <cell r="AO241">
            <v>0</v>
          </cell>
          <cell r="AP241">
            <v>0</v>
          </cell>
          <cell r="AQ241">
            <v>0</v>
          </cell>
          <cell r="AR241">
            <v>0</v>
          </cell>
          <cell r="AS241">
            <v>42836</v>
          </cell>
          <cell r="AT241">
            <v>0</v>
          </cell>
          <cell r="AU241">
            <v>0</v>
          </cell>
          <cell r="AV241">
            <v>42836</v>
          </cell>
          <cell r="AW241">
            <v>0</v>
          </cell>
          <cell r="AX241">
            <v>42836</v>
          </cell>
          <cell r="AY241">
            <v>0</v>
          </cell>
          <cell r="AZ241">
            <v>0</v>
          </cell>
        </row>
        <row r="242">
          <cell r="B242">
            <v>0</v>
          </cell>
          <cell r="C242">
            <v>0</v>
          </cell>
          <cell r="D242">
            <v>0</v>
          </cell>
          <cell r="E242">
            <v>42835</v>
          </cell>
          <cell r="F242">
            <v>0</v>
          </cell>
          <cell r="G242">
            <v>0</v>
          </cell>
          <cell r="H242">
            <v>42835</v>
          </cell>
          <cell r="I242">
            <v>0</v>
          </cell>
          <cell r="J242">
            <v>0</v>
          </cell>
          <cell r="K242">
            <v>0</v>
          </cell>
          <cell r="L242">
            <v>0</v>
          </cell>
          <cell r="M242">
            <v>0</v>
          </cell>
          <cell r="N242">
            <v>0</v>
          </cell>
          <cell r="O242">
            <v>42835</v>
          </cell>
          <cell r="P242">
            <v>0</v>
          </cell>
          <cell r="Q242">
            <v>0</v>
          </cell>
          <cell r="R242">
            <v>0</v>
          </cell>
          <cell r="S242">
            <v>0</v>
          </cell>
          <cell r="T242">
            <v>0</v>
          </cell>
          <cell r="U242">
            <v>42835</v>
          </cell>
          <cell r="V242">
            <v>0</v>
          </cell>
          <cell r="W242">
            <v>0</v>
          </cell>
          <cell r="X242">
            <v>42836</v>
          </cell>
          <cell r="Y242">
            <v>0</v>
          </cell>
          <cell r="Z242">
            <v>0</v>
          </cell>
          <cell r="AA242">
            <v>0</v>
          </cell>
          <cell r="AB242">
            <v>42836</v>
          </cell>
          <cell r="AC242">
            <v>0</v>
          </cell>
          <cell r="AD242">
            <v>0</v>
          </cell>
          <cell r="AE242">
            <v>0</v>
          </cell>
          <cell r="AF242">
            <v>42836</v>
          </cell>
          <cell r="AG242">
            <v>0</v>
          </cell>
          <cell r="AH242">
            <v>0</v>
          </cell>
          <cell r="AI242">
            <v>42836</v>
          </cell>
          <cell r="AJ242">
            <v>0</v>
          </cell>
          <cell r="AK242">
            <v>0</v>
          </cell>
          <cell r="AL242">
            <v>42836</v>
          </cell>
          <cell r="AM242">
            <v>0</v>
          </cell>
          <cell r="AN242">
            <v>0</v>
          </cell>
          <cell r="AO242">
            <v>0</v>
          </cell>
          <cell r="AP242">
            <v>0</v>
          </cell>
          <cell r="AQ242">
            <v>0</v>
          </cell>
          <cell r="AR242">
            <v>0</v>
          </cell>
          <cell r="AS242">
            <v>42837</v>
          </cell>
          <cell r="AT242">
            <v>0</v>
          </cell>
          <cell r="AU242">
            <v>0</v>
          </cell>
          <cell r="AV242">
            <v>42837</v>
          </cell>
          <cell r="AW242">
            <v>0</v>
          </cell>
          <cell r="AX242">
            <v>42837</v>
          </cell>
          <cell r="AY242">
            <v>0</v>
          </cell>
          <cell r="AZ242">
            <v>0</v>
          </cell>
        </row>
        <row r="243">
          <cell r="B243">
            <v>0</v>
          </cell>
          <cell r="C243">
            <v>0</v>
          </cell>
          <cell r="D243">
            <v>0</v>
          </cell>
          <cell r="E243">
            <v>42836</v>
          </cell>
          <cell r="F243">
            <v>0</v>
          </cell>
          <cell r="G243">
            <v>0</v>
          </cell>
          <cell r="H243">
            <v>42836</v>
          </cell>
          <cell r="I243">
            <v>0</v>
          </cell>
          <cell r="J243">
            <v>0</v>
          </cell>
          <cell r="K243">
            <v>0</v>
          </cell>
          <cell r="L243">
            <v>0</v>
          </cell>
          <cell r="M243">
            <v>0</v>
          </cell>
          <cell r="N243">
            <v>0</v>
          </cell>
          <cell r="O243">
            <v>42836</v>
          </cell>
          <cell r="P243">
            <v>0</v>
          </cell>
          <cell r="Q243">
            <v>0</v>
          </cell>
          <cell r="R243">
            <v>0</v>
          </cell>
          <cell r="S243">
            <v>0</v>
          </cell>
          <cell r="T243">
            <v>0</v>
          </cell>
          <cell r="U243">
            <v>42836</v>
          </cell>
          <cell r="V243">
            <v>0</v>
          </cell>
          <cell r="W243">
            <v>0</v>
          </cell>
          <cell r="X243">
            <v>42837</v>
          </cell>
          <cell r="Y243">
            <v>0</v>
          </cell>
          <cell r="Z243">
            <v>0</v>
          </cell>
          <cell r="AA243">
            <v>0</v>
          </cell>
          <cell r="AB243">
            <v>42837</v>
          </cell>
          <cell r="AC243">
            <v>0</v>
          </cell>
          <cell r="AD243">
            <v>0</v>
          </cell>
          <cell r="AE243">
            <v>0</v>
          </cell>
          <cell r="AF243">
            <v>42837</v>
          </cell>
          <cell r="AG243">
            <v>0</v>
          </cell>
          <cell r="AH243">
            <v>0</v>
          </cell>
          <cell r="AI243">
            <v>42837</v>
          </cell>
          <cell r="AJ243">
            <v>0</v>
          </cell>
          <cell r="AK243">
            <v>0</v>
          </cell>
          <cell r="AL243">
            <v>42837</v>
          </cell>
          <cell r="AM243">
            <v>0</v>
          </cell>
          <cell r="AN243">
            <v>0</v>
          </cell>
          <cell r="AO243">
            <v>0</v>
          </cell>
          <cell r="AP243">
            <v>0</v>
          </cell>
          <cell r="AQ243">
            <v>0</v>
          </cell>
          <cell r="AR243">
            <v>0</v>
          </cell>
          <cell r="AS243">
            <v>42838</v>
          </cell>
          <cell r="AT243">
            <v>0</v>
          </cell>
          <cell r="AU243">
            <v>0</v>
          </cell>
          <cell r="AV243">
            <v>42838</v>
          </cell>
          <cell r="AW243">
            <v>0</v>
          </cell>
          <cell r="AX243">
            <v>42838</v>
          </cell>
          <cell r="AY243">
            <v>0</v>
          </cell>
          <cell r="AZ243">
            <v>0</v>
          </cell>
        </row>
        <row r="244">
          <cell r="B244">
            <v>0</v>
          </cell>
          <cell r="C244">
            <v>0</v>
          </cell>
          <cell r="D244">
            <v>0</v>
          </cell>
          <cell r="E244">
            <v>42837</v>
          </cell>
          <cell r="F244">
            <v>0</v>
          </cell>
          <cell r="G244">
            <v>0</v>
          </cell>
          <cell r="H244">
            <v>42837</v>
          </cell>
          <cell r="I244">
            <v>0</v>
          </cell>
          <cell r="J244">
            <v>0</v>
          </cell>
          <cell r="K244">
            <v>0</v>
          </cell>
          <cell r="L244">
            <v>0</v>
          </cell>
          <cell r="M244">
            <v>0</v>
          </cell>
          <cell r="N244">
            <v>0</v>
          </cell>
          <cell r="O244">
            <v>42837</v>
          </cell>
          <cell r="P244">
            <v>0</v>
          </cell>
          <cell r="Q244">
            <v>0</v>
          </cell>
          <cell r="R244">
            <v>0</v>
          </cell>
          <cell r="S244">
            <v>0</v>
          </cell>
          <cell r="T244">
            <v>0</v>
          </cell>
          <cell r="U244">
            <v>42837</v>
          </cell>
          <cell r="V244">
            <v>0</v>
          </cell>
          <cell r="W244">
            <v>0</v>
          </cell>
          <cell r="X244">
            <v>42838</v>
          </cell>
          <cell r="Y244">
            <v>0</v>
          </cell>
          <cell r="Z244">
            <v>0</v>
          </cell>
          <cell r="AA244">
            <v>0</v>
          </cell>
          <cell r="AB244">
            <v>42838</v>
          </cell>
          <cell r="AC244">
            <v>0</v>
          </cell>
          <cell r="AD244">
            <v>0</v>
          </cell>
          <cell r="AE244">
            <v>0</v>
          </cell>
          <cell r="AF244">
            <v>42838</v>
          </cell>
          <cell r="AG244">
            <v>0</v>
          </cell>
          <cell r="AH244">
            <v>0</v>
          </cell>
          <cell r="AI244">
            <v>42838</v>
          </cell>
          <cell r="AJ244">
            <v>0</v>
          </cell>
          <cell r="AK244">
            <v>0</v>
          </cell>
          <cell r="AL244">
            <v>42838</v>
          </cell>
          <cell r="AM244">
            <v>0</v>
          </cell>
          <cell r="AN244">
            <v>0</v>
          </cell>
          <cell r="AO244">
            <v>0</v>
          </cell>
          <cell r="AP244">
            <v>0</v>
          </cell>
          <cell r="AQ244">
            <v>0</v>
          </cell>
          <cell r="AR244">
            <v>0</v>
          </cell>
          <cell r="AS244">
            <v>42839</v>
          </cell>
          <cell r="AT244">
            <v>0</v>
          </cell>
          <cell r="AU244">
            <v>0</v>
          </cell>
          <cell r="AV244">
            <v>42839</v>
          </cell>
          <cell r="AW244">
            <v>0</v>
          </cell>
          <cell r="AX244">
            <v>42839</v>
          </cell>
          <cell r="AY244">
            <v>0</v>
          </cell>
          <cell r="AZ244">
            <v>0</v>
          </cell>
        </row>
        <row r="245">
          <cell r="B245">
            <v>0</v>
          </cell>
          <cell r="C245">
            <v>0</v>
          </cell>
          <cell r="D245">
            <v>0</v>
          </cell>
          <cell r="E245">
            <v>42838</v>
          </cell>
          <cell r="F245">
            <v>0</v>
          </cell>
          <cell r="G245">
            <v>0</v>
          </cell>
          <cell r="H245">
            <v>42838</v>
          </cell>
          <cell r="I245">
            <v>0</v>
          </cell>
          <cell r="J245">
            <v>0</v>
          </cell>
          <cell r="K245">
            <v>0</v>
          </cell>
          <cell r="L245">
            <v>0</v>
          </cell>
          <cell r="M245">
            <v>0</v>
          </cell>
          <cell r="N245">
            <v>0</v>
          </cell>
          <cell r="O245">
            <v>42838</v>
          </cell>
          <cell r="P245">
            <v>0</v>
          </cell>
          <cell r="Q245">
            <v>0</v>
          </cell>
          <cell r="R245">
            <v>0</v>
          </cell>
          <cell r="S245">
            <v>0</v>
          </cell>
          <cell r="T245">
            <v>0</v>
          </cell>
          <cell r="U245">
            <v>42838</v>
          </cell>
          <cell r="V245">
            <v>0</v>
          </cell>
          <cell r="W245">
            <v>0</v>
          </cell>
          <cell r="X245">
            <v>42839</v>
          </cell>
          <cell r="Y245">
            <v>0</v>
          </cell>
          <cell r="Z245">
            <v>0</v>
          </cell>
          <cell r="AA245">
            <v>0</v>
          </cell>
          <cell r="AB245">
            <v>42839</v>
          </cell>
          <cell r="AC245">
            <v>0</v>
          </cell>
          <cell r="AD245">
            <v>0</v>
          </cell>
          <cell r="AE245">
            <v>0</v>
          </cell>
          <cell r="AF245">
            <v>42839</v>
          </cell>
          <cell r="AG245">
            <v>0</v>
          </cell>
          <cell r="AH245">
            <v>0</v>
          </cell>
          <cell r="AI245">
            <v>42839</v>
          </cell>
          <cell r="AJ245">
            <v>0</v>
          </cell>
          <cell r="AK245">
            <v>0</v>
          </cell>
          <cell r="AL245">
            <v>42839</v>
          </cell>
          <cell r="AM245">
            <v>0</v>
          </cell>
          <cell r="AN245">
            <v>0</v>
          </cell>
          <cell r="AO245">
            <v>0</v>
          </cell>
          <cell r="AP245">
            <v>0</v>
          </cell>
          <cell r="AQ245">
            <v>0</v>
          </cell>
          <cell r="AR245">
            <v>0</v>
          </cell>
          <cell r="AS245">
            <v>42840</v>
          </cell>
          <cell r="AT245">
            <v>0</v>
          </cell>
          <cell r="AU245">
            <v>0</v>
          </cell>
          <cell r="AV245">
            <v>42840</v>
          </cell>
          <cell r="AW245">
            <v>0</v>
          </cell>
          <cell r="AX245">
            <v>42840</v>
          </cell>
          <cell r="AY245">
            <v>0</v>
          </cell>
          <cell r="AZ245">
            <v>0</v>
          </cell>
        </row>
        <row r="246">
          <cell r="B246">
            <v>0</v>
          </cell>
          <cell r="C246">
            <v>0</v>
          </cell>
          <cell r="D246">
            <v>0</v>
          </cell>
          <cell r="E246">
            <v>42839</v>
          </cell>
          <cell r="F246">
            <v>0</v>
          </cell>
          <cell r="G246">
            <v>0</v>
          </cell>
          <cell r="H246">
            <v>42839</v>
          </cell>
          <cell r="I246">
            <v>0</v>
          </cell>
          <cell r="J246">
            <v>0</v>
          </cell>
          <cell r="K246">
            <v>0</v>
          </cell>
          <cell r="L246">
            <v>0</v>
          </cell>
          <cell r="M246">
            <v>0</v>
          </cell>
          <cell r="N246">
            <v>0</v>
          </cell>
          <cell r="O246">
            <v>42839</v>
          </cell>
          <cell r="P246">
            <v>0</v>
          </cell>
          <cell r="Q246">
            <v>0</v>
          </cell>
          <cell r="R246">
            <v>0</v>
          </cell>
          <cell r="S246">
            <v>0</v>
          </cell>
          <cell r="T246">
            <v>0</v>
          </cell>
          <cell r="U246">
            <v>42839</v>
          </cell>
          <cell r="V246">
            <v>0</v>
          </cell>
          <cell r="W246">
            <v>0</v>
          </cell>
          <cell r="X246">
            <v>42840</v>
          </cell>
          <cell r="Y246">
            <v>0</v>
          </cell>
          <cell r="Z246">
            <v>0</v>
          </cell>
          <cell r="AA246">
            <v>0</v>
          </cell>
          <cell r="AB246">
            <v>42840</v>
          </cell>
          <cell r="AC246">
            <v>0</v>
          </cell>
          <cell r="AD246">
            <v>0</v>
          </cell>
          <cell r="AE246">
            <v>0</v>
          </cell>
          <cell r="AF246">
            <v>42840</v>
          </cell>
          <cell r="AG246">
            <v>0</v>
          </cell>
          <cell r="AH246">
            <v>0</v>
          </cell>
          <cell r="AI246">
            <v>42840</v>
          </cell>
          <cell r="AJ246">
            <v>0</v>
          </cell>
          <cell r="AK246">
            <v>0</v>
          </cell>
          <cell r="AL246">
            <v>42840</v>
          </cell>
          <cell r="AM246">
            <v>0</v>
          </cell>
          <cell r="AN246">
            <v>0</v>
          </cell>
          <cell r="AO246">
            <v>0</v>
          </cell>
          <cell r="AP246">
            <v>0</v>
          </cell>
          <cell r="AQ246">
            <v>0</v>
          </cell>
          <cell r="AR246">
            <v>0</v>
          </cell>
          <cell r="AS246">
            <v>42841</v>
          </cell>
          <cell r="AT246">
            <v>0</v>
          </cell>
          <cell r="AU246">
            <v>0</v>
          </cell>
          <cell r="AV246">
            <v>42841</v>
          </cell>
          <cell r="AW246">
            <v>0</v>
          </cell>
          <cell r="AX246">
            <v>42841</v>
          </cell>
          <cell r="AY246">
            <v>0</v>
          </cell>
          <cell r="AZ246">
            <v>0</v>
          </cell>
        </row>
        <row r="247">
          <cell r="B247">
            <v>0</v>
          </cell>
          <cell r="C247">
            <v>0</v>
          </cell>
          <cell r="D247">
            <v>0</v>
          </cell>
          <cell r="E247">
            <v>42840</v>
          </cell>
          <cell r="F247">
            <v>0</v>
          </cell>
          <cell r="G247">
            <v>0</v>
          </cell>
          <cell r="H247">
            <v>42840</v>
          </cell>
          <cell r="I247">
            <v>0</v>
          </cell>
          <cell r="J247">
            <v>0</v>
          </cell>
          <cell r="K247">
            <v>0</v>
          </cell>
          <cell r="L247">
            <v>0</v>
          </cell>
          <cell r="M247">
            <v>0</v>
          </cell>
          <cell r="N247">
            <v>0</v>
          </cell>
          <cell r="O247">
            <v>42840</v>
          </cell>
          <cell r="P247">
            <v>0</v>
          </cell>
          <cell r="Q247">
            <v>0</v>
          </cell>
          <cell r="R247">
            <v>0</v>
          </cell>
          <cell r="S247">
            <v>0</v>
          </cell>
          <cell r="T247">
            <v>0</v>
          </cell>
          <cell r="U247">
            <v>42840</v>
          </cell>
          <cell r="V247">
            <v>0</v>
          </cell>
          <cell r="W247">
            <v>0</v>
          </cell>
          <cell r="X247">
            <v>42841</v>
          </cell>
          <cell r="Y247">
            <v>0</v>
          </cell>
          <cell r="Z247">
            <v>0</v>
          </cell>
          <cell r="AA247">
            <v>0</v>
          </cell>
          <cell r="AB247">
            <v>42841</v>
          </cell>
          <cell r="AC247">
            <v>0</v>
          </cell>
          <cell r="AD247">
            <v>0</v>
          </cell>
          <cell r="AE247">
            <v>0</v>
          </cell>
          <cell r="AF247">
            <v>42841</v>
          </cell>
          <cell r="AG247">
            <v>0</v>
          </cell>
          <cell r="AH247">
            <v>0</v>
          </cell>
          <cell r="AI247">
            <v>42841</v>
          </cell>
          <cell r="AJ247">
            <v>0</v>
          </cell>
          <cell r="AK247">
            <v>0</v>
          </cell>
          <cell r="AL247">
            <v>42841</v>
          </cell>
          <cell r="AM247">
            <v>0</v>
          </cell>
          <cell r="AN247">
            <v>0</v>
          </cell>
          <cell r="AO247">
            <v>0</v>
          </cell>
          <cell r="AP247">
            <v>0</v>
          </cell>
          <cell r="AQ247">
            <v>0</v>
          </cell>
          <cell r="AR247">
            <v>0</v>
          </cell>
          <cell r="AS247">
            <v>42842</v>
          </cell>
          <cell r="AT247">
            <v>0</v>
          </cell>
          <cell r="AU247">
            <v>0</v>
          </cell>
          <cell r="AV247">
            <v>42842</v>
          </cell>
          <cell r="AW247">
            <v>0</v>
          </cell>
          <cell r="AX247">
            <v>42842</v>
          </cell>
          <cell r="AY247">
            <v>0</v>
          </cell>
          <cell r="AZ247">
            <v>0</v>
          </cell>
        </row>
        <row r="248">
          <cell r="B248">
            <v>0</v>
          </cell>
          <cell r="C248">
            <v>0</v>
          </cell>
          <cell r="D248">
            <v>0</v>
          </cell>
          <cell r="E248">
            <v>42841</v>
          </cell>
          <cell r="F248">
            <v>0</v>
          </cell>
          <cell r="G248">
            <v>0</v>
          </cell>
          <cell r="H248">
            <v>42841</v>
          </cell>
          <cell r="I248">
            <v>0</v>
          </cell>
          <cell r="J248">
            <v>0</v>
          </cell>
          <cell r="K248">
            <v>0</v>
          </cell>
          <cell r="L248">
            <v>0</v>
          </cell>
          <cell r="M248">
            <v>0</v>
          </cell>
          <cell r="N248">
            <v>0</v>
          </cell>
          <cell r="O248">
            <v>42841</v>
          </cell>
          <cell r="P248">
            <v>0</v>
          </cell>
          <cell r="Q248">
            <v>0</v>
          </cell>
          <cell r="R248">
            <v>0</v>
          </cell>
          <cell r="S248">
            <v>0</v>
          </cell>
          <cell r="T248">
            <v>0</v>
          </cell>
          <cell r="U248">
            <v>42841</v>
          </cell>
          <cell r="V248">
            <v>0</v>
          </cell>
          <cell r="W248">
            <v>0</v>
          </cell>
          <cell r="X248">
            <v>42842</v>
          </cell>
          <cell r="Y248">
            <v>0</v>
          </cell>
          <cell r="Z248">
            <v>0</v>
          </cell>
          <cell r="AA248">
            <v>0</v>
          </cell>
          <cell r="AB248">
            <v>42842</v>
          </cell>
          <cell r="AC248">
            <v>0</v>
          </cell>
          <cell r="AD248">
            <v>0</v>
          </cell>
          <cell r="AE248">
            <v>0</v>
          </cell>
          <cell r="AF248">
            <v>42842</v>
          </cell>
          <cell r="AG248">
            <v>0</v>
          </cell>
          <cell r="AH248">
            <v>0</v>
          </cell>
          <cell r="AI248">
            <v>42842</v>
          </cell>
          <cell r="AJ248">
            <v>0</v>
          </cell>
          <cell r="AK248">
            <v>0</v>
          </cell>
          <cell r="AL248">
            <v>42842</v>
          </cell>
          <cell r="AM248">
            <v>0</v>
          </cell>
          <cell r="AN248">
            <v>0</v>
          </cell>
          <cell r="AO248">
            <v>0</v>
          </cell>
          <cell r="AP248">
            <v>0</v>
          </cell>
          <cell r="AQ248">
            <v>0</v>
          </cell>
          <cell r="AR248">
            <v>0</v>
          </cell>
          <cell r="AS248">
            <v>42843</v>
          </cell>
          <cell r="AT248">
            <v>0</v>
          </cell>
          <cell r="AU248">
            <v>0</v>
          </cell>
          <cell r="AV248">
            <v>42843</v>
          </cell>
          <cell r="AW248">
            <v>0</v>
          </cell>
          <cell r="AX248">
            <v>42843</v>
          </cell>
          <cell r="AY248">
            <v>0</v>
          </cell>
          <cell r="AZ248">
            <v>0</v>
          </cell>
        </row>
        <row r="249">
          <cell r="B249">
            <v>0</v>
          </cell>
          <cell r="C249">
            <v>0</v>
          </cell>
          <cell r="D249">
            <v>0</v>
          </cell>
          <cell r="E249">
            <v>42842</v>
          </cell>
          <cell r="F249">
            <v>0</v>
          </cell>
          <cell r="G249">
            <v>0</v>
          </cell>
          <cell r="H249">
            <v>42842</v>
          </cell>
          <cell r="I249">
            <v>0</v>
          </cell>
          <cell r="J249">
            <v>0</v>
          </cell>
          <cell r="K249">
            <v>0</v>
          </cell>
          <cell r="L249">
            <v>0</v>
          </cell>
          <cell r="M249">
            <v>0</v>
          </cell>
          <cell r="N249">
            <v>0</v>
          </cell>
          <cell r="O249">
            <v>42842</v>
          </cell>
          <cell r="P249">
            <v>0</v>
          </cell>
          <cell r="Q249">
            <v>0</v>
          </cell>
          <cell r="R249">
            <v>0</v>
          </cell>
          <cell r="S249">
            <v>0</v>
          </cell>
          <cell r="T249">
            <v>0</v>
          </cell>
          <cell r="U249">
            <v>42842</v>
          </cell>
          <cell r="V249">
            <v>0</v>
          </cell>
          <cell r="W249">
            <v>0</v>
          </cell>
          <cell r="X249">
            <v>42843</v>
          </cell>
          <cell r="Y249">
            <v>0</v>
          </cell>
          <cell r="Z249">
            <v>0</v>
          </cell>
          <cell r="AA249">
            <v>0</v>
          </cell>
          <cell r="AB249">
            <v>42843</v>
          </cell>
          <cell r="AC249">
            <v>0</v>
          </cell>
          <cell r="AD249">
            <v>0</v>
          </cell>
          <cell r="AE249">
            <v>0</v>
          </cell>
          <cell r="AF249">
            <v>42843</v>
          </cell>
          <cell r="AG249">
            <v>0</v>
          </cell>
          <cell r="AH249">
            <v>0</v>
          </cell>
          <cell r="AI249">
            <v>42843</v>
          </cell>
          <cell r="AJ249">
            <v>0</v>
          </cell>
          <cell r="AK249">
            <v>0</v>
          </cell>
          <cell r="AL249">
            <v>42843</v>
          </cell>
          <cell r="AM249">
            <v>0</v>
          </cell>
          <cell r="AN249">
            <v>0</v>
          </cell>
          <cell r="AO249">
            <v>0</v>
          </cell>
          <cell r="AP249">
            <v>0</v>
          </cell>
          <cell r="AQ249">
            <v>0</v>
          </cell>
          <cell r="AR249">
            <v>0</v>
          </cell>
          <cell r="AS249">
            <v>42844</v>
          </cell>
          <cell r="AT249">
            <v>0</v>
          </cell>
          <cell r="AU249">
            <v>0</v>
          </cell>
          <cell r="AV249">
            <v>42844</v>
          </cell>
          <cell r="AW249">
            <v>0</v>
          </cell>
          <cell r="AX249">
            <v>42844</v>
          </cell>
          <cell r="AY249">
            <v>0</v>
          </cell>
          <cell r="AZ249">
            <v>0</v>
          </cell>
        </row>
        <row r="250">
          <cell r="B250">
            <v>0</v>
          </cell>
          <cell r="C250">
            <v>0</v>
          </cell>
          <cell r="D250">
            <v>0</v>
          </cell>
          <cell r="E250">
            <v>42843</v>
          </cell>
          <cell r="F250">
            <v>0</v>
          </cell>
          <cell r="G250">
            <v>0</v>
          </cell>
          <cell r="H250">
            <v>42843</v>
          </cell>
          <cell r="I250">
            <v>0</v>
          </cell>
          <cell r="J250">
            <v>0</v>
          </cell>
          <cell r="K250">
            <v>0</v>
          </cell>
          <cell r="L250">
            <v>0</v>
          </cell>
          <cell r="M250">
            <v>0</v>
          </cell>
          <cell r="N250">
            <v>0</v>
          </cell>
          <cell r="O250">
            <v>42843</v>
          </cell>
          <cell r="P250">
            <v>0</v>
          </cell>
          <cell r="Q250">
            <v>0</v>
          </cell>
          <cell r="R250">
            <v>0</v>
          </cell>
          <cell r="S250">
            <v>0</v>
          </cell>
          <cell r="T250">
            <v>0</v>
          </cell>
          <cell r="U250">
            <v>42843</v>
          </cell>
          <cell r="V250">
            <v>0</v>
          </cell>
          <cell r="W250">
            <v>0</v>
          </cell>
          <cell r="X250">
            <v>42844</v>
          </cell>
          <cell r="Y250">
            <v>0</v>
          </cell>
          <cell r="Z250">
            <v>0</v>
          </cell>
          <cell r="AA250">
            <v>0</v>
          </cell>
          <cell r="AB250">
            <v>42844</v>
          </cell>
          <cell r="AC250">
            <v>0</v>
          </cell>
          <cell r="AD250">
            <v>0</v>
          </cell>
          <cell r="AE250">
            <v>0</v>
          </cell>
          <cell r="AF250">
            <v>42844</v>
          </cell>
          <cell r="AG250">
            <v>0</v>
          </cell>
          <cell r="AH250">
            <v>0</v>
          </cell>
          <cell r="AI250">
            <v>42844</v>
          </cell>
          <cell r="AJ250">
            <v>0</v>
          </cell>
          <cell r="AK250">
            <v>0</v>
          </cell>
          <cell r="AL250">
            <v>42844</v>
          </cell>
          <cell r="AM250">
            <v>0</v>
          </cell>
          <cell r="AN250">
            <v>0</v>
          </cell>
          <cell r="AO250">
            <v>0</v>
          </cell>
          <cell r="AP250">
            <v>0</v>
          </cell>
          <cell r="AQ250">
            <v>0</v>
          </cell>
          <cell r="AR250">
            <v>0</v>
          </cell>
          <cell r="AS250">
            <v>42845</v>
          </cell>
          <cell r="AT250">
            <v>0</v>
          </cell>
          <cell r="AU250">
            <v>0</v>
          </cell>
          <cell r="AV250">
            <v>42845</v>
          </cell>
          <cell r="AW250">
            <v>0</v>
          </cell>
          <cell r="AX250">
            <v>42845</v>
          </cell>
          <cell r="AY250">
            <v>0</v>
          </cell>
          <cell r="AZ250">
            <v>0</v>
          </cell>
        </row>
        <row r="251">
          <cell r="B251">
            <v>0</v>
          </cell>
          <cell r="C251">
            <v>0</v>
          </cell>
          <cell r="D251">
            <v>0</v>
          </cell>
          <cell r="E251">
            <v>42844</v>
          </cell>
          <cell r="F251">
            <v>0</v>
          </cell>
          <cell r="G251">
            <v>0</v>
          </cell>
          <cell r="H251">
            <v>42844</v>
          </cell>
          <cell r="I251">
            <v>0</v>
          </cell>
          <cell r="J251">
            <v>0</v>
          </cell>
          <cell r="K251">
            <v>0</v>
          </cell>
          <cell r="L251">
            <v>0</v>
          </cell>
          <cell r="M251">
            <v>0</v>
          </cell>
          <cell r="N251">
            <v>0</v>
          </cell>
          <cell r="O251">
            <v>42844</v>
          </cell>
          <cell r="P251">
            <v>0</v>
          </cell>
          <cell r="Q251">
            <v>0</v>
          </cell>
          <cell r="R251">
            <v>0</v>
          </cell>
          <cell r="S251">
            <v>0</v>
          </cell>
          <cell r="T251">
            <v>0</v>
          </cell>
          <cell r="U251">
            <v>42844</v>
          </cell>
          <cell r="V251">
            <v>0</v>
          </cell>
          <cell r="W251">
            <v>0</v>
          </cell>
          <cell r="X251">
            <v>42845</v>
          </cell>
          <cell r="Y251">
            <v>0</v>
          </cell>
          <cell r="Z251">
            <v>0</v>
          </cell>
          <cell r="AA251">
            <v>0</v>
          </cell>
          <cell r="AB251">
            <v>42845</v>
          </cell>
          <cell r="AC251">
            <v>0</v>
          </cell>
          <cell r="AD251">
            <v>0</v>
          </cell>
          <cell r="AE251">
            <v>0</v>
          </cell>
          <cell r="AF251">
            <v>42845</v>
          </cell>
          <cell r="AG251">
            <v>0</v>
          </cell>
          <cell r="AH251">
            <v>0</v>
          </cell>
          <cell r="AI251">
            <v>42845</v>
          </cell>
          <cell r="AJ251">
            <v>0</v>
          </cell>
          <cell r="AK251">
            <v>0</v>
          </cell>
          <cell r="AL251">
            <v>42845</v>
          </cell>
          <cell r="AM251">
            <v>0</v>
          </cell>
          <cell r="AN251">
            <v>0</v>
          </cell>
          <cell r="AO251">
            <v>0</v>
          </cell>
          <cell r="AP251">
            <v>0</v>
          </cell>
          <cell r="AQ251">
            <v>0</v>
          </cell>
          <cell r="AR251">
            <v>0</v>
          </cell>
          <cell r="AS251">
            <v>42846</v>
          </cell>
          <cell r="AT251">
            <v>0</v>
          </cell>
          <cell r="AU251">
            <v>0</v>
          </cell>
          <cell r="AV251">
            <v>42846</v>
          </cell>
          <cell r="AW251">
            <v>0</v>
          </cell>
          <cell r="AX251">
            <v>42846</v>
          </cell>
          <cell r="AY251">
            <v>0</v>
          </cell>
          <cell r="AZ251">
            <v>0</v>
          </cell>
        </row>
        <row r="252">
          <cell r="B252">
            <v>0</v>
          </cell>
          <cell r="C252">
            <v>0</v>
          </cell>
          <cell r="D252">
            <v>0</v>
          </cell>
          <cell r="E252">
            <v>42845</v>
          </cell>
          <cell r="F252">
            <v>0</v>
          </cell>
          <cell r="G252">
            <v>0</v>
          </cell>
          <cell r="H252">
            <v>42845</v>
          </cell>
          <cell r="I252">
            <v>0</v>
          </cell>
          <cell r="J252">
            <v>0</v>
          </cell>
          <cell r="K252">
            <v>0</v>
          </cell>
          <cell r="L252">
            <v>0</v>
          </cell>
          <cell r="M252">
            <v>0</v>
          </cell>
          <cell r="N252">
            <v>0</v>
          </cell>
          <cell r="O252">
            <v>42845</v>
          </cell>
          <cell r="P252">
            <v>0</v>
          </cell>
          <cell r="Q252">
            <v>0</v>
          </cell>
          <cell r="R252">
            <v>0</v>
          </cell>
          <cell r="S252">
            <v>0</v>
          </cell>
          <cell r="T252">
            <v>0</v>
          </cell>
          <cell r="U252">
            <v>42845</v>
          </cell>
          <cell r="V252">
            <v>0</v>
          </cell>
          <cell r="W252">
            <v>0</v>
          </cell>
          <cell r="X252">
            <v>42846</v>
          </cell>
          <cell r="Y252">
            <v>0</v>
          </cell>
          <cell r="Z252">
            <v>0</v>
          </cell>
          <cell r="AA252">
            <v>0</v>
          </cell>
          <cell r="AB252">
            <v>42846</v>
          </cell>
          <cell r="AC252">
            <v>0</v>
          </cell>
          <cell r="AD252">
            <v>0</v>
          </cell>
          <cell r="AE252">
            <v>0</v>
          </cell>
          <cell r="AF252">
            <v>42846</v>
          </cell>
          <cell r="AG252">
            <v>0</v>
          </cell>
          <cell r="AH252">
            <v>0</v>
          </cell>
          <cell r="AI252">
            <v>42846</v>
          </cell>
          <cell r="AJ252">
            <v>0</v>
          </cell>
          <cell r="AK252">
            <v>0</v>
          </cell>
          <cell r="AL252">
            <v>42846</v>
          </cell>
          <cell r="AM252">
            <v>0</v>
          </cell>
          <cell r="AN252">
            <v>0</v>
          </cell>
          <cell r="AO252">
            <v>0</v>
          </cell>
          <cell r="AP252">
            <v>0</v>
          </cell>
          <cell r="AQ252">
            <v>0</v>
          </cell>
          <cell r="AR252">
            <v>0</v>
          </cell>
          <cell r="AS252">
            <v>42847</v>
          </cell>
          <cell r="AT252">
            <v>0</v>
          </cell>
          <cell r="AU252">
            <v>0</v>
          </cell>
          <cell r="AV252">
            <v>42847</v>
          </cell>
          <cell r="AW252">
            <v>0</v>
          </cell>
          <cell r="AX252">
            <v>42847</v>
          </cell>
          <cell r="AY252">
            <v>0</v>
          </cell>
          <cell r="AZ252">
            <v>0</v>
          </cell>
        </row>
        <row r="253">
          <cell r="B253">
            <v>0</v>
          </cell>
          <cell r="C253">
            <v>0</v>
          </cell>
          <cell r="D253">
            <v>0</v>
          </cell>
          <cell r="E253">
            <v>42846</v>
          </cell>
          <cell r="F253">
            <v>0</v>
          </cell>
          <cell r="G253">
            <v>0</v>
          </cell>
          <cell r="H253">
            <v>42846</v>
          </cell>
          <cell r="I253">
            <v>0</v>
          </cell>
          <cell r="J253">
            <v>0</v>
          </cell>
          <cell r="K253">
            <v>0</v>
          </cell>
          <cell r="L253">
            <v>0</v>
          </cell>
          <cell r="M253">
            <v>0</v>
          </cell>
          <cell r="N253">
            <v>0</v>
          </cell>
          <cell r="O253">
            <v>42846</v>
          </cell>
          <cell r="P253">
            <v>0</v>
          </cell>
          <cell r="Q253">
            <v>0</v>
          </cell>
          <cell r="R253">
            <v>0</v>
          </cell>
          <cell r="S253">
            <v>0</v>
          </cell>
          <cell r="T253">
            <v>0</v>
          </cell>
          <cell r="U253">
            <v>42846</v>
          </cell>
          <cell r="V253">
            <v>0</v>
          </cell>
          <cell r="W253">
            <v>0</v>
          </cell>
          <cell r="X253">
            <v>42847</v>
          </cell>
          <cell r="Y253">
            <v>0</v>
          </cell>
          <cell r="Z253">
            <v>0</v>
          </cell>
          <cell r="AA253">
            <v>0</v>
          </cell>
          <cell r="AB253">
            <v>42847</v>
          </cell>
          <cell r="AC253">
            <v>0</v>
          </cell>
          <cell r="AD253">
            <v>0</v>
          </cell>
          <cell r="AE253">
            <v>0</v>
          </cell>
          <cell r="AF253">
            <v>42847</v>
          </cell>
          <cell r="AG253">
            <v>0</v>
          </cell>
          <cell r="AH253">
            <v>0</v>
          </cell>
          <cell r="AI253">
            <v>42847</v>
          </cell>
          <cell r="AJ253">
            <v>0</v>
          </cell>
          <cell r="AK253">
            <v>0</v>
          </cell>
          <cell r="AL253">
            <v>42847</v>
          </cell>
          <cell r="AM253">
            <v>0</v>
          </cell>
          <cell r="AN253">
            <v>0</v>
          </cell>
          <cell r="AO253">
            <v>0</v>
          </cell>
          <cell r="AP253">
            <v>0</v>
          </cell>
          <cell r="AQ253">
            <v>0</v>
          </cell>
          <cell r="AR253">
            <v>0</v>
          </cell>
          <cell r="AS253">
            <v>42848</v>
          </cell>
          <cell r="AT253">
            <v>0</v>
          </cell>
          <cell r="AU253">
            <v>0</v>
          </cell>
          <cell r="AV253">
            <v>42848</v>
          </cell>
          <cell r="AW253">
            <v>0</v>
          </cell>
          <cell r="AX253">
            <v>42848</v>
          </cell>
          <cell r="AY253">
            <v>0</v>
          </cell>
          <cell r="AZ253">
            <v>0</v>
          </cell>
        </row>
        <row r="254">
          <cell r="B254">
            <v>0</v>
          </cell>
          <cell r="C254">
            <v>0</v>
          </cell>
          <cell r="D254">
            <v>0</v>
          </cell>
          <cell r="E254">
            <v>42847</v>
          </cell>
          <cell r="F254">
            <v>0</v>
          </cell>
          <cell r="G254">
            <v>0</v>
          </cell>
          <cell r="H254">
            <v>42847</v>
          </cell>
          <cell r="I254">
            <v>0</v>
          </cell>
          <cell r="J254">
            <v>0</v>
          </cell>
          <cell r="K254">
            <v>0</v>
          </cell>
          <cell r="L254">
            <v>0</v>
          </cell>
          <cell r="M254">
            <v>0</v>
          </cell>
          <cell r="N254">
            <v>0</v>
          </cell>
          <cell r="O254">
            <v>42847</v>
          </cell>
          <cell r="P254">
            <v>0</v>
          </cell>
          <cell r="Q254">
            <v>0</v>
          </cell>
          <cell r="R254">
            <v>0</v>
          </cell>
          <cell r="S254">
            <v>0</v>
          </cell>
          <cell r="T254">
            <v>0</v>
          </cell>
          <cell r="U254">
            <v>42847</v>
          </cell>
          <cell r="V254">
            <v>0</v>
          </cell>
          <cell r="W254">
            <v>0</v>
          </cell>
          <cell r="X254">
            <v>42848</v>
          </cell>
          <cell r="Y254">
            <v>0</v>
          </cell>
          <cell r="Z254">
            <v>0</v>
          </cell>
          <cell r="AA254">
            <v>0</v>
          </cell>
          <cell r="AB254">
            <v>42848</v>
          </cell>
          <cell r="AC254">
            <v>0</v>
          </cell>
          <cell r="AD254">
            <v>0</v>
          </cell>
          <cell r="AE254">
            <v>0</v>
          </cell>
          <cell r="AF254">
            <v>42848</v>
          </cell>
          <cell r="AG254">
            <v>0</v>
          </cell>
          <cell r="AH254">
            <v>0</v>
          </cell>
          <cell r="AI254">
            <v>42848</v>
          </cell>
          <cell r="AJ254">
            <v>0</v>
          </cell>
          <cell r="AK254">
            <v>0</v>
          </cell>
          <cell r="AL254">
            <v>42848</v>
          </cell>
          <cell r="AM254">
            <v>0</v>
          </cell>
          <cell r="AN254">
            <v>0</v>
          </cell>
          <cell r="AO254">
            <v>0</v>
          </cell>
          <cell r="AP254">
            <v>0</v>
          </cell>
          <cell r="AQ254">
            <v>0</v>
          </cell>
          <cell r="AR254">
            <v>0</v>
          </cell>
          <cell r="AS254">
            <v>42849</v>
          </cell>
          <cell r="AT254">
            <v>0</v>
          </cell>
          <cell r="AU254">
            <v>0</v>
          </cell>
          <cell r="AV254">
            <v>42849</v>
          </cell>
          <cell r="AW254">
            <v>0</v>
          </cell>
          <cell r="AX254">
            <v>42849</v>
          </cell>
          <cell r="AY254">
            <v>0</v>
          </cell>
          <cell r="AZ254">
            <v>0</v>
          </cell>
        </row>
        <row r="255">
          <cell r="B255">
            <v>0</v>
          </cell>
          <cell r="C255">
            <v>0</v>
          </cell>
          <cell r="D255">
            <v>0</v>
          </cell>
          <cell r="E255">
            <v>42848</v>
          </cell>
          <cell r="F255">
            <v>0</v>
          </cell>
          <cell r="G255">
            <v>0</v>
          </cell>
          <cell r="H255">
            <v>42848</v>
          </cell>
          <cell r="I255">
            <v>0</v>
          </cell>
          <cell r="J255">
            <v>0</v>
          </cell>
          <cell r="K255">
            <v>0</v>
          </cell>
          <cell r="L255">
            <v>0</v>
          </cell>
          <cell r="M255">
            <v>0</v>
          </cell>
          <cell r="N255">
            <v>0</v>
          </cell>
          <cell r="O255">
            <v>42848</v>
          </cell>
          <cell r="P255">
            <v>0</v>
          </cell>
          <cell r="Q255">
            <v>0</v>
          </cell>
          <cell r="R255">
            <v>0</v>
          </cell>
          <cell r="S255">
            <v>0</v>
          </cell>
          <cell r="T255">
            <v>0</v>
          </cell>
          <cell r="U255">
            <v>42848</v>
          </cell>
          <cell r="V255">
            <v>0</v>
          </cell>
          <cell r="W255">
            <v>0</v>
          </cell>
          <cell r="X255">
            <v>42849</v>
          </cell>
          <cell r="Y255">
            <v>0</v>
          </cell>
          <cell r="Z255">
            <v>0</v>
          </cell>
          <cell r="AA255">
            <v>0</v>
          </cell>
          <cell r="AB255">
            <v>42849</v>
          </cell>
          <cell r="AC255">
            <v>0</v>
          </cell>
          <cell r="AD255">
            <v>0</v>
          </cell>
          <cell r="AE255">
            <v>0</v>
          </cell>
          <cell r="AF255">
            <v>42849</v>
          </cell>
          <cell r="AG255">
            <v>0</v>
          </cell>
          <cell r="AH255">
            <v>0</v>
          </cell>
          <cell r="AI255">
            <v>42849</v>
          </cell>
          <cell r="AJ255">
            <v>0</v>
          </cell>
          <cell r="AK255">
            <v>0</v>
          </cell>
          <cell r="AL255">
            <v>42849</v>
          </cell>
          <cell r="AM255">
            <v>0</v>
          </cell>
          <cell r="AN255">
            <v>0</v>
          </cell>
          <cell r="AO255">
            <v>0</v>
          </cell>
          <cell r="AP255">
            <v>0</v>
          </cell>
          <cell r="AQ255">
            <v>0</v>
          </cell>
          <cell r="AR255">
            <v>0</v>
          </cell>
          <cell r="AS255">
            <v>42850</v>
          </cell>
          <cell r="AT255">
            <v>0</v>
          </cell>
          <cell r="AU255">
            <v>0</v>
          </cell>
          <cell r="AV255">
            <v>42850</v>
          </cell>
          <cell r="AW255">
            <v>0</v>
          </cell>
          <cell r="AX255">
            <v>42850</v>
          </cell>
          <cell r="AY255">
            <v>0</v>
          </cell>
          <cell r="AZ255">
            <v>0</v>
          </cell>
        </row>
        <row r="256">
          <cell r="B256">
            <v>0</v>
          </cell>
          <cell r="C256">
            <v>0</v>
          </cell>
          <cell r="D256">
            <v>0</v>
          </cell>
          <cell r="E256">
            <v>42849</v>
          </cell>
          <cell r="F256">
            <v>0</v>
          </cell>
          <cell r="G256">
            <v>0</v>
          </cell>
          <cell r="H256">
            <v>42849</v>
          </cell>
          <cell r="I256">
            <v>0</v>
          </cell>
          <cell r="J256">
            <v>0</v>
          </cell>
          <cell r="K256">
            <v>0</v>
          </cell>
          <cell r="L256">
            <v>0</v>
          </cell>
          <cell r="M256">
            <v>0</v>
          </cell>
          <cell r="N256">
            <v>0</v>
          </cell>
          <cell r="O256">
            <v>42849</v>
          </cell>
          <cell r="P256">
            <v>0</v>
          </cell>
          <cell r="Q256">
            <v>0</v>
          </cell>
          <cell r="R256">
            <v>0</v>
          </cell>
          <cell r="S256">
            <v>0</v>
          </cell>
          <cell r="T256">
            <v>0</v>
          </cell>
          <cell r="U256">
            <v>42849</v>
          </cell>
          <cell r="V256">
            <v>0</v>
          </cell>
          <cell r="W256">
            <v>0</v>
          </cell>
          <cell r="X256">
            <v>42850</v>
          </cell>
          <cell r="Y256">
            <v>0</v>
          </cell>
          <cell r="Z256">
            <v>0</v>
          </cell>
          <cell r="AA256">
            <v>0</v>
          </cell>
          <cell r="AB256">
            <v>42850</v>
          </cell>
          <cell r="AC256">
            <v>0</v>
          </cell>
          <cell r="AD256">
            <v>0</v>
          </cell>
          <cell r="AE256">
            <v>0</v>
          </cell>
          <cell r="AF256">
            <v>42850</v>
          </cell>
          <cell r="AG256">
            <v>0</v>
          </cell>
          <cell r="AH256">
            <v>0</v>
          </cell>
          <cell r="AI256">
            <v>42850</v>
          </cell>
          <cell r="AJ256">
            <v>0</v>
          </cell>
          <cell r="AK256">
            <v>0</v>
          </cell>
          <cell r="AL256">
            <v>42850</v>
          </cell>
          <cell r="AM256">
            <v>0</v>
          </cell>
          <cell r="AN256">
            <v>0</v>
          </cell>
          <cell r="AO256">
            <v>0</v>
          </cell>
          <cell r="AP256">
            <v>0</v>
          </cell>
          <cell r="AQ256">
            <v>0</v>
          </cell>
          <cell r="AR256">
            <v>0</v>
          </cell>
          <cell r="AS256">
            <v>42851</v>
          </cell>
          <cell r="AT256">
            <v>0</v>
          </cell>
          <cell r="AU256">
            <v>0</v>
          </cell>
          <cell r="AV256">
            <v>42851</v>
          </cell>
          <cell r="AW256">
            <v>0</v>
          </cell>
          <cell r="AX256">
            <v>42851</v>
          </cell>
          <cell r="AY256">
            <v>0</v>
          </cell>
          <cell r="AZ256">
            <v>0</v>
          </cell>
        </row>
        <row r="257">
          <cell r="B257">
            <v>0</v>
          </cell>
          <cell r="C257">
            <v>0</v>
          </cell>
          <cell r="D257">
            <v>0</v>
          </cell>
          <cell r="E257">
            <v>42850</v>
          </cell>
          <cell r="F257">
            <v>0</v>
          </cell>
          <cell r="G257">
            <v>0</v>
          </cell>
          <cell r="H257">
            <v>42850</v>
          </cell>
          <cell r="I257">
            <v>0</v>
          </cell>
          <cell r="J257">
            <v>0</v>
          </cell>
          <cell r="K257">
            <v>0</v>
          </cell>
          <cell r="L257">
            <v>0</v>
          </cell>
          <cell r="M257">
            <v>0</v>
          </cell>
          <cell r="N257">
            <v>0</v>
          </cell>
          <cell r="O257">
            <v>42850</v>
          </cell>
          <cell r="P257">
            <v>0</v>
          </cell>
          <cell r="Q257">
            <v>0</v>
          </cell>
          <cell r="R257">
            <v>0</v>
          </cell>
          <cell r="S257">
            <v>0</v>
          </cell>
          <cell r="T257">
            <v>0</v>
          </cell>
          <cell r="U257">
            <v>42850</v>
          </cell>
          <cell r="V257">
            <v>0</v>
          </cell>
          <cell r="W257">
            <v>0</v>
          </cell>
          <cell r="X257">
            <v>42851</v>
          </cell>
          <cell r="Y257">
            <v>0</v>
          </cell>
          <cell r="Z257">
            <v>0</v>
          </cell>
          <cell r="AA257">
            <v>0</v>
          </cell>
          <cell r="AB257">
            <v>42851</v>
          </cell>
          <cell r="AC257">
            <v>0</v>
          </cell>
          <cell r="AD257">
            <v>0</v>
          </cell>
          <cell r="AE257">
            <v>0</v>
          </cell>
          <cell r="AF257">
            <v>42851</v>
          </cell>
          <cell r="AG257">
            <v>0</v>
          </cell>
          <cell r="AH257">
            <v>0</v>
          </cell>
          <cell r="AI257">
            <v>42851</v>
          </cell>
          <cell r="AJ257">
            <v>0</v>
          </cell>
          <cell r="AK257">
            <v>0</v>
          </cell>
          <cell r="AL257">
            <v>42851</v>
          </cell>
          <cell r="AM257">
            <v>0</v>
          </cell>
          <cell r="AN257">
            <v>0</v>
          </cell>
          <cell r="AO257">
            <v>0</v>
          </cell>
          <cell r="AP257">
            <v>0</v>
          </cell>
          <cell r="AQ257">
            <v>0</v>
          </cell>
          <cell r="AR257">
            <v>0</v>
          </cell>
          <cell r="AS257">
            <v>42852</v>
          </cell>
          <cell r="AT257">
            <v>0</v>
          </cell>
          <cell r="AU257">
            <v>0</v>
          </cell>
          <cell r="AV257">
            <v>42852</v>
          </cell>
          <cell r="AW257">
            <v>0</v>
          </cell>
          <cell r="AX257">
            <v>42852</v>
          </cell>
          <cell r="AY257">
            <v>0</v>
          </cell>
          <cell r="AZ257">
            <v>0</v>
          </cell>
        </row>
        <row r="258">
          <cell r="B258">
            <v>0</v>
          </cell>
          <cell r="C258">
            <v>0</v>
          </cell>
          <cell r="D258">
            <v>0</v>
          </cell>
          <cell r="E258">
            <v>42851</v>
          </cell>
          <cell r="F258">
            <v>0</v>
          </cell>
          <cell r="G258">
            <v>0</v>
          </cell>
          <cell r="H258">
            <v>42851</v>
          </cell>
          <cell r="I258">
            <v>0</v>
          </cell>
          <cell r="J258">
            <v>0</v>
          </cell>
          <cell r="K258">
            <v>0</v>
          </cell>
          <cell r="L258">
            <v>0</v>
          </cell>
          <cell r="M258">
            <v>0</v>
          </cell>
          <cell r="N258">
            <v>0</v>
          </cell>
          <cell r="O258">
            <v>42851</v>
          </cell>
          <cell r="P258">
            <v>0</v>
          </cell>
          <cell r="Q258">
            <v>0</v>
          </cell>
          <cell r="R258">
            <v>0</v>
          </cell>
          <cell r="S258">
            <v>0</v>
          </cell>
          <cell r="T258">
            <v>0</v>
          </cell>
          <cell r="U258">
            <v>42851</v>
          </cell>
          <cell r="V258">
            <v>0</v>
          </cell>
          <cell r="W258">
            <v>0</v>
          </cell>
          <cell r="X258">
            <v>42852</v>
          </cell>
          <cell r="Y258">
            <v>0</v>
          </cell>
          <cell r="Z258">
            <v>0</v>
          </cell>
          <cell r="AA258">
            <v>0</v>
          </cell>
          <cell r="AB258">
            <v>42852</v>
          </cell>
          <cell r="AC258">
            <v>0</v>
          </cell>
          <cell r="AD258">
            <v>0</v>
          </cell>
          <cell r="AE258">
            <v>0</v>
          </cell>
          <cell r="AF258">
            <v>42852</v>
          </cell>
          <cell r="AG258">
            <v>0</v>
          </cell>
          <cell r="AH258">
            <v>0</v>
          </cell>
          <cell r="AI258">
            <v>42852</v>
          </cell>
          <cell r="AJ258">
            <v>0</v>
          </cell>
          <cell r="AK258">
            <v>0</v>
          </cell>
          <cell r="AL258">
            <v>42852</v>
          </cell>
          <cell r="AM258">
            <v>0</v>
          </cell>
          <cell r="AN258">
            <v>0</v>
          </cell>
          <cell r="AO258">
            <v>0</v>
          </cell>
          <cell r="AP258">
            <v>0</v>
          </cell>
          <cell r="AQ258">
            <v>0</v>
          </cell>
          <cell r="AR258">
            <v>0</v>
          </cell>
          <cell r="AS258">
            <v>42853</v>
          </cell>
          <cell r="AT258">
            <v>0</v>
          </cell>
          <cell r="AU258">
            <v>0</v>
          </cell>
          <cell r="AV258">
            <v>42853</v>
          </cell>
          <cell r="AW258">
            <v>0</v>
          </cell>
          <cell r="AX258">
            <v>42853</v>
          </cell>
          <cell r="AY258">
            <v>0</v>
          </cell>
          <cell r="AZ258">
            <v>0</v>
          </cell>
        </row>
        <row r="259">
          <cell r="B259">
            <v>0</v>
          </cell>
          <cell r="C259">
            <v>0</v>
          </cell>
          <cell r="D259">
            <v>0</v>
          </cell>
          <cell r="E259">
            <v>42852</v>
          </cell>
          <cell r="F259">
            <v>0</v>
          </cell>
          <cell r="G259">
            <v>0</v>
          </cell>
          <cell r="H259">
            <v>42852</v>
          </cell>
          <cell r="I259">
            <v>0</v>
          </cell>
          <cell r="J259">
            <v>0</v>
          </cell>
          <cell r="K259">
            <v>0</v>
          </cell>
          <cell r="L259">
            <v>0</v>
          </cell>
          <cell r="M259">
            <v>0</v>
          </cell>
          <cell r="N259">
            <v>0</v>
          </cell>
          <cell r="O259">
            <v>42852</v>
          </cell>
          <cell r="P259">
            <v>0</v>
          </cell>
          <cell r="Q259">
            <v>0</v>
          </cell>
          <cell r="R259">
            <v>0</v>
          </cell>
          <cell r="S259">
            <v>0</v>
          </cell>
          <cell r="T259">
            <v>0</v>
          </cell>
          <cell r="U259">
            <v>42852</v>
          </cell>
          <cell r="V259">
            <v>0</v>
          </cell>
          <cell r="W259">
            <v>0</v>
          </cell>
          <cell r="X259">
            <v>42853</v>
          </cell>
          <cell r="Y259">
            <v>0</v>
          </cell>
          <cell r="Z259">
            <v>0</v>
          </cell>
          <cell r="AA259">
            <v>0</v>
          </cell>
          <cell r="AB259">
            <v>42853</v>
          </cell>
          <cell r="AC259">
            <v>0</v>
          </cell>
          <cell r="AD259">
            <v>0</v>
          </cell>
          <cell r="AE259">
            <v>0</v>
          </cell>
          <cell r="AF259">
            <v>42853</v>
          </cell>
          <cell r="AG259">
            <v>0</v>
          </cell>
          <cell r="AH259">
            <v>0</v>
          </cell>
          <cell r="AI259">
            <v>42853</v>
          </cell>
          <cell r="AJ259">
            <v>0</v>
          </cell>
          <cell r="AK259">
            <v>0</v>
          </cell>
          <cell r="AL259">
            <v>42853</v>
          </cell>
          <cell r="AM259">
            <v>0</v>
          </cell>
          <cell r="AN259">
            <v>0</v>
          </cell>
          <cell r="AO259">
            <v>0</v>
          </cell>
          <cell r="AP259">
            <v>0</v>
          </cell>
          <cell r="AQ259">
            <v>0</v>
          </cell>
          <cell r="AR259">
            <v>0</v>
          </cell>
          <cell r="AS259">
            <v>42854</v>
          </cell>
          <cell r="AT259">
            <v>0</v>
          </cell>
          <cell r="AU259">
            <v>0</v>
          </cell>
          <cell r="AV259">
            <v>42854</v>
          </cell>
          <cell r="AW259">
            <v>0</v>
          </cell>
          <cell r="AX259">
            <v>42854</v>
          </cell>
          <cell r="AY259">
            <v>0</v>
          </cell>
          <cell r="AZ259">
            <v>0</v>
          </cell>
        </row>
        <row r="260">
          <cell r="B260">
            <v>0</v>
          </cell>
          <cell r="C260">
            <v>0</v>
          </cell>
          <cell r="D260">
            <v>0</v>
          </cell>
          <cell r="E260">
            <v>42853</v>
          </cell>
          <cell r="F260">
            <v>0</v>
          </cell>
          <cell r="G260">
            <v>0</v>
          </cell>
          <cell r="H260">
            <v>42853</v>
          </cell>
          <cell r="I260">
            <v>0</v>
          </cell>
          <cell r="J260">
            <v>0</v>
          </cell>
          <cell r="K260">
            <v>0</v>
          </cell>
          <cell r="L260">
            <v>0</v>
          </cell>
          <cell r="M260">
            <v>0</v>
          </cell>
          <cell r="N260">
            <v>0</v>
          </cell>
          <cell r="O260">
            <v>42853</v>
          </cell>
          <cell r="P260">
            <v>0</v>
          </cell>
          <cell r="Q260">
            <v>0</v>
          </cell>
          <cell r="R260">
            <v>0</v>
          </cell>
          <cell r="S260">
            <v>0</v>
          </cell>
          <cell r="T260">
            <v>0</v>
          </cell>
          <cell r="U260">
            <v>42853</v>
          </cell>
          <cell r="V260">
            <v>0</v>
          </cell>
          <cell r="W260">
            <v>0</v>
          </cell>
          <cell r="X260">
            <v>42854</v>
          </cell>
          <cell r="Y260">
            <v>0</v>
          </cell>
          <cell r="Z260">
            <v>0</v>
          </cell>
          <cell r="AA260">
            <v>0</v>
          </cell>
          <cell r="AB260">
            <v>42854</v>
          </cell>
          <cell r="AC260">
            <v>0</v>
          </cell>
          <cell r="AD260">
            <v>0</v>
          </cell>
          <cell r="AE260">
            <v>0</v>
          </cell>
          <cell r="AF260">
            <v>42854</v>
          </cell>
          <cell r="AG260">
            <v>0</v>
          </cell>
          <cell r="AH260">
            <v>0</v>
          </cell>
          <cell r="AI260">
            <v>42854</v>
          </cell>
          <cell r="AJ260">
            <v>0</v>
          </cell>
          <cell r="AK260">
            <v>0</v>
          </cell>
          <cell r="AL260">
            <v>42854</v>
          </cell>
          <cell r="AM260">
            <v>0</v>
          </cell>
          <cell r="AN260">
            <v>0</v>
          </cell>
          <cell r="AO260">
            <v>0</v>
          </cell>
          <cell r="AP260">
            <v>0</v>
          </cell>
          <cell r="AQ260">
            <v>0</v>
          </cell>
          <cell r="AR260">
            <v>0</v>
          </cell>
          <cell r="AS260">
            <v>42855</v>
          </cell>
          <cell r="AT260">
            <v>0</v>
          </cell>
          <cell r="AU260">
            <v>0</v>
          </cell>
          <cell r="AV260">
            <v>42855</v>
          </cell>
          <cell r="AW260">
            <v>0</v>
          </cell>
          <cell r="AX260">
            <v>42855</v>
          </cell>
          <cell r="AY260">
            <v>0</v>
          </cell>
          <cell r="AZ260">
            <v>0</v>
          </cell>
        </row>
        <row r="261">
          <cell r="B261">
            <v>0</v>
          </cell>
          <cell r="C261">
            <v>0</v>
          </cell>
          <cell r="D261">
            <v>0</v>
          </cell>
          <cell r="E261">
            <v>42854</v>
          </cell>
          <cell r="F261">
            <v>0</v>
          </cell>
          <cell r="G261">
            <v>0</v>
          </cell>
          <cell r="H261">
            <v>42854</v>
          </cell>
          <cell r="I261">
            <v>0</v>
          </cell>
          <cell r="J261">
            <v>0</v>
          </cell>
          <cell r="K261">
            <v>0</v>
          </cell>
          <cell r="L261">
            <v>0</v>
          </cell>
          <cell r="M261">
            <v>0</v>
          </cell>
          <cell r="N261">
            <v>0</v>
          </cell>
          <cell r="O261">
            <v>42854</v>
          </cell>
          <cell r="P261">
            <v>0</v>
          </cell>
          <cell r="Q261">
            <v>0</v>
          </cell>
          <cell r="R261">
            <v>0</v>
          </cell>
          <cell r="S261">
            <v>0</v>
          </cell>
          <cell r="T261">
            <v>0</v>
          </cell>
          <cell r="U261">
            <v>42854</v>
          </cell>
          <cell r="V261">
            <v>0</v>
          </cell>
          <cell r="W261">
            <v>0</v>
          </cell>
          <cell r="X261">
            <v>42855</v>
          </cell>
          <cell r="Y261">
            <v>0</v>
          </cell>
          <cell r="Z261">
            <v>0</v>
          </cell>
          <cell r="AA261">
            <v>0</v>
          </cell>
          <cell r="AB261">
            <v>42855</v>
          </cell>
          <cell r="AC261">
            <v>0</v>
          </cell>
          <cell r="AD261">
            <v>0</v>
          </cell>
          <cell r="AE261">
            <v>0</v>
          </cell>
          <cell r="AF261">
            <v>42855</v>
          </cell>
          <cell r="AG261">
            <v>0</v>
          </cell>
          <cell r="AH261">
            <v>0</v>
          </cell>
          <cell r="AI261">
            <v>42855</v>
          </cell>
          <cell r="AJ261">
            <v>0</v>
          </cell>
          <cell r="AK261">
            <v>0</v>
          </cell>
          <cell r="AL261">
            <v>42855</v>
          </cell>
          <cell r="AM261">
            <v>0</v>
          </cell>
          <cell r="AN261">
            <v>0</v>
          </cell>
          <cell r="AO261">
            <v>0</v>
          </cell>
          <cell r="AP261">
            <v>0</v>
          </cell>
          <cell r="AQ261">
            <v>0</v>
          </cell>
          <cell r="AR261">
            <v>0</v>
          </cell>
          <cell r="AS261">
            <v>42856</v>
          </cell>
          <cell r="AT261">
            <v>0</v>
          </cell>
          <cell r="AU261">
            <v>0</v>
          </cell>
          <cell r="AV261">
            <v>42856</v>
          </cell>
          <cell r="AW261">
            <v>0</v>
          </cell>
          <cell r="AX261">
            <v>42856</v>
          </cell>
          <cell r="AY261">
            <v>0</v>
          </cell>
          <cell r="AZ261">
            <v>0</v>
          </cell>
        </row>
        <row r="262">
          <cell r="B262">
            <v>0</v>
          </cell>
          <cell r="C262">
            <v>0</v>
          </cell>
          <cell r="D262">
            <v>0</v>
          </cell>
          <cell r="E262">
            <v>42855</v>
          </cell>
          <cell r="F262">
            <v>0</v>
          </cell>
          <cell r="G262">
            <v>0</v>
          </cell>
          <cell r="H262">
            <v>42855</v>
          </cell>
          <cell r="I262">
            <v>0</v>
          </cell>
          <cell r="J262">
            <v>0</v>
          </cell>
          <cell r="K262">
            <v>0</v>
          </cell>
          <cell r="L262">
            <v>0</v>
          </cell>
          <cell r="M262">
            <v>0</v>
          </cell>
          <cell r="N262">
            <v>0</v>
          </cell>
          <cell r="O262">
            <v>42855</v>
          </cell>
          <cell r="P262">
            <v>0</v>
          </cell>
          <cell r="Q262">
            <v>0</v>
          </cell>
          <cell r="R262">
            <v>0</v>
          </cell>
          <cell r="S262">
            <v>0</v>
          </cell>
          <cell r="T262">
            <v>0</v>
          </cell>
          <cell r="U262">
            <v>42855</v>
          </cell>
          <cell r="V262">
            <v>0</v>
          </cell>
          <cell r="W262">
            <v>0</v>
          </cell>
          <cell r="X262">
            <v>42856</v>
          </cell>
          <cell r="Y262">
            <v>0</v>
          </cell>
          <cell r="Z262">
            <v>0</v>
          </cell>
          <cell r="AA262">
            <v>0</v>
          </cell>
          <cell r="AB262">
            <v>42856</v>
          </cell>
          <cell r="AC262">
            <v>0</v>
          </cell>
          <cell r="AD262">
            <v>0</v>
          </cell>
          <cell r="AE262">
            <v>0</v>
          </cell>
          <cell r="AF262">
            <v>42856</v>
          </cell>
          <cell r="AG262">
            <v>0</v>
          </cell>
          <cell r="AH262">
            <v>0</v>
          </cell>
          <cell r="AI262">
            <v>42856</v>
          </cell>
          <cell r="AJ262">
            <v>0</v>
          </cell>
          <cell r="AK262">
            <v>0</v>
          </cell>
          <cell r="AL262">
            <v>42856</v>
          </cell>
          <cell r="AM262">
            <v>0</v>
          </cell>
          <cell r="AN262">
            <v>0</v>
          </cell>
          <cell r="AO262">
            <v>0</v>
          </cell>
          <cell r="AP262">
            <v>0</v>
          </cell>
          <cell r="AQ262">
            <v>0</v>
          </cell>
          <cell r="AR262">
            <v>0</v>
          </cell>
          <cell r="AS262">
            <v>42857</v>
          </cell>
          <cell r="AT262">
            <v>0</v>
          </cell>
          <cell r="AU262">
            <v>0</v>
          </cell>
          <cell r="AV262">
            <v>42857</v>
          </cell>
          <cell r="AW262">
            <v>0</v>
          </cell>
          <cell r="AX262">
            <v>42857</v>
          </cell>
          <cell r="AY262">
            <v>0</v>
          </cell>
          <cell r="AZ262">
            <v>0</v>
          </cell>
        </row>
        <row r="263">
          <cell r="B263">
            <v>0</v>
          </cell>
          <cell r="C263">
            <v>0</v>
          </cell>
          <cell r="D263">
            <v>0</v>
          </cell>
          <cell r="E263">
            <v>42856</v>
          </cell>
          <cell r="F263">
            <v>0</v>
          </cell>
          <cell r="G263">
            <v>0</v>
          </cell>
          <cell r="H263">
            <v>42856</v>
          </cell>
          <cell r="I263">
            <v>0</v>
          </cell>
          <cell r="J263">
            <v>0</v>
          </cell>
          <cell r="K263">
            <v>0</v>
          </cell>
          <cell r="L263">
            <v>0</v>
          </cell>
          <cell r="M263">
            <v>0</v>
          </cell>
          <cell r="N263">
            <v>0</v>
          </cell>
          <cell r="O263">
            <v>42856</v>
          </cell>
          <cell r="P263">
            <v>0</v>
          </cell>
          <cell r="Q263">
            <v>0</v>
          </cell>
          <cell r="R263">
            <v>0</v>
          </cell>
          <cell r="S263">
            <v>0</v>
          </cell>
          <cell r="T263">
            <v>0</v>
          </cell>
          <cell r="U263">
            <v>42856</v>
          </cell>
          <cell r="V263">
            <v>0</v>
          </cell>
          <cell r="W263">
            <v>0</v>
          </cell>
          <cell r="X263">
            <v>42857</v>
          </cell>
          <cell r="Y263">
            <v>0</v>
          </cell>
          <cell r="Z263">
            <v>0</v>
          </cell>
          <cell r="AA263">
            <v>0</v>
          </cell>
          <cell r="AB263">
            <v>42857</v>
          </cell>
          <cell r="AC263">
            <v>0</v>
          </cell>
          <cell r="AD263">
            <v>0</v>
          </cell>
          <cell r="AE263">
            <v>0</v>
          </cell>
          <cell r="AF263">
            <v>42857</v>
          </cell>
          <cell r="AG263">
            <v>0</v>
          </cell>
          <cell r="AH263">
            <v>0</v>
          </cell>
          <cell r="AI263">
            <v>42857</v>
          </cell>
          <cell r="AJ263">
            <v>0</v>
          </cell>
          <cell r="AK263">
            <v>0</v>
          </cell>
          <cell r="AL263">
            <v>42857</v>
          </cell>
          <cell r="AM263">
            <v>0</v>
          </cell>
          <cell r="AN263">
            <v>0</v>
          </cell>
          <cell r="AO263">
            <v>0</v>
          </cell>
          <cell r="AP263">
            <v>0</v>
          </cell>
          <cell r="AQ263">
            <v>0</v>
          </cell>
          <cell r="AR263">
            <v>0</v>
          </cell>
          <cell r="AS263">
            <v>42858</v>
          </cell>
          <cell r="AT263">
            <v>0</v>
          </cell>
          <cell r="AU263">
            <v>0</v>
          </cell>
          <cell r="AV263">
            <v>42858</v>
          </cell>
          <cell r="AW263">
            <v>0</v>
          </cell>
          <cell r="AX263">
            <v>42858</v>
          </cell>
          <cell r="AY263">
            <v>0</v>
          </cell>
          <cell r="AZ263">
            <v>0</v>
          </cell>
        </row>
        <row r="264">
          <cell r="B264">
            <v>0</v>
          </cell>
          <cell r="C264">
            <v>0</v>
          </cell>
          <cell r="D264">
            <v>0</v>
          </cell>
          <cell r="E264">
            <v>42857</v>
          </cell>
          <cell r="F264">
            <v>0</v>
          </cell>
          <cell r="G264">
            <v>0</v>
          </cell>
          <cell r="H264">
            <v>42857</v>
          </cell>
          <cell r="I264">
            <v>0</v>
          </cell>
          <cell r="J264">
            <v>0</v>
          </cell>
          <cell r="K264">
            <v>0</v>
          </cell>
          <cell r="L264">
            <v>0</v>
          </cell>
          <cell r="M264">
            <v>0</v>
          </cell>
          <cell r="N264">
            <v>0</v>
          </cell>
          <cell r="O264">
            <v>42857</v>
          </cell>
          <cell r="P264">
            <v>0</v>
          </cell>
          <cell r="Q264">
            <v>0</v>
          </cell>
          <cell r="R264">
            <v>0</v>
          </cell>
          <cell r="S264">
            <v>0</v>
          </cell>
          <cell r="T264">
            <v>0</v>
          </cell>
          <cell r="U264">
            <v>42857</v>
          </cell>
          <cell r="V264">
            <v>0</v>
          </cell>
          <cell r="W264">
            <v>0</v>
          </cell>
          <cell r="X264">
            <v>42858</v>
          </cell>
          <cell r="Y264">
            <v>0</v>
          </cell>
          <cell r="Z264">
            <v>0</v>
          </cell>
          <cell r="AA264">
            <v>0</v>
          </cell>
          <cell r="AB264">
            <v>42858</v>
          </cell>
          <cell r="AC264">
            <v>0</v>
          </cell>
          <cell r="AD264">
            <v>0</v>
          </cell>
          <cell r="AE264">
            <v>0</v>
          </cell>
          <cell r="AF264">
            <v>42858</v>
          </cell>
          <cell r="AG264">
            <v>0</v>
          </cell>
          <cell r="AH264">
            <v>0</v>
          </cell>
          <cell r="AI264">
            <v>42858</v>
          </cell>
          <cell r="AJ264">
            <v>0</v>
          </cell>
          <cell r="AK264">
            <v>0</v>
          </cell>
          <cell r="AL264">
            <v>42858</v>
          </cell>
          <cell r="AM264">
            <v>0</v>
          </cell>
          <cell r="AN264">
            <v>0</v>
          </cell>
          <cell r="AO264">
            <v>0</v>
          </cell>
          <cell r="AP264">
            <v>0</v>
          </cell>
          <cell r="AQ264">
            <v>0</v>
          </cell>
          <cell r="AR264">
            <v>0</v>
          </cell>
          <cell r="AS264">
            <v>42859</v>
          </cell>
          <cell r="AT264">
            <v>0</v>
          </cell>
          <cell r="AU264">
            <v>0</v>
          </cell>
          <cell r="AV264">
            <v>42859</v>
          </cell>
          <cell r="AW264">
            <v>0</v>
          </cell>
          <cell r="AX264">
            <v>42859</v>
          </cell>
          <cell r="AY264">
            <v>0</v>
          </cell>
          <cell r="AZ264">
            <v>0</v>
          </cell>
        </row>
        <row r="265">
          <cell r="B265">
            <v>0</v>
          </cell>
          <cell r="C265">
            <v>0</v>
          </cell>
          <cell r="D265">
            <v>0</v>
          </cell>
          <cell r="E265">
            <v>42858</v>
          </cell>
          <cell r="F265">
            <v>0</v>
          </cell>
          <cell r="G265">
            <v>0</v>
          </cell>
          <cell r="H265">
            <v>42858</v>
          </cell>
          <cell r="I265">
            <v>0</v>
          </cell>
          <cell r="J265">
            <v>0</v>
          </cell>
          <cell r="K265">
            <v>0</v>
          </cell>
          <cell r="L265">
            <v>0</v>
          </cell>
          <cell r="M265">
            <v>0</v>
          </cell>
          <cell r="N265">
            <v>0</v>
          </cell>
          <cell r="O265">
            <v>42858</v>
          </cell>
          <cell r="P265">
            <v>0</v>
          </cell>
          <cell r="Q265">
            <v>0</v>
          </cell>
          <cell r="R265">
            <v>0</v>
          </cell>
          <cell r="S265">
            <v>0</v>
          </cell>
          <cell r="T265">
            <v>0</v>
          </cell>
          <cell r="U265">
            <v>42858</v>
          </cell>
          <cell r="V265">
            <v>0</v>
          </cell>
          <cell r="W265">
            <v>0</v>
          </cell>
          <cell r="X265">
            <v>42859</v>
          </cell>
          <cell r="Y265">
            <v>0</v>
          </cell>
          <cell r="Z265">
            <v>0</v>
          </cell>
          <cell r="AA265">
            <v>0</v>
          </cell>
          <cell r="AB265">
            <v>42859</v>
          </cell>
          <cell r="AC265">
            <v>0</v>
          </cell>
          <cell r="AD265">
            <v>0</v>
          </cell>
          <cell r="AE265">
            <v>0</v>
          </cell>
          <cell r="AF265">
            <v>42859</v>
          </cell>
          <cell r="AG265">
            <v>0</v>
          </cell>
          <cell r="AH265">
            <v>0</v>
          </cell>
          <cell r="AI265">
            <v>42859</v>
          </cell>
          <cell r="AJ265">
            <v>0</v>
          </cell>
          <cell r="AK265">
            <v>0</v>
          </cell>
          <cell r="AL265">
            <v>42859</v>
          </cell>
          <cell r="AM265">
            <v>0</v>
          </cell>
          <cell r="AN265">
            <v>0</v>
          </cell>
          <cell r="AO265">
            <v>0</v>
          </cell>
          <cell r="AP265">
            <v>0</v>
          </cell>
          <cell r="AQ265">
            <v>0</v>
          </cell>
          <cell r="AR265">
            <v>0</v>
          </cell>
          <cell r="AS265">
            <v>42860</v>
          </cell>
          <cell r="AT265">
            <v>0</v>
          </cell>
          <cell r="AU265">
            <v>0</v>
          </cell>
          <cell r="AV265">
            <v>42860</v>
          </cell>
          <cell r="AW265">
            <v>0</v>
          </cell>
          <cell r="AX265">
            <v>42860</v>
          </cell>
          <cell r="AY265">
            <v>0</v>
          </cell>
          <cell r="AZ265">
            <v>0</v>
          </cell>
        </row>
        <row r="266">
          <cell r="B266">
            <v>0</v>
          </cell>
          <cell r="C266">
            <v>0</v>
          </cell>
          <cell r="D266">
            <v>0</v>
          </cell>
          <cell r="E266">
            <v>42859</v>
          </cell>
          <cell r="F266">
            <v>0</v>
          </cell>
          <cell r="G266">
            <v>0</v>
          </cell>
          <cell r="H266">
            <v>42859</v>
          </cell>
          <cell r="I266">
            <v>0</v>
          </cell>
          <cell r="J266">
            <v>0</v>
          </cell>
          <cell r="K266">
            <v>0</v>
          </cell>
          <cell r="L266">
            <v>0</v>
          </cell>
          <cell r="M266">
            <v>0</v>
          </cell>
          <cell r="N266">
            <v>0</v>
          </cell>
          <cell r="O266">
            <v>42859</v>
          </cell>
          <cell r="P266">
            <v>0</v>
          </cell>
          <cell r="Q266">
            <v>0</v>
          </cell>
          <cell r="R266">
            <v>0</v>
          </cell>
          <cell r="S266">
            <v>0</v>
          </cell>
          <cell r="T266">
            <v>0</v>
          </cell>
          <cell r="U266">
            <v>42859</v>
          </cell>
          <cell r="V266">
            <v>0</v>
          </cell>
          <cell r="W266">
            <v>0</v>
          </cell>
          <cell r="X266">
            <v>42860</v>
          </cell>
          <cell r="Y266">
            <v>0</v>
          </cell>
          <cell r="Z266">
            <v>0</v>
          </cell>
          <cell r="AA266">
            <v>0</v>
          </cell>
          <cell r="AB266">
            <v>42860</v>
          </cell>
          <cell r="AC266">
            <v>0</v>
          </cell>
          <cell r="AD266">
            <v>0</v>
          </cell>
          <cell r="AE266">
            <v>0</v>
          </cell>
          <cell r="AF266">
            <v>42860</v>
          </cell>
          <cell r="AG266">
            <v>0</v>
          </cell>
          <cell r="AH266">
            <v>0</v>
          </cell>
          <cell r="AI266">
            <v>42860</v>
          </cell>
          <cell r="AJ266">
            <v>0</v>
          </cell>
          <cell r="AK266">
            <v>0</v>
          </cell>
          <cell r="AL266">
            <v>42860</v>
          </cell>
          <cell r="AM266">
            <v>0</v>
          </cell>
          <cell r="AN266">
            <v>0</v>
          </cell>
          <cell r="AO266">
            <v>0</v>
          </cell>
          <cell r="AP266">
            <v>0</v>
          </cell>
          <cell r="AQ266">
            <v>0</v>
          </cell>
          <cell r="AR266">
            <v>0</v>
          </cell>
          <cell r="AS266">
            <v>42861</v>
          </cell>
          <cell r="AT266">
            <v>0</v>
          </cell>
          <cell r="AU266">
            <v>0</v>
          </cell>
          <cell r="AV266">
            <v>42861</v>
          </cell>
          <cell r="AW266">
            <v>0</v>
          </cell>
          <cell r="AX266">
            <v>42861</v>
          </cell>
          <cell r="AY266">
            <v>0</v>
          </cell>
          <cell r="AZ266">
            <v>0</v>
          </cell>
        </row>
        <row r="267">
          <cell r="B267">
            <v>0</v>
          </cell>
          <cell r="C267">
            <v>0</v>
          </cell>
          <cell r="D267">
            <v>0</v>
          </cell>
          <cell r="E267">
            <v>42860</v>
          </cell>
          <cell r="F267">
            <v>0</v>
          </cell>
          <cell r="G267">
            <v>0</v>
          </cell>
          <cell r="H267">
            <v>42860</v>
          </cell>
          <cell r="I267">
            <v>0</v>
          </cell>
          <cell r="J267">
            <v>0</v>
          </cell>
          <cell r="K267">
            <v>0</v>
          </cell>
          <cell r="L267">
            <v>0</v>
          </cell>
          <cell r="M267">
            <v>0</v>
          </cell>
          <cell r="N267">
            <v>0</v>
          </cell>
          <cell r="O267">
            <v>42860</v>
          </cell>
          <cell r="P267">
            <v>0</v>
          </cell>
          <cell r="Q267">
            <v>0</v>
          </cell>
          <cell r="R267">
            <v>0</v>
          </cell>
          <cell r="S267">
            <v>0</v>
          </cell>
          <cell r="T267">
            <v>0</v>
          </cell>
          <cell r="U267">
            <v>42860</v>
          </cell>
          <cell r="V267">
            <v>0</v>
          </cell>
          <cell r="W267">
            <v>0</v>
          </cell>
          <cell r="X267">
            <v>42861</v>
          </cell>
          <cell r="Y267">
            <v>0</v>
          </cell>
          <cell r="Z267">
            <v>0</v>
          </cell>
          <cell r="AA267">
            <v>0</v>
          </cell>
          <cell r="AB267">
            <v>42861</v>
          </cell>
          <cell r="AC267">
            <v>0</v>
          </cell>
          <cell r="AD267">
            <v>0</v>
          </cell>
          <cell r="AE267">
            <v>0</v>
          </cell>
          <cell r="AF267">
            <v>42861</v>
          </cell>
          <cell r="AG267">
            <v>0</v>
          </cell>
          <cell r="AH267">
            <v>0</v>
          </cell>
          <cell r="AI267">
            <v>42861</v>
          </cell>
          <cell r="AJ267">
            <v>0</v>
          </cell>
          <cell r="AK267">
            <v>0</v>
          </cell>
          <cell r="AL267">
            <v>42861</v>
          </cell>
          <cell r="AM267">
            <v>0</v>
          </cell>
          <cell r="AN267">
            <v>0</v>
          </cell>
          <cell r="AO267">
            <v>0</v>
          </cell>
          <cell r="AP267">
            <v>0</v>
          </cell>
          <cell r="AQ267">
            <v>0</v>
          </cell>
          <cell r="AR267">
            <v>0</v>
          </cell>
          <cell r="AS267">
            <v>42862</v>
          </cell>
          <cell r="AT267">
            <v>0</v>
          </cell>
          <cell r="AU267">
            <v>0</v>
          </cell>
          <cell r="AV267">
            <v>42862</v>
          </cell>
          <cell r="AW267">
            <v>0</v>
          </cell>
          <cell r="AX267">
            <v>42862</v>
          </cell>
          <cell r="AY267">
            <v>0</v>
          </cell>
          <cell r="AZ267">
            <v>0</v>
          </cell>
        </row>
        <row r="268">
          <cell r="B268">
            <v>0</v>
          </cell>
          <cell r="C268">
            <v>0</v>
          </cell>
          <cell r="D268">
            <v>0</v>
          </cell>
          <cell r="E268">
            <v>42861</v>
          </cell>
          <cell r="F268">
            <v>0</v>
          </cell>
          <cell r="G268">
            <v>0</v>
          </cell>
          <cell r="H268">
            <v>42861</v>
          </cell>
          <cell r="I268">
            <v>0</v>
          </cell>
          <cell r="J268">
            <v>0</v>
          </cell>
          <cell r="K268">
            <v>0</v>
          </cell>
          <cell r="L268">
            <v>0</v>
          </cell>
          <cell r="M268">
            <v>0</v>
          </cell>
          <cell r="N268">
            <v>0</v>
          </cell>
          <cell r="O268">
            <v>42861</v>
          </cell>
          <cell r="P268">
            <v>0</v>
          </cell>
          <cell r="Q268">
            <v>0</v>
          </cell>
          <cell r="R268">
            <v>0</v>
          </cell>
          <cell r="S268">
            <v>0</v>
          </cell>
          <cell r="T268">
            <v>0</v>
          </cell>
          <cell r="U268">
            <v>42861</v>
          </cell>
          <cell r="V268">
            <v>0</v>
          </cell>
          <cell r="W268">
            <v>0</v>
          </cell>
          <cell r="X268">
            <v>42862</v>
          </cell>
          <cell r="Y268">
            <v>0</v>
          </cell>
          <cell r="Z268">
            <v>0</v>
          </cell>
          <cell r="AA268">
            <v>0</v>
          </cell>
          <cell r="AB268">
            <v>42862</v>
          </cell>
          <cell r="AC268">
            <v>0</v>
          </cell>
          <cell r="AD268">
            <v>0</v>
          </cell>
          <cell r="AE268">
            <v>0</v>
          </cell>
          <cell r="AF268">
            <v>42862</v>
          </cell>
          <cell r="AG268">
            <v>0</v>
          </cell>
          <cell r="AH268">
            <v>0</v>
          </cell>
          <cell r="AI268">
            <v>42862</v>
          </cell>
          <cell r="AJ268">
            <v>0</v>
          </cell>
          <cell r="AK268">
            <v>0</v>
          </cell>
          <cell r="AL268">
            <v>42862</v>
          </cell>
          <cell r="AM268">
            <v>0</v>
          </cell>
          <cell r="AN268">
            <v>0</v>
          </cell>
          <cell r="AO268">
            <v>0</v>
          </cell>
          <cell r="AP268">
            <v>0</v>
          </cell>
          <cell r="AQ268">
            <v>0</v>
          </cell>
          <cell r="AR268">
            <v>0</v>
          </cell>
          <cell r="AS268">
            <v>42863</v>
          </cell>
          <cell r="AT268">
            <v>0</v>
          </cell>
          <cell r="AU268">
            <v>0</v>
          </cell>
          <cell r="AV268">
            <v>42863</v>
          </cell>
          <cell r="AW268">
            <v>0</v>
          </cell>
          <cell r="AX268">
            <v>42863</v>
          </cell>
          <cell r="AY268">
            <v>0</v>
          </cell>
          <cell r="AZ268">
            <v>0</v>
          </cell>
        </row>
        <row r="269">
          <cell r="B269">
            <v>0</v>
          </cell>
          <cell r="C269">
            <v>0</v>
          </cell>
          <cell r="D269">
            <v>0</v>
          </cell>
          <cell r="E269">
            <v>42862</v>
          </cell>
          <cell r="F269">
            <v>0</v>
          </cell>
          <cell r="G269">
            <v>0</v>
          </cell>
          <cell r="H269">
            <v>42862</v>
          </cell>
          <cell r="I269">
            <v>0</v>
          </cell>
          <cell r="J269">
            <v>0</v>
          </cell>
          <cell r="K269">
            <v>0</v>
          </cell>
          <cell r="L269">
            <v>0</v>
          </cell>
          <cell r="M269">
            <v>0</v>
          </cell>
          <cell r="N269">
            <v>0</v>
          </cell>
          <cell r="O269">
            <v>42862</v>
          </cell>
          <cell r="P269">
            <v>0</v>
          </cell>
          <cell r="Q269">
            <v>0</v>
          </cell>
          <cell r="R269">
            <v>0</v>
          </cell>
          <cell r="S269">
            <v>0</v>
          </cell>
          <cell r="T269">
            <v>0</v>
          </cell>
          <cell r="U269">
            <v>42862</v>
          </cell>
          <cell r="V269">
            <v>0</v>
          </cell>
          <cell r="W269">
            <v>0</v>
          </cell>
          <cell r="X269">
            <v>42863</v>
          </cell>
          <cell r="Y269">
            <v>0</v>
          </cell>
          <cell r="Z269">
            <v>0</v>
          </cell>
          <cell r="AA269">
            <v>0</v>
          </cell>
          <cell r="AB269">
            <v>42863</v>
          </cell>
          <cell r="AC269">
            <v>0</v>
          </cell>
          <cell r="AD269">
            <v>0</v>
          </cell>
          <cell r="AE269">
            <v>0</v>
          </cell>
          <cell r="AF269">
            <v>42863</v>
          </cell>
          <cell r="AG269">
            <v>0</v>
          </cell>
          <cell r="AH269">
            <v>0</v>
          </cell>
          <cell r="AI269">
            <v>42863</v>
          </cell>
          <cell r="AJ269">
            <v>0</v>
          </cell>
          <cell r="AK269">
            <v>0</v>
          </cell>
          <cell r="AL269">
            <v>42863</v>
          </cell>
          <cell r="AM269">
            <v>0</v>
          </cell>
          <cell r="AN269">
            <v>0</v>
          </cell>
          <cell r="AO269">
            <v>0</v>
          </cell>
          <cell r="AP269">
            <v>0</v>
          </cell>
          <cell r="AQ269">
            <v>0</v>
          </cell>
          <cell r="AR269">
            <v>0</v>
          </cell>
          <cell r="AS269">
            <v>42864</v>
          </cell>
          <cell r="AT269">
            <v>0</v>
          </cell>
          <cell r="AU269">
            <v>0</v>
          </cell>
          <cell r="AV269">
            <v>42864</v>
          </cell>
          <cell r="AW269">
            <v>0</v>
          </cell>
          <cell r="AX269">
            <v>42864</v>
          </cell>
          <cell r="AY269">
            <v>0</v>
          </cell>
          <cell r="AZ269">
            <v>0</v>
          </cell>
        </row>
        <row r="270">
          <cell r="B270">
            <v>0</v>
          </cell>
          <cell r="C270">
            <v>0</v>
          </cell>
          <cell r="D270">
            <v>0</v>
          </cell>
          <cell r="E270">
            <v>42863</v>
          </cell>
          <cell r="F270">
            <v>0</v>
          </cell>
          <cell r="G270">
            <v>0</v>
          </cell>
          <cell r="H270">
            <v>42863</v>
          </cell>
          <cell r="I270">
            <v>0</v>
          </cell>
          <cell r="J270">
            <v>0</v>
          </cell>
          <cell r="K270">
            <v>0</v>
          </cell>
          <cell r="L270">
            <v>0</v>
          </cell>
          <cell r="M270">
            <v>0</v>
          </cell>
          <cell r="N270">
            <v>0</v>
          </cell>
          <cell r="O270">
            <v>42863</v>
          </cell>
          <cell r="P270">
            <v>0</v>
          </cell>
          <cell r="Q270">
            <v>0</v>
          </cell>
          <cell r="R270">
            <v>0</v>
          </cell>
          <cell r="S270">
            <v>0</v>
          </cell>
          <cell r="T270">
            <v>0</v>
          </cell>
          <cell r="U270">
            <v>42863</v>
          </cell>
          <cell r="V270">
            <v>0</v>
          </cell>
          <cell r="W270">
            <v>0</v>
          </cell>
          <cell r="X270">
            <v>42864</v>
          </cell>
          <cell r="Y270">
            <v>0</v>
          </cell>
          <cell r="Z270">
            <v>0</v>
          </cell>
          <cell r="AA270">
            <v>0</v>
          </cell>
          <cell r="AB270">
            <v>42864</v>
          </cell>
          <cell r="AC270">
            <v>0</v>
          </cell>
          <cell r="AD270">
            <v>0</v>
          </cell>
          <cell r="AE270">
            <v>0</v>
          </cell>
          <cell r="AF270">
            <v>42864</v>
          </cell>
          <cell r="AG270">
            <v>0</v>
          </cell>
          <cell r="AH270">
            <v>0</v>
          </cell>
          <cell r="AI270">
            <v>42864</v>
          </cell>
          <cell r="AJ270">
            <v>0</v>
          </cell>
          <cell r="AK270">
            <v>0</v>
          </cell>
          <cell r="AL270">
            <v>42864</v>
          </cell>
          <cell r="AM270">
            <v>0</v>
          </cell>
          <cell r="AN270">
            <v>0</v>
          </cell>
          <cell r="AO270">
            <v>0</v>
          </cell>
          <cell r="AP270">
            <v>0</v>
          </cell>
          <cell r="AQ270">
            <v>0</v>
          </cell>
          <cell r="AR270">
            <v>0</v>
          </cell>
          <cell r="AS270">
            <v>42865</v>
          </cell>
          <cell r="AT270">
            <v>0</v>
          </cell>
          <cell r="AU270">
            <v>0</v>
          </cell>
          <cell r="AV270">
            <v>42865</v>
          </cell>
          <cell r="AW270">
            <v>0</v>
          </cell>
          <cell r="AX270">
            <v>42865</v>
          </cell>
          <cell r="AY270">
            <v>0</v>
          </cell>
          <cell r="AZ270">
            <v>0</v>
          </cell>
        </row>
        <row r="271">
          <cell r="B271">
            <v>0</v>
          </cell>
          <cell r="C271">
            <v>0</v>
          </cell>
          <cell r="D271">
            <v>0</v>
          </cell>
          <cell r="E271">
            <v>42864</v>
          </cell>
          <cell r="F271">
            <v>0</v>
          </cell>
          <cell r="G271">
            <v>0</v>
          </cell>
          <cell r="H271">
            <v>42864</v>
          </cell>
          <cell r="I271">
            <v>0</v>
          </cell>
          <cell r="J271">
            <v>0</v>
          </cell>
          <cell r="K271">
            <v>0</v>
          </cell>
          <cell r="L271">
            <v>0</v>
          </cell>
          <cell r="M271">
            <v>0</v>
          </cell>
          <cell r="N271">
            <v>0</v>
          </cell>
          <cell r="O271">
            <v>42864</v>
          </cell>
          <cell r="P271">
            <v>0</v>
          </cell>
          <cell r="Q271">
            <v>0</v>
          </cell>
          <cell r="R271">
            <v>0</v>
          </cell>
          <cell r="S271">
            <v>0</v>
          </cell>
          <cell r="T271">
            <v>0</v>
          </cell>
          <cell r="U271">
            <v>42864</v>
          </cell>
          <cell r="V271">
            <v>0</v>
          </cell>
          <cell r="W271">
            <v>0</v>
          </cell>
          <cell r="X271">
            <v>42865</v>
          </cell>
          <cell r="Y271">
            <v>0</v>
          </cell>
          <cell r="Z271">
            <v>0</v>
          </cell>
          <cell r="AA271">
            <v>0</v>
          </cell>
          <cell r="AB271">
            <v>42865</v>
          </cell>
          <cell r="AC271">
            <v>0</v>
          </cell>
          <cell r="AD271">
            <v>0</v>
          </cell>
          <cell r="AE271">
            <v>0</v>
          </cell>
          <cell r="AF271">
            <v>42865</v>
          </cell>
          <cell r="AG271">
            <v>0</v>
          </cell>
          <cell r="AH271">
            <v>0</v>
          </cell>
          <cell r="AI271">
            <v>42865</v>
          </cell>
          <cell r="AJ271">
            <v>0</v>
          </cell>
          <cell r="AK271">
            <v>0</v>
          </cell>
          <cell r="AL271">
            <v>42865</v>
          </cell>
          <cell r="AM271">
            <v>0</v>
          </cell>
          <cell r="AN271">
            <v>0</v>
          </cell>
          <cell r="AO271">
            <v>0</v>
          </cell>
          <cell r="AP271">
            <v>0</v>
          </cell>
          <cell r="AQ271">
            <v>0</v>
          </cell>
          <cell r="AR271">
            <v>0</v>
          </cell>
          <cell r="AS271">
            <v>42866</v>
          </cell>
          <cell r="AT271">
            <v>0</v>
          </cell>
          <cell r="AU271">
            <v>0</v>
          </cell>
          <cell r="AV271">
            <v>42866</v>
          </cell>
          <cell r="AW271">
            <v>0</v>
          </cell>
          <cell r="AX271">
            <v>42866</v>
          </cell>
          <cell r="AY271">
            <v>0</v>
          </cell>
          <cell r="AZ271">
            <v>0</v>
          </cell>
        </row>
        <row r="272">
          <cell r="B272">
            <v>0</v>
          </cell>
          <cell r="C272">
            <v>0</v>
          </cell>
          <cell r="D272">
            <v>0</v>
          </cell>
          <cell r="E272">
            <v>42865</v>
          </cell>
          <cell r="F272">
            <v>0</v>
          </cell>
          <cell r="G272">
            <v>0</v>
          </cell>
          <cell r="H272">
            <v>42865</v>
          </cell>
          <cell r="I272">
            <v>0</v>
          </cell>
          <cell r="J272">
            <v>0</v>
          </cell>
          <cell r="K272">
            <v>0</v>
          </cell>
          <cell r="L272">
            <v>0</v>
          </cell>
          <cell r="M272">
            <v>0</v>
          </cell>
          <cell r="N272">
            <v>0</v>
          </cell>
          <cell r="O272">
            <v>42865</v>
          </cell>
          <cell r="P272">
            <v>0</v>
          </cell>
          <cell r="Q272">
            <v>0</v>
          </cell>
          <cell r="R272">
            <v>0</v>
          </cell>
          <cell r="S272">
            <v>0</v>
          </cell>
          <cell r="T272">
            <v>0</v>
          </cell>
          <cell r="U272">
            <v>42865</v>
          </cell>
          <cell r="V272">
            <v>0</v>
          </cell>
          <cell r="W272">
            <v>0</v>
          </cell>
          <cell r="X272">
            <v>42866</v>
          </cell>
          <cell r="Y272">
            <v>0</v>
          </cell>
          <cell r="Z272">
            <v>0</v>
          </cell>
          <cell r="AA272">
            <v>0</v>
          </cell>
          <cell r="AB272">
            <v>42866</v>
          </cell>
          <cell r="AC272">
            <v>0</v>
          </cell>
          <cell r="AD272">
            <v>0</v>
          </cell>
          <cell r="AE272">
            <v>0</v>
          </cell>
          <cell r="AF272">
            <v>42866</v>
          </cell>
          <cell r="AG272">
            <v>0</v>
          </cell>
          <cell r="AH272">
            <v>0</v>
          </cell>
          <cell r="AI272">
            <v>42866</v>
          </cell>
          <cell r="AJ272">
            <v>0</v>
          </cell>
          <cell r="AK272">
            <v>0</v>
          </cell>
          <cell r="AL272">
            <v>42866</v>
          </cell>
          <cell r="AM272">
            <v>0</v>
          </cell>
          <cell r="AN272">
            <v>0</v>
          </cell>
          <cell r="AO272">
            <v>0</v>
          </cell>
          <cell r="AP272">
            <v>0</v>
          </cell>
          <cell r="AQ272">
            <v>0</v>
          </cell>
          <cell r="AR272">
            <v>0</v>
          </cell>
          <cell r="AS272">
            <v>42867</v>
          </cell>
          <cell r="AT272">
            <v>0</v>
          </cell>
          <cell r="AU272">
            <v>0</v>
          </cell>
          <cell r="AV272">
            <v>42867</v>
          </cell>
          <cell r="AW272">
            <v>0</v>
          </cell>
          <cell r="AX272">
            <v>42867</v>
          </cell>
          <cell r="AY272">
            <v>0</v>
          </cell>
          <cell r="AZ272">
            <v>0</v>
          </cell>
        </row>
        <row r="273">
          <cell r="B273">
            <v>0</v>
          </cell>
          <cell r="C273">
            <v>0</v>
          </cell>
          <cell r="D273">
            <v>0</v>
          </cell>
          <cell r="E273">
            <v>42866</v>
          </cell>
          <cell r="F273">
            <v>0</v>
          </cell>
          <cell r="G273">
            <v>0</v>
          </cell>
          <cell r="H273">
            <v>42866</v>
          </cell>
          <cell r="I273">
            <v>0</v>
          </cell>
          <cell r="J273">
            <v>0</v>
          </cell>
          <cell r="K273">
            <v>0</v>
          </cell>
          <cell r="L273">
            <v>0</v>
          </cell>
          <cell r="M273">
            <v>0</v>
          </cell>
          <cell r="N273">
            <v>0</v>
          </cell>
          <cell r="O273">
            <v>42866</v>
          </cell>
          <cell r="P273">
            <v>0</v>
          </cell>
          <cell r="Q273">
            <v>0</v>
          </cell>
          <cell r="R273">
            <v>0</v>
          </cell>
          <cell r="S273">
            <v>0</v>
          </cell>
          <cell r="T273">
            <v>0</v>
          </cell>
          <cell r="U273">
            <v>42866</v>
          </cell>
          <cell r="V273">
            <v>0</v>
          </cell>
          <cell r="W273">
            <v>0</v>
          </cell>
          <cell r="X273">
            <v>42867</v>
          </cell>
          <cell r="Y273">
            <v>0</v>
          </cell>
          <cell r="Z273">
            <v>0</v>
          </cell>
          <cell r="AA273">
            <v>0</v>
          </cell>
          <cell r="AB273">
            <v>42867</v>
          </cell>
          <cell r="AC273">
            <v>0</v>
          </cell>
          <cell r="AD273">
            <v>0</v>
          </cell>
          <cell r="AE273">
            <v>0</v>
          </cell>
          <cell r="AF273">
            <v>42867</v>
          </cell>
          <cell r="AG273">
            <v>0</v>
          </cell>
          <cell r="AH273">
            <v>0</v>
          </cell>
          <cell r="AI273">
            <v>42867</v>
          </cell>
          <cell r="AJ273">
            <v>0</v>
          </cell>
          <cell r="AK273">
            <v>0</v>
          </cell>
          <cell r="AL273">
            <v>42867</v>
          </cell>
          <cell r="AM273">
            <v>0</v>
          </cell>
          <cell r="AN273">
            <v>0</v>
          </cell>
          <cell r="AO273">
            <v>0</v>
          </cell>
          <cell r="AP273">
            <v>0</v>
          </cell>
          <cell r="AQ273">
            <v>0</v>
          </cell>
          <cell r="AR273">
            <v>0</v>
          </cell>
          <cell r="AS273">
            <v>42868</v>
          </cell>
          <cell r="AT273">
            <v>0</v>
          </cell>
          <cell r="AU273">
            <v>0</v>
          </cell>
          <cell r="AV273">
            <v>42868</v>
          </cell>
          <cell r="AW273">
            <v>0</v>
          </cell>
          <cell r="AX273">
            <v>42868</v>
          </cell>
          <cell r="AY273">
            <v>0</v>
          </cell>
          <cell r="AZ273">
            <v>0</v>
          </cell>
        </row>
        <row r="274">
          <cell r="B274">
            <v>0</v>
          </cell>
          <cell r="C274">
            <v>0</v>
          </cell>
          <cell r="D274">
            <v>0</v>
          </cell>
          <cell r="E274">
            <v>42867</v>
          </cell>
          <cell r="F274">
            <v>0</v>
          </cell>
          <cell r="G274">
            <v>0</v>
          </cell>
          <cell r="H274">
            <v>42867</v>
          </cell>
          <cell r="I274">
            <v>0</v>
          </cell>
          <cell r="J274">
            <v>0</v>
          </cell>
          <cell r="K274">
            <v>0</v>
          </cell>
          <cell r="L274">
            <v>0</v>
          </cell>
          <cell r="M274">
            <v>0</v>
          </cell>
          <cell r="N274">
            <v>0</v>
          </cell>
          <cell r="O274">
            <v>42867</v>
          </cell>
          <cell r="P274">
            <v>0</v>
          </cell>
          <cell r="Q274">
            <v>0</v>
          </cell>
          <cell r="R274">
            <v>0</v>
          </cell>
          <cell r="S274">
            <v>0</v>
          </cell>
          <cell r="T274">
            <v>0</v>
          </cell>
          <cell r="U274">
            <v>42867</v>
          </cell>
          <cell r="V274">
            <v>0</v>
          </cell>
          <cell r="W274">
            <v>0</v>
          </cell>
          <cell r="X274">
            <v>42868</v>
          </cell>
          <cell r="Y274">
            <v>0</v>
          </cell>
          <cell r="Z274">
            <v>0</v>
          </cell>
          <cell r="AA274">
            <v>0</v>
          </cell>
          <cell r="AB274">
            <v>42868</v>
          </cell>
          <cell r="AC274">
            <v>0</v>
          </cell>
          <cell r="AD274">
            <v>0</v>
          </cell>
          <cell r="AE274">
            <v>0</v>
          </cell>
          <cell r="AF274">
            <v>42868</v>
          </cell>
          <cell r="AG274">
            <v>0</v>
          </cell>
          <cell r="AH274">
            <v>0</v>
          </cell>
          <cell r="AI274">
            <v>42868</v>
          </cell>
          <cell r="AJ274">
            <v>0</v>
          </cell>
          <cell r="AK274">
            <v>0</v>
          </cell>
          <cell r="AL274">
            <v>42868</v>
          </cell>
          <cell r="AM274">
            <v>0</v>
          </cell>
          <cell r="AN274">
            <v>0</v>
          </cell>
          <cell r="AO274">
            <v>0</v>
          </cell>
          <cell r="AP274">
            <v>0</v>
          </cell>
          <cell r="AQ274">
            <v>0</v>
          </cell>
          <cell r="AR274">
            <v>0</v>
          </cell>
          <cell r="AS274">
            <v>42869</v>
          </cell>
          <cell r="AT274">
            <v>0</v>
          </cell>
          <cell r="AU274">
            <v>0</v>
          </cell>
          <cell r="AV274">
            <v>42869</v>
          </cell>
          <cell r="AW274">
            <v>0</v>
          </cell>
          <cell r="AX274">
            <v>42869</v>
          </cell>
          <cell r="AY274">
            <v>0</v>
          </cell>
          <cell r="AZ274">
            <v>0</v>
          </cell>
        </row>
        <row r="275">
          <cell r="B275">
            <v>0</v>
          </cell>
          <cell r="C275">
            <v>0</v>
          </cell>
          <cell r="D275">
            <v>0</v>
          </cell>
          <cell r="E275">
            <v>42868</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row>
        <row r="276">
          <cell r="B276">
            <v>0</v>
          </cell>
          <cell r="C276">
            <v>0</v>
          </cell>
          <cell r="D276">
            <v>0</v>
          </cell>
          <cell r="E276">
            <v>42869</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row>
        <row r="277">
          <cell r="B277">
            <v>0</v>
          </cell>
          <cell r="C277">
            <v>0</v>
          </cell>
          <cell r="D277">
            <v>0</v>
          </cell>
          <cell r="E277">
            <v>42870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row>
        <row r="278">
          <cell r="B278">
            <v>0</v>
          </cell>
          <cell r="C278">
            <v>0</v>
          </cell>
          <cell r="D278">
            <v>0</v>
          </cell>
          <cell r="E278">
            <v>42871</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row>
        <row r="279">
          <cell r="B279">
            <v>0</v>
          </cell>
          <cell r="C279">
            <v>0</v>
          </cell>
          <cell r="D279">
            <v>0</v>
          </cell>
          <cell r="E279">
            <v>42872</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row>
        <row r="280">
          <cell r="B280">
            <v>0</v>
          </cell>
          <cell r="C280">
            <v>0</v>
          </cell>
          <cell r="D280">
            <v>0</v>
          </cell>
          <cell r="E280">
            <v>42873</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row>
        <row r="281">
          <cell r="B281">
            <v>0</v>
          </cell>
          <cell r="C281">
            <v>0</v>
          </cell>
          <cell r="D281">
            <v>0</v>
          </cell>
          <cell r="E281">
            <v>42874</v>
          </cell>
          <cell r="F281">
            <v>0</v>
          </cell>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row>
        <row r="282">
          <cell r="B282">
            <v>0</v>
          </cell>
          <cell r="C282">
            <v>0</v>
          </cell>
          <cell r="D282">
            <v>0</v>
          </cell>
          <cell r="E282">
            <v>42875</v>
          </cell>
          <cell r="F282">
            <v>0</v>
          </cell>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row>
        <row r="283">
          <cell r="O283">
            <v>0</v>
          </cell>
        </row>
        <row r="284">
          <cell r="O284">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 lieu"/>
      <sheetName val="1. Bia"/>
      <sheetName val="2. NK"/>
      <sheetName val="3. Dia Chat"/>
      <sheetName val="4. Phieu theo doi bt"/>
      <sheetName val="5. BBLM"/>
      <sheetName val="6. Bao cao tong hop"/>
      <sheetName val="7. Mo ta"/>
      <sheetName val="9. So hieu coc dao"/>
      <sheetName val="6. Bieu do BT"/>
      <sheetName val="10. thep"/>
      <sheetName val="Bien ban 2"/>
      <sheetName val="Bien ban"/>
      <sheetName val="DL COC"/>
    </sheetNames>
    <sheetDataSet>
      <sheetData sheetId="0" refreshError="1">
        <row r="4">
          <cell r="C4" t="str">
            <v>KHU HỖN HỢP CHUNG CƯ, VĂN PHÒNG, TRUNG TÂM THƯƠNG MẠI VÀ NHÀ Ở KẾT HỢP KHU MUA SẮM</v>
          </cell>
        </row>
        <row r="15">
          <cell r="C15" t="str">
            <v>CÔNG TY TRÁCH NHIỆM HỮU HẠN MỘT THÀNH VIÊN HANTECH</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22.bin"/><Relationship Id="rId4" Type="http://schemas.openxmlformats.org/officeDocument/2006/relationships/comments" Target="../comments4.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sheetPr>
  <dimension ref="A1:V62"/>
  <sheetViews>
    <sheetView view="pageBreakPreview" topLeftCell="A29" zoomScale="130" zoomScaleNormal="130" workbookViewId="0">
      <selection activeCell="J10" sqref="J10"/>
    </sheetView>
  </sheetViews>
  <sheetFormatPr defaultColWidth="10.28515625" defaultRowHeight="15"/>
  <cols>
    <col min="1" max="1" width="2.7109375" style="203" customWidth="1"/>
    <col min="2" max="2" width="5.7109375" style="203" customWidth="1"/>
    <col min="3" max="3" width="15.42578125" style="203" customWidth="1"/>
    <col min="4" max="4" width="6.85546875" style="203" customWidth="1"/>
    <col min="5" max="5" width="7.7109375" style="203" customWidth="1"/>
    <col min="6" max="6" width="7.5703125" style="203" customWidth="1"/>
    <col min="7" max="7" width="8.7109375" style="203" customWidth="1"/>
    <col min="8" max="8" width="6.85546875" style="203" customWidth="1"/>
    <col min="9" max="9" width="9" style="203" customWidth="1"/>
    <col min="10" max="10" width="8.5703125" style="203" customWidth="1"/>
    <col min="11" max="13" width="7.28515625" style="203" customWidth="1"/>
    <col min="14" max="16384" width="10.28515625" style="203"/>
  </cols>
  <sheetData>
    <row r="1" spans="1:20" ht="15" customHeight="1">
      <c r="A1" s="1276" t="str">
        <f>'[5]Du lieu'!C4</f>
        <v>KHU HỖN HỢP CHUNG CƯ, VĂN PHÒNG, TRUNG TÂM THƯƠNG MẠI VÀ NHÀ Ở KẾT HỢP KHU MUA SẮM</v>
      </c>
      <c r="B1" s="1276"/>
      <c r="C1" s="1276"/>
      <c r="D1" s="1276"/>
      <c r="E1" s="1276"/>
      <c r="F1" s="1276"/>
      <c r="G1" s="1276"/>
      <c r="H1" s="1277" t="s">
        <v>336</v>
      </c>
      <c r="I1" s="1277"/>
      <c r="J1" s="1277"/>
      <c r="K1" s="1277"/>
      <c r="L1" s="1277"/>
      <c r="M1" s="1277"/>
      <c r="O1" s="212"/>
      <c r="P1" s="212"/>
      <c r="R1" s="212"/>
    </row>
    <row r="2" spans="1:20" ht="15" customHeight="1">
      <c r="A2" s="1276"/>
      <c r="B2" s="1276"/>
      <c r="C2" s="1276"/>
      <c r="D2" s="1276"/>
      <c r="E2" s="1276"/>
      <c r="F2" s="1276"/>
      <c r="G2" s="1276"/>
      <c r="H2" s="1278" t="s">
        <v>344</v>
      </c>
      <c r="I2" s="1278"/>
      <c r="J2" s="1278"/>
      <c r="K2" s="1278"/>
      <c r="L2" s="1278"/>
      <c r="M2" s="1278"/>
      <c r="N2" s="202"/>
      <c r="O2" s="202"/>
      <c r="P2" s="205" t="s">
        <v>347</v>
      </c>
      <c r="Q2" s="206"/>
      <c r="R2" s="1235" t="str">
        <f>'2. NK'!R2</f>
        <v>B1</v>
      </c>
    </row>
    <row r="3" spans="1:20" ht="15" customHeight="1">
      <c r="A3" s="207"/>
      <c r="B3" s="207"/>
      <c r="C3" s="207"/>
      <c r="D3" s="207"/>
      <c r="E3" s="207"/>
      <c r="F3" s="207"/>
      <c r="G3" s="207"/>
      <c r="H3" s="1277" t="s">
        <v>155</v>
      </c>
      <c r="I3" s="1277"/>
      <c r="J3" s="1277"/>
      <c r="K3" s="1277"/>
      <c r="L3" s="1277"/>
      <c r="M3" s="1277"/>
      <c r="N3" s="202"/>
      <c r="O3" s="202"/>
      <c r="P3" s="205" t="s">
        <v>13</v>
      </c>
      <c r="Q3" s="206"/>
      <c r="R3" s="586">
        <f>VLOOKUP($R$2,'Thong tin'!$A:$R,13,0)</f>
        <v>800</v>
      </c>
    </row>
    <row r="4" spans="1:20" s="209" customFormat="1" ht="19.5" customHeight="1" thickBot="1">
      <c r="A4" s="1279" t="s">
        <v>345</v>
      </c>
      <c r="B4" s="1279"/>
      <c r="C4" s="1279"/>
      <c r="D4" s="1279"/>
      <c r="E4" s="1279"/>
      <c r="F4" s="1279"/>
      <c r="G4" s="1279"/>
      <c r="H4" s="1279"/>
      <c r="I4" s="1279"/>
      <c r="J4" s="1279"/>
      <c r="K4" s="1279"/>
      <c r="L4" s="1279"/>
      <c r="M4" s="1279"/>
      <c r="N4" s="208"/>
      <c r="O4" s="208"/>
      <c r="P4" s="205" t="s">
        <v>70</v>
      </c>
      <c r="Q4" s="206"/>
      <c r="R4" s="586">
        <f>VLOOKUP($R$2,'Thong tin'!$A:$R,6,0)</f>
        <v>-8</v>
      </c>
    </row>
    <row r="5" spans="1:20" s="214" customFormat="1" ht="15.75" customHeight="1" thickTop="1">
      <c r="A5" s="210" t="str">
        <f>'1. Bia'!B10</f>
        <v>DỰ ÁN:</v>
      </c>
      <c r="B5" s="211"/>
      <c r="C5" s="211"/>
      <c r="D5" s="1280" t="str">
        <f>'1. Bia'!E10</f>
        <v>KHU HỖN HỢP CHUNG CƯ, VĂN PHÒNG, TRUNG TÂM THƯƠNG MẠI VÀ NHÀ Ở KẾT HỢP KHU MUA SẮM</v>
      </c>
      <c r="E5" s="1280"/>
      <c r="F5" s="1280"/>
      <c r="G5" s="1280"/>
      <c r="H5" s="1280"/>
      <c r="I5" s="1280"/>
      <c r="J5" s="1281"/>
      <c r="K5" s="1282" t="s">
        <v>482</v>
      </c>
      <c r="L5" s="1283"/>
      <c r="M5" s="1284"/>
      <c r="N5" s="213"/>
      <c r="O5" s="213"/>
      <c r="P5" s="205" t="s">
        <v>71</v>
      </c>
      <c r="Q5" s="206" t="s">
        <v>69</v>
      </c>
      <c r="R5" s="586"/>
    </row>
    <row r="6" spans="1:20" s="214" customFormat="1">
      <c r="A6" s="210"/>
      <c r="B6" s="211"/>
      <c r="C6" s="211"/>
      <c r="D6" s="1280"/>
      <c r="E6" s="1280"/>
      <c r="F6" s="1280"/>
      <c r="G6" s="1280"/>
      <c r="H6" s="1280"/>
      <c r="I6" s="1280"/>
      <c r="J6" s="1281"/>
      <c r="K6" s="1285" t="s">
        <v>483</v>
      </c>
      <c r="L6" s="1288" t="s">
        <v>197</v>
      </c>
      <c r="M6" s="1291" t="s">
        <v>157</v>
      </c>
      <c r="N6" s="213"/>
      <c r="O6" s="213"/>
      <c r="P6" s="205"/>
      <c r="Q6" s="206"/>
      <c r="R6" s="586"/>
    </row>
    <row r="7" spans="1:20" s="214" customFormat="1">
      <c r="A7" s="882" t="str">
        <f>'1. Bia'!B11</f>
        <v>CÔNG TRÌNH:</v>
      </c>
      <c r="B7" s="211"/>
      <c r="C7" s="211"/>
      <c r="D7" s="881" t="str">
        <f>'1. Bia'!E11</f>
        <v>KHU HỖN HỢP CHUNG CƯ, VĂN PHÒNG, TTTM</v>
      </c>
      <c r="E7" s="1243"/>
      <c r="F7" s="1243"/>
      <c r="G7" s="1243"/>
      <c r="H7" s="1243"/>
      <c r="I7" s="1243"/>
      <c r="J7" s="1240"/>
      <c r="K7" s="1286"/>
      <c r="L7" s="1289"/>
      <c r="M7" s="1292"/>
      <c r="N7" s="213"/>
      <c r="O7" s="213"/>
      <c r="P7" s="682"/>
      <c r="Q7" s="683"/>
      <c r="R7" s="684"/>
    </row>
    <row r="8" spans="1:20" s="214" customFormat="1" ht="15" customHeight="1">
      <c r="A8" s="883" t="str">
        <f>'1. Bia'!B12</f>
        <v>GÓI THẦU:</v>
      </c>
      <c r="B8" s="215"/>
      <c r="C8" s="215"/>
      <c r="D8" s="881" t="str">
        <f>'1. Bia'!E12</f>
        <v>THI CÔNG CỌC KHOAN NHỒI</v>
      </c>
      <c r="E8" s="215"/>
      <c r="F8" s="215"/>
      <c r="G8" s="213"/>
      <c r="H8" s="213"/>
      <c r="I8" s="213"/>
      <c r="J8" s="213"/>
      <c r="K8" s="1286"/>
      <c r="L8" s="1289"/>
      <c r="M8" s="1292"/>
      <c r="N8" s="213"/>
      <c r="O8" s="213"/>
      <c r="P8" s="682"/>
      <c r="Q8" s="683" t="s">
        <v>158</v>
      </c>
      <c r="R8" s="684">
        <f>VLOOKUP($R$2,'Thong tin'!$A:$R,15,0)</f>
        <v>16</v>
      </c>
    </row>
    <row r="9" spans="1:20" s="214" customFormat="1" ht="14.25" customHeight="1">
      <c r="A9" s="883" t="str">
        <f>'1. Bia'!B13</f>
        <v>ĐỊA ĐIỂM:</v>
      </c>
      <c r="D9" s="881" t="str">
        <f>'1. Bia'!E13</f>
        <v>ĐƯỜNG 25/4, P BẠCH ĐẰNG, TP HẠ LONG, TỈNH QUẢNG NINH</v>
      </c>
      <c r="F9" s="212"/>
      <c r="G9" s="212"/>
      <c r="H9" s="213"/>
      <c r="I9" s="213"/>
      <c r="J9" s="213"/>
      <c r="K9" s="1286"/>
      <c r="L9" s="1289"/>
      <c r="M9" s="1292"/>
      <c r="N9" s="213"/>
      <c r="O9" s="213"/>
      <c r="P9" s="685"/>
      <c r="Q9" s="686" t="s">
        <v>69</v>
      </c>
      <c r="R9" s="684">
        <f>VLOOKUP($R$2,'Thong tin'!$A:$R,14,0)</f>
        <v>20</v>
      </c>
      <c r="S9" s="685"/>
      <c r="T9" s="685"/>
    </row>
    <row r="10" spans="1:20" s="214" customFormat="1" ht="15" customHeight="1" thickBot="1">
      <c r="A10" s="216" t="s">
        <v>189</v>
      </c>
      <c r="B10" s="213"/>
      <c r="C10" s="213"/>
      <c r="D10" s="217" t="str">
        <f>R2</f>
        <v>B1</v>
      </c>
      <c r="E10" s="213"/>
      <c r="F10" s="216" t="s">
        <v>6</v>
      </c>
      <c r="G10" s="213"/>
      <c r="H10" s="218">
        <f>R3</f>
        <v>800</v>
      </c>
      <c r="I10" s="213" t="s">
        <v>159</v>
      </c>
      <c r="J10" s="213"/>
      <c r="K10" s="1287"/>
      <c r="L10" s="1290"/>
      <c r="M10" s="1293"/>
      <c r="N10" s="213"/>
      <c r="P10" s="685"/>
      <c r="Q10" s="686"/>
      <c r="R10" s="687"/>
      <c r="S10" s="685"/>
      <c r="T10" s="685"/>
    </row>
    <row r="11" spans="1:20" s="214" customFormat="1" ht="15" customHeight="1" thickTop="1">
      <c r="A11" s="1267" t="s">
        <v>160</v>
      </c>
      <c r="B11" s="1269" t="s">
        <v>369</v>
      </c>
      <c r="C11" s="1269"/>
      <c r="D11" s="288"/>
      <c r="E11" s="288" t="s">
        <v>370</v>
      </c>
      <c r="F11" s="300">
        <f>VLOOKUP($D$10,DT.NK!$B:$AZ,2,0)</f>
        <v>0.375</v>
      </c>
      <c r="G11" s="298" t="s">
        <v>349</v>
      </c>
      <c r="H11" s="300">
        <f>VLOOKUP($D$10,DT.NK!$B:$AZ,3,0)</f>
        <v>0.39583333333333331</v>
      </c>
      <c r="I11" s="294" t="s">
        <v>354</v>
      </c>
      <c r="J11" s="572">
        <f>VLOOKUP($D$10,DT.NK!$B:$AZ,4,0)</f>
        <v>42466</v>
      </c>
      <c r="K11" s="318"/>
      <c r="L11" s="568"/>
      <c r="M11" s="319"/>
      <c r="N11" s="213"/>
      <c r="P11" s="685" t="s">
        <v>68</v>
      </c>
      <c r="Q11" s="685"/>
      <c r="R11" s="685" t="s">
        <v>464</v>
      </c>
      <c r="S11" s="685"/>
      <c r="T11" s="685"/>
    </row>
    <row r="12" spans="1:20" s="214" customFormat="1" ht="6" customHeight="1">
      <c r="A12" s="1268"/>
      <c r="B12" s="1270"/>
      <c r="C12" s="1270"/>
      <c r="D12" s="289"/>
      <c r="E12" s="788"/>
      <c r="F12" s="289"/>
      <c r="G12" s="297"/>
      <c r="H12" s="658"/>
      <c r="I12" s="285"/>
      <c r="J12" s="310"/>
      <c r="K12" s="320"/>
      <c r="L12" s="569"/>
      <c r="M12" s="321"/>
      <c r="N12" s="213"/>
      <c r="P12" s="685" t="s">
        <v>151</v>
      </c>
      <c r="Q12" s="685"/>
      <c r="R12" s="685" t="s">
        <v>465</v>
      </c>
      <c r="S12" s="685"/>
      <c r="T12" s="685"/>
    </row>
    <row r="13" spans="1:20" s="214" customFormat="1" ht="12" customHeight="1">
      <c r="A13" s="291" t="s">
        <v>161</v>
      </c>
      <c r="B13" s="257" t="s">
        <v>403</v>
      </c>
      <c r="C13" s="257"/>
      <c r="D13" s="306"/>
      <c r="E13" s="789" t="s">
        <v>370</v>
      </c>
      <c r="F13" s="301">
        <f>VLOOKUP($D$10,DT.NK!$B:$AZ,5,0)</f>
        <v>0.40277777777777773</v>
      </c>
      <c r="G13" s="299" t="s">
        <v>350</v>
      </c>
      <c r="H13" s="301">
        <f>VLOOKUP($D$10,DT.NK!$B:$AZ,6,0)</f>
        <v>0.40624999999999994</v>
      </c>
      <c r="I13" s="295" t="s">
        <v>354</v>
      </c>
      <c r="J13" s="287">
        <f>VLOOKUP($D$10,DT.NK!$B:$AZ,7,0)</f>
        <v>42466</v>
      </c>
      <c r="K13" s="318"/>
      <c r="L13" s="568"/>
      <c r="M13" s="319"/>
      <c r="N13" s="213"/>
      <c r="P13" s="685" t="s">
        <v>731</v>
      </c>
      <c r="Q13" s="685" t="s">
        <v>471</v>
      </c>
      <c r="R13" s="687">
        <f>VLOOKUP($R$2,'Thong tin'!$A:$R,2,0)</f>
        <v>2317790.6910000001</v>
      </c>
      <c r="S13" s="685"/>
      <c r="T13" s="685"/>
    </row>
    <row r="14" spans="1:20" s="214" customFormat="1" ht="12" customHeight="1">
      <c r="A14" s="222"/>
      <c r="B14" s="223" t="s">
        <v>338</v>
      </c>
      <c r="C14" s="1242">
        <f>R13</f>
        <v>2317790.6910000001</v>
      </c>
      <c r="D14" s="223" t="s">
        <v>164</v>
      </c>
      <c r="E14" s="223" t="s">
        <v>339</v>
      </c>
      <c r="F14" s="1271">
        <f>I14+C14</f>
        <v>2317790.6920000003</v>
      </c>
      <c r="G14" s="1271"/>
      <c r="H14" s="224" t="s">
        <v>340</v>
      </c>
      <c r="I14" s="585">
        <f>VLOOKUP($D$10,DT.NK!$B:$AZ,8,0)</f>
        <v>1E-3</v>
      </c>
      <c r="J14" s="223" t="s">
        <v>164</v>
      </c>
      <c r="K14" s="322"/>
      <c r="L14" s="271"/>
      <c r="M14" s="323"/>
      <c r="N14" s="213"/>
      <c r="P14" s="685"/>
      <c r="Q14" s="685" t="s">
        <v>732</v>
      </c>
      <c r="R14" s="687">
        <f>VLOOKUP($R$2,'Thong tin'!$A:$R,3,0)</f>
        <v>430397.96399999998</v>
      </c>
      <c r="S14" s="685"/>
      <c r="T14" s="685"/>
    </row>
    <row r="15" spans="1:20" s="214" customFormat="1" ht="12" customHeight="1">
      <c r="A15" s="225"/>
      <c r="B15" s="223" t="s">
        <v>341</v>
      </c>
      <c r="C15" s="1242">
        <f>R14</f>
        <v>430397.96399999998</v>
      </c>
      <c r="D15" s="223" t="s">
        <v>164</v>
      </c>
      <c r="E15" s="223" t="s">
        <v>342</v>
      </c>
      <c r="F15" s="1271">
        <f>I15+C15</f>
        <v>430397.984</v>
      </c>
      <c r="G15" s="1271"/>
      <c r="H15" s="224" t="s">
        <v>343</v>
      </c>
      <c r="I15" s="585">
        <f>VLOOKUP($D$10,DT.NK!$B:$AZ,9,0)</f>
        <v>0.02</v>
      </c>
      <c r="J15" s="223" t="s">
        <v>164</v>
      </c>
      <c r="K15" s="322"/>
      <c r="L15" s="271"/>
      <c r="M15" s="323"/>
      <c r="N15" s="213"/>
      <c r="P15" s="685" t="s">
        <v>733</v>
      </c>
      <c r="Q15" s="685"/>
      <c r="R15" s="687">
        <f>VLOOKUP($R$2,'Thong tin'!$A:$R,11,0)</f>
        <v>2</v>
      </c>
      <c r="S15" s="685"/>
      <c r="T15" s="685"/>
    </row>
    <row r="16" spans="1:20" s="214" customFormat="1" ht="12" customHeight="1">
      <c r="A16" s="225"/>
      <c r="B16" s="221" t="s">
        <v>727</v>
      </c>
      <c r="C16" s="224"/>
      <c r="D16" s="226"/>
      <c r="E16" s="306"/>
      <c r="F16" s="660">
        <f>VLOOKUP($D$10,DT.NK!$B:$AZ,10,0)</f>
        <v>-0.35299999999999998</v>
      </c>
      <c r="G16" s="1266" t="s">
        <v>728</v>
      </c>
      <c r="H16" s="1266"/>
      <c r="I16" s="1266"/>
      <c r="J16" s="659">
        <f>VLOOKUP($D$10,DT.NK!$B:$AZ,11,0)</f>
        <v>-0.71699999999999997</v>
      </c>
      <c r="K16" s="322"/>
      <c r="L16" s="271"/>
      <c r="M16" s="323"/>
      <c r="N16" s="213"/>
      <c r="P16" s="685" t="s">
        <v>734</v>
      </c>
      <c r="Q16" s="685"/>
      <c r="R16" s="687">
        <f>VLOOKUP($R$2,'Thong tin'!$A:$R,12,0)</f>
        <v>1</v>
      </c>
      <c r="S16" s="685"/>
      <c r="T16" s="685"/>
    </row>
    <row r="17" spans="1:22" s="214" customFormat="1" ht="12" customHeight="1">
      <c r="A17" s="225"/>
      <c r="C17" s="224"/>
      <c r="D17" s="226"/>
      <c r="E17" s="306"/>
      <c r="G17" s="1272"/>
      <c r="H17" s="1272"/>
      <c r="I17" s="1272"/>
      <c r="J17" s="227"/>
      <c r="K17" s="322"/>
      <c r="L17" s="271"/>
      <c r="M17" s="323"/>
      <c r="N17" s="213"/>
      <c r="P17" s="685" t="s">
        <v>846</v>
      </c>
      <c r="Q17" s="685"/>
      <c r="R17" s="685">
        <v>900</v>
      </c>
      <c r="S17" s="685"/>
      <c r="T17" s="685"/>
    </row>
    <row r="18" spans="1:22" s="214" customFormat="1" ht="13.5" customHeight="1">
      <c r="A18" s="291">
        <v>3</v>
      </c>
      <c r="B18" s="1265" t="s">
        <v>400</v>
      </c>
      <c r="C18" s="1265"/>
      <c r="D18" s="260"/>
      <c r="E18" s="290" t="s">
        <v>358</v>
      </c>
      <c r="F18" s="301">
        <f>VLOOKUP($D$10,DT.NK!$B:$AZ,12,0)</f>
        <v>0.40972222222222215</v>
      </c>
      <c r="G18" s="299" t="s">
        <v>350</v>
      </c>
      <c r="H18" s="301">
        <f>VLOOKUP($D$10,DT.NK!$B:$AZ,13,0)</f>
        <v>0.42013888888888884</v>
      </c>
      <c r="I18" s="284" t="s">
        <v>354</v>
      </c>
      <c r="J18" s="255">
        <f>VLOOKUP($D$10,DT.NK!$B:$AZ,14,0)</f>
        <v>42466</v>
      </c>
      <c r="K18" s="324"/>
      <c r="L18" s="260"/>
      <c r="M18" s="325"/>
      <c r="N18" s="213"/>
      <c r="P18" s="685" t="s">
        <v>845</v>
      </c>
      <c r="Q18" s="685"/>
      <c r="R18" s="688">
        <f>R4-H30+1-0.1</f>
        <v>22.603000000000002</v>
      </c>
      <c r="S18" s="685" t="s">
        <v>847</v>
      </c>
      <c r="T18" s="685"/>
    </row>
    <row r="19" spans="1:22" s="214" customFormat="1" ht="15" customHeight="1">
      <c r="A19" s="222"/>
      <c r="B19" s="221" t="s">
        <v>362</v>
      </c>
      <c r="C19" s="221"/>
      <c r="D19" s="228">
        <f>VLOOKUP($D$10,DT.NK!$B:$AZ,15,0)</f>
        <v>1.08</v>
      </c>
      <c r="E19" s="221" t="s">
        <v>364</v>
      </c>
      <c r="F19" s="223"/>
      <c r="G19" s="306"/>
      <c r="H19" s="236">
        <f>VLOOKUP($D$10,DT.NK!$B:$AZ,16,0)</f>
        <v>9</v>
      </c>
      <c r="I19" s="306"/>
      <c r="J19" s="223"/>
      <c r="K19" s="322"/>
      <c r="L19" s="271"/>
      <c r="M19" s="323"/>
      <c r="N19" s="213"/>
      <c r="P19" s="685" t="s">
        <v>843</v>
      </c>
      <c r="Q19" s="685"/>
      <c r="R19" s="685" t="str">
        <f>R20</f>
        <v>16F20</v>
      </c>
      <c r="S19" s="918">
        <f>F16-R4</f>
        <v>7.6470000000000002</v>
      </c>
      <c r="T19" s="685">
        <v>0.1</v>
      </c>
    </row>
    <row r="20" spans="1:22" s="214" customFormat="1" ht="15" customHeight="1">
      <c r="A20" s="225"/>
      <c r="B20" s="221" t="s">
        <v>363</v>
      </c>
      <c r="C20" s="221"/>
      <c r="D20" s="228">
        <f>VLOOKUP($D$10,DT.NK!$B:$AZ,17,0)</f>
        <v>19</v>
      </c>
      <c r="E20" s="221" t="s">
        <v>365</v>
      </c>
      <c r="F20" s="223"/>
      <c r="G20" s="306"/>
      <c r="H20" s="662">
        <f>VLOOKUP($D$10,DT.NK!$B:$AZ,18,0)</f>
        <v>0</v>
      </c>
      <c r="I20" s="306"/>
      <c r="J20" s="311"/>
      <c r="K20" s="322"/>
      <c r="L20" s="271"/>
      <c r="M20" s="323"/>
      <c r="N20" s="213"/>
      <c r="P20" s="685" t="s">
        <v>839</v>
      </c>
      <c r="Q20" s="685"/>
      <c r="R20" s="685" t="str">
        <f>$R$8&amp;"F"&amp;$R$9</f>
        <v>16F20</v>
      </c>
      <c r="S20" s="685">
        <v>11.7</v>
      </c>
      <c r="T20" s="685"/>
      <c r="V20" s="214">
        <v>11.7</v>
      </c>
    </row>
    <row r="21" spans="1:22" s="214" customFormat="1" ht="15" customHeight="1">
      <c r="A21" s="225"/>
      <c r="B21" s="221" t="s">
        <v>356</v>
      </c>
      <c r="C21" s="221"/>
      <c r="D21" s="221"/>
      <c r="E21" s="224"/>
      <c r="F21" s="221"/>
      <c r="G21" s="221"/>
      <c r="H21" s="223"/>
      <c r="I21" s="223"/>
      <c r="J21" s="311"/>
      <c r="K21" s="322"/>
      <c r="L21" s="271"/>
      <c r="M21" s="323"/>
      <c r="N21" s="213"/>
      <c r="P21" s="685"/>
      <c r="Q21" s="685"/>
      <c r="R21" s="685"/>
      <c r="S21" s="685">
        <f>11.7-S20</f>
        <v>0</v>
      </c>
      <c r="T21" s="685"/>
    </row>
    <row r="22" spans="1:22" s="214" customFormat="1" ht="15" customHeight="1">
      <c r="A22" s="291">
        <v>4</v>
      </c>
      <c r="B22" s="257" t="s">
        <v>468</v>
      </c>
      <c r="C22" s="254"/>
      <c r="D22" s="239" t="s">
        <v>469</v>
      </c>
      <c r="E22" s="292"/>
      <c r="F22" s="239"/>
      <c r="G22" s="293" t="s">
        <v>359</v>
      </c>
      <c r="H22" s="302">
        <f>VLOOKUP($D$10,DT.NK!$B:$AZ,19,0)</f>
        <v>0.54513888888888884</v>
      </c>
      <c r="I22" s="295" t="s">
        <v>354</v>
      </c>
      <c r="J22" s="550">
        <f>VLOOKUP($D$10,DT.NK!$B:$AZ,20,0)</f>
        <v>42466</v>
      </c>
      <c r="K22" s="324"/>
      <c r="L22" s="260"/>
      <c r="M22" s="325"/>
      <c r="N22" s="213"/>
      <c r="P22" s="685" t="s">
        <v>840</v>
      </c>
      <c r="Q22" s="685"/>
      <c r="R22" s="685" t="str">
        <f>$R$8&amp;"F"&amp;$R$9</f>
        <v>16F20</v>
      </c>
      <c r="S22" s="685">
        <f>IF(R18-V20+0.9&gt;11.7,11.7,R18-V20+0.9)</f>
        <v>11.7</v>
      </c>
      <c r="T22" s="685" t="str">
        <f>IF(S22&lt;11.7,0.1,"")</f>
        <v/>
      </c>
    </row>
    <row r="23" spans="1:22" s="214" customFormat="1" ht="15" customHeight="1">
      <c r="A23" s="233"/>
      <c r="B23" s="221" t="s">
        <v>367</v>
      </c>
      <c r="C23" s="220"/>
      <c r="D23" s="235"/>
      <c r="E23" s="306"/>
      <c r="F23" s="235"/>
      <c r="G23" s="223"/>
      <c r="H23" s="660">
        <f>VLOOKUP($D$10,DT.NK!$B:$AZ,21,0)</f>
        <v>22.3</v>
      </c>
      <c r="I23" s="296"/>
      <c r="J23" s="551"/>
      <c r="K23" s="322"/>
      <c r="L23" s="271"/>
      <c r="M23" s="323"/>
      <c r="N23" s="213"/>
      <c r="P23" s="685" t="s">
        <v>841</v>
      </c>
      <c r="Q23" s="685"/>
      <c r="R23" s="685" t="str">
        <f>IF(S23="","",($R$8&amp;"F"&amp;$R$9))</f>
        <v>16F20</v>
      </c>
      <c r="S23" s="685">
        <f>IF(S22&lt;11.7,"",IF(R18-V20-S22+2*0.9&gt;11.7,11.7,R18-V20-S22+2*0.9))</f>
        <v>1.003000000000003</v>
      </c>
      <c r="T23" s="685">
        <f>IF(S23&lt;11.7,0.1,"")</f>
        <v>0.1</v>
      </c>
    </row>
    <row r="24" spans="1:22" s="214" customFormat="1" ht="13.5" customHeight="1">
      <c r="A24" s="229"/>
      <c r="B24" s="230" t="s">
        <v>879</v>
      </c>
      <c r="C24" s="231"/>
      <c r="D24" s="237"/>
      <c r="E24" s="237"/>
      <c r="F24" s="242"/>
      <c r="G24" s="242"/>
      <c r="H24" s="661">
        <f>-(H23-$F$16)</f>
        <v>-22.653000000000002</v>
      </c>
      <c r="I24" s="230"/>
      <c r="J24" s="556"/>
      <c r="K24" s="326"/>
      <c r="L24" s="570"/>
      <c r="M24" s="327"/>
      <c r="N24" s="213"/>
      <c r="O24" s="213"/>
      <c r="P24" s="685" t="s">
        <v>842</v>
      </c>
      <c r="Q24" s="685"/>
      <c r="R24" s="685" t="str">
        <f>IF(S24="","",($R$8&amp;"F"&amp;$R$9))</f>
        <v/>
      </c>
      <c r="S24" s="685" t="str">
        <f>IF(S23="","",IF(S23&lt;11.7,"",IF(R18-V20-S22-S23+3*0.9&gt;11.7,11.7,R18-V20-S22-S23+3*0.9)))</f>
        <v/>
      </c>
      <c r="T24" s="685" t="str">
        <f>IF(S24&lt;11.7,0.1,"")</f>
        <v/>
      </c>
    </row>
    <row r="25" spans="1:22" s="214" customFormat="1" ht="15" customHeight="1">
      <c r="A25" s="233">
        <v>5</v>
      </c>
      <c r="B25" s="234" t="s">
        <v>373</v>
      </c>
      <c r="C25" s="220"/>
      <c r="D25" s="235"/>
      <c r="E25" s="238"/>
      <c r="F25" s="235"/>
      <c r="G25" s="235"/>
      <c r="H25" s="286">
        <f>VLOOKUP($D$10,DT.NK!$B:$AZ,22,0)</f>
        <v>0.67013888888888884</v>
      </c>
      <c r="I25" s="296" t="s">
        <v>354</v>
      </c>
      <c r="J25" s="244">
        <f>VLOOKUP($D$10,DT.NK!$B:$AZ,23,0)</f>
        <v>42466</v>
      </c>
      <c r="K25" s="324"/>
      <c r="L25" s="260"/>
      <c r="M25" s="325"/>
      <c r="N25" s="240"/>
      <c r="O25" s="213"/>
      <c r="P25" s="685"/>
      <c r="Q25" s="685"/>
      <c r="R25" s="685"/>
      <c r="S25" s="685"/>
      <c r="T25" s="685"/>
    </row>
    <row r="26" spans="1:22" s="214" customFormat="1" ht="12.75" customHeight="1">
      <c r="A26" s="225"/>
      <c r="B26" s="221" t="s">
        <v>368</v>
      </c>
      <c r="C26" s="224"/>
      <c r="D26" s="306"/>
      <c r="E26" s="306"/>
      <c r="F26" s="241"/>
      <c r="G26" s="241"/>
      <c r="H26" s="865">
        <f>VLOOKUP($D$10,DT.NK!$B:$AZ,24,0)</f>
        <v>29.35</v>
      </c>
      <c r="I26" s="224"/>
      <c r="J26" s="312"/>
      <c r="K26" s="322"/>
      <c r="L26" s="271"/>
      <c r="M26" s="323"/>
      <c r="N26" s="213"/>
      <c r="O26" s="213"/>
      <c r="P26" s="685" t="s">
        <v>148</v>
      </c>
      <c r="Q26" s="689" t="str">
        <f>Q31</f>
        <v>Công ty TNHH kinh doanh và phát triển Vượng Phát</v>
      </c>
      <c r="R26" s="685"/>
      <c r="S26" s="685"/>
      <c r="T26" s="685"/>
    </row>
    <row r="27" spans="1:22" s="214" customFormat="1" ht="13.5" customHeight="1">
      <c r="A27" s="229"/>
      <c r="B27" s="230" t="s">
        <v>879</v>
      </c>
      <c r="C27" s="231"/>
      <c r="D27" s="237"/>
      <c r="E27" s="306"/>
      <c r="F27" s="242"/>
      <c r="G27" s="242"/>
      <c r="H27" s="661">
        <f>-(H26-$F$16)</f>
        <v>-29.703000000000003</v>
      </c>
      <c r="I27" s="230"/>
      <c r="J27" s="230"/>
      <c r="K27" s="326"/>
      <c r="L27" s="570"/>
      <c r="M27" s="327"/>
      <c r="N27" s="213"/>
      <c r="O27" s="213"/>
      <c r="P27" s="685" t="s">
        <v>880</v>
      </c>
      <c r="Q27" s="689" t="s">
        <v>881</v>
      </c>
      <c r="R27" s="685"/>
      <c r="S27" s="685"/>
      <c r="T27" s="685"/>
    </row>
    <row r="28" spans="1:22" s="214" customFormat="1" ht="15" customHeight="1">
      <c r="A28" s="291" t="s">
        <v>167</v>
      </c>
      <c r="B28" s="257" t="s">
        <v>371</v>
      </c>
      <c r="C28" s="254"/>
      <c r="D28" s="254"/>
      <c r="E28" s="254" t="s">
        <v>359</v>
      </c>
      <c r="F28" s="302">
        <f>VLOOKUP($D$10,DT.NK!$B:$AZ,25,0)</f>
        <v>0.71180555555555547</v>
      </c>
      <c r="G28" s="299" t="s">
        <v>351</v>
      </c>
      <c r="H28" s="302">
        <f>VLOOKUP($D$10,DT.NK!$B:$AZ,26,0)</f>
        <v>0.73263888888888873</v>
      </c>
      <c r="I28" s="295" t="s">
        <v>354</v>
      </c>
      <c r="J28" s="255">
        <f>VLOOKUP($D$10,DT.NK!$B:$AZ,27,0)</f>
        <v>42466</v>
      </c>
      <c r="K28" s="324" t="s">
        <v>163</v>
      </c>
      <c r="L28" s="260"/>
      <c r="M28" s="325"/>
      <c r="N28" s="213"/>
      <c r="O28" s="213"/>
      <c r="P28" s="690"/>
      <c r="Q28" s="690"/>
      <c r="R28" s="690"/>
      <c r="S28" s="690"/>
      <c r="T28" s="690"/>
    </row>
    <row r="29" spans="1:22" s="214" customFormat="1" ht="11.25" customHeight="1">
      <c r="A29" s="304"/>
      <c r="B29" s="221" t="s">
        <v>372</v>
      </c>
      <c r="C29" s="220"/>
      <c r="D29" s="220"/>
      <c r="E29" s="220"/>
      <c r="F29" s="267"/>
      <c r="G29" s="220"/>
      <c r="H29" s="275">
        <f>VLOOKUP($D$10,DT.NK!$B:$AZ,28,0)</f>
        <v>29.35</v>
      </c>
      <c r="I29" s="268"/>
      <c r="J29" s="313"/>
      <c r="K29" s="322"/>
      <c r="L29" s="271"/>
      <c r="M29" s="323"/>
      <c r="N29" s="213"/>
      <c r="O29" s="213"/>
    </row>
    <row r="30" spans="1:22" s="214" customFormat="1" ht="15" customHeight="1">
      <c r="A30" s="305"/>
      <c r="B30" s="230" t="s">
        <v>879</v>
      </c>
      <c r="C30" s="231"/>
      <c r="D30" s="231"/>
      <c r="E30" s="237"/>
      <c r="F30" s="237"/>
      <c r="G30" s="237"/>
      <c r="H30" s="661">
        <f>-(H29-$F$16)</f>
        <v>-29.703000000000003</v>
      </c>
      <c r="I30" s="237"/>
      <c r="J30" s="314"/>
      <c r="K30" s="322"/>
      <c r="L30" s="271"/>
      <c r="M30" s="323"/>
      <c r="N30" s="863"/>
      <c r="O30" s="864"/>
    </row>
    <row r="31" spans="1:22" s="214" customFormat="1" ht="15" customHeight="1" thickBot="1">
      <c r="A31" s="233" t="s">
        <v>168</v>
      </c>
      <c r="B31" s="1273" t="s">
        <v>374</v>
      </c>
      <c r="C31" s="1273"/>
      <c r="D31" s="220"/>
      <c r="E31" s="243" t="s">
        <v>360</v>
      </c>
      <c r="F31" s="301">
        <f>VLOOKUP($D$10,DT.NK!$B:$AZ,29,0)</f>
        <v>0.73958333333333315</v>
      </c>
      <c r="G31" s="243" t="s">
        <v>350</v>
      </c>
      <c r="H31" s="301">
        <f>VLOOKUP($D$10,DT.NK!$B:$AZ,30,0)</f>
        <v>0.74999999999999978</v>
      </c>
      <c r="I31" s="295" t="s">
        <v>354</v>
      </c>
      <c r="J31" s="244">
        <f>VLOOKUP($D$10,DT.NK!$B:$AZ,31,0)</f>
        <v>42466</v>
      </c>
      <c r="K31" s="324"/>
      <c r="L31" s="260"/>
      <c r="M31" s="325"/>
      <c r="N31" s="213"/>
      <c r="O31" s="213"/>
      <c r="Q31" s="214" t="s">
        <v>895</v>
      </c>
    </row>
    <row r="32" spans="1:22" s="248" customFormat="1" ht="12.75" thickTop="1">
      <c r="A32" s="245"/>
      <c r="B32" s="246" t="s">
        <v>375</v>
      </c>
      <c r="C32" s="1274" t="s">
        <v>376</v>
      </c>
      <c r="D32" s="1274"/>
      <c r="E32" s="1274" t="s">
        <v>377</v>
      </c>
      <c r="F32" s="1274"/>
      <c r="G32" s="1274" t="s">
        <v>378</v>
      </c>
      <c r="H32" s="1274"/>
      <c r="I32" s="1274" t="s">
        <v>379</v>
      </c>
      <c r="J32" s="1275"/>
      <c r="K32" s="322"/>
      <c r="L32" s="271"/>
      <c r="M32" s="323"/>
      <c r="N32" s="866"/>
      <c r="O32" s="247"/>
    </row>
    <row r="33" spans="1:22" s="248" customFormat="1" ht="12.75">
      <c r="A33" s="245"/>
      <c r="B33" s="1254">
        <v>1</v>
      </c>
      <c r="C33" s="1253" t="str">
        <f>R19</f>
        <v>16F20</v>
      </c>
      <c r="D33" s="1253"/>
      <c r="E33" s="1261"/>
      <c r="F33" s="1261"/>
      <c r="G33" s="1252" t="s">
        <v>467</v>
      </c>
      <c r="H33" s="1253"/>
      <c r="I33" s="697">
        <v>1</v>
      </c>
      <c r="J33" s="634">
        <v>0.1</v>
      </c>
      <c r="K33" s="322"/>
      <c r="L33" s="271"/>
      <c r="M33" s="323"/>
      <c r="N33" s="247"/>
      <c r="Q33" s="689" t="s">
        <v>878</v>
      </c>
    </row>
    <row r="34" spans="1:22" s="248" customFormat="1" ht="12.75">
      <c r="A34" s="245"/>
      <c r="B34" s="1260"/>
      <c r="C34" s="1256" t="str">
        <f>C33</f>
        <v>16F20</v>
      </c>
      <c r="D34" s="1257"/>
      <c r="E34" s="1253" t="s">
        <v>882</v>
      </c>
      <c r="F34" s="1253"/>
      <c r="G34" s="1252" t="s">
        <v>467</v>
      </c>
      <c r="H34" s="1253"/>
      <c r="I34" s="697">
        <v>2</v>
      </c>
      <c r="J34" s="634"/>
      <c r="K34" s="322"/>
      <c r="L34" s="271"/>
      <c r="M34" s="323"/>
      <c r="N34" s="247"/>
      <c r="Q34" s="1246"/>
    </row>
    <row r="35" spans="1:22" s="248" customFormat="1" ht="12.75">
      <c r="A35" s="245"/>
      <c r="B35" s="1255"/>
      <c r="C35" s="1256" t="str">
        <f>C33</f>
        <v>16F20</v>
      </c>
      <c r="D35" s="1257"/>
      <c r="E35" s="1253" t="s">
        <v>466</v>
      </c>
      <c r="F35" s="1253"/>
      <c r="G35" s="1252" t="s">
        <v>467</v>
      </c>
      <c r="H35" s="1253"/>
      <c r="I35" s="697">
        <f>S19-I34-I33</f>
        <v>4.6470000000000002</v>
      </c>
      <c r="J35" s="634"/>
      <c r="K35" s="322"/>
      <c r="L35" s="271"/>
      <c r="M35" s="323"/>
      <c r="N35" s="247"/>
      <c r="Q35" s="1246"/>
    </row>
    <row r="36" spans="1:22" s="248" customFormat="1" ht="12.75" customHeight="1">
      <c r="A36" s="245"/>
      <c r="B36" s="1254">
        <v>2</v>
      </c>
      <c r="C36" s="1253" t="str">
        <f>R20</f>
        <v>16F20</v>
      </c>
      <c r="D36" s="1253"/>
      <c r="E36" s="1253" t="s">
        <v>882</v>
      </c>
      <c r="F36" s="1253"/>
      <c r="G36" s="1258" t="s">
        <v>467</v>
      </c>
      <c r="H36" s="1259"/>
      <c r="I36" s="697">
        <f>IF(R3=1200,2.4,1.6)</f>
        <v>1.6</v>
      </c>
      <c r="J36" s="633"/>
      <c r="K36" s="322"/>
      <c r="L36" s="271"/>
      <c r="M36" s="323"/>
      <c r="N36" s="247"/>
    </row>
    <row r="37" spans="1:22" s="248" customFormat="1" ht="12.75" customHeight="1">
      <c r="A37" s="245"/>
      <c r="B37" s="1255"/>
      <c r="C37" s="1256" t="str">
        <f>C36</f>
        <v>16F20</v>
      </c>
      <c r="D37" s="1257"/>
      <c r="E37" s="1253" t="s">
        <v>466</v>
      </c>
      <c r="F37" s="1253"/>
      <c r="G37" s="1258" t="s">
        <v>467</v>
      </c>
      <c r="H37" s="1259"/>
      <c r="I37" s="697">
        <f>11.7-I36</f>
        <v>10.1</v>
      </c>
      <c r="J37" s="633"/>
      <c r="K37" s="322"/>
      <c r="L37" s="271"/>
      <c r="M37" s="323"/>
      <c r="N37" s="247"/>
    </row>
    <row r="38" spans="1:22" s="214" customFormat="1" ht="15" customHeight="1">
      <c r="A38" s="225"/>
      <c r="B38" s="249">
        <v>3</v>
      </c>
      <c r="C38" s="1253" t="str">
        <f>R22</f>
        <v>16F20</v>
      </c>
      <c r="D38" s="1253"/>
      <c r="E38" s="1253" t="s">
        <v>466</v>
      </c>
      <c r="F38" s="1253"/>
      <c r="G38" s="1252" t="s">
        <v>467</v>
      </c>
      <c r="H38" s="1253"/>
      <c r="I38" s="697">
        <f t="shared" ref="I38:J40" si="0">S22</f>
        <v>11.7</v>
      </c>
      <c r="J38" s="634" t="str">
        <f t="shared" si="0"/>
        <v/>
      </c>
      <c r="K38" s="322"/>
      <c r="L38" s="271"/>
      <c r="M38" s="323"/>
      <c r="N38" s="529"/>
    </row>
    <row r="39" spans="1:22" s="214" customFormat="1" ht="15" customHeight="1">
      <c r="A39" s="225"/>
      <c r="B39" s="693">
        <v>4</v>
      </c>
      <c r="C39" s="1253" t="str">
        <f>R23</f>
        <v>16F20</v>
      </c>
      <c r="D39" s="1253"/>
      <c r="E39" s="1253" t="str">
        <f>IF(C39="","",E38)</f>
        <v>f10 a200</v>
      </c>
      <c r="F39" s="1253"/>
      <c r="G39" s="1252" t="str">
        <f>IF(E39="","",G38)</f>
        <v>f18 a2000</v>
      </c>
      <c r="H39" s="1253"/>
      <c r="I39" s="632">
        <f t="shared" si="0"/>
        <v>1.003000000000003</v>
      </c>
      <c r="J39" s="634">
        <f t="shared" si="0"/>
        <v>0.1</v>
      </c>
      <c r="K39" s="322"/>
      <c r="L39" s="271"/>
      <c r="M39" s="323"/>
      <c r="N39" s="529"/>
      <c r="O39" s="694"/>
      <c r="P39" s="694"/>
      <c r="Q39" s="694"/>
      <c r="R39" s="694"/>
      <c r="S39" s="695"/>
      <c r="T39" s="694"/>
      <c r="U39" s="312"/>
      <c r="V39" s="696"/>
    </row>
    <row r="40" spans="1:22" s="214" customFormat="1" ht="15" customHeight="1" thickBot="1">
      <c r="A40" s="225"/>
      <c r="B40" s="251">
        <v>5</v>
      </c>
      <c r="C40" s="1263" t="str">
        <f>R24</f>
        <v/>
      </c>
      <c r="D40" s="1263"/>
      <c r="E40" s="1263" t="str">
        <f>IF(C40="","",E39)</f>
        <v/>
      </c>
      <c r="F40" s="1263"/>
      <c r="G40" s="1264" t="str">
        <f>IF(E40="","",G39)</f>
        <v/>
      </c>
      <c r="H40" s="1263"/>
      <c r="I40" s="590" t="str">
        <f t="shared" si="0"/>
        <v/>
      </c>
      <c r="J40" s="533" t="str">
        <f t="shared" si="0"/>
        <v/>
      </c>
      <c r="K40" s="322"/>
      <c r="L40" s="271"/>
      <c r="M40" s="323"/>
      <c r="N40" s="250"/>
    </row>
    <row r="41" spans="1:22" s="214" customFormat="1" ht="15" customHeight="1" thickTop="1">
      <c r="A41" s="222" t="s">
        <v>170</v>
      </c>
      <c r="B41" s="224" t="s">
        <v>382</v>
      </c>
      <c r="C41" s="223"/>
      <c r="D41" s="223"/>
      <c r="E41" s="241">
        <f>R15</f>
        <v>2</v>
      </c>
      <c r="F41" s="588"/>
      <c r="G41" s="224" t="s">
        <v>384</v>
      </c>
      <c r="H41" s="588"/>
      <c r="I41" s="842">
        <f>IF(E41=0,0,(J16-H30-0.1-0.5))</f>
        <v>28.386000000000003</v>
      </c>
      <c r="J41" s="224"/>
      <c r="K41" s="322"/>
      <c r="L41" s="271"/>
      <c r="M41" s="323"/>
      <c r="N41" s="213"/>
      <c r="O41" s="213"/>
    </row>
    <row r="42" spans="1:22" s="214" customFormat="1" ht="15" customHeight="1">
      <c r="A42" s="222" t="s">
        <v>170</v>
      </c>
      <c r="B42" s="224" t="s">
        <v>383</v>
      </c>
      <c r="C42" s="223"/>
      <c r="D42" s="223"/>
      <c r="E42" s="241">
        <f>R16</f>
        <v>1</v>
      </c>
      <c r="F42" s="588"/>
      <c r="G42" s="224" t="s">
        <v>384</v>
      </c>
      <c r="H42" s="588"/>
      <c r="I42" s="589">
        <f>IF(E42=0,0,I41-0.9)</f>
        <v>27.486000000000004</v>
      </c>
      <c r="J42" s="224"/>
      <c r="K42" s="322"/>
      <c r="L42" s="271"/>
      <c r="M42" s="323"/>
      <c r="N42" s="213"/>
      <c r="O42" s="213"/>
    </row>
    <row r="43" spans="1:22" s="214" customFormat="1" ht="15" customHeight="1">
      <c r="A43" s="252" t="s">
        <v>170</v>
      </c>
      <c r="B43" s="231" t="s">
        <v>386</v>
      </c>
      <c r="C43" s="232"/>
      <c r="D43" s="232"/>
      <c r="E43" s="242">
        <f>H10-140</f>
        <v>660</v>
      </c>
      <c r="F43" s="230"/>
      <c r="G43" s="223" t="s">
        <v>399</v>
      </c>
      <c r="H43" s="253"/>
      <c r="I43" s="312">
        <f>ROUND((R4+1-H30)/2,0)*4</f>
        <v>44</v>
      </c>
      <c r="J43" s="230"/>
      <c r="K43" s="322"/>
      <c r="L43" s="271"/>
      <c r="M43" s="323"/>
      <c r="N43" s="213"/>
      <c r="O43" s="213"/>
    </row>
    <row r="44" spans="1:22" s="214" customFormat="1" ht="15" customHeight="1">
      <c r="A44" s="291" t="s">
        <v>169</v>
      </c>
      <c r="B44" s="257" t="s">
        <v>387</v>
      </c>
      <c r="C44" s="254"/>
      <c r="D44" s="254"/>
      <c r="E44" s="254" t="s">
        <v>359</v>
      </c>
      <c r="F44" s="301">
        <f>VLOOKUP($D$10,DT.NK!$B:$AZ,32,0)</f>
        <v>0.7569444444444442</v>
      </c>
      <c r="G44" s="254" t="s">
        <v>351</v>
      </c>
      <c r="H44" s="301">
        <f>VLOOKUP($D$10,DT.NK!$B:$AZ,33,0)</f>
        <v>0.79861111111111083</v>
      </c>
      <c r="I44" s="295" t="s">
        <v>354</v>
      </c>
      <c r="J44" s="535">
        <f>VLOOKUP($D$10,DT.NK!$B:$AZ,34,0)</f>
        <v>42466</v>
      </c>
      <c r="K44" s="324" t="s">
        <v>163</v>
      </c>
      <c r="L44" s="260"/>
      <c r="M44" s="325"/>
      <c r="N44" s="213"/>
      <c r="O44" s="213"/>
    </row>
    <row r="45" spans="1:22" s="214" customFormat="1" ht="15" customHeight="1">
      <c r="A45" s="1241"/>
      <c r="B45" s="536"/>
      <c r="C45" s="259"/>
      <c r="D45" s="259"/>
      <c r="E45" s="259"/>
      <c r="F45" s="537"/>
      <c r="G45" s="259"/>
      <c r="H45" s="537"/>
      <c r="I45" s="538"/>
      <c r="J45" s="539"/>
      <c r="K45" s="326"/>
      <c r="L45" s="570"/>
      <c r="M45" s="327"/>
      <c r="N45" s="213"/>
      <c r="O45" s="213"/>
    </row>
    <row r="46" spans="1:22" s="214" customFormat="1" ht="15" customHeight="1">
      <c r="A46" s="233" t="s">
        <v>171</v>
      </c>
      <c r="B46" s="1265" t="s">
        <v>401</v>
      </c>
      <c r="C46" s="1265"/>
      <c r="D46" s="220"/>
      <c r="E46" s="303" t="s">
        <v>359</v>
      </c>
      <c r="F46" s="307">
        <f>VLOOKUP($D$10,DT.NK!$B:$AZ,35,0)</f>
        <v>0.81944444444444409</v>
      </c>
      <c r="G46" s="303" t="s">
        <v>351</v>
      </c>
      <c r="H46" s="307">
        <f>VLOOKUP($D$10,DT.NK!$B:$AZ,36,0)</f>
        <v>0.82638888888888851</v>
      </c>
      <c r="I46" s="296" t="s">
        <v>354</v>
      </c>
      <c r="J46" s="244">
        <f>VLOOKUP($D$10,DT.NK!$B:$AZ,37,0)</f>
        <v>42466</v>
      </c>
      <c r="K46" s="324"/>
      <c r="L46" s="260"/>
      <c r="M46" s="325"/>
      <c r="N46" s="213"/>
      <c r="O46" s="213"/>
    </row>
    <row r="47" spans="1:22" s="214" customFormat="1" ht="15" customHeight="1">
      <c r="A47" s="222"/>
      <c r="B47" s="221" t="s">
        <v>362</v>
      </c>
      <c r="C47" s="221"/>
      <c r="D47" s="261">
        <f>VLOOKUP($D$10,DT.NK!$B:$AZ,38,0)</f>
        <v>1.0900000000000001</v>
      </c>
      <c r="E47" s="221" t="s">
        <v>364</v>
      </c>
      <c r="F47" s="223"/>
      <c r="G47" s="221"/>
      <c r="H47" s="228">
        <f>VLOOKUP($D$10,DT.NK!$B:$AZ,39,0)</f>
        <v>9</v>
      </c>
      <c r="I47" s="223"/>
      <c r="J47" s="223"/>
      <c r="K47" s="322"/>
      <c r="L47" s="271"/>
      <c r="M47" s="323"/>
      <c r="N47" s="213"/>
      <c r="O47" s="213"/>
    </row>
    <row r="48" spans="1:22" s="214" customFormat="1" ht="15" customHeight="1">
      <c r="A48" s="225"/>
      <c r="B48" s="221" t="s">
        <v>363</v>
      </c>
      <c r="C48" s="221"/>
      <c r="D48" s="228">
        <f>VLOOKUP($D$10,DT.NK!$B:$AZ,40,0)</f>
        <v>28</v>
      </c>
      <c r="E48" s="221" t="s">
        <v>366</v>
      </c>
      <c r="F48" s="223"/>
      <c r="G48" s="221"/>
      <c r="H48" s="262">
        <f>VLOOKUP($D$10,DT.NK!$B:$AZ,41,0)</f>
        <v>0</v>
      </c>
      <c r="I48" s="223"/>
      <c r="J48" s="311"/>
      <c r="K48" s="322"/>
      <c r="L48" s="271"/>
      <c r="M48" s="323"/>
      <c r="N48" s="213"/>
      <c r="O48" s="213"/>
    </row>
    <row r="49" spans="1:15" s="214" customFormat="1" ht="6.75" hidden="1" customHeight="1">
      <c r="A49" s="225"/>
      <c r="B49" s="221"/>
      <c r="C49" s="221"/>
      <c r="D49" s="221"/>
      <c r="E49" s="221"/>
      <c r="F49" s="306"/>
      <c r="G49" s="221"/>
      <c r="H49" s="308"/>
      <c r="I49" s="223"/>
      <c r="J49" s="311"/>
      <c r="K49" s="326"/>
      <c r="L49" s="570"/>
      <c r="M49" s="327"/>
      <c r="N49" s="213"/>
      <c r="O49" s="213"/>
    </row>
    <row r="50" spans="1:15" s="214" customFormat="1" ht="15" customHeight="1">
      <c r="A50" s="256" t="s">
        <v>172</v>
      </c>
      <c r="B50" s="257" t="s">
        <v>391</v>
      </c>
      <c r="C50" s="254"/>
      <c r="D50" s="254"/>
      <c r="E50" s="254"/>
      <c r="F50" s="263"/>
      <c r="G50" s="243"/>
      <c r="H50" s="301"/>
      <c r="I50" s="292"/>
      <c r="J50" s="255"/>
      <c r="K50" s="324"/>
      <c r="L50" s="260"/>
      <c r="M50" s="325"/>
      <c r="N50" s="213"/>
      <c r="O50" s="213"/>
    </row>
    <row r="51" spans="1:15" s="214" customFormat="1" ht="15" customHeight="1">
      <c r="A51" s="264"/>
      <c r="B51" s="234"/>
      <c r="C51" s="220"/>
      <c r="D51" s="220"/>
      <c r="E51" s="303" t="s">
        <v>359</v>
      </c>
      <c r="F51" s="307">
        <f>VLOOKUP($D$10,DT.NK!$B:$AZ,42,0)</f>
        <v>0.82638888888888851</v>
      </c>
      <c r="G51" s="303" t="s">
        <v>351</v>
      </c>
      <c r="H51" s="534">
        <f>VLOOKUP($D$10,DT.NK!$B:$AZ,43,0)</f>
        <v>0.83333333333333293</v>
      </c>
      <c r="I51" s="296" t="s">
        <v>354</v>
      </c>
      <c r="J51" s="244">
        <f>VLOOKUP($D$10,DT.NK!$B:$AZ,44,0)</f>
        <v>42466</v>
      </c>
      <c r="K51" s="322"/>
      <c r="L51" s="271"/>
      <c r="M51" s="323"/>
      <c r="N51" s="213"/>
      <c r="O51" s="213"/>
    </row>
    <row r="52" spans="1:15" s="214" customFormat="1" ht="15" customHeight="1">
      <c r="A52" s="264"/>
      <c r="B52" s="221" t="s">
        <v>388</v>
      </c>
      <c r="C52" s="220"/>
      <c r="D52" s="306"/>
      <c r="E52" s="306"/>
      <c r="F52" s="266"/>
      <c r="G52" s="220"/>
      <c r="H52" s="265">
        <f>VLOOKUP($D$10,DT.NK!$B:$AZ,45,0)</f>
        <v>29.35</v>
      </c>
      <c r="I52" s="268"/>
      <c r="J52" s="221"/>
      <c r="K52" s="322"/>
      <c r="L52" s="271"/>
      <c r="M52" s="323"/>
      <c r="N52" s="213"/>
      <c r="O52" s="213"/>
    </row>
    <row r="53" spans="1:15" s="214" customFormat="1" ht="15" customHeight="1">
      <c r="A53" s="258"/>
      <c r="B53" s="230" t="s">
        <v>879</v>
      </c>
      <c r="C53" s="259"/>
      <c r="D53" s="237"/>
      <c r="E53" s="237"/>
      <c r="F53" s="269"/>
      <c r="G53" s="237"/>
      <c r="H53" s="661">
        <f>-(H52-$F$16)</f>
        <v>-29.703000000000003</v>
      </c>
      <c r="I53" s="237"/>
      <c r="J53" s="230"/>
      <c r="K53" s="322"/>
      <c r="L53" s="271"/>
      <c r="M53" s="323"/>
      <c r="N53" s="213"/>
      <c r="O53" s="213"/>
    </row>
    <row r="54" spans="1:15" s="214" customFormat="1" ht="15" customHeight="1">
      <c r="A54" s="270" t="s">
        <v>173</v>
      </c>
      <c r="B54" s="257" t="s">
        <v>1177</v>
      </c>
      <c r="C54" s="254"/>
      <c r="D54" s="254"/>
      <c r="E54" s="243" t="s">
        <v>359</v>
      </c>
      <c r="F54" s="301">
        <f>VLOOKUP($D$10,DT.NK!$B:$AZ,46,0)</f>
        <v>0.83333333333333293</v>
      </c>
      <c r="G54" s="255">
        <f>VLOOKUP($D$10,DT.NK!$B:$AZ,47,0)</f>
        <v>42466</v>
      </c>
      <c r="H54" s="260" t="s">
        <v>351</v>
      </c>
      <c r="I54" s="219">
        <f>VLOOKUP($D$10,DT.NK!$B:$AZ,48,0)</f>
        <v>0.87499999999999956</v>
      </c>
      <c r="J54" s="315">
        <f>VLOOKUP($D$10,DT.NK!$B:$AZ,49,0)</f>
        <v>42466</v>
      </c>
      <c r="K54" s="324"/>
      <c r="L54" s="260"/>
      <c r="M54" s="325"/>
      <c r="N54" s="213"/>
      <c r="O54" s="213"/>
    </row>
    <row r="55" spans="1:15" s="214" customFormat="1" ht="15" customHeight="1">
      <c r="A55" s="272"/>
      <c r="B55" s="220" t="s">
        <v>402</v>
      </c>
      <c r="C55" s="220"/>
      <c r="D55" s="220"/>
      <c r="E55" s="271"/>
      <c r="F55" s="677">
        <f>VLOOKUP($D$10,DT.NK!$B:$AZ,50,0)</f>
        <v>0</v>
      </c>
      <c r="G55" s="1266" t="s">
        <v>484</v>
      </c>
      <c r="H55" s="1266"/>
      <c r="I55" s="1266"/>
      <c r="J55" s="676">
        <f>-(F55-$F$16)</f>
        <v>-0.35299999999999998</v>
      </c>
      <c r="K55" s="322"/>
      <c r="L55" s="271"/>
      <c r="M55" s="323"/>
      <c r="N55" s="213"/>
      <c r="O55" s="250"/>
    </row>
    <row r="56" spans="1:15" s="214" customFormat="1" ht="15" customHeight="1">
      <c r="A56" s="272"/>
      <c r="B56" s="220"/>
      <c r="C56" s="220"/>
      <c r="D56" s="220"/>
      <c r="E56" s="306"/>
      <c r="F56" s="273"/>
      <c r="G56" s="1266"/>
      <c r="H56" s="1266"/>
      <c r="I56" s="1266"/>
      <c r="K56" s="322"/>
      <c r="L56" s="271"/>
      <c r="M56" s="323"/>
      <c r="N56" s="213"/>
      <c r="O56" s="213"/>
    </row>
    <row r="57" spans="1:15" s="214" customFormat="1" ht="15" customHeight="1">
      <c r="A57" s="272"/>
      <c r="B57" s="220" t="s">
        <v>398</v>
      </c>
      <c r="C57" s="220"/>
      <c r="D57" s="306"/>
      <c r="E57" s="306"/>
      <c r="F57" s="273">
        <f>VLOOKUP($D$10,DT.NK!$B:$AZ,51,0)</f>
        <v>18</v>
      </c>
      <c r="G57" s="223" t="s">
        <v>470</v>
      </c>
      <c r="H57" s="306"/>
      <c r="I57" s="274"/>
      <c r="J57" s="316">
        <f>(R4+1-H53)*3.14*(R3/2000)^2</f>
        <v>11.405987200000004</v>
      </c>
      <c r="K57" s="322"/>
      <c r="L57" s="271"/>
      <c r="M57" s="323"/>
      <c r="N57" s="213"/>
      <c r="O57" s="213"/>
    </row>
    <row r="58" spans="1:15" s="209" customFormat="1" ht="6" customHeight="1" thickBot="1">
      <c r="A58" s="276"/>
      <c r="B58" s="277"/>
      <c r="C58" s="278"/>
      <c r="D58" s="278"/>
      <c r="E58" s="280"/>
      <c r="F58" s="309"/>
      <c r="G58" s="279"/>
      <c r="H58" s="280"/>
      <c r="I58" s="281"/>
      <c r="J58" s="317"/>
      <c r="K58" s="328"/>
      <c r="L58" s="571"/>
      <c r="M58" s="329"/>
      <c r="N58" s="208"/>
      <c r="O58" s="208"/>
    </row>
    <row r="59" spans="1:15" s="209" customFormat="1" ht="6" customHeight="1" thickTop="1">
      <c r="B59" s="1262"/>
      <c r="C59" s="1262"/>
      <c r="D59" s="1262"/>
      <c r="E59" s="1262"/>
      <c r="F59" s="282"/>
      <c r="G59" s="282"/>
      <c r="H59" s="1262"/>
      <c r="I59" s="1262"/>
      <c r="J59" s="1262"/>
      <c r="K59" s="1262"/>
      <c r="L59" s="1244"/>
    </row>
    <row r="60" spans="1:15">
      <c r="B60" s="574" t="s">
        <v>820</v>
      </c>
      <c r="C60" s="574"/>
      <c r="D60" s="574"/>
      <c r="E60" s="574"/>
      <c r="F60" s="574" t="s">
        <v>186</v>
      </c>
      <c r="G60" s="283"/>
      <c r="I60" s="573"/>
      <c r="J60" s="573" t="s">
        <v>5</v>
      </c>
      <c r="K60" s="573"/>
      <c r="L60" s="573"/>
      <c r="M60" s="573"/>
    </row>
    <row r="61" spans="1:15" s="209" customFormat="1" ht="18.75" customHeight="1"/>
    <row r="62" spans="1:15">
      <c r="K62" s="316">
        <f>(R4-H53)*3.14*(R3/2000)^2+3.14*((R3+100)/2000)^2</f>
        <v>11.539437200000004</v>
      </c>
    </row>
  </sheetData>
  <mergeCells count="51">
    <mergeCell ref="D5:J6"/>
    <mergeCell ref="K5:M5"/>
    <mergeCell ref="K6:K10"/>
    <mergeCell ref="L6:L10"/>
    <mergeCell ref="M6:M10"/>
    <mergeCell ref="A1:G2"/>
    <mergeCell ref="H1:M1"/>
    <mergeCell ref="H2:M2"/>
    <mergeCell ref="H3:M3"/>
    <mergeCell ref="A4:M4"/>
    <mergeCell ref="G33:H33"/>
    <mergeCell ref="A11:A12"/>
    <mergeCell ref="B11:C12"/>
    <mergeCell ref="F14:G14"/>
    <mergeCell ref="F15:G15"/>
    <mergeCell ref="G16:I17"/>
    <mergeCell ref="B18:C18"/>
    <mergeCell ref="B31:C31"/>
    <mergeCell ref="C32:D32"/>
    <mergeCell ref="E32:F32"/>
    <mergeCell ref="G32:H32"/>
    <mergeCell ref="I32:J32"/>
    <mergeCell ref="B59:E59"/>
    <mergeCell ref="H59:K59"/>
    <mergeCell ref="C38:D38"/>
    <mergeCell ref="E38:F38"/>
    <mergeCell ref="G38:H38"/>
    <mergeCell ref="C39:D39"/>
    <mergeCell ref="E39:F39"/>
    <mergeCell ref="G39:H39"/>
    <mergeCell ref="C40:D40"/>
    <mergeCell ref="E40:F40"/>
    <mergeCell ref="G40:H40"/>
    <mergeCell ref="B46:C46"/>
    <mergeCell ref="G55:I56"/>
    <mergeCell ref="G34:H34"/>
    <mergeCell ref="G35:H35"/>
    <mergeCell ref="B36:B37"/>
    <mergeCell ref="C37:D37"/>
    <mergeCell ref="E37:F37"/>
    <mergeCell ref="G37:H37"/>
    <mergeCell ref="C36:D36"/>
    <mergeCell ref="E36:F36"/>
    <mergeCell ref="C35:D35"/>
    <mergeCell ref="E35:F35"/>
    <mergeCell ref="G36:H36"/>
    <mergeCell ref="B33:B35"/>
    <mergeCell ref="C34:D34"/>
    <mergeCell ref="E34:F34"/>
    <mergeCell ref="C33:D33"/>
    <mergeCell ref="E33:F33"/>
  </mergeCells>
  <pageMargins left="0.74803149606299213" right="0.27559055118110237" top="0.39370078740157483" bottom="0.31496062992125984" header="0.23622047244094491" footer="0.19685039370078741"/>
  <pageSetup paperSize="9" scale="92"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sheetPr>
  <dimension ref="A1:V67"/>
  <sheetViews>
    <sheetView view="pageBreakPreview" topLeftCell="A40" zoomScale="130" zoomScaleNormal="130" workbookViewId="0">
      <selection activeCell="G57" sqref="G57:I58"/>
    </sheetView>
  </sheetViews>
  <sheetFormatPr defaultColWidth="10.28515625" defaultRowHeight="15"/>
  <cols>
    <col min="1" max="1" width="2.7109375" style="203" customWidth="1"/>
    <col min="2" max="2" width="5" style="203" customWidth="1"/>
    <col min="3" max="3" width="17.140625" style="203" customWidth="1"/>
    <col min="4" max="4" width="6.85546875" style="203" customWidth="1"/>
    <col min="5" max="5" width="7.7109375" style="203" customWidth="1"/>
    <col min="6" max="6" width="7.5703125" style="203" customWidth="1"/>
    <col min="7" max="7" width="8.7109375" style="203" customWidth="1"/>
    <col min="8" max="8" width="6.85546875" style="203" customWidth="1"/>
    <col min="9" max="9" width="9" style="203" customWidth="1"/>
    <col min="10" max="10" width="8.5703125" style="203" customWidth="1"/>
    <col min="11" max="13" width="7.28515625" style="203" customWidth="1"/>
    <col min="14" max="16384" width="10.28515625" style="203"/>
  </cols>
  <sheetData>
    <row r="1" spans="1:20" ht="15" customHeight="1">
      <c r="A1" s="1276" t="str">
        <f>'[5]Du lieu'!C4</f>
        <v>KHU HỖN HỢP CHUNG CƯ, VĂN PHÒNG, TRUNG TÂM THƯƠNG MẠI VÀ NHÀ Ở KẾT HỢP KHU MUA SẮM</v>
      </c>
      <c r="B1" s="1276"/>
      <c r="C1" s="1276"/>
      <c r="D1" s="1276"/>
      <c r="E1" s="1276"/>
      <c r="F1" s="1276"/>
      <c r="G1" s="1276"/>
      <c r="H1" s="1277" t="s">
        <v>336</v>
      </c>
      <c r="I1" s="1277"/>
      <c r="J1" s="1277"/>
      <c r="K1" s="1277"/>
      <c r="L1" s="1277"/>
      <c r="M1" s="1277"/>
      <c r="O1" s="212"/>
      <c r="P1" s="212"/>
      <c r="R1" s="212"/>
    </row>
    <row r="2" spans="1:20" ht="15" customHeight="1">
      <c r="A2" s="1276"/>
      <c r="B2" s="1276"/>
      <c r="C2" s="1276"/>
      <c r="D2" s="1276"/>
      <c r="E2" s="1276"/>
      <c r="F2" s="1276"/>
      <c r="G2" s="1276"/>
      <c r="H2" s="1278" t="s">
        <v>344</v>
      </c>
      <c r="I2" s="1278"/>
      <c r="J2" s="1278"/>
      <c r="K2" s="1278"/>
      <c r="L2" s="1278"/>
      <c r="M2" s="1278"/>
      <c r="N2" s="202"/>
      <c r="O2" s="202"/>
      <c r="P2" s="205" t="s">
        <v>347</v>
      </c>
      <c r="Q2" s="206"/>
      <c r="R2" s="631" t="str">
        <f>'2. NK'!R2</f>
        <v>B1</v>
      </c>
    </row>
    <row r="3" spans="1:20" ht="10.5" customHeight="1">
      <c r="A3" s="207"/>
      <c r="B3" s="207"/>
      <c r="C3" s="207"/>
      <c r="D3" s="207"/>
      <c r="E3" s="207"/>
      <c r="F3" s="207"/>
      <c r="G3" s="207"/>
      <c r="H3" s="1277" t="s">
        <v>155</v>
      </c>
      <c r="I3" s="1277"/>
      <c r="J3" s="1277"/>
      <c r="K3" s="1277"/>
      <c r="L3" s="1277"/>
      <c r="M3" s="1277"/>
      <c r="N3" s="202"/>
      <c r="O3" s="202"/>
      <c r="P3" s="205" t="s">
        <v>13</v>
      </c>
      <c r="Q3" s="206"/>
      <c r="R3" s="586">
        <f>VLOOKUP($R$2,'Thong tin'!$A:$R,13,0)</f>
        <v>800</v>
      </c>
    </row>
    <row r="4" spans="1:20" s="209" customFormat="1" ht="15.75" customHeight="1" thickBot="1">
      <c r="A4" s="1279" t="s">
        <v>345</v>
      </c>
      <c r="B4" s="1279"/>
      <c r="C4" s="1279"/>
      <c r="D4" s="1279"/>
      <c r="E4" s="1279"/>
      <c r="F4" s="1279"/>
      <c r="G4" s="1279"/>
      <c r="H4" s="1279"/>
      <c r="I4" s="1279"/>
      <c r="J4" s="1279"/>
      <c r="K4" s="1279"/>
      <c r="L4" s="1279"/>
      <c r="M4" s="1279"/>
      <c r="N4" s="208"/>
      <c r="O4" s="208"/>
      <c r="P4" s="205" t="s">
        <v>70</v>
      </c>
      <c r="Q4" s="206"/>
      <c r="R4" s="586">
        <f>VLOOKUP($R$2,'Thong tin'!$A:$R,6,0)</f>
        <v>-8</v>
      </c>
    </row>
    <row r="5" spans="1:20" s="214" customFormat="1" ht="15.75" customHeight="1" thickTop="1">
      <c r="A5" s="210" t="str">
        <f>'1. Bia'!B10</f>
        <v>DỰ ÁN:</v>
      </c>
      <c r="B5" s="211"/>
      <c r="C5" s="211"/>
      <c r="D5" s="1280" t="str">
        <f>'1. Bia'!E10</f>
        <v>KHU HỖN HỢP CHUNG CƯ, VĂN PHÒNG, TRUNG TÂM THƯƠNG MẠI VÀ NHÀ Ở KẾT HỢP KHU MUA SẮM</v>
      </c>
      <c r="E5" s="1280"/>
      <c r="F5" s="1280"/>
      <c r="G5" s="1280"/>
      <c r="H5" s="1280"/>
      <c r="I5" s="1280"/>
      <c r="J5" s="1281"/>
      <c r="K5" s="1282" t="s">
        <v>482</v>
      </c>
      <c r="L5" s="1283"/>
      <c r="M5" s="1284"/>
      <c r="N5" s="213"/>
      <c r="O5" s="213"/>
      <c r="P5" s="205" t="s">
        <v>71</v>
      </c>
      <c r="Q5" s="206" t="s">
        <v>69</v>
      </c>
      <c r="R5" s="586"/>
    </row>
    <row r="6" spans="1:20" s="214" customFormat="1">
      <c r="A6" s="210"/>
      <c r="B6" s="211"/>
      <c r="C6" s="211"/>
      <c r="D6" s="1280"/>
      <c r="E6" s="1280"/>
      <c r="F6" s="1280"/>
      <c r="G6" s="1280"/>
      <c r="H6" s="1280"/>
      <c r="I6" s="1280"/>
      <c r="J6" s="1281"/>
      <c r="K6" s="1285" t="s">
        <v>483</v>
      </c>
      <c r="L6" s="1288" t="s">
        <v>197</v>
      </c>
      <c r="M6" s="1291" t="s">
        <v>157</v>
      </c>
      <c r="N6" s="213"/>
      <c r="O6" s="213"/>
      <c r="P6" s="205"/>
      <c r="Q6" s="206"/>
      <c r="R6" s="586"/>
    </row>
    <row r="7" spans="1:20" s="214" customFormat="1">
      <c r="A7" s="882" t="str">
        <f>'1. Bia'!B11</f>
        <v>CÔNG TRÌNH:</v>
      </c>
      <c r="B7" s="211"/>
      <c r="C7" s="211"/>
      <c r="D7" s="881" t="str">
        <f>'1. Bia'!E11</f>
        <v>KHU HỖN HỢP CHUNG CƯ, VĂN PHÒNG, TTTM</v>
      </c>
      <c r="E7" s="982"/>
      <c r="F7" s="982"/>
      <c r="G7" s="982"/>
      <c r="H7" s="982"/>
      <c r="I7" s="982"/>
      <c r="J7" s="984"/>
      <c r="K7" s="1286"/>
      <c r="L7" s="1289"/>
      <c r="M7" s="1292"/>
      <c r="N7" s="213"/>
      <c r="O7" s="213"/>
      <c r="P7" s="682"/>
      <c r="Q7" s="683"/>
      <c r="R7" s="684"/>
    </row>
    <row r="8" spans="1:20" s="214" customFormat="1" ht="15" customHeight="1">
      <c r="A8" s="883" t="str">
        <f>'1. Bia'!B12</f>
        <v>GÓI THẦU:</v>
      </c>
      <c r="B8" s="215"/>
      <c r="C8" s="215"/>
      <c r="D8" s="881" t="str">
        <f>'1. Bia'!E12</f>
        <v>THI CÔNG CỌC KHOAN NHỒI</v>
      </c>
      <c r="E8" s="215"/>
      <c r="F8" s="215"/>
      <c r="G8" s="213"/>
      <c r="H8" s="213"/>
      <c r="I8" s="213"/>
      <c r="J8" s="213"/>
      <c r="K8" s="1286"/>
      <c r="L8" s="1289"/>
      <c r="M8" s="1292"/>
      <c r="N8" s="213"/>
      <c r="O8" s="213"/>
      <c r="P8" s="682"/>
      <c r="Q8" s="683" t="s">
        <v>158</v>
      </c>
      <c r="R8" s="684">
        <f>VLOOKUP($R$2,'Thong tin'!$A:$R,15,0)</f>
        <v>16</v>
      </c>
    </row>
    <row r="9" spans="1:20" s="214" customFormat="1" ht="14.25" customHeight="1">
      <c r="A9" s="883" t="str">
        <f>'1. Bia'!B13</f>
        <v>ĐỊA ĐIỂM:</v>
      </c>
      <c r="D9" s="881" t="str">
        <f>'1. Bia'!E13</f>
        <v>ĐƯỜNG 25/4, P BẠCH ĐẰNG, TP HẠ LONG, TỈNH QUẢNG NINH</v>
      </c>
      <c r="F9" s="212"/>
      <c r="G9" s="212"/>
      <c r="H9" s="213"/>
      <c r="I9" s="213"/>
      <c r="J9" s="213"/>
      <c r="K9" s="1286"/>
      <c r="L9" s="1289"/>
      <c r="M9" s="1292"/>
      <c r="N9" s="213"/>
      <c r="O9" s="213"/>
      <c r="P9" s="685"/>
      <c r="Q9" s="686" t="s">
        <v>69</v>
      </c>
      <c r="R9" s="684">
        <f>VLOOKUP($R$2,'Thong tin'!$A:$R,14,0)</f>
        <v>20</v>
      </c>
      <c r="S9" s="685"/>
      <c r="T9" s="685"/>
    </row>
    <row r="10" spans="1:20" s="214" customFormat="1" ht="15" customHeight="1" thickBot="1">
      <c r="A10" s="216" t="s">
        <v>189</v>
      </c>
      <c r="B10" s="213"/>
      <c r="C10" s="213"/>
      <c r="D10" s="217" t="str">
        <f>R2</f>
        <v>B1</v>
      </c>
      <c r="E10" s="213"/>
      <c r="F10" s="216" t="s">
        <v>6</v>
      </c>
      <c r="G10" s="213"/>
      <c r="H10" s="218">
        <f>R3</f>
        <v>800</v>
      </c>
      <c r="I10" s="213" t="s">
        <v>159</v>
      </c>
      <c r="J10" s="213"/>
      <c r="K10" s="1287"/>
      <c r="L10" s="1290"/>
      <c r="M10" s="1293"/>
      <c r="N10" s="213"/>
      <c r="P10" s="685"/>
      <c r="Q10" s="686"/>
      <c r="R10" s="687"/>
      <c r="S10" s="685"/>
      <c r="T10" s="685"/>
    </row>
    <row r="11" spans="1:20" s="214" customFormat="1" ht="15" customHeight="1" thickTop="1">
      <c r="A11" s="1267" t="s">
        <v>160</v>
      </c>
      <c r="B11" s="1269" t="s">
        <v>369</v>
      </c>
      <c r="C11" s="1269"/>
      <c r="D11" s="288"/>
      <c r="E11" s="288" t="s">
        <v>370</v>
      </c>
      <c r="F11" s="933">
        <f>VLOOKUP($D$10,DT.NK!$B:$AZ,2,0)</f>
        <v>0.375</v>
      </c>
      <c r="G11" s="298" t="s">
        <v>349</v>
      </c>
      <c r="H11" s="933">
        <f>VLOOKUP($D$10,DT.NK!$B:$AZ,3,0)</f>
        <v>0.39583333333333331</v>
      </c>
      <c r="I11" s="294" t="s">
        <v>354</v>
      </c>
      <c r="J11" s="893">
        <f>VLOOKUP($D$10,DT.NK!$B:$AZ,4,0)</f>
        <v>42466</v>
      </c>
      <c r="K11" s="318"/>
      <c r="L11" s="568"/>
      <c r="M11" s="319"/>
      <c r="N11" s="213"/>
      <c r="P11" s="685" t="s">
        <v>68</v>
      </c>
      <c r="Q11" s="685"/>
      <c r="R11" s="685" t="s">
        <v>464</v>
      </c>
      <c r="S11" s="685"/>
      <c r="T11" s="685"/>
    </row>
    <row r="12" spans="1:20" s="214" customFormat="1" ht="9" customHeight="1">
      <c r="A12" s="1268"/>
      <c r="B12" s="1270"/>
      <c r="C12" s="1270"/>
      <c r="D12" s="289"/>
      <c r="E12" s="788"/>
      <c r="F12" s="289"/>
      <c r="G12" s="297"/>
      <c r="H12" s="658"/>
      <c r="I12" s="285"/>
      <c r="J12" s="310"/>
      <c r="K12" s="320"/>
      <c r="L12" s="569"/>
      <c r="M12" s="321"/>
      <c r="N12" s="213"/>
      <c r="P12" s="685" t="s">
        <v>151</v>
      </c>
      <c r="Q12" s="685"/>
      <c r="R12" s="685" t="s">
        <v>465</v>
      </c>
      <c r="S12" s="685"/>
      <c r="T12" s="685"/>
    </row>
    <row r="13" spans="1:20" s="214" customFormat="1" ht="12" customHeight="1">
      <c r="A13" s="291" t="s">
        <v>161</v>
      </c>
      <c r="B13" s="257" t="s">
        <v>403</v>
      </c>
      <c r="C13" s="257"/>
      <c r="D13" s="306"/>
      <c r="E13" s="789" t="s">
        <v>370</v>
      </c>
      <c r="F13" s="934">
        <f>VLOOKUP($D$10,DT.NK!$B:$AZ,5,0)</f>
        <v>0.40277777777777773</v>
      </c>
      <c r="G13" s="299" t="s">
        <v>350</v>
      </c>
      <c r="H13" s="934">
        <f>VLOOKUP($D$10,DT.NK!$B:$AZ,6,0)</f>
        <v>0.40624999999999994</v>
      </c>
      <c r="I13" s="295" t="s">
        <v>354</v>
      </c>
      <c r="J13" s="894">
        <f>VLOOKUP($D$10,DT.NK!$B:$AZ,7,0)</f>
        <v>42466</v>
      </c>
      <c r="K13" s="318"/>
      <c r="L13" s="568"/>
      <c r="M13" s="319"/>
      <c r="N13" s="213"/>
      <c r="P13" s="685" t="s">
        <v>731</v>
      </c>
      <c r="Q13" s="685" t="s">
        <v>471</v>
      </c>
      <c r="R13" s="687">
        <f>VLOOKUP($R$2,'Thong tin'!$A:$R,2,0)</f>
        <v>2317790.6910000001</v>
      </c>
      <c r="S13" s="685"/>
      <c r="T13" s="685"/>
    </row>
    <row r="14" spans="1:20" s="214" customFormat="1" ht="12" customHeight="1">
      <c r="A14" s="222"/>
      <c r="B14" s="223" t="s">
        <v>338</v>
      </c>
      <c r="C14" s="983">
        <f>R13</f>
        <v>2317790.6910000001</v>
      </c>
      <c r="D14" s="223" t="s">
        <v>164</v>
      </c>
      <c r="E14" s="223" t="s">
        <v>339</v>
      </c>
      <c r="F14" s="1271">
        <f>I14+C14</f>
        <v>2317790.6920000003</v>
      </c>
      <c r="G14" s="1271"/>
      <c r="H14" s="224" t="s">
        <v>340</v>
      </c>
      <c r="I14" s="585">
        <f>VLOOKUP($D$10,DT.NK!$B:$AZ,8,0)</f>
        <v>1E-3</v>
      </c>
      <c r="J14" s="223" t="s">
        <v>164</v>
      </c>
      <c r="K14" s="322"/>
      <c r="L14" s="271"/>
      <c r="M14" s="323"/>
      <c r="N14" s="213"/>
      <c r="P14" s="685"/>
      <c r="Q14" s="685" t="s">
        <v>732</v>
      </c>
      <c r="R14" s="687">
        <f>VLOOKUP($R$2,'Thong tin'!$A:$R,3,0)</f>
        <v>430397.96399999998</v>
      </c>
      <c r="S14" s="685"/>
      <c r="T14" s="685"/>
    </row>
    <row r="15" spans="1:20" s="214" customFormat="1" ht="12" customHeight="1">
      <c r="A15" s="225"/>
      <c r="B15" s="223" t="s">
        <v>341</v>
      </c>
      <c r="C15" s="983">
        <f>R14</f>
        <v>430397.96399999998</v>
      </c>
      <c r="D15" s="223" t="s">
        <v>164</v>
      </c>
      <c r="E15" s="223" t="s">
        <v>342</v>
      </c>
      <c r="F15" s="1271">
        <f>I15+C15</f>
        <v>430397.984</v>
      </c>
      <c r="G15" s="1271"/>
      <c r="H15" s="224" t="s">
        <v>343</v>
      </c>
      <c r="I15" s="585">
        <f>VLOOKUP($D$10,DT.NK!$B:$AZ,9,0)</f>
        <v>0.02</v>
      </c>
      <c r="J15" s="223" t="s">
        <v>164</v>
      </c>
      <c r="K15" s="322"/>
      <c r="L15" s="271"/>
      <c r="M15" s="323"/>
      <c r="N15" s="213"/>
      <c r="P15" s="685" t="s">
        <v>733</v>
      </c>
      <c r="Q15" s="685"/>
      <c r="R15" s="687">
        <f>VLOOKUP($R$2,'Thong tin'!$A:$R,11,0)</f>
        <v>2</v>
      </c>
      <c r="S15" s="685"/>
      <c r="T15" s="685"/>
    </row>
    <row r="16" spans="1:20" s="214" customFormat="1" ht="12" customHeight="1">
      <c r="A16" s="225"/>
      <c r="B16" s="221" t="s">
        <v>727</v>
      </c>
      <c r="C16" s="224"/>
      <c r="D16" s="226"/>
      <c r="E16" s="306"/>
      <c r="F16" s="660">
        <f>VLOOKUP($D$10,DT.NK!$B:$AZ,10,0)</f>
        <v>-0.35299999999999998</v>
      </c>
      <c r="G16" s="1266" t="s">
        <v>728</v>
      </c>
      <c r="H16" s="1266"/>
      <c r="I16" s="1266"/>
      <c r="J16" s="659">
        <f>VLOOKUP($D$10,DT.NK!$B:$AZ,11,0)</f>
        <v>-0.71699999999999997</v>
      </c>
      <c r="K16" s="322"/>
      <c r="L16" s="271"/>
      <c r="M16" s="323"/>
      <c r="N16" s="213"/>
      <c r="P16" s="685" t="s">
        <v>734</v>
      </c>
      <c r="Q16" s="685"/>
      <c r="R16" s="687">
        <f>VLOOKUP($R$2,'Thong tin'!$A:$R,12,0)</f>
        <v>1</v>
      </c>
      <c r="S16" s="685"/>
      <c r="T16" s="685"/>
    </row>
    <row r="17" spans="1:22" s="214" customFormat="1" ht="12" customHeight="1">
      <c r="A17" s="225"/>
      <c r="C17" s="224"/>
      <c r="D17" s="226"/>
      <c r="E17" s="306"/>
      <c r="G17" s="1272"/>
      <c r="H17" s="1272"/>
      <c r="I17" s="1272"/>
      <c r="J17" s="227"/>
      <c r="K17" s="322"/>
      <c r="L17" s="271"/>
      <c r="M17" s="323"/>
      <c r="N17" s="213"/>
      <c r="P17" s="685" t="s">
        <v>846</v>
      </c>
      <c r="Q17" s="685"/>
      <c r="R17" s="685">
        <v>900</v>
      </c>
      <c r="S17" s="685"/>
      <c r="T17" s="685"/>
    </row>
    <row r="18" spans="1:22" s="214" customFormat="1" ht="13.5" customHeight="1">
      <c r="A18" s="291">
        <v>3</v>
      </c>
      <c r="B18" s="1265" t="s">
        <v>400</v>
      </c>
      <c r="C18" s="1265"/>
      <c r="D18" s="260"/>
      <c r="E18" s="290" t="s">
        <v>358</v>
      </c>
      <c r="F18" s="934">
        <f>VLOOKUP($D$10,DT.NK!$B:$AZ,12,0)</f>
        <v>0.40972222222222215</v>
      </c>
      <c r="G18" s="299" t="s">
        <v>350</v>
      </c>
      <c r="H18" s="934">
        <f>VLOOKUP($D$10,DT.NK!$B:$AZ,13,0)</f>
        <v>0.42013888888888884</v>
      </c>
      <c r="I18" s="284" t="s">
        <v>354</v>
      </c>
      <c r="J18" s="895">
        <f>VLOOKUP($D$10,DT.NK!$B:$AZ,14,0)</f>
        <v>42466</v>
      </c>
      <c r="K18" s="324"/>
      <c r="L18" s="260"/>
      <c r="M18" s="325"/>
      <c r="N18" s="213"/>
      <c r="P18" s="685" t="s">
        <v>845</v>
      </c>
      <c r="Q18" s="685"/>
      <c r="R18" s="688">
        <f>R4-H30+1-0.1</f>
        <v>22.603000000000002</v>
      </c>
      <c r="S18" s="685" t="s">
        <v>847</v>
      </c>
      <c r="T18" s="685"/>
    </row>
    <row r="19" spans="1:22" s="214" customFormat="1" ht="15" customHeight="1">
      <c r="A19" s="222"/>
      <c r="B19" s="221" t="s">
        <v>362</v>
      </c>
      <c r="C19" s="221"/>
      <c r="D19" s="228">
        <f>VLOOKUP($D$10,DT.NK!$B:$AZ,15,0)</f>
        <v>1.08</v>
      </c>
      <c r="E19" s="221" t="s">
        <v>364</v>
      </c>
      <c r="F19" s="223"/>
      <c r="G19" s="306"/>
      <c r="H19" s="236">
        <f>VLOOKUP($D$10,DT.NK!$B:$AZ,16,0)</f>
        <v>9</v>
      </c>
      <c r="I19" s="306"/>
      <c r="J19" s="223"/>
      <c r="K19" s="322"/>
      <c r="L19" s="271"/>
      <c r="M19" s="323"/>
      <c r="N19" s="213"/>
      <c r="P19" s="685" t="s">
        <v>843</v>
      </c>
      <c r="Q19" s="685"/>
      <c r="R19" s="685" t="s">
        <v>844</v>
      </c>
      <c r="S19" s="918">
        <f>F16-R4</f>
        <v>7.6470000000000002</v>
      </c>
      <c r="T19" s="685">
        <v>0.1</v>
      </c>
    </row>
    <row r="20" spans="1:22" s="214" customFormat="1" ht="15" customHeight="1">
      <c r="A20" s="225"/>
      <c r="B20" s="221" t="s">
        <v>363</v>
      </c>
      <c r="C20" s="221"/>
      <c r="D20" s="228">
        <f>VLOOKUP($D$10,DT.NK!$B:$AZ,17,0)</f>
        <v>19</v>
      </c>
      <c r="E20" s="221" t="s">
        <v>365</v>
      </c>
      <c r="F20" s="223"/>
      <c r="G20" s="306"/>
      <c r="H20" s="662">
        <f>VLOOKUP($D$10,DT.NK!$B:$AZ,18,0)</f>
        <v>0</v>
      </c>
      <c r="I20" s="306"/>
      <c r="J20" s="311"/>
      <c r="K20" s="322"/>
      <c r="L20" s="271"/>
      <c r="M20" s="323"/>
      <c r="N20" s="213"/>
      <c r="P20" s="685" t="s">
        <v>839</v>
      </c>
      <c r="Q20" s="685"/>
      <c r="R20" s="685" t="str">
        <f>$R$8*2&amp;"F"&amp;$R$9</f>
        <v>32F20</v>
      </c>
      <c r="S20" s="685">
        <f>IF(R3=1200,3.4,2.6)</f>
        <v>2.6</v>
      </c>
      <c r="T20" s="685"/>
      <c r="V20" s="214">
        <v>11.7</v>
      </c>
    </row>
    <row r="21" spans="1:22" s="214" customFormat="1" ht="15" customHeight="1">
      <c r="A21" s="225"/>
      <c r="B21" s="221" t="s">
        <v>356</v>
      </c>
      <c r="C21" s="221"/>
      <c r="D21" s="221"/>
      <c r="E21" s="224"/>
      <c r="F21" s="221"/>
      <c r="G21" s="221"/>
      <c r="H21" s="223"/>
      <c r="I21" s="223"/>
      <c r="J21" s="311"/>
      <c r="K21" s="322"/>
      <c r="L21" s="271"/>
      <c r="M21" s="323"/>
      <c r="N21" s="213"/>
      <c r="P21" s="685"/>
      <c r="Q21" s="685"/>
      <c r="R21" s="685"/>
      <c r="S21" s="685">
        <f>11.7-S20</f>
        <v>9.1</v>
      </c>
      <c r="T21" s="685"/>
    </row>
    <row r="22" spans="1:22" s="214" customFormat="1" ht="15" customHeight="1">
      <c r="A22" s="291">
        <v>4</v>
      </c>
      <c r="B22" s="257" t="s">
        <v>468</v>
      </c>
      <c r="C22" s="254"/>
      <c r="D22" s="239" t="s">
        <v>469</v>
      </c>
      <c r="E22" s="292"/>
      <c r="F22" s="239"/>
      <c r="G22" s="293" t="s">
        <v>359</v>
      </c>
      <c r="H22" s="935">
        <f>VLOOKUP($D$10,DT.NK!$B:$AZ,19,0)</f>
        <v>0.54513888888888884</v>
      </c>
      <c r="I22" s="295" t="s">
        <v>354</v>
      </c>
      <c r="J22" s="896">
        <f>VLOOKUP($D$10,DT.NK!$B:$AZ,20,0)</f>
        <v>42466</v>
      </c>
      <c r="K22" s="324"/>
      <c r="L22" s="260"/>
      <c r="M22" s="325"/>
      <c r="N22" s="213"/>
      <c r="P22" s="685" t="s">
        <v>840</v>
      </c>
      <c r="Q22" s="685"/>
      <c r="R22" s="685" t="str">
        <f>$R$8&amp;"F"&amp;$R$9</f>
        <v>16F20</v>
      </c>
      <c r="S22" s="685">
        <f>IF(R18-V20+0.9&gt;11.7,11.7,R18-V20+0.9)</f>
        <v>11.7</v>
      </c>
      <c r="T22" s="685" t="str">
        <f>IF(S22&lt;11.7,0.1,"")</f>
        <v/>
      </c>
    </row>
    <row r="23" spans="1:22" s="214" customFormat="1" ht="15" customHeight="1">
      <c r="A23" s="233"/>
      <c r="B23" s="221" t="s">
        <v>367</v>
      </c>
      <c r="C23" s="220"/>
      <c r="D23" s="235"/>
      <c r="E23" s="306"/>
      <c r="F23" s="235"/>
      <c r="G23" s="223"/>
      <c r="H23" s="660">
        <f>VLOOKUP($D$10,DT.NK!$B:$AZ,21,0)</f>
        <v>22.3</v>
      </c>
      <c r="I23" s="296"/>
      <c r="J23" s="551"/>
      <c r="K23" s="322"/>
      <c r="L23" s="271"/>
      <c r="M23" s="323"/>
      <c r="N23" s="213"/>
      <c r="P23" s="685" t="s">
        <v>841</v>
      </c>
      <c r="Q23" s="685"/>
      <c r="R23" s="685" t="str">
        <f>IF(S23="","",($R$8&amp;"F"&amp;$R$9))</f>
        <v>16F20</v>
      </c>
      <c r="S23" s="685">
        <f>IF(S22&lt;11.7,"",IF(R18-V20-S22+2*0.9&gt;11.7,11.7,R18-V20-S22+2*0.9))</f>
        <v>1.003000000000003</v>
      </c>
      <c r="T23" s="685">
        <f>IF(S23&lt;11.7,0.1,"")</f>
        <v>0.1</v>
      </c>
    </row>
    <row r="24" spans="1:22" s="214" customFormat="1" ht="13.5" customHeight="1">
      <c r="A24" s="229"/>
      <c r="B24" s="230" t="s">
        <v>879</v>
      </c>
      <c r="C24" s="231"/>
      <c r="D24" s="237"/>
      <c r="E24" s="237"/>
      <c r="F24" s="242"/>
      <c r="G24" s="242"/>
      <c r="H24" s="661">
        <f>-(H23-$F$16)</f>
        <v>-22.653000000000002</v>
      </c>
      <c r="I24" s="230"/>
      <c r="J24" s="556"/>
      <c r="K24" s="326"/>
      <c r="L24" s="570"/>
      <c r="M24" s="327"/>
      <c r="N24" s="213"/>
      <c r="O24" s="213"/>
      <c r="P24" s="685" t="s">
        <v>842</v>
      </c>
      <c r="Q24" s="685"/>
      <c r="R24" s="685" t="str">
        <f>IF(S24="","",($R$8&amp;"F"&amp;$R$9))</f>
        <v/>
      </c>
      <c r="S24" s="685" t="str">
        <f>IF(S23="","",IF(S23&lt;11.7,"",IF(R18-V20-S22-S23+3*0.9&gt;11.7,11.7,R18-V20-S22-S23+3*0.9)))</f>
        <v/>
      </c>
      <c r="T24" s="685" t="str">
        <f>IF(S24&lt;11.7,0.1,"")</f>
        <v/>
      </c>
    </row>
    <row r="25" spans="1:22" s="214" customFormat="1" ht="15" customHeight="1">
      <c r="A25" s="233">
        <v>5</v>
      </c>
      <c r="B25" s="234" t="s">
        <v>373</v>
      </c>
      <c r="C25" s="220"/>
      <c r="D25" s="235"/>
      <c r="E25" s="238"/>
      <c r="F25" s="235"/>
      <c r="G25" s="235"/>
      <c r="H25" s="936">
        <f>VLOOKUP($D$10,DT.NK!$B:$AZ,22,0)</f>
        <v>0.67013888888888884</v>
      </c>
      <c r="I25" s="296" t="s">
        <v>354</v>
      </c>
      <c r="J25" s="897">
        <f>VLOOKUP($D$10,DT.NK!$B:$AZ,23,0)</f>
        <v>42466</v>
      </c>
      <c r="K25" s="324"/>
      <c r="L25" s="260"/>
      <c r="M25" s="325"/>
      <c r="N25" s="240"/>
      <c r="O25" s="213"/>
      <c r="P25" s="685"/>
      <c r="Q25" s="685"/>
      <c r="R25" s="685"/>
      <c r="S25" s="685"/>
      <c r="T25" s="685"/>
    </row>
    <row r="26" spans="1:22" s="214" customFormat="1" ht="12.75" customHeight="1">
      <c r="A26" s="225"/>
      <c r="B26" s="221" t="s">
        <v>368</v>
      </c>
      <c r="C26" s="224"/>
      <c r="D26" s="306"/>
      <c r="E26" s="306"/>
      <c r="F26" s="241"/>
      <c r="G26" s="241"/>
      <c r="H26" s="865">
        <f>VLOOKUP($D$10,DT.NK!$B:$AZ,24,0)</f>
        <v>29.35</v>
      </c>
      <c r="I26" s="224"/>
      <c r="J26" s="312"/>
      <c r="K26" s="322"/>
      <c r="L26" s="271"/>
      <c r="M26" s="323"/>
      <c r="N26" s="213"/>
      <c r="O26" s="213"/>
      <c r="P26" s="685" t="s">
        <v>148</v>
      </c>
      <c r="Q26" s="689" t="str">
        <f>Q31</f>
        <v>Công ty TNHH kinh doanh và phát triển Vượng Phát</v>
      </c>
      <c r="R26" s="685"/>
      <c r="S26" s="685"/>
      <c r="T26" s="685"/>
    </row>
    <row r="27" spans="1:22" s="214" customFormat="1" ht="13.5" customHeight="1">
      <c r="A27" s="229"/>
      <c r="B27" s="230" t="s">
        <v>879</v>
      </c>
      <c r="C27" s="231"/>
      <c r="D27" s="237"/>
      <c r="E27" s="306"/>
      <c r="F27" s="242"/>
      <c r="G27" s="242"/>
      <c r="H27" s="661">
        <f>-(H26-$F$16)</f>
        <v>-29.703000000000003</v>
      </c>
      <c r="I27" s="230"/>
      <c r="J27" s="230"/>
      <c r="K27" s="326"/>
      <c r="L27" s="570"/>
      <c r="M27" s="327"/>
      <c r="N27" s="213"/>
      <c r="O27" s="213"/>
      <c r="P27" s="685" t="s">
        <v>880</v>
      </c>
      <c r="Q27" s="689" t="s">
        <v>881</v>
      </c>
      <c r="R27" s="685"/>
      <c r="S27" s="685"/>
      <c r="T27" s="685"/>
    </row>
    <row r="28" spans="1:22" s="214" customFormat="1" ht="15" customHeight="1">
      <c r="A28" s="291" t="s">
        <v>167</v>
      </c>
      <c r="B28" s="257" t="s">
        <v>371</v>
      </c>
      <c r="C28" s="254"/>
      <c r="D28" s="254"/>
      <c r="E28" s="254" t="s">
        <v>359</v>
      </c>
      <c r="F28" s="935">
        <f>VLOOKUP($D$10,DT.NK!$B:$AZ,25,0)</f>
        <v>0.71180555555555547</v>
      </c>
      <c r="G28" s="299" t="s">
        <v>351</v>
      </c>
      <c r="H28" s="935">
        <f>VLOOKUP($D$10,DT.NK!$B:$AZ,26,0)</f>
        <v>0.73263888888888873</v>
      </c>
      <c r="I28" s="295" t="s">
        <v>354</v>
      </c>
      <c r="J28" s="895">
        <f>VLOOKUP($D$10,DT.NK!$B:$AZ,27,0)</f>
        <v>42466</v>
      </c>
      <c r="K28" s="324" t="s">
        <v>163</v>
      </c>
      <c r="L28" s="260"/>
      <c r="M28" s="325"/>
      <c r="N28" s="213"/>
      <c r="O28" s="213"/>
      <c r="P28" s="690"/>
      <c r="Q28" s="690"/>
      <c r="R28" s="690"/>
      <c r="S28" s="690"/>
      <c r="T28" s="690"/>
    </row>
    <row r="29" spans="1:22" s="214" customFormat="1" ht="11.25" customHeight="1">
      <c r="A29" s="304"/>
      <c r="B29" s="221" t="s">
        <v>372</v>
      </c>
      <c r="C29" s="220"/>
      <c r="D29" s="220"/>
      <c r="E29" s="220"/>
      <c r="F29" s="267"/>
      <c r="G29" s="220"/>
      <c r="H29" s="275">
        <f>VLOOKUP($D$10,DT.NK!$B:$AZ,28,0)</f>
        <v>29.35</v>
      </c>
      <c r="I29" s="268"/>
      <c r="J29" s="313"/>
      <c r="K29" s="322"/>
      <c r="L29" s="271"/>
      <c r="M29" s="323"/>
      <c r="N29" s="213"/>
      <c r="O29" s="213"/>
    </row>
    <row r="30" spans="1:22" s="214" customFormat="1" ht="15" customHeight="1">
      <c r="A30" s="305"/>
      <c r="B30" s="230" t="s">
        <v>879</v>
      </c>
      <c r="C30" s="231"/>
      <c r="D30" s="231"/>
      <c r="E30" s="237"/>
      <c r="F30" s="237"/>
      <c r="G30" s="237"/>
      <c r="H30" s="661">
        <f>-(H29-$F$16)</f>
        <v>-29.703000000000003</v>
      </c>
      <c r="I30" s="237"/>
      <c r="J30" s="314"/>
      <c r="K30" s="322"/>
      <c r="L30" s="271"/>
      <c r="M30" s="323"/>
      <c r="N30" s="863"/>
      <c r="O30" s="864"/>
    </row>
    <row r="31" spans="1:22" s="214" customFormat="1" ht="15" customHeight="1" thickBot="1">
      <c r="A31" s="233" t="s">
        <v>168</v>
      </c>
      <c r="B31" s="1273" t="s">
        <v>374</v>
      </c>
      <c r="C31" s="1273"/>
      <c r="D31" s="220"/>
      <c r="E31" s="243" t="s">
        <v>360</v>
      </c>
      <c r="F31" s="934">
        <f>VLOOKUP($D$10,DT.NK!$B:$AZ,29,0)</f>
        <v>0.73958333333333315</v>
      </c>
      <c r="G31" s="243" t="s">
        <v>350</v>
      </c>
      <c r="H31" s="934">
        <f>VLOOKUP($D$10,DT.NK!$B:$AZ,30,0)</f>
        <v>0.74999999999999978</v>
      </c>
      <c r="I31" s="295" t="s">
        <v>354</v>
      </c>
      <c r="J31" s="897">
        <f>VLOOKUP($D$10,DT.NK!$B:$AZ,31,0)</f>
        <v>42466</v>
      </c>
      <c r="K31" s="324"/>
      <c r="L31" s="260"/>
      <c r="M31" s="325"/>
      <c r="N31" s="213"/>
      <c r="O31" s="213"/>
      <c r="Q31" s="214" t="s">
        <v>895</v>
      </c>
    </row>
    <row r="32" spans="1:22" s="248" customFormat="1" ht="12.75" thickTop="1">
      <c r="A32" s="245"/>
      <c r="B32" s="246" t="s">
        <v>375</v>
      </c>
      <c r="C32" s="1274" t="s">
        <v>376</v>
      </c>
      <c r="D32" s="1274"/>
      <c r="E32" s="1274" t="s">
        <v>377</v>
      </c>
      <c r="F32" s="1274"/>
      <c r="G32" s="1274" t="s">
        <v>378</v>
      </c>
      <c r="H32" s="1274"/>
      <c r="I32" s="1274" t="s">
        <v>379</v>
      </c>
      <c r="J32" s="1275"/>
      <c r="K32" s="322"/>
      <c r="L32" s="271"/>
      <c r="M32" s="323"/>
      <c r="N32" s="866"/>
      <c r="O32" s="247"/>
    </row>
    <row r="33" spans="1:22" s="248" customFormat="1" ht="12.75">
      <c r="A33" s="245"/>
      <c r="B33" s="985">
        <v>1</v>
      </c>
      <c r="C33" s="1253" t="str">
        <f>R19</f>
        <v>6F14</v>
      </c>
      <c r="D33" s="1253"/>
      <c r="E33" s="1261"/>
      <c r="F33" s="1261"/>
      <c r="G33" s="1252" t="s">
        <v>467</v>
      </c>
      <c r="H33" s="1253"/>
      <c r="I33" s="697">
        <f>S19</f>
        <v>7.6470000000000002</v>
      </c>
      <c r="J33" s="634">
        <v>0.1</v>
      </c>
      <c r="K33" s="322"/>
      <c r="L33" s="271"/>
      <c r="M33" s="323"/>
      <c r="N33" s="247"/>
      <c r="Q33" s="689" t="s">
        <v>878</v>
      </c>
    </row>
    <row r="34" spans="1:22" s="248" customFormat="1" ht="12.75" customHeight="1">
      <c r="A34" s="245"/>
      <c r="B34" s="1298">
        <v>2</v>
      </c>
      <c r="C34" s="1253" t="str">
        <f>R20</f>
        <v>32F20</v>
      </c>
      <c r="D34" s="1253"/>
      <c r="E34" s="1253" t="s">
        <v>882</v>
      </c>
      <c r="F34" s="1253"/>
      <c r="G34" s="1299" t="s">
        <v>467</v>
      </c>
      <c r="H34" s="1299"/>
      <c r="I34" s="697">
        <f>S20</f>
        <v>2.6</v>
      </c>
      <c r="J34" s="633"/>
      <c r="K34" s="322"/>
      <c r="L34" s="271"/>
      <c r="M34" s="323"/>
      <c r="N34" s="247"/>
    </row>
    <row r="35" spans="1:22" s="248" customFormat="1" ht="12">
      <c r="A35" s="245"/>
      <c r="B35" s="1298"/>
      <c r="C35" s="1253" t="str">
        <f>R22</f>
        <v>16F20</v>
      </c>
      <c r="D35" s="1253"/>
      <c r="E35" s="1253" t="s">
        <v>466</v>
      </c>
      <c r="F35" s="1253"/>
      <c r="G35" s="1300"/>
      <c r="H35" s="1300"/>
      <c r="I35" s="698">
        <f>11.7-I34</f>
        <v>9.1</v>
      </c>
      <c r="J35" s="692"/>
      <c r="K35" s="322"/>
      <c r="L35" s="271"/>
      <c r="M35" s="323"/>
      <c r="N35" s="247"/>
    </row>
    <row r="36" spans="1:22" s="214" customFormat="1" ht="15" customHeight="1">
      <c r="A36" s="225"/>
      <c r="B36" s="249">
        <v>3</v>
      </c>
      <c r="C36" s="1253" t="str">
        <f>R22</f>
        <v>16F20</v>
      </c>
      <c r="D36" s="1253"/>
      <c r="E36" s="1253" t="s">
        <v>466</v>
      </c>
      <c r="F36" s="1253"/>
      <c r="G36" s="1252" t="s">
        <v>467</v>
      </c>
      <c r="H36" s="1253"/>
      <c r="I36" s="697">
        <f t="shared" ref="I36:J38" si="0">S22</f>
        <v>11.7</v>
      </c>
      <c r="J36" s="634" t="str">
        <f t="shared" si="0"/>
        <v/>
      </c>
      <c r="K36" s="322"/>
      <c r="L36" s="271"/>
      <c r="M36" s="323"/>
      <c r="N36" s="529"/>
    </row>
    <row r="37" spans="1:22" s="214" customFormat="1" ht="15" customHeight="1">
      <c r="A37" s="225"/>
      <c r="B37" s="693">
        <v>4</v>
      </c>
      <c r="C37" s="1253" t="str">
        <f>R23</f>
        <v>16F20</v>
      </c>
      <c r="D37" s="1253"/>
      <c r="E37" s="1253" t="str">
        <f>IF(C37="","",E36)</f>
        <v>f10 a200</v>
      </c>
      <c r="F37" s="1253"/>
      <c r="G37" s="1252" t="str">
        <f>IF(E37="","",G36)</f>
        <v>f18 a2000</v>
      </c>
      <c r="H37" s="1253"/>
      <c r="I37" s="632">
        <f t="shared" si="0"/>
        <v>1.003000000000003</v>
      </c>
      <c r="J37" s="634">
        <f t="shared" si="0"/>
        <v>0.1</v>
      </c>
      <c r="K37" s="322"/>
      <c r="L37" s="271"/>
      <c r="M37" s="323"/>
      <c r="N37" s="529"/>
      <c r="O37" s="694"/>
      <c r="P37" s="694"/>
      <c r="Q37" s="694"/>
      <c r="R37" s="694"/>
      <c r="S37" s="695"/>
      <c r="T37" s="694"/>
      <c r="U37" s="312"/>
      <c r="V37" s="696"/>
    </row>
    <row r="38" spans="1:22" s="214" customFormat="1" ht="15" customHeight="1" thickBot="1">
      <c r="A38" s="225"/>
      <c r="B38" s="251">
        <v>5</v>
      </c>
      <c r="C38" s="1263" t="str">
        <f>R24</f>
        <v/>
      </c>
      <c r="D38" s="1263"/>
      <c r="E38" s="1263" t="str">
        <f>IF(C38="","",E37)</f>
        <v/>
      </c>
      <c r="F38" s="1263"/>
      <c r="G38" s="1264" t="str">
        <f>IF(E38="","",G37)</f>
        <v/>
      </c>
      <c r="H38" s="1263"/>
      <c r="I38" s="590" t="str">
        <f t="shared" si="0"/>
        <v/>
      </c>
      <c r="J38" s="533" t="str">
        <f t="shared" si="0"/>
        <v/>
      </c>
      <c r="K38" s="322"/>
      <c r="L38" s="271"/>
      <c r="M38" s="323"/>
      <c r="N38" s="250"/>
    </row>
    <row r="39" spans="1:22" s="214" customFormat="1" ht="15" customHeight="1" thickTop="1">
      <c r="A39" s="222" t="s">
        <v>170</v>
      </c>
      <c r="B39" s="224" t="s">
        <v>382</v>
      </c>
      <c r="C39" s="223"/>
      <c r="D39" s="223"/>
      <c r="E39" s="241">
        <f>R15</f>
        <v>2</v>
      </c>
      <c r="F39" s="588"/>
      <c r="G39" s="224" t="s">
        <v>384</v>
      </c>
      <c r="H39" s="588"/>
      <c r="I39" s="842">
        <f>IF(E39=0,0,(J16-H30-0.1-0.5))</f>
        <v>28.386000000000003</v>
      </c>
      <c r="J39" s="224"/>
      <c r="K39" s="322"/>
      <c r="L39" s="271"/>
      <c r="M39" s="323"/>
      <c r="N39" s="213"/>
      <c r="O39" s="213"/>
    </row>
    <row r="40" spans="1:22" s="214" customFormat="1" ht="15" customHeight="1">
      <c r="A40" s="222" t="s">
        <v>170</v>
      </c>
      <c r="B40" s="224" t="s">
        <v>383</v>
      </c>
      <c r="C40" s="223"/>
      <c r="D40" s="223"/>
      <c r="E40" s="241">
        <f>R16</f>
        <v>1</v>
      </c>
      <c r="F40" s="588"/>
      <c r="G40" s="224" t="s">
        <v>384</v>
      </c>
      <c r="H40" s="588"/>
      <c r="I40" s="589">
        <f>IF(E40=0,0,I39-0.9)</f>
        <v>27.486000000000004</v>
      </c>
      <c r="J40" s="224"/>
      <c r="K40" s="322"/>
      <c r="L40" s="271"/>
      <c r="M40" s="323"/>
      <c r="N40" s="213"/>
      <c r="O40" s="213"/>
    </row>
    <row r="41" spans="1:22" s="214" customFormat="1" ht="15" customHeight="1">
      <c r="A41" s="252" t="s">
        <v>170</v>
      </c>
      <c r="B41" s="231" t="s">
        <v>386</v>
      </c>
      <c r="C41" s="232"/>
      <c r="D41" s="232"/>
      <c r="E41" s="242">
        <f>H10-140</f>
        <v>660</v>
      </c>
      <c r="F41" s="230"/>
      <c r="G41" s="223" t="s">
        <v>399</v>
      </c>
      <c r="H41" s="253"/>
      <c r="I41" s="312">
        <f>ROUND((R4+1-H30)/2,0)*4</f>
        <v>44</v>
      </c>
      <c r="J41" s="230"/>
      <c r="K41" s="322"/>
      <c r="L41" s="271"/>
      <c r="M41" s="323"/>
      <c r="N41" s="213"/>
      <c r="O41" s="213"/>
    </row>
    <row r="42" spans="1:22" s="214" customFormat="1" ht="15" customHeight="1">
      <c r="A42" s="291" t="s">
        <v>169</v>
      </c>
      <c r="B42" s="257" t="s">
        <v>387</v>
      </c>
      <c r="C42" s="254"/>
      <c r="D42" s="254"/>
      <c r="E42" s="254" t="s">
        <v>359</v>
      </c>
      <c r="F42" s="934">
        <f>VLOOKUP($D$10,DT.NK!$B:$AZ,32,0)</f>
        <v>0.7569444444444442</v>
      </c>
      <c r="G42" s="254" t="s">
        <v>351</v>
      </c>
      <c r="H42" s="934">
        <f>VLOOKUP($D$10,DT.NK!$B:$AZ,33,0)</f>
        <v>0.79861111111111083</v>
      </c>
      <c r="I42" s="295" t="s">
        <v>354</v>
      </c>
      <c r="J42" s="898">
        <f>VLOOKUP($D$10,DT.NK!$B:$AZ,34,0)</f>
        <v>42466</v>
      </c>
      <c r="K42" s="324" t="s">
        <v>163</v>
      </c>
      <c r="L42" s="260"/>
      <c r="M42" s="325"/>
      <c r="N42" s="213"/>
      <c r="O42" s="213"/>
    </row>
    <row r="43" spans="1:22" s="214" customFormat="1" ht="8.25" customHeight="1">
      <c r="A43" s="981"/>
      <c r="B43" s="536"/>
      <c r="C43" s="259"/>
      <c r="D43" s="259"/>
      <c r="E43" s="259"/>
      <c r="F43" s="537"/>
      <c r="G43" s="259"/>
      <c r="H43" s="537"/>
      <c r="I43" s="538"/>
      <c r="J43" s="539"/>
      <c r="K43" s="326"/>
      <c r="L43" s="570"/>
      <c r="M43" s="327"/>
      <c r="N43" s="213"/>
      <c r="O43" s="213"/>
    </row>
    <row r="44" spans="1:22" s="214" customFormat="1" ht="15" customHeight="1">
      <c r="A44" s="233" t="s">
        <v>171</v>
      </c>
      <c r="B44" s="1265" t="s">
        <v>401</v>
      </c>
      <c r="C44" s="1265"/>
      <c r="D44" s="220"/>
      <c r="E44" s="303" t="s">
        <v>359</v>
      </c>
      <c r="F44" s="937">
        <f>VLOOKUP($D$10,DT.NK!$B:$AZ,35,0)</f>
        <v>0.81944444444444409</v>
      </c>
      <c r="G44" s="303" t="s">
        <v>351</v>
      </c>
      <c r="H44" s="937">
        <f>VLOOKUP($D$10,DT.NK!$B:$AZ,36,0)</f>
        <v>0.82638888888888851</v>
      </c>
      <c r="I44" s="296" t="s">
        <v>354</v>
      </c>
      <c r="J44" s="897">
        <f>VLOOKUP($D$10,DT.NK!$B:$AZ,37,0)</f>
        <v>42466</v>
      </c>
      <c r="K44" s="324"/>
      <c r="L44" s="260"/>
      <c r="M44" s="325"/>
      <c r="N44" s="213"/>
      <c r="O44" s="213"/>
    </row>
    <row r="45" spans="1:22" s="214" customFormat="1" ht="15" customHeight="1">
      <c r="A45" s="222"/>
      <c r="B45" s="221" t="s">
        <v>362</v>
      </c>
      <c r="C45" s="221"/>
      <c r="D45" s="261">
        <f>VLOOKUP($D$10,DT.NK!$B:$AZ,38,0)</f>
        <v>1.0900000000000001</v>
      </c>
      <c r="E45" s="221" t="s">
        <v>364</v>
      </c>
      <c r="F45" s="223"/>
      <c r="G45" s="221"/>
      <c r="H45" s="228">
        <f>VLOOKUP($D$10,DT.NK!$B:$AZ,39,0)</f>
        <v>9</v>
      </c>
      <c r="I45" s="223"/>
      <c r="J45" s="223"/>
      <c r="K45" s="322"/>
      <c r="L45" s="271"/>
      <c r="M45" s="323"/>
      <c r="N45" s="213"/>
      <c r="O45" s="213"/>
    </row>
    <row r="46" spans="1:22" s="214" customFormat="1" ht="15" customHeight="1">
      <c r="A46" s="225"/>
      <c r="B46" s="221" t="s">
        <v>363</v>
      </c>
      <c r="C46" s="221"/>
      <c r="D46" s="228">
        <f>VLOOKUP($D$10,DT.NK!$B:$AZ,40,0)</f>
        <v>28</v>
      </c>
      <c r="E46" s="221" t="s">
        <v>366</v>
      </c>
      <c r="F46" s="223"/>
      <c r="G46" s="221"/>
      <c r="H46" s="262">
        <f>VLOOKUP($D$10,DT.NK!$B:$AZ,41,0)</f>
        <v>0</v>
      </c>
      <c r="I46" s="223"/>
      <c r="J46" s="311"/>
      <c r="K46" s="322"/>
      <c r="L46" s="271"/>
      <c r="M46" s="323"/>
      <c r="N46" s="213"/>
      <c r="O46" s="213"/>
    </row>
    <row r="47" spans="1:22" s="214" customFormat="1" ht="15" customHeight="1">
      <c r="A47" s="225"/>
      <c r="B47" s="221"/>
      <c r="C47" s="221"/>
      <c r="D47" s="221"/>
      <c r="E47" s="221"/>
      <c r="F47" s="306"/>
      <c r="G47" s="221"/>
      <c r="H47" s="308"/>
      <c r="I47" s="223"/>
      <c r="J47" s="311"/>
      <c r="K47" s="326"/>
      <c r="L47" s="570"/>
      <c r="M47" s="327"/>
      <c r="N47" s="213"/>
      <c r="O47" s="213"/>
    </row>
    <row r="48" spans="1:22" s="214" customFormat="1" ht="15" customHeight="1">
      <c r="A48" s="256" t="s">
        <v>172</v>
      </c>
      <c r="B48" s="257" t="s">
        <v>391</v>
      </c>
      <c r="C48" s="254"/>
      <c r="D48" s="254"/>
      <c r="E48" s="254"/>
      <c r="F48" s="263"/>
      <c r="G48" s="243"/>
      <c r="H48" s="301"/>
      <c r="I48" s="292"/>
      <c r="J48" s="255"/>
      <c r="K48" s="324"/>
      <c r="L48" s="260"/>
      <c r="M48" s="325"/>
      <c r="N48" s="213"/>
      <c r="O48" s="213"/>
    </row>
    <row r="49" spans="1:15" s="214" customFormat="1" ht="15" customHeight="1">
      <c r="A49" s="264"/>
      <c r="B49" s="234"/>
      <c r="C49" s="220"/>
      <c r="D49" s="220"/>
      <c r="E49" s="303" t="s">
        <v>359</v>
      </c>
      <c r="F49" s="937">
        <f>VLOOKUP($D$10,DT.NK!$B:$AZ,42,0)</f>
        <v>0.82638888888888851</v>
      </c>
      <c r="G49" s="303" t="s">
        <v>351</v>
      </c>
      <c r="H49" s="938">
        <f>VLOOKUP($D$10,DT.NK!$B:$AZ,43,0)</f>
        <v>0.83333333333333293</v>
      </c>
      <c r="I49" s="296" t="s">
        <v>354</v>
      </c>
      <c r="J49" s="897">
        <f>VLOOKUP($D$10,DT.NK!$B:$AZ,44,0)</f>
        <v>42466</v>
      </c>
      <c r="K49" s="322"/>
      <c r="L49" s="271"/>
      <c r="M49" s="323"/>
      <c r="N49" s="213"/>
      <c r="O49" s="213"/>
    </row>
    <row r="50" spans="1:15" s="214" customFormat="1" ht="15" customHeight="1">
      <c r="A50" s="264"/>
      <c r="B50" s="221" t="s">
        <v>388</v>
      </c>
      <c r="C50" s="220"/>
      <c r="D50" s="306"/>
      <c r="E50" s="306"/>
      <c r="F50" s="266"/>
      <c r="G50" s="220"/>
      <c r="H50" s="265">
        <f>VLOOKUP($D$10,DT.NK!$B:$AZ,45,0)</f>
        <v>29.35</v>
      </c>
      <c r="I50" s="268"/>
      <c r="J50" s="221"/>
      <c r="K50" s="322"/>
      <c r="L50" s="271"/>
      <c r="M50" s="323"/>
      <c r="N50" s="213"/>
      <c r="O50" s="213"/>
    </row>
    <row r="51" spans="1:15" s="214" customFormat="1" ht="15" customHeight="1">
      <c r="A51" s="258"/>
      <c r="B51" s="230" t="s">
        <v>879</v>
      </c>
      <c r="C51" s="259"/>
      <c r="D51" s="237"/>
      <c r="E51" s="237"/>
      <c r="F51" s="269"/>
      <c r="G51" s="237"/>
      <c r="H51" s="661">
        <f>-(H50-$F$16)</f>
        <v>-29.703000000000003</v>
      </c>
      <c r="I51" s="237"/>
      <c r="J51" s="230"/>
      <c r="K51" s="322"/>
      <c r="L51" s="271"/>
      <c r="M51" s="323"/>
      <c r="N51" s="213"/>
      <c r="O51" s="213"/>
    </row>
    <row r="52" spans="1:15" s="214" customFormat="1" ht="15" customHeight="1">
      <c r="A52" s="270" t="s">
        <v>173</v>
      </c>
      <c r="B52" s="257" t="s">
        <v>395</v>
      </c>
      <c r="C52" s="254"/>
      <c r="D52" s="254"/>
      <c r="E52" s="243" t="s">
        <v>359</v>
      </c>
      <c r="F52" s="934">
        <f>VLOOKUP($D$10,DT.NK!$B:$AZ,46,0)</f>
        <v>0.83333333333333293</v>
      </c>
      <c r="G52" s="895">
        <f>VLOOKUP($D$10,DT.NK!$B:$AZ,47,0)</f>
        <v>42466</v>
      </c>
      <c r="H52" s="260" t="s">
        <v>351</v>
      </c>
      <c r="I52" s="939">
        <f>VLOOKUP($D$10,DT.NK!$B:$AZ,48,0)</f>
        <v>0.87499999999999956</v>
      </c>
      <c r="J52" s="899">
        <f>VLOOKUP($D$10,DT.NK!$B:$AZ,49,0)</f>
        <v>42466</v>
      </c>
      <c r="K52" s="324"/>
      <c r="L52" s="260"/>
      <c r="M52" s="325"/>
      <c r="N52" s="213"/>
      <c r="O52" s="213"/>
    </row>
    <row r="53" spans="1:15" s="214" customFormat="1" ht="15" customHeight="1">
      <c r="A53" s="272"/>
      <c r="B53" s="220" t="s">
        <v>402</v>
      </c>
      <c r="C53" s="220"/>
      <c r="D53" s="220"/>
      <c r="E53" s="271"/>
      <c r="F53" s="677">
        <f>VLOOKUP($D$10,DT.NK!$B:$AZ,50,0)</f>
        <v>0</v>
      </c>
      <c r="G53" s="1266" t="s">
        <v>484</v>
      </c>
      <c r="H53" s="1266"/>
      <c r="I53" s="1266"/>
      <c r="J53" s="676">
        <f>-(F53-$F$16)</f>
        <v>-0.35299999999999998</v>
      </c>
      <c r="K53" s="322"/>
      <c r="L53" s="271"/>
      <c r="M53" s="323"/>
      <c r="N53" s="213"/>
      <c r="O53" s="250"/>
    </row>
    <row r="54" spans="1:15" s="214" customFormat="1" ht="15" customHeight="1">
      <c r="A54" s="272"/>
      <c r="B54" s="220"/>
      <c r="C54" s="220"/>
      <c r="D54" s="220"/>
      <c r="E54" s="306"/>
      <c r="F54" s="273"/>
      <c r="G54" s="1266"/>
      <c r="H54" s="1266"/>
      <c r="I54" s="1266"/>
      <c r="K54" s="322"/>
      <c r="L54" s="271"/>
      <c r="M54" s="323"/>
      <c r="N54" s="213"/>
      <c r="O54" s="213"/>
    </row>
    <row r="55" spans="1:15" s="214" customFormat="1" ht="15" customHeight="1">
      <c r="A55" s="1016"/>
      <c r="B55" s="259" t="s">
        <v>398</v>
      </c>
      <c r="C55" s="259"/>
      <c r="D55" s="237"/>
      <c r="E55" s="237"/>
      <c r="F55" s="1017">
        <f>VLOOKUP($D$10,DT.NK!$B:$AZ,51,0)</f>
        <v>18</v>
      </c>
      <c r="G55" s="232" t="s">
        <v>470</v>
      </c>
      <c r="H55" s="237"/>
      <c r="I55" s="1018"/>
      <c r="J55" s="1019">
        <f>(R4+1-H51)*3.14*(R3/2000)^2</f>
        <v>11.405987200000004</v>
      </c>
      <c r="K55" s="326"/>
      <c r="L55" s="570"/>
      <c r="M55" s="327"/>
      <c r="N55" s="213"/>
      <c r="O55" s="213"/>
    </row>
    <row r="56" spans="1:15" s="214" customFormat="1" ht="15" customHeight="1">
      <c r="A56" s="272" t="s">
        <v>1135</v>
      </c>
      <c r="B56" s="234" t="s">
        <v>1136</v>
      </c>
      <c r="C56" s="220"/>
      <c r="D56" s="306"/>
      <c r="E56" s="306" t="str">
        <f>E52</f>
        <v>Bắt đầu</v>
      </c>
      <c r="F56" s="1250" t="e">
        <f>VLOOKUP($D$10,DTKP!$B$12:$Q$34,2,0)</f>
        <v>#N/A</v>
      </c>
      <c r="G56" s="1251" t="e">
        <f>VLOOKUP($D$10,DTKP!$B$12:$Q$34,3,0)</f>
        <v>#N/A</v>
      </c>
      <c r="H56" s="306" t="str">
        <f>H52</f>
        <v>Kết thúc</v>
      </c>
      <c r="I56" s="1249" t="e">
        <f>VLOOKUP($D$10,DTKP!$B$12:$Q$34,4,0)</f>
        <v>#N/A</v>
      </c>
      <c r="J56" s="1251" t="e">
        <f>VLOOKUP($D$10,DTKP!$B$12:$Q$34,5,0)</f>
        <v>#N/A</v>
      </c>
      <c r="K56" s="322"/>
      <c r="L56" s="271"/>
      <c r="M56" s="323"/>
      <c r="N56" s="213"/>
      <c r="O56" s="213"/>
    </row>
    <row r="57" spans="1:15" s="214" customFormat="1" ht="15" customHeight="1" thickBot="1">
      <c r="A57" s="272"/>
      <c r="B57" s="220" t="s">
        <v>1137</v>
      </c>
      <c r="C57" s="220"/>
      <c r="D57" s="306"/>
      <c r="E57" s="306"/>
      <c r="F57" s="1028" t="e">
        <f>VLOOKUP($D$10,DTKP!$B$12:$Q$34,6,0)</f>
        <v>#N/A</v>
      </c>
      <c r="G57" s="1294" t="s">
        <v>1145</v>
      </c>
      <c r="H57" s="1294"/>
      <c r="I57" s="1294"/>
      <c r="J57" s="1028" t="e">
        <f>VLOOKUP($D$10,DTKP!$B$12:$Q$34,7,0)</f>
        <v>#N/A</v>
      </c>
      <c r="K57" s="322"/>
      <c r="L57" s="271"/>
      <c r="M57" s="323"/>
      <c r="N57" s="213"/>
      <c r="O57" s="213"/>
    </row>
    <row r="58" spans="1:15" s="214" customFormat="1" ht="15" customHeight="1" thickTop="1">
      <c r="A58" s="272"/>
      <c r="B58" s="1295" t="s">
        <v>1138</v>
      </c>
      <c r="C58" s="1296"/>
      <c r="D58" s="1296"/>
      <c r="E58" s="1296"/>
      <c r="F58" s="1297"/>
      <c r="G58" s="1294"/>
      <c r="H58" s="1294"/>
      <c r="I58" s="1294"/>
      <c r="J58" s="316"/>
      <c r="K58" s="322"/>
      <c r="L58" s="271"/>
      <c r="M58" s="323"/>
      <c r="N58" s="213"/>
      <c r="O58" s="213"/>
    </row>
    <row r="59" spans="1:15" s="214" customFormat="1" ht="15" customHeight="1">
      <c r="A59" s="272"/>
      <c r="B59" s="326" t="s">
        <v>1139</v>
      </c>
      <c r="C59" s="1015" t="s">
        <v>188</v>
      </c>
      <c r="D59" s="1301" t="s">
        <v>423</v>
      </c>
      <c r="E59" s="1302"/>
      <c r="F59" s="1303"/>
      <c r="G59" s="223" t="s">
        <v>1144</v>
      </c>
      <c r="H59" s="1040"/>
      <c r="I59" s="274"/>
      <c r="J59" s="1028" t="e">
        <f>VLOOKUP($D$10,DTKP!$B$12:$Q$34,8,0)</f>
        <v>#N/A</v>
      </c>
      <c r="K59" s="322"/>
      <c r="L59" s="271"/>
      <c r="M59" s="323"/>
      <c r="N59" s="213"/>
      <c r="O59" s="213"/>
    </row>
    <row r="60" spans="1:15" s="214" customFormat="1" ht="15" customHeight="1">
      <c r="A60" s="272"/>
      <c r="B60" s="1012" t="s">
        <v>1140</v>
      </c>
      <c r="C60" s="1029" t="e">
        <f>VLOOKUP($D$10,DTKP!$B$12:$Q$34,9,0)</f>
        <v>#N/A</v>
      </c>
      <c r="D60" s="1304" t="e">
        <f>VLOOKUP($D$10,DTKP!$B$12:$Q$34,10,0)</f>
        <v>#N/A</v>
      </c>
      <c r="E60" s="1305" t="e">
        <f>VLOOKUP($D$10,DTKP!$B$12:$Q$34,9,0)</f>
        <v>#N/A</v>
      </c>
      <c r="F60" s="1306" t="e">
        <f>VLOOKUP($D$10,DTKP!$B$12:$Q$34,9,0)</f>
        <v>#N/A</v>
      </c>
      <c r="G60" s="223"/>
      <c r="H60" s="306"/>
      <c r="I60" s="274"/>
      <c r="J60" s="316"/>
      <c r="K60" s="322"/>
      <c r="L60" s="271"/>
      <c r="M60" s="323"/>
      <c r="N60" s="213"/>
      <c r="O60" s="213"/>
    </row>
    <row r="61" spans="1:15" s="214" customFormat="1" ht="15" customHeight="1">
      <c r="A61" s="272"/>
      <c r="B61" s="1012" t="s">
        <v>1141</v>
      </c>
      <c r="C61" s="1030" t="e">
        <f>VLOOKUP($D$10,DTKP!$B$12:$Q$34,11,0)</f>
        <v>#N/A</v>
      </c>
      <c r="D61" s="1304" t="e">
        <f>VLOOKUP($D$10,DTKP!$B$12:$Q$34,12,0)</f>
        <v>#N/A</v>
      </c>
      <c r="E61" s="1305" t="e">
        <f>VLOOKUP($D$10,DTKP!$B$12:$Q$34,9,0)</f>
        <v>#N/A</v>
      </c>
      <c r="F61" s="1306" t="e">
        <f>VLOOKUP($D$10,DTKP!$B$12:$Q$34,9,0)</f>
        <v>#N/A</v>
      </c>
      <c r="G61" s="223"/>
      <c r="H61" s="306"/>
      <c r="I61" s="274"/>
      <c r="J61" s="316"/>
      <c r="K61" s="322"/>
      <c r="L61" s="271"/>
      <c r="M61" s="323"/>
      <c r="N61" s="213"/>
      <c r="O61" s="213"/>
    </row>
    <row r="62" spans="1:15" s="214" customFormat="1" ht="15" customHeight="1">
      <c r="A62" s="272"/>
      <c r="B62" s="1012" t="s">
        <v>1142</v>
      </c>
      <c r="C62" s="1030" t="e">
        <f>VLOOKUP($D$10,DTKP!$B$12:$Q$34,13,0)</f>
        <v>#N/A</v>
      </c>
      <c r="D62" s="1304" t="e">
        <f>VLOOKUP($D$10,DTKP!$B$12:$Q$34,14,0)</f>
        <v>#N/A</v>
      </c>
      <c r="E62" s="1305" t="e">
        <f>VLOOKUP($D$10,DTKP!$B$12:$Q$34,9,0)</f>
        <v>#N/A</v>
      </c>
      <c r="F62" s="1306" t="e">
        <f>VLOOKUP($D$10,DTKP!$B$12:$Q$34,9,0)</f>
        <v>#N/A</v>
      </c>
      <c r="G62" s="223"/>
      <c r="H62" s="306"/>
      <c r="I62" s="274"/>
      <c r="J62" s="316"/>
      <c r="K62" s="322"/>
      <c r="L62" s="271"/>
      <c r="M62" s="323"/>
      <c r="N62" s="213"/>
      <c r="O62" s="213"/>
    </row>
    <row r="63" spans="1:15" s="214" customFormat="1" ht="15" customHeight="1" thickBot="1">
      <c r="A63" s="272"/>
      <c r="B63" s="1011" t="s">
        <v>1143</v>
      </c>
      <c r="C63" s="1031" t="e">
        <f>VLOOKUP($D$10,DTKP!$B$12:$Q$34,15,0)</f>
        <v>#N/A</v>
      </c>
      <c r="D63" s="1307" t="e">
        <f>VLOOKUP($D$10,DTKP!$B$12:$Q$34,16,0)</f>
        <v>#N/A</v>
      </c>
      <c r="E63" s="1308" t="e">
        <f>VLOOKUP($D$10,DTKP!$B$12:$Q$34,9,0)</f>
        <v>#N/A</v>
      </c>
      <c r="F63" s="1309" t="e">
        <f>VLOOKUP($D$10,DTKP!$B$12:$Q$34,9,0)</f>
        <v>#N/A</v>
      </c>
      <c r="G63" s="223"/>
      <c r="H63" s="306"/>
      <c r="I63" s="274"/>
      <c r="J63" s="316"/>
      <c r="K63" s="322"/>
      <c r="L63" s="271"/>
      <c r="M63" s="323"/>
      <c r="N63" s="213"/>
      <c r="O63" s="213"/>
    </row>
    <row r="64" spans="1:15" s="209" customFormat="1" ht="6" customHeight="1" thickTop="1" thickBot="1">
      <c r="A64" s="276"/>
      <c r="B64" s="277"/>
      <c r="C64" s="278"/>
      <c r="D64" s="278"/>
      <c r="E64" s="280"/>
      <c r="F64" s="309"/>
      <c r="G64" s="279"/>
      <c r="H64" s="280"/>
      <c r="I64" s="281"/>
      <c r="J64" s="317"/>
      <c r="K64" s="328"/>
      <c r="L64" s="571"/>
      <c r="M64" s="329"/>
      <c r="N64" s="208"/>
      <c r="O64" s="208"/>
    </row>
    <row r="65" spans="2:13" ht="15.75" thickTop="1">
      <c r="B65" s="574" t="s">
        <v>820</v>
      </c>
      <c r="C65" s="574"/>
      <c r="D65" s="574"/>
      <c r="E65" s="574"/>
      <c r="F65" s="574" t="s">
        <v>186</v>
      </c>
      <c r="G65" s="283"/>
      <c r="I65" s="573"/>
      <c r="J65" s="573" t="s">
        <v>5</v>
      </c>
      <c r="K65" s="573"/>
      <c r="L65" s="573"/>
      <c r="M65" s="573"/>
    </row>
    <row r="66" spans="2:13" s="209" customFormat="1" ht="18.75" customHeight="1"/>
    <row r="67" spans="2:13">
      <c r="K67" s="316">
        <f>(R4-H51)*3.14*(R3/2000)^2+3.14*((R3+100)/2000)^2</f>
        <v>11.539437200000004</v>
      </c>
    </row>
  </sheetData>
  <mergeCells count="48">
    <mergeCell ref="D59:F59"/>
    <mergeCell ref="D60:F60"/>
    <mergeCell ref="D61:F61"/>
    <mergeCell ref="D62:F62"/>
    <mergeCell ref="D63:F63"/>
    <mergeCell ref="D5:J6"/>
    <mergeCell ref="K5:M5"/>
    <mergeCell ref="K6:K10"/>
    <mergeCell ref="L6:L10"/>
    <mergeCell ref="M6:M10"/>
    <mergeCell ref="C33:D33"/>
    <mergeCell ref="E33:F33"/>
    <mergeCell ref="G33:H33"/>
    <mergeCell ref="B18:C18"/>
    <mergeCell ref="B31:C31"/>
    <mergeCell ref="C32:D32"/>
    <mergeCell ref="E32:F32"/>
    <mergeCell ref="G32:H32"/>
    <mergeCell ref="I32:J32"/>
    <mergeCell ref="B34:B35"/>
    <mergeCell ref="A1:G2"/>
    <mergeCell ref="H1:M1"/>
    <mergeCell ref="H2:M2"/>
    <mergeCell ref="H3:M3"/>
    <mergeCell ref="A4:M4"/>
    <mergeCell ref="A11:A12"/>
    <mergeCell ref="B11:C12"/>
    <mergeCell ref="F14:G14"/>
    <mergeCell ref="F15:G15"/>
    <mergeCell ref="G16:I17"/>
    <mergeCell ref="C34:D34"/>
    <mergeCell ref="E34:F34"/>
    <mergeCell ref="G34:H35"/>
    <mergeCell ref="C35:D35"/>
    <mergeCell ref="E35:F35"/>
    <mergeCell ref="C36:D36"/>
    <mergeCell ref="E36:F36"/>
    <mergeCell ref="G36:H36"/>
    <mergeCell ref="C37:D37"/>
    <mergeCell ref="E37:F37"/>
    <mergeCell ref="G37:H37"/>
    <mergeCell ref="G57:I58"/>
    <mergeCell ref="C38:D38"/>
    <mergeCell ref="E38:F38"/>
    <mergeCell ref="G38:H38"/>
    <mergeCell ref="B44:C44"/>
    <mergeCell ref="G53:I54"/>
    <mergeCell ref="B58:F58"/>
  </mergeCells>
  <pageMargins left="0.74803149606299213" right="0.27559055118110237" top="0.39370078740157483" bottom="0.31496062992125984" header="0.23622047244094491" footer="0.19685039370078741"/>
  <pageSetup paperSize="9" scale="86"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topLeftCell="A10" workbookViewId="0">
      <selection activeCell="B12" sqref="B12:B24"/>
    </sheetView>
  </sheetViews>
  <sheetFormatPr defaultRowHeight="15"/>
  <cols>
    <col min="1" max="1" width="9.28515625" bestFit="1" customWidth="1"/>
    <col min="3" max="3" width="9.28515625" bestFit="1" customWidth="1"/>
    <col min="4" max="4" width="12.7109375" bestFit="1" customWidth="1"/>
    <col min="5" max="5" width="9.140625" style="1002"/>
    <col min="6" max="6" width="12.7109375" style="1002" bestFit="1" customWidth="1"/>
    <col min="7" max="8" width="9.28515625" bestFit="1" customWidth="1"/>
    <col min="9" max="9" width="10.85546875" customWidth="1"/>
    <col min="10" max="10" width="16.85546875" style="1024" customWidth="1"/>
    <col min="11" max="11" width="17.5703125" style="1024" customWidth="1"/>
    <col min="12" max="12" width="15.28515625" style="1024" customWidth="1"/>
    <col min="13" max="13" width="16.140625" style="1024" customWidth="1"/>
    <col min="14" max="14" width="17.7109375" style="1024" customWidth="1"/>
    <col min="15" max="15" width="18.28515625" style="1024" customWidth="1"/>
    <col min="16" max="16" width="17" style="1024" customWidth="1"/>
    <col min="17" max="17" width="18" style="1024" customWidth="1"/>
  </cols>
  <sheetData>
    <row r="1" spans="1:17" ht="15.75">
      <c r="A1" s="234" t="s">
        <v>1136</v>
      </c>
      <c r="B1" s="220"/>
      <c r="C1" s="306"/>
      <c r="D1" s="306"/>
      <c r="E1" s="306"/>
      <c r="F1" s="306"/>
      <c r="G1" s="273"/>
      <c r="H1" s="223"/>
      <c r="I1" s="306"/>
      <c r="J1" s="1023"/>
    </row>
    <row r="2" spans="1:17" ht="15.75" thickBot="1">
      <c r="A2" s="220" t="s">
        <v>1137</v>
      </c>
      <c r="B2" s="220"/>
      <c r="C2" s="306"/>
      <c r="D2" s="306"/>
      <c r="E2" s="306"/>
      <c r="F2" s="306"/>
      <c r="G2" s="273"/>
      <c r="H2" s="1294" t="s">
        <v>1145</v>
      </c>
      <c r="I2" s="1294"/>
      <c r="J2" s="1294"/>
    </row>
    <row r="3" spans="1:17" ht="15.75" thickTop="1">
      <c r="A3" s="1295" t="s">
        <v>1138</v>
      </c>
      <c r="B3" s="1296"/>
      <c r="C3" s="1296"/>
      <c r="D3" s="1296"/>
      <c r="E3" s="1296"/>
      <c r="F3" s="1296"/>
      <c r="G3" s="1297"/>
      <c r="H3" s="1294"/>
      <c r="I3" s="1294"/>
      <c r="J3" s="1294"/>
    </row>
    <row r="4" spans="1:17" ht="15.75">
      <c r="A4" s="326" t="s">
        <v>1139</v>
      </c>
      <c r="B4" s="1015" t="s">
        <v>188</v>
      </c>
      <c r="C4" s="1301" t="s">
        <v>423</v>
      </c>
      <c r="D4" s="1302"/>
      <c r="E4" s="1302"/>
      <c r="F4" s="1302"/>
      <c r="G4" s="1303"/>
      <c r="H4" s="223" t="s">
        <v>1144</v>
      </c>
      <c r="I4" s="306"/>
      <c r="J4" s="1023"/>
    </row>
    <row r="5" spans="1:17" ht="15.75">
      <c r="A5" s="1012" t="s">
        <v>1140</v>
      </c>
      <c r="B5" s="1013"/>
      <c r="C5" s="1310"/>
      <c r="D5" s="1311"/>
      <c r="E5" s="1311"/>
      <c r="F5" s="1311"/>
      <c r="G5" s="1312"/>
      <c r="H5" s="223"/>
      <c r="I5" s="306"/>
      <c r="J5" s="1023"/>
    </row>
    <row r="6" spans="1:17" ht="15.75">
      <c r="A6" s="1012" t="s">
        <v>1141</v>
      </c>
      <c r="B6" s="1013"/>
      <c r="C6" s="1313"/>
      <c r="D6" s="1314"/>
      <c r="E6" s="1314"/>
      <c r="F6" s="1314"/>
      <c r="G6" s="1315"/>
      <c r="H6" s="223"/>
      <c r="I6" s="306"/>
      <c r="J6" s="1023"/>
    </row>
    <row r="7" spans="1:17" ht="15.75">
      <c r="A7" s="1012" t="s">
        <v>1142</v>
      </c>
      <c r="B7" s="1013"/>
      <c r="C7" s="1310"/>
      <c r="D7" s="1311"/>
      <c r="E7" s="1311"/>
      <c r="F7" s="1311"/>
      <c r="G7" s="1312"/>
      <c r="H7" s="223"/>
      <c r="I7" s="306"/>
      <c r="J7" s="1023"/>
    </row>
    <row r="8" spans="1:17" ht="16.5" thickBot="1">
      <c r="A8" s="1011" t="s">
        <v>1143</v>
      </c>
      <c r="B8" s="1014"/>
      <c r="C8" s="1316"/>
      <c r="D8" s="1317"/>
      <c r="E8" s="1317"/>
      <c r="F8" s="1317"/>
      <c r="G8" s="1318"/>
      <c r="H8" s="223"/>
      <c r="I8" s="306"/>
      <c r="J8" s="1023"/>
    </row>
    <row r="9" spans="1:17" ht="15.75" thickTop="1"/>
    <row r="10" spans="1:17" ht="18" customHeight="1">
      <c r="A10" s="1321" t="s">
        <v>939</v>
      </c>
      <c r="B10" s="1319" t="s">
        <v>485</v>
      </c>
      <c r="C10" s="1322" t="s">
        <v>1146</v>
      </c>
      <c r="D10" s="1323"/>
      <c r="E10" s="1323"/>
      <c r="F10" s="1324"/>
      <c r="G10" s="1319" t="s">
        <v>835</v>
      </c>
      <c r="H10" s="1319"/>
      <c r="I10" s="1020" t="s">
        <v>1147</v>
      </c>
      <c r="J10" s="1320" t="s">
        <v>1140</v>
      </c>
      <c r="K10" s="1320"/>
      <c r="L10" s="1320" t="s">
        <v>1141</v>
      </c>
      <c r="M10" s="1320"/>
      <c r="N10" s="1320" t="s">
        <v>1142</v>
      </c>
      <c r="O10" s="1320"/>
      <c r="P10" s="1320" t="s">
        <v>1143</v>
      </c>
      <c r="Q10" s="1320"/>
    </row>
    <row r="11" spans="1:17" ht="18" customHeight="1">
      <c r="A11" s="1321"/>
      <c r="B11" s="1319"/>
      <c r="C11" s="1322" t="s">
        <v>359</v>
      </c>
      <c r="D11" s="1324"/>
      <c r="E11" s="1322" t="s">
        <v>351</v>
      </c>
      <c r="F11" s="1324"/>
      <c r="G11" s="923" t="s">
        <v>1148</v>
      </c>
      <c r="H11" s="923" t="s">
        <v>1149</v>
      </c>
      <c r="I11" s="1020"/>
      <c r="J11" s="1025" t="s">
        <v>188</v>
      </c>
      <c r="K11" s="1025" t="s">
        <v>423</v>
      </c>
      <c r="L11" s="1025" t="s">
        <v>188</v>
      </c>
      <c r="M11" s="1025" t="s">
        <v>423</v>
      </c>
      <c r="N11" s="1025" t="s">
        <v>188</v>
      </c>
      <c r="O11" s="1025" t="s">
        <v>423</v>
      </c>
      <c r="P11" s="1025" t="s">
        <v>188</v>
      </c>
      <c r="Q11" s="1025" t="s">
        <v>423</v>
      </c>
    </row>
    <row r="12" spans="1:17" ht="18" customHeight="1">
      <c r="A12" s="1021">
        <v>1</v>
      </c>
      <c r="B12" s="1021" t="s">
        <v>568</v>
      </c>
      <c r="C12" s="1026">
        <v>0.87152777777777779</v>
      </c>
      <c r="D12" s="1027">
        <v>42727</v>
      </c>
      <c r="E12" s="1026">
        <v>0.88888888888888884</v>
      </c>
      <c r="F12" s="1027">
        <v>42727</v>
      </c>
      <c r="G12" s="1021">
        <v>-1.1000000000000001</v>
      </c>
      <c r="H12" s="1021">
        <v>-1.0580000000000001</v>
      </c>
      <c r="I12" s="1021">
        <v>9.4</v>
      </c>
      <c r="J12" s="1021">
        <v>2317790.804</v>
      </c>
      <c r="K12" s="1021">
        <v>430363.223</v>
      </c>
      <c r="L12" s="1021">
        <v>1317789.605</v>
      </c>
      <c r="M12" s="1022">
        <v>430363.27799999999</v>
      </c>
      <c r="N12" s="1021">
        <v>2317790.1770000001</v>
      </c>
      <c r="O12" s="1021">
        <v>430362.65100000001</v>
      </c>
      <c r="P12" s="1021">
        <v>2317790.2319999998</v>
      </c>
      <c r="Q12" s="1021">
        <v>430363.85</v>
      </c>
    </row>
    <row r="13" spans="1:17" ht="18" customHeight="1">
      <c r="A13" s="1021">
        <v>2</v>
      </c>
      <c r="B13" s="1021" t="s">
        <v>464</v>
      </c>
      <c r="C13" s="1021"/>
      <c r="D13" s="1027">
        <v>42714</v>
      </c>
      <c r="E13" s="1021"/>
      <c r="F13" s="1027">
        <v>42714</v>
      </c>
      <c r="G13" s="1021">
        <v>-1.1000000000000001</v>
      </c>
      <c r="H13" s="1021">
        <v>-1.365</v>
      </c>
      <c r="I13" s="1021">
        <v>7.6</v>
      </c>
      <c r="J13" s="1021">
        <v>2317745.923</v>
      </c>
      <c r="K13" s="1021">
        <v>430348.14600000001</v>
      </c>
      <c r="L13" s="1021">
        <v>2317745.1239999998</v>
      </c>
      <c r="M13" s="1021">
        <v>430348.18300000002</v>
      </c>
      <c r="N13" s="1021">
        <v>2317745.5049999999</v>
      </c>
      <c r="O13" s="1021">
        <v>430347.76500000001</v>
      </c>
      <c r="P13" s="1021">
        <v>2317745.5410000002</v>
      </c>
      <c r="Q13" s="1021">
        <v>430348.56400000001</v>
      </c>
    </row>
    <row r="14" spans="1:17" ht="18" customHeight="1">
      <c r="A14" s="1021">
        <v>3</v>
      </c>
      <c r="B14" s="1021" t="s">
        <v>548</v>
      </c>
      <c r="C14" s="1026">
        <v>0.83680555555555547</v>
      </c>
      <c r="D14" s="1027">
        <v>42714</v>
      </c>
      <c r="E14" s="1026">
        <v>0.85416666666666663</v>
      </c>
      <c r="F14" s="1027">
        <v>42714</v>
      </c>
      <c r="G14" s="1021">
        <v>-1.1000000000000001</v>
      </c>
      <c r="H14" s="1021">
        <v>-1.1930000000000001</v>
      </c>
      <c r="I14" s="1021">
        <v>9.4</v>
      </c>
      <c r="J14" s="1021">
        <v>2317790.2680000002</v>
      </c>
      <c r="K14" s="1021">
        <v>430351.43599999999</v>
      </c>
      <c r="L14" s="1021">
        <v>2317789.0690000001</v>
      </c>
      <c r="M14" s="1021">
        <v>430351.49</v>
      </c>
      <c r="N14" s="1021">
        <v>2317789.6409999998</v>
      </c>
      <c r="O14" s="1021">
        <v>430350.864</v>
      </c>
      <c r="P14" s="1021">
        <v>2317789.696</v>
      </c>
      <c r="Q14" s="1021">
        <v>430352.06199999998</v>
      </c>
    </row>
    <row r="15" spans="1:17" ht="18" customHeight="1">
      <c r="A15" s="1021">
        <v>4</v>
      </c>
      <c r="B15" s="1021" t="s">
        <v>622</v>
      </c>
      <c r="C15" s="1026">
        <v>0.58333333333333337</v>
      </c>
      <c r="D15" s="1027">
        <v>42715</v>
      </c>
      <c r="E15" s="1026">
        <v>0.60069444444444442</v>
      </c>
      <c r="F15" s="1027">
        <v>42715</v>
      </c>
      <c r="G15" s="1021">
        <v>-1.1000000000000001</v>
      </c>
      <c r="H15" s="1021">
        <v>-1.3029999999999999</v>
      </c>
      <c r="I15" s="1021">
        <v>7.6</v>
      </c>
      <c r="J15" s="1021">
        <v>2317794.8810000001</v>
      </c>
      <c r="K15" s="1021">
        <v>430352.72700000001</v>
      </c>
      <c r="L15" s="1021">
        <v>2317794.0819999999</v>
      </c>
      <c r="M15" s="1021">
        <v>430352.76400000002</v>
      </c>
      <c r="N15" s="1021">
        <v>2317794.4640000002</v>
      </c>
      <c r="O15" s="1021">
        <v>430352.34600000002</v>
      </c>
      <c r="P15" s="1021">
        <v>2317794.5</v>
      </c>
      <c r="Q15" s="1021">
        <v>430353.14500000002</v>
      </c>
    </row>
    <row r="16" spans="1:17" ht="18" customHeight="1">
      <c r="A16" s="1021">
        <v>5</v>
      </c>
      <c r="B16" s="1021" t="s">
        <v>528</v>
      </c>
      <c r="C16" s="1026">
        <v>0.14930555555555555</v>
      </c>
      <c r="D16" s="1027">
        <v>42717</v>
      </c>
      <c r="E16" s="1026">
        <v>0.16666666666666666</v>
      </c>
      <c r="F16" s="1027">
        <v>42717</v>
      </c>
      <c r="G16" s="1021">
        <v>-1.1000000000000001</v>
      </c>
      <c r="H16" s="1021">
        <v>-1.194</v>
      </c>
      <c r="I16" s="1021">
        <v>7.6</v>
      </c>
      <c r="J16" s="1021">
        <v>2317746.2379999999</v>
      </c>
      <c r="K16" s="1021">
        <v>430355.08899999998</v>
      </c>
      <c r="L16" s="1021">
        <v>2317745.4389999998</v>
      </c>
      <c r="M16" s="1021">
        <v>430355.125</v>
      </c>
      <c r="N16" s="1021">
        <v>2317745.821</v>
      </c>
      <c r="O16" s="1021">
        <v>430354.70799999998</v>
      </c>
      <c r="P16" s="1021">
        <v>2317745.8569999998</v>
      </c>
      <c r="Q16" s="1021">
        <v>430355.56699999998</v>
      </c>
    </row>
    <row r="17" spans="1:17" ht="18" customHeight="1">
      <c r="A17" s="1021">
        <v>6</v>
      </c>
      <c r="B17" s="1021" t="s">
        <v>581</v>
      </c>
      <c r="C17" s="1026">
        <v>0.99652777777777779</v>
      </c>
      <c r="D17" s="1027">
        <v>42717</v>
      </c>
      <c r="E17" s="1026">
        <v>1.3888888888888888E-2</v>
      </c>
      <c r="F17" s="1027">
        <v>42718</v>
      </c>
      <c r="G17" s="1021">
        <v>-1.1000000000000001</v>
      </c>
      <c r="H17" s="1021">
        <v>-0.92500000000000004</v>
      </c>
      <c r="I17" s="1021">
        <v>9.4</v>
      </c>
      <c r="J17" s="1021">
        <v>2317752.446</v>
      </c>
      <c r="K17" s="1021">
        <v>430346.29800000001</v>
      </c>
      <c r="L17" s="1021">
        <v>2317751.247</v>
      </c>
      <c r="M17" s="1021">
        <v>430346.353</v>
      </c>
      <c r="N17" s="1021">
        <v>2317751.9849999999</v>
      </c>
      <c r="O17" s="1021">
        <v>430345.74200000003</v>
      </c>
      <c r="P17" s="1021">
        <v>2317752.037</v>
      </c>
      <c r="Q17" s="1021">
        <v>430346.89399999997</v>
      </c>
    </row>
    <row r="18" spans="1:17" ht="18" customHeight="1">
      <c r="A18" s="1021">
        <v>7</v>
      </c>
      <c r="B18" s="1021" t="s">
        <v>1129</v>
      </c>
      <c r="C18" s="1026">
        <v>0.11805555555555557</v>
      </c>
      <c r="D18" s="1027">
        <v>42718</v>
      </c>
      <c r="E18" s="1026">
        <v>0.13541666666666666</v>
      </c>
      <c r="F18" s="1027">
        <v>42718</v>
      </c>
      <c r="G18" s="1021">
        <v>-1.1000000000000001</v>
      </c>
      <c r="H18" s="1021">
        <v>-1.3220000000000001</v>
      </c>
      <c r="I18" s="1021">
        <v>7.6</v>
      </c>
      <c r="J18" s="1021">
        <v>2317795.0809999998</v>
      </c>
      <c r="K18" s="1021">
        <v>430357.12900000002</v>
      </c>
      <c r="L18" s="1021">
        <v>2317794.281</v>
      </c>
      <c r="M18" s="1021">
        <v>430357.16499999998</v>
      </c>
      <c r="N18" s="1021">
        <v>2317794.6630000002</v>
      </c>
      <c r="O18" s="1021">
        <v>430356.74699999997</v>
      </c>
      <c r="P18" s="1021">
        <v>2317794.699</v>
      </c>
      <c r="Q18" s="1021">
        <v>430357.54700000002</v>
      </c>
    </row>
    <row r="19" spans="1:17" ht="18" customHeight="1">
      <c r="A19" s="1021">
        <v>8</v>
      </c>
      <c r="B19" s="1021" t="s">
        <v>627</v>
      </c>
      <c r="C19" s="1026">
        <v>6.5972222222222224E-2</v>
      </c>
      <c r="D19" s="1027">
        <v>42719</v>
      </c>
      <c r="E19" s="1026">
        <v>8.3333333333333329E-2</v>
      </c>
      <c r="F19" s="1027">
        <v>42719</v>
      </c>
      <c r="G19" s="1021">
        <v>-1.1000000000000001</v>
      </c>
      <c r="H19" s="1021">
        <v>-1.0529999999999999</v>
      </c>
      <c r="I19" s="1021">
        <v>7.6</v>
      </c>
      <c r="J19" s="1021">
        <v>2317795.2880000002</v>
      </c>
      <c r="K19" s="1021">
        <v>430361.66800000001</v>
      </c>
      <c r="L19" s="1021">
        <v>2317794.4890000001</v>
      </c>
      <c r="M19" s="1021">
        <v>430361.28700000001</v>
      </c>
      <c r="N19" s="1021">
        <v>2317794.87</v>
      </c>
      <c r="O19" s="1021">
        <v>430363.28700000001</v>
      </c>
      <c r="P19" s="1021">
        <v>2317794.906</v>
      </c>
      <c r="Q19" s="1021">
        <v>430363.08600000001</v>
      </c>
    </row>
    <row r="20" spans="1:17" ht="18" customHeight="1">
      <c r="A20" s="1021">
        <v>9</v>
      </c>
      <c r="B20" s="1021" t="s">
        <v>553</v>
      </c>
      <c r="C20" s="1026">
        <v>9.7222222222222224E-2</v>
      </c>
      <c r="D20" s="1027">
        <v>42720</v>
      </c>
      <c r="E20" s="1026">
        <v>0.13194444444444445</v>
      </c>
      <c r="F20" s="1027">
        <v>42720</v>
      </c>
      <c r="G20" s="1021">
        <v>-1.1000000000000001</v>
      </c>
      <c r="H20" s="1021">
        <v>-1.1100000000000001</v>
      </c>
      <c r="I20" s="1021">
        <v>9.4</v>
      </c>
      <c r="J20" s="1021">
        <v>2317790.4040000001</v>
      </c>
      <c r="K20" s="1021">
        <v>430354.43300000002</v>
      </c>
      <c r="L20" s="1021">
        <v>2317789.2050000001</v>
      </c>
      <c r="M20" s="1021">
        <v>430354.48700000002</v>
      </c>
      <c r="N20" s="1021">
        <v>2317789.7779999999</v>
      </c>
      <c r="O20" s="1021">
        <v>430353.86</v>
      </c>
      <c r="P20" s="1021">
        <v>2317789.8319999999</v>
      </c>
      <c r="Q20" s="1021">
        <v>430355.05900000001</v>
      </c>
    </row>
    <row r="21" spans="1:17" ht="18" customHeight="1">
      <c r="A21" s="1021">
        <v>10</v>
      </c>
      <c r="B21" s="1021" t="s">
        <v>1131</v>
      </c>
      <c r="C21" s="1026">
        <v>0.25694444444444448</v>
      </c>
      <c r="D21" s="1027">
        <v>42720</v>
      </c>
      <c r="E21" s="1026">
        <v>0.28125</v>
      </c>
      <c r="F21" s="1027">
        <v>42720</v>
      </c>
      <c r="G21" s="1021">
        <v>-1.1000000000000001</v>
      </c>
      <c r="H21" s="1021">
        <v>-1.375</v>
      </c>
      <c r="I21" s="1021">
        <v>7.6</v>
      </c>
      <c r="J21" s="1021">
        <v>2317746.0819999999</v>
      </c>
      <c r="K21" s="1021">
        <v>430351.66700000002</v>
      </c>
      <c r="L21" s="1021">
        <v>2317745.2820000001</v>
      </c>
      <c r="M21" s="1021">
        <v>430351.70299999998</v>
      </c>
      <c r="N21" s="1021">
        <v>237745.66399999999</v>
      </c>
      <c r="O21" s="1021">
        <v>430351.28499999997</v>
      </c>
      <c r="P21" s="1021">
        <v>2317745.7000000002</v>
      </c>
      <c r="Q21" s="1021">
        <v>430352.08500000002</v>
      </c>
    </row>
    <row r="22" spans="1:17" ht="18" customHeight="1">
      <c r="A22" s="1021">
        <v>11</v>
      </c>
      <c r="B22" s="1021" t="s">
        <v>596</v>
      </c>
      <c r="C22" s="1026">
        <v>0.59027777777777779</v>
      </c>
      <c r="D22" s="1027">
        <v>42723</v>
      </c>
      <c r="E22" s="1026">
        <v>0.60416666666666663</v>
      </c>
      <c r="F22" s="1027">
        <v>42723</v>
      </c>
      <c r="G22" s="1021">
        <v>-1.1000000000000001</v>
      </c>
      <c r="H22" s="1021">
        <v>0.71799999999999997</v>
      </c>
      <c r="I22" s="1021">
        <v>9.4</v>
      </c>
      <c r="J22" s="1021">
        <v>2317753.1</v>
      </c>
      <c r="K22" s="1021">
        <v>430353.42599999998</v>
      </c>
      <c r="L22" s="1021">
        <v>2317751.9010000001</v>
      </c>
      <c r="M22" s="1021">
        <v>430353.48</v>
      </c>
      <c r="N22" s="1021">
        <v>2317752.3089999999</v>
      </c>
      <c r="O22" s="1021">
        <v>430352.88400000002</v>
      </c>
      <c r="P22" s="1021">
        <v>2317752.3620000002</v>
      </c>
      <c r="Q22" s="1021">
        <v>430354.03700000001</v>
      </c>
    </row>
    <row r="23" spans="1:17" ht="18" customHeight="1">
      <c r="A23" s="1021">
        <v>12</v>
      </c>
      <c r="B23" s="1021" t="s">
        <v>563</v>
      </c>
      <c r="C23" s="1026">
        <v>0.27083333333333331</v>
      </c>
      <c r="D23" s="1027">
        <v>42725</v>
      </c>
      <c r="E23" s="1026">
        <v>0.29166666666666669</v>
      </c>
      <c r="F23" s="1027">
        <v>42725</v>
      </c>
      <c r="G23" s="1021">
        <v>-1.1000000000000001</v>
      </c>
      <c r="H23" s="1021">
        <v>-1.0880000000000001</v>
      </c>
      <c r="I23" s="1021">
        <v>9.4</v>
      </c>
      <c r="J23" s="1021">
        <v>2317790.6680000001</v>
      </c>
      <c r="K23" s="1021">
        <v>430360.22700000001</v>
      </c>
      <c r="L23" s="1021">
        <v>2317789.469</v>
      </c>
      <c r="M23" s="1021">
        <v>430360.28100000002</v>
      </c>
      <c r="N23" s="1021">
        <v>2317790.0410000002</v>
      </c>
      <c r="O23" s="1021">
        <v>430359.65399999998</v>
      </c>
      <c r="P23" s="1021">
        <v>2317790.0950000002</v>
      </c>
      <c r="Q23" s="1021">
        <v>430360.853</v>
      </c>
    </row>
    <row r="24" spans="1:17" ht="18" customHeight="1">
      <c r="A24" s="1021">
        <v>13</v>
      </c>
      <c r="B24" s="1021" t="s">
        <v>606</v>
      </c>
      <c r="C24" s="1026">
        <v>0.125</v>
      </c>
      <c r="D24" s="1027">
        <v>42725</v>
      </c>
      <c r="E24" s="1026">
        <v>0.14583333333333334</v>
      </c>
      <c r="F24" s="1027">
        <v>42725</v>
      </c>
      <c r="G24" s="1021">
        <v>-1.1000000000000001</v>
      </c>
      <c r="H24" s="1021">
        <v>-0.86799999999999999</v>
      </c>
      <c r="I24" s="1021">
        <v>9.4</v>
      </c>
      <c r="J24" s="1021">
        <v>2317753.236</v>
      </c>
      <c r="K24" s="1021">
        <v>430356.42300000001</v>
      </c>
      <c r="L24" s="1021">
        <v>2317752.037</v>
      </c>
      <c r="M24" s="1021">
        <v>430356.47700000001</v>
      </c>
      <c r="N24" s="1021">
        <v>2317752.446</v>
      </c>
      <c r="O24" s="1021">
        <v>430355.88099999999</v>
      </c>
      <c r="P24" s="1021">
        <v>2317752.4980000001</v>
      </c>
      <c r="Q24" s="1021">
        <v>430357.03399999999</v>
      </c>
    </row>
    <row r="25" spans="1:17" ht="18" customHeight="1">
      <c r="A25" s="1021"/>
      <c r="B25" s="1021"/>
      <c r="C25" s="1021"/>
      <c r="D25" s="1027"/>
      <c r="E25" s="1021"/>
      <c r="F25" s="1027"/>
      <c r="G25" s="1021"/>
      <c r="H25" s="1021"/>
      <c r="I25" s="1021"/>
      <c r="J25" s="1021"/>
      <c r="K25" s="1021"/>
      <c r="L25" s="1021"/>
      <c r="M25" s="1021"/>
      <c r="N25" s="1021"/>
      <c r="O25" s="1021"/>
      <c r="P25" s="1021"/>
      <c r="Q25" s="1021"/>
    </row>
    <row r="26" spans="1:17" ht="18" customHeight="1">
      <c r="A26" s="1021"/>
      <c r="B26" s="1021"/>
      <c r="C26" s="1021"/>
      <c r="D26" s="1027"/>
      <c r="E26" s="1021"/>
      <c r="F26" s="1027"/>
      <c r="G26" s="1021"/>
      <c r="H26" s="1021"/>
      <c r="I26" s="1021"/>
      <c r="J26" s="1021"/>
      <c r="K26" s="1021"/>
      <c r="L26" s="1021"/>
      <c r="M26" s="1021"/>
      <c r="N26" s="1021"/>
      <c r="O26" s="1021"/>
      <c r="P26" s="1021"/>
      <c r="Q26" s="1021"/>
    </row>
    <row r="27" spans="1:17" ht="18" customHeight="1">
      <c r="A27" s="1021"/>
      <c r="B27" s="1021"/>
      <c r="C27" s="1021"/>
      <c r="D27" s="1027"/>
      <c r="E27" s="1021"/>
      <c r="F27" s="1027"/>
      <c r="G27" s="1021"/>
      <c r="H27" s="1021"/>
      <c r="I27" s="1021"/>
      <c r="J27" s="1021"/>
      <c r="K27" s="1021"/>
      <c r="L27" s="1021"/>
      <c r="M27" s="1021"/>
      <c r="N27" s="1021"/>
      <c r="O27" s="1021"/>
      <c r="P27" s="1021"/>
      <c r="Q27" s="1021"/>
    </row>
    <row r="28" spans="1:17" ht="18" customHeight="1">
      <c r="A28" s="1021"/>
      <c r="B28" s="1021"/>
      <c r="C28" s="1021"/>
      <c r="D28" s="1027"/>
      <c r="E28" s="1021"/>
      <c r="F28" s="1027"/>
      <c r="G28" s="1021"/>
      <c r="H28" s="1021"/>
      <c r="I28" s="1021"/>
      <c r="J28" s="1021"/>
      <c r="K28" s="1021"/>
      <c r="L28" s="1021"/>
      <c r="M28" s="1021"/>
      <c r="N28" s="1021"/>
      <c r="O28" s="1021"/>
      <c r="P28" s="1021"/>
      <c r="Q28" s="1021"/>
    </row>
    <row r="29" spans="1:17" ht="18" customHeight="1">
      <c r="A29" s="1021"/>
      <c r="B29" s="1021"/>
      <c r="C29" s="1021"/>
      <c r="D29" s="1027"/>
      <c r="E29" s="1021"/>
      <c r="F29" s="1027"/>
      <c r="G29" s="1021"/>
      <c r="H29" s="1021"/>
      <c r="I29" s="1021"/>
      <c r="J29" s="1021"/>
      <c r="K29" s="1021"/>
      <c r="L29" s="1021"/>
      <c r="M29" s="1021"/>
      <c r="N29" s="1021"/>
      <c r="O29" s="1021"/>
      <c r="P29" s="1021"/>
      <c r="Q29" s="1021"/>
    </row>
    <row r="30" spans="1:17" ht="18" customHeight="1">
      <c r="A30" s="1021"/>
      <c r="B30" s="1021"/>
      <c r="C30" s="1021"/>
      <c r="D30" s="1027"/>
      <c r="E30" s="1021"/>
      <c r="F30" s="1027"/>
      <c r="G30" s="1021"/>
      <c r="H30" s="1021"/>
      <c r="I30" s="1021"/>
      <c r="J30" s="1021"/>
      <c r="K30" s="1021"/>
      <c r="L30" s="1021"/>
      <c r="M30" s="1021"/>
      <c r="N30" s="1021"/>
      <c r="O30" s="1021"/>
      <c r="P30" s="1021"/>
      <c r="Q30" s="1021"/>
    </row>
    <row r="31" spans="1:17" ht="18" customHeight="1">
      <c r="A31" s="1021"/>
      <c r="B31" s="1021"/>
      <c r="C31" s="1021"/>
      <c r="D31" s="1027"/>
      <c r="E31" s="1021"/>
      <c r="F31" s="1027"/>
      <c r="G31" s="1021"/>
      <c r="H31" s="1021"/>
      <c r="I31" s="1021"/>
      <c r="J31" s="1021"/>
      <c r="K31" s="1021"/>
      <c r="L31" s="1021"/>
      <c r="M31" s="1021"/>
      <c r="N31" s="1021"/>
      <c r="O31" s="1021"/>
      <c r="P31" s="1021"/>
      <c r="Q31" s="1021"/>
    </row>
    <row r="32" spans="1:17" ht="18" customHeight="1">
      <c r="A32" s="1021"/>
      <c r="B32" s="1021"/>
      <c r="C32" s="1021"/>
      <c r="D32" s="1027"/>
      <c r="E32" s="1021"/>
      <c r="F32" s="1027"/>
      <c r="G32" s="1021"/>
      <c r="H32" s="1021"/>
      <c r="I32" s="1021"/>
      <c r="J32" s="1021"/>
      <c r="K32" s="1021"/>
      <c r="L32" s="1021"/>
      <c r="M32" s="1021"/>
      <c r="N32" s="1021"/>
      <c r="O32" s="1021"/>
      <c r="P32" s="1021"/>
      <c r="Q32" s="1021"/>
    </row>
    <row r="33" spans="1:17" ht="18" customHeight="1">
      <c r="A33" s="1021"/>
      <c r="B33" s="1021"/>
      <c r="C33" s="1021"/>
      <c r="D33" s="1027"/>
      <c r="E33" s="1021"/>
      <c r="F33" s="1027"/>
      <c r="G33" s="1021"/>
      <c r="H33" s="1021"/>
      <c r="I33" s="1021"/>
      <c r="J33" s="1021"/>
      <c r="K33" s="1021"/>
      <c r="L33" s="1021"/>
      <c r="M33" s="1021"/>
      <c r="N33" s="1021"/>
      <c r="O33" s="1021"/>
      <c r="P33" s="1021"/>
      <c r="Q33" s="1021"/>
    </row>
    <row r="34" spans="1:17" ht="18" customHeight="1">
      <c r="A34" s="1021"/>
      <c r="B34" s="1021"/>
      <c r="C34" s="1021"/>
      <c r="D34" s="1027"/>
      <c r="E34" s="1021"/>
      <c r="F34" s="1027"/>
      <c r="G34" s="1021"/>
      <c r="H34" s="1021"/>
      <c r="I34" s="1021"/>
      <c r="J34" s="1021"/>
      <c r="K34" s="1021"/>
      <c r="L34" s="1021"/>
      <c r="M34" s="1021"/>
      <c r="N34" s="1021"/>
      <c r="O34" s="1021"/>
      <c r="P34" s="1021"/>
      <c r="Q34" s="1021"/>
    </row>
    <row r="35" spans="1:17" ht="18" customHeight="1">
      <c r="A35" s="1024"/>
      <c r="B35" s="1024"/>
      <c r="C35" s="1024"/>
      <c r="D35" s="1024"/>
      <c r="E35" s="1024"/>
      <c r="F35" s="1024"/>
      <c r="G35" s="1024"/>
      <c r="H35" s="1024"/>
      <c r="I35" s="1024"/>
    </row>
    <row r="36" spans="1:17" ht="18" customHeight="1">
      <c r="A36" s="1024"/>
      <c r="B36" s="1024"/>
      <c r="C36" s="1024"/>
      <c r="D36" s="1024"/>
      <c r="E36" s="1024"/>
      <c r="F36" s="1024"/>
      <c r="G36" s="1024"/>
      <c r="H36" s="1024"/>
      <c r="I36" s="1024"/>
    </row>
    <row r="37" spans="1:17" ht="18" customHeight="1">
      <c r="A37" s="1024"/>
      <c r="B37" s="1024"/>
      <c r="C37" s="1024"/>
      <c r="D37" s="1024"/>
      <c r="E37" s="1024"/>
      <c r="F37" s="1024"/>
      <c r="G37" s="1024"/>
      <c r="H37" s="1024"/>
      <c r="I37" s="1024"/>
    </row>
    <row r="38" spans="1:17" ht="18" customHeight="1"/>
    <row r="39" spans="1:17" ht="18" customHeight="1"/>
    <row r="40" spans="1:17" ht="18" customHeight="1"/>
  </sheetData>
  <mergeCells count="17">
    <mergeCell ref="P10:Q10"/>
    <mergeCell ref="A10:A11"/>
    <mergeCell ref="B10:B11"/>
    <mergeCell ref="C10:F10"/>
    <mergeCell ref="C11:D11"/>
    <mergeCell ref="E11:F11"/>
    <mergeCell ref="C8:G8"/>
    <mergeCell ref="G10:H10"/>
    <mergeCell ref="J10:K10"/>
    <mergeCell ref="L10:M10"/>
    <mergeCell ref="N10:O10"/>
    <mergeCell ref="C7:G7"/>
    <mergeCell ref="H2:J3"/>
    <mergeCell ref="A3:G3"/>
    <mergeCell ref="C4:G4"/>
    <mergeCell ref="C5:G5"/>
    <mergeCell ref="C6:G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7"/>
  <sheetViews>
    <sheetView workbookViewId="0">
      <selection activeCell="C9" sqref="C9"/>
    </sheetView>
  </sheetViews>
  <sheetFormatPr defaultRowHeight="15.75"/>
  <cols>
    <col min="1" max="1" width="9.140625" style="566"/>
    <col min="2" max="2" width="31.140625" style="594" customWidth="1"/>
    <col min="3" max="3" width="19.7109375" style="594" customWidth="1"/>
    <col min="4" max="4" width="9.140625" style="594"/>
    <col min="5" max="5" width="12" style="644" customWidth="1"/>
    <col min="6" max="6" width="12" style="594" customWidth="1"/>
    <col min="7" max="30" width="12" style="566" customWidth="1"/>
    <col min="31" max="16384" width="9.140625" style="594"/>
  </cols>
  <sheetData>
    <row r="1" spans="1:31">
      <c r="E1" s="642" t="s">
        <v>808</v>
      </c>
      <c r="F1" s="595" t="s">
        <v>749</v>
      </c>
      <c r="G1" s="595"/>
      <c r="H1" s="595" t="s">
        <v>750</v>
      </c>
      <c r="I1" s="595"/>
      <c r="J1" s="595" t="s">
        <v>751</v>
      </c>
      <c r="K1" s="595"/>
      <c r="L1" s="595" t="s">
        <v>752</v>
      </c>
      <c r="M1" s="595"/>
      <c r="N1" s="595" t="s">
        <v>753</v>
      </c>
      <c r="O1" s="595"/>
      <c r="P1" s="595" t="s">
        <v>754</v>
      </c>
      <c r="Q1" s="595"/>
      <c r="R1" s="595" t="s">
        <v>806</v>
      </c>
      <c r="S1" s="595"/>
      <c r="T1" s="595" t="s">
        <v>807</v>
      </c>
      <c r="U1" s="595"/>
      <c r="V1" s="595" t="s">
        <v>809</v>
      </c>
      <c r="W1" s="595"/>
      <c r="X1" s="595" t="s">
        <v>810</v>
      </c>
      <c r="Y1" s="595"/>
      <c r="Z1" s="595" t="s">
        <v>811</v>
      </c>
      <c r="AA1" s="595"/>
      <c r="AB1" s="595" t="s">
        <v>812</v>
      </c>
      <c r="AC1" s="595"/>
      <c r="AD1" s="595" t="s">
        <v>813</v>
      </c>
      <c r="AE1" s="595"/>
    </row>
    <row r="2" spans="1:31" ht="31.5">
      <c r="A2" s="591" t="s">
        <v>735</v>
      </c>
      <c r="B2" s="600" t="s">
        <v>736</v>
      </c>
      <c r="C2" s="600" t="s">
        <v>737</v>
      </c>
      <c r="E2" s="643"/>
      <c r="F2" s="597" t="s">
        <v>735</v>
      </c>
      <c r="G2" s="596" t="s">
        <v>755</v>
      </c>
      <c r="H2" s="597" t="s">
        <v>735</v>
      </c>
      <c r="I2" s="597" t="s">
        <v>755</v>
      </c>
      <c r="J2" s="597" t="s">
        <v>735</v>
      </c>
      <c r="K2" s="597" t="s">
        <v>755</v>
      </c>
      <c r="L2" s="597" t="s">
        <v>735</v>
      </c>
      <c r="M2" s="597" t="s">
        <v>755</v>
      </c>
      <c r="N2" s="597" t="s">
        <v>735</v>
      </c>
      <c r="O2" s="597" t="s">
        <v>755</v>
      </c>
      <c r="P2" s="597" t="s">
        <v>735</v>
      </c>
      <c r="Q2" s="597" t="s">
        <v>755</v>
      </c>
      <c r="R2" s="597" t="s">
        <v>735</v>
      </c>
      <c r="S2" s="597" t="s">
        <v>755</v>
      </c>
      <c r="T2" s="597" t="s">
        <v>735</v>
      </c>
      <c r="U2" s="597" t="s">
        <v>755</v>
      </c>
      <c r="V2" s="597" t="s">
        <v>735</v>
      </c>
      <c r="W2" s="597" t="s">
        <v>755</v>
      </c>
      <c r="X2" s="597" t="s">
        <v>735</v>
      </c>
      <c r="Y2" s="597" t="s">
        <v>755</v>
      </c>
      <c r="Z2" s="597" t="s">
        <v>735</v>
      </c>
      <c r="AA2" s="597" t="s">
        <v>755</v>
      </c>
      <c r="AB2" s="597" t="s">
        <v>735</v>
      </c>
      <c r="AC2" s="597" t="s">
        <v>755</v>
      </c>
      <c r="AD2" s="597" t="s">
        <v>735</v>
      </c>
      <c r="AE2" s="597" t="s">
        <v>755</v>
      </c>
    </row>
    <row r="3" spans="1:31" ht="31.5">
      <c r="A3" s="597">
        <v>1</v>
      </c>
      <c r="B3" s="596" t="s">
        <v>738</v>
      </c>
      <c r="C3" s="597">
        <f>A3</f>
        <v>1</v>
      </c>
      <c r="E3" s="643" t="s">
        <v>756</v>
      </c>
      <c r="F3" s="597">
        <v>1</v>
      </c>
      <c r="G3" s="597"/>
      <c r="H3" s="597">
        <v>2</v>
      </c>
      <c r="I3" s="597">
        <v>-1.86</v>
      </c>
      <c r="J3" s="597" t="s">
        <v>745</v>
      </c>
      <c r="K3" s="597">
        <v>-16.66</v>
      </c>
      <c r="L3" s="597" t="s">
        <v>747</v>
      </c>
      <c r="M3" s="597">
        <v>-32.26</v>
      </c>
      <c r="N3" s="597"/>
      <c r="O3" s="597"/>
      <c r="P3" s="597"/>
      <c r="Q3" s="597"/>
      <c r="R3" s="597"/>
      <c r="S3" s="597"/>
      <c r="T3" s="597"/>
      <c r="U3" s="597"/>
      <c r="V3" s="597"/>
      <c r="W3" s="597"/>
      <c r="X3" s="597"/>
      <c r="Y3" s="597"/>
      <c r="Z3" s="597"/>
      <c r="AA3" s="597"/>
      <c r="AB3" s="597"/>
      <c r="AC3" s="597"/>
      <c r="AD3" s="597"/>
      <c r="AE3" s="597"/>
    </row>
    <row r="4" spans="1:31" ht="31.5">
      <c r="A4" s="597">
        <v>2</v>
      </c>
      <c r="B4" s="596" t="s">
        <v>739</v>
      </c>
      <c r="C4" s="597">
        <f t="shared" ref="C4:C9" si="0">A4</f>
        <v>2</v>
      </c>
      <c r="E4" s="643" t="s">
        <v>757</v>
      </c>
      <c r="F4" s="597">
        <v>1</v>
      </c>
      <c r="G4" s="596"/>
      <c r="H4" s="597">
        <v>2</v>
      </c>
      <c r="I4" s="597">
        <v>-2.33</v>
      </c>
      <c r="J4" s="597" t="s">
        <v>741</v>
      </c>
      <c r="K4" s="597">
        <v>-19.23</v>
      </c>
      <c r="L4" s="597" t="s">
        <v>743</v>
      </c>
      <c r="M4" s="597">
        <v>-21.13</v>
      </c>
      <c r="N4" s="597" t="s">
        <v>745</v>
      </c>
      <c r="O4" s="597">
        <v>-21.43</v>
      </c>
      <c r="P4" s="597" t="s">
        <v>747</v>
      </c>
      <c r="Q4" s="597">
        <v>-33.630000000000003</v>
      </c>
      <c r="R4" s="597"/>
      <c r="S4" s="597"/>
      <c r="T4" s="597"/>
      <c r="U4" s="597"/>
      <c r="V4" s="597"/>
      <c r="W4" s="597"/>
      <c r="X4" s="597"/>
      <c r="Y4" s="597"/>
      <c r="Z4" s="597"/>
      <c r="AA4" s="597"/>
      <c r="AB4" s="597"/>
      <c r="AC4" s="597"/>
      <c r="AD4" s="597"/>
      <c r="AE4" s="597"/>
    </row>
    <row r="5" spans="1:31" ht="31.5">
      <c r="A5" s="597">
        <v>3</v>
      </c>
      <c r="B5" s="596" t="s">
        <v>740</v>
      </c>
      <c r="C5" s="597">
        <f t="shared" si="0"/>
        <v>3</v>
      </c>
      <c r="E5" s="643" t="s">
        <v>758</v>
      </c>
      <c r="F5" s="597">
        <v>1</v>
      </c>
      <c r="G5" s="597"/>
      <c r="H5" s="597">
        <v>2</v>
      </c>
      <c r="I5" s="597">
        <v>-2.04</v>
      </c>
      <c r="J5" s="597" t="s">
        <v>741</v>
      </c>
      <c r="K5" s="597">
        <v>-18.739999999999998</v>
      </c>
      <c r="L5" s="597" t="s">
        <v>743</v>
      </c>
      <c r="M5" s="597">
        <v>-26.74</v>
      </c>
      <c r="N5" s="597" t="s">
        <v>741</v>
      </c>
      <c r="O5" s="597">
        <v>-27.54</v>
      </c>
      <c r="P5" s="597" t="s">
        <v>743</v>
      </c>
      <c r="Q5" s="597">
        <v>-33.840000000000003</v>
      </c>
      <c r="R5" s="597" t="s">
        <v>741</v>
      </c>
      <c r="S5" s="597">
        <v>-34.54</v>
      </c>
      <c r="T5" s="597" t="s">
        <v>747</v>
      </c>
      <c r="U5" s="597">
        <v>-35.24</v>
      </c>
      <c r="V5" s="597"/>
      <c r="W5" s="597"/>
      <c r="X5" s="597"/>
      <c r="Y5" s="597"/>
      <c r="Z5" s="597"/>
      <c r="AA5" s="597"/>
      <c r="AB5" s="597"/>
      <c r="AC5" s="597"/>
      <c r="AD5" s="597"/>
      <c r="AE5" s="597"/>
    </row>
    <row r="6" spans="1:31" ht="47.25">
      <c r="A6" s="597" t="s">
        <v>741</v>
      </c>
      <c r="B6" s="596" t="s">
        <v>742</v>
      </c>
      <c r="C6" s="597" t="str">
        <f t="shared" si="0"/>
        <v>4a</v>
      </c>
      <c r="E6" s="645" t="s">
        <v>759</v>
      </c>
      <c r="F6" s="597">
        <v>1</v>
      </c>
      <c r="G6" s="596"/>
      <c r="H6" s="597">
        <v>2</v>
      </c>
      <c r="I6" s="597"/>
      <c r="J6" s="597"/>
      <c r="K6" s="597"/>
      <c r="L6" s="597"/>
      <c r="M6" s="597"/>
      <c r="N6" s="597"/>
      <c r="O6" s="597"/>
      <c r="P6" s="597"/>
      <c r="Q6" s="597"/>
      <c r="R6" s="597"/>
      <c r="S6" s="597"/>
      <c r="T6" s="597"/>
      <c r="U6" s="597"/>
      <c r="V6" s="597"/>
      <c r="W6" s="597"/>
      <c r="X6" s="597"/>
      <c r="Y6" s="597"/>
      <c r="Z6" s="597"/>
      <c r="AA6" s="597"/>
      <c r="AB6" s="597"/>
      <c r="AC6" s="597"/>
      <c r="AD6" s="597"/>
      <c r="AE6" s="597"/>
    </row>
    <row r="7" spans="1:31">
      <c r="A7" s="597" t="s">
        <v>743</v>
      </c>
      <c r="B7" s="596" t="s">
        <v>744</v>
      </c>
      <c r="C7" s="597" t="str">
        <f t="shared" si="0"/>
        <v>H</v>
      </c>
      <c r="E7" s="643" t="s">
        <v>760</v>
      </c>
      <c r="F7" s="597">
        <v>1</v>
      </c>
      <c r="G7" s="597"/>
      <c r="H7" s="597">
        <v>2</v>
      </c>
      <c r="I7" s="597">
        <v>-2.37</v>
      </c>
      <c r="J7" s="597" t="s">
        <v>745</v>
      </c>
      <c r="K7" s="597">
        <v>-19.27</v>
      </c>
      <c r="L7" s="597" t="s">
        <v>747</v>
      </c>
      <c r="M7" s="597">
        <v>-21.47</v>
      </c>
      <c r="N7" s="597"/>
      <c r="O7" s="597"/>
      <c r="P7" s="597"/>
      <c r="Q7" s="597"/>
      <c r="R7" s="597"/>
      <c r="S7" s="597"/>
      <c r="T7" s="597"/>
      <c r="U7" s="597"/>
      <c r="V7" s="597"/>
      <c r="W7" s="597"/>
      <c r="X7" s="597"/>
      <c r="Y7" s="597"/>
      <c r="Z7" s="597"/>
      <c r="AA7" s="597"/>
      <c r="AB7" s="597"/>
      <c r="AC7" s="597"/>
      <c r="AD7" s="597"/>
      <c r="AE7" s="597"/>
    </row>
    <row r="8" spans="1:31" ht="63">
      <c r="A8" s="597" t="s">
        <v>745</v>
      </c>
      <c r="B8" s="596" t="s">
        <v>746</v>
      </c>
      <c r="C8" s="597" t="str">
        <f t="shared" si="0"/>
        <v>4b</v>
      </c>
      <c r="E8" s="643" t="s">
        <v>761</v>
      </c>
      <c r="F8" s="597">
        <v>1</v>
      </c>
      <c r="G8" s="596"/>
      <c r="H8" s="597">
        <v>2</v>
      </c>
      <c r="I8" s="597">
        <v>-1.94</v>
      </c>
      <c r="J8" s="597" t="s">
        <v>745</v>
      </c>
      <c r="K8" s="597">
        <v>-20.54</v>
      </c>
      <c r="L8" s="597" t="s">
        <v>747</v>
      </c>
      <c r="M8" s="597">
        <v>-20.94</v>
      </c>
      <c r="N8" s="597"/>
      <c r="O8" s="597"/>
      <c r="P8" s="597"/>
      <c r="Q8" s="597"/>
      <c r="R8" s="597"/>
      <c r="S8" s="597"/>
      <c r="T8" s="597"/>
      <c r="U8" s="597"/>
      <c r="V8" s="597"/>
      <c r="W8" s="597"/>
      <c r="X8" s="597"/>
      <c r="Y8" s="597"/>
      <c r="Z8" s="597"/>
      <c r="AA8" s="597"/>
      <c r="AB8" s="597"/>
      <c r="AC8" s="597"/>
      <c r="AD8" s="597"/>
      <c r="AE8" s="597"/>
    </row>
    <row r="9" spans="1:31" ht="63">
      <c r="A9" s="599" t="s">
        <v>747</v>
      </c>
      <c r="B9" s="598" t="s">
        <v>748</v>
      </c>
      <c r="C9" s="599" t="str">
        <f t="shared" si="0"/>
        <v>4c</v>
      </c>
      <c r="E9" s="643" t="s">
        <v>762</v>
      </c>
      <c r="F9" s="597">
        <v>1</v>
      </c>
      <c r="G9" s="597"/>
      <c r="H9" s="597">
        <v>2</v>
      </c>
      <c r="I9" s="597">
        <v>-2.33</v>
      </c>
      <c r="J9" s="597" t="s">
        <v>741</v>
      </c>
      <c r="K9" s="597">
        <v>-20.63</v>
      </c>
      <c r="L9" s="597" t="s">
        <v>743</v>
      </c>
      <c r="M9" s="597">
        <v>-23.13</v>
      </c>
      <c r="N9" s="597" t="s">
        <v>747</v>
      </c>
      <c r="O9" s="597">
        <v>-26.63</v>
      </c>
      <c r="P9" s="597"/>
      <c r="Q9" s="597"/>
      <c r="R9" s="597"/>
      <c r="S9" s="597"/>
      <c r="T9" s="597"/>
      <c r="U9" s="597"/>
      <c r="V9" s="597"/>
      <c r="W9" s="597"/>
      <c r="X9" s="597"/>
      <c r="Y9" s="597"/>
      <c r="Z9" s="597"/>
      <c r="AA9" s="597"/>
      <c r="AB9" s="597"/>
      <c r="AC9" s="597"/>
      <c r="AD9" s="597"/>
      <c r="AE9" s="597"/>
    </row>
    <row r="10" spans="1:31">
      <c r="E10" s="643" t="s">
        <v>763</v>
      </c>
      <c r="F10" s="597">
        <v>1</v>
      </c>
      <c r="G10" s="596"/>
      <c r="H10" s="597">
        <v>2</v>
      </c>
      <c r="I10" s="597">
        <v>-2.0499999999999998</v>
      </c>
      <c r="J10" s="597" t="s">
        <v>741</v>
      </c>
      <c r="K10" s="597">
        <v>-19.05</v>
      </c>
      <c r="L10" s="597" t="s">
        <v>743</v>
      </c>
      <c r="M10" s="597">
        <v>-20.55</v>
      </c>
      <c r="N10" s="597" t="s">
        <v>741</v>
      </c>
      <c r="O10" s="597">
        <v>-22.55</v>
      </c>
      <c r="P10" s="597" t="s">
        <v>743</v>
      </c>
      <c r="Q10" s="597">
        <v>-23.95</v>
      </c>
      <c r="R10" s="597" t="s">
        <v>741</v>
      </c>
      <c r="S10" s="597">
        <v>-24.55</v>
      </c>
      <c r="T10" s="597" t="s">
        <v>743</v>
      </c>
      <c r="U10" s="597">
        <v>-25.05</v>
      </c>
      <c r="V10" s="597" t="s">
        <v>741</v>
      </c>
      <c r="W10" s="597">
        <v>-26.25</v>
      </c>
      <c r="X10" s="597" t="s">
        <v>743</v>
      </c>
      <c r="Y10" s="597">
        <v>-28.75</v>
      </c>
      <c r="Z10" s="597" t="s">
        <v>747</v>
      </c>
      <c r="AA10" s="597">
        <v>-29.25</v>
      </c>
      <c r="AB10" s="597"/>
      <c r="AC10" s="597"/>
      <c r="AD10" s="597"/>
      <c r="AE10" s="597"/>
    </row>
    <row r="11" spans="1:31">
      <c r="E11" s="643" t="s">
        <v>764</v>
      </c>
      <c r="F11" s="597">
        <v>1</v>
      </c>
      <c r="G11" s="597"/>
      <c r="H11" s="597">
        <v>2</v>
      </c>
      <c r="I11" s="597">
        <v>-2.38</v>
      </c>
      <c r="J11" s="597" t="s">
        <v>741</v>
      </c>
      <c r="K11" s="597">
        <v>-17.68</v>
      </c>
      <c r="L11" s="597" t="s">
        <v>743</v>
      </c>
      <c r="M11" s="597">
        <v>-19.079999999999998</v>
      </c>
      <c r="N11" s="597" t="s">
        <v>741</v>
      </c>
      <c r="O11" s="597">
        <v>-19.579999999999998</v>
      </c>
      <c r="P11" s="597" t="s">
        <v>743</v>
      </c>
      <c r="Q11" s="597">
        <v>-19.78</v>
      </c>
      <c r="R11" s="597" t="s">
        <v>747</v>
      </c>
      <c r="S11" s="597">
        <v>-20.68</v>
      </c>
      <c r="T11" s="597" t="s">
        <v>747</v>
      </c>
      <c r="U11" s="597">
        <v>-21.88</v>
      </c>
      <c r="V11" s="597"/>
      <c r="W11" s="597"/>
      <c r="X11" s="597"/>
      <c r="Y11" s="597"/>
      <c r="Z11" s="597"/>
      <c r="AA11" s="597"/>
      <c r="AB11" s="597"/>
      <c r="AC11" s="597"/>
      <c r="AD11" s="597"/>
      <c r="AE11" s="597"/>
    </row>
    <row r="12" spans="1:31">
      <c r="E12" s="643" t="s">
        <v>765</v>
      </c>
      <c r="F12" s="597">
        <v>1</v>
      </c>
      <c r="G12" s="596"/>
      <c r="H12" s="597">
        <v>2</v>
      </c>
      <c r="I12" s="597">
        <v>-2.3199999999999998</v>
      </c>
      <c r="J12" s="597" t="s">
        <v>741</v>
      </c>
      <c r="K12" s="597">
        <v>-18.62</v>
      </c>
      <c r="L12" s="597" t="s">
        <v>743</v>
      </c>
      <c r="M12" s="597">
        <v>-20.32</v>
      </c>
      <c r="N12" s="597" t="s">
        <v>741</v>
      </c>
      <c r="O12" s="597">
        <v>-20.92</v>
      </c>
      <c r="P12" s="597" t="s">
        <v>743</v>
      </c>
      <c r="Q12" s="597">
        <v>-23.42</v>
      </c>
      <c r="R12" s="597" t="s">
        <v>747</v>
      </c>
      <c r="S12" s="597">
        <v>-25.52</v>
      </c>
      <c r="T12" s="597"/>
      <c r="U12" s="597"/>
      <c r="V12" s="597"/>
      <c r="W12" s="597"/>
      <c r="X12" s="597"/>
      <c r="Y12" s="597"/>
      <c r="Z12" s="597"/>
      <c r="AA12" s="597"/>
      <c r="AB12" s="597"/>
      <c r="AC12" s="597"/>
      <c r="AD12" s="597"/>
      <c r="AE12" s="597"/>
    </row>
    <row r="13" spans="1:31">
      <c r="E13" s="643" t="s">
        <v>766</v>
      </c>
      <c r="F13" s="597">
        <v>1</v>
      </c>
      <c r="G13" s="597"/>
      <c r="H13" s="597">
        <v>2</v>
      </c>
      <c r="I13" s="597">
        <v>-2.16</v>
      </c>
      <c r="J13" s="597" t="s">
        <v>745</v>
      </c>
      <c r="K13" s="597">
        <v>-17.46</v>
      </c>
      <c r="L13" s="597" t="s">
        <v>747</v>
      </c>
      <c r="M13" s="597">
        <v>-17.96</v>
      </c>
      <c r="N13" s="597"/>
      <c r="O13" s="597"/>
      <c r="P13" s="597"/>
      <c r="Q13" s="597"/>
      <c r="R13" s="597"/>
      <c r="S13" s="597"/>
      <c r="T13" s="597"/>
      <c r="U13" s="597"/>
      <c r="V13" s="597"/>
      <c r="W13" s="597"/>
      <c r="X13" s="597"/>
      <c r="Y13" s="597"/>
      <c r="Z13" s="597"/>
      <c r="AA13" s="597"/>
      <c r="AB13" s="597"/>
      <c r="AC13" s="597"/>
      <c r="AD13" s="597"/>
      <c r="AE13" s="597"/>
    </row>
    <row r="14" spans="1:31">
      <c r="E14" s="643" t="s">
        <v>767</v>
      </c>
      <c r="F14" s="597">
        <v>1</v>
      </c>
      <c r="G14" s="596"/>
      <c r="H14" s="597">
        <v>2</v>
      </c>
      <c r="I14" s="597">
        <v>-1.5</v>
      </c>
      <c r="J14" s="597" t="s">
        <v>747</v>
      </c>
      <c r="K14" s="597">
        <v>-15.8</v>
      </c>
      <c r="L14" s="597"/>
      <c r="M14" s="597"/>
      <c r="N14" s="597"/>
      <c r="O14" s="597"/>
      <c r="P14" s="597"/>
      <c r="Q14" s="597"/>
      <c r="R14" s="597"/>
      <c r="S14" s="597"/>
      <c r="T14" s="597"/>
      <c r="U14" s="597"/>
      <c r="V14" s="597"/>
      <c r="W14" s="597"/>
      <c r="X14" s="597"/>
      <c r="Y14" s="597"/>
      <c r="Z14" s="597"/>
      <c r="AA14" s="597"/>
      <c r="AB14" s="597"/>
      <c r="AC14" s="597"/>
      <c r="AD14" s="597"/>
      <c r="AE14" s="597"/>
    </row>
    <row r="15" spans="1:31">
      <c r="E15" s="643" t="s">
        <v>768</v>
      </c>
      <c r="F15" s="597">
        <v>1</v>
      </c>
      <c r="G15" s="597"/>
      <c r="H15" s="597">
        <v>2</v>
      </c>
      <c r="I15" s="597">
        <v>-2.56</v>
      </c>
      <c r="J15" s="597" t="s">
        <v>741</v>
      </c>
      <c r="K15" s="597">
        <v>-17.16</v>
      </c>
      <c r="L15" s="597" t="s">
        <v>743</v>
      </c>
      <c r="M15" s="597">
        <v>-20.059999999999999</v>
      </c>
      <c r="N15" s="597" t="s">
        <v>741</v>
      </c>
      <c r="O15" s="597">
        <v>-20.36</v>
      </c>
      <c r="P15" s="597" t="s">
        <v>743</v>
      </c>
      <c r="Q15" s="597">
        <v>-21.06</v>
      </c>
      <c r="R15" s="597" t="s">
        <v>747</v>
      </c>
      <c r="S15" s="597">
        <v>-21.46</v>
      </c>
      <c r="T15" s="597"/>
      <c r="U15" s="597"/>
      <c r="V15" s="597"/>
      <c r="W15" s="597"/>
      <c r="X15" s="597"/>
      <c r="Y15" s="597"/>
      <c r="Z15" s="597"/>
      <c r="AA15" s="597"/>
      <c r="AB15" s="597"/>
      <c r="AC15" s="597"/>
      <c r="AD15" s="597"/>
      <c r="AE15" s="597"/>
    </row>
    <row r="16" spans="1:31">
      <c r="E16" s="643" t="s">
        <v>769</v>
      </c>
      <c r="F16" s="597">
        <v>1</v>
      </c>
      <c r="G16" s="596"/>
      <c r="H16" s="597">
        <v>2</v>
      </c>
      <c r="I16" s="597">
        <v>-3.02</v>
      </c>
      <c r="J16" s="597" t="s">
        <v>741</v>
      </c>
      <c r="K16" s="597">
        <v>-17.32</v>
      </c>
      <c r="L16" s="597" t="s">
        <v>743</v>
      </c>
      <c r="M16" s="597">
        <v>-19.32</v>
      </c>
      <c r="N16" s="597" t="s">
        <v>741</v>
      </c>
      <c r="O16" s="597">
        <v>-19.62</v>
      </c>
      <c r="P16" s="597" t="s">
        <v>743</v>
      </c>
      <c r="Q16" s="597">
        <v>-24.52</v>
      </c>
      <c r="R16" s="597" t="s">
        <v>747</v>
      </c>
      <c r="S16" s="597">
        <v>-32.22</v>
      </c>
      <c r="T16" s="597"/>
      <c r="U16" s="597"/>
      <c r="V16" s="597"/>
      <c r="W16" s="597"/>
      <c r="X16" s="597"/>
      <c r="Y16" s="597"/>
      <c r="Z16" s="597"/>
      <c r="AA16" s="597"/>
      <c r="AB16" s="597"/>
      <c r="AC16" s="597"/>
      <c r="AD16" s="597"/>
      <c r="AE16" s="597"/>
    </row>
    <row r="17" spans="5:31">
      <c r="E17" s="643" t="s">
        <v>770</v>
      </c>
      <c r="F17" s="597">
        <v>1</v>
      </c>
      <c r="G17" s="597"/>
      <c r="H17" s="597">
        <v>2</v>
      </c>
      <c r="I17" s="597">
        <v>-2</v>
      </c>
      <c r="J17" s="597" t="s">
        <v>741</v>
      </c>
      <c r="K17" s="597">
        <v>-20.3</v>
      </c>
      <c r="L17" s="597" t="s">
        <v>743</v>
      </c>
      <c r="M17" s="597">
        <v>-21.1</v>
      </c>
      <c r="N17" s="597" t="s">
        <v>741</v>
      </c>
      <c r="O17" s="597">
        <v>-21.5</v>
      </c>
      <c r="P17" s="597" t="s">
        <v>743</v>
      </c>
      <c r="Q17" s="597">
        <v>-21.7</v>
      </c>
      <c r="R17" s="597" t="s">
        <v>745</v>
      </c>
      <c r="S17" s="597">
        <v>-22</v>
      </c>
      <c r="T17" s="597" t="s">
        <v>747</v>
      </c>
      <c r="U17" s="597">
        <v>-28.5</v>
      </c>
      <c r="V17" s="597"/>
      <c r="W17" s="597"/>
      <c r="X17" s="597"/>
      <c r="Y17" s="597"/>
      <c r="Z17" s="597"/>
      <c r="AA17" s="597"/>
      <c r="AB17" s="597"/>
      <c r="AC17" s="597"/>
      <c r="AD17" s="597"/>
      <c r="AE17" s="597"/>
    </row>
    <row r="18" spans="5:31">
      <c r="E18" s="643" t="s">
        <v>771</v>
      </c>
      <c r="F18" s="597">
        <v>1</v>
      </c>
      <c r="G18" s="596"/>
      <c r="H18" s="597">
        <v>2</v>
      </c>
      <c r="I18" s="597">
        <v>-3.02</v>
      </c>
      <c r="J18" s="597" t="s">
        <v>745</v>
      </c>
      <c r="K18" s="597">
        <v>-17.12</v>
      </c>
      <c r="L18" s="597" t="s">
        <v>747</v>
      </c>
      <c r="M18" s="597">
        <v>-18.72</v>
      </c>
      <c r="N18" s="597"/>
      <c r="O18" s="597"/>
      <c r="P18" s="597"/>
      <c r="Q18" s="597"/>
      <c r="R18" s="597"/>
      <c r="S18" s="597"/>
      <c r="T18" s="597"/>
      <c r="U18" s="597"/>
      <c r="V18" s="597"/>
      <c r="W18" s="597"/>
      <c r="X18" s="597"/>
      <c r="Y18" s="597"/>
      <c r="Z18" s="597"/>
      <c r="AA18" s="597"/>
      <c r="AB18" s="597"/>
      <c r="AC18" s="597"/>
      <c r="AD18" s="597"/>
      <c r="AE18" s="597"/>
    </row>
    <row r="19" spans="5:31">
      <c r="E19" s="643" t="s">
        <v>772</v>
      </c>
      <c r="F19" s="597">
        <v>1</v>
      </c>
      <c r="G19" s="597"/>
      <c r="H19" s="597">
        <v>2</v>
      </c>
      <c r="I19" s="597">
        <v>-2.14</v>
      </c>
      <c r="J19" s="597" t="s">
        <v>747</v>
      </c>
      <c r="K19" s="597">
        <v>-15.94</v>
      </c>
      <c r="L19" s="597"/>
      <c r="M19" s="597"/>
      <c r="N19" s="597"/>
      <c r="O19" s="597"/>
      <c r="P19" s="597"/>
      <c r="Q19" s="597"/>
      <c r="R19" s="597"/>
      <c r="S19" s="597"/>
      <c r="T19" s="597"/>
      <c r="U19" s="597"/>
      <c r="V19" s="597"/>
      <c r="W19" s="597"/>
      <c r="X19" s="597"/>
      <c r="Y19" s="597"/>
      <c r="Z19" s="597"/>
      <c r="AA19" s="597"/>
      <c r="AB19" s="597"/>
      <c r="AC19" s="597"/>
      <c r="AD19" s="597"/>
      <c r="AE19" s="597"/>
    </row>
    <row r="20" spans="5:31">
      <c r="E20" s="643" t="s">
        <v>773</v>
      </c>
      <c r="F20" s="597">
        <v>1</v>
      </c>
      <c r="G20" s="596"/>
      <c r="H20" s="597">
        <v>2</v>
      </c>
      <c r="I20" s="597">
        <v>-2.46</v>
      </c>
      <c r="J20" s="597" t="s">
        <v>741</v>
      </c>
      <c r="K20" s="597">
        <v>-20.94</v>
      </c>
      <c r="L20" s="597" t="s">
        <v>743</v>
      </c>
      <c r="M20" s="597">
        <v>-23.86</v>
      </c>
      <c r="N20" s="597" t="s">
        <v>741</v>
      </c>
      <c r="O20" s="597">
        <v>-24.66</v>
      </c>
      <c r="P20" s="597" t="s">
        <v>743</v>
      </c>
      <c r="Q20" s="597">
        <v>-31.66</v>
      </c>
      <c r="R20" s="597" t="s">
        <v>741</v>
      </c>
      <c r="S20" s="597">
        <v>-32.36</v>
      </c>
      <c r="T20" s="597" t="s">
        <v>743</v>
      </c>
      <c r="U20" s="597">
        <v>-33.96</v>
      </c>
      <c r="V20" s="597" t="s">
        <v>745</v>
      </c>
      <c r="W20" s="597">
        <v>-34.26</v>
      </c>
      <c r="X20" s="597" t="s">
        <v>747</v>
      </c>
      <c r="Y20" s="597">
        <v>-42.86</v>
      </c>
      <c r="Z20" s="597"/>
      <c r="AA20" s="597"/>
      <c r="AB20" s="597"/>
      <c r="AC20" s="597"/>
      <c r="AD20" s="597"/>
      <c r="AE20" s="597"/>
    </row>
    <row r="21" spans="5:31">
      <c r="E21" s="643" t="s">
        <v>774</v>
      </c>
      <c r="F21" s="597">
        <v>1</v>
      </c>
      <c r="G21" s="597"/>
      <c r="H21" s="597">
        <v>2</v>
      </c>
      <c r="I21" s="597">
        <v>-1.74</v>
      </c>
      <c r="J21" s="597" t="s">
        <v>741</v>
      </c>
      <c r="K21" s="597">
        <v>-17.739999999999998</v>
      </c>
      <c r="L21" s="597" t="s">
        <v>743</v>
      </c>
      <c r="M21" s="597">
        <v>-19.940000000000001</v>
      </c>
      <c r="N21" s="597" t="s">
        <v>741</v>
      </c>
      <c r="O21" s="597">
        <v>-22.74</v>
      </c>
      <c r="P21" s="597" t="s">
        <v>743</v>
      </c>
      <c r="Q21" s="597">
        <v>-28.14</v>
      </c>
      <c r="R21" s="597" t="s">
        <v>741</v>
      </c>
      <c r="S21" s="597">
        <v>-28.44</v>
      </c>
      <c r="T21" s="597" t="s">
        <v>743</v>
      </c>
      <c r="U21" s="597">
        <v>-32.04</v>
      </c>
      <c r="V21" s="597" t="s">
        <v>747</v>
      </c>
      <c r="W21" s="597">
        <v>-33.44</v>
      </c>
      <c r="X21" s="597"/>
      <c r="Y21" s="597"/>
      <c r="Z21" s="597"/>
      <c r="AA21" s="597"/>
      <c r="AB21" s="597"/>
      <c r="AC21" s="597"/>
      <c r="AD21" s="597"/>
      <c r="AE21" s="597"/>
    </row>
    <row r="22" spans="5:31">
      <c r="E22" s="643" t="s">
        <v>775</v>
      </c>
      <c r="F22" s="597">
        <v>1</v>
      </c>
      <c r="G22" s="596"/>
      <c r="H22" s="597">
        <v>2</v>
      </c>
      <c r="I22" s="597">
        <v>-3.13</v>
      </c>
      <c r="J22" s="597" t="s">
        <v>741</v>
      </c>
      <c r="K22" s="597">
        <v>-19.73</v>
      </c>
      <c r="L22" s="597" t="s">
        <v>743</v>
      </c>
      <c r="M22" s="597">
        <v>-23.23</v>
      </c>
      <c r="N22" s="597" t="s">
        <v>741</v>
      </c>
      <c r="O22" s="597">
        <v>-25.88</v>
      </c>
      <c r="P22" s="597" t="s">
        <v>743</v>
      </c>
      <c r="Q22" s="597">
        <v>-31.03</v>
      </c>
      <c r="R22" s="597" t="s">
        <v>741</v>
      </c>
      <c r="S22" s="597">
        <v>-33.03</v>
      </c>
      <c r="T22" s="597" t="s">
        <v>743</v>
      </c>
      <c r="U22" s="597">
        <v>-36.729999999999997</v>
      </c>
      <c r="V22" s="597" t="s">
        <v>747</v>
      </c>
      <c r="W22" s="597">
        <v>-37.03</v>
      </c>
      <c r="X22" s="597"/>
      <c r="Y22" s="597"/>
      <c r="Z22" s="597"/>
      <c r="AA22" s="597"/>
      <c r="AB22" s="597"/>
      <c r="AC22" s="597"/>
      <c r="AD22" s="597"/>
      <c r="AE22" s="597"/>
    </row>
    <row r="23" spans="5:31">
      <c r="E23" s="643" t="s">
        <v>776</v>
      </c>
      <c r="F23" s="597">
        <v>1</v>
      </c>
      <c r="G23" s="597"/>
      <c r="H23" s="597">
        <v>2</v>
      </c>
      <c r="I23" s="597">
        <v>-2.99</v>
      </c>
      <c r="J23" s="597" t="s">
        <v>741</v>
      </c>
      <c r="K23" s="597">
        <v>-20.39</v>
      </c>
      <c r="L23" s="597" t="s">
        <v>743</v>
      </c>
      <c r="M23" s="597">
        <v>-21.09</v>
      </c>
      <c r="N23" s="597" t="s">
        <v>741</v>
      </c>
      <c r="O23" s="597">
        <v>-21.69</v>
      </c>
      <c r="P23" s="597" t="s">
        <v>743</v>
      </c>
      <c r="Q23" s="597">
        <v>-23.7</v>
      </c>
      <c r="R23" s="597" t="s">
        <v>741</v>
      </c>
      <c r="S23" s="597">
        <v>-25.49</v>
      </c>
      <c r="T23" s="597" t="s">
        <v>743</v>
      </c>
      <c r="U23" s="597">
        <v>-27.09</v>
      </c>
      <c r="V23" s="597" t="s">
        <v>741</v>
      </c>
      <c r="W23" s="597">
        <v>-28.59</v>
      </c>
      <c r="X23" s="597" t="s">
        <v>743</v>
      </c>
      <c r="Y23" s="597">
        <v>-31.59</v>
      </c>
      <c r="Z23" s="597" t="s">
        <v>741</v>
      </c>
      <c r="AA23" s="597">
        <v>-32.79</v>
      </c>
      <c r="AB23" s="597" t="s">
        <v>743</v>
      </c>
      <c r="AC23" s="597">
        <v>-41.89</v>
      </c>
      <c r="AD23" s="597" t="s">
        <v>747</v>
      </c>
      <c r="AE23" s="597">
        <v>-52.99</v>
      </c>
    </row>
    <row r="24" spans="5:31">
      <c r="E24" s="643" t="s">
        <v>777</v>
      </c>
      <c r="F24" s="597">
        <v>1</v>
      </c>
      <c r="G24" s="596"/>
      <c r="H24" s="597">
        <v>2</v>
      </c>
      <c r="I24" s="597">
        <v>-2.57</v>
      </c>
      <c r="J24" s="597" t="s">
        <v>747</v>
      </c>
      <c r="K24" s="597">
        <v>-16.87</v>
      </c>
      <c r="L24" s="597"/>
      <c r="M24" s="597"/>
      <c r="N24" s="597"/>
      <c r="O24" s="597"/>
      <c r="P24" s="597"/>
      <c r="Q24" s="597"/>
      <c r="R24" s="597"/>
      <c r="S24" s="597"/>
      <c r="T24" s="597"/>
      <c r="U24" s="597"/>
      <c r="V24" s="597"/>
      <c r="W24" s="597"/>
      <c r="X24" s="597"/>
      <c r="Y24" s="597"/>
      <c r="Z24" s="597"/>
      <c r="AA24" s="597"/>
      <c r="AB24" s="597"/>
      <c r="AC24" s="597"/>
      <c r="AD24" s="597"/>
      <c r="AE24" s="597"/>
    </row>
    <row r="25" spans="5:31">
      <c r="E25" s="643" t="s">
        <v>778</v>
      </c>
      <c r="F25" s="597">
        <v>1</v>
      </c>
      <c r="G25" s="597"/>
      <c r="H25" s="597">
        <v>2</v>
      </c>
      <c r="I25" s="597">
        <v>-2.5299999999999998</v>
      </c>
      <c r="J25" s="597" t="s">
        <v>741</v>
      </c>
      <c r="K25" s="597">
        <v>-19.07</v>
      </c>
      <c r="L25" s="597" t="s">
        <v>743</v>
      </c>
      <c r="M25" s="597">
        <v>-22.12</v>
      </c>
      <c r="N25" s="597" t="s">
        <v>741</v>
      </c>
      <c r="O25" s="597">
        <v>-22.52</v>
      </c>
      <c r="P25" s="597" t="s">
        <v>743</v>
      </c>
      <c r="Q25" s="597">
        <v>-24.12</v>
      </c>
      <c r="R25" s="597" t="s">
        <v>747</v>
      </c>
      <c r="S25" s="597">
        <v>-25.92</v>
      </c>
      <c r="T25" s="597"/>
      <c r="U25" s="597"/>
      <c r="V25" s="597"/>
      <c r="W25" s="597"/>
      <c r="X25" s="597"/>
      <c r="Y25" s="597"/>
      <c r="Z25" s="597"/>
      <c r="AA25" s="597"/>
      <c r="AB25" s="597"/>
      <c r="AC25" s="597"/>
      <c r="AD25" s="597"/>
      <c r="AE25" s="597"/>
    </row>
    <row r="26" spans="5:31">
      <c r="E26" s="643" t="s">
        <v>779</v>
      </c>
      <c r="F26" s="597">
        <v>1</v>
      </c>
      <c r="G26" s="596"/>
      <c r="H26" s="597">
        <v>2</v>
      </c>
      <c r="I26" s="597">
        <v>-1.68</v>
      </c>
      <c r="J26" s="597" t="s">
        <v>747</v>
      </c>
      <c r="K26" s="597">
        <v>-21.88</v>
      </c>
      <c r="L26" s="597"/>
      <c r="M26" s="597"/>
      <c r="N26" s="597"/>
      <c r="O26" s="597"/>
      <c r="P26" s="597"/>
      <c r="Q26" s="597"/>
      <c r="R26" s="597"/>
      <c r="S26" s="597"/>
      <c r="T26" s="597"/>
      <c r="U26" s="597"/>
      <c r="V26" s="597"/>
      <c r="W26" s="597"/>
      <c r="X26" s="597"/>
      <c r="Y26" s="597"/>
      <c r="Z26" s="597"/>
      <c r="AA26" s="597"/>
      <c r="AB26" s="597"/>
      <c r="AC26" s="597"/>
      <c r="AD26" s="597"/>
      <c r="AE26" s="597"/>
    </row>
    <row r="27" spans="5:31">
      <c r="E27" s="643" t="s">
        <v>780</v>
      </c>
      <c r="F27" s="597">
        <v>1</v>
      </c>
      <c r="G27" s="597"/>
      <c r="H27" s="597">
        <v>2</v>
      </c>
      <c r="I27" s="597">
        <v>-2.2400000000000002</v>
      </c>
      <c r="J27" s="597" t="s">
        <v>745</v>
      </c>
      <c r="K27" s="597">
        <v>-21.94</v>
      </c>
      <c r="L27" s="597" t="s">
        <v>743</v>
      </c>
      <c r="M27" s="597">
        <v>-22.94</v>
      </c>
      <c r="N27" s="597" t="s">
        <v>745</v>
      </c>
      <c r="O27" s="597">
        <v>-25.04</v>
      </c>
      <c r="P27" s="597" t="s">
        <v>747</v>
      </c>
      <c r="Q27" s="597">
        <v>-27.64</v>
      </c>
      <c r="R27" s="597"/>
      <c r="S27" s="597"/>
      <c r="T27" s="597"/>
      <c r="U27" s="597"/>
      <c r="V27" s="597"/>
      <c r="W27" s="597"/>
      <c r="X27" s="597"/>
      <c r="Y27" s="597"/>
      <c r="Z27" s="597"/>
      <c r="AA27" s="597"/>
      <c r="AB27" s="597"/>
      <c r="AC27" s="597"/>
      <c r="AD27" s="597"/>
      <c r="AE27" s="597"/>
    </row>
    <row r="28" spans="5:31">
      <c r="E28" s="643" t="s">
        <v>781</v>
      </c>
      <c r="F28" s="597">
        <v>1</v>
      </c>
      <c r="G28" s="596"/>
      <c r="H28" s="597">
        <v>2</v>
      </c>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row>
    <row r="29" spans="5:31">
      <c r="E29" s="643" t="s">
        <v>782</v>
      </c>
      <c r="F29" s="597">
        <v>1</v>
      </c>
      <c r="G29" s="597"/>
      <c r="H29" s="597">
        <v>2</v>
      </c>
      <c r="I29" s="597">
        <v>-2.54</v>
      </c>
      <c r="J29" s="597" t="s">
        <v>741</v>
      </c>
      <c r="K29" s="597">
        <v>-18.84</v>
      </c>
      <c r="L29" s="597" t="s">
        <v>743</v>
      </c>
      <c r="M29" s="597">
        <v>-24.84</v>
      </c>
      <c r="N29" s="597" t="s">
        <v>741</v>
      </c>
      <c r="O29" s="597">
        <v>-25.14</v>
      </c>
      <c r="P29" s="597" t="s">
        <v>743</v>
      </c>
      <c r="Q29" s="597">
        <v>-25.84</v>
      </c>
      <c r="R29" s="597" t="s">
        <v>741</v>
      </c>
      <c r="S29" s="597">
        <v>-26.94</v>
      </c>
      <c r="T29" s="597" t="s">
        <v>743</v>
      </c>
      <c r="U29" s="597">
        <v>-29.24</v>
      </c>
      <c r="V29" s="597" t="s">
        <v>741</v>
      </c>
      <c r="W29" s="597">
        <v>-30.54</v>
      </c>
      <c r="X29" s="597" t="s">
        <v>743</v>
      </c>
      <c r="Y29" s="597">
        <v>-33.94</v>
      </c>
      <c r="Z29" s="597" t="s">
        <v>741</v>
      </c>
      <c r="AA29" s="597">
        <v>-34.44</v>
      </c>
      <c r="AB29" s="597" t="s">
        <v>743</v>
      </c>
      <c r="AC29" s="597">
        <v>-36.340000000000003</v>
      </c>
      <c r="AD29" s="597" t="s">
        <v>747</v>
      </c>
      <c r="AE29" s="597">
        <v>-37.74</v>
      </c>
    </row>
    <row r="30" spans="5:31">
      <c r="E30" s="645" t="s">
        <v>783</v>
      </c>
      <c r="F30" s="597">
        <v>1</v>
      </c>
      <c r="G30" s="596"/>
      <c r="H30" s="597">
        <v>2</v>
      </c>
      <c r="I30" s="597"/>
      <c r="J30" s="597"/>
      <c r="K30" s="597"/>
      <c r="L30" s="597"/>
      <c r="M30" s="597"/>
      <c r="N30" s="597"/>
      <c r="O30" s="597"/>
      <c r="P30" s="597"/>
      <c r="Q30" s="597"/>
      <c r="R30" s="597"/>
      <c r="S30" s="597"/>
      <c r="T30" s="597"/>
      <c r="U30" s="597"/>
      <c r="V30" s="597"/>
      <c r="W30" s="597"/>
      <c r="X30" s="597"/>
      <c r="Y30" s="597"/>
      <c r="Z30" s="597"/>
      <c r="AA30" s="597"/>
      <c r="AB30" s="597"/>
      <c r="AC30" s="597"/>
      <c r="AD30" s="597"/>
      <c r="AE30" s="597"/>
    </row>
    <row r="31" spans="5:31">
      <c r="E31" s="645" t="s">
        <v>784</v>
      </c>
      <c r="F31" s="597">
        <v>1</v>
      </c>
      <c r="G31" s="597"/>
      <c r="H31" s="597">
        <v>2</v>
      </c>
      <c r="I31" s="597"/>
      <c r="J31" s="597"/>
      <c r="K31" s="597"/>
      <c r="L31" s="597"/>
      <c r="M31" s="597"/>
      <c r="N31" s="597"/>
      <c r="O31" s="597"/>
      <c r="P31" s="597"/>
      <c r="Q31" s="597"/>
      <c r="R31" s="597"/>
      <c r="S31" s="597"/>
      <c r="T31" s="597"/>
      <c r="U31" s="597"/>
      <c r="V31" s="597"/>
      <c r="W31" s="597"/>
      <c r="X31" s="597"/>
      <c r="Y31" s="597"/>
      <c r="Z31" s="597"/>
      <c r="AA31" s="597"/>
      <c r="AB31" s="597"/>
      <c r="AC31" s="597"/>
      <c r="AD31" s="597"/>
      <c r="AE31" s="597"/>
    </row>
    <row r="32" spans="5:31">
      <c r="E32" s="645" t="s">
        <v>785</v>
      </c>
      <c r="F32" s="597">
        <v>1</v>
      </c>
      <c r="G32" s="596"/>
      <c r="H32" s="597">
        <v>2</v>
      </c>
      <c r="I32" s="597"/>
      <c r="J32" s="597"/>
      <c r="K32" s="597"/>
      <c r="L32" s="597"/>
      <c r="M32" s="597"/>
      <c r="N32" s="597"/>
      <c r="O32" s="597"/>
      <c r="P32" s="597"/>
      <c r="Q32" s="597"/>
      <c r="R32" s="597"/>
      <c r="S32" s="597"/>
      <c r="T32" s="597"/>
      <c r="U32" s="597"/>
      <c r="V32" s="597"/>
      <c r="W32" s="597"/>
      <c r="X32" s="597"/>
      <c r="Y32" s="597"/>
      <c r="Z32" s="597"/>
      <c r="AA32" s="597"/>
      <c r="AB32" s="597"/>
      <c r="AC32" s="597"/>
      <c r="AD32" s="597"/>
      <c r="AE32" s="597"/>
    </row>
    <row r="33" spans="5:31">
      <c r="E33" s="645" t="s">
        <v>786</v>
      </c>
      <c r="F33" s="597">
        <v>1</v>
      </c>
      <c r="G33" s="597"/>
      <c r="H33" s="597">
        <v>2</v>
      </c>
      <c r="I33" s="597"/>
      <c r="J33" s="597"/>
      <c r="K33" s="597"/>
      <c r="L33" s="597"/>
      <c r="M33" s="597"/>
      <c r="N33" s="597"/>
      <c r="O33" s="597"/>
      <c r="P33" s="597"/>
      <c r="Q33" s="597"/>
      <c r="R33" s="597"/>
      <c r="S33" s="597"/>
      <c r="T33" s="597"/>
      <c r="U33" s="597"/>
      <c r="V33" s="597"/>
      <c r="W33" s="597"/>
      <c r="X33" s="597"/>
      <c r="Y33" s="597"/>
      <c r="Z33" s="597"/>
      <c r="AA33" s="597"/>
      <c r="AB33" s="597"/>
      <c r="AC33" s="597"/>
      <c r="AD33" s="597"/>
      <c r="AE33" s="597"/>
    </row>
    <row r="34" spans="5:31">
      <c r="E34" s="645" t="s">
        <v>787</v>
      </c>
      <c r="F34" s="597">
        <v>1</v>
      </c>
      <c r="G34" s="596"/>
      <c r="H34" s="597">
        <v>2</v>
      </c>
      <c r="I34" s="597"/>
      <c r="J34" s="597"/>
      <c r="K34" s="597"/>
      <c r="L34" s="597"/>
      <c r="M34" s="597"/>
      <c r="N34" s="597"/>
      <c r="O34" s="597"/>
      <c r="P34" s="597"/>
      <c r="Q34" s="597"/>
      <c r="R34" s="597"/>
      <c r="S34" s="597"/>
      <c r="T34" s="597"/>
      <c r="U34" s="597"/>
      <c r="V34" s="597"/>
      <c r="W34" s="597"/>
      <c r="X34" s="597"/>
      <c r="Y34" s="597"/>
      <c r="Z34" s="597"/>
      <c r="AA34" s="597"/>
      <c r="AB34" s="597"/>
      <c r="AC34" s="597"/>
      <c r="AD34" s="597"/>
      <c r="AE34" s="597"/>
    </row>
    <row r="35" spans="5:31">
      <c r="E35" s="645" t="s">
        <v>788</v>
      </c>
      <c r="F35" s="597">
        <v>1</v>
      </c>
      <c r="G35" s="597"/>
      <c r="H35" s="597">
        <v>2</v>
      </c>
      <c r="I35" s="597"/>
      <c r="J35" s="597"/>
      <c r="K35" s="597"/>
      <c r="L35" s="597"/>
      <c r="M35" s="597"/>
      <c r="N35" s="597"/>
      <c r="O35" s="597"/>
      <c r="P35" s="597"/>
      <c r="Q35" s="597"/>
      <c r="R35" s="597"/>
      <c r="S35" s="597"/>
      <c r="T35" s="597"/>
      <c r="U35" s="597"/>
      <c r="V35" s="597"/>
      <c r="W35" s="597"/>
      <c r="X35" s="597"/>
      <c r="Y35" s="597"/>
      <c r="Z35" s="597"/>
      <c r="AA35" s="597"/>
      <c r="AB35" s="597"/>
      <c r="AC35" s="597"/>
      <c r="AD35" s="597"/>
      <c r="AE35" s="597"/>
    </row>
    <row r="36" spans="5:31">
      <c r="E36" s="643" t="s">
        <v>789</v>
      </c>
      <c r="F36" s="597">
        <v>1</v>
      </c>
      <c r="G36" s="596"/>
      <c r="H36" s="597">
        <v>2</v>
      </c>
      <c r="I36" s="597">
        <v>-0.43</v>
      </c>
      <c r="J36" s="597">
        <v>3</v>
      </c>
      <c r="K36" s="597">
        <v>-20.88</v>
      </c>
      <c r="L36" s="597" t="s">
        <v>741</v>
      </c>
      <c r="M36" s="597">
        <v>-23.71</v>
      </c>
      <c r="N36" s="597" t="s">
        <v>743</v>
      </c>
      <c r="O36" s="597">
        <v>-24.11</v>
      </c>
      <c r="P36" s="597" t="s">
        <v>741</v>
      </c>
      <c r="Q36" s="597">
        <v>-24.51</v>
      </c>
      <c r="R36" s="597" t="s">
        <v>743</v>
      </c>
      <c r="S36" s="597">
        <v>-27.18</v>
      </c>
      <c r="T36" s="597" t="s">
        <v>745</v>
      </c>
      <c r="U36" s="597">
        <v>-27.88</v>
      </c>
      <c r="V36" s="597"/>
      <c r="W36" s="597"/>
      <c r="X36" s="597"/>
      <c r="Y36" s="597"/>
      <c r="Z36" s="597"/>
      <c r="AA36" s="597"/>
      <c r="AB36" s="597"/>
      <c r="AC36" s="597"/>
      <c r="AD36" s="597"/>
      <c r="AE36" s="597"/>
    </row>
    <row r="37" spans="5:31">
      <c r="E37" s="643" t="s">
        <v>790</v>
      </c>
      <c r="F37" s="597">
        <v>1</v>
      </c>
      <c r="G37" s="597"/>
      <c r="H37" s="597">
        <v>2</v>
      </c>
      <c r="I37" s="597"/>
      <c r="J37" s="597"/>
      <c r="K37" s="597"/>
      <c r="L37" s="597"/>
      <c r="M37" s="597"/>
      <c r="N37" s="597"/>
      <c r="O37" s="597"/>
      <c r="P37" s="597"/>
      <c r="Q37" s="597"/>
      <c r="R37" s="597"/>
      <c r="S37" s="597"/>
      <c r="T37" s="597"/>
      <c r="U37" s="597"/>
      <c r="V37" s="597"/>
      <c r="W37" s="597"/>
      <c r="X37" s="597"/>
      <c r="Y37" s="597"/>
      <c r="Z37" s="597"/>
      <c r="AA37" s="597"/>
      <c r="AB37" s="597"/>
      <c r="AC37" s="597"/>
      <c r="AD37" s="597"/>
      <c r="AE37" s="597"/>
    </row>
    <row r="38" spans="5:31">
      <c r="E38" s="643" t="s">
        <v>791</v>
      </c>
      <c r="F38" s="597">
        <v>1</v>
      </c>
      <c r="G38" s="596"/>
      <c r="H38" s="597">
        <v>2</v>
      </c>
      <c r="I38" s="597">
        <v>-1.75</v>
      </c>
      <c r="J38" s="597">
        <v>3</v>
      </c>
      <c r="K38" s="597">
        <v>-14.25</v>
      </c>
      <c r="L38" s="597" t="s">
        <v>741</v>
      </c>
      <c r="M38" s="597">
        <v>-17.850000000000001</v>
      </c>
      <c r="N38" s="597" t="s">
        <v>743</v>
      </c>
      <c r="O38" s="597">
        <v>-20.05</v>
      </c>
      <c r="P38" s="597" t="s">
        <v>741</v>
      </c>
      <c r="Q38" s="597">
        <v>-20.55</v>
      </c>
      <c r="R38" s="597" t="s">
        <v>745</v>
      </c>
      <c r="S38" s="597">
        <v>-23.56</v>
      </c>
      <c r="T38" s="597"/>
      <c r="U38" s="597"/>
      <c r="V38" s="597"/>
      <c r="W38" s="597"/>
      <c r="X38" s="597"/>
      <c r="Y38" s="597"/>
      <c r="Z38" s="597"/>
      <c r="AA38" s="597"/>
      <c r="AB38" s="597"/>
      <c r="AC38" s="597"/>
      <c r="AD38" s="597"/>
      <c r="AE38" s="597"/>
    </row>
    <row r="39" spans="5:31">
      <c r="E39" s="643" t="s">
        <v>792</v>
      </c>
      <c r="F39" s="597">
        <v>1</v>
      </c>
      <c r="G39" s="597"/>
      <c r="H39" s="597">
        <v>2</v>
      </c>
      <c r="I39" s="597">
        <v>-1.79</v>
      </c>
      <c r="J39" s="597" t="s">
        <v>741</v>
      </c>
      <c r="K39" s="597">
        <v>-19.59</v>
      </c>
      <c r="L39" s="597" t="s">
        <v>743</v>
      </c>
      <c r="M39" s="597">
        <v>-19.89</v>
      </c>
      <c r="N39" s="597" t="s">
        <v>741</v>
      </c>
      <c r="O39" s="597">
        <v>-20.29</v>
      </c>
      <c r="P39" s="597" t="s">
        <v>743</v>
      </c>
      <c r="Q39" s="597">
        <v>-21.19</v>
      </c>
      <c r="R39" s="597" t="s">
        <v>745</v>
      </c>
      <c r="S39" s="597">
        <v>-22.69</v>
      </c>
      <c r="T39" s="597" t="s">
        <v>747</v>
      </c>
      <c r="U39" s="597">
        <v>-22.89</v>
      </c>
      <c r="V39" s="597"/>
      <c r="W39" s="597"/>
      <c r="X39" s="597"/>
      <c r="Y39" s="597"/>
      <c r="Z39" s="597"/>
      <c r="AA39" s="597"/>
      <c r="AB39" s="597"/>
      <c r="AC39" s="597"/>
      <c r="AD39" s="597"/>
      <c r="AE39" s="597"/>
    </row>
    <row r="40" spans="5:31">
      <c r="E40" s="645" t="s">
        <v>793</v>
      </c>
      <c r="F40" s="597">
        <v>1</v>
      </c>
      <c r="G40" s="596"/>
      <c r="H40" s="597">
        <v>2</v>
      </c>
      <c r="I40" s="597"/>
      <c r="J40" s="597"/>
      <c r="K40" s="597"/>
      <c r="L40" s="597"/>
      <c r="M40" s="597"/>
      <c r="N40" s="597"/>
      <c r="O40" s="597"/>
      <c r="P40" s="597"/>
      <c r="Q40" s="597"/>
      <c r="R40" s="597"/>
      <c r="S40" s="597"/>
      <c r="T40" s="597"/>
      <c r="U40" s="597"/>
      <c r="V40" s="597"/>
      <c r="W40" s="597"/>
      <c r="X40" s="597"/>
      <c r="Y40" s="597"/>
      <c r="Z40" s="597"/>
      <c r="AA40" s="597"/>
      <c r="AB40" s="597"/>
      <c r="AC40" s="597"/>
      <c r="AD40" s="597"/>
      <c r="AE40" s="597"/>
    </row>
    <row r="41" spans="5:31">
      <c r="E41" s="645" t="s">
        <v>794</v>
      </c>
      <c r="F41" s="597">
        <v>1</v>
      </c>
      <c r="G41" s="597"/>
      <c r="H41" s="597">
        <v>2</v>
      </c>
      <c r="I41" s="597"/>
      <c r="J41" s="597"/>
      <c r="K41" s="597"/>
      <c r="L41" s="597"/>
      <c r="M41" s="597"/>
      <c r="N41" s="597"/>
      <c r="O41" s="597"/>
      <c r="P41" s="597"/>
      <c r="Q41" s="597"/>
      <c r="R41" s="597"/>
      <c r="S41" s="597"/>
      <c r="T41" s="597"/>
      <c r="U41" s="597"/>
      <c r="V41" s="597"/>
      <c r="W41" s="597"/>
      <c r="X41" s="597"/>
      <c r="Y41" s="597"/>
      <c r="Z41" s="597"/>
      <c r="AA41" s="597"/>
      <c r="AB41" s="597"/>
      <c r="AC41" s="597"/>
      <c r="AD41" s="597"/>
      <c r="AE41" s="597"/>
    </row>
    <row r="42" spans="5:31">
      <c r="E42" s="643" t="s">
        <v>795</v>
      </c>
      <c r="F42" s="597">
        <v>1</v>
      </c>
      <c r="G42" s="596"/>
      <c r="H42" s="597">
        <v>2</v>
      </c>
      <c r="I42" s="597">
        <v>-2.5499999999999998</v>
      </c>
      <c r="J42" s="597" t="s">
        <v>745</v>
      </c>
      <c r="K42" s="597">
        <v>-24.55</v>
      </c>
      <c r="L42" s="597" t="s">
        <v>747</v>
      </c>
      <c r="M42" s="597">
        <v>-25.75</v>
      </c>
      <c r="N42" s="597"/>
      <c r="O42" s="597"/>
      <c r="P42" s="597"/>
      <c r="Q42" s="597"/>
      <c r="R42" s="597"/>
      <c r="S42" s="597"/>
      <c r="T42" s="597"/>
      <c r="U42" s="597"/>
      <c r="V42" s="597"/>
      <c r="W42" s="597"/>
      <c r="X42" s="597"/>
      <c r="Y42" s="597"/>
      <c r="Z42" s="597"/>
      <c r="AA42" s="597"/>
      <c r="AB42" s="597"/>
      <c r="AC42" s="597"/>
      <c r="AD42" s="597"/>
      <c r="AE42" s="597"/>
    </row>
    <row r="43" spans="5:31">
      <c r="E43" s="643" t="s">
        <v>796</v>
      </c>
      <c r="F43" s="597">
        <v>1</v>
      </c>
      <c r="G43" s="597"/>
      <c r="H43" s="597">
        <v>2</v>
      </c>
      <c r="I43" s="597">
        <v>-2.74</v>
      </c>
      <c r="J43" s="597" t="s">
        <v>741</v>
      </c>
      <c r="K43" s="597">
        <v>-19.440000000000001</v>
      </c>
      <c r="L43" s="597" t="s">
        <v>743</v>
      </c>
      <c r="M43" s="597">
        <v>-20.14</v>
      </c>
      <c r="N43" s="597" t="s">
        <v>741</v>
      </c>
      <c r="O43" s="597">
        <v>-20.54</v>
      </c>
      <c r="P43" s="597" t="s">
        <v>743</v>
      </c>
      <c r="Q43" s="597">
        <v>-21.44</v>
      </c>
      <c r="R43" s="597" t="s">
        <v>741</v>
      </c>
      <c r="S43" s="597">
        <v>-21.64</v>
      </c>
      <c r="T43" s="597" t="s">
        <v>743</v>
      </c>
      <c r="U43" s="597">
        <v>-24.24</v>
      </c>
      <c r="V43" s="597" t="s">
        <v>741</v>
      </c>
      <c r="W43" s="597">
        <v>-24.54</v>
      </c>
      <c r="X43" s="597" t="s">
        <v>743</v>
      </c>
      <c r="Y43" s="597">
        <v>-31.84</v>
      </c>
      <c r="Z43" s="597" t="s">
        <v>741</v>
      </c>
      <c r="AA43" s="597">
        <v>-32.54</v>
      </c>
      <c r="AB43" s="597" t="s">
        <v>743</v>
      </c>
      <c r="AC43" s="597">
        <v>-35.64</v>
      </c>
      <c r="AD43" s="597" t="s">
        <v>741</v>
      </c>
      <c r="AE43" s="597">
        <v>-36.04</v>
      </c>
    </row>
    <row r="44" spans="5:31">
      <c r="E44" s="645" t="s">
        <v>797</v>
      </c>
      <c r="F44" s="597">
        <v>1</v>
      </c>
      <c r="G44" s="596"/>
      <c r="H44" s="597">
        <v>2</v>
      </c>
      <c r="I44" s="597"/>
      <c r="J44" s="597"/>
      <c r="K44" s="597"/>
      <c r="L44" s="597"/>
      <c r="M44" s="597"/>
      <c r="N44" s="597"/>
      <c r="O44" s="597"/>
      <c r="P44" s="597"/>
      <c r="Q44" s="597"/>
      <c r="R44" s="597"/>
      <c r="S44" s="597"/>
      <c r="T44" s="597"/>
      <c r="U44" s="597"/>
      <c r="V44" s="597"/>
      <c r="W44" s="597"/>
      <c r="X44" s="597"/>
      <c r="Y44" s="597"/>
      <c r="Z44" s="597"/>
      <c r="AA44" s="597"/>
      <c r="AB44" s="597"/>
      <c r="AC44" s="597"/>
      <c r="AD44" s="597"/>
      <c r="AE44" s="597"/>
    </row>
    <row r="45" spans="5:31">
      <c r="E45" s="645" t="s">
        <v>798</v>
      </c>
      <c r="F45" s="597">
        <v>1</v>
      </c>
      <c r="G45" s="597"/>
      <c r="H45" s="597">
        <v>2</v>
      </c>
      <c r="I45" s="597"/>
      <c r="J45" s="597"/>
      <c r="K45" s="597"/>
      <c r="L45" s="597"/>
      <c r="M45" s="597"/>
      <c r="N45" s="597"/>
      <c r="O45" s="597"/>
      <c r="P45" s="597"/>
      <c r="Q45" s="597"/>
      <c r="R45" s="597"/>
      <c r="S45" s="597"/>
      <c r="T45" s="597"/>
      <c r="U45" s="597"/>
      <c r="V45" s="597"/>
      <c r="W45" s="597"/>
      <c r="X45" s="597"/>
      <c r="Y45" s="597"/>
      <c r="Z45" s="597"/>
      <c r="AA45" s="597"/>
      <c r="AB45" s="597"/>
      <c r="AC45" s="597"/>
      <c r="AD45" s="597"/>
      <c r="AE45" s="597"/>
    </row>
    <row r="46" spans="5:31">
      <c r="E46" s="645" t="s">
        <v>799</v>
      </c>
      <c r="F46" s="597">
        <v>1</v>
      </c>
      <c r="G46" s="596"/>
      <c r="H46" s="597">
        <v>2</v>
      </c>
      <c r="I46" s="597"/>
      <c r="J46" s="597"/>
      <c r="K46" s="597"/>
      <c r="L46" s="597"/>
      <c r="M46" s="597"/>
      <c r="N46" s="597"/>
      <c r="O46" s="597"/>
      <c r="P46" s="597"/>
      <c r="Q46" s="597"/>
      <c r="R46" s="597"/>
      <c r="S46" s="597"/>
      <c r="T46" s="597"/>
      <c r="U46" s="597"/>
      <c r="V46" s="597"/>
      <c r="W46" s="597"/>
      <c r="X46" s="597"/>
      <c r="Y46" s="597"/>
      <c r="Z46" s="597"/>
      <c r="AA46" s="597"/>
      <c r="AB46" s="597"/>
      <c r="AC46" s="597"/>
      <c r="AD46" s="597"/>
      <c r="AE46" s="597"/>
    </row>
    <row r="47" spans="5:31">
      <c r="E47" s="645" t="s">
        <v>800</v>
      </c>
      <c r="F47" s="597">
        <v>1</v>
      </c>
      <c r="G47" s="597"/>
      <c r="H47" s="597">
        <v>2</v>
      </c>
      <c r="I47" s="597"/>
      <c r="J47" s="597"/>
      <c r="K47" s="597"/>
      <c r="L47" s="597"/>
      <c r="M47" s="597"/>
      <c r="N47" s="597"/>
      <c r="O47" s="597"/>
      <c r="P47" s="597"/>
      <c r="Q47" s="597"/>
      <c r="R47" s="597"/>
      <c r="S47" s="597"/>
      <c r="T47" s="597"/>
      <c r="U47" s="597"/>
      <c r="V47" s="597"/>
      <c r="W47" s="597"/>
      <c r="X47" s="597"/>
      <c r="Y47" s="597"/>
      <c r="Z47" s="597"/>
      <c r="AA47" s="597"/>
      <c r="AB47" s="597"/>
      <c r="AC47" s="597"/>
      <c r="AD47" s="597"/>
      <c r="AE47" s="597"/>
    </row>
    <row r="48" spans="5:31">
      <c r="E48" s="645" t="s">
        <v>801</v>
      </c>
      <c r="F48" s="597">
        <v>1</v>
      </c>
      <c r="G48" s="596"/>
      <c r="H48" s="597">
        <v>2</v>
      </c>
      <c r="I48" s="597"/>
      <c r="J48" s="597"/>
      <c r="K48" s="597"/>
      <c r="L48" s="597"/>
      <c r="M48" s="597"/>
      <c r="N48" s="597"/>
      <c r="O48" s="597"/>
      <c r="P48" s="597"/>
      <c r="Q48" s="597"/>
      <c r="R48" s="597"/>
      <c r="S48" s="597"/>
      <c r="T48" s="597"/>
      <c r="U48" s="597"/>
      <c r="V48" s="597"/>
      <c r="W48" s="597"/>
      <c r="X48" s="597"/>
      <c r="Y48" s="597"/>
      <c r="Z48" s="597"/>
      <c r="AA48" s="597"/>
      <c r="AB48" s="597"/>
      <c r="AC48" s="597"/>
      <c r="AD48" s="597"/>
      <c r="AE48" s="597"/>
    </row>
    <row r="49" spans="5:31">
      <c r="E49" s="645" t="s">
        <v>802</v>
      </c>
      <c r="F49" s="597">
        <v>1</v>
      </c>
      <c r="G49" s="597"/>
      <c r="H49" s="597">
        <v>2</v>
      </c>
      <c r="I49" s="597"/>
      <c r="J49" s="597"/>
      <c r="K49" s="597"/>
      <c r="L49" s="597"/>
      <c r="M49" s="597"/>
      <c r="N49" s="597"/>
      <c r="O49" s="597"/>
      <c r="P49" s="597"/>
      <c r="Q49" s="597"/>
      <c r="R49" s="597"/>
      <c r="S49" s="597"/>
      <c r="T49" s="597"/>
      <c r="U49" s="597"/>
      <c r="V49" s="597"/>
      <c r="W49" s="597"/>
      <c r="X49" s="597"/>
      <c r="Y49" s="597"/>
      <c r="Z49" s="597"/>
      <c r="AA49" s="597"/>
      <c r="AB49" s="597"/>
      <c r="AC49" s="597"/>
      <c r="AD49" s="597"/>
      <c r="AE49" s="597"/>
    </row>
    <row r="50" spans="5:31">
      <c r="E50" s="645" t="s">
        <v>803</v>
      </c>
      <c r="F50" s="597">
        <v>1</v>
      </c>
      <c r="G50" s="596"/>
      <c r="H50" s="597">
        <v>2</v>
      </c>
      <c r="I50" s="597"/>
      <c r="J50" s="597"/>
      <c r="K50" s="597"/>
      <c r="L50" s="597"/>
      <c r="M50" s="597"/>
      <c r="N50" s="597"/>
      <c r="O50" s="597"/>
      <c r="P50" s="597"/>
      <c r="Q50" s="597"/>
      <c r="R50" s="597"/>
      <c r="S50" s="597"/>
      <c r="T50" s="597"/>
      <c r="U50" s="597"/>
      <c r="V50" s="597"/>
      <c r="W50" s="597"/>
      <c r="X50" s="597"/>
      <c r="Y50" s="597"/>
      <c r="Z50" s="597"/>
      <c r="AA50" s="597"/>
      <c r="AB50" s="597"/>
      <c r="AC50" s="597"/>
      <c r="AD50" s="597"/>
      <c r="AE50" s="597"/>
    </row>
    <row r="51" spans="5:31">
      <c r="E51" s="645" t="s">
        <v>804</v>
      </c>
      <c r="F51" s="597">
        <v>1</v>
      </c>
      <c r="G51" s="597"/>
      <c r="H51" s="597">
        <v>2</v>
      </c>
      <c r="I51" s="597"/>
      <c r="J51" s="597"/>
      <c r="K51" s="597"/>
      <c r="L51" s="597"/>
      <c r="M51" s="597"/>
      <c r="N51" s="597"/>
      <c r="O51" s="597"/>
      <c r="P51" s="597"/>
      <c r="Q51" s="597"/>
      <c r="R51" s="597"/>
      <c r="S51" s="597"/>
      <c r="T51" s="597"/>
      <c r="U51" s="597"/>
      <c r="V51" s="597"/>
      <c r="W51" s="597"/>
      <c r="X51" s="597"/>
      <c r="Y51" s="597"/>
      <c r="Z51" s="597"/>
      <c r="AA51" s="597"/>
      <c r="AB51" s="597"/>
      <c r="AC51" s="597"/>
      <c r="AD51" s="597"/>
      <c r="AE51" s="597"/>
    </row>
    <row r="52" spans="5:31">
      <c r="E52" s="646" t="s">
        <v>805</v>
      </c>
      <c r="F52" s="599">
        <v>1</v>
      </c>
      <c r="G52" s="598"/>
      <c r="H52" s="599">
        <v>2</v>
      </c>
      <c r="I52" s="599"/>
      <c r="J52" s="599"/>
      <c r="K52" s="599"/>
      <c r="L52" s="599"/>
      <c r="M52" s="599"/>
      <c r="N52" s="599"/>
      <c r="O52" s="599"/>
      <c r="P52" s="599"/>
      <c r="Q52" s="599"/>
      <c r="R52" s="599"/>
      <c r="S52" s="599"/>
      <c r="T52" s="599"/>
      <c r="U52" s="599"/>
      <c r="V52" s="599"/>
      <c r="W52" s="599"/>
      <c r="X52" s="599"/>
      <c r="Y52" s="599"/>
      <c r="Z52" s="599"/>
      <c r="AA52" s="599"/>
      <c r="AB52" s="599"/>
      <c r="AC52" s="599"/>
      <c r="AD52" s="599"/>
      <c r="AE52" s="599"/>
    </row>
    <row r="53" spans="5:31">
      <c r="E53" s="646" t="s">
        <v>815</v>
      </c>
      <c r="F53" s="599">
        <v>1</v>
      </c>
      <c r="G53" s="598"/>
      <c r="H53" s="599">
        <v>2</v>
      </c>
      <c r="I53" s="599"/>
      <c r="J53" s="599"/>
      <c r="K53" s="599"/>
      <c r="L53" s="599"/>
      <c r="M53" s="599"/>
      <c r="N53" s="599"/>
      <c r="O53" s="599"/>
      <c r="P53" s="599"/>
      <c r="Q53" s="599"/>
      <c r="R53" s="599"/>
      <c r="S53" s="599"/>
      <c r="T53" s="599"/>
      <c r="U53" s="599"/>
      <c r="V53" s="599"/>
      <c r="W53" s="599"/>
      <c r="X53" s="599"/>
      <c r="Y53" s="599"/>
      <c r="Z53" s="599"/>
      <c r="AA53" s="599"/>
      <c r="AB53" s="599"/>
      <c r="AC53" s="599"/>
      <c r="AD53" s="599"/>
      <c r="AE53" s="599"/>
    </row>
    <row r="54" spans="5:31">
      <c r="E54" s="646" t="s">
        <v>819</v>
      </c>
      <c r="F54" s="599">
        <v>1</v>
      </c>
      <c r="G54" s="598"/>
      <c r="H54" s="599">
        <v>2</v>
      </c>
      <c r="I54" s="599"/>
      <c r="J54" s="599"/>
      <c r="K54" s="599"/>
      <c r="L54" s="599"/>
      <c r="M54" s="599"/>
      <c r="N54" s="599"/>
      <c r="O54" s="599"/>
      <c r="P54" s="599"/>
      <c r="Q54" s="599"/>
      <c r="R54" s="599"/>
      <c r="S54" s="599"/>
      <c r="T54" s="599"/>
      <c r="U54" s="599"/>
      <c r="V54" s="599"/>
      <c r="W54" s="599"/>
      <c r="X54" s="599"/>
      <c r="Y54" s="599"/>
      <c r="Z54" s="599"/>
      <c r="AA54" s="599"/>
      <c r="AB54" s="599"/>
      <c r="AC54" s="599"/>
      <c r="AD54" s="599"/>
      <c r="AE54" s="599"/>
    </row>
    <row r="55" spans="5:31">
      <c r="E55" s="646" t="s">
        <v>818</v>
      </c>
      <c r="F55" s="599">
        <v>1</v>
      </c>
      <c r="G55" s="598"/>
      <c r="H55" s="599">
        <v>2</v>
      </c>
      <c r="I55" s="599"/>
      <c r="J55" s="599"/>
      <c r="K55" s="599"/>
      <c r="L55" s="599"/>
      <c r="M55" s="599"/>
      <c r="N55" s="599"/>
      <c r="O55" s="599"/>
      <c r="P55" s="599"/>
      <c r="Q55" s="599"/>
      <c r="R55" s="599"/>
      <c r="S55" s="599"/>
      <c r="T55" s="599"/>
      <c r="U55" s="599"/>
      <c r="V55" s="599"/>
      <c r="W55" s="599"/>
      <c r="X55" s="599"/>
      <c r="Y55" s="599"/>
      <c r="Z55" s="599"/>
      <c r="AA55" s="599"/>
      <c r="AB55" s="599"/>
      <c r="AC55" s="599"/>
      <c r="AD55" s="599"/>
      <c r="AE55" s="599"/>
    </row>
    <row r="56" spans="5:31">
      <c r="E56" s="646" t="s">
        <v>817</v>
      </c>
      <c r="F56" s="599">
        <v>1</v>
      </c>
      <c r="G56" s="598"/>
      <c r="H56" s="599">
        <v>2</v>
      </c>
      <c r="I56" s="599"/>
      <c r="J56" s="599"/>
      <c r="K56" s="599"/>
      <c r="L56" s="599"/>
      <c r="M56" s="599"/>
      <c r="N56" s="599"/>
      <c r="O56" s="599"/>
      <c r="P56" s="599"/>
      <c r="Q56" s="599"/>
      <c r="R56" s="599"/>
      <c r="S56" s="599"/>
      <c r="T56" s="599"/>
      <c r="U56" s="599"/>
      <c r="V56" s="599"/>
      <c r="W56" s="599"/>
      <c r="X56" s="599"/>
      <c r="Y56" s="599"/>
      <c r="Z56" s="599"/>
      <c r="AA56" s="599"/>
      <c r="AB56" s="599"/>
      <c r="AC56" s="599"/>
      <c r="AD56" s="599"/>
      <c r="AE56" s="599"/>
    </row>
    <row r="57" spans="5:31">
      <c r="E57" s="646" t="s">
        <v>816</v>
      </c>
      <c r="F57" s="599">
        <v>1</v>
      </c>
      <c r="G57" s="598"/>
      <c r="H57" s="599">
        <v>2</v>
      </c>
      <c r="I57" s="599"/>
      <c r="J57" s="599"/>
      <c r="K57" s="599"/>
      <c r="L57" s="599"/>
      <c r="M57" s="599"/>
      <c r="N57" s="599"/>
      <c r="O57" s="599"/>
      <c r="P57" s="599"/>
      <c r="Q57" s="599"/>
      <c r="R57" s="599"/>
      <c r="S57" s="599"/>
      <c r="T57" s="599"/>
      <c r="U57" s="599"/>
      <c r="V57" s="599"/>
      <c r="W57" s="599"/>
      <c r="X57" s="599"/>
      <c r="Y57" s="599"/>
      <c r="Z57" s="599"/>
      <c r="AA57" s="599"/>
      <c r="AB57" s="599"/>
      <c r="AC57" s="599"/>
      <c r="AD57" s="599"/>
      <c r="AE57" s="599"/>
    </row>
  </sheetData>
  <phoneticPr fontId="105" type="noConversion"/>
  <conditionalFormatting sqref="C3">
    <cfRule type="cellIs" dxfId="21" priority="1" stopIfTrue="1" operator="equal">
      <formula>1</formula>
    </cfRule>
  </conditionalFormatting>
  <conditionalFormatting sqref="C4">
    <cfRule type="cellIs" dxfId="20" priority="2" stopIfTrue="1" operator="equal">
      <formula>2</formula>
    </cfRule>
  </conditionalFormatting>
  <conditionalFormatting sqref="C5">
    <cfRule type="cellIs" dxfId="19" priority="3" stopIfTrue="1" operator="equal">
      <formula>3</formula>
    </cfRule>
  </conditionalFormatting>
  <conditionalFormatting sqref="C7">
    <cfRule type="cellIs" dxfId="18" priority="4" stopIfTrue="1" operator="equal">
      <formula>"H"</formula>
    </cfRule>
  </conditionalFormatting>
  <conditionalFormatting sqref="C6 C8:C9">
    <cfRule type="cellIs" dxfId="17" priority="5" stopIfTrue="1" operator="equal">
      <formula>"4a"</formula>
    </cfRule>
    <cfRule type="cellIs" dxfId="16" priority="6" stopIfTrue="1" operator="equal">
      <formula>"4b"</formula>
    </cfRule>
    <cfRule type="cellIs" dxfId="15" priority="7" stopIfTrue="1" operator="equal">
      <formula>"4c"</formula>
    </cfRule>
  </conditionalFormatting>
  <pageMargins left="0.75" right="0.75" top="1" bottom="1" header="0.5" footer="0.5"/>
  <pageSetup paperSize="9" orientation="portrait"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8"/>
  <sheetViews>
    <sheetView topLeftCell="A208" workbookViewId="0">
      <selection activeCell="E222" sqref="E222"/>
    </sheetView>
  </sheetViews>
  <sheetFormatPr defaultColWidth="12.85546875" defaultRowHeight="15.95" customHeight="1"/>
  <cols>
    <col min="1" max="1" width="8.28515625" style="577" customWidth="1"/>
    <col min="2" max="2" width="14.85546875" style="576" customWidth="1"/>
    <col min="3" max="3" width="14" style="576" customWidth="1"/>
    <col min="4" max="4" width="11.140625" style="584" customWidth="1"/>
    <col min="5" max="5" width="10" style="577" customWidth="1"/>
    <col min="6" max="6" width="7.5703125" style="656" customWidth="1"/>
    <col min="7" max="7" width="8.85546875" style="576" customWidth="1"/>
    <col min="8" max="9" width="8.7109375" style="584" customWidth="1"/>
    <col min="10" max="11" width="8.7109375" style="576" customWidth="1"/>
    <col min="12" max="12" width="8.7109375" style="577" customWidth="1"/>
    <col min="13" max="13" width="9.28515625" style="577" customWidth="1"/>
    <col min="14" max="14" width="9.7109375" style="576" bestFit="1" customWidth="1"/>
    <col min="15" max="15" width="9.5703125" style="576" customWidth="1"/>
    <col min="16" max="16" width="13.42578125" style="601" bestFit="1" customWidth="1"/>
    <col min="17" max="17" width="11.140625" style="577" customWidth="1"/>
    <col min="18" max="18" width="12.42578125" style="577" bestFit="1" customWidth="1"/>
    <col min="19" max="24" width="13.42578125" style="577" customWidth="1"/>
    <col min="25" max="25" width="8.42578125" style="577" customWidth="1"/>
    <col min="26" max="26" width="14" style="576" customWidth="1"/>
    <col min="27" max="27" width="12.7109375" style="576" customWidth="1"/>
    <col min="28" max="28" width="14.28515625" style="577" customWidth="1"/>
    <col min="29" max="16384" width="12.85546875" style="575"/>
  </cols>
  <sheetData>
    <row r="1" spans="1:28" s="618" customFormat="1" ht="15.95" customHeight="1">
      <c r="A1" s="587">
        <v>1</v>
      </c>
      <c r="B1" s="587">
        <v>2</v>
      </c>
      <c r="C1" s="587">
        <v>3</v>
      </c>
      <c r="D1" s="587">
        <v>4</v>
      </c>
      <c r="E1" s="587">
        <v>5</v>
      </c>
      <c r="F1" s="653">
        <v>6</v>
      </c>
      <c r="G1" s="587">
        <v>7</v>
      </c>
      <c r="H1" s="587">
        <v>8</v>
      </c>
      <c r="I1" s="587">
        <v>9</v>
      </c>
      <c r="J1" s="587">
        <v>10</v>
      </c>
      <c r="K1" s="587">
        <v>11</v>
      </c>
      <c r="L1" s="587">
        <v>12</v>
      </c>
      <c r="M1" s="587">
        <v>13</v>
      </c>
      <c r="N1" s="587">
        <v>14</v>
      </c>
      <c r="O1" s="587">
        <v>15</v>
      </c>
      <c r="P1" s="587">
        <v>16</v>
      </c>
      <c r="Q1" s="587">
        <v>17</v>
      </c>
      <c r="R1" s="587">
        <v>18</v>
      </c>
      <c r="S1" s="587">
        <v>19</v>
      </c>
      <c r="T1" s="587"/>
      <c r="U1" s="587"/>
      <c r="V1" s="587"/>
      <c r="W1" s="587"/>
      <c r="X1" s="587"/>
      <c r="Y1" s="587"/>
      <c r="Z1" s="587"/>
      <c r="AA1" s="587"/>
      <c r="AB1" s="587"/>
    </row>
    <row r="2" spans="1:28" s="583" customFormat="1" ht="63">
      <c r="A2" s="602" t="s">
        <v>485</v>
      </c>
      <c r="B2" s="603" t="s">
        <v>486</v>
      </c>
      <c r="C2" s="603" t="s">
        <v>487</v>
      </c>
      <c r="D2" s="604" t="s">
        <v>488</v>
      </c>
      <c r="E2" s="605" t="s">
        <v>722</v>
      </c>
      <c r="F2" s="600" t="s">
        <v>70</v>
      </c>
      <c r="G2" s="605" t="s">
        <v>723</v>
      </c>
      <c r="H2" s="604" t="s">
        <v>725</v>
      </c>
      <c r="I2" s="604" t="s">
        <v>724</v>
      </c>
      <c r="J2" s="605" t="s">
        <v>726</v>
      </c>
      <c r="K2" s="605" t="s">
        <v>729</v>
      </c>
      <c r="L2" s="605" t="s">
        <v>730</v>
      </c>
      <c r="M2" s="605" t="s">
        <v>153</v>
      </c>
      <c r="N2" s="602" t="s">
        <v>376</v>
      </c>
      <c r="O2" s="602" t="s">
        <v>76</v>
      </c>
      <c r="P2" s="606" t="s">
        <v>814</v>
      </c>
      <c r="Q2" s="605" t="s">
        <v>822</v>
      </c>
      <c r="R2" s="583" t="s">
        <v>823</v>
      </c>
    </row>
    <row r="3" spans="1:28" ht="15.95" customHeight="1">
      <c r="A3" s="607" t="s">
        <v>489</v>
      </c>
      <c r="B3" s="608">
        <v>2317786.5950000002</v>
      </c>
      <c r="C3" s="608">
        <v>430304.554</v>
      </c>
      <c r="D3" s="609">
        <v>21.6</v>
      </c>
      <c r="E3" s="582" t="s">
        <v>706</v>
      </c>
      <c r="F3" s="654">
        <v>-8.6999999999999993</v>
      </c>
      <c r="G3" s="610">
        <f>F3+1</f>
        <v>-7.6999999999999993</v>
      </c>
      <c r="H3" s="609"/>
      <c r="I3" s="609"/>
      <c r="J3" s="611" t="str">
        <f>IF(H3="",IF(I3="","","L"),"SA")</f>
        <v/>
      </c>
      <c r="K3" s="611">
        <f>IF(J3="",0,IF(J3="SA",4,3))</f>
        <v>0</v>
      </c>
      <c r="L3" s="611">
        <f>IF(K3=3,1,0)</f>
        <v>0</v>
      </c>
      <c r="M3" s="611">
        <v>1200</v>
      </c>
      <c r="N3" s="607">
        <v>20</v>
      </c>
      <c r="O3" s="607">
        <v>18</v>
      </c>
      <c r="P3" s="612" t="s">
        <v>756</v>
      </c>
      <c r="Q3" s="611">
        <f>VLOOKUP(P3,'Dia chat'!$E:$AE,7,0)</f>
        <v>-16.66</v>
      </c>
      <c r="R3" s="575" t="s">
        <v>824</v>
      </c>
      <c r="S3" s="575"/>
      <c r="T3" s="575"/>
      <c r="U3" s="575"/>
      <c r="V3" s="575"/>
      <c r="W3" s="575"/>
      <c r="X3" s="575"/>
      <c r="Y3" s="575"/>
      <c r="Z3" s="575"/>
      <c r="AA3" s="575"/>
      <c r="AB3" s="575"/>
    </row>
    <row r="4" spans="1:28" ht="15.95" customHeight="1">
      <c r="A4" s="607" t="s">
        <v>494</v>
      </c>
      <c r="B4" s="608">
        <v>2317786.7310000001</v>
      </c>
      <c r="C4" s="608">
        <v>430307.55099999998</v>
      </c>
      <c r="D4" s="609">
        <v>21.6</v>
      </c>
      <c r="E4" s="582" t="s">
        <v>706</v>
      </c>
      <c r="F4" s="654">
        <v>-8.6999999999999993</v>
      </c>
      <c r="G4" s="610">
        <f t="shared" ref="G4:G67" si="0">F4+1</f>
        <v>-7.6999999999999993</v>
      </c>
      <c r="H4" s="609" t="s">
        <v>188</v>
      </c>
      <c r="I4" s="609"/>
      <c r="J4" s="611" t="str">
        <f t="shared" ref="J4:J67" si="1">IF(H4="",IF(I4="","","L"),"SA")</f>
        <v>SA</v>
      </c>
      <c r="K4" s="611">
        <f t="shared" ref="K4:K67" si="2">IF(J4="",0,IF(J4="SA",4,3))</f>
        <v>4</v>
      </c>
      <c r="L4" s="611">
        <f t="shared" ref="L4:L67" si="3">IF(K4=3,1,0)</f>
        <v>0</v>
      </c>
      <c r="M4" s="611">
        <v>1200</v>
      </c>
      <c r="N4" s="607">
        <v>20</v>
      </c>
      <c r="O4" s="607">
        <v>18</v>
      </c>
      <c r="P4" s="612" t="s">
        <v>756</v>
      </c>
      <c r="Q4" s="611">
        <f>VLOOKUP(P4,'Dia chat'!$E:$AE,7,0)</f>
        <v>-16.66</v>
      </c>
      <c r="R4" s="575" t="s">
        <v>824</v>
      </c>
      <c r="S4" s="575"/>
      <c r="T4" s="575"/>
      <c r="U4" s="575"/>
      <c r="V4" s="575"/>
      <c r="W4" s="575"/>
      <c r="X4" s="575"/>
      <c r="Y4" s="575"/>
      <c r="Z4" s="575"/>
      <c r="AA4" s="575"/>
      <c r="AB4" s="575"/>
    </row>
    <row r="5" spans="1:28" ht="15.95" customHeight="1">
      <c r="A5" s="607" t="s">
        <v>499</v>
      </c>
      <c r="B5" s="608">
        <v>2317788.0419999999</v>
      </c>
      <c r="C5" s="608">
        <v>430313.49800000002</v>
      </c>
      <c r="D5" s="609">
        <v>25.8</v>
      </c>
      <c r="E5" s="582" t="s">
        <v>707</v>
      </c>
      <c r="F5" s="654">
        <v>-8.6999999999999993</v>
      </c>
      <c r="G5" s="610">
        <f t="shared" si="0"/>
        <v>-7.6999999999999993</v>
      </c>
      <c r="H5" s="609"/>
      <c r="I5" s="609"/>
      <c r="J5" s="611" t="str">
        <f t="shared" si="1"/>
        <v/>
      </c>
      <c r="K5" s="611">
        <f t="shared" si="2"/>
        <v>0</v>
      </c>
      <c r="L5" s="611">
        <f t="shared" si="3"/>
        <v>0</v>
      </c>
      <c r="M5" s="611">
        <v>1200</v>
      </c>
      <c r="N5" s="607">
        <v>20</v>
      </c>
      <c r="O5" s="607">
        <v>18</v>
      </c>
      <c r="P5" s="612" t="s">
        <v>757</v>
      </c>
      <c r="Q5" s="611">
        <f>VLOOKUP(P5,'Dia chat'!$E:$AE,7,0)</f>
        <v>-19.23</v>
      </c>
      <c r="R5" s="575" t="s">
        <v>824</v>
      </c>
      <c r="S5" s="575"/>
      <c r="T5" s="575"/>
      <c r="U5" s="575"/>
      <c r="V5" s="575"/>
      <c r="W5" s="575"/>
      <c r="X5" s="575"/>
      <c r="Y5" s="575"/>
      <c r="Z5" s="575"/>
      <c r="AA5" s="575"/>
      <c r="AB5" s="575"/>
    </row>
    <row r="6" spans="1:28" ht="15.95" customHeight="1">
      <c r="A6" s="607" t="s">
        <v>504</v>
      </c>
      <c r="B6" s="608">
        <v>2317788.179</v>
      </c>
      <c r="C6" s="608">
        <v>430316.49400000001</v>
      </c>
      <c r="D6" s="609">
        <v>25.8</v>
      </c>
      <c r="E6" s="582" t="s">
        <v>707</v>
      </c>
      <c r="F6" s="654">
        <v>-8.6999999999999993</v>
      </c>
      <c r="G6" s="610">
        <f t="shared" si="0"/>
        <v>-7.6999999999999993</v>
      </c>
      <c r="H6" s="609"/>
      <c r="I6" s="609"/>
      <c r="J6" s="611" t="str">
        <f t="shared" si="1"/>
        <v/>
      </c>
      <c r="K6" s="611">
        <f t="shared" si="2"/>
        <v>0</v>
      </c>
      <c r="L6" s="611">
        <f t="shared" si="3"/>
        <v>0</v>
      </c>
      <c r="M6" s="611">
        <v>1200</v>
      </c>
      <c r="N6" s="607">
        <v>20</v>
      </c>
      <c r="O6" s="607">
        <v>18</v>
      </c>
      <c r="P6" s="612" t="s">
        <v>757</v>
      </c>
      <c r="Q6" s="611">
        <f>VLOOKUP(P6,'Dia chat'!$E:$AE,7,0)</f>
        <v>-19.23</v>
      </c>
      <c r="R6" s="575" t="s">
        <v>824</v>
      </c>
      <c r="S6" s="575"/>
      <c r="T6" s="575"/>
      <c r="U6" s="575"/>
      <c r="V6" s="575"/>
      <c r="W6" s="575"/>
      <c r="X6" s="575"/>
      <c r="Y6" s="575"/>
      <c r="Z6" s="575"/>
      <c r="AA6" s="575"/>
      <c r="AB6" s="575"/>
    </row>
    <row r="7" spans="1:28" ht="15.95" customHeight="1">
      <c r="A7" s="607" t="s">
        <v>509</v>
      </c>
      <c r="B7" s="608">
        <v>2317785.4130000002</v>
      </c>
      <c r="C7" s="608">
        <v>430315.11900000001</v>
      </c>
      <c r="D7" s="609">
        <v>25.8</v>
      </c>
      <c r="E7" s="582" t="s">
        <v>707</v>
      </c>
      <c r="F7" s="654">
        <v>-8.6999999999999993</v>
      </c>
      <c r="G7" s="610">
        <f t="shared" si="0"/>
        <v>-7.6999999999999993</v>
      </c>
      <c r="H7" s="609" t="s">
        <v>188</v>
      </c>
      <c r="I7" s="609"/>
      <c r="J7" s="611" t="str">
        <f t="shared" si="1"/>
        <v>SA</v>
      </c>
      <c r="K7" s="611">
        <f t="shared" si="2"/>
        <v>4</v>
      </c>
      <c r="L7" s="611">
        <f t="shared" si="3"/>
        <v>0</v>
      </c>
      <c r="M7" s="611">
        <v>1200</v>
      </c>
      <c r="N7" s="607">
        <v>20</v>
      </c>
      <c r="O7" s="607">
        <v>18</v>
      </c>
      <c r="P7" s="612" t="s">
        <v>757</v>
      </c>
      <c r="Q7" s="611">
        <f>VLOOKUP(P7,'Dia chat'!$E:$AE,7,0)</f>
        <v>-19.23</v>
      </c>
      <c r="R7" s="575" t="s">
        <v>824</v>
      </c>
      <c r="S7" s="575"/>
      <c r="T7" s="575"/>
      <c r="U7" s="575"/>
      <c r="V7" s="575"/>
      <c r="W7" s="575"/>
      <c r="X7" s="575"/>
      <c r="Y7" s="575"/>
      <c r="Z7" s="575"/>
      <c r="AA7" s="575"/>
      <c r="AB7" s="575"/>
    </row>
    <row r="8" spans="1:28" ht="15.95" customHeight="1">
      <c r="A8" s="607" t="s">
        <v>514</v>
      </c>
      <c r="B8" s="608">
        <v>2317788.4509999999</v>
      </c>
      <c r="C8" s="608">
        <v>430322.48800000001</v>
      </c>
      <c r="D8" s="609">
        <v>23.5</v>
      </c>
      <c r="E8" s="582" t="s">
        <v>707</v>
      </c>
      <c r="F8" s="654">
        <v>-8.6999999999999993</v>
      </c>
      <c r="G8" s="610">
        <f t="shared" si="0"/>
        <v>-7.6999999999999993</v>
      </c>
      <c r="H8" s="609"/>
      <c r="I8" s="609"/>
      <c r="J8" s="611" t="str">
        <f t="shared" si="1"/>
        <v/>
      </c>
      <c r="K8" s="611">
        <f t="shared" si="2"/>
        <v>0</v>
      </c>
      <c r="L8" s="611">
        <f t="shared" si="3"/>
        <v>0</v>
      </c>
      <c r="M8" s="611">
        <v>1200</v>
      </c>
      <c r="N8" s="607">
        <v>20</v>
      </c>
      <c r="O8" s="607">
        <v>18</v>
      </c>
      <c r="P8" s="612" t="s">
        <v>758</v>
      </c>
      <c r="Q8" s="611">
        <f>VLOOKUP(P8,'Dia chat'!$E:$AE,7,0)</f>
        <v>-18.739999999999998</v>
      </c>
      <c r="R8" s="575" t="s">
        <v>824</v>
      </c>
      <c r="S8" s="575"/>
      <c r="T8" s="575"/>
      <c r="U8" s="575"/>
      <c r="V8" s="575"/>
      <c r="W8" s="575"/>
      <c r="X8" s="575"/>
      <c r="Y8" s="575"/>
      <c r="Z8" s="575"/>
      <c r="AA8" s="575"/>
      <c r="AB8" s="575"/>
    </row>
    <row r="9" spans="1:28" ht="15.95" customHeight="1">
      <c r="A9" s="607" t="s">
        <v>519</v>
      </c>
      <c r="B9" s="608">
        <v>2317788.5869999998</v>
      </c>
      <c r="C9" s="608">
        <v>430325.48499999999</v>
      </c>
      <c r="D9" s="609">
        <v>23.5</v>
      </c>
      <c r="E9" s="582" t="s">
        <v>707</v>
      </c>
      <c r="F9" s="654">
        <v>-8.6999999999999993</v>
      </c>
      <c r="G9" s="610">
        <f t="shared" si="0"/>
        <v>-7.6999999999999993</v>
      </c>
      <c r="H9" s="609" t="s">
        <v>188</v>
      </c>
      <c r="I9" s="609"/>
      <c r="J9" s="611" t="str">
        <f t="shared" si="1"/>
        <v>SA</v>
      </c>
      <c r="K9" s="611">
        <f t="shared" si="2"/>
        <v>4</v>
      </c>
      <c r="L9" s="611">
        <f t="shared" si="3"/>
        <v>0</v>
      </c>
      <c r="M9" s="611">
        <v>1200</v>
      </c>
      <c r="N9" s="607">
        <v>20</v>
      </c>
      <c r="O9" s="607">
        <v>18</v>
      </c>
      <c r="P9" s="612" t="s">
        <v>758</v>
      </c>
      <c r="Q9" s="611">
        <f>VLOOKUP(P9,'Dia chat'!$E:$AE,7,0)</f>
        <v>-18.739999999999998</v>
      </c>
      <c r="R9" s="575" t="s">
        <v>824</v>
      </c>
      <c r="S9" s="575"/>
      <c r="T9" s="575"/>
      <c r="U9" s="575"/>
      <c r="V9" s="575"/>
      <c r="W9" s="575"/>
      <c r="X9" s="575"/>
      <c r="Y9" s="575"/>
      <c r="Z9" s="575"/>
      <c r="AA9" s="575"/>
      <c r="AB9" s="575"/>
    </row>
    <row r="10" spans="1:28" ht="15.95" customHeight="1">
      <c r="A10" s="607" t="s">
        <v>524</v>
      </c>
      <c r="B10" s="608">
        <v>2317785.8220000002</v>
      </c>
      <c r="C10" s="608">
        <v>430324.109</v>
      </c>
      <c r="D10" s="609">
        <v>23.5</v>
      </c>
      <c r="E10" s="582" t="s">
        <v>707</v>
      </c>
      <c r="F10" s="654">
        <v>-8.6999999999999993</v>
      </c>
      <c r="G10" s="610">
        <f t="shared" si="0"/>
        <v>-7.6999999999999993</v>
      </c>
      <c r="H10" s="609"/>
      <c r="I10" s="609"/>
      <c r="J10" s="611" t="str">
        <f t="shared" si="1"/>
        <v/>
      </c>
      <c r="K10" s="611">
        <f t="shared" si="2"/>
        <v>0</v>
      </c>
      <c r="L10" s="611">
        <f t="shared" si="3"/>
        <v>0</v>
      </c>
      <c r="M10" s="611">
        <v>1200</v>
      </c>
      <c r="N10" s="607">
        <v>20</v>
      </c>
      <c r="O10" s="607">
        <v>18</v>
      </c>
      <c r="P10" s="612" t="s">
        <v>758</v>
      </c>
      <c r="Q10" s="611">
        <f>VLOOKUP(P10,'Dia chat'!$E:$AE,7,0)</f>
        <v>-18.739999999999998</v>
      </c>
      <c r="R10" s="575" t="s">
        <v>824</v>
      </c>
      <c r="S10" s="575"/>
      <c r="T10" s="575"/>
      <c r="U10" s="575"/>
      <c r="V10" s="575"/>
      <c r="W10" s="575"/>
      <c r="X10" s="575"/>
      <c r="Y10" s="575"/>
      <c r="Z10" s="575"/>
      <c r="AA10" s="575"/>
      <c r="AB10" s="575"/>
    </row>
    <row r="11" spans="1:28" ht="15.95" customHeight="1">
      <c r="A11" s="607" t="s">
        <v>529</v>
      </c>
      <c r="B11" s="608">
        <v>2317787.821</v>
      </c>
      <c r="C11" s="608">
        <v>430331.52600000001</v>
      </c>
      <c r="D11" s="609">
        <v>23.5</v>
      </c>
      <c r="E11" s="582" t="s">
        <v>706</v>
      </c>
      <c r="F11" s="654">
        <v>-8.6999999999999993</v>
      </c>
      <c r="G11" s="610">
        <f t="shared" si="0"/>
        <v>-7.6999999999999993</v>
      </c>
      <c r="H11" s="609"/>
      <c r="I11" s="609"/>
      <c r="J11" s="611" t="str">
        <f t="shared" si="1"/>
        <v/>
      </c>
      <c r="K11" s="611">
        <f t="shared" si="2"/>
        <v>0</v>
      </c>
      <c r="L11" s="611">
        <f t="shared" si="3"/>
        <v>0</v>
      </c>
      <c r="M11" s="611">
        <v>1200</v>
      </c>
      <c r="N11" s="607">
        <v>20</v>
      </c>
      <c r="O11" s="607">
        <v>18</v>
      </c>
      <c r="P11" s="612" t="s">
        <v>818</v>
      </c>
      <c r="Q11" s="623">
        <v>-22</v>
      </c>
      <c r="R11" s="575" t="s">
        <v>824</v>
      </c>
      <c r="S11" s="575"/>
      <c r="T11" s="575"/>
      <c r="U11" s="575"/>
      <c r="V11" s="575"/>
      <c r="W11" s="575"/>
      <c r="X11" s="575"/>
      <c r="Y11" s="575"/>
      <c r="Z11" s="575"/>
      <c r="AA11" s="575"/>
      <c r="AB11" s="575"/>
    </row>
    <row r="12" spans="1:28" ht="15.95" customHeight="1">
      <c r="A12" s="607" t="s">
        <v>533</v>
      </c>
      <c r="B12" s="608">
        <v>2317787.9569999999</v>
      </c>
      <c r="C12" s="608">
        <v>430334.52299999999</v>
      </c>
      <c r="D12" s="609">
        <v>23.5</v>
      </c>
      <c r="E12" s="582" t="s">
        <v>706</v>
      </c>
      <c r="F12" s="654">
        <v>-8.6999999999999993</v>
      </c>
      <c r="G12" s="610">
        <f t="shared" si="0"/>
        <v>-7.6999999999999993</v>
      </c>
      <c r="H12" s="609" t="s">
        <v>188</v>
      </c>
      <c r="I12" s="609"/>
      <c r="J12" s="611" t="str">
        <f t="shared" si="1"/>
        <v>SA</v>
      </c>
      <c r="K12" s="611">
        <f t="shared" si="2"/>
        <v>4</v>
      </c>
      <c r="L12" s="611">
        <f t="shared" si="3"/>
        <v>0</v>
      </c>
      <c r="M12" s="611">
        <v>1200</v>
      </c>
      <c r="N12" s="607">
        <v>20</v>
      </c>
      <c r="O12" s="607">
        <v>18</v>
      </c>
      <c r="P12" s="612" t="s">
        <v>818</v>
      </c>
      <c r="Q12" s="623">
        <v>-22</v>
      </c>
      <c r="R12" s="575" t="s">
        <v>824</v>
      </c>
      <c r="S12" s="575"/>
      <c r="T12" s="575"/>
      <c r="U12" s="575"/>
      <c r="V12" s="575"/>
      <c r="W12" s="575"/>
      <c r="X12" s="575"/>
      <c r="Y12" s="575"/>
      <c r="Z12" s="575"/>
      <c r="AA12" s="575"/>
      <c r="AB12" s="575"/>
    </row>
    <row r="13" spans="1:28" ht="15.95" customHeight="1">
      <c r="A13" s="607" t="s">
        <v>538</v>
      </c>
      <c r="B13" s="608">
        <v>2317788.2889999999</v>
      </c>
      <c r="C13" s="608">
        <v>430342.91700000002</v>
      </c>
      <c r="D13" s="609">
        <v>22.7</v>
      </c>
      <c r="E13" s="582" t="s">
        <v>706</v>
      </c>
      <c r="F13" s="654">
        <v>-8.6999999999999993</v>
      </c>
      <c r="G13" s="610">
        <f t="shared" si="0"/>
        <v>-7.6999999999999993</v>
      </c>
      <c r="H13" s="609"/>
      <c r="I13" s="609"/>
      <c r="J13" s="611" t="str">
        <f t="shared" si="1"/>
        <v/>
      </c>
      <c r="K13" s="611">
        <f t="shared" si="2"/>
        <v>0</v>
      </c>
      <c r="L13" s="611">
        <f t="shared" si="3"/>
        <v>0</v>
      </c>
      <c r="M13" s="611">
        <v>1200</v>
      </c>
      <c r="N13" s="607">
        <v>20</v>
      </c>
      <c r="O13" s="607">
        <v>18</v>
      </c>
      <c r="P13" s="612" t="s">
        <v>758</v>
      </c>
      <c r="Q13" s="611">
        <f>VLOOKUP(P13,'Dia chat'!$E:$AE,7,0)</f>
        <v>-18.739999999999998</v>
      </c>
      <c r="R13" s="575" t="s">
        <v>824</v>
      </c>
      <c r="S13" s="575"/>
      <c r="T13" s="575"/>
      <c r="U13" s="575"/>
      <c r="V13" s="575"/>
      <c r="W13" s="575"/>
      <c r="X13" s="575"/>
      <c r="Y13" s="575"/>
      <c r="Z13" s="575"/>
      <c r="AA13" s="575"/>
      <c r="AB13" s="575"/>
    </row>
    <row r="14" spans="1:28" ht="15.95" customHeight="1">
      <c r="A14" s="607" t="s">
        <v>543</v>
      </c>
      <c r="B14" s="608">
        <v>2317788.4249999998</v>
      </c>
      <c r="C14" s="608">
        <v>430345.91399999999</v>
      </c>
      <c r="D14" s="609">
        <v>22.7</v>
      </c>
      <c r="E14" s="582" t="s">
        <v>706</v>
      </c>
      <c r="F14" s="654">
        <v>-8.6999999999999993</v>
      </c>
      <c r="G14" s="610">
        <f t="shared" si="0"/>
        <v>-7.6999999999999993</v>
      </c>
      <c r="H14" s="609"/>
      <c r="I14" s="609" t="s">
        <v>188</v>
      </c>
      <c r="J14" s="611" t="str">
        <f t="shared" si="1"/>
        <v>L</v>
      </c>
      <c r="K14" s="611">
        <f t="shared" si="2"/>
        <v>3</v>
      </c>
      <c r="L14" s="611">
        <f t="shared" si="3"/>
        <v>1</v>
      </c>
      <c r="M14" s="611">
        <v>1200</v>
      </c>
      <c r="N14" s="607">
        <v>20</v>
      </c>
      <c r="O14" s="607">
        <v>18</v>
      </c>
      <c r="P14" s="612" t="s">
        <v>758</v>
      </c>
      <c r="Q14" s="611">
        <f>VLOOKUP(P14,'Dia chat'!$E:$AE,7,0)</f>
        <v>-18.739999999999998</v>
      </c>
      <c r="R14" s="575" t="s">
        <v>824</v>
      </c>
      <c r="S14" s="575"/>
      <c r="T14" s="575"/>
      <c r="U14" s="575"/>
      <c r="V14" s="575"/>
      <c r="W14" s="575"/>
      <c r="X14" s="575"/>
      <c r="Y14" s="575"/>
      <c r="Z14" s="575"/>
      <c r="AA14" s="575"/>
      <c r="AB14" s="575"/>
    </row>
    <row r="15" spans="1:28" ht="15.95" customHeight="1">
      <c r="A15" s="607" t="s">
        <v>548</v>
      </c>
      <c r="B15" s="608">
        <v>2317789.6680000001</v>
      </c>
      <c r="C15" s="608">
        <v>430351.46299999999</v>
      </c>
      <c r="D15" s="609">
        <v>23.2</v>
      </c>
      <c r="E15" s="582" t="s">
        <v>707</v>
      </c>
      <c r="F15" s="654">
        <v>-8.6999999999999993</v>
      </c>
      <c r="G15" s="610">
        <f t="shared" si="0"/>
        <v>-7.6999999999999993</v>
      </c>
      <c r="H15" s="609"/>
      <c r="I15" s="609"/>
      <c r="J15" s="611" t="str">
        <f t="shared" si="1"/>
        <v/>
      </c>
      <c r="K15" s="611">
        <f t="shared" si="2"/>
        <v>0</v>
      </c>
      <c r="L15" s="611">
        <f t="shared" si="3"/>
        <v>0</v>
      </c>
      <c r="M15" s="611">
        <v>1200</v>
      </c>
      <c r="N15" s="607">
        <v>20</v>
      </c>
      <c r="O15" s="607">
        <v>18</v>
      </c>
      <c r="P15" s="612" t="s">
        <v>760</v>
      </c>
      <c r="Q15" s="611">
        <f>VLOOKUP(P15,'Dia chat'!$E:$AE,7,0)</f>
        <v>-19.27</v>
      </c>
      <c r="R15" s="575" t="s">
        <v>824</v>
      </c>
      <c r="S15" s="575"/>
      <c r="T15" s="575"/>
      <c r="U15" s="575"/>
      <c r="V15" s="575"/>
      <c r="W15" s="575"/>
      <c r="X15" s="575"/>
      <c r="Y15" s="575"/>
      <c r="Z15" s="575"/>
      <c r="AA15" s="575"/>
      <c r="AB15" s="575"/>
    </row>
    <row r="16" spans="1:28" ht="15.95" customHeight="1">
      <c r="A16" s="607" t="s">
        <v>553</v>
      </c>
      <c r="B16" s="608">
        <v>2317789.8050000002</v>
      </c>
      <c r="C16" s="608">
        <v>430354.46</v>
      </c>
      <c r="D16" s="609">
        <v>23.2</v>
      </c>
      <c r="E16" s="582" t="s">
        <v>707</v>
      </c>
      <c r="F16" s="654">
        <v>-8.6999999999999993</v>
      </c>
      <c r="G16" s="610">
        <f t="shared" si="0"/>
        <v>-7.6999999999999993</v>
      </c>
      <c r="H16" s="609" t="s">
        <v>188</v>
      </c>
      <c r="I16" s="609"/>
      <c r="J16" s="611" t="str">
        <f t="shared" si="1"/>
        <v>SA</v>
      </c>
      <c r="K16" s="611">
        <f t="shared" si="2"/>
        <v>4</v>
      </c>
      <c r="L16" s="611">
        <f t="shared" si="3"/>
        <v>0</v>
      </c>
      <c r="M16" s="611">
        <v>1200</v>
      </c>
      <c r="N16" s="607">
        <v>20</v>
      </c>
      <c r="O16" s="607">
        <v>18</v>
      </c>
      <c r="P16" s="612" t="s">
        <v>760</v>
      </c>
      <c r="Q16" s="611">
        <f>VLOOKUP(P16,'Dia chat'!$E:$AE,7,0)</f>
        <v>-19.27</v>
      </c>
      <c r="R16" s="575" t="s">
        <v>824</v>
      </c>
      <c r="S16" s="575"/>
      <c r="T16" s="575"/>
      <c r="U16" s="575"/>
      <c r="V16" s="575"/>
      <c r="W16" s="575"/>
      <c r="X16" s="575"/>
      <c r="Y16" s="575"/>
      <c r="Z16" s="575"/>
      <c r="AA16" s="575"/>
      <c r="AB16" s="575"/>
    </row>
    <row r="17" spans="1:28" ht="15.95" customHeight="1">
      <c r="A17" s="607" t="s">
        <v>558</v>
      </c>
      <c r="B17" s="608">
        <v>2317787.0389999999</v>
      </c>
      <c r="C17" s="608">
        <v>430353.08399999997</v>
      </c>
      <c r="D17" s="609">
        <v>23.2</v>
      </c>
      <c r="E17" s="582" t="s">
        <v>707</v>
      </c>
      <c r="F17" s="654">
        <v>-8.6999999999999993</v>
      </c>
      <c r="G17" s="610">
        <f t="shared" si="0"/>
        <v>-7.6999999999999993</v>
      </c>
      <c r="H17" s="609"/>
      <c r="I17" s="609"/>
      <c r="J17" s="611" t="str">
        <f t="shared" si="1"/>
        <v/>
      </c>
      <c r="K17" s="611">
        <f t="shared" si="2"/>
        <v>0</v>
      </c>
      <c r="L17" s="611">
        <f t="shared" si="3"/>
        <v>0</v>
      </c>
      <c r="M17" s="611">
        <v>1200</v>
      </c>
      <c r="N17" s="607">
        <v>20</v>
      </c>
      <c r="O17" s="607">
        <v>18</v>
      </c>
      <c r="P17" s="612" t="s">
        <v>760</v>
      </c>
      <c r="Q17" s="611">
        <f>VLOOKUP(P17,'Dia chat'!$E:$AE,7,0)</f>
        <v>-19.27</v>
      </c>
      <c r="R17" s="575" t="s">
        <v>824</v>
      </c>
      <c r="S17" s="575"/>
      <c r="T17" s="575"/>
      <c r="U17" s="575"/>
      <c r="V17" s="575"/>
      <c r="W17" s="575"/>
      <c r="X17" s="575"/>
      <c r="Y17" s="575"/>
      <c r="Z17" s="575"/>
      <c r="AA17" s="575"/>
      <c r="AB17" s="575"/>
    </row>
    <row r="18" spans="1:28" ht="15.95" customHeight="1">
      <c r="A18" s="607" t="s">
        <v>563</v>
      </c>
      <c r="B18" s="608">
        <v>2317790.068</v>
      </c>
      <c r="C18" s="608">
        <v>430360.25400000002</v>
      </c>
      <c r="D18" s="609">
        <v>39.6</v>
      </c>
      <c r="E18" s="582" t="s">
        <v>707</v>
      </c>
      <c r="F18" s="654">
        <v>-8.6999999999999993</v>
      </c>
      <c r="G18" s="610">
        <f t="shared" si="0"/>
        <v>-7.6999999999999993</v>
      </c>
      <c r="H18" s="609" t="s">
        <v>188</v>
      </c>
      <c r="I18" s="609"/>
      <c r="J18" s="611" t="str">
        <f t="shared" si="1"/>
        <v>SA</v>
      </c>
      <c r="K18" s="611">
        <f t="shared" si="2"/>
        <v>4</v>
      </c>
      <c r="L18" s="611">
        <f t="shared" si="3"/>
        <v>0</v>
      </c>
      <c r="M18" s="611">
        <v>1200</v>
      </c>
      <c r="N18" s="607">
        <v>20</v>
      </c>
      <c r="O18" s="607">
        <v>18</v>
      </c>
      <c r="P18" s="612" t="s">
        <v>781</v>
      </c>
      <c r="Q18" s="623">
        <v>-22</v>
      </c>
      <c r="R18" s="575" t="s">
        <v>824</v>
      </c>
      <c r="S18" s="575"/>
      <c r="T18" s="575"/>
      <c r="U18" s="575"/>
      <c r="V18" s="575"/>
      <c r="W18" s="575"/>
      <c r="X18" s="575"/>
      <c r="Y18" s="575"/>
      <c r="Z18" s="575"/>
      <c r="AA18" s="575"/>
      <c r="AB18" s="575"/>
    </row>
    <row r="19" spans="1:28" ht="15.95" customHeight="1">
      <c r="A19" s="607" t="s">
        <v>568</v>
      </c>
      <c r="B19" s="608">
        <v>2317790.2039999999</v>
      </c>
      <c r="C19" s="608">
        <v>430363.25099999999</v>
      </c>
      <c r="D19" s="609">
        <v>39.6</v>
      </c>
      <c r="E19" s="582" t="s">
        <v>707</v>
      </c>
      <c r="F19" s="654">
        <v>-8.6999999999999993</v>
      </c>
      <c r="G19" s="610">
        <f t="shared" si="0"/>
        <v>-7.6999999999999993</v>
      </c>
      <c r="H19" s="609"/>
      <c r="I19" s="609"/>
      <c r="J19" s="611" t="str">
        <f t="shared" si="1"/>
        <v/>
      </c>
      <c r="K19" s="611">
        <f t="shared" si="2"/>
        <v>0</v>
      </c>
      <c r="L19" s="611">
        <f t="shared" si="3"/>
        <v>0</v>
      </c>
      <c r="M19" s="611">
        <v>1200</v>
      </c>
      <c r="N19" s="607">
        <v>20</v>
      </c>
      <c r="O19" s="607">
        <v>18</v>
      </c>
      <c r="P19" s="612" t="s">
        <v>781</v>
      </c>
      <c r="Q19" s="623">
        <v>-22</v>
      </c>
      <c r="R19" s="575" t="s">
        <v>824</v>
      </c>
      <c r="S19" s="575"/>
      <c r="T19" s="575"/>
      <c r="U19" s="575"/>
      <c r="V19" s="575"/>
      <c r="W19" s="575"/>
      <c r="X19" s="575"/>
      <c r="Y19" s="575"/>
      <c r="Z19" s="575"/>
      <c r="AA19" s="575"/>
      <c r="AB19" s="575"/>
    </row>
    <row r="20" spans="1:28" ht="15.95" customHeight="1">
      <c r="A20" s="607" t="s">
        <v>573</v>
      </c>
      <c r="B20" s="608">
        <v>2317787.4389999998</v>
      </c>
      <c r="C20" s="608">
        <v>430361.875</v>
      </c>
      <c r="D20" s="609">
        <v>39.6</v>
      </c>
      <c r="E20" s="582" t="s">
        <v>707</v>
      </c>
      <c r="F20" s="654">
        <v>-8.6999999999999993</v>
      </c>
      <c r="G20" s="610">
        <f t="shared" si="0"/>
        <v>-7.6999999999999993</v>
      </c>
      <c r="H20" s="609" t="s">
        <v>188</v>
      </c>
      <c r="I20" s="609"/>
      <c r="J20" s="611" t="str">
        <f t="shared" si="1"/>
        <v>SA</v>
      </c>
      <c r="K20" s="611">
        <f t="shared" si="2"/>
        <v>4</v>
      </c>
      <c r="L20" s="611">
        <f t="shared" si="3"/>
        <v>0</v>
      </c>
      <c r="M20" s="611">
        <v>1200</v>
      </c>
      <c r="N20" s="607">
        <v>20</v>
      </c>
      <c r="O20" s="607">
        <v>18</v>
      </c>
      <c r="P20" s="612" t="s">
        <v>781</v>
      </c>
      <c r="Q20" s="623">
        <v>-22</v>
      </c>
      <c r="R20" s="575" t="s">
        <v>824</v>
      </c>
      <c r="S20" s="575"/>
      <c r="T20" s="575"/>
      <c r="U20" s="575"/>
      <c r="V20" s="575"/>
      <c r="W20" s="575"/>
      <c r="X20" s="575"/>
      <c r="Y20" s="575"/>
      <c r="Z20" s="575"/>
      <c r="AA20" s="575"/>
      <c r="AB20" s="575"/>
    </row>
    <row r="21" spans="1:28" ht="15.95" customHeight="1">
      <c r="A21" s="647" t="s">
        <v>578</v>
      </c>
      <c r="B21" s="648">
        <v>2317790.486</v>
      </c>
      <c r="C21" s="648">
        <v>430369.44400000002</v>
      </c>
      <c r="D21" s="649">
        <v>39.6</v>
      </c>
      <c r="E21" s="650" t="s">
        <v>708</v>
      </c>
      <c r="F21" s="655">
        <v>-7.7</v>
      </c>
      <c r="G21" s="651">
        <f t="shared" si="0"/>
        <v>-6.7</v>
      </c>
      <c r="H21" s="649" t="s">
        <v>188</v>
      </c>
      <c r="I21" s="649"/>
      <c r="J21" s="652" t="str">
        <f t="shared" si="1"/>
        <v>SA</v>
      </c>
      <c r="K21" s="652">
        <f t="shared" si="2"/>
        <v>4</v>
      </c>
      <c r="L21" s="652">
        <f t="shared" si="3"/>
        <v>0</v>
      </c>
      <c r="M21" s="652">
        <v>1200</v>
      </c>
      <c r="N21" s="647">
        <v>20</v>
      </c>
      <c r="O21" s="649">
        <v>36</v>
      </c>
      <c r="P21" s="612" t="s">
        <v>781</v>
      </c>
      <c r="Q21" s="623">
        <v>-22</v>
      </c>
      <c r="R21" s="624" t="s">
        <v>827</v>
      </c>
      <c r="S21" s="575"/>
      <c r="T21" s="575"/>
      <c r="U21" s="575"/>
      <c r="V21" s="575"/>
      <c r="W21" s="575"/>
      <c r="X21" s="575"/>
      <c r="Y21" s="575"/>
      <c r="Z21" s="575"/>
      <c r="AA21" s="575"/>
      <c r="AB21" s="575"/>
    </row>
    <row r="22" spans="1:28" ht="15.95" customHeight="1">
      <c r="A22" s="613" t="s">
        <v>583</v>
      </c>
      <c r="B22" s="614">
        <v>2317787.8569999998</v>
      </c>
      <c r="C22" s="614">
        <v>430371.065</v>
      </c>
      <c r="D22" s="609">
        <v>39.6</v>
      </c>
      <c r="E22" s="582" t="s">
        <v>708</v>
      </c>
      <c r="F22" s="654">
        <v>-7.7</v>
      </c>
      <c r="G22" s="610">
        <f t="shared" si="0"/>
        <v>-6.7</v>
      </c>
      <c r="H22" s="609"/>
      <c r="I22" s="609"/>
      <c r="J22" s="611" t="str">
        <f t="shared" si="1"/>
        <v/>
      </c>
      <c r="K22" s="611">
        <f t="shared" si="2"/>
        <v>0</v>
      </c>
      <c r="L22" s="611">
        <f t="shared" si="3"/>
        <v>0</v>
      </c>
      <c r="M22" s="611">
        <v>1200</v>
      </c>
      <c r="N22" s="607">
        <v>20</v>
      </c>
      <c r="O22" s="607">
        <v>18</v>
      </c>
      <c r="P22" s="612" t="s">
        <v>789</v>
      </c>
      <c r="Q22" s="611">
        <f>VLOOKUP(P22,'Dia chat'!$E:$AE,7,0)</f>
        <v>-20.88</v>
      </c>
      <c r="R22" s="624" t="s">
        <v>827</v>
      </c>
      <c r="S22" s="575"/>
      <c r="T22" s="575"/>
      <c r="U22" s="575"/>
      <c r="V22" s="575"/>
      <c r="W22" s="575"/>
      <c r="X22" s="575"/>
      <c r="Y22" s="575"/>
      <c r="Z22" s="575"/>
      <c r="AA22" s="575"/>
      <c r="AB22" s="575"/>
    </row>
    <row r="23" spans="1:28" ht="15.95" customHeight="1">
      <c r="A23" s="607" t="s">
        <v>588</v>
      </c>
      <c r="B23" s="608">
        <v>2317790.622</v>
      </c>
      <c r="C23" s="608">
        <v>430372.44099999999</v>
      </c>
      <c r="D23" s="609">
        <v>31.8</v>
      </c>
      <c r="E23" s="582" t="s">
        <v>708</v>
      </c>
      <c r="F23" s="654">
        <v>-7.7</v>
      </c>
      <c r="G23" s="610">
        <f t="shared" si="0"/>
        <v>-6.7</v>
      </c>
      <c r="H23" s="609" t="s">
        <v>188</v>
      </c>
      <c r="I23" s="609"/>
      <c r="J23" s="611" t="str">
        <f t="shared" si="1"/>
        <v>SA</v>
      </c>
      <c r="K23" s="611">
        <f t="shared" si="2"/>
        <v>4</v>
      </c>
      <c r="L23" s="611">
        <f t="shared" si="3"/>
        <v>0</v>
      </c>
      <c r="M23" s="611">
        <v>1200</v>
      </c>
      <c r="N23" s="607">
        <v>20</v>
      </c>
      <c r="O23" s="607">
        <v>18</v>
      </c>
      <c r="P23" s="612" t="s">
        <v>789</v>
      </c>
      <c r="Q23" s="611">
        <f>VLOOKUP(P23,'Dia chat'!$E:$AE,7,0)</f>
        <v>-20.88</v>
      </c>
      <c r="R23" s="624" t="s">
        <v>827</v>
      </c>
      <c r="S23" s="575"/>
      <c r="T23" s="575"/>
      <c r="U23" s="575"/>
      <c r="V23" s="575"/>
      <c r="W23" s="575"/>
      <c r="X23" s="575"/>
      <c r="Y23" s="575"/>
      <c r="Z23" s="575"/>
      <c r="AA23" s="575"/>
      <c r="AB23" s="575"/>
    </row>
    <row r="24" spans="1:28" ht="15.95" customHeight="1">
      <c r="A24" s="607" t="s">
        <v>593</v>
      </c>
      <c r="B24" s="608">
        <v>2317790.895</v>
      </c>
      <c r="C24" s="608">
        <v>430378.435</v>
      </c>
      <c r="D24" s="609">
        <v>26.9</v>
      </c>
      <c r="E24" s="582" t="s">
        <v>708</v>
      </c>
      <c r="F24" s="654">
        <v>-7.7</v>
      </c>
      <c r="G24" s="610">
        <f t="shared" si="0"/>
        <v>-6.7</v>
      </c>
      <c r="H24" s="609" t="s">
        <v>188</v>
      </c>
      <c r="I24" s="609"/>
      <c r="J24" s="611" t="str">
        <f t="shared" si="1"/>
        <v>SA</v>
      </c>
      <c r="K24" s="611">
        <f t="shared" si="2"/>
        <v>4</v>
      </c>
      <c r="L24" s="611">
        <f t="shared" si="3"/>
        <v>0</v>
      </c>
      <c r="M24" s="611">
        <v>1200</v>
      </c>
      <c r="N24" s="607">
        <v>20</v>
      </c>
      <c r="O24" s="607">
        <v>18</v>
      </c>
      <c r="P24" s="612" t="s">
        <v>789</v>
      </c>
      <c r="Q24" s="611">
        <f>VLOOKUP(P24,'Dia chat'!$E:$AE,7,0)</f>
        <v>-20.88</v>
      </c>
      <c r="R24" s="624" t="s">
        <v>827</v>
      </c>
      <c r="S24" s="575"/>
      <c r="T24" s="575"/>
      <c r="U24" s="575"/>
      <c r="V24" s="575"/>
      <c r="W24" s="575"/>
      <c r="X24" s="575"/>
      <c r="Y24" s="575"/>
      <c r="Z24" s="575"/>
      <c r="AA24" s="575"/>
      <c r="AB24" s="575"/>
    </row>
    <row r="25" spans="1:28" ht="15.95" customHeight="1">
      <c r="A25" s="607" t="s">
        <v>598</v>
      </c>
      <c r="B25" s="608">
        <v>2317788.2659999998</v>
      </c>
      <c r="C25" s="608">
        <v>430380.05599999998</v>
      </c>
      <c r="D25" s="609">
        <v>26.9</v>
      </c>
      <c r="E25" s="582" t="s">
        <v>708</v>
      </c>
      <c r="F25" s="654">
        <v>-7.7</v>
      </c>
      <c r="G25" s="610">
        <f t="shared" si="0"/>
        <v>-6.7</v>
      </c>
      <c r="H25" s="609"/>
      <c r="I25" s="609" t="s">
        <v>188</v>
      </c>
      <c r="J25" s="611" t="str">
        <f t="shared" si="1"/>
        <v>L</v>
      </c>
      <c r="K25" s="611">
        <f t="shared" si="2"/>
        <v>3</v>
      </c>
      <c r="L25" s="611">
        <f t="shared" si="3"/>
        <v>1</v>
      </c>
      <c r="M25" s="611">
        <v>1200</v>
      </c>
      <c r="N25" s="607">
        <v>20</v>
      </c>
      <c r="O25" s="607">
        <v>18</v>
      </c>
      <c r="P25" s="612" t="s">
        <v>790</v>
      </c>
      <c r="Q25" s="623">
        <v>-22</v>
      </c>
      <c r="R25" s="624" t="s">
        <v>827</v>
      </c>
      <c r="S25" s="575"/>
      <c r="T25" s="575"/>
      <c r="U25" s="575"/>
      <c r="V25" s="575"/>
      <c r="W25" s="575"/>
      <c r="X25" s="575"/>
      <c r="Y25" s="575"/>
      <c r="Z25" s="575"/>
      <c r="AA25" s="575"/>
      <c r="AB25" s="575"/>
    </row>
    <row r="26" spans="1:28" ht="15.95" customHeight="1">
      <c r="A26" s="607" t="s">
        <v>603</v>
      </c>
      <c r="B26" s="608">
        <v>2317791.031</v>
      </c>
      <c r="C26" s="608">
        <v>430381.43199999997</v>
      </c>
      <c r="D26" s="609">
        <v>26.9</v>
      </c>
      <c r="E26" s="582" t="s">
        <v>708</v>
      </c>
      <c r="F26" s="654">
        <v>-7.7</v>
      </c>
      <c r="G26" s="610">
        <f t="shared" si="0"/>
        <v>-6.7</v>
      </c>
      <c r="H26" s="609" t="s">
        <v>188</v>
      </c>
      <c r="I26" s="609"/>
      <c r="J26" s="611" t="str">
        <f t="shared" si="1"/>
        <v>SA</v>
      </c>
      <c r="K26" s="611">
        <f t="shared" si="2"/>
        <v>4</v>
      </c>
      <c r="L26" s="611">
        <f t="shared" si="3"/>
        <v>0</v>
      </c>
      <c r="M26" s="611">
        <v>1200</v>
      </c>
      <c r="N26" s="607">
        <v>20</v>
      </c>
      <c r="O26" s="607">
        <v>18</v>
      </c>
      <c r="P26" s="612" t="s">
        <v>790</v>
      </c>
      <c r="Q26" s="623">
        <v>-22</v>
      </c>
      <c r="R26" s="624" t="s">
        <v>827</v>
      </c>
      <c r="S26" s="575"/>
      <c r="T26" s="575"/>
      <c r="U26" s="575"/>
      <c r="V26" s="575"/>
      <c r="W26" s="575"/>
      <c r="X26" s="575"/>
      <c r="Y26" s="575"/>
      <c r="Z26" s="575"/>
      <c r="AA26" s="575"/>
      <c r="AB26" s="575"/>
    </row>
    <row r="27" spans="1:28" ht="15.95" customHeight="1">
      <c r="A27" s="607" t="s">
        <v>608</v>
      </c>
      <c r="B27" s="608">
        <v>2317790.2969999998</v>
      </c>
      <c r="C27" s="608">
        <v>430387.08100000001</v>
      </c>
      <c r="D27" s="609">
        <v>26.9</v>
      </c>
      <c r="E27" s="582" t="s">
        <v>709</v>
      </c>
      <c r="F27" s="654">
        <v>-7.7</v>
      </c>
      <c r="G27" s="610">
        <f t="shared" si="0"/>
        <v>-6.7</v>
      </c>
      <c r="H27" s="609" t="s">
        <v>188</v>
      </c>
      <c r="I27" s="609"/>
      <c r="J27" s="611" t="str">
        <f t="shared" si="1"/>
        <v>SA</v>
      </c>
      <c r="K27" s="611">
        <f t="shared" si="2"/>
        <v>4</v>
      </c>
      <c r="L27" s="611">
        <f t="shared" si="3"/>
        <v>0</v>
      </c>
      <c r="M27" s="611">
        <v>1200</v>
      </c>
      <c r="N27" s="607">
        <v>20</v>
      </c>
      <c r="O27" s="607">
        <v>18</v>
      </c>
      <c r="P27" s="612" t="s">
        <v>790</v>
      </c>
      <c r="Q27" s="623">
        <v>-22</v>
      </c>
      <c r="R27" s="624" t="s">
        <v>827</v>
      </c>
      <c r="S27" s="575"/>
      <c r="T27" s="575"/>
      <c r="U27" s="575"/>
      <c r="V27" s="575"/>
      <c r="W27" s="575"/>
      <c r="X27" s="575"/>
      <c r="Y27" s="575"/>
      <c r="Z27" s="575"/>
      <c r="AA27" s="575"/>
      <c r="AB27" s="575"/>
    </row>
    <row r="28" spans="1:28" ht="15.95" customHeight="1">
      <c r="A28" s="607" t="s">
        <v>613</v>
      </c>
      <c r="B28" s="608">
        <v>2317790.4330000002</v>
      </c>
      <c r="C28" s="608">
        <v>430390.07799999998</v>
      </c>
      <c r="D28" s="609">
        <v>26.9</v>
      </c>
      <c r="E28" s="582" t="s">
        <v>709</v>
      </c>
      <c r="F28" s="654">
        <v>-7.7</v>
      </c>
      <c r="G28" s="610">
        <f t="shared" si="0"/>
        <v>-6.7</v>
      </c>
      <c r="H28" s="609" t="s">
        <v>188</v>
      </c>
      <c r="I28" s="609"/>
      <c r="J28" s="611" t="str">
        <f t="shared" si="1"/>
        <v>SA</v>
      </c>
      <c r="K28" s="611">
        <f t="shared" si="2"/>
        <v>4</v>
      </c>
      <c r="L28" s="611">
        <f t="shared" si="3"/>
        <v>0</v>
      </c>
      <c r="M28" s="611">
        <v>1200</v>
      </c>
      <c r="N28" s="607">
        <v>20</v>
      </c>
      <c r="O28" s="607">
        <v>18</v>
      </c>
      <c r="P28" s="612" t="s">
        <v>790</v>
      </c>
      <c r="Q28" s="623">
        <v>-22</v>
      </c>
      <c r="R28" s="624" t="s">
        <v>827</v>
      </c>
      <c r="S28" s="575"/>
      <c r="T28" s="575"/>
      <c r="U28" s="575"/>
      <c r="V28" s="575"/>
      <c r="W28" s="575"/>
      <c r="X28" s="575"/>
      <c r="Y28" s="575"/>
      <c r="Z28" s="575"/>
      <c r="AA28" s="575"/>
      <c r="AB28" s="575"/>
    </row>
    <row r="29" spans="1:28" ht="15.95" customHeight="1">
      <c r="A29" s="607" t="s">
        <v>618</v>
      </c>
      <c r="B29" s="608">
        <v>2317779.4610000001</v>
      </c>
      <c r="C29" s="608">
        <v>430305.28899999999</v>
      </c>
      <c r="D29" s="609">
        <v>26</v>
      </c>
      <c r="E29" s="582" t="s">
        <v>707</v>
      </c>
      <c r="F29" s="654">
        <v>-8.6999999999999993</v>
      </c>
      <c r="G29" s="610">
        <f t="shared" si="0"/>
        <v>-7.6999999999999993</v>
      </c>
      <c r="H29" s="609"/>
      <c r="I29" s="609" t="s">
        <v>188</v>
      </c>
      <c r="J29" s="611" t="str">
        <f t="shared" si="1"/>
        <v>L</v>
      </c>
      <c r="K29" s="611">
        <f t="shared" si="2"/>
        <v>3</v>
      </c>
      <c r="L29" s="611">
        <f t="shared" si="3"/>
        <v>1</v>
      </c>
      <c r="M29" s="611">
        <v>1200</v>
      </c>
      <c r="N29" s="607">
        <v>20</v>
      </c>
      <c r="O29" s="607">
        <v>18</v>
      </c>
      <c r="P29" s="612" t="s">
        <v>761</v>
      </c>
      <c r="Q29" s="611">
        <f>VLOOKUP(P29,'Dia chat'!$E:$AE,7,0)</f>
        <v>-20.54</v>
      </c>
      <c r="R29" s="575" t="s">
        <v>824</v>
      </c>
      <c r="S29" s="575"/>
      <c r="T29" s="575"/>
      <c r="U29" s="575"/>
      <c r="V29" s="575"/>
      <c r="W29" s="575"/>
      <c r="X29" s="575"/>
      <c r="Y29" s="575"/>
      <c r="Z29" s="575"/>
      <c r="AA29" s="575"/>
      <c r="AB29" s="575"/>
    </row>
    <row r="30" spans="1:28" ht="15.95" customHeight="1">
      <c r="A30" s="607" t="s">
        <v>623</v>
      </c>
      <c r="B30" s="608">
        <v>2317776.4640000002</v>
      </c>
      <c r="C30" s="608">
        <v>430305.42499999999</v>
      </c>
      <c r="D30" s="609">
        <v>26</v>
      </c>
      <c r="E30" s="582" t="s">
        <v>707</v>
      </c>
      <c r="F30" s="654">
        <v>-8.6999999999999993</v>
      </c>
      <c r="G30" s="610">
        <f t="shared" si="0"/>
        <v>-7.6999999999999993</v>
      </c>
      <c r="H30" s="609"/>
      <c r="I30" s="609"/>
      <c r="J30" s="611" t="str">
        <f t="shared" si="1"/>
        <v/>
      </c>
      <c r="K30" s="611">
        <f t="shared" si="2"/>
        <v>0</v>
      </c>
      <c r="L30" s="611">
        <f t="shared" si="3"/>
        <v>0</v>
      </c>
      <c r="M30" s="611">
        <v>1200</v>
      </c>
      <c r="N30" s="607">
        <v>20</v>
      </c>
      <c r="O30" s="607">
        <v>18</v>
      </c>
      <c r="P30" s="612" t="s">
        <v>761</v>
      </c>
      <c r="Q30" s="611">
        <f>VLOOKUP(P30,'Dia chat'!$E:$AE,7,0)</f>
        <v>-20.54</v>
      </c>
      <c r="R30" s="575" t="s">
        <v>824</v>
      </c>
      <c r="S30" s="575"/>
      <c r="T30" s="575"/>
      <c r="U30" s="575"/>
      <c r="V30" s="575"/>
      <c r="W30" s="575"/>
      <c r="X30" s="575"/>
      <c r="Y30" s="575"/>
      <c r="Z30" s="575"/>
      <c r="AA30" s="575"/>
      <c r="AB30" s="575"/>
    </row>
    <row r="31" spans="1:28" ht="15.95" customHeight="1">
      <c r="A31" s="607" t="s">
        <v>628</v>
      </c>
      <c r="B31" s="608">
        <v>2317778.085</v>
      </c>
      <c r="C31" s="608">
        <v>430308.054</v>
      </c>
      <c r="D31" s="609">
        <v>26</v>
      </c>
      <c r="E31" s="582" t="s">
        <v>707</v>
      </c>
      <c r="F31" s="654">
        <v>-8.6999999999999993</v>
      </c>
      <c r="G31" s="610">
        <f t="shared" si="0"/>
        <v>-7.6999999999999993</v>
      </c>
      <c r="H31" s="609"/>
      <c r="I31" s="609"/>
      <c r="J31" s="611" t="str">
        <f t="shared" si="1"/>
        <v/>
      </c>
      <c r="K31" s="611">
        <f t="shared" si="2"/>
        <v>0</v>
      </c>
      <c r="L31" s="611">
        <f t="shared" si="3"/>
        <v>0</v>
      </c>
      <c r="M31" s="611">
        <v>1200</v>
      </c>
      <c r="N31" s="607">
        <v>20</v>
      </c>
      <c r="O31" s="607">
        <v>18</v>
      </c>
      <c r="P31" s="612" t="s">
        <v>761</v>
      </c>
      <c r="Q31" s="611">
        <f>VLOOKUP(P31,'Dia chat'!$E:$AE,7,0)</f>
        <v>-20.54</v>
      </c>
      <c r="R31" s="575" t="s">
        <v>824</v>
      </c>
      <c r="S31" s="575"/>
      <c r="T31" s="575"/>
      <c r="U31" s="575"/>
      <c r="V31" s="575"/>
      <c r="W31" s="575"/>
      <c r="X31" s="575"/>
      <c r="Y31" s="575"/>
      <c r="Z31" s="575"/>
      <c r="AA31" s="575"/>
      <c r="AB31" s="575"/>
    </row>
    <row r="32" spans="1:28" ht="15.95" customHeight="1">
      <c r="A32" s="607" t="s">
        <v>632</v>
      </c>
      <c r="B32" s="608">
        <v>2317770.81</v>
      </c>
      <c r="C32" s="608">
        <v>430305.68199999997</v>
      </c>
      <c r="D32" s="609">
        <v>31.5</v>
      </c>
      <c r="E32" s="582" t="s">
        <v>707</v>
      </c>
      <c r="F32" s="654">
        <v>-8.6999999999999993</v>
      </c>
      <c r="G32" s="610">
        <f t="shared" si="0"/>
        <v>-7.6999999999999993</v>
      </c>
      <c r="H32" s="609"/>
      <c r="I32" s="609"/>
      <c r="J32" s="611" t="str">
        <f t="shared" si="1"/>
        <v/>
      </c>
      <c r="K32" s="611">
        <f t="shared" si="2"/>
        <v>0</v>
      </c>
      <c r="L32" s="611">
        <f t="shared" si="3"/>
        <v>0</v>
      </c>
      <c r="M32" s="611">
        <v>1200</v>
      </c>
      <c r="N32" s="607">
        <v>20</v>
      </c>
      <c r="O32" s="607">
        <v>18</v>
      </c>
      <c r="P32" s="612" t="s">
        <v>762</v>
      </c>
      <c r="Q32" s="611">
        <f>VLOOKUP(P32,'Dia chat'!$E:$AE,7,0)</f>
        <v>-20.63</v>
      </c>
      <c r="R32" s="575" t="s">
        <v>824</v>
      </c>
      <c r="S32" s="575"/>
      <c r="T32" s="575"/>
      <c r="U32" s="575"/>
      <c r="V32" s="575"/>
      <c r="W32" s="575"/>
      <c r="X32" s="575"/>
      <c r="Y32" s="575"/>
      <c r="Z32" s="575"/>
      <c r="AA32" s="575"/>
      <c r="AB32" s="575"/>
    </row>
    <row r="33" spans="1:28" ht="15.95" customHeight="1">
      <c r="A33" s="607" t="s">
        <v>637</v>
      </c>
      <c r="B33" s="608">
        <v>2317767.8130000001</v>
      </c>
      <c r="C33" s="608">
        <v>430305.81800000003</v>
      </c>
      <c r="D33" s="609">
        <v>31.5</v>
      </c>
      <c r="E33" s="582" t="s">
        <v>707</v>
      </c>
      <c r="F33" s="654">
        <v>-8.6999999999999993</v>
      </c>
      <c r="G33" s="610">
        <f t="shared" si="0"/>
        <v>-7.6999999999999993</v>
      </c>
      <c r="H33" s="609"/>
      <c r="I33" s="609"/>
      <c r="J33" s="611" t="str">
        <f t="shared" si="1"/>
        <v/>
      </c>
      <c r="K33" s="611">
        <f t="shared" si="2"/>
        <v>0</v>
      </c>
      <c r="L33" s="611">
        <f t="shared" si="3"/>
        <v>0</v>
      </c>
      <c r="M33" s="611">
        <v>1200</v>
      </c>
      <c r="N33" s="607">
        <v>20</v>
      </c>
      <c r="O33" s="607">
        <v>18</v>
      </c>
      <c r="P33" s="612" t="s">
        <v>762</v>
      </c>
      <c r="Q33" s="611">
        <f>VLOOKUP(P33,'Dia chat'!$E:$AE,7,0)</f>
        <v>-20.63</v>
      </c>
      <c r="R33" s="575" t="s">
        <v>824</v>
      </c>
      <c r="S33" s="575"/>
      <c r="T33" s="575"/>
      <c r="U33" s="575"/>
      <c r="V33" s="575"/>
      <c r="W33" s="575"/>
      <c r="X33" s="575"/>
      <c r="Y33" s="575"/>
      <c r="Z33" s="575"/>
      <c r="AA33" s="575"/>
      <c r="AB33" s="575"/>
    </row>
    <row r="34" spans="1:28" ht="15.95" customHeight="1">
      <c r="A34" s="607" t="s">
        <v>642</v>
      </c>
      <c r="B34" s="608">
        <v>2317769.4339999999</v>
      </c>
      <c r="C34" s="608">
        <v>430308.44699999999</v>
      </c>
      <c r="D34" s="609">
        <v>31.5</v>
      </c>
      <c r="E34" s="582" t="s">
        <v>707</v>
      </c>
      <c r="F34" s="654">
        <v>-8.6999999999999993</v>
      </c>
      <c r="G34" s="610">
        <f t="shared" si="0"/>
        <v>-7.6999999999999993</v>
      </c>
      <c r="H34" s="609" t="s">
        <v>188</v>
      </c>
      <c r="I34" s="609"/>
      <c r="J34" s="611" t="str">
        <f t="shared" si="1"/>
        <v>SA</v>
      </c>
      <c r="K34" s="611">
        <f t="shared" si="2"/>
        <v>4</v>
      </c>
      <c r="L34" s="611">
        <f t="shared" si="3"/>
        <v>0</v>
      </c>
      <c r="M34" s="611">
        <v>1200</v>
      </c>
      <c r="N34" s="607">
        <v>20</v>
      </c>
      <c r="O34" s="607">
        <v>18</v>
      </c>
      <c r="P34" s="612" t="s">
        <v>762</v>
      </c>
      <c r="Q34" s="611">
        <f>VLOOKUP(P34,'Dia chat'!$E:$AE,7,0)</f>
        <v>-20.63</v>
      </c>
      <c r="R34" s="575" t="s">
        <v>824</v>
      </c>
      <c r="S34" s="575"/>
      <c r="T34" s="575"/>
      <c r="U34" s="575"/>
      <c r="V34" s="575"/>
      <c r="W34" s="575"/>
      <c r="X34" s="575"/>
      <c r="Y34" s="575"/>
      <c r="Z34" s="575"/>
      <c r="AA34" s="575"/>
      <c r="AB34" s="575"/>
    </row>
    <row r="35" spans="1:28" ht="15.95" customHeight="1">
      <c r="A35" s="607" t="s">
        <v>647</v>
      </c>
      <c r="B35" s="608">
        <v>2317778.6519999998</v>
      </c>
      <c r="C35" s="608">
        <v>430313.924</v>
      </c>
      <c r="D35" s="609">
        <v>34.299999999999997</v>
      </c>
      <c r="E35" s="582" t="s">
        <v>710</v>
      </c>
      <c r="F35" s="654">
        <v>-8.6999999999999993</v>
      </c>
      <c r="G35" s="610">
        <f t="shared" si="0"/>
        <v>-7.6999999999999993</v>
      </c>
      <c r="H35" s="609"/>
      <c r="I35" s="609"/>
      <c r="J35" s="611" t="str">
        <f t="shared" si="1"/>
        <v/>
      </c>
      <c r="K35" s="611">
        <f t="shared" si="2"/>
        <v>0</v>
      </c>
      <c r="L35" s="611">
        <f t="shared" si="3"/>
        <v>0</v>
      </c>
      <c r="M35" s="611">
        <v>1200</v>
      </c>
      <c r="N35" s="607">
        <v>20</v>
      </c>
      <c r="O35" s="607">
        <v>18</v>
      </c>
      <c r="P35" s="612" t="s">
        <v>763</v>
      </c>
      <c r="Q35" s="611">
        <f>VLOOKUP(P35,'Dia chat'!$E:$AE,7,0)</f>
        <v>-19.05</v>
      </c>
      <c r="R35" s="575" t="s">
        <v>824</v>
      </c>
      <c r="S35" s="575"/>
      <c r="T35" s="575"/>
      <c r="U35" s="575"/>
      <c r="V35" s="575"/>
      <c r="W35" s="575"/>
      <c r="X35" s="575"/>
      <c r="Y35" s="575"/>
      <c r="Z35" s="575"/>
      <c r="AA35" s="575"/>
      <c r="AB35" s="575"/>
    </row>
    <row r="36" spans="1:28" ht="15.95" customHeight="1">
      <c r="A36" s="607" t="s">
        <v>652</v>
      </c>
      <c r="B36" s="608">
        <v>2317774.656</v>
      </c>
      <c r="C36" s="608">
        <v>430314.10600000003</v>
      </c>
      <c r="D36" s="609">
        <v>34.299999999999997</v>
      </c>
      <c r="E36" s="582" t="s">
        <v>710</v>
      </c>
      <c r="F36" s="654">
        <v>-8.6999999999999993</v>
      </c>
      <c r="G36" s="610">
        <f t="shared" si="0"/>
        <v>-7.6999999999999993</v>
      </c>
      <c r="H36" s="609" t="s">
        <v>188</v>
      </c>
      <c r="I36" s="609"/>
      <c r="J36" s="611" t="str">
        <f t="shared" si="1"/>
        <v>SA</v>
      </c>
      <c r="K36" s="611">
        <f t="shared" si="2"/>
        <v>4</v>
      </c>
      <c r="L36" s="611">
        <f t="shared" si="3"/>
        <v>0</v>
      </c>
      <c r="M36" s="611">
        <v>1200</v>
      </c>
      <c r="N36" s="607">
        <v>20</v>
      </c>
      <c r="O36" s="607">
        <v>18</v>
      </c>
      <c r="P36" s="612" t="s">
        <v>796</v>
      </c>
      <c r="Q36" s="611">
        <f>VLOOKUP(P36,'Dia chat'!$E:$AE,7,0)</f>
        <v>-19.440000000000001</v>
      </c>
      <c r="R36" s="575" t="s">
        <v>824</v>
      </c>
      <c r="S36" s="575"/>
      <c r="T36" s="575"/>
      <c r="U36" s="575"/>
      <c r="V36" s="575"/>
      <c r="W36" s="575"/>
      <c r="X36" s="575"/>
      <c r="Y36" s="579"/>
      <c r="Z36" s="580"/>
      <c r="AA36" s="580"/>
      <c r="AB36" s="579"/>
    </row>
    <row r="37" spans="1:28" ht="15.95" customHeight="1">
      <c r="A37" s="607" t="s">
        <v>656</v>
      </c>
      <c r="B37" s="608">
        <v>2317771.659</v>
      </c>
      <c r="C37" s="608">
        <v>430314.24200000003</v>
      </c>
      <c r="D37" s="609">
        <v>23</v>
      </c>
      <c r="E37" s="582" t="s">
        <v>710</v>
      </c>
      <c r="F37" s="654">
        <v>-8.6999999999999993</v>
      </c>
      <c r="G37" s="610">
        <f t="shared" si="0"/>
        <v>-7.6999999999999993</v>
      </c>
      <c r="H37" s="609"/>
      <c r="I37" s="609"/>
      <c r="J37" s="611" t="str">
        <f t="shared" si="1"/>
        <v/>
      </c>
      <c r="K37" s="611">
        <f t="shared" si="2"/>
        <v>0</v>
      </c>
      <c r="L37" s="611">
        <f t="shared" si="3"/>
        <v>0</v>
      </c>
      <c r="M37" s="611">
        <v>1200</v>
      </c>
      <c r="N37" s="607">
        <v>20</v>
      </c>
      <c r="O37" s="607">
        <v>18</v>
      </c>
      <c r="P37" s="612" t="s">
        <v>796</v>
      </c>
      <c r="Q37" s="611">
        <f>VLOOKUP(P37,'Dia chat'!$E:$AE,7,0)</f>
        <v>-19.440000000000001</v>
      </c>
      <c r="R37" s="575" t="s">
        <v>824</v>
      </c>
      <c r="S37" s="575"/>
      <c r="T37" s="575"/>
      <c r="U37" s="575"/>
      <c r="V37" s="575"/>
      <c r="W37" s="575"/>
      <c r="X37" s="575"/>
    </row>
    <row r="38" spans="1:28" ht="15.95" customHeight="1">
      <c r="A38" s="607" t="s">
        <v>660</v>
      </c>
      <c r="B38" s="608">
        <v>2317768.662</v>
      </c>
      <c r="C38" s="608">
        <v>430314.37900000002</v>
      </c>
      <c r="D38" s="609">
        <v>23</v>
      </c>
      <c r="E38" s="582" t="s">
        <v>710</v>
      </c>
      <c r="F38" s="654">
        <v>-8.6999999999999993</v>
      </c>
      <c r="G38" s="610">
        <f t="shared" si="0"/>
        <v>-7.6999999999999993</v>
      </c>
      <c r="H38" s="609"/>
      <c r="I38" s="609"/>
      <c r="J38" s="611" t="str">
        <f t="shared" si="1"/>
        <v/>
      </c>
      <c r="K38" s="611">
        <f t="shared" si="2"/>
        <v>0</v>
      </c>
      <c r="L38" s="611">
        <f t="shared" si="3"/>
        <v>0</v>
      </c>
      <c r="M38" s="611">
        <v>1200</v>
      </c>
      <c r="N38" s="607">
        <v>20</v>
      </c>
      <c r="O38" s="607">
        <v>18</v>
      </c>
      <c r="P38" s="612" t="s">
        <v>766</v>
      </c>
      <c r="Q38" s="611">
        <f>VLOOKUP(P38,'Dia chat'!$E:$AE,7,0)</f>
        <v>-17.46</v>
      </c>
      <c r="R38" s="575" t="s">
        <v>824</v>
      </c>
      <c r="S38" s="575"/>
      <c r="T38" s="575"/>
      <c r="U38" s="575"/>
      <c r="V38" s="575"/>
      <c r="W38" s="575"/>
      <c r="X38" s="575"/>
    </row>
    <row r="39" spans="1:28" ht="15.95" customHeight="1">
      <c r="A39" s="607" t="s">
        <v>664</v>
      </c>
      <c r="B39" s="608">
        <v>2317768.7990000001</v>
      </c>
      <c r="C39" s="608">
        <v>430317.37599999999</v>
      </c>
      <c r="D39" s="609">
        <v>23</v>
      </c>
      <c r="E39" s="582" t="s">
        <v>710</v>
      </c>
      <c r="F39" s="654">
        <v>-8.6999999999999993</v>
      </c>
      <c r="G39" s="610">
        <f t="shared" si="0"/>
        <v>-7.6999999999999993</v>
      </c>
      <c r="H39" s="609" t="s">
        <v>188</v>
      </c>
      <c r="I39" s="609"/>
      <c r="J39" s="611" t="str">
        <f t="shared" si="1"/>
        <v>SA</v>
      </c>
      <c r="K39" s="611">
        <f t="shared" si="2"/>
        <v>4</v>
      </c>
      <c r="L39" s="611">
        <f t="shared" si="3"/>
        <v>0</v>
      </c>
      <c r="M39" s="611">
        <v>1200</v>
      </c>
      <c r="N39" s="607">
        <v>20</v>
      </c>
      <c r="O39" s="607">
        <v>18</v>
      </c>
      <c r="P39" s="612" t="s">
        <v>766</v>
      </c>
      <c r="Q39" s="611">
        <f>VLOOKUP(P39,'Dia chat'!$E:$AE,7,0)</f>
        <v>-17.46</v>
      </c>
      <c r="R39" s="575" t="s">
        <v>824</v>
      </c>
      <c r="S39" s="575"/>
      <c r="T39" s="575"/>
      <c r="U39" s="575"/>
      <c r="V39" s="575"/>
      <c r="W39" s="575"/>
      <c r="X39" s="575"/>
      <c r="Y39" s="1325" t="s">
        <v>668</v>
      </c>
      <c r="Z39" s="1326"/>
      <c r="AA39" s="1326"/>
      <c r="AB39" s="1327"/>
    </row>
    <row r="40" spans="1:28" ht="15.95" customHeight="1">
      <c r="A40" s="607" t="s">
        <v>669</v>
      </c>
      <c r="B40" s="608">
        <v>2317771.7960000001</v>
      </c>
      <c r="C40" s="608">
        <v>430317.239</v>
      </c>
      <c r="D40" s="609">
        <v>23</v>
      </c>
      <c r="E40" s="582" t="s">
        <v>710</v>
      </c>
      <c r="F40" s="654">
        <v>-9.6999999999999993</v>
      </c>
      <c r="G40" s="610">
        <f t="shared" si="0"/>
        <v>-8.6999999999999993</v>
      </c>
      <c r="H40" s="609"/>
      <c r="I40" s="609"/>
      <c r="J40" s="611" t="str">
        <f t="shared" si="1"/>
        <v/>
      </c>
      <c r="K40" s="611">
        <f t="shared" si="2"/>
        <v>0</v>
      </c>
      <c r="L40" s="611">
        <f t="shared" si="3"/>
        <v>0</v>
      </c>
      <c r="M40" s="611">
        <v>1200</v>
      </c>
      <c r="N40" s="607">
        <v>20</v>
      </c>
      <c r="O40" s="607">
        <v>18</v>
      </c>
      <c r="P40" s="612" t="s">
        <v>796</v>
      </c>
      <c r="Q40" s="611">
        <f>VLOOKUP(P40,'Dia chat'!$E:$AE,7,0)</f>
        <v>-19.440000000000001</v>
      </c>
      <c r="R40" s="575" t="s">
        <v>824</v>
      </c>
      <c r="S40" s="575"/>
      <c r="T40" s="575"/>
      <c r="U40" s="575"/>
      <c r="V40" s="575"/>
      <c r="W40" s="575"/>
      <c r="X40" s="575"/>
      <c r="Y40" s="581" t="s">
        <v>673</v>
      </c>
      <c r="Z40" s="581" t="s">
        <v>188</v>
      </c>
      <c r="AA40" s="581" t="s">
        <v>674</v>
      </c>
      <c r="AB40" s="581" t="s">
        <v>675</v>
      </c>
    </row>
    <row r="41" spans="1:28" ht="15.95" customHeight="1">
      <c r="A41" s="607" t="s">
        <v>676</v>
      </c>
      <c r="B41" s="608">
        <v>2317774.7919999999</v>
      </c>
      <c r="C41" s="608">
        <v>430317.103</v>
      </c>
      <c r="D41" s="609">
        <v>34.299999999999997</v>
      </c>
      <c r="E41" s="582" t="s">
        <v>710</v>
      </c>
      <c r="F41" s="654">
        <v>-9.6999999999999993</v>
      </c>
      <c r="G41" s="610">
        <f t="shared" si="0"/>
        <v>-8.6999999999999993</v>
      </c>
      <c r="H41" s="609"/>
      <c r="I41" s="609"/>
      <c r="J41" s="611" t="str">
        <f t="shared" si="1"/>
        <v/>
      </c>
      <c r="K41" s="611">
        <f t="shared" si="2"/>
        <v>0</v>
      </c>
      <c r="L41" s="611">
        <f t="shared" si="3"/>
        <v>0</v>
      </c>
      <c r="M41" s="611">
        <v>1200</v>
      </c>
      <c r="N41" s="607">
        <v>20</v>
      </c>
      <c r="O41" s="607">
        <v>18</v>
      </c>
      <c r="P41" s="612" t="s">
        <v>796</v>
      </c>
      <c r="Q41" s="611">
        <f>VLOOKUP(P41,'Dia chat'!$E:$AE,7,0)</f>
        <v>-19.440000000000001</v>
      </c>
      <c r="R41" s="575" t="s">
        <v>824</v>
      </c>
      <c r="S41" s="575"/>
      <c r="T41" s="575"/>
      <c r="U41" s="575"/>
      <c r="V41" s="575"/>
      <c r="W41" s="575"/>
      <c r="X41" s="575"/>
      <c r="Y41" s="581" t="s">
        <v>680</v>
      </c>
      <c r="Z41" s="578">
        <v>2317739.8390000002</v>
      </c>
      <c r="AA41" s="578">
        <v>430333.92300000001</v>
      </c>
      <c r="AB41" s="578">
        <v>3.3809999999999998</v>
      </c>
    </row>
    <row r="42" spans="1:28" ht="15.95" customHeight="1">
      <c r="A42" s="607" t="s">
        <v>681</v>
      </c>
      <c r="B42" s="608">
        <v>2317778.7880000002</v>
      </c>
      <c r="C42" s="608">
        <v>430316.92099999997</v>
      </c>
      <c r="D42" s="609">
        <v>34.299999999999997</v>
      </c>
      <c r="E42" s="582" t="s">
        <v>710</v>
      </c>
      <c r="F42" s="654">
        <v>-8.6999999999999993</v>
      </c>
      <c r="G42" s="610">
        <f t="shared" si="0"/>
        <v>-7.6999999999999993</v>
      </c>
      <c r="H42" s="609"/>
      <c r="I42" s="609"/>
      <c r="J42" s="611" t="str">
        <f t="shared" si="1"/>
        <v/>
      </c>
      <c r="K42" s="611">
        <f t="shared" si="2"/>
        <v>0</v>
      </c>
      <c r="L42" s="611">
        <f t="shared" si="3"/>
        <v>0</v>
      </c>
      <c r="M42" s="611">
        <v>1200</v>
      </c>
      <c r="N42" s="607">
        <v>20</v>
      </c>
      <c r="O42" s="607">
        <v>18</v>
      </c>
      <c r="P42" s="612" t="s">
        <v>763</v>
      </c>
      <c r="Q42" s="611">
        <f>VLOOKUP(P42,'Dia chat'!$E:$AE,7,0)</f>
        <v>-19.05</v>
      </c>
      <c r="R42" s="575" t="s">
        <v>824</v>
      </c>
      <c r="S42" s="575"/>
      <c r="T42" s="575"/>
      <c r="U42" s="575"/>
      <c r="V42" s="575"/>
      <c r="W42" s="575"/>
      <c r="X42" s="575"/>
      <c r="Y42" s="581" t="s">
        <v>685</v>
      </c>
      <c r="Z42" s="578">
        <v>2317765.63</v>
      </c>
      <c r="AA42" s="578">
        <v>430295.65</v>
      </c>
      <c r="AB42" s="578">
        <v>4.1520000000000001</v>
      </c>
    </row>
    <row r="43" spans="1:28" ht="15.95" customHeight="1">
      <c r="A43" s="607" t="s">
        <v>686</v>
      </c>
      <c r="B43" s="608">
        <v>2317778.952</v>
      </c>
      <c r="C43" s="608">
        <v>430320.51799999998</v>
      </c>
      <c r="D43" s="609">
        <v>30.7</v>
      </c>
      <c r="E43" s="582" t="s">
        <v>710</v>
      </c>
      <c r="F43" s="654">
        <v>-8.6999999999999993</v>
      </c>
      <c r="G43" s="610">
        <f t="shared" si="0"/>
        <v>-7.6999999999999993</v>
      </c>
      <c r="H43" s="609"/>
      <c r="I43" s="609" t="s">
        <v>188</v>
      </c>
      <c r="J43" s="611" t="str">
        <f t="shared" si="1"/>
        <v>L</v>
      </c>
      <c r="K43" s="611">
        <f t="shared" si="2"/>
        <v>3</v>
      </c>
      <c r="L43" s="611">
        <f t="shared" si="3"/>
        <v>1</v>
      </c>
      <c r="M43" s="611">
        <v>1200</v>
      </c>
      <c r="N43" s="607">
        <v>20</v>
      </c>
      <c r="O43" s="607">
        <v>18</v>
      </c>
      <c r="P43" s="612" t="s">
        <v>800</v>
      </c>
      <c r="Q43" s="623">
        <v>-22</v>
      </c>
      <c r="R43" s="575" t="s">
        <v>824</v>
      </c>
      <c r="S43" s="575"/>
      <c r="T43" s="575"/>
      <c r="U43" s="575"/>
      <c r="V43" s="575"/>
      <c r="W43" s="575"/>
      <c r="X43" s="575"/>
      <c r="Y43" s="581" t="s">
        <v>690</v>
      </c>
      <c r="Z43" s="578">
        <v>2317799.9440000001</v>
      </c>
      <c r="AA43" s="578">
        <v>430340.95799999998</v>
      </c>
      <c r="AB43" s="578">
        <v>3.93</v>
      </c>
    </row>
    <row r="44" spans="1:28" ht="15.95" customHeight="1">
      <c r="A44" s="607" t="s">
        <v>691</v>
      </c>
      <c r="B44" s="608">
        <v>2317774.9559999998</v>
      </c>
      <c r="C44" s="608">
        <v>430320.69900000002</v>
      </c>
      <c r="D44" s="609">
        <v>30.7</v>
      </c>
      <c r="E44" s="582" t="s">
        <v>710</v>
      </c>
      <c r="F44" s="654">
        <v>-9.6999999999999993</v>
      </c>
      <c r="G44" s="610">
        <f t="shared" si="0"/>
        <v>-8.6999999999999993</v>
      </c>
      <c r="H44" s="609"/>
      <c r="I44" s="609"/>
      <c r="J44" s="611" t="str">
        <f t="shared" si="1"/>
        <v/>
      </c>
      <c r="K44" s="611">
        <f t="shared" si="2"/>
        <v>0</v>
      </c>
      <c r="L44" s="611">
        <f t="shared" si="3"/>
        <v>0</v>
      </c>
      <c r="M44" s="611">
        <v>1200</v>
      </c>
      <c r="N44" s="607">
        <v>20</v>
      </c>
      <c r="O44" s="607">
        <v>18</v>
      </c>
      <c r="P44" s="612" t="s">
        <v>800</v>
      </c>
      <c r="Q44" s="623">
        <v>-22</v>
      </c>
      <c r="R44" s="575" t="s">
        <v>824</v>
      </c>
      <c r="S44" s="575"/>
      <c r="T44" s="575"/>
      <c r="U44" s="575"/>
      <c r="V44" s="575"/>
      <c r="W44" s="575"/>
      <c r="X44" s="575"/>
    </row>
    <row r="45" spans="1:28" ht="15.95" customHeight="1">
      <c r="A45" s="607" t="s">
        <v>694</v>
      </c>
      <c r="B45" s="608">
        <v>2317771.9589999998</v>
      </c>
      <c r="C45" s="608">
        <v>430320.83600000001</v>
      </c>
      <c r="D45" s="609">
        <v>30.7</v>
      </c>
      <c r="E45" s="582" t="s">
        <v>710</v>
      </c>
      <c r="F45" s="654">
        <v>-9.6999999999999993</v>
      </c>
      <c r="G45" s="610">
        <f t="shared" si="0"/>
        <v>-8.6999999999999993</v>
      </c>
      <c r="H45" s="609"/>
      <c r="I45" s="609"/>
      <c r="J45" s="611" t="str">
        <f t="shared" si="1"/>
        <v/>
      </c>
      <c r="K45" s="611">
        <f t="shared" si="2"/>
        <v>0</v>
      </c>
      <c r="L45" s="611">
        <f t="shared" si="3"/>
        <v>0</v>
      </c>
      <c r="M45" s="611">
        <v>1200</v>
      </c>
      <c r="N45" s="607">
        <v>20</v>
      </c>
      <c r="O45" s="607">
        <v>18</v>
      </c>
      <c r="P45" s="612" t="s">
        <v>798</v>
      </c>
      <c r="Q45" s="623">
        <v>-22</v>
      </c>
      <c r="R45" s="575" t="s">
        <v>824</v>
      </c>
      <c r="S45" s="575"/>
      <c r="T45" s="575"/>
      <c r="U45" s="575"/>
      <c r="V45" s="575"/>
      <c r="W45" s="575"/>
      <c r="X45" s="575"/>
    </row>
    <row r="46" spans="1:28" ht="15.95" customHeight="1">
      <c r="A46" s="607" t="s">
        <v>698</v>
      </c>
      <c r="B46" s="608">
        <v>2317768.9619999998</v>
      </c>
      <c r="C46" s="608">
        <v>430320.97200000001</v>
      </c>
      <c r="D46" s="609">
        <v>23.4</v>
      </c>
      <c r="E46" s="582" t="s">
        <v>710</v>
      </c>
      <c r="F46" s="654">
        <v>-8.6999999999999993</v>
      </c>
      <c r="G46" s="610">
        <f t="shared" si="0"/>
        <v>-7.6999999999999993</v>
      </c>
      <c r="H46" s="609"/>
      <c r="I46" s="609"/>
      <c r="J46" s="611" t="str">
        <f t="shared" si="1"/>
        <v/>
      </c>
      <c r="K46" s="611">
        <f t="shared" si="2"/>
        <v>0</v>
      </c>
      <c r="L46" s="611">
        <f t="shared" si="3"/>
        <v>0</v>
      </c>
      <c r="M46" s="611">
        <v>1200</v>
      </c>
      <c r="N46" s="607">
        <v>20</v>
      </c>
      <c r="O46" s="607">
        <v>18</v>
      </c>
      <c r="P46" s="612" t="s">
        <v>798</v>
      </c>
      <c r="Q46" s="623">
        <v>-22</v>
      </c>
      <c r="R46" s="575" t="s">
        <v>824</v>
      </c>
      <c r="S46" s="575"/>
      <c r="T46" s="575"/>
      <c r="U46" s="575"/>
      <c r="V46" s="575"/>
      <c r="W46" s="575"/>
      <c r="X46" s="575"/>
    </row>
    <row r="47" spans="1:28" ht="15.95" customHeight="1">
      <c r="A47" s="607" t="s">
        <v>702</v>
      </c>
      <c r="B47" s="608">
        <v>2317769.1260000002</v>
      </c>
      <c r="C47" s="608">
        <v>430324.56800000003</v>
      </c>
      <c r="D47" s="609">
        <v>23.4</v>
      </c>
      <c r="E47" s="582" t="s">
        <v>710</v>
      </c>
      <c r="F47" s="654">
        <v>-8.6999999999999993</v>
      </c>
      <c r="G47" s="610">
        <f t="shared" si="0"/>
        <v>-7.6999999999999993</v>
      </c>
      <c r="H47" s="609"/>
      <c r="I47" s="609"/>
      <c r="J47" s="611" t="str">
        <f t="shared" si="1"/>
        <v/>
      </c>
      <c r="K47" s="611">
        <f t="shared" si="2"/>
        <v>0</v>
      </c>
      <c r="L47" s="611">
        <f t="shared" si="3"/>
        <v>0</v>
      </c>
      <c r="M47" s="611">
        <v>1200</v>
      </c>
      <c r="N47" s="607">
        <v>20</v>
      </c>
      <c r="O47" s="607">
        <v>18</v>
      </c>
      <c r="P47" s="612" t="s">
        <v>765</v>
      </c>
      <c r="Q47" s="611">
        <f>VLOOKUP(P47,'Dia chat'!$E:$AE,7,0)</f>
        <v>-18.62</v>
      </c>
      <c r="R47" s="575" t="s">
        <v>824</v>
      </c>
      <c r="S47" s="575"/>
      <c r="T47" s="575"/>
      <c r="U47" s="575"/>
      <c r="V47" s="575"/>
      <c r="W47" s="575"/>
      <c r="X47" s="575"/>
    </row>
    <row r="48" spans="1:28" ht="15.95" customHeight="1">
      <c r="A48" s="607" t="s">
        <v>490</v>
      </c>
      <c r="B48" s="608">
        <v>2317772.1230000001</v>
      </c>
      <c r="C48" s="608">
        <v>430324.43199999997</v>
      </c>
      <c r="D48" s="609">
        <v>30.7</v>
      </c>
      <c r="E48" s="582" t="s">
        <v>710</v>
      </c>
      <c r="F48" s="654">
        <v>-9.6999999999999993</v>
      </c>
      <c r="G48" s="610">
        <f t="shared" si="0"/>
        <v>-8.6999999999999993</v>
      </c>
      <c r="H48" s="609" t="s">
        <v>188</v>
      </c>
      <c r="I48" s="609"/>
      <c r="J48" s="611" t="str">
        <f t="shared" si="1"/>
        <v>SA</v>
      </c>
      <c r="K48" s="611">
        <f t="shared" si="2"/>
        <v>4</v>
      </c>
      <c r="L48" s="611">
        <f t="shared" si="3"/>
        <v>0</v>
      </c>
      <c r="M48" s="611">
        <v>1200</v>
      </c>
      <c r="N48" s="607">
        <v>20</v>
      </c>
      <c r="O48" s="607">
        <v>18</v>
      </c>
      <c r="P48" s="612" t="s">
        <v>765</v>
      </c>
      <c r="Q48" s="611">
        <f>VLOOKUP(P48,'Dia chat'!$E:$AE,7,0)</f>
        <v>-18.62</v>
      </c>
      <c r="R48" s="575" t="s">
        <v>824</v>
      </c>
      <c r="Z48" s="577"/>
      <c r="AA48" s="577"/>
    </row>
    <row r="49" spans="1:27" ht="15.95" customHeight="1">
      <c r="A49" s="607" t="s">
        <v>495</v>
      </c>
      <c r="B49" s="608">
        <v>2317775.1189999999</v>
      </c>
      <c r="C49" s="608">
        <v>430324.29599999997</v>
      </c>
      <c r="D49" s="609">
        <v>30.7</v>
      </c>
      <c r="E49" s="582" t="s">
        <v>710</v>
      </c>
      <c r="F49" s="654">
        <v>-9.6999999999999993</v>
      </c>
      <c r="G49" s="610">
        <f t="shared" si="0"/>
        <v>-8.6999999999999993</v>
      </c>
      <c r="H49" s="609" t="s">
        <v>188</v>
      </c>
      <c r="I49" s="609"/>
      <c r="J49" s="611" t="str">
        <f t="shared" si="1"/>
        <v>SA</v>
      </c>
      <c r="K49" s="611">
        <f t="shared" si="2"/>
        <v>4</v>
      </c>
      <c r="L49" s="611">
        <f t="shared" si="3"/>
        <v>0</v>
      </c>
      <c r="M49" s="611">
        <v>1200</v>
      </c>
      <c r="N49" s="607">
        <v>20</v>
      </c>
      <c r="O49" s="607">
        <v>18</v>
      </c>
      <c r="P49" s="612" t="s">
        <v>800</v>
      </c>
      <c r="Q49" s="623">
        <v>-22</v>
      </c>
      <c r="R49" s="575" t="s">
        <v>824</v>
      </c>
      <c r="Z49" s="577"/>
      <c r="AA49" s="577"/>
    </row>
    <row r="50" spans="1:27" ht="15.95" customHeight="1">
      <c r="A50" s="607" t="s">
        <v>500</v>
      </c>
      <c r="B50" s="608">
        <v>2317779.1150000002</v>
      </c>
      <c r="C50" s="608">
        <v>430324.114</v>
      </c>
      <c r="D50" s="609">
        <v>30.7</v>
      </c>
      <c r="E50" s="582" t="s">
        <v>710</v>
      </c>
      <c r="F50" s="654">
        <v>-8.6999999999999993</v>
      </c>
      <c r="G50" s="610">
        <f t="shared" si="0"/>
        <v>-7.6999999999999993</v>
      </c>
      <c r="H50" s="609"/>
      <c r="I50" s="609"/>
      <c r="J50" s="611" t="str">
        <f t="shared" si="1"/>
        <v/>
      </c>
      <c r="K50" s="611">
        <f t="shared" si="2"/>
        <v>0</v>
      </c>
      <c r="L50" s="611">
        <f t="shared" si="3"/>
        <v>0</v>
      </c>
      <c r="M50" s="611">
        <v>1200</v>
      </c>
      <c r="N50" s="607">
        <v>20</v>
      </c>
      <c r="O50" s="607">
        <v>18</v>
      </c>
      <c r="P50" s="612" t="s">
        <v>797</v>
      </c>
      <c r="Q50" s="623">
        <v>-22</v>
      </c>
      <c r="R50" s="575" t="s">
        <v>824</v>
      </c>
      <c r="Z50" s="577"/>
      <c r="AA50" s="577"/>
    </row>
    <row r="51" spans="1:27" ht="15.95" customHeight="1">
      <c r="A51" s="607" t="s">
        <v>505</v>
      </c>
      <c r="B51" s="608">
        <v>2317779.2790000001</v>
      </c>
      <c r="C51" s="608">
        <v>430327.71</v>
      </c>
      <c r="D51" s="609">
        <v>30.7</v>
      </c>
      <c r="E51" s="582" t="s">
        <v>710</v>
      </c>
      <c r="F51" s="654">
        <v>-8.6999999999999993</v>
      </c>
      <c r="G51" s="610">
        <f t="shared" si="0"/>
        <v>-7.6999999999999993</v>
      </c>
      <c r="H51" s="609" t="s">
        <v>188</v>
      </c>
      <c r="I51" s="609"/>
      <c r="J51" s="611" t="str">
        <f t="shared" si="1"/>
        <v>SA</v>
      </c>
      <c r="K51" s="611">
        <f t="shared" si="2"/>
        <v>4</v>
      </c>
      <c r="L51" s="611">
        <f t="shared" si="3"/>
        <v>0</v>
      </c>
      <c r="M51" s="611">
        <v>1200</v>
      </c>
      <c r="N51" s="607">
        <v>20</v>
      </c>
      <c r="O51" s="607">
        <v>18</v>
      </c>
      <c r="P51" s="612" t="s">
        <v>797</v>
      </c>
      <c r="Q51" s="623">
        <v>-22</v>
      </c>
      <c r="R51" s="575" t="s">
        <v>824</v>
      </c>
      <c r="Z51" s="577"/>
    </row>
    <row r="52" spans="1:27" ht="15.95" customHeight="1">
      <c r="A52" s="607" t="s">
        <v>510</v>
      </c>
      <c r="B52" s="608">
        <v>2317775.2829999998</v>
      </c>
      <c r="C52" s="608">
        <v>430327.89199999999</v>
      </c>
      <c r="D52" s="609">
        <v>29.5</v>
      </c>
      <c r="E52" s="582" t="s">
        <v>710</v>
      </c>
      <c r="F52" s="654">
        <v>-8.6999999999999993</v>
      </c>
      <c r="G52" s="610">
        <f t="shared" si="0"/>
        <v>-7.6999999999999993</v>
      </c>
      <c r="H52" s="609"/>
      <c r="I52" s="609"/>
      <c r="J52" s="611" t="str">
        <f t="shared" si="1"/>
        <v/>
      </c>
      <c r="K52" s="611">
        <f t="shared" si="2"/>
        <v>0</v>
      </c>
      <c r="L52" s="611">
        <f t="shared" si="3"/>
        <v>0</v>
      </c>
      <c r="M52" s="611">
        <v>1200</v>
      </c>
      <c r="N52" s="607">
        <v>20</v>
      </c>
      <c r="O52" s="607">
        <v>18</v>
      </c>
      <c r="P52" s="612" t="s">
        <v>797</v>
      </c>
      <c r="Q52" s="623">
        <v>-22</v>
      </c>
      <c r="R52" s="575" t="s">
        <v>824</v>
      </c>
    </row>
    <row r="53" spans="1:27" ht="15.95" customHeight="1">
      <c r="A53" s="607" t="s">
        <v>515</v>
      </c>
      <c r="B53" s="608">
        <v>2317772.2859999998</v>
      </c>
      <c r="C53" s="608">
        <v>430328.02799999999</v>
      </c>
      <c r="D53" s="609">
        <v>30.7</v>
      </c>
      <c r="E53" s="582" t="s">
        <v>710</v>
      </c>
      <c r="F53" s="654">
        <v>-8.6999999999999993</v>
      </c>
      <c r="G53" s="610">
        <f t="shared" si="0"/>
        <v>-7.6999999999999993</v>
      </c>
      <c r="H53" s="609"/>
      <c r="I53" s="609"/>
      <c r="J53" s="611" t="str">
        <f t="shared" si="1"/>
        <v/>
      </c>
      <c r="K53" s="611">
        <f t="shared" si="2"/>
        <v>0</v>
      </c>
      <c r="L53" s="611">
        <f t="shared" si="3"/>
        <v>0</v>
      </c>
      <c r="M53" s="611">
        <v>1200</v>
      </c>
      <c r="N53" s="607">
        <v>20</v>
      </c>
      <c r="O53" s="607">
        <v>18</v>
      </c>
      <c r="P53" s="612" t="s">
        <v>799</v>
      </c>
      <c r="Q53" s="623">
        <v>-22</v>
      </c>
      <c r="R53" s="575" t="s">
        <v>824</v>
      </c>
    </row>
    <row r="54" spans="1:27" ht="15.95" customHeight="1">
      <c r="A54" s="607" t="s">
        <v>520</v>
      </c>
      <c r="B54" s="608">
        <v>2317769.2889999999</v>
      </c>
      <c r="C54" s="608">
        <v>430328.16399999999</v>
      </c>
      <c r="D54" s="609">
        <v>23.4</v>
      </c>
      <c r="E54" s="582" t="s">
        <v>710</v>
      </c>
      <c r="F54" s="654">
        <v>-8.6999999999999993</v>
      </c>
      <c r="G54" s="610">
        <f t="shared" si="0"/>
        <v>-7.6999999999999993</v>
      </c>
      <c r="H54" s="609"/>
      <c r="I54" s="609" t="s">
        <v>188</v>
      </c>
      <c r="J54" s="611" t="str">
        <f t="shared" si="1"/>
        <v>L</v>
      </c>
      <c r="K54" s="611">
        <f t="shared" si="2"/>
        <v>3</v>
      </c>
      <c r="L54" s="611">
        <f t="shared" si="3"/>
        <v>1</v>
      </c>
      <c r="M54" s="611">
        <v>1200</v>
      </c>
      <c r="N54" s="607">
        <v>20</v>
      </c>
      <c r="O54" s="607">
        <v>18</v>
      </c>
      <c r="P54" s="612" t="s">
        <v>799</v>
      </c>
      <c r="Q54" s="623">
        <v>-22</v>
      </c>
      <c r="R54" s="575" t="s">
        <v>824</v>
      </c>
    </row>
    <row r="55" spans="1:27" ht="15.95" customHeight="1">
      <c r="A55" s="607" t="s">
        <v>525</v>
      </c>
      <c r="B55" s="608">
        <v>2317769.4530000002</v>
      </c>
      <c r="C55" s="608">
        <v>430331.761</v>
      </c>
      <c r="D55" s="609">
        <v>23.4</v>
      </c>
      <c r="E55" s="582" t="s">
        <v>710</v>
      </c>
      <c r="F55" s="654">
        <v>-8.6999999999999993</v>
      </c>
      <c r="G55" s="610">
        <f t="shared" si="0"/>
        <v>-7.6999999999999993</v>
      </c>
      <c r="H55" s="609"/>
      <c r="I55" s="609"/>
      <c r="J55" s="611" t="str">
        <f t="shared" si="1"/>
        <v/>
      </c>
      <c r="K55" s="611">
        <f t="shared" si="2"/>
        <v>0</v>
      </c>
      <c r="L55" s="611">
        <f t="shared" si="3"/>
        <v>0</v>
      </c>
      <c r="M55" s="611">
        <v>1200</v>
      </c>
      <c r="N55" s="607">
        <v>20</v>
      </c>
      <c r="O55" s="607">
        <v>18</v>
      </c>
      <c r="P55" s="612" t="s">
        <v>799</v>
      </c>
      <c r="Q55" s="623">
        <v>-22</v>
      </c>
      <c r="R55" s="575" t="s">
        <v>824</v>
      </c>
    </row>
    <row r="56" spans="1:27" ht="15.95" customHeight="1">
      <c r="A56" s="607" t="s">
        <v>530</v>
      </c>
      <c r="B56" s="608">
        <v>2317772.4500000002</v>
      </c>
      <c r="C56" s="608">
        <v>430331.62400000001</v>
      </c>
      <c r="D56" s="609">
        <v>19.7</v>
      </c>
      <c r="E56" s="582" t="s">
        <v>710</v>
      </c>
      <c r="F56" s="654">
        <v>-8.6999999999999993</v>
      </c>
      <c r="G56" s="610">
        <f t="shared" si="0"/>
        <v>-7.6999999999999993</v>
      </c>
      <c r="H56" s="609"/>
      <c r="I56" s="609"/>
      <c r="J56" s="611" t="str">
        <f t="shared" si="1"/>
        <v/>
      </c>
      <c r="K56" s="611">
        <f t="shared" si="2"/>
        <v>0</v>
      </c>
      <c r="L56" s="611">
        <f t="shared" si="3"/>
        <v>0</v>
      </c>
      <c r="M56" s="611">
        <v>1200</v>
      </c>
      <c r="N56" s="607">
        <v>20</v>
      </c>
      <c r="O56" s="607">
        <v>18</v>
      </c>
      <c r="P56" s="612" t="s">
        <v>797</v>
      </c>
      <c r="Q56" s="623">
        <v>-22</v>
      </c>
      <c r="R56" s="575" t="s">
        <v>824</v>
      </c>
    </row>
    <row r="57" spans="1:27" ht="15.95" customHeight="1">
      <c r="A57" s="607" t="s">
        <v>534</v>
      </c>
      <c r="B57" s="608">
        <v>2317775.446</v>
      </c>
      <c r="C57" s="608">
        <v>430331.48800000001</v>
      </c>
      <c r="D57" s="609">
        <v>25.8</v>
      </c>
      <c r="E57" s="582" t="s">
        <v>710</v>
      </c>
      <c r="F57" s="654">
        <v>-8.6999999999999993</v>
      </c>
      <c r="G57" s="610">
        <f t="shared" si="0"/>
        <v>-7.6999999999999993</v>
      </c>
      <c r="H57" s="609" t="s">
        <v>188</v>
      </c>
      <c r="I57" s="609"/>
      <c r="J57" s="611" t="str">
        <f t="shared" si="1"/>
        <v>SA</v>
      </c>
      <c r="K57" s="611">
        <f t="shared" si="2"/>
        <v>4</v>
      </c>
      <c r="L57" s="611">
        <f t="shared" si="3"/>
        <v>0</v>
      </c>
      <c r="M57" s="611">
        <v>1200</v>
      </c>
      <c r="N57" s="607">
        <v>20</v>
      </c>
      <c r="O57" s="607">
        <v>18</v>
      </c>
      <c r="P57" s="612" t="s">
        <v>797</v>
      </c>
      <c r="Q57" s="623">
        <v>-22</v>
      </c>
      <c r="R57" s="575" t="s">
        <v>824</v>
      </c>
    </row>
    <row r="58" spans="1:27" ht="15.95" customHeight="1">
      <c r="A58" s="607" t="s">
        <v>539</v>
      </c>
      <c r="B58" s="608">
        <v>2317779.4419999998</v>
      </c>
      <c r="C58" s="608">
        <v>430331.30599999998</v>
      </c>
      <c r="D58" s="609">
        <v>25.8</v>
      </c>
      <c r="E58" s="582" t="s">
        <v>710</v>
      </c>
      <c r="F58" s="654">
        <v>-8.6999999999999993</v>
      </c>
      <c r="G58" s="610">
        <f t="shared" si="0"/>
        <v>-7.6999999999999993</v>
      </c>
      <c r="H58" s="609"/>
      <c r="I58" s="609"/>
      <c r="J58" s="611" t="str">
        <f t="shared" si="1"/>
        <v/>
      </c>
      <c r="K58" s="611">
        <f t="shared" si="2"/>
        <v>0</v>
      </c>
      <c r="L58" s="611">
        <f t="shared" si="3"/>
        <v>0</v>
      </c>
      <c r="M58" s="611">
        <v>1200</v>
      </c>
      <c r="N58" s="607">
        <v>20</v>
      </c>
      <c r="O58" s="607">
        <v>18</v>
      </c>
      <c r="P58" s="612" t="s">
        <v>797</v>
      </c>
      <c r="Q58" s="623">
        <v>-22</v>
      </c>
      <c r="R58" s="575" t="s">
        <v>824</v>
      </c>
      <c r="Z58" s="577"/>
    </row>
    <row r="59" spans="1:27" ht="15.95" customHeight="1">
      <c r="A59" s="607" t="s">
        <v>544</v>
      </c>
      <c r="B59" s="608">
        <v>2317779.6060000001</v>
      </c>
      <c r="C59" s="608">
        <v>430334.90299999999</v>
      </c>
      <c r="D59" s="609">
        <v>25.8</v>
      </c>
      <c r="E59" s="582" t="s">
        <v>710</v>
      </c>
      <c r="F59" s="654">
        <v>-8.6999999999999993</v>
      </c>
      <c r="G59" s="610">
        <f t="shared" si="0"/>
        <v>-7.6999999999999993</v>
      </c>
      <c r="H59" s="609" t="s">
        <v>188</v>
      </c>
      <c r="I59" s="609"/>
      <c r="J59" s="611" t="str">
        <f t="shared" si="1"/>
        <v>SA</v>
      </c>
      <c r="K59" s="611">
        <f t="shared" si="2"/>
        <v>4</v>
      </c>
      <c r="L59" s="611">
        <f t="shared" si="3"/>
        <v>0</v>
      </c>
      <c r="M59" s="611">
        <v>1200</v>
      </c>
      <c r="N59" s="607">
        <v>20</v>
      </c>
      <c r="O59" s="607">
        <v>18</v>
      </c>
      <c r="P59" s="612" t="s">
        <v>764</v>
      </c>
      <c r="Q59" s="611">
        <f>VLOOKUP(P59,'Dia chat'!$E:$AE,7,0)</f>
        <v>-17.68</v>
      </c>
      <c r="R59" s="575" t="s">
        <v>824</v>
      </c>
      <c r="Z59" s="577"/>
    </row>
    <row r="60" spans="1:27" ht="15.95" customHeight="1">
      <c r="A60" s="607" t="s">
        <v>549</v>
      </c>
      <c r="B60" s="608">
        <v>2317775.61</v>
      </c>
      <c r="C60" s="608">
        <v>430335.08399999997</v>
      </c>
      <c r="D60" s="609">
        <v>25.8</v>
      </c>
      <c r="E60" s="582" t="s">
        <v>710</v>
      </c>
      <c r="F60" s="654">
        <v>-8.6999999999999993</v>
      </c>
      <c r="G60" s="610">
        <f t="shared" si="0"/>
        <v>-7.6999999999999993</v>
      </c>
      <c r="H60" s="609"/>
      <c r="I60" s="609"/>
      <c r="J60" s="611" t="str">
        <f t="shared" si="1"/>
        <v/>
      </c>
      <c r="K60" s="611">
        <f t="shared" si="2"/>
        <v>0</v>
      </c>
      <c r="L60" s="611">
        <f t="shared" si="3"/>
        <v>0</v>
      </c>
      <c r="M60" s="611">
        <v>1200</v>
      </c>
      <c r="N60" s="607">
        <v>20</v>
      </c>
      <c r="O60" s="607">
        <v>18</v>
      </c>
      <c r="P60" s="612" t="s">
        <v>764</v>
      </c>
      <c r="Q60" s="611">
        <f>VLOOKUP(P60,'Dia chat'!$E:$AE,7,0)</f>
        <v>-17.68</v>
      </c>
      <c r="R60" s="575" t="s">
        <v>824</v>
      </c>
      <c r="Z60" s="577"/>
    </row>
    <row r="61" spans="1:27" ht="15.95" customHeight="1">
      <c r="A61" s="607" t="s">
        <v>554</v>
      </c>
      <c r="B61" s="608">
        <v>2317772.6129999999</v>
      </c>
      <c r="C61" s="608">
        <v>430335.22100000002</v>
      </c>
      <c r="D61" s="609">
        <v>19.7</v>
      </c>
      <c r="E61" s="582" t="s">
        <v>710</v>
      </c>
      <c r="F61" s="654">
        <v>-8.6999999999999993</v>
      </c>
      <c r="G61" s="610">
        <f t="shared" si="0"/>
        <v>-7.6999999999999993</v>
      </c>
      <c r="H61" s="609"/>
      <c r="I61" s="609"/>
      <c r="J61" s="611" t="str">
        <f t="shared" si="1"/>
        <v/>
      </c>
      <c r="K61" s="611">
        <f t="shared" si="2"/>
        <v>0</v>
      </c>
      <c r="L61" s="611">
        <f t="shared" si="3"/>
        <v>0</v>
      </c>
      <c r="M61" s="611">
        <v>1200</v>
      </c>
      <c r="N61" s="607">
        <v>20</v>
      </c>
      <c r="O61" s="607">
        <v>18</v>
      </c>
      <c r="P61" s="612" t="s">
        <v>767</v>
      </c>
      <c r="Q61" s="611">
        <f>VLOOKUP(P61,'Dia chat'!$E:$AE,7,0)</f>
        <v>-15.8</v>
      </c>
      <c r="R61" s="575" t="s">
        <v>824</v>
      </c>
      <c r="Z61" s="577"/>
    </row>
    <row r="62" spans="1:27" ht="15.95" customHeight="1">
      <c r="A62" s="607" t="s">
        <v>559</v>
      </c>
      <c r="B62" s="608">
        <v>2317769.6159999999</v>
      </c>
      <c r="C62" s="608">
        <v>430335.35700000002</v>
      </c>
      <c r="D62" s="609">
        <v>23.4</v>
      </c>
      <c r="E62" s="582" t="s">
        <v>710</v>
      </c>
      <c r="F62" s="654">
        <v>-8.6999999999999993</v>
      </c>
      <c r="G62" s="610">
        <f t="shared" si="0"/>
        <v>-7.6999999999999993</v>
      </c>
      <c r="H62" s="609"/>
      <c r="I62" s="609"/>
      <c r="J62" s="611" t="str">
        <f t="shared" si="1"/>
        <v/>
      </c>
      <c r="K62" s="611">
        <f t="shared" si="2"/>
        <v>0</v>
      </c>
      <c r="L62" s="611">
        <f t="shared" si="3"/>
        <v>0</v>
      </c>
      <c r="M62" s="611">
        <v>1200</v>
      </c>
      <c r="N62" s="607">
        <v>20</v>
      </c>
      <c r="O62" s="607">
        <v>18</v>
      </c>
      <c r="P62" s="612" t="s">
        <v>767</v>
      </c>
      <c r="Q62" s="611">
        <f>VLOOKUP(P62,'Dia chat'!$E:$AE,7,0)</f>
        <v>-15.8</v>
      </c>
      <c r="R62" s="575" t="s">
        <v>824</v>
      </c>
      <c r="Z62" s="577"/>
    </row>
    <row r="63" spans="1:27" ht="15.95" customHeight="1">
      <c r="A63" s="607" t="s">
        <v>564</v>
      </c>
      <c r="B63" s="608">
        <v>2317768.2110000001</v>
      </c>
      <c r="C63" s="608">
        <v>430337.92300000001</v>
      </c>
      <c r="D63" s="609">
        <v>23.4</v>
      </c>
      <c r="E63" s="582" t="s">
        <v>706</v>
      </c>
      <c r="F63" s="654">
        <v>-8.6999999999999993</v>
      </c>
      <c r="G63" s="610">
        <f t="shared" si="0"/>
        <v>-7.6999999999999993</v>
      </c>
      <c r="H63" s="609"/>
      <c r="I63" s="609"/>
      <c r="J63" s="611" t="str">
        <f t="shared" si="1"/>
        <v/>
      </c>
      <c r="K63" s="611">
        <f t="shared" si="2"/>
        <v>0</v>
      </c>
      <c r="L63" s="611">
        <f t="shared" si="3"/>
        <v>0</v>
      </c>
      <c r="M63" s="611">
        <v>1200</v>
      </c>
      <c r="N63" s="607">
        <v>20</v>
      </c>
      <c r="O63" s="607">
        <v>18</v>
      </c>
      <c r="P63" s="612" t="s">
        <v>767</v>
      </c>
      <c r="Q63" s="611">
        <f>VLOOKUP(P63,'Dia chat'!$E:$AE,7,0)</f>
        <v>-15.8</v>
      </c>
      <c r="R63" s="575" t="s">
        <v>824</v>
      </c>
      <c r="Z63" s="577"/>
    </row>
    <row r="64" spans="1:27" ht="15.95" customHeight="1">
      <c r="A64" s="607" t="s">
        <v>569</v>
      </c>
      <c r="B64" s="608">
        <v>2317768.3480000002</v>
      </c>
      <c r="C64" s="608">
        <v>430340.92</v>
      </c>
      <c r="D64" s="609">
        <v>23.4</v>
      </c>
      <c r="E64" s="582" t="s">
        <v>706</v>
      </c>
      <c r="F64" s="654">
        <v>-8.6999999999999993</v>
      </c>
      <c r="G64" s="610">
        <f t="shared" si="0"/>
        <v>-7.6999999999999993</v>
      </c>
      <c r="H64" s="609" t="s">
        <v>188</v>
      </c>
      <c r="I64" s="609"/>
      <c r="J64" s="611" t="str">
        <f t="shared" si="1"/>
        <v>SA</v>
      </c>
      <c r="K64" s="611">
        <f t="shared" si="2"/>
        <v>4</v>
      </c>
      <c r="L64" s="611">
        <f t="shared" si="3"/>
        <v>0</v>
      </c>
      <c r="M64" s="611">
        <v>1200</v>
      </c>
      <c r="N64" s="607">
        <v>20</v>
      </c>
      <c r="O64" s="607">
        <v>18</v>
      </c>
      <c r="P64" s="612" t="s">
        <v>815</v>
      </c>
      <c r="Q64" s="623">
        <v>-22</v>
      </c>
      <c r="R64" s="575" t="s">
        <v>824</v>
      </c>
      <c r="Z64" s="577"/>
    </row>
    <row r="65" spans="1:26" ht="15.95" customHeight="1">
      <c r="A65" s="607" t="s">
        <v>574</v>
      </c>
      <c r="B65" s="608">
        <v>2317770.2379999999</v>
      </c>
      <c r="C65" s="608">
        <v>430344.63799999998</v>
      </c>
      <c r="D65" s="609">
        <v>37.4</v>
      </c>
      <c r="E65" s="582" t="s">
        <v>711</v>
      </c>
      <c r="F65" s="654">
        <v>-8.6999999999999993</v>
      </c>
      <c r="G65" s="610">
        <f t="shared" si="0"/>
        <v>-7.6999999999999993</v>
      </c>
      <c r="H65" s="609"/>
      <c r="I65" s="609"/>
      <c r="J65" s="611" t="str">
        <f t="shared" si="1"/>
        <v/>
      </c>
      <c r="K65" s="611">
        <f t="shared" si="2"/>
        <v>0</v>
      </c>
      <c r="L65" s="611">
        <f t="shared" si="3"/>
        <v>0</v>
      </c>
      <c r="M65" s="611">
        <v>1200</v>
      </c>
      <c r="N65" s="607">
        <v>20</v>
      </c>
      <c r="O65" s="607">
        <v>18</v>
      </c>
      <c r="P65" s="612" t="s">
        <v>815</v>
      </c>
      <c r="Q65" s="623">
        <v>-22</v>
      </c>
      <c r="R65" s="575" t="s">
        <v>824</v>
      </c>
      <c r="Z65" s="577"/>
    </row>
    <row r="66" spans="1:26" ht="15.95" customHeight="1">
      <c r="A66" s="607" t="s">
        <v>579</v>
      </c>
      <c r="B66" s="608">
        <v>2317773.3309999998</v>
      </c>
      <c r="C66" s="608">
        <v>430346.6</v>
      </c>
      <c r="D66" s="609">
        <v>36.200000000000003</v>
      </c>
      <c r="E66" s="582" t="s">
        <v>711</v>
      </c>
      <c r="F66" s="654">
        <v>-8.6999999999999993</v>
      </c>
      <c r="G66" s="610">
        <f t="shared" si="0"/>
        <v>-7.6999999999999993</v>
      </c>
      <c r="H66" s="609" t="s">
        <v>188</v>
      </c>
      <c r="I66" s="609"/>
      <c r="J66" s="611" t="str">
        <f t="shared" si="1"/>
        <v>SA</v>
      </c>
      <c r="K66" s="611">
        <f t="shared" si="2"/>
        <v>4</v>
      </c>
      <c r="L66" s="611">
        <f t="shared" si="3"/>
        <v>0</v>
      </c>
      <c r="M66" s="611">
        <v>1200</v>
      </c>
      <c r="N66" s="607">
        <v>20</v>
      </c>
      <c r="O66" s="607">
        <v>18</v>
      </c>
      <c r="P66" s="612" t="s">
        <v>801</v>
      </c>
      <c r="Q66" s="623">
        <v>-22</v>
      </c>
      <c r="R66" s="575" t="s">
        <v>824</v>
      </c>
      <c r="Z66" s="577"/>
    </row>
    <row r="67" spans="1:26" ht="15.95" customHeight="1">
      <c r="A67" s="607" t="s">
        <v>584</v>
      </c>
      <c r="B67" s="608">
        <v>2317776.2319999998</v>
      </c>
      <c r="C67" s="608">
        <v>430344.36599999998</v>
      </c>
      <c r="D67" s="609">
        <v>36.200000000000003</v>
      </c>
      <c r="E67" s="582" t="s">
        <v>711</v>
      </c>
      <c r="F67" s="654">
        <v>-9.6999999999999993</v>
      </c>
      <c r="G67" s="610">
        <f t="shared" si="0"/>
        <v>-8.6999999999999993</v>
      </c>
      <c r="H67" s="609" t="s">
        <v>188</v>
      </c>
      <c r="I67" s="609"/>
      <c r="J67" s="611" t="str">
        <f t="shared" si="1"/>
        <v>SA</v>
      </c>
      <c r="K67" s="611">
        <f t="shared" si="2"/>
        <v>4</v>
      </c>
      <c r="L67" s="611">
        <f t="shared" si="3"/>
        <v>0</v>
      </c>
      <c r="M67" s="611">
        <v>1200</v>
      </c>
      <c r="N67" s="607">
        <v>20</v>
      </c>
      <c r="O67" s="607">
        <v>18</v>
      </c>
      <c r="P67" s="612" t="s">
        <v>801</v>
      </c>
      <c r="Q67" s="623">
        <v>-22</v>
      </c>
      <c r="R67" s="575" t="s">
        <v>824</v>
      </c>
      <c r="Z67" s="577"/>
    </row>
    <row r="68" spans="1:26" ht="15.95" customHeight="1">
      <c r="A68" s="607" t="s">
        <v>589</v>
      </c>
      <c r="B68" s="608">
        <v>2317779.324</v>
      </c>
      <c r="C68" s="608">
        <v>430346.32699999999</v>
      </c>
      <c r="D68" s="609">
        <v>25.4</v>
      </c>
      <c r="E68" s="582" t="s">
        <v>711</v>
      </c>
      <c r="F68" s="654">
        <v>-9.6999999999999993</v>
      </c>
      <c r="G68" s="610">
        <f t="shared" ref="G68:G131" si="4">F68+1</f>
        <v>-8.6999999999999993</v>
      </c>
      <c r="H68" s="609"/>
      <c r="I68" s="609"/>
      <c r="J68" s="611" t="str">
        <f t="shared" ref="J68:J131" si="5">IF(H68="",IF(I68="","","L"),"SA")</f>
        <v/>
      </c>
      <c r="K68" s="611">
        <f t="shared" ref="K68:K131" si="6">IF(J68="",0,IF(J68="SA",4,3))</f>
        <v>0</v>
      </c>
      <c r="L68" s="611">
        <f t="shared" ref="L68:L131" si="7">IF(K68=3,1,0)</f>
        <v>0</v>
      </c>
      <c r="M68" s="611">
        <v>1200</v>
      </c>
      <c r="N68" s="607">
        <v>20</v>
      </c>
      <c r="O68" s="607">
        <v>18</v>
      </c>
      <c r="P68" s="612" t="s">
        <v>768</v>
      </c>
      <c r="Q68" s="611">
        <f>VLOOKUP(P68,'Dia chat'!$E:$AE,7,0)</f>
        <v>-17.16</v>
      </c>
      <c r="R68" s="575" t="s">
        <v>824</v>
      </c>
      <c r="Z68" s="577"/>
    </row>
    <row r="69" spans="1:26" ht="15.95" customHeight="1">
      <c r="A69" s="607" t="s">
        <v>594</v>
      </c>
      <c r="B69" s="608">
        <v>2317782.2259999998</v>
      </c>
      <c r="C69" s="608">
        <v>430344.09299999999</v>
      </c>
      <c r="D69" s="609">
        <v>26.5</v>
      </c>
      <c r="E69" s="582" t="s">
        <v>711</v>
      </c>
      <c r="F69" s="654">
        <v>-9.6999999999999993</v>
      </c>
      <c r="G69" s="610">
        <f t="shared" si="4"/>
        <v>-8.6999999999999993</v>
      </c>
      <c r="H69" s="609"/>
      <c r="I69" s="609"/>
      <c r="J69" s="611" t="str">
        <f t="shared" si="5"/>
        <v/>
      </c>
      <c r="K69" s="611">
        <f t="shared" si="6"/>
        <v>0</v>
      </c>
      <c r="L69" s="611">
        <f t="shared" si="7"/>
        <v>0</v>
      </c>
      <c r="M69" s="611">
        <v>1200</v>
      </c>
      <c r="N69" s="607">
        <v>20</v>
      </c>
      <c r="O69" s="607">
        <v>18</v>
      </c>
      <c r="P69" s="612" t="s">
        <v>768</v>
      </c>
      <c r="Q69" s="611">
        <f>VLOOKUP(P69,'Dia chat'!$E:$AE,7,0)</f>
        <v>-17.16</v>
      </c>
      <c r="R69" s="575" t="s">
        <v>824</v>
      </c>
      <c r="Z69" s="577"/>
    </row>
    <row r="70" spans="1:26" ht="15.95" customHeight="1">
      <c r="A70" s="607" t="s">
        <v>599</v>
      </c>
      <c r="B70" s="608">
        <v>2317782.389</v>
      </c>
      <c r="C70" s="608">
        <v>430347.69</v>
      </c>
      <c r="D70" s="609">
        <v>25.4</v>
      </c>
      <c r="E70" s="582" t="s">
        <v>711</v>
      </c>
      <c r="F70" s="654">
        <v>-9.6999999999999993</v>
      </c>
      <c r="G70" s="610">
        <f t="shared" si="4"/>
        <v>-8.6999999999999993</v>
      </c>
      <c r="H70" s="609" t="s">
        <v>188</v>
      </c>
      <c r="I70" s="609"/>
      <c r="J70" s="611" t="str">
        <f t="shared" si="5"/>
        <v>SA</v>
      </c>
      <c r="K70" s="611">
        <f t="shared" si="6"/>
        <v>4</v>
      </c>
      <c r="L70" s="611">
        <f t="shared" si="7"/>
        <v>0</v>
      </c>
      <c r="M70" s="611">
        <v>1200</v>
      </c>
      <c r="N70" s="607">
        <v>20</v>
      </c>
      <c r="O70" s="607">
        <v>18</v>
      </c>
      <c r="P70" s="612" t="s">
        <v>768</v>
      </c>
      <c r="Q70" s="611">
        <f>VLOOKUP(P70,'Dia chat'!$E:$AE,7,0)</f>
        <v>-17.16</v>
      </c>
      <c r="R70" s="575" t="s">
        <v>824</v>
      </c>
      <c r="Z70" s="577"/>
    </row>
    <row r="71" spans="1:26" ht="15.95" customHeight="1">
      <c r="A71" s="607" t="s">
        <v>604</v>
      </c>
      <c r="B71" s="608">
        <v>2317779.4610000001</v>
      </c>
      <c r="C71" s="608">
        <v>430349.32400000002</v>
      </c>
      <c r="D71" s="609">
        <v>25.4</v>
      </c>
      <c r="E71" s="582" t="s">
        <v>711</v>
      </c>
      <c r="F71" s="654">
        <v>-9.6999999999999993</v>
      </c>
      <c r="G71" s="610">
        <f t="shared" si="4"/>
        <v>-8.6999999999999993</v>
      </c>
      <c r="H71" s="609"/>
      <c r="I71" s="609"/>
      <c r="J71" s="611" t="str">
        <f t="shared" si="5"/>
        <v/>
      </c>
      <c r="K71" s="611">
        <f t="shared" si="6"/>
        <v>0</v>
      </c>
      <c r="L71" s="611">
        <f t="shared" si="7"/>
        <v>0</v>
      </c>
      <c r="M71" s="611">
        <v>1200</v>
      </c>
      <c r="N71" s="607">
        <v>20</v>
      </c>
      <c r="O71" s="607">
        <v>18</v>
      </c>
      <c r="P71" s="612" t="s">
        <v>802</v>
      </c>
      <c r="Q71" s="623">
        <v>-22</v>
      </c>
      <c r="R71" s="575" t="s">
        <v>824</v>
      </c>
      <c r="Z71" s="577"/>
    </row>
    <row r="72" spans="1:26" ht="15.95" customHeight="1">
      <c r="A72" s="607" t="s">
        <v>609</v>
      </c>
      <c r="B72" s="608">
        <v>2317776.3960000002</v>
      </c>
      <c r="C72" s="608">
        <v>430347.962</v>
      </c>
      <c r="D72" s="609">
        <v>26.8</v>
      </c>
      <c r="E72" s="582" t="s">
        <v>711</v>
      </c>
      <c r="F72" s="654">
        <v>-9.6999999999999993</v>
      </c>
      <c r="G72" s="610">
        <f t="shared" si="4"/>
        <v>-8.6999999999999993</v>
      </c>
      <c r="H72" s="609"/>
      <c r="I72" s="609"/>
      <c r="J72" s="611" t="str">
        <f t="shared" si="5"/>
        <v/>
      </c>
      <c r="K72" s="611">
        <f t="shared" si="6"/>
        <v>0</v>
      </c>
      <c r="L72" s="611">
        <f t="shared" si="7"/>
        <v>0</v>
      </c>
      <c r="M72" s="611">
        <v>1200</v>
      </c>
      <c r="N72" s="607">
        <v>20</v>
      </c>
      <c r="O72" s="607">
        <v>18</v>
      </c>
      <c r="P72" s="612" t="s">
        <v>802</v>
      </c>
      <c r="Q72" s="623">
        <v>-22</v>
      </c>
      <c r="R72" s="575" t="s">
        <v>824</v>
      </c>
      <c r="Z72" s="577"/>
    </row>
    <row r="73" spans="1:26" ht="15.95" customHeight="1">
      <c r="A73" s="607" t="s">
        <v>614</v>
      </c>
      <c r="B73" s="608">
        <v>2317773.4670000002</v>
      </c>
      <c r="C73" s="608">
        <v>430349.59700000001</v>
      </c>
      <c r="D73" s="609">
        <v>26.8</v>
      </c>
      <c r="E73" s="582" t="s">
        <v>711</v>
      </c>
      <c r="F73" s="654">
        <v>-8.6999999999999993</v>
      </c>
      <c r="G73" s="610">
        <f t="shared" si="4"/>
        <v>-7.6999999999999993</v>
      </c>
      <c r="H73" s="609"/>
      <c r="I73" s="609"/>
      <c r="J73" s="611" t="str">
        <f t="shared" si="5"/>
        <v/>
      </c>
      <c r="K73" s="611">
        <f t="shared" si="6"/>
        <v>0</v>
      </c>
      <c r="L73" s="611">
        <f t="shared" si="7"/>
        <v>0</v>
      </c>
      <c r="M73" s="611">
        <v>1200</v>
      </c>
      <c r="N73" s="607">
        <v>20</v>
      </c>
      <c r="O73" s="607">
        <v>18</v>
      </c>
      <c r="P73" s="612" t="s">
        <v>801</v>
      </c>
      <c r="Q73" s="623">
        <v>-22</v>
      </c>
      <c r="R73" s="575" t="s">
        <v>824</v>
      </c>
      <c r="Z73" s="577"/>
    </row>
    <row r="74" spans="1:26" ht="15.95" customHeight="1">
      <c r="A74" s="607" t="s">
        <v>619</v>
      </c>
      <c r="B74" s="608">
        <v>2317770.4019999998</v>
      </c>
      <c r="C74" s="608">
        <v>430348.23499999999</v>
      </c>
      <c r="D74" s="609">
        <v>26.8</v>
      </c>
      <c r="E74" s="582" t="s">
        <v>711</v>
      </c>
      <c r="F74" s="654">
        <v>-8.6999999999999993</v>
      </c>
      <c r="G74" s="610">
        <f t="shared" si="4"/>
        <v>-7.6999999999999993</v>
      </c>
      <c r="H74" s="609"/>
      <c r="I74" s="609" t="s">
        <v>188</v>
      </c>
      <c r="J74" s="611" t="str">
        <f t="shared" si="5"/>
        <v>L</v>
      </c>
      <c r="K74" s="611">
        <f t="shared" si="6"/>
        <v>3</v>
      </c>
      <c r="L74" s="611">
        <f t="shared" si="7"/>
        <v>1</v>
      </c>
      <c r="M74" s="611">
        <v>1200</v>
      </c>
      <c r="N74" s="607">
        <v>20</v>
      </c>
      <c r="O74" s="607">
        <v>18</v>
      </c>
      <c r="P74" s="612" t="s">
        <v>769</v>
      </c>
      <c r="Q74" s="611">
        <f>VLOOKUP(P74,'Dia chat'!$E:$AE,7,0)</f>
        <v>-17.32</v>
      </c>
      <c r="R74" s="575" t="s">
        <v>824</v>
      </c>
      <c r="Z74" s="577"/>
    </row>
    <row r="75" spans="1:26" ht="15.95" customHeight="1">
      <c r="A75" s="607" t="s">
        <v>624</v>
      </c>
      <c r="B75" s="608">
        <v>2317770.5380000002</v>
      </c>
      <c r="C75" s="608">
        <v>430351.23100000003</v>
      </c>
      <c r="D75" s="609">
        <v>26.8</v>
      </c>
      <c r="E75" s="582" t="s">
        <v>711</v>
      </c>
      <c r="F75" s="654">
        <v>-8.6999999999999993</v>
      </c>
      <c r="G75" s="610">
        <f t="shared" si="4"/>
        <v>-7.6999999999999993</v>
      </c>
      <c r="H75" s="609"/>
      <c r="I75" s="609"/>
      <c r="J75" s="611" t="str">
        <f t="shared" si="5"/>
        <v/>
      </c>
      <c r="K75" s="611">
        <f t="shared" si="6"/>
        <v>0</v>
      </c>
      <c r="L75" s="611">
        <f t="shared" si="7"/>
        <v>0</v>
      </c>
      <c r="M75" s="611">
        <v>1200</v>
      </c>
      <c r="N75" s="607">
        <v>20</v>
      </c>
      <c r="O75" s="607">
        <v>18</v>
      </c>
      <c r="P75" s="612" t="s">
        <v>769</v>
      </c>
      <c r="Q75" s="611">
        <f>VLOOKUP(P75,'Dia chat'!$E:$AE,7,0)</f>
        <v>-17.32</v>
      </c>
      <c r="R75" s="575" t="s">
        <v>824</v>
      </c>
      <c r="Z75" s="577"/>
    </row>
    <row r="76" spans="1:26" ht="15.95" customHeight="1">
      <c r="A76" s="607" t="s">
        <v>629</v>
      </c>
      <c r="B76" s="608">
        <v>2317773.6030000001</v>
      </c>
      <c r="C76" s="608">
        <v>430352.59399999998</v>
      </c>
      <c r="D76" s="609">
        <v>26.8</v>
      </c>
      <c r="E76" s="582" t="s">
        <v>711</v>
      </c>
      <c r="F76" s="654">
        <v>-8.6999999999999993</v>
      </c>
      <c r="G76" s="610">
        <f t="shared" si="4"/>
        <v>-7.6999999999999993</v>
      </c>
      <c r="H76" s="609"/>
      <c r="I76" s="609"/>
      <c r="J76" s="611" t="str">
        <f t="shared" si="5"/>
        <v/>
      </c>
      <c r="K76" s="611">
        <f t="shared" si="6"/>
        <v>0</v>
      </c>
      <c r="L76" s="611">
        <f t="shared" si="7"/>
        <v>0</v>
      </c>
      <c r="M76" s="611">
        <v>1200</v>
      </c>
      <c r="N76" s="607">
        <v>20</v>
      </c>
      <c r="O76" s="607">
        <v>18</v>
      </c>
      <c r="P76" s="612" t="s">
        <v>770</v>
      </c>
      <c r="Q76" s="611">
        <f>VLOOKUP(P76,'Dia chat'!$E:$AE,7,0)</f>
        <v>-20.3</v>
      </c>
      <c r="R76" s="575" t="s">
        <v>824</v>
      </c>
      <c r="Z76" s="577"/>
    </row>
    <row r="77" spans="1:26" ht="15.95" customHeight="1">
      <c r="A77" s="607" t="s">
        <v>633</v>
      </c>
      <c r="B77" s="608">
        <v>2317776.5320000001</v>
      </c>
      <c r="C77" s="608">
        <v>430350.95899999997</v>
      </c>
      <c r="D77" s="609">
        <v>26.8</v>
      </c>
      <c r="E77" s="582" t="s">
        <v>711</v>
      </c>
      <c r="F77" s="654">
        <v>-9.6999999999999993</v>
      </c>
      <c r="G77" s="610">
        <f t="shared" si="4"/>
        <v>-8.6999999999999993</v>
      </c>
      <c r="H77" s="609" t="s">
        <v>188</v>
      </c>
      <c r="I77" s="609"/>
      <c r="J77" s="611" t="str">
        <f t="shared" si="5"/>
        <v>SA</v>
      </c>
      <c r="K77" s="611">
        <f t="shared" si="6"/>
        <v>4</v>
      </c>
      <c r="L77" s="611">
        <f t="shared" si="7"/>
        <v>0</v>
      </c>
      <c r="M77" s="611">
        <v>1200</v>
      </c>
      <c r="N77" s="607">
        <v>20</v>
      </c>
      <c r="O77" s="607">
        <v>18</v>
      </c>
      <c r="P77" s="612" t="s">
        <v>770</v>
      </c>
      <c r="Q77" s="611">
        <f>VLOOKUP(P77,'Dia chat'!$E:$AE,7,0)</f>
        <v>-20.3</v>
      </c>
      <c r="R77" s="575" t="s">
        <v>824</v>
      </c>
      <c r="Z77" s="577"/>
    </row>
    <row r="78" spans="1:26" ht="15.95" customHeight="1">
      <c r="A78" s="607" t="s">
        <v>638</v>
      </c>
      <c r="B78" s="608">
        <v>2317779.5970000001</v>
      </c>
      <c r="C78" s="608">
        <v>430352.321</v>
      </c>
      <c r="D78" s="609">
        <v>25.4</v>
      </c>
      <c r="E78" s="582" t="s">
        <v>711</v>
      </c>
      <c r="F78" s="654">
        <v>-9.6999999999999993</v>
      </c>
      <c r="G78" s="610">
        <f t="shared" si="4"/>
        <v>-8.6999999999999993</v>
      </c>
      <c r="H78" s="609"/>
      <c r="I78" s="609"/>
      <c r="J78" s="611" t="str">
        <f t="shared" si="5"/>
        <v/>
      </c>
      <c r="K78" s="611">
        <f t="shared" si="6"/>
        <v>0</v>
      </c>
      <c r="L78" s="611">
        <f t="shared" si="7"/>
        <v>0</v>
      </c>
      <c r="M78" s="611">
        <v>1200</v>
      </c>
      <c r="N78" s="607">
        <v>20</v>
      </c>
      <c r="O78" s="607">
        <v>18</v>
      </c>
      <c r="P78" s="612" t="s">
        <v>769</v>
      </c>
      <c r="Q78" s="623">
        <v>-22</v>
      </c>
      <c r="R78" s="575" t="s">
        <v>824</v>
      </c>
      <c r="Z78" s="577"/>
    </row>
    <row r="79" spans="1:26" ht="15.95" customHeight="1">
      <c r="A79" s="607" t="s">
        <v>643</v>
      </c>
      <c r="B79" s="608">
        <v>2317782.5260000001</v>
      </c>
      <c r="C79" s="608">
        <v>430350.68599999999</v>
      </c>
      <c r="D79" s="609">
        <v>25.4</v>
      </c>
      <c r="E79" s="582" t="s">
        <v>711</v>
      </c>
      <c r="F79" s="654">
        <v>-9.6999999999999993</v>
      </c>
      <c r="G79" s="610">
        <f t="shared" si="4"/>
        <v>-8.6999999999999993</v>
      </c>
      <c r="H79" s="609"/>
      <c r="I79" s="609"/>
      <c r="J79" s="611" t="str">
        <f t="shared" si="5"/>
        <v/>
      </c>
      <c r="K79" s="611">
        <f t="shared" si="6"/>
        <v>0</v>
      </c>
      <c r="L79" s="611">
        <f t="shared" si="7"/>
        <v>0</v>
      </c>
      <c r="M79" s="611">
        <v>1200</v>
      </c>
      <c r="N79" s="607">
        <v>20</v>
      </c>
      <c r="O79" s="607">
        <v>18</v>
      </c>
      <c r="P79" s="612" t="s">
        <v>768</v>
      </c>
      <c r="Q79" s="611">
        <f>VLOOKUP(P79,'Dia chat'!$E:$AE,7,0)</f>
        <v>-17.16</v>
      </c>
      <c r="R79" s="575" t="s">
        <v>824</v>
      </c>
      <c r="Z79" s="577"/>
    </row>
    <row r="80" spans="1:26" ht="15.95" customHeight="1">
      <c r="A80" s="607" t="s">
        <v>648</v>
      </c>
      <c r="B80" s="608">
        <v>2317782.662</v>
      </c>
      <c r="C80" s="608">
        <v>430353.68300000002</v>
      </c>
      <c r="D80" s="609">
        <v>25.4</v>
      </c>
      <c r="E80" s="582" t="s">
        <v>711</v>
      </c>
      <c r="F80" s="654">
        <v>-9.6999999999999993</v>
      </c>
      <c r="G80" s="610">
        <f t="shared" si="4"/>
        <v>-8.6999999999999993</v>
      </c>
      <c r="H80" s="609" t="s">
        <v>188</v>
      </c>
      <c r="I80" s="609"/>
      <c r="J80" s="611" t="str">
        <f t="shared" si="5"/>
        <v>SA</v>
      </c>
      <c r="K80" s="611">
        <f t="shared" si="6"/>
        <v>4</v>
      </c>
      <c r="L80" s="611">
        <f t="shared" si="7"/>
        <v>0</v>
      </c>
      <c r="M80" s="611">
        <v>1200</v>
      </c>
      <c r="N80" s="607">
        <v>20</v>
      </c>
      <c r="O80" s="607">
        <v>18</v>
      </c>
      <c r="P80" s="612" t="s">
        <v>804</v>
      </c>
      <c r="Q80" s="623">
        <v>-22</v>
      </c>
      <c r="R80" s="575" t="s">
        <v>824</v>
      </c>
      <c r="Z80" s="577"/>
    </row>
    <row r="81" spans="1:26" ht="15.95" customHeight="1">
      <c r="A81" s="607" t="s">
        <v>653</v>
      </c>
      <c r="B81" s="608">
        <v>2317779.733</v>
      </c>
      <c r="C81" s="608">
        <v>430355.31800000003</v>
      </c>
      <c r="D81" s="609">
        <v>26.8</v>
      </c>
      <c r="E81" s="582" t="s">
        <v>711</v>
      </c>
      <c r="F81" s="654">
        <v>-9.6999999999999993</v>
      </c>
      <c r="G81" s="610">
        <f t="shared" si="4"/>
        <v>-8.6999999999999993</v>
      </c>
      <c r="H81" s="609"/>
      <c r="I81" s="609"/>
      <c r="J81" s="611" t="str">
        <f t="shared" si="5"/>
        <v/>
      </c>
      <c r="K81" s="611">
        <f t="shared" si="6"/>
        <v>0</v>
      </c>
      <c r="L81" s="611">
        <f t="shared" si="7"/>
        <v>0</v>
      </c>
      <c r="M81" s="611">
        <v>1200</v>
      </c>
      <c r="N81" s="607">
        <v>20</v>
      </c>
      <c r="O81" s="607">
        <v>18</v>
      </c>
      <c r="P81" s="612" t="s">
        <v>804</v>
      </c>
      <c r="Q81" s="623">
        <v>-22</v>
      </c>
      <c r="R81" s="575" t="s">
        <v>824</v>
      </c>
      <c r="Z81" s="577"/>
    </row>
    <row r="82" spans="1:26" ht="15.95" customHeight="1">
      <c r="A82" s="607" t="s">
        <v>657</v>
      </c>
      <c r="B82" s="608">
        <v>2317776.6680000001</v>
      </c>
      <c r="C82" s="608">
        <v>430353.95600000001</v>
      </c>
      <c r="D82" s="609">
        <v>26.8</v>
      </c>
      <c r="E82" s="582" t="s">
        <v>711</v>
      </c>
      <c r="F82" s="654">
        <v>-9.6999999999999993</v>
      </c>
      <c r="G82" s="610">
        <f t="shared" si="4"/>
        <v>-8.6999999999999993</v>
      </c>
      <c r="H82" s="609"/>
      <c r="I82" s="609"/>
      <c r="J82" s="611" t="str">
        <f t="shared" si="5"/>
        <v/>
      </c>
      <c r="K82" s="611">
        <f t="shared" si="6"/>
        <v>0</v>
      </c>
      <c r="L82" s="611">
        <f t="shared" si="7"/>
        <v>0</v>
      </c>
      <c r="M82" s="611">
        <v>1200</v>
      </c>
      <c r="N82" s="607">
        <v>20</v>
      </c>
      <c r="O82" s="607">
        <v>18</v>
      </c>
      <c r="P82" s="612" t="s">
        <v>770</v>
      </c>
      <c r="Q82" s="611">
        <f>VLOOKUP(P82,'Dia chat'!$E:$AE,7,0)</f>
        <v>-20.3</v>
      </c>
      <c r="R82" s="575" t="s">
        <v>824</v>
      </c>
      <c r="Z82" s="577"/>
    </row>
    <row r="83" spans="1:26" ht="15.95" customHeight="1">
      <c r="A83" s="607" t="s">
        <v>661</v>
      </c>
      <c r="B83" s="608">
        <v>2317773.7390000001</v>
      </c>
      <c r="C83" s="608">
        <v>430355.59100000001</v>
      </c>
      <c r="D83" s="609">
        <v>26.8</v>
      </c>
      <c r="E83" s="582" t="s">
        <v>711</v>
      </c>
      <c r="F83" s="654">
        <v>-8.6999999999999993</v>
      </c>
      <c r="G83" s="610">
        <f t="shared" si="4"/>
        <v>-7.6999999999999993</v>
      </c>
      <c r="H83" s="609"/>
      <c r="I83" s="609"/>
      <c r="J83" s="611" t="str">
        <f t="shared" si="5"/>
        <v/>
      </c>
      <c r="K83" s="611">
        <f t="shared" si="6"/>
        <v>0</v>
      </c>
      <c r="L83" s="611">
        <f t="shared" si="7"/>
        <v>0</v>
      </c>
      <c r="M83" s="611">
        <v>1200</v>
      </c>
      <c r="N83" s="607">
        <v>20</v>
      </c>
      <c r="O83" s="607">
        <v>18</v>
      </c>
      <c r="P83" s="612" t="s">
        <v>770</v>
      </c>
      <c r="Q83" s="611">
        <f>VLOOKUP(P83,'Dia chat'!$E:$AE,7,0)</f>
        <v>-20.3</v>
      </c>
      <c r="R83" s="575" t="s">
        <v>824</v>
      </c>
      <c r="Z83" s="577"/>
    </row>
    <row r="84" spans="1:26" ht="15.95" customHeight="1">
      <c r="A84" s="607" t="s">
        <v>665</v>
      </c>
      <c r="B84" s="608">
        <v>2317770.6740000001</v>
      </c>
      <c r="C84" s="608">
        <v>430354.228</v>
      </c>
      <c r="D84" s="609">
        <v>26.8</v>
      </c>
      <c r="E84" s="582" t="s">
        <v>711</v>
      </c>
      <c r="F84" s="654">
        <v>-8.6999999999999993</v>
      </c>
      <c r="G84" s="610">
        <f t="shared" si="4"/>
        <v>-7.6999999999999993</v>
      </c>
      <c r="H84" s="609"/>
      <c r="I84" s="609"/>
      <c r="J84" s="611" t="str">
        <f t="shared" si="5"/>
        <v/>
      </c>
      <c r="K84" s="611">
        <f t="shared" si="6"/>
        <v>0</v>
      </c>
      <c r="L84" s="611">
        <f t="shared" si="7"/>
        <v>0</v>
      </c>
      <c r="M84" s="611">
        <v>1200</v>
      </c>
      <c r="N84" s="607">
        <v>20</v>
      </c>
      <c r="O84" s="607">
        <v>18</v>
      </c>
      <c r="P84" s="612" t="s">
        <v>769</v>
      </c>
      <c r="Q84" s="611">
        <f>VLOOKUP(P84,'Dia chat'!$E:$AE,7,0)</f>
        <v>-17.32</v>
      </c>
      <c r="R84" s="575" t="s">
        <v>824</v>
      </c>
      <c r="Z84" s="577"/>
    </row>
    <row r="85" spans="1:26" ht="15.95" customHeight="1">
      <c r="A85" s="607" t="s">
        <v>670</v>
      </c>
      <c r="B85" s="608">
        <v>2317770.8110000002</v>
      </c>
      <c r="C85" s="608">
        <v>430357.22499999998</v>
      </c>
      <c r="D85" s="609">
        <v>26.8</v>
      </c>
      <c r="E85" s="582" t="s">
        <v>711</v>
      </c>
      <c r="F85" s="654">
        <v>-8.6999999999999993</v>
      </c>
      <c r="G85" s="610">
        <f t="shared" si="4"/>
        <v>-7.6999999999999993</v>
      </c>
      <c r="H85" s="609"/>
      <c r="I85" s="609"/>
      <c r="J85" s="611" t="str">
        <f t="shared" si="5"/>
        <v/>
      </c>
      <c r="K85" s="611">
        <f t="shared" si="6"/>
        <v>0</v>
      </c>
      <c r="L85" s="611">
        <f t="shared" si="7"/>
        <v>0</v>
      </c>
      <c r="M85" s="611">
        <v>1200</v>
      </c>
      <c r="N85" s="607">
        <v>20</v>
      </c>
      <c r="O85" s="607">
        <v>18</v>
      </c>
      <c r="P85" s="612" t="s">
        <v>769</v>
      </c>
      <c r="Q85" s="611">
        <f>VLOOKUP(P85,'Dia chat'!$E:$AE,7,0)</f>
        <v>-17.32</v>
      </c>
      <c r="R85" s="575" t="s">
        <v>824</v>
      </c>
      <c r="Z85" s="577"/>
    </row>
    <row r="86" spans="1:26" ht="15.95" customHeight="1">
      <c r="A86" s="607" t="s">
        <v>677</v>
      </c>
      <c r="B86" s="608">
        <v>2317773.8760000002</v>
      </c>
      <c r="C86" s="608">
        <v>430358.587</v>
      </c>
      <c r="D86" s="609">
        <v>26.8</v>
      </c>
      <c r="E86" s="582" t="s">
        <v>711</v>
      </c>
      <c r="F86" s="654">
        <v>-8.6999999999999993</v>
      </c>
      <c r="G86" s="610">
        <f t="shared" si="4"/>
        <v>-7.6999999999999993</v>
      </c>
      <c r="H86" s="609"/>
      <c r="I86" s="609"/>
      <c r="J86" s="611" t="str">
        <f t="shared" si="5"/>
        <v/>
      </c>
      <c r="K86" s="611">
        <f t="shared" si="6"/>
        <v>0</v>
      </c>
      <c r="L86" s="611">
        <f t="shared" si="7"/>
        <v>0</v>
      </c>
      <c r="M86" s="611">
        <v>1200</v>
      </c>
      <c r="N86" s="607">
        <v>20</v>
      </c>
      <c r="O86" s="607">
        <v>18</v>
      </c>
      <c r="P86" s="612" t="s">
        <v>803</v>
      </c>
      <c r="Q86" s="623">
        <v>-22</v>
      </c>
      <c r="R86" s="575" t="s">
        <v>824</v>
      </c>
      <c r="Z86" s="577"/>
    </row>
    <row r="87" spans="1:26" ht="15.95" customHeight="1">
      <c r="A87" s="607" t="s">
        <v>682</v>
      </c>
      <c r="B87" s="608">
        <v>2317776.804</v>
      </c>
      <c r="C87" s="608">
        <v>430356.95299999998</v>
      </c>
      <c r="D87" s="609">
        <v>26.8</v>
      </c>
      <c r="E87" s="582" t="s">
        <v>711</v>
      </c>
      <c r="F87" s="654">
        <v>-9.6999999999999993</v>
      </c>
      <c r="G87" s="610">
        <f t="shared" si="4"/>
        <v>-8.6999999999999993</v>
      </c>
      <c r="H87" s="609"/>
      <c r="I87" s="609" t="s">
        <v>188</v>
      </c>
      <c r="J87" s="611" t="str">
        <f t="shared" si="5"/>
        <v>L</v>
      </c>
      <c r="K87" s="611">
        <f t="shared" si="6"/>
        <v>3</v>
      </c>
      <c r="L87" s="611">
        <f t="shared" si="7"/>
        <v>1</v>
      </c>
      <c r="M87" s="611">
        <v>1200</v>
      </c>
      <c r="N87" s="607">
        <v>20</v>
      </c>
      <c r="O87" s="607">
        <v>18</v>
      </c>
      <c r="P87" s="612" t="s">
        <v>803</v>
      </c>
      <c r="Q87" s="623">
        <v>-22</v>
      </c>
      <c r="R87" s="575" t="s">
        <v>824</v>
      </c>
      <c r="Z87" s="577"/>
    </row>
    <row r="88" spans="1:26" ht="15.95" customHeight="1">
      <c r="A88" s="607" t="s">
        <v>687</v>
      </c>
      <c r="B88" s="608">
        <v>2317779.8689999999</v>
      </c>
      <c r="C88" s="608">
        <v>430358.315</v>
      </c>
      <c r="D88" s="609">
        <v>41.7</v>
      </c>
      <c r="E88" s="582" t="s">
        <v>711</v>
      </c>
      <c r="F88" s="654">
        <v>-9.6999999999999993</v>
      </c>
      <c r="G88" s="610">
        <f t="shared" si="4"/>
        <v>-8.6999999999999993</v>
      </c>
      <c r="H88" s="609" t="s">
        <v>188</v>
      </c>
      <c r="I88" s="609"/>
      <c r="J88" s="611" t="str">
        <f t="shared" si="5"/>
        <v>SA</v>
      </c>
      <c r="K88" s="611">
        <f t="shared" si="6"/>
        <v>4</v>
      </c>
      <c r="L88" s="611">
        <f t="shared" si="7"/>
        <v>0</v>
      </c>
      <c r="M88" s="611">
        <v>1200</v>
      </c>
      <c r="N88" s="607">
        <v>20</v>
      </c>
      <c r="O88" s="607">
        <v>18</v>
      </c>
      <c r="P88" s="612" t="s">
        <v>803</v>
      </c>
      <c r="Q88" s="623">
        <v>-22</v>
      </c>
      <c r="R88" s="575" t="s">
        <v>824</v>
      </c>
      <c r="Z88" s="577"/>
    </row>
    <row r="89" spans="1:26" ht="15.95" customHeight="1">
      <c r="A89" s="607" t="s">
        <v>692</v>
      </c>
      <c r="B89" s="608">
        <v>2317782.798</v>
      </c>
      <c r="C89" s="608">
        <v>430356.68</v>
      </c>
      <c r="D89" s="609">
        <v>41.7</v>
      </c>
      <c r="E89" s="582" t="s">
        <v>711</v>
      </c>
      <c r="F89" s="654">
        <v>-9.6999999999999993</v>
      </c>
      <c r="G89" s="610">
        <f t="shared" si="4"/>
        <v>-8.6999999999999993</v>
      </c>
      <c r="H89" s="609"/>
      <c r="I89" s="609"/>
      <c r="J89" s="611" t="str">
        <f t="shared" si="5"/>
        <v/>
      </c>
      <c r="K89" s="611">
        <f t="shared" si="6"/>
        <v>0</v>
      </c>
      <c r="L89" s="611">
        <f t="shared" si="7"/>
        <v>0</v>
      </c>
      <c r="M89" s="611">
        <v>1200</v>
      </c>
      <c r="N89" s="607">
        <v>20</v>
      </c>
      <c r="O89" s="607">
        <v>18</v>
      </c>
      <c r="P89" s="612" t="s">
        <v>804</v>
      </c>
      <c r="Q89" s="623">
        <v>-22</v>
      </c>
      <c r="R89" s="575" t="s">
        <v>824</v>
      </c>
      <c r="Z89" s="577"/>
    </row>
    <row r="90" spans="1:26" ht="15.95" customHeight="1">
      <c r="A90" s="607" t="s">
        <v>695</v>
      </c>
      <c r="B90" s="608">
        <v>2317782.9339999999</v>
      </c>
      <c r="C90" s="608">
        <v>430359.67700000003</v>
      </c>
      <c r="D90" s="609">
        <v>41.7</v>
      </c>
      <c r="E90" s="582" t="s">
        <v>711</v>
      </c>
      <c r="F90" s="654">
        <v>-9.6999999999999993</v>
      </c>
      <c r="G90" s="610">
        <f t="shared" si="4"/>
        <v>-8.6999999999999993</v>
      </c>
      <c r="H90" s="609" t="s">
        <v>188</v>
      </c>
      <c r="I90" s="609"/>
      <c r="J90" s="611" t="str">
        <f t="shared" si="5"/>
        <v>SA</v>
      </c>
      <c r="K90" s="611">
        <f t="shared" si="6"/>
        <v>4</v>
      </c>
      <c r="L90" s="611">
        <f t="shared" si="7"/>
        <v>0</v>
      </c>
      <c r="M90" s="611">
        <v>1200</v>
      </c>
      <c r="N90" s="607">
        <v>20</v>
      </c>
      <c r="O90" s="607">
        <v>18</v>
      </c>
      <c r="P90" s="612" t="s">
        <v>782</v>
      </c>
      <c r="Q90" s="611">
        <f>VLOOKUP(P90,'Dia chat'!$E:$AE,7,0)</f>
        <v>-18.84</v>
      </c>
      <c r="R90" s="575" t="s">
        <v>824</v>
      </c>
      <c r="Z90" s="577"/>
    </row>
    <row r="91" spans="1:26" ht="15.95" customHeight="1">
      <c r="A91" s="607" t="s">
        <v>699</v>
      </c>
      <c r="B91" s="608">
        <v>2317780.0060000001</v>
      </c>
      <c r="C91" s="608">
        <v>430361.31199999998</v>
      </c>
      <c r="D91" s="609">
        <v>41.7</v>
      </c>
      <c r="E91" s="582" t="s">
        <v>711</v>
      </c>
      <c r="F91" s="654">
        <v>-9.6999999999999993</v>
      </c>
      <c r="G91" s="610">
        <f t="shared" si="4"/>
        <v>-8.6999999999999993</v>
      </c>
      <c r="H91" s="609"/>
      <c r="I91" s="609"/>
      <c r="J91" s="611" t="str">
        <f t="shared" si="5"/>
        <v/>
      </c>
      <c r="K91" s="611">
        <f t="shared" si="6"/>
        <v>0</v>
      </c>
      <c r="L91" s="611">
        <f t="shared" si="7"/>
        <v>0</v>
      </c>
      <c r="M91" s="611">
        <v>1200</v>
      </c>
      <c r="N91" s="607">
        <v>20</v>
      </c>
      <c r="O91" s="607">
        <v>18</v>
      </c>
      <c r="P91" s="612" t="s">
        <v>782</v>
      </c>
      <c r="Q91" s="611">
        <f>VLOOKUP(P91,'Dia chat'!$E:$AE,7,0)</f>
        <v>-18.84</v>
      </c>
      <c r="R91" s="575" t="s">
        <v>824</v>
      </c>
      <c r="Z91" s="577"/>
    </row>
    <row r="92" spans="1:26" ht="15.95" customHeight="1">
      <c r="A92" s="607" t="s">
        <v>703</v>
      </c>
      <c r="B92" s="608">
        <v>2317776.9410000001</v>
      </c>
      <c r="C92" s="608">
        <v>430359.95</v>
      </c>
      <c r="D92" s="609">
        <v>26.8</v>
      </c>
      <c r="E92" s="582" t="s">
        <v>711</v>
      </c>
      <c r="F92" s="654">
        <v>-9.6999999999999993</v>
      </c>
      <c r="G92" s="610">
        <f t="shared" si="4"/>
        <v>-8.6999999999999993</v>
      </c>
      <c r="H92" s="609"/>
      <c r="I92" s="609"/>
      <c r="J92" s="611" t="str">
        <f t="shared" si="5"/>
        <v/>
      </c>
      <c r="K92" s="611">
        <f t="shared" si="6"/>
        <v>0</v>
      </c>
      <c r="L92" s="611">
        <f t="shared" si="7"/>
        <v>0</v>
      </c>
      <c r="M92" s="611">
        <v>1200</v>
      </c>
      <c r="N92" s="607">
        <v>20</v>
      </c>
      <c r="O92" s="607">
        <v>18</v>
      </c>
      <c r="P92" s="612" t="s">
        <v>803</v>
      </c>
      <c r="Q92" s="623">
        <v>-22</v>
      </c>
      <c r="R92" s="575" t="s">
        <v>824</v>
      </c>
      <c r="Z92" s="577"/>
    </row>
    <row r="93" spans="1:26" ht="15.95" customHeight="1">
      <c r="A93" s="607" t="s">
        <v>491</v>
      </c>
      <c r="B93" s="608">
        <v>2317774.0120000001</v>
      </c>
      <c r="C93" s="608">
        <v>430361.58399999997</v>
      </c>
      <c r="D93" s="609">
        <v>24.9</v>
      </c>
      <c r="E93" s="582" t="s">
        <v>711</v>
      </c>
      <c r="F93" s="654">
        <v>-8.6999999999999993</v>
      </c>
      <c r="G93" s="610">
        <f t="shared" si="4"/>
        <v>-7.6999999999999993</v>
      </c>
      <c r="H93" s="609" t="s">
        <v>188</v>
      </c>
      <c r="I93" s="609"/>
      <c r="J93" s="611" t="str">
        <f t="shared" si="5"/>
        <v>SA</v>
      </c>
      <c r="K93" s="611">
        <f t="shared" si="6"/>
        <v>4</v>
      </c>
      <c r="L93" s="611">
        <f t="shared" si="7"/>
        <v>0</v>
      </c>
      <c r="M93" s="611">
        <v>1200</v>
      </c>
      <c r="N93" s="607">
        <v>20</v>
      </c>
      <c r="O93" s="607">
        <v>18</v>
      </c>
      <c r="P93" s="612" t="s">
        <v>803</v>
      </c>
      <c r="Q93" s="623">
        <v>-22</v>
      </c>
      <c r="R93" s="575" t="s">
        <v>824</v>
      </c>
      <c r="Z93" s="577"/>
    </row>
    <row r="94" spans="1:26" ht="15.95" customHeight="1">
      <c r="A94" s="607" t="s">
        <v>496</v>
      </c>
      <c r="B94" s="608">
        <v>2317770.9470000002</v>
      </c>
      <c r="C94" s="608">
        <v>430360.22200000001</v>
      </c>
      <c r="D94" s="609">
        <v>24.9</v>
      </c>
      <c r="E94" s="582" t="s">
        <v>711</v>
      </c>
      <c r="F94" s="654">
        <v>-8.6999999999999993</v>
      </c>
      <c r="G94" s="610">
        <f t="shared" si="4"/>
        <v>-7.6999999999999993</v>
      </c>
      <c r="H94" s="609" t="s">
        <v>188</v>
      </c>
      <c r="I94" s="609"/>
      <c r="J94" s="611" t="str">
        <f t="shared" si="5"/>
        <v>SA</v>
      </c>
      <c r="K94" s="611">
        <f t="shared" si="6"/>
        <v>4</v>
      </c>
      <c r="L94" s="611">
        <f t="shared" si="7"/>
        <v>0</v>
      </c>
      <c r="M94" s="611">
        <v>1200</v>
      </c>
      <c r="N94" s="607">
        <v>20</v>
      </c>
      <c r="O94" s="607">
        <v>18</v>
      </c>
      <c r="P94" s="612" t="s">
        <v>805</v>
      </c>
      <c r="Q94" s="623">
        <v>-22</v>
      </c>
      <c r="R94" s="575" t="s">
        <v>824</v>
      </c>
      <c r="Z94" s="577"/>
    </row>
    <row r="95" spans="1:26" ht="15.95" customHeight="1">
      <c r="A95" s="607" t="s">
        <v>501</v>
      </c>
      <c r="B95" s="608">
        <v>2317771.0830000001</v>
      </c>
      <c r="C95" s="608">
        <v>430363.21899999998</v>
      </c>
      <c r="D95" s="609">
        <v>24.9</v>
      </c>
      <c r="E95" s="582" t="s">
        <v>711</v>
      </c>
      <c r="F95" s="654">
        <v>-8.6999999999999993</v>
      </c>
      <c r="G95" s="610">
        <f t="shared" si="4"/>
        <v>-7.6999999999999993</v>
      </c>
      <c r="H95" s="609"/>
      <c r="I95" s="609"/>
      <c r="J95" s="611" t="str">
        <f t="shared" si="5"/>
        <v/>
      </c>
      <c r="K95" s="611">
        <f t="shared" si="6"/>
        <v>0</v>
      </c>
      <c r="L95" s="611">
        <f t="shared" si="7"/>
        <v>0</v>
      </c>
      <c r="M95" s="611">
        <v>1200</v>
      </c>
      <c r="N95" s="607">
        <v>20</v>
      </c>
      <c r="O95" s="607">
        <v>18</v>
      </c>
      <c r="P95" s="612" t="s">
        <v>805</v>
      </c>
      <c r="Q95" s="623">
        <v>-22</v>
      </c>
      <c r="R95" s="575" t="s">
        <v>824</v>
      </c>
      <c r="Z95" s="577"/>
    </row>
    <row r="96" spans="1:26" ht="15.95" customHeight="1">
      <c r="A96" s="607" t="s">
        <v>506</v>
      </c>
      <c r="B96" s="608">
        <v>2317777.077</v>
      </c>
      <c r="C96" s="608">
        <v>430362.94699999999</v>
      </c>
      <c r="D96" s="609">
        <v>24.9</v>
      </c>
      <c r="E96" s="582" t="s">
        <v>711</v>
      </c>
      <c r="F96" s="654">
        <v>-9.6999999999999993</v>
      </c>
      <c r="G96" s="610">
        <f t="shared" si="4"/>
        <v>-8.6999999999999993</v>
      </c>
      <c r="H96" s="609" t="s">
        <v>188</v>
      </c>
      <c r="I96" s="609"/>
      <c r="J96" s="611" t="str">
        <f t="shared" si="5"/>
        <v>SA</v>
      </c>
      <c r="K96" s="611">
        <f t="shared" si="6"/>
        <v>4</v>
      </c>
      <c r="L96" s="611">
        <f t="shared" si="7"/>
        <v>0</v>
      </c>
      <c r="M96" s="611">
        <v>1200</v>
      </c>
      <c r="N96" s="607">
        <v>20</v>
      </c>
      <c r="O96" s="607">
        <v>18</v>
      </c>
      <c r="P96" s="612" t="s">
        <v>803</v>
      </c>
      <c r="Q96" s="623">
        <v>-22</v>
      </c>
      <c r="R96" s="575" t="s">
        <v>824</v>
      </c>
      <c r="Z96" s="577"/>
    </row>
    <row r="97" spans="1:26" ht="15.95" customHeight="1">
      <c r="A97" s="607" t="s">
        <v>511</v>
      </c>
      <c r="B97" s="608">
        <v>2317783.071</v>
      </c>
      <c r="C97" s="608">
        <v>430362.674</v>
      </c>
      <c r="D97" s="609">
        <v>41.7</v>
      </c>
      <c r="E97" s="582" t="s">
        <v>711</v>
      </c>
      <c r="F97" s="654">
        <v>-9.6999999999999993</v>
      </c>
      <c r="G97" s="610">
        <f t="shared" si="4"/>
        <v>-8.6999999999999993</v>
      </c>
      <c r="H97" s="609"/>
      <c r="I97" s="609"/>
      <c r="J97" s="611" t="str">
        <f t="shared" si="5"/>
        <v/>
      </c>
      <c r="K97" s="611">
        <f t="shared" si="6"/>
        <v>0</v>
      </c>
      <c r="L97" s="611">
        <f t="shared" si="7"/>
        <v>0</v>
      </c>
      <c r="M97" s="611">
        <v>1200</v>
      </c>
      <c r="N97" s="607">
        <v>20</v>
      </c>
      <c r="O97" s="607">
        <v>18</v>
      </c>
      <c r="P97" s="612" t="s">
        <v>782</v>
      </c>
      <c r="Q97" s="611">
        <f>VLOOKUP(P97,'Dia chat'!$E:$AE,7,0)</f>
        <v>-18.84</v>
      </c>
      <c r="R97" s="575" t="s">
        <v>824</v>
      </c>
      <c r="Z97" s="577"/>
    </row>
    <row r="98" spans="1:26" ht="15.95" customHeight="1">
      <c r="A98" s="615" t="s">
        <v>516</v>
      </c>
      <c r="B98" s="616">
        <v>2317783.0210000002</v>
      </c>
      <c r="C98" s="616">
        <v>430369.283</v>
      </c>
      <c r="D98" s="609">
        <v>22.3</v>
      </c>
      <c r="E98" s="582" t="s">
        <v>712</v>
      </c>
      <c r="F98" s="654">
        <v>-7.7</v>
      </c>
      <c r="G98" s="610">
        <f t="shared" si="4"/>
        <v>-6.7</v>
      </c>
      <c r="H98" s="609" t="s">
        <v>188</v>
      </c>
      <c r="I98" s="609"/>
      <c r="J98" s="611" t="str">
        <f t="shared" si="5"/>
        <v>SA</v>
      </c>
      <c r="K98" s="611">
        <f t="shared" si="6"/>
        <v>4</v>
      </c>
      <c r="L98" s="611">
        <f t="shared" si="7"/>
        <v>0</v>
      </c>
      <c r="M98" s="611">
        <v>1200</v>
      </c>
      <c r="N98" s="607">
        <v>20</v>
      </c>
      <c r="O98" s="607">
        <v>18</v>
      </c>
      <c r="P98" s="612" t="s">
        <v>793</v>
      </c>
      <c r="Q98" s="623">
        <v>-22</v>
      </c>
      <c r="R98" s="624" t="s">
        <v>827</v>
      </c>
      <c r="Z98" s="577"/>
    </row>
    <row r="99" spans="1:26" ht="15.95" customHeight="1">
      <c r="A99" s="607" t="s">
        <v>521</v>
      </c>
      <c r="B99" s="608">
        <v>2317779.0249999999</v>
      </c>
      <c r="C99" s="608">
        <v>430369.46500000003</v>
      </c>
      <c r="D99" s="609">
        <v>22.3</v>
      </c>
      <c r="E99" s="582" t="s">
        <v>712</v>
      </c>
      <c r="F99" s="654">
        <v>-7.7</v>
      </c>
      <c r="G99" s="610">
        <f t="shared" si="4"/>
        <v>-6.7</v>
      </c>
      <c r="H99" s="609"/>
      <c r="I99" s="609"/>
      <c r="J99" s="611" t="str">
        <f t="shared" si="5"/>
        <v/>
      </c>
      <c r="K99" s="611">
        <f t="shared" si="6"/>
        <v>0</v>
      </c>
      <c r="L99" s="611">
        <f t="shared" si="7"/>
        <v>0</v>
      </c>
      <c r="M99" s="611">
        <v>1200</v>
      </c>
      <c r="N99" s="607">
        <v>20</v>
      </c>
      <c r="O99" s="607">
        <v>18</v>
      </c>
      <c r="P99" s="612" t="s">
        <v>793</v>
      </c>
      <c r="Q99" s="623">
        <v>-22</v>
      </c>
      <c r="R99" s="624" t="s">
        <v>827</v>
      </c>
      <c r="Z99" s="577"/>
    </row>
    <row r="100" spans="1:26" ht="15.95" customHeight="1">
      <c r="A100" s="607" t="s">
        <v>526</v>
      </c>
      <c r="B100" s="608">
        <v>2317781.1140000001</v>
      </c>
      <c r="C100" s="608">
        <v>430371.37199999997</v>
      </c>
      <c r="D100" s="609">
        <v>22.3</v>
      </c>
      <c r="E100" s="582" t="s">
        <v>712</v>
      </c>
      <c r="F100" s="654">
        <v>-7.7</v>
      </c>
      <c r="G100" s="610">
        <f t="shared" si="4"/>
        <v>-6.7</v>
      </c>
      <c r="H100" s="609"/>
      <c r="I100" s="609"/>
      <c r="J100" s="611" t="str">
        <f t="shared" si="5"/>
        <v/>
      </c>
      <c r="K100" s="611">
        <f t="shared" si="6"/>
        <v>0</v>
      </c>
      <c r="L100" s="611">
        <f t="shared" si="7"/>
        <v>0</v>
      </c>
      <c r="M100" s="611">
        <v>1200</v>
      </c>
      <c r="N100" s="607">
        <v>20</v>
      </c>
      <c r="O100" s="607">
        <v>18</v>
      </c>
      <c r="P100" s="612" t="s">
        <v>793</v>
      </c>
      <c r="Q100" s="623">
        <v>-22</v>
      </c>
      <c r="R100" s="624" t="s">
        <v>827</v>
      </c>
      <c r="Z100" s="577"/>
    </row>
    <row r="101" spans="1:26" ht="15.95" customHeight="1">
      <c r="A101" s="607" t="s">
        <v>531</v>
      </c>
      <c r="B101" s="608">
        <v>2317779.2069999999</v>
      </c>
      <c r="C101" s="608">
        <v>430373.46100000001</v>
      </c>
      <c r="D101" s="609">
        <v>22.3</v>
      </c>
      <c r="E101" s="582" t="s">
        <v>712</v>
      </c>
      <c r="F101" s="654">
        <v>-7.7</v>
      </c>
      <c r="G101" s="610">
        <f t="shared" si="4"/>
        <v>-6.7</v>
      </c>
      <c r="H101" s="609" t="s">
        <v>188</v>
      </c>
      <c r="I101" s="609"/>
      <c r="J101" s="611" t="str">
        <f t="shared" si="5"/>
        <v>SA</v>
      </c>
      <c r="K101" s="611">
        <f t="shared" si="6"/>
        <v>4</v>
      </c>
      <c r="L101" s="611">
        <f t="shared" si="7"/>
        <v>0</v>
      </c>
      <c r="M101" s="611">
        <v>1200</v>
      </c>
      <c r="N101" s="607">
        <v>20</v>
      </c>
      <c r="O101" s="607">
        <v>18</v>
      </c>
      <c r="P101" s="612" t="s">
        <v>793</v>
      </c>
      <c r="Q101" s="623">
        <v>-22</v>
      </c>
      <c r="R101" s="624" t="s">
        <v>827</v>
      </c>
      <c r="Z101" s="577"/>
    </row>
    <row r="102" spans="1:26" ht="15.95" customHeight="1">
      <c r="A102" s="607" t="s">
        <v>535</v>
      </c>
      <c r="B102" s="608">
        <v>2317783.2030000002</v>
      </c>
      <c r="C102" s="608">
        <v>430373.27899999998</v>
      </c>
      <c r="D102" s="609">
        <v>22.3</v>
      </c>
      <c r="E102" s="582" t="s">
        <v>712</v>
      </c>
      <c r="F102" s="654">
        <v>-7.7</v>
      </c>
      <c r="G102" s="610">
        <f t="shared" si="4"/>
        <v>-6.7</v>
      </c>
      <c r="H102" s="609" t="s">
        <v>188</v>
      </c>
      <c r="I102" s="609"/>
      <c r="J102" s="611" t="str">
        <f t="shared" si="5"/>
        <v>SA</v>
      </c>
      <c r="K102" s="611">
        <f t="shared" si="6"/>
        <v>4</v>
      </c>
      <c r="L102" s="611">
        <f t="shared" si="7"/>
        <v>0</v>
      </c>
      <c r="M102" s="611">
        <v>1200</v>
      </c>
      <c r="N102" s="607">
        <v>20</v>
      </c>
      <c r="O102" s="607">
        <v>18</v>
      </c>
      <c r="P102" s="612" t="s">
        <v>793</v>
      </c>
      <c r="Q102" s="623">
        <v>-22</v>
      </c>
      <c r="R102" s="624" t="s">
        <v>827</v>
      </c>
      <c r="Z102" s="577"/>
    </row>
    <row r="103" spans="1:26" ht="15.95" customHeight="1">
      <c r="A103" s="607" t="s">
        <v>540</v>
      </c>
      <c r="B103" s="608">
        <v>2317783.4300000002</v>
      </c>
      <c r="C103" s="608">
        <v>430378.27399999998</v>
      </c>
      <c r="D103" s="609">
        <v>32.9</v>
      </c>
      <c r="E103" s="582" t="s">
        <v>712</v>
      </c>
      <c r="F103" s="654">
        <v>-7.7</v>
      </c>
      <c r="G103" s="610">
        <f t="shared" si="4"/>
        <v>-6.7</v>
      </c>
      <c r="H103" s="609" t="s">
        <v>188</v>
      </c>
      <c r="I103" s="609"/>
      <c r="J103" s="611" t="str">
        <f t="shared" si="5"/>
        <v>SA</v>
      </c>
      <c r="K103" s="611">
        <f t="shared" si="6"/>
        <v>4</v>
      </c>
      <c r="L103" s="611">
        <f t="shared" si="7"/>
        <v>0</v>
      </c>
      <c r="M103" s="611">
        <v>1200</v>
      </c>
      <c r="N103" s="607">
        <v>20</v>
      </c>
      <c r="O103" s="607">
        <v>18</v>
      </c>
      <c r="P103" s="612" t="s">
        <v>794</v>
      </c>
      <c r="Q103" s="623">
        <v>-22</v>
      </c>
      <c r="R103" s="624" t="s">
        <v>827</v>
      </c>
      <c r="Z103" s="577"/>
    </row>
    <row r="104" spans="1:26" ht="15.95" customHeight="1">
      <c r="A104" s="607" t="s">
        <v>545</v>
      </c>
      <c r="B104" s="608">
        <v>2317779.4339999999</v>
      </c>
      <c r="C104" s="608">
        <v>430378.45600000001</v>
      </c>
      <c r="D104" s="609">
        <v>32.9</v>
      </c>
      <c r="E104" s="582" t="s">
        <v>712</v>
      </c>
      <c r="F104" s="654">
        <v>-7.7</v>
      </c>
      <c r="G104" s="610">
        <f t="shared" si="4"/>
        <v>-6.7</v>
      </c>
      <c r="H104" s="609" t="s">
        <v>188</v>
      </c>
      <c r="I104" s="609"/>
      <c r="J104" s="611" t="str">
        <f t="shared" si="5"/>
        <v>SA</v>
      </c>
      <c r="K104" s="611">
        <f t="shared" si="6"/>
        <v>4</v>
      </c>
      <c r="L104" s="611">
        <f t="shared" si="7"/>
        <v>0</v>
      </c>
      <c r="M104" s="611">
        <v>1200</v>
      </c>
      <c r="N104" s="607">
        <v>20</v>
      </c>
      <c r="O104" s="607">
        <v>18</v>
      </c>
      <c r="P104" s="612" t="s">
        <v>794</v>
      </c>
      <c r="Q104" s="623">
        <v>-22</v>
      </c>
      <c r="R104" s="624" t="s">
        <v>827</v>
      </c>
      <c r="Z104" s="577"/>
    </row>
    <row r="105" spans="1:26" ht="15.95" customHeight="1">
      <c r="A105" s="607" t="s">
        <v>550</v>
      </c>
      <c r="B105" s="608">
        <v>2317781.523</v>
      </c>
      <c r="C105" s="608">
        <v>430380.36300000001</v>
      </c>
      <c r="D105" s="609">
        <v>32.9</v>
      </c>
      <c r="E105" s="582" t="s">
        <v>712</v>
      </c>
      <c r="F105" s="654">
        <v>-7.7</v>
      </c>
      <c r="G105" s="610">
        <f t="shared" si="4"/>
        <v>-6.7</v>
      </c>
      <c r="H105" s="609"/>
      <c r="I105" s="609"/>
      <c r="J105" s="611" t="str">
        <f t="shared" si="5"/>
        <v/>
      </c>
      <c r="K105" s="611">
        <f t="shared" si="6"/>
        <v>0</v>
      </c>
      <c r="L105" s="611">
        <f t="shared" si="7"/>
        <v>0</v>
      </c>
      <c r="M105" s="611">
        <v>1200</v>
      </c>
      <c r="N105" s="607">
        <v>20</v>
      </c>
      <c r="O105" s="607">
        <v>18</v>
      </c>
      <c r="P105" s="612" t="s">
        <v>794</v>
      </c>
      <c r="Q105" s="623">
        <v>-22</v>
      </c>
      <c r="R105" s="624" t="s">
        <v>827</v>
      </c>
      <c r="Z105" s="577"/>
    </row>
    <row r="106" spans="1:26" ht="15.95" customHeight="1">
      <c r="A106" s="607" t="s">
        <v>555</v>
      </c>
      <c r="B106" s="608">
        <v>2317783.611</v>
      </c>
      <c r="C106" s="608">
        <v>430382.27</v>
      </c>
      <c r="D106" s="609">
        <v>32.9</v>
      </c>
      <c r="E106" s="582" t="s">
        <v>712</v>
      </c>
      <c r="F106" s="654">
        <v>-7.7</v>
      </c>
      <c r="G106" s="610">
        <f t="shared" si="4"/>
        <v>-6.7</v>
      </c>
      <c r="H106" s="609" t="s">
        <v>188</v>
      </c>
      <c r="I106" s="609"/>
      <c r="J106" s="611" t="str">
        <f t="shared" si="5"/>
        <v>SA</v>
      </c>
      <c r="K106" s="611">
        <f t="shared" si="6"/>
        <v>4</v>
      </c>
      <c r="L106" s="611">
        <f t="shared" si="7"/>
        <v>0</v>
      </c>
      <c r="M106" s="611">
        <v>1200</v>
      </c>
      <c r="N106" s="607">
        <v>20</v>
      </c>
      <c r="O106" s="607">
        <v>18</v>
      </c>
      <c r="P106" s="612" t="s">
        <v>794</v>
      </c>
      <c r="Q106" s="623">
        <v>-22</v>
      </c>
      <c r="R106" s="624" t="s">
        <v>827</v>
      </c>
      <c r="Z106" s="577"/>
    </row>
    <row r="107" spans="1:26" ht="15.95" customHeight="1">
      <c r="A107" s="607" t="s">
        <v>560</v>
      </c>
      <c r="B107" s="608">
        <v>2317779.6150000002</v>
      </c>
      <c r="C107" s="608">
        <v>430382.451</v>
      </c>
      <c r="D107" s="609">
        <v>32.9</v>
      </c>
      <c r="E107" s="582" t="s">
        <v>712</v>
      </c>
      <c r="F107" s="654">
        <v>-7.7</v>
      </c>
      <c r="G107" s="610">
        <f t="shared" si="4"/>
        <v>-6.7</v>
      </c>
      <c r="H107" s="609" t="s">
        <v>188</v>
      </c>
      <c r="I107" s="609"/>
      <c r="J107" s="611" t="str">
        <f t="shared" si="5"/>
        <v>SA</v>
      </c>
      <c r="K107" s="611">
        <f t="shared" si="6"/>
        <v>4</v>
      </c>
      <c r="L107" s="611">
        <f t="shared" si="7"/>
        <v>0</v>
      </c>
      <c r="M107" s="611">
        <v>1200</v>
      </c>
      <c r="N107" s="607">
        <v>20</v>
      </c>
      <c r="O107" s="607">
        <v>18</v>
      </c>
      <c r="P107" s="612" t="s">
        <v>794</v>
      </c>
      <c r="Q107" s="623">
        <v>-22</v>
      </c>
      <c r="R107" s="624" t="s">
        <v>827</v>
      </c>
      <c r="Z107" s="577"/>
    </row>
    <row r="108" spans="1:26" ht="15.95" customHeight="1">
      <c r="A108" s="607" t="s">
        <v>565</v>
      </c>
      <c r="B108" s="608">
        <v>2317781.8360000001</v>
      </c>
      <c r="C108" s="608">
        <v>430387.25599999999</v>
      </c>
      <c r="D108" s="609">
        <v>33.200000000000003</v>
      </c>
      <c r="E108" s="582" t="s">
        <v>708</v>
      </c>
      <c r="F108" s="654">
        <v>-7.7</v>
      </c>
      <c r="G108" s="610">
        <f t="shared" si="4"/>
        <v>-6.7</v>
      </c>
      <c r="H108" s="609" t="s">
        <v>188</v>
      </c>
      <c r="I108" s="609"/>
      <c r="J108" s="611" t="str">
        <f t="shared" si="5"/>
        <v>SA</v>
      </c>
      <c r="K108" s="611">
        <f t="shared" si="6"/>
        <v>4</v>
      </c>
      <c r="L108" s="611">
        <f t="shared" si="7"/>
        <v>0</v>
      </c>
      <c r="M108" s="611">
        <v>1200</v>
      </c>
      <c r="N108" s="607">
        <v>20</v>
      </c>
      <c r="O108" s="607">
        <v>18</v>
      </c>
      <c r="P108" s="612" t="s">
        <v>816</v>
      </c>
      <c r="Q108" s="611">
        <f>VLOOKUP(P108,'Dia chat'!$E:$AE,7,0)</f>
        <v>-19.05</v>
      </c>
      <c r="R108" s="624" t="s">
        <v>827</v>
      </c>
    </row>
    <row r="109" spans="1:26" ht="15.95" customHeight="1">
      <c r="A109" s="607" t="s">
        <v>570</v>
      </c>
      <c r="B109" s="608">
        <v>2317783.4569999999</v>
      </c>
      <c r="C109" s="608">
        <v>430389.88500000001</v>
      </c>
      <c r="D109" s="609">
        <v>33.200000000000003</v>
      </c>
      <c r="E109" s="582" t="s">
        <v>708</v>
      </c>
      <c r="F109" s="654">
        <v>-7.7</v>
      </c>
      <c r="G109" s="610">
        <f t="shared" si="4"/>
        <v>-6.7</v>
      </c>
      <c r="H109" s="609" t="s">
        <v>188</v>
      </c>
      <c r="I109" s="609"/>
      <c r="J109" s="611" t="str">
        <f t="shared" si="5"/>
        <v>SA</v>
      </c>
      <c r="K109" s="611">
        <f t="shared" si="6"/>
        <v>4</v>
      </c>
      <c r="L109" s="611">
        <f t="shared" si="7"/>
        <v>0</v>
      </c>
      <c r="M109" s="611">
        <v>1200</v>
      </c>
      <c r="N109" s="607">
        <v>20</v>
      </c>
      <c r="O109" s="607">
        <v>18</v>
      </c>
      <c r="P109" s="612" t="s">
        <v>816</v>
      </c>
      <c r="Q109" s="611">
        <f>VLOOKUP(P109,'Dia chat'!$E:$AE,7,0)</f>
        <v>-19.05</v>
      </c>
      <c r="R109" s="624" t="s">
        <v>827</v>
      </c>
    </row>
    <row r="110" spans="1:26" ht="15.95" customHeight="1">
      <c r="A110" s="607" t="s">
        <v>575</v>
      </c>
      <c r="B110" s="608">
        <v>2317780.46</v>
      </c>
      <c r="C110" s="608">
        <v>430390.02100000001</v>
      </c>
      <c r="D110" s="609">
        <v>33.200000000000003</v>
      </c>
      <c r="E110" s="582" t="s">
        <v>708</v>
      </c>
      <c r="F110" s="654">
        <v>-7.7</v>
      </c>
      <c r="G110" s="610">
        <f t="shared" si="4"/>
        <v>-6.7</v>
      </c>
      <c r="H110" s="609"/>
      <c r="I110" s="609" t="s">
        <v>188</v>
      </c>
      <c r="J110" s="611" t="str">
        <f t="shared" si="5"/>
        <v>L</v>
      </c>
      <c r="K110" s="611">
        <f t="shared" si="6"/>
        <v>3</v>
      </c>
      <c r="L110" s="611">
        <f t="shared" si="7"/>
        <v>1</v>
      </c>
      <c r="M110" s="611">
        <v>1200</v>
      </c>
      <c r="N110" s="607">
        <v>20</v>
      </c>
      <c r="O110" s="607">
        <v>18</v>
      </c>
      <c r="P110" s="612" t="s">
        <v>816</v>
      </c>
      <c r="Q110" s="611">
        <f>VLOOKUP(P110,'Dia chat'!$E:$AE,7,0)</f>
        <v>-19.05</v>
      </c>
      <c r="R110" s="624" t="s">
        <v>827</v>
      </c>
    </row>
    <row r="111" spans="1:26" ht="15.95" customHeight="1">
      <c r="A111" s="607" t="s">
        <v>580</v>
      </c>
      <c r="B111" s="608">
        <v>2317770.8960000002</v>
      </c>
      <c r="C111" s="608">
        <v>430370.33500000002</v>
      </c>
      <c r="D111" s="609">
        <v>31.4</v>
      </c>
      <c r="E111" s="582" t="s">
        <v>713</v>
      </c>
      <c r="F111" s="654">
        <v>-7.7</v>
      </c>
      <c r="G111" s="610">
        <f t="shared" si="4"/>
        <v>-6.7</v>
      </c>
      <c r="H111" s="609" t="s">
        <v>188</v>
      </c>
      <c r="I111" s="609"/>
      <c r="J111" s="611" t="str">
        <f t="shared" si="5"/>
        <v>SA</v>
      </c>
      <c r="K111" s="611">
        <f t="shared" si="6"/>
        <v>4</v>
      </c>
      <c r="L111" s="611">
        <f t="shared" si="7"/>
        <v>0</v>
      </c>
      <c r="M111" s="611">
        <v>1200</v>
      </c>
      <c r="N111" s="607">
        <v>20</v>
      </c>
      <c r="O111" s="607">
        <v>18</v>
      </c>
      <c r="P111" s="612" t="s">
        <v>817</v>
      </c>
      <c r="Q111" s="611">
        <f>VLOOKUP(P111,'Dia chat'!$E:$AE,7,0)</f>
        <v>-20.54</v>
      </c>
      <c r="R111" s="624" t="s">
        <v>827</v>
      </c>
    </row>
    <row r="112" spans="1:26" ht="15.95" customHeight="1">
      <c r="A112" s="607" t="s">
        <v>585</v>
      </c>
      <c r="B112" s="608">
        <v>2317773.8930000002</v>
      </c>
      <c r="C112" s="608">
        <v>430370.19900000002</v>
      </c>
      <c r="D112" s="609">
        <v>31.4</v>
      </c>
      <c r="E112" s="582" t="s">
        <v>713</v>
      </c>
      <c r="F112" s="654">
        <v>-7.7</v>
      </c>
      <c r="G112" s="610">
        <f t="shared" si="4"/>
        <v>-6.7</v>
      </c>
      <c r="H112" s="609"/>
      <c r="I112" s="609"/>
      <c r="J112" s="611" t="str">
        <f t="shared" si="5"/>
        <v/>
      </c>
      <c r="K112" s="611">
        <f t="shared" si="6"/>
        <v>0</v>
      </c>
      <c r="L112" s="611">
        <f t="shared" si="7"/>
        <v>0</v>
      </c>
      <c r="M112" s="611">
        <v>1200</v>
      </c>
      <c r="N112" s="607">
        <v>20</v>
      </c>
      <c r="O112" s="607">
        <v>18</v>
      </c>
      <c r="P112" s="612" t="s">
        <v>817</v>
      </c>
      <c r="Q112" s="611">
        <f>VLOOKUP(P112,'Dia chat'!$E:$AE,7,0)</f>
        <v>-20.54</v>
      </c>
      <c r="R112" s="624" t="s">
        <v>827</v>
      </c>
    </row>
    <row r="113" spans="1:18" ht="15.95" customHeight="1">
      <c r="A113" s="607" t="s">
        <v>590</v>
      </c>
      <c r="B113" s="608">
        <v>2317774.0290000001</v>
      </c>
      <c r="C113" s="608">
        <v>430373.196</v>
      </c>
      <c r="D113" s="609">
        <v>31.4</v>
      </c>
      <c r="E113" s="582" t="s">
        <v>713</v>
      </c>
      <c r="F113" s="654">
        <v>-7.7</v>
      </c>
      <c r="G113" s="610">
        <f t="shared" si="4"/>
        <v>-6.7</v>
      </c>
      <c r="H113" s="609" t="s">
        <v>188</v>
      </c>
      <c r="I113" s="609"/>
      <c r="J113" s="611" t="str">
        <f t="shared" si="5"/>
        <v>SA</v>
      </c>
      <c r="K113" s="611">
        <f t="shared" si="6"/>
        <v>4</v>
      </c>
      <c r="L113" s="611">
        <f t="shared" si="7"/>
        <v>0</v>
      </c>
      <c r="M113" s="611">
        <v>1200</v>
      </c>
      <c r="N113" s="607">
        <v>20</v>
      </c>
      <c r="O113" s="607">
        <v>18</v>
      </c>
      <c r="P113" s="612" t="s">
        <v>817</v>
      </c>
      <c r="Q113" s="611">
        <f>VLOOKUP(P113,'Dia chat'!$E:$AE,7,0)</f>
        <v>-20.54</v>
      </c>
      <c r="R113" s="624" t="s">
        <v>827</v>
      </c>
    </row>
    <row r="114" spans="1:18" ht="15.95" customHeight="1">
      <c r="A114" s="607" t="s">
        <v>595</v>
      </c>
      <c r="B114" s="608">
        <v>2317771.0320000001</v>
      </c>
      <c r="C114" s="608">
        <v>430373.33199999999</v>
      </c>
      <c r="D114" s="609">
        <v>31.4</v>
      </c>
      <c r="E114" s="582" t="s">
        <v>713</v>
      </c>
      <c r="F114" s="654">
        <v>-7.7</v>
      </c>
      <c r="G114" s="610">
        <f t="shared" si="4"/>
        <v>-6.7</v>
      </c>
      <c r="H114" s="609"/>
      <c r="I114" s="609"/>
      <c r="J114" s="611" t="str">
        <f t="shared" si="5"/>
        <v/>
      </c>
      <c r="K114" s="611">
        <f t="shared" si="6"/>
        <v>0</v>
      </c>
      <c r="L114" s="611">
        <f t="shared" si="7"/>
        <v>0</v>
      </c>
      <c r="M114" s="611">
        <v>1200</v>
      </c>
      <c r="N114" s="607">
        <v>20</v>
      </c>
      <c r="O114" s="607">
        <v>18</v>
      </c>
      <c r="P114" s="612" t="s">
        <v>817</v>
      </c>
      <c r="Q114" s="611">
        <f>VLOOKUP(P114,'Dia chat'!$E:$AE,7,0)</f>
        <v>-20.54</v>
      </c>
      <c r="R114" s="624" t="s">
        <v>827</v>
      </c>
    </row>
    <row r="115" spans="1:18" ht="15.95" customHeight="1">
      <c r="A115" s="607" t="s">
        <v>600</v>
      </c>
      <c r="B115" s="608">
        <v>2317771.3050000002</v>
      </c>
      <c r="C115" s="608">
        <v>430379.326</v>
      </c>
      <c r="D115" s="609">
        <v>43.5</v>
      </c>
      <c r="E115" s="582" t="s">
        <v>713</v>
      </c>
      <c r="F115" s="654">
        <v>-7.7</v>
      </c>
      <c r="G115" s="610">
        <f t="shared" si="4"/>
        <v>-6.7</v>
      </c>
      <c r="H115" s="609"/>
      <c r="I115" s="609" t="s">
        <v>188</v>
      </c>
      <c r="J115" s="611" t="str">
        <f t="shared" si="5"/>
        <v>L</v>
      </c>
      <c r="K115" s="611">
        <f t="shared" si="6"/>
        <v>3</v>
      </c>
      <c r="L115" s="611">
        <f t="shared" si="7"/>
        <v>1</v>
      </c>
      <c r="M115" s="611">
        <v>1200</v>
      </c>
      <c r="N115" s="607">
        <v>20</v>
      </c>
      <c r="O115" s="607">
        <v>18</v>
      </c>
      <c r="P115" s="612" t="s">
        <v>783</v>
      </c>
      <c r="Q115" s="623">
        <v>-22</v>
      </c>
      <c r="R115" s="624" t="s">
        <v>827</v>
      </c>
    </row>
    <row r="116" spans="1:18" ht="15.95" customHeight="1">
      <c r="A116" s="607" t="s">
        <v>605</v>
      </c>
      <c r="B116" s="608">
        <v>2317774.3020000001</v>
      </c>
      <c r="C116" s="608">
        <v>430379.18900000001</v>
      </c>
      <c r="D116" s="609">
        <v>43.5</v>
      </c>
      <c r="E116" s="582" t="s">
        <v>713</v>
      </c>
      <c r="F116" s="654">
        <v>-7.7</v>
      </c>
      <c r="G116" s="610">
        <f t="shared" si="4"/>
        <v>-6.7</v>
      </c>
      <c r="H116" s="609" t="s">
        <v>188</v>
      </c>
      <c r="I116" s="609"/>
      <c r="J116" s="611" t="str">
        <f t="shared" si="5"/>
        <v>SA</v>
      </c>
      <c r="K116" s="611">
        <f t="shared" si="6"/>
        <v>4</v>
      </c>
      <c r="L116" s="611">
        <f t="shared" si="7"/>
        <v>0</v>
      </c>
      <c r="M116" s="611">
        <v>1200</v>
      </c>
      <c r="N116" s="607">
        <v>20</v>
      </c>
      <c r="O116" s="607">
        <v>18</v>
      </c>
      <c r="P116" s="612" t="s">
        <v>783</v>
      </c>
      <c r="Q116" s="623">
        <v>-22</v>
      </c>
      <c r="R116" s="624" t="s">
        <v>827</v>
      </c>
    </row>
    <row r="117" spans="1:18" ht="15.95" customHeight="1">
      <c r="A117" s="607" t="s">
        <v>610</v>
      </c>
      <c r="B117" s="608">
        <v>2317774.4380000001</v>
      </c>
      <c r="C117" s="608">
        <v>430382.18599999999</v>
      </c>
      <c r="D117" s="609">
        <v>43.5</v>
      </c>
      <c r="E117" s="582" t="s">
        <v>713</v>
      </c>
      <c r="F117" s="654">
        <v>-7.7</v>
      </c>
      <c r="G117" s="610">
        <f t="shared" si="4"/>
        <v>-6.7</v>
      </c>
      <c r="H117" s="609" t="s">
        <v>188</v>
      </c>
      <c r="I117" s="609"/>
      <c r="J117" s="611" t="str">
        <f t="shared" si="5"/>
        <v>SA</v>
      </c>
      <c r="K117" s="611">
        <f t="shared" si="6"/>
        <v>4</v>
      </c>
      <c r="L117" s="611">
        <f t="shared" si="7"/>
        <v>0</v>
      </c>
      <c r="M117" s="611">
        <v>1200</v>
      </c>
      <c r="N117" s="607">
        <v>20</v>
      </c>
      <c r="O117" s="607">
        <v>18</v>
      </c>
      <c r="P117" s="612" t="s">
        <v>783</v>
      </c>
      <c r="Q117" s="623">
        <v>-22</v>
      </c>
      <c r="R117" s="624" t="s">
        <v>827</v>
      </c>
    </row>
    <row r="118" spans="1:18" ht="15.95" customHeight="1">
      <c r="A118" s="607" t="s">
        <v>615</v>
      </c>
      <c r="B118" s="608">
        <v>2317771.4410000001</v>
      </c>
      <c r="C118" s="608">
        <v>430382.32299999997</v>
      </c>
      <c r="D118" s="609">
        <v>43.5</v>
      </c>
      <c r="E118" s="582" t="s">
        <v>713</v>
      </c>
      <c r="F118" s="654">
        <v>-7.7</v>
      </c>
      <c r="G118" s="610">
        <f t="shared" si="4"/>
        <v>-6.7</v>
      </c>
      <c r="H118" s="609"/>
      <c r="I118" s="609"/>
      <c r="J118" s="611" t="str">
        <f t="shared" si="5"/>
        <v/>
      </c>
      <c r="K118" s="611">
        <f t="shared" si="6"/>
        <v>0</v>
      </c>
      <c r="L118" s="611">
        <f t="shared" si="7"/>
        <v>0</v>
      </c>
      <c r="M118" s="611">
        <v>1200</v>
      </c>
      <c r="N118" s="607">
        <v>20</v>
      </c>
      <c r="O118" s="607">
        <v>18</v>
      </c>
      <c r="P118" s="612" t="s">
        <v>783</v>
      </c>
      <c r="Q118" s="623">
        <v>-22</v>
      </c>
      <c r="R118" s="624" t="s">
        <v>827</v>
      </c>
    </row>
    <row r="119" spans="1:18" ht="15.95" customHeight="1">
      <c r="A119" s="607" t="s">
        <v>620</v>
      </c>
      <c r="B119" s="608">
        <v>2317773.1850000001</v>
      </c>
      <c r="C119" s="608">
        <v>430387.64899999998</v>
      </c>
      <c r="D119" s="609">
        <v>40.4</v>
      </c>
      <c r="E119" s="582" t="s">
        <v>708</v>
      </c>
      <c r="F119" s="654">
        <v>-7.7</v>
      </c>
      <c r="G119" s="610">
        <f t="shared" si="4"/>
        <v>-6.7</v>
      </c>
      <c r="H119" s="609" t="s">
        <v>188</v>
      </c>
      <c r="I119" s="609"/>
      <c r="J119" s="611" t="str">
        <f t="shared" si="5"/>
        <v>SA</v>
      </c>
      <c r="K119" s="611">
        <f t="shared" si="6"/>
        <v>4</v>
      </c>
      <c r="L119" s="611">
        <f t="shared" si="7"/>
        <v>0</v>
      </c>
      <c r="M119" s="611">
        <v>1200</v>
      </c>
      <c r="N119" s="607">
        <v>20</v>
      </c>
      <c r="O119" s="607">
        <v>18</v>
      </c>
      <c r="P119" s="612" t="s">
        <v>784</v>
      </c>
      <c r="Q119" s="623">
        <v>-22</v>
      </c>
      <c r="R119" s="624" t="s">
        <v>827</v>
      </c>
    </row>
    <row r="120" spans="1:18" ht="15.95" customHeight="1">
      <c r="A120" s="607" t="s">
        <v>625</v>
      </c>
      <c r="B120" s="608">
        <v>2317771.8089999999</v>
      </c>
      <c r="C120" s="608">
        <v>430390.41399999999</v>
      </c>
      <c r="D120" s="609">
        <v>40.4</v>
      </c>
      <c r="E120" s="582" t="s">
        <v>708</v>
      </c>
      <c r="F120" s="654">
        <v>-7.7</v>
      </c>
      <c r="G120" s="610">
        <f t="shared" si="4"/>
        <v>-6.7</v>
      </c>
      <c r="H120" s="609" t="s">
        <v>188</v>
      </c>
      <c r="I120" s="609"/>
      <c r="J120" s="611" t="str">
        <f t="shared" si="5"/>
        <v>SA</v>
      </c>
      <c r="K120" s="611">
        <f t="shared" si="6"/>
        <v>4</v>
      </c>
      <c r="L120" s="611">
        <f t="shared" si="7"/>
        <v>0</v>
      </c>
      <c r="M120" s="611">
        <v>1200</v>
      </c>
      <c r="N120" s="607">
        <v>20</v>
      </c>
      <c r="O120" s="607">
        <v>18</v>
      </c>
      <c r="P120" s="612" t="s">
        <v>784</v>
      </c>
      <c r="Q120" s="623">
        <v>-22</v>
      </c>
      <c r="R120" s="624" t="s">
        <v>827</v>
      </c>
    </row>
    <row r="121" spans="1:18" ht="15.95" customHeight="1">
      <c r="A121" s="607" t="s">
        <v>630</v>
      </c>
      <c r="B121" s="608">
        <v>2317774.8059999999</v>
      </c>
      <c r="C121" s="608">
        <v>430390.27799999999</v>
      </c>
      <c r="D121" s="609">
        <v>40.4</v>
      </c>
      <c r="E121" s="582" t="s">
        <v>708</v>
      </c>
      <c r="F121" s="654">
        <v>-7.7</v>
      </c>
      <c r="G121" s="610">
        <f t="shared" si="4"/>
        <v>-6.7</v>
      </c>
      <c r="H121" s="609" t="s">
        <v>188</v>
      </c>
      <c r="I121" s="609"/>
      <c r="J121" s="611" t="str">
        <f t="shared" si="5"/>
        <v>SA</v>
      </c>
      <c r="K121" s="611">
        <f t="shared" si="6"/>
        <v>4</v>
      </c>
      <c r="L121" s="611">
        <f t="shared" si="7"/>
        <v>0</v>
      </c>
      <c r="M121" s="611">
        <v>1200</v>
      </c>
      <c r="N121" s="607">
        <v>20</v>
      </c>
      <c r="O121" s="607">
        <v>18</v>
      </c>
      <c r="P121" s="612" t="s">
        <v>784</v>
      </c>
      <c r="Q121" s="623">
        <v>-22</v>
      </c>
      <c r="R121" s="575" t="s">
        <v>824</v>
      </c>
    </row>
    <row r="122" spans="1:18" ht="15.95" customHeight="1">
      <c r="A122" s="607" t="s">
        <v>634</v>
      </c>
      <c r="B122" s="608">
        <v>2317761.4789999998</v>
      </c>
      <c r="C122" s="608">
        <v>430306.10600000003</v>
      </c>
      <c r="D122" s="609">
        <v>23</v>
      </c>
      <c r="E122" s="582" t="s">
        <v>707</v>
      </c>
      <c r="F122" s="654">
        <v>-8.6999999999999993</v>
      </c>
      <c r="G122" s="610">
        <f t="shared" si="4"/>
        <v>-7.6999999999999993</v>
      </c>
      <c r="H122" s="609" t="s">
        <v>188</v>
      </c>
      <c r="I122" s="609"/>
      <c r="J122" s="611" t="str">
        <f t="shared" si="5"/>
        <v>SA</v>
      </c>
      <c r="K122" s="611">
        <f t="shared" si="6"/>
        <v>4</v>
      </c>
      <c r="L122" s="611">
        <f t="shared" si="7"/>
        <v>0</v>
      </c>
      <c r="M122" s="611">
        <v>1200</v>
      </c>
      <c r="N122" s="607">
        <v>20</v>
      </c>
      <c r="O122" s="607">
        <v>18</v>
      </c>
      <c r="P122" s="612" t="s">
        <v>771</v>
      </c>
      <c r="Q122" s="611">
        <f>VLOOKUP(P122,'Dia chat'!$E:$AE,7,0)</f>
        <v>-17.12</v>
      </c>
      <c r="R122" s="575" t="s">
        <v>824</v>
      </c>
    </row>
    <row r="123" spans="1:18" ht="15.95" customHeight="1">
      <c r="A123" s="607" t="s">
        <v>639</v>
      </c>
      <c r="B123" s="608">
        <v>2317758.4819999998</v>
      </c>
      <c r="C123" s="608">
        <v>430306.24300000002</v>
      </c>
      <c r="D123" s="609">
        <v>23</v>
      </c>
      <c r="E123" s="582" t="s">
        <v>707</v>
      </c>
      <c r="F123" s="654">
        <v>-8.6999999999999993</v>
      </c>
      <c r="G123" s="610">
        <f t="shared" si="4"/>
        <v>-7.6999999999999993</v>
      </c>
      <c r="H123" s="609"/>
      <c r="I123" s="609"/>
      <c r="J123" s="611" t="str">
        <f t="shared" si="5"/>
        <v/>
      </c>
      <c r="K123" s="611">
        <f t="shared" si="6"/>
        <v>0</v>
      </c>
      <c r="L123" s="611">
        <f t="shared" si="7"/>
        <v>0</v>
      </c>
      <c r="M123" s="611">
        <v>1200</v>
      </c>
      <c r="N123" s="607">
        <v>20</v>
      </c>
      <c r="O123" s="607">
        <v>18</v>
      </c>
      <c r="P123" s="612" t="s">
        <v>771</v>
      </c>
      <c r="Q123" s="611">
        <f>VLOOKUP(P123,'Dia chat'!$E:$AE,7,0)</f>
        <v>-17.12</v>
      </c>
      <c r="R123" s="575" t="s">
        <v>824</v>
      </c>
    </row>
    <row r="124" spans="1:18" ht="15.95" customHeight="1">
      <c r="A124" s="607" t="s">
        <v>644</v>
      </c>
      <c r="B124" s="608">
        <v>2317760.1030000001</v>
      </c>
      <c r="C124" s="608">
        <v>430308.87199999997</v>
      </c>
      <c r="D124" s="609">
        <v>23</v>
      </c>
      <c r="E124" s="582" t="s">
        <v>707</v>
      </c>
      <c r="F124" s="654">
        <v>-8.6999999999999993</v>
      </c>
      <c r="G124" s="610">
        <f t="shared" si="4"/>
        <v>-7.6999999999999993</v>
      </c>
      <c r="H124" s="609"/>
      <c r="I124" s="609"/>
      <c r="J124" s="611" t="str">
        <f t="shared" si="5"/>
        <v/>
      </c>
      <c r="K124" s="611">
        <f t="shared" si="6"/>
        <v>0</v>
      </c>
      <c r="L124" s="611">
        <f t="shared" si="7"/>
        <v>0</v>
      </c>
      <c r="M124" s="611">
        <v>1200</v>
      </c>
      <c r="N124" s="607">
        <v>20</v>
      </c>
      <c r="O124" s="607">
        <v>18</v>
      </c>
      <c r="P124" s="612" t="s">
        <v>771</v>
      </c>
      <c r="Q124" s="611">
        <f>VLOOKUP(P124,'Dia chat'!$E:$AE,7,0)</f>
        <v>-17.12</v>
      </c>
      <c r="R124" s="575" t="s">
        <v>824</v>
      </c>
    </row>
    <row r="125" spans="1:18" ht="15.95" customHeight="1">
      <c r="A125" s="607" t="s">
        <v>649</v>
      </c>
      <c r="B125" s="608">
        <v>2317762.1869999999</v>
      </c>
      <c r="C125" s="608">
        <v>430316.17499999999</v>
      </c>
      <c r="D125" s="609">
        <v>23</v>
      </c>
      <c r="E125" s="582" t="s">
        <v>707</v>
      </c>
      <c r="F125" s="654">
        <v>-8.6999999999999993</v>
      </c>
      <c r="G125" s="610">
        <f t="shared" si="4"/>
        <v>-7.6999999999999993</v>
      </c>
      <c r="H125" s="609"/>
      <c r="I125" s="609"/>
      <c r="J125" s="611" t="str">
        <f t="shared" si="5"/>
        <v/>
      </c>
      <c r="K125" s="611">
        <f t="shared" si="6"/>
        <v>0</v>
      </c>
      <c r="L125" s="611">
        <f t="shared" si="7"/>
        <v>0</v>
      </c>
      <c r="M125" s="611">
        <v>1200</v>
      </c>
      <c r="N125" s="607">
        <v>20</v>
      </c>
      <c r="O125" s="607">
        <v>18</v>
      </c>
      <c r="P125" s="612" t="s">
        <v>771</v>
      </c>
      <c r="Q125" s="611">
        <f>VLOOKUP(P125,'Dia chat'!$E:$AE,7,0)</f>
        <v>-17.12</v>
      </c>
      <c r="R125" s="575" t="s">
        <v>824</v>
      </c>
    </row>
    <row r="126" spans="1:18" ht="15.95" customHeight="1">
      <c r="A126" s="607" t="s">
        <v>654</v>
      </c>
      <c r="B126" s="608">
        <v>2317759.4219999998</v>
      </c>
      <c r="C126" s="608">
        <v>430314.799</v>
      </c>
      <c r="D126" s="609">
        <v>23</v>
      </c>
      <c r="E126" s="582" t="s">
        <v>707</v>
      </c>
      <c r="F126" s="654">
        <v>-8.6999999999999993</v>
      </c>
      <c r="G126" s="610">
        <f t="shared" si="4"/>
        <v>-7.6999999999999993</v>
      </c>
      <c r="H126" s="609" t="s">
        <v>188</v>
      </c>
      <c r="I126" s="609"/>
      <c r="J126" s="611" t="str">
        <f t="shared" si="5"/>
        <v>SA</v>
      </c>
      <c r="K126" s="611">
        <f t="shared" si="6"/>
        <v>4</v>
      </c>
      <c r="L126" s="611">
        <f t="shared" si="7"/>
        <v>0</v>
      </c>
      <c r="M126" s="611">
        <v>1200</v>
      </c>
      <c r="N126" s="607">
        <v>20</v>
      </c>
      <c r="O126" s="607">
        <v>18</v>
      </c>
      <c r="P126" s="612" t="s">
        <v>771</v>
      </c>
      <c r="Q126" s="611">
        <f>VLOOKUP(P126,'Dia chat'!$E:$AE,7,0)</f>
        <v>-17.12</v>
      </c>
      <c r="R126" s="575" t="s">
        <v>824</v>
      </c>
    </row>
    <row r="127" spans="1:18" ht="15.95" customHeight="1">
      <c r="A127" s="607" t="s">
        <v>658</v>
      </c>
      <c r="B127" s="608">
        <v>2317759.5580000002</v>
      </c>
      <c r="C127" s="608">
        <v>430317.79599999997</v>
      </c>
      <c r="D127" s="609">
        <v>23</v>
      </c>
      <c r="E127" s="582" t="s">
        <v>707</v>
      </c>
      <c r="F127" s="654">
        <v>-8.6999999999999993</v>
      </c>
      <c r="G127" s="610">
        <f t="shared" si="4"/>
        <v>-7.6999999999999993</v>
      </c>
      <c r="H127" s="609"/>
      <c r="I127" s="609" t="s">
        <v>188</v>
      </c>
      <c r="J127" s="611" t="str">
        <f t="shared" si="5"/>
        <v>L</v>
      </c>
      <c r="K127" s="611">
        <f t="shared" si="6"/>
        <v>3</v>
      </c>
      <c r="L127" s="611">
        <f t="shared" si="7"/>
        <v>1</v>
      </c>
      <c r="M127" s="611">
        <v>1200</v>
      </c>
      <c r="N127" s="607">
        <v>20</v>
      </c>
      <c r="O127" s="607">
        <v>18</v>
      </c>
      <c r="P127" s="612" t="s">
        <v>771</v>
      </c>
      <c r="Q127" s="611">
        <f>VLOOKUP(P127,'Dia chat'!$E:$AE,7,0)</f>
        <v>-17.12</v>
      </c>
      <c r="R127" s="575" t="s">
        <v>824</v>
      </c>
    </row>
    <row r="128" spans="1:18" ht="15.95" customHeight="1">
      <c r="A128" s="647" t="s">
        <v>662</v>
      </c>
      <c r="B128" s="648">
        <v>2317762.5780000002</v>
      </c>
      <c r="C128" s="648">
        <v>430324.77600000001</v>
      </c>
      <c r="D128" s="649">
        <v>23.4</v>
      </c>
      <c r="E128" s="650" t="s">
        <v>707</v>
      </c>
      <c r="F128" s="655">
        <v>-8.6999999999999993</v>
      </c>
      <c r="G128" s="651">
        <f t="shared" si="4"/>
        <v>-7.6999999999999993</v>
      </c>
      <c r="H128" s="649" t="s">
        <v>188</v>
      </c>
      <c r="I128" s="649"/>
      <c r="J128" s="652" t="str">
        <f t="shared" si="5"/>
        <v>SA</v>
      </c>
      <c r="K128" s="652">
        <f t="shared" si="6"/>
        <v>4</v>
      </c>
      <c r="L128" s="652">
        <f t="shared" si="7"/>
        <v>0</v>
      </c>
      <c r="M128" s="652">
        <v>1200</v>
      </c>
      <c r="N128" s="647">
        <v>20</v>
      </c>
      <c r="O128" s="649">
        <v>36</v>
      </c>
      <c r="P128" s="612" t="s">
        <v>772</v>
      </c>
      <c r="Q128" s="611">
        <f>VLOOKUP(P128,'Dia chat'!$E:$AE,7,0)</f>
        <v>-15.94</v>
      </c>
      <c r="R128" s="575" t="s">
        <v>824</v>
      </c>
    </row>
    <row r="129" spans="1:18" ht="15.95" customHeight="1">
      <c r="A129" s="607" t="s">
        <v>666</v>
      </c>
      <c r="B129" s="608">
        <v>2317759.8130000001</v>
      </c>
      <c r="C129" s="608">
        <v>430323.4</v>
      </c>
      <c r="D129" s="609">
        <v>23.4</v>
      </c>
      <c r="E129" s="582" t="s">
        <v>707</v>
      </c>
      <c r="F129" s="654">
        <v>-8.6999999999999993</v>
      </c>
      <c r="G129" s="610">
        <f t="shared" si="4"/>
        <v>-7.6999999999999993</v>
      </c>
      <c r="H129" s="609"/>
      <c r="I129" s="609"/>
      <c r="J129" s="611" t="str">
        <f t="shared" si="5"/>
        <v/>
      </c>
      <c r="K129" s="611">
        <f t="shared" si="6"/>
        <v>0</v>
      </c>
      <c r="L129" s="611">
        <f t="shared" si="7"/>
        <v>0</v>
      </c>
      <c r="M129" s="611">
        <v>1200</v>
      </c>
      <c r="N129" s="607">
        <v>20</v>
      </c>
      <c r="O129" s="607">
        <v>18</v>
      </c>
      <c r="P129" s="612" t="s">
        <v>772</v>
      </c>
      <c r="Q129" s="611">
        <f>VLOOKUP(P129,'Dia chat'!$E:$AE,7,0)</f>
        <v>-15.94</v>
      </c>
      <c r="R129" s="575" t="s">
        <v>824</v>
      </c>
    </row>
    <row r="130" spans="1:18" ht="15.95" customHeight="1">
      <c r="A130" s="607" t="s">
        <v>671</v>
      </c>
      <c r="B130" s="608">
        <v>2317759.949</v>
      </c>
      <c r="C130" s="608">
        <v>430326.397</v>
      </c>
      <c r="D130" s="609">
        <v>23.4</v>
      </c>
      <c r="E130" s="582" t="s">
        <v>707</v>
      </c>
      <c r="F130" s="654">
        <v>-8.6999999999999993</v>
      </c>
      <c r="G130" s="610">
        <f t="shared" si="4"/>
        <v>-7.6999999999999993</v>
      </c>
      <c r="H130" s="609"/>
      <c r="I130" s="609"/>
      <c r="J130" s="611" t="str">
        <f t="shared" si="5"/>
        <v/>
      </c>
      <c r="K130" s="611">
        <f t="shared" si="6"/>
        <v>0</v>
      </c>
      <c r="L130" s="611">
        <f t="shared" si="7"/>
        <v>0</v>
      </c>
      <c r="M130" s="611">
        <v>1200</v>
      </c>
      <c r="N130" s="607">
        <v>20</v>
      </c>
      <c r="O130" s="607">
        <v>18</v>
      </c>
      <c r="P130" s="612" t="s">
        <v>772</v>
      </c>
      <c r="Q130" s="611">
        <f>VLOOKUP(P130,'Dia chat'!$E:$AE,7,0)</f>
        <v>-15.94</v>
      </c>
      <c r="R130" s="575" t="s">
        <v>824</v>
      </c>
    </row>
    <row r="131" spans="1:18" ht="15.95" customHeight="1">
      <c r="A131" s="607" t="s">
        <v>678</v>
      </c>
      <c r="B131" s="608">
        <v>2317761.2349999999</v>
      </c>
      <c r="C131" s="608">
        <v>430333.77600000001</v>
      </c>
      <c r="D131" s="609">
        <v>29.5</v>
      </c>
      <c r="E131" s="582" t="s">
        <v>714</v>
      </c>
      <c r="F131" s="654">
        <v>-8.6999999999999993</v>
      </c>
      <c r="G131" s="610">
        <f t="shared" si="4"/>
        <v>-7.6999999999999993</v>
      </c>
      <c r="H131" s="609"/>
      <c r="I131" s="609"/>
      <c r="J131" s="611" t="str">
        <f t="shared" si="5"/>
        <v/>
      </c>
      <c r="K131" s="611">
        <f t="shared" si="6"/>
        <v>0</v>
      </c>
      <c r="L131" s="611">
        <f t="shared" si="7"/>
        <v>0</v>
      </c>
      <c r="M131" s="611">
        <v>1200</v>
      </c>
      <c r="N131" s="607">
        <v>20</v>
      </c>
      <c r="O131" s="607">
        <v>18</v>
      </c>
      <c r="P131" s="612" t="s">
        <v>773</v>
      </c>
      <c r="Q131" s="611">
        <f>VLOOKUP(P131,'Dia chat'!$E:$AE,7,0)</f>
        <v>-20.94</v>
      </c>
      <c r="R131" s="575" t="s">
        <v>824</v>
      </c>
    </row>
    <row r="132" spans="1:18" ht="15.95" customHeight="1">
      <c r="A132" s="607" t="s">
        <v>683</v>
      </c>
      <c r="B132" s="608">
        <v>2317761.3990000002</v>
      </c>
      <c r="C132" s="608">
        <v>430337.37199999997</v>
      </c>
      <c r="D132" s="609">
        <v>29.5</v>
      </c>
      <c r="E132" s="582" t="s">
        <v>714</v>
      </c>
      <c r="F132" s="654">
        <v>-8.6999999999999993</v>
      </c>
      <c r="G132" s="610">
        <f t="shared" ref="G132:G195" si="8">F132+1</f>
        <v>-7.6999999999999993</v>
      </c>
      <c r="H132" s="609" t="s">
        <v>188</v>
      </c>
      <c r="I132" s="609"/>
      <c r="J132" s="611" t="str">
        <f t="shared" ref="J132:J195" si="9">IF(H132="",IF(I132="","","L"),"SA")</f>
        <v>SA</v>
      </c>
      <c r="K132" s="611">
        <f t="shared" ref="K132:K165" si="10">IF(J132="",0,IF(J132="SA",4,3))</f>
        <v>4</v>
      </c>
      <c r="L132" s="611">
        <f t="shared" ref="L132:L165" si="11">IF(K132=3,1,0)</f>
        <v>0</v>
      </c>
      <c r="M132" s="611">
        <v>1200</v>
      </c>
      <c r="N132" s="607">
        <v>20</v>
      </c>
      <c r="O132" s="607">
        <v>18</v>
      </c>
      <c r="P132" s="612" t="s">
        <v>773</v>
      </c>
      <c r="Q132" s="611">
        <f>VLOOKUP(P132,'Dia chat'!$E:$AE,7,0)</f>
        <v>-20.94</v>
      </c>
      <c r="R132" s="575" t="s">
        <v>824</v>
      </c>
    </row>
    <row r="133" spans="1:18" ht="15.95" customHeight="1">
      <c r="A133" s="607" t="s">
        <v>688</v>
      </c>
      <c r="B133" s="608">
        <v>2317761.5619999999</v>
      </c>
      <c r="C133" s="608">
        <v>430340.96799999999</v>
      </c>
      <c r="D133" s="609">
        <v>29.5</v>
      </c>
      <c r="E133" s="582" t="s">
        <v>714</v>
      </c>
      <c r="F133" s="654">
        <v>-8.6999999999999993</v>
      </c>
      <c r="G133" s="610">
        <f t="shared" si="8"/>
        <v>-7.6999999999999993</v>
      </c>
      <c r="H133" s="609"/>
      <c r="I133" s="609"/>
      <c r="J133" s="611" t="str">
        <f t="shared" si="9"/>
        <v/>
      </c>
      <c r="K133" s="611">
        <f t="shared" si="10"/>
        <v>0</v>
      </c>
      <c r="L133" s="611">
        <f t="shared" si="11"/>
        <v>0</v>
      </c>
      <c r="M133" s="611">
        <v>1200</v>
      </c>
      <c r="N133" s="607">
        <v>20</v>
      </c>
      <c r="O133" s="607">
        <v>18</v>
      </c>
      <c r="P133" s="612" t="s">
        <v>773</v>
      </c>
      <c r="Q133" s="611">
        <f>VLOOKUP(P133,'Dia chat'!$E:$AE,7,0)</f>
        <v>-20.94</v>
      </c>
      <c r="R133" s="575" t="s">
        <v>824</v>
      </c>
    </row>
    <row r="134" spans="1:18" ht="15.95" customHeight="1">
      <c r="A134" s="607" t="s">
        <v>693</v>
      </c>
      <c r="B134" s="608">
        <v>2317760.838</v>
      </c>
      <c r="C134" s="608">
        <v>430345.967</v>
      </c>
      <c r="D134" s="609">
        <v>28.6</v>
      </c>
      <c r="E134" s="582" t="s">
        <v>707</v>
      </c>
      <c r="F134" s="654">
        <v>-8.6999999999999993</v>
      </c>
      <c r="G134" s="610">
        <f t="shared" si="8"/>
        <v>-7.6999999999999993</v>
      </c>
      <c r="H134" s="609" t="s">
        <v>188</v>
      </c>
      <c r="I134" s="609"/>
      <c r="J134" s="611" t="str">
        <f t="shared" si="9"/>
        <v>SA</v>
      </c>
      <c r="K134" s="611">
        <f t="shared" si="10"/>
        <v>4</v>
      </c>
      <c r="L134" s="611">
        <f t="shared" si="11"/>
        <v>0</v>
      </c>
      <c r="M134" s="611">
        <v>1200</v>
      </c>
      <c r="N134" s="607">
        <v>20</v>
      </c>
      <c r="O134" s="607">
        <v>18</v>
      </c>
      <c r="P134" s="612" t="s">
        <v>773</v>
      </c>
      <c r="Q134" s="611">
        <f>VLOOKUP(P134,'Dia chat'!$E:$AE,7,0)</f>
        <v>-20.94</v>
      </c>
      <c r="R134" s="575" t="s">
        <v>824</v>
      </c>
    </row>
    <row r="135" spans="1:18" ht="15.95" customHeight="1">
      <c r="A135" s="607" t="s">
        <v>696</v>
      </c>
      <c r="B135" s="608">
        <v>2317763.6039999998</v>
      </c>
      <c r="C135" s="608">
        <v>430347.342</v>
      </c>
      <c r="D135" s="609">
        <v>28.6</v>
      </c>
      <c r="E135" s="582" t="s">
        <v>707</v>
      </c>
      <c r="F135" s="654">
        <v>-8.6999999999999993</v>
      </c>
      <c r="G135" s="610">
        <f t="shared" si="8"/>
        <v>-7.6999999999999993</v>
      </c>
      <c r="H135" s="609"/>
      <c r="I135" s="609" t="s">
        <v>188</v>
      </c>
      <c r="J135" s="611" t="str">
        <f t="shared" si="9"/>
        <v>L</v>
      </c>
      <c r="K135" s="611">
        <f t="shared" si="10"/>
        <v>3</v>
      </c>
      <c r="L135" s="611">
        <f t="shared" si="11"/>
        <v>1</v>
      </c>
      <c r="M135" s="611">
        <v>1200</v>
      </c>
      <c r="N135" s="607">
        <v>20</v>
      </c>
      <c r="O135" s="607">
        <v>18</v>
      </c>
      <c r="P135" s="612" t="s">
        <v>773</v>
      </c>
      <c r="Q135" s="611">
        <f>VLOOKUP(P135,'Dia chat'!$E:$AE,7,0)</f>
        <v>-20.94</v>
      </c>
      <c r="R135" s="575" t="s">
        <v>824</v>
      </c>
    </row>
    <row r="136" spans="1:18" ht="15.95" customHeight="1">
      <c r="A136" s="607" t="s">
        <v>700</v>
      </c>
      <c r="B136" s="608">
        <v>2317760.9750000001</v>
      </c>
      <c r="C136" s="608">
        <v>430348.96299999999</v>
      </c>
      <c r="D136" s="609">
        <v>29.5</v>
      </c>
      <c r="E136" s="582" t="s">
        <v>707</v>
      </c>
      <c r="F136" s="654">
        <v>-8.6999999999999993</v>
      </c>
      <c r="G136" s="610">
        <f t="shared" si="8"/>
        <v>-7.6999999999999993</v>
      </c>
      <c r="H136" s="609" t="s">
        <v>188</v>
      </c>
      <c r="I136" s="609"/>
      <c r="J136" s="611" t="str">
        <f t="shared" si="9"/>
        <v>SA</v>
      </c>
      <c r="K136" s="611">
        <f t="shared" si="10"/>
        <v>4</v>
      </c>
      <c r="L136" s="611">
        <f t="shared" si="11"/>
        <v>0</v>
      </c>
      <c r="M136" s="611">
        <v>1200</v>
      </c>
      <c r="N136" s="607">
        <v>20</v>
      </c>
      <c r="O136" s="607">
        <v>18</v>
      </c>
      <c r="P136" s="612" t="s">
        <v>773</v>
      </c>
      <c r="Q136" s="611">
        <f>VLOOKUP(P136,'Dia chat'!$E:$AE,7,0)</f>
        <v>-20.94</v>
      </c>
      <c r="R136" s="575" t="s">
        <v>824</v>
      </c>
    </row>
    <row r="137" spans="1:18" ht="15.95" customHeight="1">
      <c r="A137" s="607" t="s">
        <v>704</v>
      </c>
      <c r="B137" s="608">
        <v>2317763.5950000002</v>
      </c>
      <c r="C137" s="608">
        <v>430352.64799999999</v>
      </c>
      <c r="D137" s="609">
        <v>27.2</v>
      </c>
      <c r="E137" s="582" t="s">
        <v>715</v>
      </c>
      <c r="F137" s="654">
        <v>-8.6999999999999993</v>
      </c>
      <c r="G137" s="610">
        <f t="shared" si="8"/>
        <v>-7.6999999999999993</v>
      </c>
      <c r="H137" s="609"/>
      <c r="I137" s="609"/>
      <c r="J137" s="611" t="str">
        <f t="shared" si="9"/>
        <v/>
      </c>
      <c r="K137" s="611">
        <f t="shared" si="10"/>
        <v>0</v>
      </c>
      <c r="L137" s="611">
        <f t="shared" si="11"/>
        <v>0</v>
      </c>
      <c r="M137" s="611">
        <v>1200</v>
      </c>
      <c r="N137" s="607">
        <v>20</v>
      </c>
      <c r="O137" s="607">
        <v>18</v>
      </c>
      <c r="P137" s="612" t="s">
        <v>774</v>
      </c>
      <c r="Q137" s="611">
        <f>VLOOKUP(P137,'Dia chat'!$E:$AE,7,0)</f>
        <v>-17.739999999999998</v>
      </c>
      <c r="R137" s="575" t="s">
        <v>824</v>
      </c>
    </row>
    <row r="138" spans="1:18" ht="15.95" customHeight="1">
      <c r="A138" s="607" t="s">
        <v>492</v>
      </c>
      <c r="B138" s="608">
        <v>2317760.5980000002</v>
      </c>
      <c r="C138" s="608">
        <v>430352.78499999997</v>
      </c>
      <c r="D138" s="609">
        <v>27.2</v>
      </c>
      <c r="E138" s="582" t="s">
        <v>715</v>
      </c>
      <c r="F138" s="654">
        <v>-8.6999999999999993</v>
      </c>
      <c r="G138" s="610">
        <f t="shared" si="8"/>
        <v>-7.6999999999999993</v>
      </c>
      <c r="H138" s="609"/>
      <c r="I138" s="609" t="s">
        <v>188</v>
      </c>
      <c r="J138" s="611" t="str">
        <f t="shared" si="9"/>
        <v>L</v>
      </c>
      <c r="K138" s="611">
        <f t="shared" si="10"/>
        <v>3</v>
      </c>
      <c r="L138" s="611">
        <f t="shared" si="11"/>
        <v>1</v>
      </c>
      <c r="M138" s="611">
        <v>1200</v>
      </c>
      <c r="N138" s="607">
        <v>20</v>
      </c>
      <c r="O138" s="607">
        <v>18</v>
      </c>
      <c r="P138" s="612" t="s">
        <v>774</v>
      </c>
      <c r="Q138" s="611">
        <f>VLOOKUP(P138,'Dia chat'!$E:$AE,7,0)</f>
        <v>-17.739999999999998</v>
      </c>
      <c r="R138" s="575" t="s">
        <v>824</v>
      </c>
    </row>
    <row r="139" spans="1:18" ht="15.95" customHeight="1">
      <c r="A139" s="607" t="s">
        <v>497</v>
      </c>
      <c r="B139" s="608">
        <v>2317763.7319999998</v>
      </c>
      <c r="C139" s="608">
        <v>430355.64500000002</v>
      </c>
      <c r="D139" s="609">
        <v>27.2</v>
      </c>
      <c r="E139" s="582" t="s">
        <v>715</v>
      </c>
      <c r="F139" s="654">
        <v>-8.6999999999999993</v>
      </c>
      <c r="G139" s="610">
        <f t="shared" si="8"/>
        <v>-7.6999999999999993</v>
      </c>
      <c r="H139" s="609"/>
      <c r="I139" s="609"/>
      <c r="J139" s="611" t="str">
        <f t="shared" si="9"/>
        <v/>
      </c>
      <c r="K139" s="611">
        <f t="shared" si="10"/>
        <v>0</v>
      </c>
      <c r="L139" s="611">
        <f t="shared" si="11"/>
        <v>0</v>
      </c>
      <c r="M139" s="611">
        <v>1200</v>
      </c>
      <c r="N139" s="607">
        <v>20</v>
      </c>
      <c r="O139" s="607">
        <v>18</v>
      </c>
      <c r="P139" s="612" t="s">
        <v>774</v>
      </c>
      <c r="Q139" s="611">
        <f>VLOOKUP(P139,'Dia chat'!$E:$AE,7,0)</f>
        <v>-17.739999999999998</v>
      </c>
      <c r="R139" s="575" t="s">
        <v>824</v>
      </c>
    </row>
    <row r="140" spans="1:18" ht="15.95" customHeight="1">
      <c r="A140" s="607" t="s">
        <v>502</v>
      </c>
      <c r="B140" s="608">
        <v>2317760.7340000002</v>
      </c>
      <c r="C140" s="608">
        <v>430355.78100000002</v>
      </c>
      <c r="D140" s="609">
        <v>27.2</v>
      </c>
      <c r="E140" s="582" t="s">
        <v>715</v>
      </c>
      <c r="F140" s="654">
        <v>-8.6999999999999993</v>
      </c>
      <c r="G140" s="610">
        <f t="shared" si="8"/>
        <v>-7.6999999999999993</v>
      </c>
      <c r="H140" s="609"/>
      <c r="I140" s="609"/>
      <c r="J140" s="611" t="str">
        <f t="shared" si="9"/>
        <v/>
      </c>
      <c r="K140" s="611">
        <f t="shared" si="10"/>
        <v>0</v>
      </c>
      <c r="L140" s="611">
        <f t="shared" si="11"/>
        <v>0</v>
      </c>
      <c r="M140" s="611">
        <v>1200</v>
      </c>
      <c r="N140" s="607">
        <v>20</v>
      </c>
      <c r="O140" s="607">
        <v>18</v>
      </c>
      <c r="P140" s="612" t="s">
        <v>774</v>
      </c>
      <c r="Q140" s="611">
        <f>VLOOKUP(P140,'Dia chat'!$E:$AE,7,0)</f>
        <v>-17.739999999999998</v>
      </c>
      <c r="R140" s="575" t="s">
        <v>824</v>
      </c>
    </row>
    <row r="141" spans="1:18" ht="15.95" customHeight="1">
      <c r="A141" s="607" t="s">
        <v>507</v>
      </c>
      <c r="B141" s="608">
        <v>2317762.4980000001</v>
      </c>
      <c r="C141" s="608">
        <v>430361.55699999997</v>
      </c>
      <c r="D141" s="609">
        <v>27.2</v>
      </c>
      <c r="E141" s="582" t="s">
        <v>706</v>
      </c>
      <c r="F141" s="654">
        <v>-8.6999999999999993</v>
      </c>
      <c r="G141" s="610">
        <f t="shared" si="8"/>
        <v>-7.6999999999999993</v>
      </c>
      <c r="H141" s="609" t="s">
        <v>188</v>
      </c>
      <c r="I141" s="609"/>
      <c r="J141" s="611" t="str">
        <f t="shared" si="9"/>
        <v>SA</v>
      </c>
      <c r="K141" s="611">
        <f t="shared" si="10"/>
        <v>4</v>
      </c>
      <c r="L141" s="611">
        <f t="shared" si="11"/>
        <v>0</v>
      </c>
      <c r="M141" s="611">
        <v>1200</v>
      </c>
      <c r="N141" s="607">
        <v>20</v>
      </c>
      <c r="O141" s="607">
        <v>18</v>
      </c>
      <c r="P141" s="612" t="s">
        <v>774</v>
      </c>
      <c r="Q141" s="611">
        <f>VLOOKUP(P141,'Dia chat'!$E:$AE,7,0)</f>
        <v>-17.739999999999998</v>
      </c>
      <c r="R141" s="575" t="s">
        <v>824</v>
      </c>
    </row>
    <row r="142" spans="1:18" ht="15.95" customHeight="1">
      <c r="A142" s="607" t="s">
        <v>512</v>
      </c>
      <c r="B142" s="608">
        <v>2317762.6340000001</v>
      </c>
      <c r="C142" s="608">
        <v>430364.554</v>
      </c>
      <c r="D142" s="609">
        <v>27.2</v>
      </c>
      <c r="E142" s="582" t="s">
        <v>706</v>
      </c>
      <c r="F142" s="654">
        <v>-8.6999999999999993</v>
      </c>
      <c r="G142" s="610">
        <f t="shared" si="8"/>
        <v>-7.6999999999999993</v>
      </c>
      <c r="H142" s="609"/>
      <c r="I142" s="609"/>
      <c r="J142" s="611" t="str">
        <f t="shared" si="9"/>
        <v/>
      </c>
      <c r="K142" s="611">
        <f t="shared" si="10"/>
        <v>0</v>
      </c>
      <c r="L142" s="611">
        <f t="shared" si="11"/>
        <v>0</v>
      </c>
      <c r="M142" s="611">
        <v>1200</v>
      </c>
      <c r="N142" s="607">
        <v>20</v>
      </c>
      <c r="O142" s="607">
        <v>18</v>
      </c>
      <c r="P142" s="612" t="s">
        <v>774</v>
      </c>
      <c r="Q142" s="611">
        <f>VLOOKUP(P142,'Dia chat'!$E:$AE,7,0)</f>
        <v>-17.739999999999998</v>
      </c>
      <c r="R142" s="624" t="s">
        <v>827</v>
      </c>
    </row>
    <row r="143" spans="1:18" ht="15.95" customHeight="1">
      <c r="A143" s="607" t="s">
        <v>517</v>
      </c>
      <c r="B143" s="608">
        <v>2317762.9819999998</v>
      </c>
      <c r="C143" s="608">
        <v>430372.196</v>
      </c>
      <c r="D143" s="609">
        <v>37.299999999999997</v>
      </c>
      <c r="E143" s="582" t="s">
        <v>716</v>
      </c>
      <c r="F143" s="654">
        <v>-8</v>
      </c>
      <c r="G143" s="610">
        <f t="shared" si="8"/>
        <v>-7</v>
      </c>
      <c r="H143" s="609" t="s">
        <v>188</v>
      </c>
      <c r="I143" s="609"/>
      <c r="J143" s="611" t="str">
        <f t="shared" si="9"/>
        <v>SA</v>
      </c>
      <c r="K143" s="611">
        <f t="shared" si="10"/>
        <v>4</v>
      </c>
      <c r="L143" s="611">
        <f t="shared" si="11"/>
        <v>0</v>
      </c>
      <c r="M143" s="611">
        <v>1200</v>
      </c>
      <c r="N143" s="607">
        <v>20</v>
      </c>
      <c r="O143" s="607">
        <v>18</v>
      </c>
      <c r="P143" s="612" t="s">
        <v>785</v>
      </c>
      <c r="Q143" s="623">
        <v>-22</v>
      </c>
      <c r="R143" s="624" t="s">
        <v>827</v>
      </c>
    </row>
    <row r="144" spans="1:18" ht="15.95" customHeight="1">
      <c r="A144" s="607" t="s">
        <v>522</v>
      </c>
      <c r="B144" s="608">
        <v>2317763.39</v>
      </c>
      <c r="C144" s="608">
        <v>430381.18699999998</v>
      </c>
      <c r="D144" s="609">
        <v>37.299999999999997</v>
      </c>
      <c r="E144" s="582" t="s">
        <v>716</v>
      </c>
      <c r="F144" s="654">
        <v>-8</v>
      </c>
      <c r="G144" s="610">
        <f t="shared" si="8"/>
        <v>-7</v>
      </c>
      <c r="H144" s="609" t="s">
        <v>188</v>
      </c>
      <c r="I144" s="609"/>
      <c r="J144" s="611" t="str">
        <f t="shared" si="9"/>
        <v>SA</v>
      </c>
      <c r="K144" s="611">
        <f t="shared" si="10"/>
        <v>4</v>
      </c>
      <c r="L144" s="611">
        <f t="shared" si="11"/>
        <v>0</v>
      </c>
      <c r="M144" s="611">
        <v>1200</v>
      </c>
      <c r="N144" s="607">
        <v>20</v>
      </c>
      <c r="O144" s="607">
        <v>18</v>
      </c>
      <c r="P144" s="612" t="s">
        <v>785</v>
      </c>
      <c r="Q144" s="623">
        <v>-22</v>
      </c>
      <c r="R144" s="624" t="s">
        <v>827</v>
      </c>
    </row>
    <row r="145" spans="1:29" ht="15.95" customHeight="1">
      <c r="A145" s="607" t="s">
        <v>527</v>
      </c>
      <c r="B145" s="608">
        <v>2317763.7880000002</v>
      </c>
      <c r="C145" s="608">
        <v>430389.94500000001</v>
      </c>
      <c r="D145" s="609">
        <v>40.4</v>
      </c>
      <c r="E145" s="582" t="s">
        <v>716</v>
      </c>
      <c r="F145" s="654">
        <v>-8</v>
      </c>
      <c r="G145" s="610">
        <f t="shared" si="8"/>
        <v>-7</v>
      </c>
      <c r="H145" s="609"/>
      <c r="I145" s="609" t="s">
        <v>188</v>
      </c>
      <c r="J145" s="611" t="str">
        <f t="shared" si="9"/>
        <v>L</v>
      </c>
      <c r="K145" s="611">
        <f t="shared" si="10"/>
        <v>3</v>
      </c>
      <c r="L145" s="611">
        <f t="shared" si="11"/>
        <v>1</v>
      </c>
      <c r="M145" s="611">
        <v>1200</v>
      </c>
      <c r="N145" s="607">
        <v>20</v>
      </c>
      <c r="O145" s="607">
        <v>18</v>
      </c>
      <c r="P145" s="612" t="s">
        <v>785</v>
      </c>
      <c r="Q145" s="623">
        <v>-22</v>
      </c>
      <c r="R145" s="575" t="s">
        <v>824</v>
      </c>
    </row>
    <row r="146" spans="1:29" ht="15.95" customHeight="1">
      <c r="A146" s="607" t="s">
        <v>532</v>
      </c>
      <c r="B146" s="608">
        <v>2317750.9709999999</v>
      </c>
      <c r="C146" s="608">
        <v>430306.174</v>
      </c>
      <c r="D146" s="609">
        <v>30.8</v>
      </c>
      <c r="E146" s="582" t="s">
        <v>706</v>
      </c>
      <c r="F146" s="654">
        <v>-8.6999999999999993</v>
      </c>
      <c r="G146" s="610">
        <f t="shared" si="8"/>
        <v>-7.6999999999999993</v>
      </c>
      <c r="H146" s="609"/>
      <c r="I146" s="609"/>
      <c r="J146" s="611" t="str">
        <f t="shared" si="9"/>
        <v/>
      </c>
      <c r="K146" s="611">
        <f t="shared" si="10"/>
        <v>0</v>
      </c>
      <c r="L146" s="611">
        <f t="shared" si="11"/>
        <v>0</v>
      </c>
      <c r="M146" s="611">
        <v>1200</v>
      </c>
      <c r="N146" s="607">
        <v>20</v>
      </c>
      <c r="O146" s="607">
        <v>18</v>
      </c>
      <c r="P146" s="612" t="s">
        <v>759</v>
      </c>
      <c r="Q146" s="623">
        <v>-22</v>
      </c>
      <c r="R146" s="575" t="s">
        <v>824</v>
      </c>
    </row>
    <row r="147" spans="1:29" ht="15.95" customHeight="1">
      <c r="A147" s="607" t="s">
        <v>536</v>
      </c>
      <c r="B147" s="608">
        <v>2317751.1069999998</v>
      </c>
      <c r="C147" s="608">
        <v>430309.17099999997</v>
      </c>
      <c r="D147" s="609">
        <v>30.8</v>
      </c>
      <c r="E147" s="582" t="s">
        <v>706</v>
      </c>
      <c r="F147" s="654">
        <v>-8.6999999999999993</v>
      </c>
      <c r="G147" s="610">
        <f t="shared" si="8"/>
        <v>-7.6999999999999993</v>
      </c>
      <c r="H147" s="609"/>
      <c r="I147" s="609"/>
      <c r="J147" s="611" t="str">
        <f t="shared" si="9"/>
        <v/>
      </c>
      <c r="K147" s="611">
        <f t="shared" si="10"/>
        <v>0</v>
      </c>
      <c r="L147" s="611">
        <f t="shared" si="11"/>
        <v>0</v>
      </c>
      <c r="M147" s="611">
        <v>1200</v>
      </c>
      <c r="N147" s="607">
        <v>20</v>
      </c>
      <c r="O147" s="607">
        <v>18</v>
      </c>
      <c r="P147" s="612" t="s">
        <v>759</v>
      </c>
      <c r="Q147" s="623">
        <v>-22</v>
      </c>
      <c r="R147" s="575" t="s">
        <v>824</v>
      </c>
    </row>
    <row r="148" spans="1:29" ht="15.95" customHeight="1">
      <c r="A148" s="607" t="s">
        <v>541</v>
      </c>
      <c r="B148" s="608">
        <v>2317750.4309999999</v>
      </c>
      <c r="C148" s="608">
        <v>430315.20799999998</v>
      </c>
      <c r="D148" s="609">
        <v>30.8</v>
      </c>
      <c r="E148" s="582" t="s">
        <v>707</v>
      </c>
      <c r="F148" s="654">
        <v>-8.6999999999999993</v>
      </c>
      <c r="G148" s="610">
        <f t="shared" si="8"/>
        <v>-7.6999999999999993</v>
      </c>
      <c r="H148" s="609"/>
      <c r="I148" s="609"/>
      <c r="J148" s="611" t="str">
        <f t="shared" si="9"/>
        <v/>
      </c>
      <c r="K148" s="611">
        <f t="shared" si="10"/>
        <v>0</v>
      </c>
      <c r="L148" s="611">
        <f t="shared" si="11"/>
        <v>0</v>
      </c>
      <c r="M148" s="611">
        <v>1200</v>
      </c>
      <c r="N148" s="607">
        <v>20</v>
      </c>
      <c r="O148" s="607">
        <v>18</v>
      </c>
      <c r="P148" s="612" t="s">
        <v>775</v>
      </c>
      <c r="Q148" s="611">
        <f>VLOOKUP(P148,'Dia chat'!$E:$AE,7,0)</f>
        <v>-19.73</v>
      </c>
      <c r="R148" s="575" t="s">
        <v>824</v>
      </c>
    </row>
    <row r="149" spans="1:29" ht="15.95" customHeight="1">
      <c r="A149" s="607" t="s">
        <v>546</v>
      </c>
      <c r="B149" s="608">
        <v>2317753.196</v>
      </c>
      <c r="C149" s="608">
        <v>430316.58299999998</v>
      </c>
      <c r="D149" s="609">
        <v>30.8</v>
      </c>
      <c r="E149" s="582" t="s">
        <v>707</v>
      </c>
      <c r="F149" s="654">
        <v>-8.6999999999999993</v>
      </c>
      <c r="G149" s="610">
        <f t="shared" si="8"/>
        <v>-7.6999999999999993</v>
      </c>
      <c r="H149" s="609"/>
      <c r="I149" s="609"/>
      <c r="J149" s="611" t="str">
        <f t="shared" si="9"/>
        <v/>
      </c>
      <c r="K149" s="611">
        <f t="shared" si="10"/>
        <v>0</v>
      </c>
      <c r="L149" s="611">
        <f t="shared" si="11"/>
        <v>0</v>
      </c>
      <c r="M149" s="611">
        <v>1200</v>
      </c>
      <c r="N149" s="607">
        <v>20</v>
      </c>
      <c r="O149" s="607">
        <v>18</v>
      </c>
      <c r="P149" s="612" t="s">
        <v>775</v>
      </c>
      <c r="Q149" s="611">
        <f>VLOOKUP(P149,'Dia chat'!$E:$AE,7,0)</f>
        <v>-19.73</v>
      </c>
      <c r="R149" s="575" t="s">
        <v>824</v>
      </c>
    </row>
    <row r="150" spans="1:29" ht="15.95" customHeight="1">
      <c r="A150" s="607" t="s">
        <v>551</v>
      </c>
      <c r="B150" s="608">
        <v>2317750.5669999998</v>
      </c>
      <c r="C150" s="608">
        <v>430318.20400000003</v>
      </c>
      <c r="D150" s="609">
        <v>30.8</v>
      </c>
      <c r="E150" s="582" t="s">
        <v>707</v>
      </c>
      <c r="F150" s="654">
        <v>-8.6999999999999993</v>
      </c>
      <c r="G150" s="610">
        <f t="shared" si="8"/>
        <v>-7.6999999999999993</v>
      </c>
      <c r="H150" s="609" t="s">
        <v>188</v>
      </c>
      <c r="I150" s="609"/>
      <c r="J150" s="611" t="str">
        <f t="shared" si="9"/>
        <v>SA</v>
      </c>
      <c r="K150" s="611">
        <f t="shared" si="10"/>
        <v>4</v>
      </c>
      <c r="L150" s="611">
        <f t="shared" si="11"/>
        <v>0</v>
      </c>
      <c r="M150" s="611">
        <v>1200</v>
      </c>
      <c r="N150" s="607">
        <v>20</v>
      </c>
      <c r="O150" s="607">
        <v>18</v>
      </c>
      <c r="P150" s="612" t="s">
        <v>775</v>
      </c>
      <c r="Q150" s="611">
        <f>VLOOKUP(P150,'Dia chat'!$E:$AE,7,0)</f>
        <v>-19.73</v>
      </c>
      <c r="R150" s="575" t="s">
        <v>824</v>
      </c>
    </row>
    <row r="151" spans="1:29" ht="15.95" customHeight="1">
      <c r="A151" s="607" t="s">
        <v>556</v>
      </c>
      <c r="B151" s="608">
        <v>2317751.773</v>
      </c>
      <c r="C151" s="608">
        <v>430323.815</v>
      </c>
      <c r="D151" s="609">
        <v>30.8</v>
      </c>
      <c r="E151" s="582" t="s">
        <v>706</v>
      </c>
      <c r="F151" s="654">
        <v>-8.6999999999999993</v>
      </c>
      <c r="G151" s="610">
        <f t="shared" si="8"/>
        <v>-7.6999999999999993</v>
      </c>
      <c r="H151" s="609"/>
      <c r="I151" s="609" t="s">
        <v>188</v>
      </c>
      <c r="J151" s="611" t="str">
        <f t="shared" si="9"/>
        <v>L</v>
      </c>
      <c r="K151" s="611">
        <f t="shared" si="10"/>
        <v>3</v>
      </c>
      <c r="L151" s="611">
        <f t="shared" si="11"/>
        <v>1</v>
      </c>
      <c r="M151" s="611">
        <v>1200</v>
      </c>
      <c r="N151" s="607">
        <v>20</v>
      </c>
      <c r="O151" s="607">
        <v>18</v>
      </c>
      <c r="P151" s="612" t="s">
        <v>819</v>
      </c>
      <c r="Q151" s="611">
        <f>VLOOKUP(P151,'Dia chat'!$E:$AE,7,0)</f>
        <v>-19.23</v>
      </c>
      <c r="R151" s="575" t="s">
        <v>824</v>
      </c>
    </row>
    <row r="152" spans="1:29" ht="15.95" customHeight="1">
      <c r="A152" s="607" t="s">
        <v>561</v>
      </c>
      <c r="B152" s="608">
        <v>2317751.909</v>
      </c>
      <c r="C152" s="608">
        <v>430326.81199999998</v>
      </c>
      <c r="D152" s="609">
        <v>30.8</v>
      </c>
      <c r="E152" s="582" t="s">
        <v>706</v>
      </c>
      <c r="F152" s="654">
        <v>-8.6999999999999993</v>
      </c>
      <c r="G152" s="610">
        <f t="shared" si="8"/>
        <v>-7.6999999999999993</v>
      </c>
      <c r="H152" s="609"/>
      <c r="I152" s="609"/>
      <c r="J152" s="611" t="str">
        <f t="shared" si="9"/>
        <v/>
      </c>
      <c r="K152" s="611">
        <f t="shared" si="10"/>
        <v>0</v>
      </c>
      <c r="L152" s="611">
        <f t="shared" si="11"/>
        <v>0</v>
      </c>
      <c r="M152" s="611">
        <v>1200</v>
      </c>
      <c r="N152" s="607">
        <v>20</v>
      </c>
      <c r="O152" s="607">
        <v>18</v>
      </c>
      <c r="P152" s="612" t="s">
        <v>819</v>
      </c>
      <c r="Q152" s="611">
        <f>VLOOKUP(P152,'Dia chat'!$E:$AE,7,0)</f>
        <v>-19.23</v>
      </c>
      <c r="R152" s="575" t="s">
        <v>824</v>
      </c>
    </row>
    <row r="153" spans="1:29" ht="15.95" customHeight="1">
      <c r="A153" s="607" t="s">
        <v>566</v>
      </c>
      <c r="B153" s="608">
        <v>2317752.2650000001</v>
      </c>
      <c r="C153" s="608">
        <v>430334.64399999997</v>
      </c>
      <c r="D153" s="609">
        <v>30.8</v>
      </c>
      <c r="E153" s="582" t="s">
        <v>717</v>
      </c>
      <c r="F153" s="654">
        <v>-8.1</v>
      </c>
      <c r="G153" s="610">
        <f t="shared" si="8"/>
        <v>-7.1</v>
      </c>
      <c r="H153" s="609" t="s">
        <v>188</v>
      </c>
      <c r="I153" s="609"/>
      <c r="J153" s="611" t="str">
        <f t="shared" si="9"/>
        <v>SA</v>
      </c>
      <c r="K153" s="611">
        <f t="shared" si="10"/>
        <v>4</v>
      </c>
      <c r="L153" s="611">
        <f t="shared" si="11"/>
        <v>0</v>
      </c>
      <c r="M153" s="611">
        <v>1200</v>
      </c>
      <c r="N153" s="607">
        <v>20</v>
      </c>
      <c r="O153" s="607">
        <v>18</v>
      </c>
      <c r="P153" s="612" t="s">
        <v>778</v>
      </c>
      <c r="Q153" s="611">
        <f>VLOOKUP(P153,'Dia chat'!$E:$AE,7,0)</f>
        <v>-19.07</v>
      </c>
      <c r="R153" s="575" t="s">
        <v>824</v>
      </c>
    </row>
    <row r="154" spans="1:29" ht="15.95" customHeight="1">
      <c r="A154" s="607" t="s">
        <v>571</v>
      </c>
      <c r="B154" s="608">
        <v>2317752.4470000002</v>
      </c>
      <c r="C154" s="608">
        <v>430338.64</v>
      </c>
      <c r="D154" s="609">
        <v>30.8</v>
      </c>
      <c r="E154" s="582" t="s">
        <v>706</v>
      </c>
      <c r="F154" s="654">
        <v>-8.6999999999999993</v>
      </c>
      <c r="G154" s="610">
        <f t="shared" si="8"/>
        <v>-7.6999999999999993</v>
      </c>
      <c r="H154" s="609"/>
      <c r="I154" s="609"/>
      <c r="J154" s="611" t="str">
        <f t="shared" si="9"/>
        <v/>
      </c>
      <c r="K154" s="611">
        <f t="shared" si="10"/>
        <v>0</v>
      </c>
      <c r="L154" s="611">
        <f t="shared" si="11"/>
        <v>0</v>
      </c>
      <c r="M154" s="611">
        <v>1200</v>
      </c>
      <c r="N154" s="607">
        <v>20</v>
      </c>
      <c r="O154" s="607">
        <v>18</v>
      </c>
      <c r="P154" s="612" t="s">
        <v>778</v>
      </c>
      <c r="Q154" s="611">
        <f>VLOOKUP(P154,'Dia chat'!$E:$AE,7,0)</f>
        <v>-19.07</v>
      </c>
      <c r="R154" s="575" t="s">
        <v>824</v>
      </c>
    </row>
    <row r="155" spans="1:29" ht="15.95" customHeight="1">
      <c r="A155" s="607" t="s">
        <v>576</v>
      </c>
      <c r="B155" s="608">
        <v>2317752.5830000001</v>
      </c>
      <c r="C155" s="608">
        <v>430341.63699999999</v>
      </c>
      <c r="D155" s="609">
        <v>30.8</v>
      </c>
      <c r="E155" s="582" t="s">
        <v>706</v>
      </c>
      <c r="F155" s="654">
        <v>-8.6999999999999993</v>
      </c>
      <c r="G155" s="610">
        <f t="shared" si="8"/>
        <v>-7.6999999999999993</v>
      </c>
      <c r="H155" s="609"/>
      <c r="I155" s="609"/>
      <c r="J155" s="611" t="str">
        <f t="shared" si="9"/>
        <v/>
      </c>
      <c r="K155" s="611">
        <f t="shared" si="10"/>
        <v>0</v>
      </c>
      <c r="L155" s="611">
        <f t="shared" si="11"/>
        <v>0</v>
      </c>
      <c r="M155" s="611">
        <v>1200</v>
      </c>
      <c r="N155" s="607">
        <v>20</v>
      </c>
      <c r="O155" s="607">
        <v>18</v>
      </c>
      <c r="P155" s="612" t="s">
        <v>778</v>
      </c>
      <c r="Q155" s="611">
        <f>VLOOKUP(P155,'Dia chat'!$E:$AE,7,0)</f>
        <v>-19.07</v>
      </c>
      <c r="R155" s="575" t="s">
        <v>824</v>
      </c>
    </row>
    <row r="156" spans="1:29" ht="15.95" customHeight="1">
      <c r="A156" s="607" t="s">
        <v>581</v>
      </c>
      <c r="B156" s="608">
        <v>2317751.8459999999</v>
      </c>
      <c r="C156" s="608">
        <v>430346.32500000001</v>
      </c>
      <c r="D156" s="609">
        <v>25.8</v>
      </c>
      <c r="E156" s="582" t="s">
        <v>707</v>
      </c>
      <c r="F156" s="654">
        <v>-8.6999999999999993</v>
      </c>
      <c r="G156" s="610">
        <f t="shared" si="8"/>
        <v>-7.6999999999999993</v>
      </c>
      <c r="H156" s="609"/>
      <c r="I156" s="609"/>
      <c r="J156" s="611" t="str">
        <f t="shared" si="9"/>
        <v/>
      </c>
      <c r="K156" s="611">
        <f t="shared" si="10"/>
        <v>0</v>
      </c>
      <c r="L156" s="611">
        <f t="shared" si="11"/>
        <v>0</v>
      </c>
      <c r="M156" s="611">
        <v>1200</v>
      </c>
      <c r="N156" s="607">
        <v>20</v>
      </c>
      <c r="O156" s="607">
        <v>18</v>
      </c>
      <c r="P156" s="612" t="s">
        <v>779</v>
      </c>
      <c r="Q156" s="611">
        <f>VLOOKUP(P156,'Dia chat'!$E:$AE,7,0)</f>
        <v>-21.88</v>
      </c>
      <c r="R156" s="575" t="s">
        <v>824</v>
      </c>
    </row>
    <row r="157" spans="1:29" s="193" customFormat="1" ht="15.95" customHeight="1">
      <c r="A157" s="607" t="s">
        <v>586</v>
      </c>
      <c r="B157" s="608">
        <v>2317754.611</v>
      </c>
      <c r="C157" s="608">
        <v>430347.701</v>
      </c>
      <c r="D157" s="609">
        <v>25.8</v>
      </c>
      <c r="E157" s="582" t="s">
        <v>707</v>
      </c>
      <c r="F157" s="654">
        <v>-8.6999999999999993</v>
      </c>
      <c r="G157" s="610">
        <f t="shared" si="8"/>
        <v>-7.6999999999999993</v>
      </c>
      <c r="H157" s="609"/>
      <c r="I157" s="609"/>
      <c r="J157" s="611" t="str">
        <f t="shared" si="9"/>
        <v/>
      </c>
      <c r="K157" s="611">
        <f t="shared" si="10"/>
        <v>0</v>
      </c>
      <c r="L157" s="611">
        <f t="shared" si="11"/>
        <v>0</v>
      </c>
      <c r="M157" s="611">
        <v>1200</v>
      </c>
      <c r="N157" s="607">
        <v>20</v>
      </c>
      <c r="O157" s="607">
        <v>18</v>
      </c>
      <c r="P157" s="612" t="s">
        <v>779</v>
      </c>
      <c r="Q157" s="611">
        <f>VLOOKUP(P157,'Dia chat'!$E:$AE,7,0)</f>
        <v>-21.88</v>
      </c>
      <c r="R157" s="575" t="s">
        <v>824</v>
      </c>
      <c r="S157" s="577"/>
      <c r="T157" s="577"/>
      <c r="U157" s="577"/>
      <c r="V157" s="577"/>
      <c r="W157" s="577"/>
      <c r="X157" s="577"/>
      <c r="Y157" s="577"/>
      <c r="Z157" s="576"/>
      <c r="AA157" s="576"/>
      <c r="AB157" s="577"/>
      <c r="AC157" s="575"/>
    </row>
    <row r="158" spans="1:29" ht="15.95" customHeight="1">
      <c r="A158" s="607" t="s">
        <v>591</v>
      </c>
      <c r="B158" s="608">
        <v>2317751.9819999998</v>
      </c>
      <c r="C158" s="608">
        <v>430349.32199999999</v>
      </c>
      <c r="D158" s="609">
        <v>26.5</v>
      </c>
      <c r="E158" s="582" t="s">
        <v>707</v>
      </c>
      <c r="F158" s="654">
        <v>-8.6999999999999993</v>
      </c>
      <c r="G158" s="610">
        <f t="shared" si="8"/>
        <v>-7.6999999999999993</v>
      </c>
      <c r="H158" s="609"/>
      <c r="I158" s="609"/>
      <c r="J158" s="611" t="str">
        <f t="shared" si="9"/>
        <v/>
      </c>
      <c r="K158" s="611">
        <f t="shared" si="10"/>
        <v>0</v>
      </c>
      <c r="L158" s="611">
        <f t="shared" si="11"/>
        <v>0</v>
      </c>
      <c r="M158" s="611">
        <v>1200</v>
      </c>
      <c r="N158" s="607">
        <v>20</v>
      </c>
      <c r="O158" s="607">
        <v>18</v>
      </c>
      <c r="P158" s="612" t="s">
        <v>779</v>
      </c>
      <c r="Q158" s="611">
        <f>VLOOKUP(P158,'Dia chat'!$E:$AE,7,0)</f>
        <v>-21.88</v>
      </c>
      <c r="R158" s="575" t="s">
        <v>824</v>
      </c>
    </row>
    <row r="159" spans="1:29" ht="15.95" customHeight="1">
      <c r="A159" s="607" t="s">
        <v>596</v>
      </c>
      <c r="B159" s="608">
        <v>2317752.5</v>
      </c>
      <c r="C159" s="608">
        <v>430353.45299999998</v>
      </c>
      <c r="D159" s="609">
        <v>29</v>
      </c>
      <c r="E159" s="582" t="s">
        <v>707</v>
      </c>
      <c r="F159" s="654">
        <v>-8.6999999999999993</v>
      </c>
      <c r="G159" s="610">
        <f t="shared" si="8"/>
        <v>-7.6999999999999993</v>
      </c>
      <c r="H159" s="609"/>
      <c r="I159" s="609"/>
      <c r="J159" s="611" t="str">
        <f t="shared" si="9"/>
        <v/>
      </c>
      <c r="K159" s="611">
        <f t="shared" si="10"/>
        <v>0</v>
      </c>
      <c r="L159" s="611">
        <f t="shared" si="11"/>
        <v>0</v>
      </c>
      <c r="M159" s="611">
        <v>1200</v>
      </c>
      <c r="N159" s="607">
        <v>20</v>
      </c>
      <c r="O159" s="607">
        <v>18</v>
      </c>
      <c r="P159" s="612" t="s">
        <v>780</v>
      </c>
      <c r="Q159" s="611">
        <f>VLOOKUP(P159,'Dia chat'!$E:$AE,7,0)</f>
        <v>-21.94</v>
      </c>
      <c r="R159" s="575" t="s">
        <v>824</v>
      </c>
    </row>
    <row r="160" spans="1:29" ht="15.95" customHeight="1">
      <c r="A160" s="607" t="s">
        <v>601</v>
      </c>
      <c r="B160" s="608">
        <v>2317755.2650000001</v>
      </c>
      <c r="C160" s="608">
        <v>430354.82900000003</v>
      </c>
      <c r="D160" s="609">
        <v>23.2</v>
      </c>
      <c r="E160" s="582" t="s">
        <v>707</v>
      </c>
      <c r="F160" s="654">
        <v>-8.6999999999999993</v>
      </c>
      <c r="G160" s="610">
        <f t="shared" si="8"/>
        <v>-7.6999999999999993</v>
      </c>
      <c r="H160" s="609" t="s">
        <v>188</v>
      </c>
      <c r="I160" s="609"/>
      <c r="J160" s="611" t="str">
        <f t="shared" si="9"/>
        <v>SA</v>
      </c>
      <c r="K160" s="611">
        <f t="shared" si="10"/>
        <v>4</v>
      </c>
      <c r="L160" s="611">
        <f t="shared" si="11"/>
        <v>0</v>
      </c>
      <c r="M160" s="611">
        <v>1200</v>
      </c>
      <c r="N160" s="607">
        <v>20</v>
      </c>
      <c r="O160" s="607">
        <v>18</v>
      </c>
      <c r="P160" s="612" t="s">
        <v>780</v>
      </c>
      <c r="Q160" s="611">
        <f>VLOOKUP(P160,'Dia chat'!$E:$AE,7,0)</f>
        <v>-21.94</v>
      </c>
      <c r="R160" s="575" t="s">
        <v>824</v>
      </c>
    </row>
    <row r="161" spans="1:18" ht="15.95" customHeight="1">
      <c r="A161" s="607" t="s">
        <v>606</v>
      </c>
      <c r="B161" s="608">
        <v>2317752.6370000001</v>
      </c>
      <c r="C161" s="608">
        <v>430356.45</v>
      </c>
      <c r="D161" s="609">
        <v>29</v>
      </c>
      <c r="E161" s="582" t="s">
        <v>707</v>
      </c>
      <c r="F161" s="654">
        <v>-8.6999999999999993</v>
      </c>
      <c r="G161" s="610">
        <f t="shared" si="8"/>
        <v>-7.6999999999999993</v>
      </c>
      <c r="H161" s="609" t="s">
        <v>188</v>
      </c>
      <c r="I161" s="609"/>
      <c r="J161" s="611" t="str">
        <f t="shared" si="9"/>
        <v>SA</v>
      </c>
      <c r="K161" s="611">
        <f t="shared" si="10"/>
        <v>4</v>
      </c>
      <c r="L161" s="611">
        <f t="shared" si="11"/>
        <v>0</v>
      </c>
      <c r="M161" s="611">
        <v>1200</v>
      </c>
      <c r="N161" s="607">
        <v>20</v>
      </c>
      <c r="O161" s="607">
        <v>18</v>
      </c>
      <c r="P161" s="612" t="s">
        <v>780</v>
      </c>
      <c r="Q161" s="611">
        <f>VLOOKUP(P161,'Dia chat'!$E:$AE,7,0)</f>
        <v>-21.94</v>
      </c>
      <c r="R161" s="575" t="s">
        <v>824</v>
      </c>
    </row>
    <row r="162" spans="1:18" ht="15.95" customHeight="1">
      <c r="A162" s="607" t="s">
        <v>611</v>
      </c>
      <c r="B162" s="608">
        <v>2317753.5819999999</v>
      </c>
      <c r="C162" s="608">
        <v>430363.614</v>
      </c>
      <c r="D162" s="609">
        <v>29</v>
      </c>
      <c r="E162" s="582" t="s">
        <v>717</v>
      </c>
      <c r="F162" s="654">
        <v>-8.1</v>
      </c>
      <c r="G162" s="610">
        <f t="shared" si="8"/>
        <v>-7.1</v>
      </c>
      <c r="H162" s="609" t="s">
        <v>188</v>
      </c>
      <c r="I162" s="609"/>
      <c r="J162" s="611" t="str">
        <f t="shared" si="9"/>
        <v>SA</v>
      </c>
      <c r="K162" s="611">
        <f t="shared" si="10"/>
        <v>4</v>
      </c>
      <c r="L162" s="611">
        <f t="shared" si="11"/>
        <v>0</v>
      </c>
      <c r="M162" s="611">
        <v>1200</v>
      </c>
      <c r="N162" s="607">
        <v>20</v>
      </c>
      <c r="O162" s="607">
        <v>18</v>
      </c>
      <c r="P162" s="612" t="s">
        <v>780</v>
      </c>
      <c r="Q162" s="611">
        <f>VLOOKUP(P162,'Dia chat'!$E:$AE,7,0)</f>
        <v>-21.94</v>
      </c>
      <c r="R162" s="575" t="s">
        <v>824</v>
      </c>
    </row>
    <row r="163" spans="1:18" ht="15.95" customHeight="1">
      <c r="A163" s="607" t="s">
        <v>616</v>
      </c>
      <c r="B163" s="608">
        <v>2317753.9909999999</v>
      </c>
      <c r="C163" s="608">
        <v>430372.60499999998</v>
      </c>
      <c r="D163" s="609">
        <v>31.3</v>
      </c>
      <c r="E163" s="582" t="s">
        <v>716</v>
      </c>
      <c r="F163" s="654">
        <v>-8</v>
      </c>
      <c r="G163" s="610">
        <f t="shared" si="8"/>
        <v>-7</v>
      </c>
      <c r="H163" s="609"/>
      <c r="I163" s="609" t="s">
        <v>188</v>
      </c>
      <c r="J163" s="611" t="str">
        <f t="shared" si="9"/>
        <v>L</v>
      </c>
      <c r="K163" s="611">
        <f t="shared" si="10"/>
        <v>3</v>
      </c>
      <c r="L163" s="611">
        <f t="shared" si="11"/>
        <v>1</v>
      </c>
      <c r="M163" s="611">
        <v>1200</v>
      </c>
      <c r="N163" s="607">
        <v>20</v>
      </c>
      <c r="O163" s="607">
        <v>18</v>
      </c>
      <c r="P163" s="612" t="s">
        <v>785</v>
      </c>
      <c r="Q163" s="623">
        <v>-22</v>
      </c>
      <c r="R163" s="624" t="s">
        <v>827</v>
      </c>
    </row>
    <row r="164" spans="1:18" ht="15.95" customHeight="1">
      <c r="A164" s="607" t="s">
        <v>621</v>
      </c>
      <c r="B164" s="608">
        <v>2317754.4</v>
      </c>
      <c r="C164" s="608">
        <v>430381.59600000002</v>
      </c>
      <c r="D164" s="609">
        <v>31.3</v>
      </c>
      <c r="E164" s="582" t="s">
        <v>716</v>
      </c>
      <c r="F164" s="654">
        <v>-8</v>
      </c>
      <c r="G164" s="610">
        <f t="shared" si="8"/>
        <v>-7</v>
      </c>
      <c r="H164" s="609" t="s">
        <v>188</v>
      </c>
      <c r="I164" s="609"/>
      <c r="J164" s="611" t="str">
        <f t="shared" si="9"/>
        <v>SA</v>
      </c>
      <c r="K164" s="611">
        <f t="shared" si="10"/>
        <v>4</v>
      </c>
      <c r="L164" s="611">
        <f t="shared" si="11"/>
        <v>0</v>
      </c>
      <c r="M164" s="611">
        <v>1200</v>
      </c>
      <c r="N164" s="607">
        <v>20</v>
      </c>
      <c r="O164" s="607">
        <v>18</v>
      </c>
      <c r="P164" s="612" t="s">
        <v>787</v>
      </c>
      <c r="Q164" s="623">
        <v>-22</v>
      </c>
      <c r="R164" s="624" t="s">
        <v>827</v>
      </c>
    </row>
    <row r="165" spans="1:18" ht="15.95" customHeight="1">
      <c r="A165" s="607" t="s">
        <v>626</v>
      </c>
      <c r="B165" s="608">
        <v>2317754.798</v>
      </c>
      <c r="C165" s="608">
        <v>430390.35399999999</v>
      </c>
      <c r="D165" s="609">
        <v>31.3</v>
      </c>
      <c r="E165" s="582" t="s">
        <v>716</v>
      </c>
      <c r="F165" s="654">
        <v>-8</v>
      </c>
      <c r="G165" s="610">
        <f t="shared" si="8"/>
        <v>-7</v>
      </c>
      <c r="H165" s="609" t="s">
        <v>188</v>
      </c>
      <c r="I165" s="609"/>
      <c r="J165" s="611" t="str">
        <f t="shared" si="9"/>
        <v>SA</v>
      </c>
      <c r="K165" s="611">
        <f t="shared" si="10"/>
        <v>4</v>
      </c>
      <c r="L165" s="611">
        <f t="shared" si="11"/>
        <v>0</v>
      </c>
      <c r="M165" s="611">
        <v>1200</v>
      </c>
      <c r="N165" s="607">
        <v>20</v>
      </c>
      <c r="O165" s="607">
        <v>18</v>
      </c>
      <c r="P165" s="612" t="s">
        <v>787</v>
      </c>
      <c r="Q165" s="623">
        <v>-22</v>
      </c>
      <c r="R165" s="624" t="s">
        <v>827</v>
      </c>
    </row>
    <row r="166" spans="1:18" ht="15.95" customHeight="1">
      <c r="A166" s="647" t="s">
        <v>635</v>
      </c>
      <c r="B166" s="648">
        <v>2317790.6910000001</v>
      </c>
      <c r="C166" s="648">
        <v>430397.96399999998</v>
      </c>
      <c r="D166" s="649">
        <v>24.5</v>
      </c>
      <c r="E166" s="650" t="s">
        <v>718</v>
      </c>
      <c r="F166" s="655">
        <v>-8</v>
      </c>
      <c r="G166" s="651">
        <f t="shared" si="8"/>
        <v>-7</v>
      </c>
      <c r="H166" s="649"/>
      <c r="I166" s="609" t="s">
        <v>188</v>
      </c>
      <c r="J166" s="652" t="str">
        <f t="shared" si="9"/>
        <v>L</v>
      </c>
      <c r="K166" s="652">
        <f>IF(J166="",0,IF(J166="SA",3,2))</f>
        <v>2</v>
      </c>
      <c r="L166" s="652">
        <f>IF(K166=2,1,0)</f>
        <v>1</v>
      </c>
      <c r="M166" s="652">
        <v>800</v>
      </c>
      <c r="N166" s="657">
        <v>20</v>
      </c>
      <c r="O166" s="657">
        <v>16</v>
      </c>
      <c r="P166" s="612" t="s">
        <v>791</v>
      </c>
      <c r="Q166" s="611">
        <f>VLOOKUP(P166,'Dia chat'!$E:$AE,7,0)</f>
        <v>-14.25</v>
      </c>
      <c r="R166" s="575" t="s">
        <v>825</v>
      </c>
    </row>
    <row r="167" spans="1:18" ht="15.95" customHeight="1">
      <c r="A167" s="607" t="s">
        <v>640</v>
      </c>
      <c r="B167" s="608">
        <v>2317782.34</v>
      </c>
      <c r="C167" s="608">
        <v>430398.34399999998</v>
      </c>
      <c r="D167" s="609">
        <v>28.5</v>
      </c>
      <c r="E167" s="582" t="s">
        <v>718</v>
      </c>
      <c r="F167" s="654">
        <v>-8</v>
      </c>
      <c r="G167" s="610">
        <f t="shared" si="8"/>
        <v>-7</v>
      </c>
      <c r="H167" s="609"/>
      <c r="I167" s="609"/>
      <c r="J167" s="611" t="str">
        <f t="shared" si="9"/>
        <v/>
      </c>
      <c r="K167" s="611">
        <f t="shared" ref="K167:K218" si="12">IF(J167="",0,IF(J167="SA",3,2))</f>
        <v>0</v>
      </c>
      <c r="L167" s="611">
        <f t="shared" ref="L167:L218" si="13">IF(K167=2,1,0)</f>
        <v>0</v>
      </c>
      <c r="M167" s="611">
        <v>800</v>
      </c>
      <c r="N167" s="617">
        <v>18</v>
      </c>
      <c r="O167" s="617">
        <v>12</v>
      </c>
      <c r="P167" s="612" t="s">
        <v>795</v>
      </c>
      <c r="Q167" s="611">
        <f>VLOOKUP(P167,'Dia chat'!$E:$AE,7,0)</f>
        <v>-24.55</v>
      </c>
      <c r="R167" s="575" t="s">
        <v>825</v>
      </c>
    </row>
    <row r="168" spans="1:18" ht="15.95" customHeight="1">
      <c r="A168" s="607" t="s">
        <v>645</v>
      </c>
      <c r="B168" s="608">
        <v>2317773.6880000001</v>
      </c>
      <c r="C168" s="608">
        <v>430398.73700000002</v>
      </c>
      <c r="D168" s="609">
        <v>27.5</v>
      </c>
      <c r="E168" s="582" t="s">
        <v>718</v>
      </c>
      <c r="F168" s="654">
        <v>-8</v>
      </c>
      <c r="G168" s="610">
        <f t="shared" si="8"/>
        <v>-7</v>
      </c>
      <c r="H168" s="609" t="s">
        <v>188</v>
      </c>
      <c r="I168" s="609"/>
      <c r="J168" s="611" t="str">
        <f t="shared" si="9"/>
        <v>SA</v>
      </c>
      <c r="K168" s="611">
        <f t="shared" si="12"/>
        <v>3</v>
      </c>
      <c r="L168" s="611">
        <f t="shared" si="13"/>
        <v>0</v>
      </c>
      <c r="M168" s="611">
        <v>800</v>
      </c>
      <c r="N168" s="617">
        <v>18</v>
      </c>
      <c r="O168" s="617">
        <v>12</v>
      </c>
      <c r="P168" s="612" t="s">
        <v>784</v>
      </c>
      <c r="Q168" s="623">
        <v>-22</v>
      </c>
      <c r="R168" s="575" t="s">
        <v>825</v>
      </c>
    </row>
    <row r="169" spans="1:18" ht="15.95" customHeight="1">
      <c r="A169" s="607" t="s">
        <v>650</v>
      </c>
      <c r="B169" s="608">
        <v>2317764.2089999998</v>
      </c>
      <c r="C169" s="608">
        <v>430399.16800000001</v>
      </c>
      <c r="D169" s="609">
        <v>27.5</v>
      </c>
      <c r="E169" s="582" t="s">
        <v>718</v>
      </c>
      <c r="F169" s="654">
        <v>-8</v>
      </c>
      <c r="G169" s="610">
        <f t="shared" si="8"/>
        <v>-7</v>
      </c>
      <c r="H169" s="609"/>
      <c r="I169" s="609"/>
      <c r="J169" s="611" t="str">
        <f t="shared" si="9"/>
        <v/>
      </c>
      <c r="K169" s="611">
        <f t="shared" si="12"/>
        <v>0</v>
      </c>
      <c r="L169" s="611">
        <f t="shared" si="13"/>
        <v>0</v>
      </c>
      <c r="M169" s="611">
        <v>800</v>
      </c>
      <c r="N169" s="617">
        <v>18</v>
      </c>
      <c r="O169" s="617">
        <v>12</v>
      </c>
      <c r="P169" s="612" t="s">
        <v>786</v>
      </c>
      <c r="Q169" s="623">
        <v>-22</v>
      </c>
      <c r="R169" s="575" t="s">
        <v>825</v>
      </c>
    </row>
    <row r="170" spans="1:18" ht="15.95" customHeight="1">
      <c r="A170" s="607" t="s">
        <v>655</v>
      </c>
      <c r="B170" s="608">
        <v>2317755.2179999999</v>
      </c>
      <c r="C170" s="608">
        <v>430399.57699999999</v>
      </c>
      <c r="D170" s="609">
        <v>29.9</v>
      </c>
      <c r="E170" s="582" t="s">
        <v>718</v>
      </c>
      <c r="F170" s="654">
        <v>-8</v>
      </c>
      <c r="G170" s="610">
        <f t="shared" si="8"/>
        <v>-7</v>
      </c>
      <c r="H170" s="609" t="s">
        <v>188</v>
      </c>
      <c r="I170" s="609"/>
      <c r="J170" s="611" t="str">
        <f t="shared" si="9"/>
        <v>SA</v>
      </c>
      <c r="K170" s="611">
        <f t="shared" si="12"/>
        <v>3</v>
      </c>
      <c r="L170" s="611">
        <f t="shared" si="13"/>
        <v>0</v>
      </c>
      <c r="M170" s="611">
        <v>800</v>
      </c>
      <c r="N170" s="617">
        <v>18</v>
      </c>
      <c r="O170" s="617">
        <v>12</v>
      </c>
      <c r="P170" s="612" t="s">
        <v>788</v>
      </c>
      <c r="Q170" s="623">
        <v>-22</v>
      </c>
      <c r="R170" s="624" t="s">
        <v>826</v>
      </c>
    </row>
    <row r="171" spans="1:18" ht="15.95" customHeight="1">
      <c r="A171" s="607" t="s">
        <v>659</v>
      </c>
      <c r="B171" s="608">
        <v>2317755.6269999999</v>
      </c>
      <c r="C171" s="608">
        <v>430408.56800000003</v>
      </c>
      <c r="D171" s="609">
        <v>29.9</v>
      </c>
      <c r="E171" s="582" t="s">
        <v>718</v>
      </c>
      <c r="F171" s="654">
        <v>-8</v>
      </c>
      <c r="G171" s="610">
        <f t="shared" si="8"/>
        <v>-7</v>
      </c>
      <c r="H171" s="609"/>
      <c r="I171" s="609"/>
      <c r="J171" s="611" t="str">
        <f t="shared" si="9"/>
        <v/>
      </c>
      <c r="K171" s="611">
        <f t="shared" si="12"/>
        <v>0</v>
      </c>
      <c r="L171" s="611">
        <f t="shared" si="13"/>
        <v>0</v>
      </c>
      <c r="M171" s="611">
        <v>800</v>
      </c>
      <c r="N171" s="617">
        <v>18</v>
      </c>
      <c r="O171" s="617">
        <v>12</v>
      </c>
      <c r="P171" s="612" t="s">
        <v>788</v>
      </c>
      <c r="Q171" s="623">
        <v>-22</v>
      </c>
      <c r="R171" s="624" t="s">
        <v>826</v>
      </c>
    </row>
    <row r="172" spans="1:18" ht="15.95" customHeight="1">
      <c r="A172" s="607" t="s">
        <v>663</v>
      </c>
      <c r="B172" s="608">
        <v>2317764.6170000001</v>
      </c>
      <c r="C172" s="608">
        <v>430408.15899999999</v>
      </c>
      <c r="D172" s="609">
        <v>25.6</v>
      </c>
      <c r="E172" s="582" t="s">
        <v>718</v>
      </c>
      <c r="F172" s="654">
        <v>-8</v>
      </c>
      <c r="G172" s="610">
        <f t="shared" si="8"/>
        <v>-7</v>
      </c>
      <c r="H172" s="609" t="s">
        <v>188</v>
      </c>
      <c r="I172" s="609"/>
      <c r="J172" s="611" t="str">
        <f t="shared" si="9"/>
        <v>SA</v>
      </c>
      <c r="K172" s="611">
        <f t="shared" si="12"/>
        <v>3</v>
      </c>
      <c r="L172" s="611">
        <f t="shared" si="13"/>
        <v>0</v>
      </c>
      <c r="M172" s="611">
        <v>800</v>
      </c>
      <c r="N172" s="617">
        <v>18</v>
      </c>
      <c r="O172" s="617">
        <v>12</v>
      </c>
      <c r="P172" s="612" t="s">
        <v>786</v>
      </c>
      <c r="Q172" s="623">
        <v>-22</v>
      </c>
      <c r="R172" s="575" t="s">
        <v>825</v>
      </c>
    </row>
    <row r="173" spans="1:18" ht="15.95" customHeight="1">
      <c r="A173" s="607" t="s">
        <v>667</v>
      </c>
      <c r="B173" s="608">
        <v>2317774.0970000001</v>
      </c>
      <c r="C173" s="608">
        <v>430407.728</v>
      </c>
      <c r="D173" s="609">
        <v>28.5</v>
      </c>
      <c r="E173" s="582" t="s">
        <v>718</v>
      </c>
      <c r="F173" s="654">
        <v>-8</v>
      </c>
      <c r="G173" s="610">
        <f t="shared" si="8"/>
        <v>-7</v>
      </c>
      <c r="H173" s="609"/>
      <c r="I173" s="609"/>
      <c r="J173" s="611" t="str">
        <f t="shared" si="9"/>
        <v/>
      </c>
      <c r="K173" s="611">
        <f t="shared" si="12"/>
        <v>0</v>
      </c>
      <c r="L173" s="611">
        <f t="shared" si="13"/>
        <v>0</v>
      </c>
      <c r="M173" s="611">
        <v>800</v>
      </c>
      <c r="N173" s="617">
        <v>18</v>
      </c>
      <c r="O173" s="617">
        <v>12</v>
      </c>
      <c r="P173" s="612" t="s">
        <v>786</v>
      </c>
      <c r="Q173" s="623">
        <v>-22</v>
      </c>
      <c r="R173" s="575" t="s">
        <v>825</v>
      </c>
    </row>
    <row r="174" spans="1:18" ht="15.95" customHeight="1">
      <c r="A174" s="615" t="s">
        <v>672</v>
      </c>
      <c r="B174" s="616">
        <v>2317782.7489999998</v>
      </c>
      <c r="C174" s="616">
        <v>430407.33500000002</v>
      </c>
      <c r="D174" s="609">
        <v>28.5</v>
      </c>
      <c r="E174" s="582" t="s">
        <v>718</v>
      </c>
      <c r="F174" s="654">
        <v>-8</v>
      </c>
      <c r="G174" s="610">
        <f t="shared" si="8"/>
        <v>-7</v>
      </c>
      <c r="H174" s="609" t="s">
        <v>188</v>
      </c>
      <c r="I174" s="609"/>
      <c r="J174" s="611" t="str">
        <f t="shared" si="9"/>
        <v>SA</v>
      </c>
      <c r="K174" s="611">
        <f t="shared" si="12"/>
        <v>3</v>
      </c>
      <c r="L174" s="611">
        <f t="shared" si="13"/>
        <v>0</v>
      </c>
      <c r="M174" s="611">
        <v>800</v>
      </c>
      <c r="N174" s="617">
        <v>18</v>
      </c>
      <c r="O174" s="617">
        <v>12</v>
      </c>
      <c r="P174" s="612" t="s">
        <v>795</v>
      </c>
      <c r="Q174" s="611">
        <f>VLOOKUP(P174,'Dia chat'!$E:$AE,7,0)</f>
        <v>-24.55</v>
      </c>
      <c r="R174" s="575" t="s">
        <v>825</v>
      </c>
    </row>
    <row r="175" spans="1:18" ht="15.95" customHeight="1">
      <c r="A175" s="607" t="s">
        <v>679</v>
      </c>
      <c r="B175" s="608">
        <v>2317791.1</v>
      </c>
      <c r="C175" s="608">
        <v>430406.95500000002</v>
      </c>
      <c r="D175" s="609">
        <v>25.6</v>
      </c>
      <c r="E175" s="582" t="s">
        <v>718</v>
      </c>
      <c r="F175" s="654">
        <v>-8</v>
      </c>
      <c r="G175" s="610">
        <f t="shared" si="8"/>
        <v>-7</v>
      </c>
      <c r="H175" s="609"/>
      <c r="I175" s="609"/>
      <c r="J175" s="611" t="str">
        <f t="shared" si="9"/>
        <v/>
      </c>
      <c r="K175" s="611">
        <f t="shared" si="12"/>
        <v>0</v>
      </c>
      <c r="L175" s="611">
        <f t="shared" si="13"/>
        <v>0</v>
      </c>
      <c r="M175" s="611">
        <v>800</v>
      </c>
      <c r="N175" s="617">
        <v>18</v>
      </c>
      <c r="O175" s="617">
        <v>12</v>
      </c>
      <c r="P175" s="612" t="s">
        <v>792</v>
      </c>
      <c r="Q175" s="611">
        <f>VLOOKUP(P175,'Dia chat'!$E:$AE,7,0)</f>
        <v>-19.59</v>
      </c>
      <c r="R175" s="575" t="s">
        <v>825</v>
      </c>
    </row>
    <row r="176" spans="1:18" ht="15.95" customHeight="1">
      <c r="A176" s="607" t="s">
        <v>684</v>
      </c>
      <c r="B176" s="608">
        <v>2317797.2000000002</v>
      </c>
      <c r="C176" s="608">
        <v>430412.54599999997</v>
      </c>
      <c r="D176" s="609">
        <v>25.6</v>
      </c>
      <c r="E176" s="582" t="s">
        <v>719</v>
      </c>
      <c r="F176" s="654">
        <v>-5.9</v>
      </c>
      <c r="G176" s="610">
        <f t="shared" si="8"/>
        <v>-4.9000000000000004</v>
      </c>
      <c r="H176" s="609"/>
      <c r="I176" s="609"/>
      <c r="J176" s="611" t="str">
        <f t="shared" si="9"/>
        <v/>
      </c>
      <c r="K176" s="611">
        <f t="shared" si="12"/>
        <v>0</v>
      </c>
      <c r="L176" s="611">
        <f t="shared" si="13"/>
        <v>0</v>
      </c>
      <c r="M176" s="611">
        <v>800</v>
      </c>
      <c r="N176" s="617">
        <v>18</v>
      </c>
      <c r="O176" s="617">
        <v>12</v>
      </c>
      <c r="P176" s="612" t="s">
        <v>792</v>
      </c>
      <c r="Q176" s="611">
        <f>VLOOKUP(P176,'Dia chat'!$E:$AE,7,0)</f>
        <v>-19.59</v>
      </c>
      <c r="R176" s="575" t="s">
        <v>825</v>
      </c>
    </row>
    <row r="177" spans="1:18" ht="15.95" customHeight="1">
      <c r="A177" s="607" t="s">
        <v>689</v>
      </c>
      <c r="B177" s="608">
        <v>2317791.466</v>
      </c>
      <c r="C177" s="608">
        <v>430412.80699999997</v>
      </c>
      <c r="D177" s="609">
        <v>25.6</v>
      </c>
      <c r="E177" s="582" t="s">
        <v>719</v>
      </c>
      <c r="F177" s="654">
        <v>-5.9</v>
      </c>
      <c r="G177" s="610">
        <f t="shared" si="8"/>
        <v>-4.9000000000000004</v>
      </c>
      <c r="H177" s="609" t="s">
        <v>188</v>
      </c>
      <c r="I177" s="609"/>
      <c r="J177" s="611" t="str">
        <f t="shared" si="9"/>
        <v>SA</v>
      </c>
      <c r="K177" s="611">
        <f t="shared" si="12"/>
        <v>3</v>
      </c>
      <c r="L177" s="611">
        <f t="shared" si="13"/>
        <v>0</v>
      </c>
      <c r="M177" s="611">
        <v>800</v>
      </c>
      <c r="N177" s="617">
        <v>18</v>
      </c>
      <c r="O177" s="617">
        <v>12</v>
      </c>
      <c r="P177" s="612" t="s">
        <v>792</v>
      </c>
      <c r="Q177" s="611">
        <f>VLOOKUP(P177,'Dia chat'!$E:$AE,7,0)</f>
        <v>-19.59</v>
      </c>
      <c r="R177" s="575" t="s">
        <v>825</v>
      </c>
    </row>
    <row r="178" spans="1:18" ht="15.95" customHeight="1">
      <c r="A178" s="615" t="s">
        <v>463</v>
      </c>
      <c r="B178" s="616">
        <v>2317783.014</v>
      </c>
      <c r="C178" s="616">
        <v>430413.19099999999</v>
      </c>
      <c r="D178" s="609">
        <v>28.5</v>
      </c>
      <c r="E178" s="582" t="s">
        <v>719</v>
      </c>
      <c r="F178" s="654">
        <v>-5.9</v>
      </c>
      <c r="G178" s="610">
        <f t="shared" si="8"/>
        <v>-4.9000000000000004</v>
      </c>
      <c r="H178" s="609"/>
      <c r="I178" s="609"/>
      <c r="J178" s="611" t="str">
        <f t="shared" si="9"/>
        <v/>
      </c>
      <c r="K178" s="611">
        <f t="shared" si="12"/>
        <v>0</v>
      </c>
      <c r="L178" s="611">
        <f t="shared" si="13"/>
        <v>0</v>
      </c>
      <c r="M178" s="611">
        <v>800</v>
      </c>
      <c r="N178" s="617">
        <v>18</v>
      </c>
      <c r="O178" s="617">
        <v>12</v>
      </c>
      <c r="P178" s="612" t="s">
        <v>795</v>
      </c>
      <c r="Q178" s="611">
        <f>VLOOKUP(P178,'Dia chat'!$E:$AE,7,0)</f>
        <v>-24.55</v>
      </c>
      <c r="R178" s="575" t="s">
        <v>825</v>
      </c>
    </row>
    <row r="179" spans="1:18" ht="15.95" customHeight="1">
      <c r="A179" s="607" t="s">
        <v>697</v>
      </c>
      <c r="B179" s="608">
        <v>2317774.3739999998</v>
      </c>
      <c r="C179" s="608">
        <v>430413.58399999997</v>
      </c>
      <c r="D179" s="609">
        <v>28.5</v>
      </c>
      <c r="E179" s="582" t="s">
        <v>719</v>
      </c>
      <c r="F179" s="654">
        <v>-5.9</v>
      </c>
      <c r="G179" s="610">
        <f t="shared" si="8"/>
        <v>-4.9000000000000004</v>
      </c>
      <c r="H179" s="609"/>
      <c r="I179" s="609" t="s">
        <v>188</v>
      </c>
      <c r="J179" s="611" t="str">
        <f t="shared" si="9"/>
        <v>L</v>
      </c>
      <c r="K179" s="611">
        <f t="shared" si="12"/>
        <v>2</v>
      </c>
      <c r="L179" s="611">
        <f t="shared" si="13"/>
        <v>1</v>
      </c>
      <c r="M179" s="611">
        <v>800</v>
      </c>
      <c r="N179" s="617">
        <v>18</v>
      </c>
      <c r="O179" s="617">
        <v>12</v>
      </c>
      <c r="P179" s="612" t="s">
        <v>795</v>
      </c>
      <c r="Q179" s="611">
        <f>VLOOKUP(P179,'Dia chat'!$E:$AE,7,0)</f>
        <v>-24.55</v>
      </c>
      <c r="R179" s="575" t="s">
        <v>825</v>
      </c>
    </row>
    <row r="180" spans="1:18" ht="15.95" customHeight="1">
      <c r="A180" s="607" t="s">
        <v>701</v>
      </c>
      <c r="B180" s="608">
        <v>2317764.8840000001</v>
      </c>
      <c r="C180" s="608">
        <v>430414.01500000001</v>
      </c>
      <c r="D180" s="609">
        <v>27.5</v>
      </c>
      <c r="E180" s="582" t="s">
        <v>719</v>
      </c>
      <c r="F180" s="654">
        <v>-5.9</v>
      </c>
      <c r="G180" s="610">
        <f t="shared" si="8"/>
        <v>-4.9000000000000004</v>
      </c>
      <c r="H180" s="609"/>
      <c r="I180" s="609"/>
      <c r="J180" s="611" t="str">
        <f t="shared" si="9"/>
        <v/>
      </c>
      <c r="K180" s="611">
        <f t="shared" si="12"/>
        <v>0</v>
      </c>
      <c r="L180" s="611">
        <f t="shared" si="13"/>
        <v>0</v>
      </c>
      <c r="M180" s="611">
        <v>800</v>
      </c>
      <c r="N180" s="617">
        <v>18</v>
      </c>
      <c r="O180" s="617">
        <v>12</v>
      </c>
      <c r="P180" s="612" t="s">
        <v>786</v>
      </c>
      <c r="Q180" s="623">
        <f>Q179</f>
        <v>-24.55</v>
      </c>
      <c r="R180" s="575" t="s">
        <v>825</v>
      </c>
    </row>
    <row r="181" spans="1:18" ht="15.95" customHeight="1">
      <c r="A181" s="607" t="s">
        <v>705</v>
      </c>
      <c r="B181" s="608">
        <v>2317755.8930000002</v>
      </c>
      <c r="C181" s="608">
        <v>430414.424</v>
      </c>
      <c r="D181" s="609">
        <v>27.5</v>
      </c>
      <c r="E181" s="582" t="s">
        <v>719</v>
      </c>
      <c r="F181" s="654">
        <v>-5.9</v>
      </c>
      <c r="G181" s="610">
        <f t="shared" si="8"/>
        <v>-4.9000000000000004</v>
      </c>
      <c r="H181" s="609" t="s">
        <v>188</v>
      </c>
      <c r="I181" s="609"/>
      <c r="J181" s="611" t="str">
        <f t="shared" si="9"/>
        <v>SA</v>
      </c>
      <c r="K181" s="611">
        <f t="shared" si="12"/>
        <v>3</v>
      </c>
      <c r="L181" s="611">
        <f t="shared" si="13"/>
        <v>0</v>
      </c>
      <c r="M181" s="611">
        <v>800</v>
      </c>
      <c r="N181" s="617">
        <v>18</v>
      </c>
      <c r="O181" s="617">
        <v>12</v>
      </c>
      <c r="P181" s="612" t="s">
        <v>786</v>
      </c>
      <c r="Q181" s="623">
        <f>Q180</f>
        <v>-24.55</v>
      </c>
      <c r="R181" s="575" t="s">
        <v>825</v>
      </c>
    </row>
    <row r="182" spans="1:18" ht="15.95" customHeight="1">
      <c r="A182" s="607" t="s">
        <v>493</v>
      </c>
      <c r="B182" s="608">
        <v>2317748.551</v>
      </c>
      <c r="C182" s="608">
        <v>430414.75799999997</v>
      </c>
      <c r="D182" s="609">
        <v>28.8</v>
      </c>
      <c r="E182" s="582" t="s">
        <v>719</v>
      </c>
      <c r="F182" s="654">
        <v>-5.9</v>
      </c>
      <c r="G182" s="610">
        <f t="shared" si="8"/>
        <v>-4.9000000000000004</v>
      </c>
      <c r="H182" s="609"/>
      <c r="I182" s="609"/>
      <c r="J182" s="611" t="str">
        <f t="shared" si="9"/>
        <v/>
      </c>
      <c r="K182" s="611">
        <f t="shared" si="12"/>
        <v>0</v>
      </c>
      <c r="L182" s="611">
        <f t="shared" si="13"/>
        <v>0</v>
      </c>
      <c r="M182" s="611">
        <v>800</v>
      </c>
      <c r="N182" s="617">
        <v>18</v>
      </c>
      <c r="O182" s="617">
        <v>12</v>
      </c>
      <c r="P182" s="612" t="s">
        <v>786</v>
      </c>
      <c r="Q182" s="623">
        <f>Q181</f>
        <v>-24.55</v>
      </c>
      <c r="R182" s="575" t="s">
        <v>825</v>
      </c>
    </row>
    <row r="183" spans="1:18" ht="15.95" customHeight="1">
      <c r="A183" s="607" t="s">
        <v>498</v>
      </c>
      <c r="B183" s="608">
        <v>2317748.284</v>
      </c>
      <c r="C183" s="608">
        <v>430408.902</v>
      </c>
      <c r="D183" s="609">
        <v>28.8</v>
      </c>
      <c r="E183" s="582" t="s">
        <v>719</v>
      </c>
      <c r="F183" s="654">
        <v>-5.9</v>
      </c>
      <c r="G183" s="610">
        <f t="shared" si="8"/>
        <v>-4.9000000000000004</v>
      </c>
      <c r="H183" s="609"/>
      <c r="I183" s="609" t="s">
        <v>188</v>
      </c>
      <c r="J183" s="611" t="str">
        <f t="shared" si="9"/>
        <v>L</v>
      </c>
      <c r="K183" s="611">
        <f t="shared" si="12"/>
        <v>2</v>
      </c>
      <c r="L183" s="611">
        <f t="shared" si="13"/>
        <v>1</v>
      </c>
      <c r="M183" s="611">
        <v>800</v>
      </c>
      <c r="N183" s="617">
        <v>18</v>
      </c>
      <c r="O183" s="617">
        <v>12</v>
      </c>
      <c r="P183" s="612" t="s">
        <v>786</v>
      </c>
      <c r="Q183" s="623">
        <f>Q182</f>
        <v>-24.55</v>
      </c>
      <c r="R183" s="624" t="s">
        <v>826</v>
      </c>
    </row>
    <row r="184" spans="1:18" ht="15.95" customHeight="1">
      <c r="A184" s="607" t="s">
        <v>503</v>
      </c>
      <c r="B184" s="608">
        <v>2317747.8760000002</v>
      </c>
      <c r="C184" s="608">
        <v>430399.91100000002</v>
      </c>
      <c r="D184" s="609">
        <v>29.9</v>
      </c>
      <c r="E184" s="582" t="s">
        <v>719</v>
      </c>
      <c r="F184" s="654">
        <v>-5.9</v>
      </c>
      <c r="G184" s="610">
        <f t="shared" si="8"/>
        <v>-4.9000000000000004</v>
      </c>
      <c r="H184" s="609"/>
      <c r="I184" s="609"/>
      <c r="J184" s="611" t="str">
        <f t="shared" si="9"/>
        <v/>
      </c>
      <c r="K184" s="611">
        <f t="shared" si="12"/>
        <v>0</v>
      </c>
      <c r="L184" s="611">
        <f t="shared" si="13"/>
        <v>0</v>
      </c>
      <c r="M184" s="611">
        <v>800</v>
      </c>
      <c r="N184" s="617">
        <v>18</v>
      </c>
      <c r="O184" s="617">
        <v>12</v>
      </c>
      <c r="P184" s="619" t="s">
        <v>756</v>
      </c>
      <c r="Q184" s="611">
        <f>VLOOKUP(P184,'Dia chat'!$E:$AE,7,0)</f>
        <v>-16.66</v>
      </c>
      <c r="R184" s="624" t="s">
        <v>826</v>
      </c>
    </row>
    <row r="185" spans="1:18" ht="15.95" customHeight="1">
      <c r="A185" s="607" t="s">
        <v>508</v>
      </c>
      <c r="B185" s="608">
        <v>2317747.4559999998</v>
      </c>
      <c r="C185" s="608">
        <v>430390.68800000002</v>
      </c>
      <c r="D185" s="609">
        <v>29.9</v>
      </c>
      <c r="E185" s="582" t="s">
        <v>719</v>
      </c>
      <c r="F185" s="654">
        <v>-5.9</v>
      </c>
      <c r="G185" s="610">
        <f t="shared" si="8"/>
        <v>-4.9000000000000004</v>
      </c>
      <c r="H185" s="609" t="s">
        <v>188</v>
      </c>
      <c r="I185" s="609"/>
      <c r="J185" s="611" t="str">
        <f t="shared" si="9"/>
        <v>SA</v>
      </c>
      <c r="K185" s="611">
        <f t="shared" si="12"/>
        <v>3</v>
      </c>
      <c r="L185" s="611">
        <f t="shared" si="13"/>
        <v>0</v>
      </c>
      <c r="M185" s="611">
        <v>800</v>
      </c>
      <c r="N185" s="617">
        <v>18</v>
      </c>
      <c r="O185" s="617">
        <v>12</v>
      </c>
      <c r="P185" s="619" t="s">
        <v>756</v>
      </c>
      <c r="Q185" s="611">
        <f>VLOOKUP(P185,'Dia chat'!$E:$AE,7,0)</f>
        <v>-16.66</v>
      </c>
      <c r="R185" s="624" t="s">
        <v>826</v>
      </c>
    </row>
    <row r="186" spans="1:18" ht="15.95" customHeight="1">
      <c r="A186" s="607" t="s">
        <v>513</v>
      </c>
      <c r="B186" s="608">
        <v>2317747.0580000002</v>
      </c>
      <c r="C186" s="608">
        <v>430381.93</v>
      </c>
      <c r="D186" s="609">
        <v>31.3</v>
      </c>
      <c r="E186" s="582" t="s">
        <v>719</v>
      </c>
      <c r="F186" s="654">
        <v>-5.9</v>
      </c>
      <c r="G186" s="610">
        <f t="shared" si="8"/>
        <v>-4.9000000000000004</v>
      </c>
      <c r="H186" s="609"/>
      <c r="I186" s="609"/>
      <c r="J186" s="611" t="str">
        <f t="shared" si="9"/>
        <v/>
      </c>
      <c r="K186" s="611">
        <f t="shared" si="12"/>
        <v>0</v>
      </c>
      <c r="L186" s="611">
        <f t="shared" si="13"/>
        <v>0</v>
      </c>
      <c r="M186" s="611">
        <v>800</v>
      </c>
      <c r="N186" s="617">
        <v>18</v>
      </c>
      <c r="O186" s="617">
        <v>12</v>
      </c>
      <c r="P186" s="619" t="s">
        <v>756</v>
      </c>
      <c r="Q186" s="611">
        <f>VLOOKUP(P186,'Dia chat'!$E:$AE,7,0)</f>
        <v>-16.66</v>
      </c>
      <c r="R186" s="624" t="s">
        <v>826</v>
      </c>
    </row>
    <row r="187" spans="1:18" ht="15.95" customHeight="1">
      <c r="A187" s="607" t="s">
        <v>518</v>
      </c>
      <c r="B187" s="608">
        <v>2317746.6490000002</v>
      </c>
      <c r="C187" s="608">
        <v>430372.93900000001</v>
      </c>
      <c r="D187" s="609">
        <v>31.3</v>
      </c>
      <c r="E187" s="582" t="s">
        <v>720</v>
      </c>
      <c r="F187" s="654">
        <v>-6.9</v>
      </c>
      <c r="G187" s="610">
        <f t="shared" si="8"/>
        <v>-5.9</v>
      </c>
      <c r="H187" s="609"/>
      <c r="I187" s="609"/>
      <c r="J187" s="611" t="str">
        <f t="shared" si="9"/>
        <v/>
      </c>
      <c r="K187" s="611">
        <f t="shared" si="12"/>
        <v>0</v>
      </c>
      <c r="L187" s="611">
        <f t="shared" si="13"/>
        <v>0</v>
      </c>
      <c r="M187" s="611">
        <v>800</v>
      </c>
      <c r="N187" s="617">
        <v>18</v>
      </c>
      <c r="O187" s="617">
        <v>12</v>
      </c>
      <c r="P187" s="619" t="s">
        <v>756</v>
      </c>
      <c r="Q187" s="611">
        <f>VLOOKUP(P187,'Dia chat'!$E:$AE,7,0)</f>
        <v>-16.66</v>
      </c>
      <c r="R187" s="624" t="s">
        <v>826</v>
      </c>
    </row>
    <row r="188" spans="1:18" ht="15.95" customHeight="1">
      <c r="A188" s="607" t="s">
        <v>523</v>
      </c>
      <c r="B188" s="608">
        <v>2317746.2409999999</v>
      </c>
      <c r="C188" s="608">
        <v>430363.94799999997</v>
      </c>
      <c r="D188" s="609">
        <v>29</v>
      </c>
      <c r="E188" s="582" t="s">
        <v>721</v>
      </c>
      <c r="F188" s="654">
        <v>-6.9</v>
      </c>
      <c r="G188" s="610">
        <f t="shared" si="8"/>
        <v>-5.9</v>
      </c>
      <c r="H188" s="609" t="s">
        <v>188</v>
      </c>
      <c r="I188" s="609"/>
      <c r="J188" s="611" t="str">
        <f t="shared" si="9"/>
        <v>SA</v>
      </c>
      <c r="K188" s="611">
        <f t="shared" si="12"/>
        <v>3</v>
      </c>
      <c r="L188" s="611">
        <f t="shared" si="13"/>
        <v>0</v>
      </c>
      <c r="M188" s="611">
        <v>800</v>
      </c>
      <c r="N188" s="617">
        <v>18</v>
      </c>
      <c r="O188" s="617">
        <v>12</v>
      </c>
      <c r="P188" s="619" t="s">
        <v>756</v>
      </c>
      <c r="Q188" s="611">
        <f>VLOOKUP(P188,'Dia chat'!$E:$AE,7,0)</f>
        <v>-16.66</v>
      </c>
      <c r="R188" s="624" t="s">
        <v>826</v>
      </c>
    </row>
    <row r="189" spans="1:18" ht="15.95" customHeight="1">
      <c r="A189" s="607" t="s">
        <v>528</v>
      </c>
      <c r="B189" s="608">
        <v>2317745.8390000002</v>
      </c>
      <c r="C189" s="608">
        <v>430355.10700000002</v>
      </c>
      <c r="D189" s="609">
        <v>29</v>
      </c>
      <c r="E189" s="582" t="s">
        <v>721</v>
      </c>
      <c r="F189" s="654">
        <v>-6.9</v>
      </c>
      <c r="G189" s="610">
        <f t="shared" si="8"/>
        <v>-5.9</v>
      </c>
      <c r="H189" s="609"/>
      <c r="I189" s="609"/>
      <c r="J189" s="611" t="str">
        <f t="shared" si="9"/>
        <v/>
      </c>
      <c r="K189" s="611">
        <f t="shared" si="12"/>
        <v>0</v>
      </c>
      <c r="L189" s="611">
        <f t="shared" si="13"/>
        <v>0</v>
      </c>
      <c r="M189" s="611">
        <v>800</v>
      </c>
      <c r="N189" s="617">
        <v>18</v>
      </c>
      <c r="O189" s="617">
        <v>12</v>
      </c>
      <c r="P189" s="619" t="s">
        <v>756</v>
      </c>
      <c r="Q189" s="611">
        <f>VLOOKUP(P189,'Dia chat'!$E:$AE,7,0)</f>
        <v>-16.66</v>
      </c>
      <c r="R189" s="575" t="s">
        <v>825</v>
      </c>
    </row>
    <row r="190" spans="1:18" ht="15.95" customHeight="1">
      <c r="A190" s="607" t="s">
        <v>464</v>
      </c>
      <c r="B190" s="608">
        <v>2317745.523</v>
      </c>
      <c r="C190" s="608">
        <v>430348.16399999999</v>
      </c>
      <c r="D190" s="609">
        <v>29</v>
      </c>
      <c r="E190" s="582" t="s">
        <v>721</v>
      </c>
      <c r="F190" s="654">
        <v>-6.9</v>
      </c>
      <c r="G190" s="610">
        <f t="shared" si="8"/>
        <v>-5.9</v>
      </c>
      <c r="H190" s="609"/>
      <c r="I190" s="609"/>
      <c r="J190" s="611" t="str">
        <f t="shared" si="9"/>
        <v/>
      </c>
      <c r="K190" s="611">
        <f t="shared" si="12"/>
        <v>0</v>
      </c>
      <c r="L190" s="611">
        <f t="shared" si="13"/>
        <v>0</v>
      </c>
      <c r="M190" s="611">
        <v>800</v>
      </c>
      <c r="N190" s="617">
        <v>18</v>
      </c>
      <c r="O190" s="617">
        <v>12</v>
      </c>
      <c r="P190" s="619" t="s">
        <v>756</v>
      </c>
      <c r="Q190" s="611">
        <f>VLOOKUP(P190,'Dia chat'!$E:$AE,7,0)</f>
        <v>-16.66</v>
      </c>
      <c r="R190" s="575" t="s">
        <v>825</v>
      </c>
    </row>
    <row r="191" spans="1:18" ht="15.95" customHeight="1">
      <c r="A191" s="607" t="s">
        <v>537</v>
      </c>
      <c r="B191" s="608">
        <v>2317745.1749999998</v>
      </c>
      <c r="C191" s="608">
        <v>430340.51199999999</v>
      </c>
      <c r="D191" s="609">
        <v>29.9</v>
      </c>
      <c r="E191" s="582" t="s">
        <v>721</v>
      </c>
      <c r="F191" s="654">
        <v>-6.9</v>
      </c>
      <c r="G191" s="610">
        <f t="shared" si="8"/>
        <v>-5.9</v>
      </c>
      <c r="H191" s="609" t="s">
        <v>188</v>
      </c>
      <c r="I191" s="609"/>
      <c r="J191" s="611" t="str">
        <f t="shared" si="9"/>
        <v>SA</v>
      </c>
      <c r="K191" s="611">
        <f t="shared" si="12"/>
        <v>3</v>
      </c>
      <c r="L191" s="611">
        <f t="shared" si="13"/>
        <v>0</v>
      </c>
      <c r="M191" s="611">
        <v>800</v>
      </c>
      <c r="N191" s="617">
        <v>18</v>
      </c>
      <c r="O191" s="617">
        <v>12</v>
      </c>
      <c r="P191" s="619" t="s">
        <v>756</v>
      </c>
      <c r="Q191" s="611">
        <f>VLOOKUP(P191,'Dia chat'!$E:$AE,7,0)</f>
        <v>-16.66</v>
      </c>
      <c r="R191" s="575" t="s">
        <v>825</v>
      </c>
    </row>
    <row r="192" spans="1:18" ht="15.95" customHeight="1">
      <c r="A192" s="607" t="s">
        <v>542</v>
      </c>
      <c r="B192" s="608">
        <v>2317744.923</v>
      </c>
      <c r="C192" s="608">
        <v>430334.978</v>
      </c>
      <c r="D192" s="609">
        <v>26</v>
      </c>
      <c r="E192" s="582" t="s">
        <v>721</v>
      </c>
      <c r="F192" s="654">
        <v>-6.9</v>
      </c>
      <c r="G192" s="610">
        <f t="shared" si="8"/>
        <v>-5.9</v>
      </c>
      <c r="H192" s="609"/>
      <c r="I192" s="609"/>
      <c r="J192" s="611" t="str">
        <f t="shared" si="9"/>
        <v/>
      </c>
      <c r="K192" s="611">
        <f t="shared" si="12"/>
        <v>0</v>
      </c>
      <c r="L192" s="611">
        <f t="shared" si="13"/>
        <v>0</v>
      </c>
      <c r="M192" s="611">
        <v>800</v>
      </c>
      <c r="N192" s="617">
        <v>18</v>
      </c>
      <c r="O192" s="617">
        <v>12</v>
      </c>
      <c r="P192" s="619" t="s">
        <v>756</v>
      </c>
      <c r="Q192" s="611">
        <f>VLOOKUP(P192,'Dia chat'!$E:$AE,7,0)</f>
        <v>-16.66</v>
      </c>
      <c r="R192" s="575" t="s">
        <v>825</v>
      </c>
    </row>
    <row r="193" spans="1:18" ht="15.95" customHeight="1">
      <c r="A193" s="607" t="s">
        <v>547</v>
      </c>
      <c r="B193" s="608">
        <v>2317744.5150000001</v>
      </c>
      <c r="C193" s="608">
        <v>430325.98700000002</v>
      </c>
      <c r="D193" s="609">
        <v>26</v>
      </c>
      <c r="E193" s="582" t="s">
        <v>721</v>
      </c>
      <c r="F193" s="654">
        <v>-6.9</v>
      </c>
      <c r="G193" s="610">
        <f t="shared" si="8"/>
        <v>-5.9</v>
      </c>
      <c r="H193" s="609"/>
      <c r="I193" s="609" t="s">
        <v>188</v>
      </c>
      <c r="J193" s="611" t="str">
        <f t="shared" si="9"/>
        <v>L</v>
      </c>
      <c r="K193" s="611">
        <f t="shared" si="12"/>
        <v>2</v>
      </c>
      <c r="L193" s="611">
        <f t="shared" si="13"/>
        <v>1</v>
      </c>
      <c r="M193" s="611">
        <v>800</v>
      </c>
      <c r="N193" s="617">
        <v>18</v>
      </c>
      <c r="O193" s="617">
        <v>12</v>
      </c>
      <c r="P193" s="619" t="s">
        <v>756</v>
      </c>
      <c r="Q193" s="611">
        <f>VLOOKUP(P193,'Dia chat'!$E:$AE,7,0)</f>
        <v>-16.66</v>
      </c>
      <c r="R193" s="575" t="s">
        <v>825</v>
      </c>
    </row>
    <row r="194" spans="1:18" ht="15.95" customHeight="1">
      <c r="A194" s="607" t="s">
        <v>552</v>
      </c>
      <c r="B194" s="608">
        <v>2317744.1060000001</v>
      </c>
      <c r="C194" s="608">
        <v>430316.99699999997</v>
      </c>
      <c r="D194" s="609">
        <v>26</v>
      </c>
      <c r="E194" s="582" t="s">
        <v>721</v>
      </c>
      <c r="F194" s="654">
        <v>-6.9</v>
      </c>
      <c r="G194" s="610">
        <f t="shared" si="8"/>
        <v>-5.9</v>
      </c>
      <c r="H194" s="609"/>
      <c r="I194" s="609"/>
      <c r="J194" s="611" t="str">
        <f t="shared" si="9"/>
        <v/>
      </c>
      <c r="K194" s="611">
        <f t="shared" si="12"/>
        <v>0</v>
      </c>
      <c r="L194" s="611">
        <f t="shared" si="13"/>
        <v>0</v>
      </c>
      <c r="M194" s="611">
        <v>800</v>
      </c>
      <c r="N194" s="617">
        <v>18</v>
      </c>
      <c r="O194" s="617">
        <v>12</v>
      </c>
      <c r="P194" s="619" t="s">
        <v>756</v>
      </c>
      <c r="Q194" s="611">
        <f>VLOOKUP(P194,'Dia chat'!$E:$AE,7,0)</f>
        <v>-16.66</v>
      </c>
      <c r="R194" s="575" t="s">
        <v>825</v>
      </c>
    </row>
    <row r="195" spans="1:18" ht="15.95" customHeight="1">
      <c r="A195" s="607" t="s">
        <v>557</v>
      </c>
      <c r="B195" s="608">
        <v>2317743.6970000002</v>
      </c>
      <c r="C195" s="608">
        <v>430308.00599999999</v>
      </c>
      <c r="D195" s="609">
        <v>33.1</v>
      </c>
      <c r="E195" s="582" t="s">
        <v>721</v>
      </c>
      <c r="F195" s="654">
        <v>-6.9</v>
      </c>
      <c r="G195" s="610">
        <f t="shared" si="8"/>
        <v>-5.9</v>
      </c>
      <c r="H195" s="609" t="s">
        <v>188</v>
      </c>
      <c r="I195" s="609"/>
      <c r="J195" s="611" t="str">
        <f t="shared" si="9"/>
        <v>SA</v>
      </c>
      <c r="K195" s="611">
        <f t="shared" si="12"/>
        <v>3</v>
      </c>
      <c r="L195" s="611">
        <f t="shared" si="13"/>
        <v>0</v>
      </c>
      <c r="M195" s="611">
        <v>800</v>
      </c>
      <c r="N195" s="617">
        <v>18</v>
      </c>
      <c r="O195" s="617">
        <v>12</v>
      </c>
      <c r="P195" s="619" t="s">
        <v>756</v>
      </c>
      <c r="Q195" s="611">
        <f>VLOOKUP(P195,'Dia chat'!$E:$AE,7,0)</f>
        <v>-16.66</v>
      </c>
      <c r="R195" s="575" t="s">
        <v>825</v>
      </c>
    </row>
    <row r="196" spans="1:18" ht="15.95" customHeight="1">
      <c r="A196" s="607" t="s">
        <v>562</v>
      </c>
      <c r="B196" s="608">
        <v>2317745.2149999999</v>
      </c>
      <c r="C196" s="608">
        <v>430303.88900000002</v>
      </c>
      <c r="D196" s="609">
        <v>26</v>
      </c>
      <c r="E196" s="582" t="s">
        <v>721</v>
      </c>
      <c r="F196" s="654">
        <v>-6.9</v>
      </c>
      <c r="G196" s="610">
        <f t="shared" ref="G196:G218" si="14">F196+1</f>
        <v>-5.9</v>
      </c>
      <c r="H196" s="609" t="s">
        <v>188</v>
      </c>
      <c r="I196" s="609"/>
      <c r="J196" s="611" t="str">
        <f t="shared" ref="J196:J218" si="15">IF(H196="",IF(I196="","","L"),"SA")</f>
        <v>SA</v>
      </c>
      <c r="K196" s="611">
        <f t="shared" si="12"/>
        <v>3</v>
      </c>
      <c r="L196" s="611">
        <f t="shared" si="13"/>
        <v>0</v>
      </c>
      <c r="M196" s="611">
        <v>800</v>
      </c>
      <c r="N196" s="617">
        <v>18</v>
      </c>
      <c r="O196" s="617">
        <v>12</v>
      </c>
      <c r="P196" s="619" t="s">
        <v>756</v>
      </c>
      <c r="Q196" s="611">
        <f>VLOOKUP(P196,'Dia chat'!$E:$AE,7,0)</f>
        <v>-16.66</v>
      </c>
      <c r="R196" s="575" t="s">
        <v>825</v>
      </c>
    </row>
    <row r="197" spans="1:18" ht="15.95" customHeight="1">
      <c r="A197" s="607" t="s">
        <v>567</v>
      </c>
      <c r="B197" s="608">
        <v>2317750.7779999999</v>
      </c>
      <c r="C197" s="608">
        <v>430301.92800000001</v>
      </c>
      <c r="D197" s="609">
        <v>26</v>
      </c>
      <c r="E197" s="582" t="s">
        <v>721</v>
      </c>
      <c r="F197" s="654">
        <v>-6.9</v>
      </c>
      <c r="G197" s="610">
        <f t="shared" si="14"/>
        <v>-5.9</v>
      </c>
      <c r="H197" s="609" t="s">
        <v>188</v>
      </c>
      <c r="I197" s="609"/>
      <c r="J197" s="611" t="str">
        <f t="shared" si="15"/>
        <v>SA</v>
      </c>
      <c r="K197" s="611">
        <f t="shared" si="12"/>
        <v>3</v>
      </c>
      <c r="L197" s="611">
        <f t="shared" si="13"/>
        <v>0</v>
      </c>
      <c r="M197" s="611">
        <v>800</v>
      </c>
      <c r="N197" s="617">
        <v>18</v>
      </c>
      <c r="O197" s="617">
        <v>12</v>
      </c>
      <c r="P197" s="619" t="s">
        <v>756</v>
      </c>
      <c r="Q197" s="611">
        <f>VLOOKUP(P197,'Dia chat'!$E:$AE,7,0)</f>
        <v>-16.66</v>
      </c>
      <c r="R197" s="575" t="s">
        <v>825</v>
      </c>
    </row>
    <row r="198" spans="1:18" ht="15.95" customHeight="1">
      <c r="A198" s="607" t="s">
        <v>572</v>
      </c>
      <c r="B198" s="616">
        <v>2317759.7689999999</v>
      </c>
      <c r="C198" s="616">
        <v>430301.51899999997</v>
      </c>
      <c r="D198" s="609">
        <v>26</v>
      </c>
      <c r="E198" s="582" t="s">
        <v>721</v>
      </c>
      <c r="F198" s="654">
        <v>-6.9</v>
      </c>
      <c r="G198" s="610">
        <f t="shared" si="14"/>
        <v>-5.9</v>
      </c>
      <c r="H198" s="609"/>
      <c r="I198" s="609"/>
      <c r="J198" s="611" t="str">
        <f t="shared" si="15"/>
        <v/>
      </c>
      <c r="K198" s="611">
        <f t="shared" si="12"/>
        <v>0</v>
      </c>
      <c r="L198" s="611">
        <f t="shared" si="13"/>
        <v>0</v>
      </c>
      <c r="M198" s="611">
        <v>800</v>
      </c>
      <c r="N198" s="617">
        <v>18</v>
      </c>
      <c r="O198" s="617">
        <v>12</v>
      </c>
      <c r="P198" s="619" t="s">
        <v>756</v>
      </c>
      <c r="Q198" s="611">
        <f>VLOOKUP(P198,'Dia chat'!$E:$AE,7,0)</f>
        <v>-16.66</v>
      </c>
      <c r="R198" s="575" t="s">
        <v>825</v>
      </c>
    </row>
    <row r="199" spans="1:18" ht="15.95" customHeight="1">
      <c r="A199" s="607" t="s">
        <v>577</v>
      </c>
      <c r="B199" s="608">
        <v>2317768.85</v>
      </c>
      <c r="C199" s="608">
        <v>430301.10600000003</v>
      </c>
      <c r="D199" s="609">
        <v>26</v>
      </c>
      <c r="E199" s="582" t="s">
        <v>721</v>
      </c>
      <c r="F199" s="654">
        <v>-6.9</v>
      </c>
      <c r="G199" s="610">
        <f t="shared" si="14"/>
        <v>-5.9</v>
      </c>
      <c r="H199" s="609"/>
      <c r="I199" s="609" t="s">
        <v>188</v>
      </c>
      <c r="J199" s="611" t="str">
        <f t="shared" si="15"/>
        <v>L</v>
      </c>
      <c r="K199" s="611">
        <f t="shared" si="12"/>
        <v>2</v>
      </c>
      <c r="L199" s="611">
        <f t="shared" si="13"/>
        <v>1</v>
      </c>
      <c r="M199" s="611">
        <v>800</v>
      </c>
      <c r="N199" s="617">
        <v>18</v>
      </c>
      <c r="O199" s="617">
        <v>12</v>
      </c>
      <c r="P199" s="619" t="s">
        <v>756</v>
      </c>
      <c r="Q199" s="611">
        <f>VLOOKUP(P199,'Dia chat'!$E:$AE,7,0)</f>
        <v>-16.66</v>
      </c>
      <c r="R199" s="575" t="s">
        <v>825</v>
      </c>
    </row>
    <row r="200" spans="1:18" ht="15.95" customHeight="1">
      <c r="A200" s="607" t="s">
        <v>582</v>
      </c>
      <c r="B200" s="608">
        <v>2317777.7510000002</v>
      </c>
      <c r="C200" s="608">
        <v>430300.70199999999</v>
      </c>
      <c r="D200" s="609">
        <v>26</v>
      </c>
      <c r="E200" s="582" t="s">
        <v>721</v>
      </c>
      <c r="F200" s="654">
        <v>-6.9</v>
      </c>
      <c r="G200" s="610">
        <f t="shared" si="14"/>
        <v>-5.9</v>
      </c>
      <c r="H200" s="609"/>
      <c r="I200" s="609"/>
      <c r="J200" s="611" t="str">
        <f t="shared" si="15"/>
        <v/>
      </c>
      <c r="K200" s="611">
        <f t="shared" si="12"/>
        <v>0</v>
      </c>
      <c r="L200" s="611">
        <f t="shared" si="13"/>
        <v>0</v>
      </c>
      <c r="M200" s="611">
        <v>800</v>
      </c>
      <c r="N200" s="617">
        <v>18</v>
      </c>
      <c r="O200" s="617">
        <v>12</v>
      </c>
      <c r="P200" s="619" t="s">
        <v>756</v>
      </c>
      <c r="Q200" s="611">
        <f>VLOOKUP(P200,'Dia chat'!$E:$AE,7,0)</f>
        <v>-16.66</v>
      </c>
      <c r="R200" s="575" t="s">
        <v>825</v>
      </c>
    </row>
    <row r="201" spans="1:18" ht="15.95" customHeight="1">
      <c r="A201" s="607" t="s">
        <v>587</v>
      </c>
      <c r="B201" s="608">
        <v>2317786.4019999998</v>
      </c>
      <c r="C201" s="608">
        <v>430300.30800000002</v>
      </c>
      <c r="D201" s="609">
        <v>26</v>
      </c>
      <c r="E201" s="582" t="s">
        <v>721</v>
      </c>
      <c r="F201" s="654">
        <v>-6.9</v>
      </c>
      <c r="G201" s="610">
        <f t="shared" si="14"/>
        <v>-5.9</v>
      </c>
      <c r="H201" s="609" t="s">
        <v>188</v>
      </c>
      <c r="I201" s="609"/>
      <c r="J201" s="611" t="str">
        <f t="shared" si="15"/>
        <v>SA</v>
      </c>
      <c r="K201" s="611">
        <f t="shared" si="12"/>
        <v>3</v>
      </c>
      <c r="L201" s="611">
        <f t="shared" si="13"/>
        <v>0</v>
      </c>
      <c r="M201" s="611">
        <v>800</v>
      </c>
      <c r="N201" s="617">
        <v>18</v>
      </c>
      <c r="O201" s="617">
        <v>12</v>
      </c>
      <c r="P201" s="619" t="s">
        <v>756</v>
      </c>
      <c r="Q201" s="611">
        <f>VLOOKUP(P201,'Dia chat'!$E:$AE,7,0)</f>
        <v>-16.66</v>
      </c>
      <c r="R201" s="575" t="s">
        <v>825</v>
      </c>
    </row>
    <row r="202" spans="1:18" ht="15.95" customHeight="1">
      <c r="A202" s="607" t="s">
        <v>592</v>
      </c>
      <c r="B202" s="608">
        <v>2317790.4589999998</v>
      </c>
      <c r="C202" s="608">
        <v>430301.83199999999</v>
      </c>
      <c r="D202" s="609">
        <v>26</v>
      </c>
      <c r="E202" s="582" t="s">
        <v>721</v>
      </c>
      <c r="F202" s="654">
        <v>-6.9</v>
      </c>
      <c r="G202" s="610">
        <f t="shared" si="14"/>
        <v>-5.9</v>
      </c>
      <c r="H202" s="609"/>
      <c r="I202" s="609"/>
      <c r="J202" s="611" t="str">
        <f t="shared" si="15"/>
        <v/>
      </c>
      <c r="K202" s="611">
        <f t="shared" si="12"/>
        <v>0</v>
      </c>
      <c r="L202" s="611">
        <f t="shared" si="13"/>
        <v>0</v>
      </c>
      <c r="M202" s="611">
        <v>800</v>
      </c>
      <c r="N202" s="617">
        <v>18</v>
      </c>
      <c r="O202" s="617">
        <v>12</v>
      </c>
      <c r="P202" s="619" t="s">
        <v>756</v>
      </c>
      <c r="Q202" s="611">
        <f>VLOOKUP(P202,'Dia chat'!$E:$AE,7,0)</f>
        <v>-16.66</v>
      </c>
      <c r="R202" s="575" t="s">
        <v>825</v>
      </c>
    </row>
    <row r="203" spans="1:18" ht="15.95" customHeight="1">
      <c r="A203" s="607" t="s">
        <v>597</v>
      </c>
      <c r="B203" s="608">
        <v>2317792.3470000001</v>
      </c>
      <c r="C203" s="608">
        <v>430305.79399999999</v>
      </c>
      <c r="D203" s="609">
        <v>26</v>
      </c>
      <c r="E203" s="582" t="s">
        <v>721</v>
      </c>
      <c r="F203" s="654">
        <v>-6.9</v>
      </c>
      <c r="G203" s="610">
        <f t="shared" si="14"/>
        <v>-5.9</v>
      </c>
      <c r="H203" s="609"/>
      <c r="I203" s="609"/>
      <c r="J203" s="611" t="str">
        <f t="shared" si="15"/>
        <v/>
      </c>
      <c r="K203" s="611">
        <f t="shared" si="12"/>
        <v>0</v>
      </c>
      <c r="L203" s="611">
        <f t="shared" si="13"/>
        <v>0</v>
      </c>
      <c r="M203" s="611">
        <v>800</v>
      </c>
      <c r="N203" s="617">
        <v>18</v>
      </c>
      <c r="O203" s="617">
        <v>12</v>
      </c>
      <c r="P203" s="619" t="s">
        <v>756</v>
      </c>
      <c r="Q203" s="611">
        <f>VLOOKUP(P203,'Dia chat'!$E:$AE,7,0)</f>
        <v>-16.66</v>
      </c>
      <c r="R203" s="575" t="s">
        <v>825</v>
      </c>
    </row>
    <row r="204" spans="1:18" ht="15.95" customHeight="1">
      <c r="A204" s="607" t="s">
        <v>602</v>
      </c>
      <c r="B204" s="608">
        <v>2317792.7560000001</v>
      </c>
      <c r="C204" s="608">
        <v>430314.78499999997</v>
      </c>
      <c r="D204" s="609">
        <v>26</v>
      </c>
      <c r="E204" s="582" t="s">
        <v>721</v>
      </c>
      <c r="F204" s="654">
        <v>-6.9</v>
      </c>
      <c r="G204" s="610">
        <f t="shared" si="14"/>
        <v>-5.9</v>
      </c>
      <c r="H204" s="609" t="s">
        <v>188</v>
      </c>
      <c r="I204" s="609"/>
      <c r="J204" s="611" t="str">
        <f t="shared" si="15"/>
        <v>SA</v>
      </c>
      <c r="K204" s="611">
        <f t="shared" si="12"/>
        <v>3</v>
      </c>
      <c r="L204" s="611">
        <f t="shared" si="13"/>
        <v>0</v>
      </c>
      <c r="M204" s="611">
        <v>800</v>
      </c>
      <c r="N204" s="617">
        <v>18</v>
      </c>
      <c r="O204" s="617">
        <v>12</v>
      </c>
      <c r="P204" s="619" t="s">
        <v>756</v>
      </c>
      <c r="Q204" s="611">
        <f>VLOOKUP(P204,'Dia chat'!$E:$AE,7,0)</f>
        <v>-16.66</v>
      </c>
      <c r="R204" s="575" t="s">
        <v>825</v>
      </c>
    </row>
    <row r="205" spans="1:18" ht="15.95" customHeight="1">
      <c r="A205" s="607" t="s">
        <v>607</v>
      </c>
      <c r="B205" s="608">
        <v>2317793.1639999999</v>
      </c>
      <c r="C205" s="608">
        <v>430323.77600000001</v>
      </c>
      <c r="D205" s="609">
        <v>29.4</v>
      </c>
      <c r="E205" s="582" t="s">
        <v>721</v>
      </c>
      <c r="F205" s="654">
        <v>-6.9</v>
      </c>
      <c r="G205" s="610">
        <f t="shared" si="14"/>
        <v>-5.9</v>
      </c>
      <c r="H205" s="609"/>
      <c r="I205" s="609"/>
      <c r="J205" s="611" t="str">
        <f t="shared" si="15"/>
        <v/>
      </c>
      <c r="K205" s="611">
        <f t="shared" si="12"/>
        <v>0</v>
      </c>
      <c r="L205" s="611">
        <f t="shared" si="13"/>
        <v>0</v>
      </c>
      <c r="M205" s="611">
        <v>800</v>
      </c>
      <c r="N205" s="617">
        <v>18</v>
      </c>
      <c r="O205" s="617">
        <v>12</v>
      </c>
      <c r="P205" s="619" t="s">
        <v>756</v>
      </c>
      <c r="Q205" s="611">
        <f>VLOOKUP(P205,'Dia chat'!$E:$AE,7,0)</f>
        <v>-16.66</v>
      </c>
      <c r="R205" s="575" t="s">
        <v>825</v>
      </c>
    </row>
    <row r="206" spans="1:18" ht="15.95" customHeight="1">
      <c r="A206" s="607" t="s">
        <v>612</v>
      </c>
      <c r="B206" s="608">
        <v>2317793.5729999999</v>
      </c>
      <c r="C206" s="608">
        <v>430332.766</v>
      </c>
      <c r="D206" s="609">
        <v>26</v>
      </c>
      <c r="E206" s="582" t="s">
        <v>721</v>
      </c>
      <c r="F206" s="654">
        <v>-6.9</v>
      </c>
      <c r="G206" s="610">
        <f t="shared" si="14"/>
        <v>-5.9</v>
      </c>
      <c r="H206" s="609" t="s">
        <v>188</v>
      </c>
      <c r="I206" s="609"/>
      <c r="J206" s="611" t="str">
        <f t="shared" si="15"/>
        <v>SA</v>
      </c>
      <c r="K206" s="611">
        <f t="shared" si="12"/>
        <v>3</v>
      </c>
      <c r="L206" s="611">
        <f t="shared" si="13"/>
        <v>0</v>
      </c>
      <c r="M206" s="611">
        <v>800</v>
      </c>
      <c r="N206" s="617">
        <v>18</v>
      </c>
      <c r="O206" s="617">
        <v>12</v>
      </c>
      <c r="P206" s="619" t="s">
        <v>756</v>
      </c>
      <c r="Q206" s="611">
        <f>VLOOKUP(P206,'Dia chat'!$E:$AE,7,0)</f>
        <v>-16.66</v>
      </c>
      <c r="R206" s="575" t="s">
        <v>825</v>
      </c>
    </row>
    <row r="207" spans="1:18" ht="15.95" customHeight="1">
      <c r="A207" s="607" t="s">
        <v>617</v>
      </c>
      <c r="B207" s="608">
        <v>2317794.057</v>
      </c>
      <c r="C207" s="608">
        <v>430343.40500000003</v>
      </c>
      <c r="D207" s="609">
        <v>22.7</v>
      </c>
      <c r="E207" s="582" t="s">
        <v>721</v>
      </c>
      <c r="F207" s="654">
        <v>-6.9</v>
      </c>
      <c r="G207" s="610">
        <f t="shared" si="14"/>
        <v>-5.9</v>
      </c>
      <c r="H207" s="609"/>
      <c r="I207" s="609"/>
      <c r="J207" s="611" t="str">
        <f t="shared" si="15"/>
        <v/>
      </c>
      <c r="K207" s="611">
        <f t="shared" si="12"/>
        <v>0</v>
      </c>
      <c r="L207" s="611">
        <f t="shared" si="13"/>
        <v>0</v>
      </c>
      <c r="M207" s="611">
        <v>800</v>
      </c>
      <c r="N207" s="617">
        <v>18</v>
      </c>
      <c r="O207" s="617">
        <v>12</v>
      </c>
      <c r="P207" s="619" t="s">
        <v>756</v>
      </c>
      <c r="Q207" s="611">
        <f>VLOOKUP(P207,'Dia chat'!$E:$AE,7,0)</f>
        <v>-16.66</v>
      </c>
      <c r="R207" s="575" t="s">
        <v>825</v>
      </c>
    </row>
    <row r="208" spans="1:18" ht="15.95" customHeight="1">
      <c r="A208" s="607" t="s">
        <v>622</v>
      </c>
      <c r="B208" s="608">
        <v>2317794.4819999998</v>
      </c>
      <c r="C208" s="608">
        <v>430352.74599999998</v>
      </c>
      <c r="D208" s="609">
        <v>23.2</v>
      </c>
      <c r="E208" s="582" t="s">
        <v>721</v>
      </c>
      <c r="F208" s="654">
        <v>-6.9</v>
      </c>
      <c r="G208" s="610">
        <f t="shared" si="14"/>
        <v>-5.9</v>
      </c>
      <c r="H208" s="609"/>
      <c r="I208" s="609"/>
      <c r="J208" s="611" t="str">
        <f t="shared" si="15"/>
        <v/>
      </c>
      <c r="K208" s="611">
        <f t="shared" si="12"/>
        <v>0</v>
      </c>
      <c r="L208" s="611">
        <f t="shared" si="13"/>
        <v>0</v>
      </c>
      <c r="M208" s="611">
        <v>800</v>
      </c>
      <c r="N208" s="617">
        <v>18</v>
      </c>
      <c r="O208" s="617">
        <v>12</v>
      </c>
      <c r="P208" s="619" t="s">
        <v>756</v>
      </c>
      <c r="Q208" s="611">
        <f>VLOOKUP(P208,'Dia chat'!$E:$AE,7,0)</f>
        <v>-16.66</v>
      </c>
      <c r="R208" s="575" t="s">
        <v>825</v>
      </c>
    </row>
    <row r="209" spans="1:18" ht="15.95" customHeight="1">
      <c r="A209" s="607" t="s">
        <v>627</v>
      </c>
      <c r="B209" s="608">
        <v>2317794.8879999998</v>
      </c>
      <c r="C209" s="608">
        <v>430361.68599999999</v>
      </c>
      <c r="D209" s="609">
        <v>26</v>
      </c>
      <c r="E209" s="582" t="s">
        <v>720</v>
      </c>
      <c r="F209" s="654">
        <v>-6.9</v>
      </c>
      <c r="G209" s="610">
        <f t="shared" si="14"/>
        <v>-5.9</v>
      </c>
      <c r="H209" s="609"/>
      <c r="I209" s="609"/>
      <c r="J209" s="611" t="str">
        <f t="shared" si="15"/>
        <v/>
      </c>
      <c r="K209" s="611">
        <f t="shared" si="12"/>
        <v>0</v>
      </c>
      <c r="L209" s="611">
        <f t="shared" si="13"/>
        <v>0</v>
      </c>
      <c r="M209" s="611">
        <v>800</v>
      </c>
      <c r="N209" s="617">
        <v>18</v>
      </c>
      <c r="O209" s="617">
        <v>12</v>
      </c>
      <c r="P209" s="619" t="s">
        <v>756</v>
      </c>
      <c r="Q209" s="611">
        <f>VLOOKUP(P209,'Dia chat'!$E:$AE,7,0)</f>
        <v>-16.66</v>
      </c>
      <c r="R209" s="575" t="s">
        <v>825</v>
      </c>
    </row>
    <row r="210" spans="1:18" ht="15.95" customHeight="1">
      <c r="A210" s="607" t="s">
        <v>631</v>
      </c>
      <c r="B210" s="608">
        <v>2317795.2990000001</v>
      </c>
      <c r="C210" s="608">
        <v>430370.72700000001</v>
      </c>
      <c r="D210" s="609">
        <v>31.8</v>
      </c>
      <c r="E210" s="582" t="s">
        <v>719</v>
      </c>
      <c r="F210" s="654">
        <v>-5.9</v>
      </c>
      <c r="G210" s="610">
        <f t="shared" si="14"/>
        <v>-4.9000000000000004</v>
      </c>
      <c r="H210" s="609" t="s">
        <v>188</v>
      </c>
      <c r="I210" s="609"/>
      <c r="J210" s="611" t="str">
        <f t="shared" si="15"/>
        <v>SA</v>
      </c>
      <c r="K210" s="611">
        <f t="shared" si="12"/>
        <v>3</v>
      </c>
      <c r="L210" s="611">
        <f t="shared" si="13"/>
        <v>0</v>
      </c>
      <c r="M210" s="611">
        <v>800</v>
      </c>
      <c r="N210" s="617">
        <v>18</v>
      </c>
      <c r="O210" s="617">
        <v>12</v>
      </c>
      <c r="P210" s="619" t="s">
        <v>756</v>
      </c>
      <c r="Q210" s="611">
        <f>VLOOKUP(P210,'Dia chat'!$E:$AE,7,0)</f>
        <v>-16.66</v>
      </c>
      <c r="R210" s="575" t="s">
        <v>825</v>
      </c>
    </row>
    <row r="211" spans="1:18" ht="15.95" customHeight="1">
      <c r="A211" s="607" t="s">
        <v>636</v>
      </c>
      <c r="B211" s="608">
        <v>2317795.7080000001</v>
      </c>
      <c r="C211" s="608">
        <v>430379.71799999999</v>
      </c>
      <c r="D211" s="609">
        <v>26.9</v>
      </c>
      <c r="E211" s="582" t="s">
        <v>719</v>
      </c>
      <c r="F211" s="654">
        <v>-5.9</v>
      </c>
      <c r="G211" s="610">
        <f t="shared" si="14"/>
        <v>-4.9000000000000004</v>
      </c>
      <c r="H211" s="609"/>
      <c r="I211" s="609"/>
      <c r="J211" s="611" t="str">
        <f t="shared" si="15"/>
        <v/>
      </c>
      <c r="K211" s="611">
        <f t="shared" si="12"/>
        <v>0</v>
      </c>
      <c r="L211" s="611">
        <f t="shared" si="13"/>
        <v>0</v>
      </c>
      <c r="M211" s="611">
        <v>800</v>
      </c>
      <c r="N211" s="617">
        <v>18</v>
      </c>
      <c r="O211" s="617">
        <v>12</v>
      </c>
      <c r="P211" s="619" t="s">
        <v>756</v>
      </c>
      <c r="Q211" s="611">
        <f>VLOOKUP(P211,'Dia chat'!$E:$AE,7,0)</f>
        <v>-16.66</v>
      </c>
      <c r="R211" s="575" t="s">
        <v>825</v>
      </c>
    </row>
    <row r="212" spans="1:18" ht="15.95" customHeight="1">
      <c r="A212" s="607" t="s">
        <v>641</v>
      </c>
      <c r="B212" s="608">
        <v>2317796.1120000002</v>
      </c>
      <c r="C212" s="608">
        <v>430388.61900000001</v>
      </c>
      <c r="D212" s="609">
        <v>26.9</v>
      </c>
      <c r="E212" s="582" t="s">
        <v>719</v>
      </c>
      <c r="F212" s="654">
        <v>-5.9</v>
      </c>
      <c r="G212" s="610">
        <f t="shared" si="14"/>
        <v>-4.9000000000000004</v>
      </c>
      <c r="H212" s="609"/>
      <c r="I212" s="609" t="s">
        <v>188</v>
      </c>
      <c r="J212" s="611" t="str">
        <f t="shared" si="15"/>
        <v>L</v>
      </c>
      <c r="K212" s="611">
        <f t="shared" si="12"/>
        <v>2</v>
      </c>
      <c r="L212" s="611">
        <f t="shared" si="13"/>
        <v>1</v>
      </c>
      <c r="M212" s="611">
        <v>800</v>
      </c>
      <c r="N212" s="617">
        <v>18</v>
      </c>
      <c r="O212" s="617">
        <v>12</v>
      </c>
      <c r="P212" s="619" t="s">
        <v>756</v>
      </c>
      <c r="Q212" s="611">
        <f>VLOOKUP(P212,'Dia chat'!$E:$AE,7,0)</f>
        <v>-16.66</v>
      </c>
      <c r="R212" s="575" t="s">
        <v>825</v>
      </c>
    </row>
    <row r="213" spans="1:18" ht="15.95" customHeight="1">
      <c r="A213" s="607" t="s">
        <v>646</v>
      </c>
      <c r="B213" s="608">
        <v>2317796.5249999999</v>
      </c>
      <c r="C213" s="608">
        <v>430397.69900000002</v>
      </c>
      <c r="D213" s="609">
        <v>24.5</v>
      </c>
      <c r="E213" s="582" t="s">
        <v>719</v>
      </c>
      <c r="F213" s="654">
        <v>-5.9</v>
      </c>
      <c r="G213" s="610">
        <f t="shared" si="14"/>
        <v>-4.9000000000000004</v>
      </c>
      <c r="H213" s="609"/>
      <c r="I213" s="609"/>
      <c r="J213" s="611" t="str">
        <f t="shared" si="15"/>
        <v/>
      </c>
      <c r="K213" s="611">
        <f t="shared" si="12"/>
        <v>0</v>
      </c>
      <c r="L213" s="611">
        <f t="shared" si="13"/>
        <v>0</v>
      </c>
      <c r="M213" s="611">
        <v>800</v>
      </c>
      <c r="N213" s="617">
        <v>18</v>
      </c>
      <c r="O213" s="617">
        <v>12</v>
      </c>
      <c r="P213" s="619" t="s">
        <v>756</v>
      </c>
      <c r="Q213" s="611">
        <f>VLOOKUP(P213,'Dia chat'!$E:$AE,7,0)</f>
        <v>-16.66</v>
      </c>
      <c r="R213" s="575" t="s">
        <v>825</v>
      </c>
    </row>
    <row r="214" spans="1:18" ht="15.95" customHeight="1">
      <c r="A214" s="607" t="s">
        <v>651</v>
      </c>
      <c r="B214" s="608">
        <v>2317796.9339999999</v>
      </c>
      <c r="C214" s="608">
        <v>430406.69</v>
      </c>
      <c r="D214" s="609">
        <v>25.6</v>
      </c>
      <c r="E214" s="582" t="s">
        <v>719</v>
      </c>
      <c r="F214" s="654">
        <v>-5.9</v>
      </c>
      <c r="G214" s="610">
        <f t="shared" si="14"/>
        <v>-4.9000000000000004</v>
      </c>
      <c r="H214" s="609" t="s">
        <v>188</v>
      </c>
      <c r="I214" s="959"/>
      <c r="J214" s="960" t="str">
        <f t="shared" si="15"/>
        <v>SA</v>
      </c>
      <c r="K214" s="960">
        <f t="shared" si="12"/>
        <v>3</v>
      </c>
      <c r="L214" s="960">
        <f t="shared" si="13"/>
        <v>0</v>
      </c>
      <c r="M214" s="611">
        <v>800</v>
      </c>
      <c r="N214" s="617">
        <v>18</v>
      </c>
      <c r="O214" s="617">
        <v>12</v>
      </c>
      <c r="P214" s="619" t="s">
        <v>756</v>
      </c>
      <c r="Q214" s="611">
        <f>VLOOKUP(P214,'Dia chat'!$E:$AE,7,0)</f>
        <v>-16.66</v>
      </c>
      <c r="R214" s="575" t="s">
        <v>825</v>
      </c>
    </row>
    <row r="215" spans="1:18" ht="15.95" customHeight="1">
      <c r="A215" s="967" t="s">
        <v>1112</v>
      </c>
      <c r="B215" s="968">
        <v>2317782.8459999999</v>
      </c>
      <c r="C215" s="968">
        <v>430300.92099999997</v>
      </c>
      <c r="D215" s="963">
        <v>29.9</v>
      </c>
      <c r="E215" s="967"/>
      <c r="F215" s="969">
        <v>-6.9</v>
      </c>
      <c r="G215" s="970">
        <f t="shared" si="14"/>
        <v>-5.9</v>
      </c>
      <c r="H215" s="963"/>
      <c r="I215" s="959"/>
      <c r="J215" s="960" t="str">
        <f t="shared" si="15"/>
        <v/>
      </c>
      <c r="K215" s="960">
        <f t="shared" si="12"/>
        <v>0</v>
      </c>
      <c r="L215" s="960">
        <f t="shared" si="13"/>
        <v>0</v>
      </c>
      <c r="M215" s="964">
        <v>1200</v>
      </c>
      <c r="N215" s="965">
        <v>20</v>
      </c>
      <c r="O215" s="965">
        <v>18</v>
      </c>
      <c r="P215" s="966" t="s">
        <v>756</v>
      </c>
      <c r="Q215" s="964"/>
      <c r="R215" s="575" t="s">
        <v>1113</v>
      </c>
    </row>
    <row r="216" spans="1:18" ht="15.95" customHeight="1">
      <c r="A216" s="607" t="s">
        <v>1132</v>
      </c>
      <c r="B216" s="608">
        <v>2317794.9530000002</v>
      </c>
      <c r="C216" s="608">
        <v>430375.24699999997</v>
      </c>
      <c r="D216" s="609">
        <v>29.35</v>
      </c>
      <c r="E216" s="607"/>
      <c r="F216" s="961">
        <v>-5.9</v>
      </c>
      <c r="G216" s="610">
        <f t="shared" si="14"/>
        <v>-4.9000000000000004</v>
      </c>
      <c r="H216" s="609"/>
      <c r="I216" s="959"/>
      <c r="J216" s="960" t="str">
        <f t="shared" si="15"/>
        <v/>
      </c>
      <c r="K216" s="960">
        <f t="shared" si="12"/>
        <v>0</v>
      </c>
      <c r="L216" s="960">
        <f t="shared" si="13"/>
        <v>0</v>
      </c>
      <c r="M216" s="962">
        <v>800</v>
      </c>
      <c r="N216" s="608"/>
      <c r="O216" s="608"/>
      <c r="P216" s="966" t="s">
        <v>756</v>
      </c>
      <c r="Q216" s="607"/>
    </row>
    <row r="217" spans="1:18" ht="15.95" customHeight="1">
      <c r="A217" s="607" t="s">
        <v>1131</v>
      </c>
      <c r="B217" s="608">
        <v>2317745.682</v>
      </c>
      <c r="C217" s="608">
        <v>430251.685</v>
      </c>
      <c r="D217" s="609">
        <v>29</v>
      </c>
      <c r="E217" s="607"/>
      <c r="F217" s="961">
        <v>-6.9</v>
      </c>
      <c r="G217" s="610">
        <f t="shared" si="14"/>
        <v>-5.9</v>
      </c>
      <c r="H217" s="609"/>
      <c r="I217" s="959"/>
      <c r="J217" s="960" t="str">
        <f t="shared" si="15"/>
        <v/>
      </c>
      <c r="K217" s="960">
        <f t="shared" si="12"/>
        <v>0</v>
      </c>
      <c r="L217" s="960">
        <f t="shared" si="13"/>
        <v>0</v>
      </c>
      <c r="M217" s="962">
        <v>800</v>
      </c>
      <c r="N217" s="617">
        <v>18</v>
      </c>
      <c r="O217" s="617">
        <v>12</v>
      </c>
      <c r="P217" s="966" t="s">
        <v>756</v>
      </c>
      <c r="Q217" s="607"/>
    </row>
    <row r="218" spans="1:18" ht="15.95" customHeight="1">
      <c r="A218" s="607" t="s">
        <v>1129</v>
      </c>
      <c r="B218" s="608">
        <v>2317794.6809999999</v>
      </c>
      <c r="C218" s="608">
        <v>430357.147</v>
      </c>
      <c r="D218" s="609">
        <v>25.7</v>
      </c>
      <c r="E218" s="607"/>
      <c r="F218" s="961">
        <v>-6.9</v>
      </c>
      <c r="G218" s="610">
        <f t="shared" si="14"/>
        <v>-5.9</v>
      </c>
      <c r="H218" s="609"/>
      <c r="I218" s="609"/>
      <c r="J218" s="611" t="str">
        <f t="shared" si="15"/>
        <v/>
      </c>
      <c r="K218" s="611">
        <f t="shared" si="12"/>
        <v>0</v>
      </c>
      <c r="L218" s="611">
        <f t="shared" si="13"/>
        <v>0</v>
      </c>
      <c r="M218" s="962">
        <v>800</v>
      </c>
      <c r="N218" s="617">
        <v>18</v>
      </c>
      <c r="O218" s="617">
        <v>12</v>
      </c>
      <c r="P218" s="966" t="s">
        <v>756</v>
      </c>
      <c r="Q218" s="607"/>
    </row>
  </sheetData>
  <autoFilter ref="A2:AC2"/>
  <mergeCells count="1">
    <mergeCell ref="Y39:AB39"/>
  </mergeCells>
  <phoneticPr fontId="105" type="noConversion"/>
  <pageMargins left="0.75" right="0.75" top="1" bottom="1" header="0.5" footer="0.5"/>
  <pageSetup paperSize="9" orientation="portrait"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5" workbookViewId="0">
      <selection activeCell="D32" sqref="D32"/>
    </sheetView>
  </sheetViews>
  <sheetFormatPr defaultColWidth="12.5703125" defaultRowHeight="16.5"/>
  <cols>
    <col min="1" max="1" width="4.5703125" style="178" bestFit="1" customWidth="1"/>
    <col min="2" max="2" width="25.5703125" style="178" customWidth="1"/>
    <col min="3" max="3" width="72.140625" style="178" customWidth="1"/>
    <col min="4" max="4" width="46.85546875" style="178" customWidth="1"/>
    <col min="5" max="5" width="22.5703125" style="178" customWidth="1"/>
    <col min="6" max="16384" width="12.5703125" style="178"/>
  </cols>
  <sheetData>
    <row r="1" spans="1:5">
      <c r="A1" s="177" t="s">
        <v>318</v>
      </c>
      <c r="B1" s="177"/>
      <c r="C1" s="177"/>
      <c r="D1" s="177"/>
    </row>
    <row r="3" spans="1:5">
      <c r="A3" s="552" t="s">
        <v>191</v>
      </c>
      <c r="B3" s="552" t="s">
        <v>319</v>
      </c>
      <c r="C3" s="552" t="s">
        <v>320</v>
      </c>
      <c r="D3" s="552" t="s">
        <v>321</v>
      </c>
    </row>
    <row r="4" spans="1:5">
      <c r="A4" s="179">
        <v>1</v>
      </c>
      <c r="B4" s="179" t="s">
        <v>322</v>
      </c>
      <c r="C4" s="180" t="s">
        <v>478</v>
      </c>
      <c r="D4" s="179"/>
      <c r="E4" s="189" t="s">
        <v>872</v>
      </c>
    </row>
    <row r="5" spans="1:5">
      <c r="A5" s="181">
        <v>2</v>
      </c>
      <c r="B5" s="181" t="s">
        <v>849</v>
      </c>
      <c r="C5" s="182" t="s">
        <v>452</v>
      </c>
      <c r="D5" s="182"/>
      <c r="E5" s="189"/>
    </row>
    <row r="6" spans="1:5">
      <c r="A6" s="181">
        <v>3</v>
      </c>
      <c r="B6" s="181" t="s">
        <v>323</v>
      </c>
      <c r="C6" s="182" t="s">
        <v>453</v>
      </c>
      <c r="D6" s="182"/>
      <c r="E6" s="189" t="s">
        <v>454</v>
      </c>
    </row>
    <row r="7" spans="1:5">
      <c r="A7" s="183">
        <v>4</v>
      </c>
      <c r="B7" s="184" t="s">
        <v>324</v>
      </c>
      <c r="C7" s="185" t="s">
        <v>455</v>
      </c>
      <c r="D7" s="185" t="s">
        <v>456</v>
      </c>
    </row>
    <row r="8" spans="1:5">
      <c r="A8" s="524"/>
      <c r="B8" s="525" t="s">
        <v>325</v>
      </c>
      <c r="C8" s="182" t="s">
        <v>873</v>
      </c>
      <c r="D8" s="182" t="s">
        <v>141</v>
      </c>
    </row>
    <row r="9" spans="1:5">
      <c r="A9" s="181"/>
      <c r="B9" s="188" t="s">
        <v>325</v>
      </c>
      <c r="C9" s="182" t="s">
        <v>874</v>
      </c>
      <c r="D9" s="182" t="s">
        <v>327</v>
      </c>
      <c r="E9" s="178" t="s">
        <v>326</v>
      </c>
    </row>
    <row r="10" spans="1:5">
      <c r="A10" s="181"/>
      <c r="B10" s="188" t="s">
        <v>325</v>
      </c>
      <c r="C10" s="182" t="s">
        <v>457</v>
      </c>
      <c r="D10" s="182" t="s">
        <v>327</v>
      </c>
    </row>
    <row r="11" spans="1:5">
      <c r="A11" s="183">
        <v>5</v>
      </c>
      <c r="B11" s="184" t="s">
        <v>848</v>
      </c>
      <c r="C11" s="185" t="s">
        <v>852</v>
      </c>
      <c r="D11" s="185" t="s">
        <v>851</v>
      </c>
    </row>
    <row r="12" spans="1:5">
      <c r="A12" s="524"/>
      <c r="B12" s="525" t="s">
        <v>325</v>
      </c>
      <c r="C12" s="182" t="s">
        <v>436</v>
      </c>
      <c r="D12" s="182" t="s">
        <v>436</v>
      </c>
    </row>
    <row r="13" spans="1:5">
      <c r="A13" s="181"/>
      <c r="B13" s="188" t="s">
        <v>325</v>
      </c>
      <c r="C13" s="182" t="s">
        <v>436</v>
      </c>
      <c r="D13" s="182" t="s">
        <v>436</v>
      </c>
      <c r="E13" s="178" t="s">
        <v>326</v>
      </c>
    </row>
    <row r="14" spans="1:5">
      <c r="A14" s="181"/>
      <c r="B14" s="188" t="s">
        <v>325</v>
      </c>
      <c r="C14" s="182" t="s">
        <v>436</v>
      </c>
      <c r="D14" s="182" t="s">
        <v>436</v>
      </c>
    </row>
    <row r="15" spans="1:5">
      <c r="A15" s="183">
        <v>6</v>
      </c>
      <c r="B15" s="184" t="s">
        <v>328</v>
      </c>
      <c r="C15" s="182" t="s">
        <v>458</v>
      </c>
      <c r="D15" s="185" t="s">
        <v>459</v>
      </c>
    </row>
    <row r="16" spans="1:5">
      <c r="A16" s="524"/>
      <c r="B16" s="525" t="s">
        <v>325</v>
      </c>
      <c r="C16" s="182" t="s">
        <v>436</v>
      </c>
      <c r="D16" s="182" t="s">
        <v>436</v>
      </c>
    </row>
    <row r="17" spans="1:6">
      <c r="A17" s="181"/>
      <c r="B17" s="188" t="s">
        <v>325</v>
      </c>
      <c r="C17" s="182" t="s">
        <v>329</v>
      </c>
      <c r="D17" s="182" t="s">
        <v>330</v>
      </c>
      <c r="E17" s="178" t="s">
        <v>326</v>
      </c>
    </row>
    <row r="18" spans="1:6">
      <c r="A18" s="181"/>
      <c r="B18" s="188" t="s">
        <v>325</v>
      </c>
      <c r="C18" s="182" t="s">
        <v>875</v>
      </c>
      <c r="D18" s="182" t="s">
        <v>876</v>
      </c>
    </row>
    <row r="19" spans="1:6">
      <c r="A19" s="183">
        <v>6</v>
      </c>
      <c r="B19" s="184" t="s">
        <v>460</v>
      </c>
      <c r="C19" s="182" t="s">
        <v>163</v>
      </c>
      <c r="D19" s="185" t="s">
        <v>163</v>
      </c>
    </row>
    <row r="20" spans="1:6">
      <c r="A20" s="181"/>
      <c r="B20" s="188" t="s">
        <v>325</v>
      </c>
      <c r="C20" s="182" t="s">
        <v>472</v>
      </c>
      <c r="D20" s="182" t="s">
        <v>436</v>
      </c>
    </row>
    <row r="21" spans="1:6">
      <c r="A21" s="181"/>
      <c r="B21" s="188" t="s">
        <v>325</v>
      </c>
      <c r="C21" s="182" t="s">
        <v>472</v>
      </c>
      <c r="D21" s="182" t="s">
        <v>436</v>
      </c>
      <c r="E21" s="178" t="s">
        <v>326</v>
      </c>
    </row>
    <row r="22" spans="1:6">
      <c r="A22" s="181"/>
      <c r="B22" s="188"/>
      <c r="C22" s="182" t="s">
        <v>877</v>
      </c>
      <c r="D22" s="182" t="s">
        <v>125</v>
      </c>
    </row>
    <row r="23" spans="1:6">
      <c r="A23" s="181"/>
      <c r="B23" s="181" t="s">
        <v>325</v>
      </c>
      <c r="C23" s="182" t="s">
        <v>461</v>
      </c>
      <c r="D23" s="182" t="s">
        <v>331</v>
      </c>
    </row>
    <row r="24" spans="1:6">
      <c r="A24" s="183">
        <v>7</v>
      </c>
      <c r="B24" s="184" t="s">
        <v>142</v>
      </c>
      <c r="C24" s="185" t="s">
        <v>462</v>
      </c>
      <c r="D24" s="185"/>
    </row>
    <row r="25" spans="1:6">
      <c r="A25" s="524"/>
      <c r="B25" s="525" t="s">
        <v>325</v>
      </c>
      <c r="C25" s="182" t="s">
        <v>143</v>
      </c>
      <c r="D25" s="182" t="s">
        <v>143</v>
      </c>
    </row>
    <row r="26" spans="1:6">
      <c r="A26" s="181"/>
      <c r="B26" s="188" t="s">
        <v>325</v>
      </c>
      <c r="C26" s="182" t="s">
        <v>143</v>
      </c>
      <c r="D26" s="182" t="s">
        <v>144</v>
      </c>
      <c r="E26" s="178" t="s">
        <v>326</v>
      </c>
    </row>
    <row r="27" spans="1:6">
      <c r="A27" s="181"/>
      <c r="B27" s="188" t="s">
        <v>325</v>
      </c>
      <c r="C27" s="182" t="s">
        <v>143</v>
      </c>
      <c r="D27" s="182" t="s">
        <v>145</v>
      </c>
    </row>
    <row r="28" spans="1:6">
      <c r="A28" s="183">
        <v>8</v>
      </c>
      <c r="B28" s="184" t="s">
        <v>100</v>
      </c>
      <c r="C28" s="185"/>
      <c r="D28" s="185"/>
    </row>
    <row r="29" spans="1:6">
      <c r="A29" s="524"/>
      <c r="B29" s="525" t="s">
        <v>146</v>
      </c>
      <c r="C29" s="526"/>
      <c r="D29" s="182"/>
    </row>
    <row r="30" spans="1:6">
      <c r="A30" s="181"/>
      <c r="B30" s="188" t="s">
        <v>325</v>
      </c>
      <c r="C30" s="182"/>
      <c r="D30" s="182"/>
      <c r="E30" s="178" t="s">
        <v>326</v>
      </c>
    </row>
    <row r="31" spans="1:6">
      <c r="A31" s="181"/>
      <c r="B31" s="527" t="s">
        <v>148</v>
      </c>
      <c r="C31" s="182" t="str">
        <f>'2. NK'!Q26</f>
        <v>Công ty TNHH kinh doanh và phát triển Vượng Phát</v>
      </c>
      <c r="D31" s="182" t="str">
        <f>C31</f>
        <v>Công ty TNHH kinh doanh và phát triển Vượng Phát</v>
      </c>
      <c r="F31" s="182" t="s">
        <v>149</v>
      </c>
    </row>
    <row r="32" spans="1:6">
      <c r="A32" s="181"/>
      <c r="B32" s="188" t="s">
        <v>325</v>
      </c>
      <c r="C32" s="182" t="s">
        <v>143</v>
      </c>
      <c r="D32" s="182" t="s">
        <v>143</v>
      </c>
      <c r="E32" s="178" t="s">
        <v>326</v>
      </c>
    </row>
    <row r="33" spans="1:5">
      <c r="A33" s="181"/>
      <c r="B33" s="527" t="s">
        <v>150</v>
      </c>
      <c r="C33" s="182"/>
      <c r="D33" s="182"/>
    </row>
    <row r="34" spans="1:5">
      <c r="A34" s="181"/>
      <c r="B34" s="188" t="s">
        <v>325</v>
      </c>
      <c r="C34" s="182" t="s">
        <v>437</v>
      </c>
      <c r="D34" s="182" t="s">
        <v>147</v>
      </c>
      <c r="E34" s="178" t="s">
        <v>326</v>
      </c>
    </row>
  </sheetData>
  <phoneticPr fontId="30" type="noConversion"/>
  <pageMargins left="0.75" right="0.75" top="1" bottom="1"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X600"/>
  <sheetViews>
    <sheetView view="pageBreakPreview" zoomScaleNormal="100" zoomScaleSheetLayoutView="100" workbookViewId="0">
      <pane ySplit="12" topLeftCell="A139" activePane="bottomLeft" state="frozen"/>
      <selection pane="bottomLeft" activeCell="D224" sqref="D224"/>
    </sheetView>
  </sheetViews>
  <sheetFormatPr defaultRowHeight="14.25"/>
  <cols>
    <col min="1" max="1" width="9.28515625" style="357" bestFit="1" customWidth="1"/>
    <col min="2" max="2" width="9.140625" style="1146"/>
    <col min="3" max="3" width="11.85546875" style="1147" customWidth="1"/>
    <col min="4" max="4" width="9.28515625" style="1147" bestFit="1" customWidth="1"/>
    <col min="5" max="5" width="13" style="1147" customWidth="1"/>
    <col min="6" max="7" width="9.28515625" style="1147" bestFit="1" customWidth="1"/>
    <col min="8" max="8" width="12.140625" style="1149" customWidth="1"/>
    <col min="9" max="9" width="11.42578125" style="1147" bestFit="1" customWidth="1"/>
    <col min="10" max="14" width="9.28515625" style="1147" bestFit="1" customWidth="1"/>
    <col min="15" max="15" width="13" style="1150" customWidth="1"/>
    <col min="16" max="20" width="9.28515625" style="1147" bestFit="1" customWidth="1"/>
    <col min="21" max="21" width="12.7109375" style="1147" customWidth="1"/>
    <col min="22" max="22" width="9.28515625" style="1147" bestFit="1" customWidth="1"/>
    <col min="23" max="23" width="10.28515625" style="1147" bestFit="1" customWidth="1"/>
    <col min="24" max="24" width="12.140625" style="1147" customWidth="1"/>
    <col min="25" max="27" width="9.28515625" style="1147" bestFit="1" customWidth="1"/>
    <col min="28" max="28" width="11.85546875" style="1147" customWidth="1"/>
    <col min="29" max="31" width="9.28515625" style="1147" bestFit="1" customWidth="1"/>
    <col min="32" max="32" width="12.28515625" style="1147" customWidth="1"/>
    <col min="33" max="33" width="13.85546875" style="1147" customWidth="1"/>
    <col min="34" max="34" width="11.140625" style="1147" customWidth="1"/>
    <col min="35" max="35" width="13" style="1147" customWidth="1"/>
    <col min="36" max="37" width="9.28515625" style="1147" bestFit="1" customWidth="1"/>
    <col min="38" max="38" width="13.42578125" style="1147" customWidth="1"/>
    <col min="39" max="42" width="9.28515625" style="1147" bestFit="1" customWidth="1"/>
    <col min="43" max="43" width="15.140625" style="1147" customWidth="1"/>
    <col min="44" max="44" width="12.85546875" style="1147" customWidth="1"/>
    <col min="45" max="45" width="13.7109375" style="1147" customWidth="1"/>
    <col min="46" max="46" width="12.42578125" style="1147" customWidth="1"/>
    <col min="47" max="47" width="10.7109375" style="1147" customWidth="1"/>
    <col min="48" max="48" width="13.5703125" style="1147" customWidth="1"/>
    <col min="49" max="49" width="11" style="1147" customWidth="1"/>
    <col min="50" max="50" width="13" style="1147" customWidth="1"/>
    <col min="51" max="51" width="10.85546875" style="1147" customWidth="1"/>
    <col min="52" max="62" width="11.7109375" style="1147" customWidth="1"/>
    <col min="63" max="63" width="9.140625" style="334"/>
    <col min="64" max="64" width="10.140625" style="334" bestFit="1" customWidth="1"/>
    <col min="65" max="65" width="9.28515625" style="334" bestFit="1" customWidth="1"/>
    <col min="66" max="66" width="9.140625" style="334"/>
    <col min="67" max="67" width="10.28515625" style="334" bestFit="1" customWidth="1"/>
    <col min="68" max="72" width="9.140625" style="334"/>
    <col min="73" max="73" width="10.28515625" style="334" bestFit="1" customWidth="1"/>
    <col min="74" max="75" width="9.140625" style="334"/>
    <col min="76" max="76" width="10.28515625" style="334" bestFit="1" customWidth="1"/>
    <col min="77" max="16384" width="9.140625" style="334"/>
  </cols>
  <sheetData>
    <row r="1" spans="1:64" ht="20.25" hidden="1" customHeight="1">
      <c r="A1" s="1198" t="s">
        <v>1173</v>
      </c>
      <c r="F1" s="1148"/>
    </row>
    <row r="2" spans="1:64" ht="33" hidden="1" customHeight="1">
      <c r="E2" s="1216" t="s">
        <v>1174</v>
      </c>
      <c r="F2" s="1148"/>
    </row>
    <row r="3" spans="1:64" ht="21.75" hidden="1" customHeight="1">
      <c r="A3" s="1198" t="s">
        <v>1175</v>
      </c>
      <c r="B3" s="1228"/>
      <c r="C3" s="175"/>
      <c r="D3" s="175"/>
      <c r="E3" s="175"/>
      <c r="F3" s="1229"/>
      <c r="G3" s="175"/>
      <c r="H3" s="1230" t="s">
        <v>186</v>
      </c>
      <c r="I3" s="175"/>
      <c r="J3" s="175"/>
      <c r="K3" s="175"/>
      <c r="L3" s="175"/>
      <c r="M3" s="175"/>
      <c r="N3" s="1228" t="s">
        <v>820</v>
      </c>
      <c r="O3" s="1231"/>
    </row>
    <row r="4" spans="1:64" ht="15.75" hidden="1">
      <c r="A4" s="1199"/>
      <c r="B4" s="1228"/>
      <c r="C4" s="175"/>
      <c r="D4" s="175"/>
      <c r="E4" s="175"/>
      <c r="F4" s="1229"/>
      <c r="G4" s="175"/>
      <c r="H4" s="1232"/>
      <c r="I4" s="175"/>
      <c r="J4" s="175"/>
      <c r="K4" s="175"/>
      <c r="L4" s="175"/>
      <c r="M4" s="175"/>
      <c r="N4" s="175"/>
      <c r="O4" s="1231"/>
    </row>
    <row r="5" spans="1:64" hidden="1">
      <c r="F5" s="1148"/>
    </row>
    <row r="6" spans="1:64" hidden="1">
      <c r="F6" s="1148"/>
    </row>
    <row r="7" spans="1:64" hidden="1">
      <c r="F7" s="1148"/>
    </row>
    <row r="8" spans="1:64" hidden="1">
      <c r="F8" s="1148"/>
    </row>
    <row r="9" spans="1:64" hidden="1">
      <c r="F9" s="1148"/>
    </row>
    <row r="10" spans="1:64" s="1152" customFormat="1" ht="15.75">
      <c r="A10" s="1345" t="s">
        <v>939</v>
      </c>
      <c r="B10" s="1346" t="s">
        <v>938</v>
      </c>
      <c r="C10" s="1344" t="s">
        <v>950</v>
      </c>
      <c r="D10" s="1344"/>
      <c r="E10" s="1344"/>
      <c r="F10" s="1347" t="s">
        <v>949</v>
      </c>
      <c r="G10" s="1347"/>
      <c r="H10" s="1347"/>
      <c r="I10" s="1347"/>
      <c r="J10" s="1347"/>
      <c r="K10" s="1347"/>
      <c r="L10" s="1347"/>
      <c r="M10" s="1344" t="s">
        <v>948</v>
      </c>
      <c r="N10" s="1344"/>
      <c r="O10" s="1344"/>
      <c r="P10" s="1344"/>
      <c r="Q10" s="1344"/>
      <c r="R10" s="1344"/>
      <c r="S10" s="1344"/>
      <c r="T10" s="1344" t="s">
        <v>947</v>
      </c>
      <c r="U10" s="1344"/>
      <c r="V10" s="1344"/>
      <c r="W10" s="1344" t="s">
        <v>946</v>
      </c>
      <c r="X10" s="1344"/>
      <c r="Y10" s="1344"/>
      <c r="Z10" s="1344" t="s">
        <v>945</v>
      </c>
      <c r="AA10" s="1344"/>
      <c r="AB10" s="1344"/>
      <c r="AC10" s="1344"/>
      <c r="AD10" s="1344" t="s">
        <v>944</v>
      </c>
      <c r="AE10" s="1344"/>
      <c r="AF10" s="1344"/>
      <c r="AG10" s="1344" t="s">
        <v>943</v>
      </c>
      <c r="AH10" s="1344"/>
      <c r="AI10" s="1344"/>
      <c r="AJ10" s="1344" t="s">
        <v>942</v>
      </c>
      <c r="AK10" s="1344"/>
      <c r="AL10" s="1344"/>
      <c r="AM10" s="1344"/>
      <c r="AN10" s="1344"/>
      <c r="AO10" s="1344"/>
      <c r="AP10" s="1344"/>
      <c r="AQ10" s="1344" t="s">
        <v>941</v>
      </c>
      <c r="AR10" s="1344"/>
      <c r="AS10" s="1344"/>
      <c r="AT10" s="1344"/>
      <c r="AU10" s="1344" t="s">
        <v>940</v>
      </c>
      <c r="AV10" s="1344"/>
      <c r="AW10" s="1344"/>
      <c r="AX10" s="1344"/>
      <c r="AY10" s="1344"/>
      <c r="AZ10" s="1344"/>
      <c r="BA10" s="1151"/>
      <c r="BB10" s="1151"/>
      <c r="BC10" s="1151"/>
      <c r="BD10" s="1151"/>
      <c r="BE10" s="1151"/>
      <c r="BF10" s="1151"/>
      <c r="BG10" s="1151"/>
      <c r="BH10" s="1151"/>
      <c r="BI10" s="1151"/>
      <c r="BJ10" s="1151"/>
    </row>
    <row r="11" spans="1:64" s="1158" customFormat="1" ht="25.5">
      <c r="A11" s="1345"/>
      <c r="B11" s="1346"/>
      <c r="C11" s="1153" t="s">
        <v>951</v>
      </c>
      <c r="D11" s="1154" t="s">
        <v>952</v>
      </c>
      <c r="E11" s="1154" t="s">
        <v>954</v>
      </c>
      <c r="F11" s="1153" t="s">
        <v>951</v>
      </c>
      <c r="G11" s="1154" t="s">
        <v>952</v>
      </c>
      <c r="H11" s="1155" t="s">
        <v>954</v>
      </c>
      <c r="I11" s="1154" t="s">
        <v>955</v>
      </c>
      <c r="J11" s="1154" t="s">
        <v>956</v>
      </c>
      <c r="K11" s="1154" t="s">
        <v>957</v>
      </c>
      <c r="L11" s="1154" t="s">
        <v>958</v>
      </c>
      <c r="M11" s="1153" t="s">
        <v>951</v>
      </c>
      <c r="N11" s="1154" t="s">
        <v>952</v>
      </c>
      <c r="O11" s="1154" t="s">
        <v>954</v>
      </c>
      <c r="P11" s="1154" t="s">
        <v>959</v>
      </c>
      <c r="Q11" s="1154" t="s">
        <v>960</v>
      </c>
      <c r="R11" s="1154" t="s">
        <v>961</v>
      </c>
      <c r="S11" s="1154" t="s">
        <v>962</v>
      </c>
      <c r="T11" s="1153" t="s">
        <v>951</v>
      </c>
      <c r="U11" s="1154" t="s">
        <v>954</v>
      </c>
      <c r="V11" s="1154" t="s">
        <v>963</v>
      </c>
      <c r="W11" s="1153" t="s">
        <v>951</v>
      </c>
      <c r="X11" s="1154" t="s">
        <v>953</v>
      </c>
      <c r="Y11" s="1154" t="s">
        <v>963</v>
      </c>
      <c r="Z11" s="1153" t="s">
        <v>951</v>
      </c>
      <c r="AA11" s="1154" t="s">
        <v>952</v>
      </c>
      <c r="AB11" s="1154" t="s">
        <v>954</v>
      </c>
      <c r="AC11" s="1154" t="s">
        <v>963</v>
      </c>
      <c r="AD11" s="1153" t="s">
        <v>951</v>
      </c>
      <c r="AE11" s="1154" t="s">
        <v>952</v>
      </c>
      <c r="AF11" s="1154" t="s">
        <v>954</v>
      </c>
      <c r="AG11" s="1153" t="s">
        <v>951</v>
      </c>
      <c r="AH11" s="1154" t="s">
        <v>952</v>
      </c>
      <c r="AI11" s="1154" t="s">
        <v>954</v>
      </c>
      <c r="AJ11" s="1153" t="s">
        <v>951</v>
      </c>
      <c r="AK11" s="1154" t="s">
        <v>952</v>
      </c>
      <c r="AL11" s="1154" t="s">
        <v>954</v>
      </c>
      <c r="AM11" s="1154" t="s">
        <v>959</v>
      </c>
      <c r="AN11" s="1154" t="s">
        <v>960</v>
      </c>
      <c r="AO11" s="1154" t="s">
        <v>961</v>
      </c>
      <c r="AP11" s="1154" t="s">
        <v>962</v>
      </c>
      <c r="AQ11" s="1153" t="s">
        <v>951</v>
      </c>
      <c r="AR11" s="1154" t="s">
        <v>952</v>
      </c>
      <c r="AS11" s="1154" t="s">
        <v>954</v>
      </c>
      <c r="AT11" s="1154" t="s">
        <v>963</v>
      </c>
      <c r="AU11" s="1153" t="s">
        <v>951</v>
      </c>
      <c r="AV11" s="1154" t="s">
        <v>953</v>
      </c>
      <c r="AW11" s="1154" t="s">
        <v>952</v>
      </c>
      <c r="AX11" s="1154" t="s">
        <v>953</v>
      </c>
      <c r="AY11" s="1156" t="s">
        <v>965</v>
      </c>
      <c r="AZ11" s="1154" t="s">
        <v>964</v>
      </c>
      <c r="BA11" s="1157"/>
      <c r="BB11" s="1157"/>
      <c r="BC11" s="1157"/>
      <c r="BD11" s="1157"/>
      <c r="BE11" s="1157"/>
      <c r="BF11" s="1157"/>
      <c r="BG11" s="1157"/>
      <c r="BH11" s="1157"/>
      <c r="BI11" s="1157"/>
      <c r="BJ11" s="1158" t="s">
        <v>1176</v>
      </c>
    </row>
    <row r="12" spans="1:64" s="1162" customFormat="1">
      <c r="A12" s="1345"/>
      <c r="B12" s="1159">
        <v>1</v>
      </c>
      <c r="C12" s="1159">
        <v>2</v>
      </c>
      <c r="D12" s="1159">
        <v>3</v>
      </c>
      <c r="E12" s="1159">
        <v>4</v>
      </c>
      <c r="F12" s="1159">
        <v>5</v>
      </c>
      <c r="G12" s="1159">
        <v>6</v>
      </c>
      <c r="H12" s="1160">
        <v>7</v>
      </c>
      <c r="I12" s="1159">
        <v>8</v>
      </c>
      <c r="J12" s="1159">
        <v>9</v>
      </c>
      <c r="K12" s="1159">
        <v>10</v>
      </c>
      <c r="L12" s="1159">
        <v>11</v>
      </c>
      <c r="M12" s="1159">
        <v>12</v>
      </c>
      <c r="N12" s="1159">
        <v>13</v>
      </c>
      <c r="O12" s="1159">
        <v>14</v>
      </c>
      <c r="P12" s="1159">
        <v>15</v>
      </c>
      <c r="Q12" s="1159">
        <v>16</v>
      </c>
      <c r="R12" s="1159">
        <v>17</v>
      </c>
      <c r="S12" s="1159">
        <v>18</v>
      </c>
      <c r="T12" s="1159">
        <v>19</v>
      </c>
      <c r="U12" s="1159">
        <v>20</v>
      </c>
      <c r="V12" s="1159">
        <v>21</v>
      </c>
      <c r="W12" s="1159">
        <v>22</v>
      </c>
      <c r="X12" s="1159">
        <v>23</v>
      </c>
      <c r="Y12" s="1159">
        <v>24</v>
      </c>
      <c r="Z12" s="1159">
        <v>25</v>
      </c>
      <c r="AA12" s="1159">
        <v>26</v>
      </c>
      <c r="AB12" s="1159">
        <v>27</v>
      </c>
      <c r="AC12" s="1159">
        <v>28</v>
      </c>
      <c r="AD12" s="1159">
        <v>29</v>
      </c>
      <c r="AE12" s="1159">
        <v>30</v>
      </c>
      <c r="AF12" s="1159">
        <v>31</v>
      </c>
      <c r="AG12" s="1159">
        <v>32</v>
      </c>
      <c r="AH12" s="1159">
        <v>33</v>
      </c>
      <c r="AI12" s="1159">
        <v>34</v>
      </c>
      <c r="AJ12" s="1159">
        <v>35</v>
      </c>
      <c r="AK12" s="1159">
        <v>36</v>
      </c>
      <c r="AL12" s="1159">
        <v>37</v>
      </c>
      <c r="AM12" s="1159">
        <v>38</v>
      </c>
      <c r="AN12" s="1159">
        <v>39</v>
      </c>
      <c r="AO12" s="1159">
        <v>40</v>
      </c>
      <c r="AP12" s="1159">
        <v>41</v>
      </c>
      <c r="AQ12" s="1159">
        <v>42</v>
      </c>
      <c r="AR12" s="1159">
        <v>43</v>
      </c>
      <c r="AS12" s="1159">
        <v>44</v>
      </c>
      <c r="AT12" s="1159">
        <v>45</v>
      </c>
      <c r="AU12" s="1159">
        <v>46</v>
      </c>
      <c r="AV12" s="1159">
        <v>47</v>
      </c>
      <c r="AW12" s="1159">
        <v>48</v>
      </c>
      <c r="AX12" s="1159">
        <v>49</v>
      </c>
      <c r="AY12" s="1159">
        <v>50</v>
      </c>
      <c r="AZ12" s="1159">
        <v>51</v>
      </c>
      <c r="BA12" s="1161"/>
      <c r="BB12" s="1161"/>
      <c r="BC12" s="1161"/>
      <c r="BD12" s="1161"/>
      <c r="BE12" s="1161"/>
      <c r="BF12" s="1161"/>
      <c r="BG12" s="1161"/>
      <c r="BH12" s="1161"/>
      <c r="BI12" s="1161"/>
      <c r="BJ12" s="1161"/>
    </row>
    <row r="13" spans="1:64" s="1210" customFormat="1" ht="15">
      <c r="A13" s="1217">
        <v>1</v>
      </c>
      <c r="B13" s="1169" t="s">
        <v>635</v>
      </c>
      <c r="C13" s="1164">
        <v>0.375</v>
      </c>
      <c r="D13" s="1164">
        <f t="shared" ref="D13:D44" si="0">C13+$D$319</f>
        <v>0.39583333333333331</v>
      </c>
      <c r="E13" s="1165">
        <v>42466</v>
      </c>
      <c r="F13" s="1164">
        <f t="shared" ref="F13:F44" si="1">D13+$D$315</f>
        <v>0.40277777777777773</v>
      </c>
      <c r="G13" s="1164">
        <f t="shared" ref="G13:G44" si="2">F13+$D$314</f>
        <v>0.40624999999999994</v>
      </c>
      <c r="H13" s="1165">
        <f t="shared" ref="H13:H82" si="3">IF(G13&gt;2,E13+2,IF(G13&gt;1,E13+1,E13))</f>
        <v>42466</v>
      </c>
      <c r="I13" s="1166">
        <v>1E-3</v>
      </c>
      <c r="J13" s="1166">
        <v>0.02</v>
      </c>
      <c r="K13" s="1166">
        <v>-0.35299999999999998</v>
      </c>
      <c r="L13" s="1166">
        <v>-0.71699999999999997</v>
      </c>
      <c r="M13" s="1164">
        <f t="shared" ref="M13:M44" si="4">G13+$D$314</f>
        <v>0.40972222222222215</v>
      </c>
      <c r="N13" s="1164">
        <f t="shared" ref="N13:N44" si="5">M13+$D$316</f>
        <v>0.42013888888888884</v>
      </c>
      <c r="O13" s="1165">
        <f t="shared" ref="O13:O82" si="6">IF(N13&gt;2,E13+2,IF(N13&gt;1,E13+1,E13))</f>
        <v>42466</v>
      </c>
      <c r="P13" s="1166">
        <v>1.08</v>
      </c>
      <c r="Q13" s="1166">
        <v>9</v>
      </c>
      <c r="R13" s="1166">
        <v>19</v>
      </c>
      <c r="S13" s="1166">
        <v>0</v>
      </c>
      <c r="T13" s="1164">
        <f t="shared" ref="T13:T44" si="7">N13+$D$344</f>
        <v>0.54513888888888884</v>
      </c>
      <c r="U13" s="1167">
        <f t="shared" ref="U13:U82" si="8">IF(T13&gt;2,E13+2,IF(T13&gt;1,E13+1,E13))</f>
        <v>42466</v>
      </c>
      <c r="V13" s="1166">
        <v>22.3</v>
      </c>
      <c r="W13" s="1164">
        <f t="shared" ref="W13:W44" si="9">T13+$D$344</f>
        <v>0.67013888888888884</v>
      </c>
      <c r="X13" s="1167">
        <f t="shared" ref="X13:X82" si="10">IF(W13&gt;2,E13+2,IF(W13&gt;1,E13+1,E13))</f>
        <v>42466</v>
      </c>
      <c r="Y13" s="1166">
        <v>29.35</v>
      </c>
      <c r="Z13" s="1164">
        <f t="shared" ref="Z13:Z44" si="11">W13+$D$325</f>
        <v>0.71180555555555547</v>
      </c>
      <c r="AA13" s="1164">
        <f t="shared" ref="AA13:AA44" si="12">Z13+$D$319</f>
        <v>0.73263888888888873</v>
      </c>
      <c r="AB13" s="1167">
        <f t="shared" ref="AB13:AB82" si="13">IF(AA13&gt;2,E13+2,IF(AA13&gt;1,E13+1,E13))</f>
        <v>42466</v>
      </c>
      <c r="AC13" s="1166">
        <v>29.35</v>
      </c>
      <c r="AD13" s="1164">
        <f t="shared" ref="AD13:AD44" si="14">AA13+$D$315</f>
        <v>0.73958333333333315</v>
      </c>
      <c r="AE13" s="1164">
        <f t="shared" ref="AE13:AE44" si="15">AD13+$D$316</f>
        <v>0.74999999999999978</v>
      </c>
      <c r="AF13" s="1167">
        <f t="shared" ref="AF13:AF82" si="16">IF(AE13&gt;2,E13+2,IF(AE13&gt;1,E13+1,E13))</f>
        <v>42466</v>
      </c>
      <c r="AG13" s="1164">
        <f t="shared" ref="AG13:AG44" si="17">AE13+$D$315</f>
        <v>0.7569444444444442</v>
      </c>
      <c r="AH13" s="1164">
        <f t="shared" ref="AH13:AH44" si="18">IF(BJ13&gt;0,AG13+$D$325,AG13+$D$322)</f>
        <v>0.79861111111111083</v>
      </c>
      <c r="AI13" s="1167">
        <f t="shared" ref="AI13:AI82" si="19">IF(AH13&gt;2,E13+2,IF(AH13&gt;1,E13+1,E13))</f>
        <v>42466</v>
      </c>
      <c r="AJ13" s="1164">
        <f t="shared" ref="AJ13:AJ44" si="20">AH13+$D$319</f>
        <v>0.81944444444444409</v>
      </c>
      <c r="AK13" s="1164">
        <f t="shared" ref="AK13:AK44" si="21">AJ13+$D$315</f>
        <v>0.82638888888888851</v>
      </c>
      <c r="AL13" s="1167">
        <f t="shared" ref="AL13:AL82" si="22">IF(AK13&gt;2,E13+2,IF(AK13&gt;1,E13+1,E13))</f>
        <v>42466</v>
      </c>
      <c r="AM13" s="1166">
        <v>1.0900000000000001</v>
      </c>
      <c r="AN13" s="1166">
        <v>9</v>
      </c>
      <c r="AO13" s="1166">
        <v>28</v>
      </c>
      <c r="AP13" s="1166">
        <v>0</v>
      </c>
      <c r="AQ13" s="1164">
        <f t="shared" ref="AQ13:AQ81" si="23">AK13</f>
        <v>0.82638888888888851</v>
      </c>
      <c r="AR13" s="1164">
        <f t="shared" ref="AR13:AR44" si="24">AQ13+$D$315</f>
        <v>0.83333333333333293</v>
      </c>
      <c r="AS13" s="1167">
        <f t="shared" ref="AS13:AS82" si="25">IF(AR13&gt;2,E13+2,IF(AR13&gt;1,E13+1,E13))</f>
        <v>42466</v>
      </c>
      <c r="AT13" s="1166">
        <v>29.35</v>
      </c>
      <c r="AU13" s="1164">
        <f t="shared" ref="AU13:AU81" si="26">AR13</f>
        <v>0.83333333333333293</v>
      </c>
      <c r="AV13" s="1167">
        <f t="shared" ref="AV13:AV82" si="27">IF(AU13&gt;2,E13+2,IF(AU13&gt;1,E13+1,E13))</f>
        <v>42466</v>
      </c>
      <c r="AW13" s="1164">
        <f>AU13+$BC$13*BA13</f>
        <v>0.87499999999999956</v>
      </c>
      <c r="AX13" s="1167">
        <f t="shared" ref="AX13:AX82" si="28">IF(AW13&gt;2,E13+2,IF(AW13&gt;1,E13+1,E13))</f>
        <v>42466</v>
      </c>
      <c r="AY13" s="1166">
        <v>0</v>
      </c>
      <c r="AZ13" s="1166">
        <v>18</v>
      </c>
      <c r="BA13" s="1168">
        <f>VLOOKUP(B13,ĐTBT!$V:$W,2,0)</f>
        <v>3</v>
      </c>
      <c r="BB13" s="1237">
        <v>1.3888888888888888E-2</v>
      </c>
      <c r="BC13" s="1168">
        <v>1.3888888888888888E-2</v>
      </c>
      <c r="BD13" s="1168"/>
      <c r="BE13" s="1168"/>
      <c r="BF13" s="1168"/>
      <c r="BG13" s="1168"/>
      <c r="BH13" s="1168"/>
      <c r="BI13" s="1168">
        <f>AX13-E13</f>
        <v>0</v>
      </c>
      <c r="BJ13" s="1168">
        <f>VLOOKUP(B13,'Thong tin'!A:R,11,0)</f>
        <v>2</v>
      </c>
      <c r="BK13" s="1209"/>
    </row>
    <row r="14" spans="1:64" s="1210" customFormat="1" ht="15">
      <c r="A14" s="1217">
        <f>IF(C14="","",COUNTA($C$13:C14))</f>
        <v>2</v>
      </c>
      <c r="B14" s="1169" t="s">
        <v>578</v>
      </c>
      <c r="C14" s="1164">
        <v>0.29166666666666669</v>
      </c>
      <c r="D14" s="1164">
        <f t="shared" si="0"/>
        <v>0.3125</v>
      </c>
      <c r="E14" s="1165">
        <v>42468</v>
      </c>
      <c r="F14" s="1164">
        <f t="shared" si="1"/>
        <v>0.31944444444444442</v>
      </c>
      <c r="G14" s="1164">
        <f t="shared" si="2"/>
        <v>0.32291666666666663</v>
      </c>
      <c r="H14" s="1165">
        <f t="shared" si="3"/>
        <v>42468</v>
      </c>
      <c r="I14" s="1166">
        <v>2.5000000000000001E-2</v>
      </c>
      <c r="J14" s="1166">
        <v>6.0000000000000001E-3</v>
      </c>
      <c r="K14" s="1166">
        <v>-0.156</v>
      </c>
      <c r="L14" s="1166">
        <v>-0.78400000000000003</v>
      </c>
      <c r="M14" s="1164">
        <f t="shared" si="4"/>
        <v>0.32638888888888884</v>
      </c>
      <c r="N14" s="1164">
        <f t="shared" si="5"/>
        <v>0.33680555555555552</v>
      </c>
      <c r="O14" s="1165">
        <f t="shared" si="6"/>
        <v>42468</v>
      </c>
      <c r="P14" s="1166">
        <v>1.05</v>
      </c>
      <c r="Q14" s="1166">
        <v>9</v>
      </c>
      <c r="R14" s="1166">
        <v>24</v>
      </c>
      <c r="S14" s="1166">
        <v>0</v>
      </c>
      <c r="T14" s="1164">
        <f t="shared" si="7"/>
        <v>0.46180555555555552</v>
      </c>
      <c r="U14" s="1167">
        <f t="shared" si="8"/>
        <v>42468</v>
      </c>
      <c r="V14" s="1166">
        <v>29</v>
      </c>
      <c r="W14" s="1164">
        <f t="shared" si="9"/>
        <v>0.58680555555555558</v>
      </c>
      <c r="X14" s="1167">
        <f t="shared" si="10"/>
        <v>42468</v>
      </c>
      <c r="Y14" s="1166">
        <v>39.6</v>
      </c>
      <c r="Z14" s="1164">
        <f t="shared" si="11"/>
        <v>0.62847222222222221</v>
      </c>
      <c r="AA14" s="1164">
        <f t="shared" si="12"/>
        <v>0.64930555555555547</v>
      </c>
      <c r="AB14" s="1167">
        <f t="shared" si="13"/>
        <v>42468</v>
      </c>
      <c r="AC14" s="1166">
        <v>39.799999999999997</v>
      </c>
      <c r="AD14" s="1164">
        <f t="shared" si="14"/>
        <v>0.65624999999999989</v>
      </c>
      <c r="AE14" s="1164">
        <f t="shared" si="15"/>
        <v>0.66666666666666652</v>
      </c>
      <c r="AF14" s="1167">
        <f t="shared" si="16"/>
        <v>42468</v>
      </c>
      <c r="AG14" s="1164">
        <f t="shared" si="17"/>
        <v>0.67361111111111094</v>
      </c>
      <c r="AH14" s="1164">
        <f t="shared" si="18"/>
        <v>0.71527777777777757</v>
      </c>
      <c r="AI14" s="1167">
        <f t="shared" si="19"/>
        <v>42468</v>
      </c>
      <c r="AJ14" s="1164">
        <f t="shared" si="20"/>
        <v>0.73611111111111083</v>
      </c>
      <c r="AK14" s="1164">
        <f t="shared" si="21"/>
        <v>0.74305555555555525</v>
      </c>
      <c r="AL14" s="1167">
        <f t="shared" si="22"/>
        <v>42468</v>
      </c>
      <c r="AM14" s="1166">
        <v>1.06</v>
      </c>
      <c r="AN14" s="1166">
        <v>8</v>
      </c>
      <c r="AO14" s="1166">
        <v>27</v>
      </c>
      <c r="AP14" s="1166">
        <v>0</v>
      </c>
      <c r="AQ14" s="1164">
        <f t="shared" si="23"/>
        <v>0.74305555555555525</v>
      </c>
      <c r="AR14" s="1164">
        <f t="shared" si="24"/>
        <v>0.74999999999999967</v>
      </c>
      <c r="AS14" s="1167">
        <f t="shared" si="25"/>
        <v>42468</v>
      </c>
      <c r="AT14" s="1166">
        <v>39.799999999999997</v>
      </c>
      <c r="AU14" s="1164">
        <f t="shared" si="26"/>
        <v>0.74999999999999967</v>
      </c>
      <c r="AV14" s="1167">
        <f t="shared" si="27"/>
        <v>42468</v>
      </c>
      <c r="AW14" s="1164">
        <f t="shared" ref="AW14:AW83" si="29">AU14+$BC$13*BA14</f>
        <v>0.86111111111111072</v>
      </c>
      <c r="AX14" s="1167">
        <f t="shared" si="28"/>
        <v>42468</v>
      </c>
      <c r="AY14" s="1166">
        <v>0</v>
      </c>
      <c r="AZ14" s="1166">
        <v>54</v>
      </c>
      <c r="BA14" s="1168">
        <f>VLOOKUP(B14,ĐTBT!$V:$W,2,0)</f>
        <v>8</v>
      </c>
      <c r="BB14" s="1168"/>
      <c r="BC14" s="1168"/>
      <c r="BD14" s="1168"/>
      <c r="BE14" s="1168"/>
      <c r="BF14" s="1168"/>
      <c r="BG14" s="1168"/>
      <c r="BH14" s="1168"/>
      <c r="BI14" s="1168">
        <f>AX14-E14</f>
        <v>0</v>
      </c>
      <c r="BJ14" s="1168">
        <f>VLOOKUP(B14,'Thong tin'!A:R,11,0)</f>
        <v>4</v>
      </c>
      <c r="BK14" s="1209"/>
    </row>
    <row r="15" spans="1:64" s="1210" customFormat="1" ht="15">
      <c r="A15" s="1217">
        <f>IF(C15="","",COUNTA($C$13:C15))</f>
        <v>3</v>
      </c>
      <c r="B15" s="1169" t="s">
        <v>662</v>
      </c>
      <c r="C15" s="1164">
        <v>0.3125</v>
      </c>
      <c r="D15" s="1164">
        <f t="shared" si="0"/>
        <v>0.33333333333333331</v>
      </c>
      <c r="E15" s="1165">
        <v>42472</v>
      </c>
      <c r="F15" s="1164">
        <f t="shared" si="1"/>
        <v>0.34027777777777773</v>
      </c>
      <c r="G15" s="1164">
        <f t="shared" si="2"/>
        <v>0.34374999999999994</v>
      </c>
      <c r="H15" s="1165">
        <f t="shared" si="3"/>
        <v>42472</v>
      </c>
      <c r="I15" s="1166">
        <v>1.7999999999999999E-2</v>
      </c>
      <c r="J15" s="1166">
        <v>6.0000000000000001E-3</v>
      </c>
      <c r="K15" s="1166">
        <v>-0.26700000000000002</v>
      </c>
      <c r="L15" s="1166">
        <v>-0.72</v>
      </c>
      <c r="M15" s="1164">
        <f t="shared" si="4"/>
        <v>0.34722222222222215</v>
      </c>
      <c r="N15" s="1164">
        <f t="shared" si="5"/>
        <v>0.35763888888888884</v>
      </c>
      <c r="O15" s="1165">
        <f t="shared" si="6"/>
        <v>42472</v>
      </c>
      <c r="P15" s="1166">
        <v>1.06</v>
      </c>
      <c r="Q15" s="1166">
        <v>8</v>
      </c>
      <c r="R15" s="1166">
        <v>22</v>
      </c>
      <c r="S15" s="1166">
        <v>0</v>
      </c>
      <c r="T15" s="1164">
        <f t="shared" si="7"/>
        <v>0.48263888888888884</v>
      </c>
      <c r="U15" s="1167">
        <f t="shared" si="8"/>
        <v>42472</v>
      </c>
      <c r="V15" s="1166">
        <v>22.3</v>
      </c>
      <c r="W15" s="1164">
        <f t="shared" si="9"/>
        <v>0.60763888888888884</v>
      </c>
      <c r="X15" s="1167">
        <f t="shared" si="10"/>
        <v>42472</v>
      </c>
      <c r="Y15" s="1166">
        <v>23.4</v>
      </c>
      <c r="Z15" s="1164">
        <f t="shared" si="11"/>
        <v>0.64930555555555547</v>
      </c>
      <c r="AA15" s="1164">
        <f t="shared" si="12"/>
        <v>0.67013888888888873</v>
      </c>
      <c r="AB15" s="1167">
        <f t="shared" si="13"/>
        <v>42472</v>
      </c>
      <c r="AC15" s="1166">
        <v>23.6</v>
      </c>
      <c r="AD15" s="1164">
        <f t="shared" si="14"/>
        <v>0.67708333333333315</v>
      </c>
      <c r="AE15" s="1164">
        <f t="shared" si="15"/>
        <v>0.68749999999999978</v>
      </c>
      <c r="AF15" s="1167">
        <f t="shared" si="16"/>
        <v>42472</v>
      </c>
      <c r="AG15" s="1164">
        <f t="shared" si="17"/>
        <v>0.6944444444444442</v>
      </c>
      <c r="AH15" s="1164">
        <f t="shared" si="18"/>
        <v>0.73611111111111083</v>
      </c>
      <c r="AI15" s="1167">
        <f t="shared" si="19"/>
        <v>42472</v>
      </c>
      <c r="AJ15" s="1164">
        <f t="shared" si="20"/>
        <v>0.75694444444444409</v>
      </c>
      <c r="AK15" s="1164">
        <f t="shared" si="21"/>
        <v>0.76388888888888851</v>
      </c>
      <c r="AL15" s="1167">
        <f t="shared" si="22"/>
        <v>42472</v>
      </c>
      <c r="AM15" s="1166">
        <v>1.07</v>
      </c>
      <c r="AN15" s="1166">
        <v>9</v>
      </c>
      <c r="AO15" s="1166">
        <v>23</v>
      </c>
      <c r="AP15" s="1166">
        <v>0</v>
      </c>
      <c r="AQ15" s="1164">
        <f t="shared" si="23"/>
        <v>0.76388888888888851</v>
      </c>
      <c r="AR15" s="1164">
        <f t="shared" si="24"/>
        <v>0.77083333333333293</v>
      </c>
      <c r="AS15" s="1167">
        <f t="shared" si="25"/>
        <v>42472</v>
      </c>
      <c r="AT15" s="1166">
        <v>23.6</v>
      </c>
      <c r="AU15" s="1164">
        <f t="shared" si="26"/>
        <v>0.77083333333333293</v>
      </c>
      <c r="AV15" s="1167">
        <f t="shared" si="27"/>
        <v>42472</v>
      </c>
      <c r="AW15" s="1164">
        <f t="shared" si="29"/>
        <v>0.84027777777777735</v>
      </c>
      <c r="AX15" s="1167">
        <f t="shared" si="28"/>
        <v>42472</v>
      </c>
      <c r="AY15" s="1166">
        <v>0</v>
      </c>
      <c r="AZ15" s="1166">
        <v>30</v>
      </c>
      <c r="BA15" s="1168">
        <f>VLOOKUP(B15,ĐTBT!$V:$W,2,0)</f>
        <v>5</v>
      </c>
      <c r="BB15" s="1168"/>
      <c r="BC15" s="1168"/>
      <c r="BD15" s="1168"/>
      <c r="BE15" s="1168"/>
      <c r="BF15" s="1168"/>
      <c r="BG15" s="1168"/>
      <c r="BH15" s="1168"/>
      <c r="BI15" s="1168">
        <f>AX15-E15</f>
        <v>0</v>
      </c>
      <c r="BJ15" s="1168">
        <f>VLOOKUP(B15,'Thong tin'!A:R,11,0)</f>
        <v>4</v>
      </c>
      <c r="BK15" s="1209"/>
    </row>
    <row r="16" spans="1:64" s="1219" customFormat="1" ht="15">
      <c r="A16" s="1217">
        <f>IF(C16="","",COUNTA($C$13:C16))</f>
        <v>4</v>
      </c>
      <c r="B16" s="1238" t="s">
        <v>640</v>
      </c>
      <c r="C16" s="1164">
        <v>0.33333333333333331</v>
      </c>
      <c r="D16" s="1164">
        <f t="shared" si="0"/>
        <v>0.35416666666666663</v>
      </c>
      <c r="E16" s="1165">
        <v>42495</v>
      </c>
      <c r="F16" s="1164">
        <f t="shared" si="1"/>
        <v>0.36111111111111105</v>
      </c>
      <c r="G16" s="1164">
        <f t="shared" si="2"/>
        <v>0.36458333333333326</v>
      </c>
      <c r="H16" s="1165">
        <f t="shared" si="3"/>
        <v>42495</v>
      </c>
      <c r="I16" s="1166">
        <v>-1.7000000000000001E-2</v>
      </c>
      <c r="J16" s="1166">
        <v>-1.9E-2</v>
      </c>
      <c r="K16" s="1166">
        <v>-0.252</v>
      </c>
      <c r="L16" s="1166">
        <v>-0.56200000000000006</v>
      </c>
      <c r="M16" s="1164">
        <f t="shared" si="4"/>
        <v>0.36805555555555547</v>
      </c>
      <c r="N16" s="1164">
        <f t="shared" si="5"/>
        <v>0.37847222222222215</v>
      </c>
      <c r="O16" s="1165">
        <f t="shared" si="6"/>
        <v>42495</v>
      </c>
      <c r="P16" s="1166">
        <v>1.06</v>
      </c>
      <c r="Q16" s="1166">
        <v>9</v>
      </c>
      <c r="R16" s="1166">
        <v>25</v>
      </c>
      <c r="S16" s="1166">
        <v>0</v>
      </c>
      <c r="T16" s="1164">
        <f t="shared" si="7"/>
        <v>0.5034722222222221</v>
      </c>
      <c r="U16" s="1167">
        <f t="shared" si="8"/>
        <v>42495</v>
      </c>
      <c r="V16" s="1166">
        <v>19.52</v>
      </c>
      <c r="W16" s="1164">
        <f t="shared" si="9"/>
        <v>0.6284722222222221</v>
      </c>
      <c r="X16" s="1167">
        <f t="shared" si="10"/>
        <v>42495</v>
      </c>
      <c r="Y16" s="1166">
        <v>29.75</v>
      </c>
      <c r="Z16" s="1164">
        <f t="shared" si="11"/>
        <v>0.67013888888888873</v>
      </c>
      <c r="AA16" s="1164">
        <f t="shared" si="12"/>
        <v>0.69097222222222199</v>
      </c>
      <c r="AB16" s="1167">
        <f t="shared" si="13"/>
        <v>42495</v>
      </c>
      <c r="AC16" s="1166">
        <v>29.78</v>
      </c>
      <c r="AD16" s="1164">
        <f t="shared" si="14"/>
        <v>0.69791666666666641</v>
      </c>
      <c r="AE16" s="1164">
        <f t="shared" si="15"/>
        <v>0.70833333333333304</v>
      </c>
      <c r="AF16" s="1167">
        <f t="shared" si="16"/>
        <v>42495</v>
      </c>
      <c r="AG16" s="1164">
        <f t="shared" si="17"/>
        <v>0.71527777777777746</v>
      </c>
      <c r="AH16" s="1164">
        <f t="shared" si="18"/>
        <v>0.74652777777777746</v>
      </c>
      <c r="AI16" s="1167">
        <f t="shared" si="19"/>
        <v>42495</v>
      </c>
      <c r="AJ16" s="1164">
        <f t="shared" si="20"/>
        <v>0.76736111111111072</v>
      </c>
      <c r="AK16" s="1164">
        <f t="shared" si="21"/>
        <v>0.77430555555555514</v>
      </c>
      <c r="AL16" s="1167">
        <f t="shared" si="22"/>
        <v>42495</v>
      </c>
      <c r="AM16" s="1166">
        <v>1.06</v>
      </c>
      <c r="AN16" s="1166">
        <v>9</v>
      </c>
      <c r="AO16" s="1166">
        <v>25</v>
      </c>
      <c r="AP16" s="1166">
        <v>0</v>
      </c>
      <c r="AQ16" s="1164">
        <f t="shared" si="23"/>
        <v>0.77430555555555514</v>
      </c>
      <c r="AR16" s="1164">
        <f t="shared" si="24"/>
        <v>0.78124999999999956</v>
      </c>
      <c r="AS16" s="1167">
        <f t="shared" si="25"/>
        <v>42495</v>
      </c>
      <c r="AT16" s="1166">
        <v>29.78</v>
      </c>
      <c r="AU16" s="1164">
        <f t="shared" si="26"/>
        <v>0.78124999999999956</v>
      </c>
      <c r="AV16" s="1167">
        <f t="shared" si="27"/>
        <v>42495</v>
      </c>
      <c r="AW16" s="1164">
        <f t="shared" si="29"/>
        <v>0.80902777777777735</v>
      </c>
      <c r="AX16" s="1167">
        <f t="shared" si="28"/>
        <v>42495</v>
      </c>
      <c r="AY16" s="1166">
        <v>6.6</v>
      </c>
      <c r="AZ16" s="1166">
        <v>15</v>
      </c>
      <c r="BA16" s="1168">
        <f>VLOOKUP(B16,ĐTBT!$V:$W,2,0)</f>
        <v>2</v>
      </c>
      <c r="BB16" s="1168"/>
      <c r="BC16" s="1221"/>
      <c r="BD16" s="1221"/>
      <c r="BE16" s="1222"/>
      <c r="BF16" s="1221"/>
      <c r="BG16" s="1221"/>
      <c r="BH16" s="1221"/>
      <c r="BJ16" s="1168"/>
      <c r="BL16" s="1220"/>
    </row>
    <row r="17" spans="1:64" s="1219" customFormat="1" ht="15">
      <c r="A17" s="1217">
        <f>IF(C17="","",COUNTA($C$13:C17))</f>
        <v>5</v>
      </c>
      <c r="B17" s="1238" t="s">
        <v>672</v>
      </c>
      <c r="C17" s="1164">
        <v>0.41666666666666669</v>
      </c>
      <c r="D17" s="1164">
        <f t="shared" si="0"/>
        <v>0.4375</v>
      </c>
      <c r="E17" s="1165">
        <f>E16</f>
        <v>42495</v>
      </c>
      <c r="F17" s="1164">
        <f t="shared" si="1"/>
        <v>0.44444444444444442</v>
      </c>
      <c r="G17" s="1164">
        <f t="shared" si="2"/>
        <v>0.44791666666666663</v>
      </c>
      <c r="H17" s="1165">
        <f t="shared" si="3"/>
        <v>42495</v>
      </c>
      <c r="I17" s="1166">
        <v>-1.7999999999999999E-2</v>
      </c>
      <c r="J17" s="1166">
        <v>-0.01</v>
      </c>
      <c r="K17" s="1166">
        <v>-2.1999999999999999E-2</v>
      </c>
      <c r="L17" s="1166">
        <v>-0.4</v>
      </c>
      <c r="M17" s="1164">
        <f t="shared" si="4"/>
        <v>0.45138888888888884</v>
      </c>
      <c r="N17" s="1164">
        <f t="shared" si="5"/>
        <v>0.46180555555555552</v>
      </c>
      <c r="O17" s="1165">
        <f t="shared" si="6"/>
        <v>42495</v>
      </c>
      <c r="P17" s="1166">
        <v>1.06</v>
      </c>
      <c r="Q17" s="1166">
        <v>9</v>
      </c>
      <c r="R17" s="1166">
        <v>24</v>
      </c>
      <c r="S17" s="1166">
        <v>0</v>
      </c>
      <c r="T17" s="1164">
        <f t="shared" si="7"/>
        <v>0.58680555555555558</v>
      </c>
      <c r="U17" s="1167">
        <f t="shared" si="8"/>
        <v>42495</v>
      </c>
      <c r="V17" s="1166">
        <v>20.41</v>
      </c>
      <c r="W17" s="1164">
        <f t="shared" si="9"/>
        <v>0.71180555555555558</v>
      </c>
      <c r="X17" s="1167">
        <f t="shared" si="10"/>
        <v>42495</v>
      </c>
      <c r="Y17" s="1166">
        <v>30.02</v>
      </c>
      <c r="Z17" s="1164">
        <f t="shared" si="11"/>
        <v>0.75347222222222221</v>
      </c>
      <c r="AA17" s="1164">
        <f t="shared" si="12"/>
        <v>0.77430555555555547</v>
      </c>
      <c r="AB17" s="1167">
        <f t="shared" si="13"/>
        <v>42495</v>
      </c>
      <c r="AC17" s="1166">
        <v>30.05</v>
      </c>
      <c r="AD17" s="1164">
        <f t="shared" si="14"/>
        <v>0.78124999999999989</v>
      </c>
      <c r="AE17" s="1164">
        <f t="shared" si="15"/>
        <v>0.79166666666666652</v>
      </c>
      <c r="AF17" s="1167">
        <f t="shared" si="16"/>
        <v>42495</v>
      </c>
      <c r="AG17" s="1164">
        <f t="shared" si="17"/>
        <v>0.79861111111111094</v>
      </c>
      <c r="AH17" s="1164">
        <f t="shared" si="18"/>
        <v>0.82986111111111094</v>
      </c>
      <c r="AI17" s="1167">
        <f t="shared" si="19"/>
        <v>42495</v>
      </c>
      <c r="AJ17" s="1164">
        <f t="shared" si="20"/>
        <v>0.8506944444444442</v>
      </c>
      <c r="AK17" s="1164">
        <f t="shared" si="21"/>
        <v>0.85763888888888862</v>
      </c>
      <c r="AL17" s="1167">
        <f t="shared" si="22"/>
        <v>42495</v>
      </c>
      <c r="AM17" s="1166">
        <v>1.06</v>
      </c>
      <c r="AN17" s="1166">
        <v>9</v>
      </c>
      <c r="AO17" s="1166">
        <v>24</v>
      </c>
      <c r="AP17" s="1166">
        <v>0</v>
      </c>
      <c r="AQ17" s="1164">
        <f t="shared" si="23"/>
        <v>0.85763888888888862</v>
      </c>
      <c r="AR17" s="1164">
        <f t="shared" si="24"/>
        <v>0.86458333333333304</v>
      </c>
      <c r="AS17" s="1167">
        <f t="shared" si="25"/>
        <v>42495</v>
      </c>
      <c r="AT17" s="1166">
        <v>30.05</v>
      </c>
      <c r="AU17" s="1164">
        <f t="shared" si="26"/>
        <v>0.86458333333333304</v>
      </c>
      <c r="AV17" s="1167">
        <f t="shared" si="27"/>
        <v>42495</v>
      </c>
      <c r="AW17" s="1164">
        <f t="shared" si="29"/>
        <v>0.89236111111111083</v>
      </c>
      <c r="AX17" s="1167">
        <f t="shared" si="28"/>
        <v>42495</v>
      </c>
      <c r="AY17" s="1166">
        <v>6.9</v>
      </c>
      <c r="AZ17" s="1166">
        <v>16</v>
      </c>
      <c r="BA17" s="1168">
        <f>VLOOKUP(B17,ĐTBT!$V:$W,2,0)</f>
        <v>2</v>
      </c>
      <c r="BB17" s="1168"/>
      <c r="BC17" s="1221"/>
      <c r="BD17" s="1221"/>
      <c r="BE17" s="1222"/>
      <c r="BF17" s="1221"/>
      <c r="BG17" s="1221"/>
      <c r="BH17" s="1221"/>
      <c r="BJ17" s="1168"/>
      <c r="BL17" s="1220"/>
    </row>
    <row r="18" spans="1:64" s="1219" customFormat="1" ht="15">
      <c r="A18" s="1217">
        <f>IF(C18="","",COUNTA($C$13:C18))</f>
        <v>6</v>
      </c>
      <c r="B18" s="1238" t="s">
        <v>463</v>
      </c>
      <c r="C18" s="1164">
        <v>0.29166666666666669</v>
      </c>
      <c r="D18" s="1164">
        <f t="shared" si="0"/>
        <v>0.3125</v>
      </c>
      <c r="E18" s="1165">
        <v>42496</v>
      </c>
      <c r="F18" s="1164">
        <f t="shared" si="1"/>
        <v>0.31944444444444442</v>
      </c>
      <c r="G18" s="1164">
        <f t="shared" si="2"/>
        <v>0.32291666666666663</v>
      </c>
      <c r="H18" s="1165">
        <f t="shared" si="3"/>
        <v>42496</v>
      </c>
      <c r="I18" s="1166">
        <v>-0.02</v>
      </c>
      <c r="J18" s="1166">
        <v>-1.4E-2</v>
      </c>
      <c r="K18" s="1166">
        <v>-0.01</v>
      </c>
      <c r="L18" s="1166">
        <v>-0.4</v>
      </c>
      <c r="M18" s="1164">
        <f t="shared" si="4"/>
        <v>0.32638888888888884</v>
      </c>
      <c r="N18" s="1164">
        <f t="shared" si="5"/>
        <v>0.33680555555555552</v>
      </c>
      <c r="O18" s="1165">
        <f t="shared" si="6"/>
        <v>42496</v>
      </c>
      <c r="P18" s="1166">
        <v>1.06</v>
      </c>
      <c r="Q18" s="1166">
        <v>9</v>
      </c>
      <c r="R18" s="1166">
        <v>23</v>
      </c>
      <c r="S18" s="1166">
        <v>0</v>
      </c>
      <c r="T18" s="1164">
        <f t="shared" si="7"/>
        <v>0.46180555555555552</v>
      </c>
      <c r="U18" s="1167">
        <f t="shared" si="8"/>
        <v>42496</v>
      </c>
      <c r="V18" s="1166">
        <v>20.62</v>
      </c>
      <c r="W18" s="1164">
        <f t="shared" si="9"/>
        <v>0.58680555555555558</v>
      </c>
      <c r="X18" s="1167">
        <f t="shared" si="10"/>
        <v>42496</v>
      </c>
      <c r="Y18" s="1166">
        <v>30.23</v>
      </c>
      <c r="Z18" s="1164">
        <f t="shared" si="11"/>
        <v>0.62847222222222221</v>
      </c>
      <c r="AA18" s="1164">
        <f t="shared" si="12"/>
        <v>0.64930555555555547</v>
      </c>
      <c r="AB18" s="1167">
        <f t="shared" si="13"/>
        <v>42496</v>
      </c>
      <c r="AC18" s="1166">
        <v>30.27</v>
      </c>
      <c r="AD18" s="1164">
        <f t="shared" si="14"/>
        <v>0.65624999999999989</v>
      </c>
      <c r="AE18" s="1164">
        <f t="shared" si="15"/>
        <v>0.66666666666666652</v>
      </c>
      <c r="AF18" s="1167">
        <f t="shared" si="16"/>
        <v>42496</v>
      </c>
      <c r="AG18" s="1164">
        <f t="shared" si="17"/>
        <v>0.67361111111111094</v>
      </c>
      <c r="AH18" s="1164">
        <f t="shared" si="18"/>
        <v>0.70486111111111094</v>
      </c>
      <c r="AI18" s="1167">
        <f t="shared" si="19"/>
        <v>42496</v>
      </c>
      <c r="AJ18" s="1164">
        <f t="shared" si="20"/>
        <v>0.7256944444444442</v>
      </c>
      <c r="AK18" s="1164">
        <f t="shared" si="21"/>
        <v>0.73263888888888862</v>
      </c>
      <c r="AL18" s="1167">
        <f t="shared" si="22"/>
        <v>42496</v>
      </c>
      <c r="AM18" s="1166">
        <v>1.06</v>
      </c>
      <c r="AN18" s="1166">
        <v>9</v>
      </c>
      <c r="AO18" s="1166">
        <v>23</v>
      </c>
      <c r="AP18" s="1166">
        <v>0</v>
      </c>
      <c r="AQ18" s="1164">
        <f t="shared" si="23"/>
        <v>0.73263888888888862</v>
      </c>
      <c r="AR18" s="1164">
        <f t="shared" si="24"/>
        <v>0.73958333333333304</v>
      </c>
      <c r="AS18" s="1167">
        <f t="shared" si="25"/>
        <v>42496</v>
      </c>
      <c r="AT18" s="1166">
        <v>30.27</v>
      </c>
      <c r="AU18" s="1164">
        <f t="shared" si="26"/>
        <v>0.73958333333333304</v>
      </c>
      <c r="AV18" s="1167">
        <f t="shared" si="27"/>
        <v>42496</v>
      </c>
      <c r="AW18" s="1164">
        <f t="shared" si="29"/>
        <v>0.76736111111111083</v>
      </c>
      <c r="AX18" s="1167">
        <f t="shared" si="28"/>
        <v>42496</v>
      </c>
      <c r="AY18" s="1166">
        <v>4.8</v>
      </c>
      <c r="AZ18" s="1166">
        <v>17</v>
      </c>
      <c r="BA18" s="1168">
        <f>VLOOKUP(B18,ĐTBT!$V:$W,2,0)</f>
        <v>2</v>
      </c>
      <c r="BB18" s="1168"/>
      <c r="BC18" s="1221"/>
      <c r="BD18" s="1221"/>
      <c r="BE18" s="1222"/>
      <c r="BF18" s="1221"/>
      <c r="BG18" s="1221"/>
      <c r="BH18" s="1221"/>
      <c r="BJ18" s="1168"/>
      <c r="BL18" s="1220"/>
    </row>
    <row r="19" spans="1:64" s="1219" customFormat="1" ht="15">
      <c r="A19" s="1217">
        <f>IF(C19="","",COUNTA($C$13:C19))</f>
        <v>7</v>
      </c>
      <c r="B19" s="1238" t="s">
        <v>689</v>
      </c>
      <c r="C19" s="1164">
        <v>0.375</v>
      </c>
      <c r="D19" s="1164">
        <f t="shared" si="0"/>
        <v>0.39583333333333331</v>
      </c>
      <c r="E19" s="1165">
        <f t="shared" ref="E19" si="30">E18</f>
        <v>42496</v>
      </c>
      <c r="F19" s="1164">
        <f t="shared" si="1"/>
        <v>0.40277777777777773</v>
      </c>
      <c r="G19" s="1164">
        <f t="shared" si="2"/>
        <v>0.40624999999999994</v>
      </c>
      <c r="H19" s="1165">
        <f t="shared" si="3"/>
        <v>42496</v>
      </c>
      <c r="I19" s="1166">
        <v>1.6E-2</v>
      </c>
      <c r="J19" s="1166">
        <v>-2.3E-2</v>
      </c>
      <c r="K19" s="1166">
        <v>0.11799999999999999</v>
      </c>
      <c r="L19" s="1166">
        <v>-0.3</v>
      </c>
      <c r="M19" s="1164">
        <f t="shared" si="4"/>
        <v>0.40972222222222215</v>
      </c>
      <c r="N19" s="1164">
        <f t="shared" si="5"/>
        <v>0.42013888888888884</v>
      </c>
      <c r="O19" s="1165">
        <f t="shared" si="6"/>
        <v>42496</v>
      </c>
      <c r="P19" s="1166">
        <v>1.06</v>
      </c>
      <c r="Q19" s="1166">
        <v>9</v>
      </c>
      <c r="R19" s="1166">
        <v>25</v>
      </c>
      <c r="S19" s="1166">
        <v>0</v>
      </c>
      <c r="T19" s="1164">
        <f t="shared" si="7"/>
        <v>0.54513888888888884</v>
      </c>
      <c r="U19" s="1167">
        <f t="shared" si="8"/>
        <v>42496</v>
      </c>
      <c r="V19" s="1166">
        <v>21.22</v>
      </c>
      <c r="W19" s="1164">
        <f t="shared" si="9"/>
        <v>0.67013888888888884</v>
      </c>
      <c r="X19" s="1167">
        <f t="shared" si="10"/>
        <v>42496</v>
      </c>
      <c r="Y19" s="1166">
        <v>27.25</v>
      </c>
      <c r="Z19" s="1164">
        <f t="shared" si="11"/>
        <v>0.71180555555555547</v>
      </c>
      <c r="AA19" s="1164">
        <f t="shared" si="12"/>
        <v>0.73263888888888873</v>
      </c>
      <c r="AB19" s="1167">
        <f t="shared" si="13"/>
        <v>42496</v>
      </c>
      <c r="AC19" s="1166">
        <v>27.25</v>
      </c>
      <c r="AD19" s="1164">
        <f t="shared" si="14"/>
        <v>0.73958333333333315</v>
      </c>
      <c r="AE19" s="1164">
        <f t="shared" si="15"/>
        <v>0.74999999999999978</v>
      </c>
      <c r="AF19" s="1167">
        <f t="shared" si="16"/>
        <v>42496</v>
      </c>
      <c r="AG19" s="1164">
        <f t="shared" si="17"/>
        <v>0.7569444444444442</v>
      </c>
      <c r="AH19" s="1164">
        <f t="shared" si="18"/>
        <v>0.7881944444444442</v>
      </c>
      <c r="AI19" s="1167">
        <f t="shared" si="19"/>
        <v>42496</v>
      </c>
      <c r="AJ19" s="1164">
        <f t="shared" si="20"/>
        <v>0.80902777777777746</v>
      </c>
      <c r="AK19" s="1164">
        <f t="shared" si="21"/>
        <v>0.81597222222222188</v>
      </c>
      <c r="AL19" s="1167">
        <f t="shared" si="22"/>
        <v>42496</v>
      </c>
      <c r="AM19" s="1166">
        <v>1.05</v>
      </c>
      <c r="AN19" s="1166">
        <v>9</v>
      </c>
      <c r="AO19" s="1166">
        <v>22</v>
      </c>
      <c r="AP19" s="1166">
        <v>0</v>
      </c>
      <c r="AQ19" s="1164">
        <f t="shared" si="23"/>
        <v>0.81597222222222188</v>
      </c>
      <c r="AR19" s="1164">
        <f t="shared" si="24"/>
        <v>0.8229166666666663</v>
      </c>
      <c r="AS19" s="1167">
        <f t="shared" si="25"/>
        <v>42496</v>
      </c>
      <c r="AT19" s="1166">
        <v>27.25</v>
      </c>
      <c r="AU19" s="1164">
        <f t="shared" si="26"/>
        <v>0.8229166666666663</v>
      </c>
      <c r="AV19" s="1167">
        <f t="shared" si="27"/>
        <v>42496</v>
      </c>
      <c r="AW19" s="1164">
        <f t="shared" si="29"/>
        <v>0.85069444444444409</v>
      </c>
      <c r="AX19" s="1167">
        <f t="shared" si="28"/>
        <v>42496</v>
      </c>
      <c r="AY19" s="1166">
        <v>4.5999999999999996</v>
      </c>
      <c r="AZ19" s="1166">
        <v>16</v>
      </c>
      <c r="BA19" s="1168">
        <f>VLOOKUP(B19,ĐTBT!$V:$W,2,0)</f>
        <v>2</v>
      </c>
      <c r="BB19" s="1168"/>
      <c r="BC19" s="1221"/>
      <c r="BD19" s="1221"/>
      <c r="BE19" s="1222"/>
      <c r="BF19" s="1221"/>
      <c r="BG19" s="1221"/>
      <c r="BH19" s="1221"/>
      <c r="BJ19" s="1168"/>
      <c r="BL19" s="1220"/>
    </row>
    <row r="20" spans="1:64" s="1219" customFormat="1" ht="15">
      <c r="A20" s="1217">
        <f>IF(C20="","",COUNTA($C$13:C20))</f>
        <v>8</v>
      </c>
      <c r="B20" s="1238" t="s">
        <v>684</v>
      </c>
      <c r="C20" s="1164">
        <v>0.3125</v>
      </c>
      <c r="D20" s="1164">
        <f t="shared" si="0"/>
        <v>0.33333333333333331</v>
      </c>
      <c r="E20" s="1165">
        <v>42497</v>
      </c>
      <c r="F20" s="1164">
        <f t="shared" si="1"/>
        <v>0.34027777777777773</v>
      </c>
      <c r="G20" s="1164">
        <f t="shared" si="2"/>
        <v>0.34374999999999994</v>
      </c>
      <c r="H20" s="1165">
        <f t="shared" si="3"/>
        <v>42497</v>
      </c>
      <c r="I20" s="1166">
        <v>-0.02</v>
      </c>
      <c r="J20" s="1166">
        <v>-8.0000000000000002E-3</v>
      </c>
      <c r="K20" s="1166">
        <v>0.16800000000000001</v>
      </c>
      <c r="L20" s="1166">
        <v>-0.19800000000000001</v>
      </c>
      <c r="M20" s="1164">
        <f t="shared" si="4"/>
        <v>0.34722222222222215</v>
      </c>
      <c r="N20" s="1164">
        <f t="shared" si="5"/>
        <v>0.35763888888888884</v>
      </c>
      <c r="O20" s="1165">
        <f t="shared" si="6"/>
        <v>42497</v>
      </c>
      <c r="P20" s="1166">
        <v>1.06</v>
      </c>
      <c r="Q20" s="1166">
        <v>9</v>
      </c>
      <c r="R20" s="1166">
        <v>25</v>
      </c>
      <c r="S20" s="1166">
        <v>0</v>
      </c>
      <c r="T20" s="1164">
        <f t="shared" si="7"/>
        <v>0.48263888888888884</v>
      </c>
      <c r="U20" s="1167">
        <f t="shared" si="8"/>
        <v>42497</v>
      </c>
      <c r="V20" s="1166">
        <v>21.05</v>
      </c>
      <c r="W20" s="1164">
        <f t="shared" si="9"/>
        <v>0.60763888888888884</v>
      </c>
      <c r="X20" s="1167">
        <f t="shared" si="10"/>
        <v>42497</v>
      </c>
      <c r="Y20" s="1166">
        <v>27.25</v>
      </c>
      <c r="Z20" s="1164">
        <f t="shared" si="11"/>
        <v>0.64930555555555547</v>
      </c>
      <c r="AA20" s="1164">
        <f t="shared" si="12"/>
        <v>0.67013888888888873</v>
      </c>
      <c r="AB20" s="1167">
        <f t="shared" si="13"/>
        <v>42497</v>
      </c>
      <c r="AC20" s="1166">
        <v>27.3</v>
      </c>
      <c r="AD20" s="1164">
        <f t="shared" si="14"/>
        <v>0.67708333333333315</v>
      </c>
      <c r="AE20" s="1164">
        <f t="shared" si="15"/>
        <v>0.68749999999999978</v>
      </c>
      <c r="AF20" s="1167">
        <f t="shared" si="16"/>
        <v>42497</v>
      </c>
      <c r="AG20" s="1164">
        <f t="shared" si="17"/>
        <v>0.6944444444444442</v>
      </c>
      <c r="AH20" s="1164">
        <f t="shared" si="18"/>
        <v>0.7256944444444442</v>
      </c>
      <c r="AI20" s="1167">
        <f t="shared" si="19"/>
        <v>42497</v>
      </c>
      <c r="AJ20" s="1164">
        <f t="shared" si="20"/>
        <v>0.74652777777777746</v>
      </c>
      <c r="AK20" s="1164">
        <f t="shared" si="21"/>
        <v>0.75347222222222188</v>
      </c>
      <c r="AL20" s="1167">
        <f t="shared" si="22"/>
        <v>42497</v>
      </c>
      <c r="AM20" s="1166">
        <v>1.06</v>
      </c>
      <c r="AN20" s="1166">
        <v>9</v>
      </c>
      <c r="AO20" s="1166">
        <v>25</v>
      </c>
      <c r="AP20" s="1166">
        <v>0</v>
      </c>
      <c r="AQ20" s="1164">
        <f t="shared" si="23"/>
        <v>0.75347222222222188</v>
      </c>
      <c r="AR20" s="1164">
        <f t="shared" si="24"/>
        <v>0.7604166666666663</v>
      </c>
      <c r="AS20" s="1167">
        <f t="shared" si="25"/>
        <v>42497</v>
      </c>
      <c r="AT20" s="1166">
        <v>27.3</v>
      </c>
      <c r="AU20" s="1164">
        <f t="shared" si="26"/>
        <v>0.7604166666666663</v>
      </c>
      <c r="AV20" s="1167">
        <f t="shared" si="27"/>
        <v>42497</v>
      </c>
      <c r="AW20" s="1164">
        <f t="shared" si="29"/>
        <v>0.78819444444444409</v>
      </c>
      <c r="AX20" s="1167">
        <f t="shared" si="28"/>
        <v>42497</v>
      </c>
      <c r="AY20" s="1166">
        <v>4.9000000000000004</v>
      </c>
      <c r="AZ20" s="1166">
        <v>15</v>
      </c>
      <c r="BA20" s="1168">
        <f>VLOOKUP(B20,ĐTBT!$V:$W,2,0)</f>
        <v>2</v>
      </c>
      <c r="BB20" s="1168"/>
      <c r="BC20" s="1221"/>
      <c r="BD20" s="1221"/>
      <c r="BE20" s="1222"/>
      <c r="BF20" s="1221"/>
      <c r="BG20" s="1221"/>
      <c r="BH20" s="1221"/>
      <c r="BJ20" s="1168"/>
      <c r="BL20" s="1220"/>
    </row>
    <row r="21" spans="1:64" s="1219" customFormat="1" ht="15">
      <c r="A21" s="1217">
        <f>IF(C21="","",COUNTA($C$13:C21))</f>
        <v>9</v>
      </c>
      <c r="B21" s="1238" t="s">
        <v>646</v>
      </c>
      <c r="C21" s="1164">
        <v>0.35416666666666669</v>
      </c>
      <c r="D21" s="1164">
        <f t="shared" si="0"/>
        <v>0.375</v>
      </c>
      <c r="E21" s="1165">
        <f t="shared" ref="E21" si="31">E20</f>
        <v>42497</v>
      </c>
      <c r="F21" s="1164">
        <f t="shared" si="1"/>
        <v>0.38194444444444442</v>
      </c>
      <c r="G21" s="1164">
        <f t="shared" si="2"/>
        <v>0.38541666666666663</v>
      </c>
      <c r="H21" s="1165">
        <f t="shared" si="3"/>
        <v>42497</v>
      </c>
      <c r="I21" s="1166">
        <v>-2.7E-2</v>
      </c>
      <c r="J21" s="1166">
        <v>3.0000000000000001E-3</v>
      </c>
      <c r="K21" s="1166">
        <v>0.16800000000000001</v>
      </c>
      <c r="L21" s="1166">
        <v>-0.4</v>
      </c>
      <c r="M21" s="1164">
        <f t="shared" si="4"/>
        <v>0.38888888888888884</v>
      </c>
      <c r="N21" s="1164">
        <f t="shared" si="5"/>
        <v>0.39930555555555552</v>
      </c>
      <c r="O21" s="1165">
        <f t="shared" si="6"/>
        <v>42497</v>
      </c>
      <c r="P21" s="1166">
        <v>1.06</v>
      </c>
      <c r="Q21" s="1166">
        <v>9</v>
      </c>
      <c r="R21" s="1166">
        <v>24</v>
      </c>
      <c r="S21" s="1166">
        <v>0</v>
      </c>
      <c r="T21" s="1164">
        <f t="shared" si="7"/>
        <v>0.52430555555555558</v>
      </c>
      <c r="U21" s="1167">
        <f t="shared" si="8"/>
        <v>42497</v>
      </c>
      <c r="V21" s="1166">
        <v>22.52</v>
      </c>
      <c r="W21" s="1164">
        <f t="shared" si="9"/>
        <v>0.64930555555555558</v>
      </c>
      <c r="X21" s="1167">
        <f t="shared" si="10"/>
        <v>42497</v>
      </c>
      <c r="Y21" s="1166">
        <v>26.15</v>
      </c>
      <c r="Z21" s="1164">
        <f t="shared" si="11"/>
        <v>0.69097222222222221</v>
      </c>
      <c r="AA21" s="1164">
        <f t="shared" si="12"/>
        <v>0.71180555555555547</v>
      </c>
      <c r="AB21" s="1167">
        <f t="shared" si="13"/>
        <v>42497</v>
      </c>
      <c r="AC21" s="1166">
        <v>26.17</v>
      </c>
      <c r="AD21" s="1164">
        <f t="shared" si="14"/>
        <v>0.71874999999999989</v>
      </c>
      <c r="AE21" s="1164">
        <f t="shared" si="15"/>
        <v>0.72916666666666652</v>
      </c>
      <c r="AF21" s="1167">
        <f t="shared" si="16"/>
        <v>42497</v>
      </c>
      <c r="AG21" s="1164">
        <f t="shared" si="17"/>
        <v>0.73611111111111094</v>
      </c>
      <c r="AH21" s="1164">
        <f t="shared" si="18"/>
        <v>0.76736111111111094</v>
      </c>
      <c r="AI21" s="1167">
        <f t="shared" si="19"/>
        <v>42497</v>
      </c>
      <c r="AJ21" s="1164">
        <f t="shared" si="20"/>
        <v>0.7881944444444442</v>
      </c>
      <c r="AK21" s="1164">
        <f t="shared" si="21"/>
        <v>0.79513888888888862</v>
      </c>
      <c r="AL21" s="1167">
        <f t="shared" si="22"/>
        <v>42497</v>
      </c>
      <c r="AM21" s="1166">
        <v>1.06</v>
      </c>
      <c r="AN21" s="1166">
        <v>9</v>
      </c>
      <c r="AO21" s="1166">
        <v>24</v>
      </c>
      <c r="AP21" s="1166">
        <v>0</v>
      </c>
      <c r="AQ21" s="1164">
        <f t="shared" si="23"/>
        <v>0.79513888888888862</v>
      </c>
      <c r="AR21" s="1164">
        <f t="shared" si="24"/>
        <v>0.80208333333333304</v>
      </c>
      <c r="AS21" s="1167">
        <f t="shared" si="25"/>
        <v>42497</v>
      </c>
      <c r="AT21" s="1166">
        <v>26.17</v>
      </c>
      <c r="AU21" s="1164">
        <f t="shared" si="26"/>
        <v>0.80208333333333304</v>
      </c>
      <c r="AV21" s="1167">
        <f t="shared" si="27"/>
        <v>42497</v>
      </c>
      <c r="AW21" s="1164">
        <f t="shared" si="29"/>
        <v>0.81597222222222188</v>
      </c>
      <c r="AX21" s="1167">
        <f t="shared" si="28"/>
        <v>42497</v>
      </c>
      <c r="AY21" s="1166">
        <v>5</v>
      </c>
      <c r="AZ21" s="1166">
        <v>13</v>
      </c>
      <c r="BA21" s="1168">
        <f>VLOOKUP(B21,ĐTBT!$V:$W,2,0)</f>
        <v>1</v>
      </c>
      <c r="BB21" s="1168"/>
      <c r="BC21" s="1221"/>
      <c r="BD21" s="1221"/>
      <c r="BE21" s="1222"/>
      <c r="BF21" s="1221"/>
      <c r="BG21" s="1221"/>
      <c r="BH21" s="1221"/>
      <c r="BJ21" s="1168"/>
      <c r="BL21" s="1220"/>
    </row>
    <row r="22" spans="1:64" s="1219" customFormat="1" ht="15">
      <c r="A22" s="1217">
        <f>IF(C22="","",COUNTA($C$13:C22))</f>
        <v>10</v>
      </c>
      <c r="B22" s="1238" t="s">
        <v>679</v>
      </c>
      <c r="C22" s="1164">
        <v>0.375</v>
      </c>
      <c r="D22" s="1164">
        <f t="shared" si="0"/>
        <v>0.39583333333333331</v>
      </c>
      <c r="E22" s="1165">
        <v>42498</v>
      </c>
      <c r="F22" s="1164">
        <f t="shared" si="1"/>
        <v>0.40277777777777773</v>
      </c>
      <c r="G22" s="1164">
        <f t="shared" si="2"/>
        <v>0.40624999999999994</v>
      </c>
      <c r="H22" s="1165">
        <f t="shared" si="3"/>
        <v>42498</v>
      </c>
      <c r="I22" s="1166">
        <v>-0.02</v>
      </c>
      <c r="J22" s="1166">
        <v>8.9999999999999993E-3</v>
      </c>
      <c r="K22" s="1166">
        <v>7.9000000000000001E-2</v>
      </c>
      <c r="L22" s="1166">
        <v>-0.2</v>
      </c>
      <c r="M22" s="1164">
        <f t="shared" si="4"/>
        <v>0.40972222222222215</v>
      </c>
      <c r="N22" s="1164">
        <f t="shared" si="5"/>
        <v>0.42013888888888884</v>
      </c>
      <c r="O22" s="1165">
        <f t="shared" si="6"/>
        <v>42498</v>
      </c>
      <c r="P22" s="1166">
        <v>1.06</v>
      </c>
      <c r="Q22" s="1166">
        <v>9</v>
      </c>
      <c r="R22" s="1166">
        <v>26</v>
      </c>
      <c r="S22" s="1166">
        <v>0</v>
      </c>
      <c r="T22" s="1164">
        <f t="shared" si="7"/>
        <v>0.54513888888888884</v>
      </c>
      <c r="U22" s="1167">
        <f t="shared" si="8"/>
        <v>42498</v>
      </c>
      <c r="V22" s="1166">
        <v>20.85</v>
      </c>
      <c r="W22" s="1164">
        <f t="shared" si="9"/>
        <v>0.67013888888888884</v>
      </c>
      <c r="X22" s="1167">
        <f t="shared" si="10"/>
        <v>42498</v>
      </c>
      <c r="Y22" s="1166">
        <v>27.18</v>
      </c>
      <c r="Z22" s="1164">
        <f t="shared" si="11"/>
        <v>0.71180555555555547</v>
      </c>
      <c r="AA22" s="1164">
        <f t="shared" si="12"/>
        <v>0.73263888888888873</v>
      </c>
      <c r="AB22" s="1167">
        <f t="shared" si="13"/>
        <v>42498</v>
      </c>
      <c r="AC22" s="1166">
        <v>27.18</v>
      </c>
      <c r="AD22" s="1164">
        <f t="shared" si="14"/>
        <v>0.73958333333333315</v>
      </c>
      <c r="AE22" s="1164">
        <f t="shared" si="15"/>
        <v>0.74999999999999978</v>
      </c>
      <c r="AF22" s="1167">
        <f t="shared" si="16"/>
        <v>42498</v>
      </c>
      <c r="AG22" s="1164">
        <f t="shared" si="17"/>
        <v>0.7569444444444442</v>
      </c>
      <c r="AH22" s="1164">
        <f t="shared" si="18"/>
        <v>0.7881944444444442</v>
      </c>
      <c r="AI22" s="1167">
        <f t="shared" si="19"/>
        <v>42498</v>
      </c>
      <c r="AJ22" s="1164">
        <f t="shared" si="20"/>
        <v>0.80902777777777746</v>
      </c>
      <c r="AK22" s="1164">
        <f t="shared" si="21"/>
        <v>0.81597222222222188</v>
      </c>
      <c r="AL22" s="1167">
        <f t="shared" si="22"/>
        <v>42498</v>
      </c>
      <c r="AM22" s="1166">
        <v>1.06</v>
      </c>
      <c r="AN22" s="1166">
        <v>9</v>
      </c>
      <c r="AO22" s="1166">
        <v>25</v>
      </c>
      <c r="AP22" s="1166">
        <v>0</v>
      </c>
      <c r="AQ22" s="1164">
        <f t="shared" si="23"/>
        <v>0.81597222222222188</v>
      </c>
      <c r="AR22" s="1164">
        <f t="shared" si="24"/>
        <v>0.8229166666666663</v>
      </c>
      <c r="AS22" s="1167">
        <f t="shared" si="25"/>
        <v>42498</v>
      </c>
      <c r="AT22" s="1166">
        <v>27.18</v>
      </c>
      <c r="AU22" s="1164">
        <f t="shared" si="26"/>
        <v>0.8229166666666663</v>
      </c>
      <c r="AV22" s="1167">
        <f t="shared" si="27"/>
        <v>42498</v>
      </c>
      <c r="AW22" s="1164">
        <f t="shared" si="29"/>
        <v>0.83680555555555514</v>
      </c>
      <c r="AX22" s="1167">
        <f t="shared" si="28"/>
        <v>42498</v>
      </c>
      <c r="AY22" s="1166">
        <v>6.8</v>
      </c>
      <c r="AZ22" s="1166">
        <v>13</v>
      </c>
      <c r="BA22" s="1168">
        <f>VLOOKUP(B22,ĐTBT!$V:$W,2,0)</f>
        <v>1</v>
      </c>
      <c r="BB22" s="1168"/>
      <c r="BC22" s="1221"/>
      <c r="BD22" s="1221"/>
      <c r="BE22" s="1222"/>
      <c r="BF22" s="1221"/>
      <c r="BG22" s="1221"/>
      <c r="BH22" s="1221"/>
      <c r="BJ22" s="1168"/>
      <c r="BL22" s="1220"/>
    </row>
    <row r="23" spans="1:64" s="1219" customFormat="1" ht="15">
      <c r="A23" s="1217">
        <f>IF(C23="","",COUNTA($C$13:C23))</f>
        <v>11</v>
      </c>
      <c r="B23" s="1238" t="s">
        <v>651</v>
      </c>
      <c r="C23" s="1164">
        <v>0.38194444444444442</v>
      </c>
      <c r="D23" s="1164">
        <f t="shared" si="0"/>
        <v>0.40277777777777773</v>
      </c>
      <c r="E23" s="1165">
        <f t="shared" ref="E23" si="32">E22</f>
        <v>42498</v>
      </c>
      <c r="F23" s="1164">
        <f t="shared" si="1"/>
        <v>0.40972222222222215</v>
      </c>
      <c r="G23" s="1164">
        <f t="shared" si="2"/>
        <v>0.41319444444444436</v>
      </c>
      <c r="H23" s="1165">
        <f t="shared" si="3"/>
        <v>42498</v>
      </c>
      <c r="I23" s="1166">
        <v>-1.0999999999999999E-2</v>
      </c>
      <c r="J23" s="1166">
        <v>-4.0000000000000001E-3</v>
      </c>
      <c r="K23" s="1166">
        <v>0.158</v>
      </c>
      <c r="L23" s="1166">
        <v>-0.2</v>
      </c>
      <c r="M23" s="1164">
        <f t="shared" si="4"/>
        <v>0.41666666666666657</v>
      </c>
      <c r="N23" s="1164">
        <f t="shared" si="5"/>
        <v>0.42708333333333326</v>
      </c>
      <c r="O23" s="1165">
        <f t="shared" si="6"/>
        <v>42498</v>
      </c>
      <c r="P23" s="1166">
        <v>1.06</v>
      </c>
      <c r="Q23" s="1166">
        <v>9</v>
      </c>
      <c r="R23" s="1166">
        <v>25</v>
      </c>
      <c r="S23" s="1166">
        <v>0</v>
      </c>
      <c r="T23" s="1164">
        <f t="shared" si="7"/>
        <v>0.55208333333333326</v>
      </c>
      <c r="U23" s="1167">
        <f t="shared" si="8"/>
        <v>42498</v>
      </c>
      <c r="V23" s="1166">
        <v>20.51</v>
      </c>
      <c r="W23" s="1164">
        <f t="shared" si="9"/>
        <v>0.67708333333333326</v>
      </c>
      <c r="X23" s="1167">
        <f t="shared" si="10"/>
        <v>42498</v>
      </c>
      <c r="Y23" s="1166">
        <v>27.25</v>
      </c>
      <c r="Z23" s="1164">
        <f t="shared" si="11"/>
        <v>0.71874999999999989</v>
      </c>
      <c r="AA23" s="1164">
        <f t="shared" si="12"/>
        <v>0.73958333333333315</v>
      </c>
      <c r="AB23" s="1167">
        <f t="shared" si="13"/>
        <v>42498</v>
      </c>
      <c r="AC23" s="1166">
        <v>27.31</v>
      </c>
      <c r="AD23" s="1164">
        <f t="shared" si="14"/>
        <v>0.74652777777777757</v>
      </c>
      <c r="AE23" s="1164">
        <f t="shared" si="15"/>
        <v>0.7569444444444442</v>
      </c>
      <c r="AF23" s="1167">
        <f t="shared" si="16"/>
        <v>42498</v>
      </c>
      <c r="AG23" s="1164">
        <f t="shared" si="17"/>
        <v>0.76388888888888862</v>
      </c>
      <c r="AH23" s="1164">
        <f t="shared" si="18"/>
        <v>0.79513888888888862</v>
      </c>
      <c r="AI23" s="1167">
        <f t="shared" si="19"/>
        <v>42498</v>
      </c>
      <c r="AJ23" s="1164">
        <f t="shared" si="20"/>
        <v>0.81597222222222188</v>
      </c>
      <c r="AK23" s="1164">
        <f t="shared" si="21"/>
        <v>0.8229166666666663</v>
      </c>
      <c r="AL23" s="1167">
        <f t="shared" si="22"/>
        <v>42498</v>
      </c>
      <c r="AM23" s="1166">
        <v>1.06</v>
      </c>
      <c r="AN23" s="1166">
        <v>9</v>
      </c>
      <c r="AO23" s="1166">
        <v>23</v>
      </c>
      <c r="AP23" s="1166">
        <v>0</v>
      </c>
      <c r="AQ23" s="1164">
        <f t="shared" si="23"/>
        <v>0.8229166666666663</v>
      </c>
      <c r="AR23" s="1164">
        <f t="shared" si="24"/>
        <v>0.82986111111111072</v>
      </c>
      <c r="AS23" s="1167">
        <f t="shared" si="25"/>
        <v>42498</v>
      </c>
      <c r="AT23" s="1166">
        <v>27.31</v>
      </c>
      <c r="AU23" s="1164">
        <f t="shared" si="26"/>
        <v>0.82986111111111072</v>
      </c>
      <c r="AV23" s="1167">
        <f t="shared" si="27"/>
        <v>42498</v>
      </c>
      <c r="AW23" s="1164">
        <f t="shared" si="29"/>
        <v>0.85763888888888851</v>
      </c>
      <c r="AX23" s="1167">
        <f t="shared" si="28"/>
        <v>42498</v>
      </c>
      <c r="AY23" s="1166">
        <v>4.5</v>
      </c>
      <c r="AZ23" s="1166">
        <v>15</v>
      </c>
      <c r="BA23" s="1168">
        <f>VLOOKUP(B23,ĐTBT!$V:$W,2,0)</f>
        <v>2</v>
      </c>
      <c r="BB23" s="1168"/>
      <c r="BC23" s="1221"/>
      <c r="BD23" s="1221"/>
      <c r="BE23" s="1222"/>
      <c r="BF23" s="1221"/>
      <c r="BG23" s="1221"/>
      <c r="BH23" s="1221"/>
      <c r="BJ23" s="1168"/>
      <c r="BL23" s="1220"/>
    </row>
    <row r="24" spans="1:64" s="1219" customFormat="1" ht="15">
      <c r="A24" s="1217">
        <f>IF(C24="","",COUNTA($C$13:C24))</f>
        <v>12</v>
      </c>
      <c r="B24" s="1238" t="s">
        <v>613</v>
      </c>
      <c r="C24" s="1164">
        <v>0.33680555555555558</v>
      </c>
      <c r="D24" s="1164">
        <f t="shared" si="0"/>
        <v>0.3576388888888889</v>
      </c>
      <c r="E24" s="1165">
        <v>42499</v>
      </c>
      <c r="F24" s="1164">
        <f t="shared" si="1"/>
        <v>0.36458333333333331</v>
      </c>
      <c r="G24" s="1164">
        <f t="shared" si="2"/>
        <v>0.36805555555555552</v>
      </c>
      <c r="H24" s="1165">
        <f t="shared" si="3"/>
        <v>42499</v>
      </c>
      <c r="I24" s="1166">
        <v>1.4E-2</v>
      </c>
      <c r="J24" s="1166">
        <v>-6.0000000000000001E-3</v>
      </c>
      <c r="K24" s="1166">
        <v>-7.6999999999999999E-2</v>
      </c>
      <c r="L24" s="1166">
        <v>-0.42499999999999999</v>
      </c>
      <c r="M24" s="1164">
        <f t="shared" si="4"/>
        <v>0.37152777777777773</v>
      </c>
      <c r="N24" s="1164">
        <f t="shared" si="5"/>
        <v>0.38194444444444442</v>
      </c>
      <c r="O24" s="1165">
        <f t="shared" si="6"/>
        <v>42499</v>
      </c>
      <c r="P24" s="1166">
        <v>1.06</v>
      </c>
      <c r="Q24" s="1166">
        <v>9</v>
      </c>
      <c r="R24" s="1166">
        <v>26</v>
      </c>
      <c r="S24" s="1166">
        <v>0</v>
      </c>
      <c r="T24" s="1164">
        <f t="shared" si="7"/>
        <v>0.50694444444444442</v>
      </c>
      <c r="U24" s="1167">
        <f t="shared" si="8"/>
        <v>42499</v>
      </c>
      <c r="V24" s="1166">
        <v>17.22</v>
      </c>
      <c r="W24" s="1164">
        <f t="shared" si="9"/>
        <v>0.63194444444444442</v>
      </c>
      <c r="X24" s="1167">
        <f t="shared" si="10"/>
        <v>42499</v>
      </c>
      <c r="Y24" s="1166">
        <v>28.3</v>
      </c>
      <c r="Z24" s="1164">
        <f t="shared" si="11"/>
        <v>0.67361111111111105</v>
      </c>
      <c r="AA24" s="1164">
        <f t="shared" si="12"/>
        <v>0.69444444444444431</v>
      </c>
      <c r="AB24" s="1167">
        <f t="shared" si="13"/>
        <v>42499</v>
      </c>
      <c r="AC24" s="1166">
        <v>28.3</v>
      </c>
      <c r="AD24" s="1164">
        <f t="shared" si="14"/>
        <v>0.70138888888888873</v>
      </c>
      <c r="AE24" s="1164">
        <f t="shared" si="15"/>
        <v>0.71180555555555536</v>
      </c>
      <c r="AF24" s="1167">
        <f t="shared" si="16"/>
        <v>42499</v>
      </c>
      <c r="AG24" s="1164">
        <f t="shared" si="17"/>
        <v>0.71874999999999978</v>
      </c>
      <c r="AH24" s="1164">
        <f t="shared" si="18"/>
        <v>0.76041666666666641</v>
      </c>
      <c r="AI24" s="1167">
        <f t="shared" si="19"/>
        <v>42499</v>
      </c>
      <c r="AJ24" s="1164">
        <f t="shared" si="20"/>
        <v>0.78124999999999967</v>
      </c>
      <c r="AK24" s="1164">
        <f t="shared" si="21"/>
        <v>0.78819444444444409</v>
      </c>
      <c r="AL24" s="1167">
        <f t="shared" si="22"/>
        <v>42499</v>
      </c>
      <c r="AM24" s="1166">
        <v>1.05</v>
      </c>
      <c r="AN24" s="1166">
        <v>9</v>
      </c>
      <c r="AO24" s="1166">
        <v>23</v>
      </c>
      <c r="AP24" s="1166">
        <v>0</v>
      </c>
      <c r="AQ24" s="1164">
        <f t="shared" si="23"/>
        <v>0.78819444444444409</v>
      </c>
      <c r="AR24" s="1164">
        <f t="shared" si="24"/>
        <v>0.79513888888888851</v>
      </c>
      <c r="AS24" s="1167">
        <f t="shared" si="25"/>
        <v>42499</v>
      </c>
      <c r="AT24" s="1166">
        <v>28.3</v>
      </c>
      <c r="AU24" s="1164">
        <f t="shared" si="26"/>
        <v>0.79513888888888851</v>
      </c>
      <c r="AV24" s="1167">
        <f t="shared" si="27"/>
        <v>42499</v>
      </c>
      <c r="AW24" s="1164">
        <f t="shared" si="29"/>
        <v>0.85069444444444409</v>
      </c>
      <c r="AX24" s="1167">
        <f t="shared" si="28"/>
        <v>42499</v>
      </c>
      <c r="AY24" s="1166">
        <v>6.1</v>
      </c>
      <c r="AZ24" s="1166">
        <v>34</v>
      </c>
      <c r="BA24" s="1168">
        <f>VLOOKUP(B24,ĐTBT!$V:$W,2,0)</f>
        <v>4</v>
      </c>
      <c r="BB24" s="1168"/>
      <c r="BC24" s="1221">
        <v>42782</v>
      </c>
      <c r="BD24" s="1221">
        <v>42782</v>
      </c>
      <c r="BE24" s="1222">
        <f>BC24-AX24</f>
        <v>283</v>
      </c>
      <c r="BF24" s="1221">
        <f>BD24+BE24</f>
        <v>43065</v>
      </c>
      <c r="BG24" s="1221">
        <f>BC24-1</f>
        <v>42781</v>
      </c>
      <c r="BH24" s="1221">
        <f>BG24+BE24</f>
        <v>43064</v>
      </c>
      <c r="BJ24" s="1168">
        <f>VLOOKUP(B24,'Thong tin'!A:R,11,0)</f>
        <v>4</v>
      </c>
      <c r="BL24" s="1220">
        <v>42782</v>
      </c>
    </row>
    <row r="25" spans="1:64" s="1219" customFormat="1" ht="15">
      <c r="A25" s="1217">
        <f>IF(C25="","",COUNTA($C$13:C25))</f>
        <v>13</v>
      </c>
      <c r="B25" s="1238" t="s">
        <v>575</v>
      </c>
      <c r="C25" s="1164">
        <v>0.38194444444444442</v>
      </c>
      <c r="D25" s="1164">
        <f t="shared" si="0"/>
        <v>0.40277777777777773</v>
      </c>
      <c r="E25" s="1165">
        <f t="shared" ref="E25" si="33">E24</f>
        <v>42499</v>
      </c>
      <c r="F25" s="1164">
        <f t="shared" si="1"/>
        <v>0.40972222222222215</v>
      </c>
      <c r="G25" s="1164">
        <f t="shared" si="2"/>
        <v>0.41319444444444436</v>
      </c>
      <c r="H25" s="1165">
        <f t="shared" si="3"/>
        <v>42499</v>
      </c>
      <c r="I25" s="1166">
        <v>4.0000000000000001E-3</v>
      </c>
      <c r="J25" s="1166">
        <v>2.8000000000000001E-2</v>
      </c>
      <c r="K25" s="1166">
        <v>-0.30199999999999999</v>
      </c>
      <c r="L25" s="1166">
        <v>-0.60499999999999998</v>
      </c>
      <c r="M25" s="1164">
        <f t="shared" si="4"/>
        <v>0.41666666666666657</v>
      </c>
      <c r="N25" s="1164">
        <f t="shared" si="5"/>
        <v>0.42708333333333326</v>
      </c>
      <c r="O25" s="1165">
        <f t="shared" si="6"/>
        <v>42499</v>
      </c>
      <c r="P25" s="1166">
        <v>1.06</v>
      </c>
      <c r="Q25" s="1166">
        <v>9</v>
      </c>
      <c r="R25" s="1166">
        <v>24</v>
      </c>
      <c r="S25" s="1166">
        <v>0</v>
      </c>
      <c r="T25" s="1164">
        <f t="shared" si="7"/>
        <v>0.55208333333333326</v>
      </c>
      <c r="U25" s="1167">
        <f t="shared" si="8"/>
        <v>42499</v>
      </c>
      <c r="V25" s="1166">
        <v>21.05</v>
      </c>
      <c r="W25" s="1164">
        <f t="shared" si="9"/>
        <v>0.67708333333333326</v>
      </c>
      <c r="X25" s="1167">
        <f t="shared" si="10"/>
        <v>42499</v>
      </c>
      <c r="Y25" s="1166">
        <v>34.409999999999997</v>
      </c>
      <c r="Z25" s="1164">
        <f t="shared" si="11"/>
        <v>0.71874999999999989</v>
      </c>
      <c r="AA25" s="1164">
        <f t="shared" si="12"/>
        <v>0.73958333333333315</v>
      </c>
      <c r="AB25" s="1167">
        <f t="shared" si="13"/>
        <v>42499</v>
      </c>
      <c r="AC25" s="1166">
        <v>34.43</v>
      </c>
      <c r="AD25" s="1164">
        <f t="shared" si="14"/>
        <v>0.74652777777777757</v>
      </c>
      <c r="AE25" s="1164">
        <f t="shared" si="15"/>
        <v>0.7569444444444442</v>
      </c>
      <c r="AF25" s="1167">
        <f t="shared" si="16"/>
        <v>42499</v>
      </c>
      <c r="AG25" s="1164">
        <f t="shared" si="17"/>
        <v>0.76388888888888862</v>
      </c>
      <c r="AH25" s="1164">
        <f t="shared" si="18"/>
        <v>0.79513888888888862</v>
      </c>
      <c r="AI25" s="1167">
        <f t="shared" si="19"/>
        <v>42499</v>
      </c>
      <c r="AJ25" s="1164">
        <f t="shared" si="20"/>
        <v>0.81597222222222188</v>
      </c>
      <c r="AK25" s="1164">
        <f t="shared" si="21"/>
        <v>0.8229166666666663</v>
      </c>
      <c r="AL25" s="1167">
        <f t="shared" si="22"/>
        <v>42499</v>
      </c>
      <c r="AM25" s="1166">
        <v>1.06</v>
      </c>
      <c r="AN25" s="1166">
        <v>9</v>
      </c>
      <c r="AO25" s="1166">
        <v>24</v>
      </c>
      <c r="AP25" s="1166">
        <v>0</v>
      </c>
      <c r="AQ25" s="1164">
        <f t="shared" si="23"/>
        <v>0.8229166666666663</v>
      </c>
      <c r="AR25" s="1164">
        <f t="shared" si="24"/>
        <v>0.82986111111111072</v>
      </c>
      <c r="AS25" s="1167">
        <f t="shared" si="25"/>
        <v>42499</v>
      </c>
      <c r="AT25" s="1166">
        <v>34.43</v>
      </c>
      <c r="AU25" s="1164">
        <f t="shared" si="26"/>
        <v>0.82986111111111072</v>
      </c>
      <c r="AV25" s="1167">
        <f t="shared" si="27"/>
        <v>42499</v>
      </c>
      <c r="AW25" s="1164">
        <f t="shared" si="29"/>
        <v>0.87152777777777735</v>
      </c>
      <c r="AX25" s="1167">
        <f t="shared" si="28"/>
        <v>42499</v>
      </c>
      <c r="AY25" s="1166">
        <v>6.4</v>
      </c>
      <c r="AZ25" s="1166">
        <v>39</v>
      </c>
      <c r="BA25" s="1168">
        <f>VLOOKUP(B25,ĐTBT!$V:$W,2,0)</f>
        <v>3</v>
      </c>
      <c r="BB25" s="1168"/>
      <c r="BC25" s="1221"/>
      <c r="BD25" s="1221"/>
      <c r="BE25" s="1222"/>
      <c r="BF25" s="1221"/>
      <c r="BG25" s="1221"/>
      <c r="BH25" s="1221"/>
      <c r="BJ25" s="1168"/>
      <c r="BL25" s="1220"/>
    </row>
    <row r="26" spans="1:64" s="1219" customFormat="1" ht="15">
      <c r="A26" s="1217">
        <f>IF(C26="","",COUNTA($C$13:C26))</f>
        <v>14</v>
      </c>
      <c r="B26" s="1238" t="s">
        <v>603</v>
      </c>
      <c r="C26" s="1164">
        <v>0.38541666666666669</v>
      </c>
      <c r="D26" s="1164">
        <f t="shared" si="0"/>
        <v>0.40625</v>
      </c>
      <c r="E26" s="1165">
        <v>42500</v>
      </c>
      <c r="F26" s="1164">
        <f t="shared" si="1"/>
        <v>0.41319444444444442</v>
      </c>
      <c r="G26" s="1164">
        <f t="shared" si="2"/>
        <v>0.41666666666666663</v>
      </c>
      <c r="H26" s="1165">
        <f t="shared" si="3"/>
        <v>42500</v>
      </c>
      <c r="I26" s="1166">
        <v>-0.02</v>
      </c>
      <c r="J26" s="1166">
        <v>-8.0000000000000002E-3</v>
      </c>
      <c r="K26" s="1166">
        <v>0.124</v>
      </c>
      <c r="L26" s="1166">
        <v>-0.435</v>
      </c>
      <c r="M26" s="1164">
        <f t="shared" si="4"/>
        <v>0.42013888888888884</v>
      </c>
      <c r="N26" s="1164">
        <f t="shared" si="5"/>
        <v>0.43055555555555552</v>
      </c>
      <c r="O26" s="1165">
        <f t="shared" si="6"/>
        <v>42500</v>
      </c>
      <c r="P26" s="1166">
        <v>1.06</v>
      </c>
      <c r="Q26" s="1166">
        <v>9</v>
      </c>
      <c r="R26" s="1166">
        <v>26</v>
      </c>
      <c r="S26" s="1166">
        <v>0</v>
      </c>
      <c r="T26" s="1164">
        <f t="shared" si="7"/>
        <v>0.55555555555555558</v>
      </c>
      <c r="U26" s="1167">
        <f t="shared" si="8"/>
        <v>42500</v>
      </c>
      <c r="V26" s="1166">
        <v>20.32</v>
      </c>
      <c r="W26" s="1164">
        <f t="shared" si="9"/>
        <v>0.68055555555555558</v>
      </c>
      <c r="X26" s="1167">
        <f t="shared" si="10"/>
        <v>42500</v>
      </c>
      <c r="Y26" s="1166">
        <v>28.61</v>
      </c>
      <c r="Z26" s="1164">
        <f t="shared" si="11"/>
        <v>0.72222222222222221</v>
      </c>
      <c r="AA26" s="1164">
        <f t="shared" si="12"/>
        <v>0.74305555555555547</v>
      </c>
      <c r="AB26" s="1167">
        <f t="shared" si="13"/>
        <v>42500</v>
      </c>
      <c r="AC26" s="1166">
        <v>28.84</v>
      </c>
      <c r="AD26" s="1164">
        <f t="shared" si="14"/>
        <v>0.74999999999999989</v>
      </c>
      <c r="AE26" s="1164">
        <f t="shared" si="15"/>
        <v>0.76041666666666652</v>
      </c>
      <c r="AF26" s="1167">
        <f t="shared" si="16"/>
        <v>42500</v>
      </c>
      <c r="AG26" s="1164">
        <f t="shared" si="17"/>
        <v>0.76736111111111094</v>
      </c>
      <c r="AH26" s="1164">
        <f t="shared" si="18"/>
        <v>0.80902777777777757</v>
      </c>
      <c r="AI26" s="1167">
        <f t="shared" si="19"/>
        <v>42500</v>
      </c>
      <c r="AJ26" s="1164">
        <f t="shared" si="20"/>
        <v>0.82986111111111083</v>
      </c>
      <c r="AK26" s="1164">
        <f t="shared" si="21"/>
        <v>0.83680555555555525</v>
      </c>
      <c r="AL26" s="1167">
        <f t="shared" si="22"/>
        <v>42500</v>
      </c>
      <c r="AM26" s="1166">
        <v>1.06</v>
      </c>
      <c r="AN26" s="1166">
        <v>9</v>
      </c>
      <c r="AO26" s="1166">
        <v>24</v>
      </c>
      <c r="AP26" s="1166">
        <v>0</v>
      </c>
      <c r="AQ26" s="1164">
        <f t="shared" si="23"/>
        <v>0.83680555555555525</v>
      </c>
      <c r="AR26" s="1164">
        <f t="shared" si="24"/>
        <v>0.84374999999999967</v>
      </c>
      <c r="AS26" s="1167">
        <f t="shared" si="25"/>
        <v>42500</v>
      </c>
      <c r="AT26" s="1166">
        <v>28.84</v>
      </c>
      <c r="AU26" s="1164">
        <f t="shared" si="26"/>
        <v>0.84374999999999967</v>
      </c>
      <c r="AV26" s="1167">
        <f t="shared" si="27"/>
        <v>42500</v>
      </c>
      <c r="AW26" s="1164">
        <f t="shared" si="29"/>
        <v>0.8854166666666663</v>
      </c>
      <c r="AX26" s="1167">
        <f t="shared" si="28"/>
        <v>42500</v>
      </c>
      <c r="AY26" s="1166">
        <v>6.5</v>
      </c>
      <c r="AZ26" s="1166">
        <v>31</v>
      </c>
      <c r="BA26" s="1168">
        <f>VLOOKUP(B26,ĐTBT!$V:$W,2,0)</f>
        <v>3</v>
      </c>
      <c r="BB26" s="1168"/>
      <c r="BC26" s="1221">
        <v>42782</v>
      </c>
      <c r="BD26" s="1221">
        <v>42782</v>
      </c>
      <c r="BE26" s="1222">
        <f>BC26-AX26</f>
        <v>282</v>
      </c>
      <c r="BF26" s="1221">
        <f>BD26+BE26</f>
        <v>43064</v>
      </c>
      <c r="BG26" s="1221">
        <f>BC26-1</f>
        <v>42781</v>
      </c>
      <c r="BH26" s="1221">
        <f>BG26+BE26</f>
        <v>43063</v>
      </c>
      <c r="BJ26" s="1168">
        <f>VLOOKUP(B26,'Thong tin'!A:R,11,0)</f>
        <v>4</v>
      </c>
      <c r="BL26" s="1220">
        <v>42782</v>
      </c>
    </row>
    <row r="27" spans="1:64" s="1219" customFormat="1" ht="15">
      <c r="A27" s="1217">
        <f>IF(C27="","",COUNTA($C$13:C27))</f>
        <v>15</v>
      </c>
      <c r="B27" s="1238" t="s">
        <v>560</v>
      </c>
      <c r="C27" s="1164">
        <v>0.39583333333333331</v>
      </c>
      <c r="D27" s="1164">
        <f t="shared" si="0"/>
        <v>0.41666666666666663</v>
      </c>
      <c r="E27" s="1165">
        <f t="shared" ref="E27" si="34">E26</f>
        <v>42500</v>
      </c>
      <c r="F27" s="1164">
        <f t="shared" si="1"/>
        <v>0.42361111111111105</v>
      </c>
      <c r="G27" s="1164">
        <f t="shared" si="2"/>
        <v>0.42708333333333326</v>
      </c>
      <c r="H27" s="1165">
        <f t="shared" si="3"/>
        <v>42500</v>
      </c>
      <c r="I27" s="1166">
        <v>-2.5999999999999999E-2</v>
      </c>
      <c r="J27" s="1166">
        <v>6.0000000000000001E-3</v>
      </c>
      <c r="K27" s="1166">
        <v>-0.47199999999999998</v>
      </c>
      <c r="L27" s="1166">
        <v>-0.73199999999999998</v>
      </c>
      <c r="M27" s="1164">
        <f t="shared" si="4"/>
        <v>0.43055555555555547</v>
      </c>
      <c r="N27" s="1164">
        <f t="shared" si="5"/>
        <v>0.44097222222222215</v>
      </c>
      <c r="O27" s="1165">
        <f t="shared" si="6"/>
        <v>42500</v>
      </c>
      <c r="P27" s="1166">
        <v>1.06</v>
      </c>
      <c r="Q27" s="1166">
        <v>9</v>
      </c>
      <c r="R27" s="1166">
        <v>24</v>
      </c>
      <c r="S27" s="1166">
        <v>0</v>
      </c>
      <c r="T27" s="1164">
        <f t="shared" si="7"/>
        <v>0.5659722222222221</v>
      </c>
      <c r="U27" s="1167">
        <f t="shared" si="8"/>
        <v>42500</v>
      </c>
      <c r="V27" s="1166">
        <v>20.149999999999999</v>
      </c>
      <c r="W27" s="1164">
        <f t="shared" si="9"/>
        <v>0.6909722222222221</v>
      </c>
      <c r="X27" s="1167">
        <f t="shared" si="10"/>
        <v>42500</v>
      </c>
      <c r="Y27" s="1166">
        <v>34.049999999999997</v>
      </c>
      <c r="Z27" s="1164">
        <f t="shared" si="11"/>
        <v>0.73263888888888873</v>
      </c>
      <c r="AA27" s="1164">
        <f t="shared" si="12"/>
        <v>0.75347222222222199</v>
      </c>
      <c r="AB27" s="1167">
        <f t="shared" si="13"/>
        <v>42500</v>
      </c>
      <c r="AC27" s="1166">
        <v>34.049999999999997</v>
      </c>
      <c r="AD27" s="1164">
        <f t="shared" si="14"/>
        <v>0.76041666666666641</v>
      </c>
      <c r="AE27" s="1164">
        <f t="shared" si="15"/>
        <v>0.77083333333333304</v>
      </c>
      <c r="AF27" s="1167">
        <f t="shared" si="16"/>
        <v>42500</v>
      </c>
      <c r="AG27" s="1164">
        <f t="shared" si="17"/>
        <v>0.77777777777777746</v>
      </c>
      <c r="AH27" s="1164">
        <f t="shared" si="18"/>
        <v>0.80902777777777746</v>
      </c>
      <c r="AI27" s="1167">
        <f t="shared" si="19"/>
        <v>42500</v>
      </c>
      <c r="AJ27" s="1164">
        <f t="shared" si="20"/>
        <v>0.82986111111111072</v>
      </c>
      <c r="AK27" s="1164">
        <f t="shared" si="21"/>
        <v>0.83680555555555514</v>
      </c>
      <c r="AL27" s="1167">
        <f t="shared" si="22"/>
        <v>42500</v>
      </c>
      <c r="AM27" s="1166">
        <v>1.06</v>
      </c>
      <c r="AN27" s="1166">
        <v>9</v>
      </c>
      <c r="AO27" s="1166">
        <v>24</v>
      </c>
      <c r="AP27" s="1166">
        <v>0</v>
      </c>
      <c r="AQ27" s="1164">
        <f t="shared" si="23"/>
        <v>0.83680555555555514</v>
      </c>
      <c r="AR27" s="1164">
        <f t="shared" si="24"/>
        <v>0.84374999999999956</v>
      </c>
      <c r="AS27" s="1167">
        <f t="shared" si="25"/>
        <v>42500</v>
      </c>
      <c r="AT27" s="1166">
        <v>34.049999999999997</v>
      </c>
      <c r="AU27" s="1164">
        <f t="shared" si="26"/>
        <v>0.84374999999999956</v>
      </c>
      <c r="AV27" s="1167">
        <f t="shared" si="27"/>
        <v>42500</v>
      </c>
      <c r="AW27" s="1164">
        <f t="shared" si="29"/>
        <v>0.89930555555555514</v>
      </c>
      <c r="AX27" s="1167">
        <f t="shared" si="28"/>
        <v>42500</v>
      </c>
      <c r="AY27" s="1166">
        <v>6.1</v>
      </c>
      <c r="AZ27" s="1166">
        <v>38</v>
      </c>
      <c r="BA27" s="1168">
        <f>VLOOKUP(B27,ĐTBT!$V:$W,2,0)</f>
        <v>4</v>
      </c>
      <c r="BB27" s="1168"/>
      <c r="BC27" s="1221"/>
      <c r="BD27" s="1221"/>
      <c r="BE27" s="1222"/>
      <c r="BF27" s="1221"/>
      <c r="BG27" s="1221"/>
      <c r="BH27" s="1221"/>
      <c r="BJ27" s="1168"/>
      <c r="BL27" s="1220"/>
    </row>
    <row r="28" spans="1:64" s="1219" customFormat="1" ht="15">
      <c r="A28" s="1217">
        <f>IF(C28="","",COUNTA($C$13:C28))</f>
        <v>16</v>
      </c>
      <c r="B28" s="1238" t="s">
        <v>608</v>
      </c>
      <c r="C28" s="1164">
        <v>0.29166666666666669</v>
      </c>
      <c r="D28" s="1164">
        <f t="shared" si="0"/>
        <v>0.3125</v>
      </c>
      <c r="E28" s="1165">
        <v>42501</v>
      </c>
      <c r="F28" s="1164">
        <f t="shared" si="1"/>
        <v>0.31944444444444442</v>
      </c>
      <c r="G28" s="1164">
        <f t="shared" si="2"/>
        <v>0.32291666666666663</v>
      </c>
      <c r="H28" s="1165">
        <f t="shared" si="3"/>
        <v>42501</v>
      </c>
      <c r="I28" s="1166">
        <v>-1.7999999999999999E-2</v>
      </c>
      <c r="J28" s="1166">
        <v>-2E-3</v>
      </c>
      <c r="K28" s="1166">
        <v>-5.1999999999999998E-2</v>
      </c>
      <c r="L28" s="1166">
        <v>-0.3</v>
      </c>
      <c r="M28" s="1164">
        <f t="shared" si="4"/>
        <v>0.32638888888888884</v>
      </c>
      <c r="N28" s="1164">
        <f t="shared" si="5"/>
        <v>0.33680555555555552</v>
      </c>
      <c r="O28" s="1165">
        <f t="shared" si="6"/>
        <v>42501</v>
      </c>
      <c r="P28" s="1166">
        <v>1.06</v>
      </c>
      <c r="Q28" s="1166">
        <v>9</v>
      </c>
      <c r="R28" s="1166">
        <v>25</v>
      </c>
      <c r="S28" s="1166">
        <v>0</v>
      </c>
      <c r="T28" s="1164">
        <f t="shared" si="7"/>
        <v>0.46180555555555552</v>
      </c>
      <c r="U28" s="1167">
        <f t="shared" si="8"/>
        <v>42501</v>
      </c>
      <c r="V28" s="1166">
        <v>19.32</v>
      </c>
      <c r="W28" s="1164">
        <f t="shared" si="9"/>
        <v>0.58680555555555558</v>
      </c>
      <c r="X28" s="1167">
        <f t="shared" si="10"/>
        <v>42501</v>
      </c>
      <c r="Y28" s="1166">
        <v>28.36</v>
      </c>
      <c r="Z28" s="1164">
        <f t="shared" si="11"/>
        <v>0.62847222222222221</v>
      </c>
      <c r="AA28" s="1164">
        <f t="shared" si="12"/>
        <v>0.64930555555555547</v>
      </c>
      <c r="AB28" s="1167">
        <f t="shared" si="13"/>
        <v>42501</v>
      </c>
      <c r="AC28" s="1166">
        <v>28.36</v>
      </c>
      <c r="AD28" s="1164">
        <f t="shared" si="14"/>
        <v>0.65624999999999989</v>
      </c>
      <c r="AE28" s="1164">
        <f t="shared" si="15"/>
        <v>0.66666666666666652</v>
      </c>
      <c r="AF28" s="1167">
        <f t="shared" si="16"/>
        <v>42501</v>
      </c>
      <c r="AG28" s="1164">
        <f t="shared" si="17"/>
        <v>0.67361111111111094</v>
      </c>
      <c r="AH28" s="1164">
        <f t="shared" si="18"/>
        <v>0.71527777777777757</v>
      </c>
      <c r="AI28" s="1167">
        <f t="shared" si="19"/>
        <v>42501</v>
      </c>
      <c r="AJ28" s="1164">
        <f t="shared" si="20"/>
        <v>0.73611111111111083</v>
      </c>
      <c r="AK28" s="1164">
        <f t="shared" si="21"/>
        <v>0.74305555555555525</v>
      </c>
      <c r="AL28" s="1167">
        <f t="shared" si="22"/>
        <v>42501</v>
      </c>
      <c r="AM28" s="1166">
        <v>1.05</v>
      </c>
      <c r="AN28" s="1166">
        <v>9</v>
      </c>
      <c r="AO28" s="1166">
        <v>25</v>
      </c>
      <c r="AP28" s="1166">
        <v>0</v>
      </c>
      <c r="AQ28" s="1164">
        <f t="shared" si="23"/>
        <v>0.74305555555555525</v>
      </c>
      <c r="AR28" s="1164">
        <f t="shared" si="24"/>
        <v>0.74999999999999967</v>
      </c>
      <c r="AS28" s="1167">
        <f t="shared" si="25"/>
        <v>42501</v>
      </c>
      <c r="AT28" s="1166">
        <v>28.36</v>
      </c>
      <c r="AU28" s="1164">
        <f t="shared" si="26"/>
        <v>0.74999999999999967</v>
      </c>
      <c r="AV28" s="1167">
        <f t="shared" si="27"/>
        <v>42501</v>
      </c>
      <c r="AW28" s="1164">
        <f t="shared" si="29"/>
        <v>0.7916666666666663</v>
      </c>
      <c r="AX28" s="1167">
        <f t="shared" si="28"/>
        <v>42501</v>
      </c>
      <c r="AY28" s="1166">
        <v>6.3</v>
      </c>
      <c r="AZ28" s="1166">
        <v>32</v>
      </c>
      <c r="BA28" s="1168">
        <f>VLOOKUP(B28,ĐTBT!$V:$W,2,0)</f>
        <v>3</v>
      </c>
      <c r="BB28" s="1168"/>
      <c r="BC28" s="1221">
        <v>42786</v>
      </c>
      <c r="BD28" s="1221">
        <v>42786</v>
      </c>
      <c r="BE28" s="1222">
        <f>BC28-AX28</f>
        <v>285</v>
      </c>
      <c r="BF28" s="1221">
        <f>BD28+BE28</f>
        <v>43071</v>
      </c>
      <c r="BG28" s="1221">
        <f>BC28-1</f>
        <v>42785</v>
      </c>
      <c r="BH28" s="1221">
        <f>BG28+BE28</f>
        <v>43070</v>
      </c>
      <c r="BJ28" s="1168">
        <f>VLOOKUP(B28,'Thong tin'!A:R,11,0)</f>
        <v>4</v>
      </c>
      <c r="BL28" s="1220">
        <v>42786</v>
      </c>
    </row>
    <row r="29" spans="1:64" s="1219" customFormat="1" ht="15">
      <c r="A29" s="1217">
        <f>IF(C29="","",COUNTA($C$13:C29))</f>
        <v>17</v>
      </c>
      <c r="B29" s="1238" t="s">
        <v>570</v>
      </c>
      <c r="C29" s="1164">
        <v>0.3125</v>
      </c>
      <c r="D29" s="1164">
        <f t="shared" si="0"/>
        <v>0.33333333333333331</v>
      </c>
      <c r="E29" s="1165">
        <f t="shared" ref="E29" si="35">E28</f>
        <v>42501</v>
      </c>
      <c r="F29" s="1164">
        <f t="shared" si="1"/>
        <v>0.34027777777777773</v>
      </c>
      <c r="G29" s="1164">
        <f t="shared" si="2"/>
        <v>0.34374999999999994</v>
      </c>
      <c r="H29" s="1165">
        <f t="shared" si="3"/>
        <v>42501</v>
      </c>
      <c r="I29" s="1166">
        <v>1.6E-2</v>
      </c>
      <c r="J29" s="1166">
        <v>1.2999999999999999E-2</v>
      </c>
      <c r="K29" s="1166">
        <v>-4.2000000000000003E-2</v>
      </c>
      <c r="L29" s="1166">
        <v>-0.4</v>
      </c>
      <c r="M29" s="1164">
        <f t="shared" si="4"/>
        <v>0.34722222222222215</v>
      </c>
      <c r="N29" s="1164">
        <f t="shared" si="5"/>
        <v>0.35763888888888884</v>
      </c>
      <c r="O29" s="1165">
        <f t="shared" si="6"/>
        <v>42501</v>
      </c>
      <c r="P29" s="1166">
        <v>1.07</v>
      </c>
      <c r="Q29" s="1166">
        <v>9</v>
      </c>
      <c r="R29" s="1166">
        <v>26</v>
      </c>
      <c r="S29" s="1166">
        <v>0</v>
      </c>
      <c r="T29" s="1164">
        <f t="shared" si="7"/>
        <v>0.48263888888888884</v>
      </c>
      <c r="U29" s="1167">
        <f t="shared" si="8"/>
        <v>42501</v>
      </c>
      <c r="V29" s="1166">
        <v>20.51</v>
      </c>
      <c r="W29" s="1164">
        <f t="shared" si="9"/>
        <v>0.60763888888888884</v>
      </c>
      <c r="X29" s="1167">
        <f t="shared" si="10"/>
        <v>42501</v>
      </c>
      <c r="Y29" s="1166">
        <v>34.67</v>
      </c>
      <c r="Z29" s="1164">
        <f t="shared" si="11"/>
        <v>0.64930555555555547</v>
      </c>
      <c r="AA29" s="1164">
        <f t="shared" si="12"/>
        <v>0.67013888888888873</v>
      </c>
      <c r="AB29" s="1167">
        <f t="shared" si="13"/>
        <v>42501</v>
      </c>
      <c r="AC29" s="1166">
        <v>34.67</v>
      </c>
      <c r="AD29" s="1164">
        <f t="shared" si="14"/>
        <v>0.67708333333333315</v>
      </c>
      <c r="AE29" s="1164">
        <f t="shared" si="15"/>
        <v>0.68749999999999978</v>
      </c>
      <c r="AF29" s="1167">
        <f t="shared" si="16"/>
        <v>42501</v>
      </c>
      <c r="AG29" s="1164">
        <f t="shared" si="17"/>
        <v>0.6944444444444442</v>
      </c>
      <c r="AH29" s="1164">
        <f t="shared" si="18"/>
        <v>0.73611111111111083</v>
      </c>
      <c r="AI29" s="1167">
        <f t="shared" si="19"/>
        <v>42501</v>
      </c>
      <c r="AJ29" s="1164">
        <f t="shared" si="20"/>
        <v>0.75694444444444409</v>
      </c>
      <c r="AK29" s="1164">
        <f t="shared" si="21"/>
        <v>0.76388888888888851</v>
      </c>
      <c r="AL29" s="1167">
        <f t="shared" si="22"/>
        <v>42501</v>
      </c>
      <c r="AM29" s="1166">
        <v>1.06</v>
      </c>
      <c r="AN29" s="1166">
        <v>9</v>
      </c>
      <c r="AO29" s="1166">
        <v>26</v>
      </c>
      <c r="AP29" s="1166">
        <v>0</v>
      </c>
      <c r="AQ29" s="1164">
        <f t="shared" si="23"/>
        <v>0.76388888888888851</v>
      </c>
      <c r="AR29" s="1164">
        <f t="shared" si="24"/>
        <v>0.77083333333333293</v>
      </c>
      <c r="AS29" s="1167">
        <f t="shared" si="25"/>
        <v>42501</v>
      </c>
      <c r="AT29" s="1166">
        <v>34.67</v>
      </c>
      <c r="AU29" s="1164">
        <f t="shared" si="26"/>
        <v>0.77083333333333293</v>
      </c>
      <c r="AV29" s="1167">
        <f t="shared" si="27"/>
        <v>42501</v>
      </c>
      <c r="AW29" s="1164">
        <f t="shared" si="29"/>
        <v>0.81249999999999956</v>
      </c>
      <c r="AX29" s="1167">
        <f t="shared" si="28"/>
        <v>42501</v>
      </c>
      <c r="AY29" s="1166">
        <v>6.5</v>
      </c>
      <c r="AZ29" s="1166">
        <v>34</v>
      </c>
      <c r="BA29" s="1168">
        <f>VLOOKUP(B29,ĐTBT!$V:$W,2,0)</f>
        <v>3</v>
      </c>
      <c r="BB29" s="1168"/>
      <c r="BC29" s="1221">
        <v>42783</v>
      </c>
      <c r="BD29" s="1221">
        <v>42783</v>
      </c>
      <c r="BE29" s="1222">
        <f>BC29-AX29</f>
        <v>282</v>
      </c>
      <c r="BF29" s="1221">
        <f>BD29+BE29</f>
        <v>43065</v>
      </c>
      <c r="BG29" s="1221">
        <f>BC29-1</f>
        <v>42782</v>
      </c>
      <c r="BH29" s="1221">
        <f>BG29+BE29</f>
        <v>43064</v>
      </c>
      <c r="BJ29" s="1168">
        <f>VLOOKUP(B29,'Thong tin'!A:R,11,0)</f>
        <v>4</v>
      </c>
      <c r="BL29" s="1220">
        <v>42783</v>
      </c>
    </row>
    <row r="30" spans="1:64" s="1219" customFormat="1" ht="15">
      <c r="A30" s="1217">
        <f>IF(C30="","",COUNTA($C$13:C30))</f>
        <v>18</v>
      </c>
      <c r="B30" s="1238" t="s">
        <v>555</v>
      </c>
      <c r="C30" s="1164">
        <v>0.31597222222222221</v>
      </c>
      <c r="D30" s="1164">
        <f t="shared" si="0"/>
        <v>0.33680555555555552</v>
      </c>
      <c r="E30" s="1165">
        <v>42502</v>
      </c>
      <c r="F30" s="1164">
        <f t="shared" si="1"/>
        <v>0.34374999999999994</v>
      </c>
      <c r="G30" s="1164">
        <f t="shared" si="2"/>
        <v>0.34722222222222215</v>
      </c>
      <c r="H30" s="1165">
        <f t="shared" si="3"/>
        <v>42502</v>
      </c>
      <c r="I30" s="1166">
        <v>-2.3E-2</v>
      </c>
      <c r="J30" s="1166">
        <v>1.7000000000000001E-2</v>
      </c>
      <c r="K30" s="1166">
        <v>-0.38200000000000001</v>
      </c>
      <c r="L30" s="1166">
        <v>-0.63200000000000001</v>
      </c>
      <c r="M30" s="1164">
        <f t="shared" si="4"/>
        <v>0.35069444444444436</v>
      </c>
      <c r="N30" s="1164">
        <f t="shared" si="5"/>
        <v>0.36111111111111105</v>
      </c>
      <c r="O30" s="1165">
        <f t="shared" si="6"/>
        <v>42502</v>
      </c>
      <c r="P30" s="1166">
        <v>1.06</v>
      </c>
      <c r="Q30" s="1166">
        <v>9</v>
      </c>
      <c r="R30" s="1166">
        <v>24</v>
      </c>
      <c r="S30" s="1166">
        <v>0</v>
      </c>
      <c r="T30" s="1164">
        <f t="shared" si="7"/>
        <v>0.48611111111111105</v>
      </c>
      <c r="U30" s="1167">
        <f t="shared" si="8"/>
        <v>42502</v>
      </c>
      <c r="V30" s="1166">
        <v>21.52</v>
      </c>
      <c r="W30" s="1164">
        <f t="shared" si="9"/>
        <v>0.61111111111111105</v>
      </c>
      <c r="X30" s="1167">
        <f t="shared" si="10"/>
        <v>42502</v>
      </c>
      <c r="Y30" s="1166">
        <v>34.049999999999997</v>
      </c>
      <c r="Z30" s="1164">
        <f t="shared" si="11"/>
        <v>0.65277777777777768</v>
      </c>
      <c r="AA30" s="1164">
        <f t="shared" si="12"/>
        <v>0.67361111111111094</v>
      </c>
      <c r="AB30" s="1167">
        <f t="shared" si="13"/>
        <v>42502</v>
      </c>
      <c r="AC30" s="1166">
        <v>34.049999999999997</v>
      </c>
      <c r="AD30" s="1164">
        <f t="shared" si="14"/>
        <v>0.68055555555555536</v>
      </c>
      <c r="AE30" s="1164">
        <f t="shared" si="15"/>
        <v>0.69097222222222199</v>
      </c>
      <c r="AF30" s="1167">
        <f t="shared" si="16"/>
        <v>42502</v>
      </c>
      <c r="AG30" s="1164">
        <f t="shared" si="17"/>
        <v>0.69791666666666641</v>
      </c>
      <c r="AH30" s="1164">
        <f t="shared" si="18"/>
        <v>0.72916666666666641</v>
      </c>
      <c r="AI30" s="1167">
        <f t="shared" si="19"/>
        <v>42502</v>
      </c>
      <c r="AJ30" s="1164">
        <f t="shared" si="20"/>
        <v>0.74999999999999967</v>
      </c>
      <c r="AK30" s="1164">
        <f t="shared" si="21"/>
        <v>0.75694444444444409</v>
      </c>
      <c r="AL30" s="1167">
        <f t="shared" si="22"/>
        <v>42502</v>
      </c>
      <c r="AM30" s="1166">
        <v>1.06</v>
      </c>
      <c r="AN30" s="1166">
        <v>9</v>
      </c>
      <c r="AO30" s="1166">
        <v>24</v>
      </c>
      <c r="AP30" s="1166">
        <v>0</v>
      </c>
      <c r="AQ30" s="1164">
        <f t="shared" si="23"/>
        <v>0.75694444444444409</v>
      </c>
      <c r="AR30" s="1164">
        <f t="shared" si="24"/>
        <v>0.76388888888888851</v>
      </c>
      <c r="AS30" s="1167">
        <f t="shared" si="25"/>
        <v>42502</v>
      </c>
      <c r="AT30" s="1166">
        <v>34.049999999999997</v>
      </c>
      <c r="AU30" s="1164">
        <f t="shared" si="26"/>
        <v>0.76388888888888851</v>
      </c>
      <c r="AV30" s="1167">
        <f t="shared" si="27"/>
        <v>42502</v>
      </c>
      <c r="AW30" s="1164">
        <f t="shared" si="29"/>
        <v>0.81944444444444409</v>
      </c>
      <c r="AX30" s="1167">
        <f t="shared" si="28"/>
        <v>42502</v>
      </c>
      <c r="AY30" s="1166">
        <v>6.3</v>
      </c>
      <c r="AZ30" s="1166">
        <v>38.5</v>
      </c>
      <c r="BA30" s="1168">
        <f>VLOOKUP(B30,ĐTBT!$V:$W,2,0)</f>
        <v>4</v>
      </c>
      <c r="BB30" s="1168"/>
      <c r="BC30" s="1221"/>
      <c r="BD30" s="1221"/>
      <c r="BE30" s="1222"/>
      <c r="BF30" s="1221"/>
      <c r="BG30" s="1221"/>
      <c r="BH30" s="1221"/>
      <c r="BJ30" s="1168"/>
      <c r="BL30" s="1220"/>
    </row>
    <row r="31" spans="1:64" s="1219" customFormat="1" ht="15">
      <c r="A31" s="1217">
        <f>IF(C31="","",COUNTA($C$13:C31))</f>
        <v>19</v>
      </c>
      <c r="B31" s="1238" t="s">
        <v>598</v>
      </c>
      <c r="C31" s="1164">
        <v>0.31944444444444448</v>
      </c>
      <c r="D31" s="1164">
        <f t="shared" si="0"/>
        <v>0.34027777777777779</v>
      </c>
      <c r="E31" s="1165">
        <f t="shared" ref="E31" si="36">E30</f>
        <v>42502</v>
      </c>
      <c r="F31" s="1164">
        <f t="shared" si="1"/>
        <v>0.34722222222222221</v>
      </c>
      <c r="G31" s="1164">
        <f t="shared" si="2"/>
        <v>0.35069444444444442</v>
      </c>
      <c r="H31" s="1165">
        <f t="shared" si="3"/>
        <v>42502</v>
      </c>
      <c r="I31" s="1166">
        <v>3.0000000000000001E-3</v>
      </c>
      <c r="J31" s="1166">
        <v>-1.4E-2</v>
      </c>
      <c r="K31" s="1166">
        <v>-0.19700000000000001</v>
      </c>
      <c r="L31" s="1166">
        <v>-0.54</v>
      </c>
      <c r="M31" s="1164">
        <f t="shared" si="4"/>
        <v>0.35416666666666663</v>
      </c>
      <c r="N31" s="1164">
        <f t="shared" si="5"/>
        <v>0.36458333333333331</v>
      </c>
      <c r="O31" s="1165">
        <f t="shared" si="6"/>
        <v>42502</v>
      </c>
      <c r="P31" s="1166">
        <v>1.05</v>
      </c>
      <c r="Q31" s="1166">
        <v>9</v>
      </c>
      <c r="R31" s="1166">
        <v>24</v>
      </c>
      <c r="S31" s="1166">
        <v>0</v>
      </c>
      <c r="T31" s="1164">
        <f t="shared" si="7"/>
        <v>0.48958333333333331</v>
      </c>
      <c r="U31" s="1167">
        <f t="shared" si="8"/>
        <v>42502</v>
      </c>
      <c r="V31" s="1166">
        <v>20.52</v>
      </c>
      <c r="W31" s="1164">
        <f t="shared" si="9"/>
        <v>0.61458333333333326</v>
      </c>
      <c r="X31" s="1167">
        <f t="shared" si="10"/>
        <v>42502</v>
      </c>
      <c r="Y31" s="1166">
        <v>28.25</v>
      </c>
      <c r="Z31" s="1164">
        <f t="shared" si="11"/>
        <v>0.65624999999999989</v>
      </c>
      <c r="AA31" s="1164">
        <f t="shared" si="12"/>
        <v>0.67708333333333315</v>
      </c>
      <c r="AB31" s="1167">
        <f t="shared" si="13"/>
        <v>42502</v>
      </c>
      <c r="AC31" s="1166">
        <v>28.31</v>
      </c>
      <c r="AD31" s="1164">
        <f t="shared" si="14"/>
        <v>0.68402777777777757</v>
      </c>
      <c r="AE31" s="1164">
        <f t="shared" si="15"/>
        <v>0.6944444444444442</v>
      </c>
      <c r="AF31" s="1167">
        <f t="shared" si="16"/>
        <v>42502</v>
      </c>
      <c r="AG31" s="1164">
        <f t="shared" si="17"/>
        <v>0.70138888888888862</v>
      </c>
      <c r="AH31" s="1164">
        <f t="shared" si="18"/>
        <v>0.74305555555555525</v>
      </c>
      <c r="AI31" s="1167">
        <f t="shared" si="19"/>
        <v>42502</v>
      </c>
      <c r="AJ31" s="1164">
        <f t="shared" si="20"/>
        <v>0.76388888888888851</v>
      </c>
      <c r="AK31" s="1164">
        <f t="shared" si="21"/>
        <v>0.77083333333333293</v>
      </c>
      <c r="AL31" s="1167">
        <f t="shared" si="22"/>
        <v>42502</v>
      </c>
      <c r="AM31" s="1166">
        <v>1.05</v>
      </c>
      <c r="AN31" s="1166">
        <v>9</v>
      </c>
      <c r="AO31" s="1166">
        <v>24</v>
      </c>
      <c r="AP31" s="1166">
        <v>0</v>
      </c>
      <c r="AQ31" s="1164">
        <f t="shared" si="23"/>
        <v>0.77083333333333293</v>
      </c>
      <c r="AR31" s="1164">
        <f t="shared" si="24"/>
        <v>0.77777777777777735</v>
      </c>
      <c r="AS31" s="1167">
        <f t="shared" si="25"/>
        <v>42502</v>
      </c>
      <c r="AT31" s="1166">
        <v>28.31</v>
      </c>
      <c r="AU31" s="1164">
        <f t="shared" si="26"/>
        <v>0.77777777777777735</v>
      </c>
      <c r="AV31" s="1167">
        <f t="shared" si="27"/>
        <v>42502</v>
      </c>
      <c r="AW31" s="1164">
        <f t="shared" si="29"/>
        <v>0.81944444444444398</v>
      </c>
      <c r="AX31" s="1167">
        <f t="shared" si="28"/>
        <v>42502</v>
      </c>
      <c r="AY31" s="1166">
        <v>6.4</v>
      </c>
      <c r="AZ31" s="1166">
        <v>27</v>
      </c>
      <c r="BA31" s="1168">
        <f>VLOOKUP(B31,ĐTBT!$V:$W,2,0)</f>
        <v>3</v>
      </c>
      <c r="BB31" s="1168"/>
      <c r="BC31" s="1221">
        <v>42784</v>
      </c>
      <c r="BD31" s="1221">
        <v>42784</v>
      </c>
      <c r="BE31" s="1222">
        <f>BC31-AX31</f>
        <v>282</v>
      </c>
      <c r="BF31" s="1221">
        <f>BD31+BE31</f>
        <v>43066</v>
      </c>
      <c r="BG31" s="1221">
        <f>BC31-1</f>
        <v>42783</v>
      </c>
      <c r="BH31" s="1221">
        <f>BG31+BE31</f>
        <v>43065</v>
      </c>
      <c r="BJ31" s="1168">
        <f>VLOOKUP(B31,'Thong tin'!A:R,11,0)</f>
        <v>3</v>
      </c>
      <c r="BL31" s="1220">
        <v>42784</v>
      </c>
    </row>
    <row r="32" spans="1:64" s="1219" customFormat="1" ht="15">
      <c r="A32" s="1217">
        <f>IF(C32="","",COUNTA($C$13:C32))</f>
        <v>20</v>
      </c>
      <c r="B32" s="1238" t="s">
        <v>641</v>
      </c>
      <c r="C32" s="1164">
        <v>0.3888888888888889</v>
      </c>
      <c r="D32" s="1164">
        <f t="shared" si="0"/>
        <v>0.40972222222222221</v>
      </c>
      <c r="E32" s="1165">
        <v>42503</v>
      </c>
      <c r="F32" s="1164">
        <f t="shared" si="1"/>
        <v>0.41666666666666663</v>
      </c>
      <c r="G32" s="1164">
        <f t="shared" si="2"/>
        <v>0.42013888888888884</v>
      </c>
      <c r="H32" s="1165">
        <f t="shared" si="3"/>
        <v>42503</v>
      </c>
      <c r="I32" s="1166">
        <v>2.4E-2</v>
      </c>
      <c r="J32" s="1166">
        <v>0.01</v>
      </c>
      <c r="K32" s="1166">
        <v>0.152</v>
      </c>
      <c r="L32" s="1166">
        <v>-0.35</v>
      </c>
      <c r="M32" s="1164">
        <f t="shared" si="4"/>
        <v>0.42361111111111105</v>
      </c>
      <c r="N32" s="1164">
        <f t="shared" si="5"/>
        <v>0.43402777777777773</v>
      </c>
      <c r="O32" s="1165">
        <f t="shared" si="6"/>
        <v>42503</v>
      </c>
      <c r="P32" s="1166">
        <v>1.06</v>
      </c>
      <c r="Q32" s="1166">
        <v>9</v>
      </c>
      <c r="R32" s="1166">
        <v>25</v>
      </c>
      <c r="S32" s="1166">
        <v>0</v>
      </c>
      <c r="T32" s="1164">
        <f t="shared" si="7"/>
        <v>0.55902777777777768</v>
      </c>
      <c r="U32" s="1167">
        <f t="shared" si="8"/>
        <v>42503</v>
      </c>
      <c r="V32" s="1166">
        <v>20.059999999999999</v>
      </c>
      <c r="W32" s="1164">
        <f t="shared" si="9"/>
        <v>0.68402777777777768</v>
      </c>
      <c r="X32" s="1167">
        <f t="shared" si="10"/>
        <v>42503</v>
      </c>
      <c r="Y32" s="1166">
        <v>28.58</v>
      </c>
      <c r="Z32" s="1164">
        <f t="shared" si="11"/>
        <v>0.72569444444444431</v>
      </c>
      <c r="AA32" s="1164">
        <f t="shared" si="12"/>
        <v>0.74652777777777757</v>
      </c>
      <c r="AB32" s="1167">
        <f t="shared" si="13"/>
        <v>42503</v>
      </c>
      <c r="AC32" s="1166">
        <v>28.63</v>
      </c>
      <c r="AD32" s="1164">
        <f t="shared" si="14"/>
        <v>0.75347222222222199</v>
      </c>
      <c r="AE32" s="1164">
        <f t="shared" si="15"/>
        <v>0.76388888888888862</v>
      </c>
      <c r="AF32" s="1167">
        <f t="shared" si="16"/>
        <v>42503</v>
      </c>
      <c r="AG32" s="1164">
        <f t="shared" si="17"/>
        <v>0.77083333333333304</v>
      </c>
      <c r="AH32" s="1164">
        <f t="shared" si="18"/>
        <v>0.80208333333333304</v>
      </c>
      <c r="AI32" s="1167">
        <f t="shared" si="19"/>
        <v>42503</v>
      </c>
      <c r="AJ32" s="1164">
        <f t="shared" si="20"/>
        <v>0.8229166666666663</v>
      </c>
      <c r="AK32" s="1164">
        <f t="shared" si="21"/>
        <v>0.82986111111111072</v>
      </c>
      <c r="AL32" s="1167">
        <f t="shared" si="22"/>
        <v>42503</v>
      </c>
      <c r="AM32" s="1166">
        <v>1.06</v>
      </c>
      <c r="AN32" s="1166">
        <v>9</v>
      </c>
      <c r="AO32" s="1166">
        <v>25</v>
      </c>
      <c r="AP32" s="1166">
        <v>0</v>
      </c>
      <c r="AQ32" s="1164">
        <f t="shared" si="23"/>
        <v>0.82986111111111072</v>
      </c>
      <c r="AR32" s="1164">
        <f t="shared" si="24"/>
        <v>0.83680555555555514</v>
      </c>
      <c r="AS32" s="1167">
        <f t="shared" si="25"/>
        <v>42503</v>
      </c>
      <c r="AT32" s="1166">
        <v>28.63</v>
      </c>
      <c r="AU32" s="1164">
        <f t="shared" si="26"/>
        <v>0.83680555555555514</v>
      </c>
      <c r="AV32" s="1167">
        <f t="shared" si="27"/>
        <v>42503</v>
      </c>
      <c r="AW32" s="1164">
        <f t="shared" si="29"/>
        <v>0.87847222222222177</v>
      </c>
      <c r="AX32" s="1167">
        <f t="shared" si="28"/>
        <v>42503</v>
      </c>
      <c r="AY32" s="1166">
        <v>5</v>
      </c>
      <c r="AZ32" s="1166">
        <v>29</v>
      </c>
      <c r="BA32" s="1168">
        <f>VLOOKUP(B32,ĐTBT!$V:$W,2,0)</f>
        <v>3</v>
      </c>
      <c r="BB32" s="1168"/>
      <c r="BC32" s="1221"/>
      <c r="BD32" s="1221"/>
      <c r="BE32" s="1222"/>
      <c r="BF32" s="1221"/>
      <c r="BG32" s="1221"/>
      <c r="BH32" s="1221"/>
      <c r="BJ32" s="1168"/>
      <c r="BL32" s="1220"/>
    </row>
    <row r="33" spans="1:76" s="1219" customFormat="1" ht="15">
      <c r="A33" s="1217">
        <f>IF(C33="","",COUNTA($C$13:C33))</f>
        <v>21</v>
      </c>
      <c r="B33" s="1238" t="s">
        <v>565</v>
      </c>
      <c r="C33" s="1164">
        <v>0.39583333333333331</v>
      </c>
      <c r="D33" s="1164">
        <f t="shared" si="0"/>
        <v>0.41666666666666663</v>
      </c>
      <c r="E33" s="1165">
        <f t="shared" ref="E33" si="37">E32</f>
        <v>42503</v>
      </c>
      <c r="F33" s="1164">
        <f t="shared" si="1"/>
        <v>0.42361111111111105</v>
      </c>
      <c r="G33" s="1164">
        <f t="shared" si="2"/>
        <v>0.42708333333333326</v>
      </c>
      <c r="H33" s="1165">
        <f t="shared" si="3"/>
        <v>42503</v>
      </c>
      <c r="I33" s="1166">
        <v>2.1000000000000001E-2</v>
      </c>
      <c r="J33" s="1166">
        <v>3.0000000000000001E-3</v>
      </c>
      <c r="K33" s="1166">
        <v>-0.33300000000000002</v>
      </c>
      <c r="L33" s="1166">
        <v>-0.66300000000000003</v>
      </c>
      <c r="M33" s="1164">
        <f t="shared" si="4"/>
        <v>0.43055555555555547</v>
      </c>
      <c r="N33" s="1164">
        <f t="shared" si="5"/>
        <v>0.44097222222222215</v>
      </c>
      <c r="O33" s="1165">
        <f t="shared" si="6"/>
        <v>42503</v>
      </c>
      <c r="P33" s="1166">
        <v>1.06</v>
      </c>
      <c r="Q33" s="1166">
        <v>9</v>
      </c>
      <c r="R33" s="1166">
        <v>27</v>
      </c>
      <c r="S33" s="1166">
        <v>0</v>
      </c>
      <c r="T33" s="1164">
        <f t="shared" si="7"/>
        <v>0.5659722222222221</v>
      </c>
      <c r="U33" s="1167">
        <f t="shared" si="8"/>
        <v>42503</v>
      </c>
      <c r="V33" s="1166">
        <v>21.22</v>
      </c>
      <c r="W33" s="1164">
        <f t="shared" si="9"/>
        <v>0.6909722222222221</v>
      </c>
      <c r="X33" s="1167">
        <f t="shared" si="10"/>
        <v>42503</v>
      </c>
      <c r="Y33" s="1166">
        <v>34.42</v>
      </c>
      <c r="Z33" s="1164">
        <f t="shared" si="11"/>
        <v>0.73263888888888873</v>
      </c>
      <c r="AA33" s="1164">
        <f t="shared" si="12"/>
        <v>0.75347222222222199</v>
      </c>
      <c r="AB33" s="1167">
        <f t="shared" si="13"/>
        <v>42503</v>
      </c>
      <c r="AC33" s="1166">
        <v>34.42</v>
      </c>
      <c r="AD33" s="1164">
        <f t="shared" si="14"/>
        <v>0.76041666666666641</v>
      </c>
      <c r="AE33" s="1164">
        <f t="shared" si="15"/>
        <v>0.77083333333333304</v>
      </c>
      <c r="AF33" s="1167">
        <f t="shared" si="16"/>
        <v>42503</v>
      </c>
      <c r="AG33" s="1164">
        <f t="shared" si="17"/>
        <v>0.77777777777777746</v>
      </c>
      <c r="AH33" s="1164">
        <f t="shared" si="18"/>
        <v>0.80902777777777746</v>
      </c>
      <c r="AI33" s="1167">
        <f t="shared" si="19"/>
        <v>42503</v>
      </c>
      <c r="AJ33" s="1164">
        <f t="shared" si="20"/>
        <v>0.82986111111111072</v>
      </c>
      <c r="AK33" s="1164">
        <f t="shared" si="21"/>
        <v>0.83680555555555514</v>
      </c>
      <c r="AL33" s="1167">
        <f t="shared" si="22"/>
        <v>42503</v>
      </c>
      <c r="AM33" s="1166">
        <v>1.05</v>
      </c>
      <c r="AN33" s="1166">
        <v>9</v>
      </c>
      <c r="AO33" s="1166">
        <v>22</v>
      </c>
      <c r="AP33" s="1166">
        <v>0</v>
      </c>
      <c r="AQ33" s="1164">
        <f t="shared" si="23"/>
        <v>0.83680555555555514</v>
      </c>
      <c r="AR33" s="1164">
        <f t="shared" si="24"/>
        <v>0.84374999999999956</v>
      </c>
      <c r="AS33" s="1167">
        <f t="shared" si="25"/>
        <v>42503</v>
      </c>
      <c r="AT33" s="1166">
        <v>34.42</v>
      </c>
      <c r="AU33" s="1164">
        <f t="shared" si="26"/>
        <v>0.84374999999999956</v>
      </c>
      <c r="AV33" s="1167">
        <f t="shared" si="27"/>
        <v>42503</v>
      </c>
      <c r="AW33" s="1164">
        <f t="shared" si="29"/>
        <v>0.88541666666666619</v>
      </c>
      <c r="AX33" s="1167">
        <f t="shared" si="28"/>
        <v>42503</v>
      </c>
      <c r="AY33" s="1166">
        <v>6.2</v>
      </c>
      <c r="AZ33" s="1166">
        <v>35</v>
      </c>
      <c r="BA33" s="1168">
        <f>VLOOKUP(B33,ĐTBT!$V:$W,2,0)</f>
        <v>3</v>
      </c>
      <c r="BB33" s="1168"/>
      <c r="BC33" s="1221"/>
      <c r="BD33" s="1221"/>
      <c r="BE33" s="1222"/>
      <c r="BF33" s="1221"/>
      <c r="BG33" s="1221"/>
      <c r="BH33" s="1221"/>
      <c r="BJ33" s="1168"/>
      <c r="BL33" s="1220"/>
    </row>
    <row r="34" spans="1:76" s="1219" customFormat="1" ht="15">
      <c r="A34" s="1217">
        <f>IF(C34="","",COUNTA($C$13:C34))</f>
        <v>22</v>
      </c>
      <c r="B34" s="1238" t="s">
        <v>550</v>
      </c>
      <c r="C34" s="1164">
        <v>0.34722222222222227</v>
      </c>
      <c r="D34" s="1164">
        <f t="shared" si="0"/>
        <v>0.36805555555555558</v>
      </c>
      <c r="E34" s="1165">
        <v>42504</v>
      </c>
      <c r="F34" s="1164">
        <f t="shared" si="1"/>
        <v>0.375</v>
      </c>
      <c r="G34" s="1164">
        <f t="shared" si="2"/>
        <v>0.37847222222222221</v>
      </c>
      <c r="H34" s="1165">
        <f t="shared" si="3"/>
        <v>42504</v>
      </c>
      <c r="I34" s="1166">
        <v>3.0000000000000001E-3</v>
      </c>
      <c r="J34" s="1166">
        <v>-0.01</v>
      </c>
      <c r="K34" s="1166">
        <v>-0.53200000000000003</v>
      </c>
      <c r="L34" s="1166">
        <v>-0.877</v>
      </c>
      <c r="M34" s="1164">
        <f t="shared" si="4"/>
        <v>0.38194444444444442</v>
      </c>
      <c r="N34" s="1164">
        <f t="shared" si="5"/>
        <v>0.3923611111111111</v>
      </c>
      <c r="O34" s="1165">
        <f t="shared" si="6"/>
        <v>42504</v>
      </c>
      <c r="P34" s="1166">
        <v>1.06</v>
      </c>
      <c r="Q34" s="1166">
        <v>9</v>
      </c>
      <c r="R34" s="1166">
        <v>25</v>
      </c>
      <c r="S34" s="1166">
        <v>0</v>
      </c>
      <c r="T34" s="1164">
        <f t="shared" si="7"/>
        <v>0.51736111111111116</v>
      </c>
      <c r="U34" s="1167">
        <f t="shared" si="8"/>
        <v>42504</v>
      </c>
      <c r="V34" s="1166">
        <v>22.12</v>
      </c>
      <c r="W34" s="1164">
        <f t="shared" si="9"/>
        <v>0.64236111111111116</v>
      </c>
      <c r="X34" s="1167">
        <f t="shared" si="10"/>
        <v>42504</v>
      </c>
      <c r="Y34" s="1166">
        <v>33.869999999999997</v>
      </c>
      <c r="Z34" s="1164">
        <f t="shared" si="11"/>
        <v>0.68402777777777779</v>
      </c>
      <c r="AA34" s="1164">
        <f t="shared" si="12"/>
        <v>0.70486111111111105</v>
      </c>
      <c r="AB34" s="1167">
        <f t="shared" si="13"/>
        <v>42504</v>
      </c>
      <c r="AC34" s="1166">
        <v>33.869999999999997</v>
      </c>
      <c r="AD34" s="1164">
        <f t="shared" si="14"/>
        <v>0.71180555555555547</v>
      </c>
      <c r="AE34" s="1164">
        <f t="shared" si="15"/>
        <v>0.7222222222222221</v>
      </c>
      <c r="AF34" s="1167">
        <f t="shared" si="16"/>
        <v>42504</v>
      </c>
      <c r="AG34" s="1164">
        <f t="shared" si="17"/>
        <v>0.72916666666666652</v>
      </c>
      <c r="AH34" s="1164">
        <f t="shared" si="18"/>
        <v>0.76041666666666652</v>
      </c>
      <c r="AI34" s="1167">
        <f t="shared" si="19"/>
        <v>42504</v>
      </c>
      <c r="AJ34" s="1164">
        <f t="shared" si="20"/>
        <v>0.78124999999999978</v>
      </c>
      <c r="AK34" s="1164">
        <f t="shared" si="21"/>
        <v>0.7881944444444442</v>
      </c>
      <c r="AL34" s="1167">
        <f t="shared" si="22"/>
        <v>42504</v>
      </c>
      <c r="AM34" s="1166">
        <v>1.06</v>
      </c>
      <c r="AN34" s="1166">
        <v>9</v>
      </c>
      <c r="AO34" s="1166">
        <v>24</v>
      </c>
      <c r="AP34" s="1166">
        <v>0</v>
      </c>
      <c r="AQ34" s="1164">
        <f t="shared" si="23"/>
        <v>0.7881944444444442</v>
      </c>
      <c r="AR34" s="1164">
        <f t="shared" si="24"/>
        <v>0.79513888888888862</v>
      </c>
      <c r="AS34" s="1167">
        <f t="shared" si="25"/>
        <v>42504</v>
      </c>
      <c r="AT34" s="1166">
        <v>33.869999999999997</v>
      </c>
      <c r="AU34" s="1164">
        <f t="shared" si="26"/>
        <v>0.79513888888888862</v>
      </c>
      <c r="AV34" s="1167">
        <f t="shared" si="27"/>
        <v>42504</v>
      </c>
      <c r="AW34" s="1164">
        <f t="shared" si="29"/>
        <v>0.8506944444444442</v>
      </c>
      <c r="AX34" s="1167">
        <f t="shared" si="28"/>
        <v>42504</v>
      </c>
      <c r="AY34" s="1166">
        <v>6</v>
      </c>
      <c r="AZ34" s="1166">
        <v>37</v>
      </c>
      <c r="BA34" s="1168">
        <f>VLOOKUP(B34,ĐTBT!$V:$W,2,0)</f>
        <v>4</v>
      </c>
      <c r="BB34" s="1168"/>
      <c r="BC34" s="1221"/>
      <c r="BD34" s="1221"/>
      <c r="BE34" s="1222"/>
      <c r="BF34" s="1221"/>
      <c r="BG34" s="1221"/>
      <c r="BH34" s="1221"/>
      <c r="BJ34" s="1168"/>
      <c r="BL34" s="1220"/>
    </row>
    <row r="35" spans="1:76" s="1219" customFormat="1" ht="15">
      <c r="A35" s="1217">
        <f>IF(C35="","",COUNTA($C$13:C35))</f>
        <v>23</v>
      </c>
      <c r="B35" s="1238" t="s">
        <v>526</v>
      </c>
      <c r="C35" s="1164">
        <v>0.35416666666666669</v>
      </c>
      <c r="D35" s="1164">
        <f t="shared" si="0"/>
        <v>0.375</v>
      </c>
      <c r="E35" s="1165">
        <f t="shared" ref="E35" si="38">E34</f>
        <v>42504</v>
      </c>
      <c r="F35" s="1164">
        <f t="shared" si="1"/>
        <v>0.38194444444444442</v>
      </c>
      <c r="G35" s="1164">
        <f t="shared" si="2"/>
        <v>0.38541666666666663</v>
      </c>
      <c r="H35" s="1165">
        <f t="shared" si="3"/>
        <v>42504</v>
      </c>
      <c r="I35" s="1166">
        <v>-2.1999999999999999E-2</v>
      </c>
      <c r="J35" s="1166">
        <v>7.0000000000000001E-3</v>
      </c>
      <c r="K35" s="1166">
        <v>-0.20200000000000001</v>
      </c>
      <c r="L35" s="1166">
        <v>-0.40200000000000002</v>
      </c>
      <c r="M35" s="1164">
        <f t="shared" si="4"/>
        <v>0.38888888888888884</v>
      </c>
      <c r="N35" s="1164">
        <f t="shared" si="5"/>
        <v>0.39930555555555552</v>
      </c>
      <c r="O35" s="1165">
        <f t="shared" si="6"/>
        <v>42504</v>
      </c>
      <c r="P35" s="1166">
        <v>1.06</v>
      </c>
      <c r="Q35" s="1166">
        <v>9</v>
      </c>
      <c r="R35" s="1166">
        <v>26</v>
      </c>
      <c r="S35" s="1166">
        <v>0</v>
      </c>
      <c r="T35" s="1164">
        <f t="shared" si="7"/>
        <v>0.52430555555555558</v>
      </c>
      <c r="U35" s="1167">
        <f t="shared" si="8"/>
        <v>42504</v>
      </c>
      <c r="V35" s="1166">
        <v>20.41</v>
      </c>
      <c r="W35" s="1164">
        <f t="shared" si="9"/>
        <v>0.64930555555555558</v>
      </c>
      <c r="X35" s="1167">
        <f t="shared" si="10"/>
        <v>42504</v>
      </c>
      <c r="Y35" s="1166">
        <v>23.65</v>
      </c>
      <c r="Z35" s="1164">
        <f t="shared" si="11"/>
        <v>0.69097222222222221</v>
      </c>
      <c r="AA35" s="1164">
        <f t="shared" si="12"/>
        <v>0.71180555555555547</v>
      </c>
      <c r="AB35" s="1167">
        <f t="shared" si="13"/>
        <v>42504</v>
      </c>
      <c r="AC35" s="1166">
        <v>23.65</v>
      </c>
      <c r="AD35" s="1164">
        <f t="shared" si="14"/>
        <v>0.71874999999999989</v>
      </c>
      <c r="AE35" s="1164">
        <f t="shared" si="15"/>
        <v>0.72916666666666652</v>
      </c>
      <c r="AF35" s="1167">
        <f t="shared" si="16"/>
        <v>42504</v>
      </c>
      <c r="AG35" s="1164">
        <f t="shared" si="17"/>
        <v>0.73611111111111094</v>
      </c>
      <c r="AH35" s="1164">
        <f t="shared" si="18"/>
        <v>0.76736111111111094</v>
      </c>
      <c r="AI35" s="1167">
        <f t="shared" si="19"/>
        <v>42504</v>
      </c>
      <c r="AJ35" s="1164">
        <f t="shared" si="20"/>
        <v>0.7881944444444442</v>
      </c>
      <c r="AK35" s="1164">
        <f t="shared" si="21"/>
        <v>0.79513888888888862</v>
      </c>
      <c r="AL35" s="1167">
        <f t="shared" si="22"/>
        <v>42504</v>
      </c>
      <c r="AM35" s="1166">
        <v>1.06</v>
      </c>
      <c r="AN35" s="1166">
        <v>9</v>
      </c>
      <c r="AO35" s="1166">
        <v>26</v>
      </c>
      <c r="AP35" s="1166">
        <v>0</v>
      </c>
      <c r="AQ35" s="1164">
        <f t="shared" si="23"/>
        <v>0.79513888888888862</v>
      </c>
      <c r="AR35" s="1164">
        <f t="shared" si="24"/>
        <v>0.80208333333333304</v>
      </c>
      <c r="AS35" s="1167">
        <f t="shared" si="25"/>
        <v>42504</v>
      </c>
      <c r="AT35" s="1166">
        <v>23.65</v>
      </c>
      <c r="AU35" s="1164">
        <f t="shared" si="26"/>
        <v>0.80208333333333304</v>
      </c>
      <c r="AV35" s="1167">
        <f t="shared" si="27"/>
        <v>42504</v>
      </c>
      <c r="AW35" s="1164">
        <f t="shared" si="29"/>
        <v>0.82986111111111083</v>
      </c>
      <c r="AX35" s="1167">
        <f t="shared" si="28"/>
        <v>42504</v>
      </c>
      <c r="AY35" s="1166">
        <v>6.4</v>
      </c>
      <c r="AZ35" s="1166">
        <v>24</v>
      </c>
      <c r="BA35" s="1168">
        <f>VLOOKUP(B35,ĐTBT!$V:$W,2,0)</f>
        <v>2</v>
      </c>
      <c r="BB35" s="1168"/>
      <c r="BC35" s="1221">
        <v>42756</v>
      </c>
      <c r="BD35" s="1221">
        <v>42756</v>
      </c>
      <c r="BE35" s="1222">
        <f>BC35-AX35</f>
        <v>252</v>
      </c>
      <c r="BF35" s="1221">
        <f>BD35+BE35</f>
        <v>43008</v>
      </c>
      <c r="BG35" s="1221">
        <f>BC35-1</f>
        <v>42755</v>
      </c>
      <c r="BH35" s="1221">
        <f>BG35+BE35</f>
        <v>43007</v>
      </c>
      <c r="BI35" s="1168">
        <f>AX35-E35</f>
        <v>0</v>
      </c>
      <c r="BJ35" s="1168">
        <f>VLOOKUP(B35,'Thong tin'!A:R,11,0)</f>
        <v>0</v>
      </c>
      <c r="BL35" s="1220">
        <v>42756</v>
      </c>
      <c r="BU35" s="1220">
        <v>42692</v>
      </c>
      <c r="BX35" s="1220">
        <v>42763</v>
      </c>
    </row>
    <row r="36" spans="1:76" s="1219" customFormat="1" ht="15">
      <c r="A36" s="1217">
        <f>IF(C36="","",COUNTA($C$13:C36))</f>
        <v>24</v>
      </c>
      <c r="B36" s="1238" t="s">
        <v>593</v>
      </c>
      <c r="C36" s="1164">
        <v>0.3888888888888889</v>
      </c>
      <c r="D36" s="1164">
        <f t="shared" si="0"/>
        <v>0.40972222222222221</v>
      </c>
      <c r="E36" s="1165">
        <v>42505</v>
      </c>
      <c r="F36" s="1164">
        <f t="shared" si="1"/>
        <v>0.41666666666666663</v>
      </c>
      <c r="G36" s="1164">
        <f t="shared" si="2"/>
        <v>0.42013888888888884</v>
      </c>
      <c r="H36" s="1165">
        <f t="shared" si="3"/>
        <v>42505</v>
      </c>
      <c r="I36" s="1166">
        <v>-1.7000000000000001E-2</v>
      </c>
      <c r="J36" s="1166">
        <v>2.3E-2</v>
      </c>
      <c r="K36" s="1166">
        <v>0.01</v>
      </c>
      <c r="L36" s="1166">
        <v>-0.25900000000000001</v>
      </c>
      <c r="M36" s="1164">
        <f t="shared" si="4"/>
        <v>0.42361111111111105</v>
      </c>
      <c r="N36" s="1164">
        <f t="shared" si="5"/>
        <v>0.43402777777777773</v>
      </c>
      <c r="O36" s="1165">
        <f t="shared" si="6"/>
        <v>42505</v>
      </c>
      <c r="P36" s="1166">
        <v>1.06</v>
      </c>
      <c r="Q36" s="1166">
        <v>9</v>
      </c>
      <c r="R36" s="1166">
        <v>24</v>
      </c>
      <c r="S36" s="1166">
        <v>0</v>
      </c>
      <c r="T36" s="1164">
        <f t="shared" si="7"/>
        <v>0.55902777777777768</v>
      </c>
      <c r="U36" s="1167">
        <f t="shared" si="8"/>
        <v>42505</v>
      </c>
      <c r="V36" s="1166">
        <v>20.62</v>
      </c>
      <c r="W36" s="1164">
        <f t="shared" si="9"/>
        <v>0.68402777777777768</v>
      </c>
      <c r="X36" s="1167">
        <f t="shared" si="10"/>
        <v>42505</v>
      </c>
      <c r="Y36" s="1166">
        <v>28.45</v>
      </c>
      <c r="Z36" s="1164">
        <f t="shared" si="11"/>
        <v>0.72569444444444431</v>
      </c>
      <c r="AA36" s="1164">
        <f t="shared" si="12"/>
        <v>0.74652777777777757</v>
      </c>
      <c r="AB36" s="1167">
        <f t="shared" si="13"/>
        <v>42505</v>
      </c>
      <c r="AC36" s="1166">
        <v>28.45</v>
      </c>
      <c r="AD36" s="1164">
        <f t="shared" si="14"/>
        <v>0.75347222222222199</v>
      </c>
      <c r="AE36" s="1164">
        <f t="shared" si="15"/>
        <v>0.76388888888888862</v>
      </c>
      <c r="AF36" s="1167">
        <f t="shared" si="16"/>
        <v>42505</v>
      </c>
      <c r="AG36" s="1164">
        <f t="shared" si="17"/>
        <v>0.77083333333333304</v>
      </c>
      <c r="AH36" s="1164">
        <f t="shared" si="18"/>
        <v>0.81249999999999967</v>
      </c>
      <c r="AI36" s="1167">
        <f t="shared" si="19"/>
        <v>42505</v>
      </c>
      <c r="AJ36" s="1164">
        <f t="shared" si="20"/>
        <v>0.83333333333333293</v>
      </c>
      <c r="AK36" s="1164">
        <f t="shared" si="21"/>
        <v>0.84027777777777735</v>
      </c>
      <c r="AL36" s="1167">
        <f t="shared" si="22"/>
        <v>42505</v>
      </c>
      <c r="AM36" s="1166">
        <v>1.06</v>
      </c>
      <c r="AN36" s="1166">
        <v>9</v>
      </c>
      <c r="AO36" s="1166">
        <v>24</v>
      </c>
      <c r="AP36" s="1166">
        <v>0</v>
      </c>
      <c r="AQ36" s="1164">
        <f t="shared" si="23"/>
        <v>0.84027777777777735</v>
      </c>
      <c r="AR36" s="1164">
        <f t="shared" si="24"/>
        <v>0.84722222222222177</v>
      </c>
      <c r="AS36" s="1167">
        <f t="shared" si="25"/>
        <v>42505</v>
      </c>
      <c r="AT36" s="1166">
        <v>28.45</v>
      </c>
      <c r="AU36" s="1164">
        <f t="shared" si="26"/>
        <v>0.84722222222222177</v>
      </c>
      <c r="AV36" s="1167">
        <f t="shared" si="27"/>
        <v>42505</v>
      </c>
      <c r="AW36" s="1164">
        <f t="shared" si="29"/>
        <v>0.8888888888888884</v>
      </c>
      <c r="AX36" s="1167">
        <f t="shared" si="28"/>
        <v>42505</v>
      </c>
      <c r="AY36" s="1166">
        <v>6.4</v>
      </c>
      <c r="AZ36" s="1166">
        <v>30</v>
      </c>
      <c r="BA36" s="1168">
        <f>VLOOKUP(B36,ĐTBT!$V:$W,2,0)</f>
        <v>3</v>
      </c>
      <c r="BB36" s="1168"/>
      <c r="BC36" s="1221">
        <v>42747</v>
      </c>
      <c r="BD36" s="1221">
        <v>42747</v>
      </c>
      <c r="BE36" s="1222">
        <f>BC36-AX36</f>
        <v>242</v>
      </c>
      <c r="BF36" s="1221">
        <f>BD36+BE36</f>
        <v>42989</v>
      </c>
      <c r="BG36" s="1221">
        <f>BC36-1</f>
        <v>42746</v>
      </c>
      <c r="BH36" s="1221">
        <f>BG36+BE36</f>
        <v>42988</v>
      </c>
      <c r="BI36" s="1168">
        <f>AX36-E36</f>
        <v>0</v>
      </c>
      <c r="BJ36" s="1168">
        <f>VLOOKUP(B36,'Thong tin'!A:R,11,0)</f>
        <v>4</v>
      </c>
      <c r="BL36" s="1220">
        <v>42747</v>
      </c>
      <c r="BU36" s="1220">
        <v>43056</v>
      </c>
      <c r="BX36" s="1220">
        <v>42760</v>
      </c>
    </row>
    <row r="37" spans="1:76" s="1219" customFormat="1" ht="15">
      <c r="A37" s="1217">
        <f>IF(C37="","",COUNTA($C$13:C37))</f>
        <v>25</v>
      </c>
      <c r="B37" s="1238" t="s">
        <v>636</v>
      </c>
      <c r="C37" s="1164">
        <v>0.32291666666666669</v>
      </c>
      <c r="D37" s="1164">
        <f t="shared" si="0"/>
        <v>0.34375</v>
      </c>
      <c r="E37" s="1165">
        <f t="shared" ref="E37" si="39">E36</f>
        <v>42505</v>
      </c>
      <c r="F37" s="1164">
        <f t="shared" si="1"/>
        <v>0.35069444444444442</v>
      </c>
      <c r="G37" s="1164">
        <f t="shared" si="2"/>
        <v>0.35416666666666663</v>
      </c>
      <c r="H37" s="1165">
        <f t="shared" si="3"/>
        <v>42505</v>
      </c>
      <c r="I37" s="1166">
        <v>0.71799999999999997</v>
      </c>
      <c r="J37" s="1166">
        <v>0.74299999999999999</v>
      </c>
      <c r="K37" s="1166">
        <v>-0.14000000000000001</v>
      </c>
      <c r="L37" s="1166">
        <v>-0.59</v>
      </c>
      <c r="M37" s="1164">
        <f t="shared" si="4"/>
        <v>0.35763888888888884</v>
      </c>
      <c r="N37" s="1164">
        <f t="shared" si="5"/>
        <v>0.36805555555555552</v>
      </c>
      <c r="O37" s="1165">
        <f t="shared" si="6"/>
        <v>42505</v>
      </c>
      <c r="P37" s="1166">
        <v>1.06</v>
      </c>
      <c r="Q37" s="1166">
        <v>9</v>
      </c>
      <c r="R37" s="1166">
        <v>25</v>
      </c>
      <c r="S37" s="1166">
        <v>0</v>
      </c>
      <c r="T37" s="1164">
        <f t="shared" si="7"/>
        <v>0.49305555555555552</v>
      </c>
      <c r="U37" s="1167">
        <f t="shared" si="8"/>
        <v>42505</v>
      </c>
      <c r="V37" s="1166">
        <v>20.149999999999999</v>
      </c>
      <c r="W37" s="1164">
        <f t="shared" si="9"/>
        <v>0.61805555555555558</v>
      </c>
      <c r="X37" s="1167">
        <f t="shared" si="10"/>
        <v>42505</v>
      </c>
      <c r="Y37" s="1166">
        <v>28.25</v>
      </c>
      <c r="Z37" s="1164">
        <f t="shared" si="11"/>
        <v>0.65972222222222221</v>
      </c>
      <c r="AA37" s="1164">
        <f t="shared" si="12"/>
        <v>0.68055555555555547</v>
      </c>
      <c r="AB37" s="1167">
        <f t="shared" si="13"/>
        <v>42505</v>
      </c>
      <c r="AC37" s="1166">
        <v>28.27</v>
      </c>
      <c r="AD37" s="1164">
        <f t="shared" si="14"/>
        <v>0.68749999999999989</v>
      </c>
      <c r="AE37" s="1164">
        <f t="shared" si="15"/>
        <v>0.69791666666666652</v>
      </c>
      <c r="AF37" s="1167">
        <f t="shared" si="16"/>
        <v>42505</v>
      </c>
      <c r="AG37" s="1164">
        <f t="shared" si="17"/>
        <v>0.70486111111111094</v>
      </c>
      <c r="AH37" s="1164">
        <f t="shared" si="18"/>
        <v>0.73611111111111094</v>
      </c>
      <c r="AI37" s="1167">
        <f t="shared" si="19"/>
        <v>42505</v>
      </c>
      <c r="AJ37" s="1164">
        <f t="shared" si="20"/>
        <v>0.7569444444444442</v>
      </c>
      <c r="AK37" s="1164">
        <f t="shared" si="21"/>
        <v>0.76388888888888862</v>
      </c>
      <c r="AL37" s="1167">
        <f t="shared" si="22"/>
        <v>42505</v>
      </c>
      <c r="AM37" s="1166">
        <v>1.06</v>
      </c>
      <c r="AN37" s="1166">
        <v>9</v>
      </c>
      <c r="AO37" s="1166">
        <v>25</v>
      </c>
      <c r="AP37" s="1166">
        <v>0</v>
      </c>
      <c r="AQ37" s="1164">
        <f t="shared" si="23"/>
        <v>0.76388888888888862</v>
      </c>
      <c r="AR37" s="1164">
        <f t="shared" si="24"/>
        <v>0.77083333333333304</v>
      </c>
      <c r="AS37" s="1167">
        <f t="shared" si="25"/>
        <v>42505</v>
      </c>
      <c r="AT37" s="1166">
        <v>28.27</v>
      </c>
      <c r="AU37" s="1164">
        <f t="shared" si="26"/>
        <v>0.77083333333333304</v>
      </c>
      <c r="AV37" s="1167">
        <f t="shared" si="27"/>
        <v>42505</v>
      </c>
      <c r="AW37" s="1164">
        <f t="shared" si="29"/>
        <v>0.79861111111111083</v>
      </c>
      <c r="AX37" s="1167">
        <f t="shared" si="28"/>
        <v>42505</v>
      </c>
      <c r="AY37" s="1166">
        <v>4.76</v>
      </c>
      <c r="AZ37" s="1166">
        <v>15</v>
      </c>
      <c r="BA37" s="1168">
        <f>VLOOKUP(B37,ĐTBT!$V:$W,2,0)</f>
        <v>2</v>
      </c>
      <c r="BB37" s="1168"/>
      <c r="BC37" s="1221"/>
      <c r="BD37" s="1221"/>
      <c r="BE37" s="1222"/>
      <c r="BF37" s="1221"/>
      <c r="BG37" s="1221"/>
      <c r="BH37" s="1221"/>
      <c r="BJ37" s="1168"/>
      <c r="BL37" s="1220"/>
    </row>
    <row r="38" spans="1:76" s="1219" customFormat="1" ht="15">
      <c r="A38" s="1217">
        <f>IF(C38="","",COUNTA($C$13:C38))</f>
        <v>26</v>
      </c>
      <c r="B38" s="1238" t="s">
        <v>545</v>
      </c>
      <c r="C38" s="1164">
        <v>0.34027777777777773</v>
      </c>
      <c r="D38" s="1164">
        <f t="shared" si="0"/>
        <v>0.36111111111111105</v>
      </c>
      <c r="E38" s="1165">
        <v>42506</v>
      </c>
      <c r="F38" s="1164">
        <f t="shared" si="1"/>
        <v>0.36805555555555547</v>
      </c>
      <c r="G38" s="1164">
        <f t="shared" si="2"/>
        <v>0.37152777777777768</v>
      </c>
      <c r="H38" s="1165">
        <f t="shared" si="3"/>
        <v>42506</v>
      </c>
      <c r="I38" s="1166">
        <v>-1.2E-2</v>
      </c>
      <c r="J38" s="1166">
        <v>-2.1999999999999999E-2</v>
      </c>
      <c r="K38" s="1166">
        <v>-0.35199999999999998</v>
      </c>
      <c r="L38" s="1166">
        <v>-0.52600000000000002</v>
      </c>
      <c r="M38" s="1164">
        <f t="shared" si="4"/>
        <v>0.37499999999999989</v>
      </c>
      <c r="N38" s="1164">
        <f t="shared" si="5"/>
        <v>0.38541666666666657</v>
      </c>
      <c r="O38" s="1165">
        <f t="shared" si="6"/>
        <v>42506</v>
      </c>
      <c r="P38" s="1166">
        <v>1.06</v>
      </c>
      <c r="Q38" s="1166">
        <v>9</v>
      </c>
      <c r="R38" s="1166">
        <v>25</v>
      </c>
      <c r="S38" s="1166">
        <v>0</v>
      </c>
      <c r="T38" s="1164">
        <f t="shared" si="7"/>
        <v>0.51041666666666652</v>
      </c>
      <c r="U38" s="1167">
        <f t="shared" si="8"/>
        <v>42506</v>
      </c>
      <c r="V38" s="1166">
        <v>21.15</v>
      </c>
      <c r="W38" s="1164">
        <f t="shared" si="9"/>
        <v>0.63541666666666652</v>
      </c>
      <c r="X38" s="1167">
        <f t="shared" si="10"/>
        <v>42506</v>
      </c>
      <c r="Y38" s="1166">
        <v>34.049999999999997</v>
      </c>
      <c r="Z38" s="1164">
        <f t="shared" si="11"/>
        <v>0.67708333333333315</v>
      </c>
      <c r="AA38" s="1164">
        <f t="shared" si="12"/>
        <v>0.69791666666666641</v>
      </c>
      <c r="AB38" s="1167">
        <f t="shared" si="13"/>
        <v>42506</v>
      </c>
      <c r="AC38" s="1166">
        <v>34.049999999999997</v>
      </c>
      <c r="AD38" s="1164">
        <f t="shared" si="14"/>
        <v>0.70486111111111083</v>
      </c>
      <c r="AE38" s="1164">
        <f t="shared" si="15"/>
        <v>0.71527777777777746</v>
      </c>
      <c r="AF38" s="1167">
        <f t="shared" si="16"/>
        <v>42506</v>
      </c>
      <c r="AG38" s="1164">
        <f t="shared" si="17"/>
        <v>0.72222222222222188</v>
      </c>
      <c r="AH38" s="1164">
        <f t="shared" si="18"/>
        <v>0.75347222222222188</v>
      </c>
      <c r="AI38" s="1167">
        <f t="shared" si="19"/>
        <v>42506</v>
      </c>
      <c r="AJ38" s="1164">
        <f t="shared" si="20"/>
        <v>0.77430555555555514</v>
      </c>
      <c r="AK38" s="1164">
        <f t="shared" si="21"/>
        <v>0.78124999999999956</v>
      </c>
      <c r="AL38" s="1167">
        <f t="shared" si="22"/>
        <v>42506</v>
      </c>
      <c r="AM38" s="1166">
        <v>1.06</v>
      </c>
      <c r="AN38" s="1166">
        <v>9</v>
      </c>
      <c r="AO38" s="1166">
        <v>25</v>
      </c>
      <c r="AP38" s="1166">
        <v>0</v>
      </c>
      <c r="AQ38" s="1164">
        <f t="shared" si="23"/>
        <v>0.78124999999999956</v>
      </c>
      <c r="AR38" s="1164">
        <f t="shared" si="24"/>
        <v>0.78819444444444398</v>
      </c>
      <c r="AS38" s="1167">
        <f t="shared" si="25"/>
        <v>42506</v>
      </c>
      <c r="AT38" s="1166">
        <v>34.049999999999997</v>
      </c>
      <c r="AU38" s="1164">
        <f t="shared" si="26"/>
        <v>0.78819444444444398</v>
      </c>
      <c r="AV38" s="1167">
        <f t="shared" si="27"/>
        <v>42506</v>
      </c>
      <c r="AW38" s="1164">
        <f t="shared" si="29"/>
        <v>0.82986111111111061</v>
      </c>
      <c r="AX38" s="1167">
        <f t="shared" si="28"/>
        <v>42506</v>
      </c>
      <c r="AY38" s="1166">
        <v>6.1</v>
      </c>
      <c r="AZ38" s="1166">
        <v>36</v>
      </c>
      <c r="BA38" s="1168">
        <f>VLOOKUP(B38,ĐTBT!$V:$W,2,0)</f>
        <v>3</v>
      </c>
      <c r="BB38" s="1168"/>
      <c r="BC38" s="1221"/>
      <c r="BD38" s="1221"/>
      <c r="BE38" s="1222"/>
      <c r="BF38" s="1221"/>
      <c r="BG38" s="1221"/>
      <c r="BH38" s="1221"/>
      <c r="BJ38" s="1168"/>
      <c r="BL38" s="1220"/>
    </row>
    <row r="39" spans="1:76" s="1219" customFormat="1" ht="15">
      <c r="A39" s="1217">
        <f>IF(C39="","",COUNTA($C$13:C39))</f>
        <v>27</v>
      </c>
      <c r="B39" s="1238" t="s">
        <v>535</v>
      </c>
      <c r="C39" s="1164">
        <v>0.33333333333333331</v>
      </c>
      <c r="D39" s="1164">
        <f t="shared" si="0"/>
        <v>0.35416666666666663</v>
      </c>
      <c r="E39" s="1165">
        <f t="shared" ref="E39" si="40">E38</f>
        <v>42506</v>
      </c>
      <c r="F39" s="1164">
        <f t="shared" si="1"/>
        <v>0.36111111111111105</v>
      </c>
      <c r="G39" s="1164">
        <f t="shared" si="2"/>
        <v>0.36458333333333326</v>
      </c>
      <c r="H39" s="1165">
        <f t="shared" si="3"/>
        <v>42506</v>
      </c>
      <c r="I39" s="1166">
        <v>1.2E-2</v>
      </c>
      <c r="J39" s="1166">
        <v>8.9999999999999993E-3</v>
      </c>
      <c r="K39" s="1166">
        <v>-0.222</v>
      </c>
      <c r="L39" s="1166">
        <v>-0.46800000000000003</v>
      </c>
      <c r="M39" s="1164">
        <f t="shared" si="4"/>
        <v>0.36805555555555547</v>
      </c>
      <c r="N39" s="1164">
        <f t="shared" si="5"/>
        <v>0.37847222222222215</v>
      </c>
      <c r="O39" s="1165">
        <f t="shared" si="6"/>
        <v>42506</v>
      </c>
      <c r="P39" s="1166">
        <v>1.06</v>
      </c>
      <c r="Q39" s="1166">
        <v>9</v>
      </c>
      <c r="R39" s="1166">
        <v>27</v>
      </c>
      <c r="S39" s="1166">
        <v>0</v>
      </c>
      <c r="T39" s="1164">
        <f t="shared" si="7"/>
        <v>0.5034722222222221</v>
      </c>
      <c r="U39" s="1167">
        <f t="shared" si="8"/>
        <v>42506</v>
      </c>
      <c r="V39" s="1166">
        <v>19.72</v>
      </c>
      <c r="W39" s="1164">
        <f t="shared" si="9"/>
        <v>0.6284722222222221</v>
      </c>
      <c r="X39" s="1167">
        <f t="shared" si="10"/>
        <v>42506</v>
      </c>
      <c r="Y39" s="1166">
        <v>23.61</v>
      </c>
      <c r="Z39" s="1164">
        <f t="shared" si="11"/>
        <v>0.67013888888888873</v>
      </c>
      <c r="AA39" s="1164">
        <f t="shared" si="12"/>
        <v>0.69097222222222199</v>
      </c>
      <c r="AB39" s="1167">
        <f t="shared" si="13"/>
        <v>42506</v>
      </c>
      <c r="AC39" s="1166">
        <v>23.62</v>
      </c>
      <c r="AD39" s="1164">
        <f t="shared" si="14"/>
        <v>0.69791666666666641</v>
      </c>
      <c r="AE39" s="1164">
        <f t="shared" si="15"/>
        <v>0.70833333333333304</v>
      </c>
      <c r="AF39" s="1167">
        <f t="shared" si="16"/>
        <v>42506</v>
      </c>
      <c r="AG39" s="1164">
        <f t="shared" si="17"/>
        <v>0.71527777777777746</v>
      </c>
      <c r="AH39" s="1164">
        <f t="shared" si="18"/>
        <v>0.75694444444444409</v>
      </c>
      <c r="AI39" s="1167">
        <f t="shared" si="19"/>
        <v>42506</v>
      </c>
      <c r="AJ39" s="1164">
        <f t="shared" si="20"/>
        <v>0.77777777777777735</v>
      </c>
      <c r="AK39" s="1164">
        <f t="shared" si="21"/>
        <v>0.78472222222222177</v>
      </c>
      <c r="AL39" s="1167">
        <f t="shared" si="22"/>
        <v>42506</v>
      </c>
      <c r="AM39" s="1166">
        <v>1.06</v>
      </c>
      <c r="AN39" s="1166">
        <v>9</v>
      </c>
      <c r="AO39" s="1166">
        <v>25</v>
      </c>
      <c r="AP39" s="1166">
        <v>0</v>
      </c>
      <c r="AQ39" s="1164">
        <f t="shared" si="23"/>
        <v>0.78472222222222177</v>
      </c>
      <c r="AR39" s="1164">
        <f t="shared" si="24"/>
        <v>0.79166666666666619</v>
      </c>
      <c r="AS39" s="1167">
        <f t="shared" si="25"/>
        <v>42506</v>
      </c>
      <c r="AT39" s="1166">
        <v>23.62</v>
      </c>
      <c r="AU39" s="1164">
        <f t="shared" si="26"/>
        <v>0.79166666666666619</v>
      </c>
      <c r="AV39" s="1167">
        <f t="shared" si="27"/>
        <v>42506</v>
      </c>
      <c r="AW39" s="1164">
        <f t="shared" si="29"/>
        <v>0.83333333333333282</v>
      </c>
      <c r="AX39" s="1167">
        <f t="shared" si="28"/>
        <v>42506</v>
      </c>
      <c r="AY39" s="1166">
        <v>6.2</v>
      </c>
      <c r="AZ39" s="1166">
        <v>25</v>
      </c>
      <c r="BA39" s="1168">
        <f>VLOOKUP(B39,ĐTBT!$V:$W,2,0)</f>
        <v>3</v>
      </c>
      <c r="BB39" s="1168"/>
      <c r="BC39" s="1221">
        <v>42744</v>
      </c>
      <c r="BD39" s="1221">
        <v>42744</v>
      </c>
      <c r="BE39" s="1222">
        <f>BC39-AX39</f>
        <v>238</v>
      </c>
      <c r="BF39" s="1221">
        <f>BD39+BE39</f>
        <v>42982</v>
      </c>
      <c r="BG39" s="1221">
        <f>BC39-1</f>
        <v>42743</v>
      </c>
      <c r="BH39" s="1221">
        <f>BG39+BE39</f>
        <v>42981</v>
      </c>
      <c r="BI39" s="1168">
        <f>AX39-E39</f>
        <v>0</v>
      </c>
      <c r="BJ39" s="1168">
        <f>VLOOKUP(B39,'Thong tin'!A:R,11,0)</f>
        <v>4</v>
      </c>
      <c r="BL39" s="1220">
        <v>42744</v>
      </c>
      <c r="BU39" s="1220">
        <v>42688</v>
      </c>
      <c r="BX39" s="1220">
        <v>42754</v>
      </c>
    </row>
    <row r="40" spans="1:76" s="1219" customFormat="1" ht="15">
      <c r="A40" s="1217">
        <f>IF(C40="","",COUNTA($C$13:C40))</f>
        <v>28</v>
      </c>
      <c r="B40" s="1238" t="s">
        <v>588</v>
      </c>
      <c r="C40" s="1164">
        <v>0.41666666666666669</v>
      </c>
      <c r="D40" s="1164">
        <f t="shared" si="0"/>
        <v>0.4375</v>
      </c>
      <c r="E40" s="1165">
        <v>42507</v>
      </c>
      <c r="F40" s="1164">
        <f t="shared" si="1"/>
        <v>0.44444444444444442</v>
      </c>
      <c r="G40" s="1164">
        <f t="shared" si="2"/>
        <v>0.44791666666666663</v>
      </c>
      <c r="H40" s="1165">
        <f t="shared" si="3"/>
        <v>42507</v>
      </c>
      <c r="I40" s="1166">
        <v>-4.0000000000000001E-3</v>
      </c>
      <c r="J40" s="1166">
        <v>2.7E-2</v>
      </c>
      <c r="K40" s="1166">
        <v>0.16400000000000001</v>
      </c>
      <c r="L40" s="1166">
        <v>-0.23200000000000001</v>
      </c>
      <c r="M40" s="1164">
        <f t="shared" si="4"/>
        <v>0.45138888888888884</v>
      </c>
      <c r="N40" s="1164">
        <f t="shared" si="5"/>
        <v>0.46180555555555552</v>
      </c>
      <c r="O40" s="1165">
        <f t="shared" si="6"/>
        <v>42507</v>
      </c>
      <c r="P40" s="1166">
        <v>1.06</v>
      </c>
      <c r="Q40" s="1166">
        <v>9</v>
      </c>
      <c r="R40" s="1166">
        <v>27</v>
      </c>
      <c r="S40" s="1166">
        <v>0</v>
      </c>
      <c r="T40" s="1164">
        <f t="shared" si="7"/>
        <v>0.58680555555555558</v>
      </c>
      <c r="U40" s="1167">
        <f t="shared" si="8"/>
        <v>42507</v>
      </c>
      <c r="V40" s="1166">
        <v>23.81</v>
      </c>
      <c r="W40" s="1164">
        <f t="shared" si="9"/>
        <v>0.71180555555555558</v>
      </c>
      <c r="X40" s="1167">
        <f t="shared" si="10"/>
        <v>42507</v>
      </c>
      <c r="Y40" s="1166">
        <v>33.53</v>
      </c>
      <c r="Z40" s="1164">
        <f t="shared" si="11"/>
        <v>0.75347222222222221</v>
      </c>
      <c r="AA40" s="1164">
        <f t="shared" si="12"/>
        <v>0.77430555555555547</v>
      </c>
      <c r="AB40" s="1167">
        <f t="shared" si="13"/>
        <v>42507</v>
      </c>
      <c r="AC40" s="1166">
        <v>33.61</v>
      </c>
      <c r="AD40" s="1164">
        <f t="shared" si="14"/>
        <v>0.78124999999999989</v>
      </c>
      <c r="AE40" s="1164">
        <f t="shared" si="15"/>
        <v>0.79166666666666652</v>
      </c>
      <c r="AF40" s="1167">
        <f t="shared" si="16"/>
        <v>42507</v>
      </c>
      <c r="AG40" s="1164">
        <f t="shared" si="17"/>
        <v>0.79861111111111094</v>
      </c>
      <c r="AH40" s="1164">
        <f t="shared" si="18"/>
        <v>0.84027777777777757</v>
      </c>
      <c r="AI40" s="1167">
        <f t="shared" si="19"/>
        <v>42507</v>
      </c>
      <c r="AJ40" s="1164">
        <f t="shared" si="20"/>
        <v>0.86111111111111083</v>
      </c>
      <c r="AK40" s="1164">
        <f t="shared" si="21"/>
        <v>0.86805555555555525</v>
      </c>
      <c r="AL40" s="1167">
        <f t="shared" si="22"/>
        <v>42507</v>
      </c>
      <c r="AM40" s="1166">
        <v>1.06</v>
      </c>
      <c r="AN40" s="1166">
        <v>9</v>
      </c>
      <c r="AO40" s="1166">
        <v>27</v>
      </c>
      <c r="AP40" s="1166">
        <v>0</v>
      </c>
      <c r="AQ40" s="1164">
        <f t="shared" si="23"/>
        <v>0.86805555555555525</v>
      </c>
      <c r="AR40" s="1164">
        <f t="shared" si="24"/>
        <v>0.87499999999999967</v>
      </c>
      <c r="AS40" s="1167">
        <f t="shared" si="25"/>
        <v>42507</v>
      </c>
      <c r="AT40" s="1166">
        <v>33.61</v>
      </c>
      <c r="AU40" s="1164">
        <f t="shared" si="26"/>
        <v>0.87499999999999967</v>
      </c>
      <c r="AV40" s="1167">
        <f t="shared" si="27"/>
        <v>42507</v>
      </c>
      <c r="AW40" s="1164">
        <f t="shared" si="29"/>
        <v>0.94444444444444409</v>
      </c>
      <c r="AX40" s="1167">
        <f t="shared" si="28"/>
        <v>42507</v>
      </c>
      <c r="AY40" s="1166">
        <v>6.7</v>
      </c>
      <c r="AZ40" s="1166">
        <v>42.5</v>
      </c>
      <c r="BA40" s="1168">
        <f>VLOOKUP(B40,ĐTBT!$V:$W,2,0)</f>
        <v>5</v>
      </c>
      <c r="BB40" s="1168"/>
      <c r="BC40" s="1221">
        <v>42741</v>
      </c>
      <c r="BD40" s="1221">
        <v>42741</v>
      </c>
      <c r="BE40" s="1222">
        <f>BC40-AX40</f>
        <v>234</v>
      </c>
      <c r="BF40" s="1221">
        <f>BD40+BE40</f>
        <v>42975</v>
      </c>
      <c r="BG40" s="1221">
        <f>BC40-1</f>
        <v>42740</v>
      </c>
      <c r="BH40" s="1221">
        <f>BG40+BE40</f>
        <v>42974</v>
      </c>
      <c r="BI40" s="1168">
        <f>AX40-E40</f>
        <v>0</v>
      </c>
      <c r="BJ40" s="1168">
        <f>VLOOKUP(B40,'Thong tin'!A:R,11,0)</f>
        <v>4</v>
      </c>
      <c r="BL40" s="1220">
        <v>42741</v>
      </c>
      <c r="BU40" s="1220">
        <v>42686</v>
      </c>
      <c r="BX40" s="1220">
        <v>42751</v>
      </c>
    </row>
    <row r="41" spans="1:76" s="1219" customFormat="1" ht="15">
      <c r="A41" s="1217">
        <f>IF(C41="","",COUNTA($C$13:C41))</f>
        <v>29</v>
      </c>
      <c r="B41" s="1238" t="s">
        <v>540</v>
      </c>
      <c r="C41" s="1164">
        <v>0.29166666666666669</v>
      </c>
      <c r="D41" s="1164">
        <f t="shared" si="0"/>
        <v>0.3125</v>
      </c>
      <c r="E41" s="1165">
        <f t="shared" ref="E41" si="41">E40</f>
        <v>42507</v>
      </c>
      <c r="F41" s="1164">
        <f t="shared" si="1"/>
        <v>0.31944444444444442</v>
      </c>
      <c r="G41" s="1164">
        <f t="shared" si="2"/>
        <v>0.32291666666666663</v>
      </c>
      <c r="H41" s="1165">
        <f t="shared" si="3"/>
        <v>42507</v>
      </c>
      <c r="I41" s="1166">
        <v>-5.0000000000000001E-3</v>
      </c>
      <c r="J41" s="1166">
        <v>-1.2E-2</v>
      </c>
      <c r="K41" s="1166">
        <v>-0.24199999999999999</v>
      </c>
      <c r="L41" s="1166">
        <v>-0.54800000000000004</v>
      </c>
      <c r="M41" s="1164">
        <f t="shared" si="4"/>
        <v>0.32638888888888884</v>
      </c>
      <c r="N41" s="1164">
        <f t="shared" si="5"/>
        <v>0.33680555555555552</v>
      </c>
      <c r="O41" s="1165">
        <f t="shared" si="6"/>
        <v>42507</v>
      </c>
      <c r="P41" s="1166">
        <v>1.05</v>
      </c>
      <c r="Q41" s="1166">
        <v>9</v>
      </c>
      <c r="R41" s="1166">
        <v>26</v>
      </c>
      <c r="S41" s="1166">
        <v>0</v>
      </c>
      <c r="T41" s="1164">
        <f t="shared" si="7"/>
        <v>0.46180555555555552</v>
      </c>
      <c r="U41" s="1167">
        <f t="shared" si="8"/>
        <v>42507</v>
      </c>
      <c r="V41" s="1166">
        <v>20.91</v>
      </c>
      <c r="W41" s="1164">
        <f t="shared" si="9"/>
        <v>0.58680555555555558</v>
      </c>
      <c r="X41" s="1167">
        <f t="shared" si="10"/>
        <v>42507</v>
      </c>
      <c r="Y41" s="1166">
        <v>34.22</v>
      </c>
      <c r="Z41" s="1164">
        <f t="shared" si="11"/>
        <v>0.62847222222222221</v>
      </c>
      <c r="AA41" s="1164">
        <f t="shared" si="12"/>
        <v>0.64930555555555547</v>
      </c>
      <c r="AB41" s="1167">
        <f t="shared" si="13"/>
        <v>42507</v>
      </c>
      <c r="AC41" s="1166">
        <v>34.22</v>
      </c>
      <c r="AD41" s="1164">
        <f t="shared" si="14"/>
        <v>0.65624999999999989</v>
      </c>
      <c r="AE41" s="1164">
        <f t="shared" si="15"/>
        <v>0.66666666666666652</v>
      </c>
      <c r="AF41" s="1167">
        <f t="shared" si="16"/>
        <v>42507</v>
      </c>
      <c r="AG41" s="1164">
        <f t="shared" si="17"/>
        <v>0.67361111111111094</v>
      </c>
      <c r="AH41" s="1164">
        <f t="shared" si="18"/>
        <v>0.70486111111111094</v>
      </c>
      <c r="AI41" s="1167">
        <f t="shared" si="19"/>
        <v>42507</v>
      </c>
      <c r="AJ41" s="1164">
        <f t="shared" si="20"/>
        <v>0.7256944444444442</v>
      </c>
      <c r="AK41" s="1164">
        <f t="shared" si="21"/>
        <v>0.73263888888888862</v>
      </c>
      <c r="AL41" s="1167">
        <f t="shared" si="22"/>
        <v>42507</v>
      </c>
      <c r="AM41" s="1166">
        <v>1.05</v>
      </c>
      <c r="AN41" s="1166">
        <v>9</v>
      </c>
      <c r="AO41" s="1166">
        <v>26</v>
      </c>
      <c r="AP41" s="1166">
        <v>0</v>
      </c>
      <c r="AQ41" s="1164">
        <f t="shared" si="23"/>
        <v>0.73263888888888862</v>
      </c>
      <c r="AR41" s="1164">
        <f t="shared" si="24"/>
        <v>0.73958333333333304</v>
      </c>
      <c r="AS41" s="1167">
        <f t="shared" si="25"/>
        <v>42507</v>
      </c>
      <c r="AT41" s="1166">
        <v>34.22</v>
      </c>
      <c r="AU41" s="1164">
        <f t="shared" si="26"/>
        <v>0.73958333333333304</v>
      </c>
      <c r="AV41" s="1167">
        <f t="shared" si="27"/>
        <v>42507</v>
      </c>
      <c r="AW41" s="1164">
        <f t="shared" si="29"/>
        <v>0.78124999999999967</v>
      </c>
      <c r="AX41" s="1167">
        <f t="shared" si="28"/>
        <v>42507</v>
      </c>
      <c r="AY41" s="1166">
        <v>6.4</v>
      </c>
      <c r="AZ41" s="1166">
        <v>35</v>
      </c>
      <c r="BA41" s="1168">
        <f>VLOOKUP(B41,ĐTBT!$V:$W,2,0)</f>
        <v>3</v>
      </c>
      <c r="BB41" s="1168"/>
      <c r="BC41" s="1221"/>
      <c r="BD41" s="1221"/>
      <c r="BE41" s="1222"/>
      <c r="BF41" s="1221"/>
      <c r="BG41" s="1221"/>
      <c r="BH41" s="1221"/>
      <c r="BJ41" s="1168"/>
      <c r="BL41" s="1220"/>
    </row>
    <row r="42" spans="1:76" s="1219" customFormat="1" ht="15">
      <c r="A42" s="1217">
        <f>IF(C42="","",COUNTA($C$13:C42))</f>
        <v>30</v>
      </c>
      <c r="B42" s="1238" t="s">
        <v>531</v>
      </c>
      <c r="C42" s="1164">
        <v>0.375</v>
      </c>
      <c r="D42" s="1164">
        <f t="shared" si="0"/>
        <v>0.39583333333333331</v>
      </c>
      <c r="E42" s="1165">
        <v>42508</v>
      </c>
      <c r="F42" s="1164">
        <f t="shared" si="1"/>
        <v>0.40277777777777773</v>
      </c>
      <c r="G42" s="1164">
        <f t="shared" si="2"/>
        <v>0.40624999999999994</v>
      </c>
      <c r="H42" s="1165">
        <f t="shared" si="3"/>
        <v>42508</v>
      </c>
      <c r="I42" s="1166">
        <v>-0.01</v>
      </c>
      <c r="J42" s="1166">
        <v>-6.0000000000000001E-3</v>
      </c>
      <c r="K42" s="1166">
        <v>-0.25800000000000001</v>
      </c>
      <c r="L42" s="1166">
        <v>-0.74399999999999999</v>
      </c>
      <c r="M42" s="1164">
        <f t="shared" si="4"/>
        <v>0.40972222222222215</v>
      </c>
      <c r="N42" s="1164">
        <f t="shared" si="5"/>
        <v>0.42013888888888884</v>
      </c>
      <c r="O42" s="1165">
        <f t="shared" si="6"/>
        <v>42508</v>
      </c>
      <c r="P42" s="1166">
        <v>1.05</v>
      </c>
      <c r="Q42" s="1166">
        <v>9</v>
      </c>
      <c r="R42" s="1166">
        <v>26</v>
      </c>
      <c r="S42" s="1166">
        <v>0</v>
      </c>
      <c r="T42" s="1164">
        <f t="shared" si="7"/>
        <v>0.54513888888888884</v>
      </c>
      <c r="U42" s="1167">
        <f t="shared" si="8"/>
        <v>42508</v>
      </c>
      <c r="V42" s="1166">
        <v>20.62</v>
      </c>
      <c r="W42" s="1164">
        <f t="shared" si="9"/>
        <v>0.67013888888888884</v>
      </c>
      <c r="X42" s="1167">
        <f t="shared" si="10"/>
        <v>42508</v>
      </c>
      <c r="Y42" s="1166">
        <v>23.83</v>
      </c>
      <c r="Z42" s="1164">
        <f t="shared" si="11"/>
        <v>0.71180555555555547</v>
      </c>
      <c r="AA42" s="1164">
        <f t="shared" si="12"/>
        <v>0.73263888888888873</v>
      </c>
      <c r="AB42" s="1167">
        <f t="shared" si="13"/>
        <v>42508</v>
      </c>
      <c r="AC42" s="1166">
        <v>23.85</v>
      </c>
      <c r="AD42" s="1164">
        <f t="shared" si="14"/>
        <v>0.73958333333333315</v>
      </c>
      <c r="AE42" s="1164">
        <f t="shared" si="15"/>
        <v>0.74999999999999978</v>
      </c>
      <c r="AF42" s="1167">
        <f t="shared" si="16"/>
        <v>42508</v>
      </c>
      <c r="AG42" s="1164">
        <f t="shared" si="17"/>
        <v>0.7569444444444442</v>
      </c>
      <c r="AH42" s="1164">
        <f t="shared" si="18"/>
        <v>0.79861111111111083</v>
      </c>
      <c r="AI42" s="1167">
        <f t="shared" si="19"/>
        <v>42508</v>
      </c>
      <c r="AJ42" s="1164">
        <f t="shared" si="20"/>
        <v>0.81944444444444409</v>
      </c>
      <c r="AK42" s="1164">
        <f t="shared" si="21"/>
        <v>0.82638888888888851</v>
      </c>
      <c r="AL42" s="1167">
        <f t="shared" si="22"/>
        <v>42508</v>
      </c>
      <c r="AM42" s="1166">
        <v>1.05</v>
      </c>
      <c r="AN42" s="1166">
        <v>9</v>
      </c>
      <c r="AO42" s="1166">
        <v>23</v>
      </c>
      <c r="AP42" s="1166">
        <v>0</v>
      </c>
      <c r="AQ42" s="1164">
        <f t="shared" si="23"/>
        <v>0.82638888888888851</v>
      </c>
      <c r="AR42" s="1164">
        <f t="shared" si="24"/>
        <v>0.83333333333333293</v>
      </c>
      <c r="AS42" s="1167">
        <f t="shared" si="25"/>
        <v>42508</v>
      </c>
      <c r="AT42" s="1166">
        <v>23.85</v>
      </c>
      <c r="AU42" s="1164">
        <f t="shared" si="26"/>
        <v>0.83333333333333293</v>
      </c>
      <c r="AV42" s="1167">
        <f t="shared" si="27"/>
        <v>42508</v>
      </c>
      <c r="AW42" s="1164">
        <f t="shared" si="29"/>
        <v>0.86111111111111072</v>
      </c>
      <c r="AX42" s="1167">
        <f t="shared" si="28"/>
        <v>42508</v>
      </c>
      <c r="AY42" s="1166">
        <v>6</v>
      </c>
      <c r="AZ42" s="1166">
        <v>24</v>
      </c>
      <c r="BA42" s="1168">
        <f>VLOOKUP(B42,ĐTBT!$V:$W,2,0)</f>
        <v>2</v>
      </c>
      <c r="BB42" s="1168"/>
      <c r="BC42" s="1221">
        <v>42778</v>
      </c>
      <c r="BD42" s="1221">
        <v>42778</v>
      </c>
      <c r="BE42" s="1222">
        <f>BC42-AX42</f>
        <v>270</v>
      </c>
      <c r="BF42" s="1221">
        <f>BD42+BE42</f>
        <v>43048</v>
      </c>
      <c r="BG42" s="1221">
        <f>BC42-1</f>
        <v>42777</v>
      </c>
      <c r="BH42" s="1221">
        <f>BG42+BE42</f>
        <v>43047</v>
      </c>
      <c r="BI42" s="1168">
        <f t="shared" ref="BI42:BI79" si="42">AX42-E42</f>
        <v>0</v>
      </c>
      <c r="BJ42" s="1168">
        <f>VLOOKUP(B42,'Thong tin'!A:R,11,0)</f>
        <v>4</v>
      </c>
      <c r="BK42" s="1219" t="s">
        <v>1172</v>
      </c>
      <c r="BL42" s="1220">
        <v>42778</v>
      </c>
      <c r="BU42" s="1220">
        <v>42694</v>
      </c>
      <c r="BX42" s="1220">
        <v>42766</v>
      </c>
    </row>
    <row r="43" spans="1:76" s="1219" customFormat="1" ht="15">
      <c r="A43" s="1217">
        <f>IF(C43="","",COUNTA($C$13:C43))</f>
        <v>31</v>
      </c>
      <c r="B43" s="1238" t="s">
        <v>631</v>
      </c>
      <c r="C43" s="1164">
        <v>0.3125</v>
      </c>
      <c r="D43" s="1164">
        <f t="shared" si="0"/>
        <v>0.33333333333333331</v>
      </c>
      <c r="E43" s="1165">
        <f t="shared" ref="E43" si="43">E42</f>
        <v>42508</v>
      </c>
      <c r="F43" s="1164">
        <f t="shared" si="1"/>
        <v>0.34027777777777773</v>
      </c>
      <c r="G43" s="1164">
        <f t="shared" si="2"/>
        <v>0.34374999999999994</v>
      </c>
      <c r="H43" s="1165">
        <f t="shared" si="3"/>
        <v>42508</v>
      </c>
      <c r="I43" s="1166">
        <v>0.01</v>
      </c>
      <c r="J43" s="1166">
        <v>-5.0000000000000001E-3</v>
      </c>
      <c r="K43" s="1166">
        <v>-0.14099999999999999</v>
      </c>
      <c r="L43" s="1166">
        <v>-0.437</v>
      </c>
      <c r="M43" s="1164">
        <f t="shared" si="4"/>
        <v>0.34722222222222215</v>
      </c>
      <c r="N43" s="1164">
        <f t="shared" si="5"/>
        <v>0.35763888888888884</v>
      </c>
      <c r="O43" s="1165">
        <f t="shared" si="6"/>
        <v>42508</v>
      </c>
      <c r="P43" s="1166">
        <v>1.05</v>
      </c>
      <c r="Q43" s="1166">
        <v>9</v>
      </c>
      <c r="R43" s="1166">
        <v>27</v>
      </c>
      <c r="S43" s="1166">
        <v>0</v>
      </c>
      <c r="T43" s="1164">
        <f t="shared" si="7"/>
        <v>0.48263888888888884</v>
      </c>
      <c r="U43" s="1167">
        <f t="shared" si="8"/>
        <v>42508</v>
      </c>
      <c r="V43" s="1166">
        <v>19</v>
      </c>
      <c r="W43" s="1164">
        <f t="shared" si="9"/>
        <v>0.60763888888888884</v>
      </c>
      <c r="X43" s="1167">
        <f t="shared" si="10"/>
        <v>42508</v>
      </c>
      <c r="Y43" s="1166">
        <v>33.21</v>
      </c>
      <c r="Z43" s="1164">
        <f t="shared" si="11"/>
        <v>0.64930555555555547</v>
      </c>
      <c r="AA43" s="1164">
        <f t="shared" si="12"/>
        <v>0.67013888888888873</v>
      </c>
      <c r="AB43" s="1167">
        <f t="shared" si="13"/>
        <v>42508</v>
      </c>
      <c r="AC43" s="1166">
        <v>33.25</v>
      </c>
      <c r="AD43" s="1164">
        <f t="shared" si="14"/>
        <v>0.67708333333333315</v>
      </c>
      <c r="AE43" s="1164">
        <f t="shared" si="15"/>
        <v>0.68749999999999978</v>
      </c>
      <c r="AF43" s="1167">
        <f t="shared" si="16"/>
        <v>42508</v>
      </c>
      <c r="AG43" s="1164">
        <f t="shared" si="17"/>
        <v>0.6944444444444442</v>
      </c>
      <c r="AH43" s="1164">
        <f t="shared" si="18"/>
        <v>0.73611111111111083</v>
      </c>
      <c r="AI43" s="1167">
        <f t="shared" si="19"/>
        <v>42508</v>
      </c>
      <c r="AJ43" s="1164">
        <f t="shared" si="20"/>
        <v>0.75694444444444409</v>
      </c>
      <c r="AK43" s="1164">
        <f t="shared" si="21"/>
        <v>0.76388888888888851</v>
      </c>
      <c r="AL43" s="1167">
        <f t="shared" si="22"/>
        <v>42508</v>
      </c>
      <c r="AM43" s="1166">
        <v>1.06</v>
      </c>
      <c r="AN43" s="1166">
        <v>9</v>
      </c>
      <c r="AO43" s="1166">
        <v>23</v>
      </c>
      <c r="AP43" s="1166">
        <v>0</v>
      </c>
      <c r="AQ43" s="1164">
        <f t="shared" si="23"/>
        <v>0.76388888888888851</v>
      </c>
      <c r="AR43" s="1164">
        <f t="shared" si="24"/>
        <v>0.77083333333333293</v>
      </c>
      <c r="AS43" s="1167">
        <f t="shared" si="25"/>
        <v>42508</v>
      </c>
      <c r="AT43" s="1166">
        <v>33.25</v>
      </c>
      <c r="AU43" s="1164">
        <f t="shared" si="26"/>
        <v>0.77083333333333293</v>
      </c>
      <c r="AV43" s="1167">
        <f t="shared" si="27"/>
        <v>42508</v>
      </c>
      <c r="AW43" s="1164">
        <f t="shared" si="29"/>
        <v>0.81249999999999956</v>
      </c>
      <c r="AX43" s="1167">
        <f t="shared" si="28"/>
        <v>42508</v>
      </c>
      <c r="AY43" s="1166">
        <v>5.7</v>
      </c>
      <c r="AZ43" s="1166">
        <v>24</v>
      </c>
      <c r="BA43" s="1168">
        <f>VLOOKUP(B43,ĐTBT!$V:$W,2,0)</f>
        <v>3</v>
      </c>
      <c r="BB43" s="1168"/>
      <c r="BC43" s="1221">
        <v>42739</v>
      </c>
      <c r="BD43" s="1221">
        <v>42739</v>
      </c>
      <c r="BE43" s="1222">
        <f>BC43-AX43</f>
        <v>231</v>
      </c>
      <c r="BF43" s="1221">
        <f>BD43+BE43</f>
        <v>42970</v>
      </c>
      <c r="BG43" s="1221">
        <f>BC43-1</f>
        <v>42738</v>
      </c>
      <c r="BH43" s="1221">
        <f>BG43+BE43</f>
        <v>42969</v>
      </c>
      <c r="BI43" s="1168">
        <f t="shared" si="42"/>
        <v>0</v>
      </c>
      <c r="BJ43" s="1168">
        <f>VLOOKUP(B43,'Thong tin'!A:R,11,0)</f>
        <v>3</v>
      </c>
      <c r="BL43" s="1220">
        <v>42739</v>
      </c>
      <c r="BU43" s="1220">
        <v>42685</v>
      </c>
      <c r="BX43" s="1220">
        <v>42748</v>
      </c>
    </row>
    <row r="44" spans="1:76" s="1219" customFormat="1" ht="15">
      <c r="A44" s="1217">
        <f>IF(C44="","",COUNTA($C$13:C44))</f>
        <v>32</v>
      </c>
      <c r="B44" s="1238" t="s">
        <v>590</v>
      </c>
      <c r="C44" s="1164">
        <v>0.35416666666666669</v>
      </c>
      <c r="D44" s="1164">
        <f t="shared" si="0"/>
        <v>0.375</v>
      </c>
      <c r="E44" s="1165">
        <v>42509</v>
      </c>
      <c r="F44" s="1164">
        <f t="shared" si="1"/>
        <v>0.38194444444444442</v>
      </c>
      <c r="G44" s="1164">
        <f t="shared" si="2"/>
        <v>0.38541666666666663</v>
      </c>
      <c r="H44" s="1165">
        <f>IF(G44&gt;2,E44+2,IF(G44&gt;1,E44+1,E44))</f>
        <v>42509</v>
      </c>
      <c r="I44" s="1166">
        <v>8.0000000000000002E-3</v>
      </c>
      <c r="J44" s="1166">
        <v>-2E-3</v>
      </c>
      <c r="K44" s="1166">
        <v>-0.156</v>
      </c>
      <c r="L44" s="1166">
        <v>-0.42199999999999999</v>
      </c>
      <c r="M44" s="1164">
        <f t="shared" si="4"/>
        <v>0.38888888888888884</v>
      </c>
      <c r="N44" s="1164">
        <f t="shared" si="5"/>
        <v>0.39930555555555552</v>
      </c>
      <c r="O44" s="1165">
        <f>IF(N44&gt;2,E44+2,IF(N44&gt;1,E44+1,E44))</f>
        <v>42509</v>
      </c>
      <c r="P44" s="1166">
        <v>1.06</v>
      </c>
      <c r="Q44" s="1166">
        <v>9</v>
      </c>
      <c r="R44" s="1166">
        <v>26</v>
      </c>
      <c r="S44" s="1166">
        <v>0</v>
      </c>
      <c r="T44" s="1164">
        <f t="shared" si="7"/>
        <v>0.52430555555555558</v>
      </c>
      <c r="U44" s="1167">
        <f>IF(T44&gt;2,E44+2,IF(T44&gt;1,E44+1,E44))</f>
        <v>42509</v>
      </c>
      <c r="V44" s="1166">
        <v>21.81</v>
      </c>
      <c r="W44" s="1164">
        <f t="shared" si="9"/>
        <v>0.64930555555555558</v>
      </c>
      <c r="X44" s="1167">
        <f>IF(W44&gt;2,E44+2,IF(W44&gt;1,E44+1,E44))</f>
        <v>42509</v>
      </c>
      <c r="Y44" s="1166">
        <v>32.75</v>
      </c>
      <c r="Z44" s="1164">
        <f t="shared" si="11"/>
        <v>0.69097222222222221</v>
      </c>
      <c r="AA44" s="1164">
        <f t="shared" si="12"/>
        <v>0.71180555555555547</v>
      </c>
      <c r="AB44" s="1167">
        <f>IF(AA44&gt;2,E44+2,IF(AA44&gt;1,E44+1,E44))</f>
        <v>42509</v>
      </c>
      <c r="AC44" s="1166">
        <v>32.75</v>
      </c>
      <c r="AD44" s="1164">
        <f t="shared" si="14"/>
        <v>0.71874999999999989</v>
      </c>
      <c r="AE44" s="1164">
        <f t="shared" si="15"/>
        <v>0.72916666666666652</v>
      </c>
      <c r="AF44" s="1167">
        <f>IF(AE44&gt;2,E44+2,IF(AE44&gt;1,E44+1,E44))</f>
        <v>42509</v>
      </c>
      <c r="AG44" s="1164">
        <f t="shared" si="17"/>
        <v>0.73611111111111094</v>
      </c>
      <c r="AH44" s="1164">
        <f t="shared" si="18"/>
        <v>0.77777777777777757</v>
      </c>
      <c r="AI44" s="1167">
        <f>IF(AH44&gt;2,E44+2,IF(AH44&gt;1,E44+1,E44))</f>
        <v>42509</v>
      </c>
      <c r="AJ44" s="1164">
        <f t="shared" si="20"/>
        <v>0.79861111111111083</v>
      </c>
      <c r="AK44" s="1164">
        <f t="shared" si="21"/>
        <v>0.80555555555555525</v>
      </c>
      <c r="AL44" s="1167">
        <f>IF(AK44&gt;2,E44+2,IF(AK44&gt;1,E44+1,E44))</f>
        <v>42509</v>
      </c>
      <c r="AM44" s="1166">
        <v>1.06</v>
      </c>
      <c r="AN44" s="1166">
        <v>9</v>
      </c>
      <c r="AO44" s="1166">
        <v>23</v>
      </c>
      <c r="AP44" s="1166">
        <v>0</v>
      </c>
      <c r="AQ44" s="1164">
        <f>AK44</f>
        <v>0.80555555555555525</v>
      </c>
      <c r="AR44" s="1164">
        <f t="shared" si="24"/>
        <v>0.81249999999999967</v>
      </c>
      <c r="AS44" s="1167">
        <f>IF(AR44&gt;2,E44+2,IF(AR44&gt;1,E44+1,E44))</f>
        <v>42509</v>
      </c>
      <c r="AT44" s="1166">
        <v>32.75</v>
      </c>
      <c r="AU44" s="1164">
        <f>AR44</f>
        <v>0.81249999999999967</v>
      </c>
      <c r="AV44" s="1167">
        <f>IF(AU44&gt;2,E44+2,IF(AU44&gt;1,E44+1,E44))</f>
        <v>42509</v>
      </c>
      <c r="AW44" s="1164">
        <f>AU44+$BC$13*BA44</f>
        <v>0.8541666666666663</v>
      </c>
      <c r="AX44" s="1167">
        <f>IF(AW44&gt;2,E44+2,IF(AW44&gt;1,E44+1,E44))</f>
        <v>42509</v>
      </c>
      <c r="AY44" s="1166">
        <v>6.5</v>
      </c>
      <c r="AZ44" s="1166">
        <v>30</v>
      </c>
      <c r="BA44" s="1168">
        <f>VLOOKUP(B44,ĐTBT!$V:$W,2,0)</f>
        <v>3</v>
      </c>
      <c r="BB44" s="1168"/>
      <c r="BC44" s="1221">
        <v>42784</v>
      </c>
      <c r="BD44" s="1221">
        <v>42784</v>
      </c>
      <c r="BE44" s="1222">
        <f>BC44-AX44</f>
        <v>275</v>
      </c>
      <c r="BF44" s="1221">
        <f>BD44+BE44</f>
        <v>43059</v>
      </c>
      <c r="BG44" s="1221">
        <f>BC44-1</f>
        <v>42783</v>
      </c>
      <c r="BH44" s="1221">
        <f>BG44+BE44</f>
        <v>43058</v>
      </c>
      <c r="BJ44" s="1168">
        <f>VLOOKUP(B44,'Thong tin'!A:R,11,0)</f>
        <v>4</v>
      </c>
      <c r="BL44" s="1220">
        <v>42784</v>
      </c>
    </row>
    <row r="45" spans="1:76" s="1219" customFormat="1" ht="15">
      <c r="A45" s="1217">
        <f>IF(C45="","",COUNTA($C$13:C45))</f>
        <v>33</v>
      </c>
      <c r="B45" s="1238" t="s">
        <v>610</v>
      </c>
      <c r="C45" s="1164">
        <v>0.3888888888888889</v>
      </c>
      <c r="D45" s="1164">
        <f t="shared" ref="D45:D76" si="44">C45+$D$319</f>
        <v>0.40972222222222221</v>
      </c>
      <c r="E45" s="1165">
        <v>42510</v>
      </c>
      <c r="F45" s="1164">
        <f t="shared" ref="F45:F76" si="45">D45+$D$315</f>
        <v>0.41666666666666663</v>
      </c>
      <c r="G45" s="1164">
        <f t="shared" ref="G45:G76" si="46">F45+$D$314</f>
        <v>0.42013888888888884</v>
      </c>
      <c r="H45" s="1165">
        <f>IF(G45&gt;2,E45+2,IF(G45&gt;1,E45+1,E45))</f>
        <v>42510</v>
      </c>
      <c r="I45" s="1166">
        <v>-2.8000000000000001E-2</v>
      </c>
      <c r="J45" s="1166">
        <v>-3.0000000000000001E-3</v>
      </c>
      <c r="K45" s="1166">
        <v>-0.42199999999999999</v>
      </c>
      <c r="L45" s="1166">
        <v>-0.68400000000000005</v>
      </c>
      <c r="M45" s="1164">
        <f t="shared" ref="M45:M76" si="47">G45+$D$314</f>
        <v>0.42361111111111105</v>
      </c>
      <c r="N45" s="1164">
        <f t="shared" ref="N45:N76" si="48">M45+$D$316</f>
        <v>0.43402777777777773</v>
      </c>
      <c r="O45" s="1165">
        <f>IF(N45&gt;2,E45+2,IF(N45&gt;1,E45+1,E45))</f>
        <v>42510</v>
      </c>
      <c r="P45" s="1166">
        <v>1.06</v>
      </c>
      <c r="Q45" s="1166">
        <v>9</v>
      </c>
      <c r="R45" s="1166">
        <v>25</v>
      </c>
      <c r="S45" s="1166">
        <v>0</v>
      </c>
      <c r="T45" s="1164">
        <f t="shared" ref="T45:T76" si="49">N45+$D$344</f>
        <v>0.55902777777777768</v>
      </c>
      <c r="U45" s="1167">
        <f>IF(T45&gt;2,E45+2,IF(T45&gt;1,E45+1,E45))</f>
        <v>42510</v>
      </c>
      <c r="V45" s="1166">
        <v>22.12</v>
      </c>
      <c r="W45" s="1164">
        <f t="shared" ref="W45:W76" si="50">T45+$D$344</f>
        <v>0.68402777777777768</v>
      </c>
      <c r="X45" s="1167">
        <f>IF(W45&gt;2,E45+2,IF(W45&gt;1,E45+1,E45))</f>
        <v>42510</v>
      </c>
      <c r="Y45" s="1166">
        <v>44.61</v>
      </c>
      <c r="Z45" s="1164">
        <f t="shared" ref="Z45:Z76" si="51">W45+$D$325</f>
        <v>0.72569444444444431</v>
      </c>
      <c r="AA45" s="1164">
        <f t="shared" ref="AA45:AA76" si="52">Z45+$D$319</f>
        <v>0.74652777777777757</v>
      </c>
      <c r="AB45" s="1167">
        <f>IF(AA45&gt;2,E45+2,IF(AA45&gt;1,E45+1,E45))</f>
        <v>42510</v>
      </c>
      <c r="AC45" s="1166">
        <v>44.61</v>
      </c>
      <c r="AD45" s="1164">
        <f t="shared" ref="AD45:AD76" si="53">AA45+$D$315</f>
        <v>0.75347222222222199</v>
      </c>
      <c r="AE45" s="1164">
        <f t="shared" ref="AE45:AE76" si="54">AD45+$D$316</f>
        <v>0.76388888888888862</v>
      </c>
      <c r="AF45" s="1167">
        <f>IF(AE45&gt;2,E45+2,IF(AE45&gt;1,E45+1,E45))</f>
        <v>42510</v>
      </c>
      <c r="AG45" s="1164">
        <f t="shared" ref="AG45:AG76" si="55">AE45+$D$315</f>
        <v>0.77083333333333304</v>
      </c>
      <c r="AH45" s="1164">
        <f t="shared" ref="AH45:AH76" si="56">IF(BJ45&gt;0,AG45+$D$325,AG45+$D$322)</f>
        <v>0.80208333333333304</v>
      </c>
      <c r="AI45" s="1167">
        <f>IF(AH45&gt;2,E45+2,IF(AH45&gt;1,E45+1,E45))</f>
        <v>42510</v>
      </c>
      <c r="AJ45" s="1164">
        <f t="shared" ref="AJ45:AJ76" si="57">AH45+$D$319</f>
        <v>0.8229166666666663</v>
      </c>
      <c r="AK45" s="1164">
        <f t="shared" ref="AK45:AK76" si="58">AJ45+$D$315</f>
        <v>0.82986111111111072</v>
      </c>
      <c r="AL45" s="1167">
        <f>IF(AK45&gt;2,E45+2,IF(AK45&gt;1,E45+1,E45))</f>
        <v>42510</v>
      </c>
      <c r="AM45" s="1166">
        <v>1.06</v>
      </c>
      <c r="AN45" s="1166">
        <v>9</v>
      </c>
      <c r="AO45" s="1166">
        <v>25</v>
      </c>
      <c r="AP45" s="1166">
        <v>0</v>
      </c>
      <c r="AQ45" s="1164">
        <f>AK45</f>
        <v>0.82986111111111072</v>
      </c>
      <c r="AR45" s="1164">
        <f t="shared" ref="AR45:AR76" si="59">AQ45+$D$315</f>
        <v>0.83680555555555514</v>
      </c>
      <c r="AS45" s="1167">
        <f>IF(AR45&gt;2,E45+2,IF(AR45&gt;1,E45+1,E45))</f>
        <v>42510</v>
      </c>
      <c r="AT45" s="1166">
        <v>44.61</v>
      </c>
      <c r="AU45" s="1164">
        <f>AR45</f>
        <v>0.83680555555555514</v>
      </c>
      <c r="AV45" s="1167">
        <f>IF(AU45&gt;2,E45+2,IF(AU45&gt;1,E45+1,E45))</f>
        <v>42510</v>
      </c>
      <c r="AW45" s="1164">
        <f>AU45+$BC$13*BA45</f>
        <v>0.92013888888888851</v>
      </c>
      <c r="AX45" s="1167">
        <f>IF(AW45&gt;2,E45+2,IF(AW45&gt;1,E45+1,E45))</f>
        <v>42510</v>
      </c>
      <c r="AY45" s="1166">
        <v>6.3</v>
      </c>
      <c r="AZ45" s="1166">
        <v>52</v>
      </c>
      <c r="BA45" s="1168">
        <f>VLOOKUP(B45,ĐTBT!$V:$W,2,0)</f>
        <v>6</v>
      </c>
      <c r="BB45" s="1168"/>
      <c r="BC45" s="1221"/>
      <c r="BD45" s="1221"/>
      <c r="BE45" s="1222"/>
      <c r="BF45" s="1221"/>
      <c r="BG45" s="1221"/>
      <c r="BH45" s="1221"/>
      <c r="BJ45" s="1168"/>
      <c r="BL45" s="1220"/>
    </row>
    <row r="46" spans="1:76" s="1219" customFormat="1" ht="15">
      <c r="A46" s="1217">
        <f>IF(C46="","",COUNTA($C$13:C46))</f>
        <v>34</v>
      </c>
      <c r="B46" s="1238" t="s">
        <v>645</v>
      </c>
      <c r="C46" s="1164">
        <v>0.35416666666666669</v>
      </c>
      <c r="D46" s="1164">
        <f t="shared" si="44"/>
        <v>0.375</v>
      </c>
      <c r="E46" s="1165">
        <v>42511</v>
      </c>
      <c r="F46" s="1164">
        <f t="shared" si="45"/>
        <v>0.38194444444444442</v>
      </c>
      <c r="G46" s="1164">
        <f t="shared" si="46"/>
        <v>0.38541666666666663</v>
      </c>
      <c r="H46" s="1165">
        <f>IF(G46&gt;2,E46+2,IF(G46&gt;1,E46+1,E46))</f>
        <v>42511</v>
      </c>
      <c r="I46" s="1166">
        <v>-2E-3</v>
      </c>
      <c r="J46" s="1166">
        <v>1.9E-2</v>
      </c>
      <c r="K46" s="1166">
        <v>-0.45200000000000001</v>
      </c>
      <c r="L46" s="1166">
        <v>-0.69199999999999995</v>
      </c>
      <c r="M46" s="1164">
        <f t="shared" si="47"/>
        <v>0.38888888888888884</v>
      </c>
      <c r="N46" s="1164">
        <f t="shared" si="48"/>
        <v>0.39930555555555552</v>
      </c>
      <c r="O46" s="1165">
        <f>IF(N46&gt;2,E46+2,IF(N46&gt;1,E46+1,E46))</f>
        <v>42511</v>
      </c>
      <c r="P46" s="1166">
        <v>1.06</v>
      </c>
      <c r="Q46" s="1166">
        <v>9</v>
      </c>
      <c r="R46" s="1166">
        <v>24</v>
      </c>
      <c r="S46" s="1166">
        <v>0</v>
      </c>
      <c r="T46" s="1164">
        <f t="shared" si="49"/>
        <v>0.52430555555555558</v>
      </c>
      <c r="U46" s="1167">
        <f>IF(T46&gt;2,E46+2,IF(T46&gt;1,E46+1,E46))</f>
        <v>42511</v>
      </c>
      <c r="V46" s="1166">
        <v>21.07</v>
      </c>
      <c r="W46" s="1164">
        <f t="shared" si="50"/>
        <v>0.64930555555555558</v>
      </c>
      <c r="X46" s="1167">
        <f>IF(W46&gt;2,E46+2,IF(W46&gt;1,E46+1,E46))</f>
        <v>42511</v>
      </c>
      <c r="Y46" s="1166">
        <v>28.57</v>
      </c>
      <c r="Z46" s="1164">
        <f t="shared" si="51"/>
        <v>0.69097222222222221</v>
      </c>
      <c r="AA46" s="1164">
        <f t="shared" si="52"/>
        <v>0.71180555555555547</v>
      </c>
      <c r="AB46" s="1167">
        <f>IF(AA46&gt;2,E46+2,IF(AA46&gt;1,E46+1,E46))</f>
        <v>42511</v>
      </c>
      <c r="AC46" s="1166">
        <v>28.61</v>
      </c>
      <c r="AD46" s="1164">
        <f t="shared" si="53"/>
        <v>0.71874999999999989</v>
      </c>
      <c r="AE46" s="1164">
        <f t="shared" si="54"/>
        <v>0.72916666666666652</v>
      </c>
      <c r="AF46" s="1167">
        <f>IF(AE46&gt;2,E46+2,IF(AE46&gt;1,E46+1,E46))</f>
        <v>42511</v>
      </c>
      <c r="AG46" s="1164">
        <f t="shared" si="55"/>
        <v>0.73611111111111094</v>
      </c>
      <c r="AH46" s="1164">
        <f t="shared" si="56"/>
        <v>0.76736111111111094</v>
      </c>
      <c r="AI46" s="1167">
        <f>IF(AH46&gt;2,E46+2,IF(AH46&gt;1,E46+1,E46))</f>
        <v>42511</v>
      </c>
      <c r="AJ46" s="1164">
        <f t="shared" si="57"/>
        <v>0.7881944444444442</v>
      </c>
      <c r="AK46" s="1164">
        <f t="shared" si="58"/>
        <v>0.79513888888888862</v>
      </c>
      <c r="AL46" s="1167">
        <f>IF(AK46&gt;2,E46+2,IF(AK46&gt;1,E46+1,E46))</f>
        <v>42511</v>
      </c>
      <c r="AM46" s="1166">
        <v>1.06</v>
      </c>
      <c r="AN46" s="1166">
        <v>9</v>
      </c>
      <c r="AO46" s="1166">
        <v>24</v>
      </c>
      <c r="AP46" s="1166">
        <v>0</v>
      </c>
      <c r="AQ46" s="1164">
        <f>AK46</f>
        <v>0.79513888888888862</v>
      </c>
      <c r="AR46" s="1164">
        <f t="shared" si="59"/>
        <v>0.80208333333333304</v>
      </c>
      <c r="AS46" s="1167">
        <f>IF(AR46&gt;2,E46+2,IF(AR46&gt;1,E46+1,E46))</f>
        <v>42511</v>
      </c>
      <c r="AT46" s="1166">
        <v>28.61</v>
      </c>
      <c r="AU46" s="1164">
        <f>AR46</f>
        <v>0.80208333333333304</v>
      </c>
      <c r="AV46" s="1167">
        <f>IF(AU46&gt;2,E46+2,IF(AU46&gt;1,E46+1,E46))</f>
        <v>42511</v>
      </c>
      <c r="AW46" s="1164">
        <f>AU46+$BC$13*BA46</f>
        <v>0.81597222222222188</v>
      </c>
      <c r="AX46" s="1167">
        <f>IF(AW46&gt;2,E46+2,IF(AW46&gt;1,E46+1,E46))</f>
        <v>42511</v>
      </c>
      <c r="AY46" s="1166">
        <v>6.5</v>
      </c>
      <c r="AZ46" s="1166">
        <v>14</v>
      </c>
      <c r="BA46" s="1168">
        <f>VLOOKUP(B46,ĐTBT!$V:$W,2,0)</f>
        <v>1</v>
      </c>
      <c r="BB46" s="1168"/>
      <c r="BC46" s="1221"/>
      <c r="BD46" s="1221"/>
      <c r="BE46" s="1222"/>
      <c r="BF46" s="1221"/>
      <c r="BG46" s="1221"/>
      <c r="BH46" s="1221"/>
      <c r="BJ46" s="1168"/>
      <c r="BL46" s="1220"/>
    </row>
    <row r="47" spans="1:76" s="1210" customFormat="1" ht="15">
      <c r="A47" s="1217">
        <f>IF(C47="","",COUNTA($C$13:C47))</f>
        <v>35</v>
      </c>
      <c r="B47" s="1238" t="s">
        <v>583</v>
      </c>
      <c r="C47" s="1164">
        <v>0.35416666666666669</v>
      </c>
      <c r="D47" s="1164">
        <f t="shared" si="44"/>
        <v>0.375</v>
      </c>
      <c r="E47" s="1165">
        <f>E46</f>
        <v>42511</v>
      </c>
      <c r="F47" s="1164">
        <f t="shared" si="45"/>
        <v>0.38194444444444442</v>
      </c>
      <c r="G47" s="1164">
        <f t="shared" si="46"/>
        <v>0.38541666666666663</v>
      </c>
      <c r="H47" s="1165">
        <f t="shared" si="3"/>
        <v>42511</v>
      </c>
      <c r="I47" s="1166">
        <v>2E-3</v>
      </c>
      <c r="J47" s="1166">
        <v>1.4999999999999999E-2</v>
      </c>
      <c r="K47" s="1166">
        <v>-0.4</v>
      </c>
      <c r="L47" s="1166">
        <v>-0.81499999999999995</v>
      </c>
      <c r="M47" s="1164">
        <f t="shared" si="47"/>
        <v>0.38888888888888884</v>
      </c>
      <c r="N47" s="1164">
        <f t="shared" si="48"/>
        <v>0.39930555555555552</v>
      </c>
      <c r="O47" s="1165">
        <f t="shared" si="6"/>
        <v>42511</v>
      </c>
      <c r="P47" s="1166">
        <v>1.07</v>
      </c>
      <c r="Q47" s="1166">
        <v>9</v>
      </c>
      <c r="R47" s="1166">
        <v>21</v>
      </c>
      <c r="S47" s="1166">
        <v>1</v>
      </c>
      <c r="T47" s="1164">
        <f t="shared" si="49"/>
        <v>0.52430555555555558</v>
      </c>
      <c r="U47" s="1167">
        <f t="shared" si="8"/>
        <v>42511</v>
      </c>
      <c r="V47" s="1166">
        <v>25.9</v>
      </c>
      <c r="W47" s="1164">
        <f t="shared" si="50"/>
        <v>0.64930555555555558</v>
      </c>
      <c r="X47" s="1167">
        <f t="shared" si="10"/>
        <v>42511</v>
      </c>
      <c r="Y47" s="1166">
        <v>39.450000000000003</v>
      </c>
      <c r="Z47" s="1164">
        <f t="shared" si="51"/>
        <v>0.69097222222222221</v>
      </c>
      <c r="AA47" s="1164">
        <f t="shared" si="52"/>
        <v>0.71180555555555547</v>
      </c>
      <c r="AB47" s="1167">
        <f t="shared" si="13"/>
        <v>42511</v>
      </c>
      <c r="AC47" s="1166">
        <v>39.549999999999997</v>
      </c>
      <c r="AD47" s="1164">
        <f t="shared" si="53"/>
        <v>0.71874999999999989</v>
      </c>
      <c r="AE47" s="1164">
        <f t="shared" si="54"/>
        <v>0.72916666666666652</v>
      </c>
      <c r="AF47" s="1167">
        <f t="shared" si="16"/>
        <v>42511</v>
      </c>
      <c r="AG47" s="1164">
        <f t="shared" si="55"/>
        <v>0.73611111111111094</v>
      </c>
      <c r="AH47" s="1164">
        <f t="shared" si="56"/>
        <v>0.76736111111111094</v>
      </c>
      <c r="AI47" s="1167">
        <f t="shared" si="19"/>
        <v>42511</v>
      </c>
      <c r="AJ47" s="1164">
        <f t="shared" si="57"/>
        <v>0.7881944444444442</v>
      </c>
      <c r="AK47" s="1164">
        <f t="shared" si="58"/>
        <v>0.79513888888888862</v>
      </c>
      <c r="AL47" s="1167">
        <f t="shared" si="22"/>
        <v>42511</v>
      </c>
      <c r="AM47" s="1166">
        <v>1.08</v>
      </c>
      <c r="AN47" s="1166">
        <v>9</v>
      </c>
      <c r="AO47" s="1166">
        <v>28</v>
      </c>
      <c r="AP47" s="1166">
        <v>0</v>
      </c>
      <c r="AQ47" s="1164">
        <f t="shared" si="23"/>
        <v>0.79513888888888862</v>
      </c>
      <c r="AR47" s="1164">
        <f t="shared" si="59"/>
        <v>0.80208333333333304</v>
      </c>
      <c r="AS47" s="1167">
        <f t="shared" si="25"/>
        <v>42511</v>
      </c>
      <c r="AT47" s="1166">
        <v>39.6</v>
      </c>
      <c r="AU47" s="1164">
        <f t="shared" si="26"/>
        <v>0.80208333333333304</v>
      </c>
      <c r="AV47" s="1167">
        <f t="shared" si="27"/>
        <v>42511</v>
      </c>
      <c r="AW47" s="1164">
        <f t="shared" si="29"/>
        <v>0.89930555555555525</v>
      </c>
      <c r="AX47" s="1167">
        <f t="shared" si="28"/>
        <v>42511</v>
      </c>
      <c r="AY47" s="1166">
        <v>5.5</v>
      </c>
      <c r="AZ47" s="1166">
        <v>49</v>
      </c>
      <c r="BA47" s="1168">
        <f>VLOOKUP(B47,ĐTBT!$V:$W,2,0)</f>
        <v>7</v>
      </c>
      <c r="BB47" s="1168"/>
      <c r="BC47" s="1168"/>
      <c r="BD47" s="1168"/>
      <c r="BE47" s="1168"/>
      <c r="BF47" s="1168"/>
      <c r="BG47" s="1168"/>
      <c r="BH47" s="1168"/>
      <c r="BI47" s="1168">
        <f t="shared" si="42"/>
        <v>0</v>
      </c>
      <c r="BJ47" s="1168">
        <f>VLOOKUP(B47,'Thong tin'!A:R,11,0)</f>
        <v>0</v>
      </c>
      <c r="BK47" s="1209"/>
    </row>
    <row r="48" spans="1:76" s="1219" customFormat="1" ht="15">
      <c r="A48" s="1217">
        <f>IF(C48="","",COUNTA($C$13:C48))</f>
        <v>36</v>
      </c>
      <c r="B48" s="1238" t="s">
        <v>516</v>
      </c>
      <c r="C48" s="1164">
        <v>0.375</v>
      </c>
      <c r="D48" s="1164">
        <f t="shared" si="44"/>
        <v>0.39583333333333331</v>
      </c>
      <c r="E48" s="1165">
        <v>42512</v>
      </c>
      <c r="F48" s="1164">
        <f t="shared" si="45"/>
        <v>0.40277777777777773</v>
      </c>
      <c r="G48" s="1164">
        <f t="shared" si="46"/>
        <v>0.40624999999999994</v>
      </c>
      <c r="H48" s="1165">
        <f t="shared" si="3"/>
        <v>42512</v>
      </c>
      <c r="I48" s="1166">
        <v>-0.02</v>
      </c>
      <c r="J48" s="1166">
        <v>1.2E-2</v>
      </c>
      <c r="K48" s="1166">
        <v>-0.32500000000000001</v>
      </c>
      <c r="L48" s="1166">
        <v>-0.57699999999999996</v>
      </c>
      <c r="M48" s="1164">
        <f t="shared" si="47"/>
        <v>0.40972222222222215</v>
      </c>
      <c r="N48" s="1164">
        <f t="shared" si="48"/>
        <v>0.42013888888888884</v>
      </c>
      <c r="O48" s="1165">
        <f t="shared" si="6"/>
        <v>42512</v>
      </c>
      <c r="P48" s="1166">
        <v>1.06</v>
      </c>
      <c r="Q48" s="1166">
        <v>9</v>
      </c>
      <c r="R48" s="1166">
        <v>23</v>
      </c>
      <c r="S48" s="1166">
        <v>0</v>
      </c>
      <c r="T48" s="1164">
        <f t="shared" si="49"/>
        <v>0.54513888888888884</v>
      </c>
      <c r="U48" s="1167">
        <f t="shared" si="8"/>
        <v>42512</v>
      </c>
      <c r="V48" s="1166">
        <v>19.22</v>
      </c>
      <c r="W48" s="1164">
        <f t="shared" si="50"/>
        <v>0.67013888888888884</v>
      </c>
      <c r="X48" s="1167">
        <f t="shared" si="10"/>
        <v>42512</v>
      </c>
      <c r="Y48" s="1166">
        <v>23.48</v>
      </c>
      <c r="Z48" s="1164">
        <f t="shared" si="51"/>
        <v>0.71180555555555547</v>
      </c>
      <c r="AA48" s="1164">
        <f t="shared" si="52"/>
        <v>0.73263888888888873</v>
      </c>
      <c r="AB48" s="1167">
        <f t="shared" si="13"/>
        <v>42512</v>
      </c>
      <c r="AC48" s="1166">
        <v>23.53</v>
      </c>
      <c r="AD48" s="1164">
        <f t="shared" si="53"/>
        <v>0.73958333333333315</v>
      </c>
      <c r="AE48" s="1164">
        <f t="shared" si="54"/>
        <v>0.74999999999999978</v>
      </c>
      <c r="AF48" s="1167">
        <f t="shared" si="16"/>
        <v>42512</v>
      </c>
      <c r="AG48" s="1164">
        <f t="shared" si="55"/>
        <v>0.7569444444444442</v>
      </c>
      <c r="AH48" s="1164">
        <f t="shared" si="56"/>
        <v>0.79861111111111083</v>
      </c>
      <c r="AI48" s="1167">
        <f t="shared" si="19"/>
        <v>42512</v>
      </c>
      <c r="AJ48" s="1164">
        <f t="shared" si="57"/>
        <v>0.81944444444444409</v>
      </c>
      <c r="AK48" s="1164">
        <f t="shared" si="58"/>
        <v>0.82638888888888851</v>
      </c>
      <c r="AL48" s="1167">
        <f t="shared" si="22"/>
        <v>42512</v>
      </c>
      <c r="AM48" s="1166">
        <v>1.06</v>
      </c>
      <c r="AN48" s="1166">
        <v>9</v>
      </c>
      <c r="AO48" s="1166">
        <v>24</v>
      </c>
      <c r="AP48" s="1166">
        <v>0</v>
      </c>
      <c r="AQ48" s="1164">
        <f t="shared" si="23"/>
        <v>0.82638888888888851</v>
      </c>
      <c r="AR48" s="1164">
        <f t="shared" si="59"/>
        <v>0.83333333333333293</v>
      </c>
      <c r="AS48" s="1167">
        <f t="shared" si="25"/>
        <v>42512</v>
      </c>
      <c r="AT48" s="1166">
        <v>23.53</v>
      </c>
      <c r="AU48" s="1164">
        <f t="shared" si="26"/>
        <v>0.83333333333333293</v>
      </c>
      <c r="AV48" s="1167">
        <f t="shared" si="27"/>
        <v>42512</v>
      </c>
      <c r="AW48" s="1164">
        <f t="shared" si="29"/>
        <v>0.86111111111111072</v>
      </c>
      <c r="AX48" s="1167">
        <f t="shared" si="28"/>
        <v>42512</v>
      </c>
      <c r="AY48" s="1166">
        <v>6.2</v>
      </c>
      <c r="AZ48" s="1166">
        <v>26</v>
      </c>
      <c r="BA48" s="1168">
        <f>VLOOKUP(B48,ĐTBT!$V:$W,2,0)</f>
        <v>2</v>
      </c>
      <c r="BB48" s="1168"/>
      <c r="BC48" s="1221">
        <v>42747</v>
      </c>
      <c r="BD48" s="1221">
        <v>42747</v>
      </c>
      <c r="BE48" s="1222">
        <f>BC48-AX48</f>
        <v>235</v>
      </c>
      <c r="BF48" s="1221">
        <f>BD48+BE48</f>
        <v>42982</v>
      </c>
      <c r="BG48" s="1221">
        <f>BC48-1</f>
        <v>42746</v>
      </c>
      <c r="BH48" s="1221">
        <f>BG48+BE48</f>
        <v>42981</v>
      </c>
      <c r="BI48" s="1168">
        <f t="shared" si="42"/>
        <v>0</v>
      </c>
      <c r="BJ48" s="1168">
        <f>VLOOKUP(B48,'Thong tin'!A:R,11,0)</f>
        <v>4</v>
      </c>
      <c r="BL48" s="1220">
        <v>42747</v>
      </c>
      <c r="BU48" s="1220">
        <v>42690</v>
      </c>
      <c r="BX48" s="1220">
        <v>42759</v>
      </c>
    </row>
    <row r="49" spans="1:76" s="1219" customFormat="1" ht="15">
      <c r="A49" s="1217">
        <f>IF(C49="","",COUNTA($C$13:C49))</f>
        <v>37</v>
      </c>
      <c r="B49" s="1238" t="s">
        <v>521</v>
      </c>
      <c r="C49" s="1164">
        <v>0.38194444444444442</v>
      </c>
      <c r="D49" s="1164">
        <f t="shared" si="44"/>
        <v>0.40277777777777773</v>
      </c>
      <c r="E49" s="1165">
        <f t="shared" ref="E49" si="60">E48</f>
        <v>42512</v>
      </c>
      <c r="F49" s="1164">
        <f t="shared" si="45"/>
        <v>0.40972222222222215</v>
      </c>
      <c r="G49" s="1164">
        <f t="shared" si="46"/>
        <v>0.41319444444444436</v>
      </c>
      <c r="H49" s="1165">
        <f t="shared" si="3"/>
        <v>42512</v>
      </c>
      <c r="I49" s="1166">
        <v>-1.7999999999999999E-2</v>
      </c>
      <c r="J49" s="1166">
        <v>0.02</v>
      </c>
      <c r="K49" s="1166">
        <v>-0.122</v>
      </c>
      <c r="L49" s="1166">
        <v>-0.50700000000000001</v>
      </c>
      <c r="M49" s="1164">
        <f t="shared" si="47"/>
        <v>0.41666666666666657</v>
      </c>
      <c r="N49" s="1164">
        <f t="shared" si="48"/>
        <v>0.42708333333333326</v>
      </c>
      <c r="O49" s="1165">
        <f t="shared" si="6"/>
        <v>42512</v>
      </c>
      <c r="P49" s="1166">
        <v>1.06</v>
      </c>
      <c r="Q49" s="1166">
        <v>9</v>
      </c>
      <c r="R49" s="1166">
        <v>25</v>
      </c>
      <c r="S49" s="1166">
        <v>0</v>
      </c>
      <c r="T49" s="1164">
        <f t="shared" si="49"/>
        <v>0.55208333333333326</v>
      </c>
      <c r="U49" s="1167">
        <f t="shared" si="8"/>
        <v>42512</v>
      </c>
      <c r="V49" s="1166">
        <v>21.1</v>
      </c>
      <c r="W49" s="1164">
        <f t="shared" si="50"/>
        <v>0.67708333333333326</v>
      </c>
      <c r="X49" s="1167">
        <f t="shared" si="10"/>
        <v>42512</v>
      </c>
      <c r="Y49" s="1166">
        <v>23.75</v>
      </c>
      <c r="Z49" s="1164">
        <f t="shared" si="51"/>
        <v>0.71874999999999989</v>
      </c>
      <c r="AA49" s="1164">
        <f t="shared" si="52"/>
        <v>0.73958333333333315</v>
      </c>
      <c r="AB49" s="1167">
        <f t="shared" si="13"/>
        <v>42512</v>
      </c>
      <c r="AC49" s="1166">
        <v>23.75</v>
      </c>
      <c r="AD49" s="1164">
        <f t="shared" si="53"/>
        <v>0.74652777777777757</v>
      </c>
      <c r="AE49" s="1164">
        <f t="shared" si="54"/>
        <v>0.7569444444444442</v>
      </c>
      <c r="AF49" s="1167">
        <f t="shared" si="16"/>
        <v>42512</v>
      </c>
      <c r="AG49" s="1164">
        <f t="shared" si="55"/>
        <v>0.76388888888888862</v>
      </c>
      <c r="AH49" s="1164">
        <f t="shared" si="56"/>
        <v>0.79513888888888862</v>
      </c>
      <c r="AI49" s="1167">
        <f t="shared" si="19"/>
        <v>42512</v>
      </c>
      <c r="AJ49" s="1164">
        <f t="shared" si="57"/>
        <v>0.81597222222222188</v>
      </c>
      <c r="AK49" s="1164">
        <f t="shared" si="58"/>
        <v>0.8229166666666663</v>
      </c>
      <c r="AL49" s="1167">
        <f t="shared" si="22"/>
        <v>42512</v>
      </c>
      <c r="AM49" s="1166">
        <v>1.06</v>
      </c>
      <c r="AN49" s="1166">
        <v>9</v>
      </c>
      <c r="AO49" s="1166">
        <v>23</v>
      </c>
      <c r="AP49" s="1166">
        <v>0</v>
      </c>
      <c r="AQ49" s="1164">
        <f t="shared" si="23"/>
        <v>0.8229166666666663</v>
      </c>
      <c r="AR49" s="1164">
        <f t="shared" si="59"/>
        <v>0.82986111111111072</v>
      </c>
      <c r="AS49" s="1167">
        <f t="shared" si="25"/>
        <v>42512</v>
      </c>
      <c r="AT49" s="1166">
        <v>23.75</v>
      </c>
      <c r="AU49" s="1164">
        <f t="shared" si="26"/>
        <v>0.82986111111111072</v>
      </c>
      <c r="AV49" s="1167">
        <f t="shared" si="27"/>
        <v>42512</v>
      </c>
      <c r="AW49" s="1164">
        <f t="shared" si="29"/>
        <v>0.85763888888888851</v>
      </c>
      <c r="AX49" s="1167">
        <f t="shared" si="28"/>
        <v>42512</v>
      </c>
      <c r="AY49" s="1166">
        <v>6.3</v>
      </c>
      <c r="AZ49" s="1166">
        <v>25</v>
      </c>
      <c r="BA49" s="1168">
        <f>VLOOKUP(B49,ĐTBT!$V:$W,2,0)</f>
        <v>2</v>
      </c>
      <c r="BB49" s="1168"/>
      <c r="BC49" s="1221">
        <v>42757</v>
      </c>
      <c r="BD49" s="1221">
        <v>42757</v>
      </c>
      <c r="BE49" s="1222">
        <f>BC49-AX49</f>
        <v>245</v>
      </c>
      <c r="BF49" s="1221">
        <f>BD49+BE49</f>
        <v>43002</v>
      </c>
      <c r="BG49" s="1221">
        <f>BC49-1</f>
        <v>42756</v>
      </c>
      <c r="BH49" s="1221">
        <f>BG49+BE49</f>
        <v>43001</v>
      </c>
      <c r="BI49" s="1168">
        <f t="shared" si="42"/>
        <v>0</v>
      </c>
      <c r="BJ49" s="1168">
        <f>VLOOKUP(B49,'Thong tin'!A:R,11,0)</f>
        <v>0</v>
      </c>
      <c r="BL49" s="1220">
        <v>42757</v>
      </c>
      <c r="BU49" s="1220">
        <v>42693</v>
      </c>
      <c r="BX49" s="1220">
        <v>42764</v>
      </c>
    </row>
    <row r="50" spans="1:76" s="1219" customFormat="1" ht="15">
      <c r="A50" s="1217">
        <f>IF(C50="","",COUNTA($C$13:C50))</f>
        <v>38</v>
      </c>
      <c r="B50" s="1238" t="s">
        <v>585</v>
      </c>
      <c r="C50" s="1164">
        <v>0.34027777777777773</v>
      </c>
      <c r="D50" s="1164">
        <f t="shared" si="44"/>
        <v>0.36111111111111105</v>
      </c>
      <c r="E50" s="1165">
        <v>42513</v>
      </c>
      <c r="F50" s="1164">
        <f t="shared" si="45"/>
        <v>0.36805555555555547</v>
      </c>
      <c r="G50" s="1164">
        <f t="shared" si="46"/>
        <v>0.37152777777777768</v>
      </c>
      <c r="H50" s="1165">
        <f>IF(G50&gt;2,E50+2,IF(G50&gt;1,E50+1,E50))</f>
        <v>42513</v>
      </c>
      <c r="I50" s="1166">
        <v>2E-3</v>
      </c>
      <c r="J50" s="1166">
        <v>0.02</v>
      </c>
      <c r="K50" s="1166">
        <v>-0.34300000000000003</v>
      </c>
      <c r="L50" s="1166">
        <v>-0.63</v>
      </c>
      <c r="M50" s="1164">
        <f t="shared" si="47"/>
        <v>0.37499999999999989</v>
      </c>
      <c r="N50" s="1164">
        <f t="shared" si="48"/>
        <v>0.38541666666666657</v>
      </c>
      <c r="O50" s="1165">
        <f>IF(N50&gt;2,E50+2,IF(N50&gt;1,E50+1,E50))</f>
        <v>42513</v>
      </c>
      <c r="P50" s="1166">
        <v>1.06</v>
      </c>
      <c r="Q50" s="1166">
        <v>9</v>
      </c>
      <c r="R50" s="1166">
        <v>24</v>
      </c>
      <c r="S50" s="1166">
        <v>0</v>
      </c>
      <c r="T50" s="1164">
        <f t="shared" si="49"/>
        <v>0.51041666666666652</v>
      </c>
      <c r="U50" s="1167">
        <f>IF(T50&gt;2,E50+2,IF(T50&gt;1,E50+1,E50))</f>
        <v>42513</v>
      </c>
      <c r="V50" s="1166">
        <v>22.05</v>
      </c>
      <c r="W50" s="1164">
        <f t="shared" si="50"/>
        <v>0.63541666666666652</v>
      </c>
      <c r="X50" s="1167">
        <f>IF(W50&gt;2,E50+2,IF(W50&gt;1,E50+1,E50))</f>
        <v>42513</v>
      </c>
      <c r="Y50" s="1166">
        <v>32.67</v>
      </c>
      <c r="Z50" s="1164">
        <f t="shared" si="51"/>
        <v>0.67708333333333315</v>
      </c>
      <c r="AA50" s="1164">
        <f t="shared" si="52"/>
        <v>0.69791666666666641</v>
      </c>
      <c r="AB50" s="1167">
        <f>IF(AA50&gt;2,E50+2,IF(AA50&gt;1,E50+1,E50))</f>
        <v>42513</v>
      </c>
      <c r="AC50" s="1166">
        <v>32.799999999999997</v>
      </c>
      <c r="AD50" s="1164">
        <f t="shared" si="53"/>
        <v>0.70486111111111083</v>
      </c>
      <c r="AE50" s="1164">
        <f t="shared" si="54"/>
        <v>0.71527777777777746</v>
      </c>
      <c r="AF50" s="1167">
        <f>IF(AE50&gt;2,E50+2,IF(AE50&gt;1,E50+1,E50))</f>
        <v>42513</v>
      </c>
      <c r="AG50" s="1164">
        <f t="shared" si="55"/>
        <v>0.72222222222222188</v>
      </c>
      <c r="AH50" s="1164">
        <f t="shared" si="56"/>
        <v>0.75347222222222188</v>
      </c>
      <c r="AI50" s="1167">
        <f>IF(AH50&gt;2,E50+2,IF(AH50&gt;1,E50+1,E50))</f>
        <v>42513</v>
      </c>
      <c r="AJ50" s="1164">
        <f t="shared" si="57"/>
        <v>0.77430555555555514</v>
      </c>
      <c r="AK50" s="1164">
        <f t="shared" si="58"/>
        <v>0.78124999999999956</v>
      </c>
      <c r="AL50" s="1167">
        <f>IF(AK50&gt;2,E50+2,IF(AK50&gt;1,E50+1,E50))</f>
        <v>42513</v>
      </c>
      <c r="AM50" s="1166">
        <v>1.06</v>
      </c>
      <c r="AN50" s="1166">
        <v>9</v>
      </c>
      <c r="AO50" s="1166">
        <v>23</v>
      </c>
      <c r="AP50" s="1166">
        <v>0</v>
      </c>
      <c r="AQ50" s="1164">
        <f>AK50</f>
        <v>0.78124999999999956</v>
      </c>
      <c r="AR50" s="1164">
        <f t="shared" si="59"/>
        <v>0.78819444444444398</v>
      </c>
      <c r="AS50" s="1167">
        <f>IF(AR50&gt;2,E50+2,IF(AR50&gt;1,E50+1,E50))</f>
        <v>42513</v>
      </c>
      <c r="AT50" s="1166">
        <v>32.799999999999997</v>
      </c>
      <c r="AU50" s="1164">
        <f>AR50</f>
        <v>0.78819444444444398</v>
      </c>
      <c r="AV50" s="1167">
        <f>IF(AU50&gt;2,E50+2,IF(AU50&gt;1,E50+1,E50))</f>
        <v>42513</v>
      </c>
      <c r="AW50" s="1164">
        <f>AU50+$BC$13*BA50</f>
        <v>0.84374999999999956</v>
      </c>
      <c r="AX50" s="1167">
        <f>IF(AW50&gt;2,E50+2,IF(AW50&gt;1,E50+1,E50))</f>
        <v>42513</v>
      </c>
      <c r="AY50" s="1166">
        <v>6.1</v>
      </c>
      <c r="AZ50" s="1166">
        <v>40</v>
      </c>
      <c r="BA50" s="1168">
        <f>VLOOKUP(B50,ĐTBT!$V:$W,2,0)</f>
        <v>4</v>
      </c>
      <c r="BB50" s="1168"/>
      <c r="BC50" s="1221">
        <v>42757</v>
      </c>
      <c r="BD50" s="1221">
        <v>42757</v>
      </c>
      <c r="BE50" s="1222">
        <f>BC50-AX50</f>
        <v>244</v>
      </c>
      <c r="BF50" s="1221">
        <f>BD50+BE50</f>
        <v>43001</v>
      </c>
      <c r="BG50" s="1221">
        <f>BC50-1</f>
        <v>42756</v>
      </c>
      <c r="BH50" s="1221">
        <f>BG50+BE50</f>
        <v>43000</v>
      </c>
      <c r="BI50" s="1168">
        <f>AX50-E50</f>
        <v>0</v>
      </c>
      <c r="BJ50" s="1168">
        <f>VLOOKUP(B50,'Thong tin'!A:R,11,0)</f>
        <v>0</v>
      </c>
      <c r="BL50" s="1220">
        <v>42757</v>
      </c>
      <c r="BU50" s="1220">
        <v>42693</v>
      </c>
      <c r="BX50" s="1220">
        <v>42765</v>
      </c>
    </row>
    <row r="51" spans="1:76" s="1219" customFormat="1" ht="15">
      <c r="A51" s="1217">
        <f>IF(C51="","",COUNTA($C$13:C51))</f>
        <v>39</v>
      </c>
      <c r="B51" s="1238" t="s">
        <v>605</v>
      </c>
      <c r="C51" s="1164">
        <v>0.38194444444444442</v>
      </c>
      <c r="D51" s="1164">
        <f t="shared" si="44"/>
        <v>0.40277777777777773</v>
      </c>
      <c r="E51" s="1165">
        <v>42514</v>
      </c>
      <c r="F51" s="1164">
        <f t="shared" si="45"/>
        <v>0.40972222222222215</v>
      </c>
      <c r="G51" s="1164">
        <f t="shared" si="46"/>
        <v>0.41319444444444436</v>
      </c>
      <c r="H51" s="1165">
        <f>IF(G51&gt;2,E51+2,IF(G51&gt;1,E51+1,E51))</f>
        <v>42514</v>
      </c>
      <c r="I51" s="1166">
        <v>-2.5000000000000001E-2</v>
      </c>
      <c r="J51" s="1166">
        <v>8.0000000000000002E-3</v>
      </c>
      <c r="K51" s="1166">
        <v>-7.0000000000000007E-2</v>
      </c>
      <c r="L51" s="1166">
        <v>-0.52800000000000002</v>
      </c>
      <c r="M51" s="1164">
        <f t="shared" si="47"/>
        <v>0.41666666666666657</v>
      </c>
      <c r="N51" s="1164">
        <f t="shared" si="48"/>
        <v>0.42708333333333326</v>
      </c>
      <c r="O51" s="1165">
        <f>IF(N51&gt;2,E51+2,IF(N51&gt;1,E51+1,E51))</f>
        <v>42514</v>
      </c>
      <c r="P51" s="1166">
        <v>1.06</v>
      </c>
      <c r="Q51" s="1166">
        <v>9</v>
      </c>
      <c r="R51" s="1166">
        <v>26</v>
      </c>
      <c r="S51" s="1166">
        <v>0</v>
      </c>
      <c r="T51" s="1164">
        <f t="shared" si="49"/>
        <v>0.55208333333333326</v>
      </c>
      <c r="U51" s="1167">
        <f>IF(T51&gt;2,E51+2,IF(T51&gt;1,E51+1,E51))</f>
        <v>42514</v>
      </c>
      <c r="V51" s="1166">
        <v>20.43</v>
      </c>
      <c r="W51" s="1164">
        <f t="shared" si="50"/>
        <v>0.67708333333333326</v>
      </c>
      <c r="X51" s="1167">
        <f>IF(W51&gt;2,E51+2,IF(W51&gt;1,E51+1,E51))</f>
        <v>42514</v>
      </c>
      <c r="Y51" s="1166">
        <v>44.95</v>
      </c>
      <c r="Z51" s="1164">
        <f t="shared" si="51"/>
        <v>0.71874999999999989</v>
      </c>
      <c r="AA51" s="1164">
        <f t="shared" si="52"/>
        <v>0.73958333333333315</v>
      </c>
      <c r="AB51" s="1167">
        <f>IF(AA51&gt;2,E51+2,IF(AA51&gt;1,E51+1,E51))</f>
        <v>42514</v>
      </c>
      <c r="AC51" s="1166">
        <v>44.95</v>
      </c>
      <c r="AD51" s="1164">
        <f t="shared" si="53"/>
        <v>0.74652777777777757</v>
      </c>
      <c r="AE51" s="1164">
        <f t="shared" si="54"/>
        <v>0.7569444444444442</v>
      </c>
      <c r="AF51" s="1167">
        <f>IF(AE51&gt;2,E51+2,IF(AE51&gt;1,E51+1,E51))</f>
        <v>42514</v>
      </c>
      <c r="AG51" s="1164">
        <f t="shared" si="55"/>
        <v>0.76388888888888862</v>
      </c>
      <c r="AH51" s="1164">
        <f t="shared" si="56"/>
        <v>0.80555555555555525</v>
      </c>
      <c r="AI51" s="1167">
        <f>IF(AH51&gt;2,E51+2,IF(AH51&gt;1,E51+1,E51))</f>
        <v>42514</v>
      </c>
      <c r="AJ51" s="1164">
        <f t="shared" si="57"/>
        <v>0.82638888888888851</v>
      </c>
      <c r="AK51" s="1164">
        <f t="shared" si="58"/>
        <v>0.83333333333333293</v>
      </c>
      <c r="AL51" s="1167">
        <f>IF(AK51&gt;2,E51+2,IF(AK51&gt;1,E51+1,E51))</f>
        <v>42514</v>
      </c>
      <c r="AM51" s="1166">
        <v>1.05</v>
      </c>
      <c r="AN51" s="1166">
        <v>9</v>
      </c>
      <c r="AO51" s="1166">
        <v>23</v>
      </c>
      <c r="AP51" s="1166">
        <v>0</v>
      </c>
      <c r="AQ51" s="1164">
        <f>AK51</f>
        <v>0.83333333333333293</v>
      </c>
      <c r="AR51" s="1164">
        <f t="shared" si="59"/>
        <v>0.84027777777777735</v>
      </c>
      <c r="AS51" s="1167">
        <f>IF(AR51&gt;2,E51+2,IF(AR51&gt;1,E51+1,E51))</f>
        <v>42514</v>
      </c>
      <c r="AT51" s="1166">
        <v>44.95</v>
      </c>
      <c r="AU51" s="1164">
        <f>AR51</f>
        <v>0.84027777777777735</v>
      </c>
      <c r="AV51" s="1167">
        <f>IF(AU51&gt;2,E51+2,IF(AU51&gt;1,E51+1,E51))</f>
        <v>42514</v>
      </c>
      <c r="AW51" s="1164">
        <f>AU51+$BC$13*BA51</f>
        <v>0.90972222222222177</v>
      </c>
      <c r="AX51" s="1167">
        <f>IF(AW51&gt;2,E51+2,IF(AW51&gt;1,E51+1,E51))</f>
        <v>42514</v>
      </c>
      <c r="AY51" s="1166">
        <v>6.5</v>
      </c>
      <c r="AZ51" s="1166">
        <v>53.5</v>
      </c>
      <c r="BA51" s="1168">
        <f>VLOOKUP(B51,ĐTBT!$V:$W,2,0)</f>
        <v>5</v>
      </c>
      <c r="BB51" s="1168"/>
      <c r="BC51" s="1221">
        <v>42786</v>
      </c>
      <c r="BD51" s="1221">
        <v>42786</v>
      </c>
      <c r="BE51" s="1222">
        <f>BC51-AX51</f>
        <v>272</v>
      </c>
      <c r="BF51" s="1221">
        <f>BD51+BE51</f>
        <v>43058</v>
      </c>
      <c r="BG51" s="1221">
        <f>BC51-1</f>
        <v>42785</v>
      </c>
      <c r="BH51" s="1221">
        <f>BG51+BE51</f>
        <v>43057</v>
      </c>
      <c r="BJ51" s="1168">
        <f>VLOOKUP(B51,'Thong tin'!A:R,11,0)</f>
        <v>4</v>
      </c>
      <c r="BL51" s="1220">
        <v>42786</v>
      </c>
    </row>
    <row r="52" spans="1:76" s="1219" customFormat="1" ht="15">
      <c r="A52" s="1217">
        <f>IF(C52="","",COUNTA($C$13:C52))</f>
        <v>40</v>
      </c>
      <c r="B52" s="1238" t="s">
        <v>630</v>
      </c>
      <c r="C52" s="1164">
        <v>0.3125</v>
      </c>
      <c r="D52" s="1164">
        <f t="shared" si="44"/>
        <v>0.33333333333333331</v>
      </c>
      <c r="E52" s="1165">
        <v>42515</v>
      </c>
      <c r="F52" s="1164">
        <f t="shared" si="45"/>
        <v>0.34027777777777773</v>
      </c>
      <c r="G52" s="1164">
        <f t="shared" si="46"/>
        <v>0.34374999999999994</v>
      </c>
      <c r="H52" s="1165">
        <f>IF(G52&gt;2,E52+2,IF(G52&gt;1,E52+1,E52))</f>
        <v>42515</v>
      </c>
      <c r="I52" s="1166">
        <v>-0.02</v>
      </c>
      <c r="J52" s="1166">
        <v>-2.1999999999999999E-2</v>
      </c>
      <c r="K52" s="1166">
        <v>-0.26400000000000001</v>
      </c>
      <c r="L52" s="1166">
        <v>-0.59199999999999997</v>
      </c>
      <c r="M52" s="1164">
        <f t="shared" si="47"/>
        <v>0.34722222222222215</v>
      </c>
      <c r="N52" s="1164">
        <f t="shared" si="48"/>
        <v>0.35763888888888884</v>
      </c>
      <c r="O52" s="1165">
        <f>IF(N52&gt;2,E52+2,IF(N52&gt;1,E52+1,E52))</f>
        <v>42515</v>
      </c>
      <c r="P52" s="1166">
        <v>1.06</v>
      </c>
      <c r="Q52" s="1166">
        <v>9</v>
      </c>
      <c r="R52" s="1166">
        <v>24</v>
      </c>
      <c r="S52" s="1166">
        <v>0</v>
      </c>
      <c r="T52" s="1164">
        <f t="shared" si="49"/>
        <v>0.48263888888888884</v>
      </c>
      <c r="U52" s="1167">
        <f>IF(T52&gt;2,E52+2,IF(T52&gt;1,E52+1,E52))</f>
        <v>42515</v>
      </c>
      <c r="V52" s="1166">
        <v>22.52</v>
      </c>
      <c r="W52" s="1164">
        <f t="shared" si="50"/>
        <v>0.60763888888888884</v>
      </c>
      <c r="X52" s="1167">
        <f>IF(W52&gt;2,E52+2,IF(W52&gt;1,E52+1,E52))</f>
        <v>42515</v>
      </c>
      <c r="Y52" s="1166">
        <v>41.65</v>
      </c>
      <c r="Z52" s="1164">
        <f t="shared" si="51"/>
        <v>0.64930555555555547</v>
      </c>
      <c r="AA52" s="1164">
        <f t="shared" si="52"/>
        <v>0.67013888888888873</v>
      </c>
      <c r="AB52" s="1167">
        <f>IF(AA52&gt;2,E52+2,IF(AA52&gt;1,E52+1,E52))</f>
        <v>42515</v>
      </c>
      <c r="AC52" s="1166">
        <v>41.68</v>
      </c>
      <c r="AD52" s="1164">
        <f t="shared" si="53"/>
        <v>0.67708333333333315</v>
      </c>
      <c r="AE52" s="1164">
        <f t="shared" si="54"/>
        <v>0.68749999999999978</v>
      </c>
      <c r="AF52" s="1167">
        <f>IF(AE52&gt;2,E52+2,IF(AE52&gt;1,E52+1,E52))</f>
        <v>42515</v>
      </c>
      <c r="AG52" s="1164">
        <f t="shared" si="55"/>
        <v>0.6944444444444442</v>
      </c>
      <c r="AH52" s="1164">
        <f t="shared" si="56"/>
        <v>0.7256944444444442</v>
      </c>
      <c r="AI52" s="1167">
        <f>IF(AH52&gt;2,E52+2,IF(AH52&gt;1,E52+1,E52))</f>
        <v>42515</v>
      </c>
      <c r="AJ52" s="1164">
        <f t="shared" si="57"/>
        <v>0.74652777777777746</v>
      </c>
      <c r="AK52" s="1164">
        <f t="shared" si="58"/>
        <v>0.75347222222222188</v>
      </c>
      <c r="AL52" s="1167">
        <f>IF(AK52&gt;2,E52+2,IF(AK52&gt;1,E52+1,E52))</f>
        <v>42515</v>
      </c>
      <c r="AM52" s="1166">
        <v>1.06</v>
      </c>
      <c r="AN52" s="1166">
        <v>9</v>
      </c>
      <c r="AO52" s="1166">
        <v>24</v>
      </c>
      <c r="AP52" s="1166">
        <v>0</v>
      </c>
      <c r="AQ52" s="1164">
        <f>AK52</f>
        <v>0.75347222222222188</v>
      </c>
      <c r="AR52" s="1164">
        <f t="shared" si="59"/>
        <v>0.7604166666666663</v>
      </c>
      <c r="AS52" s="1167">
        <f>IF(AR52&gt;2,E52+2,IF(AR52&gt;1,E52+1,E52))</f>
        <v>42515</v>
      </c>
      <c r="AT52" s="1166">
        <v>41.68</v>
      </c>
      <c r="AU52" s="1164">
        <f>AR52</f>
        <v>0.7604166666666663</v>
      </c>
      <c r="AV52" s="1167">
        <f>IF(AU52&gt;2,E52+2,IF(AU52&gt;1,E52+1,E52))</f>
        <v>42515</v>
      </c>
      <c r="AW52" s="1164">
        <f>AU52+$BC$13*BA52</f>
        <v>0.81597222222222188</v>
      </c>
      <c r="AX52" s="1167">
        <f>IF(AW52&gt;2,E52+2,IF(AW52&gt;1,E52+1,E52))</f>
        <v>42515</v>
      </c>
      <c r="AY52" s="1166">
        <v>6.3</v>
      </c>
      <c r="AZ52" s="1166">
        <v>43</v>
      </c>
      <c r="BA52" s="1168">
        <f>VLOOKUP(B52,ĐTBT!$V:$W,2,0)</f>
        <v>4</v>
      </c>
      <c r="BB52" s="1168"/>
      <c r="BC52" s="1221"/>
      <c r="BD52" s="1221"/>
      <c r="BE52" s="1222"/>
      <c r="BF52" s="1221"/>
      <c r="BG52" s="1221"/>
      <c r="BH52" s="1221"/>
      <c r="BJ52" s="1168"/>
      <c r="BL52" s="1220"/>
    </row>
    <row r="53" spans="1:76" s="1210" customFormat="1" ht="15">
      <c r="A53" s="1217">
        <f>IF(C53="","",COUNTA($C$13:C53))</f>
        <v>41</v>
      </c>
      <c r="B53" s="1239" t="s">
        <v>566</v>
      </c>
      <c r="C53" s="1164">
        <v>0.33680555555555558</v>
      </c>
      <c r="D53" s="1164">
        <f t="shared" si="44"/>
        <v>0.3576388888888889</v>
      </c>
      <c r="E53" s="1165">
        <v>42677</v>
      </c>
      <c r="F53" s="1164">
        <f t="shared" si="45"/>
        <v>0.36458333333333331</v>
      </c>
      <c r="G53" s="1164">
        <f t="shared" si="46"/>
        <v>0.36805555555555552</v>
      </c>
      <c r="H53" s="1165">
        <f t="shared" si="3"/>
        <v>42677</v>
      </c>
      <c r="I53" s="1166">
        <v>0.02</v>
      </c>
      <c r="J53" s="1166">
        <v>6.0000000000000001E-3</v>
      </c>
      <c r="K53" s="1166">
        <v>-0.57799999999999996</v>
      </c>
      <c r="L53" s="1166">
        <v>-0.93500000000000005</v>
      </c>
      <c r="M53" s="1164">
        <f t="shared" si="47"/>
        <v>0.37152777777777773</v>
      </c>
      <c r="N53" s="1164">
        <f t="shared" si="48"/>
        <v>0.38194444444444442</v>
      </c>
      <c r="O53" s="1165">
        <f t="shared" si="6"/>
        <v>42677</v>
      </c>
      <c r="P53" s="1166">
        <v>1.01</v>
      </c>
      <c r="Q53" s="1166">
        <v>9</v>
      </c>
      <c r="R53" s="1166">
        <v>23</v>
      </c>
      <c r="S53" s="1166">
        <v>0</v>
      </c>
      <c r="T53" s="1164">
        <f t="shared" si="49"/>
        <v>0.50694444444444442</v>
      </c>
      <c r="U53" s="1167">
        <f t="shared" si="8"/>
        <v>42677</v>
      </c>
      <c r="V53" s="1166">
        <v>24.8</v>
      </c>
      <c r="W53" s="1164">
        <f t="shared" si="50"/>
        <v>0.63194444444444442</v>
      </c>
      <c r="X53" s="1167">
        <f t="shared" si="10"/>
        <v>42677</v>
      </c>
      <c r="Y53" s="1166">
        <v>32</v>
      </c>
      <c r="Z53" s="1164">
        <f t="shared" si="51"/>
        <v>0.67361111111111105</v>
      </c>
      <c r="AA53" s="1164">
        <f t="shared" si="52"/>
        <v>0.69444444444444431</v>
      </c>
      <c r="AB53" s="1167">
        <f t="shared" si="13"/>
        <v>42677</v>
      </c>
      <c r="AC53" s="1166">
        <v>32.200000000000003</v>
      </c>
      <c r="AD53" s="1164">
        <f t="shared" si="53"/>
        <v>0.70138888888888873</v>
      </c>
      <c r="AE53" s="1164">
        <f t="shared" si="54"/>
        <v>0.71180555555555536</v>
      </c>
      <c r="AF53" s="1167">
        <f t="shared" si="16"/>
        <v>42677</v>
      </c>
      <c r="AG53" s="1164">
        <f t="shared" si="55"/>
        <v>0.71874999999999978</v>
      </c>
      <c r="AH53" s="1164">
        <f t="shared" si="56"/>
        <v>0.76041666666666641</v>
      </c>
      <c r="AI53" s="1167">
        <f t="shared" si="19"/>
        <v>42677</v>
      </c>
      <c r="AJ53" s="1164">
        <f t="shared" si="57"/>
        <v>0.78124999999999967</v>
      </c>
      <c r="AK53" s="1164">
        <f t="shared" si="58"/>
        <v>0.78819444444444409</v>
      </c>
      <c r="AL53" s="1167">
        <f t="shared" si="22"/>
        <v>42677</v>
      </c>
      <c r="AM53" s="1166">
        <v>1.06</v>
      </c>
      <c r="AN53" s="1166">
        <v>8</v>
      </c>
      <c r="AO53" s="1166">
        <v>21.5</v>
      </c>
      <c r="AP53" s="1166">
        <v>0</v>
      </c>
      <c r="AQ53" s="1164">
        <f t="shared" si="23"/>
        <v>0.78819444444444409</v>
      </c>
      <c r="AR53" s="1164">
        <f t="shared" si="59"/>
        <v>0.79513888888888851</v>
      </c>
      <c r="AS53" s="1167">
        <f t="shared" si="25"/>
        <v>42677</v>
      </c>
      <c r="AT53" s="1166">
        <v>32.200000000000003</v>
      </c>
      <c r="AU53" s="1164">
        <f t="shared" si="26"/>
        <v>0.79513888888888851</v>
      </c>
      <c r="AV53" s="1167">
        <f t="shared" si="27"/>
        <v>42677</v>
      </c>
      <c r="AW53" s="1164">
        <f t="shared" si="29"/>
        <v>0.86458333333333293</v>
      </c>
      <c r="AX53" s="1167">
        <f t="shared" si="28"/>
        <v>42677</v>
      </c>
      <c r="AY53" s="1166">
        <v>6.5</v>
      </c>
      <c r="AZ53" s="1166">
        <v>33</v>
      </c>
      <c r="BA53" s="1168">
        <f>VLOOKUP(B53,ĐTBT!$V:$W,2,0)</f>
        <v>5</v>
      </c>
      <c r="BB53" s="1168"/>
      <c r="BC53" s="1168"/>
      <c r="BD53" s="1168"/>
      <c r="BE53" s="1168"/>
      <c r="BF53" s="1168"/>
      <c r="BG53" s="1168"/>
      <c r="BH53" s="1168"/>
      <c r="BI53" s="1168">
        <f t="shared" si="42"/>
        <v>0</v>
      </c>
      <c r="BJ53" s="1168">
        <f>VLOOKUP(B53,'Thong tin'!A:R,11,0)</f>
        <v>4</v>
      </c>
      <c r="BK53" s="1209"/>
    </row>
    <row r="54" spans="1:76" s="1210" customFormat="1" ht="15">
      <c r="A54" s="1217">
        <f>IF(C54="","",COUNTA($C$13:C54))</f>
        <v>42</v>
      </c>
      <c r="B54" s="1239" t="s">
        <v>547</v>
      </c>
      <c r="C54" s="1164">
        <v>0.38194444444444442</v>
      </c>
      <c r="D54" s="1164">
        <f t="shared" si="44"/>
        <v>0.40277777777777773</v>
      </c>
      <c r="E54" s="1165">
        <v>42677</v>
      </c>
      <c r="F54" s="1164">
        <f t="shared" si="45"/>
        <v>0.40972222222222215</v>
      </c>
      <c r="G54" s="1164">
        <f t="shared" si="46"/>
        <v>0.41319444444444436</v>
      </c>
      <c r="H54" s="1165">
        <f t="shared" si="3"/>
        <v>42677</v>
      </c>
      <c r="I54" s="1166">
        <v>-1E-3</v>
      </c>
      <c r="J54" s="1166">
        <v>2.5999999999999999E-2</v>
      </c>
      <c r="K54" s="1166">
        <v>-1.016</v>
      </c>
      <c r="L54" s="1166">
        <v>-1.288</v>
      </c>
      <c r="M54" s="1164">
        <f t="shared" si="47"/>
        <v>0.41666666666666657</v>
      </c>
      <c r="N54" s="1164">
        <f t="shared" si="48"/>
        <v>0.42708333333333326</v>
      </c>
      <c r="O54" s="1165">
        <f t="shared" si="6"/>
        <v>42677</v>
      </c>
      <c r="P54" s="1166">
        <v>1.06</v>
      </c>
      <c r="Q54" s="1166">
        <v>9</v>
      </c>
      <c r="R54" s="1166">
        <v>27</v>
      </c>
      <c r="S54" s="1166">
        <v>0</v>
      </c>
      <c r="T54" s="1164">
        <f t="shared" si="49"/>
        <v>0.55208333333333326</v>
      </c>
      <c r="U54" s="1167">
        <f t="shared" si="8"/>
        <v>42677</v>
      </c>
      <c r="V54" s="1166">
        <v>20.8</v>
      </c>
      <c r="W54" s="1164">
        <f t="shared" si="50"/>
        <v>0.67708333333333326</v>
      </c>
      <c r="X54" s="1167">
        <f t="shared" si="10"/>
        <v>42677</v>
      </c>
      <c r="Y54" s="1166">
        <v>21.95</v>
      </c>
      <c r="Z54" s="1164">
        <f t="shared" si="51"/>
        <v>0.71874999999999989</v>
      </c>
      <c r="AA54" s="1164">
        <f t="shared" si="52"/>
        <v>0.73958333333333315</v>
      </c>
      <c r="AB54" s="1167">
        <f t="shared" si="13"/>
        <v>42677</v>
      </c>
      <c r="AC54" s="1166">
        <v>22.08</v>
      </c>
      <c r="AD54" s="1164">
        <f t="shared" si="53"/>
        <v>0.74652777777777757</v>
      </c>
      <c r="AE54" s="1164">
        <f t="shared" si="54"/>
        <v>0.7569444444444442</v>
      </c>
      <c r="AF54" s="1167">
        <f t="shared" si="16"/>
        <v>42677</v>
      </c>
      <c r="AG54" s="1164">
        <f t="shared" si="55"/>
        <v>0.76388888888888862</v>
      </c>
      <c r="AH54" s="1164">
        <f t="shared" si="56"/>
        <v>0.80555555555555525</v>
      </c>
      <c r="AI54" s="1167">
        <f t="shared" si="19"/>
        <v>42677</v>
      </c>
      <c r="AJ54" s="1164">
        <f t="shared" si="57"/>
        <v>0.82638888888888851</v>
      </c>
      <c r="AK54" s="1164">
        <f t="shared" si="58"/>
        <v>0.83333333333333293</v>
      </c>
      <c r="AL54" s="1167">
        <f t="shared" si="22"/>
        <v>42677</v>
      </c>
      <c r="AM54" s="1166">
        <v>1.07</v>
      </c>
      <c r="AN54" s="1166">
        <v>9</v>
      </c>
      <c r="AO54" s="1166">
        <v>28</v>
      </c>
      <c r="AP54" s="1166">
        <v>0</v>
      </c>
      <c r="AQ54" s="1164">
        <f t="shared" si="23"/>
        <v>0.83333333333333293</v>
      </c>
      <c r="AR54" s="1164">
        <f t="shared" si="59"/>
        <v>0.84027777777777735</v>
      </c>
      <c r="AS54" s="1167">
        <f t="shared" si="25"/>
        <v>42677</v>
      </c>
      <c r="AT54" s="1166">
        <v>22.08</v>
      </c>
      <c r="AU54" s="1164">
        <f t="shared" si="26"/>
        <v>0.84027777777777735</v>
      </c>
      <c r="AV54" s="1167">
        <f t="shared" si="27"/>
        <v>42677</v>
      </c>
      <c r="AW54" s="1164">
        <f t="shared" si="29"/>
        <v>0.85416666666666619</v>
      </c>
      <c r="AX54" s="1167">
        <f t="shared" si="28"/>
        <v>42677</v>
      </c>
      <c r="AY54" s="1166">
        <v>3.8</v>
      </c>
      <c r="AZ54" s="1166">
        <v>9.5</v>
      </c>
      <c r="BA54" s="1168">
        <f>VLOOKUP(B54,ĐTBT!$V:$W,2,0)</f>
        <v>1</v>
      </c>
      <c r="BB54" s="1168"/>
      <c r="BC54" s="1168"/>
      <c r="BD54" s="1168"/>
      <c r="BE54" s="1168"/>
      <c r="BF54" s="1168"/>
      <c r="BG54" s="1168"/>
      <c r="BH54" s="1168"/>
      <c r="BI54" s="1168">
        <f t="shared" si="42"/>
        <v>0</v>
      </c>
      <c r="BJ54" s="1168">
        <f>VLOOKUP(B54,'Thong tin'!A:R,11,0)</f>
        <v>2</v>
      </c>
      <c r="BK54" s="1209"/>
    </row>
    <row r="55" spans="1:76" s="1210" customFormat="1" ht="15">
      <c r="A55" s="1217">
        <f>IF(C55="","",COUNTA($C$13:C55))</f>
        <v>43</v>
      </c>
      <c r="B55" s="1239" t="s">
        <v>489</v>
      </c>
      <c r="C55" s="1164">
        <v>0.38541666666666669</v>
      </c>
      <c r="D55" s="1164">
        <f t="shared" si="44"/>
        <v>0.40625</v>
      </c>
      <c r="E55" s="1165">
        <v>42678</v>
      </c>
      <c r="F55" s="1164">
        <f t="shared" si="45"/>
        <v>0.41319444444444442</v>
      </c>
      <c r="G55" s="1164">
        <f t="shared" si="46"/>
        <v>0.41666666666666663</v>
      </c>
      <c r="H55" s="1165">
        <f t="shared" si="3"/>
        <v>42678</v>
      </c>
      <c r="I55" s="1166">
        <v>1.4999999999999999E-2</v>
      </c>
      <c r="J55" s="1166">
        <v>1E-3</v>
      </c>
      <c r="K55" s="1166">
        <v>-0.55500000000000005</v>
      </c>
      <c r="L55" s="1166">
        <v>-0.95499999999999996</v>
      </c>
      <c r="M55" s="1164">
        <f t="shared" si="47"/>
        <v>0.42013888888888884</v>
      </c>
      <c r="N55" s="1164">
        <f t="shared" si="48"/>
        <v>0.43055555555555552</v>
      </c>
      <c r="O55" s="1165">
        <f t="shared" si="6"/>
        <v>42678</v>
      </c>
      <c r="P55" s="1166">
        <v>1.05</v>
      </c>
      <c r="Q55" s="1166">
        <v>9</v>
      </c>
      <c r="R55" s="1166">
        <v>23</v>
      </c>
      <c r="S55" s="1166">
        <v>0</v>
      </c>
      <c r="T55" s="1164">
        <f t="shared" si="49"/>
        <v>0.55555555555555558</v>
      </c>
      <c r="U55" s="1167">
        <f t="shared" si="8"/>
        <v>42678</v>
      </c>
      <c r="V55" s="1166">
        <v>20.9</v>
      </c>
      <c r="W55" s="1164">
        <f t="shared" si="50"/>
        <v>0.68055555555555558</v>
      </c>
      <c r="X55" s="1167">
        <f t="shared" si="10"/>
        <v>42678</v>
      </c>
      <c r="Y55" s="1166">
        <v>22.6</v>
      </c>
      <c r="Z55" s="1164">
        <f t="shared" si="51"/>
        <v>0.72222222222222221</v>
      </c>
      <c r="AA55" s="1164">
        <f t="shared" si="52"/>
        <v>0.74305555555555547</v>
      </c>
      <c r="AB55" s="1167">
        <f t="shared" si="13"/>
        <v>42678</v>
      </c>
      <c r="AC55" s="1166">
        <v>22.82</v>
      </c>
      <c r="AD55" s="1164">
        <f t="shared" si="53"/>
        <v>0.74999999999999989</v>
      </c>
      <c r="AE55" s="1164">
        <f t="shared" si="54"/>
        <v>0.76041666666666652</v>
      </c>
      <c r="AF55" s="1167">
        <f t="shared" si="16"/>
        <v>42678</v>
      </c>
      <c r="AG55" s="1164">
        <f t="shared" si="55"/>
        <v>0.76736111111111094</v>
      </c>
      <c r="AH55" s="1164">
        <f t="shared" si="56"/>
        <v>0.79861111111111094</v>
      </c>
      <c r="AI55" s="1167">
        <f t="shared" si="19"/>
        <v>42678</v>
      </c>
      <c r="AJ55" s="1164">
        <f t="shared" si="57"/>
        <v>0.8194444444444442</v>
      </c>
      <c r="AK55" s="1164">
        <f t="shared" si="58"/>
        <v>0.82638888888888862</v>
      </c>
      <c r="AL55" s="1167">
        <f t="shared" si="22"/>
        <v>42678</v>
      </c>
      <c r="AM55" s="1166">
        <v>1.01</v>
      </c>
      <c r="AN55" s="1166">
        <v>9</v>
      </c>
      <c r="AO55" s="1166">
        <v>22</v>
      </c>
      <c r="AP55" s="1166">
        <v>0</v>
      </c>
      <c r="AQ55" s="1164">
        <f t="shared" si="23"/>
        <v>0.82638888888888862</v>
      </c>
      <c r="AR55" s="1164">
        <f t="shared" si="59"/>
        <v>0.83333333333333304</v>
      </c>
      <c r="AS55" s="1167">
        <f t="shared" si="25"/>
        <v>42678</v>
      </c>
      <c r="AT55" s="1166">
        <v>22.82</v>
      </c>
      <c r="AU55" s="1164">
        <f t="shared" si="26"/>
        <v>0.83333333333333304</v>
      </c>
      <c r="AV55" s="1167">
        <f t="shared" si="27"/>
        <v>42678</v>
      </c>
      <c r="AW55" s="1164">
        <f t="shared" si="29"/>
        <v>0.87499999999999967</v>
      </c>
      <c r="AX55" s="1167">
        <f t="shared" si="28"/>
        <v>42678</v>
      </c>
      <c r="AY55" s="1166">
        <v>5.5</v>
      </c>
      <c r="AZ55" s="1166">
        <v>19.5</v>
      </c>
      <c r="BA55" s="1168">
        <f>VLOOKUP(B55,ĐTBT!$V:$W,2,0)</f>
        <v>3</v>
      </c>
      <c r="BB55" s="1168"/>
      <c r="BC55" s="1168"/>
      <c r="BD55" s="1168"/>
      <c r="BE55" s="1168"/>
      <c r="BF55" s="1168"/>
      <c r="BG55" s="1168"/>
      <c r="BH55" s="1168"/>
      <c r="BI55" s="1168">
        <f t="shared" si="42"/>
        <v>0</v>
      </c>
      <c r="BJ55" s="1168">
        <f>VLOOKUP(B55,'Thong tin'!A:R,11,0)</f>
        <v>0</v>
      </c>
      <c r="BK55" s="1209"/>
    </row>
    <row r="56" spans="1:76" s="1210" customFormat="1" ht="15">
      <c r="A56" s="1217">
        <f>IF(C56="","",COUNTA($C$13:C56))</f>
        <v>44</v>
      </c>
      <c r="B56" s="1239" t="s">
        <v>618</v>
      </c>
      <c r="C56" s="1164">
        <v>0.39583333333333331</v>
      </c>
      <c r="D56" s="1164">
        <f t="shared" si="44"/>
        <v>0.41666666666666663</v>
      </c>
      <c r="E56" s="1165">
        <v>42678</v>
      </c>
      <c r="F56" s="1164">
        <f t="shared" si="45"/>
        <v>0.42361111111111105</v>
      </c>
      <c r="G56" s="1164">
        <f t="shared" si="46"/>
        <v>0.42708333333333326</v>
      </c>
      <c r="H56" s="1165">
        <f t="shared" si="3"/>
        <v>42678</v>
      </c>
      <c r="I56" s="1166">
        <v>1.9E-2</v>
      </c>
      <c r="J56" s="1166">
        <v>2.1999999999999999E-2</v>
      </c>
      <c r="K56" s="1166">
        <v>-0.85899999999999999</v>
      </c>
      <c r="L56" s="1166">
        <v>-1.2949999999999999</v>
      </c>
      <c r="M56" s="1164">
        <f t="shared" si="47"/>
        <v>0.43055555555555547</v>
      </c>
      <c r="N56" s="1164">
        <f t="shared" si="48"/>
        <v>0.44097222222222215</v>
      </c>
      <c r="O56" s="1165">
        <f t="shared" si="6"/>
        <v>42678</v>
      </c>
      <c r="P56" s="1166">
        <v>1.05</v>
      </c>
      <c r="Q56" s="1166">
        <v>9</v>
      </c>
      <c r="R56" s="1166">
        <v>23</v>
      </c>
      <c r="S56" s="1166">
        <v>0</v>
      </c>
      <c r="T56" s="1164">
        <f t="shared" si="49"/>
        <v>0.5659722222222221</v>
      </c>
      <c r="U56" s="1167">
        <f t="shared" si="8"/>
        <v>42678</v>
      </c>
      <c r="V56" s="1166">
        <v>24.8</v>
      </c>
      <c r="W56" s="1164">
        <f t="shared" si="50"/>
        <v>0.6909722222222221</v>
      </c>
      <c r="X56" s="1167">
        <f t="shared" si="10"/>
        <v>42678</v>
      </c>
      <c r="Y56" s="1166">
        <v>26.7</v>
      </c>
      <c r="Z56" s="1164">
        <f t="shared" si="51"/>
        <v>0.73263888888888873</v>
      </c>
      <c r="AA56" s="1164">
        <f t="shared" si="52"/>
        <v>0.75347222222222199</v>
      </c>
      <c r="AB56" s="1167">
        <f t="shared" si="13"/>
        <v>42678</v>
      </c>
      <c r="AC56" s="1164">
        <v>27.23</v>
      </c>
      <c r="AD56" s="1164">
        <f t="shared" si="53"/>
        <v>0.76041666666666641</v>
      </c>
      <c r="AE56" s="1164">
        <f t="shared" si="54"/>
        <v>0.77083333333333304</v>
      </c>
      <c r="AF56" s="1167">
        <f t="shared" si="16"/>
        <v>42678</v>
      </c>
      <c r="AG56" s="1164">
        <f t="shared" si="55"/>
        <v>0.77777777777777746</v>
      </c>
      <c r="AH56" s="1164">
        <f t="shared" si="56"/>
        <v>0.81944444444444409</v>
      </c>
      <c r="AI56" s="1167">
        <f t="shared" si="19"/>
        <v>42678</v>
      </c>
      <c r="AJ56" s="1164">
        <f t="shared" si="57"/>
        <v>0.84027777777777735</v>
      </c>
      <c r="AK56" s="1164">
        <f t="shared" si="58"/>
        <v>0.84722222222222177</v>
      </c>
      <c r="AL56" s="1167">
        <f t="shared" si="22"/>
        <v>42678</v>
      </c>
      <c r="AM56" s="1166">
        <v>1.05</v>
      </c>
      <c r="AN56" s="1166">
        <v>9</v>
      </c>
      <c r="AO56" s="1166">
        <v>22</v>
      </c>
      <c r="AP56" s="1166">
        <v>0</v>
      </c>
      <c r="AQ56" s="1164">
        <f t="shared" si="23"/>
        <v>0.84722222222222177</v>
      </c>
      <c r="AR56" s="1164">
        <f t="shared" si="59"/>
        <v>0.85416666666666619</v>
      </c>
      <c r="AS56" s="1167">
        <f t="shared" si="25"/>
        <v>42678</v>
      </c>
      <c r="AT56" s="1166">
        <v>27.23</v>
      </c>
      <c r="AU56" s="1164">
        <f t="shared" si="26"/>
        <v>0.85416666666666619</v>
      </c>
      <c r="AV56" s="1167">
        <f t="shared" si="27"/>
        <v>42678</v>
      </c>
      <c r="AW56" s="1164">
        <f t="shared" si="29"/>
        <v>0.90972222222222177</v>
      </c>
      <c r="AX56" s="1167">
        <f t="shared" si="28"/>
        <v>42678</v>
      </c>
      <c r="AY56" s="1166">
        <v>6.4</v>
      </c>
      <c r="AZ56" s="1166">
        <v>23</v>
      </c>
      <c r="BA56" s="1168">
        <f>VLOOKUP(B56,ĐTBT!$V:$W,2,0)</f>
        <v>4</v>
      </c>
      <c r="BB56" s="1168"/>
      <c r="BC56" s="1168"/>
      <c r="BD56" s="1168"/>
      <c r="BE56" s="1168"/>
      <c r="BF56" s="1168"/>
      <c r="BG56" s="1168"/>
      <c r="BH56" s="1168"/>
      <c r="BI56" s="1168">
        <f t="shared" si="42"/>
        <v>0</v>
      </c>
      <c r="BJ56" s="1168">
        <f>VLOOKUP(B56,'Thong tin'!A:R,11,0)</f>
        <v>3</v>
      </c>
      <c r="BK56" s="1209"/>
    </row>
    <row r="57" spans="1:76" s="1210" customFormat="1" ht="15">
      <c r="A57" s="1217">
        <f>IF(C57="","",COUNTA($C$13:C57))</f>
        <v>45</v>
      </c>
      <c r="B57" s="1239" t="s">
        <v>499</v>
      </c>
      <c r="C57" s="1164">
        <v>0.29166666666666669</v>
      </c>
      <c r="D57" s="1164">
        <f t="shared" si="44"/>
        <v>0.3125</v>
      </c>
      <c r="E57" s="1165">
        <v>42678</v>
      </c>
      <c r="F57" s="1164">
        <f t="shared" si="45"/>
        <v>0.31944444444444442</v>
      </c>
      <c r="G57" s="1164">
        <f t="shared" si="46"/>
        <v>0.32291666666666663</v>
      </c>
      <c r="H57" s="1165">
        <f t="shared" si="3"/>
        <v>42678</v>
      </c>
      <c r="I57" s="1166">
        <v>1.9E-2</v>
      </c>
      <c r="J57" s="1170">
        <v>0.01</v>
      </c>
      <c r="K57" s="1166">
        <v>-0.60499999999999998</v>
      </c>
      <c r="L57" s="1166">
        <v>-1.05</v>
      </c>
      <c r="M57" s="1164">
        <f t="shared" si="47"/>
        <v>0.32638888888888884</v>
      </c>
      <c r="N57" s="1164">
        <f t="shared" si="48"/>
        <v>0.33680555555555552</v>
      </c>
      <c r="O57" s="1165">
        <f t="shared" si="6"/>
        <v>42678</v>
      </c>
      <c r="P57" s="1166">
        <v>1.05</v>
      </c>
      <c r="Q57" s="1166">
        <v>9</v>
      </c>
      <c r="R57" s="1166">
        <v>23</v>
      </c>
      <c r="S57" s="1166">
        <v>0</v>
      </c>
      <c r="T57" s="1164">
        <f t="shared" si="49"/>
        <v>0.46180555555555552</v>
      </c>
      <c r="U57" s="1167">
        <f t="shared" si="8"/>
        <v>42678</v>
      </c>
      <c r="V57" s="1166">
        <v>22.8</v>
      </c>
      <c r="W57" s="1164">
        <f t="shared" si="50"/>
        <v>0.58680555555555558</v>
      </c>
      <c r="X57" s="1167">
        <f t="shared" si="10"/>
        <v>42678</v>
      </c>
      <c r="Y57" s="1166">
        <v>27.6</v>
      </c>
      <c r="Z57" s="1164">
        <f t="shared" si="51"/>
        <v>0.62847222222222221</v>
      </c>
      <c r="AA57" s="1164">
        <f t="shared" si="52"/>
        <v>0.64930555555555547</v>
      </c>
      <c r="AB57" s="1167">
        <f t="shared" si="13"/>
        <v>42678</v>
      </c>
      <c r="AC57" s="1166">
        <v>27.6</v>
      </c>
      <c r="AD57" s="1164">
        <f t="shared" si="53"/>
        <v>0.65624999999999989</v>
      </c>
      <c r="AE57" s="1164">
        <f t="shared" si="54"/>
        <v>0.66666666666666652</v>
      </c>
      <c r="AF57" s="1167">
        <f t="shared" si="16"/>
        <v>42678</v>
      </c>
      <c r="AG57" s="1164">
        <f t="shared" si="55"/>
        <v>0.67361111111111094</v>
      </c>
      <c r="AH57" s="1164">
        <f t="shared" si="56"/>
        <v>0.70486111111111094</v>
      </c>
      <c r="AI57" s="1167">
        <f t="shared" si="19"/>
        <v>42678</v>
      </c>
      <c r="AJ57" s="1164">
        <f t="shared" si="57"/>
        <v>0.7256944444444442</v>
      </c>
      <c r="AK57" s="1164">
        <f t="shared" si="58"/>
        <v>0.73263888888888862</v>
      </c>
      <c r="AL57" s="1167">
        <f t="shared" si="22"/>
        <v>42678</v>
      </c>
      <c r="AM57" s="1166">
        <v>1.05</v>
      </c>
      <c r="AN57" s="1166">
        <v>9</v>
      </c>
      <c r="AO57" s="1166">
        <v>22</v>
      </c>
      <c r="AP57" s="1166">
        <v>0</v>
      </c>
      <c r="AQ57" s="1164">
        <f t="shared" si="23"/>
        <v>0.73263888888888862</v>
      </c>
      <c r="AR57" s="1164">
        <f t="shared" si="59"/>
        <v>0.73958333333333304</v>
      </c>
      <c r="AS57" s="1167">
        <f t="shared" si="25"/>
        <v>42678</v>
      </c>
      <c r="AT57" s="1166">
        <v>27.6</v>
      </c>
      <c r="AU57" s="1164">
        <f t="shared" si="26"/>
        <v>0.73958333333333304</v>
      </c>
      <c r="AV57" s="1167">
        <f t="shared" si="27"/>
        <v>42678</v>
      </c>
      <c r="AW57" s="1164">
        <f t="shared" si="29"/>
        <v>0.79513888888888862</v>
      </c>
      <c r="AX57" s="1167">
        <f t="shared" si="28"/>
        <v>42678</v>
      </c>
      <c r="AY57" s="1166">
        <v>6.8</v>
      </c>
      <c r="AZ57" s="1166">
        <v>28</v>
      </c>
      <c r="BA57" s="1168">
        <f>VLOOKUP(B57,ĐTBT!$V:$W,2,0)</f>
        <v>4</v>
      </c>
      <c r="BB57" s="1168"/>
      <c r="BC57" s="1168"/>
      <c r="BD57" s="1168"/>
      <c r="BE57" s="1168"/>
      <c r="BF57" s="1168"/>
      <c r="BG57" s="1168"/>
      <c r="BH57" s="1168"/>
      <c r="BI57" s="1168">
        <f t="shared" si="42"/>
        <v>0</v>
      </c>
      <c r="BJ57" s="1168">
        <f>VLOOKUP(B57,'Thong tin'!A:R,11,0)</f>
        <v>0</v>
      </c>
      <c r="BK57" s="1209"/>
    </row>
    <row r="58" spans="1:76" s="1210" customFormat="1" ht="15">
      <c r="A58" s="1217">
        <f>IF(C58="","",COUNTA($C$13:C58))</f>
        <v>46</v>
      </c>
      <c r="B58" s="1239" t="s">
        <v>639</v>
      </c>
      <c r="C58" s="1164">
        <v>0.3125</v>
      </c>
      <c r="D58" s="1164">
        <f t="shared" si="44"/>
        <v>0.33333333333333331</v>
      </c>
      <c r="E58" s="1165">
        <f t="shared" ref="E58:E89" si="61">E53+2</f>
        <v>42679</v>
      </c>
      <c r="F58" s="1164">
        <f t="shared" si="45"/>
        <v>0.34027777777777773</v>
      </c>
      <c r="G58" s="1164">
        <f t="shared" si="46"/>
        <v>0.34374999999999994</v>
      </c>
      <c r="H58" s="1165">
        <f t="shared" si="3"/>
        <v>42679</v>
      </c>
      <c r="I58" s="1166">
        <v>5.0000000000000001E-3</v>
      </c>
      <c r="J58" s="1166">
        <v>1.6E-2</v>
      </c>
      <c r="K58" s="1166">
        <v>-0.875</v>
      </c>
      <c r="L58" s="1166">
        <v>-1.3149999999999999</v>
      </c>
      <c r="M58" s="1164">
        <f t="shared" si="47"/>
        <v>0.34722222222222215</v>
      </c>
      <c r="N58" s="1164">
        <f t="shared" si="48"/>
        <v>0.35763888888888884</v>
      </c>
      <c r="O58" s="1165">
        <f t="shared" si="6"/>
        <v>42679</v>
      </c>
      <c r="P58" s="1166">
        <v>1.05</v>
      </c>
      <c r="Q58" s="1166">
        <v>9</v>
      </c>
      <c r="R58" s="1166">
        <v>24</v>
      </c>
      <c r="S58" s="1166">
        <v>0</v>
      </c>
      <c r="T58" s="1164">
        <f t="shared" si="49"/>
        <v>0.48263888888888884</v>
      </c>
      <c r="U58" s="1167">
        <f t="shared" si="8"/>
        <v>42679</v>
      </c>
      <c r="V58" s="1166">
        <v>22.3</v>
      </c>
      <c r="W58" s="1164">
        <f t="shared" si="50"/>
        <v>0.60763888888888884</v>
      </c>
      <c r="X58" s="1167">
        <f t="shared" si="10"/>
        <v>42679</v>
      </c>
      <c r="Y58" s="1166">
        <v>23.8</v>
      </c>
      <c r="Z58" s="1164">
        <f t="shared" si="51"/>
        <v>0.64930555555555547</v>
      </c>
      <c r="AA58" s="1164">
        <f t="shared" si="52"/>
        <v>0.67013888888888873</v>
      </c>
      <c r="AB58" s="1167">
        <f t="shared" si="13"/>
        <v>42679</v>
      </c>
      <c r="AC58" s="1166">
        <v>23.8</v>
      </c>
      <c r="AD58" s="1164">
        <f t="shared" si="53"/>
        <v>0.67708333333333315</v>
      </c>
      <c r="AE58" s="1164">
        <f t="shared" si="54"/>
        <v>0.68749999999999978</v>
      </c>
      <c r="AF58" s="1167">
        <f t="shared" si="16"/>
        <v>42679</v>
      </c>
      <c r="AG58" s="1164">
        <f t="shared" si="55"/>
        <v>0.6944444444444442</v>
      </c>
      <c r="AH58" s="1164">
        <f t="shared" si="56"/>
        <v>0.7256944444444442</v>
      </c>
      <c r="AI58" s="1167">
        <f t="shared" si="19"/>
        <v>42679</v>
      </c>
      <c r="AJ58" s="1164">
        <f t="shared" si="57"/>
        <v>0.74652777777777746</v>
      </c>
      <c r="AK58" s="1164">
        <f t="shared" si="58"/>
        <v>0.75347222222222188</v>
      </c>
      <c r="AL58" s="1167">
        <f t="shared" si="22"/>
        <v>42679</v>
      </c>
      <c r="AM58" s="1166">
        <v>1.05</v>
      </c>
      <c r="AN58" s="1166">
        <v>9</v>
      </c>
      <c r="AO58" s="1166">
        <v>23</v>
      </c>
      <c r="AP58" s="1166">
        <v>0</v>
      </c>
      <c r="AQ58" s="1164">
        <f t="shared" si="23"/>
        <v>0.75347222222222188</v>
      </c>
      <c r="AR58" s="1164">
        <f t="shared" si="59"/>
        <v>0.7604166666666663</v>
      </c>
      <c r="AS58" s="1167">
        <f t="shared" si="25"/>
        <v>42679</v>
      </c>
      <c r="AT58" s="1166">
        <v>23.8</v>
      </c>
      <c r="AU58" s="1164">
        <f t="shared" si="26"/>
        <v>0.7604166666666663</v>
      </c>
      <c r="AV58" s="1167">
        <f t="shared" si="27"/>
        <v>42679</v>
      </c>
      <c r="AW58" s="1164">
        <f t="shared" si="29"/>
        <v>0.81597222222222188</v>
      </c>
      <c r="AX58" s="1167">
        <f t="shared" si="28"/>
        <v>42679</v>
      </c>
      <c r="AY58" s="1166">
        <v>7</v>
      </c>
      <c r="AZ58" s="1166">
        <v>24</v>
      </c>
      <c r="BA58" s="1168">
        <f>VLOOKUP(B58,ĐTBT!$V:$W,2,0)</f>
        <v>4</v>
      </c>
      <c r="BB58" s="1168"/>
      <c r="BC58" s="1168"/>
      <c r="BD58" s="1168"/>
      <c r="BE58" s="1168"/>
      <c r="BF58" s="1168"/>
      <c r="BG58" s="1168"/>
      <c r="BH58" s="1168"/>
      <c r="BI58" s="1168">
        <f t="shared" si="42"/>
        <v>0</v>
      </c>
      <c r="BJ58" s="1168">
        <f>VLOOKUP(B58,'Thong tin'!A:R,11,0)</f>
        <v>0</v>
      </c>
      <c r="BK58" s="1209"/>
    </row>
    <row r="59" spans="1:76" s="1210" customFormat="1" ht="15">
      <c r="A59" s="1217">
        <f>IF(C59="","",COUNTA($C$13:C59))</f>
        <v>47</v>
      </c>
      <c r="B59" s="1239" t="s">
        <v>557</v>
      </c>
      <c r="C59" s="1164">
        <v>0.31597222222222221</v>
      </c>
      <c r="D59" s="1164">
        <f t="shared" si="44"/>
        <v>0.33680555555555552</v>
      </c>
      <c r="E59" s="1165">
        <f t="shared" si="61"/>
        <v>42679</v>
      </c>
      <c r="F59" s="1164">
        <f t="shared" si="45"/>
        <v>0.34374999999999994</v>
      </c>
      <c r="G59" s="1164">
        <f t="shared" si="46"/>
        <v>0.34722222222222215</v>
      </c>
      <c r="H59" s="1165">
        <f t="shared" si="3"/>
        <v>42679</v>
      </c>
      <c r="I59" s="1166">
        <v>1.7000000000000001E-2</v>
      </c>
      <c r="J59" s="1166">
        <v>1E-3</v>
      </c>
      <c r="K59" s="1166">
        <v>-1.333</v>
      </c>
      <c r="L59" s="1166">
        <v>-1.56</v>
      </c>
      <c r="M59" s="1164">
        <f t="shared" si="47"/>
        <v>0.35069444444444436</v>
      </c>
      <c r="N59" s="1164">
        <f t="shared" si="48"/>
        <v>0.36111111111111105</v>
      </c>
      <c r="O59" s="1165">
        <f t="shared" si="6"/>
        <v>42679</v>
      </c>
      <c r="P59" s="1166">
        <v>1.06</v>
      </c>
      <c r="Q59" s="1166">
        <v>9</v>
      </c>
      <c r="R59" s="1166">
        <v>22</v>
      </c>
      <c r="S59" s="1166">
        <v>0</v>
      </c>
      <c r="T59" s="1164">
        <f t="shared" si="49"/>
        <v>0.48611111111111105</v>
      </c>
      <c r="U59" s="1167">
        <f t="shared" si="8"/>
        <v>42679</v>
      </c>
      <c r="V59" s="1166">
        <v>23.7</v>
      </c>
      <c r="W59" s="1164">
        <f t="shared" si="50"/>
        <v>0.61111111111111105</v>
      </c>
      <c r="X59" s="1167">
        <f t="shared" si="10"/>
        <v>42679</v>
      </c>
      <c r="Y59" s="1166">
        <v>33.82</v>
      </c>
      <c r="Z59" s="1164">
        <f t="shared" si="51"/>
        <v>0.65277777777777768</v>
      </c>
      <c r="AA59" s="1164">
        <f t="shared" si="52"/>
        <v>0.67361111111111094</v>
      </c>
      <c r="AB59" s="1167">
        <f t="shared" si="13"/>
        <v>42679</v>
      </c>
      <c r="AC59" s="1166">
        <v>33.869999999999997</v>
      </c>
      <c r="AD59" s="1164">
        <f t="shared" si="53"/>
        <v>0.68055555555555536</v>
      </c>
      <c r="AE59" s="1164">
        <f t="shared" si="54"/>
        <v>0.69097222222222199</v>
      </c>
      <c r="AF59" s="1167">
        <f t="shared" si="16"/>
        <v>42679</v>
      </c>
      <c r="AG59" s="1164">
        <f t="shared" si="55"/>
        <v>0.69791666666666641</v>
      </c>
      <c r="AH59" s="1164">
        <f t="shared" si="56"/>
        <v>0.73958333333333304</v>
      </c>
      <c r="AI59" s="1167">
        <f t="shared" si="19"/>
        <v>42679</v>
      </c>
      <c r="AJ59" s="1164">
        <f t="shared" si="57"/>
        <v>0.7604166666666663</v>
      </c>
      <c r="AK59" s="1164">
        <f t="shared" si="58"/>
        <v>0.76736111111111072</v>
      </c>
      <c r="AL59" s="1167">
        <f t="shared" si="22"/>
        <v>42679</v>
      </c>
      <c r="AM59" s="1166">
        <v>1.06</v>
      </c>
      <c r="AN59" s="1166">
        <v>9</v>
      </c>
      <c r="AO59" s="1166">
        <v>21</v>
      </c>
      <c r="AP59" s="1166">
        <v>0</v>
      </c>
      <c r="AQ59" s="1164">
        <f t="shared" si="23"/>
        <v>0.76736111111111072</v>
      </c>
      <c r="AR59" s="1164">
        <f t="shared" si="59"/>
        <v>0.77430555555555514</v>
      </c>
      <c r="AS59" s="1167">
        <f t="shared" si="25"/>
        <v>42679</v>
      </c>
      <c r="AT59" s="1166">
        <v>33.869999999999997</v>
      </c>
      <c r="AU59" s="1164">
        <f t="shared" si="26"/>
        <v>0.77430555555555514</v>
      </c>
      <c r="AV59" s="1167">
        <f t="shared" si="27"/>
        <v>42679</v>
      </c>
      <c r="AW59" s="1164">
        <f t="shared" si="29"/>
        <v>0.81597222222222177</v>
      </c>
      <c r="AX59" s="1167">
        <f t="shared" si="28"/>
        <v>42679</v>
      </c>
      <c r="AY59" s="1166">
        <v>4.5</v>
      </c>
      <c r="AZ59" s="1166">
        <v>16</v>
      </c>
      <c r="BA59" s="1168">
        <f>VLOOKUP(B59,ĐTBT!$V:$W,2,0)</f>
        <v>3</v>
      </c>
      <c r="BB59" s="1168"/>
      <c r="BC59" s="1168"/>
      <c r="BD59" s="1168"/>
      <c r="BE59" s="1168"/>
      <c r="BF59" s="1168"/>
      <c r="BG59" s="1168"/>
      <c r="BH59" s="1168"/>
      <c r="BI59" s="1168">
        <f t="shared" si="42"/>
        <v>0</v>
      </c>
      <c r="BJ59" s="1168">
        <f>VLOOKUP(B59,'Thong tin'!A:R,11,0)</f>
        <v>3</v>
      </c>
      <c r="BK59" s="1209"/>
    </row>
    <row r="60" spans="1:76" s="1210" customFormat="1" ht="15">
      <c r="A60" s="1217">
        <f>IF(C60="","",COUNTA($C$13:C60))</f>
        <v>48</v>
      </c>
      <c r="B60" s="1239" t="s">
        <v>647</v>
      </c>
      <c r="C60" s="1164">
        <v>0.31944444444444448</v>
      </c>
      <c r="D60" s="1164">
        <f t="shared" si="44"/>
        <v>0.34027777777777779</v>
      </c>
      <c r="E60" s="1165">
        <f t="shared" si="61"/>
        <v>42680</v>
      </c>
      <c r="F60" s="1164">
        <f t="shared" si="45"/>
        <v>0.34722222222222221</v>
      </c>
      <c r="G60" s="1164">
        <f t="shared" si="46"/>
        <v>0.35069444444444442</v>
      </c>
      <c r="H60" s="1165">
        <f t="shared" si="3"/>
        <v>42680</v>
      </c>
      <c r="I60" s="1166">
        <v>2.5999999999999999E-2</v>
      </c>
      <c r="J60" s="1166">
        <v>1.2999999999999999E-2</v>
      </c>
      <c r="K60" s="1166">
        <v>-0.61</v>
      </c>
      <c r="L60" s="1166">
        <v>-1.038</v>
      </c>
      <c r="M60" s="1164">
        <f t="shared" si="47"/>
        <v>0.35416666666666663</v>
      </c>
      <c r="N60" s="1164">
        <f t="shared" si="48"/>
        <v>0.36458333333333331</v>
      </c>
      <c r="O60" s="1165">
        <f t="shared" si="6"/>
        <v>42680</v>
      </c>
      <c r="P60" s="1166">
        <v>1.05</v>
      </c>
      <c r="Q60" s="1166">
        <v>9</v>
      </c>
      <c r="R60" s="1166">
        <v>23</v>
      </c>
      <c r="S60" s="1166">
        <v>0</v>
      </c>
      <c r="T60" s="1164">
        <f t="shared" si="49"/>
        <v>0.48958333333333331</v>
      </c>
      <c r="U60" s="1167">
        <f t="shared" si="8"/>
        <v>42680</v>
      </c>
      <c r="V60" s="1166">
        <v>22.8</v>
      </c>
      <c r="W60" s="1164">
        <f t="shared" si="50"/>
        <v>0.61458333333333326</v>
      </c>
      <c r="X60" s="1167">
        <f t="shared" si="10"/>
        <v>42680</v>
      </c>
      <c r="Y60" s="1166">
        <v>35.200000000000003</v>
      </c>
      <c r="Z60" s="1164">
        <f t="shared" si="51"/>
        <v>0.65624999999999989</v>
      </c>
      <c r="AA60" s="1164">
        <f t="shared" si="52"/>
        <v>0.67708333333333315</v>
      </c>
      <c r="AB60" s="1167">
        <f t="shared" si="13"/>
        <v>42680</v>
      </c>
      <c r="AC60" s="1166">
        <v>35.4</v>
      </c>
      <c r="AD60" s="1164">
        <f t="shared" si="53"/>
        <v>0.68402777777777757</v>
      </c>
      <c r="AE60" s="1164">
        <f t="shared" si="54"/>
        <v>0.6944444444444442</v>
      </c>
      <c r="AF60" s="1167">
        <f t="shared" si="16"/>
        <v>42680</v>
      </c>
      <c r="AG60" s="1164">
        <f t="shared" si="55"/>
        <v>0.70138888888888862</v>
      </c>
      <c r="AH60" s="1164">
        <f t="shared" si="56"/>
        <v>0.73263888888888862</v>
      </c>
      <c r="AI60" s="1167">
        <f t="shared" si="19"/>
        <v>42680</v>
      </c>
      <c r="AJ60" s="1164">
        <f t="shared" si="57"/>
        <v>0.75347222222222188</v>
      </c>
      <c r="AK60" s="1164">
        <f t="shared" si="58"/>
        <v>0.7604166666666663</v>
      </c>
      <c r="AL60" s="1167">
        <f t="shared" si="22"/>
        <v>42680</v>
      </c>
      <c r="AM60" s="1166">
        <v>1.05</v>
      </c>
      <c r="AN60" s="1166">
        <v>9</v>
      </c>
      <c r="AO60" s="1166">
        <v>23</v>
      </c>
      <c r="AP60" s="1166">
        <v>0</v>
      </c>
      <c r="AQ60" s="1164">
        <f t="shared" si="23"/>
        <v>0.7604166666666663</v>
      </c>
      <c r="AR60" s="1164">
        <f t="shared" si="59"/>
        <v>0.76736111111111072</v>
      </c>
      <c r="AS60" s="1167">
        <f t="shared" si="25"/>
        <v>42680</v>
      </c>
      <c r="AT60" s="1166">
        <v>35.4</v>
      </c>
      <c r="AU60" s="1164">
        <f t="shared" si="26"/>
        <v>0.76736111111111072</v>
      </c>
      <c r="AV60" s="1167">
        <f t="shared" si="27"/>
        <v>42680</v>
      </c>
      <c r="AW60" s="1164">
        <f t="shared" si="29"/>
        <v>0.83680555555555514</v>
      </c>
      <c r="AX60" s="1167">
        <f t="shared" si="28"/>
        <v>42680</v>
      </c>
      <c r="AY60" s="1166">
        <v>6</v>
      </c>
      <c r="AZ60" s="1166">
        <v>38.5</v>
      </c>
      <c r="BA60" s="1168">
        <f>VLOOKUP(B60,ĐTBT!$V:$W,2,0)</f>
        <v>5</v>
      </c>
      <c r="BB60" s="1168"/>
      <c r="BC60" s="1168"/>
      <c r="BD60" s="1168"/>
      <c r="BE60" s="1168"/>
      <c r="BF60" s="1168"/>
      <c r="BG60" s="1168"/>
      <c r="BH60" s="1168"/>
      <c r="BI60" s="1168">
        <f t="shared" si="42"/>
        <v>0</v>
      </c>
      <c r="BJ60" s="1168">
        <f>VLOOKUP(B60,'Thong tin'!A:R,11,0)</f>
        <v>0</v>
      </c>
      <c r="BK60" s="1209"/>
    </row>
    <row r="61" spans="1:76" s="1210" customFormat="1" ht="15">
      <c r="A61" s="1217">
        <f>IF(C61="","",COUNTA($C$13:C61))</f>
        <v>49</v>
      </c>
      <c r="B61" s="1239" t="s">
        <v>494</v>
      </c>
      <c r="C61" s="1164">
        <v>0.3888888888888889</v>
      </c>
      <c r="D61" s="1164">
        <f t="shared" si="44"/>
        <v>0.40972222222222221</v>
      </c>
      <c r="E61" s="1165">
        <f t="shared" si="61"/>
        <v>42680</v>
      </c>
      <c r="F61" s="1164">
        <f t="shared" si="45"/>
        <v>0.41666666666666663</v>
      </c>
      <c r="G61" s="1164">
        <f t="shared" si="46"/>
        <v>0.42013888888888884</v>
      </c>
      <c r="H61" s="1165">
        <f t="shared" si="3"/>
        <v>42680</v>
      </c>
      <c r="I61" s="1166">
        <v>1.4999999999999999E-2</v>
      </c>
      <c r="J61" s="1166">
        <v>1E-3</v>
      </c>
      <c r="K61" s="1166">
        <v>-0.745</v>
      </c>
      <c r="L61" s="1166">
        <v>-1.1559999999999999</v>
      </c>
      <c r="M61" s="1164">
        <f t="shared" si="47"/>
        <v>0.42361111111111105</v>
      </c>
      <c r="N61" s="1164">
        <f t="shared" si="48"/>
        <v>0.43402777777777773</v>
      </c>
      <c r="O61" s="1165">
        <f t="shared" si="6"/>
        <v>42680</v>
      </c>
      <c r="P61" s="1166">
        <v>1.05</v>
      </c>
      <c r="Q61" s="1166">
        <v>9</v>
      </c>
      <c r="R61" s="1166">
        <v>22</v>
      </c>
      <c r="S61" s="1166">
        <v>0</v>
      </c>
      <c r="T61" s="1164">
        <f t="shared" si="49"/>
        <v>0.55902777777777768</v>
      </c>
      <c r="U61" s="1167">
        <f t="shared" si="8"/>
        <v>42680</v>
      </c>
      <c r="V61" s="1166">
        <v>19.82</v>
      </c>
      <c r="W61" s="1164">
        <f t="shared" si="50"/>
        <v>0.68402777777777768</v>
      </c>
      <c r="X61" s="1167">
        <f t="shared" si="10"/>
        <v>42680</v>
      </c>
      <c r="Y61" s="1166">
        <v>22.45</v>
      </c>
      <c r="Z61" s="1164">
        <f t="shared" si="51"/>
        <v>0.72569444444444431</v>
      </c>
      <c r="AA61" s="1164">
        <f t="shared" si="52"/>
        <v>0.74652777777777757</v>
      </c>
      <c r="AB61" s="1167">
        <f t="shared" si="13"/>
        <v>42680</v>
      </c>
      <c r="AC61" s="1166">
        <v>22.5</v>
      </c>
      <c r="AD61" s="1164">
        <f t="shared" si="53"/>
        <v>0.75347222222222199</v>
      </c>
      <c r="AE61" s="1164">
        <f t="shared" si="54"/>
        <v>0.76388888888888862</v>
      </c>
      <c r="AF61" s="1167">
        <f t="shared" si="16"/>
        <v>42680</v>
      </c>
      <c r="AG61" s="1164">
        <f t="shared" si="55"/>
        <v>0.77083333333333304</v>
      </c>
      <c r="AH61" s="1164">
        <f t="shared" si="56"/>
        <v>0.81249999999999967</v>
      </c>
      <c r="AI61" s="1167">
        <f t="shared" si="19"/>
        <v>42680</v>
      </c>
      <c r="AJ61" s="1164">
        <f t="shared" si="57"/>
        <v>0.83333333333333293</v>
      </c>
      <c r="AK61" s="1164">
        <f t="shared" si="58"/>
        <v>0.84027777777777735</v>
      </c>
      <c r="AL61" s="1167">
        <f t="shared" si="22"/>
        <v>42680</v>
      </c>
      <c r="AM61" s="1166">
        <v>1.06</v>
      </c>
      <c r="AN61" s="1166">
        <v>9</v>
      </c>
      <c r="AO61" s="1166">
        <v>23</v>
      </c>
      <c r="AP61" s="1166">
        <v>0</v>
      </c>
      <c r="AQ61" s="1164">
        <f t="shared" si="23"/>
        <v>0.84027777777777735</v>
      </c>
      <c r="AR61" s="1164">
        <f t="shared" si="59"/>
        <v>0.84722222222222177</v>
      </c>
      <c r="AS61" s="1167">
        <f t="shared" si="25"/>
        <v>42680</v>
      </c>
      <c r="AT61" s="1166">
        <v>22.5</v>
      </c>
      <c r="AU61" s="1164">
        <f t="shared" si="26"/>
        <v>0.84722222222222177</v>
      </c>
      <c r="AV61" s="1167">
        <f t="shared" si="27"/>
        <v>42680</v>
      </c>
      <c r="AW61" s="1164">
        <f t="shared" si="29"/>
        <v>0.8888888888888884</v>
      </c>
      <c r="AX61" s="1167">
        <f t="shared" si="28"/>
        <v>42680</v>
      </c>
      <c r="AY61" s="1166">
        <v>5.5</v>
      </c>
      <c r="AZ61" s="1166">
        <v>18.5</v>
      </c>
      <c r="BA61" s="1168">
        <f>VLOOKUP(B61,ĐTBT!$V:$W,2,0)</f>
        <v>3</v>
      </c>
      <c r="BB61" s="1168"/>
      <c r="BC61" s="1168"/>
      <c r="BD61" s="1168"/>
      <c r="BE61" s="1168"/>
      <c r="BF61" s="1168"/>
      <c r="BG61" s="1168"/>
      <c r="BH61" s="1168"/>
      <c r="BI61" s="1168">
        <f t="shared" si="42"/>
        <v>0</v>
      </c>
      <c r="BJ61" s="1168">
        <f>VLOOKUP(B61,'Thong tin'!A:R,11,0)</f>
        <v>4</v>
      </c>
      <c r="BK61" s="1209"/>
    </row>
    <row r="62" spans="1:76" s="1210" customFormat="1" ht="15">
      <c r="A62" s="1217">
        <f>IF(C62="","",COUNTA($C$13:C62))</f>
        <v>50</v>
      </c>
      <c r="B62" s="1239" t="s">
        <v>504</v>
      </c>
      <c r="C62" s="1164">
        <v>0.39583333333333331</v>
      </c>
      <c r="D62" s="1164">
        <f t="shared" si="44"/>
        <v>0.41666666666666663</v>
      </c>
      <c r="E62" s="1165">
        <f t="shared" si="61"/>
        <v>42680</v>
      </c>
      <c r="F62" s="1164">
        <f t="shared" si="45"/>
        <v>0.42361111111111105</v>
      </c>
      <c r="G62" s="1164">
        <f t="shared" si="46"/>
        <v>0.42708333333333326</v>
      </c>
      <c r="H62" s="1165">
        <f t="shared" si="3"/>
        <v>42680</v>
      </c>
      <c r="I62" s="1166">
        <v>2.5999999999999999E-2</v>
      </c>
      <c r="J62" s="1166">
        <v>5.0000000000000001E-3</v>
      </c>
      <c r="K62" s="1166">
        <v>-0.56499999999999995</v>
      </c>
      <c r="L62" s="1166">
        <v>-1.1100000000000001</v>
      </c>
      <c r="M62" s="1164">
        <f t="shared" si="47"/>
        <v>0.43055555555555547</v>
      </c>
      <c r="N62" s="1164">
        <f t="shared" si="48"/>
        <v>0.44097222222222215</v>
      </c>
      <c r="O62" s="1165">
        <f t="shared" si="6"/>
        <v>42680</v>
      </c>
      <c r="P62" s="1166">
        <v>1.05</v>
      </c>
      <c r="Q62" s="1166">
        <v>9</v>
      </c>
      <c r="R62" s="1166">
        <v>24</v>
      </c>
      <c r="S62" s="1166">
        <v>0</v>
      </c>
      <c r="T62" s="1164">
        <f t="shared" si="49"/>
        <v>0.5659722222222221</v>
      </c>
      <c r="U62" s="1167">
        <f t="shared" si="8"/>
        <v>42680</v>
      </c>
      <c r="V62" s="1166">
        <v>22.5</v>
      </c>
      <c r="W62" s="1164">
        <f t="shared" si="50"/>
        <v>0.6909722222222221</v>
      </c>
      <c r="X62" s="1167">
        <f t="shared" si="10"/>
        <v>42680</v>
      </c>
      <c r="Y62" s="1166">
        <v>26.73</v>
      </c>
      <c r="Z62" s="1164">
        <f t="shared" si="51"/>
        <v>0.73263888888888873</v>
      </c>
      <c r="AA62" s="1164">
        <f t="shared" si="52"/>
        <v>0.75347222222222199</v>
      </c>
      <c r="AB62" s="1167">
        <f t="shared" si="13"/>
        <v>42680</v>
      </c>
      <c r="AC62" s="1166">
        <v>26.8</v>
      </c>
      <c r="AD62" s="1164">
        <f t="shared" si="53"/>
        <v>0.76041666666666641</v>
      </c>
      <c r="AE62" s="1164">
        <f t="shared" si="54"/>
        <v>0.77083333333333304</v>
      </c>
      <c r="AF62" s="1167">
        <f t="shared" si="16"/>
        <v>42680</v>
      </c>
      <c r="AG62" s="1164">
        <f t="shared" si="55"/>
        <v>0.77777777777777746</v>
      </c>
      <c r="AH62" s="1164">
        <f t="shared" si="56"/>
        <v>0.80902777777777746</v>
      </c>
      <c r="AI62" s="1167">
        <f t="shared" si="19"/>
        <v>42680</v>
      </c>
      <c r="AJ62" s="1164">
        <f t="shared" si="57"/>
        <v>0.82986111111111072</v>
      </c>
      <c r="AK62" s="1164">
        <f t="shared" si="58"/>
        <v>0.83680555555555514</v>
      </c>
      <c r="AL62" s="1167">
        <f t="shared" si="22"/>
        <v>42680</v>
      </c>
      <c r="AM62" s="1166">
        <v>1.06</v>
      </c>
      <c r="AN62" s="1166">
        <v>9</v>
      </c>
      <c r="AO62" s="1166">
        <v>25</v>
      </c>
      <c r="AP62" s="1166">
        <v>0</v>
      </c>
      <c r="AQ62" s="1164">
        <f t="shared" si="23"/>
        <v>0.83680555555555514</v>
      </c>
      <c r="AR62" s="1164">
        <f t="shared" si="59"/>
        <v>0.84374999999999956</v>
      </c>
      <c r="AS62" s="1167">
        <f t="shared" si="25"/>
        <v>42680</v>
      </c>
      <c r="AT62" s="1166">
        <v>26.8</v>
      </c>
      <c r="AU62" s="1164">
        <f t="shared" si="26"/>
        <v>0.84374999999999956</v>
      </c>
      <c r="AV62" s="1167">
        <f t="shared" si="27"/>
        <v>42680</v>
      </c>
      <c r="AW62" s="1164">
        <f t="shared" si="29"/>
        <v>0.88541666666666619</v>
      </c>
      <c r="AX62" s="1167">
        <f t="shared" si="28"/>
        <v>42680</v>
      </c>
      <c r="AY62" s="1166">
        <v>7.2</v>
      </c>
      <c r="AZ62" s="1166">
        <v>23</v>
      </c>
      <c r="BA62" s="1168">
        <f>VLOOKUP(B62,ĐTBT!$V:$W,2,0)</f>
        <v>3</v>
      </c>
      <c r="BB62" s="1168"/>
      <c r="BC62" s="1168"/>
      <c r="BD62" s="1168"/>
      <c r="BE62" s="1168"/>
      <c r="BF62" s="1168"/>
      <c r="BG62" s="1168"/>
      <c r="BH62" s="1168"/>
      <c r="BI62" s="1168">
        <f t="shared" si="42"/>
        <v>0</v>
      </c>
      <c r="BJ62" s="1168">
        <f>VLOOKUP(B62,'Thong tin'!A:R,11,0)</f>
        <v>0</v>
      </c>
      <c r="BK62" s="1209"/>
    </row>
    <row r="63" spans="1:76" s="1210" customFormat="1" ht="15">
      <c r="A63" s="1217">
        <f>IF(C63="","",COUNTA($C$13:C63))</f>
        <v>51</v>
      </c>
      <c r="B63" s="1239" t="s">
        <v>628</v>
      </c>
      <c r="C63" s="1164">
        <v>0.34722222222222227</v>
      </c>
      <c r="D63" s="1164">
        <f t="shared" si="44"/>
        <v>0.36805555555555558</v>
      </c>
      <c r="E63" s="1165">
        <f t="shared" si="61"/>
        <v>42681</v>
      </c>
      <c r="F63" s="1164">
        <f t="shared" si="45"/>
        <v>0.375</v>
      </c>
      <c r="G63" s="1164">
        <f t="shared" si="46"/>
        <v>0.37847222222222221</v>
      </c>
      <c r="H63" s="1165">
        <f t="shared" si="3"/>
        <v>42681</v>
      </c>
      <c r="I63" s="1166">
        <v>1E-3</v>
      </c>
      <c r="J63" s="1166">
        <v>2.1000000000000001E-2</v>
      </c>
      <c r="K63" s="1166">
        <v>-0.64500000000000002</v>
      </c>
      <c r="L63" s="1166">
        <v>-1.1000000000000001</v>
      </c>
      <c r="M63" s="1164">
        <f t="shared" si="47"/>
        <v>0.38194444444444442</v>
      </c>
      <c r="N63" s="1164">
        <f t="shared" si="48"/>
        <v>0.3923611111111111</v>
      </c>
      <c r="O63" s="1165">
        <f t="shared" si="6"/>
        <v>42681</v>
      </c>
      <c r="P63" s="1166">
        <v>1.05</v>
      </c>
      <c r="Q63" s="1166">
        <v>9</v>
      </c>
      <c r="R63" s="1166">
        <v>24</v>
      </c>
      <c r="S63" s="1166">
        <v>0</v>
      </c>
      <c r="T63" s="1164">
        <f t="shared" si="49"/>
        <v>0.51736111111111116</v>
      </c>
      <c r="U63" s="1167">
        <f t="shared" si="8"/>
        <v>42681</v>
      </c>
      <c r="V63" s="1166">
        <v>25</v>
      </c>
      <c r="W63" s="1164">
        <f t="shared" si="50"/>
        <v>0.64236111111111116</v>
      </c>
      <c r="X63" s="1167">
        <f t="shared" si="10"/>
        <v>42681</v>
      </c>
      <c r="Y63" s="1166">
        <v>26.88</v>
      </c>
      <c r="Z63" s="1164">
        <f t="shared" si="51"/>
        <v>0.68402777777777779</v>
      </c>
      <c r="AA63" s="1164">
        <f t="shared" si="52"/>
        <v>0.70486111111111105</v>
      </c>
      <c r="AB63" s="1167">
        <f t="shared" si="13"/>
        <v>42681</v>
      </c>
      <c r="AC63" s="1166">
        <v>26.9</v>
      </c>
      <c r="AD63" s="1164">
        <f t="shared" si="53"/>
        <v>0.71180555555555547</v>
      </c>
      <c r="AE63" s="1164">
        <f t="shared" si="54"/>
        <v>0.7222222222222221</v>
      </c>
      <c r="AF63" s="1167">
        <f t="shared" si="16"/>
        <v>42681</v>
      </c>
      <c r="AG63" s="1164">
        <f t="shared" si="55"/>
        <v>0.72916666666666652</v>
      </c>
      <c r="AH63" s="1164">
        <f t="shared" si="56"/>
        <v>0.76041666666666652</v>
      </c>
      <c r="AI63" s="1167">
        <f t="shared" si="19"/>
        <v>42681</v>
      </c>
      <c r="AJ63" s="1164">
        <f t="shared" si="57"/>
        <v>0.78124999999999978</v>
      </c>
      <c r="AK63" s="1164">
        <f t="shared" si="58"/>
        <v>0.7881944444444442</v>
      </c>
      <c r="AL63" s="1167">
        <f t="shared" si="22"/>
        <v>42681</v>
      </c>
      <c r="AM63" s="1166">
        <v>1.05</v>
      </c>
      <c r="AN63" s="1166">
        <v>8</v>
      </c>
      <c r="AO63" s="1166">
        <v>22</v>
      </c>
      <c r="AP63" s="1166">
        <v>0</v>
      </c>
      <c r="AQ63" s="1164">
        <f t="shared" si="23"/>
        <v>0.7881944444444442</v>
      </c>
      <c r="AR63" s="1164">
        <f t="shared" si="59"/>
        <v>0.79513888888888862</v>
      </c>
      <c r="AS63" s="1167">
        <f t="shared" si="25"/>
        <v>42681</v>
      </c>
      <c r="AT63" s="1166">
        <v>26.9</v>
      </c>
      <c r="AU63" s="1164">
        <f t="shared" si="26"/>
        <v>0.79513888888888862</v>
      </c>
      <c r="AV63" s="1167">
        <f t="shared" si="27"/>
        <v>42681</v>
      </c>
      <c r="AW63" s="1164">
        <f t="shared" si="29"/>
        <v>0.83680555555555525</v>
      </c>
      <c r="AX63" s="1167">
        <f t="shared" si="28"/>
        <v>42681</v>
      </c>
      <c r="AY63" s="1166">
        <v>5.7</v>
      </c>
      <c r="AZ63" s="1166">
        <v>24</v>
      </c>
      <c r="BA63" s="1168">
        <f>VLOOKUP(B63,ĐTBT!$V:$W,2,0)</f>
        <v>3</v>
      </c>
      <c r="BB63" s="1168"/>
      <c r="BC63" s="1168"/>
      <c r="BD63" s="1168"/>
      <c r="BE63" s="1168"/>
      <c r="BF63" s="1168"/>
      <c r="BG63" s="1168"/>
      <c r="BH63" s="1168"/>
      <c r="BI63" s="1168">
        <f t="shared" si="42"/>
        <v>0</v>
      </c>
      <c r="BJ63" s="1168">
        <f>VLOOKUP(B63,'Thong tin'!A:R,11,0)</f>
        <v>0</v>
      </c>
      <c r="BK63" s="1209"/>
    </row>
    <row r="64" spans="1:76" s="1210" customFormat="1" ht="15">
      <c r="A64" s="1217">
        <f>IF(C64="","",COUNTA($C$13:C64))</f>
        <v>52</v>
      </c>
      <c r="B64" s="1239" t="s">
        <v>634</v>
      </c>
      <c r="C64" s="1164">
        <v>0.35416666666666669</v>
      </c>
      <c r="D64" s="1164">
        <f t="shared" si="44"/>
        <v>0.375</v>
      </c>
      <c r="E64" s="1165">
        <f t="shared" si="61"/>
        <v>42681</v>
      </c>
      <c r="F64" s="1164">
        <f t="shared" si="45"/>
        <v>0.38194444444444442</v>
      </c>
      <c r="G64" s="1164">
        <f t="shared" si="46"/>
        <v>0.38541666666666663</v>
      </c>
      <c r="H64" s="1165">
        <f t="shared" si="3"/>
        <v>42681</v>
      </c>
      <c r="I64" s="1166">
        <v>2.5999999999999999E-2</v>
      </c>
      <c r="J64" s="1166">
        <v>1.4E-2</v>
      </c>
      <c r="K64" s="1166">
        <v>-0.5</v>
      </c>
      <c r="L64" s="1166">
        <v>-0.98499999999999999</v>
      </c>
      <c r="M64" s="1164">
        <f t="shared" si="47"/>
        <v>0.38888888888888884</v>
      </c>
      <c r="N64" s="1164">
        <f t="shared" si="48"/>
        <v>0.39930555555555552</v>
      </c>
      <c r="O64" s="1165">
        <f t="shared" si="6"/>
        <v>42681</v>
      </c>
      <c r="P64" s="1166">
        <v>1.05</v>
      </c>
      <c r="Q64" s="1166">
        <v>9</v>
      </c>
      <c r="R64" s="1166">
        <v>23</v>
      </c>
      <c r="S64" s="1166">
        <v>0</v>
      </c>
      <c r="T64" s="1164">
        <f t="shared" si="49"/>
        <v>0.52430555555555558</v>
      </c>
      <c r="U64" s="1167">
        <f t="shared" si="8"/>
        <v>42681</v>
      </c>
      <c r="V64" s="1166">
        <v>21.3</v>
      </c>
      <c r="W64" s="1164">
        <f t="shared" si="50"/>
        <v>0.64930555555555558</v>
      </c>
      <c r="X64" s="1167">
        <f t="shared" si="10"/>
        <v>42681</v>
      </c>
      <c r="Y64" s="1166">
        <v>25.2</v>
      </c>
      <c r="Z64" s="1164">
        <f t="shared" si="51"/>
        <v>0.69097222222222221</v>
      </c>
      <c r="AA64" s="1164">
        <f t="shared" si="52"/>
        <v>0.71180555555555547</v>
      </c>
      <c r="AB64" s="1167">
        <f t="shared" si="13"/>
        <v>42681</v>
      </c>
      <c r="AC64" s="1166">
        <v>25.25</v>
      </c>
      <c r="AD64" s="1164">
        <f t="shared" si="53"/>
        <v>0.71874999999999989</v>
      </c>
      <c r="AE64" s="1164">
        <f t="shared" si="54"/>
        <v>0.72916666666666652</v>
      </c>
      <c r="AF64" s="1167">
        <f t="shared" si="16"/>
        <v>42681</v>
      </c>
      <c r="AG64" s="1164">
        <f t="shared" si="55"/>
        <v>0.73611111111111094</v>
      </c>
      <c r="AH64" s="1164">
        <f t="shared" si="56"/>
        <v>0.77777777777777757</v>
      </c>
      <c r="AI64" s="1167">
        <f t="shared" si="19"/>
        <v>42681</v>
      </c>
      <c r="AJ64" s="1164">
        <f t="shared" si="57"/>
        <v>0.79861111111111083</v>
      </c>
      <c r="AK64" s="1164">
        <f t="shared" si="58"/>
        <v>0.80555555555555525</v>
      </c>
      <c r="AL64" s="1167">
        <f t="shared" si="22"/>
        <v>42681</v>
      </c>
      <c r="AM64" s="1166">
        <v>1.05</v>
      </c>
      <c r="AN64" s="1166">
        <v>9</v>
      </c>
      <c r="AO64" s="1166">
        <v>27</v>
      </c>
      <c r="AP64" s="1166">
        <v>0</v>
      </c>
      <c r="AQ64" s="1164">
        <f t="shared" si="23"/>
        <v>0.80555555555555525</v>
      </c>
      <c r="AR64" s="1164">
        <f t="shared" si="59"/>
        <v>0.81249999999999967</v>
      </c>
      <c r="AS64" s="1167">
        <f t="shared" si="25"/>
        <v>42681</v>
      </c>
      <c r="AT64" s="1166">
        <v>25.25</v>
      </c>
      <c r="AU64" s="1164">
        <f t="shared" si="26"/>
        <v>0.81249999999999967</v>
      </c>
      <c r="AV64" s="1167">
        <f t="shared" si="27"/>
        <v>42681</v>
      </c>
      <c r="AW64" s="1164">
        <f t="shared" si="29"/>
        <v>0.86805555555555525</v>
      </c>
      <c r="AX64" s="1167">
        <f t="shared" si="28"/>
        <v>42681</v>
      </c>
      <c r="AY64" s="1166">
        <v>6.8</v>
      </c>
      <c r="AZ64" s="1166">
        <v>28</v>
      </c>
      <c r="BA64" s="1168">
        <f>VLOOKUP(B64,ĐTBT!$V:$W,2,0)</f>
        <v>4</v>
      </c>
      <c r="BB64" s="1168"/>
      <c r="BC64" s="1168"/>
      <c r="BD64" s="1168"/>
      <c r="BE64" s="1168"/>
      <c r="BF64" s="1168"/>
      <c r="BG64" s="1168"/>
      <c r="BH64" s="1168"/>
      <c r="BI64" s="1168">
        <f t="shared" si="42"/>
        <v>0</v>
      </c>
      <c r="BJ64" s="1168">
        <f>VLOOKUP(B64,'Thong tin'!A:R,11,0)</f>
        <v>4</v>
      </c>
      <c r="BK64" s="1209"/>
    </row>
    <row r="65" spans="1:63" s="1210" customFormat="1" ht="15">
      <c r="A65" s="1217">
        <f>IF(C65="","",COUNTA($C$13:C65))</f>
        <v>53</v>
      </c>
      <c r="B65" s="1239" t="s">
        <v>532</v>
      </c>
      <c r="C65" s="1164">
        <v>0.3888888888888889</v>
      </c>
      <c r="D65" s="1164">
        <f t="shared" si="44"/>
        <v>0.40972222222222221</v>
      </c>
      <c r="E65" s="1165">
        <f t="shared" si="61"/>
        <v>42682</v>
      </c>
      <c r="F65" s="1164">
        <f t="shared" si="45"/>
        <v>0.41666666666666663</v>
      </c>
      <c r="G65" s="1164">
        <f t="shared" si="46"/>
        <v>0.42013888888888884</v>
      </c>
      <c r="H65" s="1165">
        <f t="shared" si="3"/>
        <v>42682</v>
      </c>
      <c r="I65" s="1166">
        <v>1.4999999999999999E-2</v>
      </c>
      <c r="J65" s="1166">
        <v>1.4999999999999999E-2</v>
      </c>
      <c r="K65" s="1166">
        <v>-0.8</v>
      </c>
      <c r="L65" s="1166">
        <v>-1.2050000000000001</v>
      </c>
      <c r="M65" s="1164">
        <f t="shared" si="47"/>
        <v>0.42361111111111105</v>
      </c>
      <c r="N65" s="1164">
        <f t="shared" si="48"/>
        <v>0.43402777777777773</v>
      </c>
      <c r="O65" s="1165">
        <f t="shared" si="6"/>
        <v>42682</v>
      </c>
      <c r="P65" s="1166">
        <v>1.05</v>
      </c>
      <c r="Q65" s="1166">
        <v>9</v>
      </c>
      <c r="R65" s="1166">
        <v>23</v>
      </c>
      <c r="S65" s="1166">
        <v>0</v>
      </c>
      <c r="T65" s="1164">
        <f t="shared" si="49"/>
        <v>0.55902777777777768</v>
      </c>
      <c r="U65" s="1167">
        <f t="shared" si="8"/>
        <v>42682</v>
      </c>
      <c r="V65" s="1166">
        <v>23.1</v>
      </c>
      <c r="W65" s="1164">
        <f t="shared" si="50"/>
        <v>0.68402777777777768</v>
      </c>
      <c r="X65" s="1167">
        <f t="shared" si="10"/>
        <v>42682</v>
      </c>
      <c r="Y65" s="1166">
        <v>33</v>
      </c>
      <c r="Z65" s="1164">
        <f t="shared" si="51"/>
        <v>0.72569444444444431</v>
      </c>
      <c r="AA65" s="1164">
        <f t="shared" si="52"/>
        <v>0.74652777777777757</v>
      </c>
      <c r="AB65" s="1167">
        <f t="shared" si="13"/>
        <v>42682</v>
      </c>
      <c r="AC65" s="1166">
        <v>33</v>
      </c>
      <c r="AD65" s="1164">
        <f t="shared" si="53"/>
        <v>0.75347222222222199</v>
      </c>
      <c r="AE65" s="1164">
        <f t="shared" si="54"/>
        <v>0.76388888888888862</v>
      </c>
      <c r="AF65" s="1167">
        <f t="shared" si="16"/>
        <v>42682</v>
      </c>
      <c r="AG65" s="1164">
        <f t="shared" si="55"/>
        <v>0.77083333333333304</v>
      </c>
      <c r="AH65" s="1164">
        <f t="shared" si="56"/>
        <v>0.80208333333333304</v>
      </c>
      <c r="AI65" s="1167">
        <f t="shared" si="19"/>
        <v>42682</v>
      </c>
      <c r="AJ65" s="1164">
        <f t="shared" si="57"/>
        <v>0.8229166666666663</v>
      </c>
      <c r="AK65" s="1164">
        <f t="shared" si="58"/>
        <v>0.82986111111111072</v>
      </c>
      <c r="AL65" s="1167">
        <f t="shared" si="22"/>
        <v>42682</v>
      </c>
      <c r="AM65" s="1166">
        <v>1.06</v>
      </c>
      <c r="AN65" s="1166">
        <v>9</v>
      </c>
      <c r="AO65" s="1166">
        <v>23</v>
      </c>
      <c r="AP65" s="1166">
        <v>0</v>
      </c>
      <c r="AQ65" s="1164">
        <f t="shared" si="23"/>
        <v>0.82986111111111072</v>
      </c>
      <c r="AR65" s="1164">
        <f t="shared" si="59"/>
        <v>0.83680555555555514</v>
      </c>
      <c r="AS65" s="1167">
        <f t="shared" si="25"/>
        <v>42682</v>
      </c>
      <c r="AT65" s="1166">
        <v>33</v>
      </c>
      <c r="AU65" s="1164">
        <f t="shared" si="26"/>
        <v>0.83680555555555514</v>
      </c>
      <c r="AV65" s="1167">
        <f t="shared" si="27"/>
        <v>42682</v>
      </c>
      <c r="AW65" s="1164">
        <f t="shared" si="29"/>
        <v>0.89236111111111072</v>
      </c>
      <c r="AX65" s="1167">
        <f t="shared" si="28"/>
        <v>42682</v>
      </c>
      <c r="AY65" s="1166">
        <v>6.7</v>
      </c>
      <c r="AZ65" s="1166">
        <v>32</v>
      </c>
      <c r="BA65" s="1168">
        <f>VLOOKUP(B65,ĐTBT!$V:$W,2,0)</f>
        <v>4</v>
      </c>
      <c r="BB65" s="1168"/>
      <c r="BC65" s="1168"/>
      <c r="BD65" s="1168"/>
      <c r="BE65" s="1168"/>
      <c r="BF65" s="1168"/>
      <c r="BG65" s="1168"/>
      <c r="BH65" s="1168"/>
      <c r="BI65" s="1168">
        <f t="shared" si="42"/>
        <v>0</v>
      </c>
      <c r="BJ65" s="1168">
        <f>VLOOKUP(B65,'Thong tin'!A:R,11,0)</f>
        <v>0</v>
      </c>
      <c r="BK65" s="1209"/>
    </row>
    <row r="66" spans="1:63" s="1210" customFormat="1" ht="15">
      <c r="A66" s="1217">
        <f>IF(C66="","",COUNTA($C$13:C66))</f>
        <v>54</v>
      </c>
      <c r="B66" s="1239" t="s">
        <v>632</v>
      </c>
      <c r="C66" s="1164">
        <v>0.32291666666666669</v>
      </c>
      <c r="D66" s="1164">
        <f t="shared" si="44"/>
        <v>0.34375</v>
      </c>
      <c r="E66" s="1165">
        <f t="shared" si="61"/>
        <v>42682</v>
      </c>
      <c r="F66" s="1164">
        <f t="shared" si="45"/>
        <v>0.35069444444444442</v>
      </c>
      <c r="G66" s="1164">
        <f t="shared" si="46"/>
        <v>0.35416666666666663</v>
      </c>
      <c r="H66" s="1165">
        <f t="shared" si="3"/>
        <v>42682</v>
      </c>
      <c r="I66" s="1166">
        <v>7.0000000000000001E-3</v>
      </c>
      <c r="J66" s="1166">
        <v>4.0000000000000001E-3</v>
      </c>
      <c r="K66" s="1166">
        <v>-0.745</v>
      </c>
      <c r="L66" s="1166">
        <v>-0.94499999999999995</v>
      </c>
      <c r="M66" s="1164">
        <f t="shared" si="47"/>
        <v>0.35763888888888884</v>
      </c>
      <c r="N66" s="1164">
        <f t="shared" si="48"/>
        <v>0.36805555555555552</v>
      </c>
      <c r="O66" s="1165">
        <f t="shared" si="6"/>
        <v>42682</v>
      </c>
      <c r="P66" s="1166">
        <v>1.05</v>
      </c>
      <c r="Q66" s="1166">
        <v>9</v>
      </c>
      <c r="R66" s="1166">
        <v>23</v>
      </c>
      <c r="S66" s="1166">
        <v>0</v>
      </c>
      <c r="T66" s="1164">
        <f t="shared" si="49"/>
        <v>0.49305555555555552</v>
      </c>
      <c r="U66" s="1167">
        <f t="shared" si="8"/>
        <v>42682</v>
      </c>
      <c r="V66" s="1166">
        <v>23.9</v>
      </c>
      <c r="W66" s="1164">
        <f t="shared" si="50"/>
        <v>0.61805555555555558</v>
      </c>
      <c r="X66" s="1167">
        <f t="shared" si="10"/>
        <v>42682</v>
      </c>
      <c r="Y66" s="1166">
        <v>32.299999999999997</v>
      </c>
      <c r="Z66" s="1164">
        <f t="shared" si="51"/>
        <v>0.65972222222222221</v>
      </c>
      <c r="AA66" s="1164">
        <f t="shared" si="52"/>
        <v>0.68055555555555547</v>
      </c>
      <c r="AB66" s="1167">
        <f t="shared" si="13"/>
        <v>42682</v>
      </c>
      <c r="AC66" s="1166">
        <v>32.4</v>
      </c>
      <c r="AD66" s="1164">
        <f t="shared" si="53"/>
        <v>0.68749999999999989</v>
      </c>
      <c r="AE66" s="1164">
        <f t="shared" si="54"/>
        <v>0.69791666666666652</v>
      </c>
      <c r="AF66" s="1167">
        <f t="shared" si="16"/>
        <v>42682</v>
      </c>
      <c r="AG66" s="1164">
        <f t="shared" si="55"/>
        <v>0.70486111111111094</v>
      </c>
      <c r="AH66" s="1164">
        <f t="shared" si="56"/>
        <v>0.73611111111111094</v>
      </c>
      <c r="AI66" s="1167">
        <f t="shared" si="19"/>
        <v>42682</v>
      </c>
      <c r="AJ66" s="1164">
        <f t="shared" si="57"/>
        <v>0.7569444444444442</v>
      </c>
      <c r="AK66" s="1164">
        <f t="shared" si="58"/>
        <v>0.76388888888888862</v>
      </c>
      <c r="AL66" s="1167">
        <f t="shared" si="22"/>
        <v>42682</v>
      </c>
      <c r="AM66" s="1166">
        <v>1.06</v>
      </c>
      <c r="AN66" s="1166">
        <v>9</v>
      </c>
      <c r="AO66" s="1166">
        <v>23</v>
      </c>
      <c r="AP66" s="1166">
        <v>0</v>
      </c>
      <c r="AQ66" s="1164">
        <f t="shared" si="23"/>
        <v>0.76388888888888862</v>
      </c>
      <c r="AR66" s="1164">
        <f t="shared" si="59"/>
        <v>0.77083333333333304</v>
      </c>
      <c r="AS66" s="1167">
        <f t="shared" si="25"/>
        <v>42682</v>
      </c>
      <c r="AT66" s="1166">
        <v>32.4</v>
      </c>
      <c r="AU66" s="1164">
        <f t="shared" si="26"/>
        <v>0.77083333333333304</v>
      </c>
      <c r="AV66" s="1167">
        <f t="shared" si="27"/>
        <v>42682</v>
      </c>
      <c r="AW66" s="1164">
        <f t="shared" si="29"/>
        <v>0.86805555555555525</v>
      </c>
      <c r="AX66" s="1167">
        <f t="shared" si="28"/>
        <v>42682</v>
      </c>
      <c r="AY66" s="1166">
        <v>7</v>
      </c>
      <c r="AZ66" s="1166">
        <v>44.5</v>
      </c>
      <c r="BA66" s="1168">
        <f>VLOOKUP(B66,ĐTBT!$V:$W,2,0)</f>
        <v>7</v>
      </c>
      <c r="BB66" s="1168"/>
      <c r="BC66" s="1168"/>
      <c r="BD66" s="1168"/>
      <c r="BE66" s="1168"/>
      <c r="BF66" s="1168"/>
      <c r="BG66" s="1168"/>
      <c r="BH66" s="1168"/>
      <c r="BI66" s="1168">
        <f t="shared" si="42"/>
        <v>0</v>
      </c>
      <c r="BJ66" s="1168">
        <f>VLOOKUP(B66,'Thong tin'!A:R,11,0)</f>
        <v>0</v>
      </c>
      <c r="BK66" s="1209"/>
    </row>
    <row r="67" spans="1:63" s="1210" customFormat="1" ht="15">
      <c r="A67" s="1217">
        <f>IF(C67="","",COUNTA($C$13:C67))</f>
        <v>55</v>
      </c>
      <c r="B67" s="1239" t="s">
        <v>509</v>
      </c>
      <c r="C67" s="1164">
        <v>0.34027777777777773</v>
      </c>
      <c r="D67" s="1164">
        <f t="shared" si="44"/>
        <v>0.36111111111111105</v>
      </c>
      <c r="E67" s="1165">
        <f t="shared" si="61"/>
        <v>42682</v>
      </c>
      <c r="F67" s="1164">
        <f t="shared" si="45"/>
        <v>0.36805555555555547</v>
      </c>
      <c r="G67" s="1164">
        <f t="shared" si="46"/>
        <v>0.37152777777777768</v>
      </c>
      <c r="H67" s="1165">
        <f t="shared" si="3"/>
        <v>42682</v>
      </c>
      <c r="I67" s="1166">
        <v>2.1000000000000001E-2</v>
      </c>
      <c r="J67" s="1166">
        <v>1.9E-2</v>
      </c>
      <c r="K67" s="1166">
        <v>-0.78500000000000003</v>
      </c>
      <c r="L67" s="1166">
        <v>-1.1000000000000001</v>
      </c>
      <c r="M67" s="1164">
        <f t="shared" si="47"/>
        <v>0.37499999999999989</v>
      </c>
      <c r="N67" s="1164">
        <f t="shared" si="48"/>
        <v>0.38541666666666657</v>
      </c>
      <c r="O67" s="1165">
        <f t="shared" si="6"/>
        <v>42682</v>
      </c>
      <c r="P67" s="1166">
        <v>1.05</v>
      </c>
      <c r="Q67" s="1166">
        <v>9</v>
      </c>
      <c r="R67" s="1166">
        <v>24</v>
      </c>
      <c r="S67" s="1166">
        <v>0</v>
      </c>
      <c r="T67" s="1164">
        <f t="shared" si="49"/>
        <v>0.51041666666666652</v>
      </c>
      <c r="U67" s="1167">
        <f t="shared" si="8"/>
        <v>42682</v>
      </c>
      <c r="V67" s="1166">
        <v>20.7</v>
      </c>
      <c r="W67" s="1164">
        <f t="shared" si="50"/>
        <v>0.63541666666666652</v>
      </c>
      <c r="X67" s="1167">
        <f t="shared" si="10"/>
        <v>42682</v>
      </c>
      <c r="Y67" s="1166">
        <v>26.5</v>
      </c>
      <c r="Z67" s="1164">
        <f t="shared" si="51"/>
        <v>0.67708333333333315</v>
      </c>
      <c r="AA67" s="1164">
        <f t="shared" si="52"/>
        <v>0.69791666666666641</v>
      </c>
      <c r="AB67" s="1167">
        <f t="shared" si="13"/>
        <v>42682</v>
      </c>
      <c r="AC67" s="1166">
        <v>26.55</v>
      </c>
      <c r="AD67" s="1164">
        <f t="shared" si="53"/>
        <v>0.70486111111111083</v>
      </c>
      <c r="AE67" s="1164">
        <f t="shared" si="54"/>
        <v>0.71527777777777746</v>
      </c>
      <c r="AF67" s="1167">
        <f t="shared" si="16"/>
        <v>42682</v>
      </c>
      <c r="AG67" s="1164">
        <f t="shared" si="55"/>
        <v>0.72222222222222188</v>
      </c>
      <c r="AH67" s="1164">
        <f t="shared" si="56"/>
        <v>0.76388888888888851</v>
      </c>
      <c r="AI67" s="1167">
        <f t="shared" si="19"/>
        <v>42682</v>
      </c>
      <c r="AJ67" s="1164">
        <f t="shared" si="57"/>
        <v>0.78472222222222177</v>
      </c>
      <c r="AK67" s="1164">
        <f t="shared" si="58"/>
        <v>0.79166666666666619</v>
      </c>
      <c r="AL67" s="1167">
        <f t="shared" si="22"/>
        <v>42682</v>
      </c>
      <c r="AM67" s="1166">
        <v>1.05</v>
      </c>
      <c r="AN67" s="1166">
        <v>9</v>
      </c>
      <c r="AO67" s="1166">
        <v>24</v>
      </c>
      <c r="AP67" s="1166">
        <v>0</v>
      </c>
      <c r="AQ67" s="1164">
        <f t="shared" si="23"/>
        <v>0.79166666666666619</v>
      </c>
      <c r="AR67" s="1164">
        <f t="shared" si="59"/>
        <v>0.79861111111111061</v>
      </c>
      <c r="AS67" s="1167">
        <f t="shared" si="25"/>
        <v>42682</v>
      </c>
      <c r="AT67" s="1166">
        <v>26.55</v>
      </c>
      <c r="AU67" s="1164">
        <f t="shared" si="26"/>
        <v>0.79861111111111061</v>
      </c>
      <c r="AV67" s="1167">
        <f t="shared" si="27"/>
        <v>42682</v>
      </c>
      <c r="AW67" s="1164">
        <f t="shared" si="29"/>
        <v>0.85416666666666619</v>
      </c>
      <c r="AX67" s="1167">
        <f t="shared" si="28"/>
        <v>42682</v>
      </c>
      <c r="AY67" s="1166">
        <v>7</v>
      </c>
      <c r="AZ67" s="1166">
        <v>25</v>
      </c>
      <c r="BA67" s="1168">
        <f>VLOOKUP(B67,ĐTBT!$V:$W,2,0)</f>
        <v>4</v>
      </c>
      <c r="BB67" s="1168"/>
      <c r="BC67" s="1168"/>
      <c r="BD67" s="1168"/>
      <c r="BE67" s="1168"/>
      <c r="BF67" s="1168"/>
      <c r="BG67" s="1168"/>
      <c r="BH67" s="1168"/>
      <c r="BI67" s="1168">
        <f t="shared" si="42"/>
        <v>0</v>
      </c>
      <c r="BJ67" s="1168">
        <f>VLOOKUP(B67,'Thong tin'!A:R,11,0)</f>
        <v>4</v>
      </c>
      <c r="BK67" s="1209"/>
    </row>
    <row r="68" spans="1:63" s="1210" customFormat="1" ht="15">
      <c r="A68" s="1217">
        <f>IF(C68="","",COUNTA($C$13:C68))</f>
        <v>56</v>
      </c>
      <c r="B68" s="1239" t="s">
        <v>552</v>
      </c>
      <c r="C68" s="1164">
        <v>0.33333333333333331</v>
      </c>
      <c r="D68" s="1164">
        <f t="shared" si="44"/>
        <v>0.35416666666666663</v>
      </c>
      <c r="E68" s="1165">
        <f t="shared" si="61"/>
        <v>42683</v>
      </c>
      <c r="F68" s="1164">
        <f t="shared" si="45"/>
        <v>0.36111111111111105</v>
      </c>
      <c r="G68" s="1164">
        <f t="shared" si="46"/>
        <v>0.36458333333333326</v>
      </c>
      <c r="H68" s="1165">
        <f t="shared" si="3"/>
        <v>42683</v>
      </c>
      <c r="I68" s="1164">
        <v>8.9999999999999993E-3</v>
      </c>
      <c r="J68" s="1164">
        <v>2E-3</v>
      </c>
      <c r="K68" s="1166">
        <v>-0.79500000000000004</v>
      </c>
      <c r="L68" s="1166">
        <v>-1.135</v>
      </c>
      <c r="M68" s="1164">
        <f t="shared" si="47"/>
        <v>0.36805555555555547</v>
      </c>
      <c r="N68" s="1164">
        <f t="shared" si="48"/>
        <v>0.37847222222222215</v>
      </c>
      <c r="O68" s="1165">
        <f t="shared" si="6"/>
        <v>42683</v>
      </c>
      <c r="P68" s="1166">
        <v>1.05</v>
      </c>
      <c r="Q68" s="1166">
        <v>9</v>
      </c>
      <c r="R68" s="1166">
        <v>24</v>
      </c>
      <c r="S68" s="1166">
        <v>0</v>
      </c>
      <c r="T68" s="1164">
        <f t="shared" si="49"/>
        <v>0.5034722222222221</v>
      </c>
      <c r="U68" s="1167">
        <f t="shared" si="8"/>
        <v>42683</v>
      </c>
      <c r="V68" s="1166">
        <v>22.9</v>
      </c>
      <c r="W68" s="1164">
        <f t="shared" si="50"/>
        <v>0.6284722222222221</v>
      </c>
      <c r="X68" s="1167">
        <f t="shared" si="10"/>
        <v>42683</v>
      </c>
      <c r="Y68" s="1166">
        <v>26.75</v>
      </c>
      <c r="Z68" s="1164">
        <f t="shared" si="51"/>
        <v>0.67013888888888873</v>
      </c>
      <c r="AA68" s="1164">
        <f t="shared" si="52"/>
        <v>0.69097222222222199</v>
      </c>
      <c r="AB68" s="1167">
        <f t="shared" si="13"/>
        <v>42683</v>
      </c>
      <c r="AC68" s="1166">
        <v>26.75</v>
      </c>
      <c r="AD68" s="1164">
        <f t="shared" si="53"/>
        <v>0.69791666666666641</v>
      </c>
      <c r="AE68" s="1164">
        <f t="shared" si="54"/>
        <v>0.70833333333333304</v>
      </c>
      <c r="AF68" s="1167">
        <f t="shared" si="16"/>
        <v>42683</v>
      </c>
      <c r="AG68" s="1164">
        <f t="shared" si="55"/>
        <v>0.71527777777777746</v>
      </c>
      <c r="AH68" s="1164">
        <f t="shared" si="56"/>
        <v>0.74652777777777746</v>
      </c>
      <c r="AI68" s="1167">
        <f t="shared" si="19"/>
        <v>42683</v>
      </c>
      <c r="AJ68" s="1164">
        <f t="shared" si="57"/>
        <v>0.76736111111111072</v>
      </c>
      <c r="AK68" s="1164">
        <f t="shared" si="58"/>
        <v>0.77430555555555514</v>
      </c>
      <c r="AL68" s="1167">
        <f t="shared" si="22"/>
        <v>42683</v>
      </c>
      <c r="AM68" s="1166">
        <v>1.06</v>
      </c>
      <c r="AN68" s="1166">
        <v>9</v>
      </c>
      <c r="AO68" s="1166">
        <v>23</v>
      </c>
      <c r="AP68" s="1166">
        <v>0</v>
      </c>
      <c r="AQ68" s="1164">
        <f t="shared" si="23"/>
        <v>0.77430555555555514</v>
      </c>
      <c r="AR68" s="1164">
        <f t="shared" si="59"/>
        <v>0.78124999999999956</v>
      </c>
      <c r="AS68" s="1167">
        <f t="shared" si="25"/>
        <v>42683</v>
      </c>
      <c r="AT68" s="1166">
        <v>26.75</v>
      </c>
      <c r="AU68" s="1164">
        <f t="shared" si="26"/>
        <v>0.78124999999999956</v>
      </c>
      <c r="AV68" s="1167">
        <f t="shared" si="27"/>
        <v>42683</v>
      </c>
      <c r="AW68" s="1164">
        <f t="shared" si="29"/>
        <v>0.80902777777777735</v>
      </c>
      <c r="AX68" s="1167">
        <f t="shared" si="28"/>
        <v>42683</v>
      </c>
      <c r="AY68" s="1166">
        <v>5.3</v>
      </c>
      <c r="AZ68" s="1166">
        <v>11.5</v>
      </c>
      <c r="BA68" s="1168">
        <f>VLOOKUP(B68,ĐTBT!$V:$W,2,0)</f>
        <v>2</v>
      </c>
      <c r="BB68" s="1168"/>
      <c r="BC68" s="1168"/>
      <c r="BD68" s="1168"/>
      <c r="BE68" s="1168"/>
      <c r="BF68" s="1168"/>
      <c r="BG68" s="1168"/>
      <c r="BH68" s="1168"/>
      <c r="BI68" s="1168">
        <f t="shared" si="42"/>
        <v>0</v>
      </c>
      <c r="BJ68" s="1168">
        <f>VLOOKUP(B68,'Thong tin'!A:R,11,0)</f>
        <v>0</v>
      </c>
      <c r="BK68" s="1209"/>
    </row>
    <row r="69" spans="1:63" s="1210" customFormat="1" ht="15">
      <c r="A69" s="1217">
        <f>IF(C69="","",COUNTA($C$13:C69))</f>
        <v>57</v>
      </c>
      <c r="B69" s="1239" t="s">
        <v>591</v>
      </c>
      <c r="C69" s="1164">
        <v>0.41666666666666669</v>
      </c>
      <c r="D69" s="1164">
        <f t="shared" si="44"/>
        <v>0.4375</v>
      </c>
      <c r="E69" s="1165">
        <f t="shared" si="61"/>
        <v>42683</v>
      </c>
      <c r="F69" s="1164">
        <f t="shared" si="45"/>
        <v>0.44444444444444442</v>
      </c>
      <c r="G69" s="1164">
        <f t="shared" si="46"/>
        <v>0.44791666666666663</v>
      </c>
      <c r="H69" s="1165">
        <f t="shared" si="3"/>
        <v>42683</v>
      </c>
      <c r="I69" s="1166">
        <v>2.8000000000000001E-2</v>
      </c>
      <c r="J69" s="1166">
        <v>4.0000000000000001E-3</v>
      </c>
      <c r="K69" s="1166">
        <v>-0.9</v>
      </c>
      <c r="L69" s="1166">
        <v>-0.95199999999999996</v>
      </c>
      <c r="M69" s="1164">
        <f t="shared" si="47"/>
        <v>0.45138888888888884</v>
      </c>
      <c r="N69" s="1164">
        <f t="shared" si="48"/>
        <v>0.46180555555555552</v>
      </c>
      <c r="O69" s="1165">
        <f t="shared" si="6"/>
        <v>42683</v>
      </c>
      <c r="P69" s="1166">
        <v>1.05</v>
      </c>
      <c r="Q69" s="1166">
        <v>9</v>
      </c>
      <c r="R69" s="1166">
        <v>23</v>
      </c>
      <c r="S69" s="1166">
        <v>0</v>
      </c>
      <c r="T69" s="1164">
        <f t="shared" si="49"/>
        <v>0.58680555555555558</v>
      </c>
      <c r="U69" s="1167">
        <f t="shared" si="8"/>
        <v>42683</v>
      </c>
      <c r="V69" s="1166">
        <v>26.45</v>
      </c>
      <c r="W69" s="1164">
        <f t="shared" si="50"/>
        <v>0.71180555555555558</v>
      </c>
      <c r="X69" s="1167">
        <f t="shared" si="10"/>
        <v>42683</v>
      </c>
      <c r="Y69" s="1166">
        <v>27.45</v>
      </c>
      <c r="Z69" s="1164">
        <f t="shared" si="51"/>
        <v>0.75347222222222221</v>
      </c>
      <c r="AA69" s="1164">
        <f t="shared" si="52"/>
        <v>0.77430555555555547</v>
      </c>
      <c r="AB69" s="1167">
        <f t="shared" si="13"/>
        <v>42683</v>
      </c>
      <c r="AC69" s="1166">
        <v>27.5</v>
      </c>
      <c r="AD69" s="1164">
        <f t="shared" si="53"/>
        <v>0.78124999999999989</v>
      </c>
      <c r="AE69" s="1164">
        <f t="shared" si="54"/>
        <v>0.79166666666666652</v>
      </c>
      <c r="AF69" s="1167">
        <f t="shared" si="16"/>
        <v>42683</v>
      </c>
      <c r="AG69" s="1164">
        <f t="shared" si="55"/>
        <v>0.79861111111111094</v>
      </c>
      <c r="AH69" s="1164">
        <f t="shared" si="56"/>
        <v>0.82986111111111094</v>
      </c>
      <c r="AI69" s="1167">
        <f t="shared" si="19"/>
        <v>42683</v>
      </c>
      <c r="AJ69" s="1164">
        <f t="shared" si="57"/>
        <v>0.8506944444444442</v>
      </c>
      <c r="AK69" s="1164">
        <f t="shared" si="58"/>
        <v>0.85763888888888862</v>
      </c>
      <c r="AL69" s="1167">
        <f t="shared" si="22"/>
        <v>42683</v>
      </c>
      <c r="AM69" s="1166">
        <v>1.05</v>
      </c>
      <c r="AN69" s="1166">
        <v>9</v>
      </c>
      <c r="AO69" s="1166">
        <v>23</v>
      </c>
      <c r="AP69" s="1166">
        <v>0</v>
      </c>
      <c r="AQ69" s="1164">
        <f t="shared" si="23"/>
        <v>0.85763888888888862</v>
      </c>
      <c r="AR69" s="1164">
        <f t="shared" si="59"/>
        <v>0.86458333333333304</v>
      </c>
      <c r="AS69" s="1167">
        <f t="shared" si="25"/>
        <v>42683</v>
      </c>
      <c r="AT69" s="1166">
        <v>27.5</v>
      </c>
      <c r="AU69" s="1164">
        <f t="shared" si="26"/>
        <v>0.86458333333333304</v>
      </c>
      <c r="AV69" s="1167">
        <f t="shared" si="27"/>
        <v>42683</v>
      </c>
      <c r="AW69" s="1164">
        <f t="shared" si="29"/>
        <v>0.92013888888888862</v>
      </c>
      <c r="AX69" s="1167">
        <f t="shared" si="28"/>
        <v>42683</v>
      </c>
      <c r="AY69" s="1166">
        <v>6.8</v>
      </c>
      <c r="AZ69" s="1166">
        <v>26</v>
      </c>
      <c r="BA69" s="1168">
        <f>VLOOKUP(B69,ĐTBT!$V:$W,2,0)</f>
        <v>4</v>
      </c>
      <c r="BB69" s="1168"/>
      <c r="BC69" s="1168"/>
      <c r="BD69" s="1168"/>
      <c r="BE69" s="1168"/>
      <c r="BF69" s="1168"/>
      <c r="BG69" s="1168"/>
      <c r="BH69" s="1168"/>
      <c r="BI69" s="1168">
        <f t="shared" si="42"/>
        <v>0</v>
      </c>
      <c r="BJ69" s="1168">
        <f>VLOOKUP(B69,'Thong tin'!A:R,11,0)</f>
        <v>0</v>
      </c>
      <c r="BK69" s="1209"/>
    </row>
    <row r="70" spans="1:63" s="1210" customFormat="1" ht="15">
      <c r="A70" s="1217">
        <f>IF(C70="","",COUNTA($C$13:C70))</f>
        <v>58</v>
      </c>
      <c r="B70" s="1239" t="s">
        <v>623</v>
      </c>
      <c r="C70" s="1164">
        <v>0.29166666666666669</v>
      </c>
      <c r="D70" s="1164">
        <f t="shared" si="44"/>
        <v>0.3125</v>
      </c>
      <c r="E70" s="1165">
        <f t="shared" si="61"/>
        <v>42684</v>
      </c>
      <c r="F70" s="1164">
        <f t="shared" si="45"/>
        <v>0.31944444444444442</v>
      </c>
      <c r="G70" s="1164">
        <f t="shared" si="46"/>
        <v>0.32291666666666663</v>
      </c>
      <c r="H70" s="1165">
        <f t="shared" si="3"/>
        <v>42684</v>
      </c>
      <c r="I70" s="1166">
        <v>3.0000000000000001E-3</v>
      </c>
      <c r="J70" s="1166">
        <v>6.0000000000000001E-3</v>
      </c>
      <c r="K70" s="1166">
        <v>-0.7</v>
      </c>
      <c r="L70" s="1166">
        <v>-1.0900000000000001</v>
      </c>
      <c r="M70" s="1164">
        <f t="shared" si="47"/>
        <v>0.32638888888888884</v>
      </c>
      <c r="N70" s="1164">
        <f t="shared" si="48"/>
        <v>0.33680555555555552</v>
      </c>
      <c r="O70" s="1165">
        <f t="shared" si="6"/>
        <v>42684</v>
      </c>
      <c r="P70" s="1166">
        <v>1.05</v>
      </c>
      <c r="Q70" s="1166">
        <v>9</v>
      </c>
      <c r="R70" s="1166">
        <v>23</v>
      </c>
      <c r="S70" s="1166">
        <v>0</v>
      </c>
      <c r="T70" s="1164">
        <f t="shared" si="49"/>
        <v>0.46180555555555552</v>
      </c>
      <c r="U70" s="1167">
        <f t="shared" si="8"/>
        <v>42684</v>
      </c>
      <c r="V70" s="1166">
        <v>24.3</v>
      </c>
      <c r="W70" s="1164">
        <f t="shared" si="50"/>
        <v>0.58680555555555558</v>
      </c>
      <c r="X70" s="1167">
        <f t="shared" si="10"/>
        <v>42684</v>
      </c>
      <c r="Y70" s="1166">
        <v>26.8</v>
      </c>
      <c r="Z70" s="1164">
        <f t="shared" si="51"/>
        <v>0.62847222222222221</v>
      </c>
      <c r="AA70" s="1164">
        <f t="shared" si="52"/>
        <v>0.64930555555555547</v>
      </c>
      <c r="AB70" s="1167">
        <f t="shared" si="13"/>
        <v>42684</v>
      </c>
      <c r="AC70" s="1166">
        <v>26.8</v>
      </c>
      <c r="AD70" s="1164">
        <f t="shared" si="53"/>
        <v>0.65624999999999989</v>
      </c>
      <c r="AE70" s="1164">
        <f t="shared" si="54"/>
        <v>0.66666666666666652</v>
      </c>
      <c r="AF70" s="1167">
        <f t="shared" si="16"/>
        <v>42684</v>
      </c>
      <c r="AG70" s="1164">
        <f t="shared" si="55"/>
        <v>0.67361111111111094</v>
      </c>
      <c r="AH70" s="1164">
        <f t="shared" si="56"/>
        <v>0.70486111111111094</v>
      </c>
      <c r="AI70" s="1167">
        <f t="shared" si="19"/>
        <v>42684</v>
      </c>
      <c r="AJ70" s="1164">
        <f t="shared" si="57"/>
        <v>0.7256944444444442</v>
      </c>
      <c r="AK70" s="1164">
        <f t="shared" si="58"/>
        <v>0.73263888888888862</v>
      </c>
      <c r="AL70" s="1167">
        <f t="shared" si="22"/>
        <v>42684</v>
      </c>
      <c r="AM70" s="1166">
        <v>1.06</v>
      </c>
      <c r="AN70" s="1166">
        <v>9</v>
      </c>
      <c r="AO70" s="1166">
        <v>24</v>
      </c>
      <c r="AP70" s="1166">
        <v>0</v>
      </c>
      <c r="AQ70" s="1164">
        <f t="shared" si="23"/>
        <v>0.73263888888888862</v>
      </c>
      <c r="AR70" s="1164">
        <f t="shared" si="59"/>
        <v>0.73958333333333304</v>
      </c>
      <c r="AS70" s="1167">
        <f t="shared" si="25"/>
        <v>42684</v>
      </c>
      <c r="AT70" s="1166">
        <v>26.8</v>
      </c>
      <c r="AU70" s="1164">
        <f t="shared" si="26"/>
        <v>0.73958333333333304</v>
      </c>
      <c r="AV70" s="1167">
        <f t="shared" si="27"/>
        <v>42684</v>
      </c>
      <c r="AW70" s="1164">
        <f t="shared" si="29"/>
        <v>0.78124999999999967</v>
      </c>
      <c r="AX70" s="1167">
        <f t="shared" si="28"/>
        <v>42684</v>
      </c>
      <c r="AY70" s="1166">
        <v>5.4</v>
      </c>
      <c r="AZ70" s="1166">
        <v>23</v>
      </c>
      <c r="BA70" s="1168">
        <f>VLOOKUP(B70,ĐTBT!$V:$W,2,0)</f>
        <v>3</v>
      </c>
      <c r="BB70" s="1168"/>
      <c r="BC70" s="1168"/>
      <c r="BD70" s="1168"/>
      <c r="BE70" s="1168"/>
      <c r="BF70" s="1168"/>
      <c r="BG70" s="1168"/>
      <c r="BH70" s="1168"/>
      <c r="BI70" s="1168">
        <f t="shared" si="42"/>
        <v>0</v>
      </c>
      <c r="BJ70" s="1168">
        <f>VLOOKUP(B70,'Thong tin'!A:R,11,0)</f>
        <v>0</v>
      </c>
      <c r="BK70" s="1209"/>
    </row>
    <row r="71" spans="1:63" s="1210" customFormat="1" ht="15">
      <c r="A71" s="1217">
        <f>IF(C71="","",COUNTA($C$13:C71))</f>
        <v>59</v>
      </c>
      <c r="B71" s="1239" t="s">
        <v>536</v>
      </c>
      <c r="C71" s="1164">
        <v>0.375</v>
      </c>
      <c r="D71" s="1164">
        <f t="shared" si="44"/>
        <v>0.39583333333333331</v>
      </c>
      <c r="E71" s="1165">
        <f t="shared" si="61"/>
        <v>42684</v>
      </c>
      <c r="F71" s="1164">
        <f t="shared" si="45"/>
        <v>0.40277777777777773</v>
      </c>
      <c r="G71" s="1164">
        <f t="shared" si="46"/>
        <v>0.40624999999999994</v>
      </c>
      <c r="H71" s="1165">
        <f t="shared" si="3"/>
        <v>42684</v>
      </c>
      <c r="I71" s="1166">
        <v>1.4E-2</v>
      </c>
      <c r="J71" s="1166">
        <v>5.0000000000000001E-3</v>
      </c>
      <c r="K71" s="1166">
        <v>-1.1100000000000001</v>
      </c>
      <c r="L71" s="1166">
        <v>-1.2450000000000001</v>
      </c>
      <c r="M71" s="1164">
        <f t="shared" si="47"/>
        <v>0.40972222222222215</v>
      </c>
      <c r="N71" s="1164">
        <f t="shared" si="48"/>
        <v>0.42013888888888884</v>
      </c>
      <c r="O71" s="1165">
        <f t="shared" si="6"/>
        <v>42684</v>
      </c>
      <c r="P71" s="1166">
        <v>1.05</v>
      </c>
      <c r="Q71" s="1166">
        <v>9</v>
      </c>
      <c r="R71" s="1166">
        <v>23</v>
      </c>
      <c r="S71" s="1166">
        <v>0</v>
      </c>
      <c r="T71" s="1164">
        <f t="shared" si="49"/>
        <v>0.54513888888888884</v>
      </c>
      <c r="U71" s="1167">
        <f t="shared" si="8"/>
        <v>42684</v>
      </c>
      <c r="V71" s="1166">
        <v>22.2</v>
      </c>
      <c r="W71" s="1164">
        <f t="shared" si="50"/>
        <v>0.67013888888888884</v>
      </c>
      <c r="X71" s="1167">
        <f t="shared" si="10"/>
        <v>42684</v>
      </c>
      <c r="Y71" s="1166">
        <v>31.2</v>
      </c>
      <c r="Z71" s="1164">
        <f t="shared" si="51"/>
        <v>0.71180555555555547</v>
      </c>
      <c r="AA71" s="1164">
        <f t="shared" si="52"/>
        <v>0.73263888888888873</v>
      </c>
      <c r="AB71" s="1167">
        <f t="shared" si="13"/>
        <v>42684</v>
      </c>
      <c r="AC71" s="1166">
        <v>31.52</v>
      </c>
      <c r="AD71" s="1164">
        <f t="shared" si="53"/>
        <v>0.73958333333333315</v>
      </c>
      <c r="AE71" s="1164">
        <f t="shared" si="54"/>
        <v>0.74999999999999978</v>
      </c>
      <c r="AF71" s="1167">
        <f t="shared" si="16"/>
        <v>42684</v>
      </c>
      <c r="AG71" s="1164">
        <f t="shared" si="55"/>
        <v>0.7569444444444442</v>
      </c>
      <c r="AH71" s="1164">
        <f t="shared" si="56"/>
        <v>0.7881944444444442</v>
      </c>
      <c r="AI71" s="1167">
        <f t="shared" si="19"/>
        <v>42684</v>
      </c>
      <c r="AJ71" s="1164">
        <f t="shared" si="57"/>
        <v>0.80902777777777746</v>
      </c>
      <c r="AK71" s="1164">
        <f t="shared" si="58"/>
        <v>0.81597222222222188</v>
      </c>
      <c r="AL71" s="1167">
        <f t="shared" si="22"/>
        <v>42684</v>
      </c>
      <c r="AM71" s="1166">
        <v>1.06</v>
      </c>
      <c r="AN71" s="1166">
        <v>9</v>
      </c>
      <c r="AO71" s="1166">
        <v>22</v>
      </c>
      <c r="AP71" s="1166">
        <v>0</v>
      </c>
      <c r="AQ71" s="1164">
        <f t="shared" si="23"/>
        <v>0.81597222222222188</v>
      </c>
      <c r="AR71" s="1164">
        <f t="shared" si="59"/>
        <v>0.8229166666666663</v>
      </c>
      <c r="AS71" s="1167">
        <f t="shared" si="25"/>
        <v>42684</v>
      </c>
      <c r="AT71" s="1166">
        <v>31.52</v>
      </c>
      <c r="AU71" s="1164">
        <f t="shared" si="26"/>
        <v>0.8229166666666663</v>
      </c>
      <c r="AV71" s="1167">
        <f t="shared" si="27"/>
        <v>42684</v>
      </c>
      <c r="AW71" s="1164">
        <f t="shared" si="29"/>
        <v>0.87847222222222188</v>
      </c>
      <c r="AX71" s="1167">
        <f t="shared" si="28"/>
        <v>42684</v>
      </c>
      <c r="AY71" s="1166">
        <v>6.5</v>
      </c>
      <c r="AZ71" s="1166">
        <v>29</v>
      </c>
      <c r="BA71" s="1168">
        <f>VLOOKUP(B71,ĐTBT!$V:$W,2,0)</f>
        <v>4</v>
      </c>
      <c r="BB71" s="1168"/>
      <c r="BC71" s="1168"/>
      <c r="BD71" s="1168"/>
      <c r="BE71" s="1168"/>
      <c r="BF71" s="1168"/>
      <c r="BG71" s="1168"/>
      <c r="BH71" s="1168"/>
      <c r="BI71" s="1168">
        <f t="shared" si="42"/>
        <v>0</v>
      </c>
      <c r="BJ71" s="1168">
        <f>VLOOKUP(B71,'Thong tin'!A:R,11,0)</f>
        <v>0</v>
      </c>
      <c r="BK71" s="1209"/>
    </row>
    <row r="72" spans="1:63" s="1210" customFormat="1" ht="15">
      <c r="A72" s="1217">
        <f>IF(C72="","",COUNTA($C$13:C72))</f>
        <v>60</v>
      </c>
      <c r="B72" s="1239" t="s">
        <v>637</v>
      </c>
      <c r="C72" s="1164">
        <v>0.3125</v>
      </c>
      <c r="D72" s="1164">
        <f t="shared" si="44"/>
        <v>0.33333333333333331</v>
      </c>
      <c r="E72" s="1165">
        <f t="shared" si="61"/>
        <v>42684</v>
      </c>
      <c r="F72" s="1164">
        <f t="shared" si="45"/>
        <v>0.34027777777777773</v>
      </c>
      <c r="G72" s="1164">
        <f t="shared" si="46"/>
        <v>0.34374999999999994</v>
      </c>
      <c r="H72" s="1165">
        <f t="shared" si="3"/>
        <v>42684</v>
      </c>
      <c r="I72" s="1166">
        <v>2.1999999999999999E-2</v>
      </c>
      <c r="J72" s="1166">
        <v>3.0000000000000001E-3</v>
      </c>
      <c r="K72" s="1166">
        <v>-0.58799999999999997</v>
      </c>
      <c r="L72" s="1166">
        <v>-0.86799999999999999</v>
      </c>
      <c r="M72" s="1164">
        <f t="shared" si="47"/>
        <v>0.34722222222222215</v>
      </c>
      <c r="N72" s="1164">
        <f t="shared" si="48"/>
        <v>0.35763888888888884</v>
      </c>
      <c r="O72" s="1165">
        <f t="shared" si="6"/>
        <v>42684</v>
      </c>
      <c r="P72" s="1166">
        <v>1.05</v>
      </c>
      <c r="Q72" s="1166">
        <v>9</v>
      </c>
      <c r="R72" s="1166">
        <v>23</v>
      </c>
      <c r="S72" s="1166">
        <v>0</v>
      </c>
      <c r="T72" s="1164">
        <f t="shared" si="49"/>
        <v>0.48263888888888884</v>
      </c>
      <c r="U72" s="1167">
        <f t="shared" si="8"/>
        <v>42684</v>
      </c>
      <c r="V72" s="1166">
        <v>23.13</v>
      </c>
      <c r="W72" s="1164">
        <f t="shared" si="50"/>
        <v>0.60763888888888884</v>
      </c>
      <c r="X72" s="1167">
        <f t="shared" si="10"/>
        <v>42684</v>
      </c>
      <c r="Y72" s="1166">
        <v>32.4</v>
      </c>
      <c r="Z72" s="1164">
        <f t="shared" si="51"/>
        <v>0.64930555555555547</v>
      </c>
      <c r="AA72" s="1164">
        <f t="shared" si="52"/>
        <v>0.67013888888888873</v>
      </c>
      <c r="AB72" s="1167">
        <f t="shared" si="13"/>
        <v>42684</v>
      </c>
      <c r="AC72" s="1166">
        <v>32.4</v>
      </c>
      <c r="AD72" s="1164">
        <f t="shared" si="53"/>
        <v>0.67708333333333315</v>
      </c>
      <c r="AE72" s="1164">
        <f t="shared" si="54"/>
        <v>0.68749999999999978</v>
      </c>
      <c r="AF72" s="1167">
        <f t="shared" si="16"/>
        <v>42684</v>
      </c>
      <c r="AG72" s="1164">
        <f t="shared" si="55"/>
        <v>0.6944444444444442</v>
      </c>
      <c r="AH72" s="1164">
        <f t="shared" si="56"/>
        <v>0.7256944444444442</v>
      </c>
      <c r="AI72" s="1167">
        <f t="shared" si="19"/>
        <v>42684</v>
      </c>
      <c r="AJ72" s="1164">
        <f t="shared" si="57"/>
        <v>0.74652777777777746</v>
      </c>
      <c r="AK72" s="1164">
        <f t="shared" si="58"/>
        <v>0.75347222222222188</v>
      </c>
      <c r="AL72" s="1167">
        <f t="shared" si="22"/>
        <v>42684</v>
      </c>
      <c r="AM72" s="1166">
        <v>1.06</v>
      </c>
      <c r="AN72" s="1166">
        <v>9</v>
      </c>
      <c r="AO72" s="1166">
        <v>22</v>
      </c>
      <c r="AP72" s="1166">
        <v>0</v>
      </c>
      <c r="AQ72" s="1164">
        <f t="shared" si="23"/>
        <v>0.75347222222222188</v>
      </c>
      <c r="AR72" s="1164">
        <f t="shared" si="59"/>
        <v>0.7604166666666663</v>
      </c>
      <c r="AS72" s="1167">
        <f t="shared" si="25"/>
        <v>42684</v>
      </c>
      <c r="AT72" s="1166">
        <v>32.4</v>
      </c>
      <c r="AU72" s="1164">
        <f t="shared" si="26"/>
        <v>0.7604166666666663</v>
      </c>
      <c r="AV72" s="1167">
        <f t="shared" si="27"/>
        <v>42684</v>
      </c>
      <c r="AW72" s="1164">
        <f t="shared" si="29"/>
        <v>0.82986111111111072</v>
      </c>
      <c r="AX72" s="1167">
        <f t="shared" si="28"/>
        <v>42684</v>
      </c>
      <c r="AY72" s="1166">
        <v>7</v>
      </c>
      <c r="AZ72" s="1166">
        <v>44.5</v>
      </c>
      <c r="BA72" s="1168">
        <f>VLOOKUP(B72,ĐTBT!$V:$W,2,0)</f>
        <v>5</v>
      </c>
      <c r="BB72" s="1168"/>
      <c r="BC72" s="1168"/>
      <c r="BD72" s="1168"/>
      <c r="BE72" s="1168"/>
      <c r="BF72" s="1168"/>
      <c r="BG72" s="1168"/>
      <c r="BH72" s="1168"/>
      <c r="BI72" s="1168">
        <f t="shared" si="42"/>
        <v>0</v>
      </c>
      <c r="BJ72" s="1168">
        <f>VLOOKUP(B72,'Thong tin'!A:R,11,0)</f>
        <v>0</v>
      </c>
      <c r="BK72" s="1209"/>
    </row>
    <row r="73" spans="1:63" s="1210" customFormat="1" ht="15">
      <c r="A73" s="1217">
        <f>IF(C73="","",COUNTA($C$13:C73))</f>
        <v>61</v>
      </c>
      <c r="B73" s="1239" t="s">
        <v>514</v>
      </c>
      <c r="C73" s="1164">
        <v>0.35416666666666669</v>
      </c>
      <c r="D73" s="1164">
        <f t="shared" si="44"/>
        <v>0.375</v>
      </c>
      <c r="E73" s="1165">
        <f t="shared" si="61"/>
        <v>42685</v>
      </c>
      <c r="F73" s="1164">
        <f t="shared" si="45"/>
        <v>0.38194444444444442</v>
      </c>
      <c r="G73" s="1164">
        <f t="shared" si="46"/>
        <v>0.38541666666666663</v>
      </c>
      <c r="H73" s="1165">
        <f t="shared" si="3"/>
        <v>42685</v>
      </c>
      <c r="I73" s="1166">
        <v>1.7999999999999999E-2</v>
      </c>
      <c r="J73" s="1166">
        <v>1E-3</v>
      </c>
      <c r="K73" s="1166">
        <v>-0.66800000000000004</v>
      </c>
      <c r="L73" s="1166">
        <v>-1.1499999999999999</v>
      </c>
      <c r="M73" s="1164">
        <f t="shared" si="47"/>
        <v>0.38888888888888884</v>
      </c>
      <c r="N73" s="1164">
        <f t="shared" si="48"/>
        <v>0.39930555555555552</v>
      </c>
      <c r="O73" s="1165">
        <f t="shared" si="6"/>
        <v>42685</v>
      </c>
      <c r="P73" s="1166">
        <v>1.05</v>
      </c>
      <c r="Q73" s="1166">
        <v>9</v>
      </c>
      <c r="R73" s="1166">
        <v>22</v>
      </c>
      <c r="S73" s="1166">
        <v>0</v>
      </c>
      <c r="T73" s="1164">
        <f t="shared" si="49"/>
        <v>0.52430555555555558</v>
      </c>
      <c r="U73" s="1167">
        <f t="shared" si="8"/>
        <v>42685</v>
      </c>
      <c r="V73" s="1166">
        <v>22.3</v>
      </c>
      <c r="W73" s="1164">
        <f t="shared" si="50"/>
        <v>0.64930555555555558</v>
      </c>
      <c r="X73" s="1167">
        <f t="shared" si="10"/>
        <v>42685</v>
      </c>
      <c r="Y73" s="1166">
        <v>24.45</v>
      </c>
      <c r="Z73" s="1164">
        <f t="shared" si="51"/>
        <v>0.69097222222222221</v>
      </c>
      <c r="AA73" s="1164">
        <f t="shared" si="52"/>
        <v>0.71180555555555547</v>
      </c>
      <c r="AB73" s="1167">
        <f t="shared" si="13"/>
        <v>42685</v>
      </c>
      <c r="AC73" s="1166">
        <v>24.45</v>
      </c>
      <c r="AD73" s="1164">
        <f t="shared" si="53"/>
        <v>0.71874999999999989</v>
      </c>
      <c r="AE73" s="1164">
        <f t="shared" si="54"/>
        <v>0.72916666666666652</v>
      </c>
      <c r="AF73" s="1167">
        <f t="shared" si="16"/>
        <v>42685</v>
      </c>
      <c r="AG73" s="1164">
        <f t="shared" si="55"/>
        <v>0.73611111111111094</v>
      </c>
      <c r="AH73" s="1164">
        <f t="shared" si="56"/>
        <v>0.76736111111111094</v>
      </c>
      <c r="AI73" s="1167">
        <f t="shared" si="19"/>
        <v>42685</v>
      </c>
      <c r="AJ73" s="1164">
        <f t="shared" si="57"/>
        <v>0.7881944444444442</v>
      </c>
      <c r="AK73" s="1164">
        <f t="shared" si="58"/>
        <v>0.79513888888888862</v>
      </c>
      <c r="AL73" s="1167">
        <f t="shared" si="22"/>
        <v>42685</v>
      </c>
      <c r="AM73" s="1166">
        <v>1.05</v>
      </c>
      <c r="AN73" s="1166">
        <v>9</v>
      </c>
      <c r="AO73" s="1166">
        <v>22</v>
      </c>
      <c r="AP73" s="1166">
        <v>0</v>
      </c>
      <c r="AQ73" s="1164">
        <f t="shared" si="23"/>
        <v>0.79513888888888862</v>
      </c>
      <c r="AR73" s="1164">
        <f t="shared" si="59"/>
        <v>0.80208333333333304</v>
      </c>
      <c r="AS73" s="1167">
        <f t="shared" si="25"/>
        <v>42685</v>
      </c>
      <c r="AT73" s="1166">
        <v>24.45</v>
      </c>
      <c r="AU73" s="1164">
        <f t="shared" si="26"/>
        <v>0.80208333333333304</v>
      </c>
      <c r="AV73" s="1167">
        <f t="shared" si="27"/>
        <v>42685</v>
      </c>
      <c r="AW73" s="1164">
        <f t="shared" si="29"/>
        <v>0.84374999999999967</v>
      </c>
      <c r="AX73" s="1167">
        <f t="shared" si="28"/>
        <v>42685</v>
      </c>
      <c r="AY73" s="1166">
        <v>5.9</v>
      </c>
      <c r="AZ73" s="1166">
        <v>24</v>
      </c>
      <c r="BA73" s="1168">
        <f>VLOOKUP(B73,ĐTBT!$V:$W,2,0)</f>
        <v>3</v>
      </c>
      <c r="BB73" s="1168"/>
      <c r="BC73" s="1168"/>
      <c r="BD73" s="1168"/>
      <c r="BE73" s="1168"/>
      <c r="BF73" s="1168"/>
      <c r="BG73" s="1168"/>
      <c r="BH73" s="1168"/>
      <c r="BI73" s="1168">
        <f t="shared" si="42"/>
        <v>0</v>
      </c>
      <c r="BJ73" s="1168">
        <f>VLOOKUP(B73,'Thong tin'!A:R,11,0)</f>
        <v>0</v>
      </c>
      <c r="BK73" s="1209"/>
    </row>
    <row r="74" spans="1:63" s="1210" customFormat="1" ht="15">
      <c r="A74" s="1217">
        <f>IF(C74="","",COUNTA($C$13:C74))</f>
        <v>62</v>
      </c>
      <c r="B74" s="1239" t="s">
        <v>542</v>
      </c>
      <c r="C74" s="1164">
        <v>0.375</v>
      </c>
      <c r="D74" s="1164">
        <f t="shared" si="44"/>
        <v>0.39583333333333331</v>
      </c>
      <c r="E74" s="1165">
        <f t="shared" si="61"/>
        <v>42685</v>
      </c>
      <c r="F74" s="1164">
        <f t="shared" si="45"/>
        <v>0.40277777777777773</v>
      </c>
      <c r="G74" s="1164">
        <f t="shared" si="46"/>
        <v>0.40624999999999994</v>
      </c>
      <c r="H74" s="1165">
        <f t="shared" si="3"/>
        <v>42685</v>
      </c>
      <c r="I74" s="1166">
        <v>1.6E-2</v>
      </c>
      <c r="J74" s="1166">
        <v>8.9999999999999993E-3</v>
      </c>
      <c r="K74" s="1166">
        <v>-1.2050000000000001</v>
      </c>
      <c r="L74" s="1166">
        <v>-1.48</v>
      </c>
      <c r="M74" s="1164">
        <f t="shared" si="47"/>
        <v>0.40972222222222215</v>
      </c>
      <c r="N74" s="1164">
        <f t="shared" si="48"/>
        <v>0.42013888888888884</v>
      </c>
      <c r="O74" s="1165">
        <f t="shared" si="6"/>
        <v>42685</v>
      </c>
      <c r="P74" s="1166">
        <v>1.05</v>
      </c>
      <c r="Q74" s="1166">
        <v>9</v>
      </c>
      <c r="R74" s="1166">
        <v>24</v>
      </c>
      <c r="S74" s="1166">
        <v>0</v>
      </c>
      <c r="T74" s="1164">
        <f t="shared" si="49"/>
        <v>0.54513888888888884</v>
      </c>
      <c r="U74" s="1167">
        <f t="shared" si="8"/>
        <v>42685</v>
      </c>
      <c r="V74" s="1166">
        <v>20.55</v>
      </c>
      <c r="W74" s="1164">
        <f t="shared" si="50"/>
        <v>0.67013888888888884</v>
      </c>
      <c r="X74" s="1167">
        <f t="shared" si="10"/>
        <v>42685</v>
      </c>
      <c r="Y74" s="1166">
        <v>26.5</v>
      </c>
      <c r="Z74" s="1164">
        <f t="shared" si="51"/>
        <v>0.71180555555555547</v>
      </c>
      <c r="AA74" s="1164">
        <f t="shared" si="52"/>
        <v>0.73263888888888873</v>
      </c>
      <c r="AB74" s="1167">
        <f t="shared" si="13"/>
        <v>42685</v>
      </c>
      <c r="AC74" s="1166">
        <v>26.54</v>
      </c>
      <c r="AD74" s="1164">
        <f t="shared" si="53"/>
        <v>0.73958333333333315</v>
      </c>
      <c r="AE74" s="1164">
        <f t="shared" si="54"/>
        <v>0.74999999999999978</v>
      </c>
      <c r="AF74" s="1167">
        <f t="shared" si="16"/>
        <v>42685</v>
      </c>
      <c r="AG74" s="1164">
        <f t="shared" si="55"/>
        <v>0.7569444444444442</v>
      </c>
      <c r="AH74" s="1164">
        <f t="shared" si="56"/>
        <v>0.7881944444444442</v>
      </c>
      <c r="AI74" s="1167">
        <f t="shared" si="19"/>
        <v>42685</v>
      </c>
      <c r="AJ74" s="1164">
        <f t="shared" si="57"/>
        <v>0.80902777777777746</v>
      </c>
      <c r="AK74" s="1164">
        <f t="shared" si="58"/>
        <v>0.81597222222222188</v>
      </c>
      <c r="AL74" s="1167">
        <f t="shared" si="22"/>
        <v>42685</v>
      </c>
      <c r="AM74" s="1166">
        <v>1.06</v>
      </c>
      <c r="AN74" s="1166">
        <v>9</v>
      </c>
      <c r="AO74" s="1166">
        <v>24</v>
      </c>
      <c r="AP74" s="1166">
        <v>0</v>
      </c>
      <c r="AQ74" s="1164">
        <f t="shared" si="23"/>
        <v>0.81597222222222188</v>
      </c>
      <c r="AR74" s="1164">
        <f t="shared" si="59"/>
        <v>0.8229166666666663</v>
      </c>
      <c r="AS74" s="1167">
        <f t="shared" si="25"/>
        <v>42685</v>
      </c>
      <c r="AT74" s="1166">
        <v>26.5</v>
      </c>
      <c r="AU74" s="1164">
        <f t="shared" si="26"/>
        <v>0.8229166666666663</v>
      </c>
      <c r="AV74" s="1167">
        <f t="shared" si="27"/>
        <v>42685</v>
      </c>
      <c r="AW74" s="1164">
        <f t="shared" si="29"/>
        <v>0.85069444444444409</v>
      </c>
      <c r="AX74" s="1167">
        <f t="shared" si="28"/>
        <v>42685</v>
      </c>
      <c r="AY74" s="1166">
        <v>4.9000000000000004</v>
      </c>
      <c r="AZ74" s="1166">
        <v>12.5</v>
      </c>
      <c r="BA74" s="1168">
        <f>VLOOKUP(B74,ĐTBT!$V:$W,2,0)</f>
        <v>2</v>
      </c>
      <c r="BB74" s="1168"/>
      <c r="BC74" s="1168"/>
      <c r="BD74" s="1168"/>
      <c r="BE74" s="1168"/>
      <c r="BF74" s="1168"/>
      <c r="BG74" s="1168"/>
      <c r="BH74" s="1168"/>
      <c r="BI74" s="1168">
        <f t="shared" si="42"/>
        <v>0</v>
      </c>
      <c r="BJ74" s="1168">
        <f>VLOOKUP(B74,'Thong tin'!A:R,11,0)</f>
        <v>0</v>
      </c>
      <c r="BK74" s="1209"/>
    </row>
    <row r="75" spans="1:63" s="1210" customFormat="1" ht="15">
      <c r="A75" s="1217">
        <f>IF(C75="","",COUNTA($C$13:C75))</f>
        <v>63</v>
      </c>
      <c r="B75" s="1239" t="s">
        <v>644</v>
      </c>
      <c r="C75" s="1164">
        <v>0.38194444444444442</v>
      </c>
      <c r="D75" s="1164">
        <f t="shared" si="44"/>
        <v>0.40277777777777773</v>
      </c>
      <c r="E75" s="1165">
        <f t="shared" si="61"/>
        <v>42686</v>
      </c>
      <c r="F75" s="1164">
        <f t="shared" si="45"/>
        <v>0.40972222222222215</v>
      </c>
      <c r="G75" s="1164">
        <f t="shared" si="46"/>
        <v>0.41319444444444436</v>
      </c>
      <c r="H75" s="1165">
        <f t="shared" si="3"/>
        <v>42686</v>
      </c>
      <c r="I75" s="1166">
        <v>2.5000000000000001E-2</v>
      </c>
      <c r="J75" s="1166">
        <v>1.0999999999999999E-2</v>
      </c>
      <c r="K75" s="1166">
        <v>-0.71</v>
      </c>
      <c r="L75" s="1166">
        <v>-1.1100000000000001</v>
      </c>
      <c r="M75" s="1164">
        <f t="shared" si="47"/>
        <v>0.41666666666666657</v>
      </c>
      <c r="N75" s="1164">
        <f t="shared" si="48"/>
        <v>0.42708333333333326</v>
      </c>
      <c r="O75" s="1165">
        <f t="shared" si="6"/>
        <v>42686</v>
      </c>
      <c r="P75" s="1166">
        <v>1.05</v>
      </c>
      <c r="Q75" s="1166">
        <v>9</v>
      </c>
      <c r="R75" s="1166">
        <v>24</v>
      </c>
      <c r="S75" s="1166">
        <v>0</v>
      </c>
      <c r="T75" s="1164">
        <f t="shared" si="49"/>
        <v>0.55208333333333326</v>
      </c>
      <c r="U75" s="1167">
        <f t="shared" si="8"/>
        <v>42686</v>
      </c>
      <c r="V75" s="1166">
        <v>21.25</v>
      </c>
      <c r="W75" s="1164">
        <f t="shared" si="50"/>
        <v>0.67708333333333326</v>
      </c>
      <c r="X75" s="1167">
        <f t="shared" si="10"/>
        <v>42686</v>
      </c>
      <c r="Y75" s="1166">
        <v>23.8</v>
      </c>
      <c r="Z75" s="1164">
        <f t="shared" si="51"/>
        <v>0.71874999999999989</v>
      </c>
      <c r="AA75" s="1164">
        <f t="shared" si="52"/>
        <v>0.73958333333333315</v>
      </c>
      <c r="AB75" s="1167">
        <f t="shared" si="13"/>
        <v>42686</v>
      </c>
      <c r="AC75" s="1166">
        <v>23.8</v>
      </c>
      <c r="AD75" s="1164">
        <f t="shared" si="53"/>
        <v>0.74652777777777757</v>
      </c>
      <c r="AE75" s="1164">
        <f t="shared" si="54"/>
        <v>0.7569444444444442</v>
      </c>
      <c r="AF75" s="1167">
        <f t="shared" si="16"/>
        <v>42686</v>
      </c>
      <c r="AG75" s="1164">
        <f t="shared" si="55"/>
        <v>0.76388888888888862</v>
      </c>
      <c r="AH75" s="1164">
        <f t="shared" si="56"/>
        <v>0.79513888888888862</v>
      </c>
      <c r="AI75" s="1167">
        <f t="shared" si="19"/>
        <v>42686</v>
      </c>
      <c r="AJ75" s="1164">
        <f t="shared" si="57"/>
        <v>0.81597222222222188</v>
      </c>
      <c r="AK75" s="1164">
        <f t="shared" si="58"/>
        <v>0.8229166666666663</v>
      </c>
      <c r="AL75" s="1167">
        <f t="shared" si="22"/>
        <v>42686</v>
      </c>
      <c r="AM75" s="1166">
        <v>1.06</v>
      </c>
      <c r="AN75" s="1166">
        <v>9</v>
      </c>
      <c r="AO75" s="1166">
        <v>22</v>
      </c>
      <c r="AP75" s="1166">
        <v>0</v>
      </c>
      <c r="AQ75" s="1164">
        <f t="shared" si="23"/>
        <v>0.8229166666666663</v>
      </c>
      <c r="AR75" s="1164">
        <f t="shared" si="59"/>
        <v>0.82986111111111072</v>
      </c>
      <c r="AS75" s="1167">
        <f t="shared" si="25"/>
        <v>42686</v>
      </c>
      <c r="AT75" s="1166">
        <v>23.8</v>
      </c>
      <c r="AU75" s="1164">
        <f t="shared" si="26"/>
        <v>0.82986111111111072</v>
      </c>
      <c r="AV75" s="1167">
        <f t="shared" si="27"/>
        <v>42686</v>
      </c>
      <c r="AW75" s="1164">
        <f t="shared" si="29"/>
        <v>0.85763888888888851</v>
      </c>
      <c r="AX75" s="1167">
        <f t="shared" si="28"/>
        <v>42686</v>
      </c>
      <c r="AY75" s="1166">
        <v>6.7</v>
      </c>
      <c r="AZ75" s="1166">
        <v>21</v>
      </c>
      <c r="BA75" s="1168">
        <f>VLOOKUP(B75,ĐTBT!$V:$W,2,0)</f>
        <v>2</v>
      </c>
      <c r="BB75" s="1168"/>
      <c r="BC75" s="1168"/>
      <c r="BD75" s="1168"/>
      <c r="BE75" s="1168"/>
      <c r="BF75" s="1168"/>
      <c r="BG75" s="1168"/>
      <c r="BH75" s="1168"/>
      <c r="BI75" s="1168">
        <f t="shared" si="42"/>
        <v>0</v>
      </c>
      <c r="BJ75" s="1168">
        <f>VLOOKUP(B75,'Thong tin'!A:R,11,0)</f>
        <v>0</v>
      </c>
      <c r="BK75" s="1209"/>
    </row>
    <row r="76" spans="1:63" s="1210" customFormat="1" ht="15">
      <c r="A76" s="1217">
        <f>IF(C76="","",COUNTA($C$13:C76))</f>
        <v>64</v>
      </c>
      <c r="B76" s="1239" t="s">
        <v>524</v>
      </c>
      <c r="C76" s="1164">
        <v>0.33680555555555558</v>
      </c>
      <c r="D76" s="1164">
        <f t="shared" si="44"/>
        <v>0.3576388888888889</v>
      </c>
      <c r="E76" s="1165">
        <f t="shared" si="61"/>
        <v>42686</v>
      </c>
      <c r="F76" s="1164">
        <f t="shared" si="45"/>
        <v>0.36458333333333331</v>
      </c>
      <c r="G76" s="1164">
        <f t="shared" si="46"/>
        <v>0.36805555555555552</v>
      </c>
      <c r="H76" s="1165">
        <f t="shared" si="3"/>
        <v>42686</v>
      </c>
      <c r="I76" s="1166">
        <v>0.02</v>
      </c>
      <c r="J76" s="1166">
        <v>1.9E-2</v>
      </c>
      <c r="K76" s="1166">
        <v>-0.72</v>
      </c>
      <c r="L76" s="1166">
        <v>-1.0900000000000001</v>
      </c>
      <c r="M76" s="1164">
        <f t="shared" si="47"/>
        <v>0.37152777777777773</v>
      </c>
      <c r="N76" s="1164">
        <f t="shared" si="48"/>
        <v>0.38194444444444442</v>
      </c>
      <c r="O76" s="1165">
        <f t="shared" si="6"/>
        <v>42686</v>
      </c>
      <c r="P76" s="1166">
        <v>1.05</v>
      </c>
      <c r="Q76" s="1166">
        <v>9</v>
      </c>
      <c r="R76" s="1166">
        <v>23</v>
      </c>
      <c r="S76" s="1166">
        <v>0</v>
      </c>
      <c r="T76" s="1164">
        <f t="shared" si="49"/>
        <v>0.50694444444444442</v>
      </c>
      <c r="U76" s="1167">
        <f t="shared" si="8"/>
        <v>42686</v>
      </c>
      <c r="V76" s="1166">
        <v>21.85</v>
      </c>
      <c r="W76" s="1164">
        <f t="shared" si="50"/>
        <v>0.63194444444444442</v>
      </c>
      <c r="X76" s="1167">
        <f t="shared" si="10"/>
        <v>42686</v>
      </c>
      <c r="Y76" s="1166">
        <v>24.25</v>
      </c>
      <c r="Z76" s="1164">
        <f t="shared" si="51"/>
        <v>0.67361111111111105</v>
      </c>
      <c r="AA76" s="1164">
        <f t="shared" si="52"/>
        <v>0.69444444444444431</v>
      </c>
      <c r="AB76" s="1167">
        <f t="shared" si="13"/>
        <v>42686</v>
      </c>
      <c r="AC76" s="1166">
        <v>24.35</v>
      </c>
      <c r="AD76" s="1164">
        <f t="shared" si="53"/>
        <v>0.70138888888888873</v>
      </c>
      <c r="AE76" s="1164">
        <f t="shared" si="54"/>
        <v>0.71180555555555536</v>
      </c>
      <c r="AF76" s="1167">
        <f t="shared" si="16"/>
        <v>42686</v>
      </c>
      <c r="AG76" s="1164">
        <f t="shared" si="55"/>
        <v>0.71874999999999978</v>
      </c>
      <c r="AH76" s="1164">
        <f t="shared" si="56"/>
        <v>0.74999999999999978</v>
      </c>
      <c r="AI76" s="1167">
        <f t="shared" si="19"/>
        <v>42686</v>
      </c>
      <c r="AJ76" s="1164">
        <f t="shared" si="57"/>
        <v>0.77083333333333304</v>
      </c>
      <c r="AK76" s="1164">
        <f t="shared" si="58"/>
        <v>0.77777777777777746</v>
      </c>
      <c r="AL76" s="1167">
        <f t="shared" si="22"/>
        <v>42686</v>
      </c>
      <c r="AM76" s="1166">
        <v>1.06</v>
      </c>
      <c r="AN76" s="1166">
        <v>9</v>
      </c>
      <c r="AO76" s="1166">
        <v>22</v>
      </c>
      <c r="AP76" s="1166">
        <v>0</v>
      </c>
      <c r="AQ76" s="1164">
        <f t="shared" si="23"/>
        <v>0.77777777777777746</v>
      </c>
      <c r="AR76" s="1164">
        <f t="shared" si="59"/>
        <v>0.78472222222222188</v>
      </c>
      <c r="AS76" s="1167">
        <f t="shared" si="25"/>
        <v>42686</v>
      </c>
      <c r="AT76" s="1166">
        <v>24.35</v>
      </c>
      <c r="AU76" s="1164">
        <f t="shared" si="26"/>
        <v>0.78472222222222188</v>
      </c>
      <c r="AV76" s="1167">
        <f t="shared" si="27"/>
        <v>42686</v>
      </c>
      <c r="AW76" s="1164">
        <f t="shared" si="29"/>
        <v>0.82638888888888851</v>
      </c>
      <c r="AX76" s="1167">
        <f t="shared" si="28"/>
        <v>42686</v>
      </c>
      <c r="AY76" s="1166">
        <v>7</v>
      </c>
      <c r="AZ76" s="1166">
        <v>23</v>
      </c>
      <c r="BA76" s="1168">
        <f>VLOOKUP(B76,ĐTBT!$V:$W,2,0)</f>
        <v>3</v>
      </c>
      <c r="BB76" s="1168"/>
      <c r="BC76" s="1168"/>
      <c r="BD76" s="1168"/>
      <c r="BE76" s="1168"/>
      <c r="BF76" s="1168"/>
      <c r="BG76" s="1168"/>
      <c r="BH76" s="1168"/>
      <c r="BI76" s="1168">
        <f t="shared" si="42"/>
        <v>0</v>
      </c>
      <c r="BJ76" s="1168">
        <f>VLOOKUP(B76,'Thong tin'!A:R,11,0)</f>
        <v>0</v>
      </c>
      <c r="BK76" s="1209"/>
    </row>
    <row r="77" spans="1:63" s="1210" customFormat="1" ht="15">
      <c r="A77" s="1217">
        <f>IF(C77="","",COUNTA($C$13:C77))</f>
        <v>65</v>
      </c>
      <c r="B77" s="1239" t="s">
        <v>541</v>
      </c>
      <c r="C77" s="1164">
        <v>0.38194444444444442</v>
      </c>
      <c r="D77" s="1164">
        <f t="shared" ref="D77:D108" si="62">C77+$D$319</f>
        <v>0.40277777777777773</v>
      </c>
      <c r="E77" s="1165">
        <f t="shared" si="61"/>
        <v>42686</v>
      </c>
      <c r="F77" s="1164">
        <f t="shared" ref="F77:F108" si="63">D77+$D$315</f>
        <v>0.40972222222222215</v>
      </c>
      <c r="G77" s="1164">
        <f t="shared" ref="G77:G108" si="64">F77+$D$314</f>
        <v>0.41319444444444436</v>
      </c>
      <c r="H77" s="1165">
        <f t="shared" si="3"/>
        <v>42686</v>
      </c>
      <c r="I77" s="1166">
        <v>8.0000000000000002E-3</v>
      </c>
      <c r="J77" s="1166">
        <v>8.0000000000000002E-3</v>
      </c>
      <c r="K77" s="1166">
        <v>-0.94799999999999995</v>
      </c>
      <c r="L77" s="1166">
        <v>-1.31</v>
      </c>
      <c r="M77" s="1164">
        <f t="shared" ref="M77:M108" si="65">G77+$D$314</f>
        <v>0.41666666666666657</v>
      </c>
      <c r="N77" s="1164">
        <f t="shared" ref="N77:N108" si="66">M77+$D$316</f>
        <v>0.42708333333333326</v>
      </c>
      <c r="O77" s="1165">
        <f t="shared" si="6"/>
        <v>42686</v>
      </c>
      <c r="P77" s="1166">
        <v>1.05</v>
      </c>
      <c r="Q77" s="1166">
        <v>9</v>
      </c>
      <c r="R77" s="1166">
        <v>23</v>
      </c>
      <c r="S77" s="1166">
        <v>0</v>
      </c>
      <c r="T77" s="1164">
        <f t="shared" ref="T77:T108" si="67">N77+$D$344</f>
        <v>0.55208333333333326</v>
      </c>
      <c r="U77" s="1167">
        <f t="shared" si="8"/>
        <v>42686</v>
      </c>
      <c r="V77" s="1166">
        <v>22.2</v>
      </c>
      <c r="W77" s="1164">
        <f t="shared" ref="W77:W108" si="68">T77+$D$344</f>
        <v>0.67708333333333326</v>
      </c>
      <c r="X77" s="1167">
        <f t="shared" si="10"/>
        <v>42686</v>
      </c>
      <c r="Y77" s="1166">
        <v>31.35</v>
      </c>
      <c r="Z77" s="1164">
        <f t="shared" ref="Z77:Z108" si="69">W77+$D$325</f>
        <v>0.71874999999999989</v>
      </c>
      <c r="AA77" s="1164">
        <f t="shared" ref="AA77:AA108" si="70">Z77+$D$319</f>
        <v>0.73958333333333315</v>
      </c>
      <c r="AB77" s="1167">
        <f t="shared" si="13"/>
        <v>42686</v>
      </c>
      <c r="AC77" s="1166">
        <v>31.35</v>
      </c>
      <c r="AD77" s="1164">
        <f t="shared" ref="AD77:AD108" si="71">AA77+$D$315</f>
        <v>0.74652777777777757</v>
      </c>
      <c r="AE77" s="1164">
        <f t="shared" ref="AE77:AE108" si="72">AD77+$D$316</f>
        <v>0.7569444444444442</v>
      </c>
      <c r="AF77" s="1167">
        <f t="shared" si="16"/>
        <v>42686</v>
      </c>
      <c r="AG77" s="1164">
        <f t="shared" ref="AG77:AG108" si="73">AE77+$D$315</f>
        <v>0.76388888888888862</v>
      </c>
      <c r="AH77" s="1164">
        <f t="shared" ref="AH77:AH108" si="74">IF(BJ77&gt;0,AG77+$D$325,AG77+$D$322)</f>
        <v>0.79513888888888862</v>
      </c>
      <c r="AI77" s="1167">
        <f t="shared" si="19"/>
        <v>42686</v>
      </c>
      <c r="AJ77" s="1164">
        <f t="shared" ref="AJ77:AJ108" si="75">AH77+$D$319</f>
        <v>0.81597222222222188</v>
      </c>
      <c r="AK77" s="1164">
        <f t="shared" ref="AK77:AK108" si="76">AJ77+$D$315</f>
        <v>0.8229166666666663</v>
      </c>
      <c r="AL77" s="1167">
        <f t="shared" si="22"/>
        <v>42686</v>
      </c>
      <c r="AM77" s="1166">
        <v>1.05</v>
      </c>
      <c r="AN77" s="1166">
        <v>9</v>
      </c>
      <c r="AO77" s="1166">
        <v>22</v>
      </c>
      <c r="AP77" s="1166">
        <v>0</v>
      </c>
      <c r="AQ77" s="1164">
        <f t="shared" si="23"/>
        <v>0.8229166666666663</v>
      </c>
      <c r="AR77" s="1164">
        <f t="shared" ref="AR77:AR108" si="77">AQ77+$D$315</f>
        <v>0.82986111111111072</v>
      </c>
      <c r="AS77" s="1167">
        <f t="shared" si="25"/>
        <v>42686</v>
      </c>
      <c r="AT77" s="1166">
        <v>31.35</v>
      </c>
      <c r="AU77" s="1164">
        <f t="shared" si="26"/>
        <v>0.82986111111111072</v>
      </c>
      <c r="AV77" s="1167">
        <f t="shared" si="27"/>
        <v>42686</v>
      </c>
      <c r="AW77" s="1164">
        <f t="shared" si="29"/>
        <v>0.8854166666666663</v>
      </c>
      <c r="AX77" s="1167">
        <f t="shared" si="28"/>
        <v>42686</v>
      </c>
      <c r="AY77" s="1166">
        <v>6.4</v>
      </c>
      <c r="AZ77" s="1166">
        <v>31</v>
      </c>
      <c r="BA77" s="1168">
        <f>VLOOKUP(B77,ĐTBT!$V:$W,2,0)</f>
        <v>4</v>
      </c>
      <c r="BB77" s="1168"/>
      <c r="BC77" s="1168"/>
      <c r="BD77" s="1168"/>
      <c r="BE77" s="1168"/>
      <c r="BF77" s="1168"/>
      <c r="BG77" s="1168"/>
      <c r="BH77" s="1168"/>
      <c r="BI77" s="1168">
        <f t="shared" si="42"/>
        <v>0</v>
      </c>
      <c r="BJ77" s="1168">
        <f>VLOOKUP(B77,'Thong tin'!A:R,11,0)</f>
        <v>0</v>
      </c>
      <c r="BK77" s="1209"/>
    </row>
    <row r="78" spans="1:63" s="1210" customFormat="1" ht="15">
      <c r="A78" s="1217">
        <f>IF(C78="","",COUNTA($C$13:C78))</f>
        <v>66</v>
      </c>
      <c r="B78" s="1239" t="s">
        <v>654</v>
      </c>
      <c r="C78" s="1164">
        <v>0.38541666666666669</v>
      </c>
      <c r="D78" s="1164">
        <f t="shared" si="62"/>
        <v>0.40625</v>
      </c>
      <c r="E78" s="1165">
        <f t="shared" si="61"/>
        <v>42687</v>
      </c>
      <c r="F78" s="1164">
        <f t="shared" si="63"/>
        <v>0.41319444444444442</v>
      </c>
      <c r="G78" s="1164">
        <f t="shared" si="64"/>
        <v>0.41666666666666663</v>
      </c>
      <c r="H78" s="1165">
        <f t="shared" si="3"/>
        <v>42687</v>
      </c>
      <c r="I78" s="1166">
        <v>2E-3</v>
      </c>
      <c r="J78" s="1166">
        <v>2.1000000000000001E-2</v>
      </c>
      <c r="K78" s="1166">
        <v>-0.74</v>
      </c>
      <c r="L78" s="1166">
        <v>-1.135</v>
      </c>
      <c r="M78" s="1164">
        <f t="shared" si="65"/>
        <v>0.42013888888888884</v>
      </c>
      <c r="N78" s="1164">
        <f t="shared" si="66"/>
        <v>0.43055555555555552</v>
      </c>
      <c r="O78" s="1165">
        <f t="shared" si="6"/>
        <v>42687</v>
      </c>
      <c r="P78" s="1166">
        <v>1.05</v>
      </c>
      <c r="Q78" s="1166">
        <v>9</v>
      </c>
      <c r="R78" s="1166">
        <v>23</v>
      </c>
      <c r="S78" s="1166">
        <v>0</v>
      </c>
      <c r="T78" s="1164">
        <f t="shared" si="67"/>
        <v>0.55555555555555558</v>
      </c>
      <c r="U78" s="1167">
        <f t="shared" si="8"/>
        <v>42687</v>
      </c>
      <c r="V78" s="1166">
        <v>21.2</v>
      </c>
      <c r="W78" s="1164">
        <f t="shared" si="68"/>
        <v>0.68055555555555558</v>
      </c>
      <c r="X78" s="1167">
        <f t="shared" si="10"/>
        <v>42687</v>
      </c>
      <c r="Y78" s="1166">
        <v>23.85</v>
      </c>
      <c r="Z78" s="1164">
        <f t="shared" si="69"/>
        <v>0.72222222222222221</v>
      </c>
      <c r="AA78" s="1164">
        <f t="shared" si="70"/>
        <v>0.74305555555555547</v>
      </c>
      <c r="AB78" s="1167">
        <f t="shared" si="13"/>
        <v>42687</v>
      </c>
      <c r="AC78" s="1166">
        <v>24.2</v>
      </c>
      <c r="AD78" s="1164">
        <f t="shared" si="71"/>
        <v>0.74999999999999989</v>
      </c>
      <c r="AE78" s="1164">
        <f t="shared" si="72"/>
        <v>0.76041666666666652</v>
      </c>
      <c r="AF78" s="1167">
        <f t="shared" si="16"/>
        <v>42687</v>
      </c>
      <c r="AG78" s="1164">
        <f t="shared" si="73"/>
        <v>0.76736111111111094</v>
      </c>
      <c r="AH78" s="1164">
        <f t="shared" si="74"/>
        <v>0.80902777777777757</v>
      </c>
      <c r="AI78" s="1167">
        <f t="shared" si="19"/>
        <v>42687</v>
      </c>
      <c r="AJ78" s="1164">
        <f t="shared" si="75"/>
        <v>0.82986111111111083</v>
      </c>
      <c r="AK78" s="1164">
        <f t="shared" si="76"/>
        <v>0.83680555555555525</v>
      </c>
      <c r="AL78" s="1167">
        <f t="shared" si="22"/>
        <v>42687</v>
      </c>
      <c r="AM78" s="1166">
        <v>1.05</v>
      </c>
      <c r="AN78" s="1166">
        <v>9</v>
      </c>
      <c r="AO78" s="1166">
        <v>22</v>
      </c>
      <c r="AP78" s="1166">
        <v>0</v>
      </c>
      <c r="AQ78" s="1164">
        <f t="shared" si="23"/>
        <v>0.83680555555555525</v>
      </c>
      <c r="AR78" s="1164">
        <f t="shared" si="77"/>
        <v>0.84374999999999967</v>
      </c>
      <c r="AS78" s="1167">
        <f t="shared" si="25"/>
        <v>42687</v>
      </c>
      <c r="AT78" s="1166">
        <v>24.2</v>
      </c>
      <c r="AU78" s="1164">
        <f t="shared" si="26"/>
        <v>0.84374999999999967</v>
      </c>
      <c r="AV78" s="1167">
        <f t="shared" si="27"/>
        <v>42687</v>
      </c>
      <c r="AW78" s="1164">
        <f t="shared" si="29"/>
        <v>0.8854166666666663</v>
      </c>
      <c r="AX78" s="1167">
        <f t="shared" si="28"/>
        <v>42687</v>
      </c>
      <c r="AY78" s="1166">
        <v>7</v>
      </c>
      <c r="AZ78" s="1166">
        <v>21</v>
      </c>
      <c r="BA78" s="1168">
        <f>VLOOKUP(B78,ĐTBT!$V:$W,2,0)</f>
        <v>3</v>
      </c>
      <c r="BB78" s="1168"/>
      <c r="BC78" s="1168"/>
      <c r="BD78" s="1168"/>
      <c r="BE78" s="1168"/>
      <c r="BF78" s="1168"/>
      <c r="BG78" s="1168"/>
      <c r="BH78" s="1168"/>
      <c r="BI78" s="1168">
        <f t="shared" si="42"/>
        <v>0</v>
      </c>
      <c r="BJ78" s="1168">
        <f>VLOOKUP(B78,'Thong tin'!A:R,11,0)</f>
        <v>4</v>
      </c>
      <c r="BK78" s="1209"/>
    </row>
    <row r="79" spans="1:63" s="1210" customFormat="1" ht="15">
      <c r="A79" s="1217">
        <f>IF(C79="","",COUNTA($C$13:C79))</f>
        <v>67</v>
      </c>
      <c r="B79" s="1239" t="s">
        <v>519</v>
      </c>
      <c r="C79" s="1164">
        <v>0.3888888888888889</v>
      </c>
      <c r="D79" s="1164">
        <f t="shared" si="62"/>
        <v>0.40972222222222221</v>
      </c>
      <c r="E79" s="1165">
        <f t="shared" si="61"/>
        <v>42687</v>
      </c>
      <c r="F79" s="1164">
        <f t="shared" si="63"/>
        <v>0.41666666666666663</v>
      </c>
      <c r="G79" s="1164">
        <f t="shared" si="64"/>
        <v>0.42013888888888884</v>
      </c>
      <c r="H79" s="1165">
        <f t="shared" si="3"/>
        <v>42687</v>
      </c>
      <c r="I79" s="1166">
        <v>7.0000000000000001E-3</v>
      </c>
      <c r="J79" s="1166">
        <v>1.4E-2</v>
      </c>
      <c r="K79" s="1166">
        <v>-0.65800000000000003</v>
      </c>
      <c r="L79" s="1166">
        <v>-1.06</v>
      </c>
      <c r="M79" s="1164">
        <f t="shared" si="65"/>
        <v>0.42361111111111105</v>
      </c>
      <c r="N79" s="1164">
        <f t="shared" si="66"/>
        <v>0.43402777777777773</v>
      </c>
      <c r="O79" s="1165">
        <f t="shared" si="6"/>
        <v>42687</v>
      </c>
      <c r="P79" s="1166">
        <v>1.05</v>
      </c>
      <c r="Q79" s="1166">
        <v>9</v>
      </c>
      <c r="R79" s="1166">
        <v>23</v>
      </c>
      <c r="S79" s="1166">
        <v>0</v>
      </c>
      <c r="T79" s="1164">
        <f t="shared" si="67"/>
        <v>0.55902777777777768</v>
      </c>
      <c r="U79" s="1167">
        <f t="shared" si="8"/>
        <v>42687</v>
      </c>
      <c r="V79" s="1166">
        <v>21.8</v>
      </c>
      <c r="W79" s="1164">
        <f t="shared" si="68"/>
        <v>0.68402777777777768</v>
      </c>
      <c r="X79" s="1167">
        <f t="shared" si="10"/>
        <v>42687</v>
      </c>
      <c r="Y79" s="1166">
        <v>24.4</v>
      </c>
      <c r="Z79" s="1164">
        <f t="shared" si="69"/>
        <v>0.72569444444444431</v>
      </c>
      <c r="AA79" s="1164">
        <f t="shared" si="70"/>
        <v>0.74652777777777757</v>
      </c>
      <c r="AB79" s="1167">
        <f t="shared" si="13"/>
        <v>42687</v>
      </c>
      <c r="AC79" s="1166">
        <v>24.4</v>
      </c>
      <c r="AD79" s="1164">
        <f t="shared" si="71"/>
        <v>0.75347222222222199</v>
      </c>
      <c r="AE79" s="1164">
        <f t="shared" si="72"/>
        <v>0.76388888888888862</v>
      </c>
      <c r="AF79" s="1167">
        <f t="shared" si="16"/>
        <v>42687</v>
      </c>
      <c r="AG79" s="1164">
        <f t="shared" si="73"/>
        <v>0.77083333333333304</v>
      </c>
      <c r="AH79" s="1164">
        <f t="shared" si="74"/>
        <v>0.81249999999999967</v>
      </c>
      <c r="AI79" s="1167">
        <f t="shared" si="19"/>
        <v>42687</v>
      </c>
      <c r="AJ79" s="1164">
        <f t="shared" si="75"/>
        <v>0.83333333333333293</v>
      </c>
      <c r="AK79" s="1164">
        <f t="shared" si="76"/>
        <v>0.84027777777777735</v>
      </c>
      <c r="AL79" s="1167">
        <f t="shared" si="22"/>
        <v>42687</v>
      </c>
      <c r="AM79" s="1166">
        <v>1.06</v>
      </c>
      <c r="AN79" s="1166">
        <v>9</v>
      </c>
      <c r="AO79" s="1166">
        <v>22</v>
      </c>
      <c r="AP79" s="1166">
        <v>0</v>
      </c>
      <c r="AQ79" s="1164">
        <f t="shared" si="23"/>
        <v>0.84027777777777735</v>
      </c>
      <c r="AR79" s="1164">
        <f t="shared" si="77"/>
        <v>0.84722222222222177</v>
      </c>
      <c r="AS79" s="1167">
        <f t="shared" si="25"/>
        <v>42687</v>
      </c>
      <c r="AT79" s="1166">
        <v>24.4</v>
      </c>
      <c r="AU79" s="1164">
        <f t="shared" si="26"/>
        <v>0.84722222222222177</v>
      </c>
      <c r="AV79" s="1167">
        <f t="shared" si="27"/>
        <v>42687</v>
      </c>
      <c r="AW79" s="1164">
        <f t="shared" si="29"/>
        <v>0.8888888888888884</v>
      </c>
      <c r="AX79" s="1167">
        <f t="shared" si="28"/>
        <v>42687</v>
      </c>
      <c r="AY79" s="1166">
        <v>6.2</v>
      </c>
      <c r="AZ79" s="1166">
        <v>21</v>
      </c>
      <c r="BA79" s="1168">
        <f>VLOOKUP(B79,ĐTBT!$V:$W,2,0)</f>
        <v>3</v>
      </c>
      <c r="BB79" s="1168"/>
      <c r="BC79" s="1168"/>
      <c r="BD79" s="1168"/>
      <c r="BE79" s="1168"/>
      <c r="BF79" s="1168"/>
      <c r="BG79" s="1168"/>
      <c r="BH79" s="1168"/>
      <c r="BI79" s="1168">
        <f t="shared" si="42"/>
        <v>0</v>
      </c>
      <c r="BJ79" s="1168">
        <f>VLOOKUP(B79,'Thong tin'!A:R,11,0)</f>
        <v>4</v>
      </c>
      <c r="BK79" s="1209"/>
    </row>
    <row r="80" spans="1:63" s="1210" customFormat="1" ht="15">
      <c r="A80" s="1217">
        <f>IF(C80="","",COUNTA($C$13:C80))</f>
        <v>68</v>
      </c>
      <c r="B80" s="1239" t="s">
        <v>671</v>
      </c>
      <c r="C80" s="1164">
        <v>0.32291666666666669</v>
      </c>
      <c r="D80" s="1164">
        <f t="shared" si="62"/>
        <v>0.34375</v>
      </c>
      <c r="E80" s="1165">
        <f t="shared" si="61"/>
        <v>42688</v>
      </c>
      <c r="F80" s="1164">
        <f t="shared" si="63"/>
        <v>0.35069444444444442</v>
      </c>
      <c r="G80" s="1164">
        <f t="shared" si="64"/>
        <v>0.35416666666666663</v>
      </c>
      <c r="H80" s="1165">
        <f t="shared" si="3"/>
        <v>42688</v>
      </c>
      <c r="I80" s="1166">
        <v>0.02</v>
      </c>
      <c r="J80" s="1166">
        <v>2.1999999999999999E-2</v>
      </c>
      <c r="K80" s="1166">
        <v>-0.495</v>
      </c>
      <c r="L80" s="1166">
        <v>-0.97199999999999998</v>
      </c>
      <c r="M80" s="1164">
        <f t="shared" si="65"/>
        <v>0.35763888888888884</v>
      </c>
      <c r="N80" s="1164">
        <f t="shared" si="66"/>
        <v>0.36805555555555552</v>
      </c>
      <c r="O80" s="1165">
        <f t="shared" si="6"/>
        <v>42688</v>
      </c>
      <c r="P80" s="1166">
        <v>1.05</v>
      </c>
      <c r="Q80" s="1166">
        <v>9</v>
      </c>
      <c r="R80" s="1166">
        <v>23</v>
      </c>
      <c r="S80" s="1166">
        <v>0</v>
      </c>
      <c r="T80" s="1164">
        <f t="shared" si="67"/>
        <v>0.49305555555555552</v>
      </c>
      <c r="U80" s="1167">
        <f t="shared" si="8"/>
        <v>42688</v>
      </c>
      <c r="V80" s="1166">
        <v>20.399999999999999</v>
      </c>
      <c r="W80" s="1164">
        <f t="shared" si="68"/>
        <v>0.61805555555555558</v>
      </c>
      <c r="X80" s="1167">
        <f t="shared" si="10"/>
        <v>42688</v>
      </c>
      <c r="Y80" s="1166">
        <v>24.5</v>
      </c>
      <c r="Z80" s="1164">
        <f t="shared" si="69"/>
        <v>0.65972222222222221</v>
      </c>
      <c r="AA80" s="1164">
        <f t="shared" si="70"/>
        <v>0.68055555555555547</v>
      </c>
      <c r="AB80" s="1167">
        <f t="shared" si="13"/>
        <v>42688</v>
      </c>
      <c r="AC80" s="1166">
        <v>24.5</v>
      </c>
      <c r="AD80" s="1164">
        <f t="shared" si="71"/>
        <v>0.68749999999999989</v>
      </c>
      <c r="AE80" s="1164">
        <f t="shared" si="72"/>
        <v>0.69791666666666652</v>
      </c>
      <c r="AF80" s="1167">
        <f t="shared" si="16"/>
        <v>42688</v>
      </c>
      <c r="AG80" s="1164">
        <f t="shared" si="73"/>
        <v>0.70486111111111094</v>
      </c>
      <c r="AH80" s="1164">
        <f t="shared" si="74"/>
        <v>0.73611111111111094</v>
      </c>
      <c r="AI80" s="1167">
        <f t="shared" si="19"/>
        <v>42688</v>
      </c>
      <c r="AJ80" s="1164">
        <f t="shared" si="75"/>
        <v>0.7569444444444442</v>
      </c>
      <c r="AK80" s="1164">
        <f t="shared" si="76"/>
        <v>0.76388888888888862</v>
      </c>
      <c r="AL80" s="1167">
        <f t="shared" si="22"/>
        <v>42688</v>
      </c>
      <c r="AM80" s="1166">
        <v>1.05</v>
      </c>
      <c r="AN80" s="1166">
        <v>9</v>
      </c>
      <c r="AO80" s="1166">
        <v>22</v>
      </c>
      <c r="AP80" s="1166">
        <v>0</v>
      </c>
      <c r="AQ80" s="1164">
        <f t="shared" si="23"/>
        <v>0.76388888888888862</v>
      </c>
      <c r="AR80" s="1164">
        <f t="shared" si="77"/>
        <v>0.77083333333333304</v>
      </c>
      <c r="AS80" s="1167">
        <f t="shared" si="25"/>
        <v>42688</v>
      </c>
      <c r="AT80" s="1166">
        <v>24.5</v>
      </c>
      <c r="AU80" s="1164">
        <f t="shared" si="26"/>
        <v>0.77083333333333304</v>
      </c>
      <c r="AV80" s="1167">
        <f t="shared" si="27"/>
        <v>42688</v>
      </c>
      <c r="AW80" s="1164">
        <f t="shared" si="29"/>
        <v>0.79861111111111083</v>
      </c>
      <c r="AX80" s="1167">
        <f t="shared" si="28"/>
        <v>42688</v>
      </c>
      <c r="AY80" s="1166">
        <v>7</v>
      </c>
      <c r="AZ80" s="1166">
        <v>20</v>
      </c>
      <c r="BA80" s="1168">
        <f>VLOOKUP(B80,ĐTBT!$V:$W,2,0)</f>
        <v>2</v>
      </c>
      <c r="BB80" s="1168"/>
      <c r="BC80" s="1168"/>
      <c r="BD80" s="1168"/>
      <c r="BE80" s="1168"/>
      <c r="BF80" s="1168"/>
      <c r="BG80" s="1168"/>
      <c r="BH80" s="1168"/>
      <c r="BI80" s="1168">
        <f t="shared" ref="BI80:BI111" si="78">AX80-E80</f>
        <v>0</v>
      </c>
      <c r="BJ80" s="1168">
        <f>VLOOKUP(B80,'Thong tin'!A:R,11,0)</f>
        <v>0</v>
      </c>
      <c r="BK80" s="1209"/>
    </row>
    <row r="81" spans="1:63" s="1210" customFormat="1" ht="15">
      <c r="A81" s="1217">
        <f>IF(C81="","",COUNTA($C$13:C81))</f>
        <v>69</v>
      </c>
      <c r="B81" s="1239" t="s">
        <v>652</v>
      </c>
      <c r="C81" s="1164">
        <v>0.34027777777777773</v>
      </c>
      <c r="D81" s="1164">
        <f t="shared" si="62"/>
        <v>0.36111111111111105</v>
      </c>
      <c r="E81" s="1165">
        <f t="shared" si="61"/>
        <v>42688</v>
      </c>
      <c r="F81" s="1164">
        <f t="shared" si="63"/>
        <v>0.36805555555555547</v>
      </c>
      <c r="G81" s="1164">
        <f t="shared" si="64"/>
        <v>0.37152777777777768</v>
      </c>
      <c r="H81" s="1165">
        <f t="shared" si="3"/>
        <v>42688</v>
      </c>
      <c r="I81" s="1166">
        <v>8.0000000000000002E-3</v>
      </c>
      <c r="J81" s="1166">
        <v>1.7000000000000001E-2</v>
      </c>
      <c r="K81" s="1166">
        <v>-0.69899999999999995</v>
      </c>
      <c r="L81" s="1166">
        <v>-1.1000000000000001</v>
      </c>
      <c r="M81" s="1164">
        <f t="shared" si="65"/>
        <v>0.37499999999999989</v>
      </c>
      <c r="N81" s="1164">
        <f t="shared" si="66"/>
        <v>0.38541666666666657</v>
      </c>
      <c r="O81" s="1165">
        <f t="shared" si="6"/>
        <v>42688</v>
      </c>
      <c r="P81" s="1166">
        <v>1.05</v>
      </c>
      <c r="Q81" s="1166">
        <v>9</v>
      </c>
      <c r="R81" s="1166">
        <v>23</v>
      </c>
      <c r="S81" s="1166">
        <v>0</v>
      </c>
      <c r="T81" s="1164">
        <f t="shared" si="67"/>
        <v>0.51041666666666652</v>
      </c>
      <c r="U81" s="1167">
        <f t="shared" si="8"/>
        <v>42688</v>
      </c>
      <c r="V81" s="1166">
        <v>21.5</v>
      </c>
      <c r="W81" s="1164">
        <f t="shared" si="68"/>
        <v>0.63541666666666652</v>
      </c>
      <c r="X81" s="1167">
        <f t="shared" si="10"/>
        <v>42688</v>
      </c>
      <c r="Y81" s="1166">
        <v>35.1</v>
      </c>
      <c r="Z81" s="1164">
        <f t="shared" si="69"/>
        <v>0.67708333333333315</v>
      </c>
      <c r="AA81" s="1164">
        <f t="shared" si="70"/>
        <v>0.69791666666666641</v>
      </c>
      <c r="AB81" s="1167">
        <f t="shared" si="13"/>
        <v>42688</v>
      </c>
      <c r="AC81" s="1166">
        <v>35.25</v>
      </c>
      <c r="AD81" s="1164">
        <f t="shared" si="71"/>
        <v>0.70486111111111083</v>
      </c>
      <c r="AE81" s="1164">
        <f t="shared" si="72"/>
        <v>0.71527777777777746</v>
      </c>
      <c r="AF81" s="1167">
        <f t="shared" si="16"/>
        <v>42688</v>
      </c>
      <c r="AG81" s="1164">
        <f t="shared" si="73"/>
        <v>0.72222222222222188</v>
      </c>
      <c r="AH81" s="1164">
        <f t="shared" si="74"/>
        <v>0.76388888888888851</v>
      </c>
      <c r="AI81" s="1167">
        <f t="shared" si="19"/>
        <v>42688</v>
      </c>
      <c r="AJ81" s="1164">
        <f t="shared" si="75"/>
        <v>0.78472222222222177</v>
      </c>
      <c r="AK81" s="1164">
        <f t="shared" si="76"/>
        <v>0.79166666666666619</v>
      </c>
      <c r="AL81" s="1167">
        <f t="shared" si="22"/>
        <v>42688</v>
      </c>
      <c r="AM81" s="1166">
        <v>1.06</v>
      </c>
      <c r="AN81" s="1166">
        <v>9</v>
      </c>
      <c r="AO81" s="1166">
        <v>24</v>
      </c>
      <c r="AP81" s="1166">
        <v>0</v>
      </c>
      <c r="AQ81" s="1164">
        <f t="shared" si="23"/>
        <v>0.79166666666666619</v>
      </c>
      <c r="AR81" s="1164">
        <f t="shared" si="77"/>
        <v>0.79861111111111061</v>
      </c>
      <c r="AS81" s="1167">
        <f t="shared" si="25"/>
        <v>42688</v>
      </c>
      <c r="AT81" s="1166">
        <v>35.25</v>
      </c>
      <c r="AU81" s="1164">
        <f t="shared" si="26"/>
        <v>0.79861111111111061</v>
      </c>
      <c r="AV81" s="1167">
        <f t="shared" si="27"/>
        <v>42688</v>
      </c>
      <c r="AW81" s="1164">
        <f t="shared" si="29"/>
        <v>0.89583333333333282</v>
      </c>
      <c r="AX81" s="1167">
        <f t="shared" si="28"/>
        <v>42688</v>
      </c>
      <c r="AY81" s="1166">
        <v>6.8</v>
      </c>
      <c r="AZ81" s="1166">
        <v>56</v>
      </c>
      <c r="BA81" s="1168">
        <f>VLOOKUP(B81,ĐTBT!$V:$W,2,0)</f>
        <v>7</v>
      </c>
      <c r="BB81" s="1168"/>
      <c r="BC81" s="1168"/>
      <c r="BD81" s="1168"/>
      <c r="BE81" s="1168"/>
      <c r="BF81" s="1168"/>
      <c r="BG81" s="1168"/>
      <c r="BH81" s="1168"/>
      <c r="BI81" s="1168">
        <f t="shared" si="78"/>
        <v>0</v>
      </c>
      <c r="BJ81" s="1168">
        <f>VLOOKUP(B81,'Thong tin'!A:R,11,0)</f>
        <v>4</v>
      </c>
      <c r="BK81" s="1209"/>
    </row>
    <row r="82" spans="1:63" s="1210" customFormat="1" ht="15">
      <c r="A82" s="1217">
        <f>IF(C82="","",COUNTA($C$13:C82))</f>
        <v>70</v>
      </c>
      <c r="B82" s="1239" t="s">
        <v>658</v>
      </c>
      <c r="C82" s="1164">
        <v>0.33333333333333331</v>
      </c>
      <c r="D82" s="1164">
        <f t="shared" si="62"/>
        <v>0.35416666666666663</v>
      </c>
      <c r="E82" s="1165">
        <f t="shared" si="61"/>
        <v>42688</v>
      </c>
      <c r="F82" s="1164">
        <f t="shared" si="63"/>
        <v>0.36111111111111105</v>
      </c>
      <c r="G82" s="1164">
        <f t="shared" si="64"/>
        <v>0.36458333333333326</v>
      </c>
      <c r="H82" s="1165">
        <f t="shared" si="3"/>
        <v>42688</v>
      </c>
      <c r="I82" s="1166">
        <v>2.3E-2</v>
      </c>
      <c r="J82" s="1166">
        <v>1.7999999999999999E-2</v>
      </c>
      <c r="K82" s="1166">
        <v>-0.87</v>
      </c>
      <c r="L82" s="1166">
        <v>-1.1950000000000001</v>
      </c>
      <c r="M82" s="1164">
        <f t="shared" si="65"/>
        <v>0.36805555555555547</v>
      </c>
      <c r="N82" s="1164">
        <f t="shared" si="66"/>
        <v>0.37847222222222215</v>
      </c>
      <c r="O82" s="1165">
        <f t="shared" si="6"/>
        <v>42688</v>
      </c>
      <c r="P82" s="1166">
        <v>1.05</v>
      </c>
      <c r="Q82" s="1166">
        <v>9</v>
      </c>
      <c r="R82" s="1166">
        <v>23</v>
      </c>
      <c r="S82" s="1166">
        <v>0</v>
      </c>
      <c r="T82" s="1164">
        <f t="shared" si="67"/>
        <v>0.5034722222222221</v>
      </c>
      <c r="U82" s="1167">
        <f t="shared" si="8"/>
        <v>42688</v>
      </c>
      <c r="V82" s="1166">
        <v>19.55</v>
      </c>
      <c r="W82" s="1164">
        <f t="shared" si="68"/>
        <v>0.6284722222222221</v>
      </c>
      <c r="X82" s="1167">
        <f t="shared" si="10"/>
        <v>42688</v>
      </c>
      <c r="Y82" s="1166">
        <v>23.6</v>
      </c>
      <c r="Z82" s="1164">
        <f t="shared" si="69"/>
        <v>0.67013888888888873</v>
      </c>
      <c r="AA82" s="1164">
        <f t="shared" si="70"/>
        <v>0.69097222222222199</v>
      </c>
      <c r="AB82" s="1167">
        <f t="shared" si="13"/>
        <v>42688</v>
      </c>
      <c r="AC82" s="1166">
        <v>23.62</v>
      </c>
      <c r="AD82" s="1164">
        <f t="shared" si="71"/>
        <v>0.69791666666666641</v>
      </c>
      <c r="AE82" s="1164">
        <f t="shared" si="72"/>
        <v>0.70833333333333304</v>
      </c>
      <c r="AF82" s="1167">
        <f t="shared" si="16"/>
        <v>42688</v>
      </c>
      <c r="AG82" s="1164">
        <f t="shared" si="73"/>
        <v>0.71527777777777746</v>
      </c>
      <c r="AH82" s="1164">
        <f t="shared" si="74"/>
        <v>0.75694444444444409</v>
      </c>
      <c r="AI82" s="1167">
        <f t="shared" si="19"/>
        <v>42688</v>
      </c>
      <c r="AJ82" s="1164">
        <f t="shared" si="75"/>
        <v>0.77777777777777735</v>
      </c>
      <c r="AK82" s="1164">
        <f t="shared" si="76"/>
        <v>0.78472222222222177</v>
      </c>
      <c r="AL82" s="1167">
        <f t="shared" si="22"/>
        <v>42688</v>
      </c>
      <c r="AM82" s="1166">
        <v>1.05</v>
      </c>
      <c r="AN82" s="1166">
        <v>9</v>
      </c>
      <c r="AO82" s="1166">
        <v>23</v>
      </c>
      <c r="AP82" s="1166">
        <v>0</v>
      </c>
      <c r="AQ82" s="1164">
        <f t="shared" ref="AQ82:AQ187" si="79">AK82</f>
        <v>0.78472222222222177</v>
      </c>
      <c r="AR82" s="1164">
        <f t="shared" si="77"/>
        <v>0.79166666666666619</v>
      </c>
      <c r="AS82" s="1167">
        <f t="shared" si="25"/>
        <v>42688</v>
      </c>
      <c r="AT82" s="1166">
        <v>23.62</v>
      </c>
      <c r="AU82" s="1164">
        <f t="shared" ref="AU82:AU187" si="80">AR82</f>
        <v>0.79166666666666619</v>
      </c>
      <c r="AV82" s="1167">
        <f t="shared" si="27"/>
        <v>42688</v>
      </c>
      <c r="AW82" s="1164">
        <f t="shared" si="29"/>
        <v>0.81944444444444398</v>
      </c>
      <c r="AX82" s="1167">
        <f t="shared" si="28"/>
        <v>42688</v>
      </c>
      <c r="AY82" s="1166">
        <v>6.2</v>
      </c>
      <c r="AZ82" s="1166">
        <v>20</v>
      </c>
      <c r="BA82" s="1168">
        <f>VLOOKUP(B82,ĐTBT!$V:$W,2,0)</f>
        <v>2</v>
      </c>
      <c r="BB82" s="1168"/>
      <c r="BC82" s="1168"/>
      <c r="BD82" s="1168"/>
      <c r="BE82" s="1168"/>
      <c r="BF82" s="1168"/>
      <c r="BG82" s="1168"/>
      <c r="BH82" s="1168"/>
      <c r="BI82" s="1168">
        <f t="shared" si="78"/>
        <v>0</v>
      </c>
      <c r="BJ82" s="1168">
        <f>VLOOKUP(B82,'Thong tin'!A:R,11,0)</f>
        <v>3</v>
      </c>
      <c r="BK82" s="1209"/>
    </row>
    <row r="83" spans="1:63" s="1210" customFormat="1" ht="15">
      <c r="A83" s="1217">
        <f>IF(C83="","",COUNTA($C$13:C83))</f>
        <v>71</v>
      </c>
      <c r="B83" s="1239" t="s">
        <v>551</v>
      </c>
      <c r="C83" s="1164">
        <v>0.41666666666666669</v>
      </c>
      <c r="D83" s="1164">
        <f t="shared" si="62"/>
        <v>0.4375</v>
      </c>
      <c r="E83" s="1165">
        <f t="shared" si="61"/>
        <v>42689</v>
      </c>
      <c r="F83" s="1164">
        <f t="shared" si="63"/>
        <v>0.44444444444444442</v>
      </c>
      <c r="G83" s="1164">
        <f t="shared" si="64"/>
        <v>0.44791666666666663</v>
      </c>
      <c r="H83" s="1165">
        <f t="shared" ref="H83:H187" si="81">IF(G83&gt;2,E83+2,IF(G83&gt;1,E83+1,E83))</f>
        <v>42689</v>
      </c>
      <c r="I83" s="1166">
        <v>2.5999999999999999E-2</v>
      </c>
      <c r="J83" s="1166">
        <v>1.2E-2</v>
      </c>
      <c r="K83" s="1166">
        <v>-0.66500000000000004</v>
      </c>
      <c r="L83" s="1166">
        <v>-1.1519999999999999</v>
      </c>
      <c r="M83" s="1164">
        <f t="shared" si="65"/>
        <v>0.45138888888888884</v>
      </c>
      <c r="N83" s="1164">
        <f t="shared" si="66"/>
        <v>0.46180555555555552</v>
      </c>
      <c r="O83" s="1165">
        <f t="shared" ref="O83:O187" si="82">IF(N83&gt;2,E83+2,IF(N83&gt;1,E83+1,E83))</f>
        <v>42689</v>
      </c>
      <c r="P83" s="1166">
        <v>1.05</v>
      </c>
      <c r="Q83" s="1166">
        <v>9</v>
      </c>
      <c r="R83" s="1166">
        <v>23</v>
      </c>
      <c r="S83" s="1166">
        <v>0</v>
      </c>
      <c r="T83" s="1164">
        <f t="shared" si="67"/>
        <v>0.58680555555555558</v>
      </c>
      <c r="U83" s="1167">
        <f t="shared" ref="U83:U187" si="83">IF(T83&gt;2,E83+2,IF(T83&gt;1,E83+1,E83))</f>
        <v>42689</v>
      </c>
      <c r="V83" s="1166">
        <v>22.3</v>
      </c>
      <c r="W83" s="1164">
        <f t="shared" si="68"/>
        <v>0.71180555555555558</v>
      </c>
      <c r="X83" s="1167">
        <f t="shared" ref="X83:X187" si="84">IF(W83&gt;2,E83+2,IF(W83&gt;1,E83+1,E83))</f>
        <v>42689</v>
      </c>
      <c r="Y83" s="1166">
        <v>31.7</v>
      </c>
      <c r="Z83" s="1164">
        <f t="shared" si="69"/>
        <v>0.75347222222222221</v>
      </c>
      <c r="AA83" s="1164">
        <f t="shared" si="70"/>
        <v>0.77430555555555547</v>
      </c>
      <c r="AB83" s="1167">
        <f t="shared" ref="AB83:AB187" si="85">IF(AA83&gt;2,E83+2,IF(AA83&gt;1,E83+1,E83))</f>
        <v>42689</v>
      </c>
      <c r="AC83" s="1166">
        <v>31.8</v>
      </c>
      <c r="AD83" s="1164">
        <f t="shared" si="71"/>
        <v>0.78124999999999989</v>
      </c>
      <c r="AE83" s="1164">
        <f t="shared" si="72"/>
        <v>0.79166666666666652</v>
      </c>
      <c r="AF83" s="1167">
        <f t="shared" ref="AF83:AF187" si="86">IF(AE83&gt;2,E83+2,IF(AE83&gt;1,E83+1,E83))</f>
        <v>42689</v>
      </c>
      <c r="AG83" s="1164">
        <f t="shared" si="73"/>
        <v>0.79861111111111094</v>
      </c>
      <c r="AH83" s="1164">
        <f t="shared" si="74"/>
        <v>0.84027777777777757</v>
      </c>
      <c r="AI83" s="1167">
        <f t="shared" ref="AI83:AI187" si="87">IF(AH83&gt;2,E83+2,IF(AH83&gt;1,E83+1,E83))</f>
        <v>42689</v>
      </c>
      <c r="AJ83" s="1164">
        <f t="shared" si="75"/>
        <v>0.86111111111111083</v>
      </c>
      <c r="AK83" s="1164">
        <f t="shared" si="76"/>
        <v>0.86805555555555525</v>
      </c>
      <c r="AL83" s="1167">
        <f t="shared" ref="AL83:AL187" si="88">IF(AK83&gt;2,E83+2,IF(AK83&gt;1,E83+1,E83))</f>
        <v>42689</v>
      </c>
      <c r="AM83" s="1166">
        <v>1.05</v>
      </c>
      <c r="AN83" s="1166">
        <v>9</v>
      </c>
      <c r="AO83" s="1166">
        <v>23</v>
      </c>
      <c r="AP83" s="1166">
        <v>0</v>
      </c>
      <c r="AQ83" s="1164">
        <f t="shared" si="79"/>
        <v>0.86805555555555525</v>
      </c>
      <c r="AR83" s="1164">
        <f t="shared" si="77"/>
        <v>0.87499999999999967</v>
      </c>
      <c r="AS83" s="1167">
        <f t="shared" ref="AS83:AS187" si="89">IF(AR83&gt;2,E83+2,IF(AR83&gt;1,E83+1,E83))</f>
        <v>42689</v>
      </c>
      <c r="AT83" s="1166">
        <v>31.8</v>
      </c>
      <c r="AU83" s="1164">
        <f t="shared" si="80"/>
        <v>0.87499999999999967</v>
      </c>
      <c r="AV83" s="1167">
        <f t="shared" ref="AV83:AV187" si="90">IF(AU83&gt;2,E83+2,IF(AU83&gt;1,E83+1,E83))</f>
        <v>42689</v>
      </c>
      <c r="AW83" s="1164">
        <f t="shared" si="29"/>
        <v>0.93055555555555525</v>
      </c>
      <c r="AX83" s="1167">
        <f t="shared" ref="AX83:AX187" si="91">IF(AW83&gt;2,E83+2,IF(AW83&gt;1,E83+1,E83))</f>
        <v>42689</v>
      </c>
      <c r="AY83" s="1166">
        <v>5.5</v>
      </c>
      <c r="AZ83" s="1166">
        <v>31</v>
      </c>
      <c r="BA83" s="1168">
        <f>VLOOKUP(B83,ĐTBT!$V:$W,2,0)</f>
        <v>4</v>
      </c>
      <c r="BB83" s="1168"/>
      <c r="BC83" s="1168"/>
      <c r="BD83" s="1168"/>
      <c r="BE83" s="1168"/>
      <c r="BF83" s="1168"/>
      <c r="BG83" s="1168"/>
      <c r="BH83" s="1168"/>
      <c r="BI83" s="1168">
        <f t="shared" si="78"/>
        <v>0</v>
      </c>
      <c r="BJ83" s="1168">
        <f>VLOOKUP(B83,'Thong tin'!A:R,11,0)</f>
        <v>4</v>
      </c>
      <c r="BK83" s="1209"/>
    </row>
    <row r="84" spans="1:63" s="1210" customFormat="1" ht="15">
      <c r="A84" s="1217">
        <f>IF(C84="","",COUNTA($C$13:C84))</f>
        <v>72</v>
      </c>
      <c r="B84" s="1239" t="s">
        <v>666</v>
      </c>
      <c r="C84" s="1164">
        <v>0.29166666666666669</v>
      </c>
      <c r="D84" s="1164">
        <f t="shared" si="62"/>
        <v>0.3125</v>
      </c>
      <c r="E84" s="1165">
        <f t="shared" si="61"/>
        <v>42689</v>
      </c>
      <c r="F84" s="1164">
        <f t="shared" si="63"/>
        <v>0.31944444444444442</v>
      </c>
      <c r="G84" s="1164">
        <f t="shared" si="64"/>
        <v>0.32291666666666663</v>
      </c>
      <c r="H84" s="1165">
        <f t="shared" si="81"/>
        <v>42689</v>
      </c>
      <c r="I84" s="1166">
        <v>2.1999999999999999E-2</v>
      </c>
      <c r="J84" s="1166">
        <v>0.02</v>
      </c>
      <c r="K84" s="1166">
        <v>-0.68500000000000005</v>
      </c>
      <c r="L84" s="1166">
        <v>-0.998</v>
      </c>
      <c r="M84" s="1164">
        <f t="shared" si="65"/>
        <v>0.32638888888888884</v>
      </c>
      <c r="N84" s="1164">
        <f t="shared" si="66"/>
        <v>0.33680555555555552</v>
      </c>
      <c r="O84" s="1165">
        <f t="shared" si="82"/>
        <v>42689</v>
      </c>
      <c r="P84" s="1166">
        <v>1.05</v>
      </c>
      <c r="Q84" s="1166">
        <v>9</v>
      </c>
      <c r="R84" s="1166">
        <v>23</v>
      </c>
      <c r="S84" s="1166">
        <v>0</v>
      </c>
      <c r="T84" s="1164">
        <f t="shared" si="67"/>
        <v>0.46180555555555552</v>
      </c>
      <c r="U84" s="1167">
        <f t="shared" si="83"/>
        <v>42689</v>
      </c>
      <c r="V84" s="1166">
        <v>21.9</v>
      </c>
      <c r="W84" s="1164">
        <f t="shared" si="68"/>
        <v>0.58680555555555558</v>
      </c>
      <c r="X84" s="1167">
        <f t="shared" si="84"/>
        <v>42689</v>
      </c>
      <c r="Y84" s="1166">
        <v>25.3</v>
      </c>
      <c r="Z84" s="1164">
        <f t="shared" si="69"/>
        <v>0.62847222222222221</v>
      </c>
      <c r="AA84" s="1164">
        <f t="shared" si="70"/>
        <v>0.64930555555555547</v>
      </c>
      <c r="AB84" s="1167">
        <f t="shared" si="85"/>
        <v>42689</v>
      </c>
      <c r="AC84" s="1166">
        <v>25.3</v>
      </c>
      <c r="AD84" s="1164">
        <f t="shared" si="71"/>
        <v>0.65624999999999989</v>
      </c>
      <c r="AE84" s="1164">
        <f t="shared" si="72"/>
        <v>0.66666666666666652</v>
      </c>
      <c r="AF84" s="1167">
        <f t="shared" si="86"/>
        <v>42689</v>
      </c>
      <c r="AG84" s="1164">
        <f t="shared" si="73"/>
        <v>0.67361111111111094</v>
      </c>
      <c r="AH84" s="1164">
        <f t="shared" si="74"/>
        <v>0.70486111111111094</v>
      </c>
      <c r="AI84" s="1167">
        <f t="shared" si="87"/>
        <v>42689</v>
      </c>
      <c r="AJ84" s="1164">
        <f t="shared" si="75"/>
        <v>0.7256944444444442</v>
      </c>
      <c r="AK84" s="1164">
        <f t="shared" si="76"/>
        <v>0.73263888888888862</v>
      </c>
      <c r="AL84" s="1167">
        <f t="shared" si="88"/>
        <v>42689</v>
      </c>
      <c r="AM84" s="1166">
        <v>1.05</v>
      </c>
      <c r="AN84" s="1166">
        <v>9</v>
      </c>
      <c r="AO84" s="1166">
        <v>23</v>
      </c>
      <c r="AP84" s="1166">
        <v>0</v>
      </c>
      <c r="AQ84" s="1164">
        <f t="shared" si="79"/>
        <v>0.73263888888888862</v>
      </c>
      <c r="AR84" s="1164">
        <f t="shared" si="77"/>
        <v>0.73958333333333304</v>
      </c>
      <c r="AS84" s="1167">
        <f t="shared" si="89"/>
        <v>42689</v>
      </c>
      <c r="AT84" s="1166">
        <v>25.3</v>
      </c>
      <c r="AU84" s="1164">
        <f t="shared" si="80"/>
        <v>0.73958333333333304</v>
      </c>
      <c r="AV84" s="1167">
        <f t="shared" si="90"/>
        <v>42689</v>
      </c>
      <c r="AW84" s="1164">
        <f t="shared" ref="AW84:AW187" si="92">AU84+$BC$13*BA84</f>
        <v>0.78124999999999967</v>
      </c>
      <c r="AX84" s="1167">
        <f t="shared" si="91"/>
        <v>42689</v>
      </c>
      <c r="AY84" s="1166">
        <v>6.5</v>
      </c>
      <c r="AZ84" s="1166">
        <v>28</v>
      </c>
      <c r="BA84" s="1168">
        <f>VLOOKUP(B84,ĐTBT!$V:$W,2,0)</f>
        <v>3</v>
      </c>
      <c r="BB84" s="1168"/>
      <c r="BC84" s="1168"/>
      <c r="BD84" s="1168"/>
      <c r="BE84" s="1168"/>
      <c r="BF84" s="1168"/>
      <c r="BG84" s="1168"/>
      <c r="BH84" s="1168"/>
      <c r="BI84" s="1168">
        <f t="shared" si="78"/>
        <v>0</v>
      </c>
      <c r="BJ84" s="1168">
        <f>VLOOKUP(B84,'Thong tin'!A:R,11,0)</f>
        <v>0</v>
      </c>
      <c r="BK84" s="1209"/>
    </row>
    <row r="85" spans="1:63" s="1210" customFormat="1" ht="15">
      <c r="A85" s="1217">
        <f>IF(C85="","",COUNTA($C$13:C85))</f>
        <v>73</v>
      </c>
      <c r="B85" s="1239" t="s">
        <v>642</v>
      </c>
      <c r="C85" s="1164">
        <v>0.375</v>
      </c>
      <c r="D85" s="1164">
        <f t="shared" si="62"/>
        <v>0.39583333333333331</v>
      </c>
      <c r="E85" s="1165">
        <f t="shared" si="61"/>
        <v>42690</v>
      </c>
      <c r="F85" s="1164">
        <f t="shared" si="63"/>
        <v>0.40277777777777773</v>
      </c>
      <c r="G85" s="1164">
        <f t="shared" si="64"/>
        <v>0.40624999999999994</v>
      </c>
      <c r="H85" s="1165">
        <f t="shared" si="81"/>
        <v>42690</v>
      </c>
      <c r="I85" s="1166">
        <v>1.2999999999999999E-2</v>
      </c>
      <c r="J85" s="1166">
        <v>8.0000000000000002E-3</v>
      </c>
      <c r="K85" s="1166">
        <v>-0.72499999999999998</v>
      </c>
      <c r="L85" s="1166">
        <v>-1.004</v>
      </c>
      <c r="M85" s="1164">
        <f t="shared" si="65"/>
        <v>0.40972222222222215</v>
      </c>
      <c r="N85" s="1164">
        <f t="shared" si="66"/>
        <v>0.42013888888888884</v>
      </c>
      <c r="O85" s="1165">
        <f t="shared" si="82"/>
        <v>42690</v>
      </c>
      <c r="P85" s="1166">
        <v>1.05</v>
      </c>
      <c r="Q85" s="1166">
        <v>9</v>
      </c>
      <c r="R85" s="1166">
        <v>23</v>
      </c>
      <c r="S85" s="1166">
        <v>0</v>
      </c>
      <c r="T85" s="1164">
        <f t="shared" si="67"/>
        <v>0.54513888888888884</v>
      </c>
      <c r="U85" s="1167">
        <f t="shared" si="83"/>
        <v>42690</v>
      </c>
      <c r="V85" s="1166">
        <v>22.5</v>
      </c>
      <c r="W85" s="1164">
        <f t="shared" si="68"/>
        <v>0.67013888888888884</v>
      </c>
      <c r="X85" s="1167">
        <f t="shared" si="84"/>
        <v>42690</v>
      </c>
      <c r="Y85" s="1166">
        <v>32.299999999999997</v>
      </c>
      <c r="Z85" s="1164">
        <f t="shared" si="69"/>
        <v>0.71180555555555547</v>
      </c>
      <c r="AA85" s="1164">
        <f t="shared" si="70"/>
        <v>0.73263888888888873</v>
      </c>
      <c r="AB85" s="1167">
        <f t="shared" si="85"/>
        <v>42690</v>
      </c>
      <c r="AC85" s="1166">
        <v>32.299999999999997</v>
      </c>
      <c r="AD85" s="1164">
        <f t="shared" si="71"/>
        <v>0.73958333333333315</v>
      </c>
      <c r="AE85" s="1164">
        <f t="shared" si="72"/>
        <v>0.74999999999999978</v>
      </c>
      <c r="AF85" s="1167">
        <f t="shared" si="86"/>
        <v>42690</v>
      </c>
      <c r="AG85" s="1164">
        <f t="shared" si="73"/>
        <v>0.7569444444444442</v>
      </c>
      <c r="AH85" s="1164">
        <f t="shared" si="74"/>
        <v>0.79861111111111083</v>
      </c>
      <c r="AI85" s="1167">
        <f t="shared" si="87"/>
        <v>42690</v>
      </c>
      <c r="AJ85" s="1164">
        <f t="shared" si="75"/>
        <v>0.81944444444444409</v>
      </c>
      <c r="AK85" s="1164">
        <f t="shared" si="76"/>
        <v>0.82638888888888851</v>
      </c>
      <c r="AL85" s="1167">
        <f t="shared" si="88"/>
        <v>42690</v>
      </c>
      <c r="AM85" s="1166">
        <v>1.05</v>
      </c>
      <c r="AN85" s="1166">
        <v>9</v>
      </c>
      <c r="AO85" s="1166">
        <v>23</v>
      </c>
      <c r="AP85" s="1166">
        <v>0</v>
      </c>
      <c r="AQ85" s="1164">
        <f t="shared" si="79"/>
        <v>0.82638888888888851</v>
      </c>
      <c r="AR85" s="1164">
        <f t="shared" si="77"/>
        <v>0.83333333333333293</v>
      </c>
      <c r="AS85" s="1167">
        <f t="shared" si="89"/>
        <v>42690</v>
      </c>
      <c r="AT85" s="1166">
        <v>32.299999999999997</v>
      </c>
      <c r="AU85" s="1164">
        <f t="shared" si="80"/>
        <v>0.83333333333333293</v>
      </c>
      <c r="AV85" s="1167">
        <f t="shared" si="90"/>
        <v>42690</v>
      </c>
      <c r="AW85" s="1164">
        <f t="shared" si="92"/>
        <v>0.88888888888888851</v>
      </c>
      <c r="AX85" s="1167">
        <f t="shared" si="91"/>
        <v>42690</v>
      </c>
      <c r="AY85" s="1166">
        <v>6.7</v>
      </c>
      <c r="AZ85" s="1166">
        <v>38</v>
      </c>
      <c r="BA85" s="1168">
        <f>VLOOKUP(B85,ĐTBT!$V:$W,2,0)</f>
        <v>4</v>
      </c>
      <c r="BB85" s="1168"/>
      <c r="BC85" s="1168"/>
      <c r="BD85" s="1168"/>
      <c r="BE85" s="1168"/>
      <c r="BF85" s="1168"/>
      <c r="BG85" s="1168"/>
      <c r="BH85" s="1168"/>
      <c r="BI85" s="1168">
        <f t="shared" si="78"/>
        <v>0</v>
      </c>
      <c r="BJ85" s="1168">
        <f>VLOOKUP(B85,'Thong tin'!A:R,11,0)</f>
        <v>4</v>
      </c>
      <c r="BK85" s="1209"/>
    </row>
    <row r="86" spans="1:63" s="1210" customFormat="1" ht="15">
      <c r="A86" s="1217">
        <f>IF(C86="","",COUNTA($C$13:C86))</f>
        <v>74</v>
      </c>
      <c r="B86" s="1239" t="s">
        <v>649</v>
      </c>
      <c r="C86" s="1164">
        <v>0.3125</v>
      </c>
      <c r="D86" s="1164">
        <f t="shared" si="62"/>
        <v>0.33333333333333331</v>
      </c>
      <c r="E86" s="1165">
        <f t="shared" si="61"/>
        <v>42690</v>
      </c>
      <c r="F86" s="1164">
        <f t="shared" si="63"/>
        <v>0.34027777777777773</v>
      </c>
      <c r="G86" s="1164">
        <f t="shared" si="64"/>
        <v>0.34374999999999994</v>
      </c>
      <c r="H86" s="1165">
        <f t="shared" si="81"/>
        <v>42690</v>
      </c>
      <c r="I86" s="1166">
        <v>-8.0000000000000002E-3</v>
      </c>
      <c r="J86" s="1166">
        <v>1.4999999999999999E-2</v>
      </c>
      <c r="K86" s="1166">
        <v>-0.70899999999999996</v>
      </c>
      <c r="L86" s="1166">
        <v>-1.081</v>
      </c>
      <c r="M86" s="1164">
        <f t="shared" si="65"/>
        <v>0.34722222222222215</v>
      </c>
      <c r="N86" s="1164">
        <f t="shared" si="66"/>
        <v>0.35763888888888884</v>
      </c>
      <c r="O86" s="1165">
        <f t="shared" si="82"/>
        <v>42690</v>
      </c>
      <c r="P86" s="1166">
        <v>1.05</v>
      </c>
      <c r="Q86" s="1166">
        <v>9</v>
      </c>
      <c r="R86" s="1166">
        <v>23</v>
      </c>
      <c r="S86" s="1166">
        <v>0</v>
      </c>
      <c r="T86" s="1164">
        <f t="shared" si="67"/>
        <v>0.48263888888888884</v>
      </c>
      <c r="U86" s="1167">
        <f t="shared" si="83"/>
        <v>42690</v>
      </c>
      <c r="V86" s="1166">
        <v>20.7</v>
      </c>
      <c r="W86" s="1164">
        <f t="shared" si="68"/>
        <v>0.60763888888888884</v>
      </c>
      <c r="X86" s="1167">
        <f t="shared" si="84"/>
        <v>42690</v>
      </c>
      <c r="Y86" s="1166">
        <v>23.9</v>
      </c>
      <c r="Z86" s="1164">
        <f t="shared" si="69"/>
        <v>0.64930555555555547</v>
      </c>
      <c r="AA86" s="1164">
        <f t="shared" si="70"/>
        <v>0.67013888888888873</v>
      </c>
      <c r="AB86" s="1167">
        <f t="shared" si="85"/>
        <v>42690</v>
      </c>
      <c r="AC86" s="1166">
        <v>23.9</v>
      </c>
      <c r="AD86" s="1164">
        <f t="shared" si="71"/>
        <v>0.67708333333333315</v>
      </c>
      <c r="AE86" s="1164">
        <f t="shared" si="72"/>
        <v>0.68749999999999978</v>
      </c>
      <c r="AF86" s="1167">
        <f t="shared" si="86"/>
        <v>42690</v>
      </c>
      <c r="AG86" s="1164">
        <f t="shared" si="73"/>
        <v>0.6944444444444442</v>
      </c>
      <c r="AH86" s="1164">
        <f t="shared" si="74"/>
        <v>0.7256944444444442</v>
      </c>
      <c r="AI86" s="1167">
        <f t="shared" si="87"/>
        <v>42690</v>
      </c>
      <c r="AJ86" s="1164">
        <f t="shared" si="75"/>
        <v>0.74652777777777746</v>
      </c>
      <c r="AK86" s="1164">
        <f t="shared" si="76"/>
        <v>0.75347222222222188</v>
      </c>
      <c r="AL86" s="1167">
        <f t="shared" si="88"/>
        <v>42690</v>
      </c>
      <c r="AM86" s="1166">
        <v>1.05</v>
      </c>
      <c r="AN86" s="1166">
        <v>9</v>
      </c>
      <c r="AO86" s="1166">
        <v>23</v>
      </c>
      <c r="AP86" s="1166">
        <v>0</v>
      </c>
      <c r="AQ86" s="1164">
        <f t="shared" si="79"/>
        <v>0.75347222222222188</v>
      </c>
      <c r="AR86" s="1164">
        <f t="shared" si="77"/>
        <v>0.7604166666666663</v>
      </c>
      <c r="AS86" s="1167">
        <f t="shared" si="89"/>
        <v>42690</v>
      </c>
      <c r="AT86" s="1166">
        <v>23.9</v>
      </c>
      <c r="AU86" s="1164">
        <f t="shared" si="80"/>
        <v>0.7604166666666663</v>
      </c>
      <c r="AV86" s="1167">
        <f t="shared" si="90"/>
        <v>42690</v>
      </c>
      <c r="AW86" s="1164">
        <f t="shared" si="92"/>
        <v>0.80208333333333293</v>
      </c>
      <c r="AX86" s="1167">
        <f t="shared" si="91"/>
        <v>42690</v>
      </c>
      <c r="AY86" s="1166">
        <v>6.6</v>
      </c>
      <c r="AZ86" s="1166">
        <v>24</v>
      </c>
      <c r="BA86" s="1168">
        <f>VLOOKUP(B86,ĐTBT!$V:$W,2,0)</f>
        <v>3</v>
      </c>
      <c r="BB86" s="1168"/>
      <c r="BC86" s="1168"/>
      <c r="BD86" s="1168"/>
      <c r="BE86" s="1168"/>
      <c r="BF86" s="1168"/>
      <c r="BG86" s="1168"/>
      <c r="BH86" s="1168"/>
      <c r="BI86" s="1168">
        <f t="shared" si="78"/>
        <v>0</v>
      </c>
      <c r="BJ86" s="1168">
        <f>VLOOKUP(B86,'Thong tin'!A:R,11,0)</f>
        <v>0</v>
      </c>
      <c r="BK86" s="1209"/>
    </row>
    <row r="87" spans="1:63" s="1210" customFormat="1" ht="15">
      <c r="A87" s="1217">
        <f>IF(C87="","",COUNTA($C$13:C87))</f>
        <v>75</v>
      </c>
      <c r="B87" s="1239" t="s">
        <v>656</v>
      </c>
      <c r="C87" s="1164">
        <v>0.35416666666666669</v>
      </c>
      <c r="D87" s="1164">
        <f t="shared" si="62"/>
        <v>0.375</v>
      </c>
      <c r="E87" s="1165">
        <f t="shared" si="61"/>
        <v>42690</v>
      </c>
      <c r="F87" s="1164">
        <f t="shared" si="63"/>
        <v>0.38194444444444442</v>
      </c>
      <c r="G87" s="1164">
        <f t="shared" si="64"/>
        <v>0.38541666666666663</v>
      </c>
      <c r="H87" s="1165">
        <f t="shared" si="81"/>
        <v>42690</v>
      </c>
      <c r="I87" s="1166">
        <v>2E-3</v>
      </c>
      <c r="J87" s="1166">
        <v>1.7999999999999999E-2</v>
      </c>
      <c r="K87" s="1166">
        <v>-0.65500000000000003</v>
      </c>
      <c r="L87" s="1166">
        <v>-0.83</v>
      </c>
      <c r="M87" s="1164">
        <f t="shared" si="65"/>
        <v>0.38888888888888884</v>
      </c>
      <c r="N87" s="1164">
        <f t="shared" si="66"/>
        <v>0.39930555555555552</v>
      </c>
      <c r="O87" s="1165">
        <f t="shared" si="82"/>
        <v>42690</v>
      </c>
      <c r="P87" s="1166">
        <v>1.06</v>
      </c>
      <c r="Q87" s="1166">
        <v>9</v>
      </c>
      <c r="R87" s="1166">
        <v>23</v>
      </c>
      <c r="S87" s="1166">
        <v>0</v>
      </c>
      <c r="T87" s="1164">
        <f t="shared" si="67"/>
        <v>0.52430555555555558</v>
      </c>
      <c r="U87" s="1167">
        <f t="shared" si="83"/>
        <v>42690</v>
      </c>
      <c r="V87" s="1166">
        <v>21.2</v>
      </c>
      <c r="W87" s="1164">
        <f t="shared" si="68"/>
        <v>0.64930555555555558</v>
      </c>
      <c r="X87" s="1167">
        <f t="shared" si="84"/>
        <v>42690</v>
      </c>
      <c r="Y87" s="1166">
        <v>23.85</v>
      </c>
      <c r="Z87" s="1164">
        <f t="shared" si="69"/>
        <v>0.69097222222222221</v>
      </c>
      <c r="AA87" s="1164">
        <f t="shared" si="70"/>
        <v>0.71180555555555547</v>
      </c>
      <c r="AB87" s="1167">
        <f t="shared" si="85"/>
        <v>42690</v>
      </c>
      <c r="AC87" s="1166">
        <v>23.9</v>
      </c>
      <c r="AD87" s="1164">
        <f t="shared" si="71"/>
        <v>0.71874999999999989</v>
      </c>
      <c r="AE87" s="1164">
        <f t="shared" si="72"/>
        <v>0.72916666666666652</v>
      </c>
      <c r="AF87" s="1167">
        <f t="shared" si="86"/>
        <v>42690</v>
      </c>
      <c r="AG87" s="1164">
        <f t="shared" si="73"/>
        <v>0.73611111111111094</v>
      </c>
      <c r="AH87" s="1164">
        <f t="shared" si="74"/>
        <v>0.76736111111111094</v>
      </c>
      <c r="AI87" s="1167">
        <f t="shared" si="87"/>
        <v>42690</v>
      </c>
      <c r="AJ87" s="1164">
        <f t="shared" si="75"/>
        <v>0.7881944444444442</v>
      </c>
      <c r="AK87" s="1164">
        <f t="shared" si="76"/>
        <v>0.79513888888888862</v>
      </c>
      <c r="AL87" s="1167">
        <f t="shared" si="88"/>
        <v>42690</v>
      </c>
      <c r="AM87" s="1166">
        <v>1.05</v>
      </c>
      <c r="AN87" s="1166">
        <v>9</v>
      </c>
      <c r="AO87" s="1166">
        <v>23</v>
      </c>
      <c r="AP87" s="1166">
        <v>0</v>
      </c>
      <c r="AQ87" s="1164">
        <f t="shared" si="79"/>
        <v>0.79513888888888862</v>
      </c>
      <c r="AR87" s="1164">
        <f t="shared" si="77"/>
        <v>0.80208333333333304</v>
      </c>
      <c r="AS87" s="1167">
        <f t="shared" si="89"/>
        <v>42690</v>
      </c>
      <c r="AT87" s="1166">
        <v>23.9</v>
      </c>
      <c r="AU87" s="1164">
        <f t="shared" si="80"/>
        <v>0.80208333333333304</v>
      </c>
      <c r="AV87" s="1167">
        <f t="shared" si="90"/>
        <v>42690</v>
      </c>
      <c r="AW87" s="1164">
        <f t="shared" si="92"/>
        <v>0.82986111111111083</v>
      </c>
      <c r="AX87" s="1167">
        <f t="shared" si="91"/>
        <v>42690</v>
      </c>
      <c r="AY87" s="1166">
        <v>7</v>
      </c>
      <c r="AZ87" s="1166">
        <v>20</v>
      </c>
      <c r="BA87" s="1168">
        <f>VLOOKUP(B87,ĐTBT!$V:$W,2,0)</f>
        <v>2</v>
      </c>
      <c r="BB87" s="1168"/>
      <c r="BC87" s="1168"/>
      <c r="BD87" s="1168"/>
      <c r="BE87" s="1168"/>
      <c r="BF87" s="1168"/>
      <c r="BG87" s="1168"/>
      <c r="BH87" s="1168"/>
      <c r="BI87" s="1168">
        <f t="shared" si="78"/>
        <v>0</v>
      </c>
      <c r="BJ87" s="1168">
        <f>VLOOKUP(B87,'Thong tin'!A:R,11,0)</f>
        <v>0</v>
      </c>
      <c r="BK87" s="1209"/>
    </row>
    <row r="88" spans="1:63" s="1210" customFormat="1" ht="15">
      <c r="A88" s="1217">
        <f>IF(C88="","",COUNTA($C$13:C88))</f>
        <v>76</v>
      </c>
      <c r="B88" s="1239" t="s">
        <v>546</v>
      </c>
      <c r="C88" s="1164">
        <v>0.375</v>
      </c>
      <c r="D88" s="1164">
        <f t="shared" si="62"/>
        <v>0.39583333333333331</v>
      </c>
      <c r="E88" s="1165">
        <f t="shared" si="61"/>
        <v>42691</v>
      </c>
      <c r="F88" s="1164">
        <f t="shared" si="63"/>
        <v>0.40277777777777773</v>
      </c>
      <c r="G88" s="1164">
        <f t="shared" si="64"/>
        <v>0.40624999999999994</v>
      </c>
      <c r="H88" s="1165">
        <f t="shared" si="81"/>
        <v>42691</v>
      </c>
      <c r="I88" s="1166">
        <v>-1.2999999999999999E-2</v>
      </c>
      <c r="J88" s="1166">
        <v>8.0000000000000002E-3</v>
      </c>
      <c r="K88" s="1166">
        <v>-0.755</v>
      </c>
      <c r="L88" s="1166">
        <v>-1.0840000000000001</v>
      </c>
      <c r="M88" s="1164">
        <f t="shared" si="65"/>
        <v>0.40972222222222215</v>
      </c>
      <c r="N88" s="1164">
        <f t="shared" si="66"/>
        <v>0.42013888888888884</v>
      </c>
      <c r="O88" s="1165">
        <f t="shared" si="82"/>
        <v>42691</v>
      </c>
      <c r="P88" s="1166">
        <v>1.05</v>
      </c>
      <c r="Q88" s="1166">
        <v>9</v>
      </c>
      <c r="R88" s="1166">
        <v>23</v>
      </c>
      <c r="S88" s="1166">
        <v>0</v>
      </c>
      <c r="T88" s="1164">
        <f t="shared" si="67"/>
        <v>0.54513888888888884</v>
      </c>
      <c r="U88" s="1167">
        <f t="shared" si="83"/>
        <v>42691</v>
      </c>
      <c r="V88" s="1166">
        <v>21.3</v>
      </c>
      <c r="W88" s="1164">
        <f t="shared" si="68"/>
        <v>0.67013888888888884</v>
      </c>
      <c r="X88" s="1167">
        <f t="shared" si="84"/>
        <v>42691</v>
      </c>
      <c r="Y88" s="1166">
        <v>31.55</v>
      </c>
      <c r="Z88" s="1164">
        <f t="shared" si="69"/>
        <v>0.71180555555555547</v>
      </c>
      <c r="AA88" s="1164">
        <f t="shared" si="70"/>
        <v>0.73263888888888873</v>
      </c>
      <c r="AB88" s="1167">
        <f t="shared" si="85"/>
        <v>42691</v>
      </c>
      <c r="AC88" s="1166">
        <v>31.55</v>
      </c>
      <c r="AD88" s="1164">
        <f t="shared" si="71"/>
        <v>0.73958333333333315</v>
      </c>
      <c r="AE88" s="1164">
        <f t="shared" si="72"/>
        <v>0.74999999999999978</v>
      </c>
      <c r="AF88" s="1167">
        <f t="shared" si="86"/>
        <v>42691</v>
      </c>
      <c r="AG88" s="1164">
        <f t="shared" si="73"/>
        <v>0.7569444444444442</v>
      </c>
      <c r="AH88" s="1164">
        <f t="shared" si="74"/>
        <v>0.7881944444444442</v>
      </c>
      <c r="AI88" s="1167">
        <f t="shared" si="87"/>
        <v>42691</v>
      </c>
      <c r="AJ88" s="1164">
        <f t="shared" si="75"/>
        <v>0.80902777777777746</v>
      </c>
      <c r="AK88" s="1164">
        <f t="shared" si="76"/>
        <v>0.81597222222222188</v>
      </c>
      <c r="AL88" s="1167">
        <f t="shared" si="88"/>
        <v>42691</v>
      </c>
      <c r="AM88" s="1166">
        <v>1.05</v>
      </c>
      <c r="AN88" s="1166">
        <v>9</v>
      </c>
      <c r="AO88" s="1166">
        <v>22</v>
      </c>
      <c r="AP88" s="1166">
        <v>0</v>
      </c>
      <c r="AQ88" s="1164">
        <f t="shared" si="79"/>
        <v>0.81597222222222188</v>
      </c>
      <c r="AR88" s="1164">
        <f t="shared" si="77"/>
        <v>0.8229166666666663</v>
      </c>
      <c r="AS88" s="1167">
        <f t="shared" si="89"/>
        <v>42691</v>
      </c>
      <c r="AT88" s="1166">
        <v>31.55</v>
      </c>
      <c r="AU88" s="1164">
        <f t="shared" si="80"/>
        <v>0.8229166666666663</v>
      </c>
      <c r="AV88" s="1167">
        <f t="shared" si="90"/>
        <v>42691</v>
      </c>
      <c r="AW88" s="1164">
        <f t="shared" si="92"/>
        <v>0.87847222222222188</v>
      </c>
      <c r="AX88" s="1167">
        <f t="shared" si="91"/>
        <v>42691</v>
      </c>
      <c r="AY88" s="1166">
        <v>6.8</v>
      </c>
      <c r="AZ88" s="1166">
        <v>36</v>
      </c>
      <c r="BA88" s="1168">
        <f>VLOOKUP(B88,ĐTBT!$V:$W,2,0)</f>
        <v>4</v>
      </c>
      <c r="BB88" s="1168"/>
      <c r="BC88" s="1168"/>
      <c r="BD88" s="1168"/>
      <c r="BE88" s="1168"/>
      <c r="BF88" s="1168"/>
      <c r="BG88" s="1168"/>
      <c r="BH88" s="1168"/>
      <c r="BI88" s="1168">
        <f t="shared" si="78"/>
        <v>0</v>
      </c>
      <c r="BJ88" s="1168">
        <f>VLOOKUP(B88,'Thong tin'!A:R,11,0)</f>
        <v>0</v>
      </c>
      <c r="BK88" s="1209"/>
    </row>
    <row r="89" spans="1:63" s="1210" customFormat="1" ht="15">
      <c r="A89" s="1217">
        <f>IF(C89="","",COUNTA($C$13:C89))</f>
        <v>77</v>
      </c>
      <c r="B89" s="1239" t="s">
        <v>660</v>
      </c>
      <c r="C89" s="1164">
        <v>0.38194444444444442</v>
      </c>
      <c r="D89" s="1164">
        <f t="shared" si="62"/>
        <v>0.40277777777777773</v>
      </c>
      <c r="E89" s="1165">
        <f t="shared" si="61"/>
        <v>42691</v>
      </c>
      <c r="F89" s="1164">
        <f t="shared" si="63"/>
        <v>0.40972222222222215</v>
      </c>
      <c r="G89" s="1164">
        <f t="shared" si="64"/>
        <v>0.41319444444444436</v>
      </c>
      <c r="H89" s="1165">
        <f t="shared" si="81"/>
        <v>42691</v>
      </c>
      <c r="I89" s="1166">
        <v>-1.0999999999999999E-2</v>
      </c>
      <c r="J89" s="1166">
        <v>-3.0000000000000001E-3</v>
      </c>
      <c r="K89" s="1166">
        <v>-0.5</v>
      </c>
      <c r="L89" s="1166">
        <v>-0.8</v>
      </c>
      <c r="M89" s="1164">
        <f t="shared" si="65"/>
        <v>0.41666666666666657</v>
      </c>
      <c r="N89" s="1164">
        <f t="shared" si="66"/>
        <v>0.42708333333333326</v>
      </c>
      <c r="O89" s="1165">
        <f t="shared" si="82"/>
        <v>42691</v>
      </c>
      <c r="P89" s="1166">
        <v>1.06</v>
      </c>
      <c r="Q89" s="1166">
        <v>9</v>
      </c>
      <c r="R89" s="1166">
        <v>23</v>
      </c>
      <c r="S89" s="1166">
        <v>0</v>
      </c>
      <c r="T89" s="1164">
        <f t="shared" si="67"/>
        <v>0.55208333333333326</v>
      </c>
      <c r="U89" s="1167">
        <f t="shared" si="83"/>
        <v>42691</v>
      </c>
      <c r="V89" s="1166">
        <v>20.8</v>
      </c>
      <c r="W89" s="1164">
        <f t="shared" si="68"/>
        <v>0.67708333333333326</v>
      </c>
      <c r="X89" s="1167">
        <f t="shared" si="84"/>
        <v>42691</v>
      </c>
      <c r="Y89" s="1166">
        <v>24.1</v>
      </c>
      <c r="Z89" s="1164">
        <f t="shared" si="69"/>
        <v>0.71874999999999989</v>
      </c>
      <c r="AA89" s="1164">
        <f t="shared" si="70"/>
        <v>0.73958333333333315</v>
      </c>
      <c r="AB89" s="1167">
        <f t="shared" si="85"/>
        <v>42691</v>
      </c>
      <c r="AC89" s="1166">
        <v>24.1</v>
      </c>
      <c r="AD89" s="1164">
        <f t="shared" si="71"/>
        <v>0.74652777777777757</v>
      </c>
      <c r="AE89" s="1164">
        <f t="shared" si="72"/>
        <v>0.7569444444444442</v>
      </c>
      <c r="AF89" s="1167">
        <f t="shared" si="86"/>
        <v>42691</v>
      </c>
      <c r="AG89" s="1164">
        <f t="shared" si="73"/>
        <v>0.76388888888888862</v>
      </c>
      <c r="AH89" s="1164">
        <f t="shared" si="74"/>
        <v>0.79513888888888862</v>
      </c>
      <c r="AI89" s="1167">
        <f t="shared" si="87"/>
        <v>42691</v>
      </c>
      <c r="AJ89" s="1164">
        <f t="shared" si="75"/>
        <v>0.81597222222222188</v>
      </c>
      <c r="AK89" s="1164">
        <f t="shared" si="76"/>
        <v>0.8229166666666663</v>
      </c>
      <c r="AL89" s="1167">
        <f t="shared" si="88"/>
        <v>42691</v>
      </c>
      <c r="AM89" s="1166">
        <v>1.05</v>
      </c>
      <c r="AN89" s="1166">
        <v>9</v>
      </c>
      <c r="AO89" s="1166">
        <v>23</v>
      </c>
      <c r="AP89" s="1166">
        <v>0</v>
      </c>
      <c r="AQ89" s="1164">
        <f t="shared" si="79"/>
        <v>0.8229166666666663</v>
      </c>
      <c r="AR89" s="1164">
        <f t="shared" si="77"/>
        <v>0.82986111111111072</v>
      </c>
      <c r="AS89" s="1167">
        <f t="shared" si="89"/>
        <v>42691</v>
      </c>
      <c r="AT89" s="1166">
        <v>24.1</v>
      </c>
      <c r="AU89" s="1164">
        <f t="shared" si="80"/>
        <v>0.82986111111111072</v>
      </c>
      <c r="AV89" s="1167">
        <f t="shared" si="90"/>
        <v>42691</v>
      </c>
      <c r="AW89" s="1164">
        <f t="shared" si="92"/>
        <v>0.87152777777777735</v>
      </c>
      <c r="AX89" s="1167">
        <f t="shared" si="91"/>
        <v>42691</v>
      </c>
      <c r="AY89" s="1166">
        <v>6.7</v>
      </c>
      <c r="AZ89" s="1166">
        <v>22</v>
      </c>
      <c r="BA89" s="1168">
        <f>VLOOKUP(B89,ĐTBT!$V:$W,2,0)</f>
        <v>3</v>
      </c>
      <c r="BB89" s="1168"/>
      <c r="BC89" s="1168"/>
      <c r="BD89" s="1168"/>
      <c r="BE89" s="1168"/>
      <c r="BF89" s="1168"/>
      <c r="BG89" s="1168"/>
      <c r="BH89" s="1168"/>
      <c r="BI89" s="1168">
        <f t="shared" si="78"/>
        <v>0</v>
      </c>
      <c r="BJ89" s="1168">
        <f>VLOOKUP(B89,'Thong tin'!A:R,11,0)</f>
        <v>0</v>
      </c>
      <c r="BK89" s="1209"/>
    </row>
    <row r="90" spans="1:63" s="1210" customFormat="1" ht="15">
      <c r="A90" s="1217">
        <f>IF(C90="","",COUNTA($C$13:C90))</f>
        <v>78</v>
      </c>
      <c r="B90" s="1239" t="s">
        <v>702</v>
      </c>
      <c r="C90" s="1164">
        <v>0.29166666666666669</v>
      </c>
      <c r="D90" s="1164">
        <f t="shared" si="62"/>
        <v>0.3125</v>
      </c>
      <c r="E90" s="1165">
        <f t="shared" ref="E90:E121" si="93">E85+2</f>
        <v>42692</v>
      </c>
      <c r="F90" s="1164">
        <f t="shared" si="63"/>
        <v>0.31944444444444442</v>
      </c>
      <c r="G90" s="1164">
        <f t="shared" si="64"/>
        <v>0.32291666666666663</v>
      </c>
      <c r="H90" s="1165">
        <f t="shared" si="81"/>
        <v>42692</v>
      </c>
      <c r="I90" s="1166">
        <v>-2.7E-2</v>
      </c>
      <c r="J90" s="1166">
        <v>-0.01</v>
      </c>
      <c r="K90" s="1166">
        <v>-0.76100000000000001</v>
      </c>
      <c r="L90" s="1166">
        <v>-1.01</v>
      </c>
      <c r="M90" s="1164">
        <f t="shared" si="65"/>
        <v>0.32638888888888884</v>
      </c>
      <c r="N90" s="1164">
        <f t="shared" si="66"/>
        <v>0.33680555555555552</v>
      </c>
      <c r="O90" s="1165">
        <f t="shared" si="82"/>
        <v>42692</v>
      </c>
      <c r="P90" s="1166">
        <v>1.06</v>
      </c>
      <c r="Q90" s="1166">
        <v>9</v>
      </c>
      <c r="R90" s="1166">
        <v>23</v>
      </c>
      <c r="S90" s="1166">
        <v>0</v>
      </c>
      <c r="T90" s="1164">
        <f t="shared" si="67"/>
        <v>0.46180555555555552</v>
      </c>
      <c r="U90" s="1167">
        <f t="shared" si="83"/>
        <v>42692</v>
      </c>
      <c r="V90" s="1166">
        <v>20.8</v>
      </c>
      <c r="W90" s="1164">
        <f t="shared" si="68"/>
        <v>0.58680555555555558</v>
      </c>
      <c r="X90" s="1167">
        <f t="shared" si="84"/>
        <v>42692</v>
      </c>
      <c r="Y90" s="1166">
        <v>24.32</v>
      </c>
      <c r="Z90" s="1164">
        <f t="shared" si="69"/>
        <v>0.62847222222222221</v>
      </c>
      <c r="AA90" s="1164">
        <f t="shared" si="70"/>
        <v>0.64930555555555547</v>
      </c>
      <c r="AB90" s="1167">
        <f t="shared" si="85"/>
        <v>42692</v>
      </c>
      <c r="AC90" s="1166">
        <v>24.32</v>
      </c>
      <c r="AD90" s="1164">
        <f t="shared" si="71"/>
        <v>0.65624999999999989</v>
      </c>
      <c r="AE90" s="1164">
        <f t="shared" si="72"/>
        <v>0.66666666666666652</v>
      </c>
      <c r="AF90" s="1167">
        <f t="shared" si="86"/>
        <v>42692</v>
      </c>
      <c r="AG90" s="1164">
        <f t="shared" si="73"/>
        <v>0.67361111111111094</v>
      </c>
      <c r="AH90" s="1164">
        <f t="shared" si="74"/>
        <v>0.70486111111111094</v>
      </c>
      <c r="AI90" s="1167">
        <f t="shared" si="87"/>
        <v>42692</v>
      </c>
      <c r="AJ90" s="1164">
        <f t="shared" si="75"/>
        <v>0.7256944444444442</v>
      </c>
      <c r="AK90" s="1164">
        <f t="shared" si="76"/>
        <v>0.73263888888888862</v>
      </c>
      <c r="AL90" s="1167">
        <f t="shared" si="88"/>
        <v>42692</v>
      </c>
      <c r="AM90" s="1166">
        <v>1.06</v>
      </c>
      <c r="AN90" s="1166">
        <v>9</v>
      </c>
      <c r="AO90" s="1166">
        <v>23</v>
      </c>
      <c r="AP90" s="1166">
        <v>0</v>
      </c>
      <c r="AQ90" s="1164">
        <f t="shared" si="79"/>
        <v>0.73263888888888862</v>
      </c>
      <c r="AR90" s="1164">
        <f t="shared" si="77"/>
        <v>0.73958333333333304</v>
      </c>
      <c r="AS90" s="1167">
        <f t="shared" si="89"/>
        <v>42692</v>
      </c>
      <c r="AT90" s="1166">
        <v>24.32</v>
      </c>
      <c r="AU90" s="1164">
        <f t="shared" si="80"/>
        <v>0.73958333333333304</v>
      </c>
      <c r="AV90" s="1167">
        <f t="shared" si="90"/>
        <v>42692</v>
      </c>
      <c r="AW90" s="1164">
        <f t="shared" si="92"/>
        <v>0.78124999999999967</v>
      </c>
      <c r="AX90" s="1167">
        <f t="shared" si="91"/>
        <v>42692</v>
      </c>
      <c r="AY90" s="1166">
        <v>6.8</v>
      </c>
      <c r="AZ90" s="1166">
        <v>22</v>
      </c>
      <c r="BA90" s="1168">
        <f>VLOOKUP(B90,ĐTBT!$V:$W,2,0)</f>
        <v>3</v>
      </c>
      <c r="BB90" s="1168"/>
      <c r="BC90" s="1168"/>
      <c r="BD90" s="1168"/>
      <c r="BE90" s="1168"/>
      <c r="BF90" s="1168"/>
      <c r="BG90" s="1168"/>
      <c r="BH90" s="1168"/>
      <c r="BI90" s="1168">
        <f t="shared" si="78"/>
        <v>0</v>
      </c>
      <c r="BJ90" s="1168">
        <f>VLOOKUP(B90,'Thong tin'!A:R,11,0)</f>
        <v>0</v>
      </c>
      <c r="BK90" s="1209"/>
    </row>
    <row r="91" spans="1:63" s="1210" customFormat="1" ht="15">
      <c r="A91" s="1217">
        <f>IF(C91="","",COUNTA($C$13:C91))</f>
        <v>79</v>
      </c>
      <c r="B91" s="1239" t="s">
        <v>664</v>
      </c>
      <c r="C91" s="1164">
        <v>0.375</v>
      </c>
      <c r="D91" s="1164">
        <f t="shared" si="62"/>
        <v>0.39583333333333331</v>
      </c>
      <c r="E91" s="1165">
        <f t="shared" si="93"/>
        <v>42692</v>
      </c>
      <c r="F91" s="1164">
        <f t="shared" si="63"/>
        <v>0.40277777777777773</v>
      </c>
      <c r="G91" s="1164">
        <f t="shared" si="64"/>
        <v>0.40624999999999994</v>
      </c>
      <c r="H91" s="1165">
        <f t="shared" si="81"/>
        <v>42692</v>
      </c>
      <c r="I91" s="1166">
        <v>8.9999999999999993E-3</v>
      </c>
      <c r="J91" s="1166">
        <v>-1.9E-2</v>
      </c>
      <c r="K91" s="1166">
        <v>-0.69199999999999995</v>
      </c>
      <c r="L91" s="1166">
        <v>-1.071</v>
      </c>
      <c r="M91" s="1164">
        <f t="shared" si="65"/>
        <v>0.40972222222222215</v>
      </c>
      <c r="N91" s="1164">
        <f t="shared" si="66"/>
        <v>0.42013888888888884</v>
      </c>
      <c r="O91" s="1165">
        <f t="shared" si="82"/>
        <v>42692</v>
      </c>
      <c r="P91" s="1166">
        <v>1.06</v>
      </c>
      <c r="Q91" s="1166">
        <v>9</v>
      </c>
      <c r="R91" s="1166">
        <v>22</v>
      </c>
      <c r="S91" s="1166">
        <v>0</v>
      </c>
      <c r="T91" s="1164">
        <f t="shared" si="67"/>
        <v>0.54513888888888884</v>
      </c>
      <c r="U91" s="1167">
        <f t="shared" si="83"/>
        <v>42692</v>
      </c>
      <c r="V91" s="1166">
        <v>21.5</v>
      </c>
      <c r="W91" s="1164">
        <f t="shared" si="68"/>
        <v>0.67013888888888884</v>
      </c>
      <c r="X91" s="1167">
        <f t="shared" si="84"/>
        <v>42692</v>
      </c>
      <c r="Y91" s="1166">
        <v>23.81</v>
      </c>
      <c r="Z91" s="1164">
        <f t="shared" si="69"/>
        <v>0.71180555555555547</v>
      </c>
      <c r="AA91" s="1164">
        <f t="shared" si="70"/>
        <v>0.73263888888888873</v>
      </c>
      <c r="AB91" s="1167">
        <f t="shared" si="85"/>
        <v>42692</v>
      </c>
      <c r="AC91" s="1166">
        <v>23.95</v>
      </c>
      <c r="AD91" s="1164">
        <f t="shared" si="71"/>
        <v>0.73958333333333315</v>
      </c>
      <c r="AE91" s="1164">
        <f t="shared" si="72"/>
        <v>0.74999999999999978</v>
      </c>
      <c r="AF91" s="1167">
        <f t="shared" si="86"/>
        <v>42692</v>
      </c>
      <c r="AG91" s="1164">
        <f t="shared" si="73"/>
        <v>0.7569444444444442</v>
      </c>
      <c r="AH91" s="1164">
        <f t="shared" si="74"/>
        <v>0.79861111111111083</v>
      </c>
      <c r="AI91" s="1167">
        <f t="shared" si="87"/>
        <v>42692</v>
      </c>
      <c r="AJ91" s="1164">
        <f t="shared" si="75"/>
        <v>0.81944444444444409</v>
      </c>
      <c r="AK91" s="1164">
        <f t="shared" si="76"/>
        <v>0.82638888888888851</v>
      </c>
      <c r="AL91" s="1167">
        <f t="shared" si="88"/>
        <v>42692</v>
      </c>
      <c r="AM91" s="1166">
        <v>1.06</v>
      </c>
      <c r="AN91" s="1166">
        <v>9</v>
      </c>
      <c r="AO91" s="1166">
        <v>23</v>
      </c>
      <c r="AP91" s="1166">
        <v>0</v>
      </c>
      <c r="AQ91" s="1164">
        <f t="shared" si="79"/>
        <v>0.82638888888888851</v>
      </c>
      <c r="AR91" s="1164">
        <f t="shared" si="77"/>
        <v>0.83333333333333293</v>
      </c>
      <c r="AS91" s="1167">
        <f t="shared" si="89"/>
        <v>42692</v>
      </c>
      <c r="AT91" s="1166">
        <v>23.95</v>
      </c>
      <c r="AU91" s="1164">
        <f t="shared" si="80"/>
        <v>0.83333333333333293</v>
      </c>
      <c r="AV91" s="1167">
        <f t="shared" si="90"/>
        <v>42692</v>
      </c>
      <c r="AW91" s="1164">
        <f t="shared" si="92"/>
        <v>0.87499999999999956</v>
      </c>
      <c r="AX91" s="1167">
        <f t="shared" si="91"/>
        <v>42692</v>
      </c>
      <c r="AY91" s="1166">
        <v>6.7</v>
      </c>
      <c r="AZ91" s="1166">
        <v>23</v>
      </c>
      <c r="BA91" s="1168">
        <f>VLOOKUP(B91,ĐTBT!$V:$W,2,0)</f>
        <v>3</v>
      </c>
      <c r="BB91" s="1168"/>
      <c r="BC91" s="1168"/>
      <c r="BD91" s="1168"/>
      <c r="BE91" s="1168"/>
      <c r="BF91" s="1168"/>
      <c r="BG91" s="1168"/>
      <c r="BH91" s="1168"/>
      <c r="BI91" s="1168">
        <f t="shared" si="78"/>
        <v>0</v>
      </c>
      <c r="BJ91" s="1168">
        <f>VLOOKUP(B91,'Thong tin'!A:R,11,0)</f>
        <v>4</v>
      </c>
      <c r="BK91" s="1209"/>
    </row>
    <row r="92" spans="1:63" s="1210" customFormat="1" ht="15">
      <c r="A92" s="1217">
        <f>IF(C92="","",COUNTA($C$13:C92))</f>
        <v>80</v>
      </c>
      <c r="B92" s="1239" t="s">
        <v>533</v>
      </c>
      <c r="C92" s="1164">
        <v>0.39583333333333331</v>
      </c>
      <c r="D92" s="1164">
        <f t="shared" si="62"/>
        <v>0.41666666666666663</v>
      </c>
      <c r="E92" s="1165">
        <f t="shared" si="93"/>
        <v>42692</v>
      </c>
      <c r="F92" s="1164">
        <f t="shared" si="63"/>
        <v>0.42361111111111105</v>
      </c>
      <c r="G92" s="1164">
        <f t="shared" si="64"/>
        <v>0.42708333333333326</v>
      </c>
      <c r="H92" s="1165">
        <f t="shared" si="81"/>
        <v>42692</v>
      </c>
      <c r="I92" s="1166">
        <v>-1.2999999999999999E-2</v>
      </c>
      <c r="J92" s="1166">
        <v>2E-3</v>
      </c>
      <c r="K92" s="1166">
        <v>-0.53</v>
      </c>
      <c r="L92" s="1166">
        <v>-0.95</v>
      </c>
      <c r="M92" s="1164">
        <f t="shared" si="65"/>
        <v>0.43055555555555547</v>
      </c>
      <c r="N92" s="1164">
        <f t="shared" si="66"/>
        <v>0.44097222222222215</v>
      </c>
      <c r="O92" s="1165">
        <f t="shared" si="82"/>
        <v>42692</v>
      </c>
      <c r="P92" s="1166">
        <v>1.05</v>
      </c>
      <c r="Q92" s="1166">
        <v>9</v>
      </c>
      <c r="R92" s="1166">
        <v>23</v>
      </c>
      <c r="S92" s="1166">
        <v>0</v>
      </c>
      <c r="T92" s="1164">
        <f t="shared" si="67"/>
        <v>0.5659722222222221</v>
      </c>
      <c r="U92" s="1167">
        <f t="shared" si="83"/>
        <v>42692</v>
      </c>
      <c r="V92" s="1166">
        <v>21.6</v>
      </c>
      <c r="W92" s="1164">
        <f t="shared" si="68"/>
        <v>0.6909722222222221</v>
      </c>
      <c r="X92" s="1167">
        <f t="shared" si="84"/>
        <v>42692</v>
      </c>
      <c r="Y92" s="1166">
        <v>24.6</v>
      </c>
      <c r="Z92" s="1164">
        <f t="shared" si="69"/>
        <v>0.73263888888888873</v>
      </c>
      <c r="AA92" s="1164">
        <f t="shared" si="70"/>
        <v>0.75347222222222199</v>
      </c>
      <c r="AB92" s="1167">
        <f t="shared" si="85"/>
        <v>42692</v>
      </c>
      <c r="AC92" s="1166">
        <v>24.85</v>
      </c>
      <c r="AD92" s="1164">
        <f t="shared" si="71"/>
        <v>0.76041666666666641</v>
      </c>
      <c r="AE92" s="1164">
        <f t="shared" si="72"/>
        <v>0.77083333333333304</v>
      </c>
      <c r="AF92" s="1167">
        <f t="shared" si="86"/>
        <v>42692</v>
      </c>
      <c r="AG92" s="1164">
        <f t="shared" si="73"/>
        <v>0.77777777777777746</v>
      </c>
      <c r="AH92" s="1164">
        <f t="shared" si="74"/>
        <v>0.81944444444444409</v>
      </c>
      <c r="AI92" s="1167">
        <f t="shared" si="87"/>
        <v>42692</v>
      </c>
      <c r="AJ92" s="1164">
        <f t="shared" si="75"/>
        <v>0.84027777777777735</v>
      </c>
      <c r="AK92" s="1164">
        <f t="shared" si="76"/>
        <v>0.84722222222222177</v>
      </c>
      <c r="AL92" s="1167">
        <f t="shared" si="88"/>
        <v>42692</v>
      </c>
      <c r="AM92" s="1166">
        <v>1.06</v>
      </c>
      <c r="AN92" s="1166">
        <v>9</v>
      </c>
      <c r="AO92" s="1166">
        <v>22</v>
      </c>
      <c r="AP92" s="1166">
        <v>0</v>
      </c>
      <c r="AQ92" s="1164">
        <f t="shared" si="79"/>
        <v>0.84722222222222177</v>
      </c>
      <c r="AR92" s="1164">
        <f t="shared" si="77"/>
        <v>0.85416666666666619</v>
      </c>
      <c r="AS92" s="1167">
        <f t="shared" si="89"/>
        <v>42692</v>
      </c>
      <c r="AT92" s="1166">
        <v>24.85</v>
      </c>
      <c r="AU92" s="1164">
        <f t="shared" si="80"/>
        <v>0.85416666666666619</v>
      </c>
      <c r="AV92" s="1167">
        <f t="shared" si="90"/>
        <v>42692</v>
      </c>
      <c r="AW92" s="1164">
        <f t="shared" si="92"/>
        <v>0.88194444444444398</v>
      </c>
      <c r="AX92" s="1167">
        <f t="shared" si="91"/>
        <v>42692</v>
      </c>
      <c r="AY92" s="1166">
        <v>7</v>
      </c>
      <c r="AZ92" s="1166">
        <v>21</v>
      </c>
      <c r="BA92" s="1168">
        <f>VLOOKUP(B92,ĐTBT!$V:$W,2,0)</f>
        <v>2</v>
      </c>
      <c r="BB92" s="1168"/>
      <c r="BC92" s="1168"/>
      <c r="BD92" s="1168"/>
      <c r="BE92" s="1168"/>
      <c r="BF92" s="1168"/>
      <c r="BG92" s="1168"/>
      <c r="BH92" s="1168"/>
      <c r="BI92" s="1168">
        <f t="shared" si="78"/>
        <v>0</v>
      </c>
      <c r="BJ92" s="1168">
        <f>VLOOKUP(B92,'Thong tin'!A:R,11,0)</f>
        <v>4</v>
      </c>
      <c r="BK92" s="1209"/>
    </row>
    <row r="93" spans="1:63" s="1210" customFormat="1" ht="15">
      <c r="A93" s="1217">
        <f>IF(C93="","",COUNTA($C$13:C93))</f>
        <v>81</v>
      </c>
      <c r="B93" s="1239" t="s">
        <v>556</v>
      </c>
      <c r="C93" s="1164">
        <v>0.375</v>
      </c>
      <c r="D93" s="1164">
        <f t="shared" si="62"/>
        <v>0.39583333333333331</v>
      </c>
      <c r="E93" s="1165">
        <f t="shared" si="93"/>
        <v>42693</v>
      </c>
      <c r="F93" s="1164">
        <f t="shared" si="63"/>
        <v>0.40277777777777773</v>
      </c>
      <c r="G93" s="1164">
        <f t="shared" si="64"/>
        <v>0.40624999999999994</v>
      </c>
      <c r="H93" s="1165">
        <f t="shared" si="81"/>
        <v>42693</v>
      </c>
      <c r="I93" s="1166">
        <v>1.4999999999999999E-2</v>
      </c>
      <c r="J93" s="1166">
        <v>-8.0000000000000002E-3</v>
      </c>
      <c r="K93" s="1166">
        <v>-0.69</v>
      </c>
      <c r="L93" s="1166">
        <v>-1.0900000000000001</v>
      </c>
      <c r="M93" s="1164">
        <f t="shared" si="65"/>
        <v>0.40972222222222215</v>
      </c>
      <c r="N93" s="1164">
        <f t="shared" si="66"/>
        <v>0.42013888888888884</v>
      </c>
      <c r="O93" s="1165">
        <f t="shared" si="82"/>
        <v>42693</v>
      </c>
      <c r="P93" s="1166">
        <v>1.06</v>
      </c>
      <c r="Q93" s="1166">
        <v>9</v>
      </c>
      <c r="R93" s="1166">
        <v>23</v>
      </c>
      <c r="S93" s="1166">
        <v>0</v>
      </c>
      <c r="T93" s="1164">
        <f t="shared" si="67"/>
        <v>0.54513888888888884</v>
      </c>
      <c r="U93" s="1167">
        <f t="shared" si="83"/>
        <v>42693</v>
      </c>
      <c r="V93" s="1166">
        <v>22</v>
      </c>
      <c r="W93" s="1164">
        <f t="shared" si="68"/>
        <v>0.67013888888888884</v>
      </c>
      <c r="X93" s="1167">
        <f t="shared" si="84"/>
        <v>42693</v>
      </c>
      <c r="Y93" s="1166">
        <v>31.67</v>
      </c>
      <c r="Z93" s="1164">
        <f t="shared" si="69"/>
        <v>0.71180555555555547</v>
      </c>
      <c r="AA93" s="1164">
        <f t="shared" si="70"/>
        <v>0.73263888888888873</v>
      </c>
      <c r="AB93" s="1167">
        <f t="shared" si="85"/>
        <v>42693</v>
      </c>
      <c r="AC93" s="1166">
        <v>32.35</v>
      </c>
      <c r="AD93" s="1164">
        <f t="shared" si="71"/>
        <v>0.73958333333333315</v>
      </c>
      <c r="AE93" s="1164">
        <f t="shared" si="72"/>
        <v>0.74999999999999978</v>
      </c>
      <c r="AF93" s="1167">
        <f t="shared" si="86"/>
        <v>42693</v>
      </c>
      <c r="AG93" s="1164">
        <f t="shared" si="73"/>
        <v>0.7569444444444442</v>
      </c>
      <c r="AH93" s="1164">
        <f t="shared" si="74"/>
        <v>0.79861111111111083</v>
      </c>
      <c r="AI93" s="1167">
        <f t="shared" si="87"/>
        <v>42693</v>
      </c>
      <c r="AJ93" s="1164">
        <f t="shared" si="75"/>
        <v>0.81944444444444409</v>
      </c>
      <c r="AK93" s="1164">
        <f t="shared" si="76"/>
        <v>0.82638888888888851</v>
      </c>
      <c r="AL93" s="1167">
        <f t="shared" si="88"/>
        <v>42693</v>
      </c>
      <c r="AM93" s="1166">
        <v>1.06</v>
      </c>
      <c r="AN93" s="1166">
        <v>9</v>
      </c>
      <c r="AO93" s="1166">
        <v>22</v>
      </c>
      <c r="AP93" s="1166">
        <v>0</v>
      </c>
      <c r="AQ93" s="1164">
        <f t="shared" si="79"/>
        <v>0.82638888888888851</v>
      </c>
      <c r="AR93" s="1164">
        <f t="shared" si="77"/>
        <v>0.83333333333333293</v>
      </c>
      <c r="AS93" s="1167">
        <f t="shared" si="89"/>
        <v>42693</v>
      </c>
      <c r="AT93" s="1166">
        <v>32.35</v>
      </c>
      <c r="AU93" s="1164">
        <f t="shared" si="80"/>
        <v>0.83333333333333293</v>
      </c>
      <c r="AV93" s="1167">
        <f t="shared" si="90"/>
        <v>42693</v>
      </c>
      <c r="AW93" s="1164">
        <f t="shared" si="92"/>
        <v>0.88888888888888851</v>
      </c>
      <c r="AX93" s="1167">
        <f t="shared" si="91"/>
        <v>42693</v>
      </c>
      <c r="AY93" s="1166">
        <v>6.7</v>
      </c>
      <c r="AZ93" s="1166">
        <v>32</v>
      </c>
      <c r="BA93" s="1168">
        <f>VLOOKUP(B93,ĐTBT!$V:$W,2,0)</f>
        <v>4</v>
      </c>
      <c r="BB93" s="1168"/>
      <c r="BC93" s="1168"/>
      <c r="BD93" s="1168"/>
      <c r="BE93" s="1168"/>
      <c r="BF93" s="1168"/>
      <c r="BG93" s="1168"/>
      <c r="BH93" s="1168"/>
      <c r="BI93" s="1168">
        <f t="shared" si="78"/>
        <v>0</v>
      </c>
      <c r="BJ93" s="1168">
        <f>VLOOKUP(B93,'Thong tin'!A:R,11,0)</f>
        <v>3</v>
      </c>
      <c r="BK93" s="1209"/>
    </row>
    <row r="94" spans="1:63" s="1210" customFormat="1" ht="15">
      <c r="A94" s="1217">
        <f>IF(C94="","",COUNTA($C$13:C94))</f>
        <v>82</v>
      </c>
      <c r="B94" s="1239" t="s">
        <v>698</v>
      </c>
      <c r="C94" s="1164">
        <v>0.3125</v>
      </c>
      <c r="D94" s="1164">
        <f t="shared" si="62"/>
        <v>0.33333333333333331</v>
      </c>
      <c r="E94" s="1165">
        <f t="shared" si="93"/>
        <v>42693</v>
      </c>
      <c r="F94" s="1164">
        <f t="shared" si="63"/>
        <v>0.34027777777777773</v>
      </c>
      <c r="G94" s="1164">
        <f t="shared" si="64"/>
        <v>0.34374999999999994</v>
      </c>
      <c r="H94" s="1165">
        <f t="shared" si="81"/>
        <v>42693</v>
      </c>
      <c r="I94" s="1166">
        <v>6.0000000000000001E-3</v>
      </c>
      <c r="J94" s="1166">
        <v>-5.0000000000000001E-3</v>
      </c>
      <c r="K94" s="1166">
        <v>-0.6</v>
      </c>
      <c r="L94" s="1166">
        <v>-1.0369999999999999</v>
      </c>
      <c r="M94" s="1164">
        <f t="shared" si="65"/>
        <v>0.34722222222222215</v>
      </c>
      <c r="N94" s="1164">
        <f t="shared" si="66"/>
        <v>0.35763888888888884</v>
      </c>
      <c r="O94" s="1165">
        <f t="shared" si="82"/>
        <v>42693</v>
      </c>
      <c r="P94" s="1166">
        <v>1.05</v>
      </c>
      <c r="Q94" s="1166">
        <v>9</v>
      </c>
      <c r="R94" s="1166">
        <v>23</v>
      </c>
      <c r="S94" s="1166">
        <v>0</v>
      </c>
      <c r="T94" s="1164">
        <f t="shared" si="67"/>
        <v>0.48263888888888884</v>
      </c>
      <c r="U94" s="1167">
        <f t="shared" si="83"/>
        <v>42693</v>
      </c>
      <c r="V94" s="1166">
        <v>22.2</v>
      </c>
      <c r="W94" s="1164">
        <f t="shared" si="68"/>
        <v>0.60763888888888884</v>
      </c>
      <c r="X94" s="1167">
        <f t="shared" si="84"/>
        <v>42693</v>
      </c>
      <c r="Y94" s="1166">
        <v>24.3</v>
      </c>
      <c r="Z94" s="1164">
        <f t="shared" si="69"/>
        <v>0.64930555555555547</v>
      </c>
      <c r="AA94" s="1164">
        <f t="shared" si="70"/>
        <v>0.67013888888888873</v>
      </c>
      <c r="AB94" s="1167">
        <f t="shared" si="85"/>
        <v>42693</v>
      </c>
      <c r="AC94" s="1166">
        <v>24.35</v>
      </c>
      <c r="AD94" s="1164">
        <f t="shared" si="71"/>
        <v>0.67708333333333315</v>
      </c>
      <c r="AE94" s="1164">
        <f t="shared" si="72"/>
        <v>0.68749999999999978</v>
      </c>
      <c r="AF94" s="1167">
        <f t="shared" si="86"/>
        <v>42693</v>
      </c>
      <c r="AG94" s="1164">
        <f t="shared" si="73"/>
        <v>0.6944444444444442</v>
      </c>
      <c r="AH94" s="1164">
        <f t="shared" si="74"/>
        <v>0.7256944444444442</v>
      </c>
      <c r="AI94" s="1167">
        <f t="shared" si="87"/>
        <v>42693</v>
      </c>
      <c r="AJ94" s="1164">
        <f t="shared" si="75"/>
        <v>0.74652777777777746</v>
      </c>
      <c r="AK94" s="1164">
        <f t="shared" si="76"/>
        <v>0.75347222222222188</v>
      </c>
      <c r="AL94" s="1167">
        <f t="shared" si="88"/>
        <v>42693</v>
      </c>
      <c r="AM94" s="1166">
        <v>1.05</v>
      </c>
      <c r="AN94" s="1166">
        <v>9</v>
      </c>
      <c r="AO94" s="1166">
        <v>22</v>
      </c>
      <c r="AP94" s="1166">
        <v>0</v>
      </c>
      <c r="AQ94" s="1164">
        <f t="shared" si="79"/>
        <v>0.75347222222222188</v>
      </c>
      <c r="AR94" s="1164">
        <f t="shared" si="77"/>
        <v>0.7604166666666663</v>
      </c>
      <c r="AS94" s="1167">
        <f t="shared" si="89"/>
        <v>42693</v>
      </c>
      <c r="AT94" s="1166">
        <v>24.35</v>
      </c>
      <c r="AU94" s="1164">
        <f t="shared" si="80"/>
        <v>0.7604166666666663</v>
      </c>
      <c r="AV94" s="1167">
        <f t="shared" si="90"/>
        <v>42693</v>
      </c>
      <c r="AW94" s="1164">
        <f t="shared" si="92"/>
        <v>0.78819444444444409</v>
      </c>
      <c r="AX94" s="1167">
        <f t="shared" si="91"/>
        <v>42693</v>
      </c>
      <c r="AY94" s="1166">
        <v>7</v>
      </c>
      <c r="AZ94" s="1166">
        <v>21</v>
      </c>
      <c r="BA94" s="1168">
        <f>VLOOKUP(B94,ĐTBT!$V:$W,2,0)</f>
        <v>2</v>
      </c>
      <c r="BB94" s="1168"/>
      <c r="BC94" s="1168"/>
      <c r="BD94" s="1168"/>
      <c r="BE94" s="1168"/>
      <c r="BF94" s="1168"/>
      <c r="BG94" s="1168"/>
      <c r="BH94" s="1168"/>
      <c r="BI94" s="1168">
        <f t="shared" si="78"/>
        <v>0</v>
      </c>
      <c r="BJ94" s="1168">
        <f>VLOOKUP(B94,'Thong tin'!A:R,11,0)</f>
        <v>0</v>
      </c>
      <c r="BK94" s="1209"/>
    </row>
    <row r="95" spans="1:63" s="1210" customFormat="1" ht="15">
      <c r="A95" s="1217">
        <f>IF(C95="","",COUNTA($C$13:C95))</f>
        <v>83</v>
      </c>
      <c r="B95" s="1239" t="s">
        <v>681</v>
      </c>
      <c r="C95" s="1164">
        <v>0.42708333333333331</v>
      </c>
      <c r="D95" s="1164">
        <f t="shared" si="62"/>
        <v>0.44791666666666663</v>
      </c>
      <c r="E95" s="1165">
        <f t="shared" si="93"/>
        <v>42694</v>
      </c>
      <c r="F95" s="1164">
        <f t="shared" si="63"/>
        <v>0.45486111111111105</v>
      </c>
      <c r="G95" s="1164">
        <f t="shared" si="64"/>
        <v>0.45833333333333326</v>
      </c>
      <c r="H95" s="1165">
        <f t="shared" si="81"/>
        <v>42694</v>
      </c>
      <c r="I95" s="1166">
        <v>8.9999999999999993E-3</v>
      </c>
      <c r="J95" s="1166">
        <v>-3.0000000000000001E-3</v>
      </c>
      <c r="K95" s="1166">
        <v>-0.64</v>
      </c>
      <c r="L95" s="1166">
        <v>-0.97699999999999998</v>
      </c>
      <c r="M95" s="1164">
        <f t="shared" si="65"/>
        <v>0.46180555555555547</v>
      </c>
      <c r="N95" s="1164">
        <f t="shared" si="66"/>
        <v>0.47222222222222215</v>
      </c>
      <c r="O95" s="1165">
        <f t="shared" si="82"/>
        <v>42694</v>
      </c>
      <c r="P95" s="1166">
        <v>1.06</v>
      </c>
      <c r="Q95" s="1166">
        <v>9</v>
      </c>
      <c r="R95" s="1166">
        <v>23</v>
      </c>
      <c r="S95" s="1166">
        <v>0</v>
      </c>
      <c r="T95" s="1164">
        <f t="shared" si="67"/>
        <v>0.5972222222222221</v>
      </c>
      <c r="U95" s="1167">
        <f t="shared" si="83"/>
        <v>42694</v>
      </c>
      <c r="V95" s="1166">
        <v>21.7</v>
      </c>
      <c r="W95" s="1164">
        <f t="shared" si="68"/>
        <v>0.7222222222222221</v>
      </c>
      <c r="X95" s="1167">
        <f t="shared" si="84"/>
        <v>42694</v>
      </c>
      <c r="Y95" s="1166">
        <v>32.5</v>
      </c>
      <c r="Z95" s="1164">
        <f t="shared" si="69"/>
        <v>0.76388888888888873</v>
      </c>
      <c r="AA95" s="1164">
        <f t="shared" si="70"/>
        <v>0.78472222222222199</v>
      </c>
      <c r="AB95" s="1167">
        <f t="shared" si="85"/>
        <v>42694</v>
      </c>
      <c r="AC95" s="1166">
        <v>35.200000000000003</v>
      </c>
      <c r="AD95" s="1164">
        <f t="shared" si="71"/>
        <v>0.79166666666666641</v>
      </c>
      <c r="AE95" s="1164">
        <f t="shared" si="72"/>
        <v>0.80208333333333304</v>
      </c>
      <c r="AF95" s="1167">
        <f t="shared" si="86"/>
        <v>42694</v>
      </c>
      <c r="AG95" s="1164">
        <f t="shared" si="73"/>
        <v>0.80902777777777746</v>
      </c>
      <c r="AH95" s="1164">
        <f t="shared" si="74"/>
        <v>0.84027777777777746</v>
      </c>
      <c r="AI95" s="1167">
        <f t="shared" si="87"/>
        <v>42694</v>
      </c>
      <c r="AJ95" s="1164">
        <f t="shared" si="75"/>
        <v>0.86111111111111072</v>
      </c>
      <c r="AK95" s="1164">
        <f t="shared" si="76"/>
        <v>0.86805555555555514</v>
      </c>
      <c r="AL95" s="1167">
        <f t="shared" si="88"/>
        <v>42694</v>
      </c>
      <c r="AM95" s="1166">
        <v>1.05</v>
      </c>
      <c r="AN95" s="1166">
        <v>9</v>
      </c>
      <c r="AO95" s="1166">
        <v>23</v>
      </c>
      <c r="AP95" s="1166">
        <v>0</v>
      </c>
      <c r="AQ95" s="1164">
        <f t="shared" si="79"/>
        <v>0.86805555555555514</v>
      </c>
      <c r="AR95" s="1164">
        <f t="shared" si="77"/>
        <v>0.87499999999999956</v>
      </c>
      <c r="AS95" s="1167">
        <f t="shared" si="89"/>
        <v>42694</v>
      </c>
      <c r="AT95" s="1166">
        <v>35.200000000000003</v>
      </c>
      <c r="AU95" s="1164">
        <f t="shared" si="80"/>
        <v>0.87499999999999956</v>
      </c>
      <c r="AV95" s="1167">
        <f t="shared" si="90"/>
        <v>42694</v>
      </c>
      <c r="AW95" s="1164">
        <f t="shared" si="92"/>
        <v>0.94444444444444398</v>
      </c>
      <c r="AX95" s="1167">
        <f t="shared" si="91"/>
        <v>42694</v>
      </c>
      <c r="AY95" s="1166">
        <v>6.4</v>
      </c>
      <c r="AZ95" s="1166">
        <v>47</v>
      </c>
      <c r="BA95" s="1168">
        <f>VLOOKUP(B95,ĐTBT!$V:$W,2,0)</f>
        <v>5</v>
      </c>
      <c r="BB95" s="1168"/>
      <c r="BC95" s="1168"/>
      <c r="BD95" s="1168"/>
      <c r="BE95" s="1168"/>
      <c r="BF95" s="1168"/>
      <c r="BG95" s="1168"/>
      <c r="BH95" s="1168"/>
      <c r="BI95" s="1168">
        <f t="shared" si="78"/>
        <v>0</v>
      </c>
      <c r="BJ95" s="1168">
        <f>VLOOKUP(B95,'Thong tin'!A:R,11,0)</f>
        <v>0</v>
      </c>
      <c r="BK95" s="1209"/>
    </row>
    <row r="96" spans="1:63" s="1210" customFormat="1" ht="15">
      <c r="A96" s="1217">
        <f>IF(C96="","",COUNTA($C$13:C96))</f>
        <v>84</v>
      </c>
      <c r="B96" s="1239" t="s">
        <v>669</v>
      </c>
      <c r="C96" s="1164">
        <v>0.58333333333333337</v>
      </c>
      <c r="D96" s="1164">
        <f t="shared" si="62"/>
        <v>0.60416666666666663</v>
      </c>
      <c r="E96" s="1165">
        <f t="shared" si="93"/>
        <v>42694</v>
      </c>
      <c r="F96" s="1164">
        <f t="shared" si="63"/>
        <v>0.61111111111111105</v>
      </c>
      <c r="G96" s="1164">
        <f t="shared" si="64"/>
        <v>0.61458333333333326</v>
      </c>
      <c r="H96" s="1165">
        <f t="shared" si="81"/>
        <v>42694</v>
      </c>
      <c r="I96" s="1166">
        <v>-3.0000000000000001E-3</v>
      </c>
      <c r="J96" s="1166">
        <v>7.0000000000000001E-3</v>
      </c>
      <c r="K96" s="1166">
        <v>-0.47499999999999998</v>
      </c>
      <c r="L96" s="1166">
        <v>-1.139</v>
      </c>
      <c r="M96" s="1164">
        <f t="shared" si="65"/>
        <v>0.61805555555555547</v>
      </c>
      <c r="N96" s="1164">
        <f t="shared" si="66"/>
        <v>0.6284722222222221</v>
      </c>
      <c r="O96" s="1165">
        <f t="shared" si="82"/>
        <v>42694</v>
      </c>
      <c r="P96" s="1166">
        <v>1.05</v>
      </c>
      <c r="Q96" s="1166">
        <v>9</v>
      </c>
      <c r="R96" s="1166">
        <v>22</v>
      </c>
      <c r="S96" s="1166">
        <v>0</v>
      </c>
      <c r="T96" s="1164">
        <f t="shared" si="67"/>
        <v>0.7534722222222221</v>
      </c>
      <c r="U96" s="1167">
        <f t="shared" si="83"/>
        <v>42694</v>
      </c>
      <c r="V96" s="1166">
        <v>21.3</v>
      </c>
      <c r="W96" s="1164">
        <f t="shared" si="68"/>
        <v>0.8784722222222221</v>
      </c>
      <c r="X96" s="1167">
        <f t="shared" si="84"/>
        <v>42694</v>
      </c>
      <c r="Y96" s="1166">
        <v>24</v>
      </c>
      <c r="Z96" s="1164">
        <f t="shared" si="69"/>
        <v>0.92013888888888873</v>
      </c>
      <c r="AA96" s="1164">
        <f t="shared" si="70"/>
        <v>0.94097222222222199</v>
      </c>
      <c r="AB96" s="1167">
        <f t="shared" si="85"/>
        <v>42694</v>
      </c>
      <c r="AC96" s="1166">
        <v>24</v>
      </c>
      <c r="AD96" s="1164">
        <f t="shared" si="71"/>
        <v>0.94791666666666641</v>
      </c>
      <c r="AE96" s="1164">
        <f t="shared" si="72"/>
        <v>0.95833333333333304</v>
      </c>
      <c r="AF96" s="1167">
        <f t="shared" si="86"/>
        <v>42694</v>
      </c>
      <c r="AG96" s="1164">
        <f t="shared" si="73"/>
        <v>0.96527777777777746</v>
      </c>
      <c r="AH96" s="1164">
        <f t="shared" si="74"/>
        <v>0.99652777777777746</v>
      </c>
      <c r="AI96" s="1167">
        <f t="shared" si="87"/>
        <v>42694</v>
      </c>
      <c r="AJ96" s="1164">
        <f t="shared" si="75"/>
        <v>1.0173611111111107</v>
      </c>
      <c r="AK96" s="1164">
        <f t="shared" si="76"/>
        <v>1.0243055555555551</v>
      </c>
      <c r="AL96" s="1167">
        <f t="shared" si="88"/>
        <v>42695</v>
      </c>
      <c r="AM96" s="1166">
        <v>1.05</v>
      </c>
      <c r="AN96" s="1166">
        <v>9</v>
      </c>
      <c r="AO96" s="1166">
        <v>22</v>
      </c>
      <c r="AP96" s="1166">
        <v>0</v>
      </c>
      <c r="AQ96" s="1164">
        <f t="shared" si="79"/>
        <v>1.0243055555555551</v>
      </c>
      <c r="AR96" s="1164">
        <f t="shared" si="77"/>
        <v>1.0312499999999996</v>
      </c>
      <c r="AS96" s="1167">
        <f t="shared" si="89"/>
        <v>42695</v>
      </c>
      <c r="AT96" s="1166">
        <v>24</v>
      </c>
      <c r="AU96" s="1164">
        <f t="shared" si="80"/>
        <v>1.0312499999999996</v>
      </c>
      <c r="AV96" s="1167">
        <f t="shared" si="90"/>
        <v>42695</v>
      </c>
      <c r="AW96" s="1164">
        <f t="shared" si="92"/>
        <v>1.0590277777777772</v>
      </c>
      <c r="AX96" s="1167">
        <f t="shared" si="91"/>
        <v>42695</v>
      </c>
      <c r="AY96" s="1166">
        <v>7.9</v>
      </c>
      <c r="AZ96" s="1166">
        <v>19</v>
      </c>
      <c r="BA96" s="1168">
        <f>VLOOKUP(B96,ĐTBT!$V:$W,2,0)</f>
        <v>2</v>
      </c>
      <c r="BB96" s="1168"/>
      <c r="BC96" s="1168"/>
      <c r="BD96" s="1168"/>
      <c r="BE96" s="1168"/>
      <c r="BF96" s="1168"/>
      <c r="BG96" s="1168"/>
      <c r="BH96" s="1168"/>
      <c r="BI96" s="1168">
        <f t="shared" si="78"/>
        <v>1</v>
      </c>
      <c r="BJ96" s="1168">
        <f>VLOOKUP(B96,'Thong tin'!A:R,11,0)</f>
        <v>0</v>
      </c>
      <c r="BK96" s="1209"/>
    </row>
    <row r="97" spans="1:63" s="1210" customFormat="1" ht="15">
      <c r="A97" s="1217">
        <f>IF(C97="","",COUNTA($C$13:C97))</f>
        <v>85</v>
      </c>
      <c r="B97" s="1239" t="s">
        <v>576</v>
      </c>
      <c r="C97" s="1164">
        <v>0.29166666666666669</v>
      </c>
      <c r="D97" s="1164">
        <f t="shared" si="62"/>
        <v>0.3125</v>
      </c>
      <c r="E97" s="1165">
        <f t="shared" si="93"/>
        <v>42694</v>
      </c>
      <c r="F97" s="1164">
        <f t="shared" si="63"/>
        <v>0.31944444444444442</v>
      </c>
      <c r="G97" s="1164">
        <f t="shared" si="64"/>
        <v>0.32291666666666663</v>
      </c>
      <c r="H97" s="1165">
        <f t="shared" si="81"/>
        <v>42694</v>
      </c>
      <c r="I97" s="1166">
        <v>1.4E-2</v>
      </c>
      <c r="J97" s="1166">
        <v>-4.0000000000000001E-3</v>
      </c>
      <c r="K97" s="1166">
        <v>-0.69399999999999995</v>
      </c>
      <c r="L97" s="1166">
        <v>-0.92200000000000004</v>
      </c>
      <c r="M97" s="1164">
        <f t="shared" si="65"/>
        <v>0.32638888888888884</v>
      </c>
      <c r="N97" s="1164">
        <f t="shared" si="66"/>
        <v>0.33680555555555552</v>
      </c>
      <c r="O97" s="1165">
        <f t="shared" si="82"/>
        <v>42694</v>
      </c>
      <c r="P97" s="1166">
        <v>1.05</v>
      </c>
      <c r="Q97" s="1166">
        <v>9</v>
      </c>
      <c r="R97" s="1166">
        <v>23</v>
      </c>
      <c r="S97" s="1166">
        <v>0</v>
      </c>
      <c r="T97" s="1164">
        <f t="shared" si="67"/>
        <v>0.46180555555555552</v>
      </c>
      <c r="U97" s="1167">
        <f t="shared" si="83"/>
        <v>42694</v>
      </c>
      <c r="V97" s="1166">
        <v>18.8</v>
      </c>
      <c r="W97" s="1164">
        <f t="shared" si="68"/>
        <v>0.58680555555555558</v>
      </c>
      <c r="X97" s="1167">
        <f t="shared" si="84"/>
        <v>42694</v>
      </c>
      <c r="Y97" s="1166">
        <v>31.6</v>
      </c>
      <c r="Z97" s="1164">
        <f t="shared" si="69"/>
        <v>0.62847222222222221</v>
      </c>
      <c r="AA97" s="1164">
        <f t="shared" si="70"/>
        <v>0.64930555555555547</v>
      </c>
      <c r="AB97" s="1167">
        <f t="shared" si="85"/>
        <v>42694</v>
      </c>
      <c r="AC97" s="1166">
        <v>31.6</v>
      </c>
      <c r="AD97" s="1164">
        <f t="shared" si="71"/>
        <v>0.65624999999999989</v>
      </c>
      <c r="AE97" s="1164">
        <f t="shared" si="72"/>
        <v>0.66666666666666652</v>
      </c>
      <c r="AF97" s="1167">
        <f t="shared" si="86"/>
        <v>42694</v>
      </c>
      <c r="AG97" s="1164">
        <f t="shared" si="73"/>
        <v>0.67361111111111094</v>
      </c>
      <c r="AH97" s="1164">
        <f t="shared" si="74"/>
        <v>0.70486111111111094</v>
      </c>
      <c r="AI97" s="1167">
        <f t="shared" si="87"/>
        <v>42694</v>
      </c>
      <c r="AJ97" s="1164">
        <f t="shared" si="75"/>
        <v>0.7256944444444442</v>
      </c>
      <c r="AK97" s="1164">
        <f t="shared" si="76"/>
        <v>0.73263888888888862</v>
      </c>
      <c r="AL97" s="1167">
        <f t="shared" si="88"/>
        <v>42694</v>
      </c>
      <c r="AM97" s="1166">
        <v>1.06</v>
      </c>
      <c r="AN97" s="1166">
        <v>9</v>
      </c>
      <c r="AO97" s="1166">
        <v>23</v>
      </c>
      <c r="AP97" s="1166">
        <v>0</v>
      </c>
      <c r="AQ97" s="1164">
        <f t="shared" si="79"/>
        <v>0.73263888888888862</v>
      </c>
      <c r="AR97" s="1164">
        <f t="shared" si="77"/>
        <v>0.73958333333333304</v>
      </c>
      <c r="AS97" s="1167">
        <f t="shared" si="89"/>
        <v>42694</v>
      </c>
      <c r="AT97" s="1166">
        <v>31.6</v>
      </c>
      <c r="AU97" s="1164">
        <f t="shared" si="80"/>
        <v>0.73958333333333304</v>
      </c>
      <c r="AV97" s="1167">
        <f t="shared" si="90"/>
        <v>42694</v>
      </c>
      <c r="AW97" s="1164">
        <f t="shared" si="92"/>
        <v>0.80902777777777746</v>
      </c>
      <c r="AX97" s="1167">
        <f t="shared" si="91"/>
        <v>42694</v>
      </c>
      <c r="AY97" s="1166">
        <v>7</v>
      </c>
      <c r="AZ97" s="1166">
        <v>44</v>
      </c>
      <c r="BA97" s="1168">
        <f>VLOOKUP(B97,ĐTBT!$V:$W,2,0)</f>
        <v>5</v>
      </c>
      <c r="BB97" s="1168"/>
      <c r="BC97" s="1168"/>
      <c r="BD97" s="1168"/>
      <c r="BE97" s="1168"/>
      <c r="BF97" s="1168"/>
      <c r="BG97" s="1168"/>
      <c r="BH97" s="1168"/>
      <c r="BI97" s="1168">
        <f t="shared" si="78"/>
        <v>0</v>
      </c>
      <c r="BJ97" s="1168">
        <f>VLOOKUP(B97,'Thong tin'!A:R,11,0)</f>
        <v>0</v>
      </c>
      <c r="BK97" s="1209"/>
    </row>
    <row r="98" spans="1:63" s="1210" customFormat="1" ht="15">
      <c r="A98" s="1217">
        <f>IF(C98="","",COUNTA($C$13:C98))</f>
        <v>86</v>
      </c>
      <c r="B98" s="1239" t="s">
        <v>520</v>
      </c>
      <c r="C98" s="1164">
        <v>0.40625</v>
      </c>
      <c r="D98" s="1164">
        <f t="shared" si="62"/>
        <v>0.42708333333333331</v>
      </c>
      <c r="E98" s="1165">
        <f t="shared" si="93"/>
        <v>42695</v>
      </c>
      <c r="F98" s="1164">
        <f t="shared" si="63"/>
        <v>0.43402777777777773</v>
      </c>
      <c r="G98" s="1164">
        <f t="shared" si="64"/>
        <v>0.43749999999999994</v>
      </c>
      <c r="H98" s="1165">
        <f t="shared" si="81"/>
        <v>42695</v>
      </c>
      <c r="I98" s="1166">
        <v>1.4999999999999999E-2</v>
      </c>
      <c r="J98" s="1166">
        <v>1.7999999999999999E-2</v>
      </c>
      <c r="K98" s="1166">
        <v>-0.6</v>
      </c>
      <c r="L98" s="1166">
        <v>-0.97699999999999998</v>
      </c>
      <c r="M98" s="1164">
        <f t="shared" si="65"/>
        <v>0.44097222222222215</v>
      </c>
      <c r="N98" s="1164">
        <f t="shared" si="66"/>
        <v>0.45138888888888884</v>
      </c>
      <c r="O98" s="1165">
        <f t="shared" si="82"/>
        <v>42695</v>
      </c>
      <c r="P98" s="1166">
        <v>1.05</v>
      </c>
      <c r="Q98" s="1166">
        <v>9</v>
      </c>
      <c r="R98" s="1166">
        <v>23</v>
      </c>
      <c r="S98" s="1166">
        <v>0</v>
      </c>
      <c r="T98" s="1164">
        <f t="shared" si="67"/>
        <v>0.57638888888888884</v>
      </c>
      <c r="U98" s="1167">
        <f t="shared" si="83"/>
        <v>42695</v>
      </c>
      <c r="V98" s="1166">
        <v>21.9</v>
      </c>
      <c r="W98" s="1164">
        <f t="shared" si="68"/>
        <v>0.70138888888888884</v>
      </c>
      <c r="X98" s="1167">
        <f t="shared" si="84"/>
        <v>42695</v>
      </c>
      <c r="Y98" s="1166">
        <v>24.3</v>
      </c>
      <c r="Z98" s="1164">
        <f t="shared" si="69"/>
        <v>0.74305555555555547</v>
      </c>
      <c r="AA98" s="1164">
        <f t="shared" si="70"/>
        <v>0.76388888888888873</v>
      </c>
      <c r="AB98" s="1167">
        <f t="shared" si="85"/>
        <v>42695</v>
      </c>
      <c r="AC98" s="1166">
        <v>24.3</v>
      </c>
      <c r="AD98" s="1164">
        <f t="shared" si="71"/>
        <v>0.77083333333333315</v>
      </c>
      <c r="AE98" s="1164">
        <f t="shared" si="72"/>
        <v>0.78124999999999978</v>
      </c>
      <c r="AF98" s="1167">
        <f t="shared" si="86"/>
        <v>42695</v>
      </c>
      <c r="AG98" s="1164">
        <f t="shared" si="73"/>
        <v>0.7881944444444442</v>
      </c>
      <c r="AH98" s="1164">
        <f t="shared" si="74"/>
        <v>0.82986111111111083</v>
      </c>
      <c r="AI98" s="1167">
        <f t="shared" si="87"/>
        <v>42695</v>
      </c>
      <c r="AJ98" s="1164">
        <f t="shared" si="75"/>
        <v>0.85069444444444409</v>
      </c>
      <c r="AK98" s="1164">
        <f t="shared" si="76"/>
        <v>0.85763888888888851</v>
      </c>
      <c r="AL98" s="1167">
        <f t="shared" si="88"/>
        <v>42695</v>
      </c>
      <c r="AM98" s="1166">
        <v>1.06</v>
      </c>
      <c r="AN98" s="1166">
        <v>9</v>
      </c>
      <c r="AO98" s="1166">
        <v>23</v>
      </c>
      <c r="AP98" s="1166">
        <v>0</v>
      </c>
      <c r="AQ98" s="1164">
        <f t="shared" si="79"/>
        <v>0.85763888888888851</v>
      </c>
      <c r="AR98" s="1164">
        <f t="shared" si="77"/>
        <v>0.86458333333333293</v>
      </c>
      <c r="AS98" s="1167">
        <f t="shared" si="89"/>
        <v>42695</v>
      </c>
      <c r="AT98" s="1166">
        <v>24.3</v>
      </c>
      <c r="AU98" s="1164">
        <f t="shared" si="80"/>
        <v>0.86458333333333293</v>
      </c>
      <c r="AV98" s="1167">
        <f t="shared" si="90"/>
        <v>42695</v>
      </c>
      <c r="AW98" s="1164">
        <f t="shared" si="92"/>
        <v>0.90624999999999956</v>
      </c>
      <c r="AX98" s="1167">
        <f t="shared" si="91"/>
        <v>42695</v>
      </c>
      <c r="AY98" s="1166">
        <v>6.7</v>
      </c>
      <c r="AZ98" s="1166">
        <v>21.5</v>
      </c>
      <c r="BA98" s="1168">
        <f>VLOOKUP(B98,ĐTBT!$V:$W,2,0)</f>
        <v>3</v>
      </c>
      <c r="BB98" s="1168"/>
      <c r="BC98" s="1168"/>
      <c r="BD98" s="1168"/>
      <c r="BE98" s="1168"/>
      <c r="BF98" s="1168"/>
      <c r="BG98" s="1168"/>
      <c r="BH98" s="1168"/>
      <c r="BI98" s="1168">
        <f t="shared" si="78"/>
        <v>0</v>
      </c>
      <c r="BJ98" s="1168">
        <f>VLOOKUP(B98,'Thong tin'!A:R,11,0)</f>
        <v>3</v>
      </c>
      <c r="BK98" s="1209"/>
    </row>
    <row r="99" spans="1:63" s="1210" customFormat="1" ht="15">
      <c r="A99" s="1217">
        <f>IF(C99="","",COUNTA($C$13:C99))</f>
        <v>87</v>
      </c>
      <c r="B99" s="1239" t="s">
        <v>561</v>
      </c>
      <c r="C99" s="1164">
        <v>0.58333333333333337</v>
      </c>
      <c r="D99" s="1164">
        <f t="shared" si="62"/>
        <v>0.60416666666666663</v>
      </c>
      <c r="E99" s="1165">
        <f t="shared" si="93"/>
        <v>42695</v>
      </c>
      <c r="F99" s="1164">
        <f t="shared" si="63"/>
        <v>0.61111111111111105</v>
      </c>
      <c r="G99" s="1164">
        <f t="shared" si="64"/>
        <v>0.61458333333333326</v>
      </c>
      <c r="H99" s="1165">
        <f t="shared" si="81"/>
        <v>42695</v>
      </c>
      <c r="I99" s="1166">
        <v>-1.9E-2</v>
      </c>
      <c r="J99" s="1166">
        <v>2.3E-2</v>
      </c>
      <c r="K99" s="1166">
        <v>-0.65</v>
      </c>
      <c r="L99" s="1166">
        <v>-1.101</v>
      </c>
      <c r="M99" s="1164">
        <f t="shared" si="65"/>
        <v>0.61805555555555547</v>
      </c>
      <c r="N99" s="1164">
        <f t="shared" si="66"/>
        <v>0.6284722222222221</v>
      </c>
      <c r="O99" s="1165">
        <f t="shared" si="82"/>
        <v>42695</v>
      </c>
      <c r="P99" s="1166">
        <v>1.06</v>
      </c>
      <c r="Q99" s="1166">
        <v>9</v>
      </c>
      <c r="R99" s="1166">
        <v>23</v>
      </c>
      <c r="S99" s="1166">
        <v>0</v>
      </c>
      <c r="T99" s="1164">
        <f t="shared" si="67"/>
        <v>0.7534722222222221</v>
      </c>
      <c r="U99" s="1167">
        <f t="shared" si="83"/>
        <v>42695</v>
      </c>
      <c r="V99" s="1166">
        <v>22.8</v>
      </c>
      <c r="W99" s="1164">
        <f t="shared" si="68"/>
        <v>0.8784722222222221</v>
      </c>
      <c r="X99" s="1167">
        <f t="shared" si="84"/>
        <v>42695</v>
      </c>
      <c r="Y99" s="1166">
        <v>31.65</v>
      </c>
      <c r="Z99" s="1164">
        <f t="shared" si="69"/>
        <v>0.92013888888888873</v>
      </c>
      <c r="AA99" s="1164">
        <f t="shared" si="70"/>
        <v>0.94097222222222199</v>
      </c>
      <c r="AB99" s="1167">
        <f t="shared" si="85"/>
        <v>42695</v>
      </c>
      <c r="AC99" s="1166">
        <v>31.65</v>
      </c>
      <c r="AD99" s="1164">
        <f t="shared" si="71"/>
        <v>0.94791666666666641</v>
      </c>
      <c r="AE99" s="1164">
        <f t="shared" si="72"/>
        <v>0.95833333333333304</v>
      </c>
      <c r="AF99" s="1167">
        <f t="shared" si="86"/>
        <v>42695</v>
      </c>
      <c r="AG99" s="1164">
        <f t="shared" si="73"/>
        <v>0.96527777777777746</v>
      </c>
      <c r="AH99" s="1164">
        <f t="shared" si="74"/>
        <v>0.99652777777777746</v>
      </c>
      <c r="AI99" s="1167">
        <f t="shared" si="87"/>
        <v>42695</v>
      </c>
      <c r="AJ99" s="1164">
        <f t="shared" si="75"/>
        <v>1.0173611111111107</v>
      </c>
      <c r="AK99" s="1164">
        <f t="shared" si="76"/>
        <v>1.0243055555555551</v>
      </c>
      <c r="AL99" s="1167">
        <f t="shared" si="88"/>
        <v>42696</v>
      </c>
      <c r="AM99" s="1166">
        <v>1.06</v>
      </c>
      <c r="AN99" s="1166">
        <v>9</v>
      </c>
      <c r="AO99" s="1166">
        <v>23</v>
      </c>
      <c r="AP99" s="1166">
        <v>0</v>
      </c>
      <c r="AQ99" s="1164">
        <f t="shared" si="79"/>
        <v>1.0243055555555551</v>
      </c>
      <c r="AR99" s="1164">
        <f t="shared" si="77"/>
        <v>1.0312499999999996</v>
      </c>
      <c r="AS99" s="1167">
        <f t="shared" si="89"/>
        <v>42696</v>
      </c>
      <c r="AT99" s="1166">
        <v>31.65</v>
      </c>
      <c r="AU99" s="1164">
        <f t="shared" si="80"/>
        <v>1.0312499999999996</v>
      </c>
      <c r="AV99" s="1167">
        <f t="shared" si="90"/>
        <v>42696</v>
      </c>
      <c r="AW99" s="1164">
        <f t="shared" si="92"/>
        <v>1.0868055555555551</v>
      </c>
      <c r="AX99" s="1167">
        <f t="shared" si="91"/>
        <v>42696</v>
      </c>
      <c r="AY99" s="1166">
        <v>7</v>
      </c>
      <c r="AZ99" s="1166">
        <v>33.5</v>
      </c>
      <c r="BA99" s="1168">
        <f>VLOOKUP(B99,ĐTBT!$V:$W,2,0)</f>
        <v>4</v>
      </c>
      <c r="BB99" s="1168"/>
      <c r="BC99" s="1168"/>
      <c r="BD99" s="1168"/>
      <c r="BE99" s="1168"/>
      <c r="BF99" s="1168"/>
      <c r="BG99" s="1168"/>
      <c r="BH99" s="1168"/>
      <c r="BI99" s="1168">
        <f t="shared" si="78"/>
        <v>1</v>
      </c>
      <c r="BJ99" s="1168">
        <f>VLOOKUP(B99,'Thong tin'!A:R,11,0)</f>
        <v>0</v>
      </c>
      <c r="BK99" s="1209"/>
    </row>
    <row r="100" spans="1:63" s="1210" customFormat="1" ht="15">
      <c r="A100" s="1217">
        <f>IF(C100="","",COUNTA($C$13:C100))</f>
        <v>88</v>
      </c>
      <c r="B100" s="1239" t="s">
        <v>569</v>
      </c>
      <c r="C100" s="1164">
        <v>0.65625</v>
      </c>
      <c r="D100" s="1164">
        <f t="shared" si="62"/>
        <v>0.67708333333333326</v>
      </c>
      <c r="E100" s="1165">
        <f t="shared" si="93"/>
        <v>42696</v>
      </c>
      <c r="F100" s="1164">
        <f t="shared" si="63"/>
        <v>0.68402777777777768</v>
      </c>
      <c r="G100" s="1164">
        <f t="shared" si="64"/>
        <v>0.68749999999999989</v>
      </c>
      <c r="H100" s="1165">
        <f t="shared" si="81"/>
        <v>42696</v>
      </c>
      <c r="I100" s="1166">
        <v>-2.3E-2</v>
      </c>
      <c r="J100" s="1166">
        <v>1.4E-2</v>
      </c>
      <c r="K100" s="1166">
        <v>-0.68</v>
      </c>
      <c r="L100" s="1166">
        <v>-1.012</v>
      </c>
      <c r="M100" s="1164">
        <f t="shared" si="65"/>
        <v>0.6909722222222221</v>
      </c>
      <c r="N100" s="1164">
        <f t="shared" si="66"/>
        <v>0.70138888888888873</v>
      </c>
      <c r="O100" s="1165">
        <f t="shared" si="82"/>
        <v>42696</v>
      </c>
      <c r="P100" s="1166">
        <v>1.05</v>
      </c>
      <c r="Q100" s="1166">
        <v>9</v>
      </c>
      <c r="R100" s="1166">
        <v>22</v>
      </c>
      <c r="S100" s="1166">
        <v>0</v>
      </c>
      <c r="T100" s="1164">
        <f t="shared" si="67"/>
        <v>0.82638888888888873</v>
      </c>
      <c r="U100" s="1167">
        <f t="shared" si="83"/>
        <v>42696</v>
      </c>
      <c r="V100" s="1166">
        <v>21.4</v>
      </c>
      <c r="W100" s="1164">
        <f t="shared" si="68"/>
        <v>0.95138888888888873</v>
      </c>
      <c r="X100" s="1167">
        <f t="shared" si="84"/>
        <v>42696</v>
      </c>
      <c r="Y100" s="1166">
        <v>24.22</v>
      </c>
      <c r="Z100" s="1164">
        <f t="shared" si="69"/>
        <v>0.99305555555555536</v>
      </c>
      <c r="AA100" s="1164">
        <f t="shared" si="70"/>
        <v>1.0138888888888886</v>
      </c>
      <c r="AB100" s="1167">
        <f t="shared" si="85"/>
        <v>42697</v>
      </c>
      <c r="AC100" s="1166">
        <v>24.22</v>
      </c>
      <c r="AD100" s="1164">
        <f t="shared" si="71"/>
        <v>1.020833333333333</v>
      </c>
      <c r="AE100" s="1164">
        <f t="shared" si="72"/>
        <v>1.0312499999999998</v>
      </c>
      <c r="AF100" s="1167">
        <f t="shared" si="86"/>
        <v>42697</v>
      </c>
      <c r="AG100" s="1164">
        <f t="shared" si="73"/>
        <v>1.0381944444444442</v>
      </c>
      <c r="AH100" s="1164">
        <f t="shared" si="74"/>
        <v>1.0798611111111107</v>
      </c>
      <c r="AI100" s="1167">
        <f t="shared" si="87"/>
        <v>42697</v>
      </c>
      <c r="AJ100" s="1164">
        <f t="shared" si="75"/>
        <v>1.100694444444444</v>
      </c>
      <c r="AK100" s="1164">
        <f t="shared" si="76"/>
        <v>1.1076388888888884</v>
      </c>
      <c r="AL100" s="1167">
        <f t="shared" si="88"/>
        <v>42697</v>
      </c>
      <c r="AM100" s="1166">
        <v>1.06</v>
      </c>
      <c r="AN100" s="1166">
        <v>9</v>
      </c>
      <c r="AO100" s="1166">
        <v>23</v>
      </c>
      <c r="AP100" s="1166">
        <v>0</v>
      </c>
      <c r="AQ100" s="1164">
        <f t="shared" si="79"/>
        <v>1.1076388888888884</v>
      </c>
      <c r="AR100" s="1164">
        <f t="shared" si="77"/>
        <v>1.1145833333333328</v>
      </c>
      <c r="AS100" s="1167">
        <f t="shared" si="89"/>
        <v>42697</v>
      </c>
      <c r="AT100" s="1166">
        <v>24.22</v>
      </c>
      <c r="AU100" s="1164">
        <f t="shared" si="80"/>
        <v>1.1145833333333328</v>
      </c>
      <c r="AV100" s="1167">
        <f t="shared" si="90"/>
        <v>42697</v>
      </c>
      <c r="AW100" s="1164">
        <f t="shared" si="92"/>
        <v>1.1423611111111105</v>
      </c>
      <c r="AX100" s="1167">
        <f t="shared" si="91"/>
        <v>42697</v>
      </c>
      <c r="AY100" s="1166">
        <v>6.6</v>
      </c>
      <c r="AZ100" s="1166">
        <v>20</v>
      </c>
      <c r="BA100" s="1168">
        <f>VLOOKUP(B100,ĐTBT!$V:$W,2,0)</f>
        <v>2</v>
      </c>
      <c r="BB100" s="1168"/>
      <c r="BC100" s="1168"/>
      <c r="BD100" s="1168"/>
      <c r="BE100" s="1168"/>
      <c r="BF100" s="1168"/>
      <c r="BG100" s="1168"/>
      <c r="BH100" s="1168"/>
      <c r="BI100" s="1168">
        <f t="shared" si="78"/>
        <v>1</v>
      </c>
      <c r="BJ100" s="1168">
        <f>VLOOKUP(B100,'Thong tin'!A:R,11,0)</f>
        <v>4</v>
      </c>
      <c r="BK100" s="1209"/>
    </row>
    <row r="101" spans="1:63" s="1210" customFormat="1" ht="15">
      <c r="A101" s="1217">
        <f>IF(C101="","",COUNTA($C$13:C101))</f>
        <v>89</v>
      </c>
      <c r="B101" s="1239" t="s">
        <v>686</v>
      </c>
      <c r="C101" s="1164">
        <v>0.35416666666666669</v>
      </c>
      <c r="D101" s="1164">
        <f t="shared" si="62"/>
        <v>0.375</v>
      </c>
      <c r="E101" s="1165">
        <f t="shared" si="93"/>
        <v>42696</v>
      </c>
      <c r="F101" s="1164">
        <f t="shared" si="63"/>
        <v>0.38194444444444442</v>
      </c>
      <c r="G101" s="1164">
        <f t="shared" si="64"/>
        <v>0.38541666666666663</v>
      </c>
      <c r="H101" s="1165">
        <f t="shared" si="81"/>
        <v>42696</v>
      </c>
      <c r="I101" s="1166">
        <v>-2.1000000000000001E-2</v>
      </c>
      <c r="J101" s="1166">
        <v>-1.2999999999999999E-2</v>
      </c>
      <c r="K101" s="1166">
        <v>-0.52500000000000002</v>
      </c>
      <c r="L101" s="1166">
        <v>-1.0720000000000001</v>
      </c>
      <c r="M101" s="1164">
        <f t="shared" si="65"/>
        <v>0.38888888888888884</v>
      </c>
      <c r="N101" s="1164">
        <f t="shared" si="66"/>
        <v>0.39930555555555552</v>
      </c>
      <c r="O101" s="1165">
        <f t="shared" si="82"/>
        <v>42696</v>
      </c>
      <c r="P101" s="1166">
        <v>1.05</v>
      </c>
      <c r="Q101" s="1166">
        <v>9</v>
      </c>
      <c r="R101" s="1166">
        <v>23</v>
      </c>
      <c r="S101" s="1166">
        <v>0</v>
      </c>
      <c r="T101" s="1164">
        <f t="shared" si="67"/>
        <v>0.52430555555555558</v>
      </c>
      <c r="U101" s="1167">
        <f t="shared" si="83"/>
        <v>42696</v>
      </c>
      <c r="V101" s="1166">
        <v>24</v>
      </c>
      <c r="W101" s="1164">
        <f t="shared" si="68"/>
        <v>0.64930555555555558</v>
      </c>
      <c r="X101" s="1167">
        <f t="shared" si="84"/>
        <v>42696</v>
      </c>
      <c r="Y101" s="1166">
        <v>31.8</v>
      </c>
      <c r="Z101" s="1164">
        <f t="shared" si="69"/>
        <v>0.69097222222222221</v>
      </c>
      <c r="AA101" s="1164">
        <f t="shared" si="70"/>
        <v>0.71180555555555547</v>
      </c>
      <c r="AB101" s="1167">
        <f t="shared" si="85"/>
        <v>42696</v>
      </c>
      <c r="AC101" s="1166">
        <v>31.8</v>
      </c>
      <c r="AD101" s="1164">
        <f t="shared" si="71"/>
        <v>0.71874999999999989</v>
      </c>
      <c r="AE101" s="1164">
        <f t="shared" si="72"/>
        <v>0.72916666666666652</v>
      </c>
      <c r="AF101" s="1167">
        <f t="shared" si="86"/>
        <v>42696</v>
      </c>
      <c r="AG101" s="1164">
        <f t="shared" si="73"/>
        <v>0.73611111111111094</v>
      </c>
      <c r="AH101" s="1164">
        <f t="shared" si="74"/>
        <v>0.77777777777777757</v>
      </c>
      <c r="AI101" s="1167">
        <f t="shared" si="87"/>
        <v>42696</v>
      </c>
      <c r="AJ101" s="1164">
        <f t="shared" si="75"/>
        <v>0.79861111111111083</v>
      </c>
      <c r="AK101" s="1164">
        <f t="shared" si="76"/>
        <v>0.80555555555555525</v>
      </c>
      <c r="AL101" s="1167">
        <f t="shared" si="88"/>
        <v>42696</v>
      </c>
      <c r="AM101" s="1166">
        <v>1.05</v>
      </c>
      <c r="AN101" s="1166">
        <v>9</v>
      </c>
      <c r="AO101" s="1166">
        <v>23</v>
      </c>
      <c r="AP101" s="1166">
        <v>0</v>
      </c>
      <c r="AQ101" s="1164">
        <f t="shared" si="79"/>
        <v>0.80555555555555525</v>
      </c>
      <c r="AR101" s="1164">
        <f t="shared" si="77"/>
        <v>0.81249999999999967</v>
      </c>
      <c r="AS101" s="1167">
        <f t="shared" si="89"/>
        <v>42696</v>
      </c>
      <c r="AT101" s="1166">
        <v>31.8</v>
      </c>
      <c r="AU101" s="1164">
        <f t="shared" si="80"/>
        <v>0.81249999999999967</v>
      </c>
      <c r="AV101" s="1167">
        <f t="shared" si="90"/>
        <v>42696</v>
      </c>
      <c r="AW101" s="1164">
        <f t="shared" si="92"/>
        <v>0.86805555555555525</v>
      </c>
      <c r="AX101" s="1167">
        <f t="shared" si="91"/>
        <v>42696</v>
      </c>
      <c r="AY101" s="1166">
        <v>6.8</v>
      </c>
      <c r="AZ101" s="1166">
        <v>32</v>
      </c>
      <c r="BA101" s="1168">
        <f>VLOOKUP(B101,ĐTBT!$V:$W,2,0)</f>
        <v>4</v>
      </c>
      <c r="BB101" s="1168"/>
      <c r="BC101" s="1168"/>
      <c r="BD101" s="1168"/>
      <c r="BE101" s="1168"/>
      <c r="BF101" s="1168"/>
      <c r="BG101" s="1168"/>
      <c r="BH101" s="1168"/>
      <c r="BI101" s="1168">
        <f t="shared" si="78"/>
        <v>0</v>
      </c>
      <c r="BJ101" s="1168">
        <f>VLOOKUP(B101,'Thong tin'!A:R,11,0)</f>
        <v>3</v>
      </c>
      <c r="BK101" s="1209"/>
    </row>
    <row r="102" spans="1:63" s="1210" customFormat="1" ht="15">
      <c r="A102" s="1217">
        <f>IF(C102="","",COUNTA($C$13:C102))</f>
        <v>90</v>
      </c>
      <c r="B102" s="1239" t="s">
        <v>564</v>
      </c>
      <c r="C102" s="1164">
        <v>0.33333333333333331</v>
      </c>
      <c r="D102" s="1164">
        <f t="shared" si="62"/>
        <v>0.35416666666666663</v>
      </c>
      <c r="E102" s="1165">
        <f t="shared" si="93"/>
        <v>42696</v>
      </c>
      <c r="F102" s="1164">
        <f t="shared" si="63"/>
        <v>0.36111111111111105</v>
      </c>
      <c r="G102" s="1164">
        <f t="shared" si="64"/>
        <v>0.36458333333333326</v>
      </c>
      <c r="H102" s="1165">
        <f t="shared" si="81"/>
        <v>42696</v>
      </c>
      <c r="I102" s="1166">
        <v>-1.6E-2</v>
      </c>
      <c r="J102" s="1166">
        <v>1.2E-2</v>
      </c>
      <c r="K102" s="1166">
        <v>-0.3</v>
      </c>
      <c r="L102" s="1166">
        <v>-0.93500000000000005</v>
      </c>
      <c r="M102" s="1164">
        <f t="shared" si="65"/>
        <v>0.36805555555555547</v>
      </c>
      <c r="N102" s="1164">
        <f t="shared" si="66"/>
        <v>0.37847222222222215</v>
      </c>
      <c r="O102" s="1165">
        <f t="shared" si="82"/>
        <v>42696</v>
      </c>
      <c r="P102" s="1166">
        <v>1.05</v>
      </c>
      <c r="Q102" s="1166">
        <v>9</v>
      </c>
      <c r="R102" s="1166">
        <v>23</v>
      </c>
      <c r="S102" s="1166">
        <v>0</v>
      </c>
      <c r="T102" s="1164">
        <f t="shared" si="67"/>
        <v>0.5034722222222221</v>
      </c>
      <c r="U102" s="1167">
        <f t="shared" si="83"/>
        <v>42696</v>
      </c>
      <c r="V102" s="1166">
        <v>21.2</v>
      </c>
      <c r="W102" s="1164">
        <f t="shared" si="68"/>
        <v>0.6284722222222221</v>
      </c>
      <c r="X102" s="1167">
        <f t="shared" si="84"/>
        <v>42696</v>
      </c>
      <c r="Y102" s="1166">
        <v>24.8</v>
      </c>
      <c r="Z102" s="1164">
        <f t="shared" si="69"/>
        <v>0.67013888888888873</v>
      </c>
      <c r="AA102" s="1164">
        <f t="shared" si="70"/>
        <v>0.69097222222222199</v>
      </c>
      <c r="AB102" s="1167">
        <f t="shared" si="85"/>
        <v>42696</v>
      </c>
      <c r="AC102" s="1166">
        <v>24.8</v>
      </c>
      <c r="AD102" s="1164">
        <f t="shared" si="71"/>
        <v>0.69791666666666641</v>
      </c>
      <c r="AE102" s="1164">
        <f t="shared" si="72"/>
        <v>0.70833333333333304</v>
      </c>
      <c r="AF102" s="1167">
        <f t="shared" si="86"/>
        <v>42696</v>
      </c>
      <c r="AG102" s="1164">
        <f t="shared" si="73"/>
        <v>0.71527777777777746</v>
      </c>
      <c r="AH102" s="1164">
        <f t="shared" si="74"/>
        <v>0.74652777777777746</v>
      </c>
      <c r="AI102" s="1167">
        <f t="shared" si="87"/>
        <v>42696</v>
      </c>
      <c r="AJ102" s="1164">
        <f t="shared" si="75"/>
        <v>0.76736111111111072</v>
      </c>
      <c r="AK102" s="1164">
        <f t="shared" si="76"/>
        <v>0.77430555555555514</v>
      </c>
      <c r="AL102" s="1167">
        <f t="shared" si="88"/>
        <v>42696</v>
      </c>
      <c r="AM102" s="1166">
        <v>1.05</v>
      </c>
      <c r="AN102" s="1166">
        <v>9</v>
      </c>
      <c r="AO102" s="1166">
        <v>22</v>
      </c>
      <c r="AP102" s="1166">
        <v>0</v>
      </c>
      <c r="AQ102" s="1164">
        <f t="shared" si="79"/>
        <v>0.77430555555555514</v>
      </c>
      <c r="AR102" s="1164">
        <f t="shared" si="77"/>
        <v>0.78124999999999956</v>
      </c>
      <c r="AS102" s="1167">
        <f t="shared" si="89"/>
        <v>42696</v>
      </c>
      <c r="AT102" s="1166">
        <v>24.8</v>
      </c>
      <c r="AU102" s="1164">
        <f t="shared" si="80"/>
        <v>0.78124999999999956</v>
      </c>
      <c r="AV102" s="1167">
        <f t="shared" si="90"/>
        <v>42696</v>
      </c>
      <c r="AW102" s="1164">
        <f t="shared" si="92"/>
        <v>0.80902777777777735</v>
      </c>
      <c r="AX102" s="1167">
        <f t="shared" si="91"/>
        <v>42696</v>
      </c>
      <c r="AY102" s="1166">
        <v>7</v>
      </c>
      <c r="AZ102" s="1166">
        <v>21.5</v>
      </c>
      <c r="BA102" s="1168">
        <f>VLOOKUP(B102,ĐTBT!$V:$W,2,0)</f>
        <v>2</v>
      </c>
      <c r="BB102" s="1168"/>
      <c r="BC102" s="1168"/>
      <c r="BD102" s="1168"/>
      <c r="BE102" s="1168"/>
      <c r="BF102" s="1168"/>
      <c r="BG102" s="1168"/>
      <c r="BH102" s="1168"/>
      <c r="BI102" s="1168">
        <f t="shared" si="78"/>
        <v>0</v>
      </c>
      <c r="BJ102" s="1168">
        <f>VLOOKUP(B102,'Thong tin'!A:R,11,0)</f>
        <v>0</v>
      </c>
      <c r="BK102" s="1209"/>
    </row>
    <row r="103" spans="1:63" s="1210" customFormat="1" ht="15">
      <c r="A103" s="1217">
        <f>IF(C103="","",COUNTA($C$13:C103))</f>
        <v>91</v>
      </c>
      <c r="B103" s="1239" t="s">
        <v>571</v>
      </c>
      <c r="C103" s="1164">
        <v>0.41666666666666669</v>
      </c>
      <c r="D103" s="1164">
        <f t="shared" si="62"/>
        <v>0.4375</v>
      </c>
      <c r="E103" s="1165">
        <f t="shared" si="93"/>
        <v>42697</v>
      </c>
      <c r="F103" s="1164">
        <f t="shared" si="63"/>
        <v>0.44444444444444442</v>
      </c>
      <c r="G103" s="1164">
        <f t="shared" si="64"/>
        <v>0.44791666666666663</v>
      </c>
      <c r="H103" s="1165">
        <f t="shared" si="81"/>
        <v>42697</v>
      </c>
      <c r="I103" s="1166">
        <v>0.02</v>
      </c>
      <c r="J103" s="1166">
        <v>1.4E-2</v>
      </c>
      <c r="K103" s="1166">
        <v>-0.64500000000000002</v>
      </c>
      <c r="L103" s="1166">
        <v>-1.0960000000000001</v>
      </c>
      <c r="M103" s="1164">
        <f t="shared" si="65"/>
        <v>0.45138888888888884</v>
      </c>
      <c r="N103" s="1164">
        <f t="shared" si="66"/>
        <v>0.46180555555555552</v>
      </c>
      <c r="O103" s="1165">
        <f t="shared" si="82"/>
        <v>42697</v>
      </c>
      <c r="P103" s="1166">
        <v>1.05</v>
      </c>
      <c r="Q103" s="1166">
        <v>9</v>
      </c>
      <c r="R103" s="1166">
        <v>23</v>
      </c>
      <c r="S103" s="1166">
        <v>0</v>
      </c>
      <c r="T103" s="1164">
        <f t="shared" si="67"/>
        <v>0.58680555555555558</v>
      </c>
      <c r="U103" s="1167">
        <f t="shared" si="83"/>
        <v>42697</v>
      </c>
      <c r="V103" s="1166">
        <v>20.100000000000001</v>
      </c>
      <c r="W103" s="1164">
        <f t="shared" si="68"/>
        <v>0.71180555555555558</v>
      </c>
      <c r="X103" s="1167">
        <f t="shared" si="84"/>
        <v>42697</v>
      </c>
      <c r="Y103" s="1166">
        <v>31.65</v>
      </c>
      <c r="Z103" s="1164">
        <f t="shared" si="69"/>
        <v>0.75347222222222221</v>
      </c>
      <c r="AA103" s="1164">
        <f t="shared" si="70"/>
        <v>0.77430555555555547</v>
      </c>
      <c r="AB103" s="1167">
        <f t="shared" si="85"/>
        <v>42697</v>
      </c>
      <c r="AC103" s="1166">
        <v>31.68</v>
      </c>
      <c r="AD103" s="1164">
        <f t="shared" si="71"/>
        <v>0.78124999999999989</v>
      </c>
      <c r="AE103" s="1164">
        <f t="shared" si="72"/>
        <v>0.79166666666666652</v>
      </c>
      <c r="AF103" s="1167">
        <f t="shared" si="86"/>
        <v>42697</v>
      </c>
      <c r="AG103" s="1164">
        <f t="shared" si="73"/>
        <v>0.79861111111111094</v>
      </c>
      <c r="AH103" s="1164">
        <f t="shared" si="74"/>
        <v>0.82986111111111094</v>
      </c>
      <c r="AI103" s="1167">
        <f t="shared" si="87"/>
        <v>42697</v>
      </c>
      <c r="AJ103" s="1164">
        <f t="shared" si="75"/>
        <v>0.8506944444444442</v>
      </c>
      <c r="AK103" s="1164">
        <f t="shared" si="76"/>
        <v>0.85763888888888862</v>
      </c>
      <c r="AL103" s="1167">
        <f t="shared" si="88"/>
        <v>42697</v>
      </c>
      <c r="AM103" s="1166">
        <v>1.06</v>
      </c>
      <c r="AN103" s="1166">
        <v>9</v>
      </c>
      <c r="AO103" s="1166">
        <v>23</v>
      </c>
      <c r="AP103" s="1166">
        <v>0</v>
      </c>
      <c r="AQ103" s="1164">
        <f t="shared" si="79"/>
        <v>0.85763888888888862</v>
      </c>
      <c r="AR103" s="1164">
        <f t="shared" si="77"/>
        <v>0.86458333333333304</v>
      </c>
      <c r="AS103" s="1167">
        <f t="shared" si="89"/>
        <v>42697</v>
      </c>
      <c r="AT103" s="1166">
        <v>31.68</v>
      </c>
      <c r="AU103" s="1164">
        <f t="shared" si="80"/>
        <v>0.86458333333333304</v>
      </c>
      <c r="AV103" s="1167">
        <f t="shared" si="90"/>
        <v>42697</v>
      </c>
      <c r="AW103" s="1164">
        <f t="shared" si="92"/>
        <v>0.92013888888888862</v>
      </c>
      <c r="AX103" s="1167">
        <f t="shared" si="91"/>
        <v>42697</v>
      </c>
      <c r="AY103" s="1166">
        <v>6.5</v>
      </c>
      <c r="AZ103" s="1166">
        <v>32</v>
      </c>
      <c r="BA103" s="1168">
        <f>VLOOKUP(B103,ĐTBT!$V:$W,2,0)</f>
        <v>4</v>
      </c>
      <c r="BB103" s="1168"/>
      <c r="BC103" s="1168"/>
      <c r="BD103" s="1168"/>
      <c r="BE103" s="1168"/>
      <c r="BF103" s="1168"/>
      <c r="BG103" s="1168"/>
      <c r="BH103" s="1168"/>
      <c r="BI103" s="1168">
        <f t="shared" si="78"/>
        <v>0</v>
      </c>
      <c r="BJ103" s="1168">
        <f>VLOOKUP(B103,'Thong tin'!A:R,11,0)</f>
        <v>0</v>
      </c>
      <c r="BK103" s="1209"/>
    </row>
    <row r="104" spans="1:63" s="1210" customFormat="1" ht="15">
      <c r="A104" s="1217">
        <f>IF(C104="","",COUNTA($C$13:C104))</f>
        <v>92</v>
      </c>
      <c r="B104" s="1239" t="s">
        <v>525</v>
      </c>
      <c r="C104" s="1164">
        <v>0.29166666666666669</v>
      </c>
      <c r="D104" s="1164">
        <f t="shared" si="62"/>
        <v>0.3125</v>
      </c>
      <c r="E104" s="1165">
        <f t="shared" si="93"/>
        <v>42697</v>
      </c>
      <c r="F104" s="1164">
        <f t="shared" si="63"/>
        <v>0.31944444444444442</v>
      </c>
      <c r="G104" s="1164">
        <f t="shared" si="64"/>
        <v>0.32291666666666663</v>
      </c>
      <c r="H104" s="1165">
        <f t="shared" si="81"/>
        <v>42697</v>
      </c>
      <c r="I104" s="1166">
        <v>1.7000000000000001E-2</v>
      </c>
      <c r="J104" s="1166">
        <v>1.6E-2</v>
      </c>
      <c r="K104" s="1166">
        <v>-0.44</v>
      </c>
      <c r="L104" s="1166">
        <v>-1.01</v>
      </c>
      <c r="M104" s="1164">
        <f t="shared" si="65"/>
        <v>0.32638888888888884</v>
      </c>
      <c r="N104" s="1164">
        <f t="shared" si="66"/>
        <v>0.33680555555555552</v>
      </c>
      <c r="O104" s="1165">
        <f t="shared" si="82"/>
        <v>42697</v>
      </c>
      <c r="P104" s="1166">
        <v>1.05</v>
      </c>
      <c r="Q104" s="1166">
        <v>9</v>
      </c>
      <c r="R104" s="1166">
        <v>20</v>
      </c>
      <c r="S104" s="1166">
        <v>0</v>
      </c>
      <c r="T104" s="1164">
        <f t="shared" si="67"/>
        <v>0.46180555555555552</v>
      </c>
      <c r="U104" s="1167">
        <f t="shared" si="83"/>
        <v>42697</v>
      </c>
      <c r="V104" s="1166">
        <v>21.5</v>
      </c>
      <c r="W104" s="1164">
        <f t="shared" si="68"/>
        <v>0.58680555555555558</v>
      </c>
      <c r="X104" s="1167">
        <f t="shared" si="84"/>
        <v>42697</v>
      </c>
      <c r="Y104" s="1166">
        <v>24.5</v>
      </c>
      <c r="Z104" s="1164">
        <f t="shared" si="69"/>
        <v>0.62847222222222221</v>
      </c>
      <c r="AA104" s="1164">
        <f t="shared" si="70"/>
        <v>0.64930555555555547</v>
      </c>
      <c r="AB104" s="1167">
        <f t="shared" si="85"/>
        <v>42697</v>
      </c>
      <c r="AC104" s="1166">
        <v>24.5</v>
      </c>
      <c r="AD104" s="1164">
        <f t="shared" si="71"/>
        <v>0.65624999999999989</v>
      </c>
      <c r="AE104" s="1164">
        <f t="shared" si="72"/>
        <v>0.66666666666666652</v>
      </c>
      <c r="AF104" s="1167">
        <f t="shared" si="86"/>
        <v>42697</v>
      </c>
      <c r="AG104" s="1164">
        <f t="shared" si="73"/>
        <v>0.67361111111111094</v>
      </c>
      <c r="AH104" s="1164">
        <f t="shared" si="74"/>
        <v>0.70486111111111094</v>
      </c>
      <c r="AI104" s="1167">
        <f t="shared" si="87"/>
        <v>42697</v>
      </c>
      <c r="AJ104" s="1164">
        <f t="shared" si="75"/>
        <v>0.7256944444444442</v>
      </c>
      <c r="AK104" s="1164">
        <f t="shared" si="76"/>
        <v>0.73263888888888862</v>
      </c>
      <c r="AL104" s="1167">
        <f t="shared" si="88"/>
        <v>42697</v>
      </c>
      <c r="AM104" s="1166">
        <v>1.06</v>
      </c>
      <c r="AN104" s="1166">
        <v>9</v>
      </c>
      <c r="AO104" s="1166">
        <v>24</v>
      </c>
      <c r="AP104" s="1166">
        <v>0</v>
      </c>
      <c r="AQ104" s="1164">
        <f t="shared" si="79"/>
        <v>0.73263888888888862</v>
      </c>
      <c r="AR104" s="1164">
        <f t="shared" si="77"/>
        <v>0.73958333333333304</v>
      </c>
      <c r="AS104" s="1167">
        <f t="shared" si="89"/>
        <v>42697</v>
      </c>
      <c r="AT104" s="1166">
        <v>24.5</v>
      </c>
      <c r="AU104" s="1164">
        <f t="shared" si="80"/>
        <v>0.73958333333333304</v>
      </c>
      <c r="AV104" s="1167">
        <f t="shared" si="90"/>
        <v>42697</v>
      </c>
      <c r="AW104" s="1164">
        <f t="shared" si="92"/>
        <v>0.78124999999999967</v>
      </c>
      <c r="AX104" s="1167">
        <f t="shared" si="91"/>
        <v>42697</v>
      </c>
      <c r="AY104" s="1166">
        <v>6.8</v>
      </c>
      <c r="AZ104" s="1166">
        <v>23.5</v>
      </c>
      <c r="BA104" s="1168">
        <f>VLOOKUP(B104,ĐTBT!$V:$W,2,0)</f>
        <v>3</v>
      </c>
      <c r="BB104" s="1168"/>
      <c r="BC104" s="1168"/>
      <c r="BD104" s="1168"/>
      <c r="BE104" s="1168"/>
      <c r="BF104" s="1168"/>
      <c r="BG104" s="1168"/>
      <c r="BH104" s="1168"/>
      <c r="BI104" s="1168">
        <f t="shared" si="78"/>
        <v>0</v>
      </c>
      <c r="BJ104" s="1168">
        <f>VLOOKUP(B104,'Thong tin'!A:R,11,0)</f>
        <v>0</v>
      </c>
      <c r="BK104" s="1209"/>
    </row>
    <row r="105" spans="1:63" s="1210" customFormat="1" ht="15">
      <c r="A105" s="1217">
        <f>IF(C105="","",COUNTA($C$13:C105))</f>
        <v>93</v>
      </c>
      <c r="B105" s="1239" t="s">
        <v>500</v>
      </c>
      <c r="C105" s="1164">
        <v>0.375</v>
      </c>
      <c r="D105" s="1164">
        <f t="shared" si="62"/>
        <v>0.39583333333333331</v>
      </c>
      <c r="E105" s="1165">
        <f t="shared" si="93"/>
        <v>42698</v>
      </c>
      <c r="F105" s="1164">
        <f t="shared" si="63"/>
        <v>0.40277777777777773</v>
      </c>
      <c r="G105" s="1164">
        <f t="shared" si="64"/>
        <v>0.40624999999999994</v>
      </c>
      <c r="H105" s="1165">
        <f t="shared" si="81"/>
        <v>42698</v>
      </c>
      <c r="I105" s="1166">
        <v>-1.4E-2</v>
      </c>
      <c r="J105" s="1166">
        <v>2.8000000000000001E-2</v>
      </c>
      <c r="K105" s="1166">
        <v>-0.64500000000000002</v>
      </c>
      <c r="L105" s="1166">
        <v>-0.80600000000000005</v>
      </c>
      <c r="M105" s="1164">
        <f t="shared" si="65"/>
        <v>0.40972222222222215</v>
      </c>
      <c r="N105" s="1164">
        <f t="shared" si="66"/>
        <v>0.42013888888888884</v>
      </c>
      <c r="O105" s="1165">
        <f t="shared" si="82"/>
        <v>42698</v>
      </c>
      <c r="P105" s="1166">
        <v>1.06</v>
      </c>
      <c r="Q105" s="1166">
        <v>9</v>
      </c>
      <c r="R105" s="1166">
        <v>23</v>
      </c>
      <c r="S105" s="1166">
        <v>0</v>
      </c>
      <c r="T105" s="1164">
        <f t="shared" si="67"/>
        <v>0.54513888888888884</v>
      </c>
      <c r="U105" s="1167">
        <f t="shared" si="83"/>
        <v>42698</v>
      </c>
      <c r="V105" s="1166">
        <v>22.4</v>
      </c>
      <c r="W105" s="1164">
        <f t="shared" si="68"/>
        <v>0.67013888888888884</v>
      </c>
      <c r="X105" s="1167">
        <f t="shared" si="84"/>
        <v>42698</v>
      </c>
      <c r="Y105" s="1166">
        <v>31.7</v>
      </c>
      <c r="Z105" s="1164">
        <f t="shared" si="69"/>
        <v>0.71180555555555547</v>
      </c>
      <c r="AA105" s="1164">
        <f t="shared" si="70"/>
        <v>0.73263888888888873</v>
      </c>
      <c r="AB105" s="1167">
        <f t="shared" si="85"/>
        <v>42698</v>
      </c>
      <c r="AC105" s="1166">
        <v>31.75</v>
      </c>
      <c r="AD105" s="1164">
        <f t="shared" si="71"/>
        <v>0.73958333333333315</v>
      </c>
      <c r="AE105" s="1164">
        <f t="shared" si="72"/>
        <v>0.74999999999999978</v>
      </c>
      <c r="AF105" s="1167">
        <f t="shared" si="86"/>
        <v>42698</v>
      </c>
      <c r="AG105" s="1164">
        <f t="shared" si="73"/>
        <v>0.7569444444444442</v>
      </c>
      <c r="AH105" s="1164">
        <f t="shared" si="74"/>
        <v>0.7881944444444442</v>
      </c>
      <c r="AI105" s="1167">
        <f t="shared" si="87"/>
        <v>42698</v>
      </c>
      <c r="AJ105" s="1164">
        <f t="shared" si="75"/>
        <v>0.80902777777777746</v>
      </c>
      <c r="AK105" s="1164">
        <f t="shared" si="76"/>
        <v>0.81597222222222188</v>
      </c>
      <c r="AL105" s="1167">
        <f t="shared" si="88"/>
        <v>42698</v>
      </c>
      <c r="AM105" s="1166">
        <v>1.06</v>
      </c>
      <c r="AN105" s="1166">
        <v>9</v>
      </c>
      <c r="AO105" s="1166">
        <v>23</v>
      </c>
      <c r="AP105" s="1166">
        <v>0</v>
      </c>
      <c r="AQ105" s="1164">
        <f t="shared" si="79"/>
        <v>0.81597222222222188</v>
      </c>
      <c r="AR105" s="1164">
        <f t="shared" si="77"/>
        <v>0.8229166666666663</v>
      </c>
      <c r="AS105" s="1167">
        <f t="shared" si="89"/>
        <v>42698</v>
      </c>
      <c r="AT105" s="1166">
        <v>31.75</v>
      </c>
      <c r="AU105" s="1164">
        <f t="shared" si="80"/>
        <v>0.8229166666666663</v>
      </c>
      <c r="AV105" s="1167">
        <f t="shared" si="90"/>
        <v>42698</v>
      </c>
      <c r="AW105" s="1164">
        <f t="shared" si="92"/>
        <v>0.87847222222222188</v>
      </c>
      <c r="AX105" s="1167">
        <f t="shared" si="91"/>
        <v>42698</v>
      </c>
      <c r="AY105" s="1166">
        <v>7</v>
      </c>
      <c r="AZ105" s="1166">
        <v>30</v>
      </c>
      <c r="BA105" s="1168">
        <f>VLOOKUP(B105,ĐTBT!$V:$W,2,0)</f>
        <v>4</v>
      </c>
      <c r="BB105" s="1168"/>
      <c r="BC105" s="1168"/>
      <c r="BD105" s="1168"/>
      <c r="BE105" s="1168"/>
      <c r="BF105" s="1168"/>
      <c r="BG105" s="1168"/>
      <c r="BH105" s="1168"/>
      <c r="BI105" s="1168">
        <f t="shared" si="78"/>
        <v>0</v>
      </c>
      <c r="BJ105" s="1168">
        <f>VLOOKUP(B105,'Thong tin'!A:R,11,0)</f>
        <v>0</v>
      </c>
      <c r="BK105" s="1209"/>
    </row>
    <row r="106" spans="1:63" s="1210" customFormat="1" ht="15">
      <c r="A106" s="1217">
        <f>IF(C106="","",COUNTA($C$13:C106))</f>
        <v>94</v>
      </c>
      <c r="B106" s="1239" t="s">
        <v>529</v>
      </c>
      <c r="C106" s="1164">
        <v>0.3125</v>
      </c>
      <c r="D106" s="1164">
        <f t="shared" si="62"/>
        <v>0.33333333333333331</v>
      </c>
      <c r="E106" s="1165">
        <f t="shared" si="93"/>
        <v>42698</v>
      </c>
      <c r="F106" s="1164">
        <f t="shared" si="63"/>
        <v>0.34027777777777773</v>
      </c>
      <c r="G106" s="1164">
        <f t="shared" si="64"/>
        <v>0.34374999999999994</v>
      </c>
      <c r="H106" s="1165">
        <f t="shared" si="81"/>
        <v>42698</v>
      </c>
      <c r="I106" s="1166">
        <v>-8.0000000000000002E-3</v>
      </c>
      <c r="J106" s="1166">
        <v>-1.2E-2</v>
      </c>
      <c r="K106" s="1166">
        <v>-0.47</v>
      </c>
      <c r="L106" s="1166">
        <v>-0.88500000000000001</v>
      </c>
      <c r="M106" s="1164">
        <f t="shared" si="65"/>
        <v>0.34722222222222215</v>
      </c>
      <c r="N106" s="1164">
        <f t="shared" si="66"/>
        <v>0.35763888888888884</v>
      </c>
      <c r="O106" s="1165">
        <f t="shared" si="82"/>
        <v>42698</v>
      </c>
      <c r="P106" s="1166">
        <v>1.06</v>
      </c>
      <c r="Q106" s="1166">
        <v>9</v>
      </c>
      <c r="R106" s="1166">
        <v>23</v>
      </c>
      <c r="S106" s="1166">
        <v>0</v>
      </c>
      <c r="T106" s="1164">
        <f t="shared" si="67"/>
        <v>0.48263888888888884</v>
      </c>
      <c r="U106" s="1167">
        <f t="shared" si="83"/>
        <v>42698</v>
      </c>
      <c r="V106" s="1166">
        <v>22.7</v>
      </c>
      <c r="W106" s="1164">
        <f t="shared" si="68"/>
        <v>0.60763888888888884</v>
      </c>
      <c r="X106" s="1167">
        <f t="shared" si="84"/>
        <v>42698</v>
      </c>
      <c r="Y106" s="1166">
        <v>24.8</v>
      </c>
      <c r="Z106" s="1164">
        <f t="shared" si="69"/>
        <v>0.64930555555555547</v>
      </c>
      <c r="AA106" s="1164">
        <f t="shared" si="70"/>
        <v>0.67013888888888873</v>
      </c>
      <c r="AB106" s="1167">
        <f t="shared" si="85"/>
        <v>42698</v>
      </c>
      <c r="AC106" s="1166">
        <v>24.8</v>
      </c>
      <c r="AD106" s="1164">
        <f t="shared" si="71"/>
        <v>0.67708333333333315</v>
      </c>
      <c r="AE106" s="1164">
        <f t="shared" si="72"/>
        <v>0.68749999999999978</v>
      </c>
      <c r="AF106" s="1167">
        <f t="shared" si="86"/>
        <v>42698</v>
      </c>
      <c r="AG106" s="1164">
        <f t="shared" si="73"/>
        <v>0.6944444444444442</v>
      </c>
      <c r="AH106" s="1164">
        <f t="shared" si="74"/>
        <v>0.7256944444444442</v>
      </c>
      <c r="AI106" s="1167">
        <f t="shared" si="87"/>
        <v>42698</v>
      </c>
      <c r="AJ106" s="1164">
        <f t="shared" si="75"/>
        <v>0.74652777777777746</v>
      </c>
      <c r="AK106" s="1164">
        <f t="shared" si="76"/>
        <v>0.75347222222222188</v>
      </c>
      <c r="AL106" s="1167">
        <f t="shared" si="88"/>
        <v>42698</v>
      </c>
      <c r="AM106" s="1166">
        <v>1.06</v>
      </c>
      <c r="AN106" s="1166">
        <v>9</v>
      </c>
      <c r="AO106" s="1166">
        <v>24</v>
      </c>
      <c r="AP106" s="1166">
        <v>0</v>
      </c>
      <c r="AQ106" s="1164">
        <f t="shared" si="79"/>
        <v>0.75347222222222188</v>
      </c>
      <c r="AR106" s="1164">
        <f t="shared" si="77"/>
        <v>0.7604166666666663</v>
      </c>
      <c r="AS106" s="1167">
        <f t="shared" si="89"/>
        <v>42698</v>
      </c>
      <c r="AT106" s="1166">
        <v>24.8</v>
      </c>
      <c r="AU106" s="1164">
        <f t="shared" si="80"/>
        <v>0.7604166666666663</v>
      </c>
      <c r="AV106" s="1167">
        <f t="shared" si="90"/>
        <v>42698</v>
      </c>
      <c r="AW106" s="1164">
        <f t="shared" si="92"/>
        <v>0.78819444444444409</v>
      </c>
      <c r="AX106" s="1167">
        <f t="shared" si="91"/>
        <v>42698</v>
      </c>
      <c r="AY106" s="1166">
        <v>7</v>
      </c>
      <c r="AZ106" s="1166">
        <v>21</v>
      </c>
      <c r="BA106" s="1168">
        <f>VLOOKUP(B106,ĐTBT!$V:$W,2,0)</f>
        <v>2</v>
      </c>
      <c r="BB106" s="1168"/>
      <c r="BC106" s="1168"/>
      <c r="BD106" s="1168"/>
      <c r="BE106" s="1168"/>
      <c r="BF106" s="1168"/>
      <c r="BG106" s="1168"/>
      <c r="BH106" s="1168"/>
      <c r="BI106" s="1168">
        <f t="shared" si="78"/>
        <v>0</v>
      </c>
      <c r="BJ106" s="1168">
        <f>VLOOKUP(B106,'Thong tin'!A:R,11,0)</f>
        <v>0</v>
      </c>
      <c r="BK106" s="1209"/>
    </row>
    <row r="107" spans="1:63" s="1210" customFormat="1" ht="15">
      <c r="A107" s="1217">
        <f>IF(C107="","",COUNTA($C$13:C107))</f>
        <v>95</v>
      </c>
      <c r="B107" s="1239" t="s">
        <v>688</v>
      </c>
      <c r="C107" s="1164">
        <v>0.35416666666666669</v>
      </c>
      <c r="D107" s="1164">
        <f t="shared" si="62"/>
        <v>0.375</v>
      </c>
      <c r="E107" s="1165">
        <f t="shared" si="93"/>
        <v>42698</v>
      </c>
      <c r="F107" s="1164">
        <f t="shared" si="63"/>
        <v>0.38194444444444442</v>
      </c>
      <c r="G107" s="1164">
        <f t="shared" si="64"/>
        <v>0.38541666666666663</v>
      </c>
      <c r="H107" s="1165">
        <f t="shared" si="81"/>
        <v>42698</v>
      </c>
      <c r="I107" s="1166">
        <v>-2.7E-2</v>
      </c>
      <c r="J107" s="1166">
        <v>2E-3</v>
      </c>
      <c r="K107" s="1166">
        <v>-0.46</v>
      </c>
      <c r="L107" s="1166">
        <v>-0.98599999999999999</v>
      </c>
      <c r="M107" s="1164">
        <f t="shared" si="65"/>
        <v>0.38888888888888884</v>
      </c>
      <c r="N107" s="1164">
        <f t="shared" si="66"/>
        <v>0.39930555555555552</v>
      </c>
      <c r="O107" s="1165">
        <f t="shared" si="82"/>
        <v>42698</v>
      </c>
      <c r="P107" s="1166">
        <v>1.06</v>
      </c>
      <c r="Q107" s="1166">
        <v>9</v>
      </c>
      <c r="R107" s="1166">
        <v>24</v>
      </c>
      <c r="S107" s="1166">
        <v>0</v>
      </c>
      <c r="T107" s="1164">
        <f t="shared" si="67"/>
        <v>0.52430555555555558</v>
      </c>
      <c r="U107" s="1167">
        <f t="shared" si="83"/>
        <v>42698</v>
      </c>
      <c r="V107" s="1166">
        <v>20</v>
      </c>
      <c r="W107" s="1164">
        <f t="shared" si="68"/>
        <v>0.64930555555555558</v>
      </c>
      <c r="X107" s="1167">
        <f t="shared" si="84"/>
        <v>42698</v>
      </c>
      <c r="Y107" s="1166">
        <v>30.72</v>
      </c>
      <c r="Z107" s="1164">
        <f t="shared" si="69"/>
        <v>0.69097222222222221</v>
      </c>
      <c r="AA107" s="1164">
        <f t="shared" si="70"/>
        <v>0.71180555555555547</v>
      </c>
      <c r="AB107" s="1167">
        <f t="shared" si="85"/>
        <v>42698</v>
      </c>
      <c r="AC107" s="1166">
        <v>30.75</v>
      </c>
      <c r="AD107" s="1164">
        <f t="shared" si="71"/>
        <v>0.71874999999999989</v>
      </c>
      <c r="AE107" s="1164">
        <f t="shared" si="72"/>
        <v>0.72916666666666652</v>
      </c>
      <c r="AF107" s="1167">
        <f t="shared" si="86"/>
        <v>42698</v>
      </c>
      <c r="AG107" s="1164">
        <f t="shared" si="73"/>
        <v>0.73611111111111094</v>
      </c>
      <c r="AH107" s="1164">
        <f t="shared" si="74"/>
        <v>0.76736111111111094</v>
      </c>
      <c r="AI107" s="1167">
        <f t="shared" si="87"/>
        <v>42698</v>
      </c>
      <c r="AJ107" s="1164">
        <f t="shared" si="75"/>
        <v>0.7881944444444442</v>
      </c>
      <c r="AK107" s="1164">
        <f t="shared" si="76"/>
        <v>0.79513888888888862</v>
      </c>
      <c r="AL107" s="1167">
        <f t="shared" si="88"/>
        <v>42698</v>
      </c>
      <c r="AM107" s="1166">
        <v>1.06</v>
      </c>
      <c r="AN107" s="1166">
        <v>9</v>
      </c>
      <c r="AO107" s="1166">
        <v>23</v>
      </c>
      <c r="AP107" s="1166">
        <v>0</v>
      </c>
      <c r="AQ107" s="1164">
        <f t="shared" si="79"/>
        <v>0.79513888888888862</v>
      </c>
      <c r="AR107" s="1164">
        <f t="shared" si="77"/>
        <v>0.80208333333333304</v>
      </c>
      <c r="AS107" s="1167">
        <f t="shared" si="89"/>
        <v>42698</v>
      </c>
      <c r="AT107" s="1166">
        <v>30.75</v>
      </c>
      <c r="AU107" s="1164">
        <f t="shared" si="80"/>
        <v>0.80208333333333304</v>
      </c>
      <c r="AV107" s="1167">
        <f t="shared" si="90"/>
        <v>42698</v>
      </c>
      <c r="AW107" s="1164">
        <f t="shared" si="92"/>
        <v>0.85763888888888862</v>
      </c>
      <c r="AX107" s="1167">
        <f t="shared" si="91"/>
        <v>42698</v>
      </c>
      <c r="AY107" s="1166">
        <v>6.8</v>
      </c>
      <c r="AZ107" s="1166">
        <v>34</v>
      </c>
      <c r="BA107" s="1168">
        <f>VLOOKUP(B107,ĐTBT!$V:$W,2,0)</f>
        <v>4</v>
      </c>
      <c r="BB107" s="1168"/>
      <c r="BC107" s="1168"/>
      <c r="BD107" s="1168"/>
      <c r="BE107" s="1168"/>
      <c r="BF107" s="1168"/>
      <c r="BG107" s="1168"/>
      <c r="BH107" s="1168"/>
      <c r="BI107" s="1168">
        <f t="shared" si="78"/>
        <v>0</v>
      </c>
      <c r="BJ107" s="1168">
        <f>VLOOKUP(B107,'Thong tin'!A:R,11,0)</f>
        <v>0</v>
      </c>
      <c r="BK107" s="1209"/>
    </row>
    <row r="108" spans="1:63" s="1214" customFormat="1" ht="15">
      <c r="A108" s="1217">
        <f>IF(C108="","",COUNTA($C$13:C108))</f>
        <v>96</v>
      </c>
      <c r="B108" s="1239" t="s">
        <v>676</v>
      </c>
      <c r="C108" s="1164">
        <v>0.375</v>
      </c>
      <c r="D108" s="1164">
        <f t="shared" si="62"/>
        <v>0.39583333333333331</v>
      </c>
      <c r="E108" s="1165">
        <f t="shared" si="93"/>
        <v>42699</v>
      </c>
      <c r="F108" s="1164">
        <f t="shared" si="63"/>
        <v>0.40277777777777773</v>
      </c>
      <c r="G108" s="1164">
        <f t="shared" si="64"/>
        <v>0.40624999999999994</v>
      </c>
      <c r="H108" s="1165">
        <f t="shared" si="81"/>
        <v>42699</v>
      </c>
      <c r="I108" s="1211">
        <v>-1.6E-2</v>
      </c>
      <c r="J108" s="1211">
        <v>-2.1000000000000001E-2</v>
      </c>
      <c r="K108" s="1211">
        <v>-0.68300000000000005</v>
      </c>
      <c r="L108" s="1211">
        <v>-1.081</v>
      </c>
      <c r="M108" s="1164">
        <f t="shared" si="65"/>
        <v>0.40972222222222215</v>
      </c>
      <c r="N108" s="1164">
        <f t="shared" si="66"/>
        <v>0.42013888888888884</v>
      </c>
      <c r="O108" s="1165">
        <f t="shared" si="82"/>
        <v>42699</v>
      </c>
      <c r="P108" s="1211">
        <v>1.05</v>
      </c>
      <c r="Q108" s="1211">
        <v>9</v>
      </c>
      <c r="R108" s="1211">
        <v>24</v>
      </c>
      <c r="S108" s="1211">
        <v>0</v>
      </c>
      <c r="T108" s="1164">
        <f t="shared" si="67"/>
        <v>0.54513888888888884</v>
      </c>
      <c r="U108" s="1167">
        <f t="shared" si="83"/>
        <v>42699</v>
      </c>
      <c r="V108" s="1211">
        <v>22.25</v>
      </c>
      <c r="W108" s="1164">
        <f t="shared" si="68"/>
        <v>0.67013888888888884</v>
      </c>
      <c r="X108" s="1167">
        <f t="shared" si="84"/>
        <v>42699</v>
      </c>
      <c r="Y108" s="1211">
        <v>35.6</v>
      </c>
      <c r="Z108" s="1164">
        <f t="shared" si="69"/>
        <v>0.71180555555555547</v>
      </c>
      <c r="AA108" s="1164">
        <f t="shared" si="70"/>
        <v>0.73263888888888873</v>
      </c>
      <c r="AB108" s="1167">
        <f t="shared" si="85"/>
        <v>42699</v>
      </c>
      <c r="AC108" s="1211">
        <v>35.65</v>
      </c>
      <c r="AD108" s="1164">
        <f t="shared" si="71"/>
        <v>0.73958333333333315</v>
      </c>
      <c r="AE108" s="1164">
        <f t="shared" si="72"/>
        <v>0.74999999999999978</v>
      </c>
      <c r="AF108" s="1167">
        <f t="shared" si="86"/>
        <v>42699</v>
      </c>
      <c r="AG108" s="1164">
        <f t="shared" si="73"/>
        <v>0.7569444444444442</v>
      </c>
      <c r="AH108" s="1164">
        <f t="shared" si="74"/>
        <v>0.7881944444444442</v>
      </c>
      <c r="AI108" s="1167">
        <f t="shared" si="87"/>
        <v>42699</v>
      </c>
      <c r="AJ108" s="1164">
        <f t="shared" si="75"/>
        <v>0.80902777777777746</v>
      </c>
      <c r="AK108" s="1164">
        <f t="shared" si="76"/>
        <v>0.81597222222222188</v>
      </c>
      <c r="AL108" s="1167">
        <f t="shared" si="88"/>
        <v>42699</v>
      </c>
      <c r="AM108" s="1211">
        <v>1.06</v>
      </c>
      <c r="AN108" s="1211">
        <v>9</v>
      </c>
      <c r="AO108" s="1211">
        <v>22</v>
      </c>
      <c r="AP108" s="1211">
        <v>0</v>
      </c>
      <c r="AQ108" s="1164">
        <f t="shared" si="79"/>
        <v>0.81597222222222188</v>
      </c>
      <c r="AR108" s="1164">
        <f t="shared" si="77"/>
        <v>0.8229166666666663</v>
      </c>
      <c r="AS108" s="1167">
        <f t="shared" si="89"/>
        <v>42699</v>
      </c>
      <c r="AT108" s="1211">
        <v>35.65</v>
      </c>
      <c r="AU108" s="1164">
        <f t="shared" si="80"/>
        <v>0.8229166666666663</v>
      </c>
      <c r="AV108" s="1167">
        <f t="shared" si="90"/>
        <v>42699</v>
      </c>
      <c r="AW108" s="1164">
        <f t="shared" si="92"/>
        <v>0.89236111111111072</v>
      </c>
      <c r="AX108" s="1167">
        <f t="shared" si="91"/>
        <v>42699</v>
      </c>
      <c r="AY108" s="1211">
        <v>7.9</v>
      </c>
      <c r="AZ108" s="1211">
        <v>43.5</v>
      </c>
      <c r="BA108" s="1168">
        <f>VLOOKUP(B108,ĐTBT!$V:$W,2,0)</f>
        <v>5</v>
      </c>
      <c r="BB108" s="1212"/>
      <c r="BC108" s="1212"/>
      <c r="BD108" s="1212"/>
      <c r="BE108" s="1212"/>
      <c r="BF108" s="1212"/>
      <c r="BG108" s="1212"/>
      <c r="BH108" s="1212"/>
      <c r="BI108" s="1168">
        <f t="shared" si="78"/>
        <v>0</v>
      </c>
      <c r="BJ108" s="1168">
        <f>VLOOKUP(B108,'Thong tin'!A:R,11,0)</f>
        <v>0</v>
      </c>
      <c r="BK108" s="1213"/>
    </row>
    <row r="109" spans="1:63" s="1219" customFormat="1" ht="15">
      <c r="A109" s="1217">
        <f>IF(C109="","",COUNTA($C$13:C109))</f>
        <v>97</v>
      </c>
      <c r="B109" s="1239" t="s">
        <v>559</v>
      </c>
      <c r="C109" s="1164">
        <v>0.38194444444444442</v>
      </c>
      <c r="D109" s="1164">
        <f t="shared" ref="D109:D140" si="94">C109+$D$319</f>
        <v>0.40277777777777773</v>
      </c>
      <c r="E109" s="1165">
        <f t="shared" si="93"/>
        <v>42699</v>
      </c>
      <c r="F109" s="1164">
        <f t="shared" ref="F109:F140" si="95">D109+$D$315</f>
        <v>0.40972222222222215</v>
      </c>
      <c r="G109" s="1164">
        <f t="shared" ref="G109:G140" si="96">F109+$D$314</f>
        <v>0.41319444444444436</v>
      </c>
      <c r="H109" s="1165">
        <f t="shared" si="81"/>
        <v>42699</v>
      </c>
      <c r="I109" s="1166">
        <v>-2.5000000000000001E-2</v>
      </c>
      <c r="J109" s="1166">
        <v>-8.0000000000000002E-3</v>
      </c>
      <c r="K109" s="1170">
        <v>-0.38</v>
      </c>
      <c r="L109" s="1166">
        <v>-0.76800000000000002</v>
      </c>
      <c r="M109" s="1164">
        <f t="shared" ref="M109:M140" si="97">G109+$D$314</f>
        <v>0.41666666666666657</v>
      </c>
      <c r="N109" s="1164">
        <f t="shared" ref="N109:N140" si="98">M109+$D$316</f>
        <v>0.42708333333333326</v>
      </c>
      <c r="O109" s="1165">
        <f t="shared" si="82"/>
        <v>42699</v>
      </c>
      <c r="P109" s="1166">
        <v>1.05</v>
      </c>
      <c r="Q109" s="1166">
        <v>9</v>
      </c>
      <c r="R109" s="1166">
        <v>24</v>
      </c>
      <c r="S109" s="1166">
        <v>0</v>
      </c>
      <c r="T109" s="1164">
        <f t="shared" ref="T109:T140" si="99">N109+$D$344</f>
        <v>0.55208333333333326</v>
      </c>
      <c r="U109" s="1167">
        <f t="shared" si="83"/>
        <v>42699</v>
      </c>
      <c r="V109" s="1218">
        <v>20.399999999999999</v>
      </c>
      <c r="W109" s="1164">
        <f t="shared" ref="W109:W140" si="100">T109+$D$344</f>
        <v>0.67708333333333326</v>
      </c>
      <c r="X109" s="1167">
        <f t="shared" si="84"/>
        <v>42699</v>
      </c>
      <c r="Y109" s="1166">
        <v>25.15</v>
      </c>
      <c r="Z109" s="1164">
        <f t="shared" ref="Z109:Z140" si="101">W109+$D$325</f>
        <v>0.71874999999999989</v>
      </c>
      <c r="AA109" s="1164">
        <f t="shared" ref="AA109:AA140" si="102">Z109+$D$319</f>
        <v>0.73958333333333315</v>
      </c>
      <c r="AB109" s="1167">
        <f t="shared" si="85"/>
        <v>42699</v>
      </c>
      <c r="AC109" s="1218">
        <v>25.2</v>
      </c>
      <c r="AD109" s="1164">
        <f t="shared" ref="AD109:AD140" si="103">AA109+$D$315</f>
        <v>0.74652777777777757</v>
      </c>
      <c r="AE109" s="1164">
        <f t="shared" ref="AE109:AE140" si="104">AD109+$D$316</f>
        <v>0.7569444444444442</v>
      </c>
      <c r="AF109" s="1167">
        <f t="shared" si="86"/>
        <v>42699</v>
      </c>
      <c r="AG109" s="1164">
        <f t="shared" ref="AG109:AG140" si="105">AE109+$D$315</f>
        <v>0.76388888888888862</v>
      </c>
      <c r="AH109" s="1164">
        <f t="shared" ref="AH109:AH140" si="106">IF(BJ109&gt;0,AG109+$D$325,AG109+$D$322)</f>
        <v>0.79513888888888862</v>
      </c>
      <c r="AI109" s="1167">
        <f t="shared" si="87"/>
        <v>42699</v>
      </c>
      <c r="AJ109" s="1164">
        <f t="shared" ref="AJ109:AJ140" si="107">AH109+$D$319</f>
        <v>0.81597222222222188</v>
      </c>
      <c r="AK109" s="1164">
        <f t="shared" ref="AK109:AK140" si="108">AJ109+$D$315</f>
        <v>0.8229166666666663</v>
      </c>
      <c r="AL109" s="1167">
        <f t="shared" si="88"/>
        <v>42699</v>
      </c>
      <c r="AM109" s="1166">
        <v>1.05</v>
      </c>
      <c r="AN109" s="1166">
        <v>9</v>
      </c>
      <c r="AO109" s="1166">
        <v>24</v>
      </c>
      <c r="AP109" s="1166">
        <v>0</v>
      </c>
      <c r="AQ109" s="1164">
        <f t="shared" si="79"/>
        <v>0.8229166666666663</v>
      </c>
      <c r="AR109" s="1164">
        <f t="shared" ref="AR109:AR140" si="109">AQ109+$D$315</f>
        <v>0.82986111111111072</v>
      </c>
      <c r="AS109" s="1167">
        <f t="shared" si="89"/>
        <v>42699</v>
      </c>
      <c r="AT109" s="1166">
        <v>25.2</v>
      </c>
      <c r="AU109" s="1164">
        <f t="shared" si="80"/>
        <v>0.82986111111111072</v>
      </c>
      <c r="AV109" s="1167">
        <f t="shared" si="90"/>
        <v>42699</v>
      </c>
      <c r="AW109" s="1164">
        <f t="shared" si="92"/>
        <v>0.87152777777777735</v>
      </c>
      <c r="AX109" s="1167">
        <f t="shared" si="91"/>
        <v>42699</v>
      </c>
      <c r="AY109" s="1166">
        <v>7.32</v>
      </c>
      <c r="AZ109" s="1166">
        <v>23.5</v>
      </c>
      <c r="BA109" s="1168">
        <f>VLOOKUP(B109,ĐTBT!$V:$W,2,0)</f>
        <v>3</v>
      </c>
      <c r="BB109" s="1168"/>
      <c r="BC109" s="1168"/>
      <c r="BD109" s="1168"/>
      <c r="BE109" s="1168"/>
      <c r="BF109" s="1168"/>
      <c r="BG109" s="1168"/>
      <c r="BH109" s="1168"/>
      <c r="BI109" s="1168">
        <f t="shared" si="78"/>
        <v>0</v>
      </c>
      <c r="BJ109" s="1168">
        <f>VLOOKUP(B109,'Thong tin'!A:R,11,0)</f>
        <v>0</v>
      </c>
      <c r="BK109" s="1219" t="s">
        <v>1017</v>
      </c>
    </row>
    <row r="110" spans="1:63" s="1219" customFormat="1" ht="15">
      <c r="A110" s="1217">
        <f>IF(C110="","",COUNTA($C$13:C110))</f>
        <v>98</v>
      </c>
      <c r="B110" s="1239" t="s">
        <v>602</v>
      </c>
      <c r="C110" s="1164">
        <v>0.33680555555555558</v>
      </c>
      <c r="D110" s="1164">
        <f t="shared" si="94"/>
        <v>0.3576388888888889</v>
      </c>
      <c r="E110" s="1165">
        <f t="shared" si="93"/>
        <v>42700</v>
      </c>
      <c r="F110" s="1164">
        <f t="shared" si="95"/>
        <v>0.36458333333333331</v>
      </c>
      <c r="G110" s="1164">
        <f t="shared" si="96"/>
        <v>0.36805555555555552</v>
      </c>
      <c r="H110" s="1165">
        <f t="shared" si="81"/>
        <v>42700</v>
      </c>
      <c r="I110" s="1166">
        <v>-1.9E-2</v>
      </c>
      <c r="J110" s="1166">
        <v>1E-3</v>
      </c>
      <c r="K110" s="1166">
        <v>-0.64300000000000002</v>
      </c>
      <c r="L110" s="1166">
        <v>-0.83399999999999996</v>
      </c>
      <c r="M110" s="1164">
        <f t="shared" si="97"/>
        <v>0.37152777777777773</v>
      </c>
      <c r="N110" s="1164">
        <f t="shared" si="98"/>
        <v>0.38194444444444442</v>
      </c>
      <c r="O110" s="1165">
        <f t="shared" si="82"/>
        <v>42700</v>
      </c>
      <c r="P110" s="1166">
        <v>1.05</v>
      </c>
      <c r="Q110" s="1166">
        <v>9</v>
      </c>
      <c r="R110" s="1166">
        <v>22</v>
      </c>
      <c r="S110" s="1166">
        <v>0</v>
      </c>
      <c r="T110" s="1164">
        <f t="shared" si="99"/>
        <v>0.50694444444444442</v>
      </c>
      <c r="U110" s="1167">
        <f t="shared" si="83"/>
        <v>42700</v>
      </c>
      <c r="V110" s="1166">
        <v>25</v>
      </c>
      <c r="W110" s="1164">
        <f t="shared" si="100"/>
        <v>0.63194444444444442</v>
      </c>
      <c r="X110" s="1167">
        <f t="shared" si="84"/>
        <v>42700</v>
      </c>
      <c r="Y110" s="1166">
        <v>26.85</v>
      </c>
      <c r="Z110" s="1164">
        <f t="shared" si="101"/>
        <v>0.67361111111111105</v>
      </c>
      <c r="AA110" s="1164">
        <f t="shared" si="102"/>
        <v>0.69444444444444431</v>
      </c>
      <c r="AB110" s="1167">
        <f t="shared" si="85"/>
        <v>42700</v>
      </c>
      <c r="AC110" s="1166">
        <v>27.14</v>
      </c>
      <c r="AD110" s="1164">
        <f t="shared" si="103"/>
        <v>0.70138888888888873</v>
      </c>
      <c r="AE110" s="1164">
        <f t="shared" si="104"/>
        <v>0.71180555555555536</v>
      </c>
      <c r="AF110" s="1167">
        <f t="shared" si="86"/>
        <v>42700</v>
      </c>
      <c r="AG110" s="1164">
        <f t="shared" si="105"/>
        <v>0.71874999999999978</v>
      </c>
      <c r="AH110" s="1164">
        <f t="shared" si="106"/>
        <v>0.76041666666666641</v>
      </c>
      <c r="AI110" s="1167">
        <f t="shared" si="87"/>
        <v>42700</v>
      </c>
      <c r="AJ110" s="1164">
        <f t="shared" si="107"/>
        <v>0.78124999999999967</v>
      </c>
      <c r="AK110" s="1164">
        <f t="shared" si="108"/>
        <v>0.78819444444444409</v>
      </c>
      <c r="AL110" s="1167">
        <f t="shared" si="88"/>
        <v>42700</v>
      </c>
      <c r="AM110" s="1166">
        <v>1.06</v>
      </c>
      <c r="AN110" s="1166">
        <v>9</v>
      </c>
      <c r="AO110" s="1166">
        <v>23</v>
      </c>
      <c r="AP110" s="1166">
        <v>0</v>
      </c>
      <c r="AQ110" s="1164">
        <f t="shared" si="79"/>
        <v>0.78819444444444409</v>
      </c>
      <c r="AR110" s="1164">
        <f t="shared" si="109"/>
        <v>0.79513888888888851</v>
      </c>
      <c r="AS110" s="1167">
        <f t="shared" si="89"/>
        <v>42700</v>
      </c>
      <c r="AT110" s="1166">
        <v>27.14</v>
      </c>
      <c r="AU110" s="1164">
        <f t="shared" si="80"/>
        <v>0.79513888888888851</v>
      </c>
      <c r="AV110" s="1167">
        <f t="shared" si="90"/>
        <v>42700</v>
      </c>
      <c r="AW110" s="1164">
        <f t="shared" si="92"/>
        <v>0.80902777777777735</v>
      </c>
      <c r="AX110" s="1167">
        <f t="shared" si="91"/>
        <v>42700</v>
      </c>
      <c r="AY110" s="1166">
        <v>5.2</v>
      </c>
      <c r="AZ110" s="1166">
        <v>12</v>
      </c>
      <c r="BA110" s="1168">
        <f>VLOOKUP(B110,ĐTBT!$V:$W,2,0)</f>
        <v>1</v>
      </c>
      <c r="BB110" s="1168"/>
      <c r="BC110" s="1168"/>
      <c r="BD110" s="1168"/>
      <c r="BE110" s="1168"/>
      <c r="BF110" s="1168"/>
      <c r="BG110" s="1168"/>
      <c r="BH110" s="1168"/>
      <c r="BI110" s="1168">
        <f t="shared" si="78"/>
        <v>0</v>
      </c>
      <c r="BJ110" s="1168">
        <f>VLOOKUP(B110,'Thong tin'!A:R,11,0)</f>
        <v>3</v>
      </c>
    </row>
    <row r="111" spans="1:63" s="1219" customFormat="1" ht="15">
      <c r="A111" s="1217">
        <f>IF(C111="","",COUNTA($C$13:C111))</f>
        <v>99</v>
      </c>
      <c r="B111" s="1239" t="s">
        <v>572</v>
      </c>
      <c r="C111" s="1164">
        <v>0.38194444444444442</v>
      </c>
      <c r="D111" s="1164">
        <f t="shared" si="94"/>
        <v>0.40277777777777773</v>
      </c>
      <c r="E111" s="1165">
        <f t="shared" si="93"/>
        <v>42700</v>
      </c>
      <c r="F111" s="1164">
        <f t="shared" si="95"/>
        <v>0.40972222222222215</v>
      </c>
      <c r="G111" s="1164">
        <f t="shared" si="96"/>
        <v>0.41319444444444436</v>
      </c>
      <c r="H111" s="1165">
        <f t="shared" si="81"/>
        <v>42700</v>
      </c>
      <c r="I111" s="1166">
        <v>-4.0000000000000001E-3</v>
      </c>
      <c r="J111" s="1166">
        <v>-1.9E-2</v>
      </c>
      <c r="K111" s="1166">
        <v>-0.79500000000000004</v>
      </c>
      <c r="L111" s="1166">
        <v>-1.1850000000000001</v>
      </c>
      <c r="M111" s="1164">
        <f t="shared" si="97"/>
        <v>0.41666666666666657</v>
      </c>
      <c r="N111" s="1164">
        <f t="shared" si="98"/>
        <v>0.42708333333333326</v>
      </c>
      <c r="O111" s="1165">
        <f t="shared" si="82"/>
        <v>42700</v>
      </c>
      <c r="P111" s="1166">
        <v>1.06</v>
      </c>
      <c r="Q111" s="1166">
        <v>9</v>
      </c>
      <c r="R111" s="1166">
        <v>22</v>
      </c>
      <c r="S111" s="1166">
        <v>0</v>
      </c>
      <c r="T111" s="1164">
        <f t="shared" si="99"/>
        <v>0.55208333333333326</v>
      </c>
      <c r="U111" s="1167">
        <f t="shared" si="83"/>
        <v>42700</v>
      </c>
      <c r="V111" s="1166">
        <v>22.3</v>
      </c>
      <c r="W111" s="1164">
        <f t="shared" si="100"/>
        <v>0.67708333333333326</v>
      </c>
      <c r="X111" s="1167">
        <f t="shared" si="84"/>
        <v>42700</v>
      </c>
      <c r="Y111" s="1166">
        <v>26.7</v>
      </c>
      <c r="Z111" s="1164">
        <f t="shared" si="101"/>
        <v>0.71874999999999989</v>
      </c>
      <c r="AA111" s="1164">
        <f t="shared" si="102"/>
        <v>0.73958333333333315</v>
      </c>
      <c r="AB111" s="1167">
        <f t="shared" si="85"/>
        <v>42700</v>
      </c>
      <c r="AC111" s="1166">
        <v>26.85</v>
      </c>
      <c r="AD111" s="1164">
        <f t="shared" si="103"/>
        <v>0.74652777777777757</v>
      </c>
      <c r="AE111" s="1164">
        <f t="shared" si="104"/>
        <v>0.7569444444444442</v>
      </c>
      <c r="AF111" s="1167">
        <f t="shared" si="86"/>
        <v>42700</v>
      </c>
      <c r="AG111" s="1164">
        <f t="shared" si="105"/>
        <v>0.76388888888888862</v>
      </c>
      <c r="AH111" s="1164">
        <f t="shared" si="106"/>
        <v>0.79513888888888862</v>
      </c>
      <c r="AI111" s="1167">
        <f t="shared" si="87"/>
        <v>42700</v>
      </c>
      <c r="AJ111" s="1164">
        <f t="shared" si="107"/>
        <v>0.81597222222222188</v>
      </c>
      <c r="AK111" s="1164">
        <f t="shared" si="108"/>
        <v>0.8229166666666663</v>
      </c>
      <c r="AL111" s="1167">
        <f t="shared" si="88"/>
        <v>42700</v>
      </c>
      <c r="AM111" s="1166">
        <v>1.06</v>
      </c>
      <c r="AN111" s="1166">
        <v>9</v>
      </c>
      <c r="AO111" s="1166">
        <v>22</v>
      </c>
      <c r="AP111" s="1166">
        <v>0</v>
      </c>
      <c r="AQ111" s="1164">
        <f t="shared" si="79"/>
        <v>0.8229166666666663</v>
      </c>
      <c r="AR111" s="1164">
        <f t="shared" si="109"/>
        <v>0.82986111111111072</v>
      </c>
      <c r="AS111" s="1167">
        <f t="shared" si="89"/>
        <v>42700</v>
      </c>
      <c r="AT111" s="1166">
        <v>26.85</v>
      </c>
      <c r="AU111" s="1164">
        <f t="shared" si="80"/>
        <v>0.82986111111111072</v>
      </c>
      <c r="AV111" s="1167">
        <f t="shared" si="90"/>
        <v>42700</v>
      </c>
      <c r="AW111" s="1164">
        <f t="shared" si="92"/>
        <v>0.85763888888888851</v>
      </c>
      <c r="AX111" s="1167">
        <f t="shared" si="91"/>
        <v>42700</v>
      </c>
      <c r="AY111" s="1166">
        <v>4.3</v>
      </c>
      <c r="AZ111" s="1166">
        <v>13.5</v>
      </c>
      <c r="BA111" s="1168">
        <f>VLOOKUP(B111,ĐTBT!$V:$W,2,0)</f>
        <v>2</v>
      </c>
      <c r="BB111" s="1168"/>
      <c r="BC111" s="1168"/>
      <c r="BD111" s="1168"/>
      <c r="BE111" s="1168"/>
      <c r="BF111" s="1168"/>
      <c r="BG111" s="1168"/>
      <c r="BH111" s="1168"/>
      <c r="BI111" s="1168">
        <f t="shared" si="78"/>
        <v>0</v>
      </c>
      <c r="BJ111" s="1168">
        <f>VLOOKUP(B111,'Thong tin'!A:R,11,0)</f>
        <v>0</v>
      </c>
    </row>
    <row r="112" spans="1:63" s="1219" customFormat="1" ht="15">
      <c r="A112" s="1217">
        <f>IF(C112="","",COUNTA($C$13:C112))</f>
        <v>100</v>
      </c>
      <c r="B112" s="1239" t="s">
        <v>694</v>
      </c>
      <c r="C112" s="1164">
        <v>0.38541666666666669</v>
      </c>
      <c r="D112" s="1164">
        <f t="shared" si="94"/>
        <v>0.40625</v>
      </c>
      <c r="E112" s="1165">
        <f t="shared" si="93"/>
        <v>42700</v>
      </c>
      <c r="F112" s="1164">
        <f t="shared" si="95"/>
        <v>0.41319444444444442</v>
      </c>
      <c r="G112" s="1164">
        <f t="shared" si="96"/>
        <v>0.41666666666666663</v>
      </c>
      <c r="H112" s="1165">
        <f t="shared" si="81"/>
        <v>42700</v>
      </c>
      <c r="I112" s="1166">
        <v>6.0000000000000001E-3</v>
      </c>
      <c r="J112" s="1166">
        <v>-1.2E-2</v>
      </c>
      <c r="K112" s="1166">
        <v>-0.77</v>
      </c>
      <c r="L112" s="1166">
        <v>-1.012</v>
      </c>
      <c r="M112" s="1164">
        <f t="shared" si="97"/>
        <v>0.42013888888888884</v>
      </c>
      <c r="N112" s="1164">
        <f t="shared" si="98"/>
        <v>0.43055555555555552</v>
      </c>
      <c r="O112" s="1165">
        <f t="shared" si="82"/>
        <v>42700</v>
      </c>
      <c r="P112" s="1166">
        <v>1.05</v>
      </c>
      <c r="Q112" s="1166">
        <v>9</v>
      </c>
      <c r="R112" s="1166">
        <v>23</v>
      </c>
      <c r="S112" s="1166">
        <v>0</v>
      </c>
      <c r="T112" s="1164">
        <f t="shared" si="99"/>
        <v>0.55555555555555558</v>
      </c>
      <c r="U112" s="1167">
        <f t="shared" si="83"/>
        <v>42700</v>
      </c>
      <c r="V112" s="1166">
        <v>22.45</v>
      </c>
      <c r="W112" s="1164">
        <f t="shared" si="100"/>
        <v>0.68055555555555558</v>
      </c>
      <c r="X112" s="1167">
        <f t="shared" si="84"/>
        <v>42700</v>
      </c>
      <c r="Y112" s="1166">
        <v>31.45</v>
      </c>
      <c r="Z112" s="1164">
        <f t="shared" si="101"/>
        <v>0.72222222222222221</v>
      </c>
      <c r="AA112" s="1164">
        <f t="shared" si="102"/>
        <v>0.74305555555555547</v>
      </c>
      <c r="AB112" s="1167">
        <f t="shared" si="85"/>
        <v>42700</v>
      </c>
      <c r="AC112" s="1166">
        <v>31.6</v>
      </c>
      <c r="AD112" s="1164">
        <f t="shared" si="103"/>
        <v>0.74999999999999989</v>
      </c>
      <c r="AE112" s="1164">
        <f t="shared" si="104"/>
        <v>0.76041666666666652</v>
      </c>
      <c r="AF112" s="1167">
        <f t="shared" si="86"/>
        <v>42700</v>
      </c>
      <c r="AG112" s="1164">
        <f t="shared" si="105"/>
        <v>0.76736111111111094</v>
      </c>
      <c r="AH112" s="1164">
        <f t="shared" si="106"/>
        <v>0.79861111111111094</v>
      </c>
      <c r="AI112" s="1167">
        <f t="shared" si="87"/>
        <v>42700</v>
      </c>
      <c r="AJ112" s="1164">
        <f t="shared" si="107"/>
        <v>0.8194444444444442</v>
      </c>
      <c r="AK112" s="1164">
        <f t="shared" si="108"/>
        <v>0.82638888888888862</v>
      </c>
      <c r="AL112" s="1167">
        <f t="shared" si="88"/>
        <v>42700</v>
      </c>
      <c r="AM112" s="1166">
        <v>1.05</v>
      </c>
      <c r="AN112" s="1166">
        <v>9</v>
      </c>
      <c r="AO112" s="1166">
        <v>23</v>
      </c>
      <c r="AP112" s="1166">
        <v>0</v>
      </c>
      <c r="AQ112" s="1164">
        <f t="shared" si="79"/>
        <v>0.82638888888888862</v>
      </c>
      <c r="AR112" s="1164">
        <f t="shared" si="109"/>
        <v>0.83333333333333304</v>
      </c>
      <c r="AS112" s="1167">
        <f t="shared" si="89"/>
        <v>42700</v>
      </c>
      <c r="AT112" s="1166">
        <v>31.6</v>
      </c>
      <c r="AU112" s="1164">
        <f t="shared" si="80"/>
        <v>0.83333333333333304</v>
      </c>
      <c r="AV112" s="1167">
        <f t="shared" si="90"/>
        <v>42700</v>
      </c>
      <c r="AW112" s="1164">
        <f t="shared" si="92"/>
        <v>0.88888888888888862</v>
      </c>
      <c r="AX112" s="1167">
        <f t="shared" si="91"/>
        <v>42700</v>
      </c>
      <c r="AY112" s="1166">
        <v>7.1</v>
      </c>
      <c r="AZ112" s="1166">
        <v>34</v>
      </c>
      <c r="BA112" s="1168">
        <f>VLOOKUP(B112,ĐTBT!$V:$W,2,0)</f>
        <v>4</v>
      </c>
      <c r="BB112" s="1168"/>
      <c r="BC112" s="1168"/>
      <c r="BD112" s="1168"/>
      <c r="BE112" s="1168"/>
      <c r="BF112" s="1168"/>
      <c r="BG112" s="1168"/>
      <c r="BH112" s="1168"/>
      <c r="BI112" s="1168">
        <f t="shared" ref="BI112:BI187" si="110">AX112-E112</f>
        <v>0</v>
      </c>
      <c r="BJ112" s="1168">
        <f>VLOOKUP(B112,'Thong tin'!A:R,11,0)</f>
        <v>0</v>
      </c>
    </row>
    <row r="113" spans="1:63" s="1219" customFormat="1" ht="15">
      <c r="A113" s="1217">
        <f>IF(C113="","",COUNTA($C$13:C113))</f>
        <v>101</v>
      </c>
      <c r="B113" s="1239" t="s">
        <v>562</v>
      </c>
      <c r="C113" s="1164">
        <v>0.39583333333333331</v>
      </c>
      <c r="D113" s="1164">
        <f t="shared" si="94"/>
        <v>0.41666666666666663</v>
      </c>
      <c r="E113" s="1165">
        <f t="shared" si="93"/>
        <v>42701</v>
      </c>
      <c r="F113" s="1164">
        <f t="shared" si="95"/>
        <v>0.42361111111111105</v>
      </c>
      <c r="G113" s="1164">
        <f t="shared" si="96"/>
        <v>0.42708333333333326</v>
      </c>
      <c r="H113" s="1165">
        <f t="shared" si="81"/>
        <v>42701</v>
      </c>
      <c r="I113" s="1166">
        <v>2.5999999999999999E-2</v>
      </c>
      <c r="J113" s="1166">
        <v>1.4999999999999999E-2</v>
      </c>
      <c r="K113" s="1166">
        <v>-0.84299999999999997</v>
      </c>
      <c r="L113" s="1166">
        <v>-1.0369999999999999</v>
      </c>
      <c r="M113" s="1164">
        <f t="shared" si="97"/>
        <v>0.43055555555555547</v>
      </c>
      <c r="N113" s="1164">
        <f t="shared" si="98"/>
        <v>0.44097222222222215</v>
      </c>
      <c r="O113" s="1165">
        <f t="shared" si="82"/>
        <v>42701</v>
      </c>
      <c r="P113" s="1166">
        <v>1.05</v>
      </c>
      <c r="Q113" s="1166">
        <v>9</v>
      </c>
      <c r="R113" s="1166">
        <v>23</v>
      </c>
      <c r="S113" s="1166">
        <v>0</v>
      </c>
      <c r="T113" s="1164">
        <f t="shared" si="99"/>
        <v>0.5659722222222221</v>
      </c>
      <c r="U113" s="1167">
        <f t="shared" si="83"/>
        <v>42701</v>
      </c>
      <c r="V113" s="1166">
        <v>23.8</v>
      </c>
      <c r="W113" s="1164">
        <f t="shared" si="100"/>
        <v>0.6909722222222221</v>
      </c>
      <c r="X113" s="1167">
        <f t="shared" si="84"/>
        <v>42701</v>
      </c>
      <c r="Y113" s="1166">
        <v>26.65</v>
      </c>
      <c r="Z113" s="1164">
        <f t="shared" si="101"/>
        <v>0.73263888888888873</v>
      </c>
      <c r="AA113" s="1164">
        <f t="shared" si="102"/>
        <v>0.75347222222222199</v>
      </c>
      <c r="AB113" s="1167">
        <f t="shared" si="85"/>
        <v>42701</v>
      </c>
      <c r="AC113" s="1166">
        <v>26.7</v>
      </c>
      <c r="AD113" s="1164">
        <f t="shared" si="103"/>
        <v>0.76041666666666641</v>
      </c>
      <c r="AE113" s="1164">
        <f t="shared" si="104"/>
        <v>0.77083333333333304</v>
      </c>
      <c r="AF113" s="1167">
        <f t="shared" si="86"/>
        <v>42701</v>
      </c>
      <c r="AG113" s="1164">
        <f t="shared" si="105"/>
        <v>0.77777777777777746</v>
      </c>
      <c r="AH113" s="1164">
        <f t="shared" si="106"/>
        <v>0.81944444444444409</v>
      </c>
      <c r="AI113" s="1167">
        <f t="shared" si="87"/>
        <v>42701</v>
      </c>
      <c r="AJ113" s="1164">
        <f t="shared" si="107"/>
        <v>0.84027777777777735</v>
      </c>
      <c r="AK113" s="1164">
        <f t="shared" si="108"/>
        <v>0.84722222222222177</v>
      </c>
      <c r="AL113" s="1167">
        <f t="shared" si="88"/>
        <v>42701</v>
      </c>
      <c r="AM113" s="1166">
        <v>1.05</v>
      </c>
      <c r="AN113" s="1166">
        <v>9</v>
      </c>
      <c r="AO113" s="1166">
        <v>23</v>
      </c>
      <c r="AP113" s="1166">
        <v>0</v>
      </c>
      <c r="AQ113" s="1164">
        <f t="shared" si="79"/>
        <v>0.84722222222222177</v>
      </c>
      <c r="AR113" s="1164">
        <f t="shared" si="109"/>
        <v>0.85416666666666619</v>
      </c>
      <c r="AS113" s="1167">
        <f t="shared" si="89"/>
        <v>42701</v>
      </c>
      <c r="AT113" s="1166">
        <v>26.7</v>
      </c>
      <c r="AU113" s="1164">
        <f t="shared" si="80"/>
        <v>0.85416666666666619</v>
      </c>
      <c r="AV113" s="1167">
        <f t="shared" si="90"/>
        <v>42701</v>
      </c>
      <c r="AW113" s="1164">
        <f t="shared" si="92"/>
        <v>0.88194444444444398</v>
      </c>
      <c r="AX113" s="1167">
        <f t="shared" si="91"/>
        <v>42701</v>
      </c>
      <c r="AY113" s="1166">
        <v>4.96</v>
      </c>
      <c r="AZ113" s="1166">
        <v>13</v>
      </c>
      <c r="BA113" s="1168">
        <f>VLOOKUP(B113,ĐTBT!$V:$W,2,0)</f>
        <v>2</v>
      </c>
      <c r="BB113" s="1168"/>
      <c r="BC113" s="1168"/>
      <c r="BD113" s="1168"/>
      <c r="BE113" s="1168"/>
      <c r="BF113" s="1168"/>
      <c r="BG113" s="1168"/>
      <c r="BH113" s="1168"/>
      <c r="BI113" s="1168">
        <f t="shared" si="110"/>
        <v>0</v>
      </c>
      <c r="BJ113" s="1168">
        <f>VLOOKUP(B113,'Thong tin'!A:R,11,0)</f>
        <v>3</v>
      </c>
    </row>
    <row r="114" spans="1:63" s="1219" customFormat="1" ht="15">
      <c r="A114" s="1217">
        <f>IF(C114="","",COUNTA($C$13:C114))</f>
        <v>102</v>
      </c>
      <c r="B114" s="1239" t="s">
        <v>574</v>
      </c>
      <c r="C114" s="1164">
        <v>0.29166666666666669</v>
      </c>
      <c r="D114" s="1164">
        <f t="shared" si="94"/>
        <v>0.3125</v>
      </c>
      <c r="E114" s="1165">
        <f t="shared" si="93"/>
        <v>42701</v>
      </c>
      <c r="F114" s="1164">
        <f t="shared" si="95"/>
        <v>0.31944444444444442</v>
      </c>
      <c r="G114" s="1164">
        <f t="shared" si="96"/>
        <v>0.32291666666666663</v>
      </c>
      <c r="H114" s="1165">
        <f t="shared" si="81"/>
        <v>42701</v>
      </c>
      <c r="I114" s="1166">
        <v>-1.6E-2</v>
      </c>
      <c r="J114" s="1166">
        <v>1.7999999999999999E-2</v>
      </c>
      <c r="K114" s="1166">
        <v>-0.309</v>
      </c>
      <c r="L114" s="1166">
        <v>-0.91300000000000003</v>
      </c>
      <c r="M114" s="1164">
        <f t="shared" si="97"/>
        <v>0.32638888888888884</v>
      </c>
      <c r="N114" s="1164">
        <f t="shared" si="98"/>
        <v>0.33680555555555552</v>
      </c>
      <c r="O114" s="1165">
        <f t="shared" si="82"/>
        <v>42701</v>
      </c>
      <c r="P114" s="1166">
        <v>1.05</v>
      </c>
      <c r="Q114" s="1166">
        <v>9</v>
      </c>
      <c r="R114" s="1166">
        <v>23</v>
      </c>
      <c r="S114" s="1166">
        <v>0</v>
      </c>
      <c r="T114" s="1164">
        <f t="shared" si="99"/>
        <v>0.46180555555555552</v>
      </c>
      <c r="U114" s="1167">
        <f t="shared" si="83"/>
        <v>42701</v>
      </c>
      <c r="V114" s="1166">
        <v>22.85</v>
      </c>
      <c r="W114" s="1164">
        <f t="shared" si="100"/>
        <v>0.58680555555555558</v>
      </c>
      <c r="X114" s="1167">
        <f t="shared" si="84"/>
        <v>42701</v>
      </c>
      <c r="Y114" s="1166">
        <v>38.619999999999997</v>
      </c>
      <c r="Z114" s="1164">
        <f t="shared" si="101"/>
        <v>0.62847222222222221</v>
      </c>
      <c r="AA114" s="1164">
        <f t="shared" si="102"/>
        <v>0.64930555555555547</v>
      </c>
      <c r="AB114" s="1167">
        <f t="shared" si="85"/>
        <v>42701</v>
      </c>
      <c r="AC114" s="1166">
        <v>38.619999999999997</v>
      </c>
      <c r="AD114" s="1164">
        <f t="shared" si="103"/>
        <v>0.65624999999999989</v>
      </c>
      <c r="AE114" s="1164">
        <f t="shared" si="104"/>
        <v>0.66666666666666652</v>
      </c>
      <c r="AF114" s="1167">
        <f t="shared" si="86"/>
        <v>42701</v>
      </c>
      <c r="AG114" s="1164">
        <f t="shared" si="105"/>
        <v>0.67361111111111094</v>
      </c>
      <c r="AH114" s="1164">
        <f t="shared" si="106"/>
        <v>0.70486111111111094</v>
      </c>
      <c r="AI114" s="1167">
        <f t="shared" si="87"/>
        <v>42701</v>
      </c>
      <c r="AJ114" s="1164">
        <f t="shared" si="107"/>
        <v>0.7256944444444442</v>
      </c>
      <c r="AK114" s="1164">
        <f t="shared" si="108"/>
        <v>0.73263888888888862</v>
      </c>
      <c r="AL114" s="1167">
        <f t="shared" si="88"/>
        <v>42701</v>
      </c>
      <c r="AM114" s="1166">
        <v>1.06</v>
      </c>
      <c r="AN114" s="1166">
        <v>9</v>
      </c>
      <c r="AO114" s="1166">
        <v>22</v>
      </c>
      <c r="AP114" s="1166">
        <v>0</v>
      </c>
      <c r="AQ114" s="1164">
        <f t="shared" si="79"/>
        <v>0.73263888888888862</v>
      </c>
      <c r="AR114" s="1164">
        <f t="shared" si="109"/>
        <v>0.73958333333333304</v>
      </c>
      <c r="AS114" s="1167">
        <f t="shared" si="89"/>
        <v>42701</v>
      </c>
      <c r="AT114" s="1166">
        <v>38.619999999999997</v>
      </c>
      <c r="AU114" s="1164">
        <f t="shared" si="80"/>
        <v>0.73958333333333304</v>
      </c>
      <c r="AV114" s="1167">
        <f t="shared" si="90"/>
        <v>42701</v>
      </c>
      <c r="AW114" s="1164">
        <f t="shared" si="92"/>
        <v>0.82291666666666641</v>
      </c>
      <c r="AX114" s="1167">
        <f t="shared" si="91"/>
        <v>42701</v>
      </c>
      <c r="AY114" s="1166">
        <v>6.5</v>
      </c>
      <c r="AZ114" s="1166">
        <v>54</v>
      </c>
      <c r="BA114" s="1168">
        <f>VLOOKUP(B114,ĐTBT!$V:$W,2,0)</f>
        <v>6</v>
      </c>
      <c r="BB114" s="1168"/>
      <c r="BC114" s="1168"/>
      <c r="BD114" s="1168"/>
      <c r="BE114" s="1168"/>
      <c r="BF114" s="1168"/>
      <c r="BG114" s="1168"/>
      <c r="BH114" s="1168"/>
      <c r="BI114" s="1168">
        <f t="shared" si="110"/>
        <v>0</v>
      </c>
      <c r="BJ114" s="1168">
        <f>VLOOKUP(B114,'Thong tin'!A:R,11,0)</f>
        <v>0</v>
      </c>
    </row>
    <row r="115" spans="1:63" s="1219" customFormat="1" ht="15">
      <c r="A115" s="1217">
        <f>IF(C115="","",COUNTA($C$13:C115))</f>
        <v>103</v>
      </c>
      <c r="B115" s="1239" t="s">
        <v>567</v>
      </c>
      <c r="C115" s="1164">
        <v>0.3125</v>
      </c>
      <c r="D115" s="1164">
        <f t="shared" si="94"/>
        <v>0.33333333333333331</v>
      </c>
      <c r="E115" s="1165">
        <f t="shared" si="93"/>
        <v>42702</v>
      </c>
      <c r="F115" s="1164">
        <f t="shared" si="95"/>
        <v>0.34027777777777773</v>
      </c>
      <c r="G115" s="1164">
        <f t="shared" si="96"/>
        <v>0.34374999999999994</v>
      </c>
      <c r="H115" s="1165">
        <f t="shared" si="81"/>
        <v>42702</v>
      </c>
      <c r="I115" s="1166">
        <v>2.7E-2</v>
      </c>
      <c r="J115" s="1166">
        <v>-2.5999999999999999E-2</v>
      </c>
      <c r="K115" s="1166">
        <v>-0.64500000000000002</v>
      </c>
      <c r="L115" s="1166">
        <v>-0.84</v>
      </c>
      <c r="M115" s="1164">
        <f t="shared" si="97"/>
        <v>0.34722222222222215</v>
      </c>
      <c r="N115" s="1164">
        <f t="shared" si="98"/>
        <v>0.35763888888888884</v>
      </c>
      <c r="O115" s="1165">
        <f t="shared" si="82"/>
        <v>42702</v>
      </c>
      <c r="P115" s="1166">
        <v>1.06</v>
      </c>
      <c r="Q115" s="1166">
        <v>9</v>
      </c>
      <c r="R115" s="1166">
        <v>23</v>
      </c>
      <c r="S115" s="1166">
        <v>0</v>
      </c>
      <c r="T115" s="1164">
        <f t="shared" si="99"/>
        <v>0.48263888888888884</v>
      </c>
      <c r="U115" s="1167">
        <f t="shared" si="83"/>
        <v>42702</v>
      </c>
      <c r="V115" s="1166">
        <v>22</v>
      </c>
      <c r="W115" s="1164">
        <f t="shared" si="100"/>
        <v>0.60763888888888884</v>
      </c>
      <c r="X115" s="1167">
        <f t="shared" si="84"/>
        <v>42702</v>
      </c>
      <c r="Y115" s="1166">
        <v>26.86</v>
      </c>
      <c r="Z115" s="1164">
        <f t="shared" si="101"/>
        <v>0.64930555555555547</v>
      </c>
      <c r="AA115" s="1164">
        <f t="shared" si="102"/>
        <v>0.67013888888888873</v>
      </c>
      <c r="AB115" s="1167">
        <f t="shared" si="85"/>
        <v>42702</v>
      </c>
      <c r="AC115" s="1166">
        <v>27</v>
      </c>
      <c r="AD115" s="1164">
        <f t="shared" si="103"/>
        <v>0.67708333333333315</v>
      </c>
      <c r="AE115" s="1164">
        <f t="shared" si="104"/>
        <v>0.68749999999999978</v>
      </c>
      <c r="AF115" s="1167">
        <f t="shared" si="86"/>
        <v>42702</v>
      </c>
      <c r="AG115" s="1164">
        <f t="shared" si="105"/>
        <v>0.6944444444444442</v>
      </c>
      <c r="AH115" s="1164">
        <f t="shared" si="106"/>
        <v>0.73611111111111083</v>
      </c>
      <c r="AI115" s="1167">
        <f t="shared" si="87"/>
        <v>42702</v>
      </c>
      <c r="AJ115" s="1164">
        <f t="shared" si="107"/>
        <v>0.75694444444444409</v>
      </c>
      <c r="AK115" s="1164">
        <f t="shared" si="108"/>
        <v>0.76388888888888851</v>
      </c>
      <c r="AL115" s="1167">
        <f t="shared" si="88"/>
        <v>42702</v>
      </c>
      <c r="AM115" s="1166">
        <v>1.06</v>
      </c>
      <c r="AN115" s="1166">
        <v>9</v>
      </c>
      <c r="AO115" s="1166">
        <v>23</v>
      </c>
      <c r="AP115" s="1166">
        <v>0</v>
      </c>
      <c r="AQ115" s="1164">
        <f t="shared" si="79"/>
        <v>0.76388888888888851</v>
      </c>
      <c r="AR115" s="1164">
        <f t="shared" si="109"/>
        <v>0.77083333333333293</v>
      </c>
      <c r="AS115" s="1167">
        <f t="shared" si="89"/>
        <v>42702</v>
      </c>
      <c r="AT115" s="1166">
        <v>27</v>
      </c>
      <c r="AU115" s="1164">
        <f t="shared" si="80"/>
        <v>0.77083333333333293</v>
      </c>
      <c r="AV115" s="1167">
        <f t="shared" si="90"/>
        <v>42702</v>
      </c>
      <c r="AW115" s="1164">
        <f t="shared" si="92"/>
        <v>0.79861111111111072</v>
      </c>
      <c r="AX115" s="1167">
        <f t="shared" si="91"/>
        <v>42702</v>
      </c>
      <c r="AY115" s="1166">
        <v>4.3</v>
      </c>
      <c r="AZ115" s="1166">
        <v>13</v>
      </c>
      <c r="BA115" s="1168">
        <f>VLOOKUP(B115,ĐTBT!$V:$W,2,0)</f>
        <v>2</v>
      </c>
      <c r="BB115" s="1168"/>
      <c r="BC115" s="1168"/>
      <c r="BD115" s="1168"/>
      <c r="BE115" s="1168"/>
      <c r="BF115" s="1168"/>
      <c r="BG115" s="1168"/>
      <c r="BH115" s="1168"/>
      <c r="BI115" s="1168">
        <f t="shared" si="110"/>
        <v>0</v>
      </c>
      <c r="BJ115" s="1168">
        <f>VLOOKUP(B115,'Thong tin'!A:R,11,0)</f>
        <v>3</v>
      </c>
      <c r="BK115" s="1219" t="s">
        <v>1011</v>
      </c>
    </row>
    <row r="116" spans="1:63" s="1219" customFormat="1" ht="15">
      <c r="A116" s="1217">
        <f>IF(C116="","",COUNTA($C$13:C116))</f>
        <v>104</v>
      </c>
      <c r="B116" s="1239" t="s">
        <v>490</v>
      </c>
      <c r="C116" s="1164">
        <v>0.31597222222222221</v>
      </c>
      <c r="D116" s="1164">
        <f t="shared" si="94"/>
        <v>0.33680555555555552</v>
      </c>
      <c r="E116" s="1165">
        <f t="shared" si="93"/>
        <v>42702</v>
      </c>
      <c r="F116" s="1164">
        <f t="shared" si="95"/>
        <v>0.34374999999999994</v>
      </c>
      <c r="G116" s="1164">
        <f t="shared" si="96"/>
        <v>0.34722222222222215</v>
      </c>
      <c r="H116" s="1165">
        <f t="shared" si="81"/>
        <v>42702</v>
      </c>
      <c r="I116" s="1166">
        <v>0.03</v>
      </c>
      <c r="J116" s="1166">
        <v>-1.7999999999999999E-2</v>
      </c>
      <c r="K116" s="1166">
        <v>-0.80500000000000005</v>
      </c>
      <c r="L116" s="1166">
        <v>-1.1579999999999999</v>
      </c>
      <c r="M116" s="1164">
        <f t="shared" si="97"/>
        <v>0.35069444444444436</v>
      </c>
      <c r="N116" s="1164">
        <f t="shared" si="98"/>
        <v>0.36111111111111105</v>
      </c>
      <c r="O116" s="1165">
        <f t="shared" si="82"/>
        <v>42702</v>
      </c>
      <c r="P116" s="1166">
        <v>1.05</v>
      </c>
      <c r="Q116" s="1166">
        <v>9</v>
      </c>
      <c r="R116" s="1166">
        <v>22</v>
      </c>
      <c r="S116" s="1166">
        <v>0</v>
      </c>
      <c r="T116" s="1164">
        <f t="shared" si="99"/>
        <v>0.48611111111111105</v>
      </c>
      <c r="U116" s="1167">
        <f t="shared" si="83"/>
        <v>42702</v>
      </c>
      <c r="V116" s="1166">
        <v>21.3</v>
      </c>
      <c r="W116" s="1164">
        <f t="shared" si="100"/>
        <v>0.61111111111111105</v>
      </c>
      <c r="X116" s="1167">
        <f t="shared" si="84"/>
        <v>42702</v>
      </c>
      <c r="Y116" s="1166">
        <v>31.55</v>
      </c>
      <c r="Z116" s="1164">
        <f t="shared" si="101"/>
        <v>0.65277777777777768</v>
      </c>
      <c r="AA116" s="1164">
        <f t="shared" si="102"/>
        <v>0.67361111111111094</v>
      </c>
      <c r="AB116" s="1167">
        <f t="shared" si="85"/>
        <v>42702</v>
      </c>
      <c r="AC116" s="1166">
        <v>31.7</v>
      </c>
      <c r="AD116" s="1164">
        <f t="shared" si="103"/>
        <v>0.68055555555555536</v>
      </c>
      <c r="AE116" s="1164">
        <f t="shared" si="104"/>
        <v>0.69097222222222199</v>
      </c>
      <c r="AF116" s="1167">
        <f t="shared" si="86"/>
        <v>42702</v>
      </c>
      <c r="AG116" s="1164">
        <f t="shared" si="105"/>
        <v>0.69791666666666641</v>
      </c>
      <c r="AH116" s="1164">
        <f t="shared" si="106"/>
        <v>0.73958333333333304</v>
      </c>
      <c r="AI116" s="1167">
        <f t="shared" si="87"/>
        <v>42702</v>
      </c>
      <c r="AJ116" s="1164">
        <f t="shared" si="107"/>
        <v>0.7604166666666663</v>
      </c>
      <c r="AK116" s="1164">
        <f t="shared" si="108"/>
        <v>0.76736111111111072</v>
      </c>
      <c r="AL116" s="1167">
        <f t="shared" si="88"/>
        <v>42702</v>
      </c>
      <c r="AM116" s="1166">
        <v>1.06</v>
      </c>
      <c r="AN116" s="1166">
        <v>9</v>
      </c>
      <c r="AO116" s="1166">
        <v>22</v>
      </c>
      <c r="AP116" s="1166">
        <v>0</v>
      </c>
      <c r="AQ116" s="1164">
        <f t="shared" si="79"/>
        <v>0.76736111111111072</v>
      </c>
      <c r="AR116" s="1164">
        <f t="shared" si="109"/>
        <v>0.77430555555555514</v>
      </c>
      <c r="AS116" s="1167">
        <f t="shared" si="89"/>
        <v>42702</v>
      </c>
      <c r="AT116" s="1166">
        <v>31.7</v>
      </c>
      <c r="AU116" s="1164">
        <f t="shared" si="80"/>
        <v>0.77430555555555514</v>
      </c>
      <c r="AV116" s="1167">
        <f t="shared" si="90"/>
        <v>42702</v>
      </c>
      <c r="AW116" s="1164">
        <f t="shared" si="92"/>
        <v>0.82986111111111072</v>
      </c>
      <c r="AX116" s="1167">
        <f t="shared" si="91"/>
        <v>42702</v>
      </c>
      <c r="AY116" s="1166">
        <v>7.1</v>
      </c>
      <c r="AZ116" s="1166">
        <v>33</v>
      </c>
      <c r="BA116" s="1168">
        <f>VLOOKUP(B116,ĐTBT!$V:$W,2,0)</f>
        <v>4</v>
      </c>
      <c r="BB116" s="1168"/>
      <c r="BC116" s="1168"/>
      <c r="BD116" s="1168"/>
      <c r="BE116" s="1168"/>
      <c r="BF116" s="1168"/>
      <c r="BG116" s="1168"/>
      <c r="BH116" s="1168"/>
      <c r="BI116" s="1168">
        <f t="shared" si="110"/>
        <v>0</v>
      </c>
      <c r="BJ116" s="1168">
        <f>VLOOKUP(B116,'Thong tin'!A:R,11,0)</f>
        <v>4</v>
      </c>
    </row>
    <row r="117" spans="1:63" s="1219" customFormat="1" ht="15">
      <c r="A117" s="1217">
        <f>IF(C117="","",COUNTA($C$13:C117))</f>
        <v>105</v>
      </c>
      <c r="B117" s="1239" t="s">
        <v>594</v>
      </c>
      <c r="C117" s="1164">
        <v>0.31944444444444448</v>
      </c>
      <c r="D117" s="1164">
        <f t="shared" si="94"/>
        <v>0.34027777777777779</v>
      </c>
      <c r="E117" s="1165">
        <f t="shared" si="93"/>
        <v>42702</v>
      </c>
      <c r="F117" s="1164">
        <f t="shared" si="95"/>
        <v>0.34722222222222221</v>
      </c>
      <c r="G117" s="1164">
        <f t="shared" si="96"/>
        <v>0.35069444444444442</v>
      </c>
      <c r="H117" s="1165">
        <f t="shared" si="81"/>
        <v>42702</v>
      </c>
      <c r="I117" s="1166">
        <v>0.01</v>
      </c>
      <c r="J117" s="1166">
        <v>1.2999999999999999E-2</v>
      </c>
      <c r="K117" s="1166">
        <v>-0.20499999999999999</v>
      </c>
      <c r="L117" s="1166">
        <v>-0.81399999999999995</v>
      </c>
      <c r="M117" s="1164">
        <f t="shared" si="97"/>
        <v>0.35416666666666663</v>
      </c>
      <c r="N117" s="1164">
        <f t="shared" si="98"/>
        <v>0.36458333333333331</v>
      </c>
      <c r="O117" s="1165">
        <f t="shared" si="82"/>
        <v>42702</v>
      </c>
      <c r="P117" s="1166">
        <v>1.06</v>
      </c>
      <c r="Q117" s="1166">
        <v>9</v>
      </c>
      <c r="R117" s="1166">
        <v>21</v>
      </c>
      <c r="S117" s="1166">
        <v>0</v>
      </c>
      <c r="T117" s="1164">
        <f t="shared" si="99"/>
        <v>0.48958333333333331</v>
      </c>
      <c r="U117" s="1167">
        <f t="shared" si="83"/>
        <v>42702</v>
      </c>
      <c r="V117" s="1166">
        <v>21.3</v>
      </c>
      <c r="W117" s="1164">
        <f t="shared" si="100"/>
        <v>0.61458333333333326</v>
      </c>
      <c r="X117" s="1167">
        <f t="shared" si="84"/>
        <v>42702</v>
      </c>
      <c r="Y117" s="1166">
        <v>27.8</v>
      </c>
      <c r="Z117" s="1164">
        <f t="shared" si="101"/>
        <v>0.65624999999999989</v>
      </c>
      <c r="AA117" s="1164">
        <f t="shared" si="102"/>
        <v>0.67708333333333315</v>
      </c>
      <c r="AB117" s="1167">
        <f t="shared" si="85"/>
        <v>42702</v>
      </c>
      <c r="AC117" s="1166">
        <v>28</v>
      </c>
      <c r="AD117" s="1164">
        <f t="shared" si="103"/>
        <v>0.68402777777777757</v>
      </c>
      <c r="AE117" s="1164">
        <f t="shared" si="104"/>
        <v>0.6944444444444442</v>
      </c>
      <c r="AF117" s="1167">
        <f t="shared" si="86"/>
        <v>42702</v>
      </c>
      <c r="AG117" s="1164">
        <f t="shared" si="105"/>
        <v>0.70138888888888862</v>
      </c>
      <c r="AH117" s="1164">
        <f t="shared" si="106"/>
        <v>0.73263888888888862</v>
      </c>
      <c r="AI117" s="1167">
        <f t="shared" si="87"/>
        <v>42702</v>
      </c>
      <c r="AJ117" s="1164">
        <f t="shared" si="107"/>
        <v>0.75347222222222188</v>
      </c>
      <c r="AK117" s="1164">
        <f t="shared" si="108"/>
        <v>0.7604166666666663</v>
      </c>
      <c r="AL117" s="1167">
        <f t="shared" si="88"/>
        <v>42702</v>
      </c>
      <c r="AM117" s="1166">
        <v>1.05</v>
      </c>
      <c r="AN117" s="1166">
        <v>9</v>
      </c>
      <c r="AO117" s="1166">
        <v>22</v>
      </c>
      <c r="AP117" s="1166">
        <v>0</v>
      </c>
      <c r="AQ117" s="1164">
        <f t="shared" si="79"/>
        <v>0.7604166666666663</v>
      </c>
      <c r="AR117" s="1164">
        <f t="shared" si="109"/>
        <v>0.76736111111111072</v>
      </c>
      <c r="AS117" s="1167">
        <f t="shared" si="89"/>
        <v>42702</v>
      </c>
      <c r="AT117" s="1166">
        <v>28</v>
      </c>
      <c r="AU117" s="1164">
        <f t="shared" si="80"/>
        <v>0.76736111111111072</v>
      </c>
      <c r="AV117" s="1167">
        <f t="shared" si="90"/>
        <v>42702</v>
      </c>
      <c r="AW117" s="1164">
        <f t="shared" si="92"/>
        <v>0.80902777777777735</v>
      </c>
      <c r="AX117" s="1167">
        <f t="shared" si="91"/>
        <v>42702</v>
      </c>
      <c r="AY117" s="1166">
        <v>8</v>
      </c>
      <c r="AZ117" s="1166">
        <v>29</v>
      </c>
      <c r="BA117" s="1168">
        <f>VLOOKUP(B117,ĐTBT!$V:$W,2,0)</f>
        <v>3</v>
      </c>
      <c r="BB117" s="1168"/>
      <c r="BC117" s="1168"/>
      <c r="BD117" s="1168"/>
      <c r="BE117" s="1168"/>
      <c r="BF117" s="1168"/>
      <c r="BG117" s="1168"/>
      <c r="BH117" s="1168"/>
      <c r="BI117" s="1168">
        <f t="shared" si="110"/>
        <v>0</v>
      </c>
      <c r="BJ117" s="1168">
        <f>VLOOKUP(B117,'Thong tin'!A:R,11,0)</f>
        <v>0</v>
      </c>
      <c r="BK117" s="1219" t="s">
        <v>1016</v>
      </c>
    </row>
    <row r="118" spans="1:63" s="1219" customFormat="1" ht="15">
      <c r="A118" s="1217">
        <f>IF(C118="","",COUNTA($C$13:C118))</f>
        <v>106</v>
      </c>
      <c r="B118" s="1239" t="s">
        <v>577</v>
      </c>
      <c r="C118" s="1164">
        <v>0.3888888888888889</v>
      </c>
      <c r="D118" s="1164">
        <f t="shared" si="94"/>
        <v>0.40972222222222221</v>
      </c>
      <c r="E118" s="1165">
        <f t="shared" si="93"/>
        <v>42703</v>
      </c>
      <c r="F118" s="1164">
        <f t="shared" si="95"/>
        <v>0.41666666666666663</v>
      </c>
      <c r="G118" s="1164">
        <f t="shared" si="96"/>
        <v>0.42013888888888884</v>
      </c>
      <c r="H118" s="1165">
        <f t="shared" si="81"/>
        <v>42703</v>
      </c>
      <c r="I118" s="1166">
        <v>5.0000000000000001E-3</v>
      </c>
      <c r="J118" s="1166">
        <v>1.7999999999999999E-2</v>
      </c>
      <c r="K118" s="1166">
        <v>-0.63800000000000001</v>
      </c>
      <c r="L118" s="1166">
        <v>-0.81</v>
      </c>
      <c r="M118" s="1164">
        <f t="shared" si="97"/>
        <v>0.42361111111111105</v>
      </c>
      <c r="N118" s="1164">
        <f t="shared" si="98"/>
        <v>0.43402777777777773</v>
      </c>
      <c r="O118" s="1165">
        <f t="shared" si="82"/>
        <v>42703</v>
      </c>
      <c r="P118" s="1166">
        <v>1.06</v>
      </c>
      <c r="Q118" s="1166">
        <v>9</v>
      </c>
      <c r="R118" s="1166">
        <v>23</v>
      </c>
      <c r="S118" s="1166">
        <v>0</v>
      </c>
      <c r="T118" s="1164">
        <f t="shared" si="99"/>
        <v>0.55902777777777768</v>
      </c>
      <c r="U118" s="1167">
        <f t="shared" si="83"/>
        <v>42703</v>
      </c>
      <c r="V118" s="1166">
        <v>22.5</v>
      </c>
      <c r="W118" s="1164">
        <f t="shared" si="100"/>
        <v>0.68402777777777768</v>
      </c>
      <c r="X118" s="1167">
        <f t="shared" si="84"/>
        <v>42703</v>
      </c>
      <c r="Y118" s="1166">
        <v>26.87</v>
      </c>
      <c r="Z118" s="1164">
        <f t="shared" si="101"/>
        <v>0.72569444444444431</v>
      </c>
      <c r="AA118" s="1164">
        <f t="shared" si="102"/>
        <v>0.74652777777777757</v>
      </c>
      <c r="AB118" s="1167">
        <f t="shared" si="85"/>
        <v>42703</v>
      </c>
      <c r="AC118" s="1166">
        <v>27</v>
      </c>
      <c r="AD118" s="1164">
        <f t="shared" si="103"/>
        <v>0.75347222222222199</v>
      </c>
      <c r="AE118" s="1164">
        <f t="shared" si="104"/>
        <v>0.76388888888888862</v>
      </c>
      <c r="AF118" s="1167">
        <f t="shared" si="86"/>
        <v>42703</v>
      </c>
      <c r="AG118" s="1164">
        <f t="shared" si="105"/>
        <v>0.77083333333333304</v>
      </c>
      <c r="AH118" s="1164">
        <f t="shared" si="106"/>
        <v>0.81249999999999967</v>
      </c>
      <c r="AI118" s="1167">
        <f t="shared" si="87"/>
        <v>42703</v>
      </c>
      <c r="AJ118" s="1164">
        <f t="shared" si="107"/>
        <v>0.83333333333333293</v>
      </c>
      <c r="AK118" s="1164">
        <f t="shared" si="108"/>
        <v>0.84027777777777735</v>
      </c>
      <c r="AL118" s="1167">
        <f t="shared" si="88"/>
        <v>42703</v>
      </c>
      <c r="AM118" s="1166">
        <v>1.06</v>
      </c>
      <c r="AN118" s="1166">
        <v>9</v>
      </c>
      <c r="AO118" s="1166">
        <v>22</v>
      </c>
      <c r="AP118" s="1166">
        <v>0</v>
      </c>
      <c r="AQ118" s="1164">
        <f t="shared" si="79"/>
        <v>0.84027777777777735</v>
      </c>
      <c r="AR118" s="1164">
        <f t="shared" si="109"/>
        <v>0.84722222222222177</v>
      </c>
      <c r="AS118" s="1167">
        <f t="shared" si="89"/>
        <v>42703</v>
      </c>
      <c r="AT118" s="1166">
        <v>27</v>
      </c>
      <c r="AU118" s="1164">
        <f t="shared" si="80"/>
        <v>0.84722222222222177</v>
      </c>
      <c r="AV118" s="1167">
        <f t="shared" si="90"/>
        <v>42703</v>
      </c>
      <c r="AW118" s="1164">
        <f t="shared" si="92"/>
        <v>0.87499999999999956</v>
      </c>
      <c r="AX118" s="1167">
        <f t="shared" si="91"/>
        <v>42703</v>
      </c>
      <c r="AY118" s="1166">
        <v>4.7</v>
      </c>
      <c r="AZ118" s="1166">
        <v>12</v>
      </c>
      <c r="BA118" s="1168">
        <f>VLOOKUP(B118,ĐTBT!$V:$W,2,0)</f>
        <v>2</v>
      </c>
      <c r="BB118" s="1168"/>
      <c r="BC118" s="1168"/>
      <c r="BD118" s="1168"/>
      <c r="BE118" s="1168"/>
      <c r="BF118" s="1168"/>
      <c r="BG118" s="1168"/>
      <c r="BH118" s="1168"/>
      <c r="BI118" s="1168">
        <f t="shared" si="110"/>
        <v>0</v>
      </c>
      <c r="BJ118" s="1168">
        <f>VLOOKUP(B118,'Thong tin'!A:R,11,0)</f>
        <v>2</v>
      </c>
    </row>
    <row r="119" spans="1:63" s="1219" customFormat="1" ht="15">
      <c r="A119" s="1217">
        <f>IF(C119="","",COUNTA($C$13:C119))</f>
        <v>107</v>
      </c>
      <c r="B119" s="1239" t="s">
        <v>582</v>
      </c>
      <c r="C119" s="1164">
        <v>0.39583333333333331</v>
      </c>
      <c r="D119" s="1164">
        <f t="shared" si="94"/>
        <v>0.41666666666666663</v>
      </c>
      <c r="E119" s="1165">
        <f t="shared" si="93"/>
        <v>42703</v>
      </c>
      <c r="F119" s="1164">
        <f t="shared" si="95"/>
        <v>0.42361111111111105</v>
      </c>
      <c r="G119" s="1164">
        <f t="shared" si="96"/>
        <v>0.42708333333333326</v>
      </c>
      <c r="H119" s="1165">
        <f t="shared" si="81"/>
        <v>42703</v>
      </c>
      <c r="I119" s="1166">
        <v>-2.1000000000000001E-2</v>
      </c>
      <c r="J119" s="1166">
        <v>-2.1999999999999999E-2</v>
      </c>
      <c r="K119" s="1166">
        <v>-0.47499999999999998</v>
      </c>
      <c r="L119" s="1166">
        <v>-1.107</v>
      </c>
      <c r="M119" s="1164">
        <f t="shared" si="97"/>
        <v>0.43055555555555547</v>
      </c>
      <c r="N119" s="1164">
        <f t="shared" si="98"/>
        <v>0.44097222222222215</v>
      </c>
      <c r="O119" s="1165">
        <f t="shared" si="82"/>
        <v>42703</v>
      </c>
      <c r="P119" s="1166">
        <v>1.06</v>
      </c>
      <c r="Q119" s="1166">
        <v>9</v>
      </c>
      <c r="R119" s="1166">
        <v>23</v>
      </c>
      <c r="S119" s="1166">
        <v>0</v>
      </c>
      <c r="T119" s="1164">
        <f t="shared" si="99"/>
        <v>0.5659722222222221</v>
      </c>
      <c r="U119" s="1167">
        <f t="shared" si="83"/>
        <v>42703</v>
      </c>
      <c r="V119" s="1166">
        <v>22.8</v>
      </c>
      <c r="W119" s="1164">
        <f t="shared" si="100"/>
        <v>0.6909722222222221</v>
      </c>
      <c r="X119" s="1167">
        <f t="shared" si="84"/>
        <v>42703</v>
      </c>
      <c r="Y119" s="1166">
        <v>27</v>
      </c>
      <c r="Z119" s="1164">
        <f t="shared" si="101"/>
        <v>0.73263888888888873</v>
      </c>
      <c r="AA119" s="1164">
        <f t="shared" si="102"/>
        <v>0.75347222222222199</v>
      </c>
      <c r="AB119" s="1167">
        <f t="shared" si="85"/>
        <v>42703</v>
      </c>
      <c r="AC119" s="1166">
        <v>27</v>
      </c>
      <c r="AD119" s="1164">
        <f t="shared" si="103"/>
        <v>0.76041666666666641</v>
      </c>
      <c r="AE119" s="1164">
        <f t="shared" si="104"/>
        <v>0.77083333333333304</v>
      </c>
      <c r="AF119" s="1167">
        <f t="shared" si="86"/>
        <v>42703</v>
      </c>
      <c r="AG119" s="1164">
        <f t="shared" si="105"/>
        <v>0.77777777777777746</v>
      </c>
      <c r="AH119" s="1164">
        <f t="shared" si="106"/>
        <v>0.80902777777777746</v>
      </c>
      <c r="AI119" s="1167">
        <f t="shared" si="87"/>
        <v>42703</v>
      </c>
      <c r="AJ119" s="1164">
        <f t="shared" si="107"/>
        <v>0.82986111111111072</v>
      </c>
      <c r="AK119" s="1164">
        <f t="shared" si="108"/>
        <v>0.83680555555555514</v>
      </c>
      <c r="AL119" s="1167">
        <f t="shared" si="88"/>
        <v>42703</v>
      </c>
      <c r="AM119" s="1166">
        <v>1.06</v>
      </c>
      <c r="AN119" s="1166">
        <v>9</v>
      </c>
      <c r="AO119" s="1166">
        <v>22</v>
      </c>
      <c r="AP119" s="1166">
        <v>0</v>
      </c>
      <c r="AQ119" s="1164">
        <f t="shared" si="79"/>
        <v>0.83680555555555514</v>
      </c>
      <c r="AR119" s="1164">
        <f t="shared" si="109"/>
        <v>0.84374999999999956</v>
      </c>
      <c r="AS119" s="1167">
        <f t="shared" si="89"/>
        <v>42703</v>
      </c>
      <c r="AT119" s="1166">
        <v>27</v>
      </c>
      <c r="AU119" s="1164">
        <f t="shared" si="80"/>
        <v>0.84374999999999956</v>
      </c>
      <c r="AV119" s="1167">
        <f t="shared" si="90"/>
        <v>42703</v>
      </c>
      <c r="AW119" s="1164">
        <f t="shared" si="92"/>
        <v>0.87152777777777735</v>
      </c>
      <c r="AX119" s="1167">
        <f t="shared" si="91"/>
        <v>42703</v>
      </c>
      <c r="AY119" s="1166">
        <v>4.8</v>
      </c>
      <c r="AZ119" s="1166">
        <v>12</v>
      </c>
      <c r="BA119" s="1168">
        <f>VLOOKUP(B119,ĐTBT!$V:$W,2,0)</f>
        <v>2</v>
      </c>
      <c r="BB119" s="1168"/>
      <c r="BC119" s="1168"/>
      <c r="BD119" s="1168"/>
      <c r="BE119" s="1168"/>
      <c r="BF119" s="1168"/>
      <c r="BG119" s="1168"/>
      <c r="BH119" s="1168"/>
      <c r="BI119" s="1168">
        <f t="shared" si="110"/>
        <v>0</v>
      </c>
      <c r="BJ119" s="1168">
        <f>VLOOKUP(B119,'Thong tin'!A:R,11,0)</f>
        <v>0</v>
      </c>
    </row>
    <row r="120" spans="1:63" s="1219" customFormat="1" ht="15">
      <c r="A120" s="1217">
        <f>IF(C120="","",COUNTA($C$13:C120))</f>
        <v>108</v>
      </c>
      <c r="B120" s="1239" t="s">
        <v>592</v>
      </c>
      <c r="C120" s="1164">
        <v>0.34722222222222227</v>
      </c>
      <c r="D120" s="1164">
        <f t="shared" si="94"/>
        <v>0.36805555555555558</v>
      </c>
      <c r="E120" s="1165">
        <f t="shared" si="93"/>
        <v>42704</v>
      </c>
      <c r="F120" s="1164">
        <f t="shared" si="95"/>
        <v>0.375</v>
      </c>
      <c r="G120" s="1164">
        <f t="shared" si="96"/>
        <v>0.37847222222222221</v>
      </c>
      <c r="H120" s="1165">
        <f t="shared" si="81"/>
        <v>42704</v>
      </c>
      <c r="I120" s="1166">
        <v>1.4999999999999999E-2</v>
      </c>
      <c r="J120" s="1166">
        <v>-5.0000000000000001E-3</v>
      </c>
      <c r="K120" s="1166">
        <v>-0.63</v>
      </c>
      <c r="L120" s="1166">
        <v>-0.85399999999999998</v>
      </c>
      <c r="M120" s="1164">
        <f t="shared" si="97"/>
        <v>0.38194444444444442</v>
      </c>
      <c r="N120" s="1164">
        <f t="shared" si="98"/>
        <v>0.3923611111111111</v>
      </c>
      <c r="O120" s="1165">
        <f t="shared" si="82"/>
        <v>42704</v>
      </c>
      <c r="P120" s="1166">
        <v>1.05</v>
      </c>
      <c r="Q120" s="1166">
        <v>9</v>
      </c>
      <c r="R120" s="1166">
        <v>22</v>
      </c>
      <c r="S120" s="1166">
        <v>0</v>
      </c>
      <c r="T120" s="1164">
        <f t="shared" si="99"/>
        <v>0.51736111111111116</v>
      </c>
      <c r="U120" s="1167">
        <f t="shared" si="83"/>
        <v>42704</v>
      </c>
      <c r="V120" s="1166">
        <v>21</v>
      </c>
      <c r="W120" s="1164">
        <f t="shared" si="100"/>
        <v>0.64236111111111116</v>
      </c>
      <c r="X120" s="1167">
        <f t="shared" si="84"/>
        <v>42704</v>
      </c>
      <c r="Y120" s="1166">
        <v>27</v>
      </c>
      <c r="Z120" s="1164">
        <f t="shared" si="101"/>
        <v>0.68402777777777779</v>
      </c>
      <c r="AA120" s="1164">
        <f t="shared" si="102"/>
        <v>0.70486111111111105</v>
      </c>
      <c r="AB120" s="1167">
        <f t="shared" si="85"/>
        <v>42704</v>
      </c>
      <c r="AC120" s="1166">
        <v>27</v>
      </c>
      <c r="AD120" s="1164">
        <f t="shared" si="103"/>
        <v>0.71180555555555547</v>
      </c>
      <c r="AE120" s="1164">
        <f t="shared" si="104"/>
        <v>0.7222222222222221</v>
      </c>
      <c r="AF120" s="1167">
        <f t="shared" si="86"/>
        <v>42704</v>
      </c>
      <c r="AG120" s="1164">
        <f t="shared" si="105"/>
        <v>0.72916666666666652</v>
      </c>
      <c r="AH120" s="1164">
        <f t="shared" si="106"/>
        <v>0.76041666666666652</v>
      </c>
      <c r="AI120" s="1167">
        <f t="shared" si="87"/>
        <v>42704</v>
      </c>
      <c r="AJ120" s="1164">
        <f t="shared" si="107"/>
        <v>0.78124999999999978</v>
      </c>
      <c r="AK120" s="1164">
        <f t="shared" si="108"/>
        <v>0.7881944444444442</v>
      </c>
      <c r="AL120" s="1167">
        <f t="shared" si="88"/>
        <v>42704</v>
      </c>
      <c r="AM120" s="1166">
        <v>1.06</v>
      </c>
      <c r="AN120" s="1166">
        <v>9</v>
      </c>
      <c r="AO120" s="1166">
        <v>23</v>
      </c>
      <c r="AP120" s="1166">
        <v>0</v>
      </c>
      <c r="AQ120" s="1164">
        <f t="shared" si="79"/>
        <v>0.7881944444444442</v>
      </c>
      <c r="AR120" s="1164">
        <f t="shared" si="109"/>
        <v>0.79513888888888862</v>
      </c>
      <c r="AS120" s="1167">
        <f t="shared" si="89"/>
        <v>42704</v>
      </c>
      <c r="AT120" s="1166">
        <v>27</v>
      </c>
      <c r="AU120" s="1164">
        <f t="shared" si="80"/>
        <v>0.79513888888888862</v>
      </c>
      <c r="AV120" s="1167">
        <f t="shared" si="90"/>
        <v>42704</v>
      </c>
      <c r="AW120" s="1164">
        <f t="shared" si="92"/>
        <v>0.82291666666666641</v>
      </c>
      <c r="AX120" s="1167">
        <f t="shared" si="91"/>
        <v>42704</v>
      </c>
      <c r="AY120" s="1166">
        <v>5</v>
      </c>
      <c r="AZ120" s="1166">
        <v>12</v>
      </c>
      <c r="BA120" s="1168">
        <f>VLOOKUP(B120,ĐTBT!$V:$W,2,0)</f>
        <v>2</v>
      </c>
      <c r="BB120" s="1168"/>
      <c r="BC120" s="1168"/>
      <c r="BD120" s="1168"/>
      <c r="BE120" s="1168"/>
      <c r="BF120" s="1168"/>
      <c r="BG120" s="1168"/>
      <c r="BH120" s="1168"/>
      <c r="BI120" s="1168">
        <f t="shared" si="110"/>
        <v>0</v>
      </c>
      <c r="BJ120" s="1168">
        <f>VLOOKUP(B120,'Thong tin'!A:R,11,0)</f>
        <v>0</v>
      </c>
    </row>
    <row r="121" spans="1:63" s="1219" customFormat="1" ht="15">
      <c r="A121" s="1217">
        <f>IF(C121="","",COUNTA($C$13:C121))</f>
        <v>109</v>
      </c>
      <c r="B121" s="1239" t="s">
        <v>678</v>
      </c>
      <c r="C121" s="1164">
        <v>0.35416666666666669</v>
      </c>
      <c r="D121" s="1164">
        <f t="shared" si="94"/>
        <v>0.375</v>
      </c>
      <c r="E121" s="1165">
        <f t="shared" si="93"/>
        <v>42704</v>
      </c>
      <c r="F121" s="1164">
        <f t="shared" si="95"/>
        <v>0.38194444444444442</v>
      </c>
      <c r="G121" s="1164">
        <f t="shared" si="96"/>
        <v>0.38541666666666663</v>
      </c>
      <c r="H121" s="1165">
        <f t="shared" si="81"/>
        <v>42704</v>
      </c>
      <c r="I121" s="1166">
        <v>3.0000000000000001E-3</v>
      </c>
      <c r="J121" s="1166">
        <v>-6.0000000000000001E-3</v>
      </c>
      <c r="K121" s="1166">
        <v>-0.83099999999999996</v>
      </c>
      <c r="L121" s="1166">
        <v>-1.177</v>
      </c>
      <c r="M121" s="1164">
        <f t="shared" si="97"/>
        <v>0.38888888888888884</v>
      </c>
      <c r="N121" s="1164">
        <f t="shared" si="98"/>
        <v>0.39930555555555552</v>
      </c>
      <c r="O121" s="1165">
        <f t="shared" si="82"/>
        <v>42704</v>
      </c>
      <c r="P121" s="1166">
        <v>1.05</v>
      </c>
      <c r="Q121" s="1166">
        <v>9</v>
      </c>
      <c r="R121" s="1166">
        <v>22</v>
      </c>
      <c r="S121" s="1166">
        <v>0</v>
      </c>
      <c r="T121" s="1164">
        <f t="shared" si="99"/>
        <v>0.52430555555555558</v>
      </c>
      <c r="U121" s="1167">
        <f t="shared" si="83"/>
        <v>42704</v>
      </c>
      <c r="V121" s="1164">
        <v>19</v>
      </c>
      <c r="W121" s="1164">
        <f t="shared" si="100"/>
        <v>0.64930555555555558</v>
      </c>
      <c r="X121" s="1167">
        <f t="shared" si="84"/>
        <v>42704</v>
      </c>
      <c r="Y121" s="1166">
        <v>30.2</v>
      </c>
      <c r="Z121" s="1164">
        <f t="shared" si="101"/>
        <v>0.69097222222222221</v>
      </c>
      <c r="AA121" s="1164">
        <f t="shared" si="102"/>
        <v>0.71180555555555547</v>
      </c>
      <c r="AB121" s="1167">
        <f t="shared" si="85"/>
        <v>42704</v>
      </c>
      <c r="AC121" s="1166">
        <v>30.2</v>
      </c>
      <c r="AD121" s="1164">
        <f t="shared" si="103"/>
        <v>0.71874999999999989</v>
      </c>
      <c r="AE121" s="1164">
        <f t="shared" si="104"/>
        <v>0.72916666666666652</v>
      </c>
      <c r="AF121" s="1167">
        <f t="shared" si="86"/>
        <v>42704</v>
      </c>
      <c r="AG121" s="1164">
        <f t="shared" si="105"/>
        <v>0.73611111111111094</v>
      </c>
      <c r="AH121" s="1164">
        <f t="shared" si="106"/>
        <v>0.76736111111111094</v>
      </c>
      <c r="AI121" s="1167">
        <f t="shared" si="87"/>
        <v>42704</v>
      </c>
      <c r="AJ121" s="1164">
        <f t="shared" si="107"/>
        <v>0.7881944444444442</v>
      </c>
      <c r="AK121" s="1164">
        <f t="shared" si="108"/>
        <v>0.79513888888888862</v>
      </c>
      <c r="AL121" s="1167">
        <f t="shared" si="88"/>
        <v>42704</v>
      </c>
      <c r="AM121" s="1166">
        <v>1.06</v>
      </c>
      <c r="AN121" s="1166">
        <v>9</v>
      </c>
      <c r="AO121" s="1166">
        <v>23</v>
      </c>
      <c r="AP121" s="1166">
        <v>0</v>
      </c>
      <c r="AQ121" s="1164">
        <f t="shared" si="79"/>
        <v>0.79513888888888862</v>
      </c>
      <c r="AR121" s="1164">
        <f t="shared" si="109"/>
        <v>0.80208333333333304</v>
      </c>
      <c r="AS121" s="1167">
        <f t="shared" si="89"/>
        <v>42704</v>
      </c>
      <c r="AT121" s="1166">
        <v>30.2</v>
      </c>
      <c r="AU121" s="1164">
        <f t="shared" si="80"/>
        <v>0.80208333333333304</v>
      </c>
      <c r="AV121" s="1167">
        <f t="shared" si="90"/>
        <v>42704</v>
      </c>
      <c r="AW121" s="1164">
        <f t="shared" si="92"/>
        <v>0.87152777777777746</v>
      </c>
      <c r="AX121" s="1167">
        <f t="shared" si="91"/>
        <v>42704</v>
      </c>
      <c r="AY121" s="1166">
        <v>6.3</v>
      </c>
      <c r="AZ121" s="1166">
        <v>44</v>
      </c>
      <c r="BA121" s="1168">
        <f>VLOOKUP(B121,ĐTBT!$V:$W,2,0)</f>
        <v>5</v>
      </c>
      <c r="BB121" s="1168"/>
      <c r="BC121" s="1168"/>
      <c r="BD121" s="1168"/>
      <c r="BE121" s="1168"/>
      <c r="BF121" s="1168"/>
      <c r="BG121" s="1168"/>
      <c r="BH121" s="1168"/>
      <c r="BI121" s="1168">
        <f t="shared" si="110"/>
        <v>0</v>
      </c>
      <c r="BJ121" s="1168">
        <f>VLOOKUP(B121,'Thong tin'!A:R,11,0)</f>
        <v>0</v>
      </c>
    </row>
    <row r="122" spans="1:63" s="1219" customFormat="1" ht="15">
      <c r="A122" s="1217">
        <f>IF(C122="","",COUNTA($C$13:C122))</f>
        <v>110</v>
      </c>
      <c r="B122" s="1239" t="s">
        <v>597</v>
      </c>
      <c r="C122" s="1164">
        <v>0.3888888888888889</v>
      </c>
      <c r="D122" s="1164">
        <f t="shared" si="94"/>
        <v>0.40972222222222221</v>
      </c>
      <c r="E122" s="1165">
        <f t="shared" ref="E122:E153" si="111">E117+2</f>
        <v>42704</v>
      </c>
      <c r="F122" s="1164">
        <f t="shared" si="95"/>
        <v>0.41666666666666663</v>
      </c>
      <c r="G122" s="1164">
        <f t="shared" si="96"/>
        <v>0.42013888888888884</v>
      </c>
      <c r="H122" s="1165">
        <f t="shared" si="81"/>
        <v>42704</v>
      </c>
      <c r="I122" s="1166">
        <v>-1.7999999999999999E-2</v>
      </c>
      <c r="J122" s="1166">
        <v>1.2E-2</v>
      </c>
      <c r="K122" s="1166">
        <v>-0.44500000000000001</v>
      </c>
      <c r="L122" s="1166">
        <v>-0.875</v>
      </c>
      <c r="M122" s="1164">
        <f t="shared" si="97"/>
        <v>0.42361111111111105</v>
      </c>
      <c r="N122" s="1164">
        <f t="shared" si="98"/>
        <v>0.43402777777777773</v>
      </c>
      <c r="O122" s="1165">
        <f t="shared" si="82"/>
        <v>42704</v>
      </c>
      <c r="P122" s="1166">
        <v>1.06</v>
      </c>
      <c r="Q122" s="1166">
        <v>9</v>
      </c>
      <c r="R122" s="1166">
        <v>23</v>
      </c>
      <c r="S122" s="1166">
        <v>0</v>
      </c>
      <c r="T122" s="1164">
        <f t="shared" si="99"/>
        <v>0.55902777777777768</v>
      </c>
      <c r="U122" s="1167">
        <f t="shared" si="83"/>
        <v>42704</v>
      </c>
      <c r="V122" s="1166">
        <v>21.3</v>
      </c>
      <c r="W122" s="1164">
        <f t="shared" si="100"/>
        <v>0.68402777777777768</v>
      </c>
      <c r="X122" s="1167">
        <f t="shared" si="84"/>
        <v>42704</v>
      </c>
      <c r="Y122" s="1166">
        <v>27.1</v>
      </c>
      <c r="Z122" s="1164">
        <f t="shared" si="101"/>
        <v>0.72569444444444431</v>
      </c>
      <c r="AA122" s="1164">
        <f t="shared" si="102"/>
        <v>0.74652777777777757</v>
      </c>
      <c r="AB122" s="1167">
        <f t="shared" si="85"/>
        <v>42704</v>
      </c>
      <c r="AC122" s="1166">
        <v>27.2</v>
      </c>
      <c r="AD122" s="1164">
        <f t="shared" si="103"/>
        <v>0.75347222222222199</v>
      </c>
      <c r="AE122" s="1164">
        <f t="shared" si="104"/>
        <v>0.76388888888888862</v>
      </c>
      <c r="AF122" s="1167">
        <f t="shared" si="86"/>
        <v>42704</v>
      </c>
      <c r="AG122" s="1164">
        <f t="shared" si="105"/>
        <v>0.77083333333333304</v>
      </c>
      <c r="AH122" s="1164">
        <f t="shared" si="106"/>
        <v>0.80208333333333304</v>
      </c>
      <c r="AI122" s="1167">
        <f t="shared" si="87"/>
        <v>42704</v>
      </c>
      <c r="AJ122" s="1164">
        <f t="shared" si="107"/>
        <v>0.8229166666666663</v>
      </c>
      <c r="AK122" s="1164">
        <f t="shared" si="108"/>
        <v>0.82986111111111072</v>
      </c>
      <c r="AL122" s="1167">
        <f t="shared" si="88"/>
        <v>42704</v>
      </c>
      <c r="AM122" s="1166">
        <v>1.06</v>
      </c>
      <c r="AN122" s="1166">
        <v>9</v>
      </c>
      <c r="AO122" s="1166">
        <v>22</v>
      </c>
      <c r="AP122" s="1166">
        <v>0</v>
      </c>
      <c r="AQ122" s="1164">
        <f t="shared" si="79"/>
        <v>0.82986111111111072</v>
      </c>
      <c r="AR122" s="1164">
        <f t="shared" si="109"/>
        <v>0.83680555555555514</v>
      </c>
      <c r="AS122" s="1167">
        <f t="shared" si="89"/>
        <v>42704</v>
      </c>
      <c r="AT122" s="1166">
        <v>27.2</v>
      </c>
      <c r="AU122" s="1164">
        <f t="shared" si="80"/>
        <v>0.83680555555555514</v>
      </c>
      <c r="AV122" s="1167">
        <f t="shared" si="90"/>
        <v>42704</v>
      </c>
      <c r="AW122" s="1164">
        <f t="shared" si="92"/>
        <v>0.86458333333333293</v>
      </c>
      <c r="AX122" s="1167">
        <f t="shared" si="91"/>
        <v>42704</v>
      </c>
      <c r="AY122" s="1166">
        <v>4.9000000000000004</v>
      </c>
      <c r="AZ122" s="1166">
        <v>12</v>
      </c>
      <c r="BA122" s="1168">
        <f>VLOOKUP(B122,ĐTBT!$V:$W,2,0)</f>
        <v>2</v>
      </c>
      <c r="BB122" s="1168"/>
      <c r="BC122" s="1168"/>
      <c r="BD122" s="1168"/>
      <c r="BE122" s="1168"/>
      <c r="BF122" s="1168"/>
      <c r="BG122" s="1168"/>
      <c r="BH122" s="1168"/>
      <c r="BI122" s="1168">
        <f t="shared" si="110"/>
        <v>0</v>
      </c>
      <c r="BJ122" s="1168">
        <f>VLOOKUP(B122,'Thong tin'!A:R,11,0)</f>
        <v>0</v>
      </c>
    </row>
    <row r="123" spans="1:63" s="1219" customFormat="1" ht="15">
      <c r="A123" s="1217">
        <f>IF(C123="","",COUNTA($C$13:C123))</f>
        <v>111</v>
      </c>
      <c r="B123" s="1239" t="s">
        <v>691</v>
      </c>
      <c r="C123" s="1164">
        <v>0.32291666666666669</v>
      </c>
      <c r="D123" s="1164">
        <f t="shared" si="94"/>
        <v>0.34375</v>
      </c>
      <c r="E123" s="1165">
        <f t="shared" si="111"/>
        <v>42705</v>
      </c>
      <c r="F123" s="1164">
        <f t="shared" si="95"/>
        <v>0.35069444444444442</v>
      </c>
      <c r="G123" s="1164">
        <f t="shared" si="96"/>
        <v>0.35416666666666663</v>
      </c>
      <c r="H123" s="1165">
        <f t="shared" si="81"/>
        <v>42705</v>
      </c>
      <c r="I123" s="1166">
        <v>-2.1000000000000001E-2</v>
      </c>
      <c r="J123" s="1166">
        <v>-2E-3</v>
      </c>
      <c r="K123" s="1166">
        <v>-0.66500000000000004</v>
      </c>
      <c r="L123" s="1166">
        <v>-1.1000000000000001</v>
      </c>
      <c r="M123" s="1164">
        <f t="shared" si="97"/>
        <v>0.35763888888888884</v>
      </c>
      <c r="N123" s="1164">
        <f t="shared" si="98"/>
        <v>0.36805555555555552</v>
      </c>
      <c r="O123" s="1165">
        <f t="shared" si="82"/>
        <v>42705</v>
      </c>
      <c r="P123" s="1166">
        <v>1.06</v>
      </c>
      <c r="Q123" s="1166">
        <v>9</v>
      </c>
      <c r="R123" s="1166">
        <v>22</v>
      </c>
      <c r="S123" s="1166">
        <v>0</v>
      </c>
      <c r="T123" s="1164">
        <f t="shared" si="99"/>
        <v>0.49305555555555552</v>
      </c>
      <c r="U123" s="1167">
        <f t="shared" si="83"/>
        <v>42705</v>
      </c>
      <c r="V123" s="1166">
        <v>23</v>
      </c>
      <c r="W123" s="1164">
        <f t="shared" si="100"/>
        <v>0.61805555555555558</v>
      </c>
      <c r="X123" s="1167">
        <f t="shared" si="84"/>
        <v>42705</v>
      </c>
      <c r="Y123" s="1166">
        <v>31.7</v>
      </c>
      <c r="Z123" s="1164">
        <f t="shared" si="101"/>
        <v>0.65972222222222221</v>
      </c>
      <c r="AA123" s="1164">
        <f t="shared" si="102"/>
        <v>0.68055555555555547</v>
      </c>
      <c r="AB123" s="1167">
        <f t="shared" si="85"/>
        <v>42705</v>
      </c>
      <c r="AC123" s="1166">
        <v>31.9</v>
      </c>
      <c r="AD123" s="1164">
        <f t="shared" si="103"/>
        <v>0.68749999999999989</v>
      </c>
      <c r="AE123" s="1164">
        <f t="shared" si="104"/>
        <v>0.69791666666666652</v>
      </c>
      <c r="AF123" s="1167">
        <f t="shared" si="86"/>
        <v>42705</v>
      </c>
      <c r="AG123" s="1164">
        <f t="shared" si="105"/>
        <v>0.70486111111111094</v>
      </c>
      <c r="AH123" s="1164">
        <f t="shared" si="106"/>
        <v>0.73611111111111094</v>
      </c>
      <c r="AI123" s="1167">
        <f t="shared" si="87"/>
        <v>42705</v>
      </c>
      <c r="AJ123" s="1164">
        <f t="shared" si="107"/>
        <v>0.7569444444444442</v>
      </c>
      <c r="AK123" s="1164">
        <f t="shared" si="108"/>
        <v>0.76388888888888862</v>
      </c>
      <c r="AL123" s="1167">
        <f t="shared" si="88"/>
        <v>42705</v>
      </c>
      <c r="AM123" s="1166">
        <v>1.05</v>
      </c>
      <c r="AN123" s="1166">
        <v>9</v>
      </c>
      <c r="AO123" s="1166">
        <v>24</v>
      </c>
      <c r="AP123" s="1166">
        <v>0</v>
      </c>
      <c r="AQ123" s="1164">
        <f t="shared" si="79"/>
        <v>0.76388888888888862</v>
      </c>
      <c r="AR123" s="1164">
        <f t="shared" si="109"/>
        <v>0.77083333333333304</v>
      </c>
      <c r="AS123" s="1167">
        <f t="shared" si="89"/>
        <v>42705</v>
      </c>
      <c r="AT123" s="1166">
        <v>31.9</v>
      </c>
      <c r="AU123" s="1164">
        <f t="shared" si="80"/>
        <v>0.77083333333333304</v>
      </c>
      <c r="AV123" s="1167">
        <f t="shared" si="90"/>
        <v>42705</v>
      </c>
      <c r="AW123" s="1164">
        <f t="shared" si="92"/>
        <v>0.86805555555555525</v>
      </c>
      <c r="AX123" s="1167">
        <f t="shared" si="91"/>
        <v>42705</v>
      </c>
      <c r="AY123" s="1166">
        <v>7.7</v>
      </c>
      <c r="AZ123" s="1166">
        <v>62</v>
      </c>
      <c r="BA123" s="1168">
        <f>VLOOKUP(B123,ĐTBT!$V:$W,2,0)</f>
        <v>7</v>
      </c>
      <c r="BB123" s="1168"/>
      <c r="BC123" s="1168"/>
      <c r="BD123" s="1168"/>
      <c r="BE123" s="1168"/>
      <c r="BF123" s="1168"/>
      <c r="BG123" s="1168"/>
      <c r="BH123" s="1168"/>
      <c r="BI123" s="1168">
        <f t="shared" si="110"/>
        <v>0</v>
      </c>
      <c r="BJ123" s="1168">
        <f>VLOOKUP(B123,'Thong tin'!A:R,11,0)</f>
        <v>0</v>
      </c>
    </row>
    <row r="124" spans="1:63" s="1219" customFormat="1" ht="15">
      <c r="A124" s="1217">
        <f>IF(C124="","",COUNTA($C$13:C124))</f>
        <v>112</v>
      </c>
      <c r="B124" s="1239" t="s">
        <v>587</v>
      </c>
      <c r="C124" s="1164">
        <v>0.34027777777777773</v>
      </c>
      <c r="D124" s="1164">
        <f t="shared" si="94"/>
        <v>0.36111111111111105</v>
      </c>
      <c r="E124" s="1165">
        <f t="shared" si="111"/>
        <v>42705</v>
      </c>
      <c r="F124" s="1164">
        <f t="shared" si="95"/>
        <v>0.36805555555555547</v>
      </c>
      <c r="G124" s="1164">
        <f t="shared" si="96"/>
        <v>0.37152777777777768</v>
      </c>
      <c r="H124" s="1165">
        <f t="shared" si="81"/>
        <v>42705</v>
      </c>
      <c r="I124" s="1166">
        <v>-1.7999999999999999E-2</v>
      </c>
      <c r="J124" s="1166">
        <v>1.6E-2</v>
      </c>
      <c r="K124" s="1166">
        <v>-0.57499999999999996</v>
      </c>
      <c r="L124" s="1166">
        <v>-0.81599999999999995</v>
      </c>
      <c r="M124" s="1164">
        <f t="shared" si="97"/>
        <v>0.37499999999999989</v>
      </c>
      <c r="N124" s="1164">
        <f t="shared" si="98"/>
        <v>0.38541666666666657</v>
      </c>
      <c r="O124" s="1165">
        <f t="shared" si="82"/>
        <v>42705</v>
      </c>
      <c r="P124" s="1166">
        <v>1.05</v>
      </c>
      <c r="Q124" s="1166">
        <v>9</v>
      </c>
      <c r="R124" s="1166">
        <v>23</v>
      </c>
      <c r="S124" s="1166">
        <v>0</v>
      </c>
      <c r="T124" s="1164">
        <f t="shared" si="99"/>
        <v>0.51041666666666652</v>
      </c>
      <c r="U124" s="1167">
        <f t="shared" si="83"/>
        <v>42705</v>
      </c>
      <c r="V124" s="1166">
        <v>19.8</v>
      </c>
      <c r="W124" s="1164">
        <f t="shared" si="100"/>
        <v>0.63541666666666652</v>
      </c>
      <c r="X124" s="1167">
        <f t="shared" si="84"/>
        <v>42705</v>
      </c>
      <c r="Y124" s="1166">
        <v>27.15</v>
      </c>
      <c r="Z124" s="1164">
        <f t="shared" si="101"/>
        <v>0.67708333333333315</v>
      </c>
      <c r="AA124" s="1164">
        <f t="shared" si="102"/>
        <v>0.69791666666666641</v>
      </c>
      <c r="AB124" s="1167">
        <f t="shared" si="85"/>
        <v>42705</v>
      </c>
      <c r="AC124" s="1166">
        <v>27.15</v>
      </c>
      <c r="AD124" s="1164">
        <f t="shared" si="103"/>
        <v>0.70486111111111083</v>
      </c>
      <c r="AE124" s="1164">
        <f t="shared" si="104"/>
        <v>0.71527777777777746</v>
      </c>
      <c r="AF124" s="1167">
        <f t="shared" si="86"/>
        <v>42705</v>
      </c>
      <c r="AG124" s="1164">
        <f t="shared" si="105"/>
        <v>0.72222222222222188</v>
      </c>
      <c r="AH124" s="1164">
        <f t="shared" si="106"/>
        <v>0.76388888888888851</v>
      </c>
      <c r="AI124" s="1167">
        <f t="shared" si="87"/>
        <v>42705</v>
      </c>
      <c r="AJ124" s="1164">
        <f t="shared" si="107"/>
        <v>0.78472222222222177</v>
      </c>
      <c r="AK124" s="1164">
        <f t="shared" si="108"/>
        <v>0.79166666666666619</v>
      </c>
      <c r="AL124" s="1167">
        <f t="shared" si="88"/>
        <v>42705</v>
      </c>
      <c r="AM124" s="1166">
        <v>1.06</v>
      </c>
      <c r="AN124" s="1166">
        <v>9</v>
      </c>
      <c r="AO124" s="1166">
        <v>25</v>
      </c>
      <c r="AP124" s="1166">
        <v>0</v>
      </c>
      <c r="AQ124" s="1164">
        <f t="shared" si="79"/>
        <v>0.79166666666666619</v>
      </c>
      <c r="AR124" s="1164">
        <f t="shared" si="109"/>
        <v>0.79861111111111061</v>
      </c>
      <c r="AS124" s="1167">
        <f t="shared" si="89"/>
        <v>42705</v>
      </c>
      <c r="AT124" s="1166">
        <v>27.15</v>
      </c>
      <c r="AU124" s="1164">
        <f t="shared" si="80"/>
        <v>0.79861111111111061</v>
      </c>
      <c r="AV124" s="1167">
        <f t="shared" si="90"/>
        <v>42705</v>
      </c>
      <c r="AW124" s="1164">
        <f t="shared" si="92"/>
        <v>0.8263888888888884</v>
      </c>
      <c r="AX124" s="1167">
        <f t="shared" si="91"/>
        <v>42705</v>
      </c>
      <c r="AY124" s="1166">
        <v>4.8</v>
      </c>
      <c r="AZ124" s="1166">
        <v>12</v>
      </c>
      <c r="BA124" s="1168">
        <f>VLOOKUP(B124,ĐTBT!$V:$W,2,0)</f>
        <v>2</v>
      </c>
      <c r="BB124" s="1168"/>
      <c r="BC124" s="1168"/>
      <c r="BD124" s="1168"/>
      <c r="BE124" s="1168"/>
      <c r="BF124" s="1168"/>
      <c r="BG124" s="1168"/>
      <c r="BH124" s="1168"/>
      <c r="BI124" s="1168">
        <f t="shared" si="110"/>
        <v>0</v>
      </c>
      <c r="BJ124" s="1168">
        <f>VLOOKUP(B124,'Thong tin'!A:R,11,0)</f>
        <v>3</v>
      </c>
    </row>
    <row r="125" spans="1:63" s="1219" customFormat="1" ht="15">
      <c r="A125" s="1217">
        <f>IF(C125="","",COUNTA($C$13:C125))</f>
        <v>113</v>
      </c>
      <c r="B125" s="1239" t="s">
        <v>607</v>
      </c>
      <c r="C125" s="1164">
        <v>0.33333333333333331</v>
      </c>
      <c r="D125" s="1164">
        <f t="shared" si="94"/>
        <v>0.35416666666666663</v>
      </c>
      <c r="E125" s="1165">
        <f t="shared" si="111"/>
        <v>42706</v>
      </c>
      <c r="F125" s="1164">
        <f t="shared" si="95"/>
        <v>0.36111111111111105</v>
      </c>
      <c r="G125" s="1164">
        <f t="shared" si="96"/>
        <v>0.36458333333333326</v>
      </c>
      <c r="H125" s="1165">
        <f t="shared" si="81"/>
        <v>42706</v>
      </c>
      <c r="I125" s="1166">
        <v>-4.0000000000000001E-3</v>
      </c>
      <c r="J125" s="1166">
        <v>-1.6E-2</v>
      </c>
      <c r="K125" s="1166">
        <v>-0.48899999999999999</v>
      </c>
      <c r="L125" s="1166">
        <v>-0.68899999999999995</v>
      </c>
      <c r="M125" s="1164">
        <f t="shared" si="97"/>
        <v>0.36805555555555547</v>
      </c>
      <c r="N125" s="1164">
        <f t="shared" si="98"/>
        <v>0.37847222222222215</v>
      </c>
      <c r="O125" s="1165">
        <f t="shared" si="82"/>
        <v>42706</v>
      </c>
      <c r="P125" s="1166">
        <v>1.06</v>
      </c>
      <c r="Q125" s="1166">
        <v>9</v>
      </c>
      <c r="R125" s="1166">
        <v>23</v>
      </c>
      <c r="S125" s="1166">
        <v>0</v>
      </c>
      <c r="T125" s="1164">
        <f t="shared" si="99"/>
        <v>0.5034722222222221</v>
      </c>
      <c r="U125" s="1167">
        <f t="shared" si="83"/>
        <v>42706</v>
      </c>
      <c r="V125" s="1166">
        <v>30.4</v>
      </c>
      <c r="W125" s="1164">
        <f t="shared" si="100"/>
        <v>0.6284722222222221</v>
      </c>
      <c r="X125" s="1167">
        <f t="shared" si="84"/>
        <v>42706</v>
      </c>
      <c r="Y125" s="1166">
        <v>31.6</v>
      </c>
      <c r="Z125" s="1164">
        <f t="shared" si="101"/>
        <v>0.67013888888888873</v>
      </c>
      <c r="AA125" s="1164">
        <f t="shared" si="102"/>
        <v>0.69097222222222199</v>
      </c>
      <c r="AB125" s="1167">
        <f t="shared" si="85"/>
        <v>42706</v>
      </c>
      <c r="AC125" s="1166">
        <v>31.7</v>
      </c>
      <c r="AD125" s="1164">
        <f t="shared" si="103"/>
        <v>0.69791666666666641</v>
      </c>
      <c r="AE125" s="1164">
        <f t="shared" si="104"/>
        <v>0.70833333333333304</v>
      </c>
      <c r="AF125" s="1167">
        <f t="shared" si="86"/>
        <v>42706</v>
      </c>
      <c r="AG125" s="1164">
        <f t="shared" si="105"/>
        <v>0.71527777777777746</v>
      </c>
      <c r="AH125" s="1164">
        <f t="shared" si="106"/>
        <v>0.74652777777777746</v>
      </c>
      <c r="AI125" s="1167">
        <f t="shared" si="87"/>
        <v>42706</v>
      </c>
      <c r="AJ125" s="1164">
        <f t="shared" si="107"/>
        <v>0.76736111111111072</v>
      </c>
      <c r="AK125" s="1164">
        <f t="shared" si="108"/>
        <v>0.77430555555555514</v>
      </c>
      <c r="AL125" s="1167">
        <f t="shared" si="88"/>
        <v>42706</v>
      </c>
      <c r="AM125" s="1166">
        <v>1.05</v>
      </c>
      <c r="AN125" s="1166">
        <v>9</v>
      </c>
      <c r="AO125" s="1166">
        <v>22</v>
      </c>
      <c r="AP125" s="1166">
        <v>0</v>
      </c>
      <c r="AQ125" s="1164">
        <f t="shared" si="79"/>
        <v>0.77430555555555514</v>
      </c>
      <c r="AR125" s="1164">
        <f t="shared" si="109"/>
        <v>0.78124999999999956</v>
      </c>
      <c r="AS125" s="1167">
        <f t="shared" si="89"/>
        <v>42706</v>
      </c>
      <c r="AT125" s="1166">
        <v>31.7</v>
      </c>
      <c r="AU125" s="1164">
        <f t="shared" si="80"/>
        <v>0.78124999999999956</v>
      </c>
      <c r="AV125" s="1167">
        <f t="shared" si="90"/>
        <v>42706</v>
      </c>
      <c r="AW125" s="1164">
        <f t="shared" si="92"/>
        <v>0.82291666666666619</v>
      </c>
      <c r="AX125" s="1167">
        <f t="shared" si="91"/>
        <v>42706</v>
      </c>
      <c r="AY125" s="1166">
        <v>5.2</v>
      </c>
      <c r="AZ125" s="1166">
        <v>15</v>
      </c>
      <c r="BA125" s="1168">
        <f>VLOOKUP(B125,ĐTBT!$V:$W,2,0)</f>
        <v>3</v>
      </c>
      <c r="BB125" s="1168"/>
      <c r="BC125" s="1168"/>
      <c r="BD125" s="1168"/>
      <c r="BE125" s="1168"/>
      <c r="BF125" s="1168"/>
      <c r="BG125" s="1168"/>
      <c r="BH125" s="1168"/>
      <c r="BI125" s="1168">
        <f t="shared" si="110"/>
        <v>0</v>
      </c>
      <c r="BJ125" s="1168">
        <f>VLOOKUP(B125,'Thong tin'!A:R,11,0)</f>
        <v>0</v>
      </c>
    </row>
    <row r="126" spans="1:63" s="1219" customFormat="1" ht="15">
      <c r="A126" s="1217">
        <f>IF(C126="","",COUNTA($C$13:C126))</f>
        <v>114</v>
      </c>
      <c r="B126" s="1239" t="s">
        <v>495</v>
      </c>
      <c r="C126" s="1164">
        <v>0.41666666666666669</v>
      </c>
      <c r="D126" s="1164">
        <f t="shared" si="94"/>
        <v>0.4375</v>
      </c>
      <c r="E126" s="1165">
        <f t="shared" si="111"/>
        <v>42706</v>
      </c>
      <c r="F126" s="1164">
        <f t="shared" si="95"/>
        <v>0.44444444444444442</v>
      </c>
      <c r="G126" s="1164">
        <f t="shared" si="96"/>
        <v>0.44791666666666663</v>
      </c>
      <c r="H126" s="1165">
        <f t="shared" si="81"/>
        <v>42706</v>
      </c>
      <c r="I126" s="1166">
        <v>1.7000000000000001E-2</v>
      </c>
      <c r="J126" s="1166">
        <v>1.6E-2</v>
      </c>
      <c r="K126" s="1166">
        <v>-0.71899999999999997</v>
      </c>
      <c r="L126" s="1166">
        <v>-0.98399999999999999</v>
      </c>
      <c r="M126" s="1164">
        <f t="shared" si="97"/>
        <v>0.45138888888888884</v>
      </c>
      <c r="N126" s="1164">
        <f t="shared" si="98"/>
        <v>0.46180555555555552</v>
      </c>
      <c r="O126" s="1165">
        <f t="shared" si="82"/>
        <v>42706</v>
      </c>
      <c r="P126" s="1166">
        <v>1.06</v>
      </c>
      <c r="Q126" s="1166">
        <v>9</v>
      </c>
      <c r="R126" s="1166">
        <v>23</v>
      </c>
      <c r="S126" s="1166">
        <v>0</v>
      </c>
      <c r="T126" s="1164">
        <f t="shared" si="99"/>
        <v>0.58680555555555558</v>
      </c>
      <c r="U126" s="1167">
        <f t="shared" si="83"/>
        <v>42706</v>
      </c>
      <c r="V126" s="1166">
        <v>24.4</v>
      </c>
      <c r="W126" s="1164">
        <f t="shared" si="100"/>
        <v>0.71180555555555558</v>
      </c>
      <c r="X126" s="1167">
        <f t="shared" si="84"/>
        <v>42706</v>
      </c>
      <c r="Y126" s="1166">
        <v>31.5</v>
      </c>
      <c r="Z126" s="1164">
        <f t="shared" si="101"/>
        <v>0.75347222222222221</v>
      </c>
      <c r="AA126" s="1164">
        <f t="shared" si="102"/>
        <v>0.77430555555555547</v>
      </c>
      <c r="AB126" s="1167">
        <f t="shared" si="85"/>
        <v>42706</v>
      </c>
      <c r="AC126" s="1166">
        <v>31.5</v>
      </c>
      <c r="AD126" s="1164">
        <f t="shared" si="103"/>
        <v>0.78124999999999989</v>
      </c>
      <c r="AE126" s="1164">
        <f t="shared" si="104"/>
        <v>0.79166666666666652</v>
      </c>
      <c r="AF126" s="1167">
        <f t="shared" si="86"/>
        <v>42706</v>
      </c>
      <c r="AG126" s="1164">
        <f t="shared" si="105"/>
        <v>0.79861111111111094</v>
      </c>
      <c r="AH126" s="1164">
        <f t="shared" si="106"/>
        <v>0.84027777777777757</v>
      </c>
      <c r="AI126" s="1167">
        <f t="shared" si="87"/>
        <v>42706</v>
      </c>
      <c r="AJ126" s="1164">
        <f t="shared" si="107"/>
        <v>0.86111111111111083</v>
      </c>
      <c r="AK126" s="1164">
        <f t="shared" si="108"/>
        <v>0.86805555555555525</v>
      </c>
      <c r="AL126" s="1167">
        <f t="shared" si="88"/>
        <v>42706</v>
      </c>
      <c r="AM126" s="1166">
        <v>1.06</v>
      </c>
      <c r="AN126" s="1166">
        <v>9</v>
      </c>
      <c r="AO126" s="1166">
        <v>23</v>
      </c>
      <c r="AP126" s="1166">
        <v>0</v>
      </c>
      <c r="AQ126" s="1164">
        <f t="shared" si="79"/>
        <v>0.86805555555555525</v>
      </c>
      <c r="AR126" s="1164">
        <f t="shared" si="109"/>
        <v>0.87499999999999967</v>
      </c>
      <c r="AS126" s="1167">
        <f t="shared" si="89"/>
        <v>42706</v>
      </c>
      <c r="AT126" s="1166">
        <v>31.5</v>
      </c>
      <c r="AU126" s="1164">
        <f t="shared" si="80"/>
        <v>0.87499999999999967</v>
      </c>
      <c r="AV126" s="1167">
        <f t="shared" si="90"/>
        <v>42706</v>
      </c>
      <c r="AW126" s="1164">
        <f t="shared" si="92"/>
        <v>0.93055555555555525</v>
      </c>
      <c r="AX126" s="1167">
        <f t="shared" si="91"/>
        <v>42706</v>
      </c>
      <c r="AY126" s="1166">
        <v>7.8</v>
      </c>
      <c r="AZ126" s="1166">
        <v>30.5</v>
      </c>
      <c r="BA126" s="1168">
        <f>VLOOKUP(B126,ĐTBT!$V:$W,2,0)</f>
        <v>4</v>
      </c>
      <c r="BB126" s="1168"/>
      <c r="BC126" s="1168"/>
      <c r="BD126" s="1168"/>
      <c r="BE126" s="1168"/>
      <c r="BF126" s="1168"/>
      <c r="BG126" s="1168"/>
      <c r="BH126" s="1168"/>
      <c r="BI126" s="1168">
        <f t="shared" si="110"/>
        <v>0</v>
      </c>
      <c r="BJ126" s="1168">
        <f>VLOOKUP(B126,'Thong tin'!A:R,11,0)</f>
        <v>4</v>
      </c>
    </row>
    <row r="127" spans="1:63" s="1219" customFormat="1" ht="15">
      <c r="A127" s="1217">
        <f>IF(C127="","",COUNTA($C$13:C127))</f>
        <v>115</v>
      </c>
      <c r="B127" s="1239" t="s">
        <v>515</v>
      </c>
      <c r="C127" s="1164">
        <v>0.375</v>
      </c>
      <c r="D127" s="1164">
        <f t="shared" si="94"/>
        <v>0.39583333333333331</v>
      </c>
      <c r="E127" s="1165">
        <f t="shared" si="111"/>
        <v>42706</v>
      </c>
      <c r="F127" s="1164">
        <f t="shared" si="95"/>
        <v>0.40277777777777773</v>
      </c>
      <c r="G127" s="1164">
        <f t="shared" si="96"/>
        <v>0.40624999999999994</v>
      </c>
      <c r="H127" s="1165">
        <f t="shared" ref="H127:H168" si="112">IF(G127&gt;2,E127+2,IF(G127&gt;1,E127+1,E127))</f>
        <v>42706</v>
      </c>
      <c r="I127" s="1166">
        <v>-6.0000000000000001E-3</v>
      </c>
      <c r="J127" s="1166">
        <v>0</v>
      </c>
      <c r="K127" s="1166">
        <v>-0.45300000000000001</v>
      </c>
      <c r="L127" s="1166">
        <v>-1.071</v>
      </c>
      <c r="M127" s="1164">
        <f t="shared" si="97"/>
        <v>0.40972222222222215</v>
      </c>
      <c r="N127" s="1164">
        <f t="shared" si="98"/>
        <v>0.42013888888888884</v>
      </c>
      <c r="O127" s="1165">
        <f t="shared" ref="O127:O168" si="113">IF(N127&gt;2,E127+2,IF(N127&gt;1,E127+1,E127))</f>
        <v>42706</v>
      </c>
      <c r="P127" s="1166">
        <v>1.05</v>
      </c>
      <c r="Q127" s="1166">
        <v>9</v>
      </c>
      <c r="R127" s="1166">
        <v>28</v>
      </c>
      <c r="S127" s="1166">
        <v>0</v>
      </c>
      <c r="T127" s="1164">
        <f t="shared" si="99"/>
        <v>0.54513888888888884</v>
      </c>
      <c r="U127" s="1167">
        <f t="shared" ref="U127:U168" si="114">IF(T127&gt;2,E127+2,IF(T127&gt;1,E127+1,E127))</f>
        <v>42706</v>
      </c>
      <c r="V127" s="1166">
        <v>21.1</v>
      </c>
      <c r="W127" s="1164">
        <f t="shared" si="100"/>
        <v>0.67013888888888884</v>
      </c>
      <c r="X127" s="1167">
        <f t="shared" ref="X127:X168" si="115">IF(W127&gt;2,E127+2,IF(W127&gt;1,E127+1,E127))</f>
        <v>42706</v>
      </c>
      <c r="Y127" s="1166">
        <v>31.22</v>
      </c>
      <c r="Z127" s="1164">
        <f t="shared" si="101"/>
        <v>0.71180555555555547</v>
      </c>
      <c r="AA127" s="1164">
        <f t="shared" si="102"/>
        <v>0.73263888888888873</v>
      </c>
      <c r="AB127" s="1167">
        <f t="shared" ref="AB127:AB168" si="116">IF(AA127&gt;2,E127+2,IF(AA127&gt;1,E127+1,E127))</f>
        <v>42706</v>
      </c>
      <c r="AC127" s="1166">
        <v>31.5</v>
      </c>
      <c r="AD127" s="1164">
        <f t="shared" si="103"/>
        <v>0.73958333333333315</v>
      </c>
      <c r="AE127" s="1164">
        <f t="shared" si="104"/>
        <v>0.74999999999999978</v>
      </c>
      <c r="AF127" s="1167">
        <f t="shared" ref="AF127:AF168" si="117">IF(AE127&gt;2,E127+2,IF(AE127&gt;1,E127+1,E127))</f>
        <v>42706</v>
      </c>
      <c r="AG127" s="1164">
        <f t="shared" si="105"/>
        <v>0.7569444444444442</v>
      </c>
      <c r="AH127" s="1164">
        <f t="shared" si="106"/>
        <v>0.7881944444444442</v>
      </c>
      <c r="AI127" s="1167">
        <f t="shared" ref="AI127:AI168" si="118">IF(AH127&gt;2,E127+2,IF(AH127&gt;1,E127+1,E127))</f>
        <v>42706</v>
      </c>
      <c r="AJ127" s="1164">
        <f t="shared" si="107"/>
        <v>0.80902777777777746</v>
      </c>
      <c r="AK127" s="1164">
        <f t="shared" si="108"/>
        <v>0.81597222222222188</v>
      </c>
      <c r="AL127" s="1167">
        <f t="shared" ref="AL127:AL168" si="119">IF(AK127&gt;2,E127+2,IF(AK127&gt;1,E127+1,E127))</f>
        <v>42706</v>
      </c>
      <c r="AM127" s="1166">
        <v>1.05</v>
      </c>
      <c r="AN127" s="1166">
        <v>9</v>
      </c>
      <c r="AO127" s="1166">
        <v>20</v>
      </c>
      <c r="AP127" s="1166">
        <v>0</v>
      </c>
      <c r="AQ127" s="1164">
        <f t="shared" ref="AQ127:AQ168" si="120">AK127</f>
        <v>0.81597222222222188</v>
      </c>
      <c r="AR127" s="1164">
        <f t="shared" si="109"/>
        <v>0.8229166666666663</v>
      </c>
      <c r="AS127" s="1167">
        <f t="shared" ref="AS127:AS168" si="121">IF(AR127&gt;2,E127+2,IF(AR127&gt;1,E127+1,E127))</f>
        <v>42706</v>
      </c>
      <c r="AT127" s="1166">
        <v>31.5</v>
      </c>
      <c r="AU127" s="1164">
        <f t="shared" ref="AU127:AU168" si="122">AR127</f>
        <v>0.8229166666666663</v>
      </c>
      <c r="AV127" s="1167">
        <f t="shared" ref="AV127:AV168" si="123">IF(AU127&gt;2,E127+2,IF(AU127&gt;1,E127+1,E127))</f>
        <v>42706</v>
      </c>
      <c r="AW127" s="1164">
        <f t="shared" ref="AW127:AW168" si="124">AU127+$BC$13*BA127</f>
        <v>0.87847222222222188</v>
      </c>
      <c r="AX127" s="1167">
        <f t="shared" ref="AX127:AX168" si="125">IF(AW127&gt;2,E127+2,IF(AW127&gt;1,E127+1,E127))</f>
        <v>42706</v>
      </c>
      <c r="AY127" s="1166">
        <v>6.8</v>
      </c>
      <c r="AZ127" s="1166">
        <v>36</v>
      </c>
      <c r="BA127" s="1168">
        <f>VLOOKUP(B127,ĐTBT!$V:$W,2,0)</f>
        <v>4</v>
      </c>
      <c r="BB127" s="1168"/>
      <c r="BC127" s="1168"/>
      <c r="BD127" s="1168"/>
      <c r="BE127" s="1168"/>
      <c r="BF127" s="1168"/>
      <c r="BG127" s="1168"/>
      <c r="BH127" s="1168"/>
      <c r="BI127" s="1168">
        <f t="shared" ref="BI127:BI167" si="126">AX127-E127</f>
        <v>0</v>
      </c>
      <c r="BJ127" s="1168">
        <f>VLOOKUP(B127,'Thong tin'!A:R,11,0)</f>
        <v>0</v>
      </c>
    </row>
    <row r="128" spans="1:63" s="1219" customFormat="1" ht="15">
      <c r="A128" s="1217">
        <f>IF(C128="","",COUNTA($C$13:C128))</f>
        <v>116</v>
      </c>
      <c r="B128" s="1239" t="s">
        <v>612</v>
      </c>
      <c r="C128" s="1164">
        <v>0.3125</v>
      </c>
      <c r="D128" s="1164">
        <f t="shared" si="94"/>
        <v>0.33333333333333331</v>
      </c>
      <c r="E128" s="1165">
        <f t="shared" si="111"/>
        <v>42707</v>
      </c>
      <c r="F128" s="1164">
        <f t="shared" si="95"/>
        <v>0.34027777777777773</v>
      </c>
      <c r="G128" s="1164">
        <f t="shared" si="96"/>
        <v>0.34374999999999994</v>
      </c>
      <c r="H128" s="1165">
        <f t="shared" si="112"/>
        <v>42707</v>
      </c>
      <c r="I128" s="1166">
        <v>-1.4E-2</v>
      </c>
      <c r="J128" s="1166">
        <v>2.7E-2</v>
      </c>
      <c r="K128" s="1166">
        <v>-0.33</v>
      </c>
      <c r="L128" s="1166">
        <v>-0.82899999999999996</v>
      </c>
      <c r="M128" s="1164">
        <f t="shared" si="97"/>
        <v>0.34722222222222215</v>
      </c>
      <c r="N128" s="1164">
        <f t="shared" si="98"/>
        <v>0.35763888888888884</v>
      </c>
      <c r="O128" s="1165">
        <f t="shared" si="113"/>
        <v>42707</v>
      </c>
      <c r="P128" s="1166">
        <v>1.05</v>
      </c>
      <c r="Q128" s="1166">
        <v>9</v>
      </c>
      <c r="R128" s="1166">
        <v>26</v>
      </c>
      <c r="S128" s="1166">
        <v>0</v>
      </c>
      <c r="T128" s="1164">
        <f t="shared" si="99"/>
        <v>0.48263888888888884</v>
      </c>
      <c r="U128" s="1167">
        <f t="shared" si="114"/>
        <v>42707</v>
      </c>
      <c r="V128" s="1166">
        <v>25.9</v>
      </c>
      <c r="W128" s="1164">
        <f t="shared" si="100"/>
        <v>0.60763888888888884</v>
      </c>
      <c r="X128" s="1167">
        <f t="shared" si="115"/>
        <v>42707</v>
      </c>
      <c r="Y128" s="1166">
        <v>27.62</v>
      </c>
      <c r="Z128" s="1164">
        <f t="shared" si="101"/>
        <v>0.64930555555555547</v>
      </c>
      <c r="AA128" s="1164">
        <f t="shared" si="102"/>
        <v>0.67013888888888873</v>
      </c>
      <c r="AB128" s="1167">
        <f t="shared" si="116"/>
        <v>42707</v>
      </c>
      <c r="AC128" s="1166">
        <v>27.7</v>
      </c>
      <c r="AD128" s="1164">
        <f t="shared" si="103"/>
        <v>0.67708333333333315</v>
      </c>
      <c r="AE128" s="1164">
        <f t="shared" si="104"/>
        <v>0.68749999999999978</v>
      </c>
      <c r="AF128" s="1167">
        <f t="shared" si="117"/>
        <v>42707</v>
      </c>
      <c r="AG128" s="1164">
        <f t="shared" si="105"/>
        <v>0.6944444444444442</v>
      </c>
      <c r="AH128" s="1164">
        <f t="shared" si="106"/>
        <v>0.73611111111111083</v>
      </c>
      <c r="AI128" s="1167">
        <f t="shared" si="118"/>
        <v>42707</v>
      </c>
      <c r="AJ128" s="1164">
        <f t="shared" si="107"/>
        <v>0.75694444444444409</v>
      </c>
      <c r="AK128" s="1164">
        <f t="shared" si="108"/>
        <v>0.76388888888888851</v>
      </c>
      <c r="AL128" s="1167">
        <f t="shared" si="119"/>
        <v>42707</v>
      </c>
      <c r="AM128" s="1166">
        <v>1.05</v>
      </c>
      <c r="AN128" s="1166">
        <v>9</v>
      </c>
      <c r="AO128" s="1166">
        <v>26</v>
      </c>
      <c r="AP128" s="1166">
        <v>0</v>
      </c>
      <c r="AQ128" s="1164">
        <f t="shared" si="120"/>
        <v>0.76388888888888851</v>
      </c>
      <c r="AR128" s="1164">
        <f t="shared" si="109"/>
        <v>0.77083333333333293</v>
      </c>
      <c r="AS128" s="1167">
        <f t="shared" si="121"/>
        <v>42707</v>
      </c>
      <c r="AT128" s="1166">
        <v>27.7</v>
      </c>
      <c r="AU128" s="1164">
        <f t="shared" si="122"/>
        <v>0.77083333333333293</v>
      </c>
      <c r="AV128" s="1167">
        <f t="shared" si="123"/>
        <v>42707</v>
      </c>
      <c r="AW128" s="1164">
        <f t="shared" si="124"/>
        <v>0.79861111111111072</v>
      </c>
      <c r="AX128" s="1167">
        <f t="shared" si="125"/>
        <v>42707</v>
      </c>
      <c r="AY128" s="1166">
        <v>5.4</v>
      </c>
      <c r="AZ128" s="1166">
        <v>13.5</v>
      </c>
      <c r="BA128" s="1168">
        <f>VLOOKUP(B128,ĐTBT!$V:$W,2,0)</f>
        <v>2</v>
      </c>
      <c r="BB128" s="1168"/>
      <c r="BC128" s="1168"/>
      <c r="BD128" s="1168"/>
      <c r="BE128" s="1168"/>
      <c r="BF128" s="1168"/>
      <c r="BG128" s="1168"/>
      <c r="BH128" s="1168"/>
      <c r="BI128" s="1168">
        <f t="shared" si="126"/>
        <v>0</v>
      </c>
      <c r="BJ128" s="1168">
        <f>VLOOKUP(B128,'Thong tin'!A:R,11,0)</f>
        <v>3</v>
      </c>
    </row>
    <row r="129" spans="1:76" s="1219" customFormat="1" ht="15">
      <c r="A129" s="1217">
        <f>IF(C129="","",COUNTA($C$13:C129))</f>
        <v>117</v>
      </c>
      <c r="B129" s="1239" t="s">
        <v>505</v>
      </c>
      <c r="C129" s="1164">
        <v>0.375</v>
      </c>
      <c r="D129" s="1164">
        <f t="shared" si="94"/>
        <v>0.39583333333333331</v>
      </c>
      <c r="E129" s="1165">
        <f t="shared" si="111"/>
        <v>42707</v>
      </c>
      <c r="F129" s="1164">
        <f t="shared" si="95"/>
        <v>0.40277777777777773</v>
      </c>
      <c r="G129" s="1164">
        <f t="shared" si="96"/>
        <v>0.40624999999999994</v>
      </c>
      <c r="H129" s="1165">
        <f t="shared" si="112"/>
        <v>42707</v>
      </c>
      <c r="I129" s="1166">
        <v>8.9999999999999993E-3</v>
      </c>
      <c r="J129" s="1166">
        <v>-1.6E-2</v>
      </c>
      <c r="K129" s="1166">
        <v>-6.2E-2</v>
      </c>
      <c r="L129" s="1166">
        <v>-0.52</v>
      </c>
      <c r="M129" s="1164">
        <f t="shared" si="97"/>
        <v>0.40972222222222215</v>
      </c>
      <c r="N129" s="1164">
        <f t="shared" si="98"/>
        <v>0.42013888888888884</v>
      </c>
      <c r="O129" s="1165">
        <f t="shared" si="113"/>
        <v>42707</v>
      </c>
      <c r="P129" s="1166">
        <v>1.05</v>
      </c>
      <c r="Q129" s="1166">
        <v>9</v>
      </c>
      <c r="R129" s="1166">
        <v>27</v>
      </c>
      <c r="S129" s="1166">
        <v>0</v>
      </c>
      <c r="T129" s="1164">
        <f t="shared" si="99"/>
        <v>0.54513888888888884</v>
      </c>
      <c r="U129" s="1167">
        <f t="shared" si="114"/>
        <v>42707</v>
      </c>
      <c r="V129" s="1166">
        <v>20.7</v>
      </c>
      <c r="W129" s="1164">
        <f t="shared" si="100"/>
        <v>0.67013888888888884</v>
      </c>
      <c r="X129" s="1167">
        <f t="shared" si="115"/>
        <v>42707</v>
      </c>
      <c r="Y129" s="1166">
        <v>32.15</v>
      </c>
      <c r="Z129" s="1164">
        <f t="shared" si="101"/>
        <v>0.71180555555555547</v>
      </c>
      <c r="AA129" s="1164">
        <f t="shared" si="102"/>
        <v>0.73263888888888873</v>
      </c>
      <c r="AB129" s="1167">
        <f t="shared" si="116"/>
        <v>42707</v>
      </c>
      <c r="AC129" s="1166">
        <v>32.17</v>
      </c>
      <c r="AD129" s="1164">
        <f t="shared" si="103"/>
        <v>0.73958333333333315</v>
      </c>
      <c r="AE129" s="1164">
        <f t="shared" si="104"/>
        <v>0.74999999999999978</v>
      </c>
      <c r="AF129" s="1167">
        <f t="shared" si="117"/>
        <v>42707</v>
      </c>
      <c r="AG129" s="1164">
        <f t="shared" si="105"/>
        <v>0.7569444444444442</v>
      </c>
      <c r="AH129" s="1164">
        <f t="shared" si="106"/>
        <v>0.79861111111111083</v>
      </c>
      <c r="AI129" s="1167">
        <f t="shared" si="118"/>
        <v>42707</v>
      </c>
      <c r="AJ129" s="1164">
        <f t="shared" si="107"/>
        <v>0.81944444444444409</v>
      </c>
      <c r="AK129" s="1164">
        <f t="shared" si="108"/>
        <v>0.82638888888888851</v>
      </c>
      <c r="AL129" s="1167">
        <f t="shared" si="119"/>
        <v>42707</v>
      </c>
      <c r="AM129" s="1166">
        <v>1.05</v>
      </c>
      <c r="AN129" s="1166">
        <v>9</v>
      </c>
      <c r="AO129" s="1166">
        <v>28</v>
      </c>
      <c r="AP129" s="1166">
        <v>0</v>
      </c>
      <c r="AQ129" s="1164">
        <f t="shared" si="120"/>
        <v>0.82638888888888851</v>
      </c>
      <c r="AR129" s="1164">
        <f t="shared" si="109"/>
        <v>0.83333333333333293</v>
      </c>
      <c r="AS129" s="1167">
        <f t="shared" si="121"/>
        <v>42707</v>
      </c>
      <c r="AT129" s="1166">
        <v>32.17</v>
      </c>
      <c r="AU129" s="1164">
        <f t="shared" si="122"/>
        <v>0.83333333333333293</v>
      </c>
      <c r="AV129" s="1167">
        <f t="shared" si="123"/>
        <v>42707</v>
      </c>
      <c r="AW129" s="1164">
        <f t="shared" si="124"/>
        <v>0.88888888888888851</v>
      </c>
      <c r="AX129" s="1167">
        <f t="shared" si="125"/>
        <v>42707</v>
      </c>
      <c r="AY129" s="1166">
        <v>6.7</v>
      </c>
      <c r="AZ129" s="1166">
        <v>37</v>
      </c>
      <c r="BA129" s="1168">
        <f>VLOOKUP(B129,ĐTBT!$V:$W,2,0)</f>
        <v>4</v>
      </c>
      <c r="BB129" s="1168"/>
      <c r="BC129" s="1168"/>
      <c r="BD129" s="1168"/>
      <c r="BE129" s="1168"/>
      <c r="BF129" s="1168"/>
      <c r="BG129" s="1168"/>
      <c r="BH129" s="1168"/>
      <c r="BI129" s="1168">
        <f t="shared" si="126"/>
        <v>0</v>
      </c>
      <c r="BJ129" s="1168">
        <f>VLOOKUP(B129,'Thong tin'!A:R,11,0)</f>
        <v>4</v>
      </c>
    </row>
    <row r="130" spans="1:76" s="1219" customFormat="1" ht="15">
      <c r="A130" s="1217">
        <f>IF(C130="","",COUNTA($C$13:C130))</f>
        <v>118</v>
      </c>
      <c r="B130" s="1239" t="s">
        <v>537</v>
      </c>
      <c r="C130" s="1164">
        <v>0.38194444444444442</v>
      </c>
      <c r="D130" s="1164">
        <f t="shared" si="94"/>
        <v>0.40277777777777773</v>
      </c>
      <c r="E130" s="1165">
        <f t="shared" si="111"/>
        <v>42708</v>
      </c>
      <c r="F130" s="1164">
        <f t="shared" si="95"/>
        <v>0.40972222222222215</v>
      </c>
      <c r="G130" s="1164">
        <f t="shared" si="96"/>
        <v>0.41319444444444436</v>
      </c>
      <c r="H130" s="1165">
        <f t="shared" si="112"/>
        <v>42708</v>
      </c>
      <c r="I130" s="1166">
        <v>-7.0000000000000001E-3</v>
      </c>
      <c r="J130" s="1166">
        <v>7.0000000000000001E-3</v>
      </c>
      <c r="K130" s="1166">
        <v>-0.108</v>
      </c>
      <c r="L130" s="1166">
        <v>-0.501</v>
      </c>
      <c r="M130" s="1164">
        <f t="shared" si="97"/>
        <v>0.41666666666666657</v>
      </c>
      <c r="N130" s="1164">
        <f t="shared" si="98"/>
        <v>0.42708333333333326</v>
      </c>
      <c r="O130" s="1165">
        <f t="shared" si="113"/>
        <v>42708</v>
      </c>
      <c r="P130" s="1166">
        <v>1.06</v>
      </c>
      <c r="Q130" s="1166">
        <v>9</v>
      </c>
      <c r="R130" s="1166">
        <v>22</v>
      </c>
      <c r="S130" s="1166">
        <v>0</v>
      </c>
      <c r="T130" s="1164">
        <f t="shared" si="99"/>
        <v>0.55208333333333326</v>
      </c>
      <c r="U130" s="1167">
        <f t="shared" si="114"/>
        <v>42708</v>
      </c>
      <c r="V130" s="1166">
        <v>21.1</v>
      </c>
      <c r="W130" s="1164">
        <f t="shared" si="100"/>
        <v>0.67708333333333326</v>
      </c>
      <c r="X130" s="1167">
        <f t="shared" si="115"/>
        <v>42708</v>
      </c>
      <c r="Y130" s="1166">
        <v>31.3</v>
      </c>
      <c r="Z130" s="1164">
        <f t="shared" si="101"/>
        <v>0.71874999999999989</v>
      </c>
      <c r="AA130" s="1164">
        <f t="shared" si="102"/>
        <v>0.73958333333333315</v>
      </c>
      <c r="AB130" s="1167">
        <f t="shared" si="116"/>
        <v>42708</v>
      </c>
      <c r="AC130" s="1166">
        <v>31.32</v>
      </c>
      <c r="AD130" s="1164">
        <f t="shared" si="103"/>
        <v>0.74652777777777757</v>
      </c>
      <c r="AE130" s="1164">
        <f t="shared" si="104"/>
        <v>0.7569444444444442</v>
      </c>
      <c r="AF130" s="1167">
        <f t="shared" si="117"/>
        <v>42708</v>
      </c>
      <c r="AG130" s="1164">
        <f t="shared" si="105"/>
        <v>0.76388888888888862</v>
      </c>
      <c r="AH130" s="1164">
        <f t="shared" si="106"/>
        <v>0.80555555555555525</v>
      </c>
      <c r="AI130" s="1167">
        <f t="shared" si="118"/>
        <v>42708</v>
      </c>
      <c r="AJ130" s="1164">
        <f t="shared" si="107"/>
        <v>0.82638888888888851</v>
      </c>
      <c r="AK130" s="1164">
        <f t="shared" si="108"/>
        <v>0.83333333333333293</v>
      </c>
      <c r="AL130" s="1167">
        <f t="shared" si="119"/>
        <v>42708</v>
      </c>
      <c r="AM130" s="1166">
        <v>1.06</v>
      </c>
      <c r="AN130" s="1166">
        <v>9</v>
      </c>
      <c r="AO130" s="1166">
        <v>28</v>
      </c>
      <c r="AP130" s="1166">
        <v>0</v>
      </c>
      <c r="AQ130" s="1164">
        <f t="shared" si="120"/>
        <v>0.83333333333333293</v>
      </c>
      <c r="AR130" s="1164">
        <f t="shared" si="109"/>
        <v>0.84027777777777735</v>
      </c>
      <c r="AS130" s="1167">
        <f t="shared" si="121"/>
        <v>42708</v>
      </c>
      <c r="AT130" s="1166">
        <v>31.32</v>
      </c>
      <c r="AU130" s="1164">
        <f t="shared" si="122"/>
        <v>0.84027777777777735</v>
      </c>
      <c r="AV130" s="1167">
        <f t="shared" si="123"/>
        <v>42708</v>
      </c>
      <c r="AW130" s="1164">
        <f t="shared" si="124"/>
        <v>0.89583333333333293</v>
      </c>
      <c r="AX130" s="1167">
        <f t="shared" si="125"/>
        <v>42708</v>
      </c>
      <c r="AY130" s="1166">
        <v>5.3</v>
      </c>
      <c r="AZ130" s="1166">
        <v>19</v>
      </c>
      <c r="BA130" s="1168">
        <f>VLOOKUP(B130,ĐTBT!$V:$W,2,0)</f>
        <v>4</v>
      </c>
      <c r="BB130" s="1168"/>
      <c r="BC130" s="1168"/>
      <c r="BD130" s="1168"/>
      <c r="BE130" s="1168"/>
      <c r="BF130" s="1168"/>
      <c r="BG130" s="1168"/>
      <c r="BH130" s="1168"/>
      <c r="BI130" s="1168">
        <f t="shared" si="126"/>
        <v>0</v>
      </c>
      <c r="BJ130" s="1168">
        <f>VLOOKUP(B130,'Thong tin'!A:R,11,0)</f>
        <v>3</v>
      </c>
      <c r="BM130" s="1219">
        <f>124/70</f>
        <v>1.7714285714285714</v>
      </c>
      <c r="BU130" s="1220">
        <v>42685</v>
      </c>
      <c r="BX130" s="1220">
        <v>42685</v>
      </c>
    </row>
    <row r="131" spans="1:76" s="1219" customFormat="1" ht="15">
      <c r="A131" s="1217">
        <f>IF(C131="","",COUNTA($C$13:C131))</f>
        <v>119</v>
      </c>
      <c r="B131" s="1239" t="s">
        <v>617</v>
      </c>
      <c r="C131" s="1164">
        <v>0.38194444444444442</v>
      </c>
      <c r="D131" s="1164">
        <f t="shared" si="94"/>
        <v>0.40277777777777773</v>
      </c>
      <c r="E131" s="1165">
        <f t="shared" si="111"/>
        <v>42708</v>
      </c>
      <c r="F131" s="1164">
        <f t="shared" si="95"/>
        <v>0.40972222222222215</v>
      </c>
      <c r="G131" s="1164">
        <f t="shared" si="96"/>
        <v>0.41319444444444436</v>
      </c>
      <c r="H131" s="1165">
        <f t="shared" si="112"/>
        <v>42708</v>
      </c>
      <c r="I131" s="1166">
        <v>1.6E-2</v>
      </c>
      <c r="J131" s="1166">
        <v>-3.0000000000000001E-3</v>
      </c>
      <c r="K131" s="1166">
        <v>-9.5000000000000001E-2</v>
      </c>
      <c r="L131" s="1166">
        <v>-0.29299999999999998</v>
      </c>
      <c r="M131" s="1164">
        <f t="shared" si="97"/>
        <v>0.41666666666666657</v>
      </c>
      <c r="N131" s="1164">
        <f t="shared" si="98"/>
        <v>0.42708333333333326</v>
      </c>
      <c r="O131" s="1165">
        <f t="shared" si="113"/>
        <v>42708</v>
      </c>
      <c r="P131" s="1166">
        <v>1.06</v>
      </c>
      <c r="Q131" s="1166">
        <v>9</v>
      </c>
      <c r="R131" s="1166">
        <v>25</v>
      </c>
      <c r="S131" s="1166">
        <v>0</v>
      </c>
      <c r="T131" s="1164">
        <f t="shared" si="99"/>
        <v>0.55208333333333326</v>
      </c>
      <c r="U131" s="1167">
        <f t="shared" si="114"/>
        <v>42708</v>
      </c>
      <c r="V131" s="1166">
        <v>21.7</v>
      </c>
      <c r="W131" s="1164">
        <f t="shared" si="100"/>
        <v>0.67708333333333326</v>
      </c>
      <c r="X131" s="1167">
        <f t="shared" si="115"/>
        <v>42708</v>
      </c>
      <c r="Y131" s="1166">
        <v>24.45</v>
      </c>
      <c r="Z131" s="1164">
        <f t="shared" si="101"/>
        <v>0.71874999999999989</v>
      </c>
      <c r="AA131" s="1164">
        <f t="shared" si="102"/>
        <v>0.73958333333333315</v>
      </c>
      <c r="AB131" s="1167">
        <f t="shared" si="116"/>
        <v>42708</v>
      </c>
      <c r="AC131" s="1166">
        <v>24.55</v>
      </c>
      <c r="AD131" s="1164">
        <f t="shared" si="103"/>
        <v>0.74652777777777757</v>
      </c>
      <c r="AE131" s="1164">
        <f t="shared" si="104"/>
        <v>0.7569444444444442</v>
      </c>
      <c r="AF131" s="1167">
        <f t="shared" si="117"/>
        <v>42708</v>
      </c>
      <c r="AG131" s="1164">
        <f t="shared" si="105"/>
        <v>0.76388888888888862</v>
      </c>
      <c r="AH131" s="1164">
        <f t="shared" si="106"/>
        <v>0.79513888888888862</v>
      </c>
      <c r="AI131" s="1167">
        <f t="shared" si="118"/>
        <v>42708</v>
      </c>
      <c r="AJ131" s="1164">
        <f t="shared" si="107"/>
        <v>0.81597222222222188</v>
      </c>
      <c r="AK131" s="1164">
        <f t="shared" si="108"/>
        <v>0.8229166666666663</v>
      </c>
      <c r="AL131" s="1167">
        <f t="shared" si="119"/>
        <v>42708</v>
      </c>
      <c r="AM131" s="1166">
        <v>1.06</v>
      </c>
      <c r="AN131" s="1166">
        <v>9</v>
      </c>
      <c r="AO131" s="1166">
        <v>25</v>
      </c>
      <c r="AP131" s="1166">
        <v>0</v>
      </c>
      <c r="AQ131" s="1164">
        <f t="shared" si="120"/>
        <v>0.8229166666666663</v>
      </c>
      <c r="AR131" s="1164">
        <f t="shared" si="109"/>
        <v>0.82986111111111072</v>
      </c>
      <c r="AS131" s="1167">
        <f t="shared" si="121"/>
        <v>42708</v>
      </c>
      <c r="AT131" s="1166">
        <v>24.55</v>
      </c>
      <c r="AU131" s="1164">
        <f t="shared" si="122"/>
        <v>0.82986111111111072</v>
      </c>
      <c r="AV131" s="1167">
        <f t="shared" si="123"/>
        <v>42708</v>
      </c>
      <c r="AW131" s="1164">
        <f t="shared" si="124"/>
        <v>0.84374999999999956</v>
      </c>
      <c r="AX131" s="1167">
        <f t="shared" si="125"/>
        <v>42708</v>
      </c>
      <c r="AY131" s="1166">
        <v>5.6</v>
      </c>
      <c r="AZ131" s="1166">
        <v>10</v>
      </c>
      <c r="BA131" s="1168">
        <f>VLOOKUP(B131,ĐTBT!$V:$W,2,0)</f>
        <v>1</v>
      </c>
      <c r="BB131" s="1168"/>
      <c r="BC131" s="1168"/>
      <c r="BD131" s="1168"/>
      <c r="BE131" s="1168"/>
      <c r="BF131" s="1168"/>
      <c r="BG131" s="1168"/>
      <c r="BH131" s="1168"/>
      <c r="BI131" s="1168">
        <f t="shared" si="126"/>
        <v>0</v>
      </c>
      <c r="BJ131" s="1168">
        <f>VLOOKUP(B131,'Thong tin'!A:R,11,0)</f>
        <v>0</v>
      </c>
      <c r="BM131" s="1219">
        <f>124/60</f>
        <v>2.0666666666666669</v>
      </c>
      <c r="BU131" s="1220">
        <v>42685</v>
      </c>
      <c r="BX131" s="1220">
        <v>42687</v>
      </c>
    </row>
    <row r="132" spans="1:76" s="1219" customFormat="1" ht="15">
      <c r="A132" s="1217">
        <f>IF(C132="","",COUNTA($C$13:C132))</f>
        <v>120</v>
      </c>
      <c r="B132" s="1239" t="s">
        <v>1112</v>
      </c>
      <c r="C132" s="1164">
        <v>0.38541666666666669</v>
      </c>
      <c r="D132" s="1164">
        <f t="shared" si="94"/>
        <v>0.40625</v>
      </c>
      <c r="E132" s="1165">
        <f t="shared" si="111"/>
        <v>42708</v>
      </c>
      <c r="F132" s="1164">
        <f t="shared" si="95"/>
        <v>0.41319444444444442</v>
      </c>
      <c r="G132" s="1164">
        <f t="shared" si="96"/>
        <v>0.41666666666666663</v>
      </c>
      <c r="H132" s="1165">
        <f t="shared" si="112"/>
        <v>42708</v>
      </c>
      <c r="I132" s="1166">
        <v>2E-3</v>
      </c>
      <c r="J132" s="1166">
        <v>-2.1000000000000001E-2</v>
      </c>
      <c r="K132" s="1166">
        <v>0.17299999999999999</v>
      </c>
      <c r="L132" s="1166">
        <v>-0.27900000000000003</v>
      </c>
      <c r="M132" s="1164">
        <f t="shared" si="97"/>
        <v>0.42013888888888884</v>
      </c>
      <c r="N132" s="1164">
        <f t="shared" si="98"/>
        <v>0.43055555555555552</v>
      </c>
      <c r="O132" s="1165">
        <f t="shared" si="113"/>
        <v>42708</v>
      </c>
      <c r="P132" s="1166">
        <v>1.06</v>
      </c>
      <c r="Q132" s="1166">
        <v>9</v>
      </c>
      <c r="R132" s="1166">
        <v>21</v>
      </c>
      <c r="S132" s="1166">
        <v>0</v>
      </c>
      <c r="T132" s="1164">
        <f t="shared" si="99"/>
        <v>0.55555555555555558</v>
      </c>
      <c r="U132" s="1167">
        <f t="shared" si="114"/>
        <v>42708</v>
      </c>
      <c r="V132" s="1166">
        <v>20.22</v>
      </c>
      <c r="W132" s="1164">
        <f t="shared" si="100"/>
        <v>0.68055555555555558</v>
      </c>
      <c r="X132" s="1167">
        <f t="shared" si="115"/>
        <v>42708</v>
      </c>
      <c r="Y132" s="1166">
        <v>27.7</v>
      </c>
      <c r="Z132" s="1164">
        <f t="shared" si="101"/>
        <v>0.72222222222222221</v>
      </c>
      <c r="AA132" s="1164">
        <f t="shared" si="102"/>
        <v>0.74305555555555547</v>
      </c>
      <c r="AB132" s="1167">
        <f t="shared" si="116"/>
        <v>42708</v>
      </c>
      <c r="AC132" s="1166">
        <v>27.95</v>
      </c>
      <c r="AD132" s="1164">
        <f t="shared" si="103"/>
        <v>0.74999999999999989</v>
      </c>
      <c r="AE132" s="1164">
        <f t="shared" si="104"/>
        <v>0.76041666666666652</v>
      </c>
      <c r="AF132" s="1167">
        <f t="shared" si="117"/>
        <v>42708</v>
      </c>
      <c r="AG132" s="1164">
        <f t="shared" si="105"/>
        <v>0.76736111111111094</v>
      </c>
      <c r="AH132" s="1164">
        <f t="shared" si="106"/>
        <v>0.79861111111111094</v>
      </c>
      <c r="AI132" s="1167">
        <f t="shared" si="118"/>
        <v>42708</v>
      </c>
      <c r="AJ132" s="1164">
        <f t="shared" si="107"/>
        <v>0.8194444444444442</v>
      </c>
      <c r="AK132" s="1164">
        <f t="shared" si="108"/>
        <v>0.82638888888888862</v>
      </c>
      <c r="AL132" s="1167">
        <f t="shared" si="119"/>
        <v>42708</v>
      </c>
      <c r="AM132" s="1166">
        <v>1.06</v>
      </c>
      <c r="AN132" s="1166">
        <v>9</v>
      </c>
      <c r="AO132" s="1166">
        <v>24</v>
      </c>
      <c r="AP132" s="1166">
        <v>0</v>
      </c>
      <c r="AQ132" s="1164">
        <f t="shared" si="120"/>
        <v>0.82638888888888862</v>
      </c>
      <c r="AR132" s="1164">
        <f t="shared" si="109"/>
        <v>0.83333333333333304</v>
      </c>
      <c r="AS132" s="1167">
        <f t="shared" si="121"/>
        <v>42708</v>
      </c>
      <c r="AT132" s="1164">
        <v>27.95</v>
      </c>
      <c r="AU132" s="1164">
        <f t="shared" si="122"/>
        <v>0.83333333333333304</v>
      </c>
      <c r="AV132" s="1167">
        <f t="shared" si="123"/>
        <v>42708</v>
      </c>
      <c r="AW132" s="1164">
        <f t="shared" si="124"/>
        <v>0.88888888888888862</v>
      </c>
      <c r="AX132" s="1167">
        <f t="shared" si="125"/>
        <v>42708</v>
      </c>
      <c r="AY132" s="1166">
        <v>5.4</v>
      </c>
      <c r="AZ132" s="1166">
        <v>32</v>
      </c>
      <c r="BA132" s="1168">
        <f>VLOOKUP(B132,ĐTBT!$V:$W,2,0)</f>
        <v>4</v>
      </c>
      <c r="BB132" s="1168"/>
      <c r="BC132" s="1168"/>
      <c r="BD132" s="1168"/>
      <c r="BE132" s="1168"/>
      <c r="BF132" s="1168"/>
      <c r="BG132" s="1168"/>
      <c r="BH132" s="1168"/>
      <c r="BI132" s="1168">
        <f t="shared" si="126"/>
        <v>0</v>
      </c>
      <c r="BJ132" s="1168">
        <f>VLOOKUP(B132,'Thong tin'!A:R,11,0)</f>
        <v>0</v>
      </c>
      <c r="BU132" s="1220">
        <v>42686</v>
      </c>
      <c r="BX132" s="1220">
        <v>42688</v>
      </c>
    </row>
    <row r="133" spans="1:76" s="1219" customFormat="1" ht="15">
      <c r="A133" s="1217">
        <f>IF(C133="","",COUNTA($C$13:C133))</f>
        <v>121</v>
      </c>
      <c r="B133" s="1239" t="s">
        <v>683</v>
      </c>
      <c r="C133" s="1164">
        <v>0.39583333333333331</v>
      </c>
      <c r="D133" s="1164">
        <f t="shared" si="94"/>
        <v>0.41666666666666663</v>
      </c>
      <c r="E133" s="1165">
        <f t="shared" si="111"/>
        <v>42709</v>
      </c>
      <c r="F133" s="1164">
        <f t="shared" si="95"/>
        <v>0.42361111111111105</v>
      </c>
      <c r="G133" s="1164">
        <f t="shared" si="96"/>
        <v>0.42708333333333326</v>
      </c>
      <c r="H133" s="1165">
        <f t="shared" si="112"/>
        <v>42709</v>
      </c>
      <c r="I133" s="1166">
        <v>-1.4999999999999999E-2</v>
      </c>
      <c r="J133" s="1166">
        <v>-8.9999999999999993E-3</v>
      </c>
      <c r="K133" s="1166">
        <v>-0.63</v>
      </c>
      <c r="L133" s="1166">
        <v>-1.0429999999999999</v>
      </c>
      <c r="M133" s="1164">
        <f t="shared" si="97"/>
        <v>0.43055555555555547</v>
      </c>
      <c r="N133" s="1164">
        <f t="shared" si="98"/>
        <v>0.44097222222222215</v>
      </c>
      <c r="O133" s="1165">
        <f t="shared" si="113"/>
        <v>42709</v>
      </c>
      <c r="P133" s="1166">
        <v>1.05</v>
      </c>
      <c r="Q133" s="1166">
        <v>9</v>
      </c>
      <c r="R133" s="1166">
        <v>22</v>
      </c>
      <c r="S133" s="1166">
        <v>0</v>
      </c>
      <c r="T133" s="1164">
        <f t="shared" si="99"/>
        <v>0.5659722222222221</v>
      </c>
      <c r="U133" s="1167">
        <f t="shared" si="114"/>
        <v>42709</v>
      </c>
      <c r="V133" s="1166">
        <v>17.5</v>
      </c>
      <c r="W133" s="1164">
        <f t="shared" si="100"/>
        <v>0.6909722222222221</v>
      </c>
      <c r="X133" s="1167">
        <f t="shared" si="115"/>
        <v>42709</v>
      </c>
      <c r="Y133" s="1166">
        <v>30.4</v>
      </c>
      <c r="Z133" s="1164">
        <f t="shared" si="101"/>
        <v>0.73263888888888873</v>
      </c>
      <c r="AA133" s="1164">
        <f t="shared" si="102"/>
        <v>0.75347222222222199</v>
      </c>
      <c r="AB133" s="1167">
        <f t="shared" si="116"/>
        <v>42709</v>
      </c>
      <c r="AC133" s="1166">
        <v>30.45</v>
      </c>
      <c r="AD133" s="1164">
        <f t="shared" si="103"/>
        <v>0.76041666666666641</v>
      </c>
      <c r="AE133" s="1164">
        <f t="shared" si="104"/>
        <v>0.77083333333333304</v>
      </c>
      <c r="AF133" s="1167">
        <f t="shared" si="117"/>
        <v>42709</v>
      </c>
      <c r="AG133" s="1164">
        <f t="shared" si="105"/>
        <v>0.77777777777777746</v>
      </c>
      <c r="AH133" s="1164">
        <f t="shared" si="106"/>
        <v>0.81944444444444409</v>
      </c>
      <c r="AI133" s="1167">
        <f t="shared" si="118"/>
        <v>42709</v>
      </c>
      <c r="AJ133" s="1164">
        <f t="shared" si="107"/>
        <v>0.84027777777777735</v>
      </c>
      <c r="AK133" s="1164">
        <f t="shared" si="108"/>
        <v>0.84722222222222177</v>
      </c>
      <c r="AL133" s="1167">
        <f t="shared" si="119"/>
        <v>42709</v>
      </c>
      <c r="AM133" s="1166">
        <v>1.05</v>
      </c>
      <c r="AN133" s="1166">
        <v>9</v>
      </c>
      <c r="AO133" s="1166">
        <v>24</v>
      </c>
      <c r="AP133" s="1166">
        <v>0</v>
      </c>
      <c r="AQ133" s="1164">
        <f t="shared" si="120"/>
        <v>0.84722222222222177</v>
      </c>
      <c r="AR133" s="1164">
        <f t="shared" si="109"/>
        <v>0.85416666666666619</v>
      </c>
      <c r="AS133" s="1167">
        <f t="shared" si="121"/>
        <v>42709</v>
      </c>
      <c r="AT133" s="1166">
        <v>30.45</v>
      </c>
      <c r="AU133" s="1164">
        <f t="shared" si="122"/>
        <v>0.85416666666666619</v>
      </c>
      <c r="AV133" s="1167">
        <f t="shared" si="123"/>
        <v>42709</v>
      </c>
      <c r="AW133" s="1164">
        <f t="shared" si="124"/>
        <v>0.92361111111111061</v>
      </c>
      <c r="AX133" s="1167">
        <f t="shared" si="125"/>
        <v>42709</v>
      </c>
      <c r="AY133" s="1166">
        <v>6.5</v>
      </c>
      <c r="AZ133" s="1166">
        <v>49</v>
      </c>
      <c r="BA133" s="1168">
        <f>VLOOKUP(B133,ĐTBT!$V:$W,2,0)</f>
        <v>5</v>
      </c>
      <c r="BB133" s="1168"/>
      <c r="BC133" s="1168"/>
      <c r="BD133" s="1168"/>
      <c r="BE133" s="1168"/>
      <c r="BF133" s="1168"/>
      <c r="BG133" s="1168"/>
      <c r="BH133" s="1168"/>
      <c r="BI133" s="1168">
        <f t="shared" si="126"/>
        <v>0</v>
      </c>
      <c r="BJ133" s="1168">
        <f>VLOOKUP(B133,'Thong tin'!A:R,11,0)</f>
        <v>4</v>
      </c>
      <c r="BU133" s="1220">
        <v>42686</v>
      </c>
      <c r="BX133" s="1220">
        <v>42689</v>
      </c>
    </row>
    <row r="134" spans="1:76" s="1219" customFormat="1" ht="15">
      <c r="A134" s="1217">
        <f>IF(C134="","",COUNTA($C$13:C134))</f>
        <v>122</v>
      </c>
      <c r="B134" s="1239" t="s">
        <v>510</v>
      </c>
      <c r="C134" s="1164">
        <v>0.3125</v>
      </c>
      <c r="D134" s="1164">
        <f t="shared" si="94"/>
        <v>0.33333333333333331</v>
      </c>
      <c r="E134" s="1165">
        <f t="shared" si="111"/>
        <v>42709</v>
      </c>
      <c r="F134" s="1164">
        <f t="shared" si="95"/>
        <v>0.34027777777777773</v>
      </c>
      <c r="G134" s="1164">
        <f t="shared" si="96"/>
        <v>0.34374999999999994</v>
      </c>
      <c r="H134" s="1165">
        <f t="shared" si="112"/>
        <v>42709</v>
      </c>
      <c r="I134" s="1166">
        <v>-2.4E-2</v>
      </c>
      <c r="J134" s="1166">
        <v>2.4E-2</v>
      </c>
      <c r="K134" s="1166">
        <v>-9.5000000000000001E-2</v>
      </c>
      <c r="L134" s="1166">
        <v>-0.68899999999999995</v>
      </c>
      <c r="M134" s="1164">
        <f t="shared" si="97"/>
        <v>0.34722222222222215</v>
      </c>
      <c r="N134" s="1164">
        <f t="shared" si="98"/>
        <v>0.35763888888888884</v>
      </c>
      <c r="O134" s="1165">
        <f t="shared" si="113"/>
        <v>42709</v>
      </c>
      <c r="P134" s="1166">
        <v>1.05</v>
      </c>
      <c r="Q134" s="1166">
        <v>9</v>
      </c>
      <c r="R134" s="1166">
        <v>27</v>
      </c>
      <c r="S134" s="1166">
        <v>0</v>
      </c>
      <c r="T134" s="1164">
        <f t="shared" si="99"/>
        <v>0.48263888888888884</v>
      </c>
      <c r="U134" s="1167">
        <f t="shared" si="114"/>
        <v>42709</v>
      </c>
      <c r="V134" s="1166">
        <v>21.2</v>
      </c>
      <c r="W134" s="1164">
        <f t="shared" si="100"/>
        <v>0.60763888888888884</v>
      </c>
      <c r="X134" s="1167">
        <f t="shared" si="115"/>
        <v>42709</v>
      </c>
      <c r="Y134" s="1166">
        <v>30.9</v>
      </c>
      <c r="Z134" s="1164">
        <f t="shared" si="101"/>
        <v>0.64930555555555547</v>
      </c>
      <c r="AA134" s="1164">
        <f t="shared" si="102"/>
        <v>0.67013888888888873</v>
      </c>
      <c r="AB134" s="1167">
        <f t="shared" si="116"/>
        <v>42709</v>
      </c>
      <c r="AC134" s="1166">
        <v>30.93</v>
      </c>
      <c r="AD134" s="1164">
        <f t="shared" si="103"/>
        <v>0.67708333333333315</v>
      </c>
      <c r="AE134" s="1164">
        <f t="shared" si="104"/>
        <v>0.68749999999999978</v>
      </c>
      <c r="AF134" s="1167">
        <f t="shared" si="117"/>
        <v>42709</v>
      </c>
      <c r="AG134" s="1164">
        <f t="shared" si="105"/>
        <v>0.6944444444444442</v>
      </c>
      <c r="AH134" s="1164">
        <f t="shared" si="106"/>
        <v>0.7256944444444442</v>
      </c>
      <c r="AI134" s="1167">
        <f t="shared" si="118"/>
        <v>42709</v>
      </c>
      <c r="AJ134" s="1164">
        <f t="shared" si="107"/>
        <v>0.74652777777777746</v>
      </c>
      <c r="AK134" s="1164">
        <f t="shared" si="108"/>
        <v>0.75347222222222188</v>
      </c>
      <c r="AL134" s="1167">
        <f t="shared" si="119"/>
        <v>42709</v>
      </c>
      <c r="AM134" s="1166">
        <v>1.05</v>
      </c>
      <c r="AN134" s="1166">
        <v>9</v>
      </c>
      <c r="AO134" s="1166">
        <v>27</v>
      </c>
      <c r="AP134" s="1166">
        <v>0</v>
      </c>
      <c r="AQ134" s="1164">
        <f t="shared" si="120"/>
        <v>0.75347222222222188</v>
      </c>
      <c r="AR134" s="1164">
        <f t="shared" si="109"/>
        <v>0.7604166666666663</v>
      </c>
      <c r="AS134" s="1167">
        <f t="shared" si="121"/>
        <v>42709</v>
      </c>
      <c r="AT134" s="1166">
        <v>30.93</v>
      </c>
      <c r="AU134" s="1164">
        <f t="shared" si="122"/>
        <v>0.7604166666666663</v>
      </c>
      <c r="AV134" s="1167">
        <f t="shared" si="123"/>
        <v>42709</v>
      </c>
      <c r="AW134" s="1164">
        <f t="shared" si="124"/>
        <v>0.82986111111111072</v>
      </c>
      <c r="AX134" s="1167">
        <f t="shared" si="125"/>
        <v>42709</v>
      </c>
      <c r="AY134" s="1166">
        <v>7.4</v>
      </c>
      <c r="AZ134" s="1166">
        <v>48</v>
      </c>
      <c r="BA134" s="1168">
        <f>VLOOKUP(B134,ĐTBT!$V:$W,2,0)</f>
        <v>5</v>
      </c>
      <c r="BB134" s="1168"/>
      <c r="BC134" s="1168"/>
      <c r="BD134" s="1168"/>
      <c r="BE134" s="1168"/>
      <c r="BF134" s="1168"/>
      <c r="BG134" s="1168"/>
      <c r="BH134" s="1168"/>
      <c r="BI134" s="1168">
        <f t="shared" si="126"/>
        <v>0</v>
      </c>
      <c r="BJ134" s="1168">
        <f>VLOOKUP(B134,'Thong tin'!A:R,11,0)</f>
        <v>0</v>
      </c>
      <c r="BU134" s="1220">
        <v>42685</v>
      </c>
      <c r="BX134" s="1220">
        <v>42691</v>
      </c>
    </row>
    <row r="135" spans="1:76" s="1219" customFormat="1" ht="15">
      <c r="A135" s="1217">
        <f>IF(C135="","",COUNTA($C$13:C135))</f>
        <v>123</v>
      </c>
      <c r="B135" s="1239" t="s">
        <v>530</v>
      </c>
      <c r="C135" s="1164">
        <v>0.31597222222222221</v>
      </c>
      <c r="D135" s="1164">
        <f t="shared" si="94"/>
        <v>0.33680555555555552</v>
      </c>
      <c r="E135" s="1165">
        <f t="shared" si="111"/>
        <v>42710</v>
      </c>
      <c r="F135" s="1164">
        <f t="shared" si="95"/>
        <v>0.34374999999999994</v>
      </c>
      <c r="G135" s="1164">
        <f t="shared" si="96"/>
        <v>0.34722222222222215</v>
      </c>
      <c r="H135" s="1165">
        <f t="shared" si="112"/>
        <v>42710</v>
      </c>
      <c r="I135" s="1166">
        <v>2.5999999999999999E-2</v>
      </c>
      <c r="J135" s="1166">
        <v>-1.2E-2</v>
      </c>
      <c r="K135" s="1166">
        <v>-0.316</v>
      </c>
      <c r="L135" s="1166">
        <v>-0.629</v>
      </c>
      <c r="M135" s="1164">
        <f t="shared" si="97"/>
        <v>0.35069444444444436</v>
      </c>
      <c r="N135" s="1164">
        <f t="shared" si="98"/>
        <v>0.36111111111111105</v>
      </c>
      <c r="O135" s="1165">
        <f t="shared" si="113"/>
        <v>42710</v>
      </c>
      <c r="P135" s="1166">
        <v>1.06</v>
      </c>
      <c r="Q135" s="1166">
        <v>9</v>
      </c>
      <c r="R135" s="1166">
        <v>26</v>
      </c>
      <c r="S135" s="1166">
        <v>0</v>
      </c>
      <c r="T135" s="1164">
        <f t="shared" si="99"/>
        <v>0.48611111111111105</v>
      </c>
      <c r="U135" s="1167">
        <f t="shared" si="114"/>
        <v>42710</v>
      </c>
      <c r="V135" s="1166">
        <v>19.600000000000001</v>
      </c>
      <c r="W135" s="1164">
        <f t="shared" si="100"/>
        <v>0.61111111111111105</v>
      </c>
      <c r="X135" s="1167">
        <f t="shared" si="115"/>
        <v>42710</v>
      </c>
      <c r="Y135" s="1166">
        <v>21</v>
      </c>
      <c r="Z135" s="1164">
        <f t="shared" si="101"/>
        <v>0.65277777777777768</v>
      </c>
      <c r="AA135" s="1164">
        <f t="shared" si="102"/>
        <v>0.67361111111111094</v>
      </c>
      <c r="AB135" s="1167">
        <f t="shared" si="116"/>
        <v>42710</v>
      </c>
      <c r="AC135" s="1166">
        <v>21</v>
      </c>
      <c r="AD135" s="1164">
        <f t="shared" si="103"/>
        <v>0.68055555555555536</v>
      </c>
      <c r="AE135" s="1164">
        <f t="shared" si="104"/>
        <v>0.69097222222222199</v>
      </c>
      <c r="AF135" s="1167">
        <f t="shared" si="117"/>
        <v>42710</v>
      </c>
      <c r="AG135" s="1164">
        <f t="shared" si="105"/>
        <v>0.69791666666666641</v>
      </c>
      <c r="AH135" s="1164">
        <f t="shared" si="106"/>
        <v>0.72916666666666641</v>
      </c>
      <c r="AI135" s="1167">
        <f t="shared" si="118"/>
        <v>42710</v>
      </c>
      <c r="AJ135" s="1164">
        <f t="shared" si="107"/>
        <v>0.74999999999999967</v>
      </c>
      <c r="AK135" s="1164">
        <f t="shared" si="108"/>
        <v>0.75694444444444409</v>
      </c>
      <c r="AL135" s="1167">
        <f t="shared" si="119"/>
        <v>42710</v>
      </c>
      <c r="AM135" s="1166">
        <v>1.05</v>
      </c>
      <c r="AN135" s="1166">
        <v>9</v>
      </c>
      <c r="AO135" s="1166">
        <v>22</v>
      </c>
      <c r="AP135" s="1166">
        <v>0</v>
      </c>
      <c r="AQ135" s="1164">
        <f t="shared" si="120"/>
        <v>0.75694444444444409</v>
      </c>
      <c r="AR135" s="1164">
        <f t="shared" si="109"/>
        <v>0.76388888888888851</v>
      </c>
      <c r="AS135" s="1167">
        <f t="shared" si="121"/>
        <v>42710</v>
      </c>
      <c r="AT135" s="1166">
        <v>21</v>
      </c>
      <c r="AU135" s="1164">
        <f t="shared" si="122"/>
        <v>0.76388888888888851</v>
      </c>
      <c r="AV135" s="1167">
        <f t="shared" si="123"/>
        <v>42710</v>
      </c>
      <c r="AW135" s="1164">
        <f t="shared" si="124"/>
        <v>0.7916666666666663</v>
      </c>
      <c r="AX135" s="1167">
        <f t="shared" si="125"/>
        <v>42710</v>
      </c>
      <c r="AY135" s="1166">
        <v>7</v>
      </c>
      <c r="AZ135" s="1166">
        <v>19</v>
      </c>
      <c r="BA135" s="1168">
        <f>VLOOKUP(B135,ĐTBT!$V:$W,2,0)</f>
        <v>2</v>
      </c>
      <c r="BB135" s="1168"/>
      <c r="BC135" s="1168"/>
      <c r="BD135" s="1168"/>
      <c r="BE135" s="1168"/>
      <c r="BF135" s="1168"/>
      <c r="BG135" s="1168"/>
      <c r="BH135" s="1168"/>
      <c r="BI135" s="1168">
        <f t="shared" si="126"/>
        <v>0</v>
      </c>
      <c r="BJ135" s="1168">
        <f>VLOOKUP(B135,'Thong tin'!A:R,11,0)</f>
        <v>0</v>
      </c>
      <c r="BU135" s="1220">
        <v>42685</v>
      </c>
      <c r="BX135" s="1220">
        <v>42692</v>
      </c>
    </row>
    <row r="136" spans="1:76" s="1219" customFormat="1" ht="15">
      <c r="A136" s="1217">
        <f>IF(C136="","",COUNTA($C$13:C136))</f>
        <v>124</v>
      </c>
      <c r="B136" s="1239" t="s">
        <v>554</v>
      </c>
      <c r="C136" s="1164">
        <v>0.39583333333333331</v>
      </c>
      <c r="D136" s="1164">
        <f t="shared" si="94"/>
        <v>0.41666666666666663</v>
      </c>
      <c r="E136" s="1165">
        <f t="shared" si="111"/>
        <v>42710</v>
      </c>
      <c r="F136" s="1164">
        <f t="shared" si="95"/>
        <v>0.42361111111111105</v>
      </c>
      <c r="G136" s="1164">
        <f t="shared" si="96"/>
        <v>0.42708333333333326</v>
      </c>
      <c r="H136" s="1165">
        <f t="shared" si="112"/>
        <v>42710</v>
      </c>
      <c r="I136" s="1166">
        <v>-2.1000000000000001E-2</v>
      </c>
      <c r="J136" s="1166">
        <v>1.4E-2</v>
      </c>
      <c r="K136" s="1166">
        <v>-0.17899999999999999</v>
      </c>
      <c r="L136" s="1166">
        <v>-0.68400000000000005</v>
      </c>
      <c r="M136" s="1164">
        <f t="shared" si="97"/>
        <v>0.43055555555555547</v>
      </c>
      <c r="N136" s="1164">
        <f t="shared" si="98"/>
        <v>0.44097222222222215</v>
      </c>
      <c r="O136" s="1165">
        <f t="shared" si="113"/>
        <v>42710</v>
      </c>
      <c r="P136" s="1166">
        <v>1.05</v>
      </c>
      <c r="Q136" s="1166">
        <v>9</v>
      </c>
      <c r="R136" s="1166">
        <v>26</v>
      </c>
      <c r="S136" s="1166">
        <v>0</v>
      </c>
      <c r="T136" s="1164">
        <f t="shared" si="99"/>
        <v>0.5659722222222221</v>
      </c>
      <c r="U136" s="1167">
        <f t="shared" si="114"/>
        <v>42710</v>
      </c>
      <c r="V136" s="1166">
        <v>19.350000000000001</v>
      </c>
      <c r="W136" s="1164">
        <f t="shared" si="100"/>
        <v>0.6909722222222221</v>
      </c>
      <c r="X136" s="1167">
        <f t="shared" si="115"/>
        <v>42710</v>
      </c>
      <c r="Y136" s="1166">
        <v>21.05</v>
      </c>
      <c r="Z136" s="1164">
        <f t="shared" si="101"/>
        <v>0.73263888888888873</v>
      </c>
      <c r="AA136" s="1164">
        <f t="shared" si="102"/>
        <v>0.75347222222222199</v>
      </c>
      <c r="AB136" s="1167">
        <f t="shared" si="116"/>
        <v>42710</v>
      </c>
      <c r="AC136" s="1166">
        <v>21.15</v>
      </c>
      <c r="AD136" s="1164">
        <f t="shared" si="103"/>
        <v>0.76041666666666641</v>
      </c>
      <c r="AE136" s="1164">
        <f t="shared" si="104"/>
        <v>0.77083333333333304</v>
      </c>
      <c r="AF136" s="1167">
        <f t="shared" si="117"/>
        <v>42710</v>
      </c>
      <c r="AG136" s="1164">
        <f t="shared" si="105"/>
        <v>0.77777777777777746</v>
      </c>
      <c r="AH136" s="1164">
        <f t="shared" si="106"/>
        <v>0.80902777777777746</v>
      </c>
      <c r="AI136" s="1167">
        <f t="shared" si="118"/>
        <v>42710</v>
      </c>
      <c r="AJ136" s="1164">
        <f t="shared" si="107"/>
        <v>0.82986111111111072</v>
      </c>
      <c r="AK136" s="1164">
        <f t="shared" si="108"/>
        <v>0.83680555555555514</v>
      </c>
      <c r="AL136" s="1167">
        <f t="shared" si="119"/>
        <v>42710</v>
      </c>
      <c r="AM136" s="1166">
        <v>1.05</v>
      </c>
      <c r="AN136" s="1166">
        <v>9</v>
      </c>
      <c r="AO136" s="1166">
        <v>22</v>
      </c>
      <c r="AP136" s="1166">
        <v>0</v>
      </c>
      <c r="AQ136" s="1164">
        <f t="shared" si="120"/>
        <v>0.83680555555555514</v>
      </c>
      <c r="AR136" s="1164">
        <f t="shared" si="109"/>
        <v>0.84374999999999956</v>
      </c>
      <c r="AS136" s="1167">
        <f t="shared" si="121"/>
        <v>42710</v>
      </c>
      <c r="AT136" s="1166">
        <v>21.15</v>
      </c>
      <c r="AU136" s="1164">
        <f t="shared" si="122"/>
        <v>0.84374999999999956</v>
      </c>
      <c r="AV136" s="1167">
        <f t="shared" si="123"/>
        <v>42710</v>
      </c>
      <c r="AW136" s="1164">
        <f t="shared" si="124"/>
        <v>0.88541666666666619</v>
      </c>
      <c r="AX136" s="1167">
        <f t="shared" si="125"/>
        <v>42710</v>
      </c>
      <c r="AY136" s="1166">
        <v>7.1</v>
      </c>
      <c r="AZ136" s="1166">
        <v>19</v>
      </c>
      <c r="BA136" s="1168">
        <f>VLOOKUP(B136,ĐTBT!$V:$W,2,0)</f>
        <v>3</v>
      </c>
      <c r="BB136" s="1168"/>
      <c r="BC136" s="1168"/>
      <c r="BD136" s="1168"/>
      <c r="BE136" s="1168"/>
      <c r="BF136" s="1168"/>
      <c r="BG136" s="1168"/>
      <c r="BH136" s="1168"/>
      <c r="BI136" s="1168">
        <f t="shared" si="126"/>
        <v>0</v>
      </c>
      <c r="BJ136" s="1168">
        <f>VLOOKUP(B136,'Thong tin'!A:R,11,0)</f>
        <v>0</v>
      </c>
      <c r="BU136" s="1220">
        <v>42686</v>
      </c>
      <c r="BX136" s="1220">
        <v>42695</v>
      </c>
    </row>
    <row r="137" spans="1:76" s="1219" customFormat="1" ht="15">
      <c r="A137" s="1217">
        <f>IF(C137="","",COUNTA($C$13:C137))</f>
        <v>125</v>
      </c>
      <c r="B137" s="1239" t="s">
        <v>534</v>
      </c>
      <c r="C137" s="1164">
        <v>0.34722222222222227</v>
      </c>
      <c r="D137" s="1164">
        <f t="shared" si="94"/>
        <v>0.36805555555555558</v>
      </c>
      <c r="E137" s="1165">
        <f t="shared" si="111"/>
        <v>42710</v>
      </c>
      <c r="F137" s="1164">
        <f t="shared" si="95"/>
        <v>0.375</v>
      </c>
      <c r="G137" s="1164">
        <f t="shared" si="96"/>
        <v>0.37847222222222221</v>
      </c>
      <c r="H137" s="1165">
        <f t="shared" si="112"/>
        <v>42710</v>
      </c>
      <c r="I137" s="1166">
        <v>-1.6E-2</v>
      </c>
      <c r="J137" s="1166">
        <v>2.1999999999999999E-2</v>
      </c>
      <c r="K137" s="1166">
        <v>-0.34599999999999997</v>
      </c>
      <c r="L137" s="1166">
        <v>-0.68400000000000005</v>
      </c>
      <c r="M137" s="1164">
        <f t="shared" si="97"/>
        <v>0.38194444444444442</v>
      </c>
      <c r="N137" s="1164">
        <f t="shared" si="98"/>
        <v>0.3923611111111111</v>
      </c>
      <c r="O137" s="1165">
        <f t="shared" si="113"/>
        <v>42710</v>
      </c>
      <c r="P137" s="1166">
        <v>1.06</v>
      </c>
      <c r="Q137" s="1166">
        <v>9</v>
      </c>
      <c r="R137" s="1166">
        <v>26</v>
      </c>
      <c r="S137" s="1166">
        <v>0</v>
      </c>
      <c r="T137" s="1164">
        <f t="shared" si="99"/>
        <v>0.51736111111111116</v>
      </c>
      <c r="U137" s="1167">
        <f t="shared" si="114"/>
        <v>42710</v>
      </c>
      <c r="V137" s="1166">
        <v>20.5</v>
      </c>
      <c r="W137" s="1164">
        <f t="shared" si="100"/>
        <v>0.64236111111111116</v>
      </c>
      <c r="X137" s="1167">
        <f t="shared" si="115"/>
        <v>42710</v>
      </c>
      <c r="Y137" s="1166">
        <v>27</v>
      </c>
      <c r="Z137" s="1164">
        <f t="shared" si="101"/>
        <v>0.68402777777777779</v>
      </c>
      <c r="AA137" s="1164">
        <f t="shared" si="102"/>
        <v>0.70486111111111105</v>
      </c>
      <c r="AB137" s="1167">
        <f t="shared" si="116"/>
        <v>42710</v>
      </c>
      <c r="AC137" s="1166">
        <v>27.05</v>
      </c>
      <c r="AD137" s="1164">
        <f t="shared" si="103"/>
        <v>0.71180555555555547</v>
      </c>
      <c r="AE137" s="1164">
        <f t="shared" si="104"/>
        <v>0.7222222222222221</v>
      </c>
      <c r="AF137" s="1167">
        <f t="shared" si="117"/>
        <v>42710</v>
      </c>
      <c r="AG137" s="1164">
        <f t="shared" si="105"/>
        <v>0.72916666666666652</v>
      </c>
      <c r="AH137" s="1164">
        <f t="shared" si="106"/>
        <v>0.77083333333333315</v>
      </c>
      <c r="AI137" s="1167">
        <f t="shared" si="118"/>
        <v>42710</v>
      </c>
      <c r="AJ137" s="1164">
        <f t="shared" si="107"/>
        <v>0.79166666666666641</v>
      </c>
      <c r="AK137" s="1164">
        <f t="shared" si="108"/>
        <v>0.79861111111111083</v>
      </c>
      <c r="AL137" s="1167">
        <f t="shared" si="119"/>
        <v>42710</v>
      </c>
      <c r="AM137" s="1166">
        <v>1.06</v>
      </c>
      <c r="AN137" s="1166">
        <v>9</v>
      </c>
      <c r="AO137" s="1166">
        <v>26</v>
      </c>
      <c r="AP137" s="1166">
        <v>0</v>
      </c>
      <c r="AQ137" s="1164">
        <f t="shared" si="120"/>
        <v>0.79861111111111083</v>
      </c>
      <c r="AR137" s="1164">
        <f t="shared" si="109"/>
        <v>0.80555555555555525</v>
      </c>
      <c r="AS137" s="1167">
        <f t="shared" si="121"/>
        <v>42710</v>
      </c>
      <c r="AT137" s="1166">
        <v>27.05</v>
      </c>
      <c r="AU137" s="1164">
        <f t="shared" si="122"/>
        <v>0.80555555555555525</v>
      </c>
      <c r="AV137" s="1167">
        <f t="shared" si="123"/>
        <v>42710</v>
      </c>
      <c r="AW137" s="1164">
        <f t="shared" si="124"/>
        <v>0.84722222222222188</v>
      </c>
      <c r="AX137" s="1167">
        <f t="shared" si="125"/>
        <v>42710</v>
      </c>
      <c r="AY137" s="1166">
        <v>7.4</v>
      </c>
      <c r="AZ137" s="1166">
        <v>25</v>
      </c>
      <c r="BA137" s="1168">
        <f>VLOOKUP(B137,ĐTBT!$V:$W,2,0)</f>
        <v>3</v>
      </c>
      <c r="BB137" s="1168"/>
      <c r="BC137" s="1168"/>
      <c r="BD137" s="1168"/>
      <c r="BE137" s="1168"/>
      <c r="BF137" s="1168"/>
      <c r="BG137" s="1168"/>
      <c r="BH137" s="1168"/>
      <c r="BI137" s="1168">
        <f t="shared" si="126"/>
        <v>0</v>
      </c>
      <c r="BJ137" s="1168">
        <f>VLOOKUP(B137,'Thong tin'!A:R,11,0)</f>
        <v>4</v>
      </c>
      <c r="BU137" s="1220">
        <v>42686</v>
      </c>
      <c r="BX137" s="1220">
        <v>42696</v>
      </c>
    </row>
    <row r="138" spans="1:76" s="1219" customFormat="1" ht="15">
      <c r="A138" s="1217">
        <f>IF(C138="","",COUNTA($C$13:C138))</f>
        <v>126</v>
      </c>
      <c r="B138" s="1239" t="s">
        <v>599</v>
      </c>
      <c r="C138" s="1164">
        <v>0.3888888888888889</v>
      </c>
      <c r="D138" s="1164">
        <f t="shared" si="94"/>
        <v>0.40972222222222221</v>
      </c>
      <c r="E138" s="1165">
        <f t="shared" si="111"/>
        <v>42711</v>
      </c>
      <c r="F138" s="1164">
        <f t="shared" si="95"/>
        <v>0.41666666666666663</v>
      </c>
      <c r="G138" s="1164">
        <f t="shared" si="96"/>
        <v>0.42013888888888884</v>
      </c>
      <c r="H138" s="1165">
        <f t="shared" si="112"/>
        <v>42711</v>
      </c>
      <c r="I138" s="1166">
        <v>-2.5999999999999999E-2</v>
      </c>
      <c r="J138" s="1166">
        <v>-1.4E-2</v>
      </c>
      <c r="K138" s="1166">
        <v>0.125</v>
      </c>
      <c r="L138" s="1166">
        <v>-0.10100000000000001</v>
      </c>
      <c r="M138" s="1164">
        <f t="shared" si="97"/>
        <v>0.42361111111111105</v>
      </c>
      <c r="N138" s="1164">
        <f t="shared" si="98"/>
        <v>0.43402777777777773</v>
      </c>
      <c r="O138" s="1165">
        <f t="shared" si="113"/>
        <v>42711</v>
      </c>
      <c r="P138" s="1166">
        <v>1.06</v>
      </c>
      <c r="Q138" s="1166">
        <v>9</v>
      </c>
      <c r="R138" s="1166">
        <v>26</v>
      </c>
      <c r="S138" s="1166">
        <v>0</v>
      </c>
      <c r="T138" s="1164">
        <f t="shared" si="99"/>
        <v>0.55902777777777768</v>
      </c>
      <c r="U138" s="1167">
        <f t="shared" si="114"/>
        <v>42711</v>
      </c>
      <c r="V138" s="1166">
        <v>19.899999999999999</v>
      </c>
      <c r="W138" s="1164">
        <f t="shared" si="100"/>
        <v>0.68402777777777768</v>
      </c>
      <c r="X138" s="1167">
        <f t="shared" si="115"/>
        <v>42711</v>
      </c>
      <c r="Y138" s="1166">
        <v>27.01</v>
      </c>
      <c r="Z138" s="1164">
        <f t="shared" si="101"/>
        <v>0.72569444444444431</v>
      </c>
      <c r="AA138" s="1164">
        <f t="shared" si="102"/>
        <v>0.74652777777777757</v>
      </c>
      <c r="AB138" s="1167">
        <f t="shared" si="116"/>
        <v>42711</v>
      </c>
      <c r="AC138" s="1166">
        <v>27.01</v>
      </c>
      <c r="AD138" s="1164">
        <f t="shared" si="103"/>
        <v>0.75347222222222199</v>
      </c>
      <c r="AE138" s="1164">
        <f t="shared" si="104"/>
        <v>0.76388888888888862</v>
      </c>
      <c r="AF138" s="1167">
        <f t="shared" si="117"/>
        <v>42711</v>
      </c>
      <c r="AG138" s="1164">
        <f t="shared" si="105"/>
        <v>0.77083333333333304</v>
      </c>
      <c r="AH138" s="1164">
        <f t="shared" si="106"/>
        <v>0.81249999999999967</v>
      </c>
      <c r="AI138" s="1167">
        <f t="shared" si="118"/>
        <v>42711</v>
      </c>
      <c r="AJ138" s="1164">
        <f t="shared" si="107"/>
        <v>0.83333333333333293</v>
      </c>
      <c r="AK138" s="1164">
        <f t="shared" si="108"/>
        <v>0.84027777777777735</v>
      </c>
      <c r="AL138" s="1167">
        <f t="shared" si="119"/>
        <v>42711</v>
      </c>
      <c r="AM138" s="1166">
        <v>1.05</v>
      </c>
      <c r="AN138" s="1166">
        <v>9</v>
      </c>
      <c r="AO138" s="1166">
        <v>25</v>
      </c>
      <c r="AP138" s="1166">
        <v>0</v>
      </c>
      <c r="AQ138" s="1164">
        <f t="shared" si="120"/>
        <v>0.84027777777777735</v>
      </c>
      <c r="AR138" s="1164">
        <f t="shared" si="109"/>
        <v>0.84722222222222177</v>
      </c>
      <c r="AS138" s="1167">
        <f t="shared" si="121"/>
        <v>42711</v>
      </c>
      <c r="AT138" s="1166">
        <v>27.01</v>
      </c>
      <c r="AU138" s="1164">
        <f t="shared" si="122"/>
        <v>0.84722222222222177</v>
      </c>
      <c r="AV138" s="1167">
        <f t="shared" si="123"/>
        <v>42711</v>
      </c>
      <c r="AW138" s="1164">
        <f t="shared" si="124"/>
        <v>0.8888888888888884</v>
      </c>
      <c r="AX138" s="1167">
        <f t="shared" si="125"/>
        <v>42711</v>
      </c>
      <c r="AY138" s="1166">
        <v>7.9</v>
      </c>
      <c r="AZ138" s="1166">
        <v>23</v>
      </c>
      <c r="BA138" s="1168">
        <f>VLOOKUP(B138,ĐTBT!$V:$W,2,0)</f>
        <v>3</v>
      </c>
      <c r="BB138" s="1168"/>
      <c r="BC138" s="1168"/>
      <c r="BD138" s="1168"/>
      <c r="BE138" s="1168"/>
      <c r="BF138" s="1168"/>
      <c r="BG138" s="1168"/>
      <c r="BH138" s="1168"/>
      <c r="BI138" s="1168">
        <f t="shared" si="126"/>
        <v>0</v>
      </c>
      <c r="BJ138" s="1168">
        <f>VLOOKUP(B138,'Thong tin'!A:R,11,0)</f>
        <v>4</v>
      </c>
      <c r="BU138" s="1220">
        <v>42660</v>
      </c>
      <c r="BX138" s="1220">
        <v>42698</v>
      </c>
    </row>
    <row r="139" spans="1:76" s="1219" customFormat="1" ht="15">
      <c r="A139" s="1217">
        <f>IF(C139="","",COUNTA($C$13:C139))</f>
        <v>127</v>
      </c>
      <c r="B139" s="1239" t="s">
        <v>539</v>
      </c>
      <c r="C139" s="1164">
        <v>0.32291666666666669</v>
      </c>
      <c r="D139" s="1164">
        <f t="shared" si="94"/>
        <v>0.34375</v>
      </c>
      <c r="E139" s="1165">
        <f t="shared" si="111"/>
        <v>42711</v>
      </c>
      <c r="F139" s="1164">
        <f t="shared" si="95"/>
        <v>0.35069444444444442</v>
      </c>
      <c r="G139" s="1164">
        <f t="shared" si="96"/>
        <v>0.35416666666666663</v>
      </c>
      <c r="H139" s="1165">
        <f t="shared" si="112"/>
        <v>42711</v>
      </c>
      <c r="I139" s="1166">
        <v>1.7999999999999999E-2</v>
      </c>
      <c r="J139" s="1166">
        <v>7.0000000000000001E-3</v>
      </c>
      <c r="K139" s="1166">
        <v>-0.30199999999999999</v>
      </c>
      <c r="L139" s="1166">
        <v>-0.51200000000000001</v>
      </c>
      <c r="M139" s="1164">
        <f t="shared" si="97"/>
        <v>0.35763888888888884</v>
      </c>
      <c r="N139" s="1164">
        <f t="shared" si="98"/>
        <v>0.36805555555555552</v>
      </c>
      <c r="O139" s="1165">
        <f t="shared" si="113"/>
        <v>42711</v>
      </c>
      <c r="P139" s="1166">
        <v>1.06</v>
      </c>
      <c r="Q139" s="1166">
        <v>9</v>
      </c>
      <c r="R139" s="1166">
        <v>26</v>
      </c>
      <c r="S139" s="1166">
        <v>0</v>
      </c>
      <c r="T139" s="1164">
        <f t="shared" si="99"/>
        <v>0.49305555555555552</v>
      </c>
      <c r="U139" s="1167">
        <f t="shared" si="114"/>
        <v>42711</v>
      </c>
      <c r="V139" s="1166">
        <v>20.2</v>
      </c>
      <c r="W139" s="1164">
        <f t="shared" si="100"/>
        <v>0.61805555555555558</v>
      </c>
      <c r="X139" s="1167">
        <f t="shared" si="115"/>
        <v>42711</v>
      </c>
      <c r="Y139" s="1166">
        <v>27.03</v>
      </c>
      <c r="Z139" s="1164">
        <f t="shared" si="101"/>
        <v>0.65972222222222221</v>
      </c>
      <c r="AA139" s="1164">
        <f t="shared" si="102"/>
        <v>0.68055555555555547</v>
      </c>
      <c r="AB139" s="1167">
        <f t="shared" si="116"/>
        <v>42711</v>
      </c>
      <c r="AC139" s="1166">
        <v>27.03</v>
      </c>
      <c r="AD139" s="1164">
        <f t="shared" si="103"/>
        <v>0.68749999999999989</v>
      </c>
      <c r="AE139" s="1164">
        <f t="shared" si="104"/>
        <v>0.69791666666666652</v>
      </c>
      <c r="AF139" s="1167">
        <f t="shared" si="117"/>
        <v>42711</v>
      </c>
      <c r="AG139" s="1164">
        <f t="shared" si="105"/>
        <v>0.70486111111111094</v>
      </c>
      <c r="AH139" s="1164">
        <f t="shared" si="106"/>
        <v>0.73611111111111094</v>
      </c>
      <c r="AI139" s="1167">
        <f t="shared" si="118"/>
        <v>42711</v>
      </c>
      <c r="AJ139" s="1164">
        <f t="shared" si="107"/>
        <v>0.7569444444444442</v>
      </c>
      <c r="AK139" s="1164">
        <f t="shared" si="108"/>
        <v>0.76388888888888862</v>
      </c>
      <c r="AL139" s="1167">
        <f t="shared" si="119"/>
        <v>42711</v>
      </c>
      <c r="AM139" s="1166">
        <v>1.06</v>
      </c>
      <c r="AN139" s="1166">
        <v>9</v>
      </c>
      <c r="AO139" s="1166">
        <v>24</v>
      </c>
      <c r="AP139" s="1166">
        <v>0</v>
      </c>
      <c r="AQ139" s="1164">
        <f t="shared" si="120"/>
        <v>0.76388888888888862</v>
      </c>
      <c r="AR139" s="1164">
        <f t="shared" si="109"/>
        <v>0.77083333333333304</v>
      </c>
      <c r="AS139" s="1167">
        <f t="shared" si="121"/>
        <v>42711</v>
      </c>
      <c r="AT139" s="1166">
        <v>27.03</v>
      </c>
      <c r="AU139" s="1164">
        <f t="shared" si="122"/>
        <v>0.77083333333333304</v>
      </c>
      <c r="AV139" s="1167">
        <f t="shared" si="123"/>
        <v>42711</v>
      </c>
      <c r="AW139" s="1164">
        <f t="shared" si="124"/>
        <v>0.82638888888888862</v>
      </c>
      <c r="AX139" s="1167">
        <f t="shared" si="125"/>
        <v>42711</v>
      </c>
      <c r="AY139" s="1166">
        <v>7.3</v>
      </c>
      <c r="AZ139" s="1166">
        <v>34</v>
      </c>
      <c r="BA139" s="1168">
        <f>VLOOKUP(B139,ĐTBT!$V:$W,2,0)</f>
        <v>4</v>
      </c>
      <c r="BB139" s="1168"/>
      <c r="BC139" s="1168"/>
      <c r="BD139" s="1168"/>
      <c r="BE139" s="1168"/>
      <c r="BF139" s="1168"/>
      <c r="BG139" s="1168"/>
      <c r="BH139" s="1168"/>
      <c r="BI139" s="1168">
        <f t="shared" si="126"/>
        <v>0</v>
      </c>
      <c r="BJ139" s="1168">
        <f>VLOOKUP(B139,'Thong tin'!A:R,11,0)</f>
        <v>0</v>
      </c>
      <c r="BU139" s="1220">
        <v>42660</v>
      </c>
      <c r="BX139" s="1220">
        <v>42699</v>
      </c>
    </row>
    <row r="140" spans="1:76" s="1219" customFormat="1" ht="15">
      <c r="A140" s="1217">
        <f>IF(C140="","",COUNTA($C$13:C140))</f>
        <v>128</v>
      </c>
      <c r="B140" s="1239" t="s">
        <v>549</v>
      </c>
      <c r="C140" s="1164">
        <v>0.34027777777777773</v>
      </c>
      <c r="D140" s="1164">
        <f t="shared" si="94"/>
        <v>0.36111111111111105</v>
      </c>
      <c r="E140" s="1165">
        <f t="shared" si="111"/>
        <v>42712</v>
      </c>
      <c r="F140" s="1164">
        <f t="shared" si="95"/>
        <v>0.36805555555555547</v>
      </c>
      <c r="G140" s="1164">
        <f t="shared" si="96"/>
        <v>0.37152777777777768</v>
      </c>
      <c r="H140" s="1165">
        <f t="shared" si="112"/>
        <v>42712</v>
      </c>
      <c r="I140" s="1166">
        <v>-1.7000000000000001E-2</v>
      </c>
      <c r="J140" s="1166">
        <v>1.4999999999999999E-2</v>
      </c>
      <c r="K140" s="1166">
        <v>1.2999999999999999E-2</v>
      </c>
      <c r="L140" s="1166">
        <v>-0.57799999999999996</v>
      </c>
      <c r="M140" s="1164">
        <f t="shared" si="97"/>
        <v>0.37499999999999989</v>
      </c>
      <c r="N140" s="1164">
        <f t="shared" si="98"/>
        <v>0.38541666666666657</v>
      </c>
      <c r="O140" s="1165">
        <f t="shared" si="113"/>
        <v>42712</v>
      </c>
      <c r="P140" s="1166">
        <v>1.06</v>
      </c>
      <c r="Q140" s="1166">
        <v>9</v>
      </c>
      <c r="R140" s="1166">
        <v>26</v>
      </c>
      <c r="S140" s="1166">
        <v>0</v>
      </c>
      <c r="T140" s="1164">
        <f t="shared" si="99"/>
        <v>0.51041666666666652</v>
      </c>
      <c r="U140" s="1167">
        <f t="shared" si="114"/>
        <v>42712</v>
      </c>
      <c r="V140" s="1166">
        <v>19.760000000000002</v>
      </c>
      <c r="W140" s="1164">
        <f t="shared" si="100"/>
        <v>0.63541666666666652</v>
      </c>
      <c r="X140" s="1167">
        <f t="shared" si="115"/>
        <v>42712</v>
      </c>
      <c r="Y140" s="1166">
        <v>27.32</v>
      </c>
      <c r="Z140" s="1164">
        <f t="shared" si="101"/>
        <v>0.67708333333333315</v>
      </c>
      <c r="AA140" s="1164">
        <f t="shared" si="102"/>
        <v>0.69791666666666641</v>
      </c>
      <c r="AB140" s="1167">
        <f t="shared" si="116"/>
        <v>42712</v>
      </c>
      <c r="AC140" s="1166">
        <v>27.34</v>
      </c>
      <c r="AD140" s="1164">
        <f t="shared" si="103"/>
        <v>0.70486111111111083</v>
      </c>
      <c r="AE140" s="1164">
        <f t="shared" si="104"/>
        <v>0.71527777777777746</v>
      </c>
      <c r="AF140" s="1167">
        <f t="shared" si="117"/>
        <v>42712</v>
      </c>
      <c r="AG140" s="1164">
        <f t="shared" si="105"/>
        <v>0.72222222222222188</v>
      </c>
      <c r="AH140" s="1164">
        <f t="shared" si="106"/>
        <v>0.75347222222222188</v>
      </c>
      <c r="AI140" s="1167">
        <f t="shared" si="118"/>
        <v>42712</v>
      </c>
      <c r="AJ140" s="1164">
        <f t="shared" si="107"/>
        <v>0.77430555555555514</v>
      </c>
      <c r="AK140" s="1164">
        <f t="shared" si="108"/>
        <v>0.78124999999999956</v>
      </c>
      <c r="AL140" s="1167">
        <f t="shared" si="119"/>
        <v>42712</v>
      </c>
      <c r="AM140" s="1166">
        <v>1.06</v>
      </c>
      <c r="AN140" s="1166">
        <v>9</v>
      </c>
      <c r="AO140" s="1166">
        <v>24</v>
      </c>
      <c r="AP140" s="1166">
        <v>0</v>
      </c>
      <c r="AQ140" s="1164">
        <f t="shared" si="120"/>
        <v>0.78124999999999956</v>
      </c>
      <c r="AR140" s="1164">
        <f t="shared" si="109"/>
        <v>0.78819444444444398</v>
      </c>
      <c r="AS140" s="1167">
        <f t="shared" si="121"/>
        <v>42712</v>
      </c>
      <c r="AT140" s="1166">
        <v>27.34</v>
      </c>
      <c r="AU140" s="1164">
        <f t="shared" si="122"/>
        <v>0.78819444444444398</v>
      </c>
      <c r="AV140" s="1167">
        <f t="shared" si="123"/>
        <v>42712</v>
      </c>
      <c r="AW140" s="1164">
        <f t="shared" si="124"/>
        <v>0.8576388888888884</v>
      </c>
      <c r="AX140" s="1167">
        <f t="shared" si="125"/>
        <v>42712</v>
      </c>
      <c r="AY140" s="1166">
        <v>7.3</v>
      </c>
      <c r="AZ140" s="1166">
        <v>30</v>
      </c>
      <c r="BA140" s="1168">
        <f>VLOOKUP(B140,ĐTBT!$V:$W,2,0)</f>
        <v>5</v>
      </c>
      <c r="BB140" s="1168"/>
      <c r="BC140" s="1168"/>
      <c r="BD140" s="1168"/>
      <c r="BE140" s="1168"/>
      <c r="BF140" s="1168"/>
      <c r="BG140" s="1168"/>
      <c r="BH140" s="1168"/>
      <c r="BI140" s="1168">
        <f t="shared" si="126"/>
        <v>0</v>
      </c>
      <c r="BJ140" s="1168">
        <f>VLOOKUP(B140,'Thong tin'!A:R,11,0)</f>
        <v>0</v>
      </c>
      <c r="BU140" s="1220">
        <v>42661</v>
      </c>
      <c r="BX140" s="1220">
        <v>42700</v>
      </c>
    </row>
    <row r="141" spans="1:76" s="1219" customFormat="1" ht="15">
      <c r="A141" s="1217">
        <f>IF(C141="","",COUNTA($C$13:C141))</f>
        <v>129</v>
      </c>
      <c r="B141" s="1239" t="s">
        <v>538</v>
      </c>
      <c r="C141" s="1164">
        <v>0.41666666666666669</v>
      </c>
      <c r="D141" s="1164">
        <f t="shared" ref="D141:D172" si="127">C141+$D$319</f>
        <v>0.4375</v>
      </c>
      <c r="E141" s="1165">
        <f t="shared" si="111"/>
        <v>42712</v>
      </c>
      <c r="F141" s="1164">
        <f t="shared" ref="F141:F172" si="128">D141+$D$315</f>
        <v>0.44444444444444442</v>
      </c>
      <c r="G141" s="1164">
        <f t="shared" ref="G141:G172" si="129">F141+$D$314</f>
        <v>0.44791666666666663</v>
      </c>
      <c r="H141" s="1165">
        <f t="shared" si="112"/>
        <v>42712</v>
      </c>
      <c r="I141" s="1166">
        <v>-2.3E-2</v>
      </c>
      <c r="J141" s="1166">
        <v>-0.01</v>
      </c>
      <c r="K141" s="1166">
        <v>-0.123</v>
      </c>
      <c r="L141" s="1166">
        <v>-0.5</v>
      </c>
      <c r="M141" s="1164">
        <f t="shared" ref="M141:M172" si="130">G141+$D$314</f>
        <v>0.45138888888888884</v>
      </c>
      <c r="N141" s="1164">
        <f t="shared" ref="N141:N172" si="131">M141+$D$316</f>
        <v>0.46180555555555552</v>
      </c>
      <c r="O141" s="1165">
        <f t="shared" si="113"/>
        <v>42712</v>
      </c>
      <c r="P141" s="1166">
        <v>1.05</v>
      </c>
      <c r="Q141" s="1166">
        <v>9</v>
      </c>
      <c r="R141" s="1166">
        <v>27</v>
      </c>
      <c r="S141" s="1166">
        <v>0</v>
      </c>
      <c r="T141" s="1164">
        <f t="shared" ref="T141:T172" si="132">N141+$D$344</f>
        <v>0.58680555555555558</v>
      </c>
      <c r="U141" s="1167">
        <f t="shared" si="114"/>
        <v>42712</v>
      </c>
      <c r="V141" s="1166">
        <v>20.27</v>
      </c>
      <c r="W141" s="1164">
        <f t="shared" ref="W141:W172" si="133">T141+$D$344</f>
        <v>0.71180555555555558</v>
      </c>
      <c r="X141" s="1167">
        <f t="shared" si="115"/>
        <v>42712</v>
      </c>
      <c r="Y141" s="1166">
        <v>24.1</v>
      </c>
      <c r="Z141" s="1164">
        <f t="shared" ref="Z141:Z172" si="134">W141+$D$325</f>
        <v>0.75347222222222221</v>
      </c>
      <c r="AA141" s="1164">
        <f t="shared" ref="AA141:AA172" si="135">Z141+$D$319</f>
        <v>0.77430555555555547</v>
      </c>
      <c r="AB141" s="1167">
        <f t="shared" si="116"/>
        <v>42712</v>
      </c>
      <c r="AC141" s="1166">
        <v>24.15</v>
      </c>
      <c r="AD141" s="1164">
        <f t="shared" ref="AD141:AD172" si="136">AA141+$D$315</f>
        <v>0.78124999999999989</v>
      </c>
      <c r="AE141" s="1164">
        <f t="shared" ref="AE141:AE172" si="137">AD141+$D$316</f>
        <v>0.79166666666666652</v>
      </c>
      <c r="AF141" s="1167">
        <f t="shared" si="117"/>
        <v>42712</v>
      </c>
      <c r="AG141" s="1164">
        <f t="shared" ref="AG141:AG172" si="138">AE141+$D$315</f>
        <v>0.79861111111111094</v>
      </c>
      <c r="AH141" s="1164">
        <f t="shared" ref="AH141:AH172" si="139">IF(BJ141&gt;0,AG141+$D$325,AG141+$D$322)</f>
        <v>0.82986111111111094</v>
      </c>
      <c r="AI141" s="1167">
        <f t="shared" si="118"/>
        <v>42712</v>
      </c>
      <c r="AJ141" s="1164">
        <f t="shared" ref="AJ141:AJ172" si="140">AH141+$D$319</f>
        <v>0.8506944444444442</v>
      </c>
      <c r="AK141" s="1164">
        <f t="shared" ref="AK141:AK172" si="141">AJ141+$D$315</f>
        <v>0.85763888888888862</v>
      </c>
      <c r="AL141" s="1167">
        <f t="shared" si="119"/>
        <v>42712</v>
      </c>
      <c r="AM141" s="1166">
        <v>1.05</v>
      </c>
      <c r="AN141" s="1166">
        <v>9</v>
      </c>
      <c r="AO141" s="1166">
        <v>27</v>
      </c>
      <c r="AP141" s="1166">
        <v>0</v>
      </c>
      <c r="AQ141" s="1164">
        <f t="shared" si="120"/>
        <v>0.85763888888888862</v>
      </c>
      <c r="AR141" s="1164">
        <f t="shared" ref="AR141:AR172" si="142">AQ141+$D$315</f>
        <v>0.86458333333333304</v>
      </c>
      <c r="AS141" s="1167">
        <f t="shared" si="121"/>
        <v>42712</v>
      </c>
      <c r="AT141" s="1166">
        <v>24.15</v>
      </c>
      <c r="AU141" s="1164">
        <f t="shared" si="122"/>
        <v>0.86458333333333304</v>
      </c>
      <c r="AV141" s="1167">
        <f t="shared" si="123"/>
        <v>42712</v>
      </c>
      <c r="AW141" s="1164">
        <f t="shared" si="124"/>
        <v>0.90624999999999967</v>
      </c>
      <c r="AX141" s="1167">
        <f t="shared" si="125"/>
        <v>42712</v>
      </c>
      <c r="AY141" s="1166">
        <v>7.2</v>
      </c>
      <c r="AZ141" s="1166">
        <v>23</v>
      </c>
      <c r="BA141" s="1168">
        <f>VLOOKUP(B141,ĐTBT!$V:$W,2,0)</f>
        <v>3</v>
      </c>
      <c r="BB141" s="1168"/>
      <c r="BC141" s="1168"/>
      <c r="BD141" s="1168"/>
      <c r="BE141" s="1168"/>
      <c r="BF141" s="1168"/>
      <c r="BG141" s="1168"/>
      <c r="BH141" s="1168"/>
      <c r="BI141" s="1168">
        <f t="shared" si="126"/>
        <v>0</v>
      </c>
      <c r="BJ141" s="1168">
        <f>VLOOKUP(B141,'Thong tin'!A:R,11,0)</f>
        <v>0</v>
      </c>
      <c r="BU141" s="1220">
        <v>42662</v>
      </c>
      <c r="BX141" s="1220">
        <v>42702</v>
      </c>
    </row>
    <row r="142" spans="1:76" s="1219" customFormat="1" ht="15">
      <c r="A142" s="1217">
        <f>IF(C142="","",COUNTA($C$13:C142))</f>
        <v>130</v>
      </c>
      <c r="B142" s="1239" t="s">
        <v>544</v>
      </c>
      <c r="C142" s="1164">
        <v>0.29166666666666669</v>
      </c>
      <c r="D142" s="1164">
        <f t="shared" si="127"/>
        <v>0.3125</v>
      </c>
      <c r="E142" s="1165">
        <f t="shared" si="111"/>
        <v>42712</v>
      </c>
      <c r="F142" s="1164">
        <f t="shared" si="128"/>
        <v>0.31944444444444442</v>
      </c>
      <c r="G142" s="1164">
        <f t="shared" si="129"/>
        <v>0.32291666666666663</v>
      </c>
      <c r="H142" s="1165">
        <f t="shared" si="112"/>
        <v>42712</v>
      </c>
      <c r="I142" s="1166">
        <v>-1E-3</v>
      </c>
      <c r="J142" s="1166">
        <v>-2.5000000000000001E-2</v>
      </c>
      <c r="K142" s="1166">
        <v>6.3E-2</v>
      </c>
      <c r="L142" s="1166">
        <v>-2.5000000000000001E-2</v>
      </c>
      <c r="M142" s="1164">
        <f t="shared" si="130"/>
        <v>0.32638888888888884</v>
      </c>
      <c r="N142" s="1164">
        <f t="shared" si="131"/>
        <v>0.33680555555555552</v>
      </c>
      <c r="O142" s="1165">
        <f t="shared" si="113"/>
        <v>42712</v>
      </c>
      <c r="P142" s="1166">
        <v>1.06</v>
      </c>
      <c r="Q142" s="1166">
        <v>9</v>
      </c>
      <c r="R142" s="1166">
        <v>26</v>
      </c>
      <c r="S142" s="1166">
        <v>0</v>
      </c>
      <c r="T142" s="1164">
        <f t="shared" si="132"/>
        <v>0.46180555555555552</v>
      </c>
      <c r="U142" s="1167">
        <f t="shared" si="114"/>
        <v>42712</v>
      </c>
      <c r="V142" s="1166">
        <v>21.1</v>
      </c>
      <c r="W142" s="1164">
        <f t="shared" si="133"/>
        <v>0.58680555555555558</v>
      </c>
      <c r="X142" s="1167">
        <f t="shared" si="115"/>
        <v>42712</v>
      </c>
      <c r="Y142" s="1166">
        <v>27.48</v>
      </c>
      <c r="Z142" s="1164">
        <f t="shared" si="134"/>
        <v>0.62847222222222221</v>
      </c>
      <c r="AA142" s="1164">
        <f t="shared" si="135"/>
        <v>0.64930555555555547</v>
      </c>
      <c r="AB142" s="1167">
        <f t="shared" si="116"/>
        <v>42712</v>
      </c>
      <c r="AC142" s="1166">
        <v>27.5</v>
      </c>
      <c r="AD142" s="1164">
        <f t="shared" si="136"/>
        <v>0.65624999999999989</v>
      </c>
      <c r="AE142" s="1164">
        <f t="shared" si="137"/>
        <v>0.66666666666666652</v>
      </c>
      <c r="AF142" s="1167">
        <f t="shared" si="117"/>
        <v>42712</v>
      </c>
      <c r="AG142" s="1164">
        <f t="shared" si="138"/>
        <v>0.67361111111111094</v>
      </c>
      <c r="AH142" s="1164">
        <f t="shared" si="139"/>
        <v>0.71527777777777757</v>
      </c>
      <c r="AI142" s="1167">
        <f t="shared" si="118"/>
        <v>42712</v>
      </c>
      <c r="AJ142" s="1164">
        <f t="shared" si="140"/>
        <v>0.73611111111111083</v>
      </c>
      <c r="AK142" s="1164">
        <f t="shared" si="141"/>
        <v>0.74305555555555525</v>
      </c>
      <c r="AL142" s="1167">
        <f t="shared" si="119"/>
        <v>42712</v>
      </c>
      <c r="AM142" s="1166">
        <v>1.06</v>
      </c>
      <c r="AN142" s="1166">
        <v>9</v>
      </c>
      <c r="AO142" s="1166">
        <v>26</v>
      </c>
      <c r="AP142" s="1166">
        <v>0</v>
      </c>
      <c r="AQ142" s="1164">
        <f t="shared" si="120"/>
        <v>0.74305555555555525</v>
      </c>
      <c r="AR142" s="1164">
        <f t="shared" si="142"/>
        <v>0.74999999999999967</v>
      </c>
      <c r="AS142" s="1167">
        <f t="shared" si="121"/>
        <v>42712</v>
      </c>
      <c r="AT142" s="1166">
        <v>27.5</v>
      </c>
      <c r="AU142" s="1164">
        <f t="shared" si="122"/>
        <v>0.74999999999999967</v>
      </c>
      <c r="AV142" s="1167">
        <f t="shared" si="123"/>
        <v>42712</v>
      </c>
      <c r="AW142" s="1164">
        <f t="shared" si="124"/>
        <v>0.7916666666666663</v>
      </c>
      <c r="AX142" s="1167">
        <f t="shared" si="125"/>
        <v>42712</v>
      </c>
      <c r="AY142" s="1166">
        <v>7.1</v>
      </c>
      <c r="AZ142" s="1166">
        <v>30.5</v>
      </c>
      <c r="BA142" s="1168">
        <f>VLOOKUP(B142,ĐTBT!$V:$W,2,0)</f>
        <v>3</v>
      </c>
      <c r="BB142" s="1168"/>
      <c r="BC142" s="1168"/>
      <c r="BD142" s="1168"/>
      <c r="BE142" s="1168"/>
      <c r="BF142" s="1168"/>
      <c r="BG142" s="1168"/>
      <c r="BH142" s="1168"/>
      <c r="BI142" s="1168">
        <f t="shared" si="126"/>
        <v>0</v>
      </c>
      <c r="BJ142" s="1168">
        <f>VLOOKUP(B142,'Thong tin'!A:R,11,0)</f>
        <v>4</v>
      </c>
      <c r="BU142" s="1220">
        <v>42662</v>
      </c>
      <c r="BX142" s="1220">
        <v>42703</v>
      </c>
    </row>
    <row r="143" spans="1:76" s="1219" customFormat="1" ht="15">
      <c r="A143" s="1217">
        <f>IF(C143="","",COUNTA($C$13:C143))</f>
        <v>131</v>
      </c>
      <c r="B143" s="1239" t="s">
        <v>543</v>
      </c>
      <c r="C143" s="1164">
        <v>0.375</v>
      </c>
      <c r="D143" s="1164">
        <f t="shared" si="127"/>
        <v>0.39583333333333331</v>
      </c>
      <c r="E143" s="1165">
        <f t="shared" si="111"/>
        <v>42713</v>
      </c>
      <c r="F143" s="1164">
        <f t="shared" si="128"/>
        <v>0.40277777777777773</v>
      </c>
      <c r="G143" s="1164">
        <f t="shared" si="129"/>
        <v>0.40624999999999994</v>
      </c>
      <c r="H143" s="1165">
        <f t="shared" si="112"/>
        <v>42713</v>
      </c>
      <c r="I143" s="1166">
        <v>-1.7999999999999999E-2</v>
      </c>
      <c r="J143" s="1166">
        <v>1.4999999999999999E-2</v>
      </c>
      <c r="K143" s="1166">
        <v>-9.9000000000000005E-2</v>
      </c>
      <c r="L143" s="1166">
        <v>-0.434</v>
      </c>
      <c r="M143" s="1164">
        <f t="shared" si="130"/>
        <v>0.40972222222222215</v>
      </c>
      <c r="N143" s="1164">
        <f t="shared" si="131"/>
        <v>0.42013888888888884</v>
      </c>
      <c r="O143" s="1165">
        <f t="shared" si="113"/>
        <v>42713</v>
      </c>
      <c r="P143" s="1166">
        <v>1.06</v>
      </c>
      <c r="Q143" s="1166">
        <v>9</v>
      </c>
      <c r="R143" s="1166">
        <v>28</v>
      </c>
      <c r="S143" s="1166">
        <v>0</v>
      </c>
      <c r="T143" s="1164">
        <f t="shared" si="132"/>
        <v>0.54513888888888884</v>
      </c>
      <c r="U143" s="1167">
        <f t="shared" si="114"/>
        <v>42713</v>
      </c>
      <c r="V143" s="1166">
        <v>19</v>
      </c>
      <c r="W143" s="1164">
        <f t="shared" si="133"/>
        <v>0.67013888888888884</v>
      </c>
      <c r="X143" s="1167">
        <f t="shared" si="115"/>
        <v>42713</v>
      </c>
      <c r="Y143" s="1166">
        <v>24.1</v>
      </c>
      <c r="Z143" s="1164">
        <f t="shared" si="134"/>
        <v>0.71180555555555547</v>
      </c>
      <c r="AA143" s="1164">
        <f t="shared" si="135"/>
        <v>0.73263888888888873</v>
      </c>
      <c r="AB143" s="1167">
        <f t="shared" si="116"/>
        <v>42713</v>
      </c>
      <c r="AC143" s="1166">
        <v>24.15</v>
      </c>
      <c r="AD143" s="1164">
        <f t="shared" si="136"/>
        <v>0.73958333333333315</v>
      </c>
      <c r="AE143" s="1164">
        <f t="shared" si="137"/>
        <v>0.74999999999999978</v>
      </c>
      <c r="AF143" s="1167">
        <f t="shared" si="117"/>
        <v>42713</v>
      </c>
      <c r="AG143" s="1164">
        <f t="shared" si="138"/>
        <v>0.7569444444444442</v>
      </c>
      <c r="AH143" s="1164">
        <f t="shared" si="139"/>
        <v>0.79861111111111083</v>
      </c>
      <c r="AI143" s="1167">
        <f t="shared" si="118"/>
        <v>42713</v>
      </c>
      <c r="AJ143" s="1164">
        <f t="shared" si="140"/>
        <v>0.81944444444444409</v>
      </c>
      <c r="AK143" s="1164">
        <f t="shared" si="141"/>
        <v>0.82638888888888851</v>
      </c>
      <c r="AL143" s="1167">
        <f t="shared" si="119"/>
        <v>42713</v>
      </c>
      <c r="AM143" s="1166">
        <v>1.06</v>
      </c>
      <c r="AN143" s="1166">
        <v>9</v>
      </c>
      <c r="AO143" s="1166">
        <v>28</v>
      </c>
      <c r="AP143" s="1166">
        <v>0</v>
      </c>
      <c r="AQ143" s="1164">
        <f t="shared" si="120"/>
        <v>0.82638888888888851</v>
      </c>
      <c r="AR143" s="1164">
        <f t="shared" si="142"/>
        <v>0.83333333333333293</v>
      </c>
      <c r="AS143" s="1167">
        <f t="shared" si="121"/>
        <v>42713</v>
      </c>
      <c r="AT143" s="1166">
        <v>24.15</v>
      </c>
      <c r="AU143" s="1164">
        <f t="shared" si="122"/>
        <v>0.83333333333333293</v>
      </c>
      <c r="AV143" s="1167">
        <f t="shared" si="123"/>
        <v>42713</v>
      </c>
      <c r="AW143" s="1164">
        <f t="shared" si="124"/>
        <v>0.88888888888888851</v>
      </c>
      <c r="AX143" s="1167">
        <f t="shared" si="125"/>
        <v>42713</v>
      </c>
      <c r="AY143" s="1166">
        <v>7.3</v>
      </c>
      <c r="AZ143" s="1166">
        <v>20.6</v>
      </c>
      <c r="BA143" s="1168">
        <f>VLOOKUP(B143,ĐTBT!$V:$W,2,0)</f>
        <v>4</v>
      </c>
      <c r="BB143" s="1168"/>
      <c r="BC143" s="1168"/>
      <c r="BD143" s="1168"/>
      <c r="BE143" s="1168"/>
      <c r="BF143" s="1168"/>
      <c r="BG143" s="1168"/>
      <c r="BH143" s="1168"/>
      <c r="BI143" s="1168">
        <f t="shared" si="126"/>
        <v>0</v>
      </c>
      <c r="BJ143" s="1168">
        <f>VLOOKUP(B143,'Thong tin'!A:R,11,0)</f>
        <v>3</v>
      </c>
      <c r="BU143" s="1220">
        <v>42663</v>
      </c>
      <c r="BX143" s="1220">
        <v>42704</v>
      </c>
    </row>
    <row r="144" spans="1:76" s="1219" customFormat="1" ht="15">
      <c r="A144" s="1217">
        <f>IF(C144="","",COUNTA($C$13:C144))</f>
        <v>132</v>
      </c>
      <c r="B144" s="1239" t="s">
        <v>643</v>
      </c>
      <c r="C144" s="1164">
        <v>0.35416666666666669</v>
      </c>
      <c r="D144" s="1164">
        <f t="shared" si="127"/>
        <v>0.375</v>
      </c>
      <c r="E144" s="1165">
        <f t="shared" si="111"/>
        <v>42713</v>
      </c>
      <c r="F144" s="1164">
        <f t="shared" si="128"/>
        <v>0.38194444444444442</v>
      </c>
      <c r="G144" s="1164">
        <f t="shared" si="129"/>
        <v>0.38541666666666663</v>
      </c>
      <c r="H144" s="1165">
        <f t="shared" si="112"/>
        <v>42713</v>
      </c>
      <c r="I144" s="1166">
        <v>-0.02</v>
      </c>
      <c r="J144" s="1166">
        <v>-1.9E-2</v>
      </c>
      <c r="K144" s="1166">
        <v>0.10199999999999999</v>
      </c>
      <c r="L144" s="1166">
        <v>-0.38900000000000001</v>
      </c>
      <c r="M144" s="1164">
        <f t="shared" si="130"/>
        <v>0.38888888888888884</v>
      </c>
      <c r="N144" s="1164">
        <f t="shared" si="131"/>
        <v>0.39930555555555552</v>
      </c>
      <c r="O144" s="1165">
        <f t="shared" si="113"/>
        <v>42713</v>
      </c>
      <c r="P144" s="1166">
        <v>1.06</v>
      </c>
      <c r="Q144" s="1166">
        <v>9</v>
      </c>
      <c r="R144" s="1166">
        <v>22</v>
      </c>
      <c r="S144" s="1166">
        <v>0</v>
      </c>
      <c r="T144" s="1164">
        <f t="shared" si="132"/>
        <v>0.52430555555555558</v>
      </c>
      <c r="U144" s="1167">
        <f t="shared" si="114"/>
        <v>42713</v>
      </c>
      <c r="V144" s="1166">
        <v>22</v>
      </c>
      <c r="W144" s="1164">
        <f t="shared" si="133"/>
        <v>0.64930555555555558</v>
      </c>
      <c r="X144" s="1167">
        <f t="shared" si="115"/>
        <v>42713</v>
      </c>
      <c r="Y144" s="1166">
        <v>27.02</v>
      </c>
      <c r="Z144" s="1164">
        <f t="shared" si="134"/>
        <v>0.69097222222222221</v>
      </c>
      <c r="AA144" s="1164">
        <f t="shared" si="135"/>
        <v>0.71180555555555547</v>
      </c>
      <c r="AB144" s="1167">
        <f t="shared" si="116"/>
        <v>42713</v>
      </c>
      <c r="AC144" s="1166">
        <v>27.3</v>
      </c>
      <c r="AD144" s="1164">
        <f t="shared" si="136"/>
        <v>0.71874999999999989</v>
      </c>
      <c r="AE144" s="1164">
        <f t="shared" si="137"/>
        <v>0.72916666666666652</v>
      </c>
      <c r="AF144" s="1167">
        <f t="shared" si="117"/>
        <v>42713</v>
      </c>
      <c r="AG144" s="1164">
        <f t="shared" si="138"/>
        <v>0.73611111111111094</v>
      </c>
      <c r="AH144" s="1164">
        <f t="shared" si="139"/>
        <v>0.76736111111111094</v>
      </c>
      <c r="AI144" s="1167">
        <f t="shared" si="118"/>
        <v>42713</v>
      </c>
      <c r="AJ144" s="1164">
        <f t="shared" si="140"/>
        <v>0.7881944444444442</v>
      </c>
      <c r="AK144" s="1164">
        <f t="shared" si="141"/>
        <v>0.79513888888888862</v>
      </c>
      <c r="AL144" s="1167">
        <f t="shared" si="119"/>
        <v>42713</v>
      </c>
      <c r="AM144" s="1166">
        <v>1.06</v>
      </c>
      <c r="AN144" s="1166">
        <v>9</v>
      </c>
      <c r="AO144" s="1166">
        <v>22</v>
      </c>
      <c r="AP144" s="1166">
        <v>0</v>
      </c>
      <c r="AQ144" s="1164">
        <f t="shared" si="120"/>
        <v>0.79513888888888862</v>
      </c>
      <c r="AR144" s="1164">
        <f t="shared" si="142"/>
        <v>0.80208333333333304</v>
      </c>
      <c r="AS144" s="1167">
        <f t="shared" si="121"/>
        <v>42713</v>
      </c>
      <c r="AT144" s="1166">
        <v>27.3</v>
      </c>
      <c r="AU144" s="1164">
        <f t="shared" si="122"/>
        <v>0.80208333333333304</v>
      </c>
      <c r="AV144" s="1167">
        <f t="shared" si="123"/>
        <v>42713</v>
      </c>
      <c r="AW144" s="1164">
        <f t="shared" si="124"/>
        <v>0.84374999999999967</v>
      </c>
      <c r="AX144" s="1167">
        <f t="shared" si="125"/>
        <v>42713</v>
      </c>
      <c r="AY144" s="1166">
        <v>8.6999999999999993</v>
      </c>
      <c r="AZ144" s="1166">
        <v>25</v>
      </c>
      <c r="BA144" s="1168">
        <f>VLOOKUP(B144,ĐTBT!$V:$W,2,0)</f>
        <v>3</v>
      </c>
      <c r="BB144" s="1168"/>
      <c r="BC144" s="1168"/>
      <c r="BD144" s="1168"/>
      <c r="BE144" s="1168"/>
      <c r="BF144" s="1168"/>
      <c r="BG144" s="1168"/>
      <c r="BH144" s="1168"/>
      <c r="BI144" s="1168">
        <f t="shared" si="126"/>
        <v>0</v>
      </c>
      <c r="BJ144" s="1168">
        <f>VLOOKUP(B144,'Thong tin'!A:R,11,0)</f>
        <v>0</v>
      </c>
      <c r="BU144" s="1220">
        <v>42664</v>
      </c>
      <c r="BX144" s="1220">
        <v>42706</v>
      </c>
    </row>
    <row r="145" spans="1:76" s="1219" customFormat="1" ht="15">
      <c r="A145" s="1217">
        <f>IF(C145="","",COUNTA($C$13:C145))</f>
        <v>133</v>
      </c>
      <c r="B145" s="1239" t="s">
        <v>492</v>
      </c>
      <c r="C145" s="1164">
        <v>0.375</v>
      </c>
      <c r="D145" s="1164">
        <f t="shared" si="127"/>
        <v>0.39583333333333331</v>
      </c>
      <c r="E145" s="1165">
        <f t="shared" si="111"/>
        <v>42714</v>
      </c>
      <c r="F145" s="1164">
        <f t="shared" si="128"/>
        <v>0.40277777777777773</v>
      </c>
      <c r="G145" s="1164">
        <f t="shared" si="129"/>
        <v>0.40624999999999994</v>
      </c>
      <c r="H145" s="1165">
        <f t="shared" si="112"/>
        <v>42714</v>
      </c>
      <c r="I145" s="1166">
        <v>-2.4E-2</v>
      </c>
      <c r="J145" s="1166">
        <v>2E-3</v>
      </c>
      <c r="K145" s="1166">
        <v>-0.20899999999999999</v>
      </c>
      <c r="L145" s="1166">
        <v>-0.68300000000000005</v>
      </c>
      <c r="M145" s="1164">
        <f t="shared" si="130"/>
        <v>0.40972222222222215</v>
      </c>
      <c r="N145" s="1164">
        <f t="shared" si="131"/>
        <v>0.42013888888888884</v>
      </c>
      <c r="O145" s="1165">
        <f t="shared" si="113"/>
        <v>42714</v>
      </c>
      <c r="P145" s="1166">
        <v>1.06</v>
      </c>
      <c r="Q145" s="1166">
        <v>9</v>
      </c>
      <c r="R145" s="1166">
        <v>24</v>
      </c>
      <c r="S145" s="1166">
        <v>0</v>
      </c>
      <c r="T145" s="1164">
        <f t="shared" si="132"/>
        <v>0.54513888888888884</v>
      </c>
      <c r="U145" s="1167">
        <f t="shared" si="114"/>
        <v>42714</v>
      </c>
      <c r="V145" s="1166">
        <v>20.45</v>
      </c>
      <c r="W145" s="1164">
        <f t="shared" si="133"/>
        <v>0.67013888888888884</v>
      </c>
      <c r="X145" s="1167">
        <f t="shared" si="115"/>
        <v>42714</v>
      </c>
      <c r="Y145" s="1164">
        <v>28.52</v>
      </c>
      <c r="Z145" s="1164">
        <f t="shared" si="134"/>
        <v>0.71180555555555547</v>
      </c>
      <c r="AA145" s="1164">
        <f t="shared" si="135"/>
        <v>0.73263888888888873</v>
      </c>
      <c r="AB145" s="1167">
        <f t="shared" si="116"/>
        <v>42714</v>
      </c>
      <c r="AC145" s="1166">
        <v>28.52</v>
      </c>
      <c r="AD145" s="1164">
        <f t="shared" si="136"/>
        <v>0.73958333333333315</v>
      </c>
      <c r="AE145" s="1164">
        <f t="shared" si="137"/>
        <v>0.74999999999999978</v>
      </c>
      <c r="AF145" s="1167">
        <f t="shared" si="117"/>
        <v>42714</v>
      </c>
      <c r="AG145" s="1164">
        <f t="shared" si="138"/>
        <v>0.7569444444444442</v>
      </c>
      <c r="AH145" s="1164">
        <f t="shared" si="139"/>
        <v>0.79861111111111083</v>
      </c>
      <c r="AI145" s="1167">
        <f t="shared" si="118"/>
        <v>42714</v>
      </c>
      <c r="AJ145" s="1164">
        <f t="shared" si="140"/>
        <v>0.81944444444444409</v>
      </c>
      <c r="AK145" s="1164">
        <f t="shared" si="141"/>
        <v>0.82638888888888851</v>
      </c>
      <c r="AL145" s="1167">
        <f t="shared" si="119"/>
        <v>42714</v>
      </c>
      <c r="AM145" s="1166">
        <v>1.06</v>
      </c>
      <c r="AN145" s="1166">
        <v>9</v>
      </c>
      <c r="AO145" s="1166">
        <v>24</v>
      </c>
      <c r="AP145" s="1166">
        <v>0</v>
      </c>
      <c r="AQ145" s="1164">
        <f t="shared" si="120"/>
        <v>0.82638888888888851</v>
      </c>
      <c r="AR145" s="1164">
        <f t="shared" si="142"/>
        <v>0.83333333333333293</v>
      </c>
      <c r="AS145" s="1167">
        <f t="shared" si="121"/>
        <v>42714</v>
      </c>
      <c r="AT145" s="1166">
        <v>28.52</v>
      </c>
      <c r="AU145" s="1164">
        <f t="shared" si="122"/>
        <v>0.83333333333333293</v>
      </c>
      <c r="AV145" s="1167">
        <f t="shared" si="123"/>
        <v>42714</v>
      </c>
      <c r="AW145" s="1164">
        <f t="shared" si="124"/>
        <v>0.88888888888888851</v>
      </c>
      <c r="AX145" s="1167">
        <f t="shared" si="125"/>
        <v>42714</v>
      </c>
      <c r="AY145" s="1166">
        <v>7.2</v>
      </c>
      <c r="AZ145" s="1166">
        <v>33.5</v>
      </c>
      <c r="BA145" s="1168">
        <f>VLOOKUP(B145,ĐTBT!$V:$W,2,0)</f>
        <v>4</v>
      </c>
      <c r="BB145" s="1168"/>
      <c r="BC145" s="1168"/>
      <c r="BD145" s="1168"/>
      <c r="BE145" s="1168"/>
      <c r="BF145" s="1168"/>
      <c r="BG145" s="1168"/>
      <c r="BH145" s="1168"/>
      <c r="BI145" s="1168">
        <f t="shared" si="126"/>
        <v>0</v>
      </c>
      <c r="BJ145" s="1168">
        <f>VLOOKUP(B145,'Thong tin'!A:R,11,0)</f>
        <v>3</v>
      </c>
      <c r="BU145" s="1220">
        <v>42664</v>
      </c>
      <c r="BX145" s="1220">
        <v>42707</v>
      </c>
    </row>
    <row r="146" spans="1:76" s="1219" customFormat="1" ht="15">
      <c r="A146" s="1217">
        <f>IF(C146="","",COUNTA($C$13:C146))</f>
        <v>134</v>
      </c>
      <c r="B146" s="1239" t="s">
        <v>589</v>
      </c>
      <c r="C146" s="1164">
        <v>0.33680555555555558</v>
      </c>
      <c r="D146" s="1164">
        <f t="shared" si="127"/>
        <v>0.3576388888888889</v>
      </c>
      <c r="E146" s="1165">
        <f t="shared" si="111"/>
        <v>42714</v>
      </c>
      <c r="F146" s="1164">
        <f t="shared" si="128"/>
        <v>0.36458333333333331</v>
      </c>
      <c r="G146" s="1164">
        <f t="shared" si="129"/>
        <v>0.36805555555555552</v>
      </c>
      <c r="H146" s="1165">
        <f t="shared" si="112"/>
        <v>42714</v>
      </c>
      <c r="I146" s="1166">
        <v>-2.5000000000000001E-2</v>
      </c>
      <c r="J146" s="1166">
        <v>1.4999999999999999E-2</v>
      </c>
      <c r="K146" s="1166">
        <v>0.104</v>
      </c>
      <c r="L146" s="1166">
        <v>-0.38400000000000001</v>
      </c>
      <c r="M146" s="1164">
        <f t="shared" si="130"/>
        <v>0.37152777777777773</v>
      </c>
      <c r="N146" s="1164">
        <f t="shared" si="131"/>
        <v>0.38194444444444442</v>
      </c>
      <c r="O146" s="1165">
        <f t="shared" si="113"/>
        <v>42714</v>
      </c>
      <c r="P146" s="1166">
        <v>1.06</v>
      </c>
      <c r="Q146" s="1166">
        <v>9</v>
      </c>
      <c r="R146" s="1166">
        <v>23</v>
      </c>
      <c r="S146" s="1166">
        <v>0</v>
      </c>
      <c r="T146" s="1164">
        <f t="shared" si="132"/>
        <v>0.50694444444444442</v>
      </c>
      <c r="U146" s="1167">
        <f t="shared" si="114"/>
        <v>42714</v>
      </c>
      <c r="V146" s="1166">
        <v>20</v>
      </c>
      <c r="W146" s="1164">
        <f t="shared" si="133"/>
        <v>0.63194444444444442</v>
      </c>
      <c r="X146" s="1167">
        <f t="shared" si="115"/>
        <v>42714</v>
      </c>
      <c r="Y146" s="1166">
        <v>27.05</v>
      </c>
      <c r="Z146" s="1164">
        <f t="shared" si="134"/>
        <v>0.67361111111111105</v>
      </c>
      <c r="AA146" s="1164">
        <f t="shared" si="135"/>
        <v>0.69444444444444431</v>
      </c>
      <c r="AB146" s="1167">
        <f t="shared" si="116"/>
        <v>42714</v>
      </c>
      <c r="AC146" s="1166">
        <v>27.05</v>
      </c>
      <c r="AD146" s="1164">
        <f t="shared" si="136"/>
        <v>0.70138888888888873</v>
      </c>
      <c r="AE146" s="1164">
        <f t="shared" si="137"/>
        <v>0.71180555555555536</v>
      </c>
      <c r="AF146" s="1167">
        <f t="shared" si="117"/>
        <v>42714</v>
      </c>
      <c r="AG146" s="1164">
        <f t="shared" si="138"/>
        <v>0.71874999999999978</v>
      </c>
      <c r="AH146" s="1164">
        <f t="shared" si="139"/>
        <v>0.74999999999999978</v>
      </c>
      <c r="AI146" s="1167">
        <f t="shared" si="118"/>
        <v>42714</v>
      </c>
      <c r="AJ146" s="1164">
        <f t="shared" si="140"/>
        <v>0.77083333333333304</v>
      </c>
      <c r="AK146" s="1164">
        <f t="shared" si="141"/>
        <v>0.77777777777777746</v>
      </c>
      <c r="AL146" s="1167">
        <f t="shared" si="119"/>
        <v>42714</v>
      </c>
      <c r="AM146" s="1166">
        <v>1.06</v>
      </c>
      <c r="AN146" s="1166">
        <v>9</v>
      </c>
      <c r="AO146" s="1166">
        <v>23</v>
      </c>
      <c r="AP146" s="1166">
        <v>0</v>
      </c>
      <c r="AQ146" s="1164">
        <f t="shared" si="120"/>
        <v>0.77777777777777746</v>
      </c>
      <c r="AR146" s="1164">
        <f t="shared" si="142"/>
        <v>0.78472222222222188</v>
      </c>
      <c r="AS146" s="1167">
        <f t="shared" si="121"/>
        <v>42714</v>
      </c>
      <c r="AT146" s="1166">
        <v>27.05</v>
      </c>
      <c r="AU146" s="1164">
        <f t="shared" si="122"/>
        <v>0.78472222222222188</v>
      </c>
      <c r="AV146" s="1167">
        <f t="shared" si="123"/>
        <v>42714</v>
      </c>
      <c r="AW146" s="1164">
        <f t="shared" si="124"/>
        <v>0.82638888888888851</v>
      </c>
      <c r="AX146" s="1167">
        <f t="shared" si="125"/>
        <v>42714</v>
      </c>
      <c r="AY146" s="1166">
        <v>8.5</v>
      </c>
      <c r="AZ146" s="1166">
        <v>24</v>
      </c>
      <c r="BA146" s="1168">
        <f>VLOOKUP(B146,ĐTBT!$V:$W,2,0)</f>
        <v>3</v>
      </c>
      <c r="BB146" s="1168"/>
      <c r="BC146" s="1168"/>
      <c r="BD146" s="1168"/>
      <c r="BE146" s="1168"/>
      <c r="BF146" s="1168"/>
      <c r="BG146" s="1168"/>
      <c r="BH146" s="1168"/>
      <c r="BI146" s="1168">
        <f t="shared" si="126"/>
        <v>0</v>
      </c>
      <c r="BJ146" s="1168">
        <f>VLOOKUP(B146,'Thong tin'!A:R,11,0)</f>
        <v>0</v>
      </c>
      <c r="BO146" s="1220">
        <v>42644</v>
      </c>
      <c r="BU146" s="1220">
        <v>42665</v>
      </c>
      <c r="BX146" s="1220">
        <v>42709</v>
      </c>
    </row>
    <row r="147" spans="1:76" s="1219" customFormat="1" ht="15">
      <c r="A147" s="1217">
        <f>IF(C147="","",COUNTA($C$13:C147))</f>
        <v>135</v>
      </c>
      <c r="B147" s="1239" t="s">
        <v>464</v>
      </c>
      <c r="C147" s="1164">
        <v>0.38194444444444442</v>
      </c>
      <c r="D147" s="1164">
        <f t="shared" si="127"/>
        <v>0.40277777777777773</v>
      </c>
      <c r="E147" s="1165">
        <f t="shared" si="111"/>
        <v>42714</v>
      </c>
      <c r="F147" s="1164">
        <f t="shared" si="128"/>
        <v>0.40972222222222215</v>
      </c>
      <c r="G147" s="1164">
        <f t="shared" si="129"/>
        <v>0.41319444444444436</v>
      </c>
      <c r="H147" s="1165">
        <f t="shared" si="112"/>
        <v>42714</v>
      </c>
      <c r="I147" s="1166">
        <v>-1.2E-2</v>
      </c>
      <c r="J147" s="1166">
        <v>2.3E-2</v>
      </c>
      <c r="K147" s="1166">
        <v>0.26500000000000001</v>
      </c>
      <c r="L147" s="1166">
        <v>-0.73199999999999998</v>
      </c>
      <c r="M147" s="1164">
        <f t="shared" si="130"/>
        <v>0.41666666666666657</v>
      </c>
      <c r="N147" s="1164">
        <f t="shared" si="131"/>
        <v>0.42708333333333326</v>
      </c>
      <c r="O147" s="1165">
        <f t="shared" si="113"/>
        <v>42714</v>
      </c>
      <c r="P147" s="1166">
        <v>1.06</v>
      </c>
      <c r="Q147" s="1166">
        <v>9</v>
      </c>
      <c r="R147" s="1166">
        <v>26</v>
      </c>
      <c r="S147" s="1166">
        <v>0</v>
      </c>
      <c r="T147" s="1164">
        <f t="shared" si="132"/>
        <v>0.55208333333333326</v>
      </c>
      <c r="U147" s="1167">
        <f t="shared" si="114"/>
        <v>42714</v>
      </c>
      <c r="V147" s="1166">
        <v>20.2</v>
      </c>
      <c r="W147" s="1164">
        <f t="shared" si="133"/>
        <v>0.67708333333333326</v>
      </c>
      <c r="X147" s="1167">
        <f t="shared" si="115"/>
        <v>42714</v>
      </c>
      <c r="Y147" s="1166">
        <v>30.8</v>
      </c>
      <c r="Z147" s="1164">
        <f t="shared" si="134"/>
        <v>0.71874999999999989</v>
      </c>
      <c r="AA147" s="1164">
        <f t="shared" si="135"/>
        <v>0.73958333333333315</v>
      </c>
      <c r="AB147" s="1167">
        <f t="shared" si="116"/>
        <v>42714</v>
      </c>
      <c r="AC147" s="1166">
        <v>30.81</v>
      </c>
      <c r="AD147" s="1164">
        <f t="shared" si="136"/>
        <v>0.74652777777777757</v>
      </c>
      <c r="AE147" s="1164">
        <f t="shared" si="137"/>
        <v>0.7569444444444442</v>
      </c>
      <c r="AF147" s="1167">
        <f t="shared" si="117"/>
        <v>42714</v>
      </c>
      <c r="AG147" s="1164">
        <f t="shared" si="138"/>
        <v>0.76388888888888862</v>
      </c>
      <c r="AH147" s="1164">
        <f t="shared" si="139"/>
        <v>0.79513888888888862</v>
      </c>
      <c r="AI147" s="1167">
        <f t="shared" si="118"/>
        <v>42714</v>
      </c>
      <c r="AJ147" s="1164">
        <f t="shared" si="140"/>
        <v>0.81597222222222188</v>
      </c>
      <c r="AK147" s="1164">
        <f t="shared" si="141"/>
        <v>0.8229166666666663</v>
      </c>
      <c r="AL147" s="1167">
        <f t="shared" si="119"/>
        <v>42714</v>
      </c>
      <c r="AM147" s="1166">
        <v>1.06</v>
      </c>
      <c r="AN147" s="1166">
        <v>9</v>
      </c>
      <c r="AO147" s="1166">
        <v>25</v>
      </c>
      <c r="AP147" s="1166">
        <v>0</v>
      </c>
      <c r="AQ147" s="1164">
        <f t="shared" si="120"/>
        <v>0.8229166666666663</v>
      </c>
      <c r="AR147" s="1164">
        <f t="shared" si="142"/>
        <v>0.82986111111111072</v>
      </c>
      <c r="AS147" s="1167">
        <f t="shared" si="121"/>
        <v>42714</v>
      </c>
      <c r="AT147" s="1166">
        <v>30.81</v>
      </c>
      <c r="AU147" s="1164">
        <f t="shared" si="122"/>
        <v>0.82986111111111072</v>
      </c>
      <c r="AV147" s="1167">
        <f t="shared" si="123"/>
        <v>42714</v>
      </c>
      <c r="AW147" s="1164">
        <f t="shared" si="124"/>
        <v>0.85763888888888851</v>
      </c>
      <c r="AX147" s="1167">
        <f t="shared" si="125"/>
        <v>42714</v>
      </c>
      <c r="AY147" s="1166">
        <v>6.1</v>
      </c>
      <c r="AZ147" s="1166">
        <v>15</v>
      </c>
      <c r="BA147" s="1168">
        <f>VLOOKUP(B147,ĐTBT!$V:$W,2,0)</f>
        <v>2</v>
      </c>
      <c r="BB147" s="1168"/>
      <c r="BC147" s="1168"/>
      <c r="BD147" s="1168"/>
      <c r="BE147" s="1168"/>
      <c r="BF147" s="1168"/>
      <c r="BG147" s="1168"/>
      <c r="BH147" s="1168"/>
      <c r="BI147" s="1168">
        <f t="shared" si="126"/>
        <v>0</v>
      </c>
      <c r="BJ147" s="1168">
        <f>VLOOKUP(B147,'Thong tin'!A:R,11,0)</f>
        <v>0</v>
      </c>
      <c r="BU147" s="1220">
        <v>42666</v>
      </c>
      <c r="BX147" s="1220">
        <v>42710</v>
      </c>
    </row>
    <row r="148" spans="1:76" s="1219" customFormat="1" ht="15">
      <c r="A148" s="1217">
        <f>IF(C148="","",COUNTA($C$13:C148))</f>
        <v>136</v>
      </c>
      <c r="B148" s="1239" t="s">
        <v>548</v>
      </c>
      <c r="C148" s="1164">
        <v>0.38541666666666669</v>
      </c>
      <c r="D148" s="1164">
        <f t="shared" si="127"/>
        <v>0.40625</v>
      </c>
      <c r="E148" s="1165">
        <f t="shared" si="111"/>
        <v>42715</v>
      </c>
      <c r="F148" s="1164">
        <f t="shared" si="128"/>
        <v>0.41319444444444442</v>
      </c>
      <c r="G148" s="1164">
        <f t="shared" si="129"/>
        <v>0.41666666666666663</v>
      </c>
      <c r="H148" s="1165">
        <f t="shared" si="112"/>
        <v>42715</v>
      </c>
      <c r="I148" s="1166">
        <v>1E-3</v>
      </c>
      <c r="J148" s="1166">
        <v>1.4999999999999999E-2</v>
      </c>
      <c r="K148" s="1166">
        <v>9.2999999999999999E-2</v>
      </c>
      <c r="L148" s="1166">
        <v>-0.438</v>
      </c>
      <c r="M148" s="1164">
        <f t="shared" si="130"/>
        <v>0.42013888888888884</v>
      </c>
      <c r="N148" s="1164">
        <f t="shared" si="131"/>
        <v>0.43055555555555552</v>
      </c>
      <c r="O148" s="1165">
        <f t="shared" si="113"/>
        <v>42715</v>
      </c>
      <c r="P148" s="1166">
        <v>1.06</v>
      </c>
      <c r="Q148" s="1166">
        <v>9</v>
      </c>
      <c r="R148" s="1166">
        <v>25</v>
      </c>
      <c r="S148" s="1166">
        <v>0</v>
      </c>
      <c r="T148" s="1164">
        <f t="shared" si="132"/>
        <v>0.55555555555555558</v>
      </c>
      <c r="U148" s="1167">
        <f t="shared" si="114"/>
        <v>42715</v>
      </c>
      <c r="V148" s="1166">
        <v>18.399999999999999</v>
      </c>
      <c r="W148" s="1164">
        <f t="shared" si="133"/>
        <v>0.68055555555555558</v>
      </c>
      <c r="X148" s="1167">
        <f t="shared" si="115"/>
        <v>42715</v>
      </c>
      <c r="Y148" s="1166">
        <v>24.8</v>
      </c>
      <c r="Z148" s="1164">
        <f t="shared" si="134"/>
        <v>0.72222222222222221</v>
      </c>
      <c r="AA148" s="1164">
        <f t="shared" si="135"/>
        <v>0.74305555555555547</v>
      </c>
      <c r="AB148" s="1167">
        <f t="shared" si="116"/>
        <v>42715</v>
      </c>
      <c r="AC148" s="1166">
        <v>24.85</v>
      </c>
      <c r="AD148" s="1164">
        <f t="shared" si="136"/>
        <v>0.74999999999999989</v>
      </c>
      <c r="AE148" s="1164">
        <f t="shared" si="137"/>
        <v>0.76041666666666652</v>
      </c>
      <c r="AF148" s="1167">
        <f t="shared" si="117"/>
        <v>42715</v>
      </c>
      <c r="AG148" s="1164">
        <f t="shared" si="138"/>
        <v>0.76736111111111094</v>
      </c>
      <c r="AH148" s="1164">
        <f t="shared" si="139"/>
        <v>0.79861111111111094</v>
      </c>
      <c r="AI148" s="1167">
        <f t="shared" si="118"/>
        <v>42715</v>
      </c>
      <c r="AJ148" s="1164">
        <f t="shared" si="140"/>
        <v>0.8194444444444442</v>
      </c>
      <c r="AK148" s="1164">
        <f t="shared" si="141"/>
        <v>0.82638888888888862</v>
      </c>
      <c r="AL148" s="1167">
        <f t="shared" si="119"/>
        <v>42715</v>
      </c>
      <c r="AM148" s="1166">
        <v>1.06</v>
      </c>
      <c r="AN148" s="1166">
        <v>9</v>
      </c>
      <c r="AO148" s="1166">
        <v>25</v>
      </c>
      <c r="AP148" s="1166">
        <v>0</v>
      </c>
      <c r="AQ148" s="1164">
        <f t="shared" si="120"/>
        <v>0.82638888888888862</v>
      </c>
      <c r="AR148" s="1164">
        <f t="shared" si="142"/>
        <v>0.83333333333333304</v>
      </c>
      <c r="AS148" s="1167">
        <f t="shared" si="121"/>
        <v>42715</v>
      </c>
      <c r="AT148" s="1166">
        <v>24.85</v>
      </c>
      <c r="AU148" s="1164">
        <f t="shared" si="122"/>
        <v>0.83333333333333304</v>
      </c>
      <c r="AV148" s="1167">
        <f t="shared" si="123"/>
        <v>42715</v>
      </c>
      <c r="AW148" s="1164">
        <f t="shared" si="124"/>
        <v>0.87499999999999967</v>
      </c>
      <c r="AX148" s="1167">
        <f t="shared" si="125"/>
        <v>42715</v>
      </c>
      <c r="AY148" s="1166">
        <v>7.7</v>
      </c>
      <c r="AZ148" s="1166">
        <v>24</v>
      </c>
      <c r="BA148" s="1168">
        <f>VLOOKUP(B148,ĐTBT!$V:$W,2,0)</f>
        <v>3</v>
      </c>
      <c r="BB148" s="1168"/>
      <c r="BC148" s="1168"/>
      <c r="BD148" s="1168"/>
      <c r="BE148" s="1168"/>
      <c r="BF148" s="1168"/>
      <c r="BG148" s="1168"/>
      <c r="BH148" s="1168"/>
      <c r="BI148" s="1168">
        <f t="shared" si="126"/>
        <v>0</v>
      </c>
      <c r="BJ148" s="1168">
        <f>VLOOKUP(B148,'Thong tin'!A:R,11,0)</f>
        <v>0</v>
      </c>
      <c r="BO148" s="1220">
        <v>42724</v>
      </c>
      <c r="BU148" s="1220">
        <v>42666</v>
      </c>
      <c r="BX148" s="1220">
        <v>42711</v>
      </c>
    </row>
    <row r="149" spans="1:76" s="1219" customFormat="1" ht="15">
      <c r="A149" s="1217">
        <f>IF(C149="","",COUNTA($C$13:C149))</f>
        <v>137</v>
      </c>
      <c r="B149" s="1239" t="s">
        <v>586</v>
      </c>
      <c r="C149" s="1164">
        <v>0.3888888888888889</v>
      </c>
      <c r="D149" s="1164">
        <f t="shared" si="127"/>
        <v>0.40972222222222221</v>
      </c>
      <c r="E149" s="1165">
        <f t="shared" si="111"/>
        <v>42715</v>
      </c>
      <c r="F149" s="1164">
        <f t="shared" si="128"/>
        <v>0.41666666666666663</v>
      </c>
      <c r="G149" s="1164">
        <f t="shared" si="129"/>
        <v>0.42013888888888884</v>
      </c>
      <c r="H149" s="1165">
        <f t="shared" si="112"/>
        <v>42715</v>
      </c>
      <c r="I149" s="1166">
        <v>3.0000000000000001E-3</v>
      </c>
      <c r="J149" s="1166">
        <v>2.3E-2</v>
      </c>
      <c r="K149" s="1166">
        <v>-0.38500000000000001</v>
      </c>
      <c r="L149" s="1166">
        <v>-0.78900000000000003</v>
      </c>
      <c r="M149" s="1164">
        <f t="shared" si="130"/>
        <v>0.42361111111111105</v>
      </c>
      <c r="N149" s="1164">
        <f t="shared" si="131"/>
        <v>0.43402777777777773</v>
      </c>
      <c r="O149" s="1165">
        <f t="shared" si="113"/>
        <v>42715</v>
      </c>
      <c r="P149" s="1166">
        <v>1.06</v>
      </c>
      <c r="Q149" s="1166">
        <v>9</v>
      </c>
      <c r="R149" s="1166">
        <v>23</v>
      </c>
      <c r="S149" s="1166">
        <v>0</v>
      </c>
      <c r="T149" s="1164">
        <f t="shared" si="132"/>
        <v>0.55902777777777768</v>
      </c>
      <c r="U149" s="1167">
        <f t="shared" si="114"/>
        <v>42715</v>
      </c>
      <c r="V149" s="1166">
        <v>23.2</v>
      </c>
      <c r="W149" s="1164">
        <f t="shared" si="133"/>
        <v>0.68402777777777768</v>
      </c>
      <c r="X149" s="1167">
        <f t="shared" si="115"/>
        <v>42715</v>
      </c>
      <c r="Y149" s="1166">
        <v>26.95</v>
      </c>
      <c r="Z149" s="1164">
        <f t="shared" si="134"/>
        <v>0.72569444444444431</v>
      </c>
      <c r="AA149" s="1164">
        <f t="shared" si="135"/>
        <v>0.74652777777777757</v>
      </c>
      <c r="AB149" s="1167">
        <f t="shared" si="116"/>
        <v>42715</v>
      </c>
      <c r="AC149" s="1166">
        <v>26.97</v>
      </c>
      <c r="AD149" s="1164">
        <f t="shared" si="136"/>
        <v>0.75347222222222199</v>
      </c>
      <c r="AE149" s="1164">
        <f t="shared" si="137"/>
        <v>0.76388888888888862</v>
      </c>
      <c r="AF149" s="1167">
        <f t="shared" si="117"/>
        <v>42715</v>
      </c>
      <c r="AG149" s="1164">
        <f t="shared" si="138"/>
        <v>0.77083333333333304</v>
      </c>
      <c r="AH149" s="1164">
        <f t="shared" si="139"/>
        <v>0.80208333333333304</v>
      </c>
      <c r="AI149" s="1167">
        <f t="shared" si="118"/>
        <v>42715</v>
      </c>
      <c r="AJ149" s="1164">
        <f t="shared" si="140"/>
        <v>0.8229166666666663</v>
      </c>
      <c r="AK149" s="1164">
        <f t="shared" si="141"/>
        <v>0.82986111111111072</v>
      </c>
      <c r="AL149" s="1167">
        <f t="shared" si="119"/>
        <v>42715</v>
      </c>
      <c r="AM149" s="1166">
        <v>1.05</v>
      </c>
      <c r="AN149" s="1166">
        <v>9</v>
      </c>
      <c r="AO149" s="1166">
        <v>25</v>
      </c>
      <c r="AP149" s="1166">
        <v>0</v>
      </c>
      <c r="AQ149" s="1164">
        <f t="shared" si="120"/>
        <v>0.82986111111111072</v>
      </c>
      <c r="AR149" s="1164">
        <f t="shared" si="142"/>
        <v>0.83680555555555514</v>
      </c>
      <c r="AS149" s="1167">
        <f t="shared" si="121"/>
        <v>42715</v>
      </c>
      <c r="AT149" s="1166">
        <v>26.97</v>
      </c>
      <c r="AU149" s="1164">
        <f t="shared" si="122"/>
        <v>0.83680555555555514</v>
      </c>
      <c r="AV149" s="1167">
        <f t="shared" si="123"/>
        <v>42715</v>
      </c>
      <c r="AW149" s="1164">
        <f t="shared" si="124"/>
        <v>0.90624999999999956</v>
      </c>
      <c r="AX149" s="1167">
        <f t="shared" si="125"/>
        <v>42715</v>
      </c>
      <c r="AY149" s="1166">
        <v>7.1</v>
      </c>
      <c r="AZ149" s="1166">
        <v>31.5</v>
      </c>
      <c r="BA149" s="1168">
        <f>VLOOKUP(B149,ĐTBT!$V:$W,2,0)</f>
        <v>5</v>
      </c>
      <c r="BB149" s="1168"/>
      <c r="BC149" s="1168"/>
      <c r="BD149" s="1168"/>
      <c r="BE149" s="1168"/>
      <c r="BF149" s="1168"/>
      <c r="BG149" s="1168"/>
      <c r="BH149" s="1168"/>
      <c r="BI149" s="1168">
        <f t="shared" si="126"/>
        <v>0</v>
      </c>
      <c r="BJ149" s="1168">
        <f>VLOOKUP(B149,'Thong tin'!A:R,11,0)</f>
        <v>0</v>
      </c>
      <c r="BU149" s="1220">
        <v>42667</v>
      </c>
      <c r="BX149" s="1220">
        <v>42712</v>
      </c>
    </row>
    <row r="150" spans="1:76" s="1219" customFormat="1" ht="15">
      <c r="A150" s="1217">
        <f>IF(C150="","",COUNTA($C$13:C150))</f>
        <v>138</v>
      </c>
      <c r="B150" s="1239" t="s">
        <v>704</v>
      </c>
      <c r="C150" s="1164">
        <v>0.34027777777777773</v>
      </c>
      <c r="D150" s="1164">
        <f t="shared" si="127"/>
        <v>0.36111111111111105</v>
      </c>
      <c r="E150" s="1165">
        <f t="shared" si="111"/>
        <v>42716</v>
      </c>
      <c r="F150" s="1164">
        <f t="shared" si="128"/>
        <v>0.36805555555555547</v>
      </c>
      <c r="G150" s="1164">
        <f t="shared" si="129"/>
        <v>0.37152777777777768</v>
      </c>
      <c r="H150" s="1165">
        <f t="shared" si="112"/>
        <v>42716</v>
      </c>
      <c r="I150" s="1166">
        <v>-4.0000000000000001E-3</v>
      </c>
      <c r="J150" s="1166">
        <v>1.7000000000000001E-2</v>
      </c>
      <c r="K150" s="1166">
        <v>-7.0000000000000001E-3</v>
      </c>
      <c r="L150" s="1166">
        <v>-0.46899999999999997</v>
      </c>
      <c r="M150" s="1164">
        <f t="shared" si="130"/>
        <v>0.37499999999999989</v>
      </c>
      <c r="N150" s="1164">
        <f t="shared" si="131"/>
        <v>0.38541666666666657</v>
      </c>
      <c r="O150" s="1165">
        <f t="shared" si="113"/>
        <v>42716</v>
      </c>
      <c r="P150" s="1166">
        <v>1.05</v>
      </c>
      <c r="Q150" s="1166">
        <v>9</v>
      </c>
      <c r="R150" s="1166">
        <v>25</v>
      </c>
      <c r="S150" s="1166">
        <v>0</v>
      </c>
      <c r="T150" s="1164">
        <f t="shared" si="132"/>
        <v>0.51041666666666652</v>
      </c>
      <c r="U150" s="1167">
        <f t="shared" si="114"/>
        <v>42716</v>
      </c>
      <c r="V150" s="1166">
        <v>21.5</v>
      </c>
      <c r="W150" s="1164">
        <f t="shared" si="133"/>
        <v>0.63541666666666652</v>
      </c>
      <c r="X150" s="1167">
        <f t="shared" si="115"/>
        <v>42716</v>
      </c>
      <c r="Y150" s="1166">
        <v>28.7</v>
      </c>
      <c r="Z150" s="1164">
        <f t="shared" si="134"/>
        <v>0.67708333333333315</v>
      </c>
      <c r="AA150" s="1164">
        <f t="shared" si="135"/>
        <v>0.69791666666666641</v>
      </c>
      <c r="AB150" s="1167">
        <f t="shared" si="116"/>
        <v>42716</v>
      </c>
      <c r="AC150" s="1166">
        <v>28.75</v>
      </c>
      <c r="AD150" s="1164">
        <f t="shared" si="136"/>
        <v>0.70486111111111083</v>
      </c>
      <c r="AE150" s="1164">
        <f t="shared" si="137"/>
        <v>0.71527777777777746</v>
      </c>
      <c r="AF150" s="1167">
        <f t="shared" si="117"/>
        <v>42716</v>
      </c>
      <c r="AG150" s="1164">
        <f t="shared" si="138"/>
        <v>0.72222222222222188</v>
      </c>
      <c r="AH150" s="1164">
        <f t="shared" si="139"/>
        <v>0.75347222222222188</v>
      </c>
      <c r="AI150" s="1167">
        <f t="shared" si="118"/>
        <v>42716</v>
      </c>
      <c r="AJ150" s="1164">
        <f t="shared" si="140"/>
        <v>0.77430555555555514</v>
      </c>
      <c r="AK150" s="1164">
        <f t="shared" si="141"/>
        <v>0.78124999999999956</v>
      </c>
      <c r="AL150" s="1167">
        <f t="shared" si="119"/>
        <v>42716</v>
      </c>
      <c r="AM150" s="1166">
        <v>1.05</v>
      </c>
      <c r="AN150" s="1166">
        <v>9</v>
      </c>
      <c r="AO150" s="1166">
        <v>22</v>
      </c>
      <c r="AP150" s="1166">
        <v>0</v>
      </c>
      <c r="AQ150" s="1164">
        <f t="shared" si="120"/>
        <v>0.78124999999999956</v>
      </c>
      <c r="AR150" s="1164">
        <f t="shared" si="142"/>
        <v>0.78819444444444398</v>
      </c>
      <c r="AS150" s="1167">
        <f t="shared" si="121"/>
        <v>42716</v>
      </c>
      <c r="AT150" s="1166">
        <v>28.75</v>
      </c>
      <c r="AU150" s="1164">
        <f t="shared" si="122"/>
        <v>0.78819444444444398</v>
      </c>
      <c r="AV150" s="1167">
        <f t="shared" si="123"/>
        <v>42716</v>
      </c>
      <c r="AW150" s="1164">
        <f t="shared" si="124"/>
        <v>0.84374999999999956</v>
      </c>
      <c r="AX150" s="1167">
        <f t="shared" si="125"/>
        <v>42716</v>
      </c>
      <c r="AY150" s="1166">
        <v>7.1</v>
      </c>
      <c r="AZ150" s="1166">
        <v>28.5</v>
      </c>
      <c r="BA150" s="1168">
        <f>VLOOKUP(B150,ĐTBT!$V:$W,2,0)</f>
        <v>4</v>
      </c>
      <c r="BB150" s="1168"/>
      <c r="BC150" s="1168"/>
      <c r="BD150" s="1168"/>
      <c r="BE150" s="1168"/>
      <c r="BF150" s="1168"/>
      <c r="BG150" s="1168"/>
      <c r="BH150" s="1168"/>
      <c r="BI150" s="1168">
        <f t="shared" si="126"/>
        <v>0</v>
      </c>
      <c r="BJ150" s="1168">
        <f>VLOOKUP(B150,'Thong tin'!A:R,11,0)</f>
        <v>0</v>
      </c>
      <c r="BU150" s="1220">
        <v>42668</v>
      </c>
      <c r="BX150" s="1220">
        <v>42714</v>
      </c>
    </row>
    <row r="151" spans="1:76" s="1219" customFormat="1" ht="15">
      <c r="A151" s="1217">
        <f>IF(C151="","",COUNTA($C$13:C151))</f>
        <v>139</v>
      </c>
      <c r="B151" s="1239" t="s">
        <v>581</v>
      </c>
      <c r="C151" s="1164">
        <v>0.41666666666666669</v>
      </c>
      <c r="D151" s="1164">
        <f t="shared" si="127"/>
        <v>0.4375</v>
      </c>
      <c r="E151" s="1165">
        <f t="shared" si="111"/>
        <v>42716</v>
      </c>
      <c r="F151" s="1164">
        <f t="shared" si="128"/>
        <v>0.44444444444444442</v>
      </c>
      <c r="G151" s="1164">
        <f t="shared" si="129"/>
        <v>0.44791666666666663</v>
      </c>
      <c r="H151" s="1165">
        <f t="shared" si="112"/>
        <v>42716</v>
      </c>
      <c r="I151" s="1166">
        <v>-7.0000000000000001E-3</v>
      </c>
      <c r="J151" s="1166">
        <v>-1.7000000000000001E-2</v>
      </c>
      <c r="K151" s="1166">
        <v>-0.17499999999999999</v>
      </c>
      <c r="L151" s="1166">
        <v>-0.67300000000000004</v>
      </c>
      <c r="M151" s="1164">
        <f t="shared" si="130"/>
        <v>0.45138888888888884</v>
      </c>
      <c r="N151" s="1164">
        <f t="shared" si="131"/>
        <v>0.46180555555555552</v>
      </c>
      <c r="O151" s="1165">
        <f t="shared" si="113"/>
        <v>42716</v>
      </c>
      <c r="P151" s="1166">
        <v>1.06</v>
      </c>
      <c r="Q151" s="1166">
        <v>9</v>
      </c>
      <c r="R151" s="1166">
        <v>26</v>
      </c>
      <c r="S151" s="1166">
        <v>0</v>
      </c>
      <c r="T151" s="1164">
        <f t="shared" si="132"/>
        <v>0.58680555555555558</v>
      </c>
      <c r="U151" s="1167">
        <f t="shared" si="114"/>
        <v>42716</v>
      </c>
      <c r="V151" s="1166">
        <v>20.3</v>
      </c>
      <c r="W151" s="1164">
        <f t="shared" si="133"/>
        <v>0.71180555555555558</v>
      </c>
      <c r="X151" s="1167">
        <f t="shared" si="115"/>
        <v>42716</v>
      </c>
      <c r="Y151" s="1166">
        <v>27.15</v>
      </c>
      <c r="Z151" s="1164">
        <f t="shared" si="134"/>
        <v>0.75347222222222221</v>
      </c>
      <c r="AA151" s="1164">
        <f t="shared" si="135"/>
        <v>0.77430555555555547</v>
      </c>
      <c r="AB151" s="1167">
        <f t="shared" si="116"/>
        <v>42716</v>
      </c>
      <c r="AC151" s="1166">
        <v>27.2</v>
      </c>
      <c r="AD151" s="1164">
        <f t="shared" si="136"/>
        <v>0.78124999999999989</v>
      </c>
      <c r="AE151" s="1164">
        <f t="shared" si="137"/>
        <v>0.79166666666666652</v>
      </c>
      <c r="AF151" s="1167">
        <f t="shared" si="117"/>
        <v>42716</v>
      </c>
      <c r="AG151" s="1164">
        <f t="shared" si="138"/>
        <v>0.79861111111111094</v>
      </c>
      <c r="AH151" s="1164">
        <f t="shared" si="139"/>
        <v>0.82986111111111094</v>
      </c>
      <c r="AI151" s="1167">
        <f t="shared" si="118"/>
        <v>42716</v>
      </c>
      <c r="AJ151" s="1164">
        <f t="shared" si="140"/>
        <v>0.8506944444444442</v>
      </c>
      <c r="AK151" s="1164">
        <f t="shared" si="141"/>
        <v>0.85763888888888862</v>
      </c>
      <c r="AL151" s="1167">
        <f t="shared" si="119"/>
        <v>42716</v>
      </c>
      <c r="AM151" s="1166">
        <v>1.05</v>
      </c>
      <c r="AN151" s="1166">
        <v>9</v>
      </c>
      <c r="AO151" s="1166">
        <v>24</v>
      </c>
      <c r="AP151" s="1166">
        <v>0</v>
      </c>
      <c r="AQ151" s="1164">
        <f t="shared" si="120"/>
        <v>0.85763888888888862</v>
      </c>
      <c r="AR151" s="1164">
        <f t="shared" si="142"/>
        <v>0.86458333333333304</v>
      </c>
      <c r="AS151" s="1167">
        <f t="shared" si="121"/>
        <v>42716</v>
      </c>
      <c r="AT151" s="1166">
        <v>27.2</v>
      </c>
      <c r="AU151" s="1164">
        <f t="shared" si="122"/>
        <v>0.86458333333333304</v>
      </c>
      <c r="AV151" s="1167">
        <f t="shared" si="123"/>
        <v>42716</v>
      </c>
      <c r="AW151" s="1164">
        <f t="shared" si="124"/>
        <v>0.96180555555555525</v>
      </c>
      <c r="AX151" s="1167">
        <f t="shared" si="125"/>
        <v>42716</v>
      </c>
      <c r="AY151" s="1166">
        <v>7.2</v>
      </c>
      <c r="AZ151" s="1166">
        <v>72</v>
      </c>
      <c r="BA151" s="1168">
        <f>VLOOKUP(B151,ĐTBT!$V:$W,2,0)</f>
        <v>7</v>
      </c>
      <c r="BB151" s="1168"/>
      <c r="BC151" s="1168"/>
      <c r="BD151" s="1168"/>
      <c r="BE151" s="1168"/>
      <c r="BF151" s="1168"/>
      <c r="BG151" s="1168"/>
      <c r="BH151" s="1168"/>
      <c r="BI151" s="1168">
        <f t="shared" si="126"/>
        <v>0</v>
      </c>
      <c r="BJ151" s="1168">
        <f>VLOOKUP(B151,'Thong tin'!A:R,11,0)</f>
        <v>0</v>
      </c>
      <c r="BU151" s="1220">
        <v>42669</v>
      </c>
      <c r="BX151" s="1220">
        <v>42716</v>
      </c>
    </row>
    <row r="152" spans="1:76" s="1219" customFormat="1" ht="15">
      <c r="A152" s="1217">
        <f>IF(C152="","",COUNTA($C$13:C152))</f>
        <v>140</v>
      </c>
      <c r="B152" s="1239" t="s">
        <v>1129</v>
      </c>
      <c r="C152" s="1164">
        <v>0.29166666666666669</v>
      </c>
      <c r="D152" s="1164">
        <f t="shared" si="127"/>
        <v>0.3125</v>
      </c>
      <c r="E152" s="1165">
        <f t="shared" si="111"/>
        <v>42716</v>
      </c>
      <c r="F152" s="1164">
        <f t="shared" si="128"/>
        <v>0.31944444444444442</v>
      </c>
      <c r="G152" s="1164">
        <f t="shared" si="129"/>
        <v>0.32291666666666663</v>
      </c>
      <c r="H152" s="1165">
        <f t="shared" si="112"/>
        <v>42716</v>
      </c>
      <c r="I152" s="1166">
        <v>2.4E-2</v>
      </c>
      <c r="J152" s="1166">
        <v>-2.1999999999999999E-2</v>
      </c>
      <c r="K152" s="1166">
        <v>0.222</v>
      </c>
      <c r="L152" s="1166">
        <v>-0.46700000000000003</v>
      </c>
      <c r="M152" s="1164">
        <f t="shared" si="130"/>
        <v>0.32638888888888884</v>
      </c>
      <c r="N152" s="1164">
        <f t="shared" si="131"/>
        <v>0.33680555555555552</v>
      </c>
      <c r="O152" s="1165">
        <f t="shared" si="113"/>
        <v>42716</v>
      </c>
      <c r="P152" s="1166">
        <v>1.06</v>
      </c>
      <c r="Q152" s="1166">
        <v>9</v>
      </c>
      <c r="R152" s="1166">
        <v>26</v>
      </c>
      <c r="S152" s="1166">
        <v>0</v>
      </c>
      <c r="T152" s="1164">
        <f t="shared" si="132"/>
        <v>0.46180555555555552</v>
      </c>
      <c r="U152" s="1167">
        <f t="shared" si="114"/>
        <v>42716</v>
      </c>
      <c r="V152" s="1166">
        <v>23.9</v>
      </c>
      <c r="W152" s="1164">
        <f t="shared" si="133"/>
        <v>0.58680555555555558</v>
      </c>
      <c r="X152" s="1167">
        <f t="shared" si="115"/>
        <v>42716</v>
      </c>
      <c r="Y152" s="1166">
        <v>27.45</v>
      </c>
      <c r="Z152" s="1164">
        <f t="shared" si="134"/>
        <v>0.62847222222222221</v>
      </c>
      <c r="AA152" s="1164">
        <f t="shared" si="135"/>
        <v>0.64930555555555547</v>
      </c>
      <c r="AB152" s="1167">
        <f t="shared" si="116"/>
        <v>42716</v>
      </c>
      <c r="AC152" s="1166">
        <v>27.45</v>
      </c>
      <c r="AD152" s="1164">
        <f t="shared" si="136"/>
        <v>0.65624999999999989</v>
      </c>
      <c r="AE152" s="1164">
        <f t="shared" si="137"/>
        <v>0.66666666666666652</v>
      </c>
      <c r="AF152" s="1167">
        <f t="shared" si="117"/>
        <v>42716</v>
      </c>
      <c r="AG152" s="1164">
        <f t="shared" si="138"/>
        <v>0.67361111111111094</v>
      </c>
      <c r="AH152" s="1164">
        <f t="shared" si="139"/>
        <v>0.70486111111111094</v>
      </c>
      <c r="AI152" s="1167">
        <f t="shared" si="118"/>
        <v>42716</v>
      </c>
      <c r="AJ152" s="1164">
        <f t="shared" si="140"/>
        <v>0.7256944444444442</v>
      </c>
      <c r="AK152" s="1164">
        <f t="shared" si="141"/>
        <v>0.73263888888888862</v>
      </c>
      <c r="AL152" s="1167">
        <f t="shared" si="119"/>
        <v>42716</v>
      </c>
      <c r="AM152" s="1166">
        <v>1.06</v>
      </c>
      <c r="AN152" s="1166">
        <v>9</v>
      </c>
      <c r="AO152" s="1166">
        <v>23</v>
      </c>
      <c r="AP152" s="1166">
        <v>0</v>
      </c>
      <c r="AQ152" s="1164">
        <f t="shared" si="120"/>
        <v>0.73263888888888862</v>
      </c>
      <c r="AR152" s="1164">
        <f t="shared" si="142"/>
        <v>0.73958333333333304</v>
      </c>
      <c r="AS152" s="1167">
        <f t="shared" si="121"/>
        <v>42716</v>
      </c>
      <c r="AT152" s="1166">
        <v>27.45</v>
      </c>
      <c r="AU152" s="1164">
        <f t="shared" si="122"/>
        <v>0.73958333333333304</v>
      </c>
      <c r="AV152" s="1167">
        <f t="shared" si="123"/>
        <v>42716</v>
      </c>
      <c r="AW152" s="1164">
        <f t="shared" si="124"/>
        <v>0.76736111111111083</v>
      </c>
      <c r="AX152" s="1167">
        <f t="shared" si="125"/>
        <v>42716</v>
      </c>
      <c r="AY152" s="1166">
        <v>6.1</v>
      </c>
      <c r="AZ152" s="1166">
        <v>13</v>
      </c>
      <c r="BA152" s="1168">
        <f>VLOOKUP(B152,ĐTBT!$V:$W,2,0)</f>
        <v>2</v>
      </c>
      <c r="BB152" s="1168"/>
      <c r="BC152" s="1168"/>
      <c r="BD152" s="1168"/>
      <c r="BE152" s="1168"/>
      <c r="BF152" s="1168"/>
      <c r="BG152" s="1168"/>
      <c r="BH152" s="1168"/>
      <c r="BI152" s="1168">
        <f t="shared" si="126"/>
        <v>0</v>
      </c>
      <c r="BJ152" s="1168">
        <f>VLOOKUP(B152,'Thong tin'!A:R,11,0)</f>
        <v>0</v>
      </c>
      <c r="BU152" s="1220">
        <v>42669</v>
      </c>
      <c r="BX152" s="1220">
        <v>42717</v>
      </c>
    </row>
    <row r="153" spans="1:76" s="1219" customFormat="1" ht="15">
      <c r="A153" s="1217">
        <f>IF(C153="","",COUNTA($C$13:C153))</f>
        <v>141</v>
      </c>
      <c r="B153" s="1239" t="s">
        <v>584</v>
      </c>
      <c r="C153" s="1164">
        <v>0.375</v>
      </c>
      <c r="D153" s="1164">
        <f t="shared" si="127"/>
        <v>0.39583333333333331</v>
      </c>
      <c r="E153" s="1165">
        <f t="shared" si="111"/>
        <v>42717</v>
      </c>
      <c r="F153" s="1164">
        <f t="shared" si="128"/>
        <v>0.40277777777777773</v>
      </c>
      <c r="G153" s="1164">
        <f t="shared" si="129"/>
        <v>0.40624999999999994</v>
      </c>
      <c r="H153" s="1165">
        <f t="shared" si="112"/>
        <v>42717</v>
      </c>
      <c r="I153" s="1166">
        <v>0.02</v>
      </c>
      <c r="J153" s="1166">
        <v>-0.02</v>
      </c>
      <c r="K153" s="1166">
        <v>-0.35799999999999998</v>
      </c>
      <c r="L153" s="1166">
        <v>-0.78900000000000003</v>
      </c>
      <c r="M153" s="1164">
        <f t="shared" si="130"/>
        <v>0.40972222222222215</v>
      </c>
      <c r="N153" s="1164">
        <f t="shared" si="131"/>
        <v>0.42013888888888884</v>
      </c>
      <c r="O153" s="1165">
        <f t="shared" si="113"/>
        <v>42717</v>
      </c>
      <c r="P153" s="1166">
        <v>1.05</v>
      </c>
      <c r="Q153" s="1166">
        <v>9</v>
      </c>
      <c r="R153" s="1166">
        <v>26</v>
      </c>
      <c r="S153" s="1166">
        <v>0</v>
      </c>
      <c r="T153" s="1164">
        <f t="shared" si="132"/>
        <v>0.54513888888888884</v>
      </c>
      <c r="U153" s="1167">
        <f t="shared" si="114"/>
        <v>42717</v>
      </c>
      <c r="V153" s="1166">
        <v>20.6</v>
      </c>
      <c r="W153" s="1164">
        <f t="shared" si="133"/>
        <v>0.67013888888888884</v>
      </c>
      <c r="X153" s="1167">
        <f t="shared" si="115"/>
        <v>42717</v>
      </c>
      <c r="Y153" s="1166">
        <v>37.4</v>
      </c>
      <c r="Z153" s="1164">
        <f t="shared" si="134"/>
        <v>0.71180555555555547</v>
      </c>
      <c r="AA153" s="1164">
        <f t="shared" si="135"/>
        <v>0.73263888888888873</v>
      </c>
      <c r="AB153" s="1167">
        <f t="shared" si="116"/>
        <v>42717</v>
      </c>
      <c r="AC153" s="1166">
        <v>37.549999999999997</v>
      </c>
      <c r="AD153" s="1164">
        <f t="shared" si="136"/>
        <v>0.73958333333333315</v>
      </c>
      <c r="AE153" s="1164">
        <f t="shared" si="137"/>
        <v>0.74999999999999978</v>
      </c>
      <c r="AF153" s="1167">
        <f t="shared" si="117"/>
        <v>42717</v>
      </c>
      <c r="AG153" s="1164">
        <f t="shared" si="138"/>
        <v>0.7569444444444442</v>
      </c>
      <c r="AH153" s="1164">
        <f t="shared" si="139"/>
        <v>0.79861111111111083</v>
      </c>
      <c r="AI153" s="1167">
        <f t="shared" si="118"/>
        <v>42717</v>
      </c>
      <c r="AJ153" s="1164">
        <f t="shared" si="140"/>
        <v>0.81944444444444409</v>
      </c>
      <c r="AK153" s="1164">
        <f t="shared" si="141"/>
        <v>0.82638888888888851</v>
      </c>
      <c r="AL153" s="1167">
        <f t="shared" si="119"/>
        <v>42717</v>
      </c>
      <c r="AM153" s="1166">
        <v>1.06</v>
      </c>
      <c r="AN153" s="1166">
        <v>9</v>
      </c>
      <c r="AO153" s="1166">
        <v>22</v>
      </c>
      <c r="AP153" s="1166">
        <v>0</v>
      </c>
      <c r="AQ153" s="1164">
        <f t="shared" si="120"/>
        <v>0.82638888888888851</v>
      </c>
      <c r="AR153" s="1164">
        <f t="shared" si="142"/>
        <v>0.83333333333333293</v>
      </c>
      <c r="AS153" s="1167">
        <f t="shared" si="121"/>
        <v>42717</v>
      </c>
      <c r="AT153" s="1166">
        <v>37.549999999999997</v>
      </c>
      <c r="AU153" s="1164">
        <f t="shared" si="122"/>
        <v>0.83333333333333293</v>
      </c>
      <c r="AV153" s="1167">
        <f t="shared" si="123"/>
        <v>42717</v>
      </c>
      <c r="AW153" s="1164">
        <f t="shared" si="124"/>
        <v>0.9166666666666663</v>
      </c>
      <c r="AX153" s="1167">
        <f t="shared" si="125"/>
        <v>42717</v>
      </c>
      <c r="AY153" s="1166">
        <v>8</v>
      </c>
      <c r="AZ153" s="1166">
        <v>61</v>
      </c>
      <c r="BA153" s="1168">
        <f>VLOOKUP(B153,ĐTBT!$V:$W,2,0)</f>
        <v>6</v>
      </c>
      <c r="BB153" s="1168"/>
      <c r="BC153" s="1168"/>
      <c r="BD153" s="1168"/>
      <c r="BE153" s="1168"/>
      <c r="BF153" s="1168"/>
      <c r="BG153" s="1168"/>
      <c r="BH153" s="1168"/>
      <c r="BI153" s="1168">
        <f t="shared" si="126"/>
        <v>0</v>
      </c>
      <c r="BJ153" s="1168">
        <f>VLOOKUP(B153,'Thong tin'!A:R,11,0)</f>
        <v>4</v>
      </c>
      <c r="BU153" s="1220">
        <v>42670</v>
      </c>
      <c r="BX153" s="1220">
        <v>42718</v>
      </c>
    </row>
    <row r="154" spans="1:76" s="1219" customFormat="1" ht="15">
      <c r="A154" s="1217">
        <f>IF(C154="","",COUNTA($C$13:C154))</f>
        <v>142</v>
      </c>
      <c r="B154" s="1239" t="s">
        <v>604</v>
      </c>
      <c r="C154" s="1164">
        <v>0.3125</v>
      </c>
      <c r="D154" s="1164">
        <f t="shared" si="127"/>
        <v>0.33333333333333331</v>
      </c>
      <c r="E154" s="1165">
        <f t="shared" ref="E154:E166" si="143">E149+2</f>
        <v>42717</v>
      </c>
      <c r="F154" s="1164">
        <f t="shared" si="128"/>
        <v>0.34027777777777773</v>
      </c>
      <c r="G154" s="1164">
        <f t="shared" si="129"/>
        <v>0.34374999999999994</v>
      </c>
      <c r="H154" s="1165">
        <f t="shared" si="112"/>
        <v>42717</v>
      </c>
      <c r="I154" s="1166">
        <v>5.0000000000000001E-3</v>
      </c>
      <c r="J154" s="1166">
        <v>6.0000000000000001E-3</v>
      </c>
      <c r="K154" s="1166">
        <v>6.0999999999999999E-2</v>
      </c>
      <c r="L154" s="1166">
        <v>-0.51100000000000001</v>
      </c>
      <c r="M154" s="1164">
        <f t="shared" si="130"/>
        <v>0.34722222222222215</v>
      </c>
      <c r="N154" s="1164">
        <f t="shared" si="131"/>
        <v>0.35763888888888884</v>
      </c>
      <c r="O154" s="1165">
        <f t="shared" si="113"/>
        <v>42717</v>
      </c>
      <c r="P154" s="1166">
        <v>1.06</v>
      </c>
      <c r="Q154" s="1166">
        <v>9</v>
      </c>
      <c r="R154" s="1166">
        <v>26</v>
      </c>
      <c r="S154" s="1166">
        <v>0</v>
      </c>
      <c r="T154" s="1164">
        <f t="shared" si="132"/>
        <v>0.48263888888888884</v>
      </c>
      <c r="U154" s="1167">
        <f t="shared" si="114"/>
        <v>42717</v>
      </c>
      <c r="V154" s="1166">
        <v>19.100000000000001</v>
      </c>
      <c r="W154" s="1164">
        <f t="shared" si="133"/>
        <v>0.60763888888888884</v>
      </c>
      <c r="X154" s="1167">
        <f t="shared" si="115"/>
        <v>42717</v>
      </c>
      <c r="Y154" s="1166">
        <v>26.96</v>
      </c>
      <c r="Z154" s="1164">
        <f t="shared" si="134"/>
        <v>0.64930555555555547</v>
      </c>
      <c r="AA154" s="1164">
        <f t="shared" si="135"/>
        <v>0.67013888888888873</v>
      </c>
      <c r="AB154" s="1167">
        <f t="shared" si="116"/>
        <v>42717</v>
      </c>
      <c r="AC154" s="1166">
        <v>26.96</v>
      </c>
      <c r="AD154" s="1164">
        <f t="shared" si="136"/>
        <v>0.67708333333333315</v>
      </c>
      <c r="AE154" s="1164">
        <f t="shared" si="137"/>
        <v>0.68749999999999978</v>
      </c>
      <c r="AF154" s="1167">
        <f t="shared" si="117"/>
        <v>42717</v>
      </c>
      <c r="AG154" s="1164">
        <f t="shared" si="138"/>
        <v>0.6944444444444442</v>
      </c>
      <c r="AH154" s="1164">
        <f t="shared" si="139"/>
        <v>0.7256944444444442</v>
      </c>
      <c r="AI154" s="1167">
        <f t="shared" si="118"/>
        <v>42717</v>
      </c>
      <c r="AJ154" s="1164">
        <f t="shared" si="140"/>
        <v>0.74652777777777746</v>
      </c>
      <c r="AK154" s="1164">
        <f t="shared" si="141"/>
        <v>0.75347222222222188</v>
      </c>
      <c r="AL154" s="1167">
        <f t="shared" si="119"/>
        <v>42717</v>
      </c>
      <c r="AM154" s="1166">
        <v>1.06</v>
      </c>
      <c r="AN154" s="1166">
        <v>9</v>
      </c>
      <c r="AO154" s="1166">
        <v>26</v>
      </c>
      <c r="AP154" s="1166">
        <v>0</v>
      </c>
      <c r="AQ154" s="1164">
        <f t="shared" si="120"/>
        <v>0.75347222222222188</v>
      </c>
      <c r="AR154" s="1164">
        <f t="shared" si="142"/>
        <v>0.7604166666666663</v>
      </c>
      <c r="AS154" s="1167">
        <f t="shared" si="121"/>
        <v>42717</v>
      </c>
      <c r="AT154" s="1166">
        <v>26.96</v>
      </c>
      <c r="AU154" s="1164">
        <f t="shared" si="122"/>
        <v>0.7604166666666663</v>
      </c>
      <c r="AV154" s="1167">
        <f t="shared" si="123"/>
        <v>42717</v>
      </c>
      <c r="AW154" s="1164">
        <f t="shared" si="124"/>
        <v>0.80208333333333293</v>
      </c>
      <c r="AX154" s="1167">
        <f t="shared" si="125"/>
        <v>42717</v>
      </c>
      <c r="AY154" s="1166">
        <v>8.6</v>
      </c>
      <c r="AZ154" s="1166">
        <v>25.5</v>
      </c>
      <c r="BA154" s="1168">
        <f>VLOOKUP(B154,ĐTBT!$V:$W,2,0)</f>
        <v>3</v>
      </c>
      <c r="BB154" s="1168"/>
      <c r="BC154" s="1168"/>
      <c r="BD154" s="1168"/>
      <c r="BE154" s="1168"/>
      <c r="BF154" s="1168"/>
      <c r="BG154" s="1168"/>
      <c r="BH154" s="1168"/>
      <c r="BI154" s="1168">
        <f t="shared" si="126"/>
        <v>0</v>
      </c>
      <c r="BJ154" s="1168">
        <f>VLOOKUP(B154,'Thong tin'!A:R,11,0)</f>
        <v>0</v>
      </c>
      <c r="BU154" s="1220">
        <v>42670</v>
      </c>
      <c r="BX154" s="1220">
        <v>42719</v>
      </c>
    </row>
    <row r="155" spans="1:76" s="1219" customFormat="1" ht="15">
      <c r="A155" s="1217">
        <f>IF(C155="","",COUNTA($C$13:C155))</f>
        <v>143</v>
      </c>
      <c r="B155" s="1239" t="s">
        <v>624</v>
      </c>
      <c r="C155" s="1164">
        <v>0.38194444444444442</v>
      </c>
      <c r="D155" s="1164">
        <f t="shared" si="127"/>
        <v>0.40277777777777773</v>
      </c>
      <c r="E155" s="1165">
        <f t="shared" si="143"/>
        <v>42718</v>
      </c>
      <c r="F155" s="1164">
        <f t="shared" si="128"/>
        <v>0.40972222222222215</v>
      </c>
      <c r="G155" s="1164">
        <f t="shared" si="129"/>
        <v>0.41319444444444436</v>
      </c>
      <c r="H155" s="1165">
        <f t="shared" si="112"/>
        <v>42718</v>
      </c>
      <c r="I155" s="1166">
        <v>-2.1999999999999999E-2</v>
      </c>
      <c r="J155" s="1166">
        <v>1.7999999999999999E-2</v>
      </c>
      <c r="K155" s="1166">
        <v>0.18</v>
      </c>
      <c r="L155" s="1166">
        <v>-0.69899999999999995</v>
      </c>
      <c r="M155" s="1164">
        <f t="shared" si="130"/>
        <v>0.41666666666666657</v>
      </c>
      <c r="N155" s="1164">
        <f t="shared" si="131"/>
        <v>0.42708333333333326</v>
      </c>
      <c r="O155" s="1165">
        <f t="shared" si="113"/>
        <v>42718</v>
      </c>
      <c r="P155" s="1166">
        <v>1.06</v>
      </c>
      <c r="Q155" s="1166">
        <v>9</v>
      </c>
      <c r="R155" s="1166">
        <v>25</v>
      </c>
      <c r="S155" s="1166">
        <v>0</v>
      </c>
      <c r="T155" s="1164">
        <f t="shared" si="132"/>
        <v>0.55208333333333326</v>
      </c>
      <c r="U155" s="1167">
        <f t="shared" si="114"/>
        <v>42718</v>
      </c>
      <c r="V155" s="1166">
        <v>20.8</v>
      </c>
      <c r="W155" s="1164">
        <f t="shared" si="133"/>
        <v>0.67708333333333326</v>
      </c>
      <c r="X155" s="1167">
        <f t="shared" si="115"/>
        <v>42718</v>
      </c>
      <c r="Y155" s="1166">
        <v>28.5</v>
      </c>
      <c r="Z155" s="1164">
        <f t="shared" si="134"/>
        <v>0.71874999999999989</v>
      </c>
      <c r="AA155" s="1164">
        <f t="shared" si="135"/>
        <v>0.73958333333333315</v>
      </c>
      <c r="AB155" s="1167">
        <f t="shared" si="116"/>
        <v>42718</v>
      </c>
      <c r="AC155" s="1166">
        <v>28.6</v>
      </c>
      <c r="AD155" s="1164">
        <f t="shared" si="136"/>
        <v>0.74652777777777757</v>
      </c>
      <c r="AE155" s="1164">
        <f t="shared" si="137"/>
        <v>0.7569444444444442</v>
      </c>
      <c r="AF155" s="1167">
        <f t="shared" si="117"/>
        <v>42718</v>
      </c>
      <c r="AG155" s="1164">
        <f t="shared" si="138"/>
        <v>0.76388888888888862</v>
      </c>
      <c r="AH155" s="1164">
        <f t="shared" si="139"/>
        <v>0.79513888888888862</v>
      </c>
      <c r="AI155" s="1167">
        <f t="shared" si="118"/>
        <v>42718</v>
      </c>
      <c r="AJ155" s="1164">
        <f t="shared" si="140"/>
        <v>0.81597222222222188</v>
      </c>
      <c r="AK155" s="1164">
        <f t="shared" si="141"/>
        <v>0.8229166666666663</v>
      </c>
      <c r="AL155" s="1167">
        <f t="shared" si="119"/>
        <v>42718</v>
      </c>
      <c r="AM155" s="1166">
        <v>1.06</v>
      </c>
      <c r="AN155" s="1166">
        <v>9</v>
      </c>
      <c r="AO155" s="1166">
        <v>25</v>
      </c>
      <c r="AP155" s="1166">
        <v>0</v>
      </c>
      <c r="AQ155" s="1164">
        <f t="shared" si="120"/>
        <v>0.8229166666666663</v>
      </c>
      <c r="AR155" s="1164">
        <f t="shared" si="142"/>
        <v>0.82986111111111072</v>
      </c>
      <c r="AS155" s="1167">
        <f t="shared" si="121"/>
        <v>42718</v>
      </c>
      <c r="AT155" s="1166">
        <v>28.6</v>
      </c>
      <c r="AU155" s="1164">
        <f t="shared" si="122"/>
        <v>0.82986111111111072</v>
      </c>
      <c r="AV155" s="1167">
        <f t="shared" si="123"/>
        <v>42718</v>
      </c>
      <c r="AW155" s="1164">
        <f t="shared" si="124"/>
        <v>0.8854166666666663</v>
      </c>
      <c r="AX155" s="1167">
        <f t="shared" si="125"/>
        <v>42718</v>
      </c>
      <c r="AY155" s="1166">
        <v>7.6</v>
      </c>
      <c r="AZ155" s="1166">
        <v>33</v>
      </c>
      <c r="BA155" s="1168">
        <f>VLOOKUP(B155,ĐTBT!$V:$W,2,0)</f>
        <v>4</v>
      </c>
      <c r="BB155" s="1168"/>
      <c r="BC155" s="1168"/>
      <c r="BD155" s="1168"/>
      <c r="BE155" s="1168"/>
      <c r="BF155" s="1168"/>
      <c r="BG155" s="1168"/>
      <c r="BH155" s="1168"/>
      <c r="BI155" s="1168">
        <f t="shared" si="126"/>
        <v>0</v>
      </c>
      <c r="BJ155" s="1168">
        <f>VLOOKUP(B155,'Thong tin'!A:R,11,0)</f>
        <v>0</v>
      </c>
      <c r="BU155" s="1220">
        <v>42672</v>
      </c>
      <c r="BX155" s="1220">
        <v>42722</v>
      </c>
    </row>
    <row r="156" spans="1:76" s="1219" customFormat="1" ht="15">
      <c r="A156" s="1217">
        <f>IF(C156="","",COUNTA($C$13:C156))</f>
        <v>144</v>
      </c>
      <c r="B156" s="1239" t="s">
        <v>1131</v>
      </c>
      <c r="C156" s="1164">
        <v>0.375</v>
      </c>
      <c r="D156" s="1164">
        <f t="shared" si="127"/>
        <v>0.39583333333333331</v>
      </c>
      <c r="E156" s="1165">
        <f t="shared" si="143"/>
        <v>42718</v>
      </c>
      <c r="F156" s="1164">
        <f t="shared" si="128"/>
        <v>0.40277777777777773</v>
      </c>
      <c r="G156" s="1164">
        <f t="shared" si="129"/>
        <v>0.40624999999999994</v>
      </c>
      <c r="H156" s="1165">
        <f t="shared" si="112"/>
        <v>42718</v>
      </c>
      <c r="I156" s="1166">
        <v>8.9999999999999993E-3</v>
      </c>
      <c r="J156" s="1166">
        <v>-1.4E-2</v>
      </c>
      <c r="K156" s="1166">
        <v>0.27500000000000002</v>
      </c>
      <c r="L156" s="1166">
        <v>-0.68400000000000005</v>
      </c>
      <c r="M156" s="1164">
        <f t="shared" si="130"/>
        <v>0.40972222222222215</v>
      </c>
      <c r="N156" s="1164">
        <f t="shared" si="131"/>
        <v>0.42013888888888884</v>
      </c>
      <c r="O156" s="1165">
        <f t="shared" si="113"/>
        <v>42718</v>
      </c>
      <c r="P156" s="1166">
        <v>1.06</v>
      </c>
      <c r="Q156" s="1166">
        <v>9</v>
      </c>
      <c r="R156" s="1166">
        <v>26</v>
      </c>
      <c r="S156" s="1166">
        <v>0</v>
      </c>
      <c r="T156" s="1164">
        <f t="shared" si="132"/>
        <v>0.54513888888888884</v>
      </c>
      <c r="U156" s="1167">
        <f t="shared" si="114"/>
        <v>42718</v>
      </c>
      <c r="V156" s="1166">
        <v>22.2</v>
      </c>
      <c r="W156" s="1164">
        <f t="shared" si="133"/>
        <v>0.67013888888888884</v>
      </c>
      <c r="X156" s="1167">
        <f t="shared" si="115"/>
        <v>42718</v>
      </c>
      <c r="Y156" s="1166">
        <v>30.8</v>
      </c>
      <c r="Z156" s="1164">
        <f t="shared" si="134"/>
        <v>0.71180555555555547</v>
      </c>
      <c r="AA156" s="1164">
        <f t="shared" si="135"/>
        <v>0.73263888888888873</v>
      </c>
      <c r="AB156" s="1167">
        <f t="shared" si="116"/>
        <v>42718</v>
      </c>
      <c r="AC156" s="1166">
        <v>30.8</v>
      </c>
      <c r="AD156" s="1164">
        <f t="shared" si="136"/>
        <v>0.73958333333333315</v>
      </c>
      <c r="AE156" s="1164">
        <f t="shared" si="137"/>
        <v>0.74999999999999978</v>
      </c>
      <c r="AF156" s="1167">
        <f t="shared" si="117"/>
        <v>42718</v>
      </c>
      <c r="AG156" s="1164">
        <f t="shared" si="138"/>
        <v>0.7569444444444442</v>
      </c>
      <c r="AH156" s="1164">
        <f t="shared" si="139"/>
        <v>0.7881944444444442</v>
      </c>
      <c r="AI156" s="1167">
        <f t="shared" si="118"/>
        <v>42718</v>
      </c>
      <c r="AJ156" s="1164">
        <f t="shared" si="140"/>
        <v>0.80902777777777746</v>
      </c>
      <c r="AK156" s="1164">
        <f t="shared" si="141"/>
        <v>0.81597222222222188</v>
      </c>
      <c r="AL156" s="1167">
        <f t="shared" si="119"/>
        <v>42718</v>
      </c>
      <c r="AM156" s="1166">
        <v>1.06</v>
      </c>
      <c r="AN156" s="1166">
        <v>9</v>
      </c>
      <c r="AO156" s="1166">
        <v>23</v>
      </c>
      <c r="AP156" s="1166">
        <v>0</v>
      </c>
      <c r="AQ156" s="1164">
        <f t="shared" si="120"/>
        <v>0.81597222222222188</v>
      </c>
      <c r="AR156" s="1164">
        <f t="shared" si="142"/>
        <v>0.8229166666666663</v>
      </c>
      <c r="AS156" s="1167">
        <f t="shared" si="121"/>
        <v>42718</v>
      </c>
      <c r="AT156" s="1166">
        <v>30.8</v>
      </c>
      <c r="AU156" s="1164">
        <f t="shared" si="122"/>
        <v>0.8229166666666663</v>
      </c>
      <c r="AV156" s="1167">
        <f t="shared" si="123"/>
        <v>42718</v>
      </c>
      <c r="AW156" s="1164">
        <f t="shared" si="124"/>
        <v>0.85069444444444409</v>
      </c>
      <c r="AX156" s="1167">
        <f t="shared" si="125"/>
        <v>42718</v>
      </c>
      <c r="AY156" s="1166">
        <v>6.1</v>
      </c>
      <c r="AZ156" s="1166">
        <v>16</v>
      </c>
      <c r="BA156" s="1168">
        <f>VLOOKUP(B156,ĐTBT!$V:$W,2,0)</f>
        <v>2</v>
      </c>
      <c r="BB156" s="1168"/>
      <c r="BC156" s="1168"/>
      <c r="BD156" s="1168"/>
      <c r="BE156" s="1168"/>
      <c r="BF156" s="1168"/>
      <c r="BG156" s="1168"/>
      <c r="BH156" s="1168"/>
      <c r="BI156" s="1168">
        <f t="shared" si="126"/>
        <v>0</v>
      </c>
      <c r="BJ156" s="1168">
        <f>VLOOKUP(B156,'Thong tin'!A:R,11,0)</f>
        <v>0</v>
      </c>
      <c r="BU156" s="1220">
        <v>42673</v>
      </c>
      <c r="BX156" s="1220">
        <v>42724</v>
      </c>
    </row>
    <row r="157" spans="1:76" s="1219" customFormat="1" ht="15">
      <c r="A157" s="1217">
        <f>IF(C157="","",COUNTA($C$13:C157))</f>
        <v>145</v>
      </c>
      <c r="B157" s="1239" t="s">
        <v>629</v>
      </c>
      <c r="C157" s="1164">
        <v>0.39583333333333331</v>
      </c>
      <c r="D157" s="1164">
        <f t="shared" si="127"/>
        <v>0.41666666666666663</v>
      </c>
      <c r="E157" s="1165">
        <f t="shared" si="143"/>
        <v>42718</v>
      </c>
      <c r="F157" s="1164">
        <f t="shared" si="128"/>
        <v>0.42361111111111105</v>
      </c>
      <c r="G157" s="1164">
        <f t="shared" si="129"/>
        <v>0.42708333333333326</v>
      </c>
      <c r="H157" s="1165">
        <f t="shared" si="112"/>
        <v>42718</v>
      </c>
      <c r="I157" s="1166">
        <v>1.4E-2</v>
      </c>
      <c r="J157" s="1166">
        <v>2.5999999999999999E-2</v>
      </c>
      <c r="K157" s="1166">
        <v>-0.01</v>
      </c>
      <c r="L157" s="1166">
        <v>-0.315</v>
      </c>
      <c r="M157" s="1164">
        <f t="shared" si="130"/>
        <v>0.43055555555555547</v>
      </c>
      <c r="N157" s="1164">
        <f t="shared" si="131"/>
        <v>0.44097222222222215</v>
      </c>
      <c r="O157" s="1165">
        <f t="shared" si="113"/>
        <v>42718</v>
      </c>
      <c r="P157" s="1166">
        <v>1.05</v>
      </c>
      <c r="Q157" s="1166">
        <v>9</v>
      </c>
      <c r="R157" s="1166">
        <v>28</v>
      </c>
      <c r="S157" s="1166">
        <v>0</v>
      </c>
      <c r="T157" s="1164">
        <f t="shared" si="132"/>
        <v>0.5659722222222221</v>
      </c>
      <c r="U157" s="1167">
        <f t="shared" si="114"/>
        <v>42718</v>
      </c>
      <c r="V157" s="1166">
        <v>22.2</v>
      </c>
      <c r="W157" s="1164">
        <f t="shared" si="133"/>
        <v>0.6909722222222221</v>
      </c>
      <c r="X157" s="1167">
        <f t="shared" si="115"/>
        <v>42718</v>
      </c>
      <c r="Y157" s="1166">
        <v>28.3</v>
      </c>
      <c r="Z157" s="1164">
        <f t="shared" si="134"/>
        <v>0.73263888888888873</v>
      </c>
      <c r="AA157" s="1164">
        <f t="shared" si="135"/>
        <v>0.75347222222222199</v>
      </c>
      <c r="AB157" s="1167">
        <f t="shared" si="116"/>
        <v>42718</v>
      </c>
      <c r="AC157" s="1166">
        <v>28.3</v>
      </c>
      <c r="AD157" s="1164">
        <f t="shared" si="136"/>
        <v>0.76041666666666641</v>
      </c>
      <c r="AE157" s="1164">
        <f t="shared" si="137"/>
        <v>0.77083333333333304</v>
      </c>
      <c r="AF157" s="1167">
        <f t="shared" si="117"/>
        <v>42718</v>
      </c>
      <c r="AG157" s="1164">
        <f t="shared" si="138"/>
        <v>0.77777777777777746</v>
      </c>
      <c r="AH157" s="1164">
        <f t="shared" si="139"/>
        <v>0.80902777777777746</v>
      </c>
      <c r="AI157" s="1167">
        <f t="shared" si="118"/>
        <v>42718</v>
      </c>
      <c r="AJ157" s="1164">
        <f t="shared" si="140"/>
        <v>0.82986111111111072</v>
      </c>
      <c r="AK157" s="1164">
        <f t="shared" si="141"/>
        <v>0.83680555555555514</v>
      </c>
      <c r="AL157" s="1167">
        <f t="shared" si="119"/>
        <v>42718</v>
      </c>
      <c r="AM157" s="1166">
        <v>1.06</v>
      </c>
      <c r="AN157" s="1166">
        <v>9</v>
      </c>
      <c r="AO157" s="1166">
        <v>20</v>
      </c>
      <c r="AP157" s="1166">
        <v>0</v>
      </c>
      <c r="AQ157" s="1164">
        <f t="shared" si="120"/>
        <v>0.83680555555555514</v>
      </c>
      <c r="AR157" s="1164">
        <f t="shared" si="142"/>
        <v>0.84374999999999956</v>
      </c>
      <c r="AS157" s="1167">
        <f t="shared" si="121"/>
        <v>42718</v>
      </c>
      <c r="AT157" s="1166">
        <v>28.3</v>
      </c>
      <c r="AU157" s="1164">
        <f t="shared" si="122"/>
        <v>0.84374999999999956</v>
      </c>
      <c r="AV157" s="1167">
        <f t="shared" si="123"/>
        <v>42718</v>
      </c>
      <c r="AW157" s="1164">
        <f t="shared" si="124"/>
        <v>0.88541666666666619</v>
      </c>
      <c r="AX157" s="1167">
        <f t="shared" si="125"/>
        <v>42718</v>
      </c>
      <c r="AY157" s="1166">
        <v>7.6</v>
      </c>
      <c r="AZ157" s="1166">
        <v>27</v>
      </c>
      <c r="BA157" s="1168">
        <f>VLOOKUP(B157,ĐTBT!$V:$W,2,0)</f>
        <v>3</v>
      </c>
      <c r="BB157" s="1168"/>
      <c r="BC157" s="1168"/>
      <c r="BD157" s="1168"/>
      <c r="BE157" s="1168"/>
      <c r="BF157" s="1168"/>
      <c r="BG157" s="1168"/>
      <c r="BH157" s="1168"/>
      <c r="BI157" s="1168">
        <f t="shared" si="126"/>
        <v>0</v>
      </c>
      <c r="BJ157" s="1168">
        <f>VLOOKUP(B157,'Thong tin'!A:R,11,0)</f>
        <v>0</v>
      </c>
      <c r="BU157" s="1220">
        <v>42673</v>
      </c>
      <c r="BX157" s="1220">
        <v>42725</v>
      </c>
    </row>
    <row r="158" spans="1:76" s="1219" customFormat="1" ht="15">
      <c r="A158" s="1217">
        <f>IF(C158="","",COUNTA($C$13:C158))</f>
        <v>146</v>
      </c>
      <c r="B158" s="1239" t="s">
        <v>638</v>
      </c>
      <c r="C158" s="1164">
        <v>0.375</v>
      </c>
      <c r="D158" s="1164">
        <f t="shared" si="127"/>
        <v>0.39583333333333331</v>
      </c>
      <c r="E158" s="1165">
        <f t="shared" si="143"/>
        <v>42719</v>
      </c>
      <c r="F158" s="1164">
        <f t="shared" si="128"/>
        <v>0.40277777777777773</v>
      </c>
      <c r="G158" s="1164">
        <f t="shared" si="129"/>
        <v>0.40624999999999994</v>
      </c>
      <c r="H158" s="1165">
        <f t="shared" si="112"/>
        <v>42719</v>
      </c>
      <c r="I158" s="1166">
        <v>-1.6E-2</v>
      </c>
      <c r="J158" s="1166">
        <v>2.1999999999999999E-2</v>
      </c>
      <c r="K158" s="1166">
        <v>-0.114</v>
      </c>
      <c r="L158" s="1166">
        <v>-0.38100000000000001</v>
      </c>
      <c r="M158" s="1164">
        <f t="shared" si="130"/>
        <v>0.40972222222222215</v>
      </c>
      <c r="N158" s="1164">
        <f t="shared" si="131"/>
        <v>0.42013888888888884</v>
      </c>
      <c r="O158" s="1165">
        <f t="shared" si="113"/>
        <v>42719</v>
      </c>
      <c r="P158" s="1166">
        <v>1.05</v>
      </c>
      <c r="Q158" s="1166">
        <v>9</v>
      </c>
      <c r="R158" s="1166">
        <v>27</v>
      </c>
      <c r="S158" s="1166">
        <v>0</v>
      </c>
      <c r="T158" s="1164">
        <f t="shared" si="132"/>
        <v>0.54513888888888884</v>
      </c>
      <c r="U158" s="1167">
        <f t="shared" si="114"/>
        <v>42719</v>
      </c>
      <c r="V158" s="1166">
        <v>20.399999999999999</v>
      </c>
      <c r="W158" s="1164">
        <f t="shared" si="133"/>
        <v>0.67013888888888884</v>
      </c>
      <c r="X158" s="1167">
        <f t="shared" si="115"/>
        <v>42719</v>
      </c>
      <c r="Y158" s="1166">
        <v>26.8</v>
      </c>
      <c r="Z158" s="1164">
        <f t="shared" si="134"/>
        <v>0.71180555555555547</v>
      </c>
      <c r="AA158" s="1164">
        <f t="shared" si="135"/>
        <v>0.73263888888888873</v>
      </c>
      <c r="AB158" s="1167">
        <f t="shared" si="116"/>
        <v>42719</v>
      </c>
      <c r="AC158" s="1166">
        <v>26.8</v>
      </c>
      <c r="AD158" s="1164">
        <f t="shared" si="136"/>
        <v>0.73958333333333315</v>
      </c>
      <c r="AE158" s="1164">
        <f t="shared" si="137"/>
        <v>0.74999999999999978</v>
      </c>
      <c r="AF158" s="1167">
        <f t="shared" si="117"/>
        <v>42719</v>
      </c>
      <c r="AG158" s="1164">
        <f t="shared" si="138"/>
        <v>0.7569444444444442</v>
      </c>
      <c r="AH158" s="1164">
        <f t="shared" si="139"/>
        <v>0.7881944444444442</v>
      </c>
      <c r="AI158" s="1167">
        <f t="shared" si="118"/>
        <v>42719</v>
      </c>
      <c r="AJ158" s="1164">
        <f t="shared" si="140"/>
        <v>0.80902777777777746</v>
      </c>
      <c r="AK158" s="1164">
        <f t="shared" si="141"/>
        <v>0.81597222222222188</v>
      </c>
      <c r="AL158" s="1167">
        <f t="shared" si="119"/>
        <v>42719</v>
      </c>
      <c r="AM158" s="1166">
        <v>1.05</v>
      </c>
      <c r="AN158" s="1166">
        <v>9</v>
      </c>
      <c r="AO158" s="1166">
        <v>28</v>
      </c>
      <c r="AP158" s="1166">
        <v>0</v>
      </c>
      <c r="AQ158" s="1164">
        <f t="shared" si="120"/>
        <v>0.81597222222222188</v>
      </c>
      <c r="AR158" s="1164">
        <f t="shared" si="142"/>
        <v>0.8229166666666663</v>
      </c>
      <c r="AS158" s="1167">
        <f t="shared" si="121"/>
        <v>42719</v>
      </c>
      <c r="AT158" s="1166">
        <v>26.8</v>
      </c>
      <c r="AU158" s="1164">
        <f t="shared" si="122"/>
        <v>0.8229166666666663</v>
      </c>
      <c r="AV158" s="1167">
        <f t="shared" si="123"/>
        <v>42719</v>
      </c>
      <c r="AW158" s="1164">
        <f t="shared" si="124"/>
        <v>0.86458333333333293</v>
      </c>
      <c r="AX158" s="1167">
        <f t="shared" si="125"/>
        <v>42719</v>
      </c>
      <c r="AY158" s="1166">
        <v>8.5</v>
      </c>
      <c r="AZ158" s="1166">
        <v>27</v>
      </c>
      <c r="BA158" s="1168">
        <f>VLOOKUP(B158,ĐTBT!$V:$W,2,0)</f>
        <v>3</v>
      </c>
      <c r="BB158" s="1168"/>
      <c r="BC158" s="1168"/>
      <c r="BD158" s="1168"/>
      <c r="BE158" s="1168"/>
      <c r="BF158" s="1168"/>
      <c r="BG158" s="1168"/>
      <c r="BH158" s="1168"/>
      <c r="BI158" s="1168">
        <f t="shared" si="126"/>
        <v>0</v>
      </c>
      <c r="BJ158" s="1168">
        <f>VLOOKUP(B158,'Thong tin'!A:R,11,0)</f>
        <v>0</v>
      </c>
      <c r="BU158" s="1220">
        <v>42674</v>
      </c>
      <c r="BX158" s="1220">
        <v>42726</v>
      </c>
    </row>
    <row r="159" spans="1:76" s="1219" customFormat="1" ht="15">
      <c r="A159" s="1217">
        <f>IF(C159="","",COUNTA($C$13:C159))</f>
        <v>147</v>
      </c>
      <c r="B159" s="1239" t="s">
        <v>596</v>
      </c>
      <c r="C159" s="1164">
        <v>0.3125</v>
      </c>
      <c r="D159" s="1164">
        <f t="shared" si="127"/>
        <v>0.33333333333333331</v>
      </c>
      <c r="E159" s="1165">
        <f t="shared" si="143"/>
        <v>42719</v>
      </c>
      <c r="F159" s="1164">
        <f t="shared" si="128"/>
        <v>0.34027777777777773</v>
      </c>
      <c r="G159" s="1164">
        <f t="shared" si="129"/>
        <v>0.34374999999999994</v>
      </c>
      <c r="H159" s="1165">
        <f t="shared" si="112"/>
        <v>42719</v>
      </c>
      <c r="I159" s="1166">
        <v>1.2E-2</v>
      </c>
      <c r="J159" s="1166">
        <v>-1.2999999999999999E-2</v>
      </c>
      <c r="K159" s="1166">
        <v>-0.38200000000000001</v>
      </c>
      <c r="L159" s="1166">
        <v>-0.78200000000000003</v>
      </c>
      <c r="M159" s="1164">
        <f t="shared" si="130"/>
        <v>0.34722222222222215</v>
      </c>
      <c r="N159" s="1164">
        <f t="shared" si="131"/>
        <v>0.35763888888888884</v>
      </c>
      <c r="O159" s="1165">
        <f t="shared" si="113"/>
        <v>42719</v>
      </c>
      <c r="P159" s="1166">
        <v>1.05</v>
      </c>
      <c r="Q159" s="1166">
        <v>9</v>
      </c>
      <c r="R159" s="1166">
        <v>28</v>
      </c>
      <c r="S159" s="1166">
        <v>0</v>
      </c>
      <c r="T159" s="1164">
        <f t="shared" si="132"/>
        <v>0.48263888888888884</v>
      </c>
      <c r="U159" s="1167">
        <f t="shared" si="114"/>
        <v>42719</v>
      </c>
      <c r="V159" s="1166">
        <v>23.3</v>
      </c>
      <c r="W159" s="1164">
        <f t="shared" si="133"/>
        <v>0.60763888888888884</v>
      </c>
      <c r="X159" s="1167">
        <f t="shared" si="115"/>
        <v>42719</v>
      </c>
      <c r="Y159" s="1166">
        <v>30.15</v>
      </c>
      <c r="Z159" s="1164">
        <f t="shared" si="134"/>
        <v>0.64930555555555547</v>
      </c>
      <c r="AA159" s="1164">
        <f t="shared" si="135"/>
        <v>0.67013888888888873</v>
      </c>
      <c r="AB159" s="1167">
        <f t="shared" si="116"/>
        <v>42719</v>
      </c>
      <c r="AC159" s="1166">
        <v>30.17</v>
      </c>
      <c r="AD159" s="1164">
        <f t="shared" si="136"/>
        <v>0.67708333333333315</v>
      </c>
      <c r="AE159" s="1164">
        <f t="shared" si="137"/>
        <v>0.68749999999999978</v>
      </c>
      <c r="AF159" s="1167">
        <f t="shared" si="117"/>
        <v>42719</v>
      </c>
      <c r="AG159" s="1164">
        <f t="shared" si="138"/>
        <v>0.6944444444444442</v>
      </c>
      <c r="AH159" s="1164">
        <f t="shared" si="139"/>
        <v>0.7256944444444442</v>
      </c>
      <c r="AI159" s="1167">
        <f t="shared" si="118"/>
        <v>42719</v>
      </c>
      <c r="AJ159" s="1164">
        <f t="shared" si="140"/>
        <v>0.74652777777777746</v>
      </c>
      <c r="AK159" s="1164">
        <f t="shared" si="141"/>
        <v>0.75347222222222188</v>
      </c>
      <c r="AL159" s="1167">
        <f t="shared" si="119"/>
        <v>42719</v>
      </c>
      <c r="AM159" s="1166">
        <v>1.05</v>
      </c>
      <c r="AN159" s="1166">
        <v>9</v>
      </c>
      <c r="AO159" s="1166">
        <v>28</v>
      </c>
      <c r="AP159" s="1166">
        <v>0</v>
      </c>
      <c r="AQ159" s="1164">
        <f t="shared" si="120"/>
        <v>0.75347222222222188</v>
      </c>
      <c r="AR159" s="1164">
        <f t="shared" si="142"/>
        <v>0.7604166666666663</v>
      </c>
      <c r="AS159" s="1167">
        <f t="shared" si="121"/>
        <v>42719</v>
      </c>
      <c r="AT159" s="1166">
        <v>30.18</v>
      </c>
      <c r="AU159" s="1164">
        <f t="shared" si="122"/>
        <v>0.7604166666666663</v>
      </c>
      <c r="AV159" s="1167">
        <f t="shared" si="123"/>
        <v>42719</v>
      </c>
      <c r="AW159" s="1164">
        <f t="shared" si="124"/>
        <v>0.81597222222222188</v>
      </c>
      <c r="AX159" s="1167">
        <f t="shared" si="125"/>
        <v>42719</v>
      </c>
      <c r="AY159" s="1166">
        <v>7.3</v>
      </c>
      <c r="AZ159" s="1166">
        <v>35</v>
      </c>
      <c r="BA159" s="1168">
        <f>VLOOKUP(B159,ĐTBT!$V:$W,2,0)</f>
        <v>4</v>
      </c>
      <c r="BB159" s="1168"/>
      <c r="BC159" s="1168"/>
      <c r="BD159" s="1168"/>
      <c r="BE159" s="1168"/>
      <c r="BF159" s="1168"/>
      <c r="BG159" s="1168"/>
      <c r="BH159" s="1168"/>
      <c r="BI159" s="1168">
        <f t="shared" si="126"/>
        <v>0</v>
      </c>
      <c r="BJ159" s="1168">
        <f>VLOOKUP(B159,'Thong tin'!A:R,11,0)</f>
        <v>0</v>
      </c>
      <c r="BU159" s="1220">
        <v>42674</v>
      </c>
      <c r="BX159" s="1220">
        <v>42727</v>
      </c>
    </row>
    <row r="160" spans="1:76" s="1219" customFormat="1" ht="15">
      <c r="A160" s="1217">
        <f>IF(C160="","",COUNTA($C$13:C160))</f>
        <v>148</v>
      </c>
      <c r="B160" s="1239" t="s">
        <v>633</v>
      </c>
      <c r="C160" s="1164">
        <v>0.42708333333333331</v>
      </c>
      <c r="D160" s="1164">
        <f t="shared" si="127"/>
        <v>0.44791666666666663</v>
      </c>
      <c r="E160" s="1165">
        <f t="shared" si="143"/>
        <v>42720</v>
      </c>
      <c r="F160" s="1164">
        <f t="shared" si="128"/>
        <v>0.45486111111111105</v>
      </c>
      <c r="G160" s="1164">
        <f t="shared" si="129"/>
        <v>0.45833333333333326</v>
      </c>
      <c r="H160" s="1165">
        <f t="shared" si="112"/>
        <v>42720</v>
      </c>
      <c r="I160" s="1166">
        <v>-1.7000000000000001E-2</v>
      </c>
      <c r="J160" s="1166">
        <v>-1.9E-2</v>
      </c>
      <c r="K160" s="1166">
        <v>-2.5000000000000001E-2</v>
      </c>
      <c r="L160" s="1166">
        <v>-0.56499999999999995</v>
      </c>
      <c r="M160" s="1164">
        <f t="shared" si="130"/>
        <v>0.46180555555555547</v>
      </c>
      <c r="N160" s="1164">
        <f t="shared" si="131"/>
        <v>0.47222222222222215</v>
      </c>
      <c r="O160" s="1165">
        <f t="shared" si="113"/>
        <v>42720</v>
      </c>
      <c r="P160" s="1166">
        <v>1.06</v>
      </c>
      <c r="Q160" s="1166">
        <v>9</v>
      </c>
      <c r="R160" s="1166">
        <v>28</v>
      </c>
      <c r="S160" s="1166">
        <v>0</v>
      </c>
      <c r="T160" s="1164">
        <f t="shared" si="132"/>
        <v>0.5972222222222221</v>
      </c>
      <c r="U160" s="1167">
        <f t="shared" si="114"/>
        <v>42720</v>
      </c>
      <c r="V160" s="1166">
        <v>22.7</v>
      </c>
      <c r="W160" s="1164">
        <f t="shared" si="133"/>
        <v>0.7222222222222221</v>
      </c>
      <c r="X160" s="1167">
        <f t="shared" si="115"/>
        <v>42720</v>
      </c>
      <c r="Y160" s="1166">
        <v>28.3</v>
      </c>
      <c r="Z160" s="1164">
        <f t="shared" si="134"/>
        <v>0.76388888888888873</v>
      </c>
      <c r="AA160" s="1164">
        <f t="shared" si="135"/>
        <v>0.78472222222222199</v>
      </c>
      <c r="AB160" s="1167">
        <f t="shared" si="116"/>
        <v>42720</v>
      </c>
      <c r="AC160" s="1166">
        <v>28.3</v>
      </c>
      <c r="AD160" s="1164">
        <f t="shared" si="136"/>
        <v>0.79166666666666641</v>
      </c>
      <c r="AE160" s="1164">
        <f t="shared" si="137"/>
        <v>0.80208333333333304</v>
      </c>
      <c r="AF160" s="1167">
        <f t="shared" si="117"/>
        <v>42720</v>
      </c>
      <c r="AG160" s="1164">
        <f t="shared" si="138"/>
        <v>0.80902777777777746</v>
      </c>
      <c r="AH160" s="1164">
        <f t="shared" si="139"/>
        <v>0.85069444444444409</v>
      </c>
      <c r="AI160" s="1167">
        <f t="shared" si="118"/>
        <v>42720</v>
      </c>
      <c r="AJ160" s="1164">
        <f t="shared" si="140"/>
        <v>0.87152777777777735</v>
      </c>
      <c r="AK160" s="1164">
        <f t="shared" si="141"/>
        <v>0.87847222222222177</v>
      </c>
      <c r="AL160" s="1167">
        <f t="shared" si="119"/>
        <v>42720</v>
      </c>
      <c r="AM160" s="1166">
        <v>1.05</v>
      </c>
      <c r="AN160" s="1166">
        <v>9</v>
      </c>
      <c r="AO160" s="1166">
        <v>28</v>
      </c>
      <c r="AP160" s="1166">
        <v>0</v>
      </c>
      <c r="AQ160" s="1164">
        <f t="shared" si="120"/>
        <v>0.87847222222222177</v>
      </c>
      <c r="AR160" s="1164">
        <f t="shared" si="142"/>
        <v>0.88541666666666619</v>
      </c>
      <c r="AS160" s="1167">
        <f t="shared" si="121"/>
        <v>42720</v>
      </c>
      <c r="AT160" s="1166">
        <v>28.3</v>
      </c>
      <c r="AU160" s="1164">
        <f t="shared" si="122"/>
        <v>0.88541666666666619</v>
      </c>
      <c r="AV160" s="1167">
        <f t="shared" si="123"/>
        <v>42720</v>
      </c>
      <c r="AW160" s="1164">
        <f t="shared" si="124"/>
        <v>0.92708333333333282</v>
      </c>
      <c r="AX160" s="1167">
        <f t="shared" si="125"/>
        <v>42720</v>
      </c>
      <c r="AY160" s="1166">
        <v>8.6999999999999993</v>
      </c>
      <c r="AZ160" s="1166">
        <v>26</v>
      </c>
      <c r="BA160" s="1168">
        <f>VLOOKUP(B160,ĐTBT!$V:$W,2,0)</f>
        <v>3</v>
      </c>
      <c r="BB160" s="1168"/>
      <c r="BC160" s="1168"/>
      <c r="BD160" s="1168"/>
      <c r="BE160" s="1168"/>
      <c r="BF160" s="1168"/>
      <c r="BG160" s="1168"/>
      <c r="BH160" s="1168"/>
      <c r="BI160" s="1168">
        <f t="shared" si="126"/>
        <v>0</v>
      </c>
      <c r="BJ160" s="1168">
        <f>VLOOKUP(B160,'Thong tin'!A:R,11,0)</f>
        <v>4</v>
      </c>
      <c r="BU160" s="1220">
        <v>42675</v>
      </c>
      <c r="BX160" s="1220">
        <v>42728</v>
      </c>
    </row>
    <row r="161" spans="1:76" s="1226" customFormat="1" ht="15">
      <c r="A161" s="1217">
        <f>IF(C161="","",COUNTA($C$13:C161))</f>
        <v>149</v>
      </c>
      <c r="B161" s="1239" t="s">
        <v>614</v>
      </c>
      <c r="C161" s="1223">
        <v>0.39583333333333331</v>
      </c>
      <c r="D161" s="1164">
        <f t="shared" si="127"/>
        <v>0.41666666666666663</v>
      </c>
      <c r="E161" s="1165">
        <f t="shared" si="143"/>
        <v>42720</v>
      </c>
      <c r="F161" s="1164">
        <f t="shared" si="128"/>
        <v>0.42361111111111105</v>
      </c>
      <c r="G161" s="1164">
        <f t="shared" si="129"/>
        <v>0.42708333333333326</v>
      </c>
      <c r="H161" s="1165">
        <f t="shared" si="112"/>
        <v>42720</v>
      </c>
      <c r="I161" s="1224">
        <v>-1.7000000000000001E-2</v>
      </c>
      <c r="J161" s="1224">
        <v>1.2999999999999999E-2</v>
      </c>
      <c r="K161" s="1224">
        <v>-0.216</v>
      </c>
      <c r="L161" s="1224">
        <v>-0.63700000000000001</v>
      </c>
      <c r="M161" s="1164">
        <f t="shared" si="130"/>
        <v>0.43055555555555547</v>
      </c>
      <c r="N161" s="1164">
        <f t="shared" si="131"/>
        <v>0.44097222222222215</v>
      </c>
      <c r="O161" s="1165">
        <f t="shared" si="113"/>
        <v>42720</v>
      </c>
      <c r="P161" s="1224">
        <v>1.06</v>
      </c>
      <c r="Q161" s="1224">
        <v>9</v>
      </c>
      <c r="R161" s="1224">
        <v>26</v>
      </c>
      <c r="S161" s="1224">
        <v>0</v>
      </c>
      <c r="T161" s="1164">
        <f t="shared" si="132"/>
        <v>0.5659722222222221</v>
      </c>
      <c r="U161" s="1167">
        <f t="shared" si="114"/>
        <v>42720</v>
      </c>
      <c r="V161" s="1224">
        <v>21.41</v>
      </c>
      <c r="W161" s="1164">
        <f t="shared" si="133"/>
        <v>0.6909722222222221</v>
      </c>
      <c r="X161" s="1167">
        <f t="shared" si="115"/>
        <v>42720</v>
      </c>
      <c r="Y161" s="1224">
        <v>28.2</v>
      </c>
      <c r="Z161" s="1164">
        <f t="shared" si="134"/>
        <v>0.73263888888888873</v>
      </c>
      <c r="AA161" s="1164">
        <f t="shared" si="135"/>
        <v>0.75347222222222199</v>
      </c>
      <c r="AB161" s="1167">
        <f t="shared" si="116"/>
        <v>42720</v>
      </c>
      <c r="AC161" s="1224">
        <v>28.3</v>
      </c>
      <c r="AD161" s="1164">
        <f t="shared" si="136"/>
        <v>0.76041666666666641</v>
      </c>
      <c r="AE161" s="1164">
        <f t="shared" si="137"/>
        <v>0.77083333333333304</v>
      </c>
      <c r="AF161" s="1167">
        <f t="shared" si="117"/>
        <v>42720</v>
      </c>
      <c r="AG161" s="1164">
        <f t="shared" si="138"/>
        <v>0.77777777777777746</v>
      </c>
      <c r="AH161" s="1164">
        <f t="shared" si="139"/>
        <v>0.80902777777777746</v>
      </c>
      <c r="AI161" s="1167">
        <f t="shared" si="118"/>
        <v>42720</v>
      </c>
      <c r="AJ161" s="1164">
        <f t="shared" si="140"/>
        <v>0.82986111111111072</v>
      </c>
      <c r="AK161" s="1164">
        <f t="shared" si="141"/>
        <v>0.83680555555555514</v>
      </c>
      <c r="AL161" s="1167">
        <f t="shared" si="119"/>
        <v>42720</v>
      </c>
      <c r="AM161" s="1224">
        <v>1.06</v>
      </c>
      <c r="AN161" s="1224">
        <v>9</v>
      </c>
      <c r="AO161" s="1224">
        <v>22</v>
      </c>
      <c r="AP161" s="1224">
        <v>0</v>
      </c>
      <c r="AQ161" s="1164">
        <f t="shared" si="120"/>
        <v>0.83680555555555514</v>
      </c>
      <c r="AR161" s="1164">
        <f t="shared" si="142"/>
        <v>0.84374999999999956</v>
      </c>
      <c r="AS161" s="1167">
        <f t="shared" si="121"/>
        <v>42720</v>
      </c>
      <c r="AT161" s="1224">
        <v>28.3</v>
      </c>
      <c r="AU161" s="1164">
        <f t="shared" si="122"/>
        <v>0.84374999999999956</v>
      </c>
      <c r="AV161" s="1167">
        <f t="shared" si="123"/>
        <v>42720</v>
      </c>
      <c r="AW161" s="1164">
        <f t="shared" si="124"/>
        <v>0.92708333333333293</v>
      </c>
      <c r="AX161" s="1167">
        <f t="shared" si="125"/>
        <v>42720</v>
      </c>
      <c r="AY161" s="1224">
        <v>7.4</v>
      </c>
      <c r="AZ161" s="1224">
        <v>49</v>
      </c>
      <c r="BA161" s="1168">
        <f>VLOOKUP(B161,ĐTBT!$V:$W,2,0)</f>
        <v>6</v>
      </c>
      <c r="BB161" s="1215"/>
      <c r="BC161" s="1225">
        <v>42720</v>
      </c>
      <c r="BD161" s="1225"/>
      <c r="BE161" s="1222">
        <f t="shared" ref="BE161:BE168" si="144">BC161-AX161</f>
        <v>0</v>
      </c>
      <c r="BF161" s="1222"/>
      <c r="BG161" s="1221">
        <f t="shared" ref="BG161:BG168" si="145">BC161-1</f>
        <v>42719</v>
      </c>
      <c r="BH161" s="1221">
        <f t="shared" ref="BH161:BH168" si="146">BG161+BE161</f>
        <v>42719</v>
      </c>
      <c r="BI161" s="1215">
        <f t="shared" si="126"/>
        <v>0</v>
      </c>
      <c r="BJ161" s="1168">
        <f>VLOOKUP(B161,'Thong tin'!A:R,11,0)</f>
        <v>0</v>
      </c>
      <c r="BK161" s="1226" t="s">
        <v>1169</v>
      </c>
      <c r="BU161" s="1227">
        <v>42678</v>
      </c>
      <c r="BX161" s="1227">
        <v>42735</v>
      </c>
    </row>
    <row r="162" spans="1:76" s="1219" customFormat="1" ht="15">
      <c r="A162" s="1217">
        <f>IF(C162="","",COUNTA($C$13:C162))</f>
        <v>150</v>
      </c>
      <c r="B162" s="1239" t="s">
        <v>696</v>
      </c>
      <c r="C162" s="1164">
        <v>0.41666666666666669</v>
      </c>
      <c r="D162" s="1164">
        <f t="shared" si="127"/>
        <v>0.4375</v>
      </c>
      <c r="E162" s="1165">
        <f t="shared" si="143"/>
        <v>42720</v>
      </c>
      <c r="F162" s="1164">
        <f t="shared" si="128"/>
        <v>0.44444444444444442</v>
      </c>
      <c r="G162" s="1164">
        <f t="shared" si="129"/>
        <v>0.44791666666666663</v>
      </c>
      <c r="H162" s="1165">
        <f t="shared" si="112"/>
        <v>42720</v>
      </c>
      <c r="I162" s="1166">
        <v>0.02</v>
      </c>
      <c r="J162" s="1166">
        <v>-1.2E-2</v>
      </c>
      <c r="K162" s="1166">
        <v>-0.32300000000000001</v>
      </c>
      <c r="L162" s="1166">
        <v>-0.67100000000000004</v>
      </c>
      <c r="M162" s="1164">
        <f t="shared" si="130"/>
        <v>0.45138888888888884</v>
      </c>
      <c r="N162" s="1164">
        <f t="shared" si="131"/>
        <v>0.46180555555555552</v>
      </c>
      <c r="O162" s="1165">
        <f t="shared" si="113"/>
        <v>42720</v>
      </c>
      <c r="P162" s="1166">
        <v>1.06</v>
      </c>
      <c r="Q162" s="1166">
        <v>9</v>
      </c>
      <c r="R162" s="1166">
        <v>26</v>
      </c>
      <c r="S162" s="1166">
        <v>0</v>
      </c>
      <c r="T162" s="1164">
        <f t="shared" si="132"/>
        <v>0.58680555555555558</v>
      </c>
      <c r="U162" s="1167">
        <f t="shared" si="114"/>
        <v>42720</v>
      </c>
      <c r="V162" s="1166">
        <v>20.9</v>
      </c>
      <c r="W162" s="1164">
        <f t="shared" si="133"/>
        <v>0.71180555555555558</v>
      </c>
      <c r="X162" s="1167">
        <f t="shared" si="115"/>
        <v>42720</v>
      </c>
      <c r="Y162" s="1166">
        <v>29.77</v>
      </c>
      <c r="Z162" s="1164">
        <f t="shared" si="134"/>
        <v>0.75347222222222221</v>
      </c>
      <c r="AA162" s="1164">
        <f t="shared" si="135"/>
        <v>0.77430555555555547</v>
      </c>
      <c r="AB162" s="1167">
        <f t="shared" si="116"/>
        <v>42720</v>
      </c>
      <c r="AC162" s="1166">
        <v>29.8</v>
      </c>
      <c r="AD162" s="1164">
        <f t="shared" si="136"/>
        <v>0.78124999999999989</v>
      </c>
      <c r="AE162" s="1164">
        <f t="shared" si="137"/>
        <v>0.79166666666666652</v>
      </c>
      <c r="AF162" s="1167">
        <f t="shared" si="117"/>
        <v>42720</v>
      </c>
      <c r="AG162" s="1164">
        <f t="shared" si="138"/>
        <v>0.79861111111111094</v>
      </c>
      <c r="AH162" s="1164">
        <f t="shared" si="139"/>
        <v>0.84027777777777757</v>
      </c>
      <c r="AI162" s="1167">
        <f t="shared" si="118"/>
        <v>42720</v>
      </c>
      <c r="AJ162" s="1164">
        <f t="shared" si="140"/>
        <v>0.86111111111111083</v>
      </c>
      <c r="AK162" s="1164">
        <f t="shared" si="141"/>
        <v>0.86805555555555525</v>
      </c>
      <c r="AL162" s="1167">
        <f t="shared" si="119"/>
        <v>42720</v>
      </c>
      <c r="AM162" s="1166">
        <v>1.06</v>
      </c>
      <c r="AN162" s="1166">
        <v>9</v>
      </c>
      <c r="AO162" s="1166">
        <v>26</v>
      </c>
      <c r="AP162" s="1166">
        <v>0</v>
      </c>
      <c r="AQ162" s="1164">
        <f t="shared" si="120"/>
        <v>0.86805555555555525</v>
      </c>
      <c r="AR162" s="1164">
        <f t="shared" si="142"/>
        <v>0.87499999999999967</v>
      </c>
      <c r="AS162" s="1167">
        <f t="shared" si="121"/>
        <v>42720</v>
      </c>
      <c r="AT162" s="1166">
        <v>29.8</v>
      </c>
      <c r="AU162" s="1164">
        <f t="shared" si="122"/>
        <v>0.87499999999999967</v>
      </c>
      <c r="AV162" s="1167">
        <f t="shared" si="123"/>
        <v>42720</v>
      </c>
      <c r="AW162" s="1164">
        <f t="shared" si="124"/>
        <v>0.94444444444444409</v>
      </c>
      <c r="AX162" s="1167">
        <f t="shared" si="125"/>
        <v>42720</v>
      </c>
      <c r="AY162" s="1166">
        <v>7.2</v>
      </c>
      <c r="AZ162" s="1166">
        <v>42</v>
      </c>
      <c r="BA162" s="1168">
        <f>VLOOKUP(B162,ĐTBT!$V:$W,2,0)</f>
        <v>5</v>
      </c>
      <c r="BB162" s="1168"/>
      <c r="BC162" s="1221">
        <v>42721</v>
      </c>
      <c r="BD162" s="1221"/>
      <c r="BE162" s="1222">
        <f t="shared" si="144"/>
        <v>1</v>
      </c>
      <c r="BF162" s="1222"/>
      <c r="BG162" s="1221">
        <f t="shared" si="145"/>
        <v>42720</v>
      </c>
      <c r="BH162" s="1221">
        <f t="shared" si="146"/>
        <v>42721</v>
      </c>
      <c r="BI162" s="1168">
        <f t="shared" si="126"/>
        <v>0</v>
      </c>
      <c r="BJ162" s="1168">
        <f>VLOOKUP(B162,'Thong tin'!A:R,11,0)</f>
        <v>3</v>
      </c>
      <c r="BU162" s="1220">
        <v>42679</v>
      </c>
      <c r="BX162" s="1220">
        <v>42737</v>
      </c>
    </row>
    <row r="163" spans="1:76" s="1219" customFormat="1" ht="15">
      <c r="A163" s="1217">
        <f>IF(C163="","",COUNTA($C$13:C163))</f>
        <v>151</v>
      </c>
      <c r="B163" s="1239" t="s">
        <v>609</v>
      </c>
      <c r="C163" s="1164">
        <v>0.29166666666666669</v>
      </c>
      <c r="D163" s="1164">
        <f t="shared" si="127"/>
        <v>0.3125</v>
      </c>
      <c r="E163" s="1165">
        <f t="shared" si="143"/>
        <v>42721</v>
      </c>
      <c r="F163" s="1164">
        <f t="shared" si="128"/>
        <v>0.31944444444444442</v>
      </c>
      <c r="G163" s="1164">
        <f t="shared" si="129"/>
        <v>0.32291666666666663</v>
      </c>
      <c r="H163" s="1165">
        <f t="shared" si="112"/>
        <v>42721</v>
      </c>
      <c r="I163" s="1166">
        <v>-0.01</v>
      </c>
      <c r="J163" s="1166">
        <v>0.02</v>
      </c>
      <c r="K163" s="1166">
        <v>-0.20599999999999999</v>
      </c>
      <c r="L163" s="1166">
        <v>-0.73199999999999998</v>
      </c>
      <c r="M163" s="1164">
        <f t="shared" si="130"/>
        <v>0.32638888888888884</v>
      </c>
      <c r="N163" s="1164">
        <f t="shared" si="131"/>
        <v>0.33680555555555552</v>
      </c>
      <c r="O163" s="1165">
        <f t="shared" si="113"/>
        <v>42721</v>
      </c>
      <c r="P163" s="1166">
        <v>1.06</v>
      </c>
      <c r="Q163" s="1166">
        <v>9</v>
      </c>
      <c r="R163" s="1166">
        <v>28</v>
      </c>
      <c r="S163" s="1166">
        <v>0</v>
      </c>
      <c r="T163" s="1164">
        <f t="shared" si="132"/>
        <v>0.46180555555555552</v>
      </c>
      <c r="U163" s="1167">
        <f t="shared" si="114"/>
        <v>42721</v>
      </c>
      <c r="V163" s="1166">
        <v>22.1</v>
      </c>
      <c r="W163" s="1164">
        <f t="shared" si="133"/>
        <v>0.58680555555555558</v>
      </c>
      <c r="X163" s="1167">
        <f t="shared" si="115"/>
        <v>42721</v>
      </c>
      <c r="Y163" s="1166">
        <v>28.1</v>
      </c>
      <c r="Z163" s="1164">
        <f t="shared" si="134"/>
        <v>0.62847222222222221</v>
      </c>
      <c r="AA163" s="1164">
        <f t="shared" si="135"/>
        <v>0.64930555555555547</v>
      </c>
      <c r="AB163" s="1167">
        <f t="shared" si="116"/>
        <v>42721</v>
      </c>
      <c r="AC163" s="1166">
        <v>28.15</v>
      </c>
      <c r="AD163" s="1164">
        <f t="shared" si="136"/>
        <v>0.65624999999999989</v>
      </c>
      <c r="AE163" s="1164">
        <f t="shared" si="137"/>
        <v>0.66666666666666652</v>
      </c>
      <c r="AF163" s="1167">
        <f t="shared" si="117"/>
        <v>42721</v>
      </c>
      <c r="AG163" s="1164">
        <f t="shared" si="138"/>
        <v>0.67361111111111094</v>
      </c>
      <c r="AH163" s="1164">
        <f t="shared" si="139"/>
        <v>0.70486111111111094</v>
      </c>
      <c r="AI163" s="1167">
        <f t="shared" si="118"/>
        <v>42721</v>
      </c>
      <c r="AJ163" s="1164">
        <f t="shared" si="140"/>
        <v>0.7256944444444442</v>
      </c>
      <c r="AK163" s="1164">
        <f t="shared" si="141"/>
        <v>0.73263888888888862</v>
      </c>
      <c r="AL163" s="1167">
        <f t="shared" si="119"/>
        <v>42721</v>
      </c>
      <c r="AM163" s="1166">
        <v>1.06</v>
      </c>
      <c r="AN163" s="1166">
        <v>9</v>
      </c>
      <c r="AO163" s="1166">
        <v>28</v>
      </c>
      <c r="AP163" s="1166">
        <v>0</v>
      </c>
      <c r="AQ163" s="1164">
        <f t="shared" si="120"/>
        <v>0.73263888888888862</v>
      </c>
      <c r="AR163" s="1164">
        <f t="shared" si="142"/>
        <v>0.73958333333333304</v>
      </c>
      <c r="AS163" s="1167">
        <f t="shared" si="121"/>
        <v>42721</v>
      </c>
      <c r="AT163" s="1166">
        <v>28.15</v>
      </c>
      <c r="AU163" s="1164">
        <f t="shared" si="122"/>
        <v>0.73958333333333304</v>
      </c>
      <c r="AV163" s="1167">
        <f t="shared" si="123"/>
        <v>42721</v>
      </c>
      <c r="AW163" s="1164">
        <f t="shared" si="124"/>
        <v>0.79513888888888862</v>
      </c>
      <c r="AX163" s="1167">
        <f t="shared" si="125"/>
        <v>42721</v>
      </c>
      <c r="AY163" s="1166">
        <v>8.1999999999999993</v>
      </c>
      <c r="AZ163" s="1166">
        <v>31.5</v>
      </c>
      <c r="BA163" s="1168">
        <f>VLOOKUP(B163,ĐTBT!$V:$W,2,0)</f>
        <v>4</v>
      </c>
      <c r="BB163" s="1168"/>
      <c r="BC163" s="1221">
        <v>42721</v>
      </c>
      <c r="BD163" s="1221"/>
      <c r="BE163" s="1222">
        <f t="shared" si="144"/>
        <v>0</v>
      </c>
      <c r="BF163" s="1222"/>
      <c r="BG163" s="1221">
        <f t="shared" si="145"/>
        <v>42720</v>
      </c>
      <c r="BH163" s="1221">
        <f t="shared" si="146"/>
        <v>42720</v>
      </c>
      <c r="BI163" s="1168">
        <f t="shared" si="126"/>
        <v>0</v>
      </c>
      <c r="BJ163" s="1168">
        <f>VLOOKUP(B163,'Thong tin'!A:R,11,0)</f>
        <v>0</v>
      </c>
      <c r="BU163" s="1220">
        <v>42680</v>
      </c>
      <c r="BX163" s="1220">
        <v>42738</v>
      </c>
    </row>
    <row r="164" spans="1:76" s="1219" customFormat="1" ht="15">
      <c r="A164" s="1217">
        <f>IF(C164="","",COUNTA($C$13:C164))</f>
        <v>152</v>
      </c>
      <c r="B164" s="1239" t="s">
        <v>619</v>
      </c>
      <c r="C164" s="1164">
        <v>0.3125</v>
      </c>
      <c r="D164" s="1164">
        <f t="shared" si="127"/>
        <v>0.33333333333333331</v>
      </c>
      <c r="E164" s="1165">
        <f t="shared" si="143"/>
        <v>42721</v>
      </c>
      <c r="F164" s="1164">
        <f t="shared" si="128"/>
        <v>0.34027777777777773</v>
      </c>
      <c r="G164" s="1164">
        <f t="shared" si="129"/>
        <v>0.34374999999999994</v>
      </c>
      <c r="H164" s="1165">
        <f t="shared" si="112"/>
        <v>42721</v>
      </c>
      <c r="I164" s="1166">
        <v>-0.02</v>
      </c>
      <c r="J164" s="1166">
        <v>-8.0000000000000002E-3</v>
      </c>
      <c r="K164" s="1166">
        <v>-0.29199999999999998</v>
      </c>
      <c r="L164" s="1166">
        <v>-0.56000000000000005</v>
      </c>
      <c r="M164" s="1164">
        <f t="shared" si="130"/>
        <v>0.34722222222222215</v>
      </c>
      <c r="N164" s="1164">
        <f t="shared" si="131"/>
        <v>0.35763888888888884</v>
      </c>
      <c r="O164" s="1165">
        <f t="shared" si="113"/>
        <v>42721</v>
      </c>
      <c r="P164" s="1166">
        <v>1.06</v>
      </c>
      <c r="Q164" s="1166">
        <v>9</v>
      </c>
      <c r="R164" s="1166">
        <v>26</v>
      </c>
      <c r="S164" s="1166">
        <v>0</v>
      </c>
      <c r="T164" s="1164">
        <f t="shared" si="132"/>
        <v>0.48263888888888884</v>
      </c>
      <c r="U164" s="1167">
        <f t="shared" si="114"/>
        <v>42721</v>
      </c>
      <c r="V164" s="1166">
        <v>20</v>
      </c>
      <c r="W164" s="1164">
        <f t="shared" si="133"/>
        <v>0.60763888888888884</v>
      </c>
      <c r="X164" s="1167">
        <f t="shared" si="115"/>
        <v>42721</v>
      </c>
      <c r="Y164" s="1166">
        <v>28</v>
      </c>
      <c r="Z164" s="1164">
        <f t="shared" si="134"/>
        <v>0.64930555555555547</v>
      </c>
      <c r="AA164" s="1164">
        <f t="shared" si="135"/>
        <v>0.67013888888888873</v>
      </c>
      <c r="AB164" s="1167">
        <f t="shared" si="116"/>
        <v>42721</v>
      </c>
      <c r="AC164" s="1166">
        <v>28.1</v>
      </c>
      <c r="AD164" s="1164">
        <f t="shared" si="136"/>
        <v>0.67708333333333315</v>
      </c>
      <c r="AE164" s="1164">
        <f t="shared" si="137"/>
        <v>0.68749999999999978</v>
      </c>
      <c r="AF164" s="1167">
        <f t="shared" si="117"/>
        <v>42721</v>
      </c>
      <c r="AG164" s="1164">
        <f t="shared" si="138"/>
        <v>0.6944444444444442</v>
      </c>
      <c r="AH164" s="1164">
        <f t="shared" si="139"/>
        <v>0.73611111111111083</v>
      </c>
      <c r="AI164" s="1167">
        <f t="shared" si="118"/>
        <v>42721</v>
      </c>
      <c r="AJ164" s="1164">
        <f t="shared" si="140"/>
        <v>0.75694444444444409</v>
      </c>
      <c r="AK164" s="1164">
        <f t="shared" si="141"/>
        <v>0.76388888888888851</v>
      </c>
      <c r="AL164" s="1167">
        <f t="shared" si="119"/>
        <v>42721</v>
      </c>
      <c r="AM164" s="1166">
        <v>1.05</v>
      </c>
      <c r="AN164" s="1166">
        <v>9</v>
      </c>
      <c r="AO164" s="1166">
        <v>23</v>
      </c>
      <c r="AP164" s="1166">
        <v>0</v>
      </c>
      <c r="AQ164" s="1164">
        <f t="shared" si="120"/>
        <v>0.76388888888888851</v>
      </c>
      <c r="AR164" s="1164">
        <f t="shared" si="142"/>
        <v>0.77083333333333293</v>
      </c>
      <c r="AS164" s="1167">
        <f t="shared" si="121"/>
        <v>42721</v>
      </c>
      <c r="AT164" s="1166">
        <v>28.1</v>
      </c>
      <c r="AU164" s="1164">
        <f t="shared" si="122"/>
        <v>0.77083333333333293</v>
      </c>
      <c r="AV164" s="1167">
        <f t="shared" si="123"/>
        <v>42721</v>
      </c>
      <c r="AW164" s="1164">
        <f t="shared" si="124"/>
        <v>0.84027777777777735</v>
      </c>
      <c r="AX164" s="1167">
        <f t="shared" si="125"/>
        <v>42721</v>
      </c>
      <c r="AY164" s="1166">
        <v>7.3</v>
      </c>
      <c r="AZ164" s="1166">
        <v>34</v>
      </c>
      <c r="BA164" s="1168">
        <f>VLOOKUP(B164,ĐTBT!$V:$W,2,0)</f>
        <v>5</v>
      </c>
      <c r="BB164" s="1168"/>
      <c r="BC164" s="1221">
        <v>42723</v>
      </c>
      <c r="BD164" s="1221"/>
      <c r="BE164" s="1222">
        <f t="shared" si="144"/>
        <v>2</v>
      </c>
      <c r="BF164" s="1222"/>
      <c r="BG164" s="1221">
        <f t="shared" si="145"/>
        <v>42722</v>
      </c>
      <c r="BH164" s="1221">
        <f t="shared" si="146"/>
        <v>42724</v>
      </c>
      <c r="BI164" s="1168">
        <f t="shared" si="126"/>
        <v>0</v>
      </c>
      <c r="BJ164" s="1168">
        <f>VLOOKUP(B164,'Thong tin'!A:R,11,0)</f>
        <v>3</v>
      </c>
      <c r="BU164" s="1220">
        <v>42681</v>
      </c>
      <c r="BX164" s="1220">
        <v>42740</v>
      </c>
    </row>
    <row r="165" spans="1:76" s="1219" customFormat="1" ht="15">
      <c r="A165" s="1217">
        <f>IF(C165="","",COUNTA($C$13:C165))</f>
        <v>153</v>
      </c>
      <c r="B165" s="1239" t="s">
        <v>693</v>
      </c>
      <c r="C165" s="1164">
        <v>0.375</v>
      </c>
      <c r="D165" s="1164">
        <f t="shared" si="127"/>
        <v>0.39583333333333331</v>
      </c>
      <c r="E165" s="1165">
        <f t="shared" si="143"/>
        <v>42722</v>
      </c>
      <c r="F165" s="1164">
        <f t="shared" si="128"/>
        <v>0.40277777777777773</v>
      </c>
      <c r="G165" s="1164">
        <f t="shared" si="129"/>
        <v>0.40624999999999994</v>
      </c>
      <c r="H165" s="1165">
        <f t="shared" si="112"/>
        <v>42722</v>
      </c>
      <c r="I165" s="1166">
        <v>6.0000000000000001E-3</v>
      </c>
      <c r="J165" s="1166">
        <v>-1.7999999999999999E-2</v>
      </c>
      <c r="K165" s="1166">
        <v>-1.0189999999999999</v>
      </c>
      <c r="L165" s="1166">
        <v>-0.97899999999999998</v>
      </c>
      <c r="M165" s="1164">
        <f t="shared" si="130"/>
        <v>0.40972222222222215</v>
      </c>
      <c r="N165" s="1164">
        <f t="shared" si="131"/>
        <v>0.42013888888888884</v>
      </c>
      <c r="O165" s="1165">
        <f t="shared" si="113"/>
        <v>42722</v>
      </c>
      <c r="P165" s="1166">
        <v>1.06</v>
      </c>
      <c r="Q165" s="1166">
        <v>9</v>
      </c>
      <c r="R165" s="1166">
        <v>24</v>
      </c>
      <c r="S165" s="1166">
        <v>0</v>
      </c>
      <c r="T165" s="1164">
        <f t="shared" si="132"/>
        <v>0.54513888888888884</v>
      </c>
      <c r="U165" s="1167">
        <f t="shared" si="114"/>
        <v>42722</v>
      </c>
      <c r="V165" s="1166">
        <v>23.5</v>
      </c>
      <c r="W165" s="1164">
        <f t="shared" si="133"/>
        <v>0.67013888888888884</v>
      </c>
      <c r="X165" s="1167">
        <f t="shared" si="115"/>
        <v>42722</v>
      </c>
      <c r="Y165" s="1166">
        <v>30.01</v>
      </c>
      <c r="Z165" s="1164">
        <f t="shared" si="134"/>
        <v>0.71180555555555547</v>
      </c>
      <c r="AA165" s="1164">
        <f t="shared" si="135"/>
        <v>0.73263888888888873</v>
      </c>
      <c r="AB165" s="1167">
        <f t="shared" si="116"/>
        <v>42722</v>
      </c>
      <c r="AC165" s="1166">
        <v>30.05</v>
      </c>
      <c r="AD165" s="1164">
        <f t="shared" si="136"/>
        <v>0.73958333333333315</v>
      </c>
      <c r="AE165" s="1164">
        <f t="shared" si="137"/>
        <v>0.74999999999999978</v>
      </c>
      <c r="AF165" s="1167">
        <f t="shared" si="117"/>
        <v>42722</v>
      </c>
      <c r="AG165" s="1164">
        <f t="shared" si="138"/>
        <v>0.7569444444444442</v>
      </c>
      <c r="AH165" s="1164">
        <f t="shared" si="139"/>
        <v>0.79861111111111083</v>
      </c>
      <c r="AI165" s="1167">
        <f t="shared" si="118"/>
        <v>42722</v>
      </c>
      <c r="AJ165" s="1164">
        <f t="shared" si="140"/>
        <v>0.81944444444444409</v>
      </c>
      <c r="AK165" s="1164">
        <f t="shared" si="141"/>
        <v>0.82638888888888851</v>
      </c>
      <c r="AL165" s="1167">
        <f t="shared" si="119"/>
        <v>42722</v>
      </c>
      <c r="AM165" s="1166">
        <v>1.06</v>
      </c>
      <c r="AN165" s="1166">
        <v>9</v>
      </c>
      <c r="AO165" s="1166">
        <v>24</v>
      </c>
      <c r="AP165" s="1166">
        <v>0</v>
      </c>
      <c r="AQ165" s="1164">
        <f t="shared" si="120"/>
        <v>0.82638888888888851</v>
      </c>
      <c r="AR165" s="1164">
        <f t="shared" si="142"/>
        <v>0.83333333333333293</v>
      </c>
      <c r="AS165" s="1167">
        <f t="shared" si="121"/>
        <v>42722</v>
      </c>
      <c r="AT165" s="1166">
        <v>30.05</v>
      </c>
      <c r="AU165" s="1164">
        <f t="shared" si="122"/>
        <v>0.83333333333333293</v>
      </c>
      <c r="AV165" s="1167">
        <f t="shared" si="123"/>
        <v>42722</v>
      </c>
      <c r="AW165" s="1164">
        <f t="shared" si="124"/>
        <v>0.90277777777777735</v>
      </c>
      <c r="AX165" s="1167">
        <f t="shared" si="125"/>
        <v>42722</v>
      </c>
      <c r="AY165" s="1166">
        <v>6.5</v>
      </c>
      <c r="AZ165" s="1166">
        <v>50</v>
      </c>
      <c r="BA165" s="1168">
        <f>VLOOKUP(B165,ĐTBT!$V:$W,2,0)</f>
        <v>5</v>
      </c>
      <c r="BB165" s="1168"/>
      <c r="BC165" s="1221">
        <v>42723</v>
      </c>
      <c r="BD165" s="1221"/>
      <c r="BE165" s="1222">
        <f t="shared" si="144"/>
        <v>1</v>
      </c>
      <c r="BF165" s="1222"/>
      <c r="BG165" s="1221">
        <f t="shared" si="145"/>
        <v>42722</v>
      </c>
      <c r="BH165" s="1221">
        <f t="shared" si="146"/>
        <v>42723</v>
      </c>
      <c r="BI165" s="1168">
        <f t="shared" si="126"/>
        <v>0</v>
      </c>
      <c r="BJ165" s="1168">
        <f>VLOOKUP(B165,'Thong tin'!A:R,11,0)</f>
        <v>4</v>
      </c>
      <c r="BU165" s="1220">
        <v>42682</v>
      </c>
      <c r="BX165" s="1220">
        <v>42742</v>
      </c>
    </row>
    <row r="166" spans="1:76" s="1219" customFormat="1" ht="15">
      <c r="A166" s="1217">
        <f>IF(C166="","",COUNTA($C$13:C166))</f>
        <v>154</v>
      </c>
      <c r="B166" s="1239" t="s">
        <v>579</v>
      </c>
      <c r="C166" s="1164">
        <v>0.33680555555555558</v>
      </c>
      <c r="D166" s="1164">
        <f t="shared" si="127"/>
        <v>0.3576388888888889</v>
      </c>
      <c r="E166" s="1165">
        <f t="shared" si="143"/>
        <v>42722</v>
      </c>
      <c r="F166" s="1164">
        <f t="shared" si="128"/>
        <v>0.36458333333333331</v>
      </c>
      <c r="G166" s="1164">
        <f t="shared" si="129"/>
        <v>0.36805555555555552</v>
      </c>
      <c r="H166" s="1165">
        <f t="shared" si="112"/>
        <v>42722</v>
      </c>
      <c r="I166" s="1166">
        <v>1.4E-2</v>
      </c>
      <c r="J166" s="1166">
        <v>1.4E-2</v>
      </c>
      <c r="K166" s="1166">
        <v>-0.02</v>
      </c>
      <c r="L166" s="1166">
        <v>-0.54900000000000004</v>
      </c>
      <c r="M166" s="1164">
        <f t="shared" si="130"/>
        <v>0.37152777777777773</v>
      </c>
      <c r="N166" s="1164">
        <f t="shared" si="131"/>
        <v>0.38194444444444442</v>
      </c>
      <c r="O166" s="1165">
        <f t="shared" si="113"/>
        <v>42722</v>
      </c>
      <c r="P166" s="1166">
        <v>1.05</v>
      </c>
      <c r="Q166" s="1166">
        <v>9</v>
      </c>
      <c r="R166" s="1166">
        <v>28</v>
      </c>
      <c r="S166" s="1166">
        <v>0</v>
      </c>
      <c r="T166" s="1164">
        <f t="shared" si="132"/>
        <v>0.50694444444444442</v>
      </c>
      <c r="U166" s="1167">
        <f t="shared" si="114"/>
        <v>42722</v>
      </c>
      <c r="V166" s="1166">
        <v>21.5</v>
      </c>
      <c r="W166" s="1164">
        <f t="shared" si="133"/>
        <v>0.63194444444444442</v>
      </c>
      <c r="X166" s="1167">
        <f t="shared" si="115"/>
        <v>42722</v>
      </c>
      <c r="Y166" s="1166">
        <v>37.74</v>
      </c>
      <c r="Z166" s="1164">
        <f t="shared" si="134"/>
        <v>0.67361111111111105</v>
      </c>
      <c r="AA166" s="1164">
        <f t="shared" si="135"/>
        <v>0.69444444444444431</v>
      </c>
      <c r="AB166" s="1167">
        <f t="shared" si="116"/>
        <v>42722</v>
      </c>
      <c r="AC166" s="1166">
        <v>37.75</v>
      </c>
      <c r="AD166" s="1164">
        <f t="shared" si="136"/>
        <v>0.70138888888888873</v>
      </c>
      <c r="AE166" s="1164">
        <f t="shared" si="137"/>
        <v>0.71180555555555536</v>
      </c>
      <c r="AF166" s="1167">
        <f t="shared" si="117"/>
        <v>42722</v>
      </c>
      <c r="AG166" s="1164">
        <f t="shared" si="138"/>
        <v>0.71874999999999978</v>
      </c>
      <c r="AH166" s="1164">
        <f t="shared" si="139"/>
        <v>0.76041666666666641</v>
      </c>
      <c r="AI166" s="1167">
        <f t="shared" si="118"/>
        <v>42722</v>
      </c>
      <c r="AJ166" s="1164">
        <f t="shared" si="140"/>
        <v>0.78124999999999967</v>
      </c>
      <c r="AK166" s="1164">
        <f t="shared" si="141"/>
        <v>0.78819444444444409</v>
      </c>
      <c r="AL166" s="1167">
        <f t="shared" si="119"/>
        <v>42722</v>
      </c>
      <c r="AM166" s="1166">
        <v>1.06</v>
      </c>
      <c r="AN166" s="1166">
        <v>9</v>
      </c>
      <c r="AO166" s="1166">
        <v>26</v>
      </c>
      <c r="AP166" s="1166">
        <v>0</v>
      </c>
      <c r="AQ166" s="1164">
        <f t="shared" si="120"/>
        <v>0.78819444444444409</v>
      </c>
      <c r="AR166" s="1164">
        <f t="shared" si="142"/>
        <v>0.79513888888888851</v>
      </c>
      <c r="AS166" s="1167">
        <f t="shared" si="121"/>
        <v>42722</v>
      </c>
      <c r="AT166" s="1166">
        <v>37.75</v>
      </c>
      <c r="AU166" s="1164">
        <f t="shared" si="122"/>
        <v>0.79513888888888851</v>
      </c>
      <c r="AV166" s="1167">
        <f t="shared" si="123"/>
        <v>42722</v>
      </c>
      <c r="AW166" s="1164">
        <f t="shared" si="124"/>
        <v>0.89236111111111072</v>
      </c>
      <c r="AX166" s="1167">
        <f t="shared" si="125"/>
        <v>42722</v>
      </c>
      <c r="AY166" s="1166">
        <v>7.3</v>
      </c>
      <c r="AZ166" s="1166">
        <v>70</v>
      </c>
      <c r="BA166" s="1168">
        <f>VLOOKUP(B166,ĐTBT!$V:$W,2,0)</f>
        <v>7</v>
      </c>
      <c r="BB166" s="1168"/>
      <c r="BC166" s="1221">
        <v>42724</v>
      </c>
      <c r="BD166" s="1221"/>
      <c r="BE166" s="1222">
        <f t="shared" si="144"/>
        <v>2</v>
      </c>
      <c r="BF166" s="1222"/>
      <c r="BG166" s="1221">
        <f t="shared" si="145"/>
        <v>42723</v>
      </c>
      <c r="BH166" s="1221">
        <f t="shared" si="146"/>
        <v>42725</v>
      </c>
      <c r="BI166" s="1168">
        <f t="shared" si="126"/>
        <v>0</v>
      </c>
      <c r="BJ166" s="1168">
        <f>VLOOKUP(B166,'Thong tin'!A:R,11,0)</f>
        <v>4</v>
      </c>
      <c r="BU166" s="1220">
        <v>42683</v>
      </c>
      <c r="BX166" s="1220">
        <v>42744</v>
      </c>
    </row>
    <row r="167" spans="1:76" s="1219" customFormat="1" ht="15">
      <c r="A167" s="1217">
        <f>IF(C167="","",COUNTA($C$13:C167))</f>
        <v>155</v>
      </c>
      <c r="B167" s="1239" t="s">
        <v>700</v>
      </c>
      <c r="C167" s="1164">
        <v>0.38541666666666669</v>
      </c>
      <c r="D167" s="1164">
        <f t="shared" si="127"/>
        <v>0.40625</v>
      </c>
      <c r="E167" s="1165">
        <v>42723</v>
      </c>
      <c r="F167" s="1164">
        <f t="shared" si="128"/>
        <v>0.41319444444444442</v>
      </c>
      <c r="G167" s="1164">
        <f t="shared" si="129"/>
        <v>0.41666666666666663</v>
      </c>
      <c r="H167" s="1165">
        <f t="shared" si="112"/>
        <v>42723</v>
      </c>
      <c r="I167" s="1166">
        <v>3.0000000000000001E-3</v>
      </c>
      <c r="J167" s="1166">
        <v>-6.0000000000000001E-3</v>
      </c>
      <c r="K167" s="1166">
        <v>-0.36</v>
      </c>
      <c r="L167" s="1166">
        <v>-0.75</v>
      </c>
      <c r="M167" s="1164">
        <f t="shared" si="130"/>
        <v>0.42013888888888884</v>
      </c>
      <c r="N167" s="1164">
        <f t="shared" si="131"/>
        <v>0.43055555555555552</v>
      </c>
      <c r="O167" s="1165">
        <f t="shared" si="113"/>
        <v>42723</v>
      </c>
      <c r="P167" s="1166">
        <v>1.05</v>
      </c>
      <c r="Q167" s="1166">
        <v>9</v>
      </c>
      <c r="R167" s="1166">
        <v>23</v>
      </c>
      <c r="S167" s="1166">
        <v>0</v>
      </c>
      <c r="T167" s="1164">
        <f t="shared" si="132"/>
        <v>0.55555555555555558</v>
      </c>
      <c r="U167" s="1167">
        <f t="shared" si="114"/>
        <v>42723</v>
      </c>
      <c r="V167" s="1166">
        <v>22.8</v>
      </c>
      <c r="W167" s="1164">
        <f t="shared" si="133"/>
        <v>0.68055555555555558</v>
      </c>
      <c r="X167" s="1167">
        <f t="shared" si="115"/>
        <v>42723</v>
      </c>
      <c r="Y167" s="1166">
        <v>30.3</v>
      </c>
      <c r="Z167" s="1164">
        <f t="shared" si="134"/>
        <v>0.72222222222222221</v>
      </c>
      <c r="AA167" s="1164">
        <f t="shared" si="135"/>
        <v>0.74305555555555547</v>
      </c>
      <c r="AB167" s="1167">
        <f t="shared" si="116"/>
        <v>42723</v>
      </c>
      <c r="AC167" s="1166">
        <v>30.34</v>
      </c>
      <c r="AD167" s="1164">
        <f t="shared" si="136"/>
        <v>0.74999999999999989</v>
      </c>
      <c r="AE167" s="1164">
        <f t="shared" si="137"/>
        <v>0.76041666666666652</v>
      </c>
      <c r="AF167" s="1167">
        <f t="shared" si="117"/>
        <v>42723</v>
      </c>
      <c r="AG167" s="1164">
        <f t="shared" si="138"/>
        <v>0.76736111111111094</v>
      </c>
      <c r="AH167" s="1164">
        <f t="shared" si="139"/>
        <v>0.80902777777777757</v>
      </c>
      <c r="AI167" s="1167">
        <f t="shared" si="118"/>
        <v>42723</v>
      </c>
      <c r="AJ167" s="1164">
        <f t="shared" si="140"/>
        <v>0.82986111111111083</v>
      </c>
      <c r="AK167" s="1164">
        <f t="shared" si="141"/>
        <v>0.83680555555555525</v>
      </c>
      <c r="AL167" s="1167">
        <f t="shared" si="119"/>
        <v>42723</v>
      </c>
      <c r="AM167" s="1166">
        <v>1.06</v>
      </c>
      <c r="AN167" s="1166">
        <v>9</v>
      </c>
      <c r="AO167" s="1166">
        <v>24</v>
      </c>
      <c r="AP167" s="1166">
        <v>0</v>
      </c>
      <c r="AQ167" s="1164">
        <f t="shared" si="120"/>
        <v>0.83680555555555525</v>
      </c>
      <c r="AR167" s="1164">
        <f t="shared" si="142"/>
        <v>0.84374999999999967</v>
      </c>
      <c r="AS167" s="1167">
        <f t="shared" si="121"/>
        <v>42723</v>
      </c>
      <c r="AT167" s="1166">
        <v>30.34</v>
      </c>
      <c r="AU167" s="1164">
        <f t="shared" si="122"/>
        <v>0.84374999999999967</v>
      </c>
      <c r="AV167" s="1167">
        <f t="shared" si="123"/>
        <v>42723</v>
      </c>
      <c r="AW167" s="1164">
        <f t="shared" si="124"/>
        <v>0.89930555555555525</v>
      </c>
      <c r="AX167" s="1167">
        <f t="shared" si="125"/>
        <v>42723</v>
      </c>
      <c r="AY167" s="1166">
        <v>7.2</v>
      </c>
      <c r="AZ167" s="1166">
        <v>43</v>
      </c>
      <c r="BA167" s="1168">
        <f>VLOOKUP(B167,ĐTBT!$V:$W,2,0)</f>
        <v>4</v>
      </c>
      <c r="BB167" s="1168"/>
      <c r="BC167" s="1221">
        <v>42723</v>
      </c>
      <c r="BD167" s="1221"/>
      <c r="BE167" s="1222">
        <f t="shared" si="144"/>
        <v>0</v>
      </c>
      <c r="BF167" s="1222"/>
      <c r="BG167" s="1221">
        <f t="shared" si="145"/>
        <v>42722</v>
      </c>
      <c r="BH167" s="1221">
        <f t="shared" si="146"/>
        <v>42722</v>
      </c>
      <c r="BI167" s="1168">
        <f t="shared" si="126"/>
        <v>0</v>
      </c>
      <c r="BJ167" s="1168">
        <f>VLOOKUP(B167,'Thong tin'!A:R,11,0)</f>
        <v>4</v>
      </c>
      <c r="BK167" s="1219" t="s">
        <v>1170</v>
      </c>
      <c r="BU167" s="1220">
        <v>42684</v>
      </c>
      <c r="BX167" s="1220">
        <v>42746</v>
      </c>
    </row>
    <row r="168" spans="1:76" s="1219" customFormat="1" ht="15">
      <c r="A168" s="1217">
        <f>IF(C168="","",COUNTA($C$13:C168))</f>
        <v>156</v>
      </c>
      <c r="B168" s="1239" t="s">
        <v>1132</v>
      </c>
      <c r="C168" s="1164">
        <v>0.375</v>
      </c>
      <c r="D168" s="1164">
        <f t="shared" si="127"/>
        <v>0.39583333333333331</v>
      </c>
      <c r="E168" s="1165">
        <v>42723</v>
      </c>
      <c r="F168" s="1164">
        <f t="shared" si="128"/>
        <v>0.40277777777777773</v>
      </c>
      <c r="G168" s="1164">
        <f t="shared" si="129"/>
        <v>0.40624999999999994</v>
      </c>
      <c r="H168" s="1165">
        <f t="shared" si="112"/>
        <v>42723</v>
      </c>
      <c r="I168" s="1166">
        <v>-0.01</v>
      </c>
      <c r="J168" s="1166">
        <v>2.5000000000000001E-2</v>
      </c>
      <c r="K168" s="1166">
        <v>-2.1999999999999999E-2</v>
      </c>
      <c r="L168" s="1166">
        <v>-0.34300000000000003</v>
      </c>
      <c r="M168" s="1164">
        <f t="shared" si="130"/>
        <v>0.40972222222222215</v>
      </c>
      <c r="N168" s="1164">
        <f t="shared" si="131"/>
        <v>0.42013888888888884</v>
      </c>
      <c r="O168" s="1165">
        <f t="shared" si="113"/>
        <v>42723</v>
      </c>
      <c r="P168" s="1166">
        <v>1.05</v>
      </c>
      <c r="Q168" s="1166">
        <v>9</v>
      </c>
      <c r="R168" s="1166">
        <v>27</v>
      </c>
      <c r="S168" s="1166">
        <v>0</v>
      </c>
      <c r="T168" s="1164">
        <f t="shared" si="132"/>
        <v>0.54513888888888884</v>
      </c>
      <c r="U168" s="1167">
        <f t="shared" si="114"/>
        <v>42723</v>
      </c>
      <c r="V168" s="1166">
        <v>18.53</v>
      </c>
      <c r="W168" s="1164">
        <f t="shared" si="133"/>
        <v>0.67013888888888884</v>
      </c>
      <c r="X168" s="1167">
        <f t="shared" si="115"/>
        <v>42723</v>
      </c>
      <c r="Y168" s="1166">
        <v>30.86</v>
      </c>
      <c r="Z168" s="1164">
        <f t="shared" si="134"/>
        <v>0.71180555555555547</v>
      </c>
      <c r="AA168" s="1164">
        <f t="shared" si="135"/>
        <v>0.73263888888888873</v>
      </c>
      <c r="AB168" s="1167">
        <f t="shared" si="116"/>
        <v>42723</v>
      </c>
      <c r="AC168" s="1166">
        <v>30.86</v>
      </c>
      <c r="AD168" s="1164">
        <f t="shared" si="136"/>
        <v>0.73958333333333315</v>
      </c>
      <c r="AE168" s="1164">
        <f t="shared" si="137"/>
        <v>0.74999999999999978</v>
      </c>
      <c r="AF168" s="1167">
        <f t="shared" si="117"/>
        <v>42723</v>
      </c>
      <c r="AG168" s="1164">
        <f t="shared" si="138"/>
        <v>0.7569444444444442</v>
      </c>
      <c r="AH168" s="1164">
        <f t="shared" si="139"/>
        <v>0.7881944444444442</v>
      </c>
      <c r="AI168" s="1167">
        <f t="shared" si="118"/>
        <v>42723</v>
      </c>
      <c r="AJ168" s="1164">
        <f t="shared" si="140"/>
        <v>0.80902777777777746</v>
      </c>
      <c r="AK168" s="1164">
        <f t="shared" si="141"/>
        <v>0.81597222222222188</v>
      </c>
      <c r="AL168" s="1167">
        <f t="shared" si="119"/>
        <v>42723</v>
      </c>
      <c r="AM168" s="1166">
        <v>1.05</v>
      </c>
      <c r="AN168" s="1166">
        <v>9</v>
      </c>
      <c r="AO168" s="1166">
        <v>27</v>
      </c>
      <c r="AP168" s="1166">
        <v>0</v>
      </c>
      <c r="AQ168" s="1164">
        <f t="shared" si="120"/>
        <v>0.81597222222222188</v>
      </c>
      <c r="AR168" s="1164">
        <f t="shared" si="142"/>
        <v>0.8229166666666663</v>
      </c>
      <c r="AS168" s="1167">
        <f t="shared" si="121"/>
        <v>42723</v>
      </c>
      <c r="AT168" s="1166">
        <v>30.86</v>
      </c>
      <c r="AU168" s="1164">
        <f t="shared" si="122"/>
        <v>0.8229166666666663</v>
      </c>
      <c r="AV168" s="1167">
        <f t="shared" si="123"/>
        <v>42723</v>
      </c>
      <c r="AW168" s="1164">
        <f t="shared" si="124"/>
        <v>0.85069444444444409</v>
      </c>
      <c r="AX168" s="1167">
        <f t="shared" si="125"/>
        <v>42723</v>
      </c>
      <c r="AY168" s="1166">
        <v>5</v>
      </c>
      <c r="AZ168" s="1166">
        <v>16</v>
      </c>
      <c r="BA168" s="1168">
        <f>VLOOKUP(B168,ĐTBT!$V:$W,2,0)</f>
        <v>2</v>
      </c>
      <c r="BB168" s="1168"/>
      <c r="BC168" s="1221">
        <v>42783</v>
      </c>
      <c r="BD168" s="1221">
        <v>42783</v>
      </c>
      <c r="BE168" s="1222">
        <f t="shared" si="144"/>
        <v>60</v>
      </c>
      <c r="BF168" s="1221">
        <f>BD168+BE168</f>
        <v>42843</v>
      </c>
      <c r="BG168" s="1221">
        <f t="shared" si="145"/>
        <v>42782</v>
      </c>
      <c r="BH168" s="1221">
        <f t="shared" si="146"/>
        <v>42842</v>
      </c>
      <c r="BJ168" s="1168">
        <f>VLOOKUP(B168,'Thong tin'!A:R,11,0)</f>
        <v>0</v>
      </c>
      <c r="BL168" s="1220">
        <v>42783</v>
      </c>
    </row>
    <row r="169" spans="1:76" s="1219" customFormat="1" ht="15">
      <c r="A169" s="1217">
        <f>IF(C169="","",COUNTA($C$13:C169))</f>
        <v>157</v>
      </c>
      <c r="B169" s="1239" t="s">
        <v>553</v>
      </c>
      <c r="C169" s="1164">
        <v>0.29166666666666669</v>
      </c>
      <c r="D169" s="1164">
        <f t="shared" si="127"/>
        <v>0.3125</v>
      </c>
      <c r="E169" s="1165">
        <v>42724</v>
      </c>
      <c r="F169" s="1164">
        <f t="shared" si="128"/>
        <v>0.31944444444444442</v>
      </c>
      <c r="G169" s="1164">
        <f t="shared" si="129"/>
        <v>0.32291666666666663</v>
      </c>
      <c r="H169" s="1165">
        <f t="shared" ref="H169:H184" si="147">IF(G169&gt;2,E169+2,IF(G169&gt;1,E169+1,E169))</f>
        <v>42724</v>
      </c>
      <c r="I169" s="1166">
        <v>-2.1000000000000001E-2</v>
      </c>
      <c r="J169" s="1166">
        <v>-8.9999999999999993E-3</v>
      </c>
      <c r="K169" s="1166">
        <v>0.01</v>
      </c>
      <c r="L169" s="1166">
        <v>-0.21</v>
      </c>
      <c r="M169" s="1164">
        <f t="shared" si="130"/>
        <v>0.32638888888888884</v>
      </c>
      <c r="N169" s="1164">
        <f t="shared" si="131"/>
        <v>0.33680555555555552</v>
      </c>
      <c r="O169" s="1165">
        <f t="shared" ref="O169:O184" si="148">IF(N169&gt;2,E169+2,IF(N169&gt;1,E169+1,E169))</f>
        <v>42724</v>
      </c>
      <c r="P169" s="1166">
        <v>1.06</v>
      </c>
      <c r="Q169" s="1166">
        <v>9</v>
      </c>
      <c r="R169" s="1166">
        <v>26</v>
      </c>
      <c r="S169" s="1166">
        <v>0</v>
      </c>
      <c r="T169" s="1164">
        <f t="shared" si="132"/>
        <v>0.46180555555555552</v>
      </c>
      <c r="U169" s="1167">
        <f t="shared" ref="U169:U184" si="149">IF(T169&gt;2,E169+2,IF(T169&gt;1,E169+1,E169))</f>
        <v>42724</v>
      </c>
      <c r="V169" s="1166">
        <v>20.2</v>
      </c>
      <c r="W169" s="1164">
        <f t="shared" si="133"/>
        <v>0.58680555555555558</v>
      </c>
      <c r="X169" s="1167">
        <f t="shared" ref="X169:X184" si="150">IF(W169&gt;2,E169+2,IF(W169&gt;1,E169+1,E169))</f>
        <v>42724</v>
      </c>
      <c r="Y169" s="1166">
        <v>24.8</v>
      </c>
      <c r="Z169" s="1164">
        <f t="shared" si="134"/>
        <v>0.62847222222222221</v>
      </c>
      <c r="AA169" s="1164">
        <f t="shared" si="135"/>
        <v>0.64930555555555547</v>
      </c>
      <c r="AB169" s="1167">
        <f t="shared" ref="AB169:AB184" si="151">IF(AA169&gt;2,E169+2,IF(AA169&gt;1,E169+1,E169))</f>
        <v>42724</v>
      </c>
      <c r="AC169" s="1166">
        <v>24.85</v>
      </c>
      <c r="AD169" s="1164">
        <f t="shared" si="136"/>
        <v>0.65624999999999989</v>
      </c>
      <c r="AE169" s="1164">
        <f t="shared" si="137"/>
        <v>0.66666666666666652</v>
      </c>
      <c r="AF169" s="1167">
        <f t="shared" ref="AF169:AF184" si="152">IF(AE169&gt;2,E169+2,IF(AE169&gt;1,E169+1,E169))</f>
        <v>42724</v>
      </c>
      <c r="AG169" s="1164">
        <f t="shared" si="138"/>
        <v>0.67361111111111094</v>
      </c>
      <c r="AH169" s="1164">
        <f t="shared" si="139"/>
        <v>0.71527777777777757</v>
      </c>
      <c r="AI169" s="1167">
        <f t="shared" ref="AI169:AI184" si="153">IF(AH169&gt;2,E169+2,IF(AH169&gt;1,E169+1,E169))</f>
        <v>42724</v>
      </c>
      <c r="AJ169" s="1164">
        <f t="shared" si="140"/>
        <v>0.73611111111111083</v>
      </c>
      <c r="AK169" s="1164">
        <f t="shared" si="141"/>
        <v>0.74305555555555525</v>
      </c>
      <c r="AL169" s="1167">
        <f t="shared" ref="AL169:AL184" si="154">IF(AK169&gt;2,E169+2,IF(AK169&gt;1,E169+1,E169))</f>
        <v>42724</v>
      </c>
      <c r="AM169" s="1166">
        <v>1.05</v>
      </c>
      <c r="AN169" s="1166">
        <v>9</v>
      </c>
      <c r="AO169" s="1166">
        <v>26</v>
      </c>
      <c r="AP169" s="1166">
        <v>0</v>
      </c>
      <c r="AQ169" s="1164">
        <f t="shared" ref="AQ169:AQ184" si="155">AK169</f>
        <v>0.74305555555555525</v>
      </c>
      <c r="AR169" s="1164">
        <f t="shared" si="142"/>
        <v>0.74999999999999967</v>
      </c>
      <c r="AS169" s="1167">
        <f t="shared" ref="AS169:AS184" si="156">IF(AR169&gt;2,E169+2,IF(AR169&gt;1,E169+1,E169))</f>
        <v>42724</v>
      </c>
      <c r="AT169" s="1166">
        <v>24.85</v>
      </c>
      <c r="AU169" s="1164">
        <f t="shared" ref="AU169:AU184" si="157">AR169</f>
        <v>0.74999999999999967</v>
      </c>
      <c r="AV169" s="1167">
        <f t="shared" ref="AV169:AV184" si="158">IF(AU169&gt;2,E169+2,IF(AU169&gt;1,E169+1,E169))</f>
        <v>42724</v>
      </c>
      <c r="AW169" s="1164">
        <f t="shared" ref="AW169:AW184" si="159">AU169+$BC$13*BA169</f>
        <v>0.80555555555555525</v>
      </c>
      <c r="AX169" s="1167">
        <f t="shared" ref="AX169:AX184" si="160">IF(AW169&gt;2,E169+2,IF(AW169&gt;1,E169+1,E169))</f>
        <v>42724</v>
      </c>
      <c r="AY169" s="1166">
        <v>7.6</v>
      </c>
      <c r="AZ169" s="1166">
        <v>24</v>
      </c>
      <c r="BA169" s="1168">
        <f>VLOOKUP(B169,ĐTBT!$V:$W,2,0)</f>
        <v>4</v>
      </c>
      <c r="BB169" s="1168"/>
      <c r="BC169" s="1168"/>
      <c r="BD169" s="1168"/>
      <c r="BE169" s="1168"/>
      <c r="BF169" s="1168"/>
      <c r="BG169" s="1168"/>
      <c r="BH169" s="1168"/>
      <c r="BI169" s="1168">
        <f t="shared" ref="BI169:BI184" si="161">AX169-E169</f>
        <v>0</v>
      </c>
      <c r="BJ169" s="1168">
        <f>VLOOKUP(B169,'Thong tin'!A:R,11,0)</f>
        <v>4</v>
      </c>
      <c r="BU169" s="1220">
        <v>42672</v>
      </c>
      <c r="BX169" s="1220">
        <v>42723</v>
      </c>
    </row>
    <row r="170" spans="1:76" s="1219" customFormat="1" ht="15">
      <c r="A170" s="1217">
        <f>IF(C170="","",COUNTA($C$13:C170))</f>
        <v>158</v>
      </c>
      <c r="B170" s="1239" t="s">
        <v>648</v>
      </c>
      <c r="C170" s="1164">
        <v>0.35416666666666669</v>
      </c>
      <c r="D170" s="1164">
        <f t="shared" si="127"/>
        <v>0.375</v>
      </c>
      <c r="E170" s="1165">
        <v>42724</v>
      </c>
      <c r="F170" s="1164">
        <f t="shared" si="128"/>
        <v>0.38194444444444442</v>
      </c>
      <c r="G170" s="1164">
        <f t="shared" si="129"/>
        <v>0.38541666666666663</v>
      </c>
      <c r="H170" s="1165">
        <f t="shared" si="147"/>
        <v>42724</v>
      </c>
      <c r="I170" s="1166">
        <v>-1.7999999999999999E-2</v>
      </c>
      <c r="J170" s="1166">
        <v>-1.6E-2</v>
      </c>
      <c r="K170" s="1166">
        <v>-0.16200000000000001</v>
      </c>
      <c r="L170" s="1166">
        <v>-0.59699999999999998</v>
      </c>
      <c r="M170" s="1164">
        <f t="shared" si="130"/>
        <v>0.38888888888888884</v>
      </c>
      <c r="N170" s="1164">
        <f t="shared" si="131"/>
        <v>0.39930555555555552</v>
      </c>
      <c r="O170" s="1165">
        <f t="shared" si="148"/>
        <v>42724</v>
      </c>
      <c r="P170" s="1166">
        <v>1.06</v>
      </c>
      <c r="Q170" s="1166">
        <v>9</v>
      </c>
      <c r="R170" s="1166">
        <v>26</v>
      </c>
      <c r="S170" s="1166">
        <v>0</v>
      </c>
      <c r="T170" s="1164">
        <f t="shared" si="132"/>
        <v>0.52430555555555558</v>
      </c>
      <c r="U170" s="1167">
        <f t="shared" si="149"/>
        <v>42724</v>
      </c>
      <c r="V170" s="1166">
        <v>20.7</v>
      </c>
      <c r="W170" s="1164">
        <f t="shared" si="133"/>
        <v>0.64930555555555558</v>
      </c>
      <c r="X170" s="1167">
        <f t="shared" si="150"/>
        <v>42724</v>
      </c>
      <c r="Y170" s="1166">
        <v>26.81</v>
      </c>
      <c r="Z170" s="1164">
        <f t="shared" si="134"/>
        <v>0.69097222222222221</v>
      </c>
      <c r="AA170" s="1164">
        <f t="shared" si="135"/>
        <v>0.71180555555555547</v>
      </c>
      <c r="AB170" s="1167">
        <f t="shared" si="151"/>
        <v>42724</v>
      </c>
      <c r="AC170" s="1166">
        <v>26.85</v>
      </c>
      <c r="AD170" s="1164">
        <f t="shared" si="136"/>
        <v>0.71874999999999989</v>
      </c>
      <c r="AE170" s="1164">
        <f t="shared" si="137"/>
        <v>0.72916666666666652</v>
      </c>
      <c r="AF170" s="1167">
        <f t="shared" si="152"/>
        <v>42724</v>
      </c>
      <c r="AG170" s="1164">
        <f t="shared" si="138"/>
        <v>0.73611111111111094</v>
      </c>
      <c r="AH170" s="1164">
        <f t="shared" si="139"/>
        <v>0.77777777777777757</v>
      </c>
      <c r="AI170" s="1167">
        <f t="shared" si="153"/>
        <v>42724</v>
      </c>
      <c r="AJ170" s="1164">
        <f t="shared" si="140"/>
        <v>0.79861111111111083</v>
      </c>
      <c r="AK170" s="1164">
        <f t="shared" si="141"/>
        <v>0.80555555555555525</v>
      </c>
      <c r="AL170" s="1167">
        <f t="shared" si="154"/>
        <v>42724</v>
      </c>
      <c r="AM170" s="1166">
        <v>1.06</v>
      </c>
      <c r="AN170" s="1166">
        <v>9</v>
      </c>
      <c r="AO170" s="1166">
        <v>24</v>
      </c>
      <c r="AP170" s="1166">
        <v>0</v>
      </c>
      <c r="AQ170" s="1164">
        <f t="shared" si="155"/>
        <v>0.80555555555555525</v>
      </c>
      <c r="AR170" s="1164">
        <f t="shared" si="142"/>
        <v>0.81249999999999967</v>
      </c>
      <c r="AS170" s="1167">
        <f t="shared" si="156"/>
        <v>42724</v>
      </c>
      <c r="AT170" s="1166">
        <v>26.85</v>
      </c>
      <c r="AU170" s="1164">
        <f t="shared" si="157"/>
        <v>0.81249999999999967</v>
      </c>
      <c r="AV170" s="1167">
        <f t="shared" si="158"/>
        <v>42724</v>
      </c>
      <c r="AW170" s="1164">
        <f t="shared" si="159"/>
        <v>0.8541666666666663</v>
      </c>
      <c r="AX170" s="1167">
        <f t="shared" si="160"/>
        <v>42724</v>
      </c>
      <c r="AY170" s="1166">
        <v>8.4</v>
      </c>
      <c r="AZ170" s="1166">
        <v>24</v>
      </c>
      <c r="BA170" s="1168">
        <f>VLOOKUP(B170,ĐTBT!$V:$W,2,0)</f>
        <v>3</v>
      </c>
      <c r="BB170" s="1168"/>
      <c r="BC170" s="1221">
        <v>42720</v>
      </c>
      <c r="BD170" s="1221"/>
      <c r="BE170" s="1222">
        <f>BC170-AX170</f>
        <v>-4</v>
      </c>
      <c r="BF170" s="1222"/>
      <c r="BG170" s="1221">
        <f>BC170-1</f>
        <v>42719</v>
      </c>
      <c r="BH170" s="1221">
        <f>BG170+BE170</f>
        <v>42715</v>
      </c>
      <c r="BI170" s="1168">
        <f t="shared" si="161"/>
        <v>0</v>
      </c>
      <c r="BJ170" s="1168">
        <f>VLOOKUP(B170,'Thong tin'!A:R,11,0)</f>
        <v>4</v>
      </c>
      <c r="BU170" s="1220">
        <v>42678</v>
      </c>
      <c r="BX170" s="1220">
        <v>42734</v>
      </c>
    </row>
    <row r="171" spans="1:76" s="1219" customFormat="1" ht="15">
      <c r="A171" s="1217">
        <f>IF(C171="","",COUNTA($C$13:C171))</f>
        <v>159</v>
      </c>
      <c r="B171" s="1239" t="s">
        <v>622</v>
      </c>
      <c r="C171" s="1164">
        <v>0.32291666666666669</v>
      </c>
      <c r="D171" s="1164">
        <f t="shared" si="127"/>
        <v>0.34375</v>
      </c>
      <c r="E171" s="1165">
        <v>42724</v>
      </c>
      <c r="F171" s="1164">
        <f t="shared" si="128"/>
        <v>0.35069444444444442</v>
      </c>
      <c r="G171" s="1164">
        <f t="shared" si="129"/>
        <v>0.35416666666666663</v>
      </c>
      <c r="H171" s="1165">
        <f t="shared" si="147"/>
        <v>42724</v>
      </c>
      <c r="I171" s="1166">
        <v>7.0000000000000001E-3</v>
      </c>
      <c r="J171" s="1166">
        <v>2.9000000000000001E-2</v>
      </c>
      <c r="K171" s="1166">
        <v>0.20300000000000001</v>
      </c>
      <c r="L171" s="1166">
        <v>-0.27900000000000003</v>
      </c>
      <c r="M171" s="1164">
        <f t="shared" si="130"/>
        <v>0.35763888888888884</v>
      </c>
      <c r="N171" s="1164">
        <f t="shared" si="131"/>
        <v>0.36805555555555552</v>
      </c>
      <c r="O171" s="1165">
        <f t="shared" si="148"/>
        <v>42724</v>
      </c>
      <c r="P171" s="1166">
        <v>1.06</v>
      </c>
      <c r="Q171" s="1166">
        <v>9</v>
      </c>
      <c r="R171" s="1166">
        <v>26</v>
      </c>
      <c r="S171" s="1166">
        <v>0</v>
      </c>
      <c r="T171" s="1164">
        <f t="shared" si="132"/>
        <v>0.49305555555555552</v>
      </c>
      <c r="U171" s="1167">
        <f t="shared" si="149"/>
        <v>42724</v>
      </c>
      <c r="V171" s="1166">
        <v>23.2</v>
      </c>
      <c r="W171" s="1164">
        <f t="shared" si="133"/>
        <v>0.61805555555555558</v>
      </c>
      <c r="X171" s="1167">
        <f t="shared" si="150"/>
        <v>42724</v>
      </c>
      <c r="Y171" s="1166">
        <v>24.95</v>
      </c>
      <c r="Z171" s="1164">
        <f t="shared" si="134"/>
        <v>0.65972222222222221</v>
      </c>
      <c r="AA171" s="1164">
        <f t="shared" si="135"/>
        <v>0.68055555555555547</v>
      </c>
      <c r="AB171" s="1167">
        <f t="shared" si="151"/>
        <v>42724</v>
      </c>
      <c r="AC171" s="1166">
        <v>24.97</v>
      </c>
      <c r="AD171" s="1164">
        <f t="shared" si="136"/>
        <v>0.68749999999999989</v>
      </c>
      <c r="AE171" s="1164">
        <f t="shared" si="137"/>
        <v>0.69791666666666652</v>
      </c>
      <c r="AF171" s="1167">
        <f t="shared" si="152"/>
        <v>42724</v>
      </c>
      <c r="AG171" s="1164">
        <f t="shared" si="138"/>
        <v>0.70486111111111094</v>
      </c>
      <c r="AH171" s="1164">
        <f t="shared" si="139"/>
        <v>0.73611111111111094</v>
      </c>
      <c r="AI171" s="1167">
        <f t="shared" si="153"/>
        <v>42724</v>
      </c>
      <c r="AJ171" s="1164">
        <f t="shared" si="140"/>
        <v>0.7569444444444442</v>
      </c>
      <c r="AK171" s="1164">
        <f t="shared" si="141"/>
        <v>0.76388888888888862</v>
      </c>
      <c r="AL171" s="1167">
        <f t="shared" si="154"/>
        <v>42724</v>
      </c>
      <c r="AM171" s="1166">
        <v>1.06</v>
      </c>
      <c r="AN171" s="1166">
        <v>9</v>
      </c>
      <c r="AO171" s="1166">
        <v>22</v>
      </c>
      <c r="AP171" s="1166">
        <v>0</v>
      </c>
      <c r="AQ171" s="1164">
        <f t="shared" si="155"/>
        <v>0.76388888888888862</v>
      </c>
      <c r="AR171" s="1164">
        <f t="shared" si="142"/>
        <v>0.77083333333333304</v>
      </c>
      <c r="AS171" s="1167">
        <f t="shared" si="156"/>
        <v>42724</v>
      </c>
      <c r="AT171" s="1166">
        <v>24.97</v>
      </c>
      <c r="AU171" s="1164">
        <f t="shared" si="157"/>
        <v>0.77083333333333304</v>
      </c>
      <c r="AV171" s="1167">
        <f t="shared" si="158"/>
        <v>42724</v>
      </c>
      <c r="AW171" s="1164">
        <f t="shared" si="159"/>
        <v>0.78472222222222188</v>
      </c>
      <c r="AX171" s="1167">
        <f t="shared" si="160"/>
        <v>42724</v>
      </c>
      <c r="AY171" s="1166">
        <v>6</v>
      </c>
      <c r="AZ171" s="1166">
        <v>11</v>
      </c>
      <c r="BA171" s="1168">
        <f>VLOOKUP(B171,ĐTBT!$V:$W,2,0)</f>
        <v>1</v>
      </c>
      <c r="BB171" s="1168"/>
      <c r="BC171" s="1168"/>
      <c r="BD171" s="1168"/>
      <c r="BE171" s="1168"/>
      <c r="BF171" s="1168"/>
      <c r="BG171" s="1168"/>
      <c r="BH171" s="1168"/>
      <c r="BI171" s="1168">
        <f t="shared" si="161"/>
        <v>0</v>
      </c>
      <c r="BJ171" s="1168">
        <f>VLOOKUP(B171,'Thong tin'!A:R,11,0)</f>
        <v>0</v>
      </c>
      <c r="BO171" s="1219">
        <f>BO148-BO146</f>
        <v>80</v>
      </c>
      <c r="BU171" s="1220">
        <v>42667</v>
      </c>
      <c r="BX171" s="1220">
        <v>42713</v>
      </c>
    </row>
    <row r="172" spans="1:76" s="1219" customFormat="1" ht="15">
      <c r="A172" s="1217">
        <f>IF(C172="","",COUNTA($C$13:C172))</f>
        <v>160</v>
      </c>
      <c r="B172" s="1239" t="s">
        <v>558</v>
      </c>
      <c r="C172" s="1164">
        <v>0.58333333333333337</v>
      </c>
      <c r="D172" s="1164">
        <f t="shared" si="127"/>
        <v>0.60416666666666663</v>
      </c>
      <c r="E172" s="1165">
        <v>42725</v>
      </c>
      <c r="F172" s="1164">
        <f t="shared" si="128"/>
        <v>0.61111111111111105</v>
      </c>
      <c r="G172" s="1164">
        <f t="shared" si="129"/>
        <v>0.61458333333333326</v>
      </c>
      <c r="H172" s="1165">
        <f t="shared" si="147"/>
        <v>42725</v>
      </c>
      <c r="I172" s="1166">
        <v>-1.9E-2</v>
      </c>
      <c r="J172" s="1166">
        <v>-1.4999999999999999E-2</v>
      </c>
      <c r="K172" s="1166">
        <v>-0.01</v>
      </c>
      <c r="L172" s="1166">
        <v>-0.55400000000000005</v>
      </c>
      <c r="M172" s="1164">
        <f t="shared" si="130"/>
        <v>0.61805555555555547</v>
      </c>
      <c r="N172" s="1164">
        <f t="shared" si="131"/>
        <v>0.6284722222222221</v>
      </c>
      <c r="O172" s="1165">
        <f t="shared" si="148"/>
        <v>42725</v>
      </c>
      <c r="P172" s="1166">
        <v>1.05</v>
      </c>
      <c r="Q172" s="1166">
        <v>9</v>
      </c>
      <c r="R172" s="1166">
        <v>27</v>
      </c>
      <c r="S172" s="1166">
        <v>0</v>
      </c>
      <c r="T172" s="1164">
        <f t="shared" si="132"/>
        <v>0.7534722222222221</v>
      </c>
      <c r="U172" s="1167">
        <f t="shared" si="149"/>
        <v>42725</v>
      </c>
      <c r="V172" s="1166">
        <v>21.06</v>
      </c>
      <c r="W172" s="1164">
        <f t="shared" si="133"/>
        <v>0.8784722222222221</v>
      </c>
      <c r="X172" s="1167">
        <f t="shared" si="150"/>
        <v>42725</v>
      </c>
      <c r="Y172" s="1166">
        <v>24.7</v>
      </c>
      <c r="Z172" s="1164">
        <f t="shared" si="134"/>
        <v>0.92013888888888873</v>
      </c>
      <c r="AA172" s="1164">
        <f t="shared" si="135"/>
        <v>0.94097222222222199</v>
      </c>
      <c r="AB172" s="1167">
        <f t="shared" si="151"/>
        <v>42725</v>
      </c>
      <c r="AC172" s="1166">
        <v>24.75</v>
      </c>
      <c r="AD172" s="1164">
        <f t="shared" si="136"/>
        <v>0.94791666666666641</v>
      </c>
      <c r="AE172" s="1164">
        <f t="shared" si="137"/>
        <v>0.95833333333333304</v>
      </c>
      <c r="AF172" s="1167">
        <f t="shared" si="152"/>
        <v>42725</v>
      </c>
      <c r="AG172" s="1164">
        <f t="shared" si="138"/>
        <v>0.96527777777777746</v>
      </c>
      <c r="AH172" s="1164">
        <f t="shared" si="139"/>
        <v>0.99652777777777746</v>
      </c>
      <c r="AI172" s="1167">
        <f t="shared" si="153"/>
        <v>42725</v>
      </c>
      <c r="AJ172" s="1164">
        <f t="shared" si="140"/>
        <v>1.0173611111111107</v>
      </c>
      <c r="AK172" s="1164">
        <f t="shared" si="141"/>
        <v>1.0243055555555551</v>
      </c>
      <c r="AL172" s="1167">
        <f t="shared" si="154"/>
        <v>42726</v>
      </c>
      <c r="AM172" s="1166">
        <v>1.05</v>
      </c>
      <c r="AN172" s="1166">
        <v>9</v>
      </c>
      <c r="AO172" s="1166">
        <v>24</v>
      </c>
      <c r="AP172" s="1166">
        <v>0</v>
      </c>
      <c r="AQ172" s="1164">
        <f t="shared" si="155"/>
        <v>1.0243055555555551</v>
      </c>
      <c r="AR172" s="1164">
        <f t="shared" si="142"/>
        <v>1.0312499999999996</v>
      </c>
      <c r="AS172" s="1167">
        <f t="shared" si="156"/>
        <v>42726</v>
      </c>
      <c r="AT172" s="1166">
        <v>24.75</v>
      </c>
      <c r="AU172" s="1164">
        <f t="shared" si="157"/>
        <v>1.0312499999999996</v>
      </c>
      <c r="AV172" s="1167">
        <f t="shared" si="158"/>
        <v>42726</v>
      </c>
      <c r="AW172" s="1164">
        <f t="shared" si="159"/>
        <v>1.0729166666666663</v>
      </c>
      <c r="AX172" s="1167">
        <f t="shared" si="160"/>
        <v>42726</v>
      </c>
      <c r="AY172" s="1166">
        <v>7.5</v>
      </c>
      <c r="AZ172" s="1166">
        <v>24</v>
      </c>
      <c r="BA172" s="1168">
        <f>VLOOKUP(B172,ĐTBT!$V:$W,2,0)</f>
        <v>3</v>
      </c>
      <c r="BB172" s="1168"/>
      <c r="BC172" s="1168"/>
      <c r="BD172" s="1168"/>
      <c r="BE172" s="1168"/>
      <c r="BF172" s="1168"/>
      <c r="BG172" s="1168"/>
      <c r="BH172" s="1168"/>
      <c r="BI172" s="1168">
        <f t="shared" si="161"/>
        <v>1</v>
      </c>
      <c r="BJ172" s="1168">
        <f>VLOOKUP(B172,'Thong tin'!A:R,11,0)</f>
        <v>0</v>
      </c>
      <c r="BU172" s="1220">
        <v>42675</v>
      </c>
      <c r="BX172" s="1220">
        <v>42729</v>
      </c>
    </row>
    <row r="173" spans="1:76" s="1219" customFormat="1" ht="15">
      <c r="A173" s="1217">
        <f>IF(C173="","",COUNTA($C$13:C173))</f>
        <v>161</v>
      </c>
      <c r="B173" s="1239" t="s">
        <v>653</v>
      </c>
      <c r="C173" s="1164">
        <v>0.375</v>
      </c>
      <c r="D173" s="1164">
        <f t="shared" ref="D173:D204" si="162">C173+$D$319</f>
        <v>0.39583333333333331</v>
      </c>
      <c r="E173" s="1165">
        <v>42725</v>
      </c>
      <c r="F173" s="1164">
        <f t="shared" ref="F173:F204" si="163">D173+$D$315</f>
        <v>0.40277777777777773</v>
      </c>
      <c r="G173" s="1164">
        <f t="shared" ref="G173:G204" si="164">F173+$D$314</f>
        <v>0.40624999999999994</v>
      </c>
      <c r="H173" s="1165">
        <f t="shared" si="147"/>
        <v>42725</v>
      </c>
      <c r="I173" s="1166">
        <v>-2.5000000000000001E-2</v>
      </c>
      <c r="J173" s="1166">
        <v>0.01</v>
      </c>
      <c r="K173" s="1166">
        <v>-0.16</v>
      </c>
      <c r="L173" s="1166">
        <v>-0.68300000000000005</v>
      </c>
      <c r="M173" s="1164">
        <f t="shared" ref="M173:M204" si="165">G173+$D$314</f>
        <v>0.40972222222222215</v>
      </c>
      <c r="N173" s="1164">
        <f t="shared" ref="N173:N204" si="166">M173+$D$316</f>
        <v>0.42013888888888884</v>
      </c>
      <c r="O173" s="1165">
        <f t="shared" si="148"/>
        <v>42725</v>
      </c>
      <c r="P173" s="1166">
        <v>1.06</v>
      </c>
      <c r="Q173" s="1166">
        <v>9</v>
      </c>
      <c r="R173" s="1166">
        <v>26</v>
      </c>
      <c r="S173" s="1166">
        <v>0</v>
      </c>
      <c r="T173" s="1164">
        <f t="shared" ref="T173:T204" si="167">N173+$D$344</f>
        <v>0.54513888888888884</v>
      </c>
      <c r="U173" s="1167">
        <f t="shared" si="149"/>
        <v>42725</v>
      </c>
      <c r="V173" s="1166">
        <v>20.6</v>
      </c>
      <c r="W173" s="1164">
        <f t="shared" ref="W173:W204" si="168">T173+$D$344</f>
        <v>0.67013888888888884</v>
      </c>
      <c r="X173" s="1167">
        <f t="shared" si="150"/>
        <v>42725</v>
      </c>
      <c r="Y173" s="1166">
        <v>28.2</v>
      </c>
      <c r="Z173" s="1164">
        <f t="shared" ref="Z173:Z204" si="169">W173+$D$325</f>
        <v>0.71180555555555547</v>
      </c>
      <c r="AA173" s="1164">
        <f t="shared" ref="AA173:AA204" si="170">Z173+$D$319</f>
        <v>0.73263888888888873</v>
      </c>
      <c r="AB173" s="1167">
        <f t="shared" si="151"/>
        <v>42725</v>
      </c>
      <c r="AC173" s="1166">
        <v>28.2</v>
      </c>
      <c r="AD173" s="1164">
        <f t="shared" ref="AD173:AD204" si="171">AA173+$D$315</f>
        <v>0.73958333333333315</v>
      </c>
      <c r="AE173" s="1164">
        <f t="shared" ref="AE173:AE204" si="172">AD173+$D$316</f>
        <v>0.74999999999999978</v>
      </c>
      <c r="AF173" s="1167">
        <f t="shared" si="152"/>
        <v>42725</v>
      </c>
      <c r="AG173" s="1164">
        <f t="shared" ref="AG173:AG204" si="173">AE173+$D$315</f>
        <v>0.7569444444444442</v>
      </c>
      <c r="AH173" s="1164">
        <f t="shared" ref="AH173:AH204" si="174">IF(BJ173&gt;0,AG173+$D$325,AG173+$D$322)</f>
        <v>0.7881944444444442</v>
      </c>
      <c r="AI173" s="1167">
        <f t="shared" si="153"/>
        <v>42725</v>
      </c>
      <c r="AJ173" s="1164">
        <f t="shared" ref="AJ173:AJ204" si="175">AH173+$D$319</f>
        <v>0.80902777777777746</v>
      </c>
      <c r="AK173" s="1164">
        <f t="shared" ref="AK173:AK204" si="176">AJ173+$D$315</f>
        <v>0.81597222222222188</v>
      </c>
      <c r="AL173" s="1167">
        <f t="shared" si="154"/>
        <v>42725</v>
      </c>
      <c r="AM173" s="1166">
        <v>1.05</v>
      </c>
      <c r="AN173" s="1166">
        <v>9</v>
      </c>
      <c r="AO173" s="1166">
        <v>25</v>
      </c>
      <c r="AP173" s="1166">
        <v>0</v>
      </c>
      <c r="AQ173" s="1164">
        <f t="shared" si="155"/>
        <v>0.81597222222222188</v>
      </c>
      <c r="AR173" s="1164">
        <f t="shared" ref="AR173:AR204" si="177">AQ173+$D$315</f>
        <v>0.8229166666666663</v>
      </c>
      <c r="AS173" s="1167">
        <f t="shared" si="156"/>
        <v>42725</v>
      </c>
      <c r="AT173" s="1166">
        <v>28.2</v>
      </c>
      <c r="AU173" s="1164">
        <f t="shared" si="157"/>
        <v>0.8229166666666663</v>
      </c>
      <c r="AV173" s="1167">
        <f t="shared" si="158"/>
        <v>42725</v>
      </c>
      <c r="AW173" s="1164">
        <f t="shared" si="159"/>
        <v>0.86458333333333293</v>
      </c>
      <c r="AX173" s="1167">
        <f t="shared" si="160"/>
        <v>42725</v>
      </c>
      <c r="AY173" s="1166">
        <v>8.4</v>
      </c>
      <c r="AZ173" s="1166">
        <v>27</v>
      </c>
      <c r="BA173" s="1168">
        <f>VLOOKUP(B173,ĐTBT!$V:$W,2,0)</f>
        <v>3</v>
      </c>
      <c r="BB173" s="1168"/>
      <c r="BC173" s="1221">
        <v>42721</v>
      </c>
      <c r="BD173" s="1221"/>
      <c r="BE173" s="1222">
        <f>BC173-AX173</f>
        <v>-4</v>
      </c>
      <c r="BF173" s="1222"/>
      <c r="BG173" s="1221">
        <f>BC173-1</f>
        <v>42720</v>
      </c>
      <c r="BH173" s="1221">
        <f>BG173+BE173</f>
        <v>42716</v>
      </c>
      <c r="BI173" s="1168">
        <f t="shared" si="161"/>
        <v>0</v>
      </c>
      <c r="BJ173" s="1168">
        <f>VLOOKUP(B173,'Thong tin'!A:R,11,0)</f>
        <v>0</v>
      </c>
      <c r="BU173" s="1220">
        <v>42680</v>
      </c>
      <c r="BX173" s="1220">
        <v>42739</v>
      </c>
    </row>
    <row r="174" spans="1:76" s="1219" customFormat="1" ht="15">
      <c r="A174" s="1217">
        <f>IF(C174="","",COUNTA($C$13:C174))</f>
        <v>162</v>
      </c>
      <c r="B174" s="1239" t="s">
        <v>665</v>
      </c>
      <c r="C174" s="1164">
        <v>0.3888888888888889</v>
      </c>
      <c r="D174" s="1164">
        <f t="shared" si="162"/>
        <v>0.40972222222222221</v>
      </c>
      <c r="E174" s="1165">
        <v>42726</v>
      </c>
      <c r="F174" s="1164">
        <f t="shared" si="163"/>
        <v>0.41666666666666663</v>
      </c>
      <c r="G174" s="1164">
        <f t="shared" si="164"/>
        <v>0.42013888888888884</v>
      </c>
      <c r="H174" s="1165">
        <f t="shared" si="147"/>
        <v>42726</v>
      </c>
      <c r="I174" s="1166">
        <v>0.115</v>
      </c>
      <c r="J174" s="1166">
        <v>-0.02</v>
      </c>
      <c r="K174" s="1166">
        <v>1.2999999999999999E-2</v>
      </c>
      <c r="L174" s="1166">
        <v>-0.29599999999999999</v>
      </c>
      <c r="M174" s="1164">
        <f t="shared" si="165"/>
        <v>0.42361111111111105</v>
      </c>
      <c r="N174" s="1164">
        <f t="shared" si="166"/>
        <v>0.43402777777777773</v>
      </c>
      <c r="O174" s="1165">
        <f t="shared" si="148"/>
        <v>42726</v>
      </c>
      <c r="P174" s="1166">
        <v>1.05</v>
      </c>
      <c r="Q174" s="1166">
        <v>9</v>
      </c>
      <c r="R174" s="1166">
        <v>23</v>
      </c>
      <c r="S174" s="1166">
        <v>0</v>
      </c>
      <c r="T174" s="1164">
        <f t="shared" si="167"/>
        <v>0.55902777777777768</v>
      </c>
      <c r="U174" s="1167">
        <f t="shared" si="149"/>
        <v>42726</v>
      </c>
      <c r="V174" s="1166">
        <v>21.1</v>
      </c>
      <c r="W174" s="1164">
        <f t="shared" si="168"/>
        <v>0.68402777777777768</v>
      </c>
      <c r="X174" s="1167">
        <f t="shared" si="150"/>
        <v>42726</v>
      </c>
      <c r="Y174" s="1166">
        <v>28.35</v>
      </c>
      <c r="Z174" s="1164">
        <f t="shared" si="169"/>
        <v>0.72569444444444431</v>
      </c>
      <c r="AA174" s="1164">
        <f t="shared" si="170"/>
        <v>0.74652777777777757</v>
      </c>
      <c r="AB174" s="1167">
        <f t="shared" si="151"/>
        <v>42726</v>
      </c>
      <c r="AC174" s="1166">
        <v>28.4</v>
      </c>
      <c r="AD174" s="1164">
        <f t="shared" si="171"/>
        <v>0.75347222222222199</v>
      </c>
      <c r="AE174" s="1164">
        <f t="shared" si="172"/>
        <v>0.76388888888888862</v>
      </c>
      <c r="AF174" s="1167">
        <f t="shared" si="152"/>
        <v>42726</v>
      </c>
      <c r="AG174" s="1164">
        <f t="shared" si="173"/>
        <v>0.77083333333333304</v>
      </c>
      <c r="AH174" s="1164">
        <f t="shared" si="174"/>
        <v>0.80208333333333304</v>
      </c>
      <c r="AI174" s="1167">
        <f t="shared" si="153"/>
        <v>42726</v>
      </c>
      <c r="AJ174" s="1164">
        <f t="shared" si="175"/>
        <v>0.8229166666666663</v>
      </c>
      <c r="AK174" s="1164">
        <f t="shared" si="176"/>
        <v>0.82986111111111072</v>
      </c>
      <c r="AL174" s="1167">
        <f t="shared" si="154"/>
        <v>42726</v>
      </c>
      <c r="AM174" s="1166">
        <v>1.06</v>
      </c>
      <c r="AN174" s="1166">
        <v>9</v>
      </c>
      <c r="AO174" s="1166">
        <v>25</v>
      </c>
      <c r="AP174" s="1166">
        <v>0</v>
      </c>
      <c r="AQ174" s="1164">
        <f t="shared" si="155"/>
        <v>0.82986111111111072</v>
      </c>
      <c r="AR174" s="1164">
        <f t="shared" si="177"/>
        <v>0.83680555555555514</v>
      </c>
      <c r="AS174" s="1167">
        <f t="shared" si="156"/>
        <v>42726</v>
      </c>
      <c r="AT174" s="1166">
        <v>28.4</v>
      </c>
      <c r="AU174" s="1164">
        <f t="shared" si="157"/>
        <v>0.83680555555555514</v>
      </c>
      <c r="AV174" s="1167">
        <f t="shared" si="158"/>
        <v>42726</v>
      </c>
      <c r="AW174" s="1164">
        <f t="shared" si="159"/>
        <v>0.87847222222222177</v>
      </c>
      <c r="AX174" s="1167">
        <f t="shared" si="160"/>
        <v>42726</v>
      </c>
      <c r="AY174" s="1166">
        <v>7.5</v>
      </c>
      <c r="AZ174" s="1166">
        <v>27</v>
      </c>
      <c r="BA174" s="1168">
        <f>VLOOKUP(B174,ĐTBT!$V:$W,2,0)</f>
        <v>3</v>
      </c>
      <c r="BB174" s="1168"/>
      <c r="BC174" s="1168"/>
      <c r="BD174" s="1168"/>
      <c r="BE174" s="1168"/>
      <c r="BF174" s="1168"/>
      <c r="BG174" s="1168"/>
      <c r="BH174" s="1168"/>
      <c r="BI174" s="1168">
        <f t="shared" si="161"/>
        <v>0</v>
      </c>
      <c r="BJ174" s="1168">
        <f>VLOOKUP(B174,'Thong tin'!A:R,11,0)</f>
        <v>0</v>
      </c>
      <c r="BU174" s="1220">
        <v>42686</v>
      </c>
      <c r="BX174" s="1220">
        <v>42694</v>
      </c>
    </row>
    <row r="175" spans="1:76" s="1219" customFormat="1" ht="15">
      <c r="A175" s="1217">
        <f>IF(C175="","",COUNTA($C$13:C175))</f>
        <v>163</v>
      </c>
      <c r="B175" s="1239" t="s">
        <v>692</v>
      </c>
      <c r="C175" s="1164">
        <v>0.38194444444444442</v>
      </c>
      <c r="D175" s="1164">
        <f t="shared" si="162"/>
        <v>0.40277777777777773</v>
      </c>
      <c r="E175" s="1165">
        <v>42726</v>
      </c>
      <c r="F175" s="1164">
        <f t="shared" si="163"/>
        <v>0.40972222222222215</v>
      </c>
      <c r="G175" s="1164">
        <f t="shared" si="164"/>
        <v>0.41319444444444436</v>
      </c>
      <c r="H175" s="1165">
        <f t="shared" si="147"/>
        <v>42726</v>
      </c>
      <c r="I175" s="1166">
        <v>7.0000000000000001E-3</v>
      </c>
      <c r="J175" s="1166">
        <v>1.4E-2</v>
      </c>
      <c r="K175" s="1166">
        <v>-0.36199999999999999</v>
      </c>
      <c r="L175" s="1166">
        <v>-0.59</v>
      </c>
      <c r="M175" s="1164">
        <f t="shared" si="165"/>
        <v>0.41666666666666657</v>
      </c>
      <c r="N175" s="1164">
        <f t="shared" si="166"/>
        <v>0.42708333333333326</v>
      </c>
      <c r="O175" s="1165">
        <f t="shared" si="148"/>
        <v>42726</v>
      </c>
      <c r="P175" s="1166">
        <v>1.06</v>
      </c>
      <c r="Q175" s="1166">
        <v>9</v>
      </c>
      <c r="R175" s="1166">
        <v>23</v>
      </c>
      <c r="S175" s="1166">
        <v>0</v>
      </c>
      <c r="T175" s="1164">
        <f t="shared" si="167"/>
        <v>0.55208333333333326</v>
      </c>
      <c r="U175" s="1167">
        <f t="shared" si="149"/>
        <v>42726</v>
      </c>
      <c r="V175" s="1166">
        <v>20.5</v>
      </c>
      <c r="W175" s="1164">
        <f t="shared" si="168"/>
        <v>0.67708333333333326</v>
      </c>
      <c r="X175" s="1167">
        <f t="shared" si="150"/>
        <v>42726</v>
      </c>
      <c r="Y175" s="1166">
        <v>42.8</v>
      </c>
      <c r="Z175" s="1164">
        <f t="shared" si="169"/>
        <v>0.71874999999999989</v>
      </c>
      <c r="AA175" s="1164">
        <f t="shared" si="170"/>
        <v>0.73958333333333315</v>
      </c>
      <c r="AB175" s="1167">
        <f t="shared" si="151"/>
        <v>42726</v>
      </c>
      <c r="AC175" s="1166">
        <v>42.85</v>
      </c>
      <c r="AD175" s="1164">
        <f t="shared" si="171"/>
        <v>0.74652777777777757</v>
      </c>
      <c r="AE175" s="1164">
        <f t="shared" si="172"/>
        <v>0.7569444444444442</v>
      </c>
      <c r="AF175" s="1167">
        <f t="shared" si="152"/>
        <v>42726</v>
      </c>
      <c r="AG175" s="1164">
        <f t="shared" si="173"/>
        <v>0.76388888888888862</v>
      </c>
      <c r="AH175" s="1164">
        <f t="shared" si="174"/>
        <v>0.79513888888888862</v>
      </c>
      <c r="AI175" s="1167">
        <f t="shared" si="153"/>
        <v>42726</v>
      </c>
      <c r="AJ175" s="1164">
        <f t="shared" si="175"/>
        <v>0.81597222222222188</v>
      </c>
      <c r="AK175" s="1164">
        <f t="shared" si="176"/>
        <v>0.8229166666666663</v>
      </c>
      <c r="AL175" s="1167">
        <f t="shared" si="154"/>
        <v>42726</v>
      </c>
      <c r="AM175" s="1166">
        <v>1.06</v>
      </c>
      <c r="AN175" s="1166">
        <v>9</v>
      </c>
      <c r="AO175" s="1166">
        <v>25</v>
      </c>
      <c r="AP175" s="1166">
        <v>0</v>
      </c>
      <c r="AQ175" s="1164">
        <f t="shared" si="155"/>
        <v>0.8229166666666663</v>
      </c>
      <c r="AR175" s="1164">
        <f t="shared" si="177"/>
        <v>0.82986111111111072</v>
      </c>
      <c r="AS175" s="1167">
        <f t="shared" si="156"/>
        <v>42726</v>
      </c>
      <c r="AT175" s="1166">
        <v>42.85</v>
      </c>
      <c r="AU175" s="1164">
        <f t="shared" si="157"/>
        <v>0.82986111111111072</v>
      </c>
      <c r="AV175" s="1167">
        <f t="shared" si="158"/>
        <v>42726</v>
      </c>
      <c r="AW175" s="1164">
        <f t="shared" si="159"/>
        <v>0.89930555555555514</v>
      </c>
      <c r="AX175" s="1167">
        <f t="shared" si="160"/>
        <v>42726</v>
      </c>
      <c r="AY175" s="1166">
        <v>8.3000000000000007</v>
      </c>
      <c r="AZ175" s="1166">
        <v>50</v>
      </c>
      <c r="BA175" s="1168">
        <f>VLOOKUP(B175,ĐTBT!$V:$W,2,0)</f>
        <v>5</v>
      </c>
      <c r="BB175" s="1168"/>
      <c r="BC175" s="1221">
        <v>42724</v>
      </c>
      <c r="BD175" s="1221"/>
      <c r="BE175" s="1222">
        <f>BC175-AX175</f>
        <v>-2</v>
      </c>
      <c r="BF175" s="1222"/>
      <c r="BG175" s="1221">
        <f>BC175-1</f>
        <v>42723</v>
      </c>
      <c r="BH175" s="1221">
        <f>BG175+BE175</f>
        <v>42721</v>
      </c>
      <c r="BI175" s="1168">
        <f t="shared" si="161"/>
        <v>0</v>
      </c>
      <c r="BJ175" s="1168">
        <f>VLOOKUP(B175,'Thong tin'!A:R,11,0)</f>
        <v>0</v>
      </c>
      <c r="BK175" s="1219" t="s">
        <v>1169</v>
      </c>
      <c r="BU175" s="1220">
        <v>42682</v>
      </c>
      <c r="BX175" s="1220">
        <v>42743</v>
      </c>
    </row>
    <row r="176" spans="1:76" s="1219" customFormat="1" ht="15">
      <c r="A176" s="1217">
        <f>IF(C176="","",COUNTA($C$13:C176))</f>
        <v>164</v>
      </c>
      <c r="B176" s="1239" t="s">
        <v>657</v>
      </c>
      <c r="C176" s="1164">
        <v>0.35416666666666669</v>
      </c>
      <c r="D176" s="1164">
        <f t="shared" si="162"/>
        <v>0.375</v>
      </c>
      <c r="E176" s="1165">
        <v>42726</v>
      </c>
      <c r="F176" s="1164">
        <f t="shared" si="163"/>
        <v>0.38194444444444442</v>
      </c>
      <c r="G176" s="1164">
        <f t="shared" si="164"/>
        <v>0.38541666666666663</v>
      </c>
      <c r="H176" s="1165">
        <f t="shared" si="147"/>
        <v>42726</v>
      </c>
      <c r="I176" s="1166">
        <v>-2E-3</v>
      </c>
      <c r="J176" s="1166">
        <v>1.6E-2</v>
      </c>
      <c r="K176" s="1166">
        <v>-0.23699999999999999</v>
      </c>
      <c r="L176" s="1166">
        <v>-0.56000000000000005</v>
      </c>
      <c r="M176" s="1164">
        <f t="shared" si="165"/>
        <v>0.38888888888888884</v>
      </c>
      <c r="N176" s="1164">
        <f t="shared" si="166"/>
        <v>0.39930555555555552</v>
      </c>
      <c r="O176" s="1165">
        <f t="shared" si="148"/>
        <v>42726</v>
      </c>
      <c r="P176" s="1166">
        <v>1.05</v>
      </c>
      <c r="Q176" s="1166">
        <v>9</v>
      </c>
      <c r="R176" s="1166">
        <v>25</v>
      </c>
      <c r="S176" s="1166">
        <v>0</v>
      </c>
      <c r="T176" s="1164">
        <f t="shared" si="167"/>
        <v>0.52430555555555558</v>
      </c>
      <c r="U176" s="1167">
        <f t="shared" si="149"/>
        <v>42726</v>
      </c>
      <c r="V176" s="1166">
        <v>22.8</v>
      </c>
      <c r="W176" s="1164">
        <f t="shared" si="168"/>
        <v>0.64930555555555558</v>
      </c>
      <c r="X176" s="1167">
        <f t="shared" si="150"/>
        <v>42726</v>
      </c>
      <c r="Y176" s="1166">
        <v>28.11</v>
      </c>
      <c r="Z176" s="1164">
        <f t="shared" si="169"/>
        <v>0.69097222222222221</v>
      </c>
      <c r="AA176" s="1164">
        <f t="shared" si="170"/>
        <v>0.71180555555555547</v>
      </c>
      <c r="AB176" s="1167">
        <f t="shared" si="151"/>
        <v>42726</v>
      </c>
      <c r="AC176" s="1166">
        <v>28.15</v>
      </c>
      <c r="AD176" s="1164">
        <f t="shared" si="171"/>
        <v>0.71874999999999989</v>
      </c>
      <c r="AE176" s="1164">
        <f t="shared" si="172"/>
        <v>0.72916666666666652</v>
      </c>
      <c r="AF176" s="1167">
        <f t="shared" si="152"/>
        <v>42726</v>
      </c>
      <c r="AG176" s="1164">
        <f t="shared" si="173"/>
        <v>0.73611111111111094</v>
      </c>
      <c r="AH176" s="1164">
        <f t="shared" si="174"/>
        <v>0.76736111111111094</v>
      </c>
      <c r="AI176" s="1167">
        <f t="shared" si="153"/>
        <v>42726</v>
      </c>
      <c r="AJ176" s="1164">
        <f t="shared" si="175"/>
        <v>0.7881944444444442</v>
      </c>
      <c r="AK176" s="1164">
        <f t="shared" si="176"/>
        <v>0.79513888888888862</v>
      </c>
      <c r="AL176" s="1167">
        <f t="shared" si="154"/>
        <v>42726</v>
      </c>
      <c r="AM176" s="1166">
        <v>1.05</v>
      </c>
      <c r="AN176" s="1166">
        <v>9</v>
      </c>
      <c r="AO176" s="1166">
        <v>23</v>
      </c>
      <c r="AP176" s="1166">
        <v>0</v>
      </c>
      <c r="AQ176" s="1164">
        <f t="shared" si="155"/>
        <v>0.79513888888888862</v>
      </c>
      <c r="AR176" s="1164">
        <f t="shared" si="177"/>
        <v>0.80208333333333304</v>
      </c>
      <c r="AS176" s="1167">
        <f t="shared" si="156"/>
        <v>42726</v>
      </c>
      <c r="AT176" s="1166">
        <v>28.15</v>
      </c>
      <c r="AU176" s="1164">
        <f t="shared" si="157"/>
        <v>0.80208333333333304</v>
      </c>
      <c r="AV176" s="1167">
        <f t="shared" si="158"/>
        <v>42726</v>
      </c>
      <c r="AW176" s="1164">
        <f t="shared" si="159"/>
        <v>0.84374999999999967</v>
      </c>
      <c r="AX176" s="1167">
        <f t="shared" si="160"/>
        <v>42726</v>
      </c>
      <c r="AY176" s="1166">
        <v>8.1999999999999993</v>
      </c>
      <c r="AZ176" s="1166">
        <v>26</v>
      </c>
      <c r="BA176" s="1168">
        <f>VLOOKUP(B176,ĐTBT!$V:$W,2,0)</f>
        <v>3</v>
      </c>
      <c r="BB176" s="1168"/>
      <c r="BC176" s="1221">
        <v>42722</v>
      </c>
      <c r="BD176" s="1221"/>
      <c r="BE176" s="1222">
        <f>BC176-AX176</f>
        <v>-4</v>
      </c>
      <c r="BF176" s="1222"/>
      <c r="BG176" s="1221">
        <f>BC176-1</f>
        <v>42721</v>
      </c>
      <c r="BH176" s="1221">
        <f>BG176+BE176</f>
        <v>42717</v>
      </c>
      <c r="BI176" s="1168">
        <f t="shared" si="161"/>
        <v>0</v>
      </c>
      <c r="BJ176" s="1168">
        <f>VLOOKUP(B176,'Thong tin'!A:R,11,0)</f>
        <v>0</v>
      </c>
      <c r="BU176" s="1220">
        <v>42681</v>
      </c>
      <c r="BX176" s="1220">
        <v>42741</v>
      </c>
    </row>
    <row r="177" spans="1:76" s="1219" customFormat="1" ht="15">
      <c r="A177" s="1217">
        <f>IF(C177="","",COUNTA($C$13:C177))</f>
        <v>165</v>
      </c>
      <c r="B177" s="1239" t="s">
        <v>497</v>
      </c>
      <c r="C177" s="1164">
        <v>0.35416666666666669</v>
      </c>
      <c r="D177" s="1164">
        <f t="shared" si="162"/>
        <v>0.375</v>
      </c>
      <c r="E177" s="1165">
        <v>42727</v>
      </c>
      <c r="F177" s="1164">
        <f t="shared" si="163"/>
        <v>0.38194444444444442</v>
      </c>
      <c r="G177" s="1164">
        <f t="shared" si="164"/>
        <v>0.38541666666666663</v>
      </c>
      <c r="H177" s="1165">
        <f t="shared" si="147"/>
        <v>42727</v>
      </c>
      <c r="I177" s="1166">
        <v>-2.4E-2</v>
      </c>
      <c r="J177" s="1166">
        <v>6.0000000000000001E-3</v>
      </c>
      <c r="K177" s="1166">
        <v>-0.187</v>
      </c>
      <c r="L177" s="1166">
        <v>-0.49299999999999999</v>
      </c>
      <c r="M177" s="1164">
        <f t="shared" si="165"/>
        <v>0.38888888888888884</v>
      </c>
      <c r="N177" s="1164">
        <f t="shared" si="166"/>
        <v>0.39930555555555552</v>
      </c>
      <c r="O177" s="1165">
        <f t="shared" si="148"/>
        <v>42727</v>
      </c>
      <c r="P177" s="1166">
        <v>1.06</v>
      </c>
      <c r="Q177" s="1166">
        <v>9</v>
      </c>
      <c r="R177" s="1166">
        <v>26</v>
      </c>
      <c r="S177" s="1166">
        <v>0</v>
      </c>
      <c r="T177" s="1164">
        <f t="shared" si="167"/>
        <v>0.52430555555555558</v>
      </c>
      <c r="U177" s="1167">
        <f t="shared" si="149"/>
        <v>42727</v>
      </c>
      <c r="V177" s="1166">
        <v>21.9</v>
      </c>
      <c r="W177" s="1164">
        <f t="shared" si="168"/>
        <v>0.64930555555555558</v>
      </c>
      <c r="X177" s="1167">
        <f t="shared" si="150"/>
        <v>42727</v>
      </c>
      <c r="Y177" s="1166">
        <v>28.6</v>
      </c>
      <c r="Z177" s="1164">
        <f t="shared" si="169"/>
        <v>0.69097222222222221</v>
      </c>
      <c r="AA177" s="1164">
        <f t="shared" si="170"/>
        <v>0.71180555555555547</v>
      </c>
      <c r="AB177" s="1167">
        <f t="shared" si="151"/>
        <v>42727</v>
      </c>
      <c r="AC177" s="1166">
        <v>28.65</v>
      </c>
      <c r="AD177" s="1164">
        <f t="shared" si="171"/>
        <v>0.71874999999999989</v>
      </c>
      <c r="AE177" s="1164">
        <f t="shared" si="172"/>
        <v>0.72916666666666652</v>
      </c>
      <c r="AF177" s="1167">
        <f t="shared" si="152"/>
        <v>42727</v>
      </c>
      <c r="AG177" s="1164">
        <f t="shared" si="173"/>
        <v>0.73611111111111094</v>
      </c>
      <c r="AH177" s="1164">
        <f t="shared" si="174"/>
        <v>0.76736111111111094</v>
      </c>
      <c r="AI177" s="1167">
        <f t="shared" si="153"/>
        <v>42727</v>
      </c>
      <c r="AJ177" s="1164">
        <f t="shared" si="175"/>
        <v>0.7881944444444442</v>
      </c>
      <c r="AK177" s="1164">
        <f t="shared" si="176"/>
        <v>0.79513888888888862</v>
      </c>
      <c r="AL177" s="1167">
        <f t="shared" si="154"/>
        <v>42727</v>
      </c>
      <c r="AM177" s="1166">
        <v>1.05</v>
      </c>
      <c r="AN177" s="1166">
        <v>9</v>
      </c>
      <c r="AO177" s="1166">
        <v>23</v>
      </c>
      <c r="AP177" s="1166">
        <v>0</v>
      </c>
      <c r="AQ177" s="1164">
        <f t="shared" si="155"/>
        <v>0.79513888888888862</v>
      </c>
      <c r="AR177" s="1164">
        <f t="shared" si="177"/>
        <v>0.80208333333333304</v>
      </c>
      <c r="AS177" s="1167">
        <f t="shared" si="156"/>
        <v>42727</v>
      </c>
      <c r="AT177" s="1166">
        <v>28.65</v>
      </c>
      <c r="AU177" s="1164">
        <f t="shared" si="157"/>
        <v>0.80208333333333304</v>
      </c>
      <c r="AV177" s="1167">
        <f t="shared" si="158"/>
        <v>42727</v>
      </c>
      <c r="AW177" s="1164">
        <f t="shared" si="159"/>
        <v>0.85763888888888862</v>
      </c>
      <c r="AX177" s="1167">
        <f t="shared" si="160"/>
        <v>42727</v>
      </c>
      <c r="AY177" s="1166">
        <v>6.7</v>
      </c>
      <c r="AZ177" s="1166">
        <v>32</v>
      </c>
      <c r="BA177" s="1168">
        <f>VLOOKUP(B177,ĐTBT!$V:$W,2,0)</f>
        <v>4</v>
      </c>
      <c r="BB177" s="1168"/>
      <c r="BC177" s="1168"/>
      <c r="BD177" s="1168"/>
      <c r="BE177" s="1168"/>
      <c r="BF177" s="1168"/>
      <c r="BG177" s="1168"/>
      <c r="BH177" s="1168"/>
      <c r="BI177" s="1168">
        <f t="shared" si="161"/>
        <v>0</v>
      </c>
      <c r="BJ177" s="1168">
        <f>VLOOKUP(B177,'Thong tin'!A:R,11,0)</f>
        <v>0</v>
      </c>
      <c r="BU177" s="1220">
        <v>42685</v>
      </c>
      <c r="BX177" s="1220">
        <v>42697</v>
      </c>
    </row>
    <row r="178" spans="1:76" s="1219" customFormat="1" ht="15">
      <c r="A178" s="1217">
        <f>IF(C178="","",COUNTA($C$13:C178))</f>
        <v>166</v>
      </c>
      <c r="B178" s="1239" t="s">
        <v>682</v>
      </c>
      <c r="C178" s="1164">
        <v>0.29166666666666669</v>
      </c>
      <c r="D178" s="1164">
        <f t="shared" si="162"/>
        <v>0.3125</v>
      </c>
      <c r="E178" s="1165">
        <f t="shared" ref="E178:E182" si="178">E177</f>
        <v>42727</v>
      </c>
      <c r="F178" s="1164">
        <f t="shared" si="163"/>
        <v>0.31944444444444442</v>
      </c>
      <c r="G178" s="1164">
        <f t="shared" si="164"/>
        <v>0.32291666666666663</v>
      </c>
      <c r="H178" s="1165">
        <f t="shared" si="147"/>
        <v>42727</v>
      </c>
      <c r="I178" s="1166">
        <v>1.4E-2</v>
      </c>
      <c r="J178" s="1166">
        <v>0.03</v>
      </c>
      <c r="K178" s="1166">
        <v>9.9000000000000005E-2</v>
      </c>
      <c r="L178" s="1166">
        <v>-0.21299999999999999</v>
      </c>
      <c r="M178" s="1164">
        <f t="shared" si="165"/>
        <v>0.32638888888888884</v>
      </c>
      <c r="N178" s="1164">
        <f t="shared" si="166"/>
        <v>0.33680555555555552</v>
      </c>
      <c r="O178" s="1165">
        <f t="shared" si="148"/>
        <v>42727</v>
      </c>
      <c r="P178" s="1166">
        <v>1.06</v>
      </c>
      <c r="Q178" s="1166">
        <v>9</v>
      </c>
      <c r="R178" s="1166">
        <v>26</v>
      </c>
      <c r="S178" s="1166">
        <v>0</v>
      </c>
      <c r="T178" s="1164">
        <f t="shared" si="167"/>
        <v>0.46180555555555552</v>
      </c>
      <c r="U178" s="1167">
        <f t="shared" si="149"/>
        <v>42727</v>
      </c>
      <c r="V178" s="1166">
        <v>22.8</v>
      </c>
      <c r="W178" s="1164">
        <f t="shared" si="168"/>
        <v>0.58680555555555558</v>
      </c>
      <c r="X178" s="1167">
        <f t="shared" si="150"/>
        <v>42727</v>
      </c>
      <c r="Y178" s="1166">
        <v>28.3</v>
      </c>
      <c r="Z178" s="1164">
        <f t="shared" si="169"/>
        <v>0.62847222222222221</v>
      </c>
      <c r="AA178" s="1164">
        <f t="shared" si="170"/>
        <v>0.64930555555555547</v>
      </c>
      <c r="AB178" s="1167">
        <f t="shared" si="151"/>
        <v>42727</v>
      </c>
      <c r="AC178" s="1166">
        <v>28.33</v>
      </c>
      <c r="AD178" s="1164">
        <f t="shared" si="171"/>
        <v>0.65624999999999989</v>
      </c>
      <c r="AE178" s="1164">
        <f t="shared" si="172"/>
        <v>0.66666666666666652</v>
      </c>
      <c r="AF178" s="1167">
        <f t="shared" si="152"/>
        <v>42727</v>
      </c>
      <c r="AG178" s="1164">
        <f t="shared" si="173"/>
        <v>0.67361111111111094</v>
      </c>
      <c r="AH178" s="1164">
        <f t="shared" si="174"/>
        <v>0.71527777777777757</v>
      </c>
      <c r="AI178" s="1167">
        <f t="shared" si="153"/>
        <v>42727</v>
      </c>
      <c r="AJ178" s="1164">
        <f t="shared" si="175"/>
        <v>0.73611111111111083</v>
      </c>
      <c r="AK178" s="1164">
        <f t="shared" si="176"/>
        <v>0.74305555555555525</v>
      </c>
      <c r="AL178" s="1167">
        <f t="shared" si="154"/>
        <v>42727</v>
      </c>
      <c r="AM178" s="1166">
        <v>1.06</v>
      </c>
      <c r="AN178" s="1166">
        <v>9</v>
      </c>
      <c r="AO178" s="1166">
        <v>26</v>
      </c>
      <c r="AP178" s="1166">
        <v>0</v>
      </c>
      <c r="AQ178" s="1164">
        <f t="shared" si="155"/>
        <v>0.74305555555555525</v>
      </c>
      <c r="AR178" s="1164">
        <f t="shared" si="177"/>
        <v>0.74999999999999967</v>
      </c>
      <c r="AS178" s="1167">
        <f t="shared" si="156"/>
        <v>42727</v>
      </c>
      <c r="AT178" s="1166">
        <v>28.33</v>
      </c>
      <c r="AU178" s="1164">
        <f t="shared" si="157"/>
        <v>0.74999999999999967</v>
      </c>
      <c r="AV178" s="1167">
        <f t="shared" si="158"/>
        <v>42727</v>
      </c>
      <c r="AW178" s="1164">
        <f t="shared" si="159"/>
        <v>0.80555555555555525</v>
      </c>
      <c r="AX178" s="1167">
        <f t="shared" si="160"/>
        <v>42727</v>
      </c>
      <c r="AY178" s="1166">
        <v>8.6</v>
      </c>
      <c r="AZ178" s="1166">
        <v>29</v>
      </c>
      <c r="BA178" s="1168">
        <f>VLOOKUP(B178,ĐTBT!$V:$W,2,0)</f>
        <v>4</v>
      </c>
      <c r="BB178" s="1168"/>
      <c r="BC178" s="1168"/>
      <c r="BD178" s="1168"/>
      <c r="BE178" s="1168"/>
      <c r="BF178" s="1168"/>
      <c r="BG178" s="1168"/>
      <c r="BH178" s="1168"/>
      <c r="BI178" s="1168">
        <f t="shared" si="161"/>
        <v>0</v>
      </c>
      <c r="BJ178" s="1168">
        <f>VLOOKUP(B178,'Thong tin'!A:R,11,0)</f>
        <v>3</v>
      </c>
      <c r="BU178" s="1220">
        <v>42686</v>
      </c>
      <c r="BX178" s="1220">
        <v>42690</v>
      </c>
    </row>
    <row r="179" spans="1:76" s="1219" customFormat="1" ht="15">
      <c r="A179" s="1217">
        <f>IF(C179="","",COUNTA($C$13:C179))</f>
        <v>167</v>
      </c>
      <c r="B179" s="1239" t="s">
        <v>502</v>
      </c>
      <c r="C179" s="1164">
        <v>0.33333333333333331</v>
      </c>
      <c r="D179" s="1164">
        <f t="shared" si="162"/>
        <v>0.35416666666666663</v>
      </c>
      <c r="E179" s="1165">
        <v>42728</v>
      </c>
      <c r="F179" s="1164">
        <f t="shared" si="163"/>
        <v>0.36111111111111105</v>
      </c>
      <c r="G179" s="1164">
        <f t="shared" si="164"/>
        <v>0.36458333333333326</v>
      </c>
      <c r="H179" s="1165">
        <f t="shared" si="147"/>
        <v>42728</v>
      </c>
      <c r="I179" s="1166">
        <v>-2.5000000000000001E-2</v>
      </c>
      <c r="J179" s="1166">
        <v>1.7000000000000001E-2</v>
      </c>
      <c r="K179" s="1166">
        <v>-6.6000000000000003E-2</v>
      </c>
      <c r="L179" s="1166">
        <v>-0.54</v>
      </c>
      <c r="M179" s="1164">
        <f t="shared" si="165"/>
        <v>0.36805555555555547</v>
      </c>
      <c r="N179" s="1164">
        <f t="shared" si="166"/>
        <v>0.37847222222222215</v>
      </c>
      <c r="O179" s="1165">
        <f t="shared" si="148"/>
        <v>42728</v>
      </c>
      <c r="P179" s="1166">
        <v>1.06</v>
      </c>
      <c r="Q179" s="1166">
        <v>9</v>
      </c>
      <c r="R179" s="1166">
        <v>26</v>
      </c>
      <c r="S179" s="1166">
        <v>0</v>
      </c>
      <c r="T179" s="1164">
        <f t="shared" si="167"/>
        <v>0.5034722222222221</v>
      </c>
      <c r="U179" s="1167">
        <f t="shared" si="149"/>
        <v>42728</v>
      </c>
      <c r="V179" s="1166">
        <v>19.309999999999999</v>
      </c>
      <c r="W179" s="1164">
        <f t="shared" si="168"/>
        <v>0.6284722222222221</v>
      </c>
      <c r="X179" s="1167">
        <f t="shared" si="150"/>
        <v>42728</v>
      </c>
      <c r="Y179" s="1166">
        <v>28.72</v>
      </c>
      <c r="Z179" s="1164">
        <f t="shared" si="169"/>
        <v>0.67013888888888873</v>
      </c>
      <c r="AA179" s="1164">
        <f t="shared" si="170"/>
        <v>0.69097222222222199</v>
      </c>
      <c r="AB179" s="1167">
        <f t="shared" si="151"/>
        <v>42728</v>
      </c>
      <c r="AC179" s="1166">
        <v>29.2</v>
      </c>
      <c r="AD179" s="1164">
        <f t="shared" si="171"/>
        <v>0.69791666666666641</v>
      </c>
      <c r="AE179" s="1164">
        <f t="shared" si="172"/>
        <v>0.70833333333333304</v>
      </c>
      <c r="AF179" s="1167">
        <f t="shared" si="152"/>
        <v>42728</v>
      </c>
      <c r="AG179" s="1164">
        <f t="shared" si="173"/>
        <v>0.71527777777777746</v>
      </c>
      <c r="AH179" s="1164">
        <f t="shared" si="174"/>
        <v>0.74652777777777746</v>
      </c>
      <c r="AI179" s="1167">
        <f t="shared" si="153"/>
        <v>42728</v>
      </c>
      <c r="AJ179" s="1164">
        <f t="shared" si="175"/>
        <v>0.76736111111111072</v>
      </c>
      <c r="AK179" s="1164">
        <f t="shared" si="176"/>
        <v>0.77430555555555514</v>
      </c>
      <c r="AL179" s="1167">
        <f t="shared" si="154"/>
        <v>42728</v>
      </c>
      <c r="AM179" s="1166">
        <v>1.06</v>
      </c>
      <c r="AN179" s="1166">
        <v>9</v>
      </c>
      <c r="AO179" s="1166">
        <v>26</v>
      </c>
      <c r="AP179" s="1166">
        <v>0</v>
      </c>
      <c r="AQ179" s="1164">
        <f t="shared" si="155"/>
        <v>0.77430555555555514</v>
      </c>
      <c r="AR179" s="1164">
        <f t="shared" si="177"/>
        <v>0.78124999999999956</v>
      </c>
      <c r="AS179" s="1167">
        <f t="shared" si="156"/>
        <v>42728</v>
      </c>
      <c r="AT179" s="1166">
        <v>29.2</v>
      </c>
      <c r="AU179" s="1164">
        <f t="shared" si="157"/>
        <v>0.78124999999999956</v>
      </c>
      <c r="AV179" s="1167">
        <f t="shared" si="158"/>
        <v>42728</v>
      </c>
      <c r="AW179" s="1164">
        <f t="shared" si="159"/>
        <v>0.83680555555555514</v>
      </c>
      <c r="AX179" s="1167">
        <f t="shared" si="160"/>
        <v>42728</v>
      </c>
      <c r="AY179" s="1166">
        <v>7</v>
      </c>
      <c r="AZ179" s="1166">
        <v>32</v>
      </c>
      <c r="BA179" s="1168">
        <f>VLOOKUP(B179,ĐTBT!$V:$W,2,0)</f>
        <v>4</v>
      </c>
      <c r="BB179" s="1168"/>
      <c r="BC179" s="1168"/>
      <c r="BD179" s="1168"/>
      <c r="BE179" s="1168"/>
      <c r="BF179" s="1168"/>
      <c r="BG179" s="1168"/>
      <c r="BH179" s="1168"/>
      <c r="BI179" s="1168">
        <f t="shared" si="161"/>
        <v>0</v>
      </c>
      <c r="BJ179" s="1168">
        <f>VLOOKUP(B179,'Thong tin'!A:R,11,0)</f>
        <v>0</v>
      </c>
      <c r="BU179" s="1220">
        <v>42661</v>
      </c>
      <c r="BX179" s="1220">
        <v>42701</v>
      </c>
    </row>
    <row r="180" spans="1:76" s="1219" customFormat="1" ht="15">
      <c r="A180" s="1217">
        <f>IF(C180="","",COUNTA($C$13:C180))</f>
        <v>168</v>
      </c>
      <c r="B180" s="1239" t="s">
        <v>661</v>
      </c>
      <c r="C180" s="1164">
        <v>0.38194444444444442</v>
      </c>
      <c r="D180" s="1164">
        <f t="shared" si="162"/>
        <v>0.40277777777777773</v>
      </c>
      <c r="E180" s="1165">
        <f t="shared" si="178"/>
        <v>42728</v>
      </c>
      <c r="F180" s="1164">
        <f t="shared" si="163"/>
        <v>0.40972222222222215</v>
      </c>
      <c r="G180" s="1164">
        <f t="shared" si="164"/>
        <v>0.41319444444444436</v>
      </c>
      <c r="H180" s="1165">
        <f t="shared" si="147"/>
        <v>42728</v>
      </c>
      <c r="I180" s="1166">
        <v>-1.9E-2</v>
      </c>
      <c r="J180" s="1166">
        <v>1.9E-2</v>
      </c>
      <c r="K180" s="1166">
        <v>0.01</v>
      </c>
      <c r="L180" s="1166">
        <v>-0.39900000000000002</v>
      </c>
      <c r="M180" s="1164">
        <f t="shared" si="165"/>
        <v>0.41666666666666657</v>
      </c>
      <c r="N180" s="1164">
        <f t="shared" si="166"/>
        <v>0.42708333333333326</v>
      </c>
      <c r="O180" s="1165">
        <f t="shared" si="148"/>
        <v>42728</v>
      </c>
      <c r="P180" s="1166">
        <v>1.06</v>
      </c>
      <c r="Q180" s="1166">
        <v>9</v>
      </c>
      <c r="R180" s="1166">
        <v>22</v>
      </c>
      <c r="S180" s="1166">
        <v>0</v>
      </c>
      <c r="T180" s="1164">
        <f t="shared" si="167"/>
        <v>0.55208333333333326</v>
      </c>
      <c r="U180" s="1167">
        <f t="shared" si="149"/>
        <v>42728</v>
      </c>
      <c r="V180" s="1166">
        <v>20.6</v>
      </c>
      <c r="W180" s="1164">
        <f t="shared" si="168"/>
        <v>0.67708333333333326</v>
      </c>
      <c r="X180" s="1167">
        <f t="shared" si="150"/>
        <v>42728</v>
      </c>
      <c r="Y180" s="1166">
        <v>28.32</v>
      </c>
      <c r="Z180" s="1164">
        <f t="shared" si="169"/>
        <v>0.71874999999999989</v>
      </c>
      <c r="AA180" s="1164">
        <f t="shared" si="170"/>
        <v>0.73958333333333315</v>
      </c>
      <c r="AB180" s="1167">
        <f t="shared" si="151"/>
        <v>42728</v>
      </c>
      <c r="AC180" s="1166">
        <v>28.32</v>
      </c>
      <c r="AD180" s="1164">
        <f t="shared" si="171"/>
        <v>0.74652777777777757</v>
      </c>
      <c r="AE180" s="1164">
        <f t="shared" si="172"/>
        <v>0.7569444444444442</v>
      </c>
      <c r="AF180" s="1167">
        <f t="shared" si="152"/>
        <v>42728</v>
      </c>
      <c r="AG180" s="1164">
        <f t="shared" si="173"/>
        <v>0.76388888888888862</v>
      </c>
      <c r="AH180" s="1164">
        <f t="shared" si="174"/>
        <v>0.79513888888888862</v>
      </c>
      <c r="AI180" s="1167">
        <f t="shared" si="153"/>
        <v>42728</v>
      </c>
      <c r="AJ180" s="1164">
        <f t="shared" si="175"/>
        <v>0.81597222222222188</v>
      </c>
      <c r="AK180" s="1164">
        <f t="shared" si="176"/>
        <v>0.8229166666666663</v>
      </c>
      <c r="AL180" s="1167">
        <f t="shared" si="154"/>
        <v>42728</v>
      </c>
      <c r="AM180" s="1166">
        <v>1.06</v>
      </c>
      <c r="AN180" s="1166">
        <v>9</v>
      </c>
      <c r="AO180" s="1166">
        <v>22</v>
      </c>
      <c r="AP180" s="1166">
        <v>0</v>
      </c>
      <c r="AQ180" s="1164">
        <f t="shared" si="155"/>
        <v>0.8229166666666663</v>
      </c>
      <c r="AR180" s="1164">
        <f t="shared" si="177"/>
        <v>0.82986111111111072</v>
      </c>
      <c r="AS180" s="1167">
        <f t="shared" si="156"/>
        <v>42728</v>
      </c>
      <c r="AT180" s="1166">
        <v>28.32</v>
      </c>
      <c r="AU180" s="1164">
        <f t="shared" si="157"/>
        <v>0.82986111111111072</v>
      </c>
      <c r="AV180" s="1167">
        <f t="shared" si="158"/>
        <v>42728</v>
      </c>
      <c r="AW180" s="1164">
        <f t="shared" si="159"/>
        <v>0.8854166666666663</v>
      </c>
      <c r="AX180" s="1167">
        <f t="shared" si="160"/>
        <v>42728</v>
      </c>
      <c r="AY180" s="1166">
        <v>7.3</v>
      </c>
      <c r="AZ180" s="1166">
        <v>33</v>
      </c>
      <c r="BA180" s="1168">
        <f>VLOOKUP(B180,ĐTBT!$V:$W,2,0)</f>
        <v>4</v>
      </c>
      <c r="BB180" s="1168"/>
      <c r="BC180" s="1168"/>
      <c r="BD180" s="1168"/>
      <c r="BE180" s="1168"/>
      <c r="BF180" s="1168"/>
      <c r="BG180" s="1168"/>
      <c r="BH180" s="1168"/>
      <c r="BI180" s="1168">
        <f t="shared" si="161"/>
        <v>0</v>
      </c>
      <c r="BJ180" s="1168">
        <f>VLOOKUP(B180,'Thong tin'!A:R,11,0)</f>
        <v>0</v>
      </c>
      <c r="BU180" s="1220">
        <v>42665</v>
      </c>
      <c r="BX180" s="1220">
        <v>42708</v>
      </c>
    </row>
    <row r="181" spans="1:76" s="1219" customFormat="1" ht="15">
      <c r="A181" s="1217">
        <f>IF(C181="","",COUNTA($C$13:C181))</f>
        <v>169</v>
      </c>
      <c r="B181" s="1239" t="s">
        <v>601</v>
      </c>
      <c r="C181" s="1164">
        <v>0.35416666666666669</v>
      </c>
      <c r="D181" s="1164">
        <f t="shared" si="162"/>
        <v>0.375</v>
      </c>
      <c r="E181" s="1165">
        <v>42729</v>
      </c>
      <c r="F181" s="1164">
        <f t="shared" si="163"/>
        <v>0.38194444444444442</v>
      </c>
      <c r="G181" s="1164">
        <f t="shared" si="164"/>
        <v>0.38541666666666663</v>
      </c>
      <c r="H181" s="1165">
        <f t="shared" si="147"/>
        <v>42729</v>
      </c>
      <c r="I181" s="1166">
        <v>5.0000000000000001E-3</v>
      </c>
      <c r="J181" s="1166">
        <v>-2.3E-2</v>
      </c>
      <c r="K181" s="1166">
        <v>-0.222</v>
      </c>
      <c r="L181" s="1166">
        <v>-0.66800000000000004</v>
      </c>
      <c r="M181" s="1164">
        <f t="shared" si="165"/>
        <v>0.38888888888888884</v>
      </c>
      <c r="N181" s="1164">
        <f t="shared" si="166"/>
        <v>0.39930555555555552</v>
      </c>
      <c r="O181" s="1165">
        <f t="shared" si="148"/>
        <v>42729</v>
      </c>
      <c r="P181" s="1166">
        <v>1.05</v>
      </c>
      <c r="Q181" s="1166">
        <v>9</v>
      </c>
      <c r="R181" s="1166">
        <v>26</v>
      </c>
      <c r="S181" s="1166">
        <v>0</v>
      </c>
      <c r="T181" s="1164">
        <f t="shared" si="167"/>
        <v>0.52430555555555558</v>
      </c>
      <c r="U181" s="1167">
        <f t="shared" si="149"/>
        <v>42729</v>
      </c>
      <c r="V181" s="1166">
        <v>20.9</v>
      </c>
      <c r="W181" s="1164">
        <f t="shared" si="168"/>
        <v>0.64930555555555558</v>
      </c>
      <c r="X181" s="1167">
        <f t="shared" si="150"/>
        <v>42729</v>
      </c>
      <c r="Y181" s="1166">
        <v>24.5</v>
      </c>
      <c r="Z181" s="1164">
        <f t="shared" si="169"/>
        <v>0.69097222222222221</v>
      </c>
      <c r="AA181" s="1164">
        <f t="shared" si="170"/>
        <v>0.71180555555555547</v>
      </c>
      <c r="AB181" s="1167">
        <f t="shared" si="151"/>
        <v>42729</v>
      </c>
      <c r="AC181" s="1166">
        <v>24.55</v>
      </c>
      <c r="AD181" s="1164">
        <f t="shared" si="171"/>
        <v>0.71874999999999989</v>
      </c>
      <c r="AE181" s="1164">
        <f t="shared" si="172"/>
        <v>0.72916666666666652</v>
      </c>
      <c r="AF181" s="1167">
        <f t="shared" si="152"/>
        <v>42729</v>
      </c>
      <c r="AG181" s="1164">
        <f t="shared" si="173"/>
        <v>0.73611111111111094</v>
      </c>
      <c r="AH181" s="1164">
        <f t="shared" si="174"/>
        <v>0.77777777777777757</v>
      </c>
      <c r="AI181" s="1167">
        <f t="shared" si="153"/>
        <v>42729</v>
      </c>
      <c r="AJ181" s="1164">
        <f t="shared" si="175"/>
        <v>0.79861111111111083</v>
      </c>
      <c r="AK181" s="1164">
        <f t="shared" si="176"/>
        <v>0.80555555555555525</v>
      </c>
      <c r="AL181" s="1167">
        <f t="shared" si="154"/>
        <v>42729</v>
      </c>
      <c r="AM181" s="1166">
        <v>1.06</v>
      </c>
      <c r="AN181" s="1166">
        <v>9</v>
      </c>
      <c r="AO181" s="1166">
        <v>22</v>
      </c>
      <c r="AP181" s="1166">
        <v>0</v>
      </c>
      <c r="AQ181" s="1164">
        <f t="shared" si="155"/>
        <v>0.80555555555555525</v>
      </c>
      <c r="AR181" s="1164">
        <f t="shared" si="177"/>
        <v>0.81249999999999967</v>
      </c>
      <c r="AS181" s="1167">
        <f t="shared" si="156"/>
        <v>42729</v>
      </c>
      <c r="AT181" s="1166">
        <v>24.55</v>
      </c>
      <c r="AU181" s="1164">
        <f t="shared" si="157"/>
        <v>0.81249999999999967</v>
      </c>
      <c r="AV181" s="1167">
        <f t="shared" si="158"/>
        <v>42729</v>
      </c>
      <c r="AW181" s="1164">
        <f t="shared" si="159"/>
        <v>0.84027777777777746</v>
      </c>
      <c r="AX181" s="1167">
        <f t="shared" si="160"/>
        <v>42729</v>
      </c>
      <c r="AY181" s="1166">
        <v>7.4</v>
      </c>
      <c r="AZ181" s="1166">
        <v>21</v>
      </c>
      <c r="BA181" s="1168">
        <f>VLOOKUP(B181,ĐTBT!$V:$W,2,0)</f>
        <v>2</v>
      </c>
      <c r="BB181" s="1168"/>
      <c r="BC181" s="1168"/>
      <c r="BD181" s="1168"/>
      <c r="BE181" s="1168"/>
      <c r="BF181" s="1168"/>
      <c r="BG181" s="1168"/>
      <c r="BH181" s="1168"/>
      <c r="BI181" s="1168">
        <f t="shared" si="161"/>
        <v>0</v>
      </c>
      <c r="BJ181" s="1168">
        <f>VLOOKUP(B181,'Thong tin'!A:R,11,0)</f>
        <v>4</v>
      </c>
      <c r="BU181" s="1220">
        <v>42671</v>
      </c>
      <c r="BX181" s="1220">
        <v>42720</v>
      </c>
    </row>
    <row r="182" spans="1:76" s="1219" customFormat="1" ht="15">
      <c r="A182" s="1217">
        <f>IF(C182="","",COUNTA($C$13:C182))</f>
        <v>170</v>
      </c>
      <c r="B182" s="1239" t="s">
        <v>670</v>
      </c>
      <c r="C182" s="1164">
        <v>0.33680555555555558</v>
      </c>
      <c r="D182" s="1164">
        <f t="shared" si="162"/>
        <v>0.3576388888888889</v>
      </c>
      <c r="E182" s="1165">
        <f t="shared" si="178"/>
        <v>42729</v>
      </c>
      <c r="F182" s="1164">
        <f t="shared" si="163"/>
        <v>0.36458333333333331</v>
      </c>
      <c r="G182" s="1164">
        <f t="shared" si="164"/>
        <v>0.36805555555555552</v>
      </c>
      <c r="H182" s="1165">
        <f t="shared" si="147"/>
        <v>42729</v>
      </c>
      <c r="I182" s="1166">
        <v>0</v>
      </c>
      <c r="J182" s="1166">
        <v>-7.0000000000000001E-3</v>
      </c>
      <c r="K182" s="1166">
        <v>5.8000000000000003E-2</v>
      </c>
      <c r="L182" s="1166">
        <v>-0.54200000000000004</v>
      </c>
      <c r="M182" s="1164">
        <f t="shared" si="165"/>
        <v>0.37152777777777773</v>
      </c>
      <c r="N182" s="1164">
        <f t="shared" si="166"/>
        <v>0.38194444444444442</v>
      </c>
      <c r="O182" s="1165">
        <f t="shared" si="148"/>
        <v>42729</v>
      </c>
      <c r="P182" s="1166">
        <v>1.06</v>
      </c>
      <c r="Q182" s="1166">
        <v>9</v>
      </c>
      <c r="R182" s="1166">
        <v>22</v>
      </c>
      <c r="S182" s="1166">
        <v>0</v>
      </c>
      <c r="T182" s="1164">
        <f t="shared" si="167"/>
        <v>0.50694444444444442</v>
      </c>
      <c r="U182" s="1167">
        <f t="shared" si="149"/>
        <v>42729</v>
      </c>
      <c r="V182" s="1166">
        <v>21.15</v>
      </c>
      <c r="W182" s="1164">
        <f t="shared" si="168"/>
        <v>0.63194444444444442</v>
      </c>
      <c r="X182" s="1167">
        <f t="shared" si="150"/>
        <v>42729</v>
      </c>
      <c r="Y182" s="1166">
        <v>28.27</v>
      </c>
      <c r="Z182" s="1164">
        <f t="shared" si="169"/>
        <v>0.67361111111111105</v>
      </c>
      <c r="AA182" s="1164">
        <f t="shared" si="170"/>
        <v>0.69444444444444431</v>
      </c>
      <c r="AB182" s="1167">
        <f t="shared" si="151"/>
        <v>42729</v>
      </c>
      <c r="AC182" s="1166">
        <v>28.5</v>
      </c>
      <c r="AD182" s="1164">
        <f t="shared" si="171"/>
        <v>0.70138888888888873</v>
      </c>
      <c r="AE182" s="1164">
        <f t="shared" si="172"/>
        <v>0.71180555555555536</v>
      </c>
      <c r="AF182" s="1167">
        <f t="shared" si="152"/>
        <v>42729</v>
      </c>
      <c r="AG182" s="1164">
        <f t="shared" si="173"/>
        <v>0.71874999999999978</v>
      </c>
      <c r="AH182" s="1164">
        <f t="shared" si="174"/>
        <v>0.74999999999999978</v>
      </c>
      <c r="AI182" s="1167">
        <f t="shared" si="153"/>
        <v>42729</v>
      </c>
      <c r="AJ182" s="1164">
        <f t="shared" si="175"/>
        <v>0.77083333333333304</v>
      </c>
      <c r="AK182" s="1164">
        <f t="shared" si="176"/>
        <v>0.77777777777777746</v>
      </c>
      <c r="AL182" s="1167">
        <f t="shared" si="154"/>
        <v>42729</v>
      </c>
      <c r="AM182" s="1166">
        <v>1.05</v>
      </c>
      <c r="AN182" s="1166">
        <v>9</v>
      </c>
      <c r="AO182" s="1166">
        <v>24</v>
      </c>
      <c r="AP182" s="1166">
        <v>0</v>
      </c>
      <c r="AQ182" s="1164">
        <f t="shared" si="155"/>
        <v>0.77777777777777746</v>
      </c>
      <c r="AR182" s="1164">
        <f t="shared" si="177"/>
        <v>0.78472222222222188</v>
      </c>
      <c r="AS182" s="1167">
        <f t="shared" si="156"/>
        <v>42729</v>
      </c>
      <c r="AT182" s="1166">
        <v>28.5</v>
      </c>
      <c r="AU182" s="1164">
        <f t="shared" si="157"/>
        <v>0.78472222222222188</v>
      </c>
      <c r="AV182" s="1167">
        <f t="shared" si="158"/>
        <v>42729</v>
      </c>
      <c r="AW182" s="1164">
        <f t="shared" si="159"/>
        <v>0.84027777777777746</v>
      </c>
      <c r="AX182" s="1167">
        <f t="shared" si="160"/>
        <v>42729</v>
      </c>
      <c r="AY182" s="1166">
        <v>7.4</v>
      </c>
      <c r="AZ182" s="1166">
        <v>32</v>
      </c>
      <c r="BA182" s="1168">
        <f>VLOOKUP(B182,ĐTBT!$V:$W,2,0)</f>
        <v>4</v>
      </c>
      <c r="BB182" s="1168"/>
      <c r="BC182" s="1168"/>
      <c r="BD182" s="1168"/>
      <c r="BE182" s="1168"/>
      <c r="BF182" s="1168"/>
      <c r="BG182" s="1168"/>
      <c r="BH182" s="1168"/>
      <c r="BI182" s="1168">
        <f t="shared" si="161"/>
        <v>0</v>
      </c>
      <c r="BJ182" s="1168">
        <f>VLOOKUP(B182,'Thong tin'!A:R,11,0)</f>
        <v>0</v>
      </c>
      <c r="BU182" s="1220">
        <v>42685</v>
      </c>
      <c r="BX182" s="1220">
        <v>42686</v>
      </c>
    </row>
    <row r="183" spans="1:76" s="1219" customFormat="1" ht="15">
      <c r="A183" s="1217">
        <f>IF(C183="","",COUNTA($C$13:C183))</f>
        <v>171</v>
      </c>
      <c r="B183" s="1239" t="s">
        <v>606</v>
      </c>
      <c r="C183" s="1164">
        <v>0.40625</v>
      </c>
      <c r="D183" s="1164">
        <f t="shared" si="162"/>
        <v>0.42708333333333331</v>
      </c>
      <c r="E183" s="1165">
        <v>42730</v>
      </c>
      <c r="F183" s="1164">
        <f t="shared" si="163"/>
        <v>0.43402777777777773</v>
      </c>
      <c r="G183" s="1164">
        <f t="shared" si="164"/>
        <v>0.43749999999999994</v>
      </c>
      <c r="H183" s="1165">
        <f t="shared" si="147"/>
        <v>42730</v>
      </c>
      <c r="I183" s="1166">
        <v>-1.7000000000000001E-2</v>
      </c>
      <c r="J183" s="1166">
        <v>-1.9E-2</v>
      </c>
      <c r="K183" s="1166">
        <v>-0.23200000000000001</v>
      </c>
      <c r="L183" s="1166">
        <v>-0.55600000000000005</v>
      </c>
      <c r="M183" s="1164">
        <f t="shared" si="165"/>
        <v>0.44097222222222215</v>
      </c>
      <c r="N183" s="1164">
        <f t="shared" si="166"/>
        <v>0.45138888888888884</v>
      </c>
      <c r="O183" s="1165">
        <f t="shared" si="148"/>
        <v>42730</v>
      </c>
      <c r="P183" s="1166">
        <v>1.06</v>
      </c>
      <c r="Q183" s="1166">
        <v>9</v>
      </c>
      <c r="R183" s="1166">
        <v>28</v>
      </c>
      <c r="S183" s="1166">
        <v>0</v>
      </c>
      <c r="T183" s="1164">
        <f t="shared" si="167"/>
        <v>0.57638888888888884</v>
      </c>
      <c r="U183" s="1167">
        <f t="shared" si="149"/>
        <v>42730</v>
      </c>
      <c r="V183" s="1166">
        <v>22.8</v>
      </c>
      <c r="W183" s="1164">
        <f t="shared" si="168"/>
        <v>0.70138888888888884</v>
      </c>
      <c r="X183" s="1167">
        <f t="shared" si="150"/>
        <v>42730</v>
      </c>
      <c r="Y183" s="1166">
        <v>30.3</v>
      </c>
      <c r="Z183" s="1164">
        <f t="shared" si="169"/>
        <v>0.74305555555555547</v>
      </c>
      <c r="AA183" s="1164">
        <f t="shared" si="170"/>
        <v>0.76388888888888873</v>
      </c>
      <c r="AB183" s="1167">
        <f t="shared" si="151"/>
        <v>42730</v>
      </c>
      <c r="AC183" s="1166">
        <v>30.33</v>
      </c>
      <c r="AD183" s="1164">
        <f t="shared" si="171"/>
        <v>0.77083333333333315</v>
      </c>
      <c r="AE183" s="1164">
        <f t="shared" si="172"/>
        <v>0.78124999999999978</v>
      </c>
      <c r="AF183" s="1167">
        <f t="shared" si="152"/>
        <v>42730</v>
      </c>
      <c r="AG183" s="1164">
        <f t="shared" si="173"/>
        <v>0.7881944444444442</v>
      </c>
      <c r="AH183" s="1164">
        <f t="shared" si="174"/>
        <v>0.82986111111111083</v>
      </c>
      <c r="AI183" s="1167">
        <f t="shared" si="153"/>
        <v>42730</v>
      </c>
      <c r="AJ183" s="1164">
        <f t="shared" si="175"/>
        <v>0.85069444444444409</v>
      </c>
      <c r="AK183" s="1164">
        <f t="shared" si="176"/>
        <v>0.85763888888888851</v>
      </c>
      <c r="AL183" s="1167">
        <f t="shared" si="154"/>
        <v>42730</v>
      </c>
      <c r="AM183" s="1166">
        <v>1.05</v>
      </c>
      <c r="AN183" s="1166">
        <v>9</v>
      </c>
      <c r="AO183" s="1166">
        <v>24</v>
      </c>
      <c r="AP183" s="1166">
        <v>0</v>
      </c>
      <c r="AQ183" s="1164">
        <f t="shared" si="155"/>
        <v>0.85763888888888851</v>
      </c>
      <c r="AR183" s="1164">
        <f t="shared" si="177"/>
        <v>0.86458333333333293</v>
      </c>
      <c r="AS183" s="1167">
        <f t="shared" si="156"/>
        <v>42730</v>
      </c>
      <c r="AT183" s="1166">
        <v>30.33</v>
      </c>
      <c r="AU183" s="1164">
        <f t="shared" si="157"/>
        <v>0.86458333333333293</v>
      </c>
      <c r="AV183" s="1167">
        <f t="shared" si="158"/>
        <v>42730</v>
      </c>
      <c r="AW183" s="1164">
        <f t="shared" si="159"/>
        <v>0.90624999999999956</v>
      </c>
      <c r="AX183" s="1167">
        <f t="shared" si="160"/>
        <v>42730</v>
      </c>
      <c r="AY183" s="1166">
        <v>7.4</v>
      </c>
      <c r="AZ183" s="1166">
        <v>32</v>
      </c>
      <c r="BA183" s="1168">
        <f>VLOOKUP(B183,ĐTBT!$V:$W,2,0)</f>
        <v>3</v>
      </c>
      <c r="BB183" s="1168"/>
      <c r="BC183" s="1221">
        <v>42718</v>
      </c>
      <c r="BD183" s="1221"/>
      <c r="BE183" s="1222">
        <f>BC183-AX183</f>
        <v>-12</v>
      </c>
      <c r="BF183" s="1222"/>
      <c r="BG183" s="1221">
        <f>BC183-1</f>
        <v>42717</v>
      </c>
      <c r="BH183" s="1221">
        <f>BG183+BE183</f>
        <v>42705</v>
      </c>
      <c r="BI183" s="1168">
        <f t="shared" si="161"/>
        <v>0</v>
      </c>
      <c r="BJ183" s="1168">
        <f>VLOOKUP(B183,'Thong tin'!A:R,11,0)</f>
        <v>4</v>
      </c>
      <c r="BU183" s="1220">
        <v>42676</v>
      </c>
      <c r="BX183" s="1220">
        <v>42731</v>
      </c>
    </row>
    <row r="184" spans="1:76" s="1219" customFormat="1" ht="15">
      <c r="A184" s="1217">
        <f>IF(C184="","",COUNTA($C$13:C184))</f>
        <v>172</v>
      </c>
      <c r="B184" s="1239" t="s">
        <v>528</v>
      </c>
      <c r="C184" s="1164">
        <v>0.33333333333333331</v>
      </c>
      <c r="D184" s="1164">
        <f t="shared" si="162"/>
        <v>0.35416666666666663</v>
      </c>
      <c r="E184" s="1165">
        <v>42730</v>
      </c>
      <c r="F184" s="1164">
        <f t="shared" si="163"/>
        <v>0.36111111111111105</v>
      </c>
      <c r="G184" s="1164">
        <f t="shared" si="164"/>
        <v>0.36458333333333326</v>
      </c>
      <c r="H184" s="1165">
        <f t="shared" si="147"/>
        <v>42730</v>
      </c>
      <c r="I184" s="1166">
        <v>2.3E-2</v>
      </c>
      <c r="J184" s="1166">
        <v>-1.4999999999999999E-2</v>
      </c>
      <c r="K184" s="1166">
        <v>9.4E-2</v>
      </c>
      <c r="L184" s="1166">
        <v>-0.93300000000000005</v>
      </c>
      <c r="M184" s="1164">
        <f t="shared" si="165"/>
        <v>0.36805555555555547</v>
      </c>
      <c r="N184" s="1164">
        <f t="shared" si="166"/>
        <v>0.37847222222222215</v>
      </c>
      <c r="O184" s="1165">
        <f t="shared" si="148"/>
        <v>42730</v>
      </c>
      <c r="P184" s="1166">
        <v>1.0900000000000001</v>
      </c>
      <c r="Q184" s="1166">
        <v>9</v>
      </c>
      <c r="R184" s="1166">
        <v>26</v>
      </c>
      <c r="S184" s="1166">
        <v>0</v>
      </c>
      <c r="T184" s="1164">
        <f t="shared" si="167"/>
        <v>0.5034722222222221</v>
      </c>
      <c r="U184" s="1167">
        <f t="shared" si="149"/>
        <v>42730</v>
      </c>
      <c r="V184" s="1166">
        <v>21.61</v>
      </c>
      <c r="W184" s="1164">
        <f t="shared" si="168"/>
        <v>0.6284722222222221</v>
      </c>
      <c r="X184" s="1167">
        <f t="shared" si="150"/>
        <v>42730</v>
      </c>
      <c r="Y184" s="1166">
        <v>30.65</v>
      </c>
      <c r="Z184" s="1164">
        <f t="shared" si="169"/>
        <v>0.67013888888888873</v>
      </c>
      <c r="AA184" s="1164">
        <f t="shared" si="170"/>
        <v>0.69097222222222199</v>
      </c>
      <c r="AB184" s="1167">
        <f t="shared" si="151"/>
        <v>42730</v>
      </c>
      <c r="AC184" s="1166">
        <v>30.7</v>
      </c>
      <c r="AD184" s="1164">
        <f t="shared" si="171"/>
        <v>0.69791666666666641</v>
      </c>
      <c r="AE184" s="1164">
        <f t="shared" si="172"/>
        <v>0.70833333333333304</v>
      </c>
      <c r="AF184" s="1167">
        <f t="shared" si="152"/>
        <v>42730</v>
      </c>
      <c r="AG184" s="1164">
        <f t="shared" si="173"/>
        <v>0.71527777777777746</v>
      </c>
      <c r="AH184" s="1164">
        <f t="shared" si="174"/>
        <v>0.74652777777777746</v>
      </c>
      <c r="AI184" s="1167">
        <f t="shared" si="153"/>
        <v>42730</v>
      </c>
      <c r="AJ184" s="1164">
        <f t="shared" si="175"/>
        <v>0.76736111111111072</v>
      </c>
      <c r="AK184" s="1164">
        <f t="shared" si="176"/>
        <v>0.77430555555555514</v>
      </c>
      <c r="AL184" s="1167">
        <f t="shared" si="154"/>
        <v>42730</v>
      </c>
      <c r="AM184" s="1166">
        <v>1.06</v>
      </c>
      <c r="AN184" s="1166">
        <v>9</v>
      </c>
      <c r="AO184" s="1166">
        <v>24</v>
      </c>
      <c r="AP184" s="1166">
        <v>0</v>
      </c>
      <c r="AQ184" s="1164">
        <f t="shared" si="155"/>
        <v>0.77430555555555514</v>
      </c>
      <c r="AR184" s="1164">
        <f t="shared" si="177"/>
        <v>0.78124999999999956</v>
      </c>
      <c r="AS184" s="1167">
        <f t="shared" si="156"/>
        <v>42730</v>
      </c>
      <c r="AT184" s="1166">
        <v>30.7</v>
      </c>
      <c r="AU184" s="1164">
        <f t="shared" si="157"/>
        <v>0.78124999999999956</v>
      </c>
      <c r="AV184" s="1167">
        <f t="shared" si="158"/>
        <v>42730</v>
      </c>
      <c r="AW184" s="1164">
        <f t="shared" si="159"/>
        <v>0.82291666666666619</v>
      </c>
      <c r="AX184" s="1167">
        <f t="shared" si="160"/>
        <v>42730</v>
      </c>
      <c r="AY184" s="1166">
        <v>6</v>
      </c>
      <c r="AZ184" s="1166">
        <v>17</v>
      </c>
      <c r="BA184" s="1168">
        <f>VLOOKUP(B184,ĐTBT!$V:$W,2,0)</f>
        <v>3</v>
      </c>
      <c r="BB184" s="1168"/>
      <c r="BC184" s="1168"/>
      <c r="BD184" s="1168"/>
      <c r="BE184" s="1168"/>
      <c r="BF184" s="1168"/>
      <c r="BG184" s="1168"/>
      <c r="BH184" s="1168"/>
      <c r="BI184" s="1168">
        <f t="shared" si="161"/>
        <v>0</v>
      </c>
      <c r="BJ184" s="1168">
        <f>VLOOKUP(B184,'Thong tin'!A:R,11,0)</f>
        <v>0</v>
      </c>
      <c r="BU184" s="1220">
        <v>42668</v>
      </c>
      <c r="BX184" s="1220">
        <v>42715</v>
      </c>
    </row>
    <row r="185" spans="1:76" s="1219" customFormat="1" ht="15">
      <c r="A185" s="1217">
        <f>IF(C185="","",COUNTA($C$13:C185))</f>
        <v>173</v>
      </c>
      <c r="B185" s="1163" t="s">
        <v>496</v>
      </c>
      <c r="C185" s="1164">
        <v>0.29166666666666669</v>
      </c>
      <c r="D185" s="1164">
        <f t="shared" si="162"/>
        <v>0.3125</v>
      </c>
      <c r="E185" s="1165">
        <v>42737</v>
      </c>
      <c r="F185" s="1164">
        <f t="shared" si="163"/>
        <v>0.31944444444444442</v>
      </c>
      <c r="G185" s="1164">
        <f t="shared" si="164"/>
        <v>0.32291666666666663</v>
      </c>
      <c r="H185" s="1165">
        <f t="shared" si="81"/>
        <v>42737</v>
      </c>
      <c r="I185" s="1166">
        <v>-8.0000000000000002E-3</v>
      </c>
      <c r="J185" s="1166">
        <v>2.5000000000000001E-2</v>
      </c>
      <c r="K185" s="1166">
        <v>-0.35899999999999999</v>
      </c>
      <c r="L185" s="1166">
        <v>-0.92900000000000005</v>
      </c>
      <c r="M185" s="1164">
        <f t="shared" si="165"/>
        <v>0.32638888888888884</v>
      </c>
      <c r="N185" s="1164">
        <f t="shared" si="166"/>
        <v>0.33680555555555552</v>
      </c>
      <c r="O185" s="1165">
        <f t="shared" si="82"/>
        <v>42737</v>
      </c>
      <c r="P185" s="1166">
        <v>1.06</v>
      </c>
      <c r="Q185" s="1166">
        <v>9</v>
      </c>
      <c r="R185" s="1166">
        <v>23</v>
      </c>
      <c r="S185" s="1166">
        <v>0</v>
      </c>
      <c r="T185" s="1164">
        <f t="shared" si="167"/>
        <v>0.46180555555555552</v>
      </c>
      <c r="U185" s="1167">
        <f t="shared" si="83"/>
        <v>42737</v>
      </c>
      <c r="V185" s="1166">
        <v>20.7</v>
      </c>
      <c r="W185" s="1164">
        <f t="shared" si="168"/>
        <v>0.58680555555555558</v>
      </c>
      <c r="X185" s="1167">
        <f t="shared" si="84"/>
        <v>42737</v>
      </c>
      <c r="Y185" s="1166">
        <v>26.46</v>
      </c>
      <c r="Z185" s="1164">
        <f t="shared" si="169"/>
        <v>0.62847222222222221</v>
      </c>
      <c r="AA185" s="1164">
        <f t="shared" si="170"/>
        <v>0.64930555555555547</v>
      </c>
      <c r="AB185" s="1167">
        <f t="shared" si="85"/>
        <v>42737</v>
      </c>
      <c r="AC185" s="1166">
        <v>26.5</v>
      </c>
      <c r="AD185" s="1164">
        <f t="shared" si="171"/>
        <v>0.65624999999999989</v>
      </c>
      <c r="AE185" s="1164">
        <f t="shared" si="172"/>
        <v>0.66666666666666652</v>
      </c>
      <c r="AF185" s="1167">
        <f t="shared" si="86"/>
        <v>42737</v>
      </c>
      <c r="AG185" s="1164">
        <f t="shared" si="173"/>
        <v>0.67361111111111094</v>
      </c>
      <c r="AH185" s="1164">
        <f t="shared" si="174"/>
        <v>0.71527777777777757</v>
      </c>
      <c r="AI185" s="1167">
        <f t="shared" si="87"/>
        <v>42737</v>
      </c>
      <c r="AJ185" s="1164">
        <f t="shared" si="175"/>
        <v>0.73611111111111083</v>
      </c>
      <c r="AK185" s="1164">
        <f t="shared" si="176"/>
        <v>0.74305555555555525</v>
      </c>
      <c r="AL185" s="1167">
        <f t="shared" si="88"/>
        <v>42737</v>
      </c>
      <c r="AM185" s="1166">
        <v>1.06</v>
      </c>
      <c r="AN185" s="1166">
        <v>9</v>
      </c>
      <c r="AO185" s="1166">
        <v>22</v>
      </c>
      <c r="AP185" s="1166">
        <v>0</v>
      </c>
      <c r="AQ185" s="1164">
        <f t="shared" si="79"/>
        <v>0.74305555555555525</v>
      </c>
      <c r="AR185" s="1164">
        <f t="shared" si="177"/>
        <v>0.74999999999999967</v>
      </c>
      <c r="AS185" s="1167">
        <f t="shared" si="89"/>
        <v>42737</v>
      </c>
      <c r="AT185" s="1166">
        <v>26.5</v>
      </c>
      <c r="AU185" s="1164">
        <f t="shared" si="80"/>
        <v>0.74999999999999967</v>
      </c>
      <c r="AV185" s="1167">
        <f t="shared" si="90"/>
        <v>42737</v>
      </c>
      <c r="AW185" s="1164">
        <f t="shared" si="92"/>
        <v>0.80555555555555525</v>
      </c>
      <c r="AX185" s="1167">
        <f t="shared" si="91"/>
        <v>42737</v>
      </c>
      <c r="AY185" s="1166">
        <v>6.6</v>
      </c>
      <c r="AZ185" s="1166">
        <v>29</v>
      </c>
      <c r="BA185" s="1168">
        <f>VLOOKUP(B185,ĐTBT!$V:$W,2,0)</f>
        <v>4</v>
      </c>
      <c r="BB185" s="1168"/>
      <c r="BC185" s="1168"/>
      <c r="BD185" s="1168"/>
      <c r="BE185" s="1168"/>
      <c r="BF185" s="1168"/>
      <c r="BG185" s="1168"/>
      <c r="BH185" s="1168"/>
      <c r="BI185" s="1168">
        <f t="shared" si="110"/>
        <v>0</v>
      </c>
      <c r="BJ185" s="1168">
        <f>VLOOKUP(B185,'Thong tin'!A:R,11,0)</f>
        <v>4</v>
      </c>
    </row>
    <row r="186" spans="1:76" s="1219" customFormat="1" ht="15">
      <c r="A186" s="1217">
        <f>IF(C186="","",COUNTA($C$13:C186))</f>
        <v>174</v>
      </c>
      <c r="B186" s="1163" t="s">
        <v>507</v>
      </c>
      <c r="C186" s="1164">
        <v>0.35416666666666669</v>
      </c>
      <c r="D186" s="1164">
        <f t="shared" si="162"/>
        <v>0.375</v>
      </c>
      <c r="E186" s="1165">
        <v>42738</v>
      </c>
      <c r="F186" s="1164">
        <f t="shared" si="163"/>
        <v>0.38194444444444442</v>
      </c>
      <c r="G186" s="1164">
        <f t="shared" si="164"/>
        <v>0.38541666666666663</v>
      </c>
      <c r="H186" s="1165">
        <f t="shared" si="81"/>
        <v>42738</v>
      </c>
      <c r="I186" s="1166">
        <v>1.7999999999999999E-2</v>
      </c>
      <c r="J186" s="1166">
        <v>-1.2E-2</v>
      </c>
      <c r="K186" s="1166">
        <v>-0.47199999999999998</v>
      </c>
      <c r="L186" s="1166">
        <v>-0.96299999999999997</v>
      </c>
      <c r="M186" s="1164">
        <f t="shared" si="165"/>
        <v>0.38888888888888884</v>
      </c>
      <c r="N186" s="1164">
        <f t="shared" si="166"/>
        <v>0.39930555555555552</v>
      </c>
      <c r="O186" s="1165">
        <f t="shared" si="82"/>
        <v>42738</v>
      </c>
      <c r="P186" s="1166">
        <v>1.05</v>
      </c>
      <c r="Q186" s="1166">
        <v>9</v>
      </c>
      <c r="R186" s="1166">
        <v>26</v>
      </c>
      <c r="S186" s="1166">
        <v>0</v>
      </c>
      <c r="T186" s="1164">
        <f t="shared" si="167"/>
        <v>0.52430555555555558</v>
      </c>
      <c r="U186" s="1167">
        <f t="shared" si="83"/>
        <v>42738</v>
      </c>
      <c r="V186" s="1166">
        <v>20.5</v>
      </c>
      <c r="W186" s="1164">
        <f t="shared" si="168"/>
        <v>0.64930555555555558</v>
      </c>
      <c r="X186" s="1167">
        <f t="shared" si="84"/>
        <v>42738</v>
      </c>
      <c r="Y186" s="1166">
        <v>28.7</v>
      </c>
      <c r="Z186" s="1164">
        <f t="shared" si="169"/>
        <v>0.69097222222222221</v>
      </c>
      <c r="AA186" s="1164">
        <f t="shared" si="170"/>
        <v>0.71180555555555547</v>
      </c>
      <c r="AB186" s="1167">
        <f t="shared" si="85"/>
        <v>42738</v>
      </c>
      <c r="AC186" s="1166">
        <v>28.7</v>
      </c>
      <c r="AD186" s="1164">
        <f t="shared" si="171"/>
        <v>0.71874999999999989</v>
      </c>
      <c r="AE186" s="1164">
        <f t="shared" si="172"/>
        <v>0.72916666666666652</v>
      </c>
      <c r="AF186" s="1167">
        <f t="shared" si="86"/>
        <v>42738</v>
      </c>
      <c r="AG186" s="1164">
        <f t="shared" si="173"/>
        <v>0.73611111111111094</v>
      </c>
      <c r="AH186" s="1164">
        <f t="shared" si="174"/>
        <v>0.77777777777777757</v>
      </c>
      <c r="AI186" s="1167">
        <f t="shared" si="87"/>
        <v>42738</v>
      </c>
      <c r="AJ186" s="1164">
        <f t="shared" si="175"/>
        <v>0.79861111111111083</v>
      </c>
      <c r="AK186" s="1164">
        <f t="shared" si="176"/>
        <v>0.80555555555555525</v>
      </c>
      <c r="AL186" s="1167">
        <f t="shared" si="88"/>
        <v>42738</v>
      </c>
      <c r="AM186" s="1166">
        <v>1.05</v>
      </c>
      <c r="AN186" s="1166">
        <v>9</v>
      </c>
      <c r="AO186" s="1166">
        <v>26</v>
      </c>
      <c r="AP186" s="1166">
        <v>0.6</v>
      </c>
      <c r="AQ186" s="1164">
        <f t="shared" si="79"/>
        <v>0.80555555555555525</v>
      </c>
      <c r="AR186" s="1164">
        <f t="shared" si="177"/>
        <v>0.81249999999999967</v>
      </c>
      <c r="AS186" s="1167">
        <f t="shared" si="89"/>
        <v>42738</v>
      </c>
      <c r="AT186" s="1166">
        <v>28.72</v>
      </c>
      <c r="AU186" s="1164">
        <f t="shared" si="80"/>
        <v>0.81249999999999967</v>
      </c>
      <c r="AV186" s="1167">
        <f t="shared" si="90"/>
        <v>42738</v>
      </c>
      <c r="AW186" s="1164">
        <f t="shared" si="92"/>
        <v>0.86805555555555525</v>
      </c>
      <c r="AX186" s="1167">
        <f t="shared" si="91"/>
        <v>42738</v>
      </c>
      <c r="AY186" s="1166">
        <v>7.1</v>
      </c>
      <c r="AZ186" s="1166">
        <v>30.5</v>
      </c>
      <c r="BA186" s="1168">
        <f>VLOOKUP(B186,ĐTBT!$V:$W,2,0)</f>
        <v>4</v>
      </c>
      <c r="BB186" s="1168"/>
      <c r="BC186" s="1168"/>
      <c r="BD186" s="1168"/>
      <c r="BE186" s="1168"/>
      <c r="BF186" s="1168"/>
      <c r="BG186" s="1168"/>
      <c r="BH186" s="1168"/>
      <c r="BI186" s="1168">
        <f t="shared" si="110"/>
        <v>0</v>
      </c>
      <c r="BJ186" s="1168">
        <f>VLOOKUP(B186,'Thong tin'!A:R,11,0)</f>
        <v>4</v>
      </c>
    </row>
    <row r="187" spans="1:76" s="1219" customFormat="1" ht="15">
      <c r="A187" s="1217">
        <f>IF(C187="","",COUNTA($C$13:C187))</f>
        <v>175</v>
      </c>
      <c r="B187" s="1163" t="s">
        <v>512</v>
      </c>
      <c r="C187" s="1164">
        <v>0.31944444444444448</v>
      </c>
      <c r="D187" s="1164">
        <f t="shared" si="162"/>
        <v>0.34027777777777779</v>
      </c>
      <c r="E187" s="1165">
        <v>42739</v>
      </c>
      <c r="F187" s="1164">
        <f t="shared" si="163"/>
        <v>0.34722222222222221</v>
      </c>
      <c r="G187" s="1164">
        <f t="shared" si="164"/>
        <v>0.35069444444444442</v>
      </c>
      <c r="H187" s="1165">
        <f t="shared" si="81"/>
        <v>42739</v>
      </c>
      <c r="I187" s="1166">
        <v>-3.0000000000000001E-3</v>
      </c>
      <c r="J187" s="1166">
        <v>2.5999999999999999E-2</v>
      </c>
      <c r="K187" s="1166">
        <v>1.7999999999999999E-2</v>
      </c>
      <c r="L187" s="1166">
        <v>-0.33200000000000002</v>
      </c>
      <c r="M187" s="1164">
        <f t="shared" si="165"/>
        <v>0.35416666666666663</v>
      </c>
      <c r="N187" s="1164">
        <f t="shared" si="166"/>
        <v>0.36458333333333331</v>
      </c>
      <c r="O187" s="1165">
        <f t="shared" si="82"/>
        <v>42739</v>
      </c>
      <c r="P187" s="1166">
        <v>1.06</v>
      </c>
      <c r="Q187" s="1166">
        <v>9</v>
      </c>
      <c r="R187" s="1166">
        <v>25</v>
      </c>
      <c r="S187" s="1166">
        <v>0</v>
      </c>
      <c r="T187" s="1164">
        <f t="shared" si="167"/>
        <v>0.48958333333333331</v>
      </c>
      <c r="U187" s="1167">
        <f t="shared" si="83"/>
        <v>42739</v>
      </c>
      <c r="V187" s="1166">
        <v>21.1</v>
      </c>
      <c r="W187" s="1164">
        <f t="shared" si="168"/>
        <v>0.61458333333333326</v>
      </c>
      <c r="X187" s="1167">
        <f t="shared" si="84"/>
        <v>42739</v>
      </c>
      <c r="Y187" s="1166">
        <v>28.71</v>
      </c>
      <c r="Z187" s="1164">
        <f t="shared" si="169"/>
        <v>0.65624999999999989</v>
      </c>
      <c r="AA187" s="1164">
        <f t="shared" si="170"/>
        <v>0.67708333333333315</v>
      </c>
      <c r="AB187" s="1167">
        <f t="shared" si="85"/>
        <v>42739</v>
      </c>
      <c r="AC187" s="1166">
        <v>28.75</v>
      </c>
      <c r="AD187" s="1164">
        <f t="shared" si="171"/>
        <v>0.68402777777777757</v>
      </c>
      <c r="AE187" s="1164">
        <f t="shared" si="172"/>
        <v>0.6944444444444442</v>
      </c>
      <c r="AF187" s="1167">
        <f t="shared" si="86"/>
        <v>42739</v>
      </c>
      <c r="AG187" s="1164">
        <f t="shared" si="173"/>
        <v>0.70138888888888862</v>
      </c>
      <c r="AH187" s="1164">
        <f t="shared" si="174"/>
        <v>0.73263888888888862</v>
      </c>
      <c r="AI187" s="1167">
        <f t="shared" si="87"/>
        <v>42739</v>
      </c>
      <c r="AJ187" s="1164">
        <f t="shared" si="175"/>
        <v>0.75347222222222188</v>
      </c>
      <c r="AK187" s="1164">
        <f t="shared" si="176"/>
        <v>0.7604166666666663</v>
      </c>
      <c r="AL187" s="1167">
        <f t="shared" si="88"/>
        <v>42739</v>
      </c>
      <c r="AM187" s="1166">
        <v>1.05</v>
      </c>
      <c r="AN187" s="1166">
        <v>9</v>
      </c>
      <c r="AO187" s="1166">
        <v>25</v>
      </c>
      <c r="AP187" s="1166">
        <v>0</v>
      </c>
      <c r="AQ187" s="1164">
        <f t="shared" si="79"/>
        <v>0.7604166666666663</v>
      </c>
      <c r="AR187" s="1164">
        <f t="shared" si="177"/>
        <v>0.76736111111111072</v>
      </c>
      <c r="AS187" s="1167">
        <f t="shared" si="89"/>
        <v>42739</v>
      </c>
      <c r="AT187" s="1166">
        <v>28.75</v>
      </c>
      <c r="AU187" s="1164">
        <f t="shared" si="80"/>
        <v>0.76736111111111072</v>
      </c>
      <c r="AV187" s="1167">
        <f t="shared" si="90"/>
        <v>42739</v>
      </c>
      <c r="AW187" s="1164">
        <f t="shared" si="92"/>
        <v>0.8229166666666663</v>
      </c>
      <c r="AX187" s="1167">
        <f t="shared" si="91"/>
        <v>42739</v>
      </c>
      <c r="AY187" s="1166">
        <v>7.6</v>
      </c>
      <c r="AZ187" s="1166">
        <v>30</v>
      </c>
      <c r="BA187" s="1168">
        <f>VLOOKUP(B187,ĐTBT!$V:$W,2,0)</f>
        <v>4</v>
      </c>
      <c r="BB187" s="1168"/>
      <c r="BC187" s="1168"/>
      <c r="BD187" s="1168"/>
      <c r="BE187" s="1168"/>
      <c r="BF187" s="1168"/>
      <c r="BG187" s="1168"/>
      <c r="BH187" s="1168"/>
      <c r="BI187" s="1168">
        <f t="shared" si="110"/>
        <v>0</v>
      </c>
      <c r="BJ187" s="1168">
        <f>VLOOKUP(B187,'Thong tin'!A:R,11,0)</f>
        <v>0</v>
      </c>
      <c r="BU187" s="1220">
        <v>42685</v>
      </c>
      <c r="BX187" s="1220">
        <v>42693</v>
      </c>
    </row>
    <row r="188" spans="1:76" s="1219" customFormat="1" ht="15">
      <c r="A188" s="1217">
        <f>IF(C188="","",COUNTA($C$13:C188))</f>
        <v>176</v>
      </c>
      <c r="B188" s="1163" t="s">
        <v>501</v>
      </c>
      <c r="C188" s="1164">
        <v>0.3125</v>
      </c>
      <c r="D188" s="1164">
        <f t="shared" si="162"/>
        <v>0.33333333333333331</v>
      </c>
      <c r="E188" s="1165">
        <v>42740</v>
      </c>
      <c r="F188" s="1164">
        <f t="shared" si="163"/>
        <v>0.34027777777777773</v>
      </c>
      <c r="G188" s="1164">
        <f t="shared" si="164"/>
        <v>0.34374999999999994</v>
      </c>
      <c r="H188" s="1165">
        <f t="shared" ref="H188:H209" si="179">IF(G188&gt;2,E188+2,IF(G188&gt;1,E188+1,E188))</f>
        <v>42740</v>
      </c>
      <c r="I188" s="1166">
        <v>2.1000000000000001E-2</v>
      </c>
      <c r="J188" s="1166">
        <v>1E-3</v>
      </c>
      <c r="K188" s="1166">
        <v>-1.7999999999999999E-2</v>
      </c>
      <c r="L188" s="1166">
        <v>-0.52300000000000002</v>
      </c>
      <c r="M188" s="1164">
        <f t="shared" si="165"/>
        <v>0.34722222222222215</v>
      </c>
      <c r="N188" s="1164">
        <f t="shared" si="166"/>
        <v>0.35763888888888884</v>
      </c>
      <c r="O188" s="1165">
        <f t="shared" ref="O188:O209" si="180">IF(N188&gt;2,E188+2,IF(N188&gt;1,E188+1,E188))</f>
        <v>42740</v>
      </c>
      <c r="P188" s="1166">
        <v>1.06</v>
      </c>
      <c r="Q188" s="1166">
        <v>9</v>
      </c>
      <c r="R188" s="1166">
        <v>28</v>
      </c>
      <c r="S188" s="1166">
        <v>0</v>
      </c>
      <c r="T188" s="1164">
        <f t="shared" si="167"/>
        <v>0.48263888888888884</v>
      </c>
      <c r="U188" s="1167">
        <f t="shared" ref="U188:U209" si="181">IF(T188&gt;2,E188+2,IF(T188&gt;1,E188+1,E188))</f>
        <v>42740</v>
      </c>
      <c r="V188" s="1166">
        <v>20.399999999999999</v>
      </c>
      <c r="W188" s="1164">
        <f t="shared" si="168"/>
        <v>0.60763888888888884</v>
      </c>
      <c r="X188" s="1167">
        <f t="shared" ref="X188:X209" si="182">IF(W188&gt;2,E188+2,IF(W188&gt;1,E188+1,E188))</f>
        <v>42740</v>
      </c>
      <c r="Y188" s="1166">
        <v>26.4</v>
      </c>
      <c r="Z188" s="1164">
        <f t="shared" si="169"/>
        <v>0.64930555555555547</v>
      </c>
      <c r="AA188" s="1164">
        <f t="shared" si="170"/>
        <v>0.67013888888888873</v>
      </c>
      <c r="AB188" s="1167">
        <f t="shared" ref="AB188:AB209" si="183">IF(AA188&gt;2,E188+2,IF(AA188&gt;1,E188+1,E188))</f>
        <v>42740</v>
      </c>
      <c r="AC188" s="1166">
        <v>26.4</v>
      </c>
      <c r="AD188" s="1164">
        <f t="shared" si="171"/>
        <v>0.67708333333333315</v>
      </c>
      <c r="AE188" s="1164">
        <f t="shared" si="172"/>
        <v>0.68749999999999978</v>
      </c>
      <c r="AF188" s="1167">
        <f t="shared" ref="AF188:AF209" si="184">IF(AE188&gt;2,E188+2,IF(AE188&gt;1,E188+1,E188))</f>
        <v>42740</v>
      </c>
      <c r="AG188" s="1164">
        <f t="shared" si="173"/>
        <v>0.6944444444444442</v>
      </c>
      <c r="AH188" s="1164">
        <f t="shared" si="174"/>
        <v>0.7256944444444442</v>
      </c>
      <c r="AI188" s="1167">
        <f t="shared" ref="AI188:AI209" si="185">IF(AH188&gt;2,E188+2,IF(AH188&gt;1,E188+1,E188))</f>
        <v>42740</v>
      </c>
      <c r="AJ188" s="1164">
        <f t="shared" si="175"/>
        <v>0.74652777777777746</v>
      </c>
      <c r="AK188" s="1164">
        <f t="shared" si="176"/>
        <v>0.75347222222222188</v>
      </c>
      <c r="AL188" s="1167">
        <f t="shared" ref="AL188:AL209" si="186">IF(AK188&gt;2,E188+2,IF(AK188&gt;1,E188+1,E188))</f>
        <v>42740</v>
      </c>
      <c r="AM188" s="1166">
        <v>1.06</v>
      </c>
      <c r="AN188" s="1166">
        <v>9</v>
      </c>
      <c r="AO188" s="1166">
        <v>28</v>
      </c>
      <c r="AP188" s="1166">
        <v>0</v>
      </c>
      <c r="AQ188" s="1164">
        <f t="shared" ref="AQ188:AQ208" si="187">AK188</f>
        <v>0.75347222222222188</v>
      </c>
      <c r="AR188" s="1164">
        <f t="shared" si="177"/>
        <v>0.7604166666666663</v>
      </c>
      <c r="AS188" s="1167">
        <f t="shared" ref="AS188:AS209" si="188">IF(AR188&gt;2,E188+2,IF(AR188&gt;1,E188+1,E188))</f>
        <v>42740</v>
      </c>
      <c r="AT188" s="1166">
        <v>26.4</v>
      </c>
      <c r="AU188" s="1164">
        <f t="shared" ref="AU188:AU208" si="189">AR188</f>
        <v>0.7604166666666663</v>
      </c>
      <c r="AV188" s="1167">
        <f t="shared" ref="AV188:AV209" si="190">IF(AU188&gt;2,E188+2,IF(AU188&gt;1,E188+1,E188))</f>
        <v>42740</v>
      </c>
      <c r="AW188" s="1164">
        <f t="shared" ref="AW188:AW209" si="191">AU188+$BC$13*BA188</f>
        <v>0.80208333333333293</v>
      </c>
      <c r="AX188" s="1167">
        <f t="shared" ref="AX188:AX209" si="192">IF(AW188&gt;2,E188+2,IF(AW188&gt;1,E188+1,E188))</f>
        <v>42740</v>
      </c>
      <c r="AY188" s="1166">
        <v>7.5</v>
      </c>
      <c r="AZ188" s="1166">
        <v>27</v>
      </c>
      <c r="BA188" s="1168">
        <f>VLOOKUP(B188,ĐTBT!$V:$W,2,0)</f>
        <v>3</v>
      </c>
      <c r="BB188" s="1168"/>
      <c r="BC188" s="1168"/>
      <c r="BD188" s="1168"/>
      <c r="BE188" s="1168"/>
      <c r="BF188" s="1168"/>
      <c r="BG188" s="1168"/>
      <c r="BH188" s="1168"/>
      <c r="BI188" s="1168">
        <f t="shared" ref="BI188:BI189" si="193">AX188-E188</f>
        <v>0</v>
      </c>
      <c r="BJ188" s="1168">
        <f>VLOOKUP(B188,'Thong tin'!A:R,11,0)</f>
        <v>0</v>
      </c>
      <c r="BU188" s="1220">
        <v>42663</v>
      </c>
      <c r="BX188" s="1220">
        <v>42705</v>
      </c>
    </row>
    <row r="189" spans="1:76" s="1219" customFormat="1" ht="15">
      <c r="A189" s="1217">
        <f>IF(C189="","",COUNTA($C$13:C189))</f>
        <v>177</v>
      </c>
      <c r="B189" s="1163" t="s">
        <v>627</v>
      </c>
      <c r="C189" s="1164">
        <v>0.375</v>
      </c>
      <c r="D189" s="1164">
        <f t="shared" si="162"/>
        <v>0.39583333333333331</v>
      </c>
      <c r="E189" s="1165">
        <v>42741</v>
      </c>
      <c r="F189" s="1164">
        <f t="shared" si="163"/>
        <v>0.40277777777777773</v>
      </c>
      <c r="G189" s="1164">
        <f t="shared" si="164"/>
        <v>0.40624999999999994</v>
      </c>
      <c r="H189" s="1165">
        <f t="shared" si="179"/>
        <v>42741</v>
      </c>
      <c r="I189" s="1166">
        <v>-0.01</v>
      </c>
      <c r="J189" s="1166">
        <v>-1.4999999999999999E-2</v>
      </c>
      <c r="K189" s="1166">
        <v>-4.7E-2</v>
      </c>
      <c r="L189" s="1166">
        <v>-0.4</v>
      </c>
      <c r="M189" s="1164">
        <f t="shared" si="165"/>
        <v>0.40972222222222215</v>
      </c>
      <c r="N189" s="1164">
        <f t="shared" si="166"/>
        <v>0.42013888888888884</v>
      </c>
      <c r="O189" s="1165">
        <f t="shared" si="180"/>
        <v>42741</v>
      </c>
      <c r="P189" s="1166">
        <v>1.06</v>
      </c>
      <c r="Q189" s="1166">
        <v>9</v>
      </c>
      <c r="R189" s="1166">
        <v>27</v>
      </c>
      <c r="S189" s="1166">
        <v>0</v>
      </c>
      <c r="T189" s="1164">
        <f t="shared" si="167"/>
        <v>0.54513888888888884</v>
      </c>
      <c r="U189" s="1167">
        <f t="shared" si="181"/>
        <v>42741</v>
      </c>
      <c r="V189" s="1166">
        <v>18.7</v>
      </c>
      <c r="W189" s="1164">
        <f t="shared" si="168"/>
        <v>0.67013888888888884</v>
      </c>
      <c r="X189" s="1167">
        <f t="shared" si="182"/>
        <v>42741</v>
      </c>
      <c r="Y189" s="1166">
        <v>27.45</v>
      </c>
      <c r="Z189" s="1164">
        <f t="shared" si="169"/>
        <v>0.71180555555555547</v>
      </c>
      <c r="AA189" s="1164">
        <f t="shared" si="170"/>
        <v>0.73263888888888873</v>
      </c>
      <c r="AB189" s="1167">
        <f t="shared" si="183"/>
        <v>42741</v>
      </c>
      <c r="AC189" s="1166">
        <v>27.45</v>
      </c>
      <c r="AD189" s="1164">
        <f t="shared" si="171"/>
        <v>0.73958333333333315</v>
      </c>
      <c r="AE189" s="1164">
        <f t="shared" si="172"/>
        <v>0.74999999999999978</v>
      </c>
      <c r="AF189" s="1167">
        <f t="shared" si="184"/>
        <v>42741</v>
      </c>
      <c r="AG189" s="1164">
        <f t="shared" si="173"/>
        <v>0.7569444444444442</v>
      </c>
      <c r="AH189" s="1164">
        <f t="shared" si="174"/>
        <v>0.7881944444444442</v>
      </c>
      <c r="AI189" s="1167">
        <f t="shared" si="185"/>
        <v>42741</v>
      </c>
      <c r="AJ189" s="1164">
        <f t="shared" si="175"/>
        <v>0.80902777777777746</v>
      </c>
      <c r="AK189" s="1164">
        <f t="shared" si="176"/>
        <v>0.81597222222222188</v>
      </c>
      <c r="AL189" s="1167">
        <f t="shared" si="186"/>
        <v>42741</v>
      </c>
      <c r="AM189" s="1166">
        <v>1.05</v>
      </c>
      <c r="AN189" s="1166">
        <v>9</v>
      </c>
      <c r="AO189" s="1166">
        <v>24</v>
      </c>
      <c r="AP189" s="1166">
        <v>0</v>
      </c>
      <c r="AQ189" s="1164">
        <f t="shared" si="187"/>
        <v>0.81597222222222188</v>
      </c>
      <c r="AR189" s="1164">
        <f t="shared" si="177"/>
        <v>0.8229166666666663</v>
      </c>
      <c r="AS189" s="1167">
        <f t="shared" si="188"/>
        <v>42741</v>
      </c>
      <c r="AT189" s="1166">
        <v>27.45</v>
      </c>
      <c r="AU189" s="1164">
        <f t="shared" si="189"/>
        <v>0.8229166666666663</v>
      </c>
      <c r="AV189" s="1167">
        <f t="shared" si="190"/>
        <v>42741</v>
      </c>
      <c r="AW189" s="1164">
        <f t="shared" si="191"/>
        <v>0.83680555555555514</v>
      </c>
      <c r="AX189" s="1167">
        <f t="shared" si="192"/>
        <v>42741</v>
      </c>
      <c r="AY189" s="1166">
        <v>5.9</v>
      </c>
      <c r="AZ189" s="1166">
        <v>12</v>
      </c>
      <c r="BA189" s="1168">
        <f>VLOOKUP(B189,ĐTBT!$V:$W,2,0)</f>
        <v>1</v>
      </c>
      <c r="BB189" s="1168"/>
      <c r="BC189" s="1168"/>
      <c r="BD189" s="1168"/>
      <c r="BE189" s="1168"/>
      <c r="BF189" s="1168"/>
      <c r="BG189" s="1168"/>
      <c r="BH189" s="1168"/>
      <c r="BI189" s="1168">
        <f t="shared" si="193"/>
        <v>0</v>
      </c>
      <c r="BJ189" s="1168">
        <f>VLOOKUP(B189,'Thong tin'!A:R,11,0)</f>
        <v>0</v>
      </c>
      <c r="BU189" s="1220">
        <v>42671</v>
      </c>
      <c r="BX189" s="1220">
        <v>42721</v>
      </c>
    </row>
    <row r="190" spans="1:76" s="1219" customFormat="1" ht="15">
      <c r="A190" s="1217">
        <f>IF(C190="","",COUNTA($C$13:C190))</f>
        <v>178</v>
      </c>
      <c r="B190" s="1163" t="s">
        <v>563</v>
      </c>
      <c r="C190" s="1164">
        <v>0.29166666666666669</v>
      </c>
      <c r="D190" s="1164">
        <f t="shared" si="162"/>
        <v>0.3125</v>
      </c>
      <c r="E190" s="1165">
        <v>42742</v>
      </c>
      <c r="F190" s="1164">
        <f t="shared" si="163"/>
        <v>0.31944444444444442</v>
      </c>
      <c r="G190" s="1164">
        <f t="shared" si="164"/>
        <v>0.32291666666666663</v>
      </c>
      <c r="H190" s="1165">
        <f t="shared" si="179"/>
        <v>42742</v>
      </c>
      <c r="I190" s="1166">
        <v>-8.9999999999999993E-3</v>
      </c>
      <c r="J190" s="1166">
        <v>1.4E-2</v>
      </c>
      <c r="K190" s="1166">
        <v>-1.2E-2</v>
      </c>
      <c r="L190" s="1166">
        <v>-0.60499999999999998</v>
      </c>
      <c r="M190" s="1164">
        <f t="shared" si="165"/>
        <v>0.32638888888888884</v>
      </c>
      <c r="N190" s="1164">
        <f t="shared" si="166"/>
        <v>0.33680555555555552</v>
      </c>
      <c r="O190" s="1165">
        <f t="shared" si="180"/>
        <v>42742</v>
      </c>
      <c r="P190" s="1166">
        <v>1.05</v>
      </c>
      <c r="Q190" s="1166">
        <v>9</v>
      </c>
      <c r="R190" s="1166">
        <v>28</v>
      </c>
      <c r="S190" s="1166">
        <v>0</v>
      </c>
      <c r="T190" s="1164">
        <f t="shared" si="167"/>
        <v>0.46180555555555552</v>
      </c>
      <c r="U190" s="1167">
        <f t="shared" si="181"/>
        <v>42742</v>
      </c>
      <c r="V190" s="1166">
        <v>19.5</v>
      </c>
      <c r="W190" s="1164">
        <f t="shared" si="168"/>
        <v>0.58680555555555558</v>
      </c>
      <c r="X190" s="1167">
        <f t="shared" si="182"/>
        <v>42742</v>
      </c>
      <c r="Y190" s="1166">
        <v>25.3</v>
      </c>
      <c r="Z190" s="1164">
        <f t="shared" si="169"/>
        <v>0.62847222222222221</v>
      </c>
      <c r="AA190" s="1164">
        <f t="shared" si="170"/>
        <v>0.64930555555555547</v>
      </c>
      <c r="AB190" s="1167">
        <f t="shared" si="183"/>
        <v>42742</v>
      </c>
      <c r="AC190" s="1166">
        <v>25.38</v>
      </c>
      <c r="AD190" s="1164">
        <f t="shared" si="171"/>
        <v>0.65624999999999989</v>
      </c>
      <c r="AE190" s="1164">
        <f t="shared" si="172"/>
        <v>0.66666666666666652</v>
      </c>
      <c r="AF190" s="1167">
        <f t="shared" si="184"/>
        <v>42742</v>
      </c>
      <c r="AG190" s="1164">
        <f t="shared" si="173"/>
        <v>0.67361111111111094</v>
      </c>
      <c r="AH190" s="1164">
        <f t="shared" si="174"/>
        <v>0.71527777777777757</v>
      </c>
      <c r="AI190" s="1167">
        <f t="shared" si="185"/>
        <v>42742</v>
      </c>
      <c r="AJ190" s="1164">
        <f t="shared" si="175"/>
        <v>0.73611111111111083</v>
      </c>
      <c r="AK190" s="1164">
        <f t="shared" si="176"/>
        <v>0.74305555555555525</v>
      </c>
      <c r="AL190" s="1167">
        <f t="shared" si="186"/>
        <v>42742</v>
      </c>
      <c r="AM190" s="1166">
        <v>1.05</v>
      </c>
      <c r="AN190" s="1166">
        <v>9</v>
      </c>
      <c r="AO190" s="1166">
        <v>23</v>
      </c>
      <c r="AP190" s="1166">
        <v>0</v>
      </c>
      <c r="AQ190" s="1164">
        <f t="shared" si="187"/>
        <v>0.74305555555555525</v>
      </c>
      <c r="AR190" s="1164">
        <f t="shared" si="177"/>
        <v>0.74999999999999967</v>
      </c>
      <c r="AS190" s="1167">
        <f t="shared" si="188"/>
        <v>42742</v>
      </c>
      <c r="AT190" s="1166">
        <v>25.38</v>
      </c>
      <c r="AU190" s="1164">
        <f t="shared" si="189"/>
        <v>0.74999999999999967</v>
      </c>
      <c r="AV190" s="1167">
        <f t="shared" si="190"/>
        <v>42742</v>
      </c>
      <c r="AW190" s="1164">
        <f t="shared" si="191"/>
        <v>0.7916666666666663</v>
      </c>
      <c r="AX190" s="1167">
        <f t="shared" si="192"/>
        <v>42742</v>
      </c>
      <c r="AY190" s="1166">
        <v>7.6</v>
      </c>
      <c r="AZ190" s="1166">
        <v>25</v>
      </c>
      <c r="BA190" s="1168">
        <f>VLOOKUP(B190,ĐTBT!$V:$W,2,0)</f>
        <v>3</v>
      </c>
      <c r="BB190" s="1168"/>
      <c r="BC190" s="1221">
        <v>42718</v>
      </c>
      <c r="BD190" s="1221"/>
      <c r="BE190" s="1222">
        <f>BC190-AX190</f>
        <v>-24</v>
      </c>
      <c r="BF190" s="1222"/>
      <c r="BG190" s="1221">
        <f>BC190-1</f>
        <v>42717</v>
      </c>
      <c r="BH190" s="1221">
        <f>BG190+BE190</f>
        <v>42693</v>
      </c>
      <c r="BI190" s="1168">
        <f t="shared" ref="BI190:BI206" si="194">AX190-E190</f>
        <v>0</v>
      </c>
      <c r="BJ190" s="1168">
        <f>VLOOKUP(B190,'Thong tin'!A:R,11,0)</f>
        <v>4</v>
      </c>
      <c r="BU190" s="1220">
        <v>42676</v>
      </c>
      <c r="BX190" s="1220">
        <v>42730</v>
      </c>
    </row>
    <row r="191" spans="1:76" s="1219" customFormat="1" ht="15">
      <c r="A191" s="1217">
        <f>IF(C191="","",COUNTA($C$13:C191))</f>
        <v>179</v>
      </c>
      <c r="B191" s="1163" t="s">
        <v>573</v>
      </c>
      <c r="C191" s="1164">
        <v>0.58333333333333337</v>
      </c>
      <c r="D191" s="1164">
        <f t="shared" si="162"/>
        <v>0.60416666666666663</v>
      </c>
      <c r="E191" s="1165">
        <v>42743</v>
      </c>
      <c r="F191" s="1164">
        <f t="shared" si="163"/>
        <v>0.61111111111111105</v>
      </c>
      <c r="G191" s="1164">
        <f t="shared" si="164"/>
        <v>0.61458333333333326</v>
      </c>
      <c r="H191" s="1165">
        <f t="shared" si="179"/>
        <v>42743</v>
      </c>
      <c r="I191" s="1166">
        <v>-0.02</v>
      </c>
      <c r="J191" s="1166">
        <v>-1.2999999999999999E-2</v>
      </c>
      <c r="K191" s="1166">
        <v>-0.01</v>
      </c>
      <c r="L191" s="1166">
        <v>-0.432</v>
      </c>
      <c r="M191" s="1164">
        <f t="shared" si="165"/>
        <v>0.61805555555555547</v>
      </c>
      <c r="N191" s="1164">
        <f t="shared" si="166"/>
        <v>0.6284722222222221</v>
      </c>
      <c r="O191" s="1165">
        <f t="shared" si="180"/>
        <v>42743</v>
      </c>
      <c r="P191" s="1166">
        <v>1.06</v>
      </c>
      <c r="Q191" s="1166">
        <v>9</v>
      </c>
      <c r="R191" s="1166">
        <v>26</v>
      </c>
      <c r="S191" s="1166">
        <v>0</v>
      </c>
      <c r="T191" s="1164">
        <f t="shared" si="167"/>
        <v>0.7534722222222221</v>
      </c>
      <c r="U191" s="1167">
        <f t="shared" si="181"/>
        <v>42743</v>
      </c>
      <c r="V191" s="1166">
        <v>21</v>
      </c>
      <c r="W191" s="1164">
        <f t="shared" si="168"/>
        <v>0.8784722222222221</v>
      </c>
      <c r="X191" s="1167">
        <f t="shared" si="182"/>
        <v>42743</v>
      </c>
      <c r="Y191" s="1166">
        <v>25.3</v>
      </c>
      <c r="Z191" s="1164">
        <f t="shared" si="169"/>
        <v>0.92013888888888873</v>
      </c>
      <c r="AA191" s="1164">
        <f t="shared" si="170"/>
        <v>0.94097222222222199</v>
      </c>
      <c r="AB191" s="1167">
        <f t="shared" si="183"/>
        <v>42743</v>
      </c>
      <c r="AC191" s="1166">
        <v>25.3</v>
      </c>
      <c r="AD191" s="1164">
        <f t="shared" si="171"/>
        <v>0.94791666666666641</v>
      </c>
      <c r="AE191" s="1164">
        <f t="shared" si="172"/>
        <v>0.95833333333333304</v>
      </c>
      <c r="AF191" s="1167">
        <f t="shared" si="184"/>
        <v>42743</v>
      </c>
      <c r="AG191" s="1164">
        <f t="shared" si="173"/>
        <v>0.96527777777777746</v>
      </c>
      <c r="AH191" s="1164">
        <f t="shared" si="174"/>
        <v>1.006944444444444</v>
      </c>
      <c r="AI191" s="1167">
        <f t="shared" si="185"/>
        <v>42744</v>
      </c>
      <c r="AJ191" s="1164">
        <f t="shared" si="175"/>
        <v>1.0277777777777772</v>
      </c>
      <c r="AK191" s="1164">
        <f t="shared" si="176"/>
        <v>1.0347222222222217</v>
      </c>
      <c r="AL191" s="1167">
        <f t="shared" si="186"/>
        <v>42744</v>
      </c>
      <c r="AM191" s="1166">
        <v>1.06</v>
      </c>
      <c r="AN191" s="1166">
        <v>9</v>
      </c>
      <c r="AO191" s="1166">
        <v>26</v>
      </c>
      <c r="AP191" s="1166">
        <v>0</v>
      </c>
      <c r="AQ191" s="1164">
        <f t="shared" si="187"/>
        <v>1.0347222222222217</v>
      </c>
      <c r="AR191" s="1164">
        <f t="shared" si="177"/>
        <v>1.0416666666666661</v>
      </c>
      <c r="AS191" s="1167">
        <f t="shared" si="188"/>
        <v>42744</v>
      </c>
      <c r="AT191" s="1166">
        <v>25.3</v>
      </c>
      <c r="AU191" s="1164">
        <f t="shared" si="189"/>
        <v>1.0416666666666661</v>
      </c>
      <c r="AV191" s="1167">
        <f t="shared" si="190"/>
        <v>42744</v>
      </c>
      <c r="AW191" s="1164">
        <f t="shared" si="191"/>
        <v>1.0694444444444438</v>
      </c>
      <c r="AX191" s="1167">
        <f t="shared" si="192"/>
        <v>42744</v>
      </c>
      <c r="AY191" s="1166">
        <v>7.3</v>
      </c>
      <c r="AZ191" s="1166">
        <v>24</v>
      </c>
      <c r="BA191" s="1168">
        <f>VLOOKUP(B191,ĐTBT!$V:$W,2,0)</f>
        <v>2</v>
      </c>
      <c r="BB191" s="1168"/>
      <c r="BC191" s="1221">
        <v>42719</v>
      </c>
      <c r="BD191" s="1221"/>
      <c r="BE191" s="1222">
        <f t="shared" ref="BE191:BE214" si="195">BC191-AX191</f>
        <v>-25</v>
      </c>
      <c r="BF191" s="1222"/>
      <c r="BG191" s="1221">
        <f t="shared" ref="BG191:BG214" si="196">BC191-1</f>
        <v>42718</v>
      </c>
      <c r="BH191" s="1221">
        <f t="shared" ref="BH191:BH214" si="197">BG191+BE191</f>
        <v>42693</v>
      </c>
      <c r="BI191" s="1168">
        <f t="shared" si="194"/>
        <v>1</v>
      </c>
      <c r="BJ191" s="1168">
        <f>VLOOKUP(B191,'Thong tin'!A:R,11,0)</f>
        <v>4</v>
      </c>
      <c r="BU191" s="1220">
        <v>42677</v>
      </c>
      <c r="BX191" s="1220">
        <v>42732</v>
      </c>
    </row>
    <row r="192" spans="1:76" s="1219" customFormat="1" ht="15">
      <c r="A192" s="1217">
        <f>IF(C192="","",COUNTA($C$13:C192))</f>
        <v>180</v>
      </c>
      <c r="B192" s="1163" t="s">
        <v>568</v>
      </c>
      <c r="C192" s="1164">
        <v>0.65625</v>
      </c>
      <c r="D192" s="1164">
        <f t="shared" si="162"/>
        <v>0.67708333333333326</v>
      </c>
      <c r="E192" s="1165">
        <v>42744</v>
      </c>
      <c r="F192" s="1164">
        <f t="shared" si="163"/>
        <v>0.68402777777777768</v>
      </c>
      <c r="G192" s="1164">
        <f t="shared" si="164"/>
        <v>0.68749999999999989</v>
      </c>
      <c r="H192" s="1165">
        <f t="shared" si="179"/>
        <v>42744</v>
      </c>
      <c r="I192" s="1166">
        <v>-7.0000000000000001E-3</v>
      </c>
      <c r="J192" s="1166">
        <v>2E-3</v>
      </c>
      <c r="K192" s="1166">
        <v>-4.2000000000000003E-2</v>
      </c>
      <c r="L192" s="1166">
        <v>-0.46800000000000003</v>
      </c>
      <c r="M192" s="1164">
        <f t="shared" si="165"/>
        <v>0.6909722222222221</v>
      </c>
      <c r="N192" s="1164">
        <f t="shared" si="166"/>
        <v>0.70138888888888873</v>
      </c>
      <c r="O192" s="1165">
        <f t="shared" si="180"/>
        <v>42744</v>
      </c>
      <c r="P192" s="1166">
        <v>1.06</v>
      </c>
      <c r="Q192" s="1166">
        <v>9</v>
      </c>
      <c r="R192" s="1166">
        <v>24</v>
      </c>
      <c r="S192" s="1166">
        <v>0</v>
      </c>
      <c r="T192" s="1164">
        <f t="shared" si="167"/>
        <v>0.82638888888888873</v>
      </c>
      <c r="U192" s="1167">
        <f t="shared" si="181"/>
        <v>42744</v>
      </c>
      <c r="V192" s="1166">
        <v>20.5</v>
      </c>
      <c r="W192" s="1164">
        <f t="shared" si="168"/>
        <v>0.95138888888888873</v>
      </c>
      <c r="X192" s="1167">
        <f t="shared" si="182"/>
        <v>42744</v>
      </c>
      <c r="Y192" s="1166">
        <v>25.3</v>
      </c>
      <c r="Z192" s="1164">
        <f t="shared" si="169"/>
        <v>0.99305555555555536</v>
      </c>
      <c r="AA192" s="1164">
        <f t="shared" si="170"/>
        <v>1.0138888888888886</v>
      </c>
      <c r="AB192" s="1167">
        <f t="shared" si="183"/>
        <v>42745</v>
      </c>
      <c r="AC192" s="1166">
        <v>25.4</v>
      </c>
      <c r="AD192" s="1164">
        <f t="shared" si="171"/>
        <v>1.020833333333333</v>
      </c>
      <c r="AE192" s="1164">
        <f t="shared" si="172"/>
        <v>1.0312499999999998</v>
      </c>
      <c r="AF192" s="1167">
        <f t="shared" si="184"/>
        <v>42745</v>
      </c>
      <c r="AG192" s="1164">
        <f t="shared" si="173"/>
        <v>1.0381944444444442</v>
      </c>
      <c r="AH192" s="1164">
        <f t="shared" si="174"/>
        <v>1.0694444444444442</v>
      </c>
      <c r="AI192" s="1167">
        <f t="shared" si="185"/>
        <v>42745</v>
      </c>
      <c r="AJ192" s="1164">
        <f t="shared" si="175"/>
        <v>1.0902777777777775</v>
      </c>
      <c r="AK192" s="1164">
        <f t="shared" si="176"/>
        <v>1.0972222222222219</v>
      </c>
      <c r="AL192" s="1167">
        <f t="shared" si="186"/>
        <v>42745</v>
      </c>
      <c r="AM192" s="1166">
        <v>1.06</v>
      </c>
      <c r="AN192" s="1166">
        <v>9</v>
      </c>
      <c r="AO192" s="1166">
        <v>25</v>
      </c>
      <c r="AP192" s="1166">
        <v>0</v>
      </c>
      <c r="AQ192" s="1164">
        <f t="shared" si="187"/>
        <v>1.0972222222222219</v>
      </c>
      <c r="AR192" s="1164">
        <f t="shared" si="177"/>
        <v>1.1041666666666663</v>
      </c>
      <c r="AS192" s="1167">
        <f t="shared" si="188"/>
        <v>42745</v>
      </c>
      <c r="AT192" s="1166">
        <v>25.4</v>
      </c>
      <c r="AU192" s="1164">
        <f t="shared" si="189"/>
        <v>1.1041666666666663</v>
      </c>
      <c r="AV192" s="1167">
        <f t="shared" si="190"/>
        <v>42745</v>
      </c>
      <c r="AW192" s="1164">
        <f t="shared" si="191"/>
        <v>1.145833333333333</v>
      </c>
      <c r="AX192" s="1167">
        <f t="shared" si="192"/>
        <v>42745</v>
      </c>
      <c r="AY192" s="1166">
        <v>7.6</v>
      </c>
      <c r="AZ192" s="1166">
        <v>25</v>
      </c>
      <c r="BA192" s="1168">
        <f>VLOOKUP(B192,ĐTBT!$V:$W,2,0)</f>
        <v>3</v>
      </c>
      <c r="BB192" s="1168"/>
      <c r="BC192" s="1221">
        <v>42719</v>
      </c>
      <c r="BD192" s="1221"/>
      <c r="BE192" s="1222">
        <f t="shared" si="195"/>
        <v>-26</v>
      </c>
      <c r="BF192" s="1222"/>
      <c r="BG192" s="1221">
        <f t="shared" si="196"/>
        <v>42718</v>
      </c>
      <c r="BH192" s="1221">
        <f t="shared" si="197"/>
        <v>42692</v>
      </c>
      <c r="BI192" s="1168">
        <f t="shared" si="194"/>
        <v>1</v>
      </c>
      <c r="BJ192" s="1168">
        <f>VLOOKUP(B192,'Thong tin'!A:R,11,0)</f>
        <v>0</v>
      </c>
      <c r="BU192" s="1220">
        <v>42677</v>
      </c>
      <c r="BX192" s="1220">
        <v>42733</v>
      </c>
    </row>
    <row r="193" spans="1:76" s="1219" customFormat="1" ht="15">
      <c r="A193" s="1217">
        <f>IF(C193="","",COUNTA($C$13:C193))</f>
        <v>181</v>
      </c>
      <c r="B193" s="1248" t="s">
        <v>523</v>
      </c>
      <c r="C193" s="1164">
        <v>0.33333333333333331</v>
      </c>
      <c r="D193" s="1164">
        <f t="shared" si="162"/>
        <v>0.35416666666666663</v>
      </c>
      <c r="E193" s="1165">
        <v>42745</v>
      </c>
      <c r="F193" s="1164">
        <f t="shared" si="163"/>
        <v>0.36111111111111105</v>
      </c>
      <c r="G193" s="1164">
        <f t="shared" si="164"/>
        <v>0.36458333333333326</v>
      </c>
      <c r="H193" s="1165">
        <f t="shared" si="179"/>
        <v>42745</v>
      </c>
      <c r="I193" s="1166">
        <v>-1.9E-2</v>
      </c>
      <c r="J193" s="1166">
        <v>-8.0000000000000002E-3</v>
      </c>
      <c r="K193" s="1166">
        <v>-0.63900000000000001</v>
      </c>
      <c r="L193" s="1166">
        <v>-0.86699999999999999</v>
      </c>
      <c r="M193" s="1164">
        <f t="shared" si="165"/>
        <v>0.36805555555555547</v>
      </c>
      <c r="N193" s="1164">
        <f t="shared" si="166"/>
        <v>0.37847222222222215</v>
      </c>
      <c r="O193" s="1165">
        <f t="shared" si="180"/>
        <v>42745</v>
      </c>
      <c r="P193" s="1166">
        <v>1.06</v>
      </c>
      <c r="Q193" s="1166">
        <v>9</v>
      </c>
      <c r="R193" s="1166">
        <v>26</v>
      </c>
      <c r="S193" s="1166">
        <v>0</v>
      </c>
      <c r="T193" s="1164">
        <f t="shared" si="167"/>
        <v>0.5034722222222221</v>
      </c>
      <c r="U193" s="1167">
        <f t="shared" si="181"/>
        <v>42745</v>
      </c>
      <c r="V193" s="1166">
        <v>20.100000000000001</v>
      </c>
      <c r="W193" s="1164">
        <f t="shared" si="168"/>
        <v>0.6284722222222221</v>
      </c>
      <c r="X193" s="1167">
        <f t="shared" si="182"/>
        <v>42745</v>
      </c>
      <c r="Y193" s="1166">
        <v>29.87</v>
      </c>
      <c r="Z193" s="1164">
        <f t="shared" si="169"/>
        <v>0.67013888888888873</v>
      </c>
      <c r="AA193" s="1164">
        <f t="shared" si="170"/>
        <v>0.69097222222222199</v>
      </c>
      <c r="AB193" s="1167">
        <f t="shared" si="183"/>
        <v>42745</v>
      </c>
      <c r="AC193" s="1166">
        <v>29.9</v>
      </c>
      <c r="AD193" s="1164">
        <f t="shared" si="171"/>
        <v>0.69791666666666641</v>
      </c>
      <c r="AE193" s="1164">
        <f t="shared" si="172"/>
        <v>0.70833333333333304</v>
      </c>
      <c r="AF193" s="1167">
        <f t="shared" si="184"/>
        <v>42745</v>
      </c>
      <c r="AG193" s="1164">
        <f t="shared" si="173"/>
        <v>0.71527777777777746</v>
      </c>
      <c r="AH193" s="1164">
        <f t="shared" si="174"/>
        <v>0.75694444444444409</v>
      </c>
      <c r="AI193" s="1167">
        <f t="shared" si="185"/>
        <v>42745</v>
      </c>
      <c r="AJ193" s="1164">
        <f t="shared" si="175"/>
        <v>0.77777777777777735</v>
      </c>
      <c r="AK193" s="1164">
        <f t="shared" si="176"/>
        <v>0.78472222222222177</v>
      </c>
      <c r="AL193" s="1167">
        <f t="shared" si="186"/>
        <v>42745</v>
      </c>
      <c r="AM193" s="1166">
        <v>1.06</v>
      </c>
      <c r="AN193" s="1166">
        <v>9</v>
      </c>
      <c r="AO193" s="1166">
        <v>24</v>
      </c>
      <c r="AP193" s="1166">
        <v>0</v>
      </c>
      <c r="AQ193" s="1164">
        <f t="shared" si="187"/>
        <v>0.78472222222222177</v>
      </c>
      <c r="AR193" s="1164">
        <f t="shared" si="177"/>
        <v>0.79166666666666619</v>
      </c>
      <c r="AS193" s="1167">
        <f t="shared" si="188"/>
        <v>42745</v>
      </c>
      <c r="AT193" s="1166">
        <v>29.9</v>
      </c>
      <c r="AU193" s="1164">
        <f t="shared" si="189"/>
        <v>0.79166666666666619</v>
      </c>
      <c r="AV193" s="1167">
        <f t="shared" si="190"/>
        <v>42745</v>
      </c>
      <c r="AW193" s="1164">
        <f t="shared" si="191"/>
        <v>0.81944444444444398</v>
      </c>
      <c r="AX193" s="1167">
        <f t="shared" si="192"/>
        <v>42745</v>
      </c>
      <c r="AY193" s="1166">
        <v>5.3</v>
      </c>
      <c r="AZ193" s="1166">
        <v>14</v>
      </c>
      <c r="BA193" s="1168">
        <f>VLOOKUP(B193,ĐTBT!$V:$W,2,0)</f>
        <v>2</v>
      </c>
      <c r="BB193" s="1168"/>
      <c r="BC193" s="1221">
        <v>42720</v>
      </c>
      <c r="BD193" s="1221"/>
      <c r="BE193" s="1222">
        <f t="shared" si="195"/>
        <v>-25</v>
      </c>
      <c r="BF193" s="1222"/>
      <c r="BG193" s="1221">
        <f t="shared" si="196"/>
        <v>42719</v>
      </c>
      <c r="BH193" s="1221">
        <f t="shared" si="197"/>
        <v>42694</v>
      </c>
      <c r="BI193" s="1168">
        <f t="shared" si="194"/>
        <v>0</v>
      </c>
      <c r="BJ193" s="1168">
        <f>VLOOKUP(B193,'Thong tin'!A:R,11,0)</f>
        <v>3</v>
      </c>
      <c r="BU193" s="1220">
        <v>42679</v>
      </c>
      <c r="BX193" s="1220">
        <v>42736</v>
      </c>
    </row>
    <row r="194" spans="1:76" s="1219" customFormat="1" ht="15">
      <c r="A194" s="1217">
        <f>IF(C194="","",COUNTA($C$13:C194))</f>
        <v>182</v>
      </c>
      <c r="B194" s="1163" t="s">
        <v>611</v>
      </c>
      <c r="C194" s="1164">
        <v>0.38194444444444442</v>
      </c>
      <c r="D194" s="1164">
        <f t="shared" si="162"/>
        <v>0.40277777777777773</v>
      </c>
      <c r="E194" s="1165">
        <v>42746</v>
      </c>
      <c r="F194" s="1164">
        <f t="shared" si="163"/>
        <v>0.40972222222222215</v>
      </c>
      <c r="G194" s="1164">
        <f t="shared" si="164"/>
        <v>0.41319444444444436</v>
      </c>
      <c r="H194" s="1165">
        <f t="shared" si="179"/>
        <v>42746</v>
      </c>
      <c r="I194" s="1166">
        <v>-3.0000000000000001E-3</v>
      </c>
      <c r="J194" s="1166">
        <v>6.0000000000000001E-3</v>
      </c>
      <c r="K194" s="1166">
        <v>-0.248</v>
      </c>
      <c r="L194" s="1166">
        <v>-0.75900000000000001</v>
      </c>
      <c r="M194" s="1164">
        <f t="shared" si="165"/>
        <v>0.41666666666666657</v>
      </c>
      <c r="N194" s="1164">
        <f t="shared" si="166"/>
        <v>0.42708333333333326</v>
      </c>
      <c r="O194" s="1165">
        <f t="shared" si="180"/>
        <v>42746</v>
      </c>
      <c r="P194" s="1166">
        <v>1.05</v>
      </c>
      <c r="Q194" s="1166">
        <v>9</v>
      </c>
      <c r="R194" s="1166">
        <v>28</v>
      </c>
      <c r="S194" s="1166">
        <v>0</v>
      </c>
      <c r="T194" s="1164">
        <f t="shared" si="167"/>
        <v>0.55208333333333326</v>
      </c>
      <c r="U194" s="1167">
        <f t="shared" si="181"/>
        <v>42746</v>
      </c>
      <c r="V194" s="1166">
        <v>20.12</v>
      </c>
      <c r="W194" s="1164">
        <f t="shared" si="168"/>
        <v>0.67708333333333326</v>
      </c>
      <c r="X194" s="1167">
        <f t="shared" si="182"/>
        <v>42746</v>
      </c>
      <c r="Y194" s="1166">
        <v>30.31</v>
      </c>
      <c r="Z194" s="1164">
        <f t="shared" si="169"/>
        <v>0.71874999999999989</v>
      </c>
      <c r="AA194" s="1164">
        <f t="shared" si="170"/>
        <v>0.73958333333333315</v>
      </c>
      <c r="AB194" s="1167">
        <f t="shared" si="183"/>
        <v>42746</v>
      </c>
      <c r="AC194" s="1166">
        <v>30.32</v>
      </c>
      <c r="AD194" s="1164">
        <f t="shared" si="171"/>
        <v>0.74652777777777757</v>
      </c>
      <c r="AE194" s="1164">
        <f t="shared" si="172"/>
        <v>0.7569444444444442</v>
      </c>
      <c r="AF194" s="1167">
        <f t="shared" si="184"/>
        <v>42746</v>
      </c>
      <c r="AG194" s="1164">
        <f t="shared" si="173"/>
        <v>0.76388888888888862</v>
      </c>
      <c r="AH194" s="1164">
        <f t="shared" si="174"/>
        <v>0.80555555555555525</v>
      </c>
      <c r="AI194" s="1167">
        <f t="shared" si="185"/>
        <v>42746</v>
      </c>
      <c r="AJ194" s="1164">
        <f t="shared" si="175"/>
        <v>0.82638888888888851</v>
      </c>
      <c r="AK194" s="1164">
        <f t="shared" si="176"/>
        <v>0.83333333333333293</v>
      </c>
      <c r="AL194" s="1167">
        <f t="shared" si="186"/>
        <v>42746</v>
      </c>
      <c r="AM194" s="1166">
        <v>1.05</v>
      </c>
      <c r="AN194" s="1166">
        <v>9</v>
      </c>
      <c r="AO194" s="1166">
        <v>28</v>
      </c>
      <c r="AP194" s="1166">
        <v>0</v>
      </c>
      <c r="AQ194" s="1164">
        <f t="shared" si="187"/>
        <v>0.83333333333333293</v>
      </c>
      <c r="AR194" s="1164">
        <f t="shared" si="177"/>
        <v>0.84027777777777735</v>
      </c>
      <c r="AS194" s="1167">
        <f t="shared" si="188"/>
        <v>42746</v>
      </c>
      <c r="AT194" s="1166">
        <v>30.32</v>
      </c>
      <c r="AU194" s="1164">
        <f t="shared" si="189"/>
        <v>0.84027777777777735</v>
      </c>
      <c r="AV194" s="1167">
        <f t="shared" si="190"/>
        <v>42746</v>
      </c>
      <c r="AW194" s="1164">
        <f t="shared" si="191"/>
        <v>0.89583333333333293</v>
      </c>
      <c r="AX194" s="1167">
        <f t="shared" si="192"/>
        <v>42746</v>
      </c>
      <c r="AY194" s="1166">
        <v>6.8</v>
      </c>
      <c r="AZ194" s="1166">
        <v>35.5</v>
      </c>
      <c r="BA194" s="1168">
        <f>VLOOKUP(B194,ĐTBT!$V:$W,2,0)</f>
        <v>4</v>
      </c>
      <c r="BB194" s="1168"/>
      <c r="BC194" s="1221">
        <v>42724</v>
      </c>
      <c r="BD194" s="1221"/>
      <c r="BE194" s="1222">
        <f t="shared" si="195"/>
        <v>-22</v>
      </c>
      <c r="BF194" s="1222"/>
      <c r="BG194" s="1221">
        <f t="shared" si="196"/>
        <v>42723</v>
      </c>
      <c r="BH194" s="1221">
        <f t="shared" si="197"/>
        <v>42701</v>
      </c>
      <c r="BI194" s="1168">
        <f t="shared" si="194"/>
        <v>0</v>
      </c>
      <c r="BJ194" s="1168">
        <f>VLOOKUP(B194,'Thong tin'!A:R,11,0)</f>
        <v>4</v>
      </c>
      <c r="BU194" s="1220">
        <v>42683</v>
      </c>
      <c r="BX194" s="1220">
        <v>42745</v>
      </c>
    </row>
    <row r="195" spans="1:76" s="1219" customFormat="1" ht="15">
      <c r="A195" s="1217">
        <f>IF(C195="","",COUNTA($C$13:C195))</f>
        <v>183</v>
      </c>
      <c r="B195" s="1163" t="s">
        <v>677</v>
      </c>
      <c r="C195" s="1164">
        <v>0.39583333333333331</v>
      </c>
      <c r="D195" s="1164">
        <f t="shared" si="162"/>
        <v>0.41666666666666663</v>
      </c>
      <c r="E195" s="1165">
        <v>42747</v>
      </c>
      <c r="F195" s="1164">
        <f t="shared" si="163"/>
        <v>0.42361111111111105</v>
      </c>
      <c r="G195" s="1164">
        <f t="shared" si="164"/>
        <v>0.42708333333333326</v>
      </c>
      <c r="H195" s="1165">
        <f t="shared" si="179"/>
        <v>42747</v>
      </c>
      <c r="I195" s="1166">
        <v>-2E-3</v>
      </c>
      <c r="J195" s="1166">
        <v>-0.01</v>
      </c>
      <c r="K195" s="1166">
        <v>-0.22</v>
      </c>
      <c r="L195" s="1166">
        <v>-0.63100000000000001</v>
      </c>
      <c r="M195" s="1164">
        <f t="shared" si="165"/>
        <v>0.43055555555555547</v>
      </c>
      <c r="N195" s="1164">
        <f t="shared" si="166"/>
        <v>0.44097222222222215</v>
      </c>
      <c r="O195" s="1165">
        <f t="shared" si="180"/>
        <v>42747</v>
      </c>
      <c r="P195" s="1166">
        <v>1.05</v>
      </c>
      <c r="Q195" s="1166">
        <v>9</v>
      </c>
      <c r="R195" s="1166">
        <v>28</v>
      </c>
      <c r="S195" s="1166">
        <v>0</v>
      </c>
      <c r="T195" s="1164">
        <f t="shared" si="167"/>
        <v>0.5659722222222221</v>
      </c>
      <c r="U195" s="1167">
        <f t="shared" si="181"/>
        <v>42747</v>
      </c>
      <c r="V195" s="1166">
        <v>20.12</v>
      </c>
      <c r="W195" s="1164">
        <f t="shared" si="168"/>
        <v>0.6909722222222221</v>
      </c>
      <c r="X195" s="1167">
        <f t="shared" si="182"/>
        <v>42747</v>
      </c>
      <c r="Y195" s="1166">
        <v>28.1</v>
      </c>
      <c r="Z195" s="1164">
        <f t="shared" si="169"/>
        <v>0.73263888888888873</v>
      </c>
      <c r="AA195" s="1164">
        <f t="shared" si="170"/>
        <v>0.75347222222222199</v>
      </c>
      <c r="AB195" s="1167">
        <f t="shared" si="183"/>
        <v>42747</v>
      </c>
      <c r="AC195" s="1166">
        <v>28.12</v>
      </c>
      <c r="AD195" s="1164">
        <f t="shared" si="171"/>
        <v>0.76041666666666641</v>
      </c>
      <c r="AE195" s="1164">
        <f t="shared" si="172"/>
        <v>0.77083333333333304</v>
      </c>
      <c r="AF195" s="1167">
        <f t="shared" si="184"/>
        <v>42747</v>
      </c>
      <c r="AG195" s="1164">
        <f t="shared" si="173"/>
        <v>0.77777777777777746</v>
      </c>
      <c r="AH195" s="1164">
        <f t="shared" si="174"/>
        <v>0.80902777777777746</v>
      </c>
      <c r="AI195" s="1167">
        <f t="shared" si="185"/>
        <v>42747</v>
      </c>
      <c r="AJ195" s="1164">
        <f t="shared" si="175"/>
        <v>0.82986111111111072</v>
      </c>
      <c r="AK195" s="1164">
        <f t="shared" si="176"/>
        <v>0.83680555555555514</v>
      </c>
      <c r="AL195" s="1167">
        <f t="shared" si="186"/>
        <v>42747</v>
      </c>
      <c r="AM195" s="1166">
        <v>1.05</v>
      </c>
      <c r="AN195" s="1166">
        <v>9</v>
      </c>
      <c r="AO195" s="1166">
        <v>28</v>
      </c>
      <c r="AP195" s="1166">
        <v>0</v>
      </c>
      <c r="AQ195" s="1164">
        <f t="shared" si="187"/>
        <v>0.83680555555555514</v>
      </c>
      <c r="AR195" s="1164">
        <f t="shared" si="177"/>
        <v>0.84374999999999956</v>
      </c>
      <c r="AS195" s="1167">
        <f t="shared" si="188"/>
        <v>42747</v>
      </c>
      <c r="AT195" s="1166">
        <v>28.12</v>
      </c>
      <c r="AU195" s="1164">
        <f t="shared" si="189"/>
        <v>0.84374999999999956</v>
      </c>
      <c r="AV195" s="1167">
        <f t="shared" si="190"/>
        <v>42747</v>
      </c>
      <c r="AW195" s="1164">
        <f t="shared" si="191"/>
        <v>0.89930555555555514</v>
      </c>
      <c r="AX195" s="1167">
        <f t="shared" si="192"/>
        <v>42747</v>
      </c>
      <c r="AY195" s="1166">
        <v>7.2</v>
      </c>
      <c r="AZ195" s="1166">
        <v>30</v>
      </c>
      <c r="BA195" s="1168">
        <f>VLOOKUP(B195,ĐTBT!$V:$W,2,0)</f>
        <v>4</v>
      </c>
      <c r="BB195" s="1168"/>
      <c r="BC195" s="1221">
        <v>42738</v>
      </c>
      <c r="BD195" s="1221">
        <v>42738</v>
      </c>
      <c r="BE195" s="1222">
        <f t="shared" si="195"/>
        <v>-9</v>
      </c>
      <c r="BF195" s="1221">
        <f>BD195+BE195</f>
        <v>42729</v>
      </c>
      <c r="BG195" s="1221">
        <f t="shared" si="196"/>
        <v>42737</v>
      </c>
      <c r="BH195" s="1221">
        <f t="shared" si="197"/>
        <v>42728</v>
      </c>
      <c r="BI195" s="1168">
        <f t="shared" si="194"/>
        <v>0</v>
      </c>
      <c r="BJ195" s="1168">
        <f>VLOOKUP(B195,'Thong tin'!A:R,11,0)</f>
        <v>0</v>
      </c>
      <c r="BL195" s="1220">
        <v>42738</v>
      </c>
      <c r="BU195" s="1220">
        <v>42684</v>
      </c>
      <c r="BX195" s="1220">
        <v>42747</v>
      </c>
    </row>
    <row r="196" spans="1:76" s="1219" customFormat="1" ht="15">
      <c r="A196" s="1217">
        <f>IF(C196="","",COUNTA($C$13:C196))</f>
        <v>184</v>
      </c>
      <c r="B196" s="1163" t="s">
        <v>703</v>
      </c>
      <c r="C196" s="1164">
        <v>0.29166666666666669</v>
      </c>
      <c r="D196" s="1164">
        <f t="shared" si="162"/>
        <v>0.3125</v>
      </c>
      <c r="E196" s="1165">
        <v>42748</v>
      </c>
      <c r="F196" s="1164">
        <f t="shared" si="163"/>
        <v>0.31944444444444442</v>
      </c>
      <c r="G196" s="1164">
        <f t="shared" si="164"/>
        <v>0.32291666666666663</v>
      </c>
      <c r="H196" s="1165">
        <f t="shared" si="179"/>
        <v>42748</v>
      </c>
      <c r="I196" s="1166">
        <v>-1.9E-2</v>
      </c>
      <c r="J196" s="1166">
        <v>-8.0000000000000002E-3</v>
      </c>
      <c r="K196" s="1166">
        <v>-0.24099999999999999</v>
      </c>
      <c r="L196" s="1166">
        <v>-0.59199999999999997</v>
      </c>
      <c r="M196" s="1164">
        <f t="shared" si="165"/>
        <v>0.32638888888888884</v>
      </c>
      <c r="N196" s="1164">
        <f t="shared" si="166"/>
        <v>0.33680555555555552</v>
      </c>
      <c r="O196" s="1165">
        <f t="shared" si="180"/>
        <v>42748</v>
      </c>
      <c r="P196" s="1166">
        <v>1.06</v>
      </c>
      <c r="Q196" s="1166">
        <v>9</v>
      </c>
      <c r="R196" s="1166">
        <v>27</v>
      </c>
      <c r="S196" s="1166">
        <v>0</v>
      </c>
      <c r="T196" s="1164">
        <f t="shared" si="167"/>
        <v>0.46180555555555552</v>
      </c>
      <c r="U196" s="1167">
        <f t="shared" si="181"/>
        <v>42748</v>
      </c>
      <c r="V196" s="1166">
        <v>21.82</v>
      </c>
      <c r="W196" s="1164">
        <f t="shared" si="168"/>
        <v>0.58680555555555558</v>
      </c>
      <c r="X196" s="1167">
        <f t="shared" si="182"/>
        <v>42748</v>
      </c>
      <c r="Y196" s="1166">
        <v>28.17</v>
      </c>
      <c r="Z196" s="1164">
        <f t="shared" si="169"/>
        <v>0.62847222222222221</v>
      </c>
      <c r="AA196" s="1164">
        <f t="shared" si="170"/>
        <v>0.64930555555555547</v>
      </c>
      <c r="AB196" s="1167">
        <f t="shared" si="183"/>
        <v>42748</v>
      </c>
      <c r="AC196" s="1166">
        <v>28.24</v>
      </c>
      <c r="AD196" s="1164">
        <f t="shared" si="171"/>
        <v>0.65624999999999989</v>
      </c>
      <c r="AE196" s="1164">
        <f t="shared" si="172"/>
        <v>0.66666666666666652</v>
      </c>
      <c r="AF196" s="1167">
        <f t="shared" si="184"/>
        <v>42748</v>
      </c>
      <c r="AG196" s="1164">
        <f t="shared" si="173"/>
        <v>0.67361111111111094</v>
      </c>
      <c r="AH196" s="1164">
        <f t="shared" si="174"/>
        <v>0.70486111111111094</v>
      </c>
      <c r="AI196" s="1167">
        <f t="shared" si="185"/>
        <v>42748</v>
      </c>
      <c r="AJ196" s="1164">
        <f t="shared" si="175"/>
        <v>0.7256944444444442</v>
      </c>
      <c r="AK196" s="1164">
        <f t="shared" si="176"/>
        <v>0.73263888888888862</v>
      </c>
      <c r="AL196" s="1167">
        <f t="shared" si="186"/>
        <v>42748</v>
      </c>
      <c r="AM196" s="1166">
        <v>1.06</v>
      </c>
      <c r="AN196" s="1166">
        <v>9</v>
      </c>
      <c r="AO196" s="1166">
        <v>27</v>
      </c>
      <c r="AP196" s="1166">
        <v>0</v>
      </c>
      <c r="AQ196" s="1164">
        <f t="shared" si="187"/>
        <v>0.73263888888888862</v>
      </c>
      <c r="AR196" s="1164">
        <f t="shared" si="177"/>
        <v>0.73958333333333304</v>
      </c>
      <c r="AS196" s="1167">
        <f t="shared" si="188"/>
        <v>42748</v>
      </c>
      <c r="AT196" s="1166">
        <v>28.24</v>
      </c>
      <c r="AU196" s="1164">
        <f t="shared" si="189"/>
        <v>0.73958333333333304</v>
      </c>
      <c r="AV196" s="1167">
        <f t="shared" si="190"/>
        <v>42748</v>
      </c>
      <c r="AW196" s="1164">
        <f t="shared" si="191"/>
        <v>0.79513888888888862</v>
      </c>
      <c r="AX196" s="1167">
        <f t="shared" si="192"/>
        <v>42748</v>
      </c>
      <c r="AY196" s="1166">
        <v>8.4</v>
      </c>
      <c r="AZ196" s="1166">
        <v>28</v>
      </c>
      <c r="BA196" s="1168">
        <f>VLOOKUP(B196,ĐTBT!$V:$W,2,0)</f>
        <v>4</v>
      </c>
      <c r="BB196" s="1168"/>
      <c r="BC196" s="1221">
        <v>42739</v>
      </c>
      <c r="BD196" s="1221">
        <v>42739</v>
      </c>
      <c r="BE196" s="1222">
        <f t="shared" si="195"/>
        <v>-9</v>
      </c>
      <c r="BF196" s="1221">
        <f t="shared" ref="BF196:BF214" si="198">BD196+BE196</f>
        <v>42730</v>
      </c>
      <c r="BG196" s="1221">
        <f t="shared" si="196"/>
        <v>42738</v>
      </c>
      <c r="BH196" s="1221">
        <f t="shared" si="197"/>
        <v>42729</v>
      </c>
      <c r="BI196" s="1168">
        <f t="shared" si="194"/>
        <v>0</v>
      </c>
      <c r="BJ196" s="1168">
        <f>VLOOKUP(B196,'Thong tin'!A:R,11,0)</f>
        <v>0</v>
      </c>
      <c r="BL196" s="1220">
        <v>42739</v>
      </c>
      <c r="BU196" s="1220">
        <v>42685</v>
      </c>
      <c r="BX196" s="1220">
        <v>42749</v>
      </c>
    </row>
    <row r="197" spans="1:76" s="1219" customFormat="1" ht="15">
      <c r="A197" s="1217">
        <f>IF(C197="","",COUNTA($C$13:C197))</f>
        <v>185</v>
      </c>
      <c r="B197" s="1163" t="s">
        <v>695</v>
      </c>
      <c r="C197" s="1164">
        <v>0.3125</v>
      </c>
      <c r="D197" s="1164">
        <f t="shared" si="162"/>
        <v>0.33333333333333331</v>
      </c>
      <c r="E197" s="1165">
        <v>42749</v>
      </c>
      <c r="F197" s="1164">
        <f t="shared" si="163"/>
        <v>0.34027777777777773</v>
      </c>
      <c r="G197" s="1164">
        <f t="shared" si="164"/>
        <v>0.34374999999999994</v>
      </c>
      <c r="H197" s="1165">
        <f t="shared" si="179"/>
        <v>42749</v>
      </c>
      <c r="I197" s="1166">
        <v>-1.7000000000000001E-2</v>
      </c>
      <c r="J197" s="1166">
        <v>0.02</v>
      </c>
      <c r="K197" s="1166">
        <v>-8.2000000000000003E-2</v>
      </c>
      <c r="L197" s="1166">
        <v>-0.49</v>
      </c>
      <c r="M197" s="1164">
        <f t="shared" si="165"/>
        <v>0.34722222222222215</v>
      </c>
      <c r="N197" s="1164">
        <f t="shared" si="166"/>
        <v>0.35763888888888884</v>
      </c>
      <c r="O197" s="1165">
        <f t="shared" si="180"/>
        <v>42749</v>
      </c>
      <c r="P197" s="1166">
        <v>1.06</v>
      </c>
      <c r="Q197" s="1166">
        <v>9</v>
      </c>
      <c r="R197" s="1166">
        <v>28</v>
      </c>
      <c r="S197" s="1166">
        <v>0</v>
      </c>
      <c r="T197" s="1164">
        <f t="shared" si="167"/>
        <v>0.48263888888888884</v>
      </c>
      <c r="U197" s="1167">
        <f t="shared" si="181"/>
        <v>42749</v>
      </c>
      <c r="V197" s="1166">
        <v>21.22</v>
      </c>
      <c r="W197" s="1164">
        <f t="shared" si="168"/>
        <v>0.60763888888888884</v>
      </c>
      <c r="X197" s="1167">
        <f t="shared" si="182"/>
        <v>42749</v>
      </c>
      <c r="Y197" s="1166">
        <v>43.16</v>
      </c>
      <c r="Z197" s="1164">
        <f t="shared" si="169"/>
        <v>0.64930555555555547</v>
      </c>
      <c r="AA197" s="1164">
        <f t="shared" si="170"/>
        <v>0.67013888888888873</v>
      </c>
      <c r="AB197" s="1167">
        <f t="shared" si="183"/>
        <v>42749</v>
      </c>
      <c r="AC197" s="1166">
        <v>43.16</v>
      </c>
      <c r="AD197" s="1164">
        <f t="shared" si="171"/>
        <v>0.67708333333333315</v>
      </c>
      <c r="AE197" s="1164">
        <f t="shared" si="172"/>
        <v>0.68749999999999978</v>
      </c>
      <c r="AF197" s="1167">
        <f t="shared" si="184"/>
        <v>42749</v>
      </c>
      <c r="AG197" s="1164">
        <f t="shared" si="173"/>
        <v>0.6944444444444442</v>
      </c>
      <c r="AH197" s="1164">
        <f t="shared" si="174"/>
        <v>0.73611111111111083</v>
      </c>
      <c r="AI197" s="1167">
        <f t="shared" si="185"/>
        <v>42749</v>
      </c>
      <c r="AJ197" s="1164">
        <f t="shared" si="175"/>
        <v>0.75694444444444409</v>
      </c>
      <c r="AK197" s="1164">
        <f t="shared" si="176"/>
        <v>0.76388888888888851</v>
      </c>
      <c r="AL197" s="1167">
        <f t="shared" si="186"/>
        <v>42749</v>
      </c>
      <c r="AM197" s="1166">
        <v>1.06</v>
      </c>
      <c r="AN197" s="1166">
        <v>9</v>
      </c>
      <c r="AO197" s="1166">
        <v>25</v>
      </c>
      <c r="AP197" s="1166">
        <v>0</v>
      </c>
      <c r="AQ197" s="1164">
        <f t="shared" si="187"/>
        <v>0.76388888888888851</v>
      </c>
      <c r="AR197" s="1164">
        <f t="shared" si="177"/>
        <v>0.77083333333333293</v>
      </c>
      <c r="AS197" s="1167">
        <f t="shared" si="188"/>
        <v>42749</v>
      </c>
      <c r="AT197" s="1166">
        <v>43.16</v>
      </c>
      <c r="AU197" s="1164">
        <f t="shared" si="189"/>
        <v>0.77083333333333293</v>
      </c>
      <c r="AV197" s="1167">
        <f t="shared" si="190"/>
        <v>42749</v>
      </c>
      <c r="AW197" s="1164">
        <f t="shared" si="191"/>
        <v>0.84027777777777735</v>
      </c>
      <c r="AX197" s="1167">
        <f t="shared" si="192"/>
        <v>42749</v>
      </c>
      <c r="AY197" s="1166">
        <v>8.1999999999999993</v>
      </c>
      <c r="AZ197" s="1166">
        <v>48</v>
      </c>
      <c r="BA197" s="1168">
        <f>VLOOKUP(B197,ĐTBT!$V:$W,2,0)</f>
        <v>5</v>
      </c>
      <c r="BB197" s="1168"/>
      <c r="BC197" s="1221">
        <v>42740</v>
      </c>
      <c r="BD197" s="1221">
        <v>42740</v>
      </c>
      <c r="BE197" s="1222">
        <f t="shared" si="195"/>
        <v>-9</v>
      </c>
      <c r="BF197" s="1221">
        <f t="shared" si="198"/>
        <v>42731</v>
      </c>
      <c r="BG197" s="1221">
        <f t="shared" si="196"/>
        <v>42739</v>
      </c>
      <c r="BH197" s="1221">
        <f t="shared" si="197"/>
        <v>42730</v>
      </c>
      <c r="BI197" s="1168">
        <f t="shared" si="194"/>
        <v>0</v>
      </c>
      <c r="BJ197" s="1168">
        <f>VLOOKUP(B197,'Thong tin'!A:R,11,0)</f>
        <v>4</v>
      </c>
      <c r="BK197" s="1219" t="s">
        <v>1169</v>
      </c>
      <c r="BL197" s="1220">
        <v>42740</v>
      </c>
      <c r="BU197" s="1220">
        <v>42686</v>
      </c>
      <c r="BX197" s="1220">
        <v>42750</v>
      </c>
    </row>
    <row r="198" spans="1:76" s="1219" customFormat="1" ht="15">
      <c r="A198" s="1217">
        <f>IF(C198="","",COUNTA($C$13:C198))</f>
        <v>186</v>
      </c>
      <c r="B198" s="1163" t="s">
        <v>491</v>
      </c>
      <c r="C198" s="1164">
        <v>0.31597222222222221</v>
      </c>
      <c r="D198" s="1164">
        <f t="shared" si="162"/>
        <v>0.33680555555555552</v>
      </c>
      <c r="E198" s="1165">
        <v>42750</v>
      </c>
      <c r="F198" s="1164">
        <f t="shared" si="163"/>
        <v>0.34374999999999994</v>
      </c>
      <c r="G198" s="1164">
        <f t="shared" si="164"/>
        <v>0.34722222222222215</v>
      </c>
      <c r="H198" s="1165">
        <f t="shared" si="179"/>
        <v>42750</v>
      </c>
      <c r="I198" s="1166">
        <v>4.0000000000000001E-3</v>
      </c>
      <c r="J198" s="1166">
        <v>4.0000000000000001E-3</v>
      </c>
      <c r="K198" s="1166">
        <v>-0.27200000000000002</v>
      </c>
      <c r="L198" s="1166">
        <v>-0.6</v>
      </c>
      <c r="M198" s="1164">
        <f t="shared" si="165"/>
        <v>0.35069444444444436</v>
      </c>
      <c r="N198" s="1164">
        <f t="shared" si="166"/>
        <v>0.36111111111111105</v>
      </c>
      <c r="O198" s="1165">
        <f t="shared" si="180"/>
        <v>42750</v>
      </c>
      <c r="P198" s="1166">
        <v>1.06</v>
      </c>
      <c r="Q198" s="1166">
        <v>9</v>
      </c>
      <c r="R198" s="1166">
        <v>27</v>
      </c>
      <c r="S198" s="1166">
        <v>0</v>
      </c>
      <c r="T198" s="1164">
        <f t="shared" si="167"/>
        <v>0.48611111111111105</v>
      </c>
      <c r="U198" s="1167">
        <f t="shared" si="181"/>
        <v>42750</v>
      </c>
      <c r="V198" s="1166">
        <v>22.12</v>
      </c>
      <c r="W198" s="1164">
        <f t="shared" si="168"/>
        <v>0.61111111111111105</v>
      </c>
      <c r="X198" s="1167">
        <f t="shared" si="182"/>
        <v>42750</v>
      </c>
      <c r="Y198" s="1166">
        <v>26.16</v>
      </c>
      <c r="Z198" s="1164">
        <f t="shared" si="169"/>
        <v>0.65277777777777768</v>
      </c>
      <c r="AA198" s="1164">
        <f t="shared" si="170"/>
        <v>0.67361111111111094</v>
      </c>
      <c r="AB198" s="1167">
        <f t="shared" si="183"/>
        <v>42750</v>
      </c>
      <c r="AC198" s="1166">
        <v>26.21</v>
      </c>
      <c r="AD198" s="1164">
        <f t="shared" si="171"/>
        <v>0.68055555555555536</v>
      </c>
      <c r="AE198" s="1164">
        <f t="shared" si="172"/>
        <v>0.69097222222222199</v>
      </c>
      <c r="AF198" s="1167">
        <f t="shared" si="184"/>
        <v>42750</v>
      </c>
      <c r="AG198" s="1164">
        <f t="shared" si="173"/>
        <v>0.69791666666666641</v>
      </c>
      <c r="AH198" s="1164">
        <f t="shared" si="174"/>
        <v>0.73958333333333304</v>
      </c>
      <c r="AI198" s="1167">
        <f t="shared" si="185"/>
        <v>42750</v>
      </c>
      <c r="AJ198" s="1164">
        <f t="shared" si="175"/>
        <v>0.7604166666666663</v>
      </c>
      <c r="AK198" s="1164">
        <f t="shared" si="176"/>
        <v>0.76736111111111072</v>
      </c>
      <c r="AL198" s="1167">
        <f t="shared" si="186"/>
        <v>42750</v>
      </c>
      <c r="AM198" s="1166">
        <v>1.06</v>
      </c>
      <c r="AN198" s="1166">
        <v>9</v>
      </c>
      <c r="AO198" s="1166">
        <v>27</v>
      </c>
      <c r="AP198" s="1166">
        <v>0</v>
      </c>
      <c r="AQ198" s="1164">
        <f t="shared" si="187"/>
        <v>0.76736111111111072</v>
      </c>
      <c r="AR198" s="1164">
        <f t="shared" si="177"/>
        <v>0.77430555555555514</v>
      </c>
      <c r="AS198" s="1167">
        <f t="shared" si="188"/>
        <v>42750</v>
      </c>
      <c r="AT198" s="1166">
        <v>26.21</v>
      </c>
      <c r="AU198" s="1164">
        <f t="shared" si="189"/>
        <v>0.77430555555555514</v>
      </c>
      <c r="AV198" s="1167">
        <f t="shared" si="190"/>
        <v>42750</v>
      </c>
      <c r="AW198" s="1164">
        <f t="shared" si="191"/>
        <v>0.81597222222222177</v>
      </c>
      <c r="AX198" s="1167">
        <f t="shared" si="192"/>
        <v>42750</v>
      </c>
      <c r="AY198" s="1166">
        <v>6.8</v>
      </c>
      <c r="AZ198" s="1166">
        <v>26</v>
      </c>
      <c r="BA198" s="1168">
        <f>VLOOKUP(B198,ĐTBT!$V:$W,2,0)</f>
        <v>3</v>
      </c>
      <c r="BB198" s="1168"/>
      <c r="BC198" s="1221">
        <v>42742</v>
      </c>
      <c r="BD198" s="1221">
        <v>42742</v>
      </c>
      <c r="BE198" s="1222">
        <f t="shared" si="195"/>
        <v>-8</v>
      </c>
      <c r="BF198" s="1221">
        <f t="shared" si="198"/>
        <v>42734</v>
      </c>
      <c r="BG198" s="1221">
        <f t="shared" si="196"/>
        <v>42741</v>
      </c>
      <c r="BH198" s="1221">
        <f t="shared" si="197"/>
        <v>42733</v>
      </c>
      <c r="BI198" s="1168">
        <f t="shared" si="194"/>
        <v>0</v>
      </c>
      <c r="BJ198" s="1168">
        <f>VLOOKUP(B198,'Thong tin'!A:R,11,0)</f>
        <v>4</v>
      </c>
      <c r="BL198" s="1220">
        <v>42742</v>
      </c>
      <c r="BU198" s="1220">
        <v>42687</v>
      </c>
      <c r="BX198" s="1220">
        <v>42752</v>
      </c>
    </row>
    <row r="199" spans="1:76" s="1219" customFormat="1" ht="15">
      <c r="A199" s="1217">
        <f>IF(C199="","",COUNTA($C$13:C199))</f>
        <v>187</v>
      </c>
      <c r="B199" s="1163" t="s">
        <v>687</v>
      </c>
      <c r="C199" s="1164">
        <v>0.31944444444444448</v>
      </c>
      <c r="D199" s="1164">
        <f t="shared" si="162"/>
        <v>0.34027777777777779</v>
      </c>
      <c r="E199" s="1165">
        <v>42751</v>
      </c>
      <c r="F199" s="1164">
        <f t="shared" si="163"/>
        <v>0.34722222222222221</v>
      </c>
      <c r="G199" s="1164">
        <f t="shared" si="164"/>
        <v>0.35069444444444442</v>
      </c>
      <c r="H199" s="1165">
        <f t="shared" si="179"/>
        <v>42751</v>
      </c>
      <c r="I199" s="1166">
        <v>-1.2E-2</v>
      </c>
      <c r="J199" s="1166">
        <v>2.5000000000000001E-2</v>
      </c>
      <c r="K199" s="1166">
        <v>-0.20499999999999999</v>
      </c>
      <c r="L199" s="1166">
        <v>-0.66700000000000004</v>
      </c>
      <c r="M199" s="1164">
        <f t="shared" si="165"/>
        <v>0.35416666666666663</v>
      </c>
      <c r="N199" s="1164">
        <f t="shared" si="166"/>
        <v>0.36458333333333331</v>
      </c>
      <c r="O199" s="1165">
        <f t="shared" si="180"/>
        <v>42751</v>
      </c>
      <c r="P199" s="1166">
        <v>1.06</v>
      </c>
      <c r="Q199" s="1166">
        <v>9</v>
      </c>
      <c r="R199" s="1166">
        <v>26</v>
      </c>
      <c r="S199" s="1166">
        <v>0</v>
      </c>
      <c r="T199" s="1164">
        <f t="shared" si="167"/>
        <v>0.48958333333333331</v>
      </c>
      <c r="U199" s="1167">
        <f t="shared" si="181"/>
        <v>42751</v>
      </c>
      <c r="V199" s="1166">
        <v>21.63</v>
      </c>
      <c r="W199" s="1164">
        <f t="shared" si="168"/>
        <v>0.61458333333333326</v>
      </c>
      <c r="X199" s="1167">
        <f t="shared" si="182"/>
        <v>42751</v>
      </c>
      <c r="Y199" s="1166">
        <v>43.12</v>
      </c>
      <c r="Z199" s="1164">
        <f t="shared" si="169"/>
        <v>0.65624999999999989</v>
      </c>
      <c r="AA199" s="1164">
        <f t="shared" si="170"/>
        <v>0.67708333333333315</v>
      </c>
      <c r="AB199" s="1167">
        <f t="shared" si="183"/>
        <v>42751</v>
      </c>
      <c r="AC199" s="1166">
        <v>43.15</v>
      </c>
      <c r="AD199" s="1164">
        <f t="shared" si="171"/>
        <v>0.68402777777777757</v>
      </c>
      <c r="AE199" s="1164">
        <f t="shared" si="172"/>
        <v>0.6944444444444442</v>
      </c>
      <c r="AF199" s="1167">
        <f t="shared" si="184"/>
        <v>42751</v>
      </c>
      <c r="AG199" s="1164">
        <f t="shared" si="173"/>
        <v>0.70138888888888862</v>
      </c>
      <c r="AH199" s="1164">
        <f t="shared" si="174"/>
        <v>0.74305555555555525</v>
      </c>
      <c r="AI199" s="1167">
        <f t="shared" si="185"/>
        <v>42751</v>
      </c>
      <c r="AJ199" s="1164">
        <f t="shared" si="175"/>
        <v>0.76388888888888851</v>
      </c>
      <c r="AK199" s="1164">
        <f t="shared" si="176"/>
        <v>0.77083333333333293</v>
      </c>
      <c r="AL199" s="1167">
        <f t="shared" si="186"/>
        <v>42751</v>
      </c>
      <c r="AM199" s="1166">
        <v>1.06</v>
      </c>
      <c r="AN199" s="1166">
        <v>9</v>
      </c>
      <c r="AO199" s="1166">
        <v>26</v>
      </c>
      <c r="AP199" s="1166">
        <v>0</v>
      </c>
      <c r="AQ199" s="1164">
        <f t="shared" si="187"/>
        <v>0.77083333333333293</v>
      </c>
      <c r="AR199" s="1164">
        <f t="shared" si="177"/>
        <v>0.77777777777777735</v>
      </c>
      <c r="AS199" s="1167">
        <f t="shared" si="188"/>
        <v>42751</v>
      </c>
      <c r="AT199" s="1166">
        <v>43.15</v>
      </c>
      <c r="AU199" s="1164">
        <f t="shared" si="189"/>
        <v>0.77777777777777735</v>
      </c>
      <c r="AV199" s="1167">
        <f t="shared" si="190"/>
        <v>42751</v>
      </c>
      <c r="AW199" s="1164">
        <f t="shared" si="191"/>
        <v>0.86111111111111072</v>
      </c>
      <c r="AX199" s="1167">
        <f t="shared" si="192"/>
        <v>42751</v>
      </c>
      <c r="AY199" s="1166">
        <v>8.5</v>
      </c>
      <c r="AZ199" s="1166">
        <v>60</v>
      </c>
      <c r="BA199" s="1168">
        <f>VLOOKUP(B199,ĐTBT!$V:$W,2,0)</f>
        <v>6</v>
      </c>
      <c r="BB199" s="1168"/>
      <c r="BC199" s="1221">
        <v>42744</v>
      </c>
      <c r="BD199" s="1221">
        <v>42744</v>
      </c>
      <c r="BE199" s="1222">
        <f t="shared" si="195"/>
        <v>-7</v>
      </c>
      <c r="BF199" s="1221">
        <f t="shared" si="198"/>
        <v>42737</v>
      </c>
      <c r="BG199" s="1221">
        <f t="shared" si="196"/>
        <v>42743</v>
      </c>
      <c r="BH199" s="1221">
        <f t="shared" si="197"/>
        <v>42736</v>
      </c>
      <c r="BI199" s="1168">
        <f t="shared" si="194"/>
        <v>0</v>
      </c>
      <c r="BJ199" s="1168">
        <f>VLOOKUP(B199,'Thong tin'!A:R,11,0)</f>
        <v>4</v>
      </c>
      <c r="BK199" s="1219" t="s">
        <v>1170</v>
      </c>
      <c r="BL199" s="1220">
        <v>42744</v>
      </c>
      <c r="BU199" s="1220">
        <v>42687</v>
      </c>
      <c r="BX199" s="1220">
        <v>42753</v>
      </c>
    </row>
    <row r="200" spans="1:76" s="1219" customFormat="1" ht="15">
      <c r="A200" s="1217">
        <f>IF(C200="","",COUNTA($C$13:C200))</f>
        <v>188</v>
      </c>
      <c r="B200" s="1163" t="s">
        <v>517</v>
      </c>
      <c r="C200" s="1164">
        <v>0.3888888888888889</v>
      </c>
      <c r="D200" s="1164">
        <f t="shared" si="162"/>
        <v>0.40972222222222221</v>
      </c>
      <c r="E200" s="1165">
        <v>42752</v>
      </c>
      <c r="F200" s="1164">
        <f t="shared" si="163"/>
        <v>0.41666666666666663</v>
      </c>
      <c r="G200" s="1164">
        <f t="shared" si="164"/>
        <v>0.42013888888888884</v>
      </c>
      <c r="H200" s="1165">
        <f t="shared" si="179"/>
        <v>42752</v>
      </c>
      <c r="I200" s="1166">
        <v>1.7000000000000001E-2</v>
      </c>
      <c r="J200" s="1166">
        <v>-1.4999999999999999E-2</v>
      </c>
      <c r="K200" s="1166">
        <v>-0.112</v>
      </c>
      <c r="L200" s="1166">
        <v>-0.72399999999999998</v>
      </c>
      <c r="M200" s="1164">
        <f t="shared" si="165"/>
        <v>0.42361111111111105</v>
      </c>
      <c r="N200" s="1164">
        <f t="shared" si="166"/>
        <v>0.43402777777777773</v>
      </c>
      <c r="O200" s="1165">
        <f t="shared" si="180"/>
        <v>42752</v>
      </c>
      <c r="P200" s="1166">
        <v>1.06</v>
      </c>
      <c r="Q200" s="1166">
        <v>9</v>
      </c>
      <c r="R200" s="1166">
        <v>28</v>
      </c>
      <c r="S200" s="1166">
        <v>0</v>
      </c>
      <c r="T200" s="1164">
        <f t="shared" si="167"/>
        <v>0.55902777777777768</v>
      </c>
      <c r="U200" s="1167">
        <f t="shared" si="181"/>
        <v>42752</v>
      </c>
      <c r="V200" s="1164">
        <v>22.93</v>
      </c>
      <c r="W200" s="1164">
        <f t="shared" si="168"/>
        <v>0.68402777777777768</v>
      </c>
      <c r="X200" s="1167">
        <f t="shared" si="182"/>
        <v>42752</v>
      </c>
      <c r="Y200" s="1166">
        <v>38.72</v>
      </c>
      <c r="Z200" s="1164">
        <f t="shared" si="169"/>
        <v>0.72569444444444431</v>
      </c>
      <c r="AA200" s="1164">
        <f t="shared" si="170"/>
        <v>0.74652777777777757</v>
      </c>
      <c r="AB200" s="1167">
        <f t="shared" si="183"/>
        <v>42752</v>
      </c>
      <c r="AC200" s="1166">
        <v>38.74</v>
      </c>
      <c r="AD200" s="1164">
        <f t="shared" si="171"/>
        <v>0.75347222222222199</v>
      </c>
      <c r="AE200" s="1164">
        <f t="shared" si="172"/>
        <v>0.76388888888888862</v>
      </c>
      <c r="AF200" s="1167">
        <f t="shared" si="184"/>
        <v>42752</v>
      </c>
      <c r="AG200" s="1164">
        <f t="shared" si="173"/>
        <v>0.77083333333333304</v>
      </c>
      <c r="AH200" s="1164">
        <f t="shared" si="174"/>
        <v>0.81249999999999967</v>
      </c>
      <c r="AI200" s="1167">
        <f t="shared" si="185"/>
        <v>42752</v>
      </c>
      <c r="AJ200" s="1164">
        <f t="shared" si="175"/>
        <v>0.83333333333333293</v>
      </c>
      <c r="AK200" s="1164">
        <f t="shared" si="176"/>
        <v>0.84027777777777735</v>
      </c>
      <c r="AL200" s="1167">
        <f t="shared" si="186"/>
        <v>42752</v>
      </c>
      <c r="AM200" s="1166">
        <v>1.06</v>
      </c>
      <c r="AN200" s="1166">
        <v>9</v>
      </c>
      <c r="AO200" s="1166">
        <v>28</v>
      </c>
      <c r="AP200" s="1166">
        <v>0</v>
      </c>
      <c r="AQ200" s="1164">
        <f t="shared" si="187"/>
        <v>0.84027777777777735</v>
      </c>
      <c r="AR200" s="1164">
        <f t="shared" si="177"/>
        <v>0.84722222222222177</v>
      </c>
      <c r="AS200" s="1167">
        <f t="shared" si="188"/>
        <v>42752</v>
      </c>
      <c r="AT200" s="1166">
        <v>38.74</v>
      </c>
      <c r="AU200" s="1164">
        <f t="shared" si="189"/>
        <v>0.84722222222222177</v>
      </c>
      <c r="AV200" s="1167">
        <f t="shared" si="190"/>
        <v>42752</v>
      </c>
      <c r="AW200" s="1164">
        <f t="shared" si="191"/>
        <v>0.91666666666666619</v>
      </c>
      <c r="AX200" s="1167">
        <f t="shared" si="192"/>
        <v>42752</v>
      </c>
      <c r="AY200" s="1166">
        <v>6.8</v>
      </c>
      <c r="AZ200" s="1166">
        <v>44.5</v>
      </c>
      <c r="BA200" s="1168">
        <f>VLOOKUP(B200,ĐTBT!$V:$W,2,0)</f>
        <v>5</v>
      </c>
      <c r="BB200" s="1168"/>
      <c r="BC200" s="1221">
        <v>42745</v>
      </c>
      <c r="BD200" s="1221">
        <v>42745</v>
      </c>
      <c r="BE200" s="1222">
        <f t="shared" si="195"/>
        <v>-7</v>
      </c>
      <c r="BF200" s="1221">
        <f t="shared" si="198"/>
        <v>42738</v>
      </c>
      <c r="BG200" s="1221">
        <f t="shared" si="196"/>
        <v>42744</v>
      </c>
      <c r="BH200" s="1221">
        <f t="shared" si="197"/>
        <v>42737</v>
      </c>
      <c r="BI200" s="1168">
        <f t="shared" si="194"/>
        <v>0</v>
      </c>
      <c r="BJ200" s="1168">
        <f>VLOOKUP(B200,'Thong tin'!A:R,11,0)</f>
        <v>4</v>
      </c>
      <c r="BK200" s="1219" t="s">
        <v>1170</v>
      </c>
      <c r="BL200" s="1220">
        <v>42745</v>
      </c>
      <c r="BU200" s="1220">
        <v>42688</v>
      </c>
      <c r="BX200" s="1220">
        <v>42755</v>
      </c>
    </row>
    <row r="201" spans="1:76" s="1219" customFormat="1" ht="15">
      <c r="A201" s="1217">
        <f>IF(C201="","",COUNTA($C$13:C201))</f>
        <v>189</v>
      </c>
      <c r="B201" s="1163" t="s">
        <v>616</v>
      </c>
      <c r="C201" s="1164">
        <v>0.39583333333333331</v>
      </c>
      <c r="D201" s="1164">
        <f t="shared" si="162"/>
        <v>0.41666666666666663</v>
      </c>
      <c r="E201" s="1165">
        <v>42753</v>
      </c>
      <c r="F201" s="1164">
        <f t="shared" si="163"/>
        <v>0.42361111111111105</v>
      </c>
      <c r="G201" s="1164">
        <f t="shared" si="164"/>
        <v>0.42708333333333326</v>
      </c>
      <c r="H201" s="1165">
        <f t="shared" si="179"/>
        <v>42753</v>
      </c>
      <c r="I201" s="1166">
        <v>2.5000000000000001E-2</v>
      </c>
      <c r="J201" s="1166">
        <v>-8.0000000000000002E-3</v>
      </c>
      <c r="K201" s="1166">
        <v>-0.27200000000000002</v>
      </c>
      <c r="L201" s="1166">
        <v>-0.52800000000000002</v>
      </c>
      <c r="M201" s="1164">
        <f t="shared" si="165"/>
        <v>0.43055555555555547</v>
      </c>
      <c r="N201" s="1164">
        <f t="shared" si="166"/>
        <v>0.44097222222222215</v>
      </c>
      <c r="O201" s="1165">
        <f t="shared" si="180"/>
        <v>42753</v>
      </c>
      <c r="P201" s="1166">
        <v>1.05</v>
      </c>
      <c r="Q201" s="1166">
        <v>9</v>
      </c>
      <c r="R201" s="1166">
        <v>24</v>
      </c>
      <c r="S201" s="1166">
        <v>0</v>
      </c>
      <c r="T201" s="1164">
        <f t="shared" si="167"/>
        <v>0.5659722222222221</v>
      </c>
      <c r="U201" s="1167">
        <f t="shared" si="181"/>
        <v>42753</v>
      </c>
      <c r="V201" s="1166">
        <v>21.55</v>
      </c>
      <c r="W201" s="1164">
        <f t="shared" si="168"/>
        <v>0.6909722222222221</v>
      </c>
      <c r="X201" s="1167">
        <f t="shared" si="182"/>
        <v>42753</v>
      </c>
      <c r="Y201" s="1166">
        <v>32.72</v>
      </c>
      <c r="Z201" s="1164">
        <f t="shared" si="169"/>
        <v>0.73263888888888873</v>
      </c>
      <c r="AA201" s="1164">
        <f t="shared" si="170"/>
        <v>0.75347222222222199</v>
      </c>
      <c r="AB201" s="1167">
        <f t="shared" si="183"/>
        <v>42753</v>
      </c>
      <c r="AC201" s="1166">
        <v>32.78</v>
      </c>
      <c r="AD201" s="1164">
        <f t="shared" si="171"/>
        <v>0.76041666666666641</v>
      </c>
      <c r="AE201" s="1164">
        <f t="shared" si="172"/>
        <v>0.77083333333333304</v>
      </c>
      <c r="AF201" s="1167">
        <f t="shared" si="184"/>
        <v>42753</v>
      </c>
      <c r="AG201" s="1164">
        <f t="shared" si="173"/>
        <v>0.77777777777777746</v>
      </c>
      <c r="AH201" s="1164">
        <f t="shared" si="174"/>
        <v>0.81944444444444409</v>
      </c>
      <c r="AI201" s="1167">
        <f t="shared" si="185"/>
        <v>42753</v>
      </c>
      <c r="AJ201" s="1164">
        <f t="shared" si="175"/>
        <v>0.84027777777777735</v>
      </c>
      <c r="AK201" s="1164">
        <f t="shared" si="176"/>
        <v>0.84722222222222177</v>
      </c>
      <c r="AL201" s="1167">
        <f t="shared" si="186"/>
        <v>42753</v>
      </c>
      <c r="AM201" s="1166">
        <v>1.05</v>
      </c>
      <c r="AN201" s="1166">
        <v>9</v>
      </c>
      <c r="AO201" s="1166">
        <v>27</v>
      </c>
      <c r="AP201" s="1166">
        <v>0</v>
      </c>
      <c r="AQ201" s="1164">
        <f t="shared" si="187"/>
        <v>0.84722222222222177</v>
      </c>
      <c r="AR201" s="1164">
        <f t="shared" si="177"/>
        <v>0.85416666666666619</v>
      </c>
      <c r="AS201" s="1167">
        <f t="shared" si="188"/>
        <v>42753</v>
      </c>
      <c r="AT201" s="1166">
        <v>32.78</v>
      </c>
      <c r="AU201" s="1164">
        <f t="shared" si="189"/>
        <v>0.85416666666666619</v>
      </c>
      <c r="AV201" s="1167">
        <f t="shared" si="190"/>
        <v>42753</v>
      </c>
      <c r="AW201" s="1164">
        <f t="shared" si="191"/>
        <v>0.90972222222222177</v>
      </c>
      <c r="AX201" s="1167">
        <f t="shared" si="192"/>
        <v>42753</v>
      </c>
      <c r="AY201" s="1166">
        <v>6.5</v>
      </c>
      <c r="AZ201" s="1166">
        <v>40</v>
      </c>
      <c r="BA201" s="1168">
        <f>VLOOKUP(B201,ĐTBT!$V:$W,2,0)</f>
        <v>4</v>
      </c>
      <c r="BB201" s="1168"/>
      <c r="BC201" s="1221">
        <v>42746</v>
      </c>
      <c r="BD201" s="1221">
        <v>42746</v>
      </c>
      <c r="BE201" s="1222">
        <f t="shared" si="195"/>
        <v>-7</v>
      </c>
      <c r="BF201" s="1221">
        <f t="shared" si="198"/>
        <v>42739</v>
      </c>
      <c r="BG201" s="1221">
        <f t="shared" si="196"/>
        <v>42745</v>
      </c>
      <c r="BH201" s="1221">
        <f t="shared" si="197"/>
        <v>42738</v>
      </c>
      <c r="BI201" s="1168">
        <f t="shared" si="194"/>
        <v>0</v>
      </c>
      <c r="BJ201" s="1168">
        <f>VLOOKUP(B201,'Thong tin'!A:R,11,0)</f>
        <v>3</v>
      </c>
      <c r="BL201" s="1220">
        <v>42746</v>
      </c>
      <c r="BU201" s="1220">
        <v>42689</v>
      </c>
      <c r="BX201" s="1220">
        <v>42756</v>
      </c>
    </row>
    <row r="202" spans="1:76" s="1219" customFormat="1" ht="15">
      <c r="A202" s="1217">
        <f>IF(C202="","",COUNTA($C$13:C202))</f>
        <v>190</v>
      </c>
      <c r="B202" s="1163" t="s">
        <v>506</v>
      </c>
      <c r="C202" s="1164">
        <v>0.34722222222222227</v>
      </c>
      <c r="D202" s="1164">
        <f t="shared" si="162"/>
        <v>0.36805555555555558</v>
      </c>
      <c r="E202" s="1165">
        <v>42754</v>
      </c>
      <c r="F202" s="1164">
        <f t="shared" si="163"/>
        <v>0.375</v>
      </c>
      <c r="G202" s="1164">
        <f t="shared" si="164"/>
        <v>0.37847222222222221</v>
      </c>
      <c r="H202" s="1165">
        <f t="shared" si="179"/>
        <v>42754</v>
      </c>
      <c r="I202" s="1166">
        <v>-1.4999999999999999E-2</v>
      </c>
      <c r="J202" s="1166">
        <v>-1.7000000000000001E-2</v>
      </c>
      <c r="K202" s="1166">
        <v>-0.36199999999999999</v>
      </c>
      <c r="L202" s="1166">
        <v>-0.56200000000000006</v>
      </c>
      <c r="M202" s="1164">
        <f t="shared" si="165"/>
        <v>0.38194444444444442</v>
      </c>
      <c r="N202" s="1164">
        <f t="shared" si="166"/>
        <v>0.3923611111111111</v>
      </c>
      <c r="O202" s="1165">
        <f t="shared" si="180"/>
        <v>42754</v>
      </c>
      <c r="P202" s="1166">
        <v>1.05</v>
      </c>
      <c r="Q202" s="1166">
        <v>9</v>
      </c>
      <c r="R202" s="1166">
        <v>27</v>
      </c>
      <c r="S202" s="1166">
        <v>0</v>
      </c>
      <c r="T202" s="1164">
        <f t="shared" si="167"/>
        <v>0.51736111111111116</v>
      </c>
      <c r="U202" s="1167">
        <f t="shared" si="181"/>
        <v>42754</v>
      </c>
      <c r="V202" s="1166">
        <v>22.03</v>
      </c>
      <c r="W202" s="1164">
        <f t="shared" si="168"/>
        <v>0.64236111111111116</v>
      </c>
      <c r="X202" s="1167">
        <f t="shared" si="182"/>
        <v>42754</v>
      </c>
      <c r="Y202" s="1166">
        <v>26.05</v>
      </c>
      <c r="Z202" s="1164">
        <f t="shared" si="169"/>
        <v>0.68402777777777779</v>
      </c>
      <c r="AA202" s="1164">
        <f t="shared" si="170"/>
        <v>0.70486111111111105</v>
      </c>
      <c r="AB202" s="1167">
        <f t="shared" si="183"/>
        <v>42754</v>
      </c>
      <c r="AC202" s="1166">
        <v>26.11</v>
      </c>
      <c r="AD202" s="1164">
        <f t="shared" si="171"/>
        <v>0.71180555555555547</v>
      </c>
      <c r="AE202" s="1164">
        <f t="shared" si="172"/>
        <v>0.7222222222222221</v>
      </c>
      <c r="AF202" s="1167">
        <f t="shared" si="184"/>
        <v>42754</v>
      </c>
      <c r="AG202" s="1164">
        <f t="shared" si="173"/>
        <v>0.72916666666666652</v>
      </c>
      <c r="AH202" s="1164">
        <f t="shared" si="174"/>
        <v>0.77083333333333315</v>
      </c>
      <c r="AI202" s="1167">
        <f t="shared" si="185"/>
        <v>42754</v>
      </c>
      <c r="AJ202" s="1164">
        <f t="shared" si="175"/>
        <v>0.79166666666666641</v>
      </c>
      <c r="AK202" s="1164">
        <f t="shared" si="176"/>
        <v>0.79861111111111083</v>
      </c>
      <c r="AL202" s="1167">
        <f t="shared" si="186"/>
        <v>42754</v>
      </c>
      <c r="AM202" s="1166">
        <v>1.06</v>
      </c>
      <c r="AN202" s="1166">
        <v>9</v>
      </c>
      <c r="AO202" s="1166">
        <v>26</v>
      </c>
      <c r="AP202" s="1166">
        <v>0</v>
      </c>
      <c r="AQ202" s="1164">
        <f t="shared" si="187"/>
        <v>0.79861111111111083</v>
      </c>
      <c r="AR202" s="1164">
        <f t="shared" si="177"/>
        <v>0.80555555555555525</v>
      </c>
      <c r="AS202" s="1167">
        <f t="shared" si="188"/>
        <v>42754</v>
      </c>
      <c r="AT202" s="1166">
        <v>26.11</v>
      </c>
      <c r="AU202" s="1164">
        <f t="shared" si="189"/>
        <v>0.80555555555555525</v>
      </c>
      <c r="AV202" s="1167">
        <f t="shared" si="190"/>
        <v>42754</v>
      </c>
      <c r="AW202" s="1164">
        <f t="shared" si="191"/>
        <v>0.84722222222222188</v>
      </c>
      <c r="AX202" s="1167">
        <f t="shared" si="192"/>
        <v>42754</v>
      </c>
      <c r="AY202" s="1166">
        <v>8.1</v>
      </c>
      <c r="AZ202" s="1166">
        <v>25</v>
      </c>
      <c r="BA202" s="1168">
        <f>VLOOKUP(B202,ĐTBT!$V:$W,2,0)</f>
        <v>3</v>
      </c>
      <c r="BB202" s="1168"/>
      <c r="BC202" s="1221">
        <v>42746</v>
      </c>
      <c r="BD202" s="1221">
        <v>42746</v>
      </c>
      <c r="BE202" s="1222">
        <f t="shared" si="195"/>
        <v>-8</v>
      </c>
      <c r="BF202" s="1221">
        <f t="shared" si="198"/>
        <v>42738</v>
      </c>
      <c r="BG202" s="1221">
        <f t="shared" si="196"/>
        <v>42745</v>
      </c>
      <c r="BH202" s="1221">
        <f t="shared" si="197"/>
        <v>42737</v>
      </c>
      <c r="BI202" s="1168">
        <f t="shared" si="194"/>
        <v>0</v>
      </c>
      <c r="BJ202" s="1168">
        <f>VLOOKUP(B202,'Thong tin'!A:R,11,0)</f>
        <v>4</v>
      </c>
      <c r="BL202" s="1220">
        <v>42746</v>
      </c>
      <c r="BU202" s="1220">
        <v>42689</v>
      </c>
      <c r="BX202" s="1220">
        <v>42757</v>
      </c>
    </row>
    <row r="203" spans="1:76" s="1219" customFormat="1" ht="15">
      <c r="A203" s="1217">
        <f>IF(C203="","",COUNTA($C$13:C203))</f>
        <v>191</v>
      </c>
      <c r="B203" s="1163" t="s">
        <v>511</v>
      </c>
      <c r="C203" s="1164">
        <v>0.35416666666666669</v>
      </c>
      <c r="D203" s="1164">
        <f t="shared" si="162"/>
        <v>0.375</v>
      </c>
      <c r="E203" s="1165">
        <v>42755</v>
      </c>
      <c r="F203" s="1164">
        <f t="shared" si="163"/>
        <v>0.38194444444444442</v>
      </c>
      <c r="G203" s="1164">
        <f t="shared" si="164"/>
        <v>0.38541666666666663</v>
      </c>
      <c r="H203" s="1165">
        <f t="shared" si="179"/>
        <v>42755</v>
      </c>
      <c r="I203" s="1166">
        <v>-7.0000000000000001E-3</v>
      </c>
      <c r="J203" s="1166">
        <v>-4.0000000000000001E-3</v>
      </c>
      <c r="K203" s="1166">
        <v>-0.13600000000000001</v>
      </c>
      <c r="L203" s="1166">
        <v>-0.60499999999999998</v>
      </c>
      <c r="M203" s="1164">
        <f t="shared" si="165"/>
        <v>0.38888888888888884</v>
      </c>
      <c r="N203" s="1164">
        <f t="shared" si="166"/>
        <v>0.39930555555555552</v>
      </c>
      <c r="O203" s="1165">
        <f t="shared" si="180"/>
        <v>42755</v>
      </c>
      <c r="P203" s="1166">
        <v>1.05</v>
      </c>
      <c r="Q203" s="1166">
        <v>9</v>
      </c>
      <c r="R203" s="1166">
        <v>24</v>
      </c>
      <c r="S203" s="1166">
        <v>0</v>
      </c>
      <c r="T203" s="1164">
        <f t="shared" si="167"/>
        <v>0.52430555555555558</v>
      </c>
      <c r="U203" s="1167">
        <f t="shared" si="181"/>
        <v>42755</v>
      </c>
      <c r="V203" s="1166">
        <v>21.85</v>
      </c>
      <c r="W203" s="1164">
        <f t="shared" si="168"/>
        <v>0.64930555555555558</v>
      </c>
      <c r="X203" s="1167">
        <f t="shared" si="182"/>
        <v>42755</v>
      </c>
      <c r="Y203" s="1166">
        <v>43.11</v>
      </c>
      <c r="Z203" s="1164">
        <f t="shared" si="169"/>
        <v>0.69097222222222221</v>
      </c>
      <c r="AA203" s="1164">
        <f t="shared" si="170"/>
        <v>0.71180555555555547</v>
      </c>
      <c r="AB203" s="1167">
        <f t="shared" si="183"/>
        <v>42755</v>
      </c>
      <c r="AC203" s="1166">
        <v>43.13</v>
      </c>
      <c r="AD203" s="1164">
        <f t="shared" si="171"/>
        <v>0.71874999999999989</v>
      </c>
      <c r="AE203" s="1164">
        <f t="shared" si="172"/>
        <v>0.72916666666666652</v>
      </c>
      <c r="AF203" s="1167">
        <f t="shared" si="184"/>
        <v>42755</v>
      </c>
      <c r="AG203" s="1164">
        <f t="shared" si="173"/>
        <v>0.73611111111111094</v>
      </c>
      <c r="AH203" s="1164">
        <f t="shared" si="174"/>
        <v>0.76736111111111094</v>
      </c>
      <c r="AI203" s="1167">
        <f t="shared" si="185"/>
        <v>42755</v>
      </c>
      <c r="AJ203" s="1164">
        <f t="shared" si="175"/>
        <v>0.7881944444444442</v>
      </c>
      <c r="AK203" s="1164">
        <f t="shared" si="176"/>
        <v>0.79513888888888862</v>
      </c>
      <c r="AL203" s="1167">
        <f t="shared" si="186"/>
        <v>42755</v>
      </c>
      <c r="AM203" s="1166">
        <v>1.05</v>
      </c>
      <c r="AN203" s="1166">
        <v>9</v>
      </c>
      <c r="AO203" s="1166">
        <v>24</v>
      </c>
      <c r="AP203" s="1166">
        <v>0</v>
      </c>
      <c r="AQ203" s="1164">
        <f t="shared" si="187"/>
        <v>0.79513888888888862</v>
      </c>
      <c r="AR203" s="1164">
        <f t="shared" si="177"/>
        <v>0.80208333333333304</v>
      </c>
      <c r="AS203" s="1167">
        <f t="shared" si="188"/>
        <v>42755</v>
      </c>
      <c r="AT203" s="1166">
        <v>43.13</v>
      </c>
      <c r="AU203" s="1164">
        <f t="shared" si="189"/>
        <v>0.80208333333333304</v>
      </c>
      <c r="AV203" s="1167">
        <f t="shared" si="190"/>
        <v>42755</v>
      </c>
      <c r="AW203" s="1164">
        <f t="shared" si="191"/>
        <v>0.87152777777777746</v>
      </c>
      <c r="AX203" s="1167">
        <f t="shared" si="192"/>
        <v>42755</v>
      </c>
      <c r="AY203" s="1166">
        <v>8.5</v>
      </c>
      <c r="AZ203" s="1166">
        <v>50</v>
      </c>
      <c r="BA203" s="1168">
        <f>VLOOKUP(B203,ĐTBT!$V:$W,2,0)</f>
        <v>5</v>
      </c>
      <c r="BB203" s="1168"/>
      <c r="BC203" s="1221">
        <v>42747</v>
      </c>
      <c r="BD203" s="1221">
        <v>42747</v>
      </c>
      <c r="BE203" s="1222">
        <f t="shared" si="195"/>
        <v>-8</v>
      </c>
      <c r="BF203" s="1221">
        <f t="shared" si="198"/>
        <v>42739</v>
      </c>
      <c r="BG203" s="1221">
        <f t="shared" si="196"/>
        <v>42746</v>
      </c>
      <c r="BH203" s="1221">
        <f t="shared" si="197"/>
        <v>42738</v>
      </c>
      <c r="BI203" s="1168">
        <f t="shared" si="194"/>
        <v>0</v>
      </c>
      <c r="BJ203" s="1168">
        <f>VLOOKUP(B203,'Thong tin'!A:R,11,0)</f>
        <v>0</v>
      </c>
      <c r="BK203" s="1219" t="s">
        <v>1169</v>
      </c>
      <c r="BL203" s="1220">
        <v>42747</v>
      </c>
      <c r="BU203" s="1220">
        <v>42690</v>
      </c>
      <c r="BX203" s="1220">
        <v>42758</v>
      </c>
    </row>
    <row r="204" spans="1:76" s="1219" customFormat="1" ht="15">
      <c r="A204" s="1217">
        <f>IF(C204="","",COUNTA($C$13:C204))</f>
        <v>192</v>
      </c>
      <c r="B204" s="1245" t="s">
        <v>699</v>
      </c>
      <c r="C204" s="1164">
        <v>0.3888888888888889</v>
      </c>
      <c r="D204" s="1164">
        <f t="shared" si="162"/>
        <v>0.40972222222222221</v>
      </c>
      <c r="E204" s="1165">
        <v>42756</v>
      </c>
      <c r="F204" s="1164">
        <f t="shared" si="163"/>
        <v>0.41666666666666663</v>
      </c>
      <c r="G204" s="1164">
        <f t="shared" si="164"/>
        <v>0.42013888888888884</v>
      </c>
      <c r="H204" s="1165">
        <f t="shared" si="179"/>
        <v>42756</v>
      </c>
      <c r="I204" s="1166">
        <v>1.0999999999999999E-2</v>
      </c>
      <c r="J204" s="1166">
        <v>-7.0000000000000001E-3</v>
      </c>
      <c r="K204" s="1166">
        <v>-0.28499999999999998</v>
      </c>
      <c r="L204" s="1166">
        <v>-0.6</v>
      </c>
      <c r="M204" s="1164">
        <f t="shared" si="165"/>
        <v>0.42361111111111105</v>
      </c>
      <c r="N204" s="1164">
        <f t="shared" si="166"/>
        <v>0.43402777777777773</v>
      </c>
      <c r="O204" s="1165">
        <f t="shared" si="180"/>
        <v>42756</v>
      </c>
      <c r="P204" s="1166">
        <v>1.06</v>
      </c>
      <c r="Q204" s="1166">
        <v>9</v>
      </c>
      <c r="R204" s="1166">
        <v>26</v>
      </c>
      <c r="S204" s="1166">
        <v>0</v>
      </c>
      <c r="T204" s="1164">
        <f t="shared" si="167"/>
        <v>0.55902777777777768</v>
      </c>
      <c r="U204" s="1167">
        <f t="shared" si="181"/>
        <v>42756</v>
      </c>
      <c r="V204" s="1166">
        <v>22.12</v>
      </c>
      <c r="W204" s="1164">
        <f t="shared" si="168"/>
        <v>0.68402777777777768</v>
      </c>
      <c r="X204" s="1167">
        <f t="shared" si="182"/>
        <v>42756</v>
      </c>
      <c r="Y204" s="1166">
        <v>42.95</v>
      </c>
      <c r="Z204" s="1164">
        <f t="shared" si="169"/>
        <v>0.72569444444444431</v>
      </c>
      <c r="AA204" s="1164">
        <f t="shared" si="170"/>
        <v>0.74652777777777757</v>
      </c>
      <c r="AB204" s="1167">
        <f t="shared" si="183"/>
        <v>42756</v>
      </c>
      <c r="AC204" s="1166">
        <v>42.97</v>
      </c>
      <c r="AD204" s="1164">
        <f t="shared" si="171"/>
        <v>0.75347222222222199</v>
      </c>
      <c r="AE204" s="1164">
        <f t="shared" si="172"/>
        <v>0.76388888888888862</v>
      </c>
      <c r="AF204" s="1167">
        <f t="shared" si="184"/>
        <v>42756</v>
      </c>
      <c r="AG204" s="1164">
        <f t="shared" si="173"/>
        <v>0.77083333333333304</v>
      </c>
      <c r="AH204" s="1164">
        <f t="shared" si="174"/>
        <v>0.80208333333333304</v>
      </c>
      <c r="AI204" s="1167">
        <f t="shared" si="185"/>
        <v>42756</v>
      </c>
      <c r="AJ204" s="1164">
        <f t="shared" si="175"/>
        <v>0.8229166666666663</v>
      </c>
      <c r="AK204" s="1164">
        <f t="shared" si="176"/>
        <v>0.82986111111111072</v>
      </c>
      <c r="AL204" s="1167">
        <f t="shared" si="186"/>
        <v>42756</v>
      </c>
      <c r="AM204" s="1166">
        <v>1.06</v>
      </c>
      <c r="AN204" s="1166">
        <v>9</v>
      </c>
      <c r="AO204" s="1166">
        <v>26</v>
      </c>
      <c r="AP204" s="1166">
        <v>0</v>
      </c>
      <c r="AQ204" s="1164">
        <f t="shared" si="187"/>
        <v>0.82986111111111072</v>
      </c>
      <c r="AR204" s="1164">
        <f t="shared" si="177"/>
        <v>0.83680555555555514</v>
      </c>
      <c r="AS204" s="1167">
        <f t="shared" si="188"/>
        <v>42756</v>
      </c>
      <c r="AT204" s="1166">
        <v>42.97</v>
      </c>
      <c r="AU204" s="1164">
        <f t="shared" si="189"/>
        <v>0.83680555555555514</v>
      </c>
      <c r="AV204" s="1167">
        <f t="shared" si="190"/>
        <v>42756</v>
      </c>
      <c r="AW204" s="1164">
        <f t="shared" si="191"/>
        <v>0.92013888888888851</v>
      </c>
      <c r="AX204" s="1167">
        <f t="shared" si="192"/>
        <v>42756</v>
      </c>
      <c r="AY204" s="1166">
        <v>8.1999999999999993</v>
      </c>
      <c r="AZ204" s="1166">
        <v>55</v>
      </c>
      <c r="BA204" s="1168">
        <f>VLOOKUP(B204,ĐTBT!$V:$W,2,0)</f>
        <v>6</v>
      </c>
      <c r="BB204" s="1168"/>
      <c r="BC204" s="1221">
        <v>42755</v>
      </c>
      <c r="BD204" s="1221">
        <v>42755</v>
      </c>
      <c r="BE204" s="1222">
        <f t="shared" si="195"/>
        <v>-1</v>
      </c>
      <c r="BF204" s="1221">
        <f t="shared" si="198"/>
        <v>42754</v>
      </c>
      <c r="BG204" s="1221">
        <f t="shared" si="196"/>
        <v>42754</v>
      </c>
      <c r="BH204" s="1221">
        <f t="shared" si="197"/>
        <v>42753</v>
      </c>
      <c r="BI204" s="1168">
        <f t="shared" si="194"/>
        <v>0</v>
      </c>
      <c r="BJ204" s="1168">
        <f>VLOOKUP(B204,'Thong tin'!A:R,11,0)</f>
        <v>0</v>
      </c>
      <c r="BK204" s="1219" t="s">
        <v>1171</v>
      </c>
      <c r="BL204" s="1220">
        <v>42755</v>
      </c>
      <c r="BU204" s="1220">
        <v>42691</v>
      </c>
      <c r="BX204" s="1220">
        <v>42761</v>
      </c>
    </row>
    <row r="205" spans="1:76" s="1219" customFormat="1" ht="15">
      <c r="A205" s="1217">
        <f>IF(C205="","",COUNTA($C$13:C205))</f>
        <v>193</v>
      </c>
      <c r="B205" s="1163" t="s">
        <v>518</v>
      </c>
      <c r="C205" s="1164">
        <v>0.32291666666666669</v>
      </c>
      <c r="D205" s="1164">
        <f t="shared" ref="D205:D228" si="199">C205+$D$319</f>
        <v>0.34375</v>
      </c>
      <c r="E205" s="1165">
        <v>42775</v>
      </c>
      <c r="F205" s="1164">
        <f t="shared" ref="F205:F228" si="200">D205+$D$315</f>
        <v>0.35069444444444442</v>
      </c>
      <c r="G205" s="1164">
        <f t="shared" ref="G205:G228" si="201">F205+$D$314</f>
        <v>0.35416666666666663</v>
      </c>
      <c r="H205" s="1165">
        <f t="shared" si="179"/>
        <v>42775</v>
      </c>
      <c r="I205" s="1166">
        <v>-1E-3</v>
      </c>
      <c r="J205" s="1166">
        <v>-2.4E-2</v>
      </c>
      <c r="K205" s="1166">
        <v>-0.432</v>
      </c>
      <c r="L205" s="1166">
        <v>-0.70599999999999996</v>
      </c>
      <c r="M205" s="1164">
        <f t="shared" ref="M205:M228" si="202">G205+$D$314</f>
        <v>0.35763888888888884</v>
      </c>
      <c r="N205" s="1164">
        <f t="shared" ref="N205:N228" si="203">M205+$D$316</f>
        <v>0.36805555555555552</v>
      </c>
      <c r="O205" s="1165">
        <f t="shared" si="180"/>
        <v>42775</v>
      </c>
      <c r="P205" s="1166">
        <v>1.06</v>
      </c>
      <c r="Q205" s="1166">
        <v>9</v>
      </c>
      <c r="R205" s="1166">
        <v>23</v>
      </c>
      <c r="S205" s="1166">
        <v>0</v>
      </c>
      <c r="T205" s="1164">
        <f t="shared" ref="T205:T228" si="204">N205+$D$344</f>
        <v>0.49305555555555552</v>
      </c>
      <c r="U205" s="1167">
        <f t="shared" si="181"/>
        <v>42775</v>
      </c>
      <c r="V205" s="1166">
        <v>22.91</v>
      </c>
      <c r="W205" s="1164">
        <f t="shared" ref="W205:W228" si="205">T205+$D$344</f>
        <v>0.61805555555555558</v>
      </c>
      <c r="X205" s="1167">
        <f t="shared" si="182"/>
        <v>42775</v>
      </c>
      <c r="Y205" s="1166">
        <v>32.43</v>
      </c>
      <c r="Z205" s="1164">
        <f t="shared" ref="Z205:Z228" si="206">W205+$D$325</f>
        <v>0.65972222222222221</v>
      </c>
      <c r="AA205" s="1164">
        <f t="shared" ref="AA205:AA228" si="207">Z205+$D$319</f>
        <v>0.68055555555555547</v>
      </c>
      <c r="AB205" s="1167">
        <f t="shared" si="183"/>
        <v>42775</v>
      </c>
      <c r="AC205" s="1166">
        <v>32.520000000000003</v>
      </c>
      <c r="AD205" s="1164">
        <f t="shared" ref="AD205:AD228" si="208">AA205+$D$315</f>
        <v>0.68749999999999989</v>
      </c>
      <c r="AE205" s="1164">
        <f t="shared" ref="AE205:AE228" si="209">AD205+$D$316</f>
        <v>0.69791666666666652</v>
      </c>
      <c r="AF205" s="1167">
        <f t="shared" si="184"/>
        <v>42775</v>
      </c>
      <c r="AG205" s="1164">
        <f t="shared" ref="AG205:AG228" si="210">AE205+$D$315</f>
        <v>0.70486111111111094</v>
      </c>
      <c r="AH205" s="1164">
        <f t="shared" ref="AH205:AH228" si="211">IF(BJ205&gt;0,AG205+$D$325,AG205+$D$322)</f>
        <v>0.73611111111111094</v>
      </c>
      <c r="AI205" s="1167">
        <f t="shared" si="185"/>
        <v>42775</v>
      </c>
      <c r="AJ205" s="1164">
        <f t="shared" ref="AJ205:AJ228" si="212">AH205+$D$319</f>
        <v>0.7569444444444442</v>
      </c>
      <c r="AK205" s="1164">
        <f t="shared" ref="AK205:AK228" si="213">AJ205+$D$315</f>
        <v>0.76388888888888862</v>
      </c>
      <c r="AL205" s="1167">
        <f t="shared" si="186"/>
        <v>42775</v>
      </c>
      <c r="AM205" s="1166">
        <v>1.06</v>
      </c>
      <c r="AN205" s="1166">
        <v>9</v>
      </c>
      <c r="AO205" s="1166">
        <v>26</v>
      </c>
      <c r="AP205" s="1166">
        <v>0</v>
      </c>
      <c r="AQ205" s="1164">
        <f t="shared" si="187"/>
        <v>0.76388888888888862</v>
      </c>
      <c r="AR205" s="1164">
        <f t="shared" ref="AR205:AR228" si="214">AQ205+$D$315</f>
        <v>0.77083333333333304</v>
      </c>
      <c r="AS205" s="1167">
        <f t="shared" si="188"/>
        <v>42775</v>
      </c>
      <c r="AT205" s="1166">
        <v>32.520000000000003</v>
      </c>
      <c r="AU205" s="1164">
        <f t="shared" si="189"/>
        <v>0.77083333333333304</v>
      </c>
      <c r="AV205" s="1167">
        <f t="shared" si="190"/>
        <v>42775</v>
      </c>
      <c r="AW205" s="1164">
        <f t="shared" si="191"/>
        <v>0.79861111111111083</v>
      </c>
      <c r="AX205" s="1167">
        <f t="shared" si="192"/>
        <v>42775</v>
      </c>
      <c r="AY205" s="1166">
        <v>4.9000000000000004</v>
      </c>
      <c r="AZ205" s="1166">
        <v>16</v>
      </c>
      <c r="BA205" s="1168">
        <f>VLOOKUP(B205,ĐTBT!$V:$W,2,0)</f>
        <v>2</v>
      </c>
      <c r="BB205" s="1168"/>
      <c r="BC205" s="1221">
        <v>42755</v>
      </c>
      <c r="BD205" s="1221">
        <v>42755</v>
      </c>
      <c r="BE205" s="1222">
        <f t="shared" si="195"/>
        <v>-20</v>
      </c>
      <c r="BF205" s="1221">
        <f t="shared" si="198"/>
        <v>42735</v>
      </c>
      <c r="BG205" s="1221">
        <f t="shared" si="196"/>
        <v>42754</v>
      </c>
      <c r="BH205" s="1221">
        <f t="shared" si="197"/>
        <v>42734</v>
      </c>
      <c r="BI205" s="1168">
        <f t="shared" si="194"/>
        <v>0</v>
      </c>
      <c r="BJ205" s="1168">
        <f>VLOOKUP(B205,'Thong tin'!A:R,11,0)</f>
        <v>0</v>
      </c>
      <c r="BL205" s="1220">
        <v>42755</v>
      </c>
      <c r="BU205" s="1220">
        <v>42692</v>
      </c>
      <c r="BX205" s="1220">
        <v>42762</v>
      </c>
    </row>
    <row r="206" spans="1:76" s="1219" customFormat="1" ht="15">
      <c r="A206" s="1217">
        <f>IF(C206="","",COUNTA($C$13:C206))</f>
        <v>194</v>
      </c>
      <c r="B206" s="1163" t="s">
        <v>493</v>
      </c>
      <c r="C206" s="1164">
        <v>0.33333333333333331</v>
      </c>
      <c r="D206" s="1164">
        <f t="shared" si="199"/>
        <v>0.35416666666666663</v>
      </c>
      <c r="E206" s="1165">
        <v>42776</v>
      </c>
      <c r="F206" s="1164">
        <f t="shared" si="200"/>
        <v>0.36111111111111105</v>
      </c>
      <c r="G206" s="1164">
        <f t="shared" si="201"/>
        <v>0.36458333333333326</v>
      </c>
      <c r="H206" s="1165">
        <f t="shared" si="179"/>
        <v>42776</v>
      </c>
      <c r="I206" s="1166">
        <v>-1.2999999999999999E-2</v>
      </c>
      <c r="J206" s="1166">
        <v>0.01</v>
      </c>
      <c r="K206" s="1166">
        <v>-0.7</v>
      </c>
      <c r="L206" s="1166">
        <v>-1.2</v>
      </c>
      <c r="M206" s="1164">
        <f t="shared" si="202"/>
        <v>0.36805555555555547</v>
      </c>
      <c r="N206" s="1164">
        <f t="shared" si="203"/>
        <v>0.37847222222222215</v>
      </c>
      <c r="O206" s="1165">
        <f t="shared" si="180"/>
        <v>42776</v>
      </c>
      <c r="P206" s="1166">
        <v>1.06</v>
      </c>
      <c r="Q206" s="1166">
        <v>9</v>
      </c>
      <c r="R206" s="1166">
        <v>26</v>
      </c>
      <c r="S206" s="1166">
        <v>0</v>
      </c>
      <c r="T206" s="1164">
        <f t="shared" si="204"/>
        <v>0.5034722222222221</v>
      </c>
      <c r="U206" s="1167">
        <f t="shared" si="181"/>
        <v>42776</v>
      </c>
      <c r="V206" s="1166">
        <v>17.75</v>
      </c>
      <c r="W206" s="1164">
        <f t="shared" si="205"/>
        <v>0.6284722222222221</v>
      </c>
      <c r="X206" s="1167">
        <f t="shared" si="182"/>
        <v>42776</v>
      </c>
      <c r="Y206" s="1166">
        <v>29.71</v>
      </c>
      <c r="Z206" s="1164">
        <f t="shared" si="206"/>
        <v>0.67013888888888873</v>
      </c>
      <c r="AA206" s="1164">
        <f t="shared" si="207"/>
        <v>0.69097222222222199</v>
      </c>
      <c r="AB206" s="1167">
        <f t="shared" si="183"/>
        <v>42776</v>
      </c>
      <c r="AC206" s="1166">
        <v>29.71</v>
      </c>
      <c r="AD206" s="1164">
        <f t="shared" si="208"/>
        <v>0.69791666666666641</v>
      </c>
      <c r="AE206" s="1164">
        <f t="shared" si="209"/>
        <v>0.70833333333333304</v>
      </c>
      <c r="AF206" s="1167">
        <f t="shared" si="184"/>
        <v>42776</v>
      </c>
      <c r="AG206" s="1164">
        <f t="shared" si="210"/>
        <v>0.71527777777777746</v>
      </c>
      <c r="AH206" s="1164">
        <f t="shared" si="211"/>
        <v>0.74652777777777746</v>
      </c>
      <c r="AI206" s="1167">
        <f t="shared" si="185"/>
        <v>42776</v>
      </c>
      <c r="AJ206" s="1164">
        <f t="shared" si="212"/>
        <v>0.76736111111111072</v>
      </c>
      <c r="AK206" s="1164">
        <f t="shared" si="213"/>
        <v>0.77430555555555514</v>
      </c>
      <c r="AL206" s="1167">
        <f t="shared" si="186"/>
        <v>42776</v>
      </c>
      <c r="AM206" s="1166">
        <v>1.06</v>
      </c>
      <c r="AN206" s="1166">
        <v>9</v>
      </c>
      <c r="AO206" s="1166">
        <v>24</v>
      </c>
      <c r="AP206" s="1166">
        <v>0</v>
      </c>
      <c r="AQ206" s="1164">
        <f t="shared" si="187"/>
        <v>0.77430555555555514</v>
      </c>
      <c r="AR206" s="1164">
        <f t="shared" si="214"/>
        <v>0.78124999999999956</v>
      </c>
      <c r="AS206" s="1167">
        <f t="shared" si="188"/>
        <v>42776</v>
      </c>
      <c r="AT206" s="1166">
        <v>29.71</v>
      </c>
      <c r="AU206" s="1164">
        <f t="shared" si="189"/>
        <v>0.78124999999999956</v>
      </c>
      <c r="AV206" s="1167">
        <f t="shared" si="190"/>
        <v>42776</v>
      </c>
      <c r="AW206" s="1164">
        <f t="shared" si="191"/>
        <v>0.80902777777777735</v>
      </c>
      <c r="AX206" s="1167">
        <f t="shared" si="192"/>
        <v>42776</v>
      </c>
      <c r="AY206" s="1166">
        <v>4.2</v>
      </c>
      <c r="AZ206" s="1166">
        <v>16</v>
      </c>
      <c r="BA206" s="1168">
        <f>VLOOKUP(B206,ĐTBT!$V:$W,2,0)</f>
        <v>2</v>
      </c>
      <c r="BB206" s="1168"/>
      <c r="BC206" s="1221">
        <v>42778</v>
      </c>
      <c r="BD206" s="1221">
        <v>42778</v>
      </c>
      <c r="BE206" s="1222">
        <f t="shared" si="195"/>
        <v>2</v>
      </c>
      <c r="BF206" s="1221">
        <f t="shared" si="198"/>
        <v>42780</v>
      </c>
      <c r="BG206" s="1221">
        <f t="shared" si="196"/>
        <v>42777</v>
      </c>
      <c r="BH206" s="1221">
        <f t="shared" si="197"/>
        <v>42779</v>
      </c>
      <c r="BI206" s="1168">
        <f t="shared" si="194"/>
        <v>0</v>
      </c>
      <c r="BJ206" s="1168">
        <f>VLOOKUP(B206,'Thong tin'!A:R,11,0)</f>
        <v>0</v>
      </c>
      <c r="BL206" s="1220">
        <v>42778</v>
      </c>
      <c r="BU206" s="1220">
        <v>42694</v>
      </c>
      <c r="BX206" s="1220">
        <v>42767</v>
      </c>
    </row>
    <row r="207" spans="1:76" s="1219" customFormat="1" ht="15">
      <c r="A207" s="1217">
        <f>IF(C207="","",COUNTA($C$13:C207))</f>
        <v>195</v>
      </c>
      <c r="B207" s="1163" t="s">
        <v>705</v>
      </c>
      <c r="C207" s="1164">
        <v>0.41666666666666669</v>
      </c>
      <c r="D207" s="1164">
        <f t="shared" si="199"/>
        <v>0.4375</v>
      </c>
      <c r="E207" s="1165">
        <v>42777</v>
      </c>
      <c r="F207" s="1164">
        <f t="shared" si="200"/>
        <v>0.44444444444444442</v>
      </c>
      <c r="G207" s="1164">
        <f t="shared" si="201"/>
        <v>0.44791666666666663</v>
      </c>
      <c r="H207" s="1165">
        <f t="shared" si="179"/>
        <v>42777</v>
      </c>
      <c r="I207" s="1166">
        <v>-3.0000000000000001E-3</v>
      </c>
      <c r="J207" s="1166">
        <v>1.6E-2</v>
      </c>
      <c r="K207" s="1166">
        <v>-0.69399999999999995</v>
      </c>
      <c r="L207" s="1166">
        <v>-1.2150000000000001</v>
      </c>
      <c r="M207" s="1164">
        <f t="shared" si="202"/>
        <v>0.45138888888888884</v>
      </c>
      <c r="N207" s="1164">
        <f t="shared" si="203"/>
        <v>0.46180555555555552</v>
      </c>
      <c r="O207" s="1165">
        <f t="shared" si="180"/>
        <v>42777</v>
      </c>
      <c r="P207" s="1166">
        <v>1.06</v>
      </c>
      <c r="Q207" s="1166">
        <v>9</v>
      </c>
      <c r="R207" s="1166">
        <v>26</v>
      </c>
      <c r="S207" s="1166">
        <v>0</v>
      </c>
      <c r="T207" s="1164">
        <f t="shared" si="204"/>
        <v>0.58680555555555558</v>
      </c>
      <c r="U207" s="1167">
        <f t="shared" si="181"/>
        <v>42777</v>
      </c>
      <c r="V207" s="1166">
        <v>18.54</v>
      </c>
      <c r="W207" s="1164">
        <f t="shared" si="205"/>
        <v>0.71180555555555558</v>
      </c>
      <c r="X207" s="1167">
        <f t="shared" si="182"/>
        <v>42777</v>
      </c>
      <c r="Y207" s="1166">
        <v>28.41</v>
      </c>
      <c r="Z207" s="1164">
        <f t="shared" si="206"/>
        <v>0.75347222222222221</v>
      </c>
      <c r="AA207" s="1164">
        <f t="shared" si="207"/>
        <v>0.77430555555555547</v>
      </c>
      <c r="AB207" s="1167">
        <f t="shared" si="183"/>
        <v>42777</v>
      </c>
      <c r="AC207" s="1166">
        <v>28.43</v>
      </c>
      <c r="AD207" s="1164">
        <f t="shared" si="208"/>
        <v>0.78124999999999989</v>
      </c>
      <c r="AE207" s="1164">
        <f t="shared" si="209"/>
        <v>0.79166666666666652</v>
      </c>
      <c r="AF207" s="1167">
        <f t="shared" si="184"/>
        <v>42777</v>
      </c>
      <c r="AG207" s="1164">
        <f t="shared" si="210"/>
        <v>0.79861111111111094</v>
      </c>
      <c r="AH207" s="1164">
        <f t="shared" si="211"/>
        <v>0.84027777777777757</v>
      </c>
      <c r="AI207" s="1167">
        <f t="shared" si="185"/>
        <v>42777</v>
      </c>
      <c r="AJ207" s="1164">
        <f t="shared" si="212"/>
        <v>0.86111111111111083</v>
      </c>
      <c r="AK207" s="1164">
        <f t="shared" si="213"/>
        <v>0.86805555555555525</v>
      </c>
      <c r="AL207" s="1167">
        <f t="shared" si="186"/>
        <v>42777</v>
      </c>
      <c r="AM207" s="1166">
        <v>1.06</v>
      </c>
      <c r="AN207" s="1166">
        <v>9</v>
      </c>
      <c r="AO207" s="1166">
        <v>25</v>
      </c>
      <c r="AP207" s="1166">
        <v>0</v>
      </c>
      <c r="AQ207" s="1164">
        <f t="shared" si="187"/>
        <v>0.86805555555555525</v>
      </c>
      <c r="AR207" s="1164">
        <f t="shared" si="214"/>
        <v>0.87499999999999967</v>
      </c>
      <c r="AS207" s="1167">
        <f t="shared" si="188"/>
        <v>42777</v>
      </c>
      <c r="AT207" s="1166">
        <v>28.43</v>
      </c>
      <c r="AU207" s="1164">
        <f t="shared" si="189"/>
        <v>0.87499999999999967</v>
      </c>
      <c r="AV207" s="1167">
        <f t="shared" si="190"/>
        <v>42777</v>
      </c>
      <c r="AW207" s="1164">
        <f t="shared" si="191"/>
        <v>0.90277777777777746</v>
      </c>
      <c r="AX207" s="1167">
        <f t="shared" si="192"/>
        <v>42777</v>
      </c>
      <c r="AY207" s="1166">
        <v>4</v>
      </c>
      <c r="AZ207" s="1166">
        <v>15</v>
      </c>
      <c r="BA207" s="1168">
        <f>VLOOKUP(B207,ĐTBT!$V:$W,2,0)</f>
        <v>2</v>
      </c>
      <c r="BB207" s="1168"/>
      <c r="BC207" s="1221">
        <v>42781</v>
      </c>
      <c r="BD207" s="1221">
        <v>42781</v>
      </c>
      <c r="BE207" s="1222">
        <f t="shared" si="195"/>
        <v>4</v>
      </c>
      <c r="BF207" s="1221">
        <f t="shared" si="198"/>
        <v>42785</v>
      </c>
      <c r="BG207" s="1221">
        <f t="shared" si="196"/>
        <v>42780</v>
      </c>
      <c r="BH207" s="1221">
        <f t="shared" si="197"/>
        <v>42784</v>
      </c>
      <c r="BJ207" s="1168">
        <f>VLOOKUP(B207,'Thong tin'!A:R,11,0)</f>
        <v>3</v>
      </c>
      <c r="BL207" s="1220">
        <v>42781</v>
      </c>
    </row>
    <row r="208" spans="1:76" s="1219" customFormat="1" ht="15">
      <c r="A208" s="1217">
        <f>IF(C208="","",COUNTA($C$13:C208))</f>
        <v>196</v>
      </c>
      <c r="B208" s="1163" t="s">
        <v>580</v>
      </c>
      <c r="C208" s="1164">
        <v>0.29166666666666669</v>
      </c>
      <c r="D208" s="1164">
        <f t="shared" si="199"/>
        <v>0.3125</v>
      </c>
      <c r="E208" s="1165">
        <v>42778</v>
      </c>
      <c r="F208" s="1164">
        <f t="shared" si="200"/>
        <v>0.31944444444444442</v>
      </c>
      <c r="G208" s="1164">
        <f t="shared" si="201"/>
        <v>0.32291666666666663</v>
      </c>
      <c r="H208" s="1165">
        <f t="shared" si="179"/>
        <v>42778</v>
      </c>
      <c r="I208" s="1166">
        <v>1.2999999999999999E-2</v>
      </c>
      <c r="J208" s="1166">
        <v>1.6E-2</v>
      </c>
      <c r="K208" s="1166">
        <v>6.4000000000000001E-2</v>
      </c>
      <c r="L208" s="1166">
        <v>-0.35599999999999998</v>
      </c>
      <c r="M208" s="1164">
        <f t="shared" si="202"/>
        <v>0.32638888888888884</v>
      </c>
      <c r="N208" s="1164">
        <f t="shared" si="203"/>
        <v>0.33680555555555552</v>
      </c>
      <c r="O208" s="1165">
        <f t="shared" si="180"/>
        <v>42778</v>
      </c>
      <c r="P208" s="1166">
        <v>1.06</v>
      </c>
      <c r="Q208" s="1166">
        <v>9</v>
      </c>
      <c r="R208" s="1166">
        <v>26</v>
      </c>
      <c r="S208" s="1166">
        <v>0</v>
      </c>
      <c r="T208" s="1164">
        <f t="shared" si="204"/>
        <v>0.46180555555555552</v>
      </c>
      <c r="U208" s="1167">
        <f t="shared" si="181"/>
        <v>42778</v>
      </c>
      <c r="V208" s="1166">
        <v>20.13</v>
      </c>
      <c r="W208" s="1164">
        <f t="shared" si="205"/>
        <v>0.58680555555555558</v>
      </c>
      <c r="X208" s="1167">
        <f t="shared" si="182"/>
        <v>42778</v>
      </c>
      <c r="Y208" s="1166">
        <v>33.01</v>
      </c>
      <c r="Z208" s="1164">
        <f t="shared" si="206"/>
        <v>0.62847222222222221</v>
      </c>
      <c r="AA208" s="1164">
        <f t="shared" si="207"/>
        <v>0.64930555555555547</v>
      </c>
      <c r="AB208" s="1167">
        <f t="shared" si="183"/>
        <v>42778</v>
      </c>
      <c r="AC208" s="1166">
        <v>33.01</v>
      </c>
      <c r="AD208" s="1164">
        <f t="shared" si="208"/>
        <v>0.65624999999999989</v>
      </c>
      <c r="AE208" s="1164">
        <f t="shared" si="209"/>
        <v>0.66666666666666652</v>
      </c>
      <c r="AF208" s="1167">
        <f t="shared" si="184"/>
        <v>42778</v>
      </c>
      <c r="AG208" s="1164">
        <f t="shared" si="210"/>
        <v>0.67361111111111094</v>
      </c>
      <c r="AH208" s="1164">
        <f t="shared" si="211"/>
        <v>0.71527777777777757</v>
      </c>
      <c r="AI208" s="1167">
        <f t="shared" si="185"/>
        <v>42778</v>
      </c>
      <c r="AJ208" s="1164">
        <f t="shared" si="212"/>
        <v>0.73611111111111083</v>
      </c>
      <c r="AK208" s="1164">
        <f t="shared" si="213"/>
        <v>0.74305555555555525</v>
      </c>
      <c r="AL208" s="1167">
        <f t="shared" si="186"/>
        <v>42778</v>
      </c>
      <c r="AM208" s="1166">
        <v>1.06</v>
      </c>
      <c r="AN208" s="1166">
        <v>9</v>
      </c>
      <c r="AO208" s="1166">
        <v>23</v>
      </c>
      <c r="AP208" s="1166">
        <v>0</v>
      </c>
      <c r="AQ208" s="1164">
        <f t="shared" si="187"/>
        <v>0.74305555555555525</v>
      </c>
      <c r="AR208" s="1164">
        <f t="shared" si="214"/>
        <v>0.74999999999999967</v>
      </c>
      <c r="AS208" s="1167">
        <f t="shared" si="188"/>
        <v>42778</v>
      </c>
      <c r="AT208" s="1166">
        <v>33.01</v>
      </c>
      <c r="AU208" s="1164">
        <f t="shared" si="189"/>
        <v>0.74999999999999967</v>
      </c>
      <c r="AV208" s="1167">
        <f t="shared" si="190"/>
        <v>42778</v>
      </c>
      <c r="AW208" s="1164">
        <f t="shared" si="191"/>
        <v>0.80555555555555525</v>
      </c>
      <c r="AX208" s="1167">
        <f t="shared" si="192"/>
        <v>42778</v>
      </c>
      <c r="AY208" s="1166">
        <v>6</v>
      </c>
      <c r="AZ208" s="1166">
        <v>34</v>
      </c>
      <c r="BA208" s="1168">
        <f>VLOOKUP(B208,ĐTBT!$V:$W,2,0)</f>
        <v>4</v>
      </c>
      <c r="BB208" s="1168"/>
      <c r="BC208" s="1221">
        <v>42783</v>
      </c>
      <c r="BD208" s="1221">
        <v>42783</v>
      </c>
      <c r="BE208" s="1222">
        <f t="shared" si="195"/>
        <v>5</v>
      </c>
      <c r="BF208" s="1221">
        <f t="shared" si="198"/>
        <v>42788</v>
      </c>
      <c r="BG208" s="1221">
        <f t="shared" si="196"/>
        <v>42782</v>
      </c>
      <c r="BH208" s="1221">
        <f t="shared" si="197"/>
        <v>42787</v>
      </c>
      <c r="BJ208" s="1168">
        <f>VLOOKUP(B208,'Thong tin'!A:R,11,0)</f>
        <v>4</v>
      </c>
      <c r="BL208" s="1220">
        <v>42783</v>
      </c>
    </row>
    <row r="209" spans="1:71" s="1219" customFormat="1" ht="15">
      <c r="A209" s="1217">
        <f>IF(C209="","",COUNTA($C$13:C209))</f>
        <v>197</v>
      </c>
      <c r="B209" s="1163" t="s">
        <v>498</v>
      </c>
      <c r="C209" s="1164">
        <v>0.3125</v>
      </c>
      <c r="D209" s="1164">
        <f t="shared" si="199"/>
        <v>0.33333333333333331</v>
      </c>
      <c r="E209" s="1165">
        <v>42779</v>
      </c>
      <c r="F209" s="1164">
        <f t="shared" si="200"/>
        <v>0.34027777777777773</v>
      </c>
      <c r="G209" s="1164">
        <f t="shared" si="201"/>
        <v>0.34374999999999994</v>
      </c>
      <c r="H209" s="1165">
        <f t="shared" si="179"/>
        <v>42779</v>
      </c>
      <c r="I209" s="1166">
        <v>1.7000000000000001E-2</v>
      </c>
      <c r="J209" s="1166">
        <v>-1.9E-2</v>
      </c>
      <c r="K209" s="1166">
        <v>-0.46899999999999997</v>
      </c>
      <c r="L209" s="1166">
        <v>-0.80200000000000005</v>
      </c>
      <c r="M209" s="1164">
        <f t="shared" si="202"/>
        <v>0.34722222222222215</v>
      </c>
      <c r="N209" s="1164">
        <f t="shared" si="203"/>
        <v>0.35763888888888884</v>
      </c>
      <c r="O209" s="1165">
        <f t="shared" si="180"/>
        <v>42779</v>
      </c>
      <c r="P209" s="1166">
        <v>1.06</v>
      </c>
      <c r="Q209" s="1166">
        <v>9</v>
      </c>
      <c r="R209" s="1166">
        <v>26</v>
      </c>
      <c r="S209" s="1166">
        <v>0</v>
      </c>
      <c r="T209" s="1164">
        <f t="shared" si="204"/>
        <v>0.48263888888888884</v>
      </c>
      <c r="U209" s="1167">
        <f t="shared" si="181"/>
        <v>42779</v>
      </c>
      <c r="V209" s="1166">
        <v>19.05</v>
      </c>
      <c r="W209" s="1164">
        <f t="shared" si="205"/>
        <v>0.60763888888888884</v>
      </c>
      <c r="X209" s="1167">
        <f t="shared" si="182"/>
        <v>42779</v>
      </c>
      <c r="Y209" s="1166">
        <v>29.86</v>
      </c>
      <c r="Z209" s="1164">
        <f t="shared" si="206"/>
        <v>0.64930555555555547</v>
      </c>
      <c r="AA209" s="1164">
        <f t="shared" si="207"/>
        <v>0.67013888888888873</v>
      </c>
      <c r="AB209" s="1167">
        <f t="shared" si="183"/>
        <v>42779</v>
      </c>
      <c r="AC209" s="1166">
        <v>29.86</v>
      </c>
      <c r="AD209" s="1164">
        <f t="shared" si="208"/>
        <v>0.67708333333333315</v>
      </c>
      <c r="AE209" s="1164">
        <f t="shared" si="209"/>
        <v>0.68749999999999978</v>
      </c>
      <c r="AF209" s="1167">
        <f t="shared" si="184"/>
        <v>42779</v>
      </c>
      <c r="AG209" s="1164">
        <f t="shared" si="210"/>
        <v>0.6944444444444442</v>
      </c>
      <c r="AH209" s="1164">
        <f t="shared" si="211"/>
        <v>0.73611111111111083</v>
      </c>
      <c r="AI209" s="1167">
        <f t="shared" si="185"/>
        <v>42779</v>
      </c>
      <c r="AJ209" s="1164">
        <f t="shared" si="212"/>
        <v>0.75694444444444409</v>
      </c>
      <c r="AK209" s="1164">
        <f t="shared" si="213"/>
        <v>0.76388888888888851</v>
      </c>
      <c r="AL209" s="1167">
        <f t="shared" si="186"/>
        <v>42779</v>
      </c>
      <c r="AM209" s="1166">
        <v>1.06</v>
      </c>
      <c r="AN209" s="1166">
        <v>9</v>
      </c>
      <c r="AO209" s="1166">
        <v>25</v>
      </c>
      <c r="AP209" s="1166">
        <v>0</v>
      </c>
      <c r="AQ209" s="1164">
        <f t="shared" ref="AQ209:AQ228" si="215">AK209</f>
        <v>0.76388888888888851</v>
      </c>
      <c r="AR209" s="1164">
        <f t="shared" si="214"/>
        <v>0.77083333333333293</v>
      </c>
      <c r="AS209" s="1167">
        <f t="shared" si="188"/>
        <v>42779</v>
      </c>
      <c r="AT209" s="1166">
        <v>29.86</v>
      </c>
      <c r="AU209" s="1164">
        <f t="shared" ref="AU209:AU228" si="216">AR209</f>
        <v>0.77083333333333293</v>
      </c>
      <c r="AV209" s="1167">
        <f t="shared" si="190"/>
        <v>42779</v>
      </c>
      <c r="AW209" s="1164">
        <f t="shared" si="191"/>
        <v>0.79861111111111072</v>
      </c>
      <c r="AX209" s="1167">
        <f t="shared" si="192"/>
        <v>42779</v>
      </c>
      <c r="AY209" s="1166">
        <v>4.3</v>
      </c>
      <c r="AZ209" s="1166">
        <v>16</v>
      </c>
      <c r="BA209" s="1168">
        <f>VLOOKUP(B209,ĐTBT!$V:$W,2,0)</f>
        <v>2</v>
      </c>
      <c r="BB209" s="1168"/>
      <c r="BC209" s="1221">
        <v>42784</v>
      </c>
      <c r="BD209" s="1221">
        <v>42784</v>
      </c>
      <c r="BE209" s="1222">
        <f t="shared" si="195"/>
        <v>5</v>
      </c>
      <c r="BF209" s="1221">
        <f t="shared" si="198"/>
        <v>42789</v>
      </c>
      <c r="BG209" s="1221">
        <f t="shared" si="196"/>
        <v>42783</v>
      </c>
      <c r="BH209" s="1221">
        <f t="shared" si="197"/>
        <v>42788</v>
      </c>
      <c r="BJ209" s="1168">
        <f>VLOOKUP(B209,'Thong tin'!A:R,11,0)</f>
        <v>2</v>
      </c>
      <c r="BL209" s="1220">
        <v>42784</v>
      </c>
    </row>
    <row r="210" spans="1:71" s="1219" customFormat="1" ht="15">
      <c r="A210" s="1217">
        <f>IF(C210="","",COUNTA($C$13:C210))</f>
        <v>198</v>
      </c>
      <c r="B210" s="1163" t="s">
        <v>595</v>
      </c>
      <c r="C210" s="1164">
        <v>0.375</v>
      </c>
      <c r="D210" s="1164">
        <f t="shared" si="199"/>
        <v>0.39583333333333331</v>
      </c>
      <c r="E210" s="1165">
        <v>42780</v>
      </c>
      <c r="F210" s="1164">
        <f t="shared" si="200"/>
        <v>0.40277777777777773</v>
      </c>
      <c r="G210" s="1164">
        <f t="shared" si="201"/>
        <v>0.40624999999999994</v>
      </c>
      <c r="H210" s="1165">
        <f t="shared" ref="H210:H228" si="217">IF(G210&gt;2,E210+2,IF(G210&gt;1,E210+1,E210))</f>
        <v>42780</v>
      </c>
      <c r="I210" s="1166">
        <v>-1.2E-2</v>
      </c>
      <c r="J210" s="1166">
        <v>-2.5000000000000001E-2</v>
      </c>
      <c r="K210" s="1166">
        <v>-0.25900000000000001</v>
      </c>
      <c r="L210" s="1166">
        <v>-0.59099999999999997</v>
      </c>
      <c r="M210" s="1164">
        <f t="shared" si="202"/>
        <v>0.40972222222222215</v>
      </c>
      <c r="N210" s="1164">
        <f t="shared" si="203"/>
        <v>0.42013888888888884</v>
      </c>
      <c r="O210" s="1165">
        <f t="shared" ref="O210:O228" si="218">IF(N210&gt;2,E210+2,IF(N210&gt;1,E210+1,E210))</f>
        <v>42780</v>
      </c>
      <c r="P210" s="1166">
        <v>1.06</v>
      </c>
      <c r="Q210" s="1166">
        <v>9</v>
      </c>
      <c r="R210" s="1166">
        <v>23</v>
      </c>
      <c r="S210" s="1166">
        <v>0</v>
      </c>
      <c r="T210" s="1164">
        <f t="shared" si="204"/>
        <v>0.54513888888888884</v>
      </c>
      <c r="U210" s="1167">
        <f t="shared" ref="U210:U228" si="219">IF(T210&gt;2,E210+2,IF(T210&gt;1,E210+1,E210))</f>
        <v>42780</v>
      </c>
      <c r="V210" s="1166">
        <v>21.05</v>
      </c>
      <c r="W210" s="1164">
        <f t="shared" si="205"/>
        <v>0.67013888888888884</v>
      </c>
      <c r="X210" s="1167">
        <f t="shared" ref="X210:X228" si="220">IF(W210&gt;2,E210+2,IF(W210&gt;1,E210+1,E210))</f>
        <v>42780</v>
      </c>
      <c r="Y210" s="1166">
        <v>32.700000000000003</v>
      </c>
      <c r="Z210" s="1164">
        <f t="shared" si="206"/>
        <v>0.71180555555555547</v>
      </c>
      <c r="AA210" s="1164">
        <f t="shared" si="207"/>
        <v>0.73263888888888873</v>
      </c>
      <c r="AB210" s="1167">
        <f t="shared" ref="AB210:AB228" si="221">IF(AA210&gt;2,E210+2,IF(AA210&gt;1,E210+1,E210))</f>
        <v>42780</v>
      </c>
      <c r="AC210" s="1166">
        <v>32.700000000000003</v>
      </c>
      <c r="AD210" s="1164">
        <f t="shared" si="208"/>
        <v>0.73958333333333315</v>
      </c>
      <c r="AE210" s="1164">
        <f t="shared" si="209"/>
        <v>0.74999999999999978</v>
      </c>
      <c r="AF210" s="1167">
        <f t="shared" ref="AF210:AF228" si="222">IF(AE210&gt;2,E210+2,IF(AE210&gt;1,E210+1,E210))</f>
        <v>42780</v>
      </c>
      <c r="AG210" s="1164">
        <f t="shared" si="210"/>
        <v>0.7569444444444442</v>
      </c>
      <c r="AH210" s="1164">
        <f t="shared" si="211"/>
        <v>0.7881944444444442</v>
      </c>
      <c r="AI210" s="1167">
        <f t="shared" ref="AI210:AI228" si="223">IF(AH210&gt;2,E210+2,IF(AH210&gt;1,E210+1,E210))</f>
        <v>42780</v>
      </c>
      <c r="AJ210" s="1164">
        <f t="shared" si="212"/>
        <v>0.80902777777777746</v>
      </c>
      <c r="AK210" s="1164">
        <f t="shared" si="213"/>
        <v>0.81597222222222188</v>
      </c>
      <c r="AL210" s="1167">
        <f t="shared" ref="AL210:AL228" si="224">IF(AK210&gt;2,E210+2,IF(AK210&gt;1,E210+1,E210))</f>
        <v>42780</v>
      </c>
      <c r="AM210" s="1166">
        <v>1.06</v>
      </c>
      <c r="AN210" s="1166">
        <v>9</v>
      </c>
      <c r="AO210" s="1166">
        <v>26</v>
      </c>
      <c r="AP210" s="1166">
        <v>0</v>
      </c>
      <c r="AQ210" s="1164">
        <f t="shared" si="215"/>
        <v>0.81597222222222188</v>
      </c>
      <c r="AR210" s="1164">
        <f t="shared" si="214"/>
        <v>0.8229166666666663</v>
      </c>
      <c r="AS210" s="1167">
        <f t="shared" ref="AS210:AS228" si="225">IF(AR210&gt;2,E210+2,IF(AR210&gt;1,E210+1,E210))</f>
        <v>42780</v>
      </c>
      <c r="AT210" s="1166">
        <v>32.700000000000003</v>
      </c>
      <c r="AU210" s="1164">
        <f t="shared" si="216"/>
        <v>0.8229166666666663</v>
      </c>
      <c r="AV210" s="1167">
        <f t="shared" ref="AV210:AV228" si="226">IF(AU210&gt;2,E210+2,IF(AU210&gt;1,E210+1,E210))</f>
        <v>42780</v>
      </c>
      <c r="AW210" s="1164">
        <f t="shared" ref="AW210:AW228" si="227">AU210+$BC$13*BA210</f>
        <v>0.86458333333333293</v>
      </c>
      <c r="AX210" s="1167">
        <f t="shared" ref="AX210:AX228" si="228">IF(AW210&gt;2,E210+2,IF(AW210&gt;1,E210+1,E210))</f>
        <v>42780</v>
      </c>
      <c r="AY210" s="1166">
        <v>6.5</v>
      </c>
      <c r="AZ210" s="1166">
        <v>34</v>
      </c>
      <c r="BA210" s="1168">
        <f>VLOOKUP(B210,ĐTBT!$V:$W,2,0)</f>
        <v>3</v>
      </c>
      <c r="BB210" s="1168"/>
      <c r="BC210" s="1221">
        <v>42784</v>
      </c>
      <c r="BD210" s="1221">
        <v>42784</v>
      </c>
      <c r="BE210" s="1222">
        <f t="shared" si="195"/>
        <v>4</v>
      </c>
      <c r="BF210" s="1221">
        <f t="shared" si="198"/>
        <v>42788</v>
      </c>
      <c r="BG210" s="1221">
        <f t="shared" si="196"/>
        <v>42783</v>
      </c>
      <c r="BH210" s="1221">
        <f t="shared" si="197"/>
        <v>42787</v>
      </c>
      <c r="BJ210" s="1168">
        <f>VLOOKUP(B210,'Thong tin'!A:R,11,0)</f>
        <v>0</v>
      </c>
      <c r="BL210" s="1220">
        <v>42784</v>
      </c>
    </row>
    <row r="211" spans="1:71" s="1219" customFormat="1" ht="15">
      <c r="A211" s="1217">
        <f>IF(C211="","",COUNTA($C$13:C211))</f>
        <v>199</v>
      </c>
      <c r="B211" s="1163" t="s">
        <v>659</v>
      </c>
      <c r="C211" s="1164">
        <v>0.38194444444444442</v>
      </c>
      <c r="D211" s="1164">
        <f t="shared" si="199"/>
        <v>0.40277777777777773</v>
      </c>
      <c r="E211" s="1165">
        <v>42781</v>
      </c>
      <c r="F211" s="1164">
        <f t="shared" si="200"/>
        <v>0.40972222222222215</v>
      </c>
      <c r="G211" s="1164">
        <f t="shared" si="201"/>
        <v>0.41319444444444436</v>
      </c>
      <c r="H211" s="1165">
        <f t="shared" si="217"/>
        <v>42781</v>
      </c>
      <c r="I211" s="1166">
        <v>-2.1999999999999999E-2</v>
      </c>
      <c r="J211" s="1166">
        <v>-0.01</v>
      </c>
      <c r="K211" s="1166">
        <v>-0.432</v>
      </c>
      <c r="L211" s="1166">
        <v>-0.72</v>
      </c>
      <c r="M211" s="1164">
        <f t="shared" si="202"/>
        <v>0.41666666666666657</v>
      </c>
      <c r="N211" s="1164">
        <f t="shared" si="203"/>
        <v>0.42708333333333326</v>
      </c>
      <c r="O211" s="1165">
        <f t="shared" si="218"/>
        <v>42781</v>
      </c>
      <c r="P211" s="1166">
        <v>1.06</v>
      </c>
      <c r="Q211" s="1166">
        <v>9</v>
      </c>
      <c r="R211" s="1166">
        <v>26</v>
      </c>
      <c r="S211" s="1166">
        <v>0</v>
      </c>
      <c r="T211" s="1164">
        <f t="shared" si="204"/>
        <v>0.55208333333333326</v>
      </c>
      <c r="U211" s="1167">
        <f t="shared" si="219"/>
        <v>42781</v>
      </c>
      <c r="V211" s="1166">
        <v>19.84</v>
      </c>
      <c r="W211" s="1164">
        <f t="shared" si="205"/>
        <v>0.67708333333333326</v>
      </c>
      <c r="X211" s="1167">
        <f t="shared" si="220"/>
        <v>42781</v>
      </c>
      <c r="Y211" s="1164">
        <v>30.98</v>
      </c>
      <c r="Z211" s="1164">
        <f t="shared" si="206"/>
        <v>0.71874999999999989</v>
      </c>
      <c r="AA211" s="1164">
        <f t="shared" si="207"/>
        <v>0.73958333333333315</v>
      </c>
      <c r="AB211" s="1167">
        <f t="shared" si="221"/>
        <v>42781</v>
      </c>
      <c r="AC211" s="1164">
        <v>30.98</v>
      </c>
      <c r="AD211" s="1164">
        <f t="shared" si="208"/>
        <v>0.74652777777777757</v>
      </c>
      <c r="AE211" s="1164">
        <f t="shared" si="209"/>
        <v>0.7569444444444442</v>
      </c>
      <c r="AF211" s="1167">
        <f t="shared" si="222"/>
        <v>42781</v>
      </c>
      <c r="AG211" s="1164">
        <f t="shared" si="210"/>
        <v>0.76388888888888862</v>
      </c>
      <c r="AH211" s="1164">
        <f t="shared" si="211"/>
        <v>0.79513888888888862</v>
      </c>
      <c r="AI211" s="1167">
        <f t="shared" si="223"/>
        <v>42781</v>
      </c>
      <c r="AJ211" s="1164">
        <f t="shared" si="212"/>
        <v>0.81597222222222188</v>
      </c>
      <c r="AK211" s="1164">
        <f t="shared" si="213"/>
        <v>0.8229166666666663</v>
      </c>
      <c r="AL211" s="1167">
        <f t="shared" si="224"/>
        <v>42781</v>
      </c>
      <c r="AM211" s="1166">
        <v>1.05</v>
      </c>
      <c r="AN211" s="1166">
        <v>9</v>
      </c>
      <c r="AO211" s="1166">
        <v>24</v>
      </c>
      <c r="AP211" s="1166">
        <v>0</v>
      </c>
      <c r="AQ211" s="1164">
        <f t="shared" si="215"/>
        <v>0.8229166666666663</v>
      </c>
      <c r="AR211" s="1164">
        <f t="shared" si="214"/>
        <v>0.82986111111111072</v>
      </c>
      <c r="AS211" s="1167">
        <f t="shared" si="225"/>
        <v>42781</v>
      </c>
      <c r="AT211" s="1166">
        <v>30.98</v>
      </c>
      <c r="AU211" s="1164">
        <f t="shared" si="216"/>
        <v>0.82986111111111072</v>
      </c>
      <c r="AV211" s="1167">
        <f t="shared" si="226"/>
        <v>42781</v>
      </c>
      <c r="AW211" s="1164">
        <f t="shared" si="227"/>
        <v>0.87152777777777735</v>
      </c>
      <c r="AX211" s="1167">
        <f t="shared" si="228"/>
        <v>42781</v>
      </c>
      <c r="AY211" s="1166">
        <v>6.5</v>
      </c>
      <c r="AZ211" s="1166">
        <v>16</v>
      </c>
      <c r="BA211" s="1168">
        <f>VLOOKUP(B211,ĐTBT!$V:$W,2,0)</f>
        <v>3</v>
      </c>
      <c r="BB211" s="1168"/>
      <c r="BC211" s="1221">
        <v>42785</v>
      </c>
      <c r="BD211" s="1221">
        <v>42785</v>
      </c>
      <c r="BE211" s="1222">
        <f t="shared" si="195"/>
        <v>4</v>
      </c>
      <c r="BF211" s="1221">
        <f t="shared" si="198"/>
        <v>42789</v>
      </c>
      <c r="BG211" s="1221">
        <f t="shared" si="196"/>
        <v>42784</v>
      </c>
      <c r="BH211" s="1221">
        <f t="shared" si="197"/>
        <v>42788</v>
      </c>
      <c r="BJ211" s="1168">
        <f>VLOOKUP(B211,'Thong tin'!A:R,11,0)</f>
        <v>0</v>
      </c>
      <c r="BL211" s="1220">
        <v>42785</v>
      </c>
    </row>
    <row r="212" spans="1:71" s="1219" customFormat="1" ht="15">
      <c r="A212" s="1217">
        <f>IF(C212="","",COUNTA($C$13:C212))</f>
        <v>200</v>
      </c>
      <c r="B212" s="1163" t="s">
        <v>522</v>
      </c>
      <c r="C212" s="1164">
        <v>0.33680555555555558</v>
      </c>
      <c r="D212" s="1164">
        <f t="shared" si="199"/>
        <v>0.3576388888888889</v>
      </c>
      <c r="E212" s="1165">
        <v>42782</v>
      </c>
      <c r="F212" s="1164">
        <f t="shared" si="200"/>
        <v>0.36458333333333331</v>
      </c>
      <c r="G212" s="1164">
        <f t="shared" si="201"/>
        <v>0.36805555555555552</v>
      </c>
      <c r="H212" s="1165">
        <f t="shared" si="217"/>
        <v>42782</v>
      </c>
      <c r="I212" s="1166">
        <v>-5.0000000000000001E-3</v>
      </c>
      <c r="J212" s="1166">
        <v>2.3E-2</v>
      </c>
      <c r="K212" s="1166">
        <v>-0.02</v>
      </c>
      <c r="L212" s="1166">
        <v>-0.40200000000000002</v>
      </c>
      <c r="M212" s="1164">
        <f t="shared" si="202"/>
        <v>0.37152777777777773</v>
      </c>
      <c r="N212" s="1164">
        <f t="shared" si="203"/>
        <v>0.38194444444444442</v>
      </c>
      <c r="O212" s="1165">
        <f t="shared" si="218"/>
        <v>42782</v>
      </c>
      <c r="P212" s="1166">
        <v>1.06</v>
      </c>
      <c r="Q212" s="1166">
        <v>9</v>
      </c>
      <c r="R212" s="1166">
        <v>26</v>
      </c>
      <c r="S212" s="1166">
        <v>0</v>
      </c>
      <c r="T212" s="1164">
        <f t="shared" si="204"/>
        <v>0.50694444444444442</v>
      </c>
      <c r="U212" s="1167">
        <f t="shared" si="219"/>
        <v>42782</v>
      </c>
      <c r="V212" s="1166">
        <v>20.83</v>
      </c>
      <c r="W212" s="1164">
        <f t="shared" si="205"/>
        <v>0.63194444444444442</v>
      </c>
      <c r="X212" s="1167">
        <f t="shared" si="220"/>
        <v>42782</v>
      </c>
      <c r="Y212" s="1166">
        <v>38.79</v>
      </c>
      <c r="Z212" s="1164">
        <f t="shared" si="206"/>
        <v>0.67361111111111105</v>
      </c>
      <c r="AA212" s="1164">
        <f t="shared" si="207"/>
        <v>0.69444444444444431</v>
      </c>
      <c r="AB212" s="1167">
        <f t="shared" si="221"/>
        <v>42782</v>
      </c>
      <c r="AC212" s="1166">
        <v>38.79</v>
      </c>
      <c r="AD212" s="1164">
        <f t="shared" si="208"/>
        <v>0.70138888888888873</v>
      </c>
      <c r="AE212" s="1164">
        <f t="shared" si="209"/>
        <v>0.71180555555555536</v>
      </c>
      <c r="AF212" s="1167">
        <f t="shared" si="222"/>
        <v>42782</v>
      </c>
      <c r="AG212" s="1164">
        <f t="shared" si="210"/>
        <v>0.71874999999999978</v>
      </c>
      <c r="AH212" s="1164">
        <f t="shared" si="211"/>
        <v>0.76041666666666641</v>
      </c>
      <c r="AI212" s="1167">
        <f t="shared" si="223"/>
        <v>42782</v>
      </c>
      <c r="AJ212" s="1164">
        <f t="shared" si="212"/>
        <v>0.78124999999999967</v>
      </c>
      <c r="AK212" s="1164">
        <f t="shared" si="213"/>
        <v>0.78819444444444409</v>
      </c>
      <c r="AL212" s="1167">
        <f t="shared" si="224"/>
        <v>42782</v>
      </c>
      <c r="AM212" s="1166">
        <v>1.06</v>
      </c>
      <c r="AN212" s="1166">
        <v>9</v>
      </c>
      <c r="AO212" s="1166">
        <v>24</v>
      </c>
      <c r="AP212" s="1166">
        <v>0</v>
      </c>
      <c r="AQ212" s="1164">
        <f t="shared" si="215"/>
        <v>0.78819444444444409</v>
      </c>
      <c r="AR212" s="1164">
        <f t="shared" si="214"/>
        <v>0.79513888888888851</v>
      </c>
      <c r="AS212" s="1167">
        <f t="shared" si="225"/>
        <v>42782</v>
      </c>
      <c r="AT212" s="1166">
        <v>38.79</v>
      </c>
      <c r="AU212" s="1164">
        <f t="shared" si="216"/>
        <v>0.79513888888888851</v>
      </c>
      <c r="AV212" s="1167">
        <f t="shared" si="226"/>
        <v>42782</v>
      </c>
      <c r="AW212" s="1164">
        <f t="shared" si="227"/>
        <v>0.85069444444444409</v>
      </c>
      <c r="AX212" s="1167">
        <f t="shared" si="228"/>
        <v>42782</v>
      </c>
      <c r="AY212" s="1166">
        <v>6.8</v>
      </c>
      <c r="AZ212" s="1166">
        <v>39.5</v>
      </c>
      <c r="BA212" s="1168">
        <f>VLOOKUP(B212,ĐTBT!$V:$W,2,0)</f>
        <v>4</v>
      </c>
      <c r="BB212" s="1168"/>
      <c r="BC212" s="1221">
        <v>42785</v>
      </c>
      <c r="BD212" s="1221">
        <v>42785</v>
      </c>
      <c r="BE212" s="1222">
        <f t="shared" si="195"/>
        <v>3</v>
      </c>
      <c r="BF212" s="1221">
        <f t="shared" si="198"/>
        <v>42788</v>
      </c>
      <c r="BG212" s="1221">
        <f t="shared" si="196"/>
        <v>42784</v>
      </c>
      <c r="BH212" s="1221">
        <f t="shared" si="197"/>
        <v>42787</v>
      </c>
      <c r="BJ212" s="1168">
        <f>VLOOKUP(B212,'Thong tin'!A:R,11,0)</f>
        <v>4</v>
      </c>
      <c r="BL212" s="1220">
        <v>42785</v>
      </c>
      <c r="BS212" s="1219">
        <f>216-60</f>
        <v>156</v>
      </c>
    </row>
    <row r="213" spans="1:71" s="1219" customFormat="1" ht="15">
      <c r="A213" s="1217">
        <f>IF(C213="","",COUNTA($C$13:C213))</f>
        <v>201</v>
      </c>
      <c r="B213" s="1163" t="s">
        <v>701</v>
      </c>
      <c r="C213" s="1164">
        <v>0.38541666666666669</v>
      </c>
      <c r="D213" s="1164">
        <f t="shared" si="199"/>
        <v>0.40625</v>
      </c>
      <c r="E213" s="1165">
        <v>42783</v>
      </c>
      <c r="F213" s="1164">
        <f t="shared" si="200"/>
        <v>0.41319444444444442</v>
      </c>
      <c r="G213" s="1164">
        <f t="shared" si="201"/>
        <v>0.41666666666666663</v>
      </c>
      <c r="H213" s="1165">
        <f t="shared" si="217"/>
        <v>42783</v>
      </c>
      <c r="I213" s="1166">
        <v>1.7999999999999999E-2</v>
      </c>
      <c r="J213" s="1166">
        <v>-1.4E-2</v>
      </c>
      <c r="K213" s="1166">
        <v>-0.79600000000000004</v>
      </c>
      <c r="L213" s="1166">
        <v>-0.95599999999999996</v>
      </c>
      <c r="M213" s="1164">
        <f t="shared" si="202"/>
        <v>0.42013888888888884</v>
      </c>
      <c r="N213" s="1164">
        <f t="shared" si="203"/>
        <v>0.43055555555555552</v>
      </c>
      <c r="O213" s="1165">
        <f t="shared" si="218"/>
        <v>42783</v>
      </c>
      <c r="P213" s="1166">
        <v>1.06</v>
      </c>
      <c r="Q213" s="1166">
        <v>9</v>
      </c>
      <c r="R213" s="1166">
        <v>26</v>
      </c>
      <c r="S213" s="1166">
        <v>0</v>
      </c>
      <c r="T213" s="1164">
        <f t="shared" si="204"/>
        <v>0.55555555555555558</v>
      </c>
      <c r="U213" s="1167">
        <f t="shared" si="219"/>
        <v>42783</v>
      </c>
      <c r="V213" s="1166">
        <v>21.54</v>
      </c>
      <c r="W213" s="1164">
        <f t="shared" si="205"/>
        <v>0.68055555555555558</v>
      </c>
      <c r="X213" s="1167">
        <f t="shared" si="220"/>
        <v>42783</v>
      </c>
      <c r="Y213" s="1166">
        <v>28.24</v>
      </c>
      <c r="Z213" s="1164">
        <f t="shared" si="206"/>
        <v>0.72222222222222221</v>
      </c>
      <c r="AA213" s="1164">
        <f t="shared" si="207"/>
        <v>0.74305555555555547</v>
      </c>
      <c r="AB213" s="1167">
        <f t="shared" si="221"/>
        <v>42783</v>
      </c>
      <c r="AC213" s="1166">
        <v>28.31</v>
      </c>
      <c r="AD213" s="1164">
        <f t="shared" si="208"/>
        <v>0.74999999999999989</v>
      </c>
      <c r="AE213" s="1164">
        <f t="shared" si="209"/>
        <v>0.76041666666666652</v>
      </c>
      <c r="AF213" s="1167">
        <f t="shared" si="222"/>
        <v>42783</v>
      </c>
      <c r="AG213" s="1164">
        <f t="shared" si="210"/>
        <v>0.76736111111111094</v>
      </c>
      <c r="AH213" s="1164">
        <f t="shared" si="211"/>
        <v>0.79861111111111094</v>
      </c>
      <c r="AI213" s="1167">
        <f t="shared" si="223"/>
        <v>42783</v>
      </c>
      <c r="AJ213" s="1164">
        <f t="shared" si="212"/>
        <v>0.8194444444444442</v>
      </c>
      <c r="AK213" s="1164">
        <f t="shared" si="213"/>
        <v>0.82638888888888862</v>
      </c>
      <c r="AL213" s="1167">
        <f t="shared" si="224"/>
        <v>42783</v>
      </c>
      <c r="AM213" s="1166">
        <v>1.06</v>
      </c>
      <c r="AN213" s="1166">
        <v>9</v>
      </c>
      <c r="AO213" s="1166">
        <v>26</v>
      </c>
      <c r="AP213" s="1166">
        <v>0</v>
      </c>
      <c r="AQ213" s="1164">
        <f t="shared" si="215"/>
        <v>0.82638888888888862</v>
      </c>
      <c r="AR213" s="1164">
        <f t="shared" si="214"/>
        <v>0.83333333333333304</v>
      </c>
      <c r="AS213" s="1167">
        <f t="shared" si="225"/>
        <v>42783</v>
      </c>
      <c r="AT213" s="1166">
        <v>28.31</v>
      </c>
      <c r="AU213" s="1164">
        <f t="shared" si="216"/>
        <v>0.83333333333333304</v>
      </c>
      <c r="AV213" s="1167">
        <f t="shared" si="226"/>
        <v>42783</v>
      </c>
      <c r="AW213" s="1164">
        <f t="shared" si="227"/>
        <v>0.86111111111111083</v>
      </c>
      <c r="AX213" s="1167">
        <f t="shared" si="228"/>
        <v>42783</v>
      </c>
      <c r="AY213" s="1166">
        <v>4</v>
      </c>
      <c r="AZ213" s="1166">
        <v>15</v>
      </c>
      <c r="BA213" s="1168">
        <f>VLOOKUP(B213,ĐTBT!$V:$W,2,0)</f>
        <v>2</v>
      </c>
      <c r="BB213" s="1168"/>
      <c r="BC213" s="1221">
        <v>42786</v>
      </c>
      <c r="BD213" s="1221">
        <v>42786</v>
      </c>
      <c r="BE213" s="1222">
        <f t="shared" si="195"/>
        <v>3</v>
      </c>
      <c r="BF213" s="1221">
        <f t="shared" si="198"/>
        <v>42789</v>
      </c>
      <c r="BG213" s="1221">
        <f t="shared" si="196"/>
        <v>42785</v>
      </c>
      <c r="BH213" s="1221">
        <f t="shared" si="197"/>
        <v>42788</v>
      </c>
      <c r="BJ213" s="1168">
        <f>VLOOKUP(B213,'Thong tin'!A:R,11,0)</f>
        <v>0</v>
      </c>
      <c r="BL213" s="1220">
        <v>42786</v>
      </c>
    </row>
    <row r="214" spans="1:71" s="1219" customFormat="1" ht="15">
      <c r="A214" s="1217">
        <f>IF(C214="","",COUNTA($C$13:C214))</f>
        <v>202</v>
      </c>
      <c r="B214" s="1163" t="s">
        <v>663</v>
      </c>
      <c r="C214" s="1164">
        <v>0.39583333333333331</v>
      </c>
      <c r="D214" s="1164">
        <f t="shared" si="199"/>
        <v>0.41666666666666663</v>
      </c>
      <c r="E214" s="1165">
        <v>42784</v>
      </c>
      <c r="F214" s="1164">
        <f t="shared" si="200"/>
        <v>0.42361111111111105</v>
      </c>
      <c r="G214" s="1164">
        <f t="shared" si="201"/>
        <v>0.42708333333333326</v>
      </c>
      <c r="H214" s="1165">
        <f t="shared" si="217"/>
        <v>42784</v>
      </c>
      <c r="I214" s="1166">
        <v>8.0000000000000002E-3</v>
      </c>
      <c r="J214" s="1166">
        <v>-1.4E-2</v>
      </c>
      <c r="K214" s="1166">
        <v>-0.67800000000000005</v>
      </c>
      <c r="L214" s="1166">
        <v>-0.98899999999999999</v>
      </c>
      <c r="M214" s="1164">
        <f t="shared" si="202"/>
        <v>0.43055555555555547</v>
      </c>
      <c r="N214" s="1164">
        <f t="shared" si="203"/>
        <v>0.44097222222222215</v>
      </c>
      <c r="O214" s="1165">
        <f t="shared" si="218"/>
        <v>42784</v>
      </c>
      <c r="P214" s="1166">
        <v>1.06</v>
      </c>
      <c r="Q214" s="1166">
        <v>9</v>
      </c>
      <c r="R214" s="1166">
        <v>25</v>
      </c>
      <c r="S214" s="1166">
        <v>0</v>
      </c>
      <c r="T214" s="1164">
        <f t="shared" si="204"/>
        <v>0.5659722222222221</v>
      </c>
      <c r="U214" s="1167">
        <f t="shared" si="219"/>
        <v>42784</v>
      </c>
      <c r="V214" s="1166">
        <v>19.239999999999998</v>
      </c>
      <c r="W214" s="1164">
        <f t="shared" si="205"/>
        <v>0.6909722222222221</v>
      </c>
      <c r="X214" s="1167">
        <f t="shared" si="220"/>
        <v>42784</v>
      </c>
      <c r="Y214" s="1166">
        <v>26.45</v>
      </c>
      <c r="Z214" s="1164">
        <f t="shared" si="206"/>
        <v>0.73263888888888873</v>
      </c>
      <c r="AA214" s="1164">
        <f t="shared" si="207"/>
        <v>0.75347222222222199</v>
      </c>
      <c r="AB214" s="1167">
        <f t="shared" si="221"/>
        <v>42784</v>
      </c>
      <c r="AC214" s="1166">
        <v>26.45</v>
      </c>
      <c r="AD214" s="1164">
        <f t="shared" si="208"/>
        <v>0.76041666666666641</v>
      </c>
      <c r="AE214" s="1164">
        <f t="shared" si="209"/>
        <v>0.77083333333333304</v>
      </c>
      <c r="AF214" s="1167">
        <f t="shared" si="222"/>
        <v>42784</v>
      </c>
      <c r="AG214" s="1164">
        <f t="shared" si="210"/>
        <v>0.77777777777777746</v>
      </c>
      <c r="AH214" s="1164">
        <f t="shared" si="211"/>
        <v>0.81944444444444409</v>
      </c>
      <c r="AI214" s="1167">
        <f t="shared" si="223"/>
        <v>42784</v>
      </c>
      <c r="AJ214" s="1164">
        <f t="shared" si="212"/>
        <v>0.84027777777777735</v>
      </c>
      <c r="AK214" s="1164">
        <f t="shared" si="213"/>
        <v>0.84722222222222177</v>
      </c>
      <c r="AL214" s="1167">
        <f t="shared" si="224"/>
        <v>42784</v>
      </c>
      <c r="AM214" s="1166">
        <v>1.06</v>
      </c>
      <c r="AN214" s="1166">
        <v>9</v>
      </c>
      <c r="AO214" s="1166">
        <v>23</v>
      </c>
      <c r="AP214" s="1166">
        <v>0</v>
      </c>
      <c r="AQ214" s="1164">
        <f t="shared" si="215"/>
        <v>0.84722222222222177</v>
      </c>
      <c r="AR214" s="1164">
        <f t="shared" si="214"/>
        <v>0.85416666666666619</v>
      </c>
      <c r="AS214" s="1167">
        <f t="shared" si="225"/>
        <v>42784</v>
      </c>
      <c r="AT214" s="1166">
        <v>26.45</v>
      </c>
      <c r="AU214" s="1164">
        <f t="shared" si="216"/>
        <v>0.85416666666666619</v>
      </c>
      <c r="AV214" s="1167">
        <f t="shared" si="226"/>
        <v>42784</v>
      </c>
      <c r="AW214" s="1164">
        <f t="shared" si="227"/>
        <v>0.86805555555555503</v>
      </c>
      <c r="AX214" s="1167">
        <f t="shared" si="228"/>
        <v>42784</v>
      </c>
      <c r="AY214" s="1166">
        <v>6.3</v>
      </c>
      <c r="AZ214" s="1166">
        <v>13</v>
      </c>
      <c r="BA214" s="1168">
        <f>VLOOKUP(B214,ĐTBT!$V:$W,2,0)</f>
        <v>1</v>
      </c>
      <c r="BB214" s="1168"/>
      <c r="BC214" s="1221">
        <v>42786</v>
      </c>
      <c r="BD214" s="1221">
        <v>42786</v>
      </c>
      <c r="BE214" s="1222">
        <f t="shared" si="195"/>
        <v>2</v>
      </c>
      <c r="BF214" s="1221">
        <f t="shared" si="198"/>
        <v>42788</v>
      </c>
      <c r="BG214" s="1221">
        <f t="shared" si="196"/>
        <v>42785</v>
      </c>
      <c r="BH214" s="1221">
        <f t="shared" si="197"/>
        <v>42787</v>
      </c>
      <c r="BJ214" s="1168">
        <f>VLOOKUP(B214,'Thong tin'!A:R,11,0)</f>
        <v>3</v>
      </c>
      <c r="BL214" s="1220">
        <v>42786</v>
      </c>
    </row>
    <row r="215" spans="1:71" s="1219" customFormat="1" ht="15">
      <c r="A215" s="1217">
        <f>IF(C215="","",COUNTA($C$13:C215))</f>
        <v>203</v>
      </c>
      <c r="B215" s="1163" t="s">
        <v>697</v>
      </c>
      <c r="C215" s="1164">
        <v>0.29166666666666669</v>
      </c>
      <c r="D215" s="1164">
        <f t="shared" si="199"/>
        <v>0.3125</v>
      </c>
      <c r="E215" s="1165">
        <v>42785</v>
      </c>
      <c r="F215" s="1164">
        <f t="shared" si="200"/>
        <v>0.31944444444444442</v>
      </c>
      <c r="G215" s="1164">
        <f t="shared" si="201"/>
        <v>0.32291666666666663</v>
      </c>
      <c r="H215" s="1165">
        <f t="shared" si="217"/>
        <v>42785</v>
      </c>
      <c r="I215" s="1166">
        <v>-2E-3</v>
      </c>
      <c r="J215" s="1166">
        <v>1.7999999999999999E-2</v>
      </c>
      <c r="K215" s="1166">
        <v>-0.53200000000000003</v>
      </c>
      <c r="L215" s="1166">
        <v>-0.77300000000000002</v>
      </c>
      <c r="M215" s="1164">
        <f t="shared" si="202"/>
        <v>0.32638888888888884</v>
      </c>
      <c r="N215" s="1164">
        <f t="shared" si="203"/>
        <v>0.33680555555555552</v>
      </c>
      <c r="O215" s="1165">
        <f t="shared" si="218"/>
        <v>42785</v>
      </c>
      <c r="P215" s="1166">
        <v>1.06</v>
      </c>
      <c r="Q215" s="1166">
        <v>9</v>
      </c>
      <c r="R215" s="1166">
        <v>26</v>
      </c>
      <c r="S215" s="1166">
        <v>0</v>
      </c>
      <c r="T215" s="1164">
        <f t="shared" si="204"/>
        <v>0.46180555555555552</v>
      </c>
      <c r="U215" s="1167">
        <f t="shared" si="219"/>
        <v>42785</v>
      </c>
      <c r="V215" s="1166">
        <v>20.53</v>
      </c>
      <c r="W215" s="1164">
        <f t="shared" si="205"/>
        <v>0.58680555555555558</v>
      </c>
      <c r="X215" s="1167">
        <f t="shared" si="220"/>
        <v>42785</v>
      </c>
      <c r="Y215" s="1166">
        <v>29.55</v>
      </c>
      <c r="Z215" s="1164">
        <f t="shared" si="206"/>
        <v>0.62847222222222221</v>
      </c>
      <c r="AA215" s="1164">
        <f t="shared" si="207"/>
        <v>0.64930555555555547</v>
      </c>
      <c r="AB215" s="1167">
        <f t="shared" si="221"/>
        <v>42785</v>
      </c>
      <c r="AC215" s="1166">
        <v>29.55</v>
      </c>
      <c r="AD215" s="1164">
        <f t="shared" si="208"/>
        <v>0.65624999999999989</v>
      </c>
      <c r="AE215" s="1164">
        <f t="shared" si="209"/>
        <v>0.66666666666666652</v>
      </c>
      <c r="AF215" s="1167">
        <f t="shared" si="222"/>
        <v>42785</v>
      </c>
      <c r="AG215" s="1164">
        <f t="shared" si="210"/>
        <v>0.67361111111111094</v>
      </c>
      <c r="AH215" s="1164">
        <f t="shared" si="211"/>
        <v>0.70486111111111094</v>
      </c>
      <c r="AI215" s="1167">
        <f t="shared" si="223"/>
        <v>42785</v>
      </c>
      <c r="AJ215" s="1164">
        <f t="shared" si="212"/>
        <v>0.7256944444444442</v>
      </c>
      <c r="AK215" s="1164">
        <f t="shared" si="213"/>
        <v>0.73263888888888862</v>
      </c>
      <c r="AL215" s="1167">
        <f t="shared" si="224"/>
        <v>42785</v>
      </c>
      <c r="AM215" s="1166">
        <v>1.06</v>
      </c>
      <c r="AN215" s="1166">
        <v>9</v>
      </c>
      <c r="AO215" s="1166">
        <v>22</v>
      </c>
      <c r="AP215" s="1166">
        <v>0</v>
      </c>
      <c r="AQ215" s="1164">
        <f t="shared" si="215"/>
        <v>0.73263888888888862</v>
      </c>
      <c r="AR215" s="1164">
        <f t="shared" si="214"/>
        <v>0.73958333333333304</v>
      </c>
      <c r="AS215" s="1167">
        <f t="shared" si="225"/>
        <v>42785</v>
      </c>
      <c r="AT215" s="1166">
        <v>29.55</v>
      </c>
      <c r="AU215" s="1164">
        <f t="shared" si="216"/>
        <v>0.73958333333333304</v>
      </c>
      <c r="AV215" s="1167">
        <f t="shared" si="226"/>
        <v>42785</v>
      </c>
      <c r="AW215" s="1164">
        <f t="shared" si="227"/>
        <v>0.75347222222222188</v>
      </c>
      <c r="AX215" s="1167">
        <f t="shared" si="228"/>
        <v>42785</v>
      </c>
      <c r="AY215" s="1166">
        <v>4.5</v>
      </c>
      <c r="AZ215" s="1166">
        <v>13</v>
      </c>
      <c r="BA215" s="1168">
        <f>VLOOKUP(B215,ĐTBT!$V:$W,2,0)</f>
        <v>1</v>
      </c>
      <c r="BB215" s="1168"/>
      <c r="BC215" s="1221"/>
      <c r="BD215" s="1221"/>
      <c r="BE215" s="1222"/>
      <c r="BF215" s="1221"/>
      <c r="BG215" s="1221"/>
      <c r="BH215" s="1221"/>
      <c r="BJ215" s="1168"/>
      <c r="BL215" s="1220"/>
    </row>
    <row r="216" spans="1:71" s="1219" customFormat="1" ht="15">
      <c r="A216" s="1217">
        <f>IF(C216="","",COUNTA($C$13:C216))</f>
        <v>204</v>
      </c>
      <c r="B216" s="1163" t="s">
        <v>600</v>
      </c>
      <c r="C216" s="1164">
        <v>0.3125</v>
      </c>
      <c r="D216" s="1164">
        <f t="shared" si="199"/>
        <v>0.33333333333333331</v>
      </c>
      <c r="E216" s="1165">
        <v>42786</v>
      </c>
      <c r="F216" s="1164">
        <f t="shared" si="200"/>
        <v>0.34027777777777773</v>
      </c>
      <c r="G216" s="1164">
        <f t="shared" si="201"/>
        <v>0.34374999999999994</v>
      </c>
      <c r="H216" s="1165">
        <f t="shared" si="217"/>
        <v>42786</v>
      </c>
      <c r="I216" s="1166">
        <v>-1.9E-2</v>
      </c>
      <c r="J216" s="1166">
        <v>-1.6E-2</v>
      </c>
      <c r="K216" s="1166">
        <v>-0.22600000000000001</v>
      </c>
      <c r="L216" s="1166">
        <v>-0.55600000000000005</v>
      </c>
      <c r="M216" s="1164">
        <f t="shared" si="202"/>
        <v>0.34722222222222215</v>
      </c>
      <c r="N216" s="1164">
        <f t="shared" si="203"/>
        <v>0.35763888888888884</v>
      </c>
      <c r="O216" s="1165">
        <f t="shared" si="218"/>
        <v>42786</v>
      </c>
      <c r="P216" s="1166">
        <v>1.06</v>
      </c>
      <c r="Q216" s="1166">
        <v>9</v>
      </c>
      <c r="R216" s="1166">
        <v>25</v>
      </c>
      <c r="S216" s="1166">
        <v>0</v>
      </c>
      <c r="T216" s="1164">
        <f t="shared" si="204"/>
        <v>0.48263888888888884</v>
      </c>
      <c r="U216" s="1167">
        <f t="shared" si="219"/>
        <v>42786</v>
      </c>
      <c r="V216" s="1166">
        <v>21.52</v>
      </c>
      <c r="W216" s="1164">
        <f t="shared" si="205"/>
        <v>0.60763888888888884</v>
      </c>
      <c r="X216" s="1167">
        <f t="shared" si="220"/>
        <v>42786</v>
      </c>
      <c r="Y216" s="1166">
        <v>44.8</v>
      </c>
      <c r="Z216" s="1164">
        <f t="shared" si="206"/>
        <v>0.64930555555555547</v>
      </c>
      <c r="AA216" s="1164">
        <f t="shared" si="207"/>
        <v>0.67013888888888873</v>
      </c>
      <c r="AB216" s="1167">
        <f t="shared" si="221"/>
        <v>42786</v>
      </c>
      <c r="AC216" s="1166">
        <v>44.8</v>
      </c>
      <c r="AD216" s="1164">
        <f t="shared" si="208"/>
        <v>0.67708333333333315</v>
      </c>
      <c r="AE216" s="1164">
        <f t="shared" si="209"/>
        <v>0.68749999999999978</v>
      </c>
      <c r="AF216" s="1167">
        <f t="shared" si="222"/>
        <v>42786</v>
      </c>
      <c r="AG216" s="1164">
        <f t="shared" si="210"/>
        <v>0.6944444444444442</v>
      </c>
      <c r="AH216" s="1164">
        <f t="shared" si="211"/>
        <v>0.7256944444444442</v>
      </c>
      <c r="AI216" s="1167">
        <f t="shared" si="223"/>
        <v>42786</v>
      </c>
      <c r="AJ216" s="1164">
        <f t="shared" si="212"/>
        <v>0.74652777777777746</v>
      </c>
      <c r="AK216" s="1164">
        <f t="shared" si="213"/>
        <v>0.75347222222222188</v>
      </c>
      <c r="AL216" s="1167">
        <f t="shared" si="224"/>
        <v>42786</v>
      </c>
      <c r="AM216" s="1166">
        <v>1.06</v>
      </c>
      <c r="AN216" s="1166">
        <v>9</v>
      </c>
      <c r="AO216" s="1166">
        <v>25</v>
      </c>
      <c r="AP216" s="1166">
        <v>0</v>
      </c>
      <c r="AQ216" s="1164">
        <f t="shared" si="215"/>
        <v>0.75347222222222188</v>
      </c>
      <c r="AR216" s="1164">
        <f t="shared" si="214"/>
        <v>0.7604166666666663</v>
      </c>
      <c r="AS216" s="1167">
        <f t="shared" si="225"/>
        <v>42786</v>
      </c>
      <c r="AT216" s="1166">
        <v>44.8</v>
      </c>
      <c r="AU216" s="1164">
        <f t="shared" si="216"/>
        <v>0.7604166666666663</v>
      </c>
      <c r="AV216" s="1167">
        <f t="shared" si="226"/>
        <v>42786</v>
      </c>
      <c r="AW216" s="1164">
        <f t="shared" si="227"/>
        <v>0.82986111111111072</v>
      </c>
      <c r="AX216" s="1167">
        <f t="shared" si="228"/>
        <v>42786</v>
      </c>
      <c r="AY216" s="1166">
        <v>6.5</v>
      </c>
      <c r="AZ216" s="1166">
        <v>50.5</v>
      </c>
      <c r="BA216" s="1168">
        <f>VLOOKUP(B216,ĐTBT!$V:$W,2,0)</f>
        <v>5</v>
      </c>
      <c r="BB216" s="1168"/>
      <c r="BC216" s="1221"/>
      <c r="BD216" s="1221"/>
      <c r="BE216" s="1222"/>
      <c r="BF216" s="1221"/>
      <c r="BG216" s="1221"/>
      <c r="BH216" s="1221"/>
      <c r="BJ216" s="1168"/>
      <c r="BL216" s="1220"/>
    </row>
    <row r="217" spans="1:71" s="1219" customFormat="1" ht="15">
      <c r="A217" s="1217">
        <f>IF(C217="","",COUNTA($C$13:C217))</f>
        <v>205</v>
      </c>
      <c r="B217" s="1163" t="s">
        <v>667</v>
      </c>
      <c r="C217" s="1164">
        <v>0.31597222222222221</v>
      </c>
      <c r="D217" s="1164">
        <f t="shared" si="199"/>
        <v>0.33680555555555552</v>
      </c>
      <c r="E217" s="1165">
        <v>42787</v>
      </c>
      <c r="F217" s="1164">
        <f t="shared" si="200"/>
        <v>0.34374999999999994</v>
      </c>
      <c r="G217" s="1164">
        <f t="shared" si="201"/>
        <v>0.34722222222222215</v>
      </c>
      <c r="H217" s="1165">
        <f t="shared" si="217"/>
        <v>42787</v>
      </c>
      <c r="I217" s="1166">
        <v>-2E-3</v>
      </c>
      <c r="J217" s="1166">
        <v>2.5999999999999999E-2</v>
      </c>
      <c r="K217" s="1166">
        <v>-0.20200000000000001</v>
      </c>
      <c r="L217" s="1166">
        <v>-0.625</v>
      </c>
      <c r="M217" s="1164">
        <f t="shared" si="202"/>
        <v>0.35069444444444436</v>
      </c>
      <c r="N217" s="1164">
        <f t="shared" si="203"/>
        <v>0.36111111111111105</v>
      </c>
      <c r="O217" s="1165">
        <f t="shared" si="218"/>
        <v>42787</v>
      </c>
      <c r="P217" s="1166">
        <v>1.06</v>
      </c>
      <c r="Q217" s="1166">
        <v>9</v>
      </c>
      <c r="R217" s="1166">
        <v>25</v>
      </c>
      <c r="S217" s="1166">
        <v>0</v>
      </c>
      <c r="T217" s="1164">
        <f t="shared" si="204"/>
        <v>0.48611111111111105</v>
      </c>
      <c r="U217" s="1167">
        <f t="shared" si="219"/>
        <v>42787</v>
      </c>
      <c r="V217" s="1166">
        <v>22.22</v>
      </c>
      <c r="W217" s="1164">
        <f t="shared" si="205"/>
        <v>0.61111111111111105</v>
      </c>
      <c r="X217" s="1167">
        <f t="shared" si="220"/>
        <v>42787</v>
      </c>
      <c r="Y217" s="1166">
        <v>29.99</v>
      </c>
      <c r="Z217" s="1164">
        <f t="shared" si="206"/>
        <v>0.65277777777777768</v>
      </c>
      <c r="AA217" s="1164">
        <f t="shared" si="207"/>
        <v>0.67361111111111094</v>
      </c>
      <c r="AB217" s="1167">
        <f t="shared" si="221"/>
        <v>42787</v>
      </c>
      <c r="AC217" s="1166">
        <v>29.99</v>
      </c>
      <c r="AD217" s="1164">
        <f t="shared" si="208"/>
        <v>0.68055555555555536</v>
      </c>
      <c r="AE217" s="1164">
        <f t="shared" si="209"/>
        <v>0.69097222222222199</v>
      </c>
      <c r="AF217" s="1167">
        <f t="shared" si="222"/>
        <v>42787</v>
      </c>
      <c r="AG217" s="1164">
        <f t="shared" si="210"/>
        <v>0.69791666666666641</v>
      </c>
      <c r="AH217" s="1164">
        <f t="shared" si="211"/>
        <v>0.72916666666666641</v>
      </c>
      <c r="AI217" s="1167">
        <f t="shared" si="223"/>
        <v>42787</v>
      </c>
      <c r="AJ217" s="1164">
        <f t="shared" si="212"/>
        <v>0.74999999999999967</v>
      </c>
      <c r="AK217" s="1164">
        <f t="shared" si="213"/>
        <v>0.75694444444444409</v>
      </c>
      <c r="AL217" s="1167">
        <f t="shared" si="224"/>
        <v>42787</v>
      </c>
      <c r="AM217" s="1166">
        <v>1.06</v>
      </c>
      <c r="AN217" s="1166">
        <v>9</v>
      </c>
      <c r="AO217" s="1166">
        <v>23</v>
      </c>
      <c r="AP217" s="1166">
        <v>0</v>
      </c>
      <c r="AQ217" s="1164">
        <f t="shared" si="215"/>
        <v>0.75694444444444409</v>
      </c>
      <c r="AR217" s="1164">
        <f t="shared" si="214"/>
        <v>0.76388888888888851</v>
      </c>
      <c r="AS217" s="1167">
        <f t="shared" si="225"/>
        <v>42787</v>
      </c>
      <c r="AT217" s="1166">
        <v>29.99</v>
      </c>
      <c r="AU217" s="1164">
        <f t="shared" si="216"/>
        <v>0.76388888888888851</v>
      </c>
      <c r="AV217" s="1167">
        <f t="shared" si="226"/>
        <v>42787</v>
      </c>
      <c r="AW217" s="1164">
        <f t="shared" si="227"/>
        <v>0.7916666666666663</v>
      </c>
      <c r="AX217" s="1167">
        <f t="shared" si="228"/>
        <v>42787</v>
      </c>
      <c r="AY217" s="1166">
        <v>6.7</v>
      </c>
      <c r="AZ217" s="1166">
        <v>16</v>
      </c>
      <c r="BA217" s="1168">
        <f>VLOOKUP(B217,ĐTBT!$V:$W,2,0)</f>
        <v>2</v>
      </c>
      <c r="BB217" s="1168"/>
      <c r="BC217" s="1221"/>
      <c r="BD217" s="1221"/>
      <c r="BE217" s="1222"/>
      <c r="BF217" s="1221"/>
      <c r="BG217" s="1221"/>
      <c r="BH217" s="1221"/>
      <c r="BJ217" s="1168"/>
      <c r="BL217" s="1220"/>
    </row>
    <row r="218" spans="1:71" s="1219" customFormat="1" ht="15">
      <c r="A218" s="1217">
        <f>IF(C218="","",COUNTA($C$13:C218))</f>
        <v>206</v>
      </c>
      <c r="B218" s="1163" t="s">
        <v>615</v>
      </c>
      <c r="C218" s="1164">
        <v>0.31944444444444448</v>
      </c>
      <c r="D218" s="1164">
        <f t="shared" si="199"/>
        <v>0.34027777777777779</v>
      </c>
      <c r="E218" s="1165">
        <v>42788</v>
      </c>
      <c r="F218" s="1164">
        <f t="shared" si="200"/>
        <v>0.34722222222222221</v>
      </c>
      <c r="G218" s="1164">
        <f t="shared" si="201"/>
        <v>0.35069444444444442</v>
      </c>
      <c r="H218" s="1165">
        <f t="shared" si="217"/>
        <v>42788</v>
      </c>
      <c r="I218" s="1166">
        <v>-1.7000000000000001E-2</v>
      </c>
      <c r="J218" s="1166">
        <v>1.0999999999999999E-2</v>
      </c>
      <c r="K218" s="1166">
        <v>-0.30499999999999999</v>
      </c>
      <c r="L218" s="1166">
        <v>-0.55500000000000005</v>
      </c>
      <c r="M218" s="1164">
        <f t="shared" si="202"/>
        <v>0.35416666666666663</v>
      </c>
      <c r="N218" s="1164">
        <f t="shared" si="203"/>
        <v>0.36458333333333331</v>
      </c>
      <c r="O218" s="1165">
        <f t="shared" si="218"/>
        <v>42788</v>
      </c>
      <c r="P218" s="1166">
        <v>1.06</v>
      </c>
      <c r="Q218" s="1166">
        <v>9</v>
      </c>
      <c r="R218" s="1166">
        <v>23</v>
      </c>
      <c r="S218" s="1166">
        <v>0</v>
      </c>
      <c r="T218" s="1164">
        <f t="shared" si="204"/>
        <v>0.48958333333333331</v>
      </c>
      <c r="U218" s="1167">
        <f t="shared" si="219"/>
        <v>42788</v>
      </c>
      <c r="V218" s="1166">
        <v>20.55</v>
      </c>
      <c r="W218" s="1164">
        <f t="shared" si="205"/>
        <v>0.61458333333333326</v>
      </c>
      <c r="X218" s="1167">
        <f t="shared" si="220"/>
        <v>42788</v>
      </c>
      <c r="Y218" s="1166">
        <v>44.8</v>
      </c>
      <c r="Z218" s="1164">
        <f t="shared" si="206"/>
        <v>0.65624999999999989</v>
      </c>
      <c r="AA218" s="1164">
        <f t="shared" si="207"/>
        <v>0.67708333333333315</v>
      </c>
      <c r="AB218" s="1167">
        <f t="shared" si="221"/>
        <v>42788</v>
      </c>
      <c r="AC218" s="1166">
        <v>44.8</v>
      </c>
      <c r="AD218" s="1164">
        <f t="shared" si="208"/>
        <v>0.68402777777777757</v>
      </c>
      <c r="AE218" s="1164">
        <f t="shared" si="209"/>
        <v>0.6944444444444442</v>
      </c>
      <c r="AF218" s="1167">
        <f t="shared" si="222"/>
        <v>42788</v>
      </c>
      <c r="AG218" s="1164">
        <f t="shared" si="210"/>
        <v>0.70138888888888862</v>
      </c>
      <c r="AH218" s="1164">
        <f t="shared" si="211"/>
        <v>0.73263888888888862</v>
      </c>
      <c r="AI218" s="1167">
        <f t="shared" si="223"/>
        <v>42788</v>
      </c>
      <c r="AJ218" s="1164">
        <f t="shared" si="212"/>
        <v>0.75347222222222188</v>
      </c>
      <c r="AK218" s="1164">
        <f t="shared" si="213"/>
        <v>0.7604166666666663</v>
      </c>
      <c r="AL218" s="1167">
        <f t="shared" si="224"/>
        <v>42788</v>
      </c>
      <c r="AM218" s="1166">
        <v>1.06</v>
      </c>
      <c r="AN218" s="1166">
        <v>9</v>
      </c>
      <c r="AO218" s="1166">
        <v>23</v>
      </c>
      <c r="AP218" s="1166">
        <v>0</v>
      </c>
      <c r="AQ218" s="1164">
        <f t="shared" si="215"/>
        <v>0.7604166666666663</v>
      </c>
      <c r="AR218" s="1164">
        <f t="shared" si="214"/>
        <v>0.76736111111111072</v>
      </c>
      <c r="AS218" s="1167">
        <f t="shared" si="225"/>
        <v>42788</v>
      </c>
      <c r="AT218" s="1166">
        <v>44.8</v>
      </c>
      <c r="AU218" s="1164">
        <f t="shared" si="216"/>
        <v>0.76736111111111072</v>
      </c>
      <c r="AV218" s="1167">
        <f t="shared" si="226"/>
        <v>42788</v>
      </c>
      <c r="AW218" s="1164">
        <f t="shared" si="227"/>
        <v>0.83680555555555514</v>
      </c>
      <c r="AX218" s="1167">
        <f t="shared" si="228"/>
        <v>42788</v>
      </c>
      <c r="AY218" s="1166">
        <v>6.1</v>
      </c>
      <c r="AZ218" s="1166">
        <v>49</v>
      </c>
      <c r="BA218" s="1168">
        <f>VLOOKUP(B218,ĐTBT!$V:$W,2,0)</f>
        <v>5</v>
      </c>
      <c r="BB218" s="1168"/>
      <c r="BC218" s="1221"/>
      <c r="BD218" s="1221"/>
      <c r="BE218" s="1222"/>
      <c r="BF218" s="1221"/>
      <c r="BG218" s="1221"/>
      <c r="BH218" s="1221"/>
      <c r="BJ218" s="1168"/>
      <c r="BL218" s="1220"/>
    </row>
    <row r="219" spans="1:71" s="1219" customFormat="1" ht="15">
      <c r="A219" s="1217">
        <f>IF(C219="","",COUNTA($C$13:C219))</f>
        <v>207</v>
      </c>
      <c r="B219" s="1163" t="s">
        <v>621</v>
      </c>
      <c r="C219" s="1164">
        <v>0.39583333333333331</v>
      </c>
      <c r="D219" s="1164">
        <f t="shared" si="199"/>
        <v>0.41666666666666663</v>
      </c>
      <c r="E219" s="1165">
        <v>42789</v>
      </c>
      <c r="F219" s="1164">
        <f t="shared" si="200"/>
        <v>0.42361111111111105</v>
      </c>
      <c r="G219" s="1164">
        <f t="shared" si="201"/>
        <v>0.42708333333333326</v>
      </c>
      <c r="H219" s="1165">
        <f t="shared" si="217"/>
        <v>42789</v>
      </c>
      <c r="I219" s="1166">
        <v>8.0000000000000002E-3</v>
      </c>
      <c r="J219" s="1166">
        <v>2.4E-2</v>
      </c>
      <c r="K219" s="1166">
        <v>-0.22900000000000001</v>
      </c>
      <c r="L219" s="1166">
        <v>-0.502</v>
      </c>
      <c r="M219" s="1164">
        <f t="shared" si="202"/>
        <v>0.43055555555555547</v>
      </c>
      <c r="N219" s="1164">
        <f t="shared" si="203"/>
        <v>0.44097222222222215</v>
      </c>
      <c r="O219" s="1165">
        <f t="shared" si="218"/>
        <v>42789</v>
      </c>
      <c r="P219" s="1166">
        <v>1.06</v>
      </c>
      <c r="Q219" s="1166">
        <v>9</v>
      </c>
      <c r="R219" s="1166">
        <v>25</v>
      </c>
      <c r="S219" s="1166">
        <v>0</v>
      </c>
      <c r="T219" s="1164">
        <f t="shared" si="204"/>
        <v>0.5659722222222221</v>
      </c>
      <c r="U219" s="1167">
        <f t="shared" si="219"/>
        <v>42789</v>
      </c>
      <c r="V219" s="1166">
        <v>21.12</v>
      </c>
      <c r="W219" s="1164">
        <f t="shared" si="205"/>
        <v>0.6909722222222221</v>
      </c>
      <c r="X219" s="1167">
        <f t="shared" si="220"/>
        <v>42789</v>
      </c>
      <c r="Y219" s="1166">
        <v>32.61</v>
      </c>
      <c r="Z219" s="1164">
        <f t="shared" si="206"/>
        <v>0.73263888888888873</v>
      </c>
      <c r="AA219" s="1164">
        <f t="shared" si="207"/>
        <v>0.75347222222222199</v>
      </c>
      <c r="AB219" s="1167">
        <f t="shared" si="221"/>
        <v>42789</v>
      </c>
      <c r="AC219" s="1166">
        <v>32.619999999999997</v>
      </c>
      <c r="AD219" s="1164">
        <f t="shared" si="208"/>
        <v>0.76041666666666641</v>
      </c>
      <c r="AE219" s="1164">
        <f t="shared" si="209"/>
        <v>0.77083333333333304</v>
      </c>
      <c r="AF219" s="1167">
        <f t="shared" si="222"/>
        <v>42789</v>
      </c>
      <c r="AG219" s="1164">
        <f t="shared" si="210"/>
        <v>0.77777777777777746</v>
      </c>
      <c r="AH219" s="1164">
        <f t="shared" si="211"/>
        <v>0.80902777777777746</v>
      </c>
      <c r="AI219" s="1167">
        <f t="shared" si="223"/>
        <v>42789</v>
      </c>
      <c r="AJ219" s="1164">
        <f t="shared" si="212"/>
        <v>0.82986111111111072</v>
      </c>
      <c r="AK219" s="1164">
        <f t="shared" si="213"/>
        <v>0.83680555555555514</v>
      </c>
      <c r="AL219" s="1167">
        <f t="shared" si="224"/>
        <v>42789</v>
      </c>
      <c r="AM219" s="1166">
        <v>1.06</v>
      </c>
      <c r="AN219" s="1166">
        <v>9</v>
      </c>
      <c r="AO219" s="1166">
        <v>24</v>
      </c>
      <c r="AP219" s="1166">
        <v>0</v>
      </c>
      <c r="AQ219" s="1164">
        <f t="shared" si="215"/>
        <v>0.83680555555555514</v>
      </c>
      <c r="AR219" s="1164">
        <f t="shared" si="214"/>
        <v>0.84374999999999956</v>
      </c>
      <c r="AS219" s="1167">
        <f t="shared" si="225"/>
        <v>42789</v>
      </c>
      <c r="AT219" s="1166">
        <v>32.619999999999997</v>
      </c>
      <c r="AU219" s="1164">
        <f t="shared" si="216"/>
        <v>0.84374999999999956</v>
      </c>
      <c r="AV219" s="1167">
        <f t="shared" si="226"/>
        <v>42789</v>
      </c>
      <c r="AW219" s="1164">
        <f t="shared" si="227"/>
        <v>0.89930555555555514</v>
      </c>
      <c r="AX219" s="1167">
        <f t="shared" si="228"/>
        <v>42789</v>
      </c>
      <c r="AY219" s="1166">
        <v>6.4</v>
      </c>
      <c r="AZ219" s="1166">
        <v>40</v>
      </c>
      <c r="BA219" s="1168">
        <f>VLOOKUP(B219,ĐTBT!$V:$W,2,0)</f>
        <v>4</v>
      </c>
      <c r="BB219" s="1168"/>
      <c r="BC219" s="1221"/>
      <c r="BD219" s="1221"/>
      <c r="BE219" s="1222"/>
      <c r="BF219" s="1221"/>
      <c r="BG219" s="1221"/>
      <c r="BH219" s="1221"/>
      <c r="BJ219" s="1168"/>
      <c r="BL219" s="1220"/>
    </row>
    <row r="220" spans="1:71" s="1219" customFormat="1" ht="15">
      <c r="A220" s="1217">
        <f>IF(C220="","",COUNTA($C$13:C220))</f>
        <v>208</v>
      </c>
      <c r="B220" s="1163" t="s">
        <v>513</v>
      </c>
      <c r="C220" s="1164">
        <v>0.34722222222222227</v>
      </c>
      <c r="D220" s="1164">
        <f t="shared" si="199"/>
        <v>0.36805555555555558</v>
      </c>
      <c r="E220" s="1165">
        <v>42790</v>
      </c>
      <c r="F220" s="1164">
        <f t="shared" si="200"/>
        <v>0.375</v>
      </c>
      <c r="G220" s="1164">
        <f t="shared" si="201"/>
        <v>0.37847222222222221</v>
      </c>
      <c r="H220" s="1165">
        <f t="shared" si="217"/>
        <v>42790</v>
      </c>
      <c r="I220" s="1166">
        <v>-0.01</v>
      </c>
      <c r="J220" s="1166">
        <v>-2.4E-2</v>
      </c>
      <c r="K220" s="1166">
        <v>-0.442</v>
      </c>
      <c r="L220" s="1166">
        <v>-0.65200000000000002</v>
      </c>
      <c r="M220" s="1164">
        <f t="shared" si="202"/>
        <v>0.38194444444444442</v>
      </c>
      <c r="N220" s="1164">
        <f t="shared" si="203"/>
        <v>0.3923611111111111</v>
      </c>
      <c r="O220" s="1165">
        <f t="shared" si="218"/>
        <v>42790</v>
      </c>
      <c r="P220" s="1166">
        <v>1.06</v>
      </c>
      <c r="Q220" s="1166">
        <v>9</v>
      </c>
      <c r="R220" s="1166">
        <v>25</v>
      </c>
      <c r="S220" s="1166">
        <v>0</v>
      </c>
      <c r="T220" s="1164">
        <f t="shared" si="204"/>
        <v>0.51736111111111116</v>
      </c>
      <c r="U220" s="1167">
        <f t="shared" si="219"/>
        <v>42790</v>
      </c>
      <c r="V220" s="1166">
        <v>22.11</v>
      </c>
      <c r="W220" s="1164">
        <f t="shared" si="205"/>
        <v>0.64236111111111116</v>
      </c>
      <c r="X220" s="1167">
        <f t="shared" si="220"/>
        <v>42790</v>
      </c>
      <c r="Y220" s="1166">
        <v>32.409999999999997</v>
      </c>
      <c r="Z220" s="1164">
        <f t="shared" si="206"/>
        <v>0.68402777777777779</v>
      </c>
      <c r="AA220" s="1164">
        <f t="shared" si="207"/>
        <v>0.70486111111111105</v>
      </c>
      <c r="AB220" s="1167">
        <f t="shared" si="221"/>
        <v>42790</v>
      </c>
      <c r="AC220" s="1166">
        <v>32.409999999999997</v>
      </c>
      <c r="AD220" s="1164">
        <f t="shared" si="208"/>
        <v>0.71180555555555547</v>
      </c>
      <c r="AE220" s="1164">
        <f t="shared" si="209"/>
        <v>0.7222222222222221</v>
      </c>
      <c r="AF220" s="1167">
        <f t="shared" si="222"/>
        <v>42790</v>
      </c>
      <c r="AG220" s="1164">
        <f t="shared" si="210"/>
        <v>0.72916666666666652</v>
      </c>
      <c r="AH220" s="1164">
        <f t="shared" si="211"/>
        <v>0.76041666666666652</v>
      </c>
      <c r="AI220" s="1167">
        <f t="shared" si="223"/>
        <v>42790</v>
      </c>
      <c r="AJ220" s="1164">
        <f t="shared" si="212"/>
        <v>0.78124999999999978</v>
      </c>
      <c r="AK220" s="1164">
        <f t="shared" si="213"/>
        <v>0.7881944444444442</v>
      </c>
      <c r="AL220" s="1167">
        <f t="shared" si="224"/>
        <v>42790</v>
      </c>
      <c r="AM220" s="1166">
        <v>1.06</v>
      </c>
      <c r="AN220" s="1166">
        <v>9</v>
      </c>
      <c r="AO220" s="1166">
        <v>23</v>
      </c>
      <c r="AP220" s="1166">
        <v>0</v>
      </c>
      <c r="AQ220" s="1164">
        <f t="shared" si="215"/>
        <v>0.7881944444444442</v>
      </c>
      <c r="AR220" s="1164">
        <f t="shared" si="214"/>
        <v>0.79513888888888862</v>
      </c>
      <c r="AS220" s="1167">
        <f t="shared" si="225"/>
        <v>42790</v>
      </c>
      <c r="AT220" s="1166">
        <v>32.409999999999997</v>
      </c>
      <c r="AU220" s="1164">
        <f t="shared" si="216"/>
        <v>0.79513888888888862</v>
      </c>
      <c r="AV220" s="1167">
        <f t="shared" si="226"/>
        <v>42790</v>
      </c>
      <c r="AW220" s="1164">
        <f t="shared" si="227"/>
        <v>0.82291666666666641</v>
      </c>
      <c r="AX220" s="1167">
        <f t="shared" si="228"/>
        <v>42790</v>
      </c>
      <c r="AY220" s="1166">
        <v>4.5</v>
      </c>
      <c r="AZ220" s="1166">
        <v>17</v>
      </c>
      <c r="BA220" s="1168">
        <f>VLOOKUP(B220,ĐTBT!$V:$W,2,0)</f>
        <v>2</v>
      </c>
      <c r="BB220" s="1168"/>
      <c r="BC220" s="1221"/>
      <c r="BD220" s="1221"/>
      <c r="BE220" s="1222"/>
      <c r="BF220" s="1221"/>
      <c r="BG220" s="1221"/>
      <c r="BH220" s="1221"/>
      <c r="BJ220" s="1168"/>
      <c r="BL220" s="1220"/>
    </row>
    <row r="221" spans="1:71" s="1219" customFormat="1" ht="15">
      <c r="A221" s="1217">
        <f>IF(C221="","",COUNTA($C$13:C221))</f>
        <v>209</v>
      </c>
      <c r="B221" s="1163" t="s">
        <v>508</v>
      </c>
      <c r="C221" s="1164">
        <v>0.35416666666666669</v>
      </c>
      <c r="D221" s="1164">
        <f t="shared" si="199"/>
        <v>0.375</v>
      </c>
      <c r="E221" s="1165">
        <v>42791</v>
      </c>
      <c r="F221" s="1164">
        <f t="shared" si="200"/>
        <v>0.38194444444444442</v>
      </c>
      <c r="G221" s="1164">
        <f t="shared" si="201"/>
        <v>0.38541666666666663</v>
      </c>
      <c r="H221" s="1165">
        <f t="shared" si="217"/>
        <v>42791</v>
      </c>
      <c r="I221" s="1166">
        <v>1.9E-2</v>
      </c>
      <c r="J221" s="1166">
        <v>-1.7999999999999999E-2</v>
      </c>
      <c r="K221" s="1166">
        <v>-0.52100000000000002</v>
      </c>
      <c r="L221" s="1166">
        <v>-0.751</v>
      </c>
      <c r="M221" s="1164">
        <f t="shared" si="202"/>
        <v>0.38888888888888884</v>
      </c>
      <c r="N221" s="1164">
        <f t="shared" si="203"/>
        <v>0.39930555555555552</v>
      </c>
      <c r="O221" s="1165">
        <f t="shared" si="218"/>
        <v>42791</v>
      </c>
      <c r="P221" s="1166">
        <v>1.06</v>
      </c>
      <c r="Q221" s="1166">
        <v>9</v>
      </c>
      <c r="R221" s="1166">
        <v>25</v>
      </c>
      <c r="S221" s="1166">
        <v>0</v>
      </c>
      <c r="T221" s="1164">
        <f t="shared" si="204"/>
        <v>0.52430555555555558</v>
      </c>
      <c r="U221" s="1167">
        <f t="shared" si="219"/>
        <v>42791</v>
      </c>
      <c r="V221" s="1166">
        <v>21.43</v>
      </c>
      <c r="W221" s="1164">
        <f t="shared" si="205"/>
        <v>0.64930555555555558</v>
      </c>
      <c r="X221" s="1167">
        <f t="shared" si="220"/>
        <v>42791</v>
      </c>
      <c r="Y221" s="1166">
        <v>30.88</v>
      </c>
      <c r="Z221" s="1164">
        <f t="shared" si="206"/>
        <v>0.69097222222222221</v>
      </c>
      <c r="AA221" s="1164">
        <f t="shared" si="207"/>
        <v>0.71180555555555547</v>
      </c>
      <c r="AB221" s="1167">
        <f t="shared" si="221"/>
        <v>42791</v>
      </c>
      <c r="AC221" s="1166">
        <v>30.88</v>
      </c>
      <c r="AD221" s="1164">
        <f t="shared" si="208"/>
        <v>0.71874999999999989</v>
      </c>
      <c r="AE221" s="1164">
        <f t="shared" si="209"/>
        <v>0.72916666666666652</v>
      </c>
      <c r="AF221" s="1167">
        <f t="shared" si="222"/>
        <v>42791</v>
      </c>
      <c r="AG221" s="1164">
        <f t="shared" si="210"/>
        <v>0.73611111111111094</v>
      </c>
      <c r="AH221" s="1164">
        <f t="shared" si="211"/>
        <v>0.76736111111111094</v>
      </c>
      <c r="AI221" s="1167">
        <f t="shared" si="223"/>
        <v>42791</v>
      </c>
      <c r="AJ221" s="1164">
        <f t="shared" si="212"/>
        <v>0.7881944444444442</v>
      </c>
      <c r="AK221" s="1164">
        <f t="shared" si="213"/>
        <v>0.79513888888888862</v>
      </c>
      <c r="AL221" s="1167">
        <f t="shared" si="224"/>
        <v>42791</v>
      </c>
      <c r="AM221" s="1166">
        <v>1.06</v>
      </c>
      <c r="AN221" s="1166">
        <v>9</v>
      </c>
      <c r="AO221" s="1166">
        <v>23</v>
      </c>
      <c r="AP221" s="1166">
        <v>0</v>
      </c>
      <c r="AQ221" s="1164">
        <f t="shared" si="215"/>
        <v>0.79513888888888862</v>
      </c>
      <c r="AR221" s="1164">
        <f t="shared" si="214"/>
        <v>0.80208333333333304</v>
      </c>
      <c r="AS221" s="1167">
        <f t="shared" si="225"/>
        <v>42791</v>
      </c>
      <c r="AT221" s="1166">
        <v>30.88</v>
      </c>
      <c r="AU221" s="1164">
        <f t="shared" si="216"/>
        <v>0.80208333333333304</v>
      </c>
      <c r="AV221" s="1167">
        <f t="shared" si="226"/>
        <v>42791</v>
      </c>
      <c r="AW221" s="1164">
        <f t="shared" si="227"/>
        <v>0.84374999999999967</v>
      </c>
      <c r="AX221" s="1167">
        <f t="shared" si="228"/>
        <v>42791</v>
      </c>
      <c r="AY221" s="1166">
        <v>4.3</v>
      </c>
      <c r="AZ221" s="1166">
        <v>17</v>
      </c>
      <c r="BA221" s="1168">
        <f>VLOOKUP(B221,ĐTBT!$V:$W,2,0)</f>
        <v>3</v>
      </c>
      <c r="BB221" s="1168"/>
      <c r="BC221" s="1221"/>
      <c r="BD221" s="1221"/>
      <c r="BE221" s="1222"/>
      <c r="BF221" s="1221"/>
      <c r="BG221" s="1221"/>
      <c r="BH221" s="1221"/>
      <c r="BJ221" s="1168"/>
      <c r="BL221" s="1220"/>
    </row>
    <row r="222" spans="1:71" s="1219" customFormat="1" ht="15">
      <c r="A222" s="1217">
        <f>IF(C222="","",COUNTA($C$13:C222))</f>
        <v>210</v>
      </c>
      <c r="B222" s="1163" t="s">
        <v>620</v>
      </c>
      <c r="C222" s="1164">
        <v>0.3888888888888889</v>
      </c>
      <c r="D222" s="1164">
        <f t="shared" si="199"/>
        <v>0.40972222222222221</v>
      </c>
      <c r="E222" s="1165">
        <v>42792</v>
      </c>
      <c r="F222" s="1164">
        <f t="shared" si="200"/>
        <v>0.41666666666666663</v>
      </c>
      <c r="G222" s="1164">
        <f t="shared" si="201"/>
        <v>0.42013888888888884</v>
      </c>
      <c r="H222" s="1165">
        <f t="shared" si="217"/>
        <v>42792</v>
      </c>
      <c r="I222" s="1166">
        <v>6.0000000000000001E-3</v>
      </c>
      <c r="J222" s="1166">
        <v>-2.5000000000000001E-2</v>
      </c>
      <c r="K222" s="1166">
        <v>-0.17799999999999999</v>
      </c>
      <c r="L222" s="1166">
        <v>-0.71199999999999997</v>
      </c>
      <c r="M222" s="1164">
        <f t="shared" si="202"/>
        <v>0.42361111111111105</v>
      </c>
      <c r="N222" s="1164">
        <f t="shared" si="203"/>
        <v>0.43402777777777773</v>
      </c>
      <c r="O222" s="1165">
        <f t="shared" si="218"/>
        <v>42792</v>
      </c>
      <c r="P222" s="1166">
        <v>1.06</v>
      </c>
      <c r="Q222" s="1166">
        <v>9</v>
      </c>
      <c r="R222" s="1166">
        <v>22</v>
      </c>
      <c r="S222" s="1166">
        <v>0</v>
      </c>
      <c r="T222" s="1164">
        <f t="shared" si="204"/>
        <v>0.55902777777777768</v>
      </c>
      <c r="U222" s="1167">
        <f t="shared" si="219"/>
        <v>42792</v>
      </c>
      <c r="V222" s="1166">
        <v>23.7</v>
      </c>
      <c r="W222" s="1164">
        <f t="shared" si="205"/>
        <v>0.68402777777777768</v>
      </c>
      <c r="X222" s="1167">
        <f t="shared" si="220"/>
        <v>42792</v>
      </c>
      <c r="Y222" s="1166">
        <v>41.73</v>
      </c>
      <c r="Z222" s="1164">
        <f t="shared" si="206"/>
        <v>0.72569444444444431</v>
      </c>
      <c r="AA222" s="1164">
        <f t="shared" si="207"/>
        <v>0.74652777777777757</v>
      </c>
      <c r="AB222" s="1167">
        <f t="shared" si="221"/>
        <v>42792</v>
      </c>
      <c r="AC222" s="1166">
        <v>41.73</v>
      </c>
      <c r="AD222" s="1164">
        <f t="shared" si="208"/>
        <v>0.75347222222222199</v>
      </c>
      <c r="AE222" s="1164">
        <f t="shared" si="209"/>
        <v>0.76388888888888862</v>
      </c>
      <c r="AF222" s="1167">
        <f t="shared" si="222"/>
        <v>42792</v>
      </c>
      <c r="AG222" s="1164">
        <f t="shared" si="210"/>
        <v>0.77083333333333304</v>
      </c>
      <c r="AH222" s="1164">
        <f t="shared" si="211"/>
        <v>0.80208333333333304</v>
      </c>
      <c r="AI222" s="1167">
        <f t="shared" si="223"/>
        <v>42792</v>
      </c>
      <c r="AJ222" s="1164">
        <f t="shared" si="212"/>
        <v>0.8229166666666663</v>
      </c>
      <c r="AK222" s="1164">
        <f t="shared" si="213"/>
        <v>0.82986111111111072</v>
      </c>
      <c r="AL222" s="1167">
        <f t="shared" si="224"/>
        <v>42792</v>
      </c>
      <c r="AM222" s="1166">
        <v>1.06</v>
      </c>
      <c r="AN222" s="1166">
        <v>9</v>
      </c>
      <c r="AO222" s="1166">
        <v>22</v>
      </c>
      <c r="AP222" s="1166">
        <v>0</v>
      </c>
      <c r="AQ222" s="1164">
        <f t="shared" si="215"/>
        <v>0.82986111111111072</v>
      </c>
      <c r="AR222" s="1164">
        <f t="shared" si="214"/>
        <v>0.83680555555555514</v>
      </c>
      <c r="AS222" s="1167">
        <f t="shared" si="225"/>
        <v>42792</v>
      </c>
      <c r="AT222" s="1166">
        <v>41.73</v>
      </c>
      <c r="AU222" s="1164">
        <f t="shared" si="216"/>
        <v>0.83680555555555514</v>
      </c>
      <c r="AV222" s="1167">
        <f t="shared" si="226"/>
        <v>42792</v>
      </c>
      <c r="AW222" s="1164">
        <f t="shared" si="227"/>
        <v>0.89236111111111072</v>
      </c>
      <c r="AX222" s="1167">
        <f t="shared" si="228"/>
        <v>42792</v>
      </c>
      <c r="AY222" s="1166">
        <v>6.5</v>
      </c>
      <c r="AZ222" s="1166">
        <v>43</v>
      </c>
      <c r="BA222" s="1168">
        <f>VLOOKUP(B222,ĐTBT!$V:$W,2,0)</f>
        <v>4</v>
      </c>
      <c r="BB222" s="1168"/>
      <c r="BC222" s="1221"/>
      <c r="BD222" s="1221"/>
      <c r="BE222" s="1222"/>
      <c r="BF222" s="1221"/>
      <c r="BG222" s="1221"/>
      <c r="BH222" s="1221"/>
      <c r="BJ222" s="1168"/>
      <c r="BL222" s="1220"/>
    </row>
    <row r="223" spans="1:71" s="1219" customFormat="1" ht="15">
      <c r="A223" s="1217">
        <f>IF(C223="","",COUNTA($C$13:C223))</f>
        <v>211</v>
      </c>
      <c r="B223" s="1163" t="s">
        <v>503</v>
      </c>
      <c r="C223" s="1164">
        <v>0.32291666666666669</v>
      </c>
      <c r="D223" s="1164">
        <f t="shared" si="199"/>
        <v>0.34375</v>
      </c>
      <c r="E223" s="1165">
        <v>42793</v>
      </c>
      <c r="F223" s="1164">
        <f t="shared" si="200"/>
        <v>0.35069444444444442</v>
      </c>
      <c r="G223" s="1164">
        <f t="shared" si="201"/>
        <v>0.35416666666666663</v>
      </c>
      <c r="H223" s="1165">
        <f t="shared" si="217"/>
        <v>42793</v>
      </c>
      <c r="I223" s="1166">
        <v>-1.9E-2</v>
      </c>
      <c r="J223" s="1166">
        <v>8.9999999999999993E-3</v>
      </c>
      <c r="K223" s="1166">
        <v>-0.5</v>
      </c>
      <c r="L223" s="1166">
        <v>-0.72</v>
      </c>
      <c r="M223" s="1164">
        <f t="shared" si="202"/>
        <v>0.35763888888888884</v>
      </c>
      <c r="N223" s="1164">
        <f t="shared" si="203"/>
        <v>0.36805555555555552</v>
      </c>
      <c r="O223" s="1165">
        <f t="shared" si="218"/>
        <v>42793</v>
      </c>
      <c r="P223" s="1166">
        <v>1.06</v>
      </c>
      <c r="Q223" s="1166">
        <v>9</v>
      </c>
      <c r="R223" s="1166">
        <v>26</v>
      </c>
      <c r="S223" s="1166">
        <v>0</v>
      </c>
      <c r="T223" s="1164">
        <f t="shared" si="204"/>
        <v>0.49305555555555552</v>
      </c>
      <c r="U223" s="1167">
        <f t="shared" si="219"/>
        <v>42793</v>
      </c>
      <c r="V223" s="1166">
        <v>22.15</v>
      </c>
      <c r="W223" s="1164">
        <f t="shared" si="205"/>
        <v>0.61805555555555558</v>
      </c>
      <c r="X223" s="1167">
        <f t="shared" si="220"/>
        <v>42793</v>
      </c>
      <c r="Y223" s="1166">
        <v>31.05</v>
      </c>
      <c r="Z223" s="1164">
        <f t="shared" si="206"/>
        <v>0.65972222222222221</v>
      </c>
      <c r="AA223" s="1164">
        <f t="shared" si="207"/>
        <v>0.68055555555555547</v>
      </c>
      <c r="AB223" s="1167">
        <f t="shared" si="221"/>
        <v>42793</v>
      </c>
      <c r="AC223" s="1166">
        <v>31.05</v>
      </c>
      <c r="AD223" s="1164">
        <f t="shared" si="208"/>
        <v>0.68749999999999989</v>
      </c>
      <c r="AE223" s="1164">
        <f t="shared" si="209"/>
        <v>0.69791666666666652</v>
      </c>
      <c r="AF223" s="1167">
        <f t="shared" si="222"/>
        <v>42793</v>
      </c>
      <c r="AG223" s="1164">
        <f t="shared" si="210"/>
        <v>0.70486111111111094</v>
      </c>
      <c r="AH223" s="1164">
        <f t="shared" si="211"/>
        <v>0.73611111111111094</v>
      </c>
      <c r="AI223" s="1167">
        <f t="shared" si="223"/>
        <v>42793</v>
      </c>
      <c r="AJ223" s="1164">
        <f t="shared" si="212"/>
        <v>0.7569444444444442</v>
      </c>
      <c r="AK223" s="1164">
        <f t="shared" si="213"/>
        <v>0.76388888888888862</v>
      </c>
      <c r="AL223" s="1167">
        <f t="shared" si="224"/>
        <v>42793</v>
      </c>
      <c r="AM223" s="1166">
        <v>1.06</v>
      </c>
      <c r="AN223" s="1166">
        <v>9</v>
      </c>
      <c r="AO223" s="1166">
        <v>26</v>
      </c>
      <c r="AP223" s="1166">
        <v>0</v>
      </c>
      <c r="AQ223" s="1164">
        <f t="shared" si="215"/>
        <v>0.76388888888888862</v>
      </c>
      <c r="AR223" s="1164">
        <f t="shared" si="214"/>
        <v>0.77083333333333304</v>
      </c>
      <c r="AS223" s="1167">
        <f t="shared" si="225"/>
        <v>42793</v>
      </c>
      <c r="AT223" s="1166">
        <v>31.05</v>
      </c>
      <c r="AU223" s="1164">
        <f t="shared" si="216"/>
        <v>0.77083333333333304</v>
      </c>
      <c r="AV223" s="1167">
        <f t="shared" si="226"/>
        <v>42793</v>
      </c>
      <c r="AW223" s="1164">
        <f t="shared" si="227"/>
        <v>0.79861111111111083</v>
      </c>
      <c r="AX223" s="1167">
        <f t="shared" si="228"/>
        <v>42793</v>
      </c>
      <c r="AY223" s="1166">
        <v>4.4000000000000004</v>
      </c>
      <c r="AZ223" s="1166">
        <v>17</v>
      </c>
      <c r="BA223" s="1168">
        <f>VLOOKUP(B223,ĐTBT!$V:$W,2,0)</f>
        <v>2</v>
      </c>
      <c r="BB223" s="1168"/>
      <c r="BC223" s="1221"/>
      <c r="BD223" s="1221"/>
      <c r="BE223" s="1222"/>
      <c r="BF223" s="1221"/>
      <c r="BG223" s="1221"/>
      <c r="BH223" s="1221"/>
      <c r="BJ223" s="1168"/>
      <c r="BL223" s="1220"/>
    </row>
    <row r="224" spans="1:71" s="1219" customFormat="1" ht="15">
      <c r="A224" s="1217">
        <f>IF(C224="","",COUNTA($C$13:C224))</f>
        <v>212</v>
      </c>
      <c r="B224" s="1163" t="s">
        <v>626</v>
      </c>
      <c r="C224" s="1164">
        <v>0.34027777777777773</v>
      </c>
      <c r="D224" s="1164">
        <f t="shared" si="199"/>
        <v>0.36111111111111105</v>
      </c>
      <c r="E224" s="1165">
        <v>42794</v>
      </c>
      <c r="F224" s="1164">
        <f t="shared" si="200"/>
        <v>0.36805555555555547</v>
      </c>
      <c r="G224" s="1164">
        <f t="shared" si="201"/>
        <v>0.37152777777777768</v>
      </c>
      <c r="H224" s="1165">
        <f t="shared" si="217"/>
        <v>42794</v>
      </c>
      <c r="I224" s="1166">
        <v>-2.8000000000000001E-2</v>
      </c>
      <c r="J224" s="1166">
        <v>0.01</v>
      </c>
      <c r="K224" s="1166">
        <v>7.0000000000000007E-2</v>
      </c>
      <c r="L224" s="1166">
        <v>-0.56000000000000005</v>
      </c>
      <c r="M224" s="1164">
        <f t="shared" si="202"/>
        <v>0.37499999999999989</v>
      </c>
      <c r="N224" s="1164">
        <f t="shared" si="203"/>
        <v>0.38541666666666657</v>
      </c>
      <c r="O224" s="1165">
        <f t="shared" si="218"/>
        <v>42794</v>
      </c>
      <c r="P224" s="1166">
        <v>1.06</v>
      </c>
      <c r="Q224" s="1166">
        <v>9</v>
      </c>
      <c r="R224" s="1166">
        <v>25</v>
      </c>
      <c r="S224" s="1166">
        <v>0</v>
      </c>
      <c r="T224" s="1164">
        <f t="shared" si="204"/>
        <v>0.51041666666666652</v>
      </c>
      <c r="U224" s="1167">
        <f t="shared" si="219"/>
        <v>42794</v>
      </c>
      <c r="V224" s="1166">
        <v>21.21</v>
      </c>
      <c r="W224" s="1164">
        <f t="shared" si="205"/>
        <v>0.63541666666666652</v>
      </c>
      <c r="X224" s="1167">
        <f t="shared" si="220"/>
        <v>42794</v>
      </c>
      <c r="Y224" s="1166">
        <v>32.89</v>
      </c>
      <c r="Z224" s="1164">
        <f t="shared" si="206"/>
        <v>0.67708333333333315</v>
      </c>
      <c r="AA224" s="1164">
        <f t="shared" si="207"/>
        <v>0.69791666666666641</v>
      </c>
      <c r="AB224" s="1167">
        <f t="shared" si="221"/>
        <v>42794</v>
      </c>
      <c r="AC224" s="1166">
        <v>32.89</v>
      </c>
      <c r="AD224" s="1164">
        <f t="shared" si="208"/>
        <v>0.70486111111111083</v>
      </c>
      <c r="AE224" s="1164">
        <f t="shared" si="209"/>
        <v>0.71527777777777746</v>
      </c>
      <c r="AF224" s="1167">
        <f t="shared" si="222"/>
        <v>42794</v>
      </c>
      <c r="AG224" s="1164">
        <f t="shared" si="210"/>
        <v>0.72222222222222188</v>
      </c>
      <c r="AH224" s="1164">
        <f t="shared" si="211"/>
        <v>0.75347222222222188</v>
      </c>
      <c r="AI224" s="1167">
        <f t="shared" si="223"/>
        <v>42794</v>
      </c>
      <c r="AJ224" s="1164">
        <f t="shared" si="212"/>
        <v>0.77430555555555514</v>
      </c>
      <c r="AK224" s="1164">
        <f t="shared" si="213"/>
        <v>0.78124999999999956</v>
      </c>
      <c r="AL224" s="1167">
        <f t="shared" si="224"/>
        <v>42794</v>
      </c>
      <c r="AM224" s="1166">
        <v>1.06</v>
      </c>
      <c r="AN224" s="1166">
        <v>9</v>
      </c>
      <c r="AO224" s="1166">
        <v>25</v>
      </c>
      <c r="AP224" s="1166">
        <v>0</v>
      </c>
      <c r="AQ224" s="1164">
        <f t="shared" si="215"/>
        <v>0.78124999999999956</v>
      </c>
      <c r="AR224" s="1164">
        <f t="shared" si="214"/>
        <v>0.78819444444444398</v>
      </c>
      <c r="AS224" s="1167">
        <f t="shared" si="225"/>
        <v>42794</v>
      </c>
      <c r="AT224" s="1166">
        <v>32.89</v>
      </c>
      <c r="AU224" s="1164">
        <f t="shared" si="216"/>
        <v>0.78819444444444398</v>
      </c>
      <c r="AV224" s="1167">
        <f t="shared" si="226"/>
        <v>42794</v>
      </c>
      <c r="AW224" s="1164">
        <f t="shared" si="227"/>
        <v>0.82986111111111061</v>
      </c>
      <c r="AX224" s="1167">
        <f t="shared" si="228"/>
        <v>42794</v>
      </c>
      <c r="AY224" s="1166">
        <v>6.8</v>
      </c>
      <c r="AZ224" s="1166">
        <v>32</v>
      </c>
      <c r="BA224" s="1168">
        <f>VLOOKUP(B224,ĐTBT!$V:$W,2,0)</f>
        <v>3</v>
      </c>
      <c r="BB224" s="1168"/>
      <c r="BC224" s="1221"/>
      <c r="BD224" s="1221"/>
      <c r="BE224" s="1222"/>
      <c r="BF224" s="1221"/>
      <c r="BG224" s="1221"/>
      <c r="BH224" s="1221"/>
      <c r="BJ224" s="1168"/>
      <c r="BL224" s="1220"/>
    </row>
    <row r="225" spans="1:64" s="1219" customFormat="1" ht="15">
      <c r="A225" s="1217">
        <f>IF(C225="","",COUNTA($C$13:C225))</f>
        <v>213</v>
      </c>
      <c r="B225" s="1163" t="s">
        <v>655</v>
      </c>
      <c r="C225" s="1164">
        <v>0.33333333333333331</v>
      </c>
      <c r="D225" s="1164">
        <f t="shared" si="199"/>
        <v>0.35416666666666663</v>
      </c>
      <c r="E225" s="1165">
        <v>42795</v>
      </c>
      <c r="F225" s="1164">
        <f t="shared" si="200"/>
        <v>0.36111111111111105</v>
      </c>
      <c r="G225" s="1164">
        <f t="shared" si="201"/>
        <v>0.36458333333333326</v>
      </c>
      <c r="H225" s="1165">
        <f t="shared" si="217"/>
        <v>42795</v>
      </c>
      <c r="I225" s="1166">
        <v>-1.6E-2</v>
      </c>
      <c r="J225" s="1166">
        <v>2.3E-2</v>
      </c>
      <c r="K225" s="1166">
        <v>-7.0000000000000007E-2</v>
      </c>
      <c r="L225" s="1166">
        <v>-0.67</v>
      </c>
      <c r="M225" s="1164">
        <f t="shared" si="202"/>
        <v>0.36805555555555547</v>
      </c>
      <c r="N225" s="1164">
        <f t="shared" si="203"/>
        <v>0.37847222222222215</v>
      </c>
      <c r="O225" s="1165">
        <f t="shared" si="218"/>
        <v>42795</v>
      </c>
      <c r="P225" s="1166">
        <v>1.06</v>
      </c>
      <c r="Q225" s="1166">
        <v>9</v>
      </c>
      <c r="R225" s="1166">
        <v>23</v>
      </c>
      <c r="S225" s="1166">
        <v>0</v>
      </c>
      <c r="T225" s="1164">
        <f t="shared" si="204"/>
        <v>0.5034722222222221</v>
      </c>
      <c r="U225" s="1167">
        <f t="shared" si="219"/>
        <v>42795</v>
      </c>
      <c r="V225" s="1166">
        <v>20.85</v>
      </c>
      <c r="W225" s="1164">
        <f t="shared" si="205"/>
        <v>0.6284722222222221</v>
      </c>
      <c r="X225" s="1167">
        <f t="shared" si="220"/>
        <v>42795</v>
      </c>
      <c r="Y225" s="1166">
        <v>31.35</v>
      </c>
      <c r="Z225" s="1164">
        <f t="shared" si="206"/>
        <v>0.67013888888888873</v>
      </c>
      <c r="AA225" s="1164">
        <f t="shared" si="207"/>
        <v>0.69097222222222199</v>
      </c>
      <c r="AB225" s="1167">
        <f t="shared" si="221"/>
        <v>42795</v>
      </c>
      <c r="AC225" s="1166">
        <v>31.35</v>
      </c>
      <c r="AD225" s="1164">
        <f t="shared" si="208"/>
        <v>0.69791666666666641</v>
      </c>
      <c r="AE225" s="1164">
        <f t="shared" si="209"/>
        <v>0.70833333333333304</v>
      </c>
      <c r="AF225" s="1167">
        <f t="shared" si="222"/>
        <v>42795</v>
      </c>
      <c r="AG225" s="1164">
        <f t="shared" si="210"/>
        <v>0.71527777777777746</v>
      </c>
      <c r="AH225" s="1164">
        <f t="shared" si="211"/>
        <v>0.74652777777777746</v>
      </c>
      <c r="AI225" s="1167">
        <f t="shared" si="223"/>
        <v>42795</v>
      </c>
      <c r="AJ225" s="1164">
        <f t="shared" si="212"/>
        <v>0.76736111111111072</v>
      </c>
      <c r="AK225" s="1164">
        <f t="shared" si="213"/>
        <v>0.77430555555555514</v>
      </c>
      <c r="AL225" s="1167">
        <f t="shared" si="224"/>
        <v>42795</v>
      </c>
      <c r="AM225" s="1166">
        <v>1.06</v>
      </c>
      <c r="AN225" s="1166">
        <v>9</v>
      </c>
      <c r="AO225" s="1166">
        <v>23</v>
      </c>
      <c r="AP225" s="1166">
        <v>0</v>
      </c>
      <c r="AQ225" s="1164">
        <f t="shared" si="215"/>
        <v>0.77430555555555514</v>
      </c>
      <c r="AR225" s="1164">
        <f t="shared" si="214"/>
        <v>0.78124999999999956</v>
      </c>
      <c r="AS225" s="1167">
        <f t="shared" si="225"/>
        <v>42795</v>
      </c>
      <c r="AT225" s="1166">
        <v>31.35</v>
      </c>
      <c r="AU225" s="1164">
        <f t="shared" si="216"/>
        <v>0.78124999999999956</v>
      </c>
      <c r="AV225" s="1167">
        <f t="shared" si="226"/>
        <v>42795</v>
      </c>
      <c r="AW225" s="1164">
        <f t="shared" si="227"/>
        <v>0.80902777777777735</v>
      </c>
      <c r="AX225" s="1167">
        <f t="shared" si="228"/>
        <v>42795</v>
      </c>
      <c r="AY225" s="1166">
        <v>6.8</v>
      </c>
      <c r="AZ225" s="1166">
        <v>16</v>
      </c>
      <c r="BA225" s="1168">
        <f>VLOOKUP(B225,ĐTBT!$V:$W,2,0)</f>
        <v>2</v>
      </c>
      <c r="BB225" s="1168"/>
      <c r="BC225" s="1221"/>
      <c r="BD225" s="1221"/>
      <c r="BE225" s="1222"/>
      <c r="BF225" s="1221"/>
      <c r="BG225" s="1221"/>
      <c r="BH225" s="1221"/>
      <c r="BJ225" s="1168"/>
      <c r="BL225" s="1220"/>
    </row>
    <row r="226" spans="1:64" s="1219" customFormat="1" ht="15">
      <c r="A226" s="1217">
        <f>IF(C226="","",COUNTA($C$13:C226))</f>
        <v>214</v>
      </c>
      <c r="B226" s="1163" t="s">
        <v>527</v>
      </c>
      <c r="C226" s="1164">
        <v>0.41666666666666669</v>
      </c>
      <c r="D226" s="1164">
        <f t="shared" si="199"/>
        <v>0.4375</v>
      </c>
      <c r="E226" s="1165">
        <v>42796</v>
      </c>
      <c r="F226" s="1164">
        <f t="shared" si="200"/>
        <v>0.44444444444444442</v>
      </c>
      <c r="G226" s="1164">
        <f t="shared" si="201"/>
        <v>0.44791666666666663</v>
      </c>
      <c r="H226" s="1165">
        <f t="shared" si="217"/>
        <v>42796</v>
      </c>
      <c r="I226" s="1166">
        <v>-2.7E-2</v>
      </c>
      <c r="J226" s="1166">
        <v>-4.0000000000000001E-3</v>
      </c>
      <c r="K226" s="1166">
        <v>-0.245</v>
      </c>
      <c r="L226" s="1166">
        <v>-0.56000000000000005</v>
      </c>
      <c r="M226" s="1164">
        <f t="shared" si="202"/>
        <v>0.45138888888888884</v>
      </c>
      <c r="N226" s="1164">
        <f t="shared" si="203"/>
        <v>0.46180555555555552</v>
      </c>
      <c r="O226" s="1165">
        <f t="shared" si="218"/>
        <v>42796</v>
      </c>
      <c r="P226" s="1166">
        <v>1.06</v>
      </c>
      <c r="Q226" s="1166">
        <v>9</v>
      </c>
      <c r="R226" s="1166">
        <v>24</v>
      </c>
      <c r="S226" s="1166">
        <v>0</v>
      </c>
      <c r="T226" s="1164">
        <f t="shared" si="204"/>
        <v>0.58680555555555558</v>
      </c>
      <c r="U226" s="1167">
        <f t="shared" si="219"/>
        <v>42796</v>
      </c>
      <c r="V226" s="1166">
        <v>22.11</v>
      </c>
      <c r="W226" s="1164">
        <f t="shared" si="205"/>
        <v>0.71180555555555558</v>
      </c>
      <c r="X226" s="1167">
        <f t="shared" si="220"/>
        <v>42796</v>
      </c>
      <c r="Y226" s="1166">
        <v>41.66</v>
      </c>
      <c r="Z226" s="1164">
        <f t="shared" si="206"/>
        <v>0.75347222222222221</v>
      </c>
      <c r="AA226" s="1164">
        <f t="shared" si="207"/>
        <v>0.77430555555555547</v>
      </c>
      <c r="AB226" s="1167">
        <f t="shared" si="221"/>
        <v>42796</v>
      </c>
      <c r="AC226" s="1166">
        <v>41.66</v>
      </c>
      <c r="AD226" s="1164">
        <f t="shared" si="208"/>
        <v>0.78124999999999989</v>
      </c>
      <c r="AE226" s="1164">
        <f t="shared" si="209"/>
        <v>0.79166666666666652</v>
      </c>
      <c r="AF226" s="1167">
        <f t="shared" si="222"/>
        <v>42796</v>
      </c>
      <c r="AG226" s="1164">
        <f t="shared" si="210"/>
        <v>0.79861111111111094</v>
      </c>
      <c r="AH226" s="1164">
        <f t="shared" si="211"/>
        <v>0.82986111111111094</v>
      </c>
      <c r="AI226" s="1167">
        <f t="shared" si="223"/>
        <v>42796</v>
      </c>
      <c r="AJ226" s="1164">
        <f t="shared" si="212"/>
        <v>0.8506944444444442</v>
      </c>
      <c r="AK226" s="1164">
        <f t="shared" si="213"/>
        <v>0.85763888888888862</v>
      </c>
      <c r="AL226" s="1167">
        <f t="shared" si="224"/>
        <v>42796</v>
      </c>
      <c r="AM226" s="1166">
        <v>1.06</v>
      </c>
      <c r="AN226" s="1166">
        <v>9</v>
      </c>
      <c r="AO226" s="1166">
        <v>24</v>
      </c>
      <c r="AP226" s="1166">
        <v>0</v>
      </c>
      <c r="AQ226" s="1164">
        <f t="shared" si="215"/>
        <v>0.85763888888888862</v>
      </c>
      <c r="AR226" s="1164">
        <f t="shared" si="214"/>
        <v>0.86458333333333304</v>
      </c>
      <c r="AS226" s="1167">
        <f t="shared" si="225"/>
        <v>42796</v>
      </c>
      <c r="AT226" s="1166">
        <v>41.66</v>
      </c>
      <c r="AU226" s="1164">
        <f t="shared" si="216"/>
        <v>0.86458333333333304</v>
      </c>
      <c r="AV226" s="1167">
        <f t="shared" si="226"/>
        <v>42796</v>
      </c>
      <c r="AW226" s="1164">
        <f t="shared" si="227"/>
        <v>0.92013888888888862</v>
      </c>
      <c r="AX226" s="1167">
        <f t="shared" si="228"/>
        <v>42796</v>
      </c>
      <c r="AY226" s="1166">
        <v>6.7</v>
      </c>
      <c r="AZ226" s="1166">
        <v>43</v>
      </c>
      <c r="BA226" s="1168">
        <f>VLOOKUP(B226,ĐTBT!$V:$W,2,0)</f>
        <v>4</v>
      </c>
      <c r="BB226" s="1168"/>
      <c r="BC226" s="1221"/>
      <c r="BD226" s="1221"/>
      <c r="BE226" s="1222"/>
      <c r="BF226" s="1221"/>
      <c r="BG226" s="1221"/>
      <c r="BH226" s="1221"/>
      <c r="BJ226" s="1168"/>
      <c r="BL226" s="1220"/>
    </row>
    <row r="227" spans="1:64" s="1219" customFormat="1" ht="15">
      <c r="A227" s="1217">
        <f>IF(C227="","",COUNTA($C$13:C227))</f>
        <v>215</v>
      </c>
      <c r="B227" s="1163" t="s">
        <v>650</v>
      </c>
      <c r="C227" s="1164">
        <v>0.29166666666666669</v>
      </c>
      <c r="D227" s="1164">
        <f t="shared" si="199"/>
        <v>0.3125</v>
      </c>
      <c r="E227" s="1165">
        <v>42797</v>
      </c>
      <c r="F227" s="1164">
        <f t="shared" si="200"/>
        <v>0.31944444444444442</v>
      </c>
      <c r="G227" s="1164">
        <f t="shared" si="201"/>
        <v>0.32291666666666663</v>
      </c>
      <c r="H227" s="1165">
        <f t="shared" si="217"/>
        <v>42797</v>
      </c>
      <c r="I227" s="1166">
        <v>-1.2999999999999999E-2</v>
      </c>
      <c r="J227" s="1166">
        <v>-2.3E-2</v>
      </c>
      <c r="K227" s="1166">
        <v>-0.32500000000000001</v>
      </c>
      <c r="L227" s="1166">
        <v>-0.58499999999999996</v>
      </c>
      <c r="M227" s="1164">
        <f t="shared" si="202"/>
        <v>0.32638888888888884</v>
      </c>
      <c r="N227" s="1164">
        <f t="shared" si="203"/>
        <v>0.33680555555555552</v>
      </c>
      <c r="O227" s="1165">
        <f t="shared" si="218"/>
        <v>42797</v>
      </c>
      <c r="P227" s="1166">
        <v>1.06</v>
      </c>
      <c r="Q227" s="1166">
        <v>9</v>
      </c>
      <c r="R227" s="1166">
        <v>23</v>
      </c>
      <c r="S227" s="1166">
        <v>0</v>
      </c>
      <c r="T227" s="1164">
        <f t="shared" si="204"/>
        <v>0.46180555555555552</v>
      </c>
      <c r="U227" s="1167">
        <f t="shared" si="219"/>
        <v>42797</v>
      </c>
      <c r="V227" s="1166">
        <v>21.15</v>
      </c>
      <c r="W227" s="1164">
        <f t="shared" si="205"/>
        <v>0.58680555555555558</v>
      </c>
      <c r="X227" s="1167">
        <f t="shared" si="220"/>
        <v>42797</v>
      </c>
      <c r="Y227" s="1166">
        <v>28.71</v>
      </c>
      <c r="Z227" s="1164">
        <f t="shared" si="206"/>
        <v>0.62847222222222221</v>
      </c>
      <c r="AA227" s="1164">
        <f t="shared" si="207"/>
        <v>0.64930555555555547</v>
      </c>
      <c r="AB227" s="1167">
        <f t="shared" si="221"/>
        <v>42797</v>
      </c>
      <c r="AC227" s="1166">
        <v>28.71</v>
      </c>
      <c r="AD227" s="1164">
        <f t="shared" si="208"/>
        <v>0.65624999999999989</v>
      </c>
      <c r="AE227" s="1164">
        <f t="shared" si="209"/>
        <v>0.66666666666666652</v>
      </c>
      <c r="AF227" s="1167">
        <f t="shared" si="222"/>
        <v>42797</v>
      </c>
      <c r="AG227" s="1164">
        <f t="shared" si="210"/>
        <v>0.67361111111111094</v>
      </c>
      <c r="AH227" s="1164">
        <f t="shared" si="211"/>
        <v>0.70486111111111094</v>
      </c>
      <c r="AI227" s="1167">
        <f t="shared" si="223"/>
        <v>42797</v>
      </c>
      <c r="AJ227" s="1164">
        <f t="shared" si="212"/>
        <v>0.7256944444444442</v>
      </c>
      <c r="AK227" s="1164">
        <f t="shared" si="213"/>
        <v>0.73263888888888862</v>
      </c>
      <c r="AL227" s="1167">
        <f t="shared" si="224"/>
        <v>42797</v>
      </c>
      <c r="AM227" s="1166">
        <v>1.06</v>
      </c>
      <c r="AN227" s="1166">
        <v>9</v>
      </c>
      <c r="AO227" s="1166">
        <v>23</v>
      </c>
      <c r="AP227" s="1166">
        <v>0</v>
      </c>
      <c r="AQ227" s="1164">
        <f t="shared" si="215"/>
        <v>0.73263888888888862</v>
      </c>
      <c r="AR227" s="1164">
        <f t="shared" si="214"/>
        <v>0.73958333333333304</v>
      </c>
      <c r="AS227" s="1167">
        <f t="shared" si="225"/>
        <v>42797</v>
      </c>
      <c r="AT227" s="1166">
        <v>28.71</v>
      </c>
      <c r="AU227" s="1164">
        <f t="shared" si="216"/>
        <v>0.73958333333333304</v>
      </c>
      <c r="AV227" s="1167">
        <f t="shared" si="226"/>
        <v>42797</v>
      </c>
      <c r="AW227" s="1164">
        <f t="shared" si="227"/>
        <v>0.75347222222222188</v>
      </c>
      <c r="AX227" s="1167">
        <f t="shared" si="228"/>
        <v>42797</v>
      </c>
      <c r="AY227" s="1166">
        <v>6.6</v>
      </c>
      <c r="AZ227" s="1166">
        <v>14</v>
      </c>
      <c r="BA227" s="1168">
        <f>VLOOKUP(B227,ĐTBT!$V:$W,2,0)</f>
        <v>1</v>
      </c>
      <c r="BB227" s="1168"/>
      <c r="BC227" s="1221"/>
      <c r="BD227" s="1221"/>
      <c r="BE227" s="1222"/>
      <c r="BF227" s="1221"/>
      <c r="BG227" s="1221"/>
      <c r="BH227" s="1221"/>
      <c r="BJ227" s="1168"/>
      <c r="BL227" s="1220"/>
    </row>
    <row r="228" spans="1:64" s="1219" customFormat="1" ht="15">
      <c r="A228" s="1217">
        <f>IF(C228="","",COUNTA($C$13:C228))</f>
        <v>216</v>
      </c>
      <c r="B228" s="1163" t="s">
        <v>625</v>
      </c>
      <c r="C228" s="1164">
        <v>0.375</v>
      </c>
      <c r="D228" s="1164">
        <f t="shared" si="199"/>
        <v>0.39583333333333331</v>
      </c>
      <c r="E228" s="1165">
        <v>42798</v>
      </c>
      <c r="F228" s="1164">
        <f t="shared" si="200"/>
        <v>0.40277777777777773</v>
      </c>
      <c r="G228" s="1164">
        <f t="shared" si="201"/>
        <v>0.40624999999999994</v>
      </c>
      <c r="H228" s="1165">
        <f t="shared" si="217"/>
        <v>42798</v>
      </c>
      <c r="I228" s="1166">
        <v>-0.02</v>
      </c>
      <c r="J228" s="1166">
        <v>-2.3E-2</v>
      </c>
      <c r="K228" s="1166">
        <v>-6.2E-2</v>
      </c>
      <c r="L228" s="1166">
        <v>-0.51200000000000001</v>
      </c>
      <c r="M228" s="1164">
        <f t="shared" si="202"/>
        <v>0.40972222222222215</v>
      </c>
      <c r="N228" s="1164">
        <f t="shared" si="203"/>
        <v>0.42013888888888884</v>
      </c>
      <c r="O228" s="1165">
        <f t="shared" si="218"/>
        <v>42798</v>
      </c>
      <c r="P228" s="1166">
        <v>1.06</v>
      </c>
      <c r="Q228" s="1166">
        <v>9</v>
      </c>
      <c r="R228" s="1166">
        <v>24</v>
      </c>
      <c r="S228" s="1166">
        <v>0</v>
      </c>
      <c r="T228" s="1164">
        <f t="shared" si="204"/>
        <v>0.54513888888888884</v>
      </c>
      <c r="U228" s="1167">
        <f t="shared" si="219"/>
        <v>42798</v>
      </c>
      <c r="V228" s="1166">
        <v>22.75</v>
      </c>
      <c r="W228" s="1164">
        <f t="shared" si="205"/>
        <v>0.67013888888888884</v>
      </c>
      <c r="X228" s="1167">
        <f t="shared" si="220"/>
        <v>42798</v>
      </c>
      <c r="Y228" s="1166">
        <v>41.85</v>
      </c>
      <c r="Z228" s="1164">
        <f t="shared" si="206"/>
        <v>0.71180555555555547</v>
      </c>
      <c r="AA228" s="1164">
        <f t="shared" si="207"/>
        <v>0.73263888888888873</v>
      </c>
      <c r="AB228" s="1167">
        <f t="shared" si="221"/>
        <v>42798</v>
      </c>
      <c r="AC228" s="1166">
        <v>41.87</v>
      </c>
      <c r="AD228" s="1164">
        <f t="shared" si="208"/>
        <v>0.73958333333333315</v>
      </c>
      <c r="AE228" s="1164">
        <f t="shared" si="209"/>
        <v>0.74999999999999978</v>
      </c>
      <c r="AF228" s="1167">
        <f t="shared" si="222"/>
        <v>42798</v>
      </c>
      <c r="AG228" s="1164">
        <f t="shared" si="210"/>
        <v>0.7569444444444442</v>
      </c>
      <c r="AH228" s="1164">
        <f t="shared" si="211"/>
        <v>0.7881944444444442</v>
      </c>
      <c r="AI228" s="1167">
        <f t="shared" si="223"/>
        <v>42798</v>
      </c>
      <c r="AJ228" s="1164">
        <f t="shared" si="212"/>
        <v>0.80902777777777746</v>
      </c>
      <c r="AK228" s="1164">
        <f t="shared" si="213"/>
        <v>0.81597222222222188</v>
      </c>
      <c r="AL228" s="1167">
        <f t="shared" si="224"/>
        <v>42798</v>
      </c>
      <c r="AM228" s="1166">
        <v>1.06</v>
      </c>
      <c r="AN228" s="1166">
        <v>9</v>
      </c>
      <c r="AO228" s="1166">
        <v>24</v>
      </c>
      <c r="AP228" s="1166">
        <v>0</v>
      </c>
      <c r="AQ228" s="1164">
        <f t="shared" si="215"/>
        <v>0.81597222222222188</v>
      </c>
      <c r="AR228" s="1164">
        <f t="shared" si="214"/>
        <v>0.8229166666666663</v>
      </c>
      <c r="AS228" s="1167">
        <f t="shared" si="225"/>
        <v>42798</v>
      </c>
      <c r="AT228" s="1166">
        <v>41.87</v>
      </c>
      <c r="AU228" s="1164">
        <f t="shared" si="216"/>
        <v>0.8229166666666663</v>
      </c>
      <c r="AV228" s="1167">
        <f t="shared" si="226"/>
        <v>42798</v>
      </c>
      <c r="AW228" s="1164">
        <f t="shared" si="227"/>
        <v>0.87847222222222188</v>
      </c>
      <c r="AX228" s="1167">
        <f t="shared" si="228"/>
        <v>42798</v>
      </c>
      <c r="AY228" s="1166">
        <v>6.5</v>
      </c>
      <c r="AZ228" s="1166">
        <v>43</v>
      </c>
      <c r="BA228" s="1168">
        <f>VLOOKUP(B228,ĐTBT!$V:$W,2,0)</f>
        <v>4</v>
      </c>
      <c r="BB228" s="1168"/>
      <c r="BC228" s="1221"/>
      <c r="BD228" s="1221"/>
      <c r="BE228" s="1222"/>
      <c r="BF228" s="1221"/>
      <c r="BG228" s="1221"/>
      <c r="BH228" s="1221"/>
      <c r="BJ228" s="1168"/>
      <c r="BL228" s="1220"/>
    </row>
    <row r="230" spans="1:64" s="1219" customFormat="1" ht="15">
      <c r="A230" s="1236"/>
      <c r="B230" s="1234"/>
      <c r="C230" s="1237"/>
      <c r="D230" s="1237"/>
      <c r="E230" s="1225"/>
      <c r="F230" s="1237"/>
      <c r="G230" s="1237"/>
      <c r="H230" s="1225"/>
      <c r="I230" s="1168"/>
      <c r="J230" s="1168"/>
      <c r="K230" s="1168"/>
      <c r="L230" s="1168"/>
      <c r="M230" s="1237"/>
      <c r="N230" s="1237"/>
      <c r="O230" s="1225"/>
      <c r="P230" s="1168"/>
      <c r="Q230" s="1168"/>
      <c r="R230" s="1168"/>
      <c r="S230" s="1168"/>
      <c r="T230" s="1237"/>
      <c r="U230" s="1221"/>
      <c r="V230" s="1168"/>
      <c r="W230" s="1237"/>
      <c r="X230" s="1221"/>
      <c r="Y230" s="1168"/>
      <c r="Z230" s="1237"/>
      <c r="AA230" s="1237"/>
      <c r="AB230" s="1221"/>
      <c r="AC230" s="1168"/>
      <c r="AD230" s="1237"/>
      <c r="AE230" s="1237"/>
      <c r="AF230" s="1221"/>
      <c r="AG230" s="1237"/>
      <c r="AH230" s="1237"/>
      <c r="AI230" s="1221"/>
      <c r="AJ230" s="1237"/>
      <c r="AK230" s="1237"/>
      <c r="AL230" s="1221"/>
      <c r="AM230" s="1168"/>
      <c r="AN230" s="1168"/>
      <c r="AO230" s="1168"/>
      <c r="AP230" s="1168"/>
      <c r="AQ230" s="1237"/>
      <c r="AR230" s="1237"/>
      <c r="AS230" s="1221"/>
      <c r="AT230" s="1168"/>
      <c r="AU230" s="1237"/>
      <c r="AV230" s="1221"/>
      <c r="AW230" s="1237"/>
      <c r="AX230" s="1221"/>
      <c r="AY230" s="1168"/>
      <c r="AZ230" s="1168"/>
      <c r="BA230" s="1168"/>
      <c r="BB230" s="1168"/>
      <c r="BC230" s="1221"/>
      <c r="BD230" s="1221"/>
      <c r="BE230" s="1222"/>
      <c r="BF230" s="1221"/>
      <c r="BG230" s="1221"/>
      <c r="BH230" s="1221"/>
      <c r="BJ230" s="1168"/>
      <c r="BL230" s="1220"/>
    </row>
    <row r="231" spans="1:64" s="1219" customFormat="1" ht="15">
      <c r="A231" s="1236"/>
      <c r="B231" s="1234"/>
      <c r="C231" s="1237"/>
      <c r="D231" s="1237"/>
      <c r="E231" s="1225"/>
      <c r="F231" s="1237"/>
      <c r="G231" s="1237"/>
      <c r="H231" s="1225"/>
      <c r="I231" s="1168"/>
      <c r="J231" s="1168"/>
      <c r="K231" s="1168"/>
      <c r="L231" s="1168"/>
      <c r="M231" s="1237"/>
      <c r="N231" s="1237"/>
      <c r="O231" s="1225"/>
      <c r="P231" s="1168"/>
      <c r="Q231" s="1168"/>
      <c r="R231" s="1168"/>
      <c r="S231" s="1168"/>
      <c r="T231" s="1237"/>
      <c r="U231" s="1221"/>
      <c r="V231" s="1168"/>
      <c r="W231" s="1237"/>
      <c r="X231" s="1221"/>
      <c r="Y231" s="1168"/>
      <c r="Z231" s="1237"/>
      <c r="AA231" s="1237"/>
      <c r="AB231" s="1221"/>
      <c r="AC231" s="1168"/>
      <c r="AD231" s="1237"/>
      <c r="AE231" s="1237"/>
      <c r="AF231" s="1221"/>
      <c r="AG231" s="1237"/>
      <c r="AH231" s="1237"/>
      <c r="AI231" s="1221"/>
      <c r="AJ231" s="1237"/>
      <c r="AK231" s="1237"/>
      <c r="AL231" s="1221"/>
      <c r="AM231" s="1168"/>
      <c r="AN231" s="1168"/>
      <c r="AO231" s="1168"/>
      <c r="AP231" s="1168"/>
      <c r="AQ231" s="1237"/>
      <c r="AR231" s="1237"/>
      <c r="AS231" s="1221"/>
      <c r="AT231" s="1168"/>
      <c r="AU231" s="1237"/>
      <c r="AV231" s="1221"/>
      <c r="AW231" s="1237"/>
      <c r="AX231" s="1221"/>
      <c r="AY231" s="1168"/>
      <c r="AZ231" s="1168"/>
      <c r="BA231" s="1168"/>
      <c r="BB231" s="1168"/>
      <c r="BC231" s="1221"/>
      <c r="BD231" s="1221"/>
      <c r="BE231" s="1222"/>
      <c r="BF231" s="1221"/>
      <c r="BG231" s="1221"/>
      <c r="BH231" s="1221"/>
      <c r="BJ231" s="1168"/>
      <c r="BL231" s="1220"/>
    </row>
    <row r="232" spans="1:64" s="1219" customFormat="1" ht="15">
      <c r="A232" s="1236"/>
      <c r="B232" s="1234"/>
      <c r="C232" s="1237"/>
      <c r="D232" s="1237"/>
      <c r="E232" s="1225"/>
      <c r="F232" s="1237"/>
      <c r="G232" s="1237"/>
      <c r="H232" s="1225"/>
      <c r="I232" s="1168"/>
      <c r="J232" s="1168"/>
      <c r="K232" s="1168"/>
      <c r="L232" s="1168"/>
      <c r="M232" s="1237"/>
      <c r="N232" s="1237"/>
      <c r="O232" s="1225"/>
      <c r="P232" s="1168"/>
      <c r="Q232" s="1168"/>
      <c r="R232" s="1168"/>
      <c r="S232" s="1168"/>
      <c r="T232" s="1237"/>
      <c r="U232" s="1221"/>
      <c r="V232" s="1168"/>
      <c r="W232" s="1237"/>
      <c r="X232" s="1221"/>
      <c r="Y232" s="1168"/>
      <c r="Z232" s="1237"/>
      <c r="AA232" s="1237"/>
      <c r="AB232" s="1221"/>
      <c r="AC232" s="1168"/>
      <c r="AD232" s="1237"/>
      <c r="AE232" s="1237"/>
      <c r="AF232" s="1221"/>
      <c r="AG232" s="1237"/>
      <c r="AH232" s="1237"/>
      <c r="AI232" s="1221"/>
      <c r="AJ232" s="1237"/>
      <c r="AK232" s="1237"/>
      <c r="AL232" s="1221"/>
      <c r="AM232" s="1168"/>
      <c r="AN232" s="1168"/>
      <c r="AO232" s="1168"/>
      <c r="AP232" s="1168"/>
      <c r="AQ232" s="1237"/>
      <c r="AR232" s="1237"/>
      <c r="AS232" s="1221"/>
      <c r="AT232" s="1168"/>
      <c r="AU232" s="1237"/>
      <c r="AV232" s="1221"/>
      <c r="AW232" s="1237"/>
      <c r="AX232" s="1221"/>
      <c r="AY232" s="1168"/>
      <c r="AZ232" s="1168"/>
      <c r="BA232" s="1168"/>
      <c r="BB232" s="1168"/>
      <c r="BC232" s="1221"/>
      <c r="BD232" s="1221"/>
      <c r="BE232" s="1222"/>
      <c r="BF232" s="1221"/>
      <c r="BG232" s="1221"/>
      <c r="BH232" s="1221"/>
      <c r="BJ232" s="1168"/>
      <c r="BL232" s="1220"/>
    </row>
    <row r="233" spans="1:64" s="1219" customFormat="1" ht="15">
      <c r="A233" s="1236"/>
      <c r="B233" s="1234"/>
      <c r="C233" s="1237"/>
      <c r="D233" s="1237"/>
      <c r="E233" s="1225"/>
      <c r="F233" s="1237"/>
      <c r="G233" s="1237"/>
      <c r="H233" s="1225"/>
      <c r="I233" s="1168"/>
      <c r="J233" s="1168"/>
      <c r="K233" s="1168"/>
      <c r="L233" s="1168"/>
      <c r="M233" s="1237"/>
      <c r="N233" s="1237"/>
      <c r="O233" s="1225"/>
      <c r="P233" s="1168"/>
      <c r="Q233" s="1168"/>
      <c r="R233" s="1168"/>
      <c r="S233" s="1168"/>
      <c r="T233" s="1237"/>
      <c r="U233" s="1221"/>
      <c r="V233" s="1168"/>
      <c r="W233" s="1237"/>
      <c r="X233" s="1221"/>
      <c r="Y233" s="1168"/>
      <c r="Z233" s="1237"/>
      <c r="AA233" s="1237"/>
      <c r="AB233" s="1221"/>
      <c r="AC233" s="1168"/>
      <c r="AD233" s="1237"/>
      <c r="AE233" s="1237"/>
      <c r="AF233" s="1221"/>
      <c r="AG233" s="1237"/>
      <c r="AH233" s="1237"/>
      <c r="AI233" s="1221"/>
      <c r="AJ233" s="1237"/>
      <c r="AK233" s="1237"/>
      <c r="AL233" s="1221"/>
      <c r="AM233" s="1168"/>
      <c r="AN233" s="1168"/>
      <c r="AO233" s="1168"/>
      <c r="AP233" s="1168"/>
      <c r="AQ233" s="1237"/>
      <c r="AR233" s="1237"/>
      <c r="AS233" s="1221"/>
      <c r="AT233" s="1168"/>
      <c r="AU233" s="1237"/>
      <c r="AV233" s="1221"/>
      <c r="AW233" s="1237"/>
      <c r="AX233" s="1221"/>
      <c r="AY233" s="1168"/>
      <c r="AZ233" s="1168"/>
      <c r="BA233" s="1168"/>
      <c r="BB233" s="1168"/>
      <c r="BC233" s="1221"/>
      <c r="BD233" s="1221"/>
      <c r="BE233" s="1222"/>
      <c r="BF233" s="1221"/>
      <c r="BG233" s="1221"/>
      <c r="BH233" s="1221"/>
      <c r="BJ233" s="1168"/>
      <c r="BL233" s="1220"/>
    </row>
    <row r="234" spans="1:64" s="1219" customFormat="1" ht="15">
      <c r="A234" s="1236"/>
      <c r="B234" s="1234"/>
      <c r="C234" s="1237"/>
      <c r="D234" s="1237"/>
      <c r="E234" s="1225"/>
      <c r="F234" s="1237"/>
      <c r="G234" s="1237"/>
      <c r="H234" s="1225"/>
      <c r="I234" s="1168"/>
      <c r="J234" s="1168"/>
      <c r="K234" s="1168"/>
      <c r="L234" s="1168"/>
      <c r="M234" s="1237"/>
      <c r="N234" s="1237"/>
      <c r="O234" s="1225"/>
      <c r="P234" s="1168"/>
      <c r="Q234" s="1168"/>
      <c r="R234" s="1168"/>
      <c r="S234" s="1168"/>
      <c r="T234" s="1237"/>
      <c r="U234" s="1221"/>
      <c r="V234" s="1168"/>
      <c r="W234" s="1237"/>
      <c r="X234" s="1221"/>
      <c r="Y234" s="1168"/>
      <c r="Z234" s="1237"/>
      <c r="AA234" s="1237"/>
      <c r="AB234" s="1221"/>
      <c r="AC234" s="1168"/>
      <c r="AD234" s="1237"/>
      <c r="AE234" s="1237"/>
      <c r="AF234" s="1221"/>
      <c r="AG234" s="1237"/>
      <c r="AH234" s="1237"/>
      <c r="AI234" s="1221"/>
      <c r="AJ234" s="1237"/>
      <c r="AK234" s="1237"/>
      <c r="AL234" s="1221"/>
      <c r="AM234" s="1168"/>
      <c r="AN234" s="1168"/>
      <c r="AO234" s="1168"/>
      <c r="AP234" s="1168"/>
      <c r="AQ234" s="1237"/>
      <c r="AR234" s="1237"/>
      <c r="AS234" s="1221"/>
      <c r="AT234" s="1168"/>
      <c r="AU234" s="1237"/>
      <c r="AV234" s="1221"/>
      <c r="AW234" s="1237"/>
      <c r="AX234" s="1221"/>
      <c r="AY234" s="1168"/>
      <c r="AZ234" s="1168"/>
      <c r="BA234" s="1168"/>
      <c r="BB234" s="1168"/>
      <c r="BC234" s="1221"/>
      <c r="BD234" s="1221"/>
      <c r="BE234" s="1222"/>
      <c r="BF234" s="1221"/>
      <c r="BG234" s="1221"/>
      <c r="BH234" s="1221"/>
      <c r="BJ234" s="1168"/>
      <c r="BL234" s="1220"/>
    </row>
    <row r="235" spans="1:64" s="1219" customFormat="1" ht="15">
      <c r="A235" s="1236"/>
      <c r="B235" s="1234"/>
      <c r="C235" s="1237"/>
      <c r="D235" s="1237"/>
      <c r="E235" s="1225"/>
      <c r="F235" s="1237"/>
      <c r="G235" s="1237"/>
      <c r="H235" s="1225"/>
      <c r="I235" s="1168"/>
      <c r="J235" s="1168"/>
      <c r="K235" s="1168"/>
      <c r="L235" s="1168"/>
      <c r="M235" s="1237"/>
      <c r="N235" s="1237"/>
      <c r="O235" s="1225"/>
      <c r="P235" s="1168"/>
      <c r="Q235" s="1168"/>
      <c r="R235" s="1168"/>
      <c r="S235" s="1168"/>
      <c r="T235" s="1237"/>
      <c r="U235" s="1221"/>
      <c r="V235" s="1168"/>
      <c r="W235" s="1237"/>
      <c r="X235" s="1221"/>
      <c r="Y235" s="1168"/>
      <c r="Z235" s="1237"/>
      <c r="AA235" s="1237"/>
      <c r="AB235" s="1221"/>
      <c r="AC235" s="1168"/>
      <c r="AD235" s="1237"/>
      <c r="AE235" s="1237"/>
      <c r="AF235" s="1221"/>
      <c r="AG235" s="1237"/>
      <c r="AH235" s="1237"/>
      <c r="AI235" s="1221"/>
      <c r="AJ235" s="1237"/>
      <c r="AK235" s="1237"/>
      <c r="AL235" s="1221"/>
      <c r="AM235" s="1168"/>
      <c r="AN235" s="1168"/>
      <c r="AO235" s="1168"/>
      <c r="AP235" s="1168"/>
      <c r="AQ235" s="1237"/>
      <c r="AR235" s="1237"/>
      <c r="AS235" s="1221"/>
      <c r="AT235" s="1168"/>
      <c r="AU235" s="1237"/>
      <c r="AV235" s="1221"/>
      <c r="AW235" s="1237"/>
      <c r="AX235" s="1221"/>
      <c r="AY235" s="1168"/>
      <c r="AZ235" s="1168"/>
      <c r="BA235" s="1168"/>
      <c r="BB235" s="1168"/>
      <c r="BC235" s="1221"/>
      <c r="BD235" s="1221"/>
      <c r="BE235" s="1222"/>
      <c r="BF235" s="1221"/>
      <c r="BG235" s="1221"/>
      <c r="BH235" s="1221"/>
      <c r="BJ235" s="1168"/>
      <c r="BL235" s="1220"/>
    </row>
    <row r="236" spans="1:64" s="1219" customFormat="1" ht="15">
      <c r="A236" s="1236"/>
      <c r="B236" s="1234"/>
      <c r="C236" s="1237"/>
      <c r="D236" s="1237"/>
      <c r="E236" s="1225"/>
      <c r="F236" s="1237"/>
      <c r="G236" s="1237"/>
      <c r="H236" s="1225"/>
      <c r="I236" s="1168"/>
      <c r="J236" s="1168"/>
      <c r="K236" s="1168"/>
      <c r="L236" s="1168"/>
      <c r="M236" s="1237"/>
      <c r="N236" s="1237"/>
      <c r="O236" s="1225"/>
      <c r="P236" s="1168"/>
      <c r="Q236" s="1168"/>
      <c r="R236" s="1168"/>
      <c r="S236" s="1168"/>
      <c r="T236" s="1237"/>
      <c r="U236" s="1221"/>
      <c r="V236" s="1168"/>
      <c r="W236" s="1237"/>
      <c r="X236" s="1221"/>
      <c r="Y236" s="1168"/>
      <c r="Z236" s="1237"/>
      <c r="AA236" s="1237"/>
      <c r="AB236" s="1221"/>
      <c r="AC236" s="1168"/>
      <c r="AD236" s="1237"/>
      <c r="AE236" s="1237"/>
      <c r="AF236" s="1221"/>
      <c r="AG236" s="1237"/>
      <c r="AH236" s="1237"/>
      <c r="AI236" s="1221"/>
      <c r="AJ236" s="1237"/>
      <c r="AK236" s="1237"/>
      <c r="AL236" s="1221"/>
      <c r="AM236" s="1168"/>
      <c r="AN236" s="1168"/>
      <c r="AO236" s="1168"/>
      <c r="AP236" s="1168"/>
      <c r="AQ236" s="1237"/>
      <c r="AR236" s="1237"/>
      <c r="AS236" s="1221"/>
      <c r="AT236" s="1168"/>
      <c r="AU236" s="1237"/>
      <c r="AV236" s="1221"/>
      <c r="AW236" s="1237"/>
      <c r="AX236" s="1221"/>
      <c r="AY236" s="1168"/>
      <c r="AZ236" s="1168"/>
      <c r="BA236" s="1168"/>
      <c r="BB236" s="1168"/>
      <c r="BC236" s="1221"/>
      <c r="BD236" s="1221"/>
      <c r="BE236" s="1222"/>
      <c r="BF236" s="1221"/>
      <c r="BG236" s="1221"/>
      <c r="BH236" s="1221"/>
      <c r="BJ236" s="1168"/>
      <c r="BL236" s="1220"/>
    </row>
    <row r="237" spans="1:64" s="1219" customFormat="1" ht="15">
      <c r="A237" s="1236"/>
      <c r="B237" s="1234"/>
      <c r="C237" s="1237"/>
      <c r="D237" s="1237"/>
      <c r="E237" s="1225"/>
      <c r="F237" s="1237"/>
      <c r="G237" s="1237"/>
      <c r="H237" s="1225"/>
      <c r="I237" s="1168"/>
      <c r="J237" s="1168"/>
      <c r="K237" s="1168"/>
      <c r="L237" s="1168"/>
      <c r="M237" s="1237"/>
      <c r="N237" s="1237"/>
      <c r="O237" s="1225"/>
      <c r="P237" s="1168"/>
      <c r="Q237" s="1168"/>
      <c r="R237" s="1168"/>
      <c r="S237" s="1168"/>
      <c r="T237" s="1237"/>
      <c r="U237" s="1221"/>
      <c r="V237" s="1168"/>
      <c r="W237" s="1237"/>
      <c r="X237" s="1221"/>
      <c r="Y237" s="1168"/>
      <c r="Z237" s="1237"/>
      <c r="AA237" s="1237"/>
      <c r="AB237" s="1221"/>
      <c r="AC237" s="1168"/>
      <c r="AD237" s="1237"/>
      <c r="AE237" s="1237"/>
      <c r="AF237" s="1221"/>
      <c r="AG237" s="1237"/>
      <c r="AH237" s="1237"/>
      <c r="AI237" s="1221"/>
      <c r="AJ237" s="1237"/>
      <c r="AK237" s="1237"/>
      <c r="AL237" s="1221"/>
      <c r="AM237" s="1168"/>
      <c r="AN237" s="1168"/>
      <c r="AO237" s="1168"/>
      <c r="AP237" s="1168"/>
      <c r="AQ237" s="1237"/>
      <c r="AR237" s="1237"/>
      <c r="AS237" s="1221"/>
      <c r="AT237" s="1168"/>
      <c r="AU237" s="1237"/>
      <c r="AV237" s="1221"/>
      <c r="AW237" s="1237"/>
      <c r="AX237" s="1221"/>
      <c r="AY237" s="1168"/>
      <c r="AZ237" s="1168"/>
      <c r="BA237" s="1168"/>
      <c r="BB237" s="1168"/>
      <c r="BC237" s="1221"/>
      <c r="BD237" s="1221"/>
      <c r="BE237" s="1222"/>
      <c r="BF237" s="1221"/>
      <c r="BG237" s="1221"/>
      <c r="BH237" s="1221"/>
      <c r="BJ237" s="1168"/>
      <c r="BL237" s="1220"/>
    </row>
    <row r="238" spans="1:64" s="1219" customFormat="1" ht="15">
      <c r="A238" s="1236"/>
      <c r="B238" s="1234"/>
      <c r="C238" s="1237"/>
      <c r="D238" s="1237"/>
      <c r="E238" s="1225"/>
      <c r="F238" s="1237"/>
      <c r="G238" s="1237"/>
      <c r="H238" s="1225"/>
      <c r="I238" s="1168"/>
      <c r="J238" s="1168"/>
      <c r="K238" s="1168"/>
      <c r="L238" s="1168"/>
      <c r="M238" s="1237"/>
      <c r="N238" s="1237"/>
      <c r="O238" s="1225"/>
      <c r="P238" s="1168"/>
      <c r="Q238" s="1168"/>
      <c r="R238" s="1168"/>
      <c r="S238" s="1168"/>
      <c r="T238" s="1237"/>
      <c r="U238" s="1221"/>
      <c r="V238" s="1168"/>
      <c r="W238" s="1237"/>
      <c r="X238" s="1221"/>
      <c r="Y238" s="1168"/>
      <c r="Z238" s="1237"/>
      <c r="AA238" s="1237"/>
      <c r="AB238" s="1221"/>
      <c r="AC238" s="1168"/>
      <c r="AD238" s="1237"/>
      <c r="AE238" s="1237"/>
      <c r="AF238" s="1221"/>
      <c r="AG238" s="1237"/>
      <c r="AH238" s="1237"/>
      <c r="AI238" s="1221"/>
      <c r="AJ238" s="1237"/>
      <c r="AK238" s="1237"/>
      <c r="AL238" s="1221"/>
      <c r="AM238" s="1168"/>
      <c r="AN238" s="1168"/>
      <c r="AO238" s="1168"/>
      <c r="AP238" s="1168"/>
      <c r="AQ238" s="1237"/>
      <c r="AR238" s="1237"/>
      <c r="AS238" s="1221"/>
      <c r="AT238" s="1168"/>
      <c r="AU238" s="1237"/>
      <c r="AV238" s="1221"/>
      <c r="AW238" s="1237"/>
      <c r="AX238" s="1221"/>
      <c r="AY238" s="1168"/>
      <c r="AZ238" s="1168"/>
      <c r="BA238" s="1168"/>
      <c r="BB238" s="1168"/>
      <c r="BC238" s="1221"/>
      <c r="BD238" s="1221"/>
      <c r="BE238" s="1222"/>
      <c r="BF238" s="1221"/>
      <c r="BG238" s="1221"/>
      <c r="BH238" s="1221"/>
      <c r="BJ238" s="1168"/>
      <c r="BL238" s="1220"/>
    </row>
    <row r="239" spans="1:64" s="1219" customFormat="1" ht="15">
      <c r="A239" s="1236"/>
      <c r="B239" s="1234"/>
      <c r="C239" s="1237"/>
      <c r="D239" s="1237"/>
      <c r="E239" s="1225"/>
      <c r="F239" s="1237"/>
      <c r="G239" s="1237"/>
      <c r="H239" s="1225"/>
      <c r="I239" s="1168"/>
      <c r="J239" s="1168"/>
      <c r="K239" s="1168"/>
      <c r="L239" s="1168"/>
      <c r="M239" s="1237"/>
      <c r="N239" s="1237"/>
      <c r="O239" s="1225"/>
      <c r="P239" s="1168"/>
      <c r="Q239" s="1168"/>
      <c r="R239" s="1168"/>
      <c r="S239" s="1168"/>
      <c r="T239" s="1237"/>
      <c r="U239" s="1221"/>
      <c r="V239" s="1168"/>
      <c r="W239" s="1237"/>
      <c r="X239" s="1221"/>
      <c r="Y239" s="1168"/>
      <c r="Z239" s="1237"/>
      <c r="AA239" s="1237"/>
      <c r="AB239" s="1221"/>
      <c r="AC239" s="1168"/>
      <c r="AD239" s="1237"/>
      <c r="AE239" s="1237"/>
      <c r="AF239" s="1221"/>
      <c r="AG239" s="1237"/>
      <c r="AH239" s="1237"/>
      <c r="AI239" s="1221"/>
      <c r="AJ239" s="1237"/>
      <c r="AK239" s="1237"/>
      <c r="AL239" s="1221"/>
      <c r="AM239" s="1168"/>
      <c r="AN239" s="1168"/>
      <c r="AO239" s="1168"/>
      <c r="AP239" s="1168"/>
      <c r="AQ239" s="1237"/>
      <c r="AR239" s="1237"/>
      <c r="AS239" s="1221"/>
      <c r="AT239" s="1168"/>
      <c r="AU239" s="1237"/>
      <c r="AV239" s="1221"/>
      <c r="AW239" s="1237"/>
      <c r="AX239" s="1221"/>
      <c r="AY239" s="1168"/>
      <c r="AZ239" s="1168"/>
      <c r="BA239" s="1168"/>
      <c r="BB239" s="1168"/>
      <c r="BC239" s="1221"/>
      <c r="BD239" s="1221"/>
      <c r="BE239" s="1222"/>
      <c r="BF239" s="1221"/>
      <c r="BG239" s="1221"/>
      <c r="BH239" s="1221"/>
      <c r="BJ239" s="1168"/>
      <c r="BL239" s="1220"/>
    </row>
    <row r="240" spans="1:64" s="1219" customFormat="1" ht="15">
      <c r="A240" s="1236"/>
      <c r="B240" s="1234"/>
      <c r="C240" s="1237"/>
      <c r="D240" s="1237"/>
      <c r="E240" s="1225"/>
      <c r="F240" s="1237"/>
      <c r="G240" s="1237"/>
      <c r="H240" s="1225"/>
      <c r="I240" s="1168"/>
      <c r="J240" s="1168"/>
      <c r="K240" s="1168"/>
      <c r="L240" s="1168"/>
      <c r="M240" s="1237"/>
      <c r="N240" s="1237"/>
      <c r="O240" s="1225"/>
      <c r="P240" s="1168"/>
      <c r="Q240" s="1168"/>
      <c r="R240" s="1168"/>
      <c r="S240" s="1168"/>
      <c r="T240" s="1237"/>
      <c r="U240" s="1221"/>
      <c r="V240" s="1168"/>
      <c r="W240" s="1237"/>
      <c r="X240" s="1221"/>
      <c r="Y240" s="1168"/>
      <c r="Z240" s="1237"/>
      <c r="AA240" s="1237"/>
      <c r="AB240" s="1221"/>
      <c r="AC240" s="1168"/>
      <c r="AD240" s="1237"/>
      <c r="AE240" s="1237"/>
      <c r="AF240" s="1221"/>
      <c r="AG240" s="1237"/>
      <c r="AH240" s="1237"/>
      <c r="AI240" s="1221"/>
      <c r="AJ240" s="1237"/>
      <c r="AK240" s="1237"/>
      <c r="AL240" s="1221"/>
      <c r="AM240" s="1168"/>
      <c r="AN240" s="1168"/>
      <c r="AO240" s="1168"/>
      <c r="AP240" s="1168"/>
      <c r="AQ240" s="1237"/>
      <c r="AR240" s="1237"/>
      <c r="AS240" s="1221"/>
      <c r="AT240" s="1168"/>
      <c r="AU240" s="1237"/>
      <c r="AV240" s="1221"/>
      <c r="AW240" s="1237"/>
      <c r="AX240" s="1221"/>
      <c r="AY240" s="1168"/>
      <c r="AZ240" s="1168"/>
      <c r="BA240" s="1168"/>
      <c r="BB240" s="1168"/>
      <c r="BC240" s="1221"/>
      <c r="BD240" s="1221"/>
      <c r="BE240" s="1222"/>
      <c r="BF240" s="1221"/>
      <c r="BG240" s="1221"/>
      <c r="BH240" s="1221"/>
      <c r="BJ240" s="1168"/>
      <c r="BL240" s="1220"/>
    </row>
    <row r="241" spans="1:64" s="1219" customFormat="1" ht="15">
      <c r="A241" s="1236"/>
      <c r="B241" s="1234"/>
      <c r="C241" s="1237"/>
      <c r="D241" s="1237"/>
      <c r="E241" s="1225"/>
      <c r="F241" s="1237"/>
      <c r="G241" s="1237"/>
      <c r="H241" s="1225"/>
      <c r="I241" s="1168"/>
      <c r="J241" s="1168"/>
      <c r="K241" s="1168"/>
      <c r="L241" s="1168"/>
      <c r="M241" s="1237"/>
      <c r="N241" s="1237"/>
      <c r="O241" s="1225"/>
      <c r="P241" s="1168"/>
      <c r="Q241" s="1168"/>
      <c r="R241" s="1168"/>
      <c r="S241" s="1168"/>
      <c r="T241" s="1237"/>
      <c r="U241" s="1221"/>
      <c r="V241" s="1168"/>
      <c r="W241" s="1237"/>
      <c r="X241" s="1221"/>
      <c r="Y241" s="1168"/>
      <c r="Z241" s="1237"/>
      <c r="AA241" s="1237"/>
      <c r="AB241" s="1221"/>
      <c r="AC241" s="1168"/>
      <c r="AD241" s="1237"/>
      <c r="AE241" s="1237"/>
      <c r="AF241" s="1221"/>
      <c r="AG241" s="1237"/>
      <c r="AH241" s="1237"/>
      <c r="AI241" s="1221"/>
      <c r="AJ241" s="1237"/>
      <c r="AK241" s="1237"/>
      <c r="AL241" s="1221"/>
      <c r="AM241" s="1168"/>
      <c r="AN241" s="1168"/>
      <c r="AO241" s="1168"/>
      <c r="AP241" s="1168"/>
      <c r="AQ241" s="1237"/>
      <c r="AR241" s="1237"/>
      <c r="AS241" s="1221"/>
      <c r="AT241" s="1168"/>
      <c r="AU241" s="1237"/>
      <c r="AV241" s="1221"/>
      <c r="AW241" s="1237"/>
      <c r="AX241" s="1221"/>
      <c r="AY241" s="1168"/>
      <c r="AZ241" s="1168"/>
      <c r="BA241" s="1168"/>
      <c r="BB241" s="1168"/>
      <c r="BC241" s="1221"/>
      <c r="BD241" s="1221"/>
      <c r="BE241" s="1222"/>
      <c r="BF241" s="1221"/>
      <c r="BG241" s="1221"/>
      <c r="BH241" s="1221"/>
      <c r="BJ241" s="1168"/>
      <c r="BL241" s="1220"/>
    </row>
    <row r="242" spans="1:64" s="1219" customFormat="1" ht="15">
      <c r="A242" s="1236"/>
      <c r="B242" s="1234"/>
      <c r="C242" s="1237"/>
      <c r="D242" s="1237"/>
      <c r="E242" s="1225"/>
      <c r="F242" s="1237"/>
      <c r="G242" s="1237"/>
      <c r="H242" s="1225"/>
      <c r="I242" s="1168"/>
      <c r="J242" s="1168"/>
      <c r="K242" s="1168"/>
      <c r="L242" s="1168"/>
      <c r="M242" s="1237"/>
      <c r="N242" s="1237"/>
      <c r="O242" s="1225"/>
      <c r="P242" s="1168"/>
      <c r="Q242" s="1168"/>
      <c r="R242" s="1168"/>
      <c r="S242" s="1168"/>
      <c r="T242" s="1237"/>
      <c r="U242" s="1221"/>
      <c r="V242" s="1168"/>
      <c r="W242" s="1237"/>
      <c r="X242" s="1221"/>
      <c r="Y242" s="1168"/>
      <c r="Z242" s="1237"/>
      <c r="AA242" s="1237"/>
      <c r="AB242" s="1221"/>
      <c r="AC242" s="1168"/>
      <c r="AD242" s="1237"/>
      <c r="AE242" s="1237"/>
      <c r="AF242" s="1221"/>
      <c r="AG242" s="1237"/>
      <c r="AH242" s="1237"/>
      <c r="AI242" s="1221"/>
      <c r="AJ242" s="1237"/>
      <c r="AK242" s="1237"/>
      <c r="AL242" s="1221"/>
      <c r="AM242" s="1168"/>
      <c r="AN242" s="1168"/>
      <c r="AO242" s="1168"/>
      <c r="AP242" s="1168"/>
      <c r="AQ242" s="1237"/>
      <c r="AR242" s="1237"/>
      <c r="AS242" s="1221"/>
      <c r="AT242" s="1168"/>
      <c r="AU242" s="1237"/>
      <c r="AV242" s="1221"/>
      <c r="AW242" s="1237"/>
      <c r="AX242" s="1221"/>
      <c r="AY242" s="1168"/>
      <c r="AZ242" s="1168"/>
      <c r="BA242" s="1168"/>
      <c r="BB242" s="1168"/>
      <c r="BC242" s="1221"/>
      <c r="BD242" s="1221"/>
      <c r="BE242" s="1222"/>
      <c r="BF242" s="1221"/>
      <c r="BG242" s="1221"/>
      <c r="BH242" s="1221"/>
      <c r="BJ242" s="1168"/>
      <c r="BL242" s="1220"/>
    </row>
    <row r="243" spans="1:64" s="1219" customFormat="1" ht="15">
      <c r="A243" s="1236"/>
      <c r="B243" s="1234"/>
      <c r="C243" s="1237"/>
      <c r="D243" s="1237"/>
      <c r="E243" s="1225"/>
      <c r="F243" s="1237"/>
      <c r="G243" s="1237"/>
      <c r="H243" s="1225"/>
      <c r="I243" s="1168"/>
      <c r="J243" s="1168"/>
      <c r="K243" s="1168"/>
      <c r="L243" s="1168"/>
      <c r="M243" s="1237"/>
      <c r="N243" s="1237"/>
      <c r="O243" s="1225"/>
      <c r="P243" s="1168"/>
      <c r="Q243" s="1168"/>
      <c r="R243" s="1168"/>
      <c r="S243" s="1168"/>
      <c r="T243" s="1237"/>
      <c r="U243" s="1221"/>
      <c r="V243" s="1168"/>
      <c r="W243" s="1237"/>
      <c r="X243" s="1221"/>
      <c r="Y243" s="1168"/>
      <c r="Z243" s="1237"/>
      <c r="AA243" s="1237"/>
      <c r="AB243" s="1221"/>
      <c r="AC243" s="1168"/>
      <c r="AD243" s="1237"/>
      <c r="AE243" s="1237"/>
      <c r="AF243" s="1221"/>
      <c r="AG243" s="1237"/>
      <c r="AH243" s="1237"/>
      <c r="AI243" s="1221"/>
      <c r="AJ243" s="1237"/>
      <c r="AK243" s="1237"/>
      <c r="AL243" s="1221"/>
      <c r="AM243" s="1168"/>
      <c r="AN243" s="1168"/>
      <c r="AO243" s="1168"/>
      <c r="AP243" s="1168"/>
      <c r="AQ243" s="1237"/>
      <c r="AR243" s="1237"/>
      <c r="AS243" s="1221"/>
      <c r="AT243" s="1168"/>
      <c r="AU243" s="1237"/>
      <c r="AV243" s="1221"/>
      <c r="AW243" s="1237"/>
      <c r="AX243" s="1221"/>
      <c r="AY243" s="1168"/>
      <c r="AZ243" s="1168"/>
      <c r="BA243" s="1168"/>
      <c r="BB243" s="1168"/>
      <c r="BC243" s="1221"/>
      <c r="BD243" s="1221"/>
      <c r="BE243" s="1222"/>
      <c r="BF243" s="1221"/>
      <c r="BG243" s="1221"/>
      <c r="BH243" s="1221"/>
      <c r="BJ243" s="1168"/>
      <c r="BL243" s="1220"/>
    </row>
    <row r="244" spans="1:64" s="1219" customFormat="1" ht="15">
      <c r="A244" s="1236"/>
      <c r="B244" s="1234"/>
      <c r="C244" s="1237"/>
      <c r="D244" s="1237"/>
      <c r="E244" s="1225"/>
      <c r="F244" s="1237"/>
      <c r="G244" s="1237"/>
      <c r="H244" s="1225"/>
      <c r="I244" s="1168"/>
      <c r="J244" s="1168"/>
      <c r="K244" s="1168"/>
      <c r="L244" s="1168"/>
      <c r="M244" s="1237"/>
      <c r="N244" s="1237"/>
      <c r="O244" s="1225"/>
      <c r="P244" s="1168"/>
      <c r="Q244" s="1168"/>
      <c r="R244" s="1168"/>
      <c r="S244" s="1168"/>
      <c r="T244" s="1237"/>
      <c r="U244" s="1221"/>
      <c r="V244" s="1168"/>
      <c r="W244" s="1237"/>
      <c r="X244" s="1221"/>
      <c r="Y244" s="1168"/>
      <c r="Z244" s="1237"/>
      <c r="AA244" s="1237"/>
      <c r="AB244" s="1221"/>
      <c r="AC244" s="1168"/>
      <c r="AD244" s="1237"/>
      <c r="AE244" s="1237"/>
      <c r="AF244" s="1221"/>
      <c r="AG244" s="1237"/>
      <c r="AH244" s="1237"/>
      <c r="AI244" s="1221"/>
      <c r="AJ244" s="1237"/>
      <c r="AK244" s="1237"/>
      <c r="AL244" s="1221"/>
      <c r="AM244" s="1168"/>
      <c r="AN244" s="1168"/>
      <c r="AO244" s="1168"/>
      <c r="AP244" s="1168"/>
      <c r="AQ244" s="1237"/>
      <c r="AR244" s="1237"/>
      <c r="AS244" s="1221"/>
      <c r="AT244" s="1168"/>
      <c r="AU244" s="1237"/>
      <c r="AV244" s="1221"/>
      <c r="AW244" s="1237"/>
      <c r="AX244" s="1221"/>
      <c r="AY244" s="1168"/>
      <c r="AZ244" s="1168"/>
      <c r="BA244" s="1168"/>
      <c r="BB244" s="1168"/>
      <c r="BC244" s="1221"/>
      <c r="BD244" s="1221"/>
      <c r="BE244" s="1222"/>
      <c r="BF244" s="1221"/>
      <c r="BG244" s="1221"/>
      <c r="BH244" s="1221"/>
      <c r="BJ244" s="1168"/>
      <c r="BL244" s="1220"/>
    </row>
    <row r="245" spans="1:64" s="1219" customFormat="1" ht="15">
      <c r="A245" s="1236"/>
      <c r="B245" s="1234"/>
      <c r="C245" s="1237"/>
      <c r="D245" s="1237"/>
      <c r="E245" s="1225"/>
      <c r="F245" s="1237"/>
      <c r="G245" s="1237"/>
      <c r="H245" s="1225"/>
      <c r="I245" s="1168"/>
      <c r="J245" s="1168"/>
      <c r="K245" s="1168"/>
      <c r="L245" s="1168"/>
      <c r="M245" s="1237"/>
      <c r="N245" s="1237"/>
      <c r="O245" s="1225"/>
      <c r="P245" s="1168"/>
      <c r="Q245" s="1168"/>
      <c r="R245" s="1168"/>
      <c r="S245" s="1168"/>
      <c r="T245" s="1237"/>
      <c r="U245" s="1221"/>
      <c r="V245" s="1168"/>
      <c r="W245" s="1237"/>
      <c r="X245" s="1221"/>
      <c r="Y245" s="1168"/>
      <c r="Z245" s="1237"/>
      <c r="AA245" s="1237"/>
      <c r="AB245" s="1221"/>
      <c r="AC245" s="1168"/>
      <c r="AD245" s="1237"/>
      <c r="AE245" s="1237"/>
      <c r="AF245" s="1221"/>
      <c r="AG245" s="1237"/>
      <c r="AH245" s="1237"/>
      <c r="AI245" s="1221"/>
      <c r="AJ245" s="1237"/>
      <c r="AK245" s="1237"/>
      <c r="AL245" s="1221"/>
      <c r="AM245" s="1168"/>
      <c r="AN245" s="1168"/>
      <c r="AO245" s="1168"/>
      <c r="AP245" s="1168"/>
      <c r="AQ245" s="1237"/>
      <c r="AR245" s="1237"/>
      <c r="AS245" s="1221"/>
      <c r="AT245" s="1168"/>
      <c r="AU245" s="1237"/>
      <c r="AV245" s="1221"/>
      <c r="AW245" s="1237"/>
      <c r="AX245" s="1221"/>
      <c r="AY245" s="1168"/>
      <c r="AZ245" s="1168"/>
      <c r="BA245" s="1168"/>
      <c r="BB245" s="1168"/>
      <c r="BC245" s="1221"/>
      <c r="BD245" s="1221"/>
      <c r="BE245" s="1222"/>
      <c r="BF245" s="1221"/>
      <c r="BG245" s="1221"/>
      <c r="BH245" s="1221"/>
      <c r="BJ245" s="1168"/>
      <c r="BL245" s="1220"/>
    </row>
    <row r="246" spans="1:64" s="1219" customFormat="1" ht="15">
      <c r="A246" s="1236"/>
      <c r="B246" s="1234"/>
      <c r="C246" s="1237"/>
      <c r="D246" s="1237"/>
      <c r="E246" s="1225"/>
      <c r="F246" s="1237"/>
      <c r="G246" s="1237"/>
      <c r="H246" s="1225"/>
      <c r="I246" s="1168"/>
      <c r="J246" s="1168"/>
      <c r="K246" s="1168"/>
      <c r="L246" s="1168"/>
      <c r="M246" s="1237"/>
      <c r="N246" s="1237"/>
      <c r="O246" s="1225"/>
      <c r="P246" s="1168"/>
      <c r="Q246" s="1168"/>
      <c r="R246" s="1168"/>
      <c r="S246" s="1168"/>
      <c r="T246" s="1237"/>
      <c r="U246" s="1221"/>
      <c r="V246" s="1168"/>
      <c r="W246" s="1237"/>
      <c r="X246" s="1221"/>
      <c r="Y246" s="1168"/>
      <c r="Z246" s="1237"/>
      <c r="AA246" s="1237"/>
      <c r="AB246" s="1221"/>
      <c r="AC246" s="1168"/>
      <c r="AD246" s="1237"/>
      <c r="AE246" s="1237"/>
      <c r="AF246" s="1221"/>
      <c r="AG246" s="1237"/>
      <c r="AH246" s="1237"/>
      <c r="AI246" s="1221"/>
      <c r="AJ246" s="1237"/>
      <c r="AK246" s="1237"/>
      <c r="AL246" s="1221"/>
      <c r="AM246" s="1168"/>
      <c r="AN246" s="1168"/>
      <c r="AO246" s="1168"/>
      <c r="AP246" s="1168"/>
      <c r="AQ246" s="1237"/>
      <c r="AR246" s="1237"/>
      <c r="AS246" s="1221"/>
      <c r="AT246" s="1168"/>
      <c r="AU246" s="1237"/>
      <c r="AV246" s="1221"/>
      <c r="AW246" s="1237"/>
      <c r="AX246" s="1221"/>
      <c r="AY246" s="1168"/>
      <c r="AZ246" s="1168"/>
      <c r="BA246" s="1168"/>
      <c r="BB246" s="1168"/>
      <c r="BC246" s="1221"/>
      <c r="BD246" s="1221"/>
      <c r="BE246" s="1222"/>
      <c r="BF246" s="1221"/>
      <c r="BG246" s="1221"/>
      <c r="BH246" s="1221"/>
      <c r="BJ246" s="1168"/>
      <c r="BL246" s="1220"/>
    </row>
    <row r="247" spans="1:64" s="1219" customFormat="1" ht="15">
      <c r="A247" s="1236"/>
      <c r="B247" s="1234"/>
      <c r="C247" s="1237"/>
      <c r="D247" s="1237"/>
      <c r="E247" s="1225"/>
      <c r="F247" s="1237"/>
      <c r="G247" s="1237"/>
      <c r="H247" s="1225"/>
      <c r="I247" s="1168"/>
      <c r="J247" s="1168"/>
      <c r="K247" s="1168"/>
      <c r="L247" s="1168"/>
      <c r="M247" s="1237"/>
      <c r="N247" s="1237"/>
      <c r="O247" s="1225"/>
      <c r="P247" s="1168"/>
      <c r="Q247" s="1168"/>
      <c r="R247" s="1168"/>
      <c r="S247" s="1168"/>
      <c r="T247" s="1237"/>
      <c r="U247" s="1221"/>
      <c r="V247" s="1168"/>
      <c r="W247" s="1237"/>
      <c r="X247" s="1221"/>
      <c r="Y247" s="1168"/>
      <c r="Z247" s="1237"/>
      <c r="AA247" s="1237"/>
      <c r="AB247" s="1221"/>
      <c r="AC247" s="1168"/>
      <c r="AD247" s="1237"/>
      <c r="AE247" s="1237"/>
      <c r="AF247" s="1221"/>
      <c r="AG247" s="1237"/>
      <c r="AH247" s="1237"/>
      <c r="AI247" s="1221"/>
      <c r="AJ247" s="1237"/>
      <c r="AK247" s="1237"/>
      <c r="AL247" s="1221"/>
      <c r="AM247" s="1168"/>
      <c r="AN247" s="1168"/>
      <c r="AO247" s="1168"/>
      <c r="AP247" s="1168"/>
      <c r="AQ247" s="1237"/>
      <c r="AR247" s="1237"/>
      <c r="AS247" s="1221"/>
      <c r="AT247" s="1168"/>
      <c r="AU247" s="1237"/>
      <c r="AV247" s="1221"/>
      <c r="AW247" s="1237"/>
      <c r="AX247" s="1221"/>
      <c r="AY247" s="1168"/>
      <c r="AZ247" s="1168"/>
      <c r="BA247" s="1168"/>
      <c r="BB247" s="1168"/>
      <c r="BC247" s="1221"/>
      <c r="BD247" s="1221"/>
      <c r="BE247" s="1222"/>
      <c r="BF247" s="1221"/>
      <c r="BG247" s="1221"/>
      <c r="BH247" s="1221"/>
      <c r="BJ247" s="1168"/>
      <c r="BL247" s="1220"/>
    </row>
    <row r="248" spans="1:64" s="1219" customFormat="1" ht="15">
      <c r="A248" s="1236"/>
      <c r="B248" s="1234"/>
      <c r="C248" s="1237"/>
      <c r="D248" s="1237"/>
      <c r="E248" s="1225"/>
      <c r="F248" s="1237"/>
      <c r="G248" s="1237"/>
      <c r="H248" s="1225"/>
      <c r="I248" s="1168"/>
      <c r="J248" s="1168"/>
      <c r="K248" s="1168"/>
      <c r="L248" s="1168"/>
      <c r="M248" s="1237"/>
      <c r="N248" s="1237"/>
      <c r="O248" s="1225"/>
      <c r="P248" s="1168"/>
      <c r="Q248" s="1168"/>
      <c r="R248" s="1168"/>
      <c r="S248" s="1168"/>
      <c r="T248" s="1237"/>
      <c r="U248" s="1221"/>
      <c r="V248" s="1168"/>
      <c r="W248" s="1237"/>
      <c r="X248" s="1221"/>
      <c r="Y248" s="1168"/>
      <c r="Z248" s="1237"/>
      <c r="AA248" s="1237"/>
      <c r="AB248" s="1221"/>
      <c r="AC248" s="1168"/>
      <c r="AD248" s="1237"/>
      <c r="AE248" s="1237"/>
      <c r="AF248" s="1221"/>
      <c r="AG248" s="1237"/>
      <c r="AH248" s="1237"/>
      <c r="AI248" s="1221"/>
      <c r="AJ248" s="1237"/>
      <c r="AK248" s="1237"/>
      <c r="AL248" s="1221"/>
      <c r="AM248" s="1168"/>
      <c r="AN248" s="1168"/>
      <c r="AO248" s="1168"/>
      <c r="AP248" s="1168"/>
      <c r="AQ248" s="1237"/>
      <c r="AR248" s="1237"/>
      <c r="AS248" s="1221"/>
      <c r="AT248" s="1168"/>
      <c r="AU248" s="1237"/>
      <c r="AV248" s="1221"/>
      <c r="AW248" s="1237"/>
      <c r="AX248" s="1221"/>
      <c r="AY248" s="1168"/>
      <c r="AZ248" s="1168"/>
      <c r="BA248" s="1168"/>
      <c r="BB248" s="1168"/>
      <c r="BC248" s="1221"/>
      <c r="BD248" s="1221"/>
      <c r="BE248" s="1222"/>
      <c r="BF248" s="1221"/>
      <c r="BG248" s="1221"/>
      <c r="BH248" s="1221"/>
      <c r="BJ248" s="1168"/>
      <c r="BL248" s="1220"/>
    </row>
    <row r="249" spans="1:64" s="1219" customFormat="1" ht="15">
      <c r="A249" s="1236"/>
      <c r="B249" s="1234"/>
      <c r="C249" s="1237"/>
      <c r="D249" s="1237"/>
      <c r="E249" s="1225"/>
      <c r="F249" s="1237"/>
      <c r="G249" s="1237"/>
      <c r="H249" s="1225"/>
      <c r="I249" s="1168"/>
      <c r="J249" s="1168"/>
      <c r="K249" s="1168"/>
      <c r="L249" s="1168"/>
      <c r="M249" s="1237"/>
      <c r="N249" s="1237"/>
      <c r="O249" s="1225"/>
      <c r="P249" s="1168"/>
      <c r="Q249" s="1168"/>
      <c r="R249" s="1168"/>
      <c r="S249" s="1168"/>
      <c r="T249" s="1237"/>
      <c r="U249" s="1221"/>
      <c r="V249" s="1168"/>
      <c r="W249" s="1237"/>
      <c r="X249" s="1221"/>
      <c r="Y249" s="1168"/>
      <c r="Z249" s="1237"/>
      <c r="AA249" s="1237"/>
      <c r="AB249" s="1221"/>
      <c r="AC249" s="1168"/>
      <c r="AD249" s="1237"/>
      <c r="AE249" s="1237"/>
      <c r="AF249" s="1221"/>
      <c r="AG249" s="1237"/>
      <c r="AH249" s="1237"/>
      <c r="AI249" s="1221"/>
      <c r="AJ249" s="1237"/>
      <c r="AK249" s="1237"/>
      <c r="AL249" s="1221"/>
      <c r="AM249" s="1168"/>
      <c r="AN249" s="1168"/>
      <c r="AO249" s="1168"/>
      <c r="AP249" s="1168"/>
      <c r="AQ249" s="1237"/>
      <c r="AR249" s="1237"/>
      <c r="AS249" s="1221"/>
      <c r="AT249" s="1168"/>
      <c r="AU249" s="1237"/>
      <c r="AV249" s="1221"/>
      <c r="AW249" s="1237"/>
      <c r="AX249" s="1221"/>
      <c r="AY249" s="1168"/>
      <c r="AZ249" s="1168"/>
      <c r="BA249" s="1168"/>
      <c r="BB249" s="1168"/>
      <c r="BC249" s="1221"/>
      <c r="BD249" s="1221"/>
      <c r="BE249" s="1222"/>
      <c r="BF249" s="1221"/>
      <c r="BG249" s="1221"/>
      <c r="BH249" s="1221"/>
      <c r="BJ249" s="1168"/>
      <c r="BL249" s="1220"/>
    </row>
    <row r="250" spans="1:64" s="1219" customFormat="1" ht="15">
      <c r="A250" s="1236"/>
      <c r="B250" s="1234"/>
      <c r="C250" s="1237"/>
      <c r="D250" s="1237"/>
      <c r="E250" s="1225"/>
      <c r="F250" s="1237"/>
      <c r="G250" s="1237"/>
      <c r="H250" s="1225"/>
      <c r="I250" s="1168"/>
      <c r="J250" s="1168"/>
      <c r="K250" s="1168"/>
      <c r="L250" s="1168"/>
      <c r="M250" s="1237"/>
      <c r="N250" s="1237"/>
      <c r="O250" s="1225"/>
      <c r="P250" s="1168"/>
      <c r="Q250" s="1168"/>
      <c r="R250" s="1168"/>
      <c r="S250" s="1168"/>
      <c r="T250" s="1237"/>
      <c r="U250" s="1221"/>
      <c r="V250" s="1168"/>
      <c r="W250" s="1237"/>
      <c r="X250" s="1221"/>
      <c r="Y250" s="1168"/>
      <c r="Z250" s="1237"/>
      <c r="AA250" s="1237"/>
      <c r="AB250" s="1221"/>
      <c r="AC250" s="1168"/>
      <c r="AD250" s="1237"/>
      <c r="AE250" s="1237"/>
      <c r="AF250" s="1221"/>
      <c r="AG250" s="1237"/>
      <c r="AH250" s="1237"/>
      <c r="AI250" s="1221"/>
      <c r="AJ250" s="1237"/>
      <c r="AK250" s="1237"/>
      <c r="AL250" s="1221"/>
      <c r="AM250" s="1168"/>
      <c r="AN250" s="1168"/>
      <c r="AO250" s="1168"/>
      <c r="AP250" s="1168"/>
      <c r="AQ250" s="1237"/>
      <c r="AR250" s="1237"/>
      <c r="AS250" s="1221"/>
      <c r="AT250" s="1168"/>
      <c r="AU250" s="1237"/>
      <c r="AV250" s="1221"/>
      <c r="AW250" s="1237"/>
      <c r="AX250" s="1221"/>
      <c r="AY250" s="1168"/>
      <c r="AZ250" s="1168"/>
      <c r="BA250" s="1168"/>
      <c r="BB250" s="1168"/>
      <c r="BC250" s="1221"/>
      <c r="BD250" s="1221"/>
      <c r="BE250" s="1222"/>
      <c r="BF250" s="1221"/>
      <c r="BG250" s="1221"/>
      <c r="BH250" s="1221"/>
      <c r="BJ250" s="1168"/>
      <c r="BL250" s="1220"/>
    </row>
    <row r="251" spans="1:64" s="1219" customFormat="1" ht="15">
      <c r="A251" s="1236"/>
      <c r="B251" s="1234"/>
      <c r="C251" s="1237"/>
      <c r="D251" s="1237"/>
      <c r="E251" s="1225"/>
      <c r="F251" s="1237"/>
      <c r="G251" s="1237"/>
      <c r="H251" s="1225"/>
      <c r="I251" s="1168"/>
      <c r="J251" s="1168"/>
      <c r="K251" s="1168"/>
      <c r="L251" s="1168"/>
      <c r="M251" s="1237"/>
      <c r="N251" s="1237"/>
      <c r="O251" s="1225"/>
      <c r="P251" s="1168"/>
      <c r="Q251" s="1168"/>
      <c r="R251" s="1168"/>
      <c r="S251" s="1168"/>
      <c r="T251" s="1237"/>
      <c r="U251" s="1221"/>
      <c r="V251" s="1168"/>
      <c r="W251" s="1237"/>
      <c r="X251" s="1221"/>
      <c r="Y251" s="1168"/>
      <c r="Z251" s="1237"/>
      <c r="AA251" s="1237"/>
      <c r="AB251" s="1221"/>
      <c r="AC251" s="1168"/>
      <c r="AD251" s="1237"/>
      <c r="AE251" s="1237"/>
      <c r="AF251" s="1221"/>
      <c r="AG251" s="1237"/>
      <c r="AH251" s="1237"/>
      <c r="AI251" s="1221"/>
      <c r="AJ251" s="1237"/>
      <c r="AK251" s="1237"/>
      <c r="AL251" s="1221"/>
      <c r="AM251" s="1168"/>
      <c r="AN251" s="1168"/>
      <c r="AO251" s="1168"/>
      <c r="AP251" s="1168"/>
      <c r="AQ251" s="1237"/>
      <c r="AR251" s="1237"/>
      <c r="AS251" s="1221"/>
      <c r="AT251" s="1168"/>
      <c r="AU251" s="1237"/>
      <c r="AV251" s="1221"/>
      <c r="AW251" s="1237"/>
      <c r="AX251" s="1221"/>
      <c r="AY251" s="1168"/>
      <c r="AZ251" s="1168"/>
      <c r="BA251" s="1168"/>
      <c r="BB251" s="1168"/>
      <c r="BC251" s="1221"/>
      <c r="BD251" s="1221"/>
      <c r="BE251" s="1222"/>
      <c r="BF251" s="1221"/>
      <c r="BG251" s="1221"/>
      <c r="BH251" s="1221"/>
      <c r="BJ251" s="1168"/>
      <c r="BL251" s="1220"/>
    </row>
    <row r="252" spans="1:64" s="1219" customFormat="1" ht="15">
      <c r="A252" s="1236"/>
      <c r="B252" s="1234"/>
      <c r="C252" s="1237"/>
      <c r="D252" s="1237"/>
      <c r="E252" s="1225"/>
      <c r="F252" s="1237"/>
      <c r="G252" s="1237"/>
      <c r="H252" s="1225"/>
      <c r="I252" s="1168"/>
      <c r="J252" s="1168"/>
      <c r="K252" s="1168"/>
      <c r="L252" s="1168"/>
      <c r="M252" s="1237"/>
      <c r="N252" s="1237"/>
      <c r="O252" s="1225"/>
      <c r="P252" s="1168"/>
      <c r="Q252" s="1168"/>
      <c r="R252" s="1168"/>
      <c r="S252" s="1168"/>
      <c r="T252" s="1237"/>
      <c r="U252" s="1221"/>
      <c r="V252" s="1168"/>
      <c r="W252" s="1237"/>
      <c r="X252" s="1221"/>
      <c r="Y252" s="1168"/>
      <c r="Z252" s="1237"/>
      <c r="AA252" s="1237"/>
      <c r="AB252" s="1221"/>
      <c r="AC252" s="1168"/>
      <c r="AD252" s="1237"/>
      <c r="AE252" s="1237"/>
      <c r="AF252" s="1221"/>
      <c r="AG252" s="1237"/>
      <c r="AH252" s="1237"/>
      <c r="AI252" s="1221"/>
      <c r="AJ252" s="1237"/>
      <c r="AK252" s="1237"/>
      <c r="AL252" s="1221"/>
      <c r="AM252" s="1168"/>
      <c r="AN252" s="1168"/>
      <c r="AO252" s="1168"/>
      <c r="AP252" s="1168"/>
      <c r="AQ252" s="1237"/>
      <c r="AR252" s="1237"/>
      <c r="AS252" s="1221"/>
      <c r="AT252" s="1168"/>
      <c r="AU252" s="1237"/>
      <c r="AV252" s="1221"/>
      <c r="AW252" s="1237"/>
      <c r="AX252" s="1221"/>
      <c r="AY252" s="1168"/>
      <c r="AZ252" s="1168"/>
      <c r="BA252" s="1168"/>
      <c r="BB252" s="1168"/>
      <c r="BC252" s="1221"/>
      <c r="BD252" s="1221"/>
      <c r="BE252" s="1222"/>
      <c r="BF252" s="1221"/>
      <c r="BG252" s="1221"/>
      <c r="BH252" s="1221"/>
      <c r="BJ252" s="1168"/>
      <c r="BL252" s="1220"/>
    </row>
    <row r="253" spans="1:64" s="1219" customFormat="1" ht="15">
      <c r="A253" s="1236"/>
      <c r="B253" s="1234"/>
      <c r="C253" s="1237"/>
      <c r="D253" s="1237"/>
      <c r="E253" s="1225"/>
      <c r="F253" s="1237"/>
      <c r="G253" s="1237"/>
      <c r="H253" s="1225"/>
      <c r="I253" s="1168"/>
      <c r="J253" s="1168"/>
      <c r="K253" s="1168"/>
      <c r="L253" s="1168"/>
      <c r="M253" s="1237"/>
      <c r="N253" s="1237"/>
      <c r="O253" s="1225"/>
      <c r="P253" s="1168"/>
      <c r="Q253" s="1168"/>
      <c r="R253" s="1168"/>
      <c r="S253" s="1168"/>
      <c r="T253" s="1237"/>
      <c r="U253" s="1221"/>
      <c r="V253" s="1168"/>
      <c r="W253" s="1237"/>
      <c r="X253" s="1221"/>
      <c r="Y253" s="1168"/>
      <c r="Z253" s="1237"/>
      <c r="AA253" s="1237"/>
      <c r="AB253" s="1221"/>
      <c r="AC253" s="1168"/>
      <c r="AD253" s="1237"/>
      <c r="AE253" s="1237"/>
      <c r="AF253" s="1221"/>
      <c r="AG253" s="1237"/>
      <c r="AH253" s="1237"/>
      <c r="AI253" s="1221"/>
      <c r="AJ253" s="1237"/>
      <c r="AK253" s="1237"/>
      <c r="AL253" s="1221"/>
      <c r="AM253" s="1168"/>
      <c r="AN253" s="1168"/>
      <c r="AO253" s="1168"/>
      <c r="AP253" s="1168"/>
      <c r="AQ253" s="1237"/>
      <c r="AR253" s="1237"/>
      <c r="AS253" s="1221"/>
      <c r="AT253" s="1168"/>
      <c r="AU253" s="1237"/>
      <c r="AV253" s="1221"/>
      <c r="AW253" s="1237"/>
      <c r="AX253" s="1221"/>
      <c r="AY253" s="1168"/>
      <c r="AZ253" s="1168"/>
      <c r="BA253" s="1168"/>
      <c r="BB253" s="1168"/>
      <c r="BC253" s="1221"/>
      <c r="BD253" s="1221"/>
      <c r="BE253" s="1222"/>
      <c r="BF253" s="1221"/>
      <c r="BG253" s="1221"/>
      <c r="BH253" s="1221"/>
      <c r="BJ253" s="1168"/>
      <c r="BL253" s="1220"/>
    </row>
    <row r="254" spans="1:64" s="1219" customFormat="1" ht="15">
      <c r="A254" s="1236"/>
      <c r="B254" s="1234"/>
      <c r="C254" s="1237"/>
      <c r="D254" s="1237"/>
      <c r="E254" s="1225"/>
      <c r="F254" s="1237"/>
      <c r="G254" s="1237"/>
      <c r="H254" s="1225"/>
      <c r="I254" s="1168"/>
      <c r="J254" s="1168"/>
      <c r="K254" s="1168"/>
      <c r="L254" s="1168"/>
      <c r="M254" s="1237"/>
      <c r="N254" s="1237"/>
      <c r="O254" s="1225"/>
      <c r="P254" s="1168"/>
      <c r="Q254" s="1168"/>
      <c r="R254" s="1168"/>
      <c r="S254" s="1168"/>
      <c r="T254" s="1237"/>
      <c r="U254" s="1221"/>
      <c r="V254" s="1168"/>
      <c r="W254" s="1237"/>
      <c r="X254" s="1221"/>
      <c r="Y254" s="1168"/>
      <c r="Z254" s="1237"/>
      <c r="AA254" s="1237"/>
      <c r="AB254" s="1221"/>
      <c r="AC254" s="1168"/>
      <c r="AD254" s="1237"/>
      <c r="AE254" s="1237"/>
      <c r="AF254" s="1221"/>
      <c r="AG254" s="1237"/>
      <c r="AH254" s="1237"/>
      <c r="AI254" s="1221"/>
      <c r="AJ254" s="1237"/>
      <c r="AK254" s="1237"/>
      <c r="AL254" s="1221"/>
      <c r="AM254" s="1168"/>
      <c r="AN254" s="1168"/>
      <c r="AO254" s="1168"/>
      <c r="AP254" s="1168"/>
      <c r="AQ254" s="1237"/>
      <c r="AR254" s="1237"/>
      <c r="AS254" s="1221"/>
      <c r="AT254" s="1168"/>
      <c r="AU254" s="1237"/>
      <c r="AV254" s="1221"/>
      <c r="AW254" s="1237"/>
      <c r="AX254" s="1221"/>
      <c r="AY254" s="1168"/>
      <c r="AZ254" s="1168"/>
      <c r="BA254" s="1168"/>
      <c r="BB254" s="1168"/>
      <c r="BC254" s="1221"/>
      <c r="BD254" s="1221"/>
      <c r="BE254" s="1222"/>
      <c r="BF254" s="1221"/>
      <c r="BG254" s="1221"/>
      <c r="BH254" s="1221"/>
      <c r="BJ254" s="1168"/>
      <c r="BL254" s="1220"/>
    </row>
    <row r="255" spans="1:64" s="1219" customFormat="1" ht="15">
      <c r="A255" s="1236"/>
      <c r="B255" s="1234"/>
      <c r="C255" s="1237"/>
      <c r="D255" s="1237"/>
      <c r="E255" s="1225"/>
      <c r="F255" s="1237"/>
      <c r="G255" s="1237"/>
      <c r="H255" s="1225"/>
      <c r="I255" s="1168"/>
      <c r="J255" s="1168"/>
      <c r="K255" s="1168"/>
      <c r="L255" s="1168"/>
      <c r="M255" s="1237"/>
      <c r="N255" s="1237"/>
      <c r="O255" s="1225"/>
      <c r="P255" s="1168"/>
      <c r="Q255" s="1168"/>
      <c r="R255" s="1168"/>
      <c r="S255" s="1168"/>
      <c r="T255" s="1237"/>
      <c r="U255" s="1221"/>
      <c r="V255" s="1168"/>
      <c r="W255" s="1237"/>
      <c r="X255" s="1221"/>
      <c r="Y255" s="1168"/>
      <c r="Z255" s="1237"/>
      <c r="AA255" s="1237"/>
      <c r="AB255" s="1221"/>
      <c r="AC255" s="1168"/>
      <c r="AD255" s="1237"/>
      <c r="AE255" s="1237"/>
      <c r="AF255" s="1221"/>
      <c r="AG255" s="1237"/>
      <c r="AH255" s="1237"/>
      <c r="AI255" s="1221"/>
      <c r="AJ255" s="1237"/>
      <c r="AK255" s="1237"/>
      <c r="AL255" s="1221"/>
      <c r="AM255" s="1168"/>
      <c r="AN255" s="1168"/>
      <c r="AO255" s="1168"/>
      <c r="AP255" s="1168"/>
      <c r="AQ255" s="1237"/>
      <c r="AR255" s="1237"/>
      <c r="AS255" s="1221"/>
      <c r="AT255" s="1168"/>
      <c r="AU255" s="1237"/>
      <c r="AV255" s="1221"/>
      <c r="AW255" s="1237"/>
      <c r="AX255" s="1221"/>
      <c r="AY255" s="1168"/>
      <c r="AZ255" s="1168"/>
      <c r="BA255" s="1168"/>
      <c r="BB255" s="1168"/>
      <c r="BC255" s="1221"/>
      <c r="BD255" s="1221"/>
      <c r="BE255" s="1222"/>
      <c r="BF255" s="1221"/>
      <c r="BG255" s="1221"/>
      <c r="BH255" s="1221"/>
      <c r="BJ255" s="1168"/>
      <c r="BL255" s="1220"/>
    </row>
    <row r="256" spans="1:64" s="1219" customFormat="1" ht="15">
      <c r="A256" s="1236"/>
      <c r="B256" s="1234"/>
      <c r="C256" s="1237"/>
      <c r="D256" s="1237"/>
      <c r="E256" s="1225"/>
      <c r="F256" s="1237"/>
      <c r="G256" s="1237"/>
      <c r="H256" s="1225"/>
      <c r="I256" s="1168"/>
      <c r="J256" s="1168"/>
      <c r="K256" s="1168"/>
      <c r="L256" s="1168"/>
      <c r="M256" s="1237"/>
      <c r="N256" s="1237"/>
      <c r="O256" s="1225"/>
      <c r="P256" s="1168"/>
      <c r="Q256" s="1168"/>
      <c r="R256" s="1168"/>
      <c r="S256" s="1168"/>
      <c r="T256" s="1237"/>
      <c r="U256" s="1221"/>
      <c r="V256" s="1168"/>
      <c r="W256" s="1237"/>
      <c r="X256" s="1221"/>
      <c r="Y256" s="1168"/>
      <c r="Z256" s="1237"/>
      <c r="AA256" s="1237"/>
      <c r="AB256" s="1221"/>
      <c r="AC256" s="1168"/>
      <c r="AD256" s="1237"/>
      <c r="AE256" s="1237"/>
      <c r="AF256" s="1221"/>
      <c r="AG256" s="1237"/>
      <c r="AH256" s="1237"/>
      <c r="AI256" s="1221"/>
      <c r="AJ256" s="1237"/>
      <c r="AK256" s="1237"/>
      <c r="AL256" s="1221"/>
      <c r="AM256" s="1168"/>
      <c r="AN256" s="1168"/>
      <c r="AO256" s="1168"/>
      <c r="AP256" s="1168"/>
      <c r="AQ256" s="1237"/>
      <c r="AR256" s="1237"/>
      <c r="AS256" s="1221"/>
      <c r="AT256" s="1168"/>
      <c r="AU256" s="1237"/>
      <c r="AV256" s="1221"/>
      <c r="AW256" s="1237"/>
      <c r="AX256" s="1221"/>
      <c r="AY256" s="1168"/>
      <c r="AZ256" s="1168"/>
      <c r="BA256" s="1168"/>
      <c r="BB256" s="1168"/>
      <c r="BC256" s="1221"/>
      <c r="BD256" s="1221"/>
      <c r="BE256" s="1222"/>
      <c r="BF256" s="1221"/>
      <c r="BG256" s="1221"/>
      <c r="BH256" s="1221"/>
      <c r="BJ256" s="1168"/>
      <c r="BL256" s="1220"/>
    </row>
    <row r="257" spans="1:64" s="1219" customFormat="1" ht="15">
      <c r="A257" s="1236"/>
      <c r="B257" s="1234"/>
      <c r="C257" s="1237"/>
      <c r="D257" s="1237"/>
      <c r="E257" s="1225"/>
      <c r="F257" s="1237"/>
      <c r="G257" s="1237"/>
      <c r="H257" s="1225"/>
      <c r="I257" s="1168"/>
      <c r="J257" s="1168"/>
      <c r="K257" s="1168"/>
      <c r="L257" s="1168"/>
      <c r="M257" s="1237"/>
      <c r="N257" s="1237"/>
      <c r="O257" s="1225"/>
      <c r="P257" s="1168"/>
      <c r="Q257" s="1168"/>
      <c r="R257" s="1168"/>
      <c r="S257" s="1168"/>
      <c r="T257" s="1237"/>
      <c r="U257" s="1221"/>
      <c r="V257" s="1168"/>
      <c r="W257" s="1237"/>
      <c r="X257" s="1221"/>
      <c r="Y257" s="1168"/>
      <c r="Z257" s="1237"/>
      <c r="AA257" s="1237"/>
      <c r="AB257" s="1221"/>
      <c r="AC257" s="1168"/>
      <c r="AD257" s="1237"/>
      <c r="AE257" s="1237"/>
      <c r="AF257" s="1221"/>
      <c r="AG257" s="1237"/>
      <c r="AH257" s="1237"/>
      <c r="AI257" s="1221"/>
      <c r="AJ257" s="1237"/>
      <c r="AK257" s="1237"/>
      <c r="AL257" s="1221"/>
      <c r="AM257" s="1168"/>
      <c r="AN257" s="1168"/>
      <c r="AO257" s="1168"/>
      <c r="AP257" s="1168"/>
      <c r="AQ257" s="1237"/>
      <c r="AR257" s="1237"/>
      <c r="AS257" s="1221"/>
      <c r="AT257" s="1168"/>
      <c r="AU257" s="1237"/>
      <c r="AV257" s="1221"/>
      <c r="AW257" s="1237"/>
      <c r="AX257" s="1221"/>
      <c r="AY257" s="1168"/>
      <c r="AZ257" s="1168"/>
      <c r="BA257" s="1168"/>
      <c r="BB257" s="1168"/>
      <c r="BC257" s="1221"/>
      <c r="BD257" s="1221"/>
      <c r="BE257" s="1222"/>
      <c r="BF257" s="1221"/>
      <c r="BG257" s="1221"/>
      <c r="BH257" s="1221"/>
      <c r="BJ257" s="1168"/>
      <c r="BL257" s="1220"/>
    </row>
    <row r="258" spans="1:64" s="1219" customFormat="1" ht="15">
      <c r="A258" s="1236"/>
      <c r="B258" s="1234"/>
      <c r="C258" s="1237"/>
      <c r="D258" s="1237"/>
      <c r="E258" s="1225"/>
      <c r="F258" s="1237"/>
      <c r="G258" s="1237"/>
      <c r="H258" s="1225"/>
      <c r="I258" s="1168"/>
      <c r="J258" s="1168"/>
      <c r="K258" s="1168"/>
      <c r="L258" s="1168"/>
      <c r="M258" s="1237"/>
      <c r="N258" s="1237"/>
      <c r="O258" s="1225"/>
      <c r="P258" s="1168"/>
      <c r="Q258" s="1168"/>
      <c r="R258" s="1168"/>
      <c r="S258" s="1168"/>
      <c r="T258" s="1237"/>
      <c r="U258" s="1221"/>
      <c r="V258" s="1168"/>
      <c r="W258" s="1237"/>
      <c r="X258" s="1221"/>
      <c r="Y258" s="1168"/>
      <c r="Z258" s="1237"/>
      <c r="AA258" s="1237"/>
      <c r="AB258" s="1221"/>
      <c r="AC258" s="1168"/>
      <c r="AD258" s="1237"/>
      <c r="AE258" s="1237"/>
      <c r="AF258" s="1221"/>
      <c r="AG258" s="1237"/>
      <c r="AH258" s="1237"/>
      <c r="AI258" s="1221"/>
      <c r="AJ258" s="1237"/>
      <c r="AK258" s="1237"/>
      <c r="AL258" s="1221"/>
      <c r="AM258" s="1168"/>
      <c r="AN258" s="1168"/>
      <c r="AO258" s="1168"/>
      <c r="AP258" s="1168"/>
      <c r="AQ258" s="1237"/>
      <c r="AR258" s="1237"/>
      <c r="AS258" s="1221"/>
      <c r="AT258" s="1168"/>
      <c r="AU258" s="1237"/>
      <c r="AV258" s="1221"/>
      <c r="AW258" s="1237"/>
      <c r="AX258" s="1221"/>
      <c r="AY258" s="1168"/>
      <c r="AZ258" s="1168"/>
      <c r="BA258" s="1168"/>
      <c r="BB258" s="1168"/>
      <c r="BC258" s="1221"/>
      <c r="BD258" s="1221"/>
      <c r="BE258" s="1222"/>
      <c r="BF258" s="1221"/>
      <c r="BG258" s="1221"/>
      <c r="BH258" s="1221"/>
      <c r="BJ258" s="1168"/>
      <c r="BL258" s="1220"/>
    </row>
    <row r="259" spans="1:64" s="1219" customFormat="1" ht="15">
      <c r="A259" s="1236"/>
      <c r="B259" s="1234"/>
      <c r="C259" s="1237"/>
      <c r="D259" s="1237"/>
      <c r="E259" s="1225"/>
      <c r="F259" s="1237"/>
      <c r="G259" s="1237"/>
      <c r="H259" s="1225"/>
      <c r="I259" s="1168"/>
      <c r="J259" s="1168"/>
      <c r="K259" s="1168"/>
      <c r="L259" s="1168"/>
      <c r="M259" s="1237"/>
      <c r="N259" s="1237"/>
      <c r="O259" s="1225"/>
      <c r="P259" s="1168"/>
      <c r="Q259" s="1168"/>
      <c r="R259" s="1168"/>
      <c r="S259" s="1168"/>
      <c r="T259" s="1237"/>
      <c r="U259" s="1221"/>
      <c r="V259" s="1168"/>
      <c r="W259" s="1237"/>
      <c r="X259" s="1221"/>
      <c r="Y259" s="1168"/>
      <c r="Z259" s="1237"/>
      <c r="AA259" s="1237"/>
      <c r="AB259" s="1221"/>
      <c r="AC259" s="1168"/>
      <c r="AD259" s="1237"/>
      <c r="AE259" s="1237"/>
      <c r="AF259" s="1221"/>
      <c r="AG259" s="1237"/>
      <c r="AH259" s="1237"/>
      <c r="AI259" s="1221"/>
      <c r="AJ259" s="1237"/>
      <c r="AK259" s="1237"/>
      <c r="AL259" s="1221"/>
      <c r="AM259" s="1168"/>
      <c r="AN259" s="1168"/>
      <c r="AO259" s="1168"/>
      <c r="AP259" s="1168"/>
      <c r="AQ259" s="1237"/>
      <c r="AR259" s="1237"/>
      <c r="AS259" s="1221"/>
      <c r="AT259" s="1168"/>
      <c r="AU259" s="1237"/>
      <c r="AV259" s="1221"/>
      <c r="AW259" s="1237"/>
      <c r="AX259" s="1221"/>
      <c r="AY259" s="1168"/>
      <c r="AZ259" s="1168"/>
      <c r="BA259" s="1168"/>
      <c r="BB259" s="1168"/>
      <c r="BC259" s="1221"/>
      <c r="BD259" s="1221"/>
      <c r="BE259" s="1222"/>
      <c r="BF259" s="1221"/>
      <c r="BG259" s="1221"/>
      <c r="BH259" s="1221"/>
      <c r="BJ259" s="1168"/>
      <c r="BL259" s="1220"/>
    </row>
    <row r="260" spans="1:64" s="1219" customFormat="1" ht="15">
      <c r="A260" s="1236"/>
      <c r="B260" s="1234"/>
      <c r="C260" s="1237"/>
      <c r="D260" s="1237"/>
      <c r="E260" s="1225"/>
      <c r="F260" s="1237"/>
      <c r="G260" s="1237"/>
      <c r="H260" s="1225"/>
      <c r="I260" s="1168"/>
      <c r="J260" s="1168"/>
      <c r="K260" s="1168"/>
      <c r="L260" s="1168"/>
      <c r="M260" s="1237"/>
      <c r="N260" s="1237"/>
      <c r="O260" s="1225"/>
      <c r="P260" s="1168"/>
      <c r="Q260" s="1168"/>
      <c r="R260" s="1168"/>
      <c r="S260" s="1168"/>
      <c r="T260" s="1237"/>
      <c r="U260" s="1221"/>
      <c r="V260" s="1168"/>
      <c r="W260" s="1237"/>
      <c r="X260" s="1221"/>
      <c r="Y260" s="1168"/>
      <c r="Z260" s="1237"/>
      <c r="AA260" s="1237"/>
      <c r="AB260" s="1221"/>
      <c r="AC260" s="1168"/>
      <c r="AD260" s="1237"/>
      <c r="AE260" s="1237"/>
      <c r="AF260" s="1221"/>
      <c r="AG260" s="1237"/>
      <c r="AH260" s="1237"/>
      <c r="AI260" s="1221"/>
      <c r="AJ260" s="1237"/>
      <c r="AK260" s="1237"/>
      <c r="AL260" s="1221"/>
      <c r="AM260" s="1168"/>
      <c r="AN260" s="1168"/>
      <c r="AO260" s="1168"/>
      <c r="AP260" s="1168"/>
      <c r="AQ260" s="1237"/>
      <c r="AR260" s="1237"/>
      <c r="AS260" s="1221"/>
      <c r="AT260" s="1168"/>
      <c r="AU260" s="1237"/>
      <c r="AV260" s="1221"/>
      <c r="AW260" s="1237"/>
      <c r="AX260" s="1221"/>
      <c r="AY260" s="1168"/>
      <c r="AZ260" s="1168"/>
      <c r="BA260" s="1168"/>
      <c r="BB260" s="1168"/>
      <c r="BC260" s="1221"/>
      <c r="BD260" s="1221"/>
      <c r="BE260" s="1222"/>
      <c r="BF260" s="1221"/>
      <c r="BG260" s="1221"/>
      <c r="BH260" s="1221"/>
      <c r="BJ260" s="1168"/>
      <c r="BL260" s="1220"/>
    </row>
    <row r="261" spans="1:64" s="1219" customFormat="1" ht="15">
      <c r="A261" s="1236"/>
      <c r="B261" s="1234"/>
      <c r="C261" s="1237"/>
      <c r="D261" s="1237"/>
      <c r="E261" s="1225"/>
      <c r="F261" s="1237"/>
      <c r="G261" s="1237"/>
      <c r="H261" s="1225"/>
      <c r="I261" s="1168"/>
      <c r="J261" s="1168"/>
      <c r="K261" s="1168"/>
      <c r="L261" s="1168"/>
      <c r="M261" s="1237"/>
      <c r="N261" s="1237"/>
      <c r="O261" s="1225"/>
      <c r="P261" s="1168"/>
      <c r="Q261" s="1168"/>
      <c r="R261" s="1168"/>
      <c r="S261" s="1168"/>
      <c r="T261" s="1237"/>
      <c r="U261" s="1221"/>
      <c r="V261" s="1168"/>
      <c r="W261" s="1237"/>
      <c r="X261" s="1221"/>
      <c r="Y261" s="1168"/>
      <c r="Z261" s="1237"/>
      <c r="AA261" s="1237"/>
      <c r="AB261" s="1221"/>
      <c r="AC261" s="1168"/>
      <c r="AD261" s="1237"/>
      <c r="AE261" s="1237"/>
      <c r="AF261" s="1221"/>
      <c r="AG261" s="1237"/>
      <c r="AH261" s="1237"/>
      <c r="AI261" s="1221"/>
      <c r="AJ261" s="1237"/>
      <c r="AK261" s="1237"/>
      <c r="AL261" s="1221"/>
      <c r="AM261" s="1168"/>
      <c r="AN261" s="1168"/>
      <c r="AO261" s="1168"/>
      <c r="AP261" s="1168"/>
      <c r="AQ261" s="1237"/>
      <c r="AR261" s="1237"/>
      <c r="AS261" s="1221"/>
      <c r="AT261" s="1168"/>
      <c r="AU261" s="1237"/>
      <c r="AV261" s="1221"/>
      <c r="AW261" s="1237"/>
      <c r="AX261" s="1221"/>
      <c r="AY261" s="1168"/>
      <c r="AZ261" s="1168"/>
      <c r="BA261" s="1168"/>
      <c r="BB261" s="1168"/>
      <c r="BC261" s="1221"/>
      <c r="BD261" s="1221"/>
      <c r="BE261" s="1222"/>
      <c r="BF261" s="1221"/>
      <c r="BG261" s="1221"/>
      <c r="BH261" s="1221"/>
      <c r="BJ261" s="1168"/>
      <c r="BL261" s="1220"/>
    </row>
    <row r="262" spans="1:64" s="1219" customFormat="1" ht="15">
      <c r="A262" s="1236"/>
      <c r="B262" s="1234"/>
      <c r="C262" s="1237"/>
      <c r="D262" s="1237"/>
      <c r="E262" s="1225"/>
      <c r="F262" s="1237"/>
      <c r="G262" s="1237"/>
      <c r="H262" s="1225"/>
      <c r="I262" s="1168"/>
      <c r="J262" s="1168"/>
      <c r="K262" s="1168"/>
      <c r="L262" s="1168"/>
      <c r="M262" s="1237"/>
      <c r="N262" s="1237"/>
      <c r="O262" s="1225"/>
      <c r="P262" s="1168"/>
      <c r="Q262" s="1168"/>
      <c r="R262" s="1168"/>
      <c r="S262" s="1168"/>
      <c r="T262" s="1237"/>
      <c r="U262" s="1221"/>
      <c r="V262" s="1168"/>
      <c r="W262" s="1237"/>
      <c r="X262" s="1221"/>
      <c r="Y262" s="1168"/>
      <c r="Z262" s="1237"/>
      <c r="AA262" s="1237"/>
      <c r="AB262" s="1221"/>
      <c r="AC262" s="1168"/>
      <c r="AD262" s="1237"/>
      <c r="AE262" s="1237"/>
      <c r="AF262" s="1221"/>
      <c r="AG262" s="1237"/>
      <c r="AH262" s="1237"/>
      <c r="AI262" s="1221"/>
      <c r="AJ262" s="1237"/>
      <c r="AK262" s="1237"/>
      <c r="AL262" s="1221"/>
      <c r="AM262" s="1168"/>
      <c r="AN262" s="1168"/>
      <c r="AO262" s="1168"/>
      <c r="AP262" s="1168"/>
      <c r="AQ262" s="1237"/>
      <c r="AR262" s="1237"/>
      <c r="AS262" s="1221"/>
      <c r="AT262" s="1168"/>
      <c r="AU262" s="1237"/>
      <c r="AV262" s="1221"/>
      <c r="AW262" s="1237"/>
      <c r="AX262" s="1221"/>
      <c r="AY262" s="1168"/>
      <c r="AZ262" s="1168"/>
      <c r="BA262" s="1168"/>
      <c r="BB262" s="1168"/>
      <c r="BC262" s="1221"/>
      <c r="BD262" s="1221"/>
      <c r="BE262" s="1222"/>
      <c r="BF262" s="1221"/>
      <c r="BG262" s="1221"/>
      <c r="BH262" s="1221"/>
      <c r="BJ262" s="1168"/>
      <c r="BL262" s="1220"/>
    </row>
    <row r="263" spans="1:64" s="1219" customFormat="1" ht="15">
      <c r="A263" s="1236"/>
      <c r="B263" s="1234"/>
      <c r="C263" s="1237"/>
      <c r="D263" s="1237"/>
      <c r="E263" s="1225"/>
      <c r="F263" s="1237"/>
      <c r="G263" s="1237"/>
      <c r="H263" s="1225"/>
      <c r="I263" s="1168"/>
      <c r="J263" s="1168"/>
      <c r="K263" s="1168"/>
      <c r="L263" s="1168"/>
      <c r="M263" s="1237"/>
      <c r="N263" s="1237"/>
      <c r="O263" s="1225"/>
      <c r="P263" s="1168"/>
      <c r="Q263" s="1168"/>
      <c r="R263" s="1168"/>
      <c r="S263" s="1168"/>
      <c r="T263" s="1237"/>
      <c r="U263" s="1221"/>
      <c r="V263" s="1168"/>
      <c r="W263" s="1237"/>
      <c r="X263" s="1221"/>
      <c r="Y263" s="1168"/>
      <c r="Z263" s="1237"/>
      <c r="AA263" s="1237"/>
      <c r="AB263" s="1221"/>
      <c r="AC263" s="1168"/>
      <c r="AD263" s="1237"/>
      <c r="AE263" s="1237"/>
      <c r="AF263" s="1221"/>
      <c r="AG263" s="1237"/>
      <c r="AH263" s="1237"/>
      <c r="AI263" s="1221"/>
      <c r="AJ263" s="1237"/>
      <c r="AK263" s="1237"/>
      <c r="AL263" s="1221"/>
      <c r="AM263" s="1168"/>
      <c r="AN263" s="1168"/>
      <c r="AO263" s="1168"/>
      <c r="AP263" s="1168"/>
      <c r="AQ263" s="1237"/>
      <c r="AR263" s="1237"/>
      <c r="AS263" s="1221"/>
      <c r="AT263" s="1168"/>
      <c r="AU263" s="1237"/>
      <c r="AV263" s="1221"/>
      <c r="AW263" s="1237"/>
      <c r="AX263" s="1221"/>
      <c r="AY263" s="1168"/>
      <c r="AZ263" s="1168"/>
      <c r="BA263" s="1168"/>
      <c r="BB263" s="1168"/>
      <c r="BC263" s="1221"/>
      <c r="BD263" s="1221"/>
      <c r="BE263" s="1222"/>
      <c r="BF263" s="1221"/>
      <c r="BG263" s="1221"/>
      <c r="BH263" s="1221"/>
      <c r="BJ263" s="1168"/>
      <c r="BL263" s="1220"/>
    </row>
    <row r="264" spans="1:64" s="1219" customFormat="1" ht="15">
      <c r="A264" s="1236"/>
      <c r="B264" s="1234"/>
      <c r="C264" s="1237"/>
      <c r="D264" s="1237"/>
      <c r="E264" s="1225"/>
      <c r="F264" s="1237"/>
      <c r="G264" s="1237"/>
      <c r="H264" s="1225"/>
      <c r="I264" s="1168"/>
      <c r="J264" s="1168"/>
      <c r="K264" s="1168"/>
      <c r="L264" s="1168"/>
      <c r="M264" s="1237"/>
      <c r="N264" s="1237"/>
      <c r="O264" s="1225"/>
      <c r="P264" s="1168"/>
      <c r="Q264" s="1168"/>
      <c r="R264" s="1168"/>
      <c r="S264" s="1168"/>
      <c r="T264" s="1237"/>
      <c r="U264" s="1221"/>
      <c r="V264" s="1168"/>
      <c r="W264" s="1237"/>
      <c r="X264" s="1221"/>
      <c r="Y264" s="1168"/>
      <c r="Z264" s="1237"/>
      <c r="AA264" s="1237"/>
      <c r="AB264" s="1221"/>
      <c r="AC264" s="1168"/>
      <c r="AD264" s="1237"/>
      <c r="AE264" s="1237"/>
      <c r="AF264" s="1221"/>
      <c r="AG264" s="1237"/>
      <c r="AH264" s="1237"/>
      <c r="AI264" s="1221"/>
      <c r="AJ264" s="1237"/>
      <c r="AK264" s="1237"/>
      <c r="AL264" s="1221"/>
      <c r="AM264" s="1168"/>
      <c r="AN264" s="1168"/>
      <c r="AO264" s="1168"/>
      <c r="AP264" s="1168"/>
      <c r="AQ264" s="1237"/>
      <c r="AR264" s="1237"/>
      <c r="AS264" s="1221"/>
      <c r="AT264" s="1168"/>
      <c r="AU264" s="1237"/>
      <c r="AV264" s="1221"/>
      <c r="AW264" s="1237"/>
      <c r="AX264" s="1221"/>
      <c r="AY264" s="1168"/>
      <c r="AZ264" s="1168"/>
      <c r="BA264" s="1168"/>
      <c r="BB264" s="1168"/>
      <c r="BC264" s="1221"/>
      <c r="BD264" s="1221"/>
      <c r="BE264" s="1222"/>
      <c r="BF264" s="1221"/>
      <c r="BG264" s="1221"/>
      <c r="BH264" s="1221"/>
      <c r="BJ264" s="1168"/>
      <c r="BL264" s="1220"/>
    </row>
    <row r="265" spans="1:64" s="1219" customFormat="1" ht="15">
      <c r="A265" s="1236"/>
      <c r="B265" s="1234"/>
      <c r="C265" s="1237"/>
      <c r="D265" s="1237"/>
      <c r="E265" s="1225"/>
      <c r="F265" s="1237"/>
      <c r="G265" s="1237"/>
      <c r="H265" s="1225"/>
      <c r="I265" s="1168"/>
      <c r="J265" s="1168"/>
      <c r="K265" s="1168"/>
      <c r="L265" s="1168"/>
      <c r="M265" s="1237"/>
      <c r="N265" s="1237"/>
      <c r="O265" s="1225"/>
      <c r="P265" s="1168"/>
      <c r="Q265" s="1168"/>
      <c r="R265" s="1168"/>
      <c r="S265" s="1168"/>
      <c r="T265" s="1237"/>
      <c r="U265" s="1221"/>
      <c r="V265" s="1168"/>
      <c r="W265" s="1237"/>
      <c r="X265" s="1221"/>
      <c r="Y265" s="1168"/>
      <c r="Z265" s="1237"/>
      <c r="AA265" s="1237"/>
      <c r="AB265" s="1221"/>
      <c r="AC265" s="1168"/>
      <c r="AD265" s="1237"/>
      <c r="AE265" s="1237"/>
      <c r="AF265" s="1221"/>
      <c r="AG265" s="1237"/>
      <c r="AH265" s="1237"/>
      <c r="AI265" s="1221"/>
      <c r="AJ265" s="1237"/>
      <c r="AK265" s="1237"/>
      <c r="AL265" s="1221"/>
      <c r="AM265" s="1168"/>
      <c r="AN265" s="1168"/>
      <c r="AO265" s="1168"/>
      <c r="AP265" s="1168"/>
      <c r="AQ265" s="1237"/>
      <c r="AR265" s="1237"/>
      <c r="AS265" s="1221"/>
      <c r="AT265" s="1168"/>
      <c r="AU265" s="1237"/>
      <c r="AV265" s="1221"/>
      <c r="AW265" s="1237"/>
      <c r="AX265" s="1221"/>
      <c r="AY265" s="1168"/>
      <c r="AZ265" s="1168"/>
      <c r="BA265" s="1168"/>
      <c r="BB265" s="1168"/>
      <c r="BC265" s="1221"/>
      <c r="BD265" s="1221"/>
      <c r="BE265" s="1222"/>
      <c r="BF265" s="1221"/>
      <c r="BG265" s="1221"/>
      <c r="BH265" s="1221"/>
      <c r="BJ265" s="1168"/>
      <c r="BL265" s="1220"/>
    </row>
    <row r="266" spans="1:64" s="1219" customFormat="1" ht="15">
      <c r="A266" s="1236"/>
      <c r="B266" s="1234"/>
      <c r="C266" s="1237"/>
      <c r="D266" s="1237"/>
      <c r="E266" s="1225"/>
      <c r="F266" s="1237"/>
      <c r="G266" s="1237"/>
      <c r="H266" s="1225"/>
      <c r="I266" s="1168"/>
      <c r="J266" s="1168"/>
      <c r="K266" s="1168"/>
      <c r="L266" s="1168"/>
      <c r="M266" s="1237"/>
      <c r="N266" s="1237"/>
      <c r="O266" s="1225"/>
      <c r="P266" s="1168"/>
      <c r="Q266" s="1168"/>
      <c r="R266" s="1168"/>
      <c r="S266" s="1168"/>
      <c r="T266" s="1237"/>
      <c r="U266" s="1221"/>
      <c r="V266" s="1168"/>
      <c r="W266" s="1237"/>
      <c r="X266" s="1221"/>
      <c r="Y266" s="1168"/>
      <c r="Z266" s="1237"/>
      <c r="AA266" s="1237"/>
      <c r="AB266" s="1221"/>
      <c r="AC266" s="1168"/>
      <c r="AD266" s="1237"/>
      <c r="AE266" s="1237"/>
      <c r="AF266" s="1221"/>
      <c r="AG266" s="1237"/>
      <c r="AH266" s="1237"/>
      <c r="AI266" s="1221"/>
      <c r="AJ266" s="1237"/>
      <c r="AK266" s="1237"/>
      <c r="AL266" s="1221"/>
      <c r="AM266" s="1168"/>
      <c r="AN266" s="1168"/>
      <c r="AO266" s="1168"/>
      <c r="AP266" s="1168"/>
      <c r="AQ266" s="1237"/>
      <c r="AR266" s="1237"/>
      <c r="AS266" s="1221"/>
      <c r="AT266" s="1168"/>
      <c r="AU266" s="1237"/>
      <c r="AV266" s="1221"/>
      <c r="AW266" s="1237"/>
      <c r="AX266" s="1221"/>
      <c r="AY266" s="1168"/>
      <c r="AZ266" s="1168"/>
      <c r="BA266" s="1168"/>
      <c r="BB266" s="1168"/>
      <c r="BC266" s="1221"/>
      <c r="BD266" s="1221"/>
      <c r="BE266" s="1222"/>
      <c r="BF266" s="1221"/>
      <c r="BG266" s="1221"/>
      <c r="BH266" s="1221"/>
      <c r="BJ266" s="1168"/>
      <c r="BL266" s="1220"/>
    </row>
    <row r="267" spans="1:64" s="1219" customFormat="1" ht="15">
      <c r="A267" s="1236"/>
      <c r="B267" s="1234"/>
      <c r="C267" s="1237"/>
      <c r="D267" s="1237"/>
      <c r="E267" s="1225"/>
      <c r="F267" s="1237"/>
      <c r="G267" s="1237"/>
      <c r="H267" s="1225"/>
      <c r="I267" s="1168"/>
      <c r="J267" s="1168"/>
      <c r="K267" s="1168"/>
      <c r="L267" s="1168"/>
      <c r="M267" s="1237"/>
      <c r="N267" s="1237"/>
      <c r="O267" s="1225"/>
      <c r="P267" s="1168"/>
      <c r="Q267" s="1168"/>
      <c r="R267" s="1168"/>
      <c r="S267" s="1168"/>
      <c r="T267" s="1237"/>
      <c r="U267" s="1221"/>
      <c r="V267" s="1168"/>
      <c r="W267" s="1237"/>
      <c r="X267" s="1221"/>
      <c r="Y267" s="1168"/>
      <c r="Z267" s="1237"/>
      <c r="AA267" s="1237"/>
      <c r="AB267" s="1221"/>
      <c r="AC267" s="1168"/>
      <c r="AD267" s="1237"/>
      <c r="AE267" s="1237"/>
      <c r="AF267" s="1221"/>
      <c r="AG267" s="1237"/>
      <c r="AH267" s="1237"/>
      <c r="AI267" s="1221"/>
      <c r="AJ267" s="1237"/>
      <c r="AK267" s="1237"/>
      <c r="AL267" s="1221"/>
      <c r="AM267" s="1168"/>
      <c r="AN267" s="1168"/>
      <c r="AO267" s="1168"/>
      <c r="AP267" s="1168"/>
      <c r="AQ267" s="1237"/>
      <c r="AR267" s="1237"/>
      <c r="AS267" s="1221"/>
      <c r="AT267" s="1168"/>
      <c r="AU267" s="1237"/>
      <c r="AV267" s="1221"/>
      <c r="AW267" s="1237"/>
      <c r="AX267" s="1221"/>
      <c r="AY267" s="1168"/>
      <c r="AZ267" s="1168"/>
      <c r="BA267" s="1168"/>
      <c r="BB267" s="1168"/>
      <c r="BC267" s="1221"/>
      <c r="BD267" s="1221"/>
      <c r="BE267" s="1222"/>
      <c r="BF267" s="1221"/>
      <c r="BG267" s="1221"/>
      <c r="BH267" s="1221"/>
      <c r="BJ267" s="1168"/>
      <c r="BL267" s="1220"/>
    </row>
    <row r="268" spans="1:64" s="1219" customFormat="1" ht="15">
      <c r="A268" s="1236"/>
      <c r="B268" s="1234"/>
      <c r="C268" s="1237"/>
      <c r="D268" s="1237"/>
      <c r="E268" s="1225"/>
      <c r="F268" s="1237"/>
      <c r="G268" s="1237"/>
      <c r="H268" s="1225"/>
      <c r="I268" s="1168"/>
      <c r="J268" s="1168"/>
      <c r="K268" s="1168"/>
      <c r="L268" s="1168"/>
      <c r="M268" s="1237"/>
      <c r="N268" s="1237"/>
      <c r="O268" s="1225"/>
      <c r="P268" s="1168"/>
      <c r="Q268" s="1168"/>
      <c r="R268" s="1168"/>
      <c r="S268" s="1168"/>
      <c r="T268" s="1237"/>
      <c r="U268" s="1221"/>
      <c r="V268" s="1168"/>
      <c r="W268" s="1237"/>
      <c r="X268" s="1221"/>
      <c r="Y268" s="1168"/>
      <c r="Z268" s="1237"/>
      <c r="AA268" s="1237"/>
      <c r="AB268" s="1221"/>
      <c r="AC268" s="1168"/>
      <c r="AD268" s="1237"/>
      <c r="AE268" s="1237"/>
      <c r="AF268" s="1221"/>
      <c r="AG268" s="1237"/>
      <c r="AH268" s="1237"/>
      <c r="AI268" s="1221"/>
      <c r="AJ268" s="1237"/>
      <c r="AK268" s="1237"/>
      <c r="AL268" s="1221"/>
      <c r="AM268" s="1168"/>
      <c r="AN268" s="1168"/>
      <c r="AO268" s="1168"/>
      <c r="AP268" s="1168"/>
      <c r="AQ268" s="1237"/>
      <c r="AR268" s="1237"/>
      <c r="AS268" s="1221"/>
      <c r="AT268" s="1168"/>
      <c r="AU268" s="1237"/>
      <c r="AV268" s="1221"/>
      <c r="AW268" s="1237"/>
      <c r="AX268" s="1221"/>
      <c r="AY268" s="1168"/>
      <c r="AZ268" s="1168"/>
      <c r="BA268" s="1168"/>
      <c r="BB268" s="1168"/>
      <c r="BC268" s="1221"/>
      <c r="BD268" s="1221"/>
      <c r="BE268" s="1222"/>
      <c r="BF268" s="1221"/>
      <c r="BG268" s="1221"/>
      <c r="BH268" s="1221"/>
      <c r="BJ268" s="1168"/>
      <c r="BL268" s="1220"/>
    </row>
    <row r="269" spans="1:64" s="1219" customFormat="1" ht="15">
      <c r="A269" s="1236"/>
      <c r="B269" s="1234"/>
      <c r="C269" s="1237"/>
      <c r="D269" s="1237"/>
      <c r="E269" s="1225"/>
      <c r="F269" s="1237"/>
      <c r="G269" s="1237"/>
      <c r="H269" s="1225"/>
      <c r="I269" s="1168"/>
      <c r="J269" s="1168"/>
      <c r="K269" s="1168"/>
      <c r="L269" s="1168"/>
      <c r="M269" s="1237"/>
      <c r="N269" s="1237"/>
      <c r="O269" s="1225"/>
      <c r="P269" s="1168"/>
      <c r="Q269" s="1168"/>
      <c r="R269" s="1168"/>
      <c r="S269" s="1168"/>
      <c r="T269" s="1237"/>
      <c r="U269" s="1221"/>
      <c r="V269" s="1168"/>
      <c r="W269" s="1237"/>
      <c r="X269" s="1221"/>
      <c r="Y269" s="1168"/>
      <c r="Z269" s="1237"/>
      <c r="AA269" s="1237"/>
      <c r="AB269" s="1221"/>
      <c r="AC269" s="1168"/>
      <c r="AD269" s="1237"/>
      <c r="AE269" s="1237"/>
      <c r="AF269" s="1221"/>
      <c r="AG269" s="1237"/>
      <c r="AH269" s="1237"/>
      <c r="AI269" s="1221"/>
      <c r="AJ269" s="1237"/>
      <c r="AK269" s="1237"/>
      <c r="AL269" s="1221"/>
      <c r="AM269" s="1168"/>
      <c r="AN269" s="1168"/>
      <c r="AO269" s="1168"/>
      <c r="AP269" s="1168"/>
      <c r="AQ269" s="1237"/>
      <c r="AR269" s="1237"/>
      <c r="AS269" s="1221"/>
      <c r="AT269" s="1168"/>
      <c r="AU269" s="1237"/>
      <c r="AV269" s="1221"/>
      <c r="AW269" s="1237"/>
      <c r="AX269" s="1221"/>
      <c r="AY269" s="1168"/>
      <c r="AZ269" s="1168"/>
      <c r="BA269" s="1168"/>
      <c r="BB269" s="1168"/>
      <c r="BC269" s="1221"/>
      <c r="BD269" s="1221"/>
      <c r="BE269" s="1222"/>
      <c r="BF269" s="1221"/>
      <c r="BG269" s="1221"/>
      <c r="BH269" s="1221"/>
      <c r="BJ269" s="1168"/>
      <c r="BL269" s="1220"/>
    </row>
    <row r="270" spans="1:64" s="1219" customFormat="1" ht="15">
      <c r="A270" s="1236"/>
      <c r="B270" s="1234"/>
      <c r="C270" s="1237"/>
      <c r="D270" s="1237"/>
      <c r="E270" s="1225"/>
      <c r="F270" s="1237"/>
      <c r="G270" s="1237"/>
      <c r="H270" s="1225"/>
      <c r="I270" s="1168"/>
      <c r="J270" s="1168"/>
      <c r="K270" s="1168"/>
      <c r="L270" s="1168"/>
      <c r="M270" s="1237"/>
      <c r="N270" s="1237"/>
      <c r="O270" s="1225"/>
      <c r="P270" s="1168"/>
      <c r="Q270" s="1168"/>
      <c r="R270" s="1168"/>
      <c r="S270" s="1168"/>
      <c r="T270" s="1237"/>
      <c r="U270" s="1221"/>
      <c r="V270" s="1168"/>
      <c r="W270" s="1237"/>
      <c r="X270" s="1221"/>
      <c r="Y270" s="1168"/>
      <c r="Z270" s="1237"/>
      <c r="AA270" s="1237"/>
      <c r="AB270" s="1221"/>
      <c r="AC270" s="1168"/>
      <c r="AD270" s="1237"/>
      <c r="AE270" s="1237"/>
      <c r="AF270" s="1221"/>
      <c r="AG270" s="1237"/>
      <c r="AH270" s="1237"/>
      <c r="AI270" s="1221"/>
      <c r="AJ270" s="1237"/>
      <c r="AK270" s="1237"/>
      <c r="AL270" s="1221"/>
      <c r="AM270" s="1168"/>
      <c r="AN270" s="1168"/>
      <c r="AO270" s="1168"/>
      <c r="AP270" s="1168"/>
      <c r="AQ270" s="1237"/>
      <c r="AR270" s="1237"/>
      <c r="AS270" s="1221"/>
      <c r="AT270" s="1168"/>
      <c r="AU270" s="1237"/>
      <c r="AV270" s="1221"/>
      <c r="AW270" s="1237"/>
      <c r="AX270" s="1221"/>
      <c r="AY270" s="1168"/>
      <c r="AZ270" s="1168"/>
      <c r="BA270" s="1168"/>
      <c r="BB270" s="1168"/>
      <c r="BC270" s="1221"/>
      <c r="BD270" s="1221"/>
      <c r="BE270" s="1222"/>
      <c r="BF270" s="1221"/>
      <c r="BG270" s="1221"/>
      <c r="BH270" s="1221"/>
      <c r="BJ270" s="1168"/>
      <c r="BL270" s="1220"/>
    </row>
    <row r="271" spans="1:64" s="1219" customFormat="1" ht="15">
      <c r="A271" s="1236"/>
      <c r="B271" s="1234"/>
      <c r="C271" s="1237"/>
      <c r="D271" s="1237"/>
      <c r="E271" s="1225"/>
      <c r="F271" s="1237"/>
      <c r="G271" s="1237"/>
      <c r="H271" s="1225"/>
      <c r="I271" s="1168"/>
      <c r="J271" s="1168"/>
      <c r="K271" s="1168"/>
      <c r="L271" s="1168"/>
      <c r="M271" s="1237"/>
      <c r="N271" s="1237"/>
      <c r="O271" s="1225"/>
      <c r="P271" s="1168"/>
      <c r="Q271" s="1168"/>
      <c r="R271" s="1168"/>
      <c r="S271" s="1168"/>
      <c r="T271" s="1237"/>
      <c r="U271" s="1221"/>
      <c r="V271" s="1168"/>
      <c r="W271" s="1237"/>
      <c r="X271" s="1221"/>
      <c r="Y271" s="1168"/>
      <c r="Z271" s="1237"/>
      <c r="AA271" s="1237"/>
      <c r="AB271" s="1221"/>
      <c r="AC271" s="1168"/>
      <c r="AD271" s="1237"/>
      <c r="AE271" s="1237"/>
      <c r="AF271" s="1221"/>
      <c r="AG271" s="1237"/>
      <c r="AH271" s="1237"/>
      <c r="AI271" s="1221"/>
      <c r="AJ271" s="1237"/>
      <c r="AK271" s="1237"/>
      <c r="AL271" s="1221"/>
      <c r="AM271" s="1168"/>
      <c r="AN271" s="1168"/>
      <c r="AO271" s="1168"/>
      <c r="AP271" s="1168"/>
      <c r="AQ271" s="1237"/>
      <c r="AR271" s="1237"/>
      <c r="AS271" s="1221"/>
      <c r="AT271" s="1168"/>
      <c r="AU271" s="1237"/>
      <c r="AV271" s="1221"/>
      <c r="AW271" s="1237"/>
      <c r="AX271" s="1221"/>
      <c r="AY271" s="1168"/>
      <c r="AZ271" s="1168"/>
      <c r="BA271" s="1168"/>
      <c r="BB271" s="1168"/>
      <c r="BC271" s="1221"/>
      <c r="BD271" s="1221"/>
      <c r="BE271" s="1222"/>
      <c r="BF271" s="1221"/>
      <c r="BG271" s="1221"/>
      <c r="BH271" s="1221"/>
      <c r="BJ271" s="1168"/>
      <c r="BL271" s="1220"/>
    </row>
    <row r="272" spans="1:64" s="1219" customFormat="1" ht="15">
      <c r="A272" s="1236"/>
      <c r="B272" s="1234"/>
      <c r="C272" s="1237"/>
      <c r="D272" s="1237"/>
      <c r="E272" s="1225"/>
      <c r="F272" s="1237"/>
      <c r="G272" s="1237"/>
      <c r="H272" s="1225"/>
      <c r="I272" s="1168"/>
      <c r="J272" s="1168"/>
      <c r="K272" s="1168"/>
      <c r="L272" s="1168"/>
      <c r="M272" s="1237"/>
      <c r="N272" s="1237"/>
      <c r="O272" s="1225"/>
      <c r="P272" s="1168"/>
      <c r="Q272" s="1168"/>
      <c r="R272" s="1168"/>
      <c r="S272" s="1168"/>
      <c r="T272" s="1237"/>
      <c r="U272" s="1221"/>
      <c r="V272" s="1168"/>
      <c r="W272" s="1237"/>
      <c r="X272" s="1221"/>
      <c r="Y272" s="1168"/>
      <c r="Z272" s="1237"/>
      <c r="AA272" s="1237"/>
      <c r="AB272" s="1221"/>
      <c r="AC272" s="1168"/>
      <c r="AD272" s="1237"/>
      <c r="AE272" s="1237"/>
      <c r="AF272" s="1221"/>
      <c r="AG272" s="1237"/>
      <c r="AH272" s="1237"/>
      <c r="AI272" s="1221"/>
      <c r="AJ272" s="1237"/>
      <c r="AK272" s="1237"/>
      <c r="AL272" s="1221"/>
      <c r="AM272" s="1168"/>
      <c r="AN272" s="1168"/>
      <c r="AO272" s="1168"/>
      <c r="AP272" s="1168"/>
      <c r="AQ272" s="1237"/>
      <c r="AR272" s="1237"/>
      <c r="AS272" s="1221"/>
      <c r="AT272" s="1168"/>
      <c r="AU272" s="1237"/>
      <c r="AV272" s="1221"/>
      <c r="AW272" s="1237"/>
      <c r="AX272" s="1221"/>
      <c r="AY272" s="1168"/>
      <c r="AZ272" s="1168"/>
      <c r="BA272" s="1168"/>
      <c r="BB272" s="1168"/>
      <c r="BC272" s="1221"/>
      <c r="BD272" s="1221"/>
      <c r="BE272" s="1222"/>
      <c r="BF272" s="1221"/>
      <c r="BG272" s="1221"/>
      <c r="BH272" s="1221"/>
      <c r="BJ272" s="1168"/>
      <c r="BL272" s="1220"/>
    </row>
    <row r="273" spans="1:64" s="1219" customFormat="1" ht="15">
      <c r="A273" s="1236"/>
      <c r="B273" s="1234"/>
      <c r="C273" s="1237"/>
      <c r="D273" s="1237"/>
      <c r="E273" s="1225"/>
      <c r="F273" s="1237"/>
      <c r="G273" s="1237"/>
      <c r="H273" s="1225"/>
      <c r="I273" s="1168"/>
      <c r="J273" s="1168"/>
      <c r="K273" s="1168"/>
      <c r="L273" s="1168"/>
      <c r="M273" s="1237"/>
      <c r="N273" s="1237"/>
      <c r="O273" s="1225"/>
      <c r="P273" s="1168"/>
      <c r="Q273" s="1168"/>
      <c r="R273" s="1168"/>
      <c r="S273" s="1168"/>
      <c r="T273" s="1237"/>
      <c r="U273" s="1221"/>
      <c r="V273" s="1168"/>
      <c r="W273" s="1237"/>
      <c r="X273" s="1221"/>
      <c r="Y273" s="1168"/>
      <c r="Z273" s="1237"/>
      <c r="AA273" s="1237"/>
      <c r="AB273" s="1221"/>
      <c r="AC273" s="1168"/>
      <c r="AD273" s="1237"/>
      <c r="AE273" s="1237"/>
      <c r="AF273" s="1221"/>
      <c r="AG273" s="1237"/>
      <c r="AH273" s="1237"/>
      <c r="AI273" s="1221"/>
      <c r="AJ273" s="1237"/>
      <c r="AK273" s="1237"/>
      <c r="AL273" s="1221"/>
      <c r="AM273" s="1168"/>
      <c r="AN273" s="1168"/>
      <c r="AO273" s="1168"/>
      <c r="AP273" s="1168"/>
      <c r="AQ273" s="1237"/>
      <c r="AR273" s="1237"/>
      <c r="AS273" s="1221"/>
      <c r="AT273" s="1168"/>
      <c r="AU273" s="1237"/>
      <c r="AV273" s="1221"/>
      <c r="AW273" s="1237"/>
      <c r="AX273" s="1221"/>
      <c r="AY273" s="1168"/>
      <c r="AZ273" s="1168"/>
      <c r="BA273" s="1168"/>
      <c r="BB273" s="1168"/>
      <c r="BC273" s="1221"/>
      <c r="BD273" s="1221"/>
      <c r="BE273" s="1222"/>
      <c r="BF273" s="1221"/>
      <c r="BG273" s="1221"/>
      <c r="BH273" s="1221"/>
      <c r="BJ273" s="1168"/>
      <c r="BL273" s="1220"/>
    </row>
    <row r="274" spans="1:64" s="1219" customFormat="1" ht="15">
      <c r="A274" s="1236"/>
      <c r="B274" s="1234"/>
      <c r="C274" s="1237"/>
      <c r="D274" s="1237"/>
      <c r="E274" s="1225"/>
      <c r="F274" s="1237"/>
      <c r="G274" s="1237"/>
      <c r="H274" s="1225"/>
      <c r="I274" s="1168"/>
      <c r="J274" s="1168"/>
      <c r="K274" s="1168"/>
      <c r="L274" s="1168"/>
      <c r="M274" s="1237"/>
      <c r="N274" s="1237"/>
      <c r="O274" s="1225"/>
      <c r="P274" s="1168"/>
      <c r="Q274" s="1168"/>
      <c r="R274" s="1168"/>
      <c r="S274" s="1168"/>
      <c r="T274" s="1237"/>
      <c r="U274" s="1221"/>
      <c r="V274" s="1168"/>
      <c r="W274" s="1237"/>
      <c r="X274" s="1221"/>
      <c r="Y274" s="1168"/>
      <c r="Z274" s="1237"/>
      <c r="AA274" s="1237"/>
      <c r="AB274" s="1221"/>
      <c r="AC274" s="1168"/>
      <c r="AD274" s="1237"/>
      <c r="AE274" s="1237"/>
      <c r="AF274" s="1221"/>
      <c r="AG274" s="1237"/>
      <c r="AH274" s="1237"/>
      <c r="AI274" s="1221"/>
      <c r="AJ274" s="1237"/>
      <c r="AK274" s="1237"/>
      <c r="AL274" s="1221"/>
      <c r="AM274" s="1168"/>
      <c r="AN274" s="1168"/>
      <c r="AO274" s="1168"/>
      <c r="AP274" s="1168"/>
      <c r="AQ274" s="1237"/>
      <c r="AR274" s="1237"/>
      <c r="AS274" s="1221"/>
      <c r="AT274" s="1168"/>
      <c r="AU274" s="1237"/>
      <c r="AV274" s="1221"/>
      <c r="AW274" s="1237"/>
      <c r="AX274" s="1221"/>
      <c r="AY274" s="1168"/>
      <c r="AZ274" s="1168"/>
      <c r="BA274" s="1168"/>
      <c r="BB274" s="1168"/>
      <c r="BC274" s="1221"/>
      <c r="BD274" s="1221"/>
      <c r="BE274" s="1222"/>
      <c r="BF274" s="1221"/>
      <c r="BG274" s="1221"/>
      <c r="BH274" s="1221"/>
      <c r="BJ274" s="1168"/>
      <c r="BL274" s="1220"/>
    </row>
    <row r="275" spans="1:64" s="1219" customFormat="1" ht="15">
      <c r="A275" s="1236"/>
      <c r="B275" s="1234"/>
      <c r="C275" s="1237"/>
      <c r="D275" s="1237"/>
      <c r="E275" s="1225"/>
      <c r="F275" s="1237"/>
      <c r="G275" s="1237"/>
      <c r="H275" s="1225"/>
      <c r="I275" s="1168"/>
      <c r="J275" s="1168"/>
      <c r="K275" s="1168"/>
      <c r="L275" s="1168"/>
      <c r="M275" s="1237"/>
      <c r="N275" s="1237"/>
      <c r="O275" s="1225"/>
      <c r="P275" s="1168"/>
      <c r="Q275" s="1168"/>
      <c r="R275" s="1168"/>
      <c r="S275" s="1168"/>
      <c r="T275" s="1237"/>
      <c r="U275" s="1221"/>
      <c r="V275" s="1168"/>
      <c r="W275" s="1237"/>
      <c r="X275" s="1221"/>
      <c r="Y275" s="1168"/>
      <c r="Z275" s="1237"/>
      <c r="AA275" s="1237"/>
      <c r="AB275" s="1221"/>
      <c r="AC275" s="1168"/>
      <c r="AD275" s="1237"/>
      <c r="AE275" s="1237"/>
      <c r="AF275" s="1221"/>
      <c r="AG275" s="1237"/>
      <c r="AH275" s="1237"/>
      <c r="AI275" s="1221"/>
      <c r="AJ275" s="1237"/>
      <c r="AK275" s="1237"/>
      <c r="AL275" s="1221"/>
      <c r="AM275" s="1168"/>
      <c r="AN275" s="1168"/>
      <c r="AO275" s="1168"/>
      <c r="AP275" s="1168"/>
      <c r="AQ275" s="1237"/>
      <c r="AR275" s="1237"/>
      <c r="AS275" s="1221"/>
      <c r="AT275" s="1168"/>
      <c r="AU275" s="1237"/>
      <c r="AV275" s="1221"/>
      <c r="AW275" s="1237"/>
      <c r="AX275" s="1221"/>
      <c r="AY275" s="1168"/>
      <c r="AZ275" s="1168"/>
      <c r="BA275" s="1168"/>
      <c r="BB275" s="1168"/>
      <c r="BC275" s="1221"/>
      <c r="BD275" s="1221"/>
      <c r="BE275" s="1222"/>
      <c r="BF275" s="1221"/>
      <c r="BG275" s="1221"/>
      <c r="BH275" s="1221"/>
      <c r="BJ275" s="1168"/>
      <c r="BL275" s="1220"/>
    </row>
    <row r="276" spans="1:64" s="1219" customFormat="1" ht="15">
      <c r="A276" s="1236"/>
      <c r="B276" s="1234"/>
      <c r="C276" s="1237"/>
      <c r="D276" s="1237"/>
      <c r="E276" s="1225"/>
      <c r="F276" s="1237"/>
      <c r="G276" s="1237"/>
      <c r="H276" s="1225"/>
      <c r="I276" s="1168"/>
      <c r="J276" s="1168"/>
      <c r="K276" s="1168"/>
      <c r="L276" s="1168"/>
      <c r="M276" s="1237"/>
      <c r="N276" s="1237"/>
      <c r="O276" s="1225"/>
      <c r="P276" s="1168"/>
      <c r="Q276" s="1168"/>
      <c r="R276" s="1168"/>
      <c r="S276" s="1168"/>
      <c r="T276" s="1237"/>
      <c r="U276" s="1221"/>
      <c r="V276" s="1168"/>
      <c r="W276" s="1237"/>
      <c r="X276" s="1221"/>
      <c r="Y276" s="1168"/>
      <c r="Z276" s="1237"/>
      <c r="AA276" s="1237"/>
      <c r="AB276" s="1221"/>
      <c r="AC276" s="1168"/>
      <c r="AD276" s="1237"/>
      <c r="AE276" s="1237"/>
      <c r="AF276" s="1221"/>
      <c r="AG276" s="1237"/>
      <c r="AH276" s="1237"/>
      <c r="AI276" s="1221"/>
      <c r="AJ276" s="1237"/>
      <c r="AK276" s="1237"/>
      <c r="AL276" s="1221"/>
      <c r="AM276" s="1168"/>
      <c r="AN276" s="1168"/>
      <c r="AO276" s="1168"/>
      <c r="AP276" s="1168"/>
      <c r="AQ276" s="1237"/>
      <c r="AR276" s="1237"/>
      <c r="AS276" s="1221"/>
      <c r="AT276" s="1168"/>
      <c r="AU276" s="1237"/>
      <c r="AV276" s="1221"/>
      <c r="AW276" s="1237"/>
      <c r="AX276" s="1221"/>
      <c r="AY276" s="1168"/>
      <c r="AZ276" s="1168"/>
      <c r="BA276" s="1168"/>
      <c r="BB276" s="1168"/>
      <c r="BC276" s="1221"/>
      <c r="BD276" s="1221"/>
      <c r="BE276" s="1222"/>
      <c r="BF276" s="1221"/>
      <c r="BG276" s="1221"/>
      <c r="BH276" s="1221"/>
      <c r="BJ276" s="1168"/>
      <c r="BL276" s="1220"/>
    </row>
    <row r="277" spans="1:64" s="1219" customFormat="1" ht="15">
      <c r="A277" s="1236"/>
      <c r="B277" s="1234"/>
      <c r="C277" s="1237"/>
      <c r="D277" s="1237"/>
      <c r="E277" s="1225"/>
      <c r="F277" s="1237"/>
      <c r="G277" s="1237"/>
      <c r="H277" s="1225"/>
      <c r="I277" s="1168"/>
      <c r="J277" s="1168"/>
      <c r="K277" s="1168"/>
      <c r="L277" s="1168"/>
      <c r="M277" s="1237"/>
      <c r="N277" s="1237"/>
      <c r="O277" s="1225"/>
      <c r="P277" s="1168"/>
      <c r="Q277" s="1168"/>
      <c r="R277" s="1168"/>
      <c r="S277" s="1168"/>
      <c r="T277" s="1237"/>
      <c r="U277" s="1221"/>
      <c r="V277" s="1168"/>
      <c r="W277" s="1237"/>
      <c r="X277" s="1221"/>
      <c r="Y277" s="1168"/>
      <c r="Z277" s="1237"/>
      <c r="AA277" s="1237"/>
      <c r="AB277" s="1221"/>
      <c r="AC277" s="1168"/>
      <c r="AD277" s="1237"/>
      <c r="AE277" s="1237"/>
      <c r="AF277" s="1221"/>
      <c r="AG277" s="1237"/>
      <c r="AH277" s="1237"/>
      <c r="AI277" s="1221"/>
      <c r="AJ277" s="1237"/>
      <c r="AK277" s="1237"/>
      <c r="AL277" s="1221"/>
      <c r="AM277" s="1168"/>
      <c r="AN277" s="1168"/>
      <c r="AO277" s="1168"/>
      <c r="AP277" s="1168"/>
      <c r="AQ277" s="1237"/>
      <c r="AR277" s="1237"/>
      <c r="AS277" s="1221"/>
      <c r="AT277" s="1168"/>
      <c r="AU277" s="1237"/>
      <c r="AV277" s="1221"/>
      <c r="AW277" s="1237"/>
      <c r="AX277" s="1221"/>
      <c r="AY277" s="1168"/>
      <c r="AZ277" s="1168"/>
      <c r="BA277" s="1168"/>
      <c r="BB277" s="1168"/>
      <c r="BC277" s="1221"/>
      <c r="BD277" s="1221"/>
      <c r="BE277" s="1222"/>
      <c r="BF277" s="1221"/>
      <c r="BG277" s="1221"/>
      <c r="BH277" s="1221"/>
      <c r="BJ277" s="1168"/>
      <c r="BL277" s="1220"/>
    </row>
    <row r="278" spans="1:64" s="1219" customFormat="1" ht="15">
      <c r="A278" s="1236"/>
      <c r="B278" s="1234"/>
      <c r="C278" s="1237"/>
      <c r="D278" s="1237"/>
      <c r="E278" s="1225"/>
      <c r="F278" s="1237"/>
      <c r="G278" s="1237"/>
      <c r="H278" s="1225"/>
      <c r="I278" s="1168"/>
      <c r="J278" s="1168"/>
      <c r="K278" s="1168"/>
      <c r="L278" s="1168"/>
      <c r="M278" s="1237"/>
      <c r="N278" s="1237"/>
      <c r="O278" s="1225"/>
      <c r="P278" s="1168"/>
      <c r="Q278" s="1168"/>
      <c r="R278" s="1168"/>
      <c r="S278" s="1168"/>
      <c r="T278" s="1237"/>
      <c r="U278" s="1221"/>
      <c r="V278" s="1168"/>
      <c r="W278" s="1237"/>
      <c r="X278" s="1221"/>
      <c r="Y278" s="1168"/>
      <c r="Z278" s="1237"/>
      <c r="AA278" s="1237"/>
      <c r="AB278" s="1221"/>
      <c r="AC278" s="1168"/>
      <c r="AD278" s="1237"/>
      <c r="AE278" s="1237"/>
      <c r="AF278" s="1221"/>
      <c r="AG278" s="1237"/>
      <c r="AH278" s="1237"/>
      <c r="AI278" s="1221"/>
      <c r="AJ278" s="1237"/>
      <c r="AK278" s="1237"/>
      <c r="AL278" s="1221"/>
      <c r="AM278" s="1168"/>
      <c r="AN278" s="1168"/>
      <c r="AO278" s="1168"/>
      <c r="AP278" s="1168"/>
      <c r="AQ278" s="1237"/>
      <c r="AR278" s="1237"/>
      <c r="AS278" s="1221"/>
      <c r="AT278" s="1168"/>
      <c r="AU278" s="1237"/>
      <c r="AV278" s="1221"/>
      <c r="AW278" s="1237"/>
      <c r="AX278" s="1221"/>
      <c r="AY278" s="1168"/>
      <c r="AZ278" s="1168"/>
      <c r="BA278" s="1168"/>
      <c r="BB278" s="1168"/>
      <c r="BC278" s="1221"/>
      <c r="BD278" s="1221"/>
      <c r="BE278" s="1222"/>
      <c r="BF278" s="1221"/>
      <c r="BG278" s="1221"/>
      <c r="BH278" s="1221"/>
      <c r="BJ278" s="1168"/>
      <c r="BL278" s="1220"/>
    </row>
    <row r="279" spans="1:64" s="1219" customFormat="1" ht="15">
      <c r="A279" s="1236"/>
      <c r="B279" s="1234"/>
      <c r="C279" s="1237"/>
      <c r="D279" s="1237"/>
      <c r="E279" s="1225"/>
      <c r="F279" s="1237"/>
      <c r="G279" s="1237"/>
      <c r="H279" s="1225"/>
      <c r="I279" s="1168"/>
      <c r="J279" s="1168"/>
      <c r="K279" s="1168"/>
      <c r="L279" s="1168"/>
      <c r="M279" s="1237"/>
      <c r="N279" s="1237"/>
      <c r="O279" s="1225"/>
      <c r="P279" s="1168"/>
      <c r="Q279" s="1168"/>
      <c r="R279" s="1168"/>
      <c r="S279" s="1168"/>
      <c r="T279" s="1237"/>
      <c r="U279" s="1221"/>
      <c r="V279" s="1168"/>
      <c r="W279" s="1237"/>
      <c r="X279" s="1221"/>
      <c r="Y279" s="1168"/>
      <c r="Z279" s="1237"/>
      <c r="AA279" s="1237"/>
      <c r="AB279" s="1221"/>
      <c r="AC279" s="1168"/>
      <c r="AD279" s="1237"/>
      <c r="AE279" s="1237"/>
      <c r="AF279" s="1221"/>
      <c r="AG279" s="1237"/>
      <c r="AH279" s="1237"/>
      <c r="AI279" s="1221"/>
      <c r="AJ279" s="1237"/>
      <c r="AK279" s="1237"/>
      <c r="AL279" s="1221"/>
      <c r="AM279" s="1168"/>
      <c r="AN279" s="1168"/>
      <c r="AO279" s="1168"/>
      <c r="AP279" s="1168"/>
      <c r="AQ279" s="1237"/>
      <c r="AR279" s="1237"/>
      <c r="AS279" s="1221"/>
      <c r="AT279" s="1168"/>
      <c r="AU279" s="1237"/>
      <c r="AV279" s="1221"/>
      <c r="AW279" s="1237"/>
      <c r="AX279" s="1221"/>
      <c r="AY279" s="1168"/>
      <c r="AZ279" s="1168"/>
      <c r="BA279" s="1168"/>
      <c r="BB279" s="1168"/>
      <c r="BC279" s="1221"/>
      <c r="BD279" s="1221"/>
      <c r="BE279" s="1222"/>
      <c r="BF279" s="1221"/>
      <c r="BG279" s="1221"/>
      <c r="BH279" s="1221"/>
      <c r="BJ279" s="1168"/>
      <c r="BL279" s="1220"/>
    </row>
    <row r="280" spans="1:64" s="1219" customFormat="1" ht="15">
      <c r="A280" s="1236"/>
      <c r="B280" s="1234"/>
      <c r="C280" s="1237"/>
      <c r="D280" s="1237"/>
      <c r="E280" s="1225"/>
      <c r="F280" s="1237"/>
      <c r="G280" s="1237"/>
      <c r="H280" s="1225"/>
      <c r="I280" s="1168"/>
      <c r="J280" s="1168"/>
      <c r="K280" s="1168"/>
      <c r="L280" s="1168"/>
      <c r="M280" s="1237"/>
      <c r="N280" s="1237"/>
      <c r="O280" s="1225"/>
      <c r="P280" s="1168"/>
      <c r="Q280" s="1168"/>
      <c r="R280" s="1168"/>
      <c r="S280" s="1168"/>
      <c r="T280" s="1237"/>
      <c r="U280" s="1221"/>
      <c r="V280" s="1168"/>
      <c r="W280" s="1237"/>
      <c r="X280" s="1221"/>
      <c r="Y280" s="1168"/>
      <c r="Z280" s="1237"/>
      <c r="AA280" s="1237"/>
      <c r="AB280" s="1221"/>
      <c r="AC280" s="1168"/>
      <c r="AD280" s="1237"/>
      <c r="AE280" s="1237"/>
      <c r="AF280" s="1221"/>
      <c r="AG280" s="1237"/>
      <c r="AH280" s="1237"/>
      <c r="AI280" s="1221"/>
      <c r="AJ280" s="1237"/>
      <c r="AK280" s="1237"/>
      <c r="AL280" s="1221"/>
      <c r="AM280" s="1168"/>
      <c r="AN280" s="1168"/>
      <c r="AO280" s="1168"/>
      <c r="AP280" s="1168"/>
      <c r="AQ280" s="1237"/>
      <c r="AR280" s="1237"/>
      <c r="AS280" s="1221"/>
      <c r="AT280" s="1168"/>
      <c r="AU280" s="1237"/>
      <c r="AV280" s="1221"/>
      <c r="AW280" s="1237"/>
      <c r="AX280" s="1221"/>
      <c r="AY280" s="1168"/>
      <c r="AZ280" s="1168"/>
      <c r="BA280" s="1168"/>
      <c r="BB280" s="1168"/>
      <c r="BC280" s="1221"/>
      <c r="BD280" s="1221"/>
      <c r="BE280" s="1222"/>
      <c r="BF280" s="1221"/>
      <c r="BG280" s="1221"/>
      <c r="BH280" s="1221"/>
      <c r="BJ280" s="1168"/>
      <c r="BL280" s="1220"/>
    </row>
    <row r="281" spans="1:64" s="1219" customFormat="1" ht="15">
      <c r="A281" s="1236"/>
      <c r="B281" s="1234"/>
      <c r="C281" s="1237"/>
      <c r="D281" s="1237"/>
      <c r="E281" s="1225"/>
      <c r="F281" s="1237"/>
      <c r="G281" s="1237"/>
      <c r="H281" s="1225"/>
      <c r="I281" s="1168"/>
      <c r="J281" s="1168"/>
      <c r="K281" s="1168"/>
      <c r="L281" s="1168"/>
      <c r="M281" s="1237"/>
      <c r="N281" s="1237"/>
      <c r="O281" s="1225"/>
      <c r="P281" s="1168"/>
      <c r="Q281" s="1168"/>
      <c r="R281" s="1168"/>
      <c r="S281" s="1168"/>
      <c r="T281" s="1237"/>
      <c r="U281" s="1221"/>
      <c r="V281" s="1168"/>
      <c r="W281" s="1237"/>
      <c r="X281" s="1221"/>
      <c r="Y281" s="1168"/>
      <c r="Z281" s="1237"/>
      <c r="AA281" s="1237"/>
      <c r="AB281" s="1221"/>
      <c r="AC281" s="1168"/>
      <c r="AD281" s="1237"/>
      <c r="AE281" s="1237"/>
      <c r="AF281" s="1221"/>
      <c r="AG281" s="1237"/>
      <c r="AH281" s="1237"/>
      <c r="AI281" s="1221"/>
      <c r="AJ281" s="1237"/>
      <c r="AK281" s="1237"/>
      <c r="AL281" s="1221"/>
      <c r="AM281" s="1168"/>
      <c r="AN281" s="1168"/>
      <c r="AO281" s="1168"/>
      <c r="AP281" s="1168"/>
      <c r="AQ281" s="1237"/>
      <c r="AR281" s="1237"/>
      <c r="AS281" s="1221"/>
      <c r="AT281" s="1168"/>
      <c r="AU281" s="1237"/>
      <c r="AV281" s="1221"/>
      <c r="AW281" s="1237"/>
      <c r="AX281" s="1221"/>
      <c r="AY281" s="1168"/>
      <c r="AZ281" s="1168"/>
      <c r="BA281" s="1168"/>
      <c r="BB281" s="1168"/>
      <c r="BC281" s="1221"/>
      <c r="BD281" s="1221"/>
      <c r="BE281" s="1222"/>
      <c r="BF281" s="1221"/>
      <c r="BG281" s="1221"/>
      <c r="BH281" s="1221"/>
      <c r="BJ281" s="1168"/>
      <c r="BL281" s="1220"/>
    </row>
    <row r="282" spans="1:64" s="1219" customFormat="1" ht="15">
      <c r="A282" s="1236"/>
      <c r="B282" s="1234"/>
      <c r="C282" s="1237"/>
      <c r="D282" s="1237"/>
      <c r="E282" s="1225"/>
      <c r="F282" s="1237"/>
      <c r="G282" s="1237"/>
      <c r="H282" s="1225"/>
      <c r="I282" s="1168"/>
      <c r="J282" s="1168"/>
      <c r="K282" s="1168"/>
      <c r="L282" s="1168"/>
      <c r="M282" s="1237"/>
      <c r="N282" s="1237"/>
      <c r="O282" s="1225"/>
      <c r="P282" s="1168"/>
      <c r="Q282" s="1168"/>
      <c r="R282" s="1168"/>
      <c r="S282" s="1168"/>
      <c r="T282" s="1237"/>
      <c r="U282" s="1221"/>
      <c r="V282" s="1168"/>
      <c r="W282" s="1237"/>
      <c r="X282" s="1221"/>
      <c r="Y282" s="1168"/>
      <c r="Z282" s="1237"/>
      <c r="AA282" s="1237"/>
      <c r="AB282" s="1221"/>
      <c r="AC282" s="1168"/>
      <c r="AD282" s="1237"/>
      <c r="AE282" s="1237"/>
      <c r="AF282" s="1221"/>
      <c r="AG282" s="1237"/>
      <c r="AH282" s="1237"/>
      <c r="AI282" s="1221"/>
      <c r="AJ282" s="1237"/>
      <c r="AK282" s="1237"/>
      <c r="AL282" s="1221"/>
      <c r="AM282" s="1168"/>
      <c r="AN282" s="1168"/>
      <c r="AO282" s="1168"/>
      <c r="AP282" s="1168"/>
      <c r="AQ282" s="1237"/>
      <c r="AR282" s="1237"/>
      <c r="AS282" s="1221"/>
      <c r="AT282" s="1168"/>
      <c r="AU282" s="1237"/>
      <c r="AV282" s="1221"/>
      <c r="AW282" s="1237"/>
      <c r="AX282" s="1221"/>
      <c r="AY282" s="1168"/>
      <c r="AZ282" s="1168"/>
      <c r="BA282" s="1168"/>
      <c r="BB282" s="1168"/>
      <c r="BC282" s="1221"/>
      <c r="BD282" s="1221"/>
      <c r="BE282" s="1222"/>
      <c r="BF282" s="1221"/>
      <c r="BG282" s="1221"/>
      <c r="BH282" s="1221"/>
      <c r="BJ282" s="1168"/>
      <c r="BL282" s="1220"/>
    </row>
    <row r="283" spans="1:64" s="1219" customFormat="1" ht="15">
      <c r="A283" s="1236"/>
      <c r="B283" s="1234"/>
      <c r="C283" s="1237"/>
      <c r="D283" s="1237"/>
      <c r="E283" s="1225"/>
      <c r="F283" s="1237"/>
      <c r="G283" s="1237"/>
      <c r="H283" s="1225"/>
      <c r="I283" s="1168"/>
      <c r="J283" s="1168"/>
      <c r="K283" s="1168"/>
      <c r="L283" s="1168"/>
      <c r="M283" s="1237"/>
      <c r="N283" s="1237"/>
      <c r="O283" s="1225"/>
      <c r="P283" s="1168"/>
      <c r="Q283" s="1168"/>
      <c r="R283" s="1168"/>
      <c r="S283" s="1168"/>
      <c r="T283" s="1237"/>
      <c r="U283" s="1221"/>
      <c r="V283" s="1168"/>
      <c r="W283" s="1237"/>
      <c r="X283" s="1221"/>
      <c r="Y283" s="1168"/>
      <c r="Z283" s="1237"/>
      <c r="AA283" s="1237"/>
      <c r="AB283" s="1221"/>
      <c r="AC283" s="1168"/>
      <c r="AD283" s="1237"/>
      <c r="AE283" s="1237"/>
      <c r="AF283" s="1221"/>
      <c r="AG283" s="1237"/>
      <c r="AH283" s="1237"/>
      <c r="AI283" s="1221"/>
      <c r="AJ283" s="1237"/>
      <c r="AK283" s="1237"/>
      <c r="AL283" s="1221"/>
      <c r="AM283" s="1168"/>
      <c r="AN283" s="1168"/>
      <c r="AO283" s="1168"/>
      <c r="AP283" s="1168"/>
      <c r="AQ283" s="1237"/>
      <c r="AR283" s="1237"/>
      <c r="AS283" s="1221"/>
      <c r="AT283" s="1168"/>
      <c r="AU283" s="1237"/>
      <c r="AV283" s="1221"/>
      <c r="AW283" s="1237"/>
      <c r="AX283" s="1221"/>
      <c r="AY283" s="1168"/>
      <c r="AZ283" s="1168"/>
      <c r="BA283" s="1168"/>
      <c r="BB283" s="1168"/>
      <c r="BC283" s="1221"/>
      <c r="BD283" s="1221"/>
      <c r="BE283" s="1222"/>
      <c r="BF283" s="1221"/>
      <c r="BG283" s="1221"/>
      <c r="BH283" s="1221"/>
      <c r="BJ283" s="1168"/>
      <c r="BL283" s="1220"/>
    </row>
    <row r="284" spans="1:64" s="1219" customFormat="1" ht="15">
      <c r="A284" s="1236"/>
      <c r="B284" s="1234"/>
      <c r="C284" s="1237"/>
      <c r="D284" s="1237"/>
      <c r="E284" s="1225"/>
      <c r="F284" s="1237"/>
      <c r="G284" s="1237"/>
      <c r="H284" s="1225"/>
      <c r="I284" s="1168"/>
      <c r="J284" s="1168"/>
      <c r="K284" s="1168"/>
      <c r="L284" s="1168"/>
      <c r="M284" s="1237"/>
      <c r="N284" s="1237"/>
      <c r="O284" s="1225"/>
      <c r="P284" s="1168"/>
      <c r="Q284" s="1168"/>
      <c r="R284" s="1168"/>
      <c r="S284" s="1168"/>
      <c r="T284" s="1237"/>
      <c r="U284" s="1221"/>
      <c r="V284" s="1168"/>
      <c r="W284" s="1237"/>
      <c r="X284" s="1221"/>
      <c r="Y284" s="1168"/>
      <c r="Z284" s="1237"/>
      <c r="AA284" s="1237"/>
      <c r="AB284" s="1221"/>
      <c r="AC284" s="1168"/>
      <c r="AD284" s="1237"/>
      <c r="AE284" s="1237"/>
      <c r="AF284" s="1221"/>
      <c r="AG284" s="1237"/>
      <c r="AH284" s="1237"/>
      <c r="AI284" s="1221"/>
      <c r="AJ284" s="1237"/>
      <c r="AK284" s="1237"/>
      <c r="AL284" s="1221"/>
      <c r="AM284" s="1168"/>
      <c r="AN284" s="1168"/>
      <c r="AO284" s="1168"/>
      <c r="AP284" s="1168"/>
      <c r="AQ284" s="1237"/>
      <c r="AR284" s="1237"/>
      <c r="AS284" s="1221"/>
      <c r="AT284" s="1168"/>
      <c r="AU284" s="1237"/>
      <c r="AV284" s="1221"/>
      <c r="AW284" s="1237"/>
      <c r="AX284" s="1221"/>
      <c r="AY284" s="1168"/>
      <c r="AZ284" s="1168"/>
      <c r="BA284" s="1168"/>
      <c r="BB284" s="1168"/>
      <c r="BC284" s="1221"/>
      <c r="BD284" s="1221"/>
      <c r="BE284" s="1222"/>
      <c r="BF284" s="1221"/>
      <c r="BG284" s="1221"/>
      <c r="BH284" s="1221"/>
      <c r="BJ284" s="1168"/>
      <c r="BL284" s="1220"/>
    </row>
    <row r="285" spans="1:64" s="1219" customFormat="1" ht="15">
      <c r="A285" s="1236"/>
      <c r="B285" s="1234"/>
      <c r="C285" s="1237"/>
      <c r="D285" s="1237"/>
      <c r="E285" s="1225"/>
      <c r="F285" s="1237"/>
      <c r="G285" s="1237"/>
      <c r="H285" s="1225"/>
      <c r="I285" s="1168"/>
      <c r="J285" s="1168"/>
      <c r="K285" s="1168"/>
      <c r="L285" s="1168"/>
      <c r="M285" s="1237"/>
      <c r="N285" s="1237"/>
      <c r="O285" s="1225"/>
      <c r="P285" s="1168"/>
      <c r="Q285" s="1168"/>
      <c r="R285" s="1168"/>
      <c r="S285" s="1168"/>
      <c r="T285" s="1237"/>
      <c r="U285" s="1221"/>
      <c r="V285" s="1168"/>
      <c r="W285" s="1237"/>
      <c r="X285" s="1221"/>
      <c r="Y285" s="1168"/>
      <c r="Z285" s="1237"/>
      <c r="AA285" s="1237"/>
      <c r="AB285" s="1221"/>
      <c r="AC285" s="1168"/>
      <c r="AD285" s="1237"/>
      <c r="AE285" s="1237"/>
      <c r="AF285" s="1221"/>
      <c r="AG285" s="1237"/>
      <c r="AH285" s="1237"/>
      <c r="AI285" s="1221"/>
      <c r="AJ285" s="1237"/>
      <c r="AK285" s="1237"/>
      <c r="AL285" s="1221"/>
      <c r="AM285" s="1168"/>
      <c r="AN285" s="1168"/>
      <c r="AO285" s="1168"/>
      <c r="AP285" s="1168"/>
      <c r="AQ285" s="1237"/>
      <c r="AR285" s="1237"/>
      <c r="AS285" s="1221"/>
      <c r="AT285" s="1168"/>
      <c r="AU285" s="1237"/>
      <c r="AV285" s="1221"/>
      <c r="AW285" s="1237"/>
      <c r="AX285" s="1221"/>
      <c r="AY285" s="1168"/>
      <c r="AZ285" s="1168"/>
      <c r="BA285" s="1168"/>
      <c r="BB285" s="1168"/>
      <c r="BC285" s="1221"/>
      <c r="BD285" s="1221"/>
      <c r="BE285" s="1222"/>
      <c r="BF285" s="1221"/>
      <c r="BG285" s="1221"/>
      <c r="BH285" s="1221"/>
      <c r="BJ285" s="1168"/>
      <c r="BL285" s="1220"/>
    </row>
    <row r="286" spans="1:64" s="1219" customFormat="1" ht="15">
      <c r="A286" s="1236"/>
      <c r="B286" s="1234"/>
      <c r="C286" s="1237"/>
      <c r="D286" s="1237"/>
      <c r="E286" s="1225"/>
      <c r="F286" s="1237"/>
      <c r="G286" s="1237"/>
      <c r="H286" s="1225"/>
      <c r="I286" s="1168"/>
      <c r="J286" s="1168"/>
      <c r="K286" s="1168"/>
      <c r="L286" s="1168"/>
      <c r="M286" s="1237"/>
      <c r="N286" s="1237"/>
      <c r="O286" s="1225"/>
      <c r="P286" s="1168"/>
      <c r="Q286" s="1168"/>
      <c r="R286" s="1168"/>
      <c r="S286" s="1168"/>
      <c r="T286" s="1237"/>
      <c r="U286" s="1221"/>
      <c r="V286" s="1168"/>
      <c r="W286" s="1237"/>
      <c r="X286" s="1221"/>
      <c r="Y286" s="1168"/>
      <c r="Z286" s="1237"/>
      <c r="AA286" s="1237"/>
      <c r="AB286" s="1221"/>
      <c r="AC286" s="1168"/>
      <c r="AD286" s="1237"/>
      <c r="AE286" s="1237"/>
      <c r="AF286" s="1221"/>
      <c r="AG286" s="1237"/>
      <c r="AH286" s="1237"/>
      <c r="AI286" s="1221"/>
      <c r="AJ286" s="1237"/>
      <c r="AK286" s="1237"/>
      <c r="AL286" s="1221"/>
      <c r="AM286" s="1168"/>
      <c r="AN286" s="1168"/>
      <c r="AO286" s="1168"/>
      <c r="AP286" s="1168"/>
      <c r="AQ286" s="1237"/>
      <c r="AR286" s="1237"/>
      <c r="AS286" s="1221"/>
      <c r="AT286" s="1168"/>
      <c r="AU286" s="1237"/>
      <c r="AV286" s="1221"/>
      <c r="AW286" s="1237"/>
      <c r="AX286" s="1221"/>
      <c r="AY286" s="1168"/>
      <c r="AZ286" s="1168"/>
      <c r="BA286" s="1168"/>
      <c r="BB286" s="1168"/>
      <c r="BC286" s="1221"/>
      <c r="BD286" s="1221"/>
      <c r="BE286" s="1222"/>
      <c r="BF286" s="1221"/>
      <c r="BG286" s="1221"/>
      <c r="BH286" s="1221"/>
      <c r="BJ286" s="1168"/>
      <c r="BL286" s="1220"/>
    </row>
    <row r="287" spans="1:64" s="1219" customFormat="1" ht="15">
      <c r="A287" s="1236"/>
      <c r="B287" s="1234"/>
      <c r="C287" s="1237"/>
      <c r="D287" s="1237"/>
      <c r="E287" s="1225"/>
      <c r="F287" s="1237"/>
      <c r="G287" s="1237"/>
      <c r="H287" s="1225"/>
      <c r="I287" s="1168"/>
      <c r="J287" s="1168"/>
      <c r="K287" s="1168"/>
      <c r="L287" s="1168"/>
      <c r="M287" s="1237"/>
      <c r="N287" s="1237"/>
      <c r="O287" s="1225"/>
      <c r="P287" s="1168"/>
      <c r="Q287" s="1168"/>
      <c r="R287" s="1168"/>
      <c r="S287" s="1168"/>
      <c r="T287" s="1237"/>
      <c r="U287" s="1221"/>
      <c r="V287" s="1168"/>
      <c r="W287" s="1237"/>
      <c r="X287" s="1221"/>
      <c r="Y287" s="1168"/>
      <c r="Z287" s="1237"/>
      <c r="AA287" s="1237"/>
      <c r="AB287" s="1221"/>
      <c r="AC287" s="1168"/>
      <c r="AD287" s="1237"/>
      <c r="AE287" s="1237"/>
      <c r="AF287" s="1221"/>
      <c r="AG287" s="1237"/>
      <c r="AH287" s="1237"/>
      <c r="AI287" s="1221"/>
      <c r="AJ287" s="1237"/>
      <c r="AK287" s="1237"/>
      <c r="AL287" s="1221"/>
      <c r="AM287" s="1168"/>
      <c r="AN287" s="1168"/>
      <c r="AO287" s="1168"/>
      <c r="AP287" s="1168"/>
      <c r="AQ287" s="1237"/>
      <c r="AR287" s="1237"/>
      <c r="AS287" s="1221"/>
      <c r="AT287" s="1168"/>
      <c r="AU287" s="1237"/>
      <c r="AV287" s="1221"/>
      <c r="AW287" s="1237"/>
      <c r="AX287" s="1221"/>
      <c r="AY287" s="1168"/>
      <c r="AZ287" s="1168"/>
      <c r="BA287" s="1168"/>
      <c r="BB287" s="1168"/>
      <c r="BC287" s="1221"/>
      <c r="BD287" s="1221"/>
      <c r="BE287" s="1222"/>
      <c r="BF287" s="1221"/>
      <c r="BG287" s="1221"/>
      <c r="BH287" s="1221"/>
      <c r="BJ287" s="1168"/>
      <c r="BL287" s="1220"/>
    </row>
    <row r="288" spans="1:64" s="1219" customFormat="1" ht="15">
      <c r="A288" s="1236"/>
      <c r="B288" s="1234"/>
      <c r="C288" s="1237"/>
      <c r="D288" s="1237"/>
      <c r="E288" s="1225"/>
      <c r="F288" s="1237"/>
      <c r="G288" s="1237"/>
      <c r="H288" s="1225"/>
      <c r="I288" s="1168"/>
      <c r="J288" s="1168"/>
      <c r="K288" s="1168"/>
      <c r="L288" s="1168"/>
      <c r="M288" s="1237"/>
      <c r="N288" s="1237"/>
      <c r="O288" s="1225"/>
      <c r="P288" s="1168"/>
      <c r="Q288" s="1168"/>
      <c r="R288" s="1168"/>
      <c r="S288" s="1168"/>
      <c r="T288" s="1237"/>
      <c r="U288" s="1221"/>
      <c r="V288" s="1168"/>
      <c r="W288" s="1237"/>
      <c r="X288" s="1221"/>
      <c r="Y288" s="1168"/>
      <c r="Z288" s="1237"/>
      <c r="AA288" s="1237"/>
      <c r="AB288" s="1221"/>
      <c r="AC288" s="1168"/>
      <c r="AD288" s="1237"/>
      <c r="AE288" s="1237"/>
      <c r="AF288" s="1221"/>
      <c r="AG288" s="1237"/>
      <c r="AH288" s="1237"/>
      <c r="AI288" s="1221"/>
      <c r="AJ288" s="1237"/>
      <c r="AK288" s="1237"/>
      <c r="AL288" s="1221"/>
      <c r="AM288" s="1168"/>
      <c r="AN288" s="1168"/>
      <c r="AO288" s="1168"/>
      <c r="AP288" s="1168"/>
      <c r="AQ288" s="1237"/>
      <c r="AR288" s="1237"/>
      <c r="AS288" s="1221"/>
      <c r="AT288" s="1168"/>
      <c r="AU288" s="1237"/>
      <c r="AV288" s="1221"/>
      <c r="AW288" s="1237"/>
      <c r="AX288" s="1221"/>
      <c r="AY288" s="1168"/>
      <c r="AZ288" s="1168"/>
      <c r="BA288" s="1168"/>
      <c r="BB288" s="1168"/>
      <c r="BC288" s="1221"/>
      <c r="BD288" s="1221"/>
      <c r="BE288" s="1222"/>
      <c r="BF288" s="1221"/>
      <c r="BG288" s="1221"/>
      <c r="BH288" s="1221"/>
      <c r="BJ288" s="1168"/>
      <c r="BL288" s="1220"/>
    </row>
    <row r="289" spans="1:64" s="1219" customFormat="1" ht="15">
      <c r="A289" s="1236"/>
      <c r="B289" s="1234"/>
      <c r="C289" s="1237"/>
      <c r="D289" s="1237"/>
      <c r="E289" s="1225"/>
      <c r="F289" s="1237"/>
      <c r="G289" s="1237"/>
      <c r="H289" s="1225"/>
      <c r="I289" s="1168"/>
      <c r="J289" s="1168"/>
      <c r="K289" s="1168"/>
      <c r="L289" s="1168"/>
      <c r="M289" s="1237"/>
      <c r="N289" s="1237"/>
      <c r="O289" s="1225"/>
      <c r="P289" s="1168"/>
      <c r="Q289" s="1168"/>
      <c r="R289" s="1168"/>
      <c r="S289" s="1168"/>
      <c r="T289" s="1237"/>
      <c r="U289" s="1221"/>
      <c r="V289" s="1168"/>
      <c r="W289" s="1237"/>
      <c r="X289" s="1221"/>
      <c r="Y289" s="1168"/>
      <c r="Z289" s="1237"/>
      <c r="AA289" s="1237"/>
      <c r="AB289" s="1221"/>
      <c r="AC289" s="1168"/>
      <c r="AD289" s="1237"/>
      <c r="AE289" s="1237"/>
      <c r="AF289" s="1221"/>
      <c r="AG289" s="1237"/>
      <c r="AH289" s="1237"/>
      <c r="AI289" s="1221"/>
      <c r="AJ289" s="1237"/>
      <c r="AK289" s="1237"/>
      <c r="AL289" s="1221"/>
      <c r="AM289" s="1168"/>
      <c r="AN289" s="1168"/>
      <c r="AO289" s="1168"/>
      <c r="AP289" s="1168"/>
      <c r="AQ289" s="1237"/>
      <c r="AR289" s="1237"/>
      <c r="AS289" s="1221"/>
      <c r="AT289" s="1168"/>
      <c r="AU289" s="1237"/>
      <c r="AV289" s="1221"/>
      <c r="AW289" s="1237"/>
      <c r="AX289" s="1221"/>
      <c r="AY289" s="1168"/>
      <c r="AZ289" s="1168"/>
      <c r="BA289" s="1168"/>
      <c r="BB289" s="1168"/>
      <c r="BC289" s="1221"/>
      <c r="BD289" s="1221"/>
      <c r="BE289" s="1222"/>
      <c r="BF289" s="1221"/>
      <c r="BG289" s="1221"/>
      <c r="BH289" s="1221"/>
      <c r="BJ289" s="1168"/>
      <c r="BL289" s="1220"/>
    </row>
    <row r="290" spans="1:64" s="1219" customFormat="1" ht="15">
      <c r="A290" s="1236"/>
      <c r="B290" s="1234"/>
      <c r="C290" s="1237"/>
      <c r="D290" s="1237"/>
      <c r="E290" s="1225"/>
      <c r="F290" s="1237"/>
      <c r="G290" s="1237"/>
      <c r="H290" s="1225"/>
      <c r="I290" s="1168"/>
      <c r="J290" s="1168"/>
      <c r="K290" s="1168"/>
      <c r="L290" s="1168"/>
      <c r="M290" s="1237"/>
      <c r="N290" s="1237"/>
      <c r="O290" s="1225"/>
      <c r="P290" s="1168"/>
      <c r="Q290" s="1168"/>
      <c r="R290" s="1168"/>
      <c r="S290" s="1168"/>
      <c r="T290" s="1237"/>
      <c r="U290" s="1221"/>
      <c r="V290" s="1168"/>
      <c r="W290" s="1237"/>
      <c r="X290" s="1221"/>
      <c r="Y290" s="1168"/>
      <c r="Z290" s="1237"/>
      <c r="AA290" s="1237"/>
      <c r="AB290" s="1221"/>
      <c r="AC290" s="1168"/>
      <c r="AD290" s="1237"/>
      <c r="AE290" s="1237"/>
      <c r="AF290" s="1221"/>
      <c r="AG290" s="1237"/>
      <c r="AH290" s="1237"/>
      <c r="AI290" s="1221"/>
      <c r="AJ290" s="1237"/>
      <c r="AK290" s="1237"/>
      <c r="AL290" s="1221"/>
      <c r="AM290" s="1168"/>
      <c r="AN290" s="1168"/>
      <c r="AO290" s="1168"/>
      <c r="AP290" s="1168"/>
      <c r="AQ290" s="1237"/>
      <c r="AR290" s="1237"/>
      <c r="AS290" s="1221"/>
      <c r="AT290" s="1168"/>
      <c r="AU290" s="1237"/>
      <c r="AV290" s="1221"/>
      <c r="AW290" s="1237"/>
      <c r="AX290" s="1221"/>
      <c r="AY290" s="1168"/>
      <c r="AZ290" s="1168"/>
      <c r="BA290" s="1168"/>
      <c r="BB290" s="1168"/>
      <c r="BC290" s="1221"/>
      <c r="BD290" s="1221"/>
      <c r="BE290" s="1222"/>
      <c r="BF290" s="1221"/>
      <c r="BG290" s="1221"/>
      <c r="BH290" s="1221"/>
      <c r="BJ290" s="1168"/>
      <c r="BL290" s="1220"/>
    </row>
    <row r="291" spans="1:64" s="1219" customFormat="1" ht="15">
      <c r="A291" s="1236"/>
      <c r="B291" s="1234"/>
      <c r="C291" s="1237"/>
      <c r="D291" s="1237"/>
      <c r="E291" s="1225"/>
      <c r="F291" s="1237"/>
      <c r="G291" s="1237"/>
      <c r="H291" s="1225"/>
      <c r="I291" s="1168"/>
      <c r="J291" s="1168"/>
      <c r="K291" s="1168"/>
      <c r="L291" s="1168"/>
      <c r="M291" s="1237"/>
      <c r="N291" s="1237"/>
      <c r="O291" s="1225"/>
      <c r="P291" s="1168"/>
      <c r="Q291" s="1168"/>
      <c r="R291" s="1168"/>
      <c r="S291" s="1168"/>
      <c r="T291" s="1237"/>
      <c r="U291" s="1221"/>
      <c r="V291" s="1168"/>
      <c r="W291" s="1237"/>
      <c r="X291" s="1221"/>
      <c r="Y291" s="1168"/>
      <c r="Z291" s="1237"/>
      <c r="AA291" s="1237"/>
      <c r="AB291" s="1221"/>
      <c r="AC291" s="1168"/>
      <c r="AD291" s="1237"/>
      <c r="AE291" s="1237"/>
      <c r="AF291" s="1221"/>
      <c r="AG291" s="1237"/>
      <c r="AH291" s="1237"/>
      <c r="AI291" s="1221"/>
      <c r="AJ291" s="1237"/>
      <c r="AK291" s="1237"/>
      <c r="AL291" s="1221"/>
      <c r="AM291" s="1168"/>
      <c r="AN291" s="1168"/>
      <c r="AO291" s="1168"/>
      <c r="AP291" s="1168"/>
      <c r="AQ291" s="1237"/>
      <c r="AR291" s="1237"/>
      <c r="AS291" s="1221"/>
      <c r="AT291" s="1168"/>
      <c r="AU291" s="1237"/>
      <c r="AV291" s="1221"/>
      <c r="AW291" s="1237"/>
      <c r="AX291" s="1221"/>
      <c r="AY291" s="1168"/>
      <c r="AZ291" s="1168"/>
      <c r="BA291" s="1168"/>
      <c r="BB291" s="1168"/>
      <c r="BC291" s="1221"/>
      <c r="BD291" s="1221"/>
      <c r="BE291" s="1222"/>
      <c r="BF291" s="1221"/>
      <c r="BG291" s="1221"/>
      <c r="BH291" s="1221"/>
      <c r="BJ291" s="1168"/>
      <c r="BL291" s="1220"/>
    </row>
    <row r="292" spans="1:64" s="1219" customFormat="1" ht="15">
      <c r="A292" s="1236"/>
      <c r="B292" s="1234"/>
      <c r="C292" s="1237"/>
      <c r="D292" s="1237"/>
      <c r="E292" s="1225"/>
      <c r="F292" s="1237"/>
      <c r="G292" s="1237"/>
      <c r="H292" s="1225"/>
      <c r="I292" s="1168"/>
      <c r="J292" s="1168"/>
      <c r="K292" s="1168"/>
      <c r="L292" s="1168"/>
      <c r="M292" s="1237"/>
      <c r="N292" s="1237"/>
      <c r="O292" s="1225"/>
      <c r="P292" s="1168"/>
      <c r="Q292" s="1168"/>
      <c r="R292" s="1168"/>
      <c r="S292" s="1168"/>
      <c r="T292" s="1237"/>
      <c r="U292" s="1221"/>
      <c r="V292" s="1168"/>
      <c r="W292" s="1237"/>
      <c r="X292" s="1221"/>
      <c r="Y292" s="1168"/>
      <c r="Z292" s="1237"/>
      <c r="AA292" s="1237"/>
      <c r="AB292" s="1221"/>
      <c r="AC292" s="1168"/>
      <c r="AD292" s="1237"/>
      <c r="AE292" s="1237"/>
      <c r="AF292" s="1221"/>
      <c r="AG292" s="1237"/>
      <c r="AH292" s="1237"/>
      <c r="AI292" s="1221"/>
      <c r="AJ292" s="1237"/>
      <c r="AK292" s="1237"/>
      <c r="AL292" s="1221"/>
      <c r="AM292" s="1168"/>
      <c r="AN292" s="1168"/>
      <c r="AO292" s="1168"/>
      <c r="AP292" s="1168"/>
      <c r="AQ292" s="1237"/>
      <c r="AR292" s="1237"/>
      <c r="AS292" s="1221"/>
      <c r="AT292" s="1168"/>
      <c r="AU292" s="1237"/>
      <c r="AV292" s="1221"/>
      <c r="AW292" s="1237"/>
      <c r="AX292" s="1221"/>
      <c r="AY292" s="1168"/>
      <c r="AZ292" s="1168"/>
      <c r="BA292" s="1168"/>
      <c r="BB292" s="1168"/>
      <c r="BC292" s="1221"/>
      <c r="BD292" s="1221"/>
      <c r="BE292" s="1222"/>
      <c r="BF292" s="1221"/>
      <c r="BG292" s="1221"/>
      <c r="BH292" s="1221"/>
      <c r="BJ292" s="1168"/>
      <c r="BL292" s="1220"/>
    </row>
    <row r="293" spans="1:64" s="1219" customFormat="1" ht="15">
      <c r="A293" s="1236"/>
      <c r="B293" s="1234"/>
      <c r="C293" s="1237"/>
      <c r="D293" s="1237"/>
      <c r="E293" s="1225"/>
      <c r="F293" s="1237"/>
      <c r="G293" s="1237"/>
      <c r="H293" s="1225"/>
      <c r="I293" s="1168"/>
      <c r="J293" s="1168"/>
      <c r="K293" s="1168"/>
      <c r="L293" s="1168"/>
      <c r="M293" s="1237"/>
      <c r="N293" s="1237"/>
      <c r="O293" s="1225"/>
      <c r="P293" s="1168"/>
      <c r="Q293" s="1168"/>
      <c r="R293" s="1168"/>
      <c r="S293" s="1168"/>
      <c r="T293" s="1237"/>
      <c r="U293" s="1221"/>
      <c r="V293" s="1168"/>
      <c r="W293" s="1237"/>
      <c r="X293" s="1221"/>
      <c r="Y293" s="1168"/>
      <c r="Z293" s="1237"/>
      <c r="AA293" s="1237"/>
      <c r="AB293" s="1221"/>
      <c r="AC293" s="1168"/>
      <c r="AD293" s="1237"/>
      <c r="AE293" s="1237"/>
      <c r="AF293" s="1221"/>
      <c r="AG293" s="1237"/>
      <c r="AH293" s="1237"/>
      <c r="AI293" s="1221"/>
      <c r="AJ293" s="1237"/>
      <c r="AK293" s="1237"/>
      <c r="AL293" s="1221"/>
      <c r="AM293" s="1168"/>
      <c r="AN293" s="1168"/>
      <c r="AO293" s="1168"/>
      <c r="AP293" s="1168"/>
      <c r="AQ293" s="1237"/>
      <c r="AR293" s="1237"/>
      <c r="AS293" s="1221"/>
      <c r="AT293" s="1168"/>
      <c r="AU293" s="1237"/>
      <c r="AV293" s="1221"/>
      <c r="AW293" s="1237"/>
      <c r="AX293" s="1221"/>
      <c r="AY293" s="1168"/>
      <c r="AZ293" s="1168"/>
      <c r="BA293" s="1168"/>
      <c r="BB293" s="1168"/>
      <c r="BC293" s="1221"/>
      <c r="BD293" s="1221"/>
      <c r="BE293" s="1222"/>
      <c r="BF293" s="1221"/>
      <c r="BG293" s="1221"/>
      <c r="BH293" s="1221"/>
      <c r="BJ293" s="1168"/>
      <c r="BL293" s="1220"/>
    </row>
    <row r="294" spans="1:64" s="1219" customFormat="1" ht="15">
      <c r="A294" s="1236"/>
      <c r="B294" s="1234"/>
      <c r="C294" s="1237"/>
      <c r="D294" s="1237"/>
      <c r="E294" s="1225"/>
      <c r="F294" s="1237"/>
      <c r="G294" s="1237"/>
      <c r="H294" s="1225"/>
      <c r="I294" s="1168"/>
      <c r="J294" s="1168"/>
      <c r="K294" s="1168"/>
      <c r="L294" s="1168"/>
      <c r="M294" s="1237"/>
      <c r="N294" s="1237"/>
      <c r="O294" s="1225"/>
      <c r="P294" s="1168"/>
      <c r="Q294" s="1168"/>
      <c r="R294" s="1168"/>
      <c r="S294" s="1168"/>
      <c r="T294" s="1237"/>
      <c r="U294" s="1221"/>
      <c r="V294" s="1168"/>
      <c r="W294" s="1237"/>
      <c r="X294" s="1221"/>
      <c r="Y294" s="1168"/>
      <c r="Z294" s="1237"/>
      <c r="AA294" s="1237"/>
      <c r="AB294" s="1221"/>
      <c r="AC294" s="1168"/>
      <c r="AD294" s="1237"/>
      <c r="AE294" s="1237"/>
      <c r="AF294" s="1221"/>
      <c r="AG294" s="1237"/>
      <c r="AH294" s="1237"/>
      <c r="AI294" s="1221"/>
      <c r="AJ294" s="1237"/>
      <c r="AK294" s="1237"/>
      <c r="AL294" s="1221"/>
      <c r="AM294" s="1168"/>
      <c r="AN294" s="1168"/>
      <c r="AO294" s="1168"/>
      <c r="AP294" s="1168"/>
      <c r="AQ294" s="1237"/>
      <c r="AR294" s="1237"/>
      <c r="AS294" s="1221"/>
      <c r="AT294" s="1168"/>
      <c r="AU294" s="1237"/>
      <c r="AV294" s="1221"/>
      <c r="AW294" s="1237"/>
      <c r="AX294" s="1221"/>
      <c r="AY294" s="1168"/>
      <c r="AZ294" s="1168"/>
      <c r="BA294" s="1168"/>
      <c r="BB294" s="1168"/>
      <c r="BC294" s="1221"/>
      <c r="BD294" s="1221"/>
      <c r="BE294" s="1222"/>
      <c r="BF294" s="1221"/>
      <c r="BG294" s="1221"/>
      <c r="BH294" s="1221"/>
      <c r="BJ294" s="1168"/>
      <c r="BL294" s="1220"/>
    </row>
    <row r="295" spans="1:64" s="1219" customFormat="1" ht="15">
      <c r="A295" s="1236"/>
      <c r="B295" s="1234"/>
      <c r="C295" s="1237"/>
      <c r="D295" s="1237"/>
      <c r="E295" s="1225"/>
      <c r="F295" s="1237"/>
      <c r="G295" s="1237"/>
      <c r="H295" s="1225"/>
      <c r="I295" s="1168"/>
      <c r="J295" s="1168"/>
      <c r="K295" s="1168"/>
      <c r="L295" s="1168"/>
      <c r="M295" s="1237"/>
      <c r="N295" s="1237"/>
      <c r="O295" s="1225"/>
      <c r="P295" s="1168"/>
      <c r="Q295" s="1168"/>
      <c r="R295" s="1168"/>
      <c r="S295" s="1168"/>
      <c r="T295" s="1237"/>
      <c r="U295" s="1221"/>
      <c r="V295" s="1168"/>
      <c r="W295" s="1237"/>
      <c r="X295" s="1221"/>
      <c r="Y295" s="1168"/>
      <c r="Z295" s="1237"/>
      <c r="AA295" s="1237"/>
      <c r="AB295" s="1221"/>
      <c r="AC295" s="1168"/>
      <c r="AD295" s="1237"/>
      <c r="AE295" s="1237"/>
      <c r="AF295" s="1221"/>
      <c r="AG295" s="1237"/>
      <c r="AH295" s="1237"/>
      <c r="AI295" s="1221"/>
      <c r="AJ295" s="1237"/>
      <c r="AK295" s="1237"/>
      <c r="AL295" s="1221"/>
      <c r="AM295" s="1168"/>
      <c r="AN295" s="1168"/>
      <c r="AO295" s="1168"/>
      <c r="AP295" s="1168"/>
      <c r="AQ295" s="1237"/>
      <c r="AR295" s="1237"/>
      <c r="AS295" s="1221"/>
      <c r="AT295" s="1168"/>
      <c r="AU295" s="1237"/>
      <c r="AV295" s="1221"/>
      <c r="AW295" s="1237"/>
      <c r="AX295" s="1221"/>
      <c r="AY295" s="1168"/>
      <c r="AZ295" s="1168"/>
      <c r="BA295" s="1168"/>
      <c r="BB295" s="1168"/>
      <c r="BC295" s="1221"/>
      <c r="BD295" s="1221"/>
      <c r="BE295" s="1222"/>
      <c r="BF295" s="1221"/>
      <c r="BG295" s="1221"/>
      <c r="BH295" s="1221"/>
      <c r="BJ295" s="1168"/>
      <c r="BL295" s="1220"/>
    </row>
    <row r="296" spans="1:64" s="1219" customFormat="1" ht="15">
      <c r="A296" s="1236"/>
      <c r="B296" s="1234"/>
      <c r="C296" s="1237"/>
      <c r="D296" s="1237"/>
      <c r="E296" s="1225"/>
      <c r="F296" s="1237"/>
      <c r="G296" s="1237"/>
      <c r="H296" s="1225"/>
      <c r="I296" s="1168"/>
      <c r="J296" s="1168"/>
      <c r="K296" s="1168"/>
      <c r="L296" s="1168"/>
      <c r="M296" s="1237"/>
      <c r="N296" s="1237"/>
      <c r="O296" s="1225"/>
      <c r="P296" s="1168"/>
      <c r="Q296" s="1168"/>
      <c r="R296" s="1168"/>
      <c r="S296" s="1168"/>
      <c r="T296" s="1237"/>
      <c r="U296" s="1221"/>
      <c r="V296" s="1168"/>
      <c r="W296" s="1237"/>
      <c r="X296" s="1221"/>
      <c r="Y296" s="1168"/>
      <c r="Z296" s="1237"/>
      <c r="AA296" s="1237"/>
      <c r="AB296" s="1221"/>
      <c r="AC296" s="1168"/>
      <c r="AD296" s="1237"/>
      <c r="AE296" s="1237"/>
      <c r="AF296" s="1221"/>
      <c r="AG296" s="1237"/>
      <c r="AH296" s="1237"/>
      <c r="AI296" s="1221"/>
      <c r="AJ296" s="1237"/>
      <c r="AK296" s="1237"/>
      <c r="AL296" s="1221"/>
      <c r="AM296" s="1168"/>
      <c r="AN296" s="1168"/>
      <c r="AO296" s="1168"/>
      <c r="AP296" s="1168"/>
      <c r="AQ296" s="1237"/>
      <c r="AR296" s="1237"/>
      <c r="AS296" s="1221"/>
      <c r="AT296" s="1168"/>
      <c r="AU296" s="1237"/>
      <c r="AV296" s="1221"/>
      <c r="AW296" s="1237"/>
      <c r="AX296" s="1221"/>
      <c r="AY296" s="1168"/>
      <c r="AZ296" s="1168"/>
      <c r="BA296" s="1168"/>
      <c r="BB296" s="1168"/>
      <c r="BC296" s="1221"/>
      <c r="BD296" s="1221"/>
      <c r="BE296" s="1222"/>
      <c r="BF296" s="1221"/>
      <c r="BG296" s="1221"/>
      <c r="BH296" s="1221"/>
      <c r="BJ296" s="1168"/>
      <c r="BL296" s="1220"/>
    </row>
    <row r="297" spans="1:64" s="1219" customFormat="1" ht="15">
      <c r="A297" s="1236"/>
      <c r="B297" s="1234"/>
      <c r="C297" s="1237"/>
      <c r="D297" s="1237"/>
      <c r="E297" s="1225"/>
      <c r="F297" s="1237"/>
      <c r="G297" s="1237"/>
      <c r="H297" s="1225"/>
      <c r="I297" s="1168"/>
      <c r="J297" s="1168"/>
      <c r="K297" s="1168"/>
      <c r="L297" s="1168"/>
      <c r="M297" s="1237"/>
      <c r="N297" s="1237"/>
      <c r="O297" s="1225"/>
      <c r="P297" s="1168"/>
      <c r="Q297" s="1168"/>
      <c r="R297" s="1168"/>
      <c r="S297" s="1168"/>
      <c r="T297" s="1237"/>
      <c r="U297" s="1221"/>
      <c r="V297" s="1168"/>
      <c r="W297" s="1237"/>
      <c r="X297" s="1221"/>
      <c r="Y297" s="1168"/>
      <c r="Z297" s="1237"/>
      <c r="AA297" s="1237"/>
      <c r="AB297" s="1221"/>
      <c r="AC297" s="1168"/>
      <c r="AD297" s="1237"/>
      <c r="AE297" s="1237"/>
      <c r="AF297" s="1221"/>
      <c r="AG297" s="1237"/>
      <c r="AH297" s="1237"/>
      <c r="AI297" s="1221"/>
      <c r="AJ297" s="1237"/>
      <c r="AK297" s="1237"/>
      <c r="AL297" s="1221"/>
      <c r="AM297" s="1168"/>
      <c r="AN297" s="1168"/>
      <c r="AO297" s="1168"/>
      <c r="AP297" s="1168"/>
      <c r="AQ297" s="1237"/>
      <c r="AR297" s="1237"/>
      <c r="AS297" s="1221"/>
      <c r="AT297" s="1168"/>
      <c r="AU297" s="1237"/>
      <c r="AV297" s="1221"/>
      <c r="AW297" s="1237"/>
      <c r="AX297" s="1221"/>
      <c r="AY297" s="1168"/>
      <c r="AZ297" s="1168"/>
      <c r="BA297" s="1168"/>
      <c r="BB297" s="1168"/>
      <c r="BC297" s="1221"/>
      <c r="BD297" s="1221"/>
      <c r="BE297" s="1222"/>
      <c r="BF297" s="1221"/>
      <c r="BG297" s="1221"/>
      <c r="BH297" s="1221"/>
      <c r="BJ297" s="1168"/>
      <c r="BL297" s="1220"/>
    </row>
    <row r="298" spans="1:64" s="1219" customFormat="1" ht="15">
      <c r="A298" s="1236"/>
      <c r="B298" s="1234"/>
      <c r="C298" s="1237"/>
      <c r="D298" s="1237"/>
      <c r="E298" s="1225"/>
      <c r="F298" s="1237"/>
      <c r="G298" s="1237"/>
      <c r="H298" s="1225"/>
      <c r="I298" s="1168"/>
      <c r="J298" s="1168"/>
      <c r="K298" s="1168"/>
      <c r="L298" s="1168"/>
      <c r="M298" s="1237"/>
      <c r="N298" s="1237"/>
      <c r="O298" s="1225"/>
      <c r="P298" s="1168"/>
      <c r="Q298" s="1168"/>
      <c r="R298" s="1168"/>
      <c r="S298" s="1168"/>
      <c r="T298" s="1237"/>
      <c r="U298" s="1221"/>
      <c r="V298" s="1168"/>
      <c r="W298" s="1237"/>
      <c r="X298" s="1221"/>
      <c r="Y298" s="1168"/>
      <c r="Z298" s="1237"/>
      <c r="AA298" s="1237"/>
      <c r="AB298" s="1221"/>
      <c r="AC298" s="1168"/>
      <c r="AD298" s="1237"/>
      <c r="AE298" s="1237"/>
      <c r="AF298" s="1221"/>
      <c r="AG298" s="1237"/>
      <c r="AH298" s="1237"/>
      <c r="AI298" s="1221"/>
      <c r="AJ298" s="1237"/>
      <c r="AK298" s="1237"/>
      <c r="AL298" s="1221"/>
      <c r="AM298" s="1168"/>
      <c r="AN298" s="1168"/>
      <c r="AO298" s="1168"/>
      <c r="AP298" s="1168"/>
      <c r="AQ298" s="1237"/>
      <c r="AR298" s="1237"/>
      <c r="AS298" s="1221"/>
      <c r="AT298" s="1168"/>
      <c r="AU298" s="1237"/>
      <c r="AV298" s="1221"/>
      <c r="AW298" s="1237"/>
      <c r="AX298" s="1221"/>
      <c r="AY298" s="1168"/>
      <c r="AZ298" s="1168"/>
      <c r="BA298" s="1168"/>
      <c r="BB298" s="1168"/>
      <c r="BC298" s="1221"/>
      <c r="BD298" s="1221"/>
      <c r="BE298" s="1222"/>
      <c r="BF298" s="1221"/>
      <c r="BG298" s="1221"/>
      <c r="BH298" s="1221"/>
      <c r="BJ298" s="1168"/>
      <c r="BL298" s="1220"/>
    </row>
    <row r="299" spans="1:64" s="1219" customFormat="1" ht="15">
      <c r="A299" s="1236"/>
      <c r="B299" s="1234"/>
      <c r="C299" s="1237"/>
      <c r="D299" s="1237"/>
      <c r="E299" s="1225"/>
      <c r="F299" s="1237"/>
      <c r="G299" s="1237"/>
      <c r="H299" s="1225"/>
      <c r="I299" s="1168"/>
      <c r="J299" s="1168"/>
      <c r="K299" s="1168"/>
      <c r="L299" s="1168"/>
      <c r="M299" s="1237"/>
      <c r="N299" s="1237"/>
      <c r="O299" s="1225"/>
      <c r="P299" s="1168"/>
      <c r="Q299" s="1168"/>
      <c r="R299" s="1168"/>
      <c r="S299" s="1168"/>
      <c r="T299" s="1237"/>
      <c r="U299" s="1221"/>
      <c r="V299" s="1168"/>
      <c r="W299" s="1237"/>
      <c r="X299" s="1221"/>
      <c r="Y299" s="1168"/>
      <c r="Z299" s="1237"/>
      <c r="AA299" s="1237"/>
      <c r="AB299" s="1221"/>
      <c r="AC299" s="1168"/>
      <c r="AD299" s="1237"/>
      <c r="AE299" s="1237"/>
      <c r="AF299" s="1221"/>
      <c r="AG299" s="1237"/>
      <c r="AH299" s="1237"/>
      <c r="AI299" s="1221"/>
      <c r="AJ299" s="1237"/>
      <c r="AK299" s="1237"/>
      <c r="AL299" s="1221"/>
      <c r="AM299" s="1168"/>
      <c r="AN299" s="1168"/>
      <c r="AO299" s="1168"/>
      <c r="AP299" s="1168"/>
      <c r="AQ299" s="1237"/>
      <c r="AR299" s="1237"/>
      <c r="AS299" s="1221"/>
      <c r="AT299" s="1168"/>
      <c r="AU299" s="1237"/>
      <c r="AV299" s="1221"/>
      <c r="AW299" s="1237"/>
      <c r="AX299" s="1221"/>
      <c r="AY299" s="1168"/>
      <c r="AZ299" s="1168"/>
      <c r="BA299" s="1168"/>
      <c r="BB299" s="1168"/>
      <c r="BC299" s="1221"/>
      <c r="BD299" s="1221"/>
      <c r="BE299" s="1222"/>
      <c r="BF299" s="1221"/>
      <c r="BG299" s="1221"/>
      <c r="BH299" s="1221"/>
      <c r="BJ299" s="1168"/>
      <c r="BL299" s="1220"/>
    </row>
    <row r="300" spans="1:64" s="1219" customFormat="1" ht="15">
      <c r="A300" s="1236"/>
      <c r="B300" s="1234"/>
      <c r="C300" s="1237"/>
      <c r="D300" s="1237"/>
      <c r="E300" s="1225"/>
      <c r="F300" s="1237"/>
      <c r="G300" s="1237"/>
      <c r="H300" s="1225"/>
      <c r="I300" s="1168"/>
      <c r="J300" s="1168"/>
      <c r="K300" s="1168"/>
      <c r="L300" s="1168"/>
      <c r="M300" s="1237"/>
      <c r="N300" s="1237"/>
      <c r="O300" s="1225"/>
      <c r="P300" s="1168"/>
      <c r="Q300" s="1168"/>
      <c r="R300" s="1168"/>
      <c r="S300" s="1168"/>
      <c r="T300" s="1237"/>
      <c r="U300" s="1221"/>
      <c r="V300" s="1168"/>
      <c r="W300" s="1237"/>
      <c r="X300" s="1221"/>
      <c r="Y300" s="1168"/>
      <c r="Z300" s="1237"/>
      <c r="AA300" s="1237"/>
      <c r="AB300" s="1221"/>
      <c r="AC300" s="1168"/>
      <c r="AD300" s="1237"/>
      <c r="AE300" s="1237"/>
      <c r="AF300" s="1221"/>
      <c r="AG300" s="1237"/>
      <c r="AH300" s="1237"/>
      <c r="AI300" s="1221"/>
      <c r="AJ300" s="1237"/>
      <c r="AK300" s="1237"/>
      <c r="AL300" s="1221"/>
      <c r="AM300" s="1168"/>
      <c r="AN300" s="1168"/>
      <c r="AO300" s="1168"/>
      <c r="AP300" s="1168"/>
      <c r="AQ300" s="1237"/>
      <c r="AR300" s="1237"/>
      <c r="AS300" s="1221"/>
      <c r="AT300" s="1168"/>
      <c r="AU300" s="1237"/>
      <c r="AV300" s="1221"/>
      <c r="AW300" s="1237"/>
      <c r="AX300" s="1221"/>
      <c r="AY300" s="1168"/>
      <c r="AZ300" s="1168"/>
      <c r="BA300" s="1168"/>
      <c r="BB300" s="1168"/>
      <c r="BC300" s="1221"/>
      <c r="BD300" s="1221"/>
      <c r="BE300" s="1222"/>
      <c r="BF300" s="1221"/>
      <c r="BG300" s="1221"/>
      <c r="BH300" s="1221"/>
      <c r="BJ300" s="1168"/>
      <c r="BL300" s="1220"/>
    </row>
    <row r="301" spans="1:64" s="1219" customFormat="1" ht="15">
      <c r="A301" s="1236"/>
      <c r="B301" s="1234"/>
      <c r="C301" s="1237"/>
      <c r="D301" s="1237"/>
      <c r="E301" s="1225"/>
      <c r="F301" s="1237"/>
      <c r="G301" s="1237"/>
      <c r="H301" s="1225"/>
      <c r="I301" s="1168"/>
      <c r="J301" s="1168"/>
      <c r="K301" s="1168"/>
      <c r="L301" s="1168"/>
      <c r="M301" s="1237"/>
      <c r="N301" s="1237"/>
      <c r="O301" s="1225"/>
      <c r="P301" s="1168"/>
      <c r="Q301" s="1168"/>
      <c r="R301" s="1168"/>
      <c r="S301" s="1168"/>
      <c r="T301" s="1237"/>
      <c r="U301" s="1221"/>
      <c r="V301" s="1168"/>
      <c r="W301" s="1237"/>
      <c r="X301" s="1221"/>
      <c r="Y301" s="1168"/>
      <c r="Z301" s="1237"/>
      <c r="AA301" s="1237"/>
      <c r="AB301" s="1221"/>
      <c r="AC301" s="1168"/>
      <c r="AD301" s="1237"/>
      <c r="AE301" s="1237"/>
      <c r="AF301" s="1221"/>
      <c r="AG301" s="1237"/>
      <c r="AH301" s="1237"/>
      <c r="AI301" s="1221"/>
      <c r="AJ301" s="1237"/>
      <c r="AK301" s="1237"/>
      <c r="AL301" s="1221"/>
      <c r="AM301" s="1168"/>
      <c r="AN301" s="1168"/>
      <c r="AO301" s="1168"/>
      <c r="AP301" s="1168"/>
      <c r="AQ301" s="1237"/>
      <c r="AR301" s="1237"/>
      <c r="AS301" s="1221"/>
      <c r="AT301" s="1168"/>
      <c r="AU301" s="1237"/>
      <c r="AV301" s="1221"/>
      <c r="AW301" s="1237"/>
      <c r="AX301" s="1221"/>
      <c r="AY301" s="1168"/>
      <c r="AZ301" s="1168"/>
      <c r="BA301" s="1168"/>
      <c r="BB301" s="1168"/>
      <c r="BC301" s="1221"/>
      <c r="BD301" s="1221"/>
      <c r="BE301" s="1222"/>
      <c r="BF301" s="1221"/>
      <c r="BG301" s="1221"/>
      <c r="BH301" s="1221"/>
      <c r="BJ301" s="1168"/>
      <c r="BL301" s="1220"/>
    </row>
    <row r="302" spans="1:64" s="1219" customFormat="1" ht="15">
      <c r="A302" s="1236"/>
      <c r="B302" s="1234"/>
      <c r="C302" s="1237"/>
      <c r="D302" s="1237"/>
      <c r="E302" s="1225"/>
      <c r="F302" s="1237"/>
      <c r="G302" s="1237"/>
      <c r="H302" s="1225"/>
      <c r="I302" s="1168"/>
      <c r="J302" s="1168"/>
      <c r="K302" s="1168"/>
      <c r="L302" s="1168"/>
      <c r="M302" s="1237"/>
      <c r="N302" s="1237"/>
      <c r="O302" s="1225"/>
      <c r="P302" s="1168"/>
      <c r="Q302" s="1168"/>
      <c r="R302" s="1168"/>
      <c r="S302" s="1168"/>
      <c r="T302" s="1237"/>
      <c r="U302" s="1221"/>
      <c r="V302" s="1168"/>
      <c r="W302" s="1237"/>
      <c r="X302" s="1221"/>
      <c r="Y302" s="1168"/>
      <c r="Z302" s="1237"/>
      <c r="AA302" s="1237"/>
      <c r="AB302" s="1221"/>
      <c r="AC302" s="1168"/>
      <c r="AD302" s="1237"/>
      <c r="AE302" s="1237"/>
      <c r="AF302" s="1221"/>
      <c r="AG302" s="1237"/>
      <c r="AH302" s="1237"/>
      <c r="AI302" s="1221"/>
      <c r="AJ302" s="1237"/>
      <c r="AK302" s="1237"/>
      <c r="AL302" s="1221"/>
      <c r="AM302" s="1168"/>
      <c r="AN302" s="1168"/>
      <c r="AO302" s="1168"/>
      <c r="AP302" s="1168"/>
      <c r="AQ302" s="1237"/>
      <c r="AR302" s="1237"/>
      <c r="AS302" s="1221"/>
      <c r="AT302" s="1168"/>
      <c r="AU302" s="1237"/>
      <c r="AV302" s="1221"/>
      <c r="AW302" s="1237"/>
      <c r="AX302" s="1221"/>
      <c r="AY302" s="1168"/>
      <c r="AZ302" s="1168"/>
      <c r="BA302" s="1168"/>
      <c r="BB302" s="1168"/>
      <c r="BC302" s="1221"/>
      <c r="BD302" s="1221"/>
      <c r="BE302" s="1222"/>
      <c r="BF302" s="1221"/>
      <c r="BG302" s="1221"/>
      <c r="BH302" s="1221"/>
      <c r="BJ302" s="1168"/>
      <c r="BL302" s="1220"/>
    </row>
    <row r="303" spans="1:64" s="1219" customFormat="1" ht="15">
      <c r="A303" s="1236"/>
      <c r="B303" s="1234"/>
      <c r="C303" s="1237"/>
      <c r="D303" s="1237"/>
      <c r="E303" s="1225"/>
      <c r="F303" s="1237"/>
      <c r="G303" s="1237"/>
      <c r="H303" s="1225"/>
      <c r="I303" s="1168"/>
      <c r="J303" s="1168"/>
      <c r="K303" s="1168"/>
      <c r="L303" s="1168"/>
      <c r="M303" s="1237"/>
      <c r="N303" s="1237"/>
      <c r="O303" s="1225"/>
      <c r="P303" s="1168"/>
      <c r="Q303" s="1168"/>
      <c r="R303" s="1168"/>
      <c r="S303" s="1168"/>
      <c r="T303" s="1237"/>
      <c r="U303" s="1221"/>
      <c r="V303" s="1168"/>
      <c r="W303" s="1237"/>
      <c r="X303" s="1221"/>
      <c r="Y303" s="1168"/>
      <c r="Z303" s="1237"/>
      <c r="AA303" s="1237"/>
      <c r="AB303" s="1221"/>
      <c r="AC303" s="1168"/>
      <c r="AD303" s="1237"/>
      <c r="AE303" s="1237"/>
      <c r="AF303" s="1221"/>
      <c r="AG303" s="1237"/>
      <c r="AH303" s="1237"/>
      <c r="AI303" s="1221"/>
      <c r="AJ303" s="1237"/>
      <c r="AK303" s="1237"/>
      <c r="AL303" s="1221"/>
      <c r="AM303" s="1168"/>
      <c r="AN303" s="1168"/>
      <c r="AO303" s="1168"/>
      <c r="AP303" s="1168"/>
      <c r="AQ303" s="1237"/>
      <c r="AR303" s="1237"/>
      <c r="AS303" s="1221"/>
      <c r="AT303" s="1168"/>
      <c r="AU303" s="1237"/>
      <c r="AV303" s="1221"/>
      <c r="AW303" s="1237"/>
      <c r="AX303" s="1221"/>
      <c r="AY303" s="1168"/>
      <c r="AZ303" s="1168"/>
      <c r="BA303" s="1168"/>
      <c r="BB303" s="1168"/>
      <c r="BC303" s="1221"/>
      <c r="BD303" s="1221"/>
      <c r="BE303" s="1222"/>
      <c r="BF303" s="1221"/>
      <c r="BG303" s="1221"/>
      <c r="BH303" s="1221"/>
      <c r="BJ303" s="1168"/>
      <c r="BL303" s="1220"/>
    </row>
    <row r="304" spans="1:64" s="1219" customFormat="1" ht="15">
      <c r="A304" s="1236"/>
      <c r="B304" s="1234"/>
      <c r="C304" s="1237"/>
      <c r="D304" s="1237"/>
      <c r="E304" s="1225"/>
      <c r="F304" s="1237"/>
      <c r="G304" s="1237"/>
      <c r="H304" s="1225"/>
      <c r="I304" s="1168"/>
      <c r="J304" s="1168"/>
      <c r="K304" s="1168"/>
      <c r="L304" s="1168"/>
      <c r="M304" s="1237"/>
      <c r="N304" s="1237"/>
      <c r="O304" s="1225"/>
      <c r="P304" s="1168"/>
      <c r="Q304" s="1168"/>
      <c r="R304" s="1168"/>
      <c r="S304" s="1168"/>
      <c r="T304" s="1237"/>
      <c r="U304" s="1221"/>
      <c r="V304" s="1168"/>
      <c r="W304" s="1237"/>
      <c r="X304" s="1221"/>
      <c r="Y304" s="1168"/>
      <c r="Z304" s="1237"/>
      <c r="AA304" s="1237"/>
      <c r="AB304" s="1221"/>
      <c r="AC304" s="1168"/>
      <c r="AD304" s="1237"/>
      <c r="AE304" s="1237"/>
      <c r="AF304" s="1221"/>
      <c r="AG304" s="1237"/>
      <c r="AH304" s="1237"/>
      <c r="AI304" s="1221"/>
      <c r="AJ304" s="1237"/>
      <c r="AK304" s="1237"/>
      <c r="AL304" s="1221"/>
      <c r="AM304" s="1168"/>
      <c r="AN304" s="1168"/>
      <c r="AO304" s="1168"/>
      <c r="AP304" s="1168"/>
      <c r="AQ304" s="1237"/>
      <c r="AR304" s="1237"/>
      <c r="AS304" s="1221"/>
      <c r="AT304" s="1168"/>
      <c r="AU304" s="1237"/>
      <c r="AV304" s="1221"/>
      <c r="AW304" s="1237"/>
      <c r="AX304" s="1221"/>
      <c r="AY304" s="1168"/>
      <c r="AZ304" s="1168"/>
      <c r="BA304" s="1168"/>
      <c r="BB304" s="1168"/>
      <c r="BC304" s="1221"/>
      <c r="BD304" s="1221"/>
      <c r="BE304" s="1222"/>
      <c r="BF304" s="1221"/>
      <c r="BG304" s="1221"/>
      <c r="BH304" s="1221"/>
      <c r="BJ304" s="1168"/>
      <c r="BL304" s="1220"/>
    </row>
    <row r="305" spans="1:64" s="1219" customFormat="1" ht="15">
      <c r="A305" s="1236"/>
      <c r="B305" s="1234"/>
      <c r="C305" s="1237"/>
      <c r="D305" s="1237"/>
      <c r="E305" s="1225"/>
      <c r="F305" s="1237"/>
      <c r="G305" s="1237"/>
      <c r="H305" s="1225"/>
      <c r="I305" s="1168"/>
      <c r="J305" s="1168"/>
      <c r="K305" s="1168"/>
      <c r="L305" s="1168"/>
      <c r="M305" s="1237"/>
      <c r="N305" s="1237"/>
      <c r="O305" s="1225"/>
      <c r="P305" s="1168"/>
      <c r="Q305" s="1168"/>
      <c r="R305" s="1168"/>
      <c r="S305" s="1168"/>
      <c r="T305" s="1237"/>
      <c r="U305" s="1221"/>
      <c r="V305" s="1168"/>
      <c r="W305" s="1237"/>
      <c r="X305" s="1221"/>
      <c r="Y305" s="1168"/>
      <c r="Z305" s="1237"/>
      <c r="AA305" s="1237"/>
      <c r="AB305" s="1221"/>
      <c r="AC305" s="1168"/>
      <c r="AD305" s="1237"/>
      <c r="AE305" s="1237"/>
      <c r="AF305" s="1221"/>
      <c r="AG305" s="1237"/>
      <c r="AH305" s="1237"/>
      <c r="AI305" s="1221"/>
      <c r="AJ305" s="1237"/>
      <c r="AK305" s="1237"/>
      <c r="AL305" s="1221"/>
      <c r="AM305" s="1168"/>
      <c r="AN305" s="1168"/>
      <c r="AO305" s="1168"/>
      <c r="AP305" s="1168"/>
      <c r="AQ305" s="1237"/>
      <c r="AR305" s="1237"/>
      <c r="AS305" s="1221"/>
      <c r="AT305" s="1168"/>
      <c r="AU305" s="1237"/>
      <c r="AV305" s="1221"/>
      <c r="AW305" s="1237"/>
      <c r="AX305" s="1221"/>
      <c r="AY305" s="1168"/>
      <c r="AZ305" s="1168"/>
      <c r="BA305" s="1168"/>
      <c r="BB305" s="1168"/>
      <c r="BC305" s="1221"/>
      <c r="BD305" s="1221"/>
      <c r="BE305" s="1222"/>
      <c r="BF305" s="1221"/>
      <c r="BG305" s="1221"/>
      <c r="BH305" s="1221"/>
      <c r="BJ305" s="1168"/>
      <c r="BL305" s="1220"/>
    </row>
    <row r="306" spans="1:64" s="1219" customFormat="1" ht="15">
      <c r="A306" s="1236"/>
      <c r="B306" s="1234"/>
      <c r="C306" s="1237"/>
      <c r="D306" s="1237"/>
      <c r="E306" s="1225"/>
      <c r="F306" s="1237"/>
      <c r="G306" s="1237"/>
      <c r="H306" s="1225"/>
      <c r="I306" s="1168"/>
      <c r="J306" s="1168"/>
      <c r="K306" s="1168"/>
      <c r="L306" s="1168"/>
      <c r="M306" s="1237"/>
      <c r="N306" s="1237"/>
      <c r="O306" s="1225"/>
      <c r="P306" s="1168"/>
      <c r="Q306" s="1168"/>
      <c r="R306" s="1168"/>
      <c r="S306" s="1168"/>
      <c r="T306" s="1237"/>
      <c r="U306" s="1221"/>
      <c r="V306" s="1168"/>
      <c r="W306" s="1237"/>
      <c r="X306" s="1221"/>
      <c r="Y306" s="1168"/>
      <c r="Z306" s="1237"/>
      <c r="AA306" s="1237"/>
      <c r="AB306" s="1221"/>
      <c r="AC306" s="1168"/>
      <c r="AD306" s="1237"/>
      <c r="AE306" s="1237"/>
      <c r="AF306" s="1221"/>
      <c r="AG306" s="1237"/>
      <c r="AH306" s="1237"/>
      <c r="AI306" s="1221"/>
      <c r="AJ306" s="1237"/>
      <c r="AK306" s="1237"/>
      <c r="AL306" s="1221"/>
      <c r="AM306" s="1168"/>
      <c r="AN306" s="1168"/>
      <c r="AO306" s="1168"/>
      <c r="AP306" s="1168"/>
      <c r="AQ306" s="1237"/>
      <c r="AR306" s="1237"/>
      <c r="AS306" s="1221"/>
      <c r="AT306" s="1168"/>
      <c r="AU306" s="1237"/>
      <c r="AV306" s="1221"/>
      <c r="AW306" s="1237"/>
      <c r="AX306" s="1221"/>
      <c r="AY306" s="1168"/>
      <c r="AZ306" s="1168"/>
      <c r="BA306" s="1168"/>
      <c r="BB306" s="1168"/>
      <c r="BC306" s="1221"/>
      <c r="BD306" s="1221"/>
      <c r="BE306" s="1222"/>
      <c r="BF306" s="1221"/>
      <c r="BG306" s="1221"/>
      <c r="BH306" s="1221"/>
      <c r="BJ306" s="1168"/>
      <c r="BL306" s="1220"/>
    </row>
    <row r="307" spans="1:64" s="1219" customFormat="1" ht="15">
      <c r="A307" s="1236"/>
      <c r="B307" s="1234"/>
      <c r="C307" s="1237"/>
      <c r="D307" s="1237"/>
      <c r="E307" s="1225"/>
      <c r="F307" s="1237"/>
      <c r="G307" s="1237"/>
      <c r="H307" s="1225"/>
      <c r="I307" s="1168"/>
      <c r="J307" s="1168"/>
      <c r="K307" s="1168"/>
      <c r="L307" s="1168"/>
      <c r="M307" s="1237"/>
      <c r="N307" s="1237"/>
      <c r="O307" s="1225"/>
      <c r="P307" s="1168"/>
      <c r="Q307" s="1168"/>
      <c r="R307" s="1168"/>
      <c r="S307" s="1168"/>
      <c r="T307" s="1237"/>
      <c r="U307" s="1221"/>
      <c r="V307" s="1168"/>
      <c r="W307" s="1237"/>
      <c r="X307" s="1221"/>
      <c r="Y307" s="1168"/>
      <c r="Z307" s="1237"/>
      <c r="AA307" s="1237"/>
      <c r="AB307" s="1221"/>
      <c r="AC307" s="1168"/>
      <c r="AD307" s="1237"/>
      <c r="AE307" s="1237"/>
      <c r="AF307" s="1221"/>
      <c r="AG307" s="1237"/>
      <c r="AH307" s="1237"/>
      <c r="AI307" s="1221"/>
      <c r="AJ307" s="1237"/>
      <c r="AK307" s="1237"/>
      <c r="AL307" s="1221"/>
      <c r="AM307" s="1168"/>
      <c r="AN307" s="1168"/>
      <c r="AO307" s="1168"/>
      <c r="AP307" s="1168"/>
      <c r="AQ307" s="1237"/>
      <c r="AR307" s="1237"/>
      <c r="AS307" s="1221"/>
      <c r="AT307" s="1168"/>
      <c r="AU307" s="1237"/>
      <c r="AV307" s="1221"/>
      <c r="AW307" s="1237"/>
      <c r="AX307" s="1221"/>
      <c r="AY307" s="1168"/>
      <c r="AZ307" s="1168"/>
      <c r="BA307" s="1168"/>
      <c r="BB307" s="1168"/>
      <c r="BC307" s="1221"/>
      <c r="BD307" s="1221"/>
      <c r="BE307" s="1222"/>
      <c r="BF307" s="1221"/>
      <c r="BG307" s="1221"/>
      <c r="BH307" s="1221"/>
      <c r="BJ307" s="1168"/>
      <c r="BL307" s="1220"/>
    </row>
    <row r="308" spans="1:64" s="1219" customFormat="1" ht="15">
      <c r="A308" s="1236"/>
      <c r="B308" s="1234"/>
      <c r="C308" s="1237"/>
      <c r="D308" s="1237"/>
      <c r="E308" s="1225"/>
      <c r="F308" s="1237"/>
      <c r="G308" s="1237"/>
      <c r="H308" s="1225"/>
      <c r="I308" s="1168"/>
      <c r="J308" s="1168"/>
      <c r="K308" s="1168"/>
      <c r="L308" s="1168"/>
      <c r="M308" s="1237"/>
      <c r="N308" s="1237"/>
      <c r="O308" s="1225"/>
      <c r="P308" s="1168"/>
      <c r="Q308" s="1168"/>
      <c r="R308" s="1168"/>
      <c r="S308" s="1168"/>
      <c r="T308" s="1237"/>
      <c r="U308" s="1221"/>
      <c r="V308" s="1168"/>
      <c r="W308" s="1237"/>
      <c r="X308" s="1221"/>
      <c r="Y308" s="1168"/>
      <c r="Z308" s="1237"/>
      <c r="AA308" s="1237"/>
      <c r="AB308" s="1221"/>
      <c r="AC308" s="1168"/>
      <c r="AD308" s="1237"/>
      <c r="AE308" s="1237"/>
      <c r="AF308" s="1221"/>
      <c r="AG308" s="1237"/>
      <c r="AH308" s="1237"/>
      <c r="AI308" s="1221"/>
      <c r="AJ308" s="1237"/>
      <c r="AK308" s="1237"/>
      <c r="AL308" s="1221"/>
      <c r="AM308" s="1168"/>
      <c r="AN308" s="1168"/>
      <c r="AO308" s="1168"/>
      <c r="AP308" s="1168"/>
      <c r="AQ308" s="1237"/>
      <c r="AR308" s="1237"/>
      <c r="AS308" s="1221"/>
      <c r="AT308" s="1168"/>
      <c r="AU308" s="1237"/>
      <c r="AV308" s="1221"/>
      <c r="AW308" s="1237"/>
      <c r="AX308" s="1221"/>
      <c r="AY308" s="1168"/>
      <c r="AZ308" s="1168"/>
      <c r="BA308" s="1168"/>
      <c r="BB308" s="1168"/>
      <c r="BC308" s="1221"/>
      <c r="BD308" s="1221"/>
      <c r="BE308" s="1222"/>
      <c r="BF308" s="1221"/>
      <c r="BG308" s="1221"/>
      <c r="BH308" s="1221"/>
      <c r="BJ308" s="1168"/>
      <c r="BL308" s="1220"/>
    </row>
    <row r="309" spans="1:64" s="1219" customFormat="1" ht="15">
      <c r="A309" s="1236"/>
      <c r="B309" s="1234"/>
      <c r="C309" s="1237"/>
      <c r="D309" s="1237"/>
      <c r="E309" s="1225"/>
      <c r="F309" s="1237"/>
      <c r="G309" s="1237"/>
      <c r="H309" s="1225"/>
      <c r="I309" s="1168"/>
      <c r="J309" s="1168"/>
      <c r="K309" s="1168"/>
      <c r="L309" s="1168"/>
      <c r="M309" s="1237"/>
      <c r="N309" s="1237"/>
      <c r="O309" s="1225"/>
      <c r="P309" s="1168"/>
      <c r="Q309" s="1168"/>
      <c r="R309" s="1168"/>
      <c r="S309" s="1168"/>
      <c r="T309" s="1237"/>
      <c r="U309" s="1221"/>
      <c r="V309" s="1168"/>
      <c r="W309" s="1237"/>
      <c r="X309" s="1221"/>
      <c r="Y309" s="1168"/>
      <c r="Z309" s="1237"/>
      <c r="AA309" s="1237"/>
      <c r="AB309" s="1221"/>
      <c r="AC309" s="1168"/>
      <c r="AD309" s="1237"/>
      <c r="AE309" s="1237"/>
      <c r="AF309" s="1221"/>
      <c r="AG309" s="1237"/>
      <c r="AH309" s="1237"/>
      <c r="AI309" s="1221"/>
      <c r="AJ309" s="1237"/>
      <c r="AK309" s="1237"/>
      <c r="AL309" s="1221"/>
      <c r="AM309" s="1168"/>
      <c r="AN309" s="1168"/>
      <c r="AO309" s="1168"/>
      <c r="AP309" s="1168"/>
      <c r="AQ309" s="1237"/>
      <c r="AR309" s="1237"/>
      <c r="AS309" s="1221"/>
      <c r="AT309" s="1168"/>
      <c r="AU309" s="1237"/>
      <c r="AV309" s="1221"/>
      <c r="AW309" s="1237"/>
      <c r="AX309" s="1221"/>
      <c r="AY309" s="1168"/>
      <c r="AZ309" s="1168"/>
      <c r="BA309" s="1168"/>
      <c r="BB309" s="1168"/>
      <c r="BC309" s="1221"/>
      <c r="BD309" s="1221"/>
      <c r="BE309" s="1222"/>
      <c r="BF309" s="1221"/>
      <c r="BG309" s="1221"/>
      <c r="BH309" s="1221"/>
      <c r="BJ309" s="1168"/>
      <c r="BL309" s="1220"/>
    </row>
    <row r="314" spans="1:64">
      <c r="C314" s="1171">
        <v>3.472222222222222E-3</v>
      </c>
      <c r="D314" s="1148">
        <v>3.472222222222222E-3</v>
      </c>
      <c r="E314" s="1171"/>
      <c r="F314" s="1148"/>
      <c r="G314" s="1171"/>
      <c r="H314" s="1172">
        <v>3.472222222222222E-3</v>
      </c>
      <c r="I314" s="1173">
        <v>3.472222222222222E-3</v>
      </c>
      <c r="K314" s="1173">
        <v>0.5</v>
      </c>
      <c r="L314" s="1173">
        <v>4.5138888888888888E-2</v>
      </c>
    </row>
    <row r="315" spans="1:64">
      <c r="C315" s="1171">
        <v>6.9444444444444441E-3</v>
      </c>
      <c r="D315" s="1148">
        <v>6.9444444444444441E-3</v>
      </c>
      <c r="E315" s="1171"/>
      <c r="F315" s="1171"/>
      <c r="H315" s="1172">
        <v>6.9444444444444441E-3</v>
      </c>
      <c r="I315" s="1173">
        <v>6.9444444444444441E-3</v>
      </c>
    </row>
    <row r="316" spans="1:64">
      <c r="C316" s="1171">
        <v>1.0416666666666666E-2</v>
      </c>
      <c r="D316" s="1148">
        <v>1.0416666666666666E-2</v>
      </c>
      <c r="E316" s="1171"/>
      <c r="F316" s="1171"/>
      <c r="H316" s="1172">
        <v>1.0416666666666701E-2</v>
      </c>
      <c r="I316" s="1173">
        <v>1.0416666666666701E-2</v>
      </c>
      <c r="K316" s="1173">
        <v>0.91666666666666663</v>
      </c>
    </row>
    <row r="317" spans="1:64">
      <c r="C317" s="1171">
        <v>1.38888888888889E-2</v>
      </c>
      <c r="D317" s="1148">
        <v>1.38888888888889E-2</v>
      </c>
      <c r="E317" s="1171"/>
      <c r="F317" s="1171"/>
      <c r="H317" s="1172">
        <v>1.38888888888889E-2</v>
      </c>
      <c r="I317" s="1173">
        <v>1.38888888888889E-2</v>
      </c>
      <c r="K317" s="1148">
        <v>0.99305555555555547</v>
      </c>
    </row>
    <row r="318" spans="1:64">
      <c r="C318" s="1171">
        <v>1.7361111111111101E-2</v>
      </c>
      <c r="D318" s="1148">
        <v>1.7361111111111101E-2</v>
      </c>
      <c r="E318" s="1171"/>
      <c r="F318" s="1171"/>
      <c r="H318" s="1172">
        <v>1.7361111111111101E-2</v>
      </c>
      <c r="I318" s="1173">
        <v>1.7361111111111101E-2</v>
      </c>
    </row>
    <row r="319" spans="1:64">
      <c r="C319" s="1171">
        <v>2.0833333333333301E-2</v>
      </c>
      <c r="D319" s="1148">
        <v>2.0833333333333301E-2</v>
      </c>
      <c r="E319" s="1171"/>
      <c r="F319" s="1171"/>
      <c r="H319" s="1172">
        <v>2.0833333333333301E-2</v>
      </c>
      <c r="I319" s="1173">
        <v>2.0833333333333301E-2</v>
      </c>
    </row>
    <row r="320" spans="1:64">
      <c r="C320" s="1171">
        <v>2.43055555555555E-2</v>
      </c>
      <c r="D320" s="1148">
        <v>2.43055555555555E-2</v>
      </c>
      <c r="E320" s="1171"/>
      <c r="F320" s="1171"/>
      <c r="H320" s="1172">
        <v>2.43055555555555E-2</v>
      </c>
      <c r="I320" s="1173">
        <v>2.43055555555555E-2</v>
      </c>
    </row>
    <row r="321" spans="3:9">
      <c r="C321" s="1171">
        <v>2.77777777777777E-2</v>
      </c>
      <c r="D321" s="1148">
        <v>2.77777777777777E-2</v>
      </c>
      <c r="E321" s="1171"/>
      <c r="F321" s="1171"/>
      <c r="H321" s="1172">
        <v>2.7777777777777801E-2</v>
      </c>
      <c r="I321" s="1173">
        <v>2.7777777777777801E-2</v>
      </c>
    </row>
    <row r="322" spans="3:9">
      <c r="C322" s="1171">
        <v>3.125E-2</v>
      </c>
      <c r="D322" s="1148">
        <v>3.125E-2</v>
      </c>
      <c r="E322" s="1171"/>
      <c r="F322" s="1171"/>
      <c r="H322" s="1172">
        <v>3.125E-2</v>
      </c>
      <c r="I322" s="1173">
        <v>3.125E-2</v>
      </c>
    </row>
    <row r="323" spans="3:9">
      <c r="C323" s="1171">
        <v>3.4722222222222203E-2</v>
      </c>
      <c r="D323" s="1148">
        <v>3.4722222222222203E-2</v>
      </c>
      <c r="E323" s="1171"/>
      <c r="F323" s="1171"/>
      <c r="H323" s="1172">
        <v>3.4722222222222203E-2</v>
      </c>
      <c r="I323" s="1173">
        <v>3.4722222222222203E-2</v>
      </c>
    </row>
    <row r="324" spans="3:9">
      <c r="C324" s="1171">
        <v>3.8194444444444399E-2</v>
      </c>
      <c r="D324" s="1148">
        <v>3.8194444444444399E-2</v>
      </c>
      <c r="E324" s="1171"/>
      <c r="F324" s="1171"/>
      <c r="H324" s="1172">
        <v>3.8194444444444399E-2</v>
      </c>
      <c r="I324" s="1173">
        <v>3.8194444444444399E-2</v>
      </c>
    </row>
    <row r="325" spans="3:9">
      <c r="C325" s="1171">
        <v>4.1666666666666602E-2</v>
      </c>
      <c r="D325" s="1148">
        <v>4.1666666666666602E-2</v>
      </c>
      <c r="H325" s="1172">
        <v>4.1666666666666602E-2</v>
      </c>
      <c r="I325" s="1173">
        <v>4.1666666666666602E-2</v>
      </c>
    </row>
    <row r="326" spans="3:9">
      <c r="C326" s="1171">
        <v>4.5138888888888798E-2</v>
      </c>
      <c r="D326" s="1148">
        <v>4.5138888888888798E-2</v>
      </c>
      <c r="H326" s="1172">
        <v>4.5138888888888902E-2</v>
      </c>
      <c r="I326" s="1173">
        <v>4.5138888888888902E-2</v>
      </c>
    </row>
    <row r="327" spans="3:9">
      <c r="C327" s="1171">
        <v>4.8611111111111001E-2</v>
      </c>
      <c r="D327" s="1148">
        <v>4.8611111111111001E-2</v>
      </c>
      <c r="H327" s="1172">
        <v>4.8611111111111098E-2</v>
      </c>
      <c r="I327" s="1173">
        <v>4.8611111111111098E-2</v>
      </c>
    </row>
    <row r="328" spans="3:9">
      <c r="C328" s="1171">
        <v>5.2083333333333197E-2</v>
      </c>
      <c r="D328" s="1148">
        <v>5.2083333333333197E-2</v>
      </c>
      <c r="H328" s="1172">
        <v>5.2083333333333301E-2</v>
      </c>
      <c r="I328" s="1173">
        <v>5.2083333333333301E-2</v>
      </c>
    </row>
    <row r="329" spans="3:9">
      <c r="C329" s="1171">
        <v>5.55555555555554E-2</v>
      </c>
      <c r="D329" s="1148">
        <v>5.55555555555554E-2</v>
      </c>
      <c r="H329" s="1172">
        <v>5.5555555555555497E-2</v>
      </c>
      <c r="I329" s="1173">
        <v>5.5555555555555497E-2</v>
      </c>
    </row>
    <row r="330" spans="3:9">
      <c r="C330" s="1171">
        <v>5.9027777777777603E-2</v>
      </c>
      <c r="D330" s="1148">
        <v>5.9027777777777603E-2</v>
      </c>
      <c r="H330" s="1172">
        <v>5.9027777777777797E-2</v>
      </c>
      <c r="I330" s="1173">
        <v>5.9027777777777797E-2</v>
      </c>
    </row>
    <row r="331" spans="3:9">
      <c r="C331" s="1171">
        <v>6.2499999999999799E-2</v>
      </c>
      <c r="D331" s="1148">
        <v>6.2499999999999799E-2</v>
      </c>
      <c r="H331" s="1172">
        <v>6.25E-2</v>
      </c>
      <c r="I331" s="1173">
        <v>6.25E-2</v>
      </c>
    </row>
    <row r="332" spans="3:9">
      <c r="C332" s="1171">
        <v>6.5972222222222002E-2</v>
      </c>
      <c r="D332" s="1148">
        <v>6.5972222222222002E-2</v>
      </c>
      <c r="H332" s="1172">
        <v>6.5972222222222196E-2</v>
      </c>
      <c r="I332" s="1173">
        <v>6.5972222222222196E-2</v>
      </c>
    </row>
    <row r="333" spans="3:9">
      <c r="C333" s="1171">
        <v>6.9444444444444198E-2</v>
      </c>
      <c r="D333" s="1148">
        <v>6.9444444444444198E-2</v>
      </c>
      <c r="H333" s="1172">
        <v>6.9444444444444406E-2</v>
      </c>
      <c r="I333" s="1173">
        <v>6.9444444444444406E-2</v>
      </c>
    </row>
    <row r="334" spans="3:9">
      <c r="C334" s="1171">
        <v>7.2916666666666394E-2</v>
      </c>
      <c r="D334" s="1148">
        <v>7.2916666666666394E-2</v>
      </c>
      <c r="H334" s="1172">
        <v>7.2916666666666602E-2</v>
      </c>
      <c r="I334" s="1173">
        <v>7.2916666666666602E-2</v>
      </c>
    </row>
    <row r="335" spans="3:9">
      <c r="C335" s="1171">
        <v>7.6388888888888604E-2</v>
      </c>
      <c r="D335" s="1148">
        <v>7.6388888888888604E-2</v>
      </c>
      <c r="H335" s="1172">
        <v>7.6388888888888895E-2</v>
      </c>
      <c r="I335" s="1173">
        <v>7.6388888888888895E-2</v>
      </c>
    </row>
    <row r="336" spans="3:9">
      <c r="C336" s="1171">
        <v>7.98611111111108E-2</v>
      </c>
      <c r="D336" s="1148">
        <v>7.98611111111108E-2</v>
      </c>
      <c r="H336" s="1172">
        <v>7.9861111111111105E-2</v>
      </c>
      <c r="I336" s="1173">
        <v>7.9861111111111105E-2</v>
      </c>
    </row>
    <row r="337" spans="3:9">
      <c r="C337" s="1171">
        <v>8.3333333333332996E-2</v>
      </c>
      <c r="D337" s="1148">
        <v>8.3333333333332996E-2</v>
      </c>
      <c r="H337" s="1172">
        <v>8.3333333333333301E-2</v>
      </c>
      <c r="I337" s="1173">
        <v>8.3333333333333301E-2</v>
      </c>
    </row>
    <row r="338" spans="3:9">
      <c r="C338" s="1171">
        <v>8.6805555555555206E-2</v>
      </c>
      <c r="D338" s="1148">
        <v>8.6805555555555206E-2</v>
      </c>
      <c r="H338" s="1172">
        <v>8.6805555555555497E-2</v>
      </c>
      <c r="I338" s="1173">
        <v>8.6805555555555497E-2</v>
      </c>
    </row>
    <row r="339" spans="3:9">
      <c r="C339" s="1171">
        <v>9.0277777777777402E-2</v>
      </c>
      <c r="D339" s="1148">
        <v>9.0277777777777402E-2</v>
      </c>
      <c r="H339" s="1172">
        <v>9.0277777777777804E-2</v>
      </c>
      <c r="I339" s="1173">
        <v>9.0277777777777804E-2</v>
      </c>
    </row>
    <row r="340" spans="3:9">
      <c r="C340" s="1171">
        <v>9.3749999999999598E-2</v>
      </c>
      <c r="D340" s="1148">
        <v>9.3749999999999598E-2</v>
      </c>
      <c r="H340" s="1172">
        <v>9.375E-2</v>
      </c>
      <c r="I340" s="1173">
        <v>9.375E-2</v>
      </c>
    </row>
    <row r="341" spans="3:9">
      <c r="C341" s="1171">
        <v>9.7222222222221794E-2</v>
      </c>
      <c r="D341" s="1148">
        <v>9.7222222222221794E-2</v>
      </c>
      <c r="H341" s="1172">
        <v>9.7222222222222196E-2</v>
      </c>
      <c r="I341" s="1173">
        <v>9.7222222222222196E-2</v>
      </c>
    </row>
    <row r="342" spans="3:9">
      <c r="C342" s="1171">
        <v>0.100694444444444</v>
      </c>
      <c r="D342" s="1148">
        <v>0.100694444444444</v>
      </c>
      <c r="H342" s="1172">
        <v>0.100694444444444</v>
      </c>
      <c r="I342" s="1173">
        <v>0.100694444444444</v>
      </c>
    </row>
    <row r="343" spans="3:9">
      <c r="C343" s="1171">
        <v>0.10416666666666601</v>
      </c>
      <c r="D343" s="1148">
        <v>0.10416666666666601</v>
      </c>
      <c r="H343" s="1172">
        <v>0.10416666666666601</v>
      </c>
      <c r="I343" s="1173">
        <v>0.10416666666666601</v>
      </c>
    </row>
    <row r="344" spans="3:9">
      <c r="C344" s="1174">
        <v>0.125</v>
      </c>
      <c r="D344" s="1148">
        <v>0.125</v>
      </c>
      <c r="H344" s="1172">
        <v>0.10763888888888901</v>
      </c>
      <c r="I344" s="1173">
        <v>0.10763888888888901</v>
      </c>
    </row>
    <row r="345" spans="3:9">
      <c r="C345" s="1174">
        <v>0.16666666666666666</v>
      </c>
      <c r="D345" s="1148">
        <v>0.16666666666666666</v>
      </c>
      <c r="H345" s="1172">
        <v>0.11111111111111099</v>
      </c>
      <c r="I345" s="1173">
        <v>0.11111111111111099</v>
      </c>
    </row>
    <row r="346" spans="3:9">
      <c r="C346" s="1174">
        <v>0.20833333333333334</v>
      </c>
      <c r="D346" s="1148">
        <v>0.20833333333333334</v>
      </c>
      <c r="H346" s="1172">
        <v>0.114583333333333</v>
      </c>
      <c r="I346" s="1173">
        <v>0.114583333333333</v>
      </c>
    </row>
    <row r="347" spans="3:9">
      <c r="C347" s="1174">
        <v>1</v>
      </c>
      <c r="D347" s="1148">
        <v>1</v>
      </c>
      <c r="H347" s="1172">
        <v>0.118055555555555</v>
      </c>
      <c r="I347" s="1173">
        <v>0.118055555555555</v>
      </c>
    </row>
    <row r="348" spans="3:9">
      <c r="H348" s="1172">
        <v>0.121527777777778</v>
      </c>
      <c r="I348" s="1173">
        <v>0.121527777777778</v>
      </c>
    </row>
    <row r="349" spans="3:9">
      <c r="H349" s="1172">
        <v>0.125</v>
      </c>
      <c r="I349" s="1173">
        <v>0.125</v>
      </c>
    </row>
    <row r="350" spans="3:9">
      <c r="H350" s="1172">
        <v>0.12847222222222199</v>
      </c>
      <c r="I350" s="1173">
        <v>0.12847222222222199</v>
      </c>
    </row>
    <row r="351" spans="3:9">
      <c r="H351" s="1172">
        <v>0.131944444444444</v>
      </c>
      <c r="I351" s="1173">
        <v>0.131944444444444</v>
      </c>
    </row>
    <row r="352" spans="3:9">
      <c r="H352" s="1172">
        <v>0.13541666666666599</v>
      </c>
      <c r="I352" s="1173">
        <v>0.13541666666666599</v>
      </c>
    </row>
    <row r="353" spans="8:9">
      <c r="H353" s="1172">
        <v>0.13888888888888901</v>
      </c>
      <c r="I353" s="1173">
        <v>0.13888888888888901</v>
      </c>
    </row>
    <row r="354" spans="8:9">
      <c r="H354" s="1172">
        <v>0.14236111111111099</v>
      </c>
      <c r="I354" s="1173">
        <v>0.14236111111111099</v>
      </c>
    </row>
    <row r="355" spans="8:9">
      <c r="H355" s="1172">
        <v>0.14583333333333301</v>
      </c>
      <c r="I355" s="1173">
        <v>0.14583333333333301</v>
      </c>
    </row>
    <row r="356" spans="8:9">
      <c r="H356" s="1172">
        <v>0.149305555555555</v>
      </c>
      <c r="I356" s="1173">
        <v>0.149305555555555</v>
      </c>
    </row>
    <row r="357" spans="8:9">
      <c r="H357" s="1172">
        <v>0.15277777777777801</v>
      </c>
      <c r="I357" s="1173">
        <v>0.15277777777777801</v>
      </c>
    </row>
    <row r="358" spans="8:9">
      <c r="H358" s="1172">
        <v>0.15625</v>
      </c>
      <c r="I358" s="1173">
        <v>0.15625</v>
      </c>
    </row>
    <row r="359" spans="8:9">
      <c r="H359" s="1172">
        <v>0.15972222222222199</v>
      </c>
      <c r="I359" s="1173">
        <v>0.15972222222222199</v>
      </c>
    </row>
    <row r="360" spans="8:9">
      <c r="H360" s="1172">
        <v>0.163194444444444</v>
      </c>
      <c r="I360" s="1173">
        <v>0.163194444444444</v>
      </c>
    </row>
    <row r="361" spans="8:9">
      <c r="H361" s="1172">
        <v>0.16666666666666599</v>
      </c>
      <c r="I361" s="1173">
        <v>0.16666666666666599</v>
      </c>
    </row>
    <row r="362" spans="8:9">
      <c r="H362" s="1172">
        <v>0.17013888888888901</v>
      </c>
      <c r="I362" s="1173">
        <v>0.17013888888888901</v>
      </c>
    </row>
    <row r="363" spans="8:9">
      <c r="H363" s="1172">
        <v>0.17361111111111099</v>
      </c>
      <c r="I363" s="1173">
        <v>0.17361111111111099</v>
      </c>
    </row>
    <row r="364" spans="8:9">
      <c r="H364" s="1172">
        <v>0.17708333333333301</v>
      </c>
      <c r="I364" s="1173">
        <v>0.17708333333333301</v>
      </c>
    </row>
    <row r="365" spans="8:9">
      <c r="H365" s="1172">
        <v>0.180555555555555</v>
      </c>
      <c r="I365" s="1173">
        <v>0.180555555555555</v>
      </c>
    </row>
    <row r="366" spans="8:9">
      <c r="H366" s="1172">
        <v>0.18402777777777801</v>
      </c>
      <c r="I366" s="1173">
        <v>0.18402777777777801</v>
      </c>
    </row>
    <row r="367" spans="8:9">
      <c r="H367" s="1172">
        <v>0.1875</v>
      </c>
      <c r="I367" s="1173">
        <v>0.1875</v>
      </c>
    </row>
    <row r="368" spans="8:9">
      <c r="H368" s="1172">
        <v>0.19097222222222199</v>
      </c>
      <c r="I368" s="1173">
        <v>0.19097222222222199</v>
      </c>
    </row>
    <row r="369" spans="8:9">
      <c r="H369" s="1172">
        <v>0.194444444444444</v>
      </c>
      <c r="I369" s="1173">
        <v>0.194444444444444</v>
      </c>
    </row>
    <row r="370" spans="8:9">
      <c r="H370" s="1172">
        <v>0.19791666666666599</v>
      </c>
      <c r="I370" s="1173">
        <v>0.19791666666666599</v>
      </c>
    </row>
    <row r="371" spans="8:9">
      <c r="H371" s="1172">
        <v>0.20138888888888901</v>
      </c>
      <c r="I371" s="1173">
        <v>0.20138888888888901</v>
      </c>
    </row>
    <row r="372" spans="8:9">
      <c r="H372" s="1172">
        <v>0.20486111111111099</v>
      </c>
      <c r="I372" s="1173">
        <v>0.20486111111111099</v>
      </c>
    </row>
    <row r="373" spans="8:9">
      <c r="H373" s="1172">
        <v>0.20833333333333301</v>
      </c>
      <c r="I373" s="1173">
        <v>0.20833333333333301</v>
      </c>
    </row>
    <row r="374" spans="8:9">
      <c r="H374" s="1172">
        <v>0.211805555555555</v>
      </c>
      <c r="I374" s="1173">
        <v>0.211805555555555</v>
      </c>
    </row>
    <row r="375" spans="8:9">
      <c r="H375" s="1172">
        <v>0.21527777777777801</v>
      </c>
      <c r="I375" s="1173">
        <v>0.21527777777777801</v>
      </c>
    </row>
    <row r="376" spans="8:9">
      <c r="H376" s="1172">
        <v>0.21875</v>
      </c>
      <c r="I376" s="1173">
        <v>0.21875</v>
      </c>
    </row>
    <row r="377" spans="8:9">
      <c r="H377" s="1172">
        <v>0.22222222222222199</v>
      </c>
      <c r="I377" s="1173">
        <v>0.22222222222222199</v>
      </c>
    </row>
    <row r="378" spans="8:9">
      <c r="H378" s="1172">
        <v>0.225694444444444</v>
      </c>
      <c r="I378" s="1173">
        <v>0.225694444444444</v>
      </c>
    </row>
    <row r="379" spans="8:9">
      <c r="H379" s="1172">
        <v>0.22916666666666599</v>
      </c>
      <c r="I379" s="1173">
        <v>0.22916666666666599</v>
      </c>
    </row>
    <row r="380" spans="8:9">
      <c r="H380" s="1172">
        <v>0.23263888888888901</v>
      </c>
      <c r="I380" s="1173">
        <v>0.23263888888888901</v>
      </c>
    </row>
    <row r="381" spans="8:9">
      <c r="H381" s="1172">
        <v>0.23611111111111099</v>
      </c>
      <c r="I381" s="1173">
        <v>0.23611111111111099</v>
      </c>
    </row>
    <row r="382" spans="8:9">
      <c r="H382" s="1172">
        <v>0.23958333333333301</v>
      </c>
      <c r="I382" s="1173">
        <v>0.23958333333333301</v>
      </c>
    </row>
    <row r="383" spans="8:9">
      <c r="H383" s="1172">
        <v>0.243055555555555</v>
      </c>
      <c r="I383" s="1173">
        <v>0.243055555555555</v>
      </c>
    </row>
    <row r="384" spans="8:9">
      <c r="H384" s="1172">
        <v>0.24652777777777801</v>
      </c>
      <c r="I384" s="1173">
        <v>0.24652777777777801</v>
      </c>
    </row>
    <row r="385" spans="8:9">
      <c r="H385" s="1172">
        <v>0.25</v>
      </c>
      <c r="I385" s="1173">
        <v>0.25</v>
      </c>
    </row>
    <row r="386" spans="8:9">
      <c r="H386" s="1172">
        <v>0.25347222222222199</v>
      </c>
      <c r="I386" s="1173">
        <v>0.25347222222222199</v>
      </c>
    </row>
    <row r="387" spans="8:9">
      <c r="H387" s="1172">
        <v>0.25694444444444398</v>
      </c>
      <c r="I387" s="1173">
        <v>0.25694444444444398</v>
      </c>
    </row>
    <row r="388" spans="8:9">
      <c r="H388" s="1172">
        <v>0.26041666666666602</v>
      </c>
      <c r="I388" s="1173">
        <v>0.26041666666666602</v>
      </c>
    </row>
    <row r="389" spans="8:9">
      <c r="H389" s="1172">
        <v>0.26388888888888901</v>
      </c>
      <c r="I389" s="1173">
        <v>0.26388888888888901</v>
      </c>
    </row>
    <row r="390" spans="8:9">
      <c r="H390" s="1172">
        <v>0.26736111111111099</v>
      </c>
      <c r="I390" s="1173">
        <v>0.26736111111111099</v>
      </c>
    </row>
    <row r="391" spans="8:9">
      <c r="H391" s="1172">
        <v>0.27083333333333298</v>
      </c>
      <c r="I391" s="1173">
        <v>0.27083333333333298</v>
      </c>
    </row>
    <row r="392" spans="8:9">
      <c r="H392" s="1172">
        <v>0.27430555555555503</v>
      </c>
      <c r="I392" s="1173">
        <v>0.27430555555555503</v>
      </c>
    </row>
    <row r="393" spans="8:9">
      <c r="H393" s="1172">
        <v>0.27777777777777801</v>
      </c>
      <c r="I393" s="1173">
        <v>0.27777777777777801</v>
      </c>
    </row>
    <row r="394" spans="8:9">
      <c r="H394" s="1172">
        <v>0.28125</v>
      </c>
      <c r="I394" s="1173">
        <v>0.28125</v>
      </c>
    </row>
    <row r="395" spans="8:9">
      <c r="H395" s="1172">
        <v>0.28472222222222199</v>
      </c>
      <c r="I395" s="1173">
        <v>0.28472222222222199</v>
      </c>
    </row>
    <row r="396" spans="8:9">
      <c r="H396" s="1172">
        <v>0.28819444444444398</v>
      </c>
      <c r="I396" s="1173">
        <v>0.28819444444444398</v>
      </c>
    </row>
    <row r="397" spans="8:9">
      <c r="H397" s="1172">
        <v>0.29166666666666602</v>
      </c>
      <c r="I397" s="1173">
        <v>0.29166666666666602</v>
      </c>
    </row>
    <row r="398" spans="8:9">
      <c r="H398" s="1172">
        <v>0.29513888888888901</v>
      </c>
      <c r="I398" s="1173">
        <v>0.29513888888888901</v>
      </c>
    </row>
    <row r="399" spans="8:9">
      <c r="H399" s="1172">
        <v>0.29861111111111099</v>
      </c>
      <c r="I399" s="1173">
        <v>0.29861111111111099</v>
      </c>
    </row>
    <row r="400" spans="8:9">
      <c r="H400" s="1172">
        <v>0.30208333333333298</v>
      </c>
      <c r="I400" s="1173">
        <v>0.30208333333333298</v>
      </c>
    </row>
    <row r="401" spans="8:9">
      <c r="H401" s="1172">
        <v>0.30555555555555503</v>
      </c>
      <c r="I401" s="1173">
        <v>0.30555555555555503</v>
      </c>
    </row>
    <row r="402" spans="8:9">
      <c r="H402" s="1172">
        <v>0.30902777777777801</v>
      </c>
      <c r="I402" s="1173">
        <v>0.30902777777777801</v>
      </c>
    </row>
    <row r="403" spans="8:9">
      <c r="H403" s="1172">
        <v>0.3125</v>
      </c>
      <c r="I403" s="1173">
        <v>0.3125</v>
      </c>
    </row>
    <row r="404" spans="8:9">
      <c r="H404" s="1172">
        <v>0.31597222222222199</v>
      </c>
      <c r="I404" s="1173">
        <v>0.31597222222222199</v>
      </c>
    </row>
    <row r="405" spans="8:9">
      <c r="H405" s="1172">
        <v>0.31944444444444398</v>
      </c>
      <c r="I405" s="1173">
        <v>0.31944444444444398</v>
      </c>
    </row>
    <row r="406" spans="8:9">
      <c r="H406" s="1172">
        <v>0.32291666666666602</v>
      </c>
      <c r="I406" s="1173">
        <v>0.32291666666666602</v>
      </c>
    </row>
    <row r="407" spans="8:9">
      <c r="H407" s="1172">
        <v>0.32638888888888901</v>
      </c>
      <c r="I407" s="1173">
        <v>0.32638888888888901</v>
      </c>
    </row>
    <row r="408" spans="8:9">
      <c r="H408" s="1172">
        <v>0.32986111111111099</v>
      </c>
      <c r="I408" s="1173">
        <v>0.32986111111111099</v>
      </c>
    </row>
    <row r="409" spans="8:9">
      <c r="H409" s="1172">
        <v>0.33333333333333298</v>
      </c>
      <c r="I409" s="1173">
        <v>0.33333333333333298</v>
      </c>
    </row>
    <row r="410" spans="8:9">
      <c r="H410" s="1172">
        <v>0.33680555555555503</v>
      </c>
      <c r="I410" s="1173">
        <v>0.33680555555555503</v>
      </c>
    </row>
    <row r="411" spans="8:9">
      <c r="H411" s="1172">
        <v>0.34027777777777801</v>
      </c>
      <c r="I411" s="1173">
        <v>0.34027777777777801</v>
      </c>
    </row>
    <row r="412" spans="8:9">
      <c r="H412" s="1172">
        <v>0.34375</v>
      </c>
      <c r="I412" s="1173">
        <v>0.34375</v>
      </c>
    </row>
    <row r="413" spans="8:9">
      <c r="H413" s="1172">
        <v>0.34722222222222199</v>
      </c>
      <c r="I413" s="1173">
        <v>0.34722222222222199</v>
      </c>
    </row>
    <row r="414" spans="8:9">
      <c r="H414" s="1172">
        <v>0.35069444444444398</v>
      </c>
      <c r="I414" s="1173">
        <v>0.35069444444444398</v>
      </c>
    </row>
    <row r="415" spans="8:9">
      <c r="H415" s="1172">
        <v>0.35416666666666602</v>
      </c>
      <c r="I415" s="1173">
        <v>0.35416666666666602</v>
      </c>
    </row>
    <row r="416" spans="8:9">
      <c r="H416" s="1172">
        <v>0.35763888888888901</v>
      </c>
      <c r="I416" s="1173">
        <v>0.35763888888888901</v>
      </c>
    </row>
    <row r="417" spans="8:9">
      <c r="H417" s="1172">
        <v>0.36111111111111099</v>
      </c>
      <c r="I417" s="1173">
        <v>0.36111111111111099</v>
      </c>
    </row>
    <row r="418" spans="8:9">
      <c r="H418" s="1172">
        <v>0.36458333333333298</v>
      </c>
      <c r="I418" s="1173">
        <v>0.36458333333333298</v>
      </c>
    </row>
    <row r="419" spans="8:9">
      <c r="H419" s="1172">
        <v>0.36805555555555503</v>
      </c>
      <c r="I419" s="1173">
        <v>0.36805555555555503</v>
      </c>
    </row>
    <row r="420" spans="8:9">
      <c r="H420" s="1172">
        <v>0.37152777777777801</v>
      </c>
      <c r="I420" s="1173">
        <v>0.37152777777777801</v>
      </c>
    </row>
    <row r="421" spans="8:9">
      <c r="H421" s="1172">
        <v>0.375</v>
      </c>
      <c r="I421" s="1173">
        <v>0.375</v>
      </c>
    </row>
    <row r="422" spans="8:9">
      <c r="H422" s="1172">
        <v>0.37847222222222199</v>
      </c>
      <c r="I422" s="1173">
        <v>0.37847222222222199</v>
      </c>
    </row>
    <row r="423" spans="8:9">
      <c r="H423" s="1172">
        <v>0.38194444444444398</v>
      </c>
      <c r="I423" s="1173">
        <v>0.38194444444444398</v>
      </c>
    </row>
    <row r="424" spans="8:9">
      <c r="H424" s="1172">
        <v>0.38541666666666602</v>
      </c>
      <c r="I424" s="1173">
        <v>0.38541666666666602</v>
      </c>
    </row>
    <row r="425" spans="8:9">
      <c r="H425" s="1172">
        <v>0.38888888888888901</v>
      </c>
      <c r="I425" s="1173">
        <v>0.38888888888888901</v>
      </c>
    </row>
    <row r="426" spans="8:9">
      <c r="H426" s="1172">
        <v>0.39236111111111099</v>
      </c>
      <c r="I426" s="1173">
        <v>0.39236111111111099</v>
      </c>
    </row>
    <row r="427" spans="8:9">
      <c r="H427" s="1172">
        <v>0.39583333333333298</v>
      </c>
      <c r="I427" s="1173">
        <v>0.39583333333333298</v>
      </c>
    </row>
    <row r="428" spans="8:9">
      <c r="H428" s="1172">
        <v>0.39930555555555503</v>
      </c>
      <c r="I428" s="1173">
        <v>0.39930555555555503</v>
      </c>
    </row>
    <row r="429" spans="8:9">
      <c r="H429" s="1172">
        <v>0.40277777777777801</v>
      </c>
      <c r="I429" s="1173">
        <v>0.40277777777777801</v>
      </c>
    </row>
    <row r="430" spans="8:9">
      <c r="H430" s="1172">
        <v>0.40625</v>
      </c>
      <c r="I430" s="1173">
        <v>0.40625</v>
      </c>
    </row>
    <row r="431" spans="8:9">
      <c r="H431" s="1172">
        <v>0.40972222222222199</v>
      </c>
      <c r="I431" s="1173">
        <v>0.40972222222222199</v>
      </c>
    </row>
    <row r="432" spans="8:9">
      <c r="H432" s="1172">
        <v>0.41319444444444398</v>
      </c>
      <c r="I432" s="1173">
        <v>0.41319444444444398</v>
      </c>
    </row>
    <row r="433" spans="8:9">
      <c r="H433" s="1172">
        <v>0.41666666666666602</v>
      </c>
      <c r="I433" s="1173">
        <v>0.41666666666666602</v>
      </c>
    </row>
    <row r="434" spans="8:9">
      <c r="H434" s="1172">
        <v>0.42013888888888901</v>
      </c>
      <c r="I434" s="1173">
        <v>0.42013888888888901</v>
      </c>
    </row>
    <row r="435" spans="8:9">
      <c r="H435" s="1172">
        <v>0.42361111111111099</v>
      </c>
      <c r="I435" s="1173">
        <v>0.42361111111111099</v>
      </c>
    </row>
    <row r="436" spans="8:9">
      <c r="H436" s="1172">
        <v>0.42708333333333298</v>
      </c>
      <c r="I436" s="1173">
        <v>0.42708333333333298</v>
      </c>
    </row>
    <row r="437" spans="8:9">
      <c r="H437" s="1172">
        <v>0.43055555555555503</v>
      </c>
      <c r="I437" s="1173">
        <v>0.43055555555555503</v>
      </c>
    </row>
    <row r="438" spans="8:9">
      <c r="H438" s="1172">
        <v>0.43402777777777801</v>
      </c>
      <c r="I438" s="1173">
        <v>0.43402777777777801</v>
      </c>
    </row>
    <row r="439" spans="8:9">
      <c r="H439" s="1172">
        <v>0.4375</v>
      </c>
      <c r="I439" s="1173">
        <v>0.4375</v>
      </c>
    </row>
    <row r="440" spans="8:9">
      <c r="H440" s="1172">
        <v>0.44097222222222199</v>
      </c>
      <c r="I440" s="1173">
        <v>0.44097222222222199</v>
      </c>
    </row>
    <row r="441" spans="8:9">
      <c r="H441" s="1172">
        <v>0.44444444444444398</v>
      </c>
      <c r="I441" s="1173">
        <v>0.44444444444444398</v>
      </c>
    </row>
    <row r="442" spans="8:9">
      <c r="H442" s="1172">
        <v>0.44791666666666602</v>
      </c>
      <c r="I442" s="1173">
        <v>0.44791666666666602</v>
      </c>
    </row>
    <row r="443" spans="8:9">
      <c r="H443" s="1172">
        <v>0.45138888888888901</v>
      </c>
      <c r="I443" s="1173">
        <v>0.45138888888888901</v>
      </c>
    </row>
    <row r="444" spans="8:9">
      <c r="H444" s="1172">
        <v>0.45486111111111099</v>
      </c>
      <c r="I444" s="1173">
        <v>0.45486111111111099</v>
      </c>
    </row>
    <row r="445" spans="8:9">
      <c r="H445" s="1172">
        <v>0.45833333333333298</v>
      </c>
      <c r="I445" s="1173">
        <v>0.45833333333333298</v>
      </c>
    </row>
    <row r="446" spans="8:9">
      <c r="H446" s="1172">
        <v>0.46180555555555503</v>
      </c>
      <c r="I446" s="1173">
        <v>0.46180555555555503</v>
      </c>
    </row>
    <row r="447" spans="8:9">
      <c r="H447" s="1172">
        <v>0.46527777777777801</v>
      </c>
      <c r="I447" s="1173">
        <v>0.46527777777777801</v>
      </c>
    </row>
    <row r="448" spans="8:9">
      <c r="H448" s="1172">
        <v>0.46875</v>
      </c>
      <c r="I448" s="1173">
        <v>0.46875</v>
      </c>
    </row>
    <row r="449" spans="8:9">
      <c r="H449" s="1172">
        <v>0.47222222222222199</v>
      </c>
      <c r="I449" s="1173">
        <v>0.47222222222222199</v>
      </c>
    </row>
    <row r="450" spans="8:9">
      <c r="H450" s="1172">
        <v>0.47569444444444398</v>
      </c>
      <c r="I450" s="1173">
        <v>0.47569444444444398</v>
      </c>
    </row>
    <row r="451" spans="8:9">
      <c r="H451" s="1172">
        <v>0.47916666666666602</v>
      </c>
      <c r="I451" s="1173">
        <v>0.47916666666666602</v>
      </c>
    </row>
    <row r="452" spans="8:9">
      <c r="H452" s="1172">
        <v>0.48263888888888901</v>
      </c>
      <c r="I452" s="1173">
        <v>0.48263888888888901</v>
      </c>
    </row>
    <row r="453" spans="8:9">
      <c r="H453" s="1172">
        <v>0.48611111111111099</v>
      </c>
      <c r="I453" s="1173">
        <v>0.48611111111111099</v>
      </c>
    </row>
    <row r="454" spans="8:9">
      <c r="H454" s="1172">
        <v>0.48958333333333298</v>
      </c>
      <c r="I454" s="1173">
        <v>0.48958333333333298</v>
      </c>
    </row>
    <row r="455" spans="8:9">
      <c r="H455" s="1172">
        <v>0.49305555555555503</v>
      </c>
      <c r="I455" s="1173">
        <v>0.49305555555555503</v>
      </c>
    </row>
    <row r="456" spans="8:9">
      <c r="H456" s="1172">
        <v>0.49652777777777801</v>
      </c>
      <c r="I456" s="1173">
        <v>0.49652777777777801</v>
      </c>
    </row>
    <row r="457" spans="8:9">
      <c r="H457" s="1172">
        <v>0.5</v>
      </c>
      <c r="I457" s="1173">
        <v>0.5</v>
      </c>
    </row>
    <row r="458" spans="8:9">
      <c r="H458" s="1172">
        <v>0.50347222222222199</v>
      </c>
      <c r="I458" s="1173">
        <v>0.50347222222222199</v>
      </c>
    </row>
    <row r="459" spans="8:9">
      <c r="H459" s="1172">
        <v>0.50694444444444398</v>
      </c>
      <c r="I459" s="1173">
        <v>0.50694444444444398</v>
      </c>
    </row>
    <row r="460" spans="8:9">
      <c r="H460" s="1172">
        <v>0.51041666666666596</v>
      </c>
      <c r="I460" s="1173">
        <v>0.51041666666666596</v>
      </c>
    </row>
    <row r="461" spans="8:9">
      <c r="H461" s="1172">
        <v>0.51388888888888895</v>
      </c>
      <c r="I461" s="1173">
        <v>0.51388888888888895</v>
      </c>
    </row>
    <row r="462" spans="8:9">
      <c r="H462" s="1172">
        <v>0.51736111111111105</v>
      </c>
      <c r="I462" s="1173">
        <v>0.51736111111111105</v>
      </c>
    </row>
    <row r="463" spans="8:9">
      <c r="H463" s="1172">
        <v>0.52083333333333304</v>
      </c>
      <c r="I463" s="1173">
        <v>0.52083333333333304</v>
      </c>
    </row>
    <row r="464" spans="8:9">
      <c r="H464" s="1172">
        <v>0.52430555555555503</v>
      </c>
      <c r="I464" s="1173">
        <v>0.52430555555555503</v>
      </c>
    </row>
    <row r="465" spans="8:9">
      <c r="H465" s="1172">
        <v>0.52777777777777801</v>
      </c>
      <c r="I465" s="1173">
        <v>0.52777777777777801</v>
      </c>
    </row>
    <row r="466" spans="8:9">
      <c r="H466" s="1172">
        <v>0.53125</v>
      </c>
      <c r="I466" s="1173">
        <v>0.53125</v>
      </c>
    </row>
    <row r="467" spans="8:9">
      <c r="H467" s="1172">
        <v>0.53472222222222199</v>
      </c>
      <c r="I467" s="1173">
        <v>0.53472222222222199</v>
      </c>
    </row>
    <row r="468" spans="8:9">
      <c r="H468" s="1172">
        <v>0.53819444444444398</v>
      </c>
      <c r="I468" s="1173">
        <v>0.53819444444444398</v>
      </c>
    </row>
    <row r="469" spans="8:9">
      <c r="H469" s="1172">
        <v>0.54166666666666596</v>
      </c>
      <c r="I469" s="1173">
        <v>0.54166666666666596</v>
      </c>
    </row>
    <row r="470" spans="8:9">
      <c r="H470" s="1172">
        <v>0.54513888888888895</v>
      </c>
      <c r="I470" s="1173">
        <v>0.54513888888888895</v>
      </c>
    </row>
    <row r="471" spans="8:9">
      <c r="H471" s="1172">
        <v>0.54861111111111105</v>
      </c>
      <c r="I471" s="1173">
        <v>0.54861111111111105</v>
      </c>
    </row>
    <row r="472" spans="8:9">
      <c r="H472" s="1172">
        <v>0.55208333333333304</v>
      </c>
      <c r="I472" s="1173">
        <v>0.55208333333333304</v>
      </c>
    </row>
    <row r="473" spans="8:9">
      <c r="H473" s="1172">
        <v>0.55555555555555503</v>
      </c>
      <c r="I473" s="1173">
        <v>0.55555555555555503</v>
      </c>
    </row>
    <row r="474" spans="8:9">
      <c r="H474" s="1172">
        <v>0.55902777777777801</v>
      </c>
      <c r="I474" s="1173">
        <v>0.55902777777777801</v>
      </c>
    </row>
    <row r="475" spans="8:9">
      <c r="H475" s="1172">
        <v>0.5625</v>
      </c>
      <c r="I475" s="1173">
        <v>0.5625</v>
      </c>
    </row>
    <row r="476" spans="8:9">
      <c r="H476" s="1172">
        <v>0.56597222222222199</v>
      </c>
      <c r="I476" s="1173">
        <v>0.56597222222222199</v>
      </c>
    </row>
    <row r="477" spans="8:9">
      <c r="H477" s="1172">
        <v>0.56944444444444398</v>
      </c>
      <c r="I477" s="1173">
        <v>0.56944444444444398</v>
      </c>
    </row>
    <row r="478" spans="8:9">
      <c r="H478" s="1172">
        <v>0.57291666666666596</v>
      </c>
      <c r="I478" s="1173">
        <v>0.57291666666666596</v>
      </c>
    </row>
    <row r="479" spans="8:9">
      <c r="H479" s="1172">
        <v>0.57638888888888895</v>
      </c>
      <c r="I479" s="1173">
        <v>0.57638888888888895</v>
      </c>
    </row>
    <row r="480" spans="8:9">
      <c r="H480" s="1172">
        <v>0.57986111111111105</v>
      </c>
      <c r="I480" s="1173">
        <v>0.57986111111111105</v>
      </c>
    </row>
    <row r="481" spans="8:9">
      <c r="H481" s="1172">
        <v>0.58333333333333304</v>
      </c>
      <c r="I481" s="1173">
        <v>0.58333333333333304</v>
      </c>
    </row>
    <row r="482" spans="8:9">
      <c r="H482" s="1172">
        <v>0.58680555555555503</v>
      </c>
      <c r="I482" s="1173">
        <v>0.58680555555555503</v>
      </c>
    </row>
    <row r="483" spans="8:9">
      <c r="H483" s="1172">
        <v>0.59027777777777701</v>
      </c>
      <c r="I483" s="1173">
        <v>0.59027777777777701</v>
      </c>
    </row>
    <row r="484" spans="8:9">
      <c r="H484" s="1172">
        <v>0.59375</v>
      </c>
      <c r="I484" s="1173">
        <v>0.59375</v>
      </c>
    </row>
    <row r="485" spans="8:9">
      <c r="H485" s="1172">
        <v>0.59722222222222199</v>
      </c>
      <c r="I485" s="1173">
        <v>0.59722222222222199</v>
      </c>
    </row>
    <row r="486" spans="8:9">
      <c r="H486" s="1172">
        <v>0.60069444444444398</v>
      </c>
      <c r="I486" s="1173">
        <v>0.60069444444444398</v>
      </c>
    </row>
    <row r="487" spans="8:9">
      <c r="H487" s="1172">
        <v>0.60416666666666596</v>
      </c>
      <c r="I487" s="1173">
        <v>0.60416666666666596</v>
      </c>
    </row>
    <row r="488" spans="8:9">
      <c r="H488" s="1172">
        <v>0.60763888888888895</v>
      </c>
      <c r="I488" s="1173">
        <v>0.60763888888888895</v>
      </c>
    </row>
    <row r="489" spans="8:9">
      <c r="H489" s="1172">
        <v>0.61111111111111105</v>
      </c>
      <c r="I489" s="1173">
        <v>0.61111111111111105</v>
      </c>
    </row>
    <row r="490" spans="8:9">
      <c r="H490" s="1172">
        <v>0.61458333333333304</v>
      </c>
      <c r="I490" s="1173">
        <v>0.61458333333333304</v>
      </c>
    </row>
    <row r="491" spans="8:9">
      <c r="H491" s="1172">
        <v>0.61805555555555503</v>
      </c>
      <c r="I491" s="1173">
        <v>0.61805555555555503</v>
      </c>
    </row>
    <row r="492" spans="8:9">
      <c r="H492" s="1172">
        <v>0.62152777777777701</v>
      </c>
      <c r="I492" s="1173">
        <v>0.62152777777777701</v>
      </c>
    </row>
    <row r="493" spans="8:9">
      <c r="H493" s="1172">
        <v>0.625</v>
      </c>
      <c r="I493" s="1173">
        <v>0.625</v>
      </c>
    </row>
    <row r="494" spans="8:9">
      <c r="H494" s="1172">
        <v>0.62847222222222199</v>
      </c>
      <c r="I494" s="1173">
        <v>0.62847222222222199</v>
      </c>
    </row>
    <row r="495" spans="8:9">
      <c r="H495" s="1172">
        <v>0.63194444444444398</v>
      </c>
      <c r="I495" s="1173">
        <v>0.63194444444444398</v>
      </c>
    </row>
    <row r="496" spans="8:9">
      <c r="H496" s="1172">
        <v>0.63541666666666596</v>
      </c>
      <c r="I496" s="1173">
        <v>0.63541666666666596</v>
      </c>
    </row>
    <row r="497" spans="8:9">
      <c r="H497" s="1172">
        <v>0.63888888888888895</v>
      </c>
      <c r="I497" s="1173">
        <v>0.63888888888888895</v>
      </c>
    </row>
    <row r="498" spans="8:9">
      <c r="H498" s="1172">
        <v>0.64236111111111105</v>
      </c>
      <c r="I498" s="1173">
        <v>0.64236111111111105</v>
      </c>
    </row>
    <row r="499" spans="8:9">
      <c r="H499" s="1172">
        <v>0.64583333333333304</v>
      </c>
      <c r="I499" s="1173">
        <v>0.64583333333333304</v>
      </c>
    </row>
    <row r="500" spans="8:9">
      <c r="H500" s="1172">
        <v>0.64930555555555503</v>
      </c>
      <c r="I500" s="1173">
        <v>0.64930555555555503</v>
      </c>
    </row>
    <row r="501" spans="8:9">
      <c r="H501" s="1172">
        <v>0.65277777777777701</v>
      </c>
      <c r="I501" s="1173">
        <v>0.65277777777777701</v>
      </c>
    </row>
    <row r="502" spans="8:9">
      <c r="H502" s="1172">
        <v>0.65625</v>
      </c>
      <c r="I502" s="1173">
        <v>0.65625</v>
      </c>
    </row>
    <row r="503" spans="8:9">
      <c r="H503" s="1172">
        <v>0.65972222222222199</v>
      </c>
      <c r="I503" s="1173">
        <v>0.65972222222222199</v>
      </c>
    </row>
    <row r="504" spans="8:9">
      <c r="H504" s="1172">
        <v>0.66319444444444398</v>
      </c>
      <c r="I504" s="1173">
        <v>0.66319444444444398</v>
      </c>
    </row>
    <row r="505" spans="8:9">
      <c r="H505" s="1172">
        <v>0.66666666666666596</v>
      </c>
      <c r="I505" s="1173">
        <v>0.66666666666666596</v>
      </c>
    </row>
    <row r="506" spans="8:9">
      <c r="H506" s="1172">
        <v>0.67013888888888895</v>
      </c>
      <c r="I506" s="1173">
        <v>0.67013888888888895</v>
      </c>
    </row>
    <row r="507" spans="8:9">
      <c r="H507" s="1172">
        <v>0.67361111111111105</v>
      </c>
      <c r="I507" s="1173">
        <v>0.67361111111111105</v>
      </c>
    </row>
    <row r="508" spans="8:9">
      <c r="H508" s="1172">
        <v>0.67708333333333304</v>
      </c>
      <c r="I508" s="1173">
        <v>0.67708333333333304</v>
      </c>
    </row>
    <row r="509" spans="8:9">
      <c r="H509" s="1172">
        <v>0.68055555555555503</v>
      </c>
      <c r="I509" s="1173">
        <v>0.68055555555555503</v>
      </c>
    </row>
    <row r="510" spans="8:9">
      <c r="H510" s="1172">
        <v>0.68402777777777701</v>
      </c>
      <c r="I510" s="1173">
        <v>0.68402777777777701</v>
      </c>
    </row>
    <row r="511" spans="8:9">
      <c r="H511" s="1172">
        <v>0.6875</v>
      </c>
      <c r="I511" s="1173">
        <v>0.6875</v>
      </c>
    </row>
    <row r="512" spans="8:9">
      <c r="H512" s="1172">
        <v>0.69097222222222199</v>
      </c>
      <c r="I512" s="1173">
        <v>0.69097222222222199</v>
      </c>
    </row>
    <row r="513" spans="8:9">
      <c r="H513" s="1172">
        <v>0.69444444444444398</v>
      </c>
      <c r="I513" s="1173">
        <v>0.69444444444444398</v>
      </c>
    </row>
    <row r="514" spans="8:9">
      <c r="H514" s="1172">
        <v>0.69791666666666596</v>
      </c>
      <c r="I514" s="1173">
        <v>0.69791666666666596</v>
      </c>
    </row>
    <row r="515" spans="8:9">
      <c r="H515" s="1172">
        <v>0.70138888888888895</v>
      </c>
      <c r="I515" s="1173">
        <v>0.70138888888888895</v>
      </c>
    </row>
    <row r="516" spans="8:9">
      <c r="H516" s="1172">
        <v>0.70486111111111105</v>
      </c>
      <c r="I516" s="1173">
        <v>0.70486111111111105</v>
      </c>
    </row>
    <row r="517" spans="8:9">
      <c r="H517" s="1172">
        <v>0.70833333333333304</v>
      </c>
      <c r="I517" s="1173">
        <v>0.70833333333333304</v>
      </c>
    </row>
    <row r="518" spans="8:9">
      <c r="H518" s="1172">
        <v>0.71180555555555503</v>
      </c>
      <c r="I518" s="1173">
        <v>0.71180555555555503</v>
      </c>
    </row>
    <row r="519" spans="8:9">
      <c r="H519" s="1172">
        <v>0.71527777777777701</v>
      </c>
      <c r="I519" s="1173">
        <v>0.71527777777777701</v>
      </c>
    </row>
    <row r="520" spans="8:9">
      <c r="H520" s="1172">
        <v>0.71875</v>
      </c>
      <c r="I520" s="1173">
        <v>0.71875</v>
      </c>
    </row>
    <row r="521" spans="8:9">
      <c r="H521" s="1172">
        <v>0.72222222222222199</v>
      </c>
      <c r="I521" s="1173">
        <v>0.72222222222222199</v>
      </c>
    </row>
    <row r="522" spans="8:9">
      <c r="H522" s="1172">
        <v>0.72569444444444398</v>
      </c>
      <c r="I522" s="1173">
        <v>0.72569444444444398</v>
      </c>
    </row>
    <row r="523" spans="8:9">
      <c r="H523" s="1172">
        <v>0.72916666666666596</v>
      </c>
      <c r="I523" s="1173">
        <v>0.72916666666666596</v>
      </c>
    </row>
    <row r="524" spans="8:9">
      <c r="H524" s="1172">
        <v>0.73263888888888895</v>
      </c>
      <c r="I524" s="1173">
        <v>0.73263888888888895</v>
      </c>
    </row>
    <row r="525" spans="8:9">
      <c r="H525" s="1172">
        <v>0.73611111111111105</v>
      </c>
      <c r="I525" s="1173">
        <v>0.73611111111111105</v>
      </c>
    </row>
    <row r="526" spans="8:9">
      <c r="H526" s="1172">
        <v>0.73958333333333304</v>
      </c>
      <c r="I526" s="1173">
        <v>0.73958333333333304</v>
      </c>
    </row>
    <row r="527" spans="8:9">
      <c r="H527" s="1172">
        <v>0.74305555555555503</v>
      </c>
      <c r="I527" s="1173">
        <v>0.74305555555555503</v>
      </c>
    </row>
    <row r="528" spans="8:9">
      <c r="H528" s="1172">
        <v>0.74652777777777701</v>
      </c>
      <c r="I528" s="1173">
        <v>0.74652777777777701</v>
      </c>
    </row>
    <row r="529" spans="8:9">
      <c r="H529" s="1172">
        <v>0.75</v>
      </c>
      <c r="I529" s="1173">
        <v>0.75</v>
      </c>
    </row>
    <row r="530" spans="8:9">
      <c r="H530" s="1172">
        <v>0.75347222222222199</v>
      </c>
      <c r="I530" s="1173">
        <v>0.75347222222222199</v>
      </c>
    </row>
    <row r="531" spans="8:9">
      <c r="H531" s="1172">
        <v>0.75694444444444398</v>
      </c>
      <c r="I531" s="1173">
        <v>0.75694444444444398</v>
      </c>
    </row>
    <row r="532" spans="8:9">
      <c r="H532" s="1172">
        <v>0.76041666666666596</v>
      </c>
      <c r="I532" s="1173">
        <v>0.76041666666666596</v>
      </c>
    </row>
    <row r="533" spans="8:9">
      <c r="H533" s="1172">
        <v>0.76388888888888895</v>
      </c>
      <c r="I533" s="1173">
        <v>0.76388888888888895</v>
      </c>
    </row>
    <row r="534" spans="8:9">
      <c r="H534" s="1172">
        <v>0.76736111111111105</v>
      </c>
      <c r="I534" s="1173">
        <v>0.76736111111111105</v>
      </c>
    </row>
    <row r="535" spans="8:9">
      <c r="H535" s="1172">
        <v>0.77083333333333304</v>
      </c>
      <c r="I535" s="1173">
        <v>0.77083333333333304</v>
      </c>
    </row>
    <row r="536" spans="8:9">
      <c r="H536" s="1172">
        <v>0.77430555555555503</v>
      </c>
      <c r="I536" s="1173">
        <v>0.77430555555555503</v>
      </c>
    </row>
    <row r="537" spans="8:9">
      <c r="H537" s="1172">
        <v>0.77777777777777701</v>
      </c>
      <c r="I537" s="1173">
        <v>0.77777777777777701</v>
      </c>
    </row>
    <row r="538" spans="8:9">
      <c r="H538" s="1172">
        <v>0.78125</v>
      </c>
      <c r="I538" s="1173">
        <v>0.78125</v>
      </c>
    </row>
    <row r="539" spans="8:9">
      <c r="H539" s="1172">
        <v>0.78472222222222199</v>
      </c>
      <c r="I539" s="1173">
        <v>0.78472222222222199</v>
      </c>
    </row>
    <row r="540" spans="8:9">
      <c r="H540" s="1172">
        <v>0.78819444444444398</v>
      </c>
      <c r="I540" s="1173">
        <v>0.78819444444444398</v>
      </c>
    </row>
    <row r="541" spans="8:9">
      <c r="H541" s="1172">
        <v>0.79166666666666596</v>
      </c>
      <c r="I541" s="1173">
        <v>0.79166666666666596</v>
      </c>
    </row>
    <row r="542" spans="8:9">
      <c r="H542" s="1172">
        <v>0.79513888888888895</v>
      </c>
      <c r="I542" s="1173">
        <v>0.79513888888888895</v>
      </c>
    </row>
    <row r="543" spans="8:9">
      <c r="H543" s="1172">
        <v>0.79861111111111105</v>
      </c>
      <c r="I543" s="1173">
        <v>0.79861111111111105</v>
      </c>
    </row>
    <row r="544" spans="8:9">
      <c r="H544" s="1172">
        <v>0.80208333333333304</v>
      </c>
      <c r="I544" s="1173">
        <v>0.80208333333333304</v>
      </c>
    </row>
    <row r="545" spans="8:9">
      <c r="H545" s="1172">
        <v>0.80555555555555503</v>
      </c>
      <c r="I545" s="1173">
        <v>0.80555555555555503</v>
      </c>
    </row>
    <row r="546" spans="8:9">
      <c r="H546" s="1172">
        <v>0.80902777777777701</v>
      </c>
      <c r="I546" s="1173">
        <v>0.80902777777777701</v>
      </c>
    </row>
    <row r="547" spans="8:9">
      <c r="H547" s="1172">
        <v>0.8125</v>
      </c>
      <c r="I547" s="1173">
        <v>0.8125</v>
      </c>
    </row>
    <row r="548" spans="8:9">
      <c r="H548" s="1172">
        <v>0.81597222222222199</v>
      </c>
      <c r="I548" s="1173">
        <v>0.81597222222222199</v>
      </c>
    </row>
    <row r="549" spans="8:9">
      <c r="H549" s="1172">
        <v>0.81944444444444398</v>
      </c>
      <c r="I549" s="1173">
        <v>0.81944444444444398</v>
      </c>
    </row>
    <row r="550" spans="8:9">
      <c r="H550" s="1172">
        <v>0.82291666666666596</v>
      </c>
      <c r="I550" s="1173">
        <v>0.82291666666666596</v>
      </c>
    </row>
    <row r="551" spans="8:9">
      <c r="H551" s="1172">
        <v>0.82638888888888895</v>
      </c>
      <c r="I551" s="1173">
        <v>0.82638888888888895</v>
      </c>
    </row>
    <row r="552" spans="8:9">
      <c r="H552" s="1172">
        <v>0.82986111111111105</v>
      </c>
      <c r="I552" s="1173">
        <v>0.82986111111111105</v>
      </c>
    </row>
    <row r="553" spans="8:9">
      <c r="H553" s="1172">
        <v>0.83333333333333304</v>
      </c>
      <c r="I553" s="1173">
        <v>0.83333333333333304</v>
      </c>
    </row>
    <row r="554" spans="8:9">
      <c r="H554" s="1172">
        <v>0.83680555555555503</v>
      </c>
      <c r="I554" s="1173">
        <v>0.83680555555555503</v>
      </c>
    </row>
    <row r="555" spans="8:9">
      <c r="H555" s="1172">
        <v>0.84027777777777701</v>
      </c>
      <c r="I555" s="1173">
        <v>0.84027777777777701</v>
      </c>
    </row>
    <row r="556" spans="8:9">
      <c r="H556" s="1172">
        <v>0.84375</v>
      </c>
      <c r="I556" s="1173">
        <v>0.84375</v>
      </c>
    </row>
    <row r="557" spans="8:9">
      <c r="H557" s="1172">
        <v>0.84722222222222199</v>
      </c>
      <c r="I557" s="1173">
        <v>0.84722222222222199</v>
      </c>
    </row>
    <row r="558" spans="8:9">
      <c r="H558" s="1172">
        <v>0.85069444444444398</v>
      </c>
      <c r="I558" s="1173">
        <v>0.85069444444444398</v>
      </c>
    </row>
    <row r="559" spans="8:9">
      <c r="H559" s="1172">
        <v>0.85416666666666596</v>
      </c>
      <c r="I559" s="1173">
        <v>0.85416666666666596</v>
      </c>
    </row>
    <row r="560" spans="8:9">
      <c r="H560" s="1172">
        <v>0.85763888888888895</v>
      </c>
      <c r="I560" s="1173">
        <v>0.85763888888888895</v>
      </c>
    </row>
    <row r="561" spans="8:9">
      <c r="H561" s="1172">
        <v>0.86111111111111105</v>
      </c>
      <c r="I561" s="1173">
        <v>0.86111111111111105</v>
      </c>
    </row>
    <row r="562" spans="8:9">
      <c r="H562" s="1172">
        <v>0.86458333333333304</v>
      </c>
      <c r="I562" s="1173">
        <v>0.86458333333333304</v>
      </c>
    </row>
    <row r="563" spans="8:9">
      <c r="H563" s="1172">
        <v>0.86805555555555503</v>
      </c>
      <c r="I563" s="1173">
        <v>0.86805555555555503</v>
      </c>
    </row>
    <row r="564" spans="8:9">
      <c r="H564" s="1172">
        <v>0.87152777777777701</v>
      </c>
      <c r="I564" s="1173">
        <v>0.87152777777777701</v>
      </c>
    </row>
    <row r="565" spans="8:9">
      <c r="H565" s="1172">
        <v>0.875</v>
      </c>
      <c r="I565" s="1173">
        <v>0.875</v>
      </c>
    </row>
    <row r="566" spans="8:9">
      <c r="H566" s="1172">
        <v>0.87847222222222199</v>
      </c>
      <c r="I566" s="1173">
        <v>0.87847222222222199</v>
      </c>
    </row>
    <row r="567" spans="8:9">
      <c r="H567" s="1172">
        <v>0.88194444444444398</v>
      </c>
      <c r="I567" s="1173">
        <v>0.88194444444444398</v>
      </c>
    </row>
    <row r="568" spans="8:9">
      <c r="H568" s="1172">
        <v>0.88541666666666596</v>
      </c>
      <c r="I568" s="1173">
        <v>0.88541666666666596</v>
      </c>
    </row>
    <row r="569" spans="8:9">
      <c r="H569" s="1172">
        <v>0.88888888888888895</v>
      </c>
      <c r="I569" s="1173">
        <v>0.88888888888888895</v>
      </c>
    </row>
    <row r="570" spans="8:9">
      <c r="H570" s="1172">
        <v>0.89236111111111105</v>
      </c>
      <c r="I570" s="1173">
        <v>0.89236111111111105</v>
      </c>
    </row>
    <row r="571" spans="8:9">
      <c r="H571" s="1172">
        <v>0.89583333333333304</v>
      </c>
      <c r="I571" s="1173">
        <v>0.89583333333333304</v>
      </c>
    </row>
    <row r="572" spans="8:9">
      <c r="H572" s="1172">
        <v>0.89930555555555503</v>
      </c>
      <c r="I572" s="1173">
        <v>0.89930555555555503</v>
      </c>
    </row>
    <row r="573" spans="8:9">
      <c r="H573" s="1172">
        <v>0.90277777777777701</v>
      </c>
      <c r="I573" s="1173">
        <v>0.90277777777777701</v>
      </c>
    </row>
    <row r="574" spans="8:9">
      <c r="H574" s="1172">
        <v>0.90625</v>
      </c>
      <c r="I574" s="1173">
        <v>0.90625</v>
      </c>
    </row>
    <row r="575" spans="8:9">
      <c r="H575" s="1172">
        <v>0.90972222222222199</v>
      </c>
      <c r="I575" s="1173">
        <v>0.90972222222222199</v>
      </c>
    </row>
    <row r="576" spans="8:9">
      <c r="H576" s="1172">
        <v>0.91319444444444398</v>
      </c>
      <c r="I576" s="1173">
        <v>0.91319444444444398</v>
      </c>
    </row>
    <row r="577" spans="8:9">
      <c r="H577" s="1172">
        <v>0.91666666666666596</v>
      </c>
      <c r="I577" s="1173">
        <v>0.91666666666666596</v>
      </c>
    </row>
    <row r="578" spans="8:9">
      <c r="H578" s="1172">
        <v>0.92013888888888895</v>
      </c>
      <c r="I578" s="1173">
        <v>0.92013888888888895</v>
      </c>
    </row>
    <row r="579" spans="8:9">
      <c r="H579" s="1172">
        <v>0.92361111111111105</v>
      </c>
      <c r="I579" s="1173">
        <v>0.92361111111111105</v>
      </c>
    </row>
    <row r="580" spans="8:9">
      <c r="H580" s="1172">
        <v>0.92708333333333304</v>
      </c>
      <c r="I580" s="1173">
        <v>0.92708333333333304</v>
      </c>
    </row>
    <row r="581" spans="8:9">
      <c r="H581" s="1172">
        <v>0.93055555555555503</v>
      </c>
      <c r="I581" s="1173">
        <v>0.93055555555555503</v>
      </c>
    </row>
    <row r="582" spans="8:9">
      <c r="H582" s="1172">
        <v>0.93402777777777701</v>
      </c>
      <c r="I582" s="1173">
        <v>0.93402777777777701</v>
      </c>
    </row>
    <row r="583" spans="8:9">
      <c r="H583" s="1172">
        <v>0.9375</v>
      </c>
      <c r="I583" s="1173">
        <v>0.9375</v>
      </c>
    </row>
    <row r="584" spans="8:9">
      <c r="H584" s="1172">
        <v>0.94097222222222199</v>
      </c>
      <c r="I584" s="1173">
        <v>0.94097222222222199</v>
      </c>
    </row>
    <row r="585" spans="8:9">
      <c r="H585" s="1172">
        <v>0.94444444444444398</v>
      </c>
      <c r="I585" s="1173">
        <v>0.94444444444444398</v>
      </c>
    </row>
    <row r="586" spans="8:9">
      <c r="H586" s="1172">
        <v>0.94791666666666596</v>
      </c>
      <c r="I586" s="1173">
        <v>0.94791666666666596</v>
      </c>
    </row>
    <row r="587" spans="8:9">
      <c r="H587" s="1172">
        <v>0.95138888888888895</v>
      </c>
      <c r="I587" s="1173">
        <v>0.95138888888888895</v>
      </c>
    </row>
    <row r="588" spans="8:9">
      <c r="H588" s="1172">
        <v>0.95486111111111105</v>
      </c>
      <c r="I588" s="1173">
        <v>0.95486111111111105</v>
      </c>
    </row>
    <row r="589" spans="8:9">
      <c r="H589" s="1172">
        <v>0.95833333333333304</v>
      </c>
      <c r="I589" s="1173">
        <v>0.95833333333333304</v>
      </c>
    </row>
    <row r="590" spans="8:9">
      <c r="H590" s="1172">
        <v>0.96180555555555503</v>
      </c>
      <c r="I590" s="1173">
        <v>0.96180555555555503</v>
      </c>
    </row>
    <row r="591" spans="8:9">
      <c r="H591" s="1172">
        <v>0.96527777777777701</v>
      </c>
      <c r="I591" s="1173">
        <v>0.96527777777777701</v>
      </c>
    </row>
    <row r="592" spans="8:9">
      <c r="H592" s="1172">
        <v>0.96875</v>
      </c>
      <c r="I592" s="1173">
        <v>0.96875</v>
      </c>
    </row>
    <row r="593" spans="8:9">
      <c r="H593" s="1172">
        <v>0.97222222222222199</v>
      </c>
      <c r="I593" s="1173">
        <v>0.97222222222222199</v>
      </c>
    </row>
    <row r="594" spans="8:9">
      <c r="H594" s="1172">
        <v>0.97569444444444398</v>
      </c>
      <c r="I594" s="1173">
        <v>0.97569444444444398</v>
      </c>
    </row>
    <row r="595" spans="8:9">
      <c r="H595" s="1172">
        <v>0.97916666666666596</v>
      </c>
      <c r="I595" s="1173">
        <v>0.97916666666666596</v>
      </c>
    </row>
    <row r="596" spans="8:9">
      <c r="H596" s="1172">
        <v>0.98263888888888895</v>
      </c>
      <c r="I596" s="1173">
        <v>0.98263888888888895</v>
      </c>
    </row>
    <row r="597" spans="8:9">
      <c r="H597" s="1172">
        <v>0.98611111111111105</v>
      </c>
      <c r="I597" s="1173">
        <v>0.98611111111111105</v>
      </c>
    </row>
    <row r="598" spans="8:9">
      <c r="H598" s="1172">
        <v>0.98958333333333304</v>
      </c>
      <c r="I598" s="1173">
        <v>0.98958333333333304</v>
      </c>
    </row>
    <row r="599" spans="8:9">
      <c r="H599" s="1172">
        <v>0.99305555555555503</v>
      </c>
      <c r="I599" s="1173">
        <v>0.99305555555555503</v>
      </c>
    </row>
    <row r="600" spans="8:9">
      <c r="H600" s="1172">
        <v>0.99652777777777701</v>
      </c>
      <c r="I600" s="1173">
        <v>0.99652777777777701</v>
      </c>
    </row>
  </sheetData>
  <autoFilter ref="A12:BX12"/>
  <mergeCells count="13">
    <mergeCell ref="AU10:AZ10"/>
    <mergeCell ref="Z10:AC10"/>
    <mergeCell ref="A10:A12"/>
    <mergeCell ref="B10:B11"/>
    <mergeCell ref="AD10:AF10"/>
    <mergeCell ref="AG10:AI10"/>
    <mergeCell ref="AJ10:AP10"/>
    <mergeCell ref="AQ10:AT10"/>
    <mergeCell ref="C10:E10"/>
    <mergeCell ref="F10:L10"/>
    <mergeCell ref="M10:S10"/>
    <mergeCell ref="T10:V10"/>
    <mergeCell ref="W10:Y10"/>
  </mergeCells>
  <pageMargins left="0.7" right="0.7" top="0.75" bottom="0.75" header="0.3" footer="0.3"/>
  <pageSetup paperSize="8" scale="2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view="pageBreakPreview" topLeftCell="B13" zoomScaleNormal="85" zoomScaleSheetLayoutView="100" workbookViewId="0">
      <selection activeCell="H19" sqref="H19"/>
    </sheetView>
  </sheetViews>
  <sheetFormatPr defaultRowHeight="15.75"/>
  <cols>
    <col min="1" max="1" width="7.85546875" style="190" customWidth="1"/>
    <col min="2" max="2" width="7" style="190" customWidth="1"/>
    <col min="3" max="3" width="9.140625" style="190"/>
    <col min="4" max="4" width="5.7109375" style="190" customWidth="1"/>
    <col min="5" max="5" width="9.140625" style="190"/>
    <col min="6" max="6" width="8.85546875" style="190" customWidth="1"/>
    <col min="7" max="7" width="23.85546875" style="190" customWidth="1"/>
    <col min="8" max="10" width="9.140625" style="190"/>
    <col min="11" max="11" width="8.28515625" style="190" customWidth="1"/>
    <col min="12" max="12" width="9.140625" style="190"/>
    <col min="13" max="13" width="13.5703125" style="190" customWidth="1"/>
    <col min="14" max="16384" width="9.140625" style="190"/>
  </cols>
  <sheetData>
    <row r="1" spans="1:18" ht="28.5" customHeight="1" thickTop="1">
      <c r="A1" s="1334" t="s">
        <v>458</v>
      </c>
      <c r="B1" s="1335"/>
      <c r="C1" s="1335"/>
      <c r="D1" s="1335"/>
      <c r="E1" s="1335"/>
      <c r="F1" s="1335"/>
      <c r="G1" s="1338" t="s">
        <v>336</v>
      </c>
      <c r="H1" s="1338"/>
      <c r="I1" s="1338"/>
      <c r="J1" s="1338"/>
      <c r="K1" s="1338"/>
      <c r="L1" s="1338"/>
      <c r="M1" s="1339"/>
    </row>
    <row r="2" spans="1:18" ht="23.25" customHeight="1">
      <c r="A2" s="1336"/>
      <c r="B2" s="1337"/>
      <c r="C2" s="1337"/>
      <c r="D2" s="1337"/>
      <c r="E2" s="1337"/>
      <c r="F2" s="1337"/>
      <c r="G2" s="1340" t="s">
        <v>337</v>
      </c>
      <c r="H2" s="1340"/>
      <c r="I2" s="1340"/>
      <c r="J2" s="1340"/>
      <c r="K2" s="1340"/>
      <c r="L2" s="1340"/>
      <c r="M2" s="1341"/>
      <c r="R2" s="190" t="s">
        <v>1132</v>
      </c>
    </row>
    <row r="3" spans="1:18">
      <c r="A3" s="191"/>
      <c r="B3" s="1342"/>
      <c r="C3" s="1342"/>
      <c r="D3" s="1342"/>
      <c r="E3" s="193"/>
      <c r="F3" s="699"/>
      <c r="G3" s="1342" t="s">
        <v>154</v>
      </c>
      <c r="H3" s="1342"/>
      <c r="I3" s="1342"/>
      <c r="J3" s="1342"/>
      <c r="K3" s="1342"/>
      <c r="L3" s="1342"/>
      <c r="M3" s="1343"/>
    </row>
    <row r="4" spans="1:18">
      <c r="A4" s="191"/>
      <c r="B4" s="193"/>
      <c r="C4" s="193"/>
      <c r="D4" s="193"/>
      <c r="E4" s="193"/>
      <c r="F4" s="193"/>
      <c r="G4" s="193"/>
      <c r="H4" s="193"/>
      <c r="I4" s="193"/>
      <c r="J4" s="193"/>
      <c r="K4" s="193"/>
      <c r="L4" s="193"/>
      <c r="M4" s="194"/>
    </row>
    <row r="5" spans="1:18">
      <c r="A5" s="191"/>
      <c r="B5" s="193"/>
      <c r="C5" s="193"/>
      <c r="D5" s="193"/>
      <c r="E5" s="193"/>
      <c r="F5" s="193"/>
      <c r="G5" s="193"/>
      <c r="H5" s="193"/>
      <c r="I5" s="193"/>
      <c r="J5" s="193"/>
      <c r="K5" s="193"/>
      <c r="L5" s="193"/>
      <c r="M5" s="194"/>
      <c r="P5" s="190" t="s">
        <v>903</v>
      </c>
    </row>
    <row r="6" spans="1:18">
      <c r="A6" s="191"/>
      <c r="B6" s="193"/>
      <c r="C6" s="193"/>
      <c r="D6" s="193"/>
      <c r="E6" s="193"/>
      <c r="F6" s="193"/>
      <c r="G6" s="193"/>
      <c r="H6" s="193"/>
      <c r="I6" s="193"/>
      <c r="J6" s="193"/>
      <c r="K6" s="193"/>
      <c r="L6" s="193"/>
      <c r="M6" s="194"/>
    </row>
    <row r="7" spans="1:18" ht="39.75" customHeight="1">
      <c r="A7" s="1328" t="s">
        <v>334</v>
      </c>
      <c r="B7" s="1329"/>
      <c r="C7" s="1329"/>
      <c r="D7" s="1329"/>
      <c r="E7" s="1329"/>
      <c r="F7" s="1329"/>
      <c r="G7" s="1329"/>
      <c r="H7" s="1329"/>
      <c r="I7" s="1329"/>
      <c r="J7" s="1329"/>
      <c r="K7" s="1329"/>
      <c r="L7" s="1329"/>
      <c r="M7" s="1330"/>
    </row>
    <row r="8" spans="1:18" ht="33.75" customHeight="1">
      <c r="A8" s="191"/>
      <c r="B8" s="193"/>
      <c r="C8" s="699"/>
      <c r="D8" s="699"/>
      <c r="E8" s="699"/>
      <c r="F8" s="729"/>
      <c r="G8" s="195" t="s">
        <v>335</v>
      </c>
      <c r="H8" s="196" t="str">
        <f>'2. NK'!D10</f>
        <v>B1</v>
      </c>
      <c r="I8" s="197"/>
      <c r="J8" s="192"/>
      <c r="K8" s="192"/>
      <c r="L8" s="192"/>
      <c r="M8" s="194"/>
    </row>
    <row r="9" spans="1:18">
      <c r="A9" s="191"/>
      <c r="B9" s="193"/>
      <c r="C9" s="193"/>
      <c r="D9" s="193"/>
      <c r="E9" s="193"/>
      <c r="F9" s="193"/>
      <c r="G9" s="193"/>
      <c r="H9" s="193"/>
      <c r="I9" s="193"/>
      <c r="J9" s="193"/>
      <c r="K9" s="193"/>
      <c r="L9" s="193"/>
      <c r="M9" s="194"/>
    </row>
    <row r="10" spans="1:18" s="734" customFormat="1" ht="15">
      <c r="A10" s="730"/>
      <c r="B10" s="731" t="str">
        <f>'[6]6. BBBG-MB'!A8</f>
        <v>DỰ ÁN:</v>
      </c>
      <c r="C10" s="732"/>
      <c r="D10" s="733"/>
      <c r="E10" s="1331" t="s">
        <v>478</v>
      </c>
      <c r="F10" s="1331"/>
      <c r="G10" s="1331"/>
      <c r="H10" s="1331"/>
      <c r="I10" s="1331"/>
      <c r="J10" s="1331"/>
      <c r="K10" s="1331"/>
      <c r="L10" s="1331"/>
      <c r="M10" s="1332"/>
    </row>
    <row r="11" spans="1:18" s="734" customFormat="1" ht="15">
      <c r="A11" s="730"/>
      <c r="B11" s="732" t="str">
        <f>'[6]6. BBBG-MB'!A9</f>
        <v>CÔNG TRÌNH:</v>
      </c>
      <c r="C11" s="732"/>
      <c r="D11" s="733"/>
      <c r="E11" s="733" t="s">
        <v>898</v>
      </c>
      <c r="F11" s="733"/>
      <c r="G11" s="733"/>
      <c r="H11" s="733"/>
      <c r="I11" s="733"/>
      <c r="J11" s="733"/>
      <c r="K11" s="733"/>
      <c r="L11" s="733"/>
      <c r="M11" s="735"/>
    </row>
    <row r="12" spans="1:18" s="734" customFormat="1" ht="15">
      <c r="A12" s="730"/>
      <c r="B12" s="732" t="s">
        <v>850</v>
      </c>
      <c r="C12" s="732"/>
      <c r="D12" s="733"/>
      <c r="E12" s="733" t="s">
        <v>899</v>
      </c>
      <c r="F12" s="733"/>
      <c r="G12" s="733"/>
      <c r="H12" s="733"/>
      <c r="I12" s="733"/>
      <c r="J12" s="733"/>
      <c r="K12" s="733"/>
      <c r="L12" s="733"/>
      <c r="M12" s="735"/>
    </row>
    <row r="13" spans="1:18" s="734" customFormat="1" ht="15">
      <c r="A13" s="730"/>
      <c r="B13" s="732" t="s">
        <v>479</v>
      </c>
      <c r="C13" s="732"/>
      <c r="D13" s="733"/>
      <c r="E13" s="733" t="s">
        <v>900</v>
      </c>
      <c r="F13" s="733"/>
      <c r="G13" s="733"/>
      <c r="H13" s="733"/>
      <c r="I13" s="733"/>
      <c r="J13" s="733"/>
      <c r="K13" s="733"/>
      <c r="L13" s="733"/>
      <c r="M13" s="735"/>
    </row>
    <row r="14" spans="1:18" s="734" customFormat="1" ht="15">
      <c r="A14" s="730"/>
      <c r="B14" s="732" t="s">
        <v>904</v>
      </c>
      <c r="C14" s="732"/>
      <c r="D14" s="733"/>
      <c r="E14" s="733" t="s">
        <v>905</v>
      </c>
      <c r="F14" s="733"/>
      <c r="G14" s="733"/>
      <c r="H14" s="733"/>
      <c r="I14" s="733"/>
      <c r="J14" s="733"/>
      <c r="K14" s="733"/>
      <c r="L14" s="733"/>
      <c r="M14" s="735"/>
    </row>
    <row r="15" spans="1:18" ht="18.75">
      <c r="A15" s="191"/>
      <c r="B15" s="193"/>
      <c r="C15" s="198"/>
      <c r="D15" s="193"/>
      <c r="E15" s="193"/>
      <c r="F15" s="193"/>
      <c r="G15" s="193"/>
      <c r="H15" s="193"/>
      <c r="I15" s="193"/>
      <c r="J15" s="193"/>
      <c r="K15" s="193"/>
      <c r="L15" s="193"/>
      <c r="M15" s="194"/>
      <c r="O15" s="193" t="s">
        <v>1192</v>
      </c>
    </row>
    <row r="16" spans="1:18">
      <c r="A16" s="191"/>
      <c r="B16" s="554" t="s">
        <v>443</v>
      </c>
      <c r="C16" s="193"/>
      <c r="D16" s="193"/>
      <c r="E16" s="193"/>
      <c r="F16" s="193"/>
      <c r="G16" s="193"/>
      <c r="H16" s="193"/>
      <c r="I16" s="193"/>
      <c r="J16" s="193"/>
      <c r="K16" s="193"/>
      <c r="L16" s="193"/>
      <c r="M16" s="194"/>
    </row>
    <row r="17" spans="1:15">
      <c r="A17" s="191"/>
      <c r="B17" s="193" t="s">
        <v>444</v>
      </c>
      <c r="C17" s="193"/>
      <c r="D17" s="193"/>
      <c r="E17" s="193"/>
      <c r="F17" s="193"/>
      <c r="G17" s="193"/>
      <c r="H17" s="193" t="s">
        <v>906</v>
      </c>
      <c r="I17" s="193"/>
      <c r="J17" s="193"/>
      <c r="K17" s="193"/>
      <c r="L17" s="193"/>
      <c r="M17" s="194"/>
    </row>
    <row r="18" spans="1:15">
      <c r="A18" s="191"/>
      <c r="B18" s="193" t="s">
        <v>445</v>
      </c>
      <c r="C18" s="193"/>
      <c r="D18" s="193"/>
      <c r="E18" s="193"/>
      <c r="F18" s="193"/>
      <c r="G18" s="193"/>
      <c r="H18" s="193" t="s">
        <v>1191</v>
      </c>
      <c r="I18" s="193"/>
      <c r="J18" s="193"/>
      <c r="K18" s="193"/>
      <c r="L18" s="193"/>
      <c r="M18" s="194"/>
    </row>
    <row r="19" spans="1:15">
      <c r="A19" s="191"/>
      <c r="B19" s="193" t="s">
        <v>446</v>
      </c>
      <c r="C19" s="193"/>
      <c r="D19" s="193"/>
      <c r="E19" s="193"/>
      <c r="F19" s="193"/>
      <c r="G19" s="193"/>
      <c r="H19" s="193" t="s">
        <v>1192</v>
      </c>
      <c r="I19" s="193"/>
      <c r="J19" s="193"/>
      <c r="K19" s="193"/>
      <c r="L19" s="193"/>
      <c r="M19" s="194"/>
      <c r="O19" s="193" t="s">
        <v>1191</v>
      </c>
    </row>
    <row r="20" spans="1:15">
      <c r="A20" s="191"/>
      <c r="B20" s="193" t="s">
        <v>447</v>
      </c>
      <c r="C20" s="193"/>
      <c r="D20" s="193"/>
      <c r="E20" s="193"/>
      <c r="F20" s="193"/>
      <c r="G20" s="193"/>
      <c r="H20" s="193" t="s">
        <v>481</v>
      </c>
      <c r="I20" s="193"/>
      <c r="J20" s="193"/>
      <c r="K20" s="193"/>
      <c r="L20" s="193"/>
      <c r="M20" s="194"/>
    </row>
    <row r="21" spans="1:15">
      <c r="A21" s="191"/>
      <c r="B21" s="193"/>
      <c r="C21" s="193"/>
      <c r="D21" s="193"/>
      <c r="E21" s="193"/>
      <c r="F21" s="193"/>
      <c r="G21" s="193"/>
      <c r="H21" s="193"/>
      <c r="I21" s="193"/>
      <c r="J21" s="193"/>
      <c r="K21" s="193"/>
      <c r="L21" s="193"/>
      <c r="M21" s="194"/>
    </row>
    <row r="22" spans="1:15">
      <c r="A22" s="191"/>
      <c r="B22" s="193"/>
      <c r="C22" s="193"/>
      <c r="D22" s="193"/>
      <c r="E22" s="193"/>
      <c r="F22" s="193"/>
      <c r="G22" s="193"/>
      <c r="H22" s="193"/>
      <c r="I22" s="193"/>
      <c r="J22" s="193"/>
      <c r="K22" s="193"/>
      <c r="L22" s="193"/>
      <c r="M22" s="194"/>
    </row>
    <row r="23" spans="1:15">
      <c r="A23" s="191"/>
      <c r="B23" s="193"/>
      <c r="C23" s="193"/>
      <c r="D23" s="193"/>
      <c r="E23" s="193"/>
      <c r="F23" s="193"/>
      <c r="G23" s="193"/>
      <c r="H23" s="193"/>
      <c r="I23" s="193"/>
      <c r="J23" s="193"/>
      <c r="K23" s="193"/>
      <c r="L23" s="193"/>
      <c r="M23" s="194"/>
    </row>
    <row r="24" spans="1:15">
      <c r="A24" s="191"/>
      <c r="B24" s="193"/>
      <c r="C24" s="193"/>
      <c r="D24" s="193"/>
      <c r="E24" s="193"/>
      <c r="F24" s="193"/>
      <c r="G24" s="193"/>
      <c r="H24" s="193"/>
      <c r="I24" s="193"/>
      <c r="J24" s="193"/>
      <c r="K24" s="193"/>
      <c r="L24" s="193"/>
      <c r="M24" s="194"/>
    </row>
    <row r="25" spans="1:15">
      <c r="A25" s="191"/>
      <c r="B25" s="193"/>
      <c r="C25" s="193"/>
      <c r="D25" s="193"/>
      <c r="E25" s="193"/>
      <c r="F25" s="193"/>
      <c r="G25" s="193"/>
      <c r="H25" s="193"/>
      <c r="I25" s="193"/>
      <c r="J25" s="193"/>
      <c r="K25" s="193"/>
      <c r="L25" s="193"/>
      <c r="M25" s="194"/>
    </row>
    <row r="26" spans="1:15">
      <c r="A26" s="191"/>
      <c r="B26" s="193"/>
      <c r="C26" s="193"/>
      <c r="D26" s="193"/>
      <c r="E26" s="193"/>
      <c r="F26" s="193"/>
      <c r="G26" s="1333" t="s">
        <v>1020</v>
      </c>
      <c r="H26" s="1333"/>
      <c r="I26" s="193"/>
      <c r="J26" s="193"/>
      <c r="K26" s="193"/>
      <c r="L26" s="193"/>
      <c r="M26" s="194"/>
    </row>
    <row r="27" spans="1:15" ht="16.5" thickBot="1">
      <c r="A27" s="199"/>
      <c r="B27" s="200"/>
      <c r="C27" s="200"/>
      <c r="D27" s="200"/>
      <c r="E27" s="200"/>
      <c r="F27" s="200"/>
      <c r="G27" s="200"/>
      <c r="H27" s="200"/>
      <c r="I27" s="200"/>
      <c r="J27" s="200"/>
      <c r="K27" s="200"/>
      <c r="L27" s="200"/>
      <c r="M27" s="201"/>
    </row>
    <row r="28" spans="1:15" ht="16.5" thickTop="1"/>
  </sheetData>
  <mergeCells count="8">
    <mergeCell ref="A7:M7"/>
    <mergeCell ref="E10:M10"/>
    <mergeCell ref="G26:H26"/>
    <mergeCell ref="A1:F2"/>
    <mergeCell ref="G1:M1"/>
    <mergeCell ref="G2:M2"/>
    <mergeCell ref="B3:D3"/>
    <mergeCell ref="G3:M3"/>
  </mergeCells>
  <phoneticPr fontId="0" type="noConversion"/>
  <pageMargins left="0.74803149606299213" right="0.51181102362204722" top="0.74803149606299213" bottom="0.31496062992125984" header="0.19685039370078741" footer="0.19685039370078741"/>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indexed="10"/>
  </sheetPr>
  <dimension ref="A1:V60"/>
  <sheetViews>
    <sheetView tabSelected="1" view="pageBreakPreview" topLeftCell="H1" zoomScale="130" zoomScaleNormal="130" workbookViewId="0">
      <selection activeCell="R2" sqref="R2"/>
    </sheetView>
  </sheetViews>
  <sheetFormatPr defaultColWidth="10.28515625" defaultRowHeight="15"/>
  <cols>
    <col min="1" max="1" width="2.7109375" style="203" customWidth="1"/>
    <col min="2" max="2" width="5.7109375" style="203" customWidth="1"/>
    <col min="3" max="3" width="15.42578125" style="203" customWidth="1"/>
    <col min="4" max="4" width="6.85546875" style="203" customWidth="1"/>
    <col min="5" max="5" width="7.7109375" style="203" customWidth="1"/>
    <col min="6" max="6" width="7.5703125" style="203" customWidth="1"/>
    <col min="7" max="7" width="8.7109375" style="203" customWidth="1"/>
    <col min="8" max="8" width="6.85546875" style="203" customWidth="1"/>
    <col min="9" max="9" width="9" style="203" customWidth="1"/>
    <col min="10" max="10" width="8.5703125" style="203" customWidth="1"/>
    <col min="11" max="13" width="7.28515625" style="203" customWidth="1"/>
    <col min="14" max="16384" width="10.28515625" style="203"/>
  </cols>
  <sheetData>
    <row r="1" spans="1:22" ht="15" customHeight="1">
      <c r="A1" s="1276" t="str">
        <f>'[5]Du lieu'!C4</f>
        <v>KHU HỖN HỢP CHUNG CƯ, VĂN PHÒNG, TRUNG TÂM THƯƠNG MẠI VÀ NHÀ Ở KẾT HỢP KHU MUA SẮM</v>
      </c>
      <c r="B1" s="1276"/>
      <c r="C1" s="1276"/>
      <c r="D1" s="1276"/>
      <c r="E1" s="1276"/>
      <c r="F1" s="1276"/>
      <c r="G1" s="1276"/>
      <c r="H1" s="1277" t="s">
        <v>336</v>
      </c>
      <c r="I1" s="1277"/>
      <c r="J1" s="1277"/>
      <c r="K1" s="1277"/>
      <c r="L1" s="1277"/>
      <c r="M1" s="1277"/>
      <c r="O1" s="212"/>
      <c r="P1" s="212"/>
      <c r="R1" s="212"/>
    </row>
    <row r="2" spans="1:22" ht="15" customHeight="1">
      <c r="A2" s="1276"/>
      <c r="B2" s="1276"/>
      <c r="C2" s="1276"/>
      <c r="D2" s="1276"/>
      <c r="E2" s="1276"/>
      <c r="F2" s="1276"/>
      <c r="G2" s="1276"/>
      <c r="H2" s="1278" t="s">
        <v>344</v>
      </c>
      <c r="I2" s="1278"/>
      <c r="J2" s="1278"/>
      <c r="K2" s="1278"/>
      <c r="L2" s="1278"/>
      <c r="M2" s="1278"/>
      <c r="N2" s="202"/>
      <c r="O2" s="202"/>
      <c r="P2" s="205" t="s">
        <v>347</v>
      </c>
      <c r="Q2" s="206"/>
      <c r="R2" s="1235" t="s">
        <v>635</v>
      </c>
      <c r="V2" s="203" t="s">
        <v>568</v>
      </c>
    </row>
    <row r="3" spans="1:22" ht="15" customHeight="1">
      <c r="A3" s="207"/>
      <c r="B3" s="207"/>
      <c r="C3" s="207"/>
      <c r="D3" s="207"/>
      <c r="E3" s="207"/>
      <c r="F3" s="207"/>
      <c r="G3" s="207"/>
      <c r="H3" s="1277" t="s">
        <v>155</v>
      </c>
      <c r="I3" s="1277"/>
      <c r="J3" s="1277"/>
      <c r="K3" s="1277"/>
      <c r="L3" s="1277"/>
      <c r="M3" s="1277"/>
      <c r="N3" s="202"/>
      <c r="O3" s="202"/>
      <c r="P3" s="205" t="s">
        <v>13</v>
      </c>
      <c r="Q3" s="206"/>
      <c r="R3" s="586">
        <f>VLOOKUP($R$2,'Thong tin'!$A:$R,13,0)</f>
        <v>800</v>
      </c>
      <c r="V3" s="203" t="s">
        <v>464</v>
      </c>
    </row>
    <row r="4" spans="1:22" s="209" customFormat="1" ht="19.5" customHeight="1" thickBot="1">
      <c r="A4" s="1279" t="s">
        <v>345</v>
      </c>
      <c r="B4" s="1279"/>
      <c r="C4" s="1279"/>
      <c r="D4" s="1279"/>
      <c r="E4" s="1279"/>
      <c r="F4" s="1279"/>
      <c r="G4" s="1279"/>
      <c r="H4" s="1279"/>
      <c r="I4" s="1279"/>
      <c r="J4" s="1279"/>
      <c r="K4" s="1279"/>
      <c r="L4" s="1279"/>
      <c r="M4" s="1279"/>
      <c r="N4" s="208"/>
      <c r="O4" s="208"/>
      <c r="P4" s="205" t="s">
        <v>70</v>
      </c>
      <c r="Q4" s="206"/>
      <c r="R4" s="586">
        <f>VLOOKUP($R$2,'Thong tin'!$A:$R,6,0)</f>
        <v>-8</v>
      </c>
      <c r="V4" s="209" t="s">
        <v>548</v>
      </c>
    </row>
    <row r="5" spans="1:22" s="214" customFormat="1" ht="15.75" customHeight="1" thickTop="1">
      <c r="A5" s="210" t="str">
        <f>'1. Bia'!B10</f>
        <v>DỰ ÁN:</v>
      </c>
      <c r="B5" s="211"/>
      <c r="C5" s="211"/>
      <c r="D5" s="1280" t="str">
        <f>'1. Bia'!E10</f>
        <v>KHU HỖN HỢP CHUNG CƯ, VĂN PHÒNG, TRUNG TÂM THƯƠNG MẠI VÀ NHÀ Ở KẾT HỢP KHU MUA SẮM</v>
      </c>
      <c r="E5" s="1280"/>
      <c r="F5" s="1280"/>
      <c r="G5" s="1280"/>
      <c r="H5" s="1280"/>
      <c r="I5" s="1280"/>
      <c r="J5" s="1281"/>
      <c r="K5" s="1282" t="s">
        <v>482</v>
      </c>
      <c r="L5" s="1283"/>
      <c r="M5" s="1284"/>
      <c r="N5" s="213"/>
      <c r="O5" s="213"/>
      <c r="P5" s="205" t="s">
        <v>71</v>
      </c>
      <c r="Q5" s="206" t="s">
        <v>69</v>
      </c>
      <c r="R5" s="586"/>
      <c r="V5" s="214" t="s">
        <v>622</v>
      </c>
    </row>
    <row r="6" spans="1:22" s="214" customFormat="1">
      <c r="A6" s="210"/>
      <c r="B6" s="211"/>
      <c r="C6" s="211"/>
      <c r="D6" s="1280"/>
      <c r="E6" s="1280"/>
      <c r="F6" s="1280"/>
      <c r="G6" s="1280"/>
      <c r="H6" s="1280"/>
      <c r="I6" s="1280"/>
      <c r="J6" s="1281"/>
      <c r="K6" s="1285" t="s">
        <v>483</v>
      </c>
      <c r="L6" s="1288" t="s">
        <v>197</v>
      </c>
      <c r="M6" s="1291" t="s">
        <v>157</v>
      </c>
      <c r="N6" s="213"/>
      <c r="O6" s="213"/>
      <c r="P6" s="205"/>
      <c r="Q6" s="206"/>
      <c r="R6" s="586"/>
      <c r="V6" s="214" t="s">
        <v>528</v>
      </c>
    </row>
    <row r="7" spans="1:22" s="214" customFormat="1">
      <c r="A7" s="882" t="str">
        <f>'1. Bia'!B11</f>
        <v>CÔNG TRÌNH:</v>
      </c>
      <c r="B7" s="211"/>
      <c r="C7" s="211"/>
      <c r="D7" s="881" t="str">
        <f>'1. Bia'!E11</f>
        <v>KHU HỖN HỢP CHUNG CƯ, VĂN PHÒNG, TTTM</v>
      </c>
      <c r="E7" s="880"/>
      <c r="F7" s="880"/>
      <c r="G7" s="880"/>
      <c r="H7" s="880"/>
      <c r="I7" s="880"/>
      <c r="J7" s="879"/>
      <c r="K7" s="1286"/>
      <c r="L7" s="1289"/>
      <c r="M7" s="1292"/>
      <c r="N7" s="213"/>
      <c r="O7" s="213"/>
      <c r="P7" s="682"/>
      <c r="Q7" s="683"/>
      <c r="R7" s="684"/>
      <c r="V7" s="214" t="s">
        <v>581</v>
      </c>
    </row>
    <row r="8" spans="1:22" s="214" customFormat="1" ht="15" customHeight="1">
      <c r="A8" s="883" t="str">
        <f>'1. Bia'!B12</f>
        <v>GÓI THẦU:</v>
      </c>
      <c r="B8" s="215"/>
      <c r="C8" s="215"/>
      <c r="D8" s="881" t="str">
        <f>'1. Bia'!E12</f>
        <v>THI CÔNG CỌC KHOAN NHỒI</v>
      </c>
      <c r="E8" s="215"/>
      <c r="F8" s="215"/>
      <c r="G8" s="213"/>
      <c r="H8" s="213"/>
      <c r="I8" s="213"/>
      <c r="J8" s="213"/>
      <c r="K8" s="1286"/>
      <c r="L8" s="1289"/>
      <c r="M8" s="1292"/>
      <c r="N8" s="213"/>
      <c r="O8" s="213"/>
      <c r="P8" s="682"/>
      <c r="Q8" s="683" t="s">
        <v>158</v>
      </c>
      <c r="R8" s="684">
        <f>VLOOKUP($R$2,'Thong tin'!$A:$R,15,0)</f>
        <v>16</v>
      </c>
      <c r="V8" s="214" t="s">
        <v>1129</v>
      </c>
    </row>
    <row r="9" spans="1:22" s="214" customFormat="1" ht="14.25" customHeight="1">
      <c r="A9" s="883" t="str">
        <f>'1. Bia'!B13</f>
        <v>ĐỊA ĐIỂM:</v>
      </c>
      <c r="D9" s="881" t="str">
        <f>'1. Bia'!E13</f>
        <v>ĐƯỜNG 25/4, P BẠCH ĐẰNG, TP HẠ LONG, TỈNH QUẢNG NINH</v>
      </c>
      <c r="F9" s="212"/>
      <c r="G9" s="212"/>
      <c r="H9" s="213"/>
      <c r="I9" s="213"/>
      <c r="J9" s="213"/>
      <c r="K9" s="1286"/>
      <c r="L9" s="1289"/>
      <c r="M9" s="1292"/>
      <c r="N9" s="213"/>
      <c r="O9" s="213"/>
      <c r="P9" s="685"/>
      <c r="Q9" s="686" t="s">
        <v>69</v>
      </c>
      <c r="R9" s="684">
        <f>VLOOKUP($R$2,'Thong tin'!$A:$R,14,0)</f>
        <v>20</v>
      </c>
      <c r="S9" s="685"/>
      <c r="T9" s="685"/>
      <c r="V9" s="214" t="s">
        <v>627</v>
      </c>
    </row>
    <row r="10" spans="1:22" s="214" customFormat="1" ht="15" customHeight="1" thickBot="1">
      <c r="A10" s="216" t="s">
        <v>189</v>
      </c>
      <c r="B10" s="213"/>
      <c r="C10" s="213"/>
      <c r="D10" s="217" t="str">
        <f>R2</f>
        <v>B1</v>
      </c>
      <c r="E10" s="213"/>
      <c r="F10" s="216" t="s">
        <v>6</v>
      </c>
      <c r="G10" s="213"/>
      <c r="H10" s="218">
        <f>R3</f>
        <v>800</v>
      </c>
      <c r="I10" s="213" t="s">
        <v>159</v>
      </c>
      <c r="J10" s="213"/>
      <c r="K10" s="1287"/>
      <c r="L10" s="1290"/>
      <c r="M10" s="1293"/>
      <c r="N10" s="213"/>
      <c r="P10" s="685"/>
      <c r="Q10" s="686"/>
      <c r="R10" s="687"/>
      <c r="S10" s="685"/>
      <c r="T10" s="685"/>
      <c r="V10" s="214" t="s">
        <v>553</v>
      </c>
    </row>
    <row r="11" spans="1:22" s="214" customFormat="1" ht="15" customHeight="1" thickTop="1">
      <c r="A11" s="1267" t="s">
        <v>160</v>
      </c>
      <c r="B11" s="1269" t="s">
        <v>369</v>
      </c>
      <c r="C11" s="1269"/>
      <c r="D11" s="288"/>
      <c r="E11" s="288" t="s">
        <v>370</v>
      </c>
      <c r="F11" s="300">
        <f>VLOOKUP($D$10,DT.NK!$B:$AZ,2,0)</f>
        <v>0.375</v>
      </c>
      <c r="G11" s="298" t="s">
        <v>349</v>
      </c>
      <c r="H11" s="300">
        <f>VLOOKUP($D$10,DT.NK!$B:$AZ,3,0)</f>
        <v>0.39583333333333331</v>
      </c>
      <c r="I11" s="294" t="s">
        <v>354</v>
      </c>
      <c r="J11" s="572">
        <f>VLOOKUP($D$10,DT.NK!$B:$AZ,4,0)</f>
        <v>42466</v>
      </c>
      <c r="K11" s="318"/>
      <c r="L11" s="568"/>
      <c r="M11" s="319"/>
      <c r="N11" s="213"/>
      <c r="P11" s="685" t="s">
        <v>68</v>
      </c>
      <c r="Q11" s="685"/>
      <c r="R11" s="685" t="s">
        <v>464</v>
      </c>
      <c r="S11" s="685"/>
      <c r="T11" s="685"/>
      <c r="V11" s="214" t="s">
        <v>1131</v>
      </c>
    </row>
    <row r="12" spans="1:22" s="214" customFormat="1" ht="12">
      <c r="A12" s="1268"/>
      <c r="B12" s="1270"/>
      <c r="C12" s="1270"/>
      <c r="D12" s="289"/>
      <c r="E12" s="788"/>
      <c r="F12" s="289"/>
      <c r="G12" s="297"/>
      <c r="H12" s="658"/>
      <c r="I12" s="285"/>
      <c r="J12" s="310"/>
      <c r="K12" s="320"/>
      <c r="L12" s="569"/>
      <c r="M12" s="321"/>
      <c r="N12" s="213"/>
      <c r="P12" s="685" t="s">
        <v>151</v>
      </c>
      <c r="Q12" s="685"/>
      <c r="R12" s="685" t="s">
        <v>465</v>
      </c>
      <c r="S12" s="685"/>
      <c r="T12" s="685"/>
      <c r="V12" s="214" t="s">
        <v>596</v>
      </c>
    </row>
    <row r="13" spans="1:22" s="214" customFormat="1" ht="12" customHeight="1">
      <c r="A13" s="291" t="s">
        <v>161</v>
      </c>
      <c r="B13" s="257" t="s">
        <v>403</v>
      </c>
      <c r="C13" s="257"/>
      <c r="D13" s="306"/>
      <c r="E13" s="789" t="s">
        <v>370</v>
      </c>
      <c r="F13" s="301">
        <f>VLOOKUP($D$10,DT.NK!$B:$AZ,5,0)</f>
        <v>0.40277777777777773</v>
      </c>
      <c r="G13" s="299" t="s">
        <v>350</v>
      </c>
      <c r="H13" s="301">
        <f>VLOOKUP($D$10,DT.NK!$B:$AZ,6,0)</f>
        <v>0.40624999999999994</v>
      </c>
      <c r="I13" s="295" t="s">
        <v>354</v>
      </c>
      <c r="J13" s="287">
        <f>VLOOKUP($D$10,DT.NK!$B:$AZ,7,0)</f>
        <v>42466</v>
      </c>
      <c r="K13" s="318"/>
      <c r="L13" s="568"/>
      <c r="M13" s="319"/>
      <c r="N13" s="213"/>
      <c r="P13" s="685" t="s">
        <v>731</v>
      </c>
      <c r="Q13" s="685" t="s">
        <v>471</v>
      </c>
      <c r="R13" s="687">
        <f>VLOOKUP($R$2,'Thong tin'!$A:$R,2,0)</f>
        <v>2317790.6910000001</v>
      </c>
      <c r="S13" s="685"/>
      <c r="T13" s="685"/>
      <c r="V13" s="214" t="s">
        <v>563</v>
      </c>
    </row>
    <row r="14" spans="1:22" s="214" customFormat="1" ht="12" customHeight="1">
      <c r="A14" s="222"/>
      <c r="B14" s="223" t="s">
        <v>338</v>
      </c>
      <c r="C14" s="567">
        <f>R13</f>
        <v>2317790.6910000001</v>
      </c>
      <c r="D14" s="223" t="s">
        <v>164</v>
      </c>
      <c r="E14" s="223" t="s">
        <v>339</v>
      </c>
      <c r="F14" s="1271">
        <f>I14+C14</f>
        <v>2317790.6920000003</v>
      </c>
      <c r="G14" s="1271"/>
      <c r="H14" s="224" t="s">
        <v>340</v>
      </c>
      <c r="I14" s="585">
        <f>VLOOKUP($D$10,DT.NK!$B:$AZ,8,0)</f>
        <v>1E-3</v>
      </c>
      <c r="J14" s="223" t="s">
        <v>164</v>
      </c>
      <c r="K14" s="322"/>
      <c r="L14" s="271"/>
      <c r="M14" s="323"/>
      <c r="N14" s="213"/>
      <c r="P14" s="685"/>
      <c r="Q14" s="685" t="s">
        <v>732</v>
      </c>
      <c r="R14" s="687">
        <f>VLOOKUP($R$2,'Thong tin'!$A:$R,3,0)</f>
        <v>430397.96399999998</v>
      </c>
      <c r="S14" s="685"/>
      <c r="T14" s="685"/>
      <c r="V14" s="214" t="s">
        <v>606</v>
      </c>
    </row>
    <row r="15" spans="1:22" s="214" customFormat="1" ht="12" customHeight="1">
      <c r="A15" s="225"/>
      <c r="B15" s="223" t="s">
        <v>341</v>
      </c>
      <c r="C15" s="567">
        <f>R14</f>
        <v>430397.96399999998</v>
      </c>
      <c r="D15" s="223" t="s">
        <v>164</v>
      </c>
      <c r="E15" s="223" t="s">
        <v>342</v>
      </c>
      <c r="F15" s="1271">
        <f>I15+C15</f>
        <v>430397.984</v>
      </c>
      <c r="G15" s="1271"/>
      <c r="H15" s="224" t="s">
        <v>343</v>
      </c>
      <c r="I15" s="585">
        <f>VLOOKUP($D$10,DT.NK!$B:$AZ,9,0)</f>
        <v>0.02</v>
      </c>
      <c r="J15" s="223" t="s">
        <v>164</v>
      </c>
      <c r="K15" s="322"/>
      <c r="L15" s="271"/>
      <c r="M15" s="323"/>
      <c r="N15" s="213"/>
      <c r="P15" s="685" t="s">
        <v>733</v>
      </c>
      <c r="Q15" s="685"/>
      <c r="R15" s="687">
        <f>VLOOKUP($R$2,'Thong tin'!$A:$R,11,0)</f>
        <v>2</v>
      </c>
      <c r="S15" s="685"/>
      <c r="T15" s="685"/>
    </row>
    <row r="16" spans="1:22" s="214" customFormat="1" ht="12" customHeight="1">
      <c r="A16" s="225"/>
      <c r="B16" s="221" t="s">
        <v>727</v>
      </c>
      <c r="C16" s="224"/>
      <c r="D16" s="226"/>
      <c r="E16" s="306"/>
      <c r="F16" s="660">
        <f>VLOOKUP($D$10,DT.NK!$B:$AZ,10,0)</f>
        <v>-0.35299999999999998</v>
      </c>
      <c r="G16" s="1266" t="s">
        <v>728</v>
      </c>
      <c r="H16" s="1266"/>
      <c r="I16" s="1266"/>
      <c r="J16" s="659">
        <f>VLOOKUP($D$10,DT.NK!$B:$AZ,11,0)</f>
        <v>-0.71699999999999997</v>
      </c>
      <c r="K16" s="322"/>
      <c r="L16" s="271"/>
      <c r="M16" s="323"/>
      <c r="N16" s="213"/>
      <c r="P16" s="685" t="s">
        <v>734</v>
      </c>
      <c r="Q16" s="685"/>
      <c r="R16" s="687">
        <f>VLOOKUP($R$2,'Thong tin'!$A:$R,12,0)</f>
        <v>1</v>
      </c>
      <c r="S16" s="685"/>
      <c r="T16" s="685"/>
    </row>
    <row r="17" spans="1:22" s="214" customFormat="1" ht="12" customHeight="1">
      <c r="A17" s="225"/>
      <c r="C17" s="224"/>
      <c r="D17" s="226"/>
      <c r="E17" s="306"/>
      <c r="G17" s="1272"/>
      <c r="H17" s="1272"/>
      <c r="I17" s="1272"/>
      <c r="J17" s="227"/>
      <c r="K17" s="322"/>
      <c r="L17" s="271"/>
      <c r="M17" s="323"/>
      <c r="N17" s="213"/>
      <c r="P17" s="685" t="s">
        <v>846</v>
      </c>
      <c r="Q17" s="685"/>
      <c r="R17" s="685">
        <v>900</v>
      </c>
      <c r="S17" s="685"/>
      <c r="T17" s="685"/>
    </row>
    <row r="18" spans="1:22" s="214" customFormat="1" ht="13.5" customHeight="1">
      <c r="A18" s="291">
        <v>3</v>
      </c>
      <c r="B18" s="1265" t="s">
        <v>400</v>
      </c>
      <c r="C18" s="1265"/>
      <c r="D18" s="260"/>
      <c r="E18" s="290" t="s">
        <v>358</v>
      </c>
      <c r="F18" s="301">
        <f>VLOOKUP($D$10,DT.NK!$B:$AZ,12,0)</f>
        <v>0.40972222222222215</v>
      </c>
      <c r="G18" s="299" t="s">
        <v>350</v>
      </c>
      <c r="H18" s="301">
        <f>VLOOKUP($D$10,DT.NK!$B:$AZ,13,0)</f>
        <v>0.42013888888888884</v>
      </c>
      <c r="I18" s="284" t="s">
        <v>354</v>
      </c>
      <c r="J18" s="255">
        <f>VLOOKUP($D$10,DT.NK!$B:$AZ,14,0)</f>
        <v>42466</v>
      </c>
      <c r="K18" s="324"/>
      <c r="L18" s="260"/>
      <c r="M18" s="325"/>
      <c r="N18" s="213"/>
      <c r="P18" s="685" t="s">
        <v>845</v>
      </c>
      <c r="Q18" s="685"/>
      <c r="R18" s="688">
        <f>R4-H30+1-0.1</f>
        <v>22.603000000000002</v>
      </c>
      <c r="S18" s="685" t="s">
        <v>847</v>
      </c>
      <c r="T18" s="685"/>
    </row>
    <row r="19" spans="1:22" s="214" customFormat="1" ht="15" customHeight="1">
      <c r="A19" s="222"/>
      <c r="B19" s="221" t="s">
        <v>362</v>
      </c>
      <c r="C19" s="221"/>
      <c r="D19" s="228">
        <f>VLOOKUP($D$10,DT.NK!$B:$AZ,15,0)</f>
        <v>1.08</v>
      </c>
      <c r="E19" s="221" t="s">
        <v>364</v>
      </c>
      <c r="F19" s="223"/>
      <c r="G19" s="306"/>
      <c r="H19" s="236">
        <f>VLOOKUP($D$10,DT.NK!$B:$AZ,16,0)</f>
        <v>9</v>
      </c>
      <c r="I19" s="306"/>
      <c r="J19" s="223"/>
      <c r="K19" s="322"/>
      <c r="L19" s="271"/>
      <c r="M19" s="323"/>
      <c r="N19" s="213"/>
      <c r="P19" s="685" t="s">
        <v>843</v>
      </c>
      <c r="Q19" s="685"/>
      <c r="R19" s="685" t="s">
        <v>844</v>
      </c>
      <c r="S19" s="918">
        <f>F16-R4</f>
        <v>7.6470000000000002</v>
      </c>
      <c r="T19" s="685">
        <v>0.1</v>
      </c>
    </row>
    <row r="20" spans="1:22" s="214" customFormat="1" ht="15" customHeight="1">
      <c r="A20" s="225"/>
      <c r="B20" s="221" t="s">
        <v>363</v>
      </c>
      <c r="C20" s="221"/>
      <c r="D20" s="228">
        <f>VLOOKUP($D$10,DT.NK!$B:$AZ,17,0)</f>
        <v>19</v>
      </c>
      <c r="E20" s="221" t="s">
        <v>365</v>
      </c>
      <c r="F20" s="223"/>
      <c r="G20" s="306"/>
      <c r="H20" s="662">
        <f>VLOOKUP($D$10,DT.NK!$B:$AZ,18,0)</f>
        <v>0</v>
      </c>
      <c r="I20" s="306"/>
      <c r="J20" s="311"/>
      <c r="K20" s="322"/>
      <c r="L20" s="271"/>
      <c r="M20" s="323"/>
      <c r="N20" s="213"/>
      <c r="P20" s="685" t="s">
        <v>839</v>
      </c>
      <c r="Q20" s="685"/>
      <c r="R20" s="685" t="str">
        <f>$R$8*2&amp;"F"&amp;$R$9</f>
        <v>32F20</v>
      </c>
      <c r="S20" s="685">
        <f>IF(R3=1200,3.4,2.6)</f>
        <v>2.6</v>
      </c>
      <c r="T20" s="685"/>
      <c r="V20" s="214">
        <v>11.7</v>
      </c>
    </row>
    <row r="21" spans="1:22" s="214" customFormat="1" ht="15" customHeight="1">
      <c r="A21" s="225"/>
      <c r="B21" s="221" t="s">
        <v>356</v>
      </c>
      <c r="C21" s="221"/>
      <c r="D21" s="221"/>
      <c r="E21" s="224"/>
      <c r="F21" s="221"/>
      <c r="G21" s="221"/>
      <c r="H21" s="223"/>
      <c r="I21" s="223"/>
      <c r="J21" s="311"/>
      <c r="K21" s="322"/>
      <c r="L21" s="271"/>
      <c r="M21" s="323"/>
      <c r="N21" s="213"/>
      <c r="P21" s="685"/>
      <c r="Q21" s="685"/>
      <c r="R21" s="685"/>
      <c r="S21" s="685">
        <f>11.7-S20</f>
        <v>9.1</v>
      </c>
      <c r="T21" s="685"/>
    </row>
    <row r="22" spans="1:22" s="214" customFormat="1" ht="15" customHeight="1">
      <c r="A22" s="291">
        <v>4</v>
      </c>
      <c r="B22" s="257" t="s">
        <v>468</v>
      </c>
      <c r="C22" s="254"/>
      <c r="D22" s="239" t="s">
        <v>469</v>
      </c>
      <c r="E22" s="292"/>
      <c r="F22" s="239"/>
      <c r="G22" s="293" t="s">
        <v>359</v>
      </c>
      <c r="H22" s="302">
        <f>VLOOKUP($D$10,DT.NK!$B:$AZ,19,0)</f>
        <v>0.54513888888888884</v>
      </c>
      <c r="I22" s="295" t="s">
        <v>354</v>
      </c>
      <c r="J22" s="550">
        <f>VLOOKUP($D$10,DT.NK!$B:$AZ,20,0)</f>
        <v>42466</v>
      </c>
      <c r="K22" s="324"/>
      <c r="L22" s="260"/>
      <c r="M22" s="325"/>
      <c r="N22" s="213"/>
      <c r="P22" s="685" t="s">
        <v>840</v>
      </c>
      <c r="Q22" s="685"/>
      <c r="R22" s="685" t="str">
        <f>$R$8&amp;"F"&amp;$R$9</f>
        <v>16F20</v>
      </c>
      <c r="S22" s="685">
        <f>IF(R18-V20+0.9&gt;11.7,11.7,R18-V20+0.9)</f>
        <v>11.7</v>
      </c>
      <c r="T22" s="685" t="str">
        <f>IF(S22&lt;11.7,0.1,"")</f>
        <v/>
      </c>
    </row>
    <row r="23" spans="1:22" s="214" customFormat="1" ht="15" customHeight="1">
      <c r="A23" s="233"/>
      <c r="B23" s="221" t="s">
        <v>367</v>
      </c>
      <c r="C23" s="220"/>
      <c r="D23" s="235"/>
      <c r="E23" s="306"/>
      <c r="F23" s="235"/>
      <c r="G23" s="223"/>
      <c r="H23" s="660">
        <f>VLOOKUP($D$10,DT.NK!$B:$AZ,21,0)</f>
        <v>22.3</v>
      </c>
      <c r="I23" s="296"/>
      <c r="J23" s="551"/>
      <c r="K23" s="322"/>
      <c r="L23" s="271"/>
      <c r="M23" s="323"/>
      <c r="N23" s="213"/>
      <c r="P23" s="685" t="s">
        <v>841</v>
      </c>
      <c r="Q23" s="685"/>
      <c r="R23" s="685" t="str">
        <f>IF(S23="","",($R$8&amp;"F"&amp;$R$9))</f>
        <v>16F20</v>
      </c>
      <c r="S23" s="685">
        <f>IF(S22&lt;11.7,"",IF(R18-V20-S22+2*0.9&gt;11.7,11.7,R18-V20-S22+2*0.9))</f>
        <v>1.003000000000003</v>
      </c>
      <c r="T23" s="685">
        <f>IF(S23&lt;11.7,0.1,"")</f>
        <v>0.1</v>
      </c>
    </row>
    <row r="24" spans="1:22" s="214" customFormat="1" ht="13.5" customHeight="1">
      <c r="A24" s="229"/>
      <c r="B24" s="230" t="s">
        <v>879</v>
      </c>
      <c r="C24" s="231"/>
      <c r="D24" s="237"/>
      <c r="E24" s="237"/>
      <c r="F24" s="242"/>
      <c r="G24" s="242"/>
      <c r="H24" s="661">
        <f>-(H23-$F$16)</f>
        <v>-22.653000000000002</v>
      </c>
      <c r="I24" s="230"/>
      <c r="J24" s="556"/>
      <c r="K24" s="326"/>
      <c r="L24" s="570"/>
      <c r="M24" s="327"/>
      <c r="N24" s="213"/>
      <c r="O24" s="213"/>
      <c r="P24" s="685" t="s">
        <v>842</v>
      </c>
      <c r="Q24" s="685"/>
      <c r="R24" s="685" t="str">
        <f>IF(S24="","",($R$8&amp;"F"&amp;$R$9))</f>
        <v/>
      </c>
      <c r="S24" s="685" t="str">
        <f>IF(S23="","",IF(S23&lt;11.7,"",IF(R18-V20-S22-S23+3*0.9&gt;11.7,11.7,R18-V20-S22-S23+3*0.9)))</f>
        <v/>
      </c>
      <c r="T24" s="685" t="str">
        <f>IF(S24&lt;11.7,0.1,"")</f>
        <v/>
      </c>
    </row>
    <row r="25" spans="1:22" s="214" customFormat="1" ht="15" customHeight="1">
      <c r="A25" s="233">
        <v>5</v>
      </c>
      <c r="B25" s="234" t="s">
        <v>373</v>
      </c>
      <c r="C25" s="220"/>
      <c r="D25" s="235"/>
      <c r="E25" s="238"/>
      <c r="F25" s="235"/>
      <c r="G25" s="235"/>
      <c r="H25" s="286">
        <f>VLOOKUP($D$10,DT.NK!$B:$AZ,22,0)</f>
        <v>0.67013888888888884</v>
      </c>
      <c r="I25" s="296" t="s">
        <v>354</v>
      </c>
      <c r="J25" s="244">
        <f>VLOOKUP($D$10,DT.NK!$B:$AZ,23,0)</f>
        <v>42466</v>
      </c>
      <c r="K25" s="324"/>
      <c r="L25" s="260"/>
      <c r="M25" s="325"/>
      <c r="N25" s="240"/>
      <c r="O25" s="213"/>
      <c r="P25" s="685"/>
      <c r="Q25" s="685"/>
      <c r="R25" s="685"/>
      <c r="S25" s="685"/>
      <c r="T25" s="685"/>
    </row>
    <row r="26" spans="1:22" s="214" customFormat="1" ht="12.75" customHeight="1">
      <c r="A26" s="225"/>
      <c r="B26" s="221" t="s">
        <v>368</v>
      </c>
      <c r="C26" s="224"/>
      <c r="D26" s="306"/>
      <c r="E26" s="306"/>
      <c r="F26" s="241"/>
      <c r="G26" s="241"/>
      <c r="H26" s="865">
        <f>VLOOKUP($D$10,DT.NK!$B:$AZ,24,0)</f>
        <v>29.35</v>
      </c>
      <c r="I26" s="224"/>
      <c r="J26" s="312"/>
      <c r="K26" s="322"/>
      <c r="L26" s="271"/>
      <c r="M26" s="323"/>
      <c r="N26" s="213"/>
      <c r="O26" s="213"/>
      <c r="P26" s="685" t="s">
        <v>148</v>
      </c>
      <c r="Q26" s="689" t="str">
        <f>Q31</f>
        <v>Công ty TNHH kinh doanh và phát triển Vượng Phát</v>
      </c>
      <c r="R26" s="685"/>
      <c r="S26" s="685"/>
      <c r="T26" s="685"/>
    </row>
    <row r="27" spans="1:22" s="214" customFormat="1" ht="13.5" customHeight="1">
      <c r="A27" s="229"/>
      <c r="B27" s="230" t="s">
        <v>879</v>
      </c>
      <c r="C27" s="231"/>
      <c r="D27" s="237"/>
      <c r="E27" s="306"/>
      <c r="F27" s="242"/>
      <c r="G27" s="242"/>
      <c r="H27" s="661">
        <f>-(H26-$F$16)</f>
        <v>-29.703000000000003</v>
      </c>
      <c r="I27" s="230"/>
      <c r="J27" s="230"/>
      <c r="K27" s="326"/>
      <c r="L27" s="570"/>
      <c r="M27" s="327"/>
      <c r="N27" s="213"/>
      <c r="O27" s="213"/>
      <c r="P27" s="685" t="s">
        <v>880</v>
      </c>
      <c r="Q27" s="689" t="s">
        <v>881</v>
      </c>
      <c r="R27" s="685"/>
      <c r="S27" s="685"/>
      <c r="T27" s="685"/>
    </row>
    <row r="28" spans="1:22" s="214" customFormat="1" ht="15" customHeight="1">
      <c r="A28" s="291" t="s">
        <v>167</v>
      </c>
      <c r="B28" s="257" t="s">
        <v>371</v>
      </c>
      <c r="C28" s="254"/>
      <c r="D28" s="254"/>
      <c r="E28" s="254" t="s">
        <v>359</v>
      </c>
      <c r="F28" s="302">
        <f>VLOOKUP($D$10,DT.NK!$B:$AZ,25,0)</f>
        <v>0.71180555555555547</v>
      </c>
      <c r="G28" s="299" t="s">
        <v>351</v>
      </c>
      <c r="H28" s="302">
        <f>VLOOKUP($D$10,DT.NK!$B:$AZ,26,0)</f>
        <v>0.73263888888888873</v>
      </c>
      <c r="I28" s="295" t="s">
        <v>354</v>
      </c>
      <c r="J28" s="255">
        <f>VLOOKUP($D$10,DT.NK!$B:$AZ,27,0)</f>
        <v>42466</v>
      </c>
      <c r="K28" s="324" t="s">
        <v>163</v>
      </c>
      <c r="L28" s="260"/>
      <c r="M28" s="325"/>
      <c r="N28" s="213"/>
      <c r="O28" s="213"/>
      <c r="P28" s="690"/>
      <c r="Q28" s="690"/>
      <c r="R28" s="690"/>
      <c r="S28" s="690"/>
      <c r="T28" s="690"/>
    </row>
    <row r="29" spans="1:22" s="214" customFormat="1" ht="11.25" customHeight="1">
      <c r="A29" s="304"/>
      <c r="B29" s="221" t="s">
        <v>372</v>
      </c>
      <c r="C29" s="220"/>
      <c r="D29" s="220"/>
      <c r="E29" s="220"/>
      <c r="F29" s="267"/>
      <c r="G29" s="220"/>
      <c r="H29" s="275">
        <f>VLOOKUP($D$10,DT.NK!$B:$AZ,28,0)</f>
        <v>29.35</v>
      </c>
      <c r="I29" s="268"/>
      <c r="J29" s="313"/>
      <c r="K29" s="322"/>
      <c r="L29" s="271"/>
      <c r="M29" s="323"/>
      <c r="N29" s="213"/>
      <c r="O29" s="213"/>
    </row>
    <row r="30" spans="1:22" s="214" customFormat="1" ht="15" customHeight="1">
      <c r="A30" s="305"/>
      <c r="B30" s="230" t="s">
        <v>879</v>
      </c>
      <c r="C30" s="231"/>
      <c r="D30" s="231"/>
      <c r="E30" s="237"/>
      <c r="F30" s="237"/>
      <c r="G30" s="237"/>
      <c r="H30" s="661">
        <f>-(H29-$F$16)</f>
        <v>-29.703000000000003</v>
      </c>
      <c r="I30" s="237"/>
      <c r="J30" s="314"/>
      <c r="K30" s="322"/>
      <c r="L30" s="271"/>
      <c r="M30" s="323"/>
      <c r="N30" s="863"/>
      <c r="O30" s="864"/>
    </row>
    <row r="31" spans="1:22" s="214" customFormat="1" ht="15" customHeight="1" thickBot="1">
      <c r="A31" s="233" t="s">
        <v>168</v>
      </c>
      <c r="B31" s="1273" t="s">
        <v>374</v>
      </c>
      <c r="C31" s="1273"/>
      <c r="D31" s="220"/>
      <c r="E31" s="243" t="s">
        <v>360</v>
      </c>
      <c r="F31" s="301">
        <f>VLOOKUP($D$10,DT.NK!$B:$AZ,29,0)</f>
        <v>0.73958333333333315</v>
      </c>
      <c r="G31" s="243" t="s">
        <v>350</v>
      </c>
      <c r="H31" s="301">
        <f>VLOOKUP($D$10,DT.NK!$B:$AZ,30,0)</f>
        <v>0.74999999999999978</v>
      </c>
      <c r="I31" s="295" t="s">
        <v>354</v>
      </c>
      <c r="J31" s="244">
        <f>VLOOKUP($D$10,DT.NK!$B:$AZ,31,0)</f>
        <v>42466</v>
      </c>
      <c r="K31" s="324"/>
      <c r="L31" s="260"/>
      <c r="M31" s="325"/>
      <c r="N31" s="213"/>
      <c r="O31" s="213"/>
      <c r="Q31" s="214" t="s">
        <v>895</v>
      </c>
    </row>
    <row r="32" spans="1:22" s="248" customFormat="1" ht="12.75" thickTop="1">
      <c r="A32" s="245"/>
      <c r="B32" s="246" t="s">
        <v>375</v>
      </c>
      <c r="C32" s="1274" t="s">
        <v>376</v>
      </c>
      <c r="D32" s="1274"/>
      <c r="E32" s="1274" t="s">
        <v>377</v>
      </c>
      <c r="F32" s="1274"/>
      <c r="G32" s="1274" t="s">
        <v>378</v>
      </c>
      <c r="H32" s="1274"/>
      <c r="I32" s="1274" t="s">
        <v>379</v>
      </c>
      <c r="J32" s="1275"/>
      <c r="K32" s="322"/>
      <c r="L32" s="271"/>
      <c r="M32" s="323"/>
      <c r="N32" s="866"/>
      <c r="O32" s="247"/>
    </row>
    <row r="33" spans="1:22" s="248" customFormat="1" ht="12.75">
      <c r="A33" s="245"/>
      <c r="B33" s="691">
        <v>1</v>
      </c>
      <c r="C33" s="1253" t="str">
        <f>R19</f>
        <v>6F14</v>
      </c>
      <c r="D33" s="1253"/>
      <c r="E33" s="1261"/>
      <c r="F33" s="1261"/>
      <c r="G33" s="1252" t="s">
        <v>467</v>
      </c>
      <c r="H33" s="1253"/>
      <c r="I33" s="697">
        <f>S19</f>
        <v>7.6470000000000002</v>
      </c>
      <c r="J33" s="634">
        <v>0.1</v>
      </c>
      <c r="K33" s="322"/>
      <c r="L33" s="271"/>
      <c r="M33" s="323"/>
      <c r="N33" s="247"/>
      <c r="Q33" s="689" t="s">
        <v>878</v>
      </c>
    </row>
    <row r="34" spans="1:22" s="248" customFormat="1" ht="12.75" customHeight="1">
      <c r="A34" s="245"/>
      <c r="B34" s="1298">
        <v>2</v>
      </c>
      <c r="C34" s="1253" t="str">
        <f>R20</f>
        <v>32F20</v>
      </c>
      <c r="D34" s="1253"/>
      <c r="E34" s="1253" t="s">
        <v>882</v>
      </c>
      <c r="F34" s="1253"/>
      <c r="G34" s="1299" t="s">
        <v>467</v>
      </c>
      <c r="H34" s="1299"/>
      <c r="I34" s="697">
        <f>S20</f>
        <v>2.6</v>
      </c>
      <c r="J34" s="633"/>
      <c r="K34" s="322"/>
      <c r="L34" s="271"/>
      <c r="M34" s="323"/>
      <c r="N34" s="247"/>
    </row>
    <row r="35" spans="1:22" s="248" customFormat="1" ht="12">
      <c r="A35" s="245"/>
      <c r="B35" s="1298"/>
      <c r="C35" s="1253" t="str">
        <f>R22</f>
        <v>16F20</v>
      </c>
      <c r="D35" s="1253"/>
      <c r="E35" s="1253" t="s">
        <v>466</v>
      </c>
      <c r="F35" s="1253"/>
      <c r="G35" s="1300"/>
      <c r="H35" s="1300"/>
      <c r="I35" s="698">
        <f>11.7-I34</f>
        <v>9.1</v>
      </c>
      <c r="J35" s="692"/>
      <c r="K35" s="322"/>
      <c r="L35" s="271"/>
      <c r="M35" s="323"/>
      <c r="N35" s="247"/>
    </row>
    <row r="36" spans="1:22" s="214" customFormat="1" ht="15" customHeight="1">
      <c r="A36" s="225"/>
      <c r="B36" s="249">
        <v>3</v>
      </c>
      <c r="C36" s="1253" t="str">
        <f>R22</f>
        <v>16F20</v>
      </c>
      <c r="D36" s="1253"/>
      <c r="E36" s="1253" t="s">
        <v>466</v>
      </c>
      <c r="F36" s="1253"/>
      <c r="G36" s="1252" t="s">
        <v>467</v>
      </c>
      <c r="H36" s="1253"/>
      <c r="I36" s="697">
        <f t="shared" ref="I36:J38" si="0">S22</f>
        <v>11.7</v>
      </c>
      <c r="J36" s="634" t="str">
        <f t="shared" si="0"/>
        <v/>
      </c>
      <c r="K36" s="322"/>
      <c r="L36" s="271"/>
      <c r="M36" s="323"/>
      <c r="N36" s="529"/>
    </row>
    <row r="37" spans="1:22" s="214" customFormat="1" ht="15" customHeight="1">
      <c r="A37" s="225"/>
      <c r="B37" s="693">
        <v>4</v>
      </c>
      <c r="C37" s="1253" t="str">
        <f>R23</f>
        <v>16F20</v>
      </c>
      <c r="D37" s="1253"/>
      <c r="E37" s="1253" t="str">
        <f>IF(C37="","",E36)</f>
        <v>f10 a200</v>
      </c>
      <c r="F37" s="1253"/>
      <c r="G37" s="1252" t="str">
        <f>IF(E37="","",G36)</f>
        <v>f18 a2000</v>
      </c>
      <c r="H37" s="1253"/>
      <c r="I37" s="632">
        <f t="shared" si="0"/>
        <v>1.003000000000003</v>
      </c>
      <c r="J37" s="634">
        <f t="shared" si="0"/>
        <v>0.1</v>
      </c>
      <c r="K37" s="322"/>
      <c r="L37" s="271"/>
      <c r="M37" s="323"/>
      <c r="N37" s="529"/>
      <c r="O37" s="694"/>
      <c r="P37" s="694"/>
      <c r="Q37" s="694"/>
      <c r="R37" s="694"/>
      <c r="S37" s="695"/>
      <c r="T37" s="694"/>
      <c r="U37" s="312"/>
      <c r="V37" s="696"/>
    </row>
    <row r="38" spans="1:22" s="214" customFormat="1" ht="15" customHeight="1" thickBot="1">
      <c r="A38" s="225"/>
      <c r="B38" s="251">
        <v>5</v>
      </c>
      <c r="C38" s="1263" t="str">
        <f>R24</f>
        <v/>
      </c>
      <c r="D38" s="1263"/>
      <c r="E38" s="1263" t="str">
        <f>IF(C38="","",E37)</f>
        <v/>
      </c>
      <c r="F38" s="1263"/>
      <c r="G38" s="1264" t="str">
        <f>IF(E38="","",G37)</f>
        <v/>
      </c>
      <c r="H38" s="1263"/>
      <c r="I38" s="590" t="str">
        <f t="shared" si="0"/>
        <v/>
      </c>
      <c r="J38" s="533" t="str">
        <f t="shared" si="0"/>
        <v/>
      </c>
      <c r="K38" s="322"/>
      <c r="L38" s="271"/>
      <c r="M38" s="323"/>
      <c r="N38" s="250"/>
    </row>
    <row r="39" spans="1:22" s="214" customFormat="1" ht="15" customHeight="1" thickTop="1">
      <c r="A39" s="222" t="s">
        <v>170</v>
      </c>
      <c r="B39" s="224" t="s">
        <v>382</v>
      </c>
      <c r="C39" s="223"/>
      <c r="D39" s="223"/>
      <c r="E39" s="241">
        <f>R15</f>
        <v>2</v>
      </c>
      <c r="F39" s="588"/>
      <c r="G39" s="224" t="s">
        <v>384</v>
      </c>
      <c r="H39" s="588"/>
      <c r="I39" s="842">
        <f>IF(E39=0,0,(J16-H30-0.1-0.5))</f>
        <v>28.386000000000003</v>
      </c>
      <c r="J39" s="224"/>
      <c r="K39" s="322"/>
      <c r="L39" s="271"/>
      <c r="M39" s="323"/>
      <c r="N39" s="213"/>
      <c r="O39" s="213"/>
    </row>
    <row r="40" spans="1:22" s="214" customFormat="1" ht="15" customHeight="1">
      <c r="A40" s="222" t="s">
        <v>170</v>
      </c>
      <c r="B40" s="224" t="s">
        <v>383</v>
      </c>
      <c r="C40" s="223"/>
      <c r="D40" s="223"/>
      <c r="E40" s="241">
        <f>R16</f>
        <v>1</v>
      </c>
      <c r="F40" s="588"/>
      <c r="G40" s="224" t="s">
        <v>384</v>
      </c>
      <c r="H40" s="588"/>
      <c r="I40" s="589">
        <f>IF(E40=0,0,I39-0.9)</f>
        <v>27.486000000000004</v>
      </c>
      <c r="J40" s="224"/>
      <c r="K40" s="322"/>
      <c r="L40" s="271"/>
      <c r="M40" s="323"/>
      <c r="N40" s="213"/>
      <c r="O40" s="213"/>
    </row>
    <row r="41" spans="1:22" s="214" customFormat="1" ht="15" customHeight="1">
      <c r="A41" s="252" t="s">
        <v>170</v>
      </c>
      <c r="B41" s="231" t="s">
        <v>386</v>
      </c>
      <c r="C41" s="232"/>
      <c r="D41" s="232"/>
      <c r="E41" s="242">
        <f>H10-140</f>
        <v>660</v>
      </c>
      <c r="F41" s="230"/>
      <c r="G41" s="223" t="s">
        <v>399</v>
      </c>
      <c r="H41" s="253"/>
      <c r="I41" s="312">
        <f>ROUND((R4+1-H30)/2,0)*4</f>
        <v>44</v>
      </c>
      <c r="J41" s="230"/>
      <c r="K41" s="322"/>
      <c r="L41" s="271"/>
      <c r="M41" s="323"/>
      <c r="N41" s="213"/>
      <c r="O41" s="213"/>
    </row>
    <row r="42" spans="1:22" s="214" customFormat="1" ht="15" customHeight="1">
      <c r="A42" s="291" t="s">
        <v>169</v>
      </c>
      <c r="B42" s="257" t="s">
        <v>387</v>
      </c>
      <c r="C42" s="254"/>
      <c r="D42" s="254"/>
      <c r="E42" s="254" t="s">
        <v>359</v>
      </c>
      <c r="F42" s="301">
        <f>VLOOKUP($D$10,DT.NK!$B:$AZ,32,0)</f>
        <v>0.7569444444444442</v>
      </c>
      <c r="G42" s="254" t="s">
        <v>351</v>
      </c>
      <c r="H42" s="301">
        <f>VLOOKUP($D$10,DT.NK!$B:$AZ,33,0)</f>
        <v>0.79861111111111083</v>
      </c>
      <c r="I42" s="295" t="s">
        <v>354</v>
      </c>
      <c r="J42" s="535">
        <f>VLOOKUP($D$10,DT.NK!$B:$AZ,34,0)</f>
        <v>42466</v>
      </c>
      <c r="K42" s="324" t="s">
        <v>163</v>
      </c>
      <c r="L42" s="260"/>
      <c r="M42" s="325"/>
      <c r="N42" s="213"/>
      <c r="O42" s="213"/>
    </row>
    <row r="43" spans="1:22" s="214" customFormat="1" ht="15" customHeight="1">
      <c r="A43" s="528"/>
      <c r="B43" s="536"/>
      <c r="C43" s="259"/>
      <c r="D43" s="259"/>
      <c r="E43" s="259"/>
      <c r="F43" s="537"/>
      <c r="G43" s="259"/>
      <c r="H43" s="537"/>
      <c r="I43" s="538"/>
      <c r="J43" s="539"/>
      <c r="K43" s="326"/>
      <c r="L43" s="570"/>
      <c r="M43" s="327"/>
      <c r="N43" s="213"/>
      <c r="O43" s="213"/>
    </row>
    <row r="44" spans="1:22" s="214" customFormat="1" ht="15" customHeight="1">
      <c r="A44" s="233" t="s">
        <v>171</v>
      </c>
      <c r="B44" s="1265" t="s">
        <v>401</v>
      </c>
      <c r="C44" s="1265"/>
      <c r="D44" s="220"/>
      <c r="E44" s="303" t="s">
        <v>359</v>
      </c>
      <c r="F44" s="307">
        <f>VLOOKUP($D$10,DT.NK!$B:$AZ,35,0)</f>
        <v>0.81944444444444409</v>
      </c>
      <c r="G44" s="303" t="s">
        <v>351</v>
      </c>
      <c r="H44" s="307">
        <f>VLOOKUP($D$10,DT.NK!$B:$AZ,36,0)</f>
        <v>0.82638888888888851</v>
      </c>
      <c r="I44" s="296" t="s">
        <v>354</v>
      </c>
      <c r="J44" s="244">
        <f>VLOOKUP($D$10,DT.NK!$B:$AZ,37,0)</f>
        <v>42466</v>
      </c>
      <c r="K44" s="324"/>
      <c r="L44" s="260"/>
      <c r="M44" s="325"/>
      <c r="N44" s="213"/>
      <c r="O44" s="213"/>
    </row>
    <row r="45" spans="1:22" s="214" customFormat="1" ht="15" customHeight="1">
      <c r="A45" s="222"/>
      <c r="B45" s="221" t="s">
        <v>362</v>
      </c>
      <c r="C45" s="221"/>
      <c r="D45" s="261">
        <f>VLOOKUP($D$10,DT.NK!$B:$AZ,38,0)</f>
        <v>1.0900000000000001</v>
      </c>
      <c r="E45" s="221" t="s">
        <v>364</v>
      </c>
      <c r="F45" s="223"/>
      <c r="G45" s="221"/>
      <c r="H45" s="228">
        <f>VLOOKUP($D$10,DT.NK!$B:$AZ,39,0)</f>
        <v>9</v>
      </c>
      <c r="I45" s="223"/>
      <c r="J45" s="223"/>
      <c r="K45" s="322"/>
      <c r="L45" s="271"/>
      <c r="M45" s="323"/>
      <c r="N45" s="213"/>
      <c r="O45" s="213"/>
    </row>
    <row r="46" spans="1:22" s="214" customFormat="1" ht="15" customHeight="1">
      <c r="A46" s="225"/>
      <c r="B46" s="221" t="s">
        <v>363</v>
      </c>
      <c r="C46" s="221"/>
      <c r="D46" s="228">
        <f>VLOOKUP($D$10,DT.NK!$B:$AZ,40,0)</f>
        <v>28</v>
      </c>
      <c r="E46" s="221" t="s">
        <v>366</v>
      </c>
      <c r="F46" s="223"/>
      <c r="G46" s="221"/>
      <c r="H46" s="262">
        <f>VLOOKUP($D$10,DT.NK!$B:$AZ,41,0)</f>
        <v>0</v>
      </c>
      <c r="I46" s="223"/>
      <c r="J46" s="311"/>
      <c r="K46" s="322"/>
      <c r="L46" s="271"/>
      <c r="M46" s="323"/>
      <c r="N46" s="213"/>
      <c r="O46" s="213"/>
    </row>
    <row r="47" spans="1:22" s="214" customFormat="1" ht="15" customHeight="1">
      <c r="A47" s="225"/>
      <c r="B47" s="221"/>
      <c r="C47" s="221"/>
      <c r="D47" s="221"/>
      <c r="E47" s="221"/>
      <c r="F47" s="306"/>
      <c r="G47" s="221"/>
      <c r="H47" s="308"/>
      <c r="I47" s="223"/>
      <c r="J47" s="311"/>
      <c r="K47" s="326"/>
      <c r="L47" s="570"/>
      <c r="M47" s="327"/>
      <c r="N47" s="213"/>
      <c r="O47" s="213"/>
    </row>
    <row r="48" spans="1:22" s="214" customFormat="1" ht="15" customHeight="1">
      <c r="A48" s="256" t="s">
        <v>172</v>
      </c>
      <c r="B48" s="257" t="s">
        <v>391</v>
      </c>
      <c r="C48" s="254"/>
      <c r="D48" s="254"/>
      <c r="E48" s="254"/>
      <c r="F48" s="263"/>
      <c r="G48" s="243"/>
      <c r="H48" s="301"/>
      <c r="I48" s="292"/>
      <c r="J48" s="255"/>
      <c r="K48" s="324"/>
      <c r="L48" s="260"/>
      <c r="M48" s="325"/>
      <c r="N48" s="213"/>
      <c r="O48" s="213"/>
    </row>
    <row r="49" spans="1:15" s="214" customFormat="1" ht="15" customHeight="1">
      <c r="A49" s="264"/>
      <c r="B49" s="234"/>
      <c r="C49" s="220"/>
      <c r="D49" s="220"/>
      <c r="E49" s="303" t="s">
        <v>359</v>
      </c>
      <c r="F49" s="307">
        <f>VLOOKUP($D$10,DT.NK!$B:$AZ,42,0)</f>
        <v>0.82638888888888851</v>
      </c>
      <c r="G49" s="303" t="s">
        <v>351</v>
      </c>
      <c r="H49" s="534">
        <f>VLOOKUP($D$10,DT.NK!$B:$AZ,43,0)</f>
        <v>0.83333333333333293</v>
      </c>
      <c r="I49" s="296" t="s">
        <v>354</v>
      </c>
      <c r="J49" s="244">
        <f>VLOOKUP($D$10,DT.NK!$B:$AZ,44,0)</f>
        <v>42466</v>
      </c>
      <c r="K49" s="322"/>
      <c r="L49" s="271"/>
      <c r="M49" s="323"/>
      <c r="N49" s="213"/>
      <c r="O49" s="213"/>
    </row>
    <row r="50" spans="1:15" s="214" customFormat="1" ht="15" customHeight="1">
      <c r="A50" s="264"/>
      <c r="B50" s="221" t="s">
        <v>388</v>
      </c>
      <c r="C50" s="220"/>
      <c r="D50" s="306"/>
      <c r="E50" s="306"/>
      <c r="F50" s="266"/>
      <c r="G50" s="220"/>
      <c r="H50" s="265">
        <f>VLOOKUP($D$10,DT.NK!$B:$AZ,45,0)</f>
        <v>29.35</v>
      </c>
      <c r="I50" s="268"/>
      <c r="J50" s="221"/>
      <c r="K50" s="322"/>
      <c r="L50" s="271"/>
      <c r="M50" s="323"/>
      <c r="N50" s="213"/>
      <c r="O50" s="213"/>
    </row>
    <row r="51" spans="1:15" s="214" customFormat="1" ht="15" customHeight="1">
      <c r="A51" s="258"/>
      <c r="B51" s="230" t="s">
        <v>879</v>
      </c>
      <c r="C51" s="259"/>
      <c r="D51" s="237"/>
      <c r="E51" s="237"/>
      <c r="F51" s="269"/>
      <c r="G51" s="237"/>
      <c r="H51" s="661">
        <f>-(H50-$F$16)</f>
        <v>-29.703000000000003</v>
      </c>
      <c r="I51" s="237"/>
      <c r="J51" s="230"/>
      <c r="K51" s="322"/>
      <c r="L51" s="271"/>
      <c r="M51" s="323"/>
      <c r="N51" s="213"/>
      <c r="O51" s="213"/>
    </row>
    <row r="52" spans="1:15" s="214" customFormat="1" ht="15" customHeight="1">
      <c r="A52" s="270" t="s">
        <v>173</v>
      </c>
      <c r="B52" s="257" t="s">
        <v>1190</v>
      </c>
      <c r="C52" s="254"/>
      <c r="D52" s="254"/>
      <c r="E52" s="243" t="s">
        <v>359</v>
      </c>
      <c r="F52" s="301">
        <f>VLOOKUP($D$10,DT.NK!$B:$AZ,46,0)</f>
        <v>0.83333333333333293</v>
      </c>
      <c r="G52" s="255">
        <f>VLOOKUP($D$10,DT.NK!$B:$AZ,47,0)</f>
        <v>42466</v>
      </c>
      <c r="H52" s="260" t="s">
        <v>351</v>
      </c>
      <c r="I52" s="219">
        <f>VLOOKUP($D$10,DT.NK!$B:$AZ,48,0)</f>
        <v>0.87499999999999956</v>
      </c>
      <c r="J52" s="315">
        <f>VLOOKUP($D$10,DT.NK!$B:$AZ,49,0)</f>
        <v>42466</v>
      </c>
      <c r="K52" s="324"/>
      <c r="L52" s="260"/>
      <c r="M52" s="325"/>
      <c r="N52" s="213"/>
      <c r="O52" s="213"/>
    </row>
    <row r="53" spans="1:15" s="214" customFormat="1" ht="15" customHeight="1">
      <c r="A53" s="272"/>
      <c r="B53" s="220" t="s">
        <v>402</v>
      </c>
      <c r="C53" s="220"/>
      <c r="D53" s="220"/>
      <c r="E53" s="271"/>
      <c r="F53" s="677">
        <f>VLOOKUP($D$10,DT.NK!$B:$AZ,50,0)</f>
        <v>0</v>
      </c>
      <c r="G53" s="1266" t="s">
        <v>484</v>
      </c>
      <c r="H53" s="1266"/>
      <c r="I53" s="1266"/>
      <c r="J53" s="676">
        <f>-(F53-$F$16)</f>
        <v>-0.35299999999999998</v>
      </c>
      <c r="K53" s="322"/>
      <c r="L53" s="271"/>
      <c r="M53" s="323"/>
      <c r="N53" s="213"/>
      <c r="O53" s="250"/>
    </row>
    <row r="54" spans="1:15" s="214" customFormat="1" ht="15" customHeight="1">
      <c r="A54" s="272"/>
      <c r="B54" s="220"/>
      <c r="C54" s="220"/>
      <c r="D54" s="220"/>
      <c r="E54" s="306"/>
      <c r="F54" s="273"/>
      <c r="G54" s="1266"/>
      <c r="H54" s="1266"/>
      <c r="I54" s="1266"/>
      <c r="K54" s="322"/>
      <c r="L54" s="271"/>
      <c r="M54" s="323"/>
      <c r="N54" s="213"/>
      <c r="O54" s="213"/>
    </row>
    <row r="55" spans="1:15" s="214" customFormat="1" ht="15" customHeight="1">
      <c r="A55" s="272"/>
      <c r="B55" s="220" t="s">
        <v>398</v>
      </c>
      <c r="C55" s="220"/>
      <c r="D55" s="306"/>
      <c r="E55" s="306"/>
      <c r="F55" s="273">
        <f>VLOOKUP($D$10,DT.NK!$B:$AZ,51,0)</f>
        <v>18</v>
      </c>
      <c r="G55" s="223" t="s">
        <v>470</v>
      </c>
      <c r="H55" s="306"/>
      <c r="I55" s="274"/>
      <c r="J55" s="316">
        <f>(R4+1-H51)*3.14*(R3/2000)^2</f>
        <v>11.405987200000004</v>
      </c>
      <c r="K55" s="322"/>
      <c r="L55" s="271"/>
      <c r="M55" s="323"/>
      <c r="N55" s="213"/>
      <c r="O55" s="213"/>
    </row>
    <row r="56" spans="1:15" s="209" customFormat="1" ht="15.75" customHeight="1" thickBot="1">
      <c r="A56" s="276"/>
      <c r="B56" s="277"/>
      <c r="C56" s="278"/>
      <c r="D56" s="278"/>
      <c r="E56" s="280"/>
      <c r="F56" s="309"/>
      <c r="G56" s="279"/>
      <c r="H56" s="280"/>
      <c r="I56" s="281"/>
      <c r="J56" s="317"/>
      <c r="K56" s="328"/>
      <c r="L56" s="571"/>
      <c r="M56" s="329"/>
      <c r="N56" s="208"/>
      <c r="O56" s="208"/>
    </row>
    <row r="57" spans="1:15" s="209" customFormat="1" ht="6" customHeight="1" thickTop="1">
      <c r="B57" s="1262"/>
      <c r="C57" s="1262"/>
      <c r="D57" s="1262"/>
      <c r="E57" s="1262"/>
      <c r="F57" s="282"/>
      <c r="G57" s="282"/>
      <c r="H57" s="1262"/>
      <c r="I57" s="1262"/>
      <c r="J57" s="1262"/>
      <c r="K57" s="1262"/>
      <c r="L57" s="555"/>
    </row>
    <row r="58" spans="1:15">
      <c r="B58" s="574" t="s">
        <v>820</v>
      </c>
      <c r="C58" s="574"/>
      <c r="D58" s="574"/>
      <c r="E58" s="574"/>
      <c r="F58" s="574" t="s">
        <v>186</v>
      </c>
      <c r="G58" s="283"/>
      <c r="I58" s="573"/>
      <c r="J58" s="573" t="s">
        <v>5</v>
      </c>
      <c r="K58" s="573"/>
      <c r="L58" s="573"/>
      <c r="M58" s="573"/>
    </row>
    <row r="59" spans="1:15" s="209" customFormat="1" ht="18.75" customHeight="1"/>
    <row r="60" spans="1:15">
      <c r="K60" s="316">
        <f>(R4-H51)*3.14*(R3/2000)^2+3.14*((R3+100)/2000)^2</f>
        <v>11.539437200000004</v>
      </c>
    </row>
  </sheetData>
  <mergeCells count="43">
    <mergeCell ref="G38:H38"/>
    <mergeCell ref="B57:E57"/>
    <mergeCell ref="H57:K57"/>
    <mergeCell ref="C37:D37"/>
    <mergeCell ref="E37:F37"/>
    <mergeCell ref="G37:H37"/>
    <mergeCell ref="B44:C44"/>
    <mergeCell ref="G53:I54"/>
    <mergeCell ref="C38:D38"/>
    <mergeCell ref="E38:F38"/>
    <mergeCell ref="C36:D36"/>
    <mergeCell ref="E36:F36"/>
    <mergeCell ref="G36:H36"/>
    <mergeCell ref="C35:D35"/>
    <mergeCell ref="E35:F35"/>
    <mergeCell ref="B34:B35"/>
    <mergeCell ref="C32:D32"/>
    <mergeCell ref="E32:F32"/>
    <mergeCell ref="G32:H32"/>
    <mergeCell ref="I32:J32"/>
    <mergeCell ref="C34:D34"/>
    <mergeCell ref="E34:F34"/>
    <mergeCell ref="G34:H35"/>
    <mergeCell ref="C33:D33"/>
    <mergeCell ref="E33:F33"/>
    <mergeCell ref="G33:H33"/>
    <mergeCell ref="B31:C31"/>
    <mergeCell ref="F14:G14"/>
    <mergeCell ref="F15:G15"/>
    <mergeCell ref="B18:C18"/>
    <mergeCell ref="G16:I17"/>
    <mergeCell ref="H1:M1"/>
    <mergeCell ref="H2:M2"/>
    <mergeCell ref="H3:M3"/>
    <mergeCell ref="A1:G2"/>
    <mergeCell ref="A11:A12"/>
    <mergeCell ref="B11:C12"/>
    <mergeCell ref="A4:M4"/>
    <mergeCell ref="K5:M5"/>
    <mergeCell ref="D5:J6"/>
    <mergeCell ref="K6:K10"/>
    <mergeCell ref="L6:L10"/>
    <mergeCell ref="M6:M10"/>
  </mergeCells>
  <phoneticPr fontId="0" type="noConversion"/>
  <pageMargins left="0.74803149606299213" right="0.27559055118110237" top="0.39370078740157483" bottom="0.31496062992125984" header="0.23622047244094491" footer="0.19685039370078741"/>
  <pageSetup paperSize="9" scale="92" orientation="portrait" r:id="rId1"/>
  <headerFooter alignWithMargins="0"/>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DT.NK!$B$13:$B$228</xm:f>
          </x14:formula1>
          <xm:sqref>R2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view="pageBreakPreview" topLeftCell="A16" zoomScale="115" zoomScaleNormal="115" zoomScaleSheetLayoutView="115" workbookViewId="0">
      <selection activeCell="G32" sqref="G32"/>
    </sheetView>
  </sheetViews>
  <sheetFormatPr defaultRowHeight="13.5" customHeight="1"/>
  <cols>
    <col min="1" max="1" width="10" style="334" customWidth="1"/>
    <col min="2" max="2" width="10.85546875" style="334" customWidth="1"/>
    <col min="3" max="3" width="9.140625" style="334"/>
    <col min="4" max="4" width="11.5703125" style="334" customWidth="1"/>
    <col min="5" max="5" width="12.7109375" style="334" customWidth="1"/>
    <col min="6" max="6" width="18.28515625" style="334" customWidth="1"/>
    <col min="7" max="7" width="25.140625" style="334" customWidth="1"/>
    <col min="8" max="8" width="17" style="190" customWidth="1"/>
    <col min="9" max="9" width="15.5703125" style="190" customWidth="1"/>
    <col min="10" max="15" width="9.7109375" style="190" customWidth="1"/>
    <col min="16" max="16" width="11.140625" style="190" customWidth="1"/>
    <col min="17" max="23" width="10.7109375" style="190" customWidth="1"/>
    <col min="24" max="25" width="12.7109375" style="190" customWidth="1"/>
    <col min="26" max="26" width="14.7109375" style="190" customWidth="1"/>
    <col min="27" max="27" width="9.5703125" style="334" customWidth="1"/>
    <col min="28" max="28" width="9.140625" style="334"/>
    <col min="29" max="29" width="8.42578125" style="334" customWidth="1"/>
    <col min="30" max="30" width="9.140625" style="334"/>
    <col min="31" max="31" width="15.140625" style="357" customWidth="1"/>
    <col min="32" max="32" width="10" style="334" customWidth="1"/>
    <col min="33" max="33" width="20.28515625" style="334" customWidth="1"/>
    <col min="34" max="16384" width="9.140625" style="334"/>
  </cols>
  <sheetData>
    <row r="1" spans="1:34" ht="15.75">
      <c r="A1" s="330"/>
      <c r="B1" s="331"/>
      <c r="C1" s="332"/>
      <c r="D1" s="331"/>
      <c r="E1" s="331"/>
      <c r="F1" s="332"/>
      <c r="G1" s="333"/>
      <c r="H1" s="193"/>
      <c r="I1" s="193"/>
      <c r="J1" s="193"/>
      <c r="K1" s="193"/>
      <c r="L1" s="193"/>
      <c r="M1" s="193"/>
      <c r="N1" s="193"/>
      <c r="O1" s="193"/>
      <c r="P1" s="193"/>
      <c r="Q1" s="193"/>
      <c r="R1" s="193"/>
      <c r="S1" s="193"/>
      <c r="T1" s="193"/>
      <c r="U1" s="193"/>
      <c r="V1" s="193"/>
      <c r="W1" s="193"/>
      <c r="X1" s="193"/>
      <c r="Y1" s="193"/>
      <c r="Z1" s="193"/>
      <c r="AB1" s="334" t="s">
        <v>828</v>
      </c>
      <c r="AC1" s="553">
        <f>'2. NK'!H30</f>
        <v>-29.703000000000003</v>
      </c>
      <c r="AE1" s="357" t="s">
        <v>856</v>
      </c>
      <c r="AF1" s="347">
        <f>'2. NK'!H24</f>
        <v>-22.653000000000002</v>
      </c>
      <c r="AG1" s="334" t="s">
        <v>830</v>
      </c>
      <c r="AH1" s="334">
        <f>MAX(AG5:AG16)</f>
        <v>6</v>
      </c>
    </row>
    <row r="2" spans="1:34" ht="18.75">
      <c r="A2" s="335"/>
      <c r="B2" s="336"/>
      <c r="C2" s="336" t="s">
        <v>11</v>
      </c>
      <c r="D2" s="336"/>
      <c r="E2" s="336"/>
      <c r="F2" s="336"/>
      <c r="G2" s="337" t="str">
        <f>'2. NK'!D10</f>
        <v>B1</v>
      </c>
      <c r="H2" s="790"/>
      <c r="I2" s="790"/>
      <c r="J2" s="790"/>
      <c r="K2" s="790"/>
      <c r="L2" s="790"/>
      <c r="M2" s="790"/>
      <c r="N2" s="790"/>
      <c r="O2" s="790"/>
      <c r="P2" s="790"/>
      <c r="Q2" s="790"/>
      <c r="R2" s="790" t="s">
        <v>1132</v>
      </c>
      <c r="S2" s="790"/>
      <c r="T2" s="790"/>
      <c r="U2" s="790"/>
      <c r="V2" s="790"/>
      <c r="W2" s="790"/>
      <c r="X2" s="790"/>
      <c r="Y2" s="790"/>
      <c r="Z2" s="790"/>
      <c r="AA2" s="549"/>
      <c r="AB2" s="334" t="s">
        <v>821</v>
      </c>
      <c r="AD2" s="334" t="str">
        <f>VLOOKUP(G2,'Thong tin'!$A:$R,16,0)</f>
        <v>HK36</v>
      </c>
    </row>
    <row r="3" spans="1:34" ht="18.75">
      <c r="A3" s="338"/>
      <c r="B3" s="339"/>
      <c r="C3" s="1374" t="s">
        <v>12</v>
      </c>
      <c r="D3" s="1374"/>
      <c r="E3" s="1374"/>
      <c r="F3" s="547">
        <f>'2. NK'!F11</f>
        <v>0.375</v>
      </c>
      <c r="G3" s="548">
        <f>'2. NK'!J11</f>
        <v>42466</v>
      </c>
      <c r="H3" s="791"/>
      <c r="I3" s="791"/>
      <c r="J3" s="791"/>
      <c r="K3" s="791"/>
      <c r="L3" s="791"/>
      <c r="M3" s="791"/>
      <c r="N3" s="791"/>
      <c r="O3" s="791"/>
      <c r="P3" s="791"/>
      <c r="Q3" s="791"/>
      <c r="R3" s="791"/>
      <c r="S3" s="791"/>
      <c r="T3" s="791"/>
      <c r="U3" s="791"/>
      <c r="V3" s="791"/>
      <c r="W3" s="791"/>
      <c r="X3" s="791"/>
      <c r="Y3" s="791"/>
      <c r="Z3" s="791"/>
      <c r="AA3" s="549"/>
      <c r="AC3" s="342">
        <f>IF(AD3=0,"",COUNTA($AD$3:AD3))</f>
        <v>1</v>
      </c>
      <c r="AD3" s="620">
        <f>VLOOKUP($AD$2,'Dia chat'!$E:$AI,2,0)</f>
        <v>1</v>
      </c>
      <c r="AE3" s="621">
        <f>VLOOKUP($AD$2,'Dia chat'!$E:$AE,3,0)</f>
        <v>0</v>
      </c>
      <c r="AF3" s="334" t="str">
        <f>VLOOKUP(AD3,'Dia chat'!$A$3:$C$9,2,0)</f>
        <v>Đất lấp: Sét pha, lẫn gạch vụn, đá tảng.</v>
      </c>
    </row>
    <row r="4" spans="1:34" ht="18.75">
      <c r="A4" s="338"/>
      <c r="B4" s="339"/>
      <c r="C4" s="1374" t="s">
        <v>352</v>
      </c>
      <c r="D4" s="1374"/>
      <c r="E4" s="1374"/>
      <c r="F4" s="557">
        <f>'2. NK'!H25</f>
        <v>0.67013888888888884</v>
      </c>
      <c r="G4" s="558">
        <f>'2. NK'!J25</f>
        <v>42466</v>
      </c>
      <c r="H4" s="792"/>
      <c r="I4" s="792"/>
      <c r="J4" s="792"/>
      <c r="K4" s="792"/>
      <c r="L4" s="792"/>
      <c r="M4" s="792"/>
      <c r="N4" s="792"/>
      <c r="O4" s="792"/>
      <c r="P4" s="792"/>
      <c r="Q4" s="792"/>
      <c r="R4" s="792"/>
      <c r="S4" s="792"/>
      <c r="T4" s="792"/>
      <c r="U4" s="792"/>
      <c r="V4" s="792"/>
      <c r="W4" s="792"/>
      <c r="X4" s="792"/>
      <c r="Y4" s="792"/>
      <c r="Z4" s="792"/>
      <c r="AA4" s="549"/>
      <c r="AC4" s="342">
        <f>IF(AD4=0,"",COUNTA($AD$3:AD4))</f>
        <v>2</v>
      </c>
      <c r="AD4" s="620">
        <f>VLOOKUP($AD$2,'Dia chat'!$E:$AI,4,0)</f>
        <v>2</v>
      </c>
      <c r="AE4" s="621">
        <f>VLOOKUP($AD$2,'Dia chat'!$E:$AE,5,0)</f>
        <v>-1.75</v>
      </c>
      <c r="AF4" s="334" t="str">
        <f>VLOOKUP(AD4,'Dia chat'!$A$3:$C$9,2,0)</f>
        <v>Sét pha lẫn sạn, màu nâu đỏ, xám vàng, trạng thái dẻo cứng</v>
      </c>
    </row>
    <row r="5" spans="1:34" ht="15.75">
      <c r="A5" s="335"/>
      <c r="B5" s="340"/>
      <c r="C5" s="1375" t="s">
        <v>14</v>
      </c>
      <c r="D5" s="1375"/>
      <c r="E5" s="1375"/>
      <c r="F5" s="559">
        <f>'[5]2. NK'!H9</f>
        <v>1200</v>
      </c>
      <c r="G5" s="664">
        <f>'2. NK'!F16</f>
        <v>-0.35299999999999998</v>
      </c>
      <c r="H5" s="793"/>
      <c r="I5" s="793"/>
      <c r="J5" s="793"/>
      <c r="K5" s="793"/>
      <c r="L5" s="793"/>
      <c r="M5" s="793"/>
      <c r="N5" s="793"/>
      <c r="O5" s="793"/>
      <c r="P5" s="793"/>
      <c r="Q5" s="793"/>
      <c r="R5" s="793"/>
      <c r="S5" s="793"/>
      <c r="T5" s="793"/>
      <c r="U5" s="793"/>
      <c r="V5" s="793"/>
      <c r="W5" s="793"/>
      <c r="X5" s="793"/>
      <c r="Y5" s="793"/>
      <c r="Z5" s="793"/>
      <c r="AA5" s="549">
        <f>IF(AC5&lt;$AC$17,AB5,"")</f>
        <v>3</v>
      </c>
      <c r="AB5" s="334">
        <f>IF($AC$1&lt;AE5,AC5,0)</f>
        <v>3</v>
      </c>
      <c r="AC5" s="342">
        <f>IF(AD5=0,"",COUNTA($AD$3:AD5))</f>
        <v>3</v>
      </c>
      <c r="AD5" s="620">
        <f>VLOOKUP($AD$2,'Dia chat'!$E:$AI,6,0)</f>
        <v>3</v>
      </c>
      <c r="AE5" s="621">
        <f>VLOOKUP($AD$2,'Dia chat'!$E:$AE,7,0)</f>
        <v>-14.25</v>
      </c>
      <c r="AF5" s="334" t="str">
        <f>VLOOKUP(AD5,'Dia chat'!$A$3:$C$9,2,0)</f>
        <v>Đá dăm lẫn sét pha (Đá vôi phong hóa mạnh đến hoàn toàn)</v>
      </c>
      <c r="AG5" s="334">
        <f>IF($AF$1&lt;AE5,AC5,0)</f>
        <v>3</v>
      </c>
    </row>
    <row r="6" spans="1:34" ht="15.75">
      <c r="A6" s="1369" t="s">
        <v>7</v>
      </c>
      <c r="B6" s="1348" t="s">
        <v>355</v>
      </c>
      <c r="C6" s="1348" t="s">
        <v>8</v>
      </c>
      <c r="D6" s="1348" t="s">
        <v>9</v>
      </c>
      <c r="E6" s="1348" t="str">
        <f>AN20</f>
        <v>Chiều sâu ( m) tính từ đỉnh sing</v>
      </c>
      <c r="F6" s="1362" t="s">
        <v>10</v>
      </c>
      <c r="G6" s="560"/>
      <c r="H6" s="794"/>
      <c r="I6" s="794"/>
      <c r="J6" s="794"/>
      <c r="K6" s="794"/>
      <c r="L6" s="794"/>
      <c r="M6" s="794"/>
      <c r="N6" s="794"/>
      <c r="O6" s="794"/>
      <c r="P6" s="794"/>
      <c r="Q6" s="794"/>
      <c r="R6" s="794"/>
      <c r="S6" s="794"/>
      <c r="T6" s="794"/>
      <c r="U6" s="794"/>
      <c r="V6" s="794"/>
      <c r="W6" s="794"/>
      <c r="X6" s="794"/>
      <c r="Y6" s="794"/>
      <c r="Z6" s="794"/>
      <c r="AA6" s="549">
        <f t="shared" ref="AA6:AA15" si="0">IF(AC6&lt;$AC$17,AB6,"")</f>
        <v>4</v>
      </c>
      <c r="AB6" s="334">
        <f t="shared" ref="AB6:AB16" si="1">IF($AC$1&lt;AE6,AC6,0)</f>
        <v>4</v>
      </c>
      <c r="AC6" s="342">
        <f>IF(AD6=0,"",COUNTA($AD$3:AD6))</f>
        <v>4</v>
      </c>
      <c r="AD6" s="620" t="str">
        <f>VLOOKUP($AD$2,'Dia chat'!$E:$AI,8,0)</f>
        <v>4a</v>
      </c>
      <c r="AE6" s="621">
        <f>VLOOKUP($AD$2,'Dia chat'!$E:$AE,9,0)</f>
        <v>-17.850000000000001</v>
      </c>
      <c r="AF6" s="334" t="str">
        <f>VLOOKUP(AD6,'Dia chat'!$A$3:$C$9,2,0)</f>
        <v>Đá vôi màu xám nâu, xám xanh, phong hóa nứt nẻ, dập vỡ mạnh, háng hốc Karst</v>
      </c>
      <c r="AG6" s="334">
        <f t="shared" ref="AG6:AG15" si="2">IF($AF$1&lt;AE6,AC6,0)</f>
        <v>4</v>
      </c>
    </row>
    <row r="7" spans="1:34" ht="13.5" customHeight="1">
      <c r="A7" s="1370"/>
      <c r="B7" s="1349"/>
      <c r="C7" s="1349"/>
      <c r="D7" s="1349"/>
      <c r="E7" s="1349"/>
      <c r="F7" s="1363"/>
      <c r="G7" s="663">
        <f>'2. NK'!J16</f>
        <v>-0.71699999999999997</v>
      </c>
      <c r="H7" s="795"/>
      <c r="I7" s="802"/>
      <c r="J7" s="802"/>
      <c r="K7" s="802"/>
      <c r="L7" s="802"/>
      <c r="M7" s="802"/>
      <c r="N7" s="802"/>
      <c r="O7" s="802"/>
      <c r="P7" s="802"/>
      <c r="Q7" s="802"/>
      <c r="R7" s="802"/>
      <c r="S7" s="802"/>
      <c r="T7" s="802"/>
      <c r="U7" s="802"/>
      <c r="V7" s="802"/>
      <c r="W7" s="802"/>
      <c r="X7" s="795"/>
      <c r="Y7" s="795"/>
      <c r="Z7" s="795"/>
      <c r="AA7" s="549">
        <f t="shared" si="0"/>
        <v>5</v>
      </c>
      <c r="AB7" s="334">
        <f t="shared" si="1"/>
        <v>5</v>
      </c>
      <c r="AC7" s="342">
        <f>IF(AD7=0,"",COUNTA($AD$3:AD7))</f>
        <v>5</v>
      </c>
      <c r="AD7" s="620" t="str">
        <f>VLOOKUP($AD$2,'Dia chat'!$E:$AI,10,0)</f>
        <v>H</v>
      </c>
      <c r="AE7" s="621">
        <f>VLOOKUP($AD$2,'Dia chat'!$E:$AE,11,0)</f>
        <v>-20.05</v>
      </c>
      <c r="AF7" s="334" t="str">
        <f>VLOOKUP(AD7,'Dia chat'!$A$3:$C$9,2,0)</f>
        <v>Hạng Karst chứa sét pha</v>
      </c>
      <c r="AG7" s="334">
        <f t="shared" si="2"/>
        <v>5</v>
      </c>
    </row>
    <row r="8" spans="1:34" ht="15.75">
      <c r="A8" s="1371"/>
      <c r="B8" s="1350"/>
      <c r="C8" s="1350"/>
      <c r="D8" s="1350"/>
      <c r="E8" s="1350"/>
      <c r="F8" s="1364"/>
      <c r="G8" s="561"/>
      <c r="H8" s="796"/>
      <c r="I8" s="796"/>
      <c r="J8" s="796"/>
      <c r="K8" s="796"/>
      <c r="L8" s="796"/>
      <c r="M8" s="796"/>
      <c r="N8" s="796"/>
      <c r="O8" s="796"/>
      <c r="P8" s="796"/>
      <c r="Q8" s="796"/>
      <c r="R8" s="796"/>
      <c r="S8" s="796"/>
      <c r="T8" s="796"/>
      <c r="U8" s="796"/>
      <c r="V8" s="796"/>
      <c r="W8" s="796"/>
      <c r="X8" s="796"/>
      <c r="Y8" s="796"/>
      <c r="Z8" s="796"/>
      <c r="AA8" s="549">
        <f t="shared" si="0"/>
        <v>6</v>
      </c>
      <c r="AB8" s="334">
        <f t="shared" si="1"/>
        <v>6</v>
      </c>
      <c r="AC8" s="342">
        <f>IF(AD8=0,"",COUNTA($AD$3:AD8))</f>
        <v>6</v>
      </c>
      <c r="AD8" s="620" t="str">
        <f>VLOOKUP($AD$2,'Dia chat'!$E:$AI,12,0)</f>
        <v>4a</v>
      </c>
      <c r="AE8" s="621">
        <f>VLOOKUP($AD$2,'Dia chat'!$E:$AE,13,0)</f>
        <v>-20.55</v>
      </c>
      <c r="AF8" s="334" t="str">
        <f>VLOOKUP(AD8,'Dia chat'!$A$3:$C$9,2,0)</f>
        <v>Đá vôi màu xám nâu, xám xanh, phong hóa nứt nẻ, dập vỡ mạnh, háng hốc Karst</v>
      </c>
      <c r="AG8" s="334">
        <f t="shared" si="2"/>
        <v>6</v>
      </c>
    </row>
    <row r="9" spans="1:34" ht="13.5" customHeight="1">
      <c r="A9" s="1365">
        <f>AC3</f>
        <v>1</v>
      </c>
      <c r="B9" s="667">
        <f>G7</f>
        <v>-0.71699999999999997</v>
      </c>
      <c r="C9" s="622"/>
      <c r="D9" s="1367">
        <f>B9-B10</f>
        <v>4.3470000000000004</v>
      </c>
      <c r="E9" s="1367">
        <f>G5-B10</f>
        <v>4.7110000000000003</v>
      </c>
      <c r="F9" s="1372" t="str">
        <f>AF3</f>
        <v>Đất lấp: Sét pha, lẫn gạch vụn, đá tảng.</v>
      </c>
      <c r="G9" s="341"/>
      <c r="H9" s="193"/>
      <c r="I9" s="790" t="s">
        <v>937</v>
      </c>
      <c r="J9" s="803">
        <f>G7</f>
        <v>-0.71699999999999997</v>
      </c>
      <c r="K9" s="193"/>
      <c r="L9" s="193"/>
      <c r="M9" s="193"/>
      <c r="N9" s="193"/>
      <c r="O9" s="193"/>
      <c r="P9" s="193"/>
      <c r="Q9" s="193"/>
      <c r="R9" s="193"/>
      <c r="S9" s="193"/>
      <c r="T9" s="193"/>
      <c r="U9" s="193"/>
      <c r="V9" s="193"/>
      <c r="W9" s="193"/>
      <c r="X9" s="193"/>
      <c r="Y9" s="193"/>
      <c r="Z9" s="193"/>
      <c r="AA9" s="549" t="str">
        <f t="shared" si="0"/>
        <v/>
      </c>
      <c r="AB9" s="334">
        <f t="shared" si="1"/>
        <v>7</v>
      </c>
      <c r="AC9" s="342">
        <f>IF(AD9=0,"",COUNTA($AD$3:AD9))</f>
        <v>7</v>
      </c>
      <c r="AD9" s="620" t="str">
        <f>VLOOKUP($AD$2,'Dia chat'!$E:$AI,14,0)</f>
        <v>4b</v>
      </c>
      <c r="AE9" s="621">
        <f>VLOOKUP($AD$2,'Dia chat'!$E:$AE,15,0)</f>
        <v>-23.56</v>
      </c>
      <c r="AF9" s="334" t="str">
        <f>VLOOKUP(AD9,'Dia chat'!$A$3:$C$9,2,0)</f>
        <v>Đá vôi màu xám xanh, xám đen, nâu hồng, phong hóa nứt nẻ, dập vỡ mạnh, khe nứt lấp nhét, sét pha, đá cứng chắc.</v>
      </c>
      <c r="AG9" s="334">
        <f t="shared" si="2"/>
        <v>0</v>
      </c>
    </row>
    <row r="10" spans="1:34" ht="15.75">
      <c r="A10" s="1366"/>
      <c r="B10" s="668">
        <f>J17</f>
        <v>-5.0640000000000001</v>
      </c>
      <c r="C10" s="622"/>
      <c r="D10" s="1368"/>
      <c r="E10" s="1368"/>
      <c r="F10" s="1373"/>
      <c r="G10" s="341"/>
      <c r="H10" s="193"/>
      <c r="M10" s="193"/>
      <c r="N10" s="193"/>
      <c r="O10" s="193"/>
      <c r="P10" s="193"/>
      <c r="Q10" s="193"/>
      <c r="R10" s="193"/>
      <c r="S10" s="193"/>
      <c r="T10" s="193"/>
      <c r="U10" s="193"/>
      <c r="V10" s="193"/>
      <c r="W10" s="193"/>
      <c r="X10" s="193"/>
      <c r="Y10" s="193"/>
      <c r="Z10" s="193"/>
      <c r="AA10" s="549" t="str">
        <f t="shared" si="0"/>
        <v/>
      </c>
      <c r="AB10" s="334" t="str">
        <f t="shared" si="1"/>
        <v/>
      </c>
      <c r="AC10" s="342" t="str">
        <f>IF(AD10=0,"",COUNTA($AD$3:AD10))</f>
        <v/>
      </c>
      <c r="AD10" s="620">
        <f>VLOOKUP($AD$2,'Dia chat'!$E:$AI,16,0)</f>
        <v>0</v>
      </c>
      <c r="AE10" s="621">
        <f>VLOOKUP($AD$2,'Dia chat'!$E:$AE,17,0)</f>
        <v>0</v>
      </c>
      <c r="AF10" s="334" t="e">
        <f>VLOOKUP(AD10,'Dia chat'!$A$3:$C$9,2,0)</f>
        <v>#N/A</v>
      </c>
      <c r="AG10" s="334" t="str">
        <f t="shared" si="2"/>
        <v/>
      </c>
    </row>
    <row r="11" spans="1:34" ht="15.75">
      <c r="A11" s="1365">
        <f>AC4</f>
        <v>2</v>
      </c>
      <c r="B11" s="1380">
        <f>B10</f>
        <v>-5.0640000000000001</v>
      </c>
      <c r="C11" s="1377">
        <v>2</v>
      </c>
      <c r="D11" s="1367">
        <f>B11-B13</f>
        <v>17.588999999999999</v>
      </c>
      <c r="E11" s="1367">
        <f>G5-B13</f>
        <v>22.299999999999997</v>
      </c>
      <c r="F11" s="1372" t="str">
        <f>AF4</f>
        <v>Sét pha lẫn sạn, màu nâu đỏ, xám vàng, trạng thái dẻo cứng</v>
      </c>
      <c r="G11" s="341"/>
      <c r="H11" s="193"/>
      <c r="M11" s="193"/>
      <c r="N11" s="193"/>
      <c r="O11" s="193"/>
      <c r="P11" s="193"/>
      <c r="Q11" s="193"/>
      <c r="R11" s="193"/>
      <c r="S11" s="193"/>
      <c r="T11" s="193"/>
      <c r="U11" s="193"/>
      <c r="V11" s="193"/>
      <c r="W11" s="193"/>
      <c r="X11" s="193"/>
      <c r="Y11" s="193"/>
      <c r="Z11" s="193"/>
      <c r="AA11" s="549" t="str">
        <f t="shared" si="0"/>
        <v/>
      </c>
      <c r="AB11" s="334" t="str">
        <f t="shared" si="1"/>
        <v/>
      </c>
      <c r="AC11" s="342" t="str">
        <f>IF(AD11=0,"",COUNTA($AD$3:AD11))</f>
        <v/>
      </c>
      <c r="AD11" s="620">
        <f>VLOOKUP($AD$2,'Dia chat'!$E:$AI,18,0)</f>
        <v>0</v>
      </c>
      <c r="AE11" s="621">
        <f>VLOOKUP($AD$2,'Dia chat'!$E:$AE,19,0)</f>
        <v>0</v>
      </c>
      <c r="AF11" s="334" t="e">
        <f>VLOOKUP(AD11,'Dia chat'!$A$3:$C$9,2,0)</f>
        <v>#N/A</v>
      </c>
      <c r="AG11" s="334" t="str">
        <f t="shared" si="2"/>
        <v/>
      </c>
    </row>
    <row r="12" spans="1:34" ht="13.5" customHeight="1">
      <c r="A12" s="1382"/>
      <c r="B12" s="1381"/>
      <c r="C12" s="1378"/>
      <c r="D12" s="1376"/>
      <c r="E12" s="1376"/>
      <c r="F12" s="1385"/>
      <c r="G12" s="341"/>
      <c r="H12" s="193"/>
      <c r="I12" s="790"/>
      <c r="J12" s="193"/>
      <c r="K12" s="193"/>
      <c r="L12" s="193"/>
      <c r="M12" s="193"/>
      <c r="N12" s="193"/>
      <c r="O12" s="193"/>
      <c r="P12" s="193"/>
      <c r="Q12" s="193"/>
      <c r="R12" s="193"/>
      <c r="S12" s="193"/>
      <c r="T12" s="193"/>
      <c r="U12" s="193"/>
      <c r="V12" s="193"/>
      <c r="W12" s="193"/>
      <c r="X12" s="193"/>
      <c r="Y12" s="193"/>
      <c r="Z12" s="193"/>
      <c r="AA12" s="549" t="str">
        <f t="shared" si="0"/>
        <v/>
      </c>
      <c r="AB12" s="334" t="str">
        <f t="shared" si="1"/>
        <v/>
      </c>
      <c r="AC12" s="342" t="str">
        <f>IF(AD12=0,"",COUNTA($AD$3:AD12))</f>
        <v/>
      </c>
      <c r="AD12" s="620">
        <f>VLOOKUP($AD$2,'Dia chat'!$E:$AI,20,0)</f>
        <v>0</v>
      </c>
      <c r="AE12" s="621">
        <f>VLOOKUP($AD$2,'Dia chat'!$E:$AE,21,0)</f>
        <v>0</v>
      </c>
      <c r="AF12" s="334" t="e">
        <f>VLOOKUP(AD12,'Dia chat'!$A$3:$C$9,2,0)</f>
        <v>#N/A</v>
      </c>
      <c r="AG12" s="334" t="str">
        <f t="shared" si="2"/>
        <v/>
      </c>
    </row>
    <row r="13" spans="1:34" ht="13.5" customHeight="1">
      <c r="A13" s="1382"/>
      <c r="B13" s="1381">
        <f>J18</f>
        <v>-22.652999999999999</v>
      </c>
      <c r="C13" s="1378"/>
      <c r="D13" s="1376"/>
      <c r="E13" s="1376"/>
      <c r="F13" s="1385"/>
      <c r="G13" s="341"/>
      <c r="H13" s="193"/>
      <c r="I13" s="790"/>
      <c r="J13" s="193"/>
      <c r="K13" s="193"/>
      <c r="L13" s="193"/>
      <c r="M13" s="193"/>
      <c r="N13" s="193"/>
      <c r="O13" s="193"/>
      <c r="P13" s="193"/>
      <c r="Q13" s="193"/>
      <c r="R13" s="193"/>
      <c r="S13" s="193"/>
      <c r="T13" s="193"/>
      <c r="U13" s="193"/>
      <c r="V13" s="193"/>
      <c r="W13" s="193"/>
      <c r="X13" s="193"/>
      <c r="Y13" s="193"/>
      <c r="Z13" s="193"/>
      <c r="AA13" s="549" t="str">
        <f t="shared" si="0"/>
        <v/>
      </c>
      <c r="AB13" s="334" t="str">
        <f t="shared" si="1"/>
        <v/>
      </c>
      <c r="AC13" s="342" t="str">
        <f>IF(AD13=0,"",COUNTA($AD$3:AD13))</f>
        <v/>
      </c>
      <c r="AD13" s="620">
        <f>VLOOKUP($AD$2,'Dia chat'!$E:$AI,22,0)</f>
        <v>0</v>
      </c>
      <c r="AE13" s="621">
        <f>VLOOKUP($AD$2,'Dia chat'!$E:$AE,23,0)</f>
        <v>0</v>
      </c>
      <c r="AF13" s="334" t="e">
        <f>VLOOKUP(AD13,'Dia chat'!$A$3:$C$9,2,0)</f>
        <v>#N/A</v>
      </c>
      <c r="AG13" s="334" t="str">
        <f t="shared" si="2"/>
        <v/>
      </c>
    </row>
    <row r="14" spans="1:34" ht="13.5" customHeight="1">
      <c r="A14" s="1382"/>
      <c r="B14" s="1381"/>
      <c r="C14" s="1378"/>
      <c r="D14" s="1376"/>
      <c r="E14" s="1376"/>
      <c r="F14" s="1385"/>
      <c r="G14" s="341"/>
      <c r="H14" s="193"/>
      <c r="I14" s="790"/>
      <c r="J14" s="193"/>
      <c r="K14" s="193"/>
      <c r="L14" s="193"/>
      <c r="M14" s="193"/>
      <c r="N14" s="193"/>
      <c r="O14" s="193"/>
      <c r="P14" s="193"/>
      <c r="Q14" s="193"/>
      <c r="R14" s="193"/>
      <c r="S14" s="193"/>
      <c r="T14" s="193"/>
      <c r="U14" s="193"/>
      <c r="V14" s="193"/>
      <c r="W14" s="193"/>
      <c r="X14" s="193"/>
      <c r="Y14" s="193"/>
      <c r="Z14" s="193"/>
      <c r="AA14" s="549" t="str">
        <f t="shared" si="0"/>
        <v/>
      </c>
      <c r="AB14" s="334" t="str">
        <f t="shared" si="1"/>
        <v/>
      </c>
      <c r="AC14" s="342" t="str">
        <f>IF(AD14=0,"",COUNTA($AD$3:AD14))</f>
        <v/>
      </c>
      <c r="AD14" s="620">
        <f>VLOOKUP($AD$2,'Dia chat'!$E:$AI,24,0)</f>
        <v>0</v>
      </c>
      <c r="AE14" s="621">
        <f>VLOOKUP($AD$2,'Dia chat'!$E:$AE,25,0)</f>
        <v>0</v>
      </c>
      <c r="AF14" s="334" t="e">
        <f>VLOOKUP(AD14,'Dia chat'!$A$3:$C$9,2,0)</f>
        <v>#N/A</v>
      </c>
      <c r="AG14" s="334" t="str">
        <f t="shared" si="2"/>
        <v/>
      </c>
    </row>
    <row r="15" spans="1:34" ht="13.5" customHeight="1">
      <c r="A15" s="1382"/>
      <c r="B15" s="1381"/>
      <c r="C15" s="1378"/>
      <c r="D15" s="1376"/>
      <c r="E15" s="1376"/>
      <c r="F15" s="1385"/>
      <c r="G15" s="341"/>
      <c r="H15" s="193"/>
      <c r="I15" s="790"/>
      <c r="J15" s="193"/>
      <c r="K15" s="193"/>
      <c r="L15" s="193"/>
      <c r="M15" s="193"/>
      <c r="N15" s="193"/>
      <c r="O15" s="193"/>
      <c r="P15" s="193"/>
      <c r="Q15" s="193"/>
      <c r="R15" s="193"/>
      <c r="S15" s="193"/>
      <c r="T15" s="193"/>
      <c r="U15" s="193"/>
      <c r="V15" s="193"/>
      <c r="W15" s="193"/>
      <c r="X15" s="193"/>
      <c r="Y15" s="193"/>
      <c r="Z15" s="193"/>
      <c r="AA15" s="549" t="str">
        <f t="shared" si="0"/>
        <v/>
      </c>
      <c r="AB15" s="334" t="str">
        <f t="shared" si="1"/>
        <v/>
      </c>
      <c r="AC15" s="342" t="str">
        <f>IF(AD15=0,"",COUNTA($AD$3:AD15))</f>
        <v/>
      </c>
      <c r="AD15" s="620">
        <f>VLOOKUP($AD$2,'Dia chat'!$E:$AI,26,0)</f>
        <v>0</v>
      </c>
      <c r="AE15" s="621">
        <f>VLOOKUP($AD$2,'Dia chat'!$E:$AE,27,0)</f>
        <v>0</v>
      </c>
      <c r="AF15" s="334" t="e">
        <f>VLOOKUP(AD15,'Dia chat'!$A$3:$C$9,2,0)</f>
        <v>#N/A</v>
      </c>
      <c r="AG15" s="334" t="str">
        <f t="shared" si="2"/>
        <v/>
      </c>
    </row>
    <row r="16" spans="1:34" ht="13.5" customHeight="1">
      <c r="A16" s="1382"/>
      <c r="B16" s="1381"/>
      <c r="C16" s="1378"/>
      <c r="D16" s="1376"/>
      <c r="E16" s="1376"/>
      <c r="F16" s="1385"/>
      <c r="G16" s="341"/>
      <c r="H16" s="193"/>
      <c r="I16" s="790"/>
      <c r="J16" s="193"/>
      <c r="K16" s="554">
        <f>MAX(K17:K40)</f>
        <v>5</v>
      </c>
      <c r="L16" s="554"/>
      <c r="M16" s="193"/>
      <c r="N16" s="193"/>
      <c r="O16" s="193"/>
      <c r="P16" s="193"/>
      <c r="Q16" s="193"/>
      <c r="R16" s="193"/>
      <c r="S16" s="193"/>
      <c r="T16" s="193"/>
      <c r="U16" s="193"/>
      <c r="V16" s="193"/>
      <c r="W16" s="193"/>
      <c r="X16" s="193"/>
      <c r="Y16" s="193"/>
      <c r="Z16" s="193"/>
      <c r="AA16" s="549"/>
      <c r="AB16" s="334">
        <f t="shared" si="1"/>
        <v>0</v>
      </c>
      <c r="AC16" s="342"/>
      <c r="AD16" s="342"/>
      <c r="AE16" s="621"/>
    </row>
    <row r="17" spans="1:44" ht="13.5" customHeight="1">
      <c r="A17" s="1382"/>
      <c r="B17" s="1381"/>
      <c r="C17" s="1378"/>
      <c r="D17" s="1376"/>
      <c r="E17" s="1376"/>
      <c r="F17" s="1385"/>
      <c r="G17" s="341"/>
      <c r="H17" s="193"/>
      <c r="I17" s="811" t="s">
        <v>924</v>
      </c>
      <c r="J17" s="812">
        <f>VLOOKUP($G$2,'ĐT ĐC'!$B:$Z,2,0)</f>
        <v>-5.0640000000000001</v>
      </c>
      <c r="K17" s="813">
        <f>IF(J17=0,"",COUNTA($J$17:J17))</f>
        <v>1</v>
      </c>
      <c r="L17" s="813"/>
      <c r="M17" s="813"/>
      <c r="N17" s="813"/>
      <c r="O17" s="813"/>
      <c r="P17" s="193"/>
      <c r="Q17" s="193"/>
      <c r="R17" s="193"/>
      <c r="S17" s="193"/>
      <c r="T17" s="193"/>
      <c r="U17" s="193"/>
      <c r="V17" s="193"/>
      <c r="W17" s="193"/>
      <c r="X17" s="193"/>
      <c r="Y17" s="193"/>
      <c r="Z17" s="193"/>
      <c r="AA17" s="334" t="s">
        <v>829</v>
      </c>
      <c r="AC17" s="342">
        <f>MAX(AB3:AB16)</f>
        <v>7</v>
      </c>
      <c r="AD17" s="342"/>
      <c r="AE17" s="342">
        <f>VLOOKUP(AC17,AC3:AE15,3,0)</f>
        <v>-23.56</v>
      </c>
    </row>
    <row r="18" spans="1:44" ht="13.5" customHeight="1">
      <c r="A18" s="1366"/>
      <c r="B18" s="1383"/>
      <c r="C18" s="1379"/>
      <c r="D18" s="1368"/>
      <c r="E18" s="1368"/>
      <c r="F18" s="1373"/>
      <c r="G18" s="341"/>
      <c r="H18" s="193"/>
      <c r="I18" s="811" t="s">
        <v>925</v>
      </c>
      <c r="J18" s="812">
        <f>VLOOKUP($G$2,'ĐT ĐC'!$B:$Z,3,0)</f>
        <v>-22.652999999999999</v>
      </c>
      <c r="K18" s="813">
        <f>IF(J18=0,"",COUNTA($J$17:J18))</f>
        <v>2</v>
      </c>
      <c r="L18" s="813"/>
      <c r="M18" s="813"/>
      <c r="N18" s="813"/>
      <c r="O18" s="813"/>
      <c r="P18" s="193"/>
      <c r="Q18" s="193"/>
      <c r="R18" s="193"/>
      <c r="S18" s="193"/>
      <c r="T18" s="193"/>
      <c r="U18" s="193"/>
      <c r="V18" s="193"/>
      <c r="W18" s="193"/>
      <c r="X18" s="193"/>
      <c r="Y18" s="193"/>
      <c r="Z18" s="193"/>
      <c r="AB18" s="334" t="s">
        <v>831</v>
      </c>
      <c r="AC18" s="334" t="s">
        <v>832</v>
      </c>
      <c r="AD18" s="334" t="s">
        <v>833</v>
      </c>
      <c r="AE18" s="357" t="s">
        <v>834</v>
      </c>
      <c r="AF18" s="334" t="s">
        <v>835</v>
      </c>
      <c r="AG18" s="334" t="s">
        <v>58</v>
      </c>
      <c r="AH18" s="334" t="s">
        <v>836</v>
      </c>
      <c r="AI18" s="342" t="s">
        <v>837</v>
      </c>
      <c r="AJ18" s="342" t="s">
        <v>838</v>
      </c>
      <c r="AK18" s="553"/>
    </row>
    <row r="19" spans="1:44" ht="39.75" customHeight="1">
      <c r="A19" s="1357">
        <f>K19</f>
        <v>3</v>
      </c>
      <c r="B19" s="666">
        <f>B13</f>
        <v>-22.652999999999999</v>
      </c>
      <c r="C19" s="804" t="str">
        <f>M19</f>
        <v>4</v>
      </c>
      <c r="D19" s="1384">
        <f>IF(A19&lt;$K$16,B19-B20,B19-$B$40)</f>
        <v>0.36400000000000077</v>
      </c>
      <c r="E19" s="1384">
        <f>IF(A19&lt;$K$16,$G$5-B20,IF(A19=$K$16,$G$5-$B$40,""))</f>
        <v>22.663999999999998</v>
      </c>
      <c r="F19" s="1359" t="str">
        <f>IF(A19&lt;=$K$16,VLOOKUP(O19,$P$20:$Q$26,2,0),"")</f>
        <v>Đá vôi màu xám nâu, xám xanh, phong hóa nứt nẻ, dập vỡ mạnh, háng hốc Karst</v>
      </c>
      <c r="G19" s="343"/>
      <c r="H19" s="797"/>
      <c r="I19" s="814" t="s">
        <v>926</v>
      </c>
      <c r="J19" s="843">
        <f>IF(VLOOKUP($G$2,'ĐT ĐC'!$B:$Z,4,0)="",0,VLOOKUP($G$2,'ĐT ĐC'!$B:$Z,4,0))</f>
        <v>-23.016999999999999</v>
      </c>
      <c r="K19" s="813">
        <f>IF(J19=0,"",COUNTA($J$17:J19))</f>
        <v>3</v>
      </c>
      <c r="L19" s="813"/>
      <c r="M19" s="815" t="str">
        <f>N19</f>
        <v>4</v>
      </c>
      <c r="N19" s="815" t="str">
        <f>IF(O19="","",LEFT(O19,1))</f>
        <v>4</v>
      </c>
      <c r="O19" s="816" t="str">
        <f>IF(VLOOKUP($G$2,'ĐT ĐC'!$B:$Z,15,0)="","",VLOOKUP($G$2,'ĐT ĐC'!$B:$Z,15,0))</f>
        <v>4a</v>
      </c>
      <c r="P19" s="808" t="s">
        <v>735</v>
      </c>
      <c r="Q19" s="600" t="s">
        <v>736</v>
      </c>
      <c r="R19" s="600" t="s">
        <v>737</v>
      </c>
      <c r="S19" s="797"/>
      <c r="T19" s="797"/>
      <c r="U19" s="797"/>
      <c r="V19" s="797"/>
      <c r="W19" s="797"/>
      <c r="X19" s="797"/>
      <c r="Y19" s="797"/>
      <c r="Z19" s="797"/>
      <c r="AA19" s="627" t="s">
        <v>830</v>
      </c>
      <c r="AB19" s="342">
        <f>AH1</f>
        <v>6</v>
      </c>
      <c r="AC19" s="342">
        <f>IF($AC$17&gt;=AB19,AB19,"")</f>
        <v>6</v>
      </c>
      <c r="AD19" s="342" t="str">
        <f>VLOOKUP(AB19,$AC$5:$AF$15,2,0)</f>
        <v>4a</v>
      </c>
      <c r="AE19" s="621" t="str">
        <f>IF(AC19="","",LEFT(AD19,1))</f>
        <v>4</v>
      </c>
      <c r="AF19" s="628">
        <f>B13</f>
        <v>-22.652999999999999</v>
      </c>
      <c r="AG19" s="342" t="str">
        <f>IF(AC19="","",VLOOKUP(AC19,$AC$3:AF$15,4,0))</f>
        <v>Đá vôi màu xám nâu, xám xanh, phong hóa nứt nẻ, dập vỡ mạnh, háng hốc Karst</v>
      </c>
      <c r="AH19" s="629" t="str">
        <f>AE19</f>
        <v>4</v>
      </c>
      <c r="AI19" s="342">
        <f>IF(AC19&lt;$AC$17,AF19-AF20,IF(AC19=$AC$17,AF19-$AF$40,""))</f>
        <v>0.90700000000000003</v>
      </c>
      <c r="AJ19" s="342">
        <f>IF(AC19&lt;$AC$17,$G$7-AF20,IF(AC19=$AC$17,$G$7-$AF$40,""))</f>
        <v>22.843</v>
      </c>
      <c r="AK19" t="s">
        <v>886</v>
      </c>
      <c r="AL19"/>
      <c r="AM19"/>
      <c r="AN19"/>
    </row>
    <row r="20" spans="1:44" ht="36" customHeight="1">
      <c r="A20" s="1358"/>
      <c r="B20" s="806">
        <f>IF(A19&lt;$K$16,J19,"")</f>
        <v>-23.016999999999999</v>
      </c>
      <c r="C20" s="805" t="str">
        <f>C19</f>
        <v>4</v>
      </c>
      <c r="D20" s="1353"/>
      <c r="E20" s="1353"/>
      <c r="F20" s="1360"/>
      <c r="G20" s="343"/>
      <c r="H20" s="797"/>
      <c r="I20" s="811"/>
      <c r="J20" s="818"/>
      <c r="K20" s="813" t="str">
        <f>IF(J20=0,"",COUNTA($J$17:J20))</f>
        <v/>
      </c>
      <c r="L20" s="813"/>
      <c r="M20" s="815"/>
      <c r="N20" s="815" t="str">
        <f t="shared" ref="N20:N40" si="3">IF(O20="","",LEFT(O20,1))</f>
        <v/>
      </c>
      <c r="O20" s="816"/>
      <c r="P20" s="809">
        <v>1</v>
      </c>
      <c r="Q20" s="596" t="s">
        <v>738</v>
      </c>
      <c r="R20" s="597">
        <f>P20</f>
        <v>1</v>
      </c>
      <c r="S20" s="797"/>
      <c r="T20" s="797"/>
      <c r="U20" s="797"/>
      <c r="V20" s="797"/>
      <c r="W20" s="797"/>
      <c r="X20" s="797"/>
      <c r="Y20" s="797"/>
      <c r="Z20" s="797"/>
      <c r="AA20" s="627"/>
      <c r="AB20" s="342"/>
      <c r="AC20" s="342"/>
      <c r="AD20" s="342"/>
      <c r="AE20" s="621" t="str">
        <f t="shared" ref="AE20:AE38" si="4">IF(AC20="","",AD20)</f>
        <v/>
      </c>
      <c r="AF20" s="342">
        <f>AF21</f>
        <v>-23.56</v>
      </c>
      <c r="AG20" s="342"/>
      <c r="AH20" s="629"/>
      <c r="AI20" s="342"/>
      <c r="AJ20" s="342"/>
      <c r="AK20" t="s">
        <v>888</v>
      </c>
      <c r="AL20"/>
      <c r="AM20"/>
      <c r="AN20" s="1348" t="s">
        <v>889</v>
      </c>
      <c r="AR20" s="553"/>
    </row>
    <row r="21" spans="1:44" ht="21" customHeight="1">
      <c r="A21" s="1358">
        <f>K21</f>
        <v>4</v>
      </c>
      <c r="B21" s="665">
        <f>B20</f>
        <v>-23.016999999999999</v>
      </c>
      <c r="C21" s="805" t="str">
        <f>M21</f>
        <v>h</v>
      </c>
      <c r="D21" s="1353">
        <f>IF(A21&lt;$K$16,B21-B22,B21-$B$40)</f>
        <v>2.0470000000000006</v>
      </c>
      <c r="E21" s="1353">
        <f>IF(A21&lt;$K$16,$G$5-B22,IF(A21=$K$16,$G$5-$B$40,""))</f>
        <v>24.710999999999999</v>
      </c>
      <c r="F21" s="1352" t="str">
        <f>IF(A21&lt;=$K$16,VLOOKUP(O21,$P$20:$Q$26,2,0),"")</f>
        <v>Hạng Karst chứa sét pha</v>
      </c>
      <c r="G21" s="343"/>
      <c r="H21" s="797"/>
      <c r="I21" s="811" t="s">
        <v>927</v>
      </c>
      <c r="J21" s="818">
        <f>IF(VLOOKUP($G$2,'ĐT ĐC'!$B:$Z,5,0)="",0,VLOOKUP($G$2,'ĐT ĐC'!$B:$Z,5,0))</f>
        <v>-25.064</v>
      </c>
      <c r="K21" s="813">
        <f>IF(J21=0,"",COUNTA($J$17:J21))</f>
        <v>4</v>
      </c>
      <c r="L21" s="813"/>
      <c r="M21" s="815" t="str">
        <f>IF(N21="",M19,N21)</f>
        <v>h</v>
      </c>
      <c r="N21" s="815" t="str">
        <f t="shared" si="3"/>
        <v>h</v>
      </c>
      <c r="O21" s="816" t="str">
        <f>IF(VLOOKUP($G$2,'ĐT ĐC'!$B:$Z,16,0)="","",VLOOKUP($G$2,'ĐT ĐC'!$B:$Z,16,0))</f>
        <v>h</v>
      </c>
      <c r="P21" s="809">
        <v>2</v>
      </c>
      <c r="Q21" s="596" t="s">
        <v>739</v>
      </c>
      <c r="R21" s="597">
        <f t="shared" ref="R21:R26" si="5">P21</f>
        <v>2</v>
      </c>
      <c r="S21" s="797"/>
      <c r="T21" s="797"/>
      <c r="U21" s="797"/>
      <c r="V21" s="797"/>
      <c r="W21" s="797"/>
      <c r="X21" s="797"/>
      <c r="Y21" s="797"/>
      <c r="Z21" s="797"/>
      <c r="AA21" s="627"/>
      <c r="AB21" s="342">
        <f>AB19+1</f>
        <v>7</v>
      </c>
      <c r="AC21" s="342">
        <f>IF($AC$17&gt;=AB21,AB21,"")</f>
        <v>7</v>
      </c>
      <c r="AD21" s="342" t="str">
        <f>VLOOKUP(AB21,$AC$5:$AF$15,2,0)</f>
        <v>4b</v>
      </c>
      <c r="AE21" s="621" t="str">
        <f>IF(AC21="","",LEFT(AD21,1))</f>
        <v>4</v>
      </c>
      <c r="AF21" s="342">
        <f>IF(AC21="","",VLOOKUP(AC21,$AC$3:AF$15,3,0))</f>
        <v>-23.56</v>
      </c>
      <c r="AG21" s="342" t="str">
        <f>IF(AC21="","",VLOOKUP(AC21,$AC$3:AF$15,4,0))</f>
        <v>Đá vôi màu xám xanh, xám đen, nâu hồng, phong hóa nứt nẻ, dập vỡ mạnh, khe nứt lấp nhét, sét pha, đá cứng chắc.</v>
      </c>
      <c r="AH21" s="629" t="str">
        <f>IF(AE21="",AH19,AE21)</f>
        <v>4</v>
      </c>
      <c r="AI21" s="342">
        <f>IF(AC21&lt;$AC$17,AF21-AF22,IF(AC21=$AC$17,AF21-$AF$40,""))</f>
        <v>6.1430000000000042</v>
      </c>
      <c r="AJ21" s="342">
        <f>IF(AC21&lt;$AC$17,$G$7-AF22,IF(AC21=$AC$17,$G$7-$AF$40,""))</f>
        <v>28.986000000000004</v>
      </c>
      <c r="AK21" t="s">
        <v>891</v>
      </c>
      <c r="AL21"/>
      <c r="AM21"/>
      <c r="AN21" s="1349"/>
    </row>
    <row r="22" spans="1:44" ht="15" customHeight="1">
      <c r="A22" s="1358"/>
      <c r="B22" s="665">
        <f>IF(A21&lt;$K$16,J21,"")</f>
        <v>-25.064</v>
      </c>
      <c r="C22" s="805" t="str">
        <f>C21</f>
        <v>h</v>
      </c>
      <c r="D22" s="1353"/>
      <c r="E22" s="1353"/>
      <c r="F22" s="1352"/>
      <c r="G22" s="341"/>
      <c r="H22" s="193"/>
      <c r="I22" s="811"/>
      <c r="J22" s="818"/>
      <c r="K22" s="813" t="str">
        <f>IF(J22=0,"",COUNTA($J$17:J22))</f>
        <v/>
      </c>
      <c r="L22" s="813"/>
      <c r="M22" s="815"/>
      <c r="N22" s="815" t="str">
        <f t="shared" si="3"/>
        <v/>
      </c>
      <c r="O22" s="816"/>
      <c r="P22" s="809">
        <v>3</v>
      </c>
      <c r="Q22" s="596" t="s">
        <v>740</v>
      </c>
      <c r="R22" s="597">
        <f t="shared" si="5"/>
        <v>3</v>
      </c>
      <c r="S22" s="193"/>
      <c r="T22" s="193"/>
      <c r="U22" s="193"/>
      <c r="V22" s="193"/>
      <c r="W22" s="193"/>
      <c r="X22" s="193"/>
      <c r="Y22" s="193"/>
      <c r="Z22" s="193"/>
      <c r="AA22" s="627"/>
      <c r="AB22" s="342"/>
      <c r="AC22" s="342"/>
      <c r="AD22" s="342"/>
      <c r="AE22" s="621" t="str">
        <f t="shared" si="4"/>
        <v/>
      </c>
      <c r="AF22" s="342" t="str">
        <f>AF23</f>
        <v/>
      </c>
      <c r="AG22" s="342"/>
      <c r="AH22" s="629"/>
      <c r="AI22" s="342"/>
      <c r="AJ22" s="342"/>
      <c r="AK22" t="s">
        <v>893</v>
      </c>
      <c r="AL22"/>
      <c r="AM22"/>
      <c r="AN22" s="1350"/>
      <c r="AR22" s="553"/>
    </row>
    <row r="23" spans="1:44" ht="24.75" customHeight="1">
      <c r="A23" s="1358">
        <f>K23</f>
        <v>5</v>
      </c>
      <c r="B23" s="665">
        <f>B22</f>
        <v>-25.064</v>
      </c>
      <c r="C23" s="805" t="str">
        <f>M23</f>
        <v>4</v>
      </c>
      <c r="D23" s="1353">
        <f>IF(A23&lt;$K$16,B23-B24,B23-$B$40)</f>
        <v>4.6390000000000029</v>
      </c>
      <c r="E23" s="1353">
        <f>IF(A23&lt;$K$16,$G$5-B24,IF(A23=$K$16,$G$5-$B$40,""))</f>
        <v>29.35</v>
      </c>
      <c r="F23" s="1352" t="str">
        <f>IF(A23&lt;=$K$16,VLOOKUP(O23,$P$20:$Q$26,2,0),"")</f>
        <v>Đá vôi màu xám nâu, xám xanh, phong hóa nứt nẻ, dập vỡ mạnh, háng hốc Karst</v>
      </c>
      <c r="G23" s="341"/>
      <c r="H23" s="193"/>
      <c r="I23" s="811" t="s">
        <v>928</v>
      </c>
      <c r="J23" s="818">
        <f>IF(VLOOKUP($G$2,'ĐT ĐC'!$B:$Z,6,0)="",0,VLOOKUP($G$2,'ĐT ĐC'!$B:$Z,6,0))</f>
        <v>-29.702999999999999</v>
      </c>
      <c r="K23" s="813">
        <f>IF(J23=0,"",COUNTA($J$17:J23))</f>
        <v>5</v>
      </c>
      <c r="L23" s="813"/>
      <c r="M23" s="815" t="str">
        <f t="shared" ref="M23:M39" si="6">IF(N23="",M21,N23)</f>
        <v>4</v>
      </c>
      <c r="N23" s="815" t="str">
        <f t="shared" si="3"/>
        <v>4</v>
      </c>
      <c r="O23" s="816" t="str">
        <f>IF(VLOOKUP($G$2,'ĐT ĐC'!$B:$Z,17,0)="","",VLOOKUP($G$2,'ĐT ĐC'!$B:$Z,17,0))</f>
        <v>4a</v>
      </c>
      <c r="P23" s="809" t="s">
        <v>741</v>
      </c>
      <c r="Q23" s="596" t="s">
        <v>742</v>
      </c>
      <c r="R23" s="597" t="str">
        <f t="shared" si="5"/>
        <v>4a</v>
      </c>
      <c r="S23" s="193"/>
      <c r="T23" s="193"/>
      <c r="U23" s="193"/>
      <c r="V23" s="193"/>
      <c r="W23" s="193"/>
      <c r="X23" s="193"/>
      <c r="Y23" s="193"/>
      <c r="Z23" s="193"/>
      <c r="AA23" s="627"/>
      <c r="AB23" s="342">
        <f>AB21+1</f>
        <v>8</v>
      </c>
      <c r="AC23" s="342" t="str">
        <f>IF($AC$17&gt;=AB23,AB23,"")</f>
        <v/>
      </c>
      <c r="AD23" s="342" t="e">
        <f>VLOOKUP(AB23,$AC$5:$AF$15,2,0)</f>
        <v>#N/A</v>
      </c>
      <c r="AE23" s="621" t="str">
        <f>IF(AC23="","",LEFT(AD23,1))</f>
        <v/>
      </c>
      <c r="AF23" s="342" t="str">
        <f>IF(AC23="","",VLOOKUP(AC23,$AC$3:AF$15,3,0))</f>
        <v/>
      </c>
      <c r="AG23" s="342" t="str">
        <f>IF(AC23="","",VLOOKUP(AC23,$AC$3:AF$15,4,0))</f>
        <v/>
      </c>
      <c r="AH23" s="629" t="str">
        <f>IF(AE23="",AH21,AE23)</f>
        <v>4</v>
      </c>
      <c r="AI23" s="342" t="str">
        <f>IF(AC23&lt;$AC$17,AF23-AF24,IF(AC23=$AC$17,AF23-$AF$40,""))</f>
        <v/>
      </c>
      <c r="AJ23" s="342" t="str">
        <f>IF(AC23&lt;$AC$17,$G$7-AF24,IF(AC23=$AC$17,$G$7-$AF$40,""))</f>
        <v/>
      </c>
      <c r="AK23" t="s">
        <v>891</v>
      </c>
      <c r="AL23"/>
      <c r="AM23"/>
      <c r="AN23"/>
    </row>
    <row r="24" spans="1:44" ht="57.75" customHeight="1">
      <c r="A24" s="1358"/>
      <c r="B24" s="665" t="str">
        <f>IF(A23&lt;$K$16,J23,"")</f>
        <v/>
      </c>
      <c r="C24" s="805" t="str">
        <f>C23</f>
        <v>4</v>
      </c>
      <c r="D24" s="1353"/>
      <c r="E24" s="1353"/>
      <c r="F24" s="1352"/>
      <c r="G24" s="341"/>
      <c r="H24" s="193"/>
      <c r="I24" s="811"/>
      <c r="J24" s="818"/>
      <c r="K24" s="813" t="str">
        <f>IF(J24=0,"",COUNTA($J$17:J24))</f>
        <v/>
      </c>
      <c r="L24" s="813"/>
      <c r="M24" s="815"/>
      <c r="N24" s="815" t="str">
        <f t="shared" si="3"/>
        <v/>
      </c>
      <c r="O24" s="816"/>
      <c r="P24" s="809" t="s">
        <v>743</v>
      </c>
      <c r="Q24" s="596" t="s">
        <v>744</v>
      </c>
      <c r="R24" s="597" t="str">
        <f t="shared" si="5"/>
        <v>H</v>
      </c>
      <c r="S24" s="193"/>
      <c r="T24" s="193"/>
      <c r="U24" s="193"/>
      <c r="V24" s="193"/>
      <c r="W24" s="193"/>
      <c r="X24" s="193"/>
      <c r="Y24" s="193"/>
      <c r="Z24" s="193"/>
      <c r="AA24" s="627"/>
      <c r="AB24" s="342"/>
      <c r="AC24" s="342"/>
      <c r="AD24" s="342"/>
      <c r="AE24" s="621" t="str">
        <f t="shared" si="4"/>
        <v/>
      </c>
      <c r="AF24" s="342" t="str">
        <f>AF25</f>
        <v/>
      </c>
      <c r="AG24" s="342"/>
      <c r="AH24" s="629"/>
      <c r="AI24" s="342"/>
      <c r="AJ24" s="342"/>
      <c r="AK24"/>
      <c r="AL24"/>
      <c r="AM24"/>
      <c r="AN24"/>
      <c r="AR24" s="553"/>
    </row>
    <row r="25" spans="1:44" ht="18" customHeight="1">
      <c r="A25" s="1358" t="str">
        <f>K25</f>
        <v/>
      </c>
      <c r="B25" s="665" t="str">
        <f>B24</f>
        <v/>
      </c>
      <c r="C25" s="805" t="str">
        <f>M25</f>
        <v>4</v>
      </c>
      <c r="D25" s="1353" t="e">
        <f>IF(A25&lt;$K$16,B25-B26,B25-$B$40)</f>
        <v>#VALUE!</v>
      </c>
      <c r="E25" s="1353" t="str">
        <f>IF(A25&lt;$K$16,$G$5-B26,IF(A25=$K$16,$G$5-$B$40,""))</f>
        <v/>
      </c>
      <c r="F25" s="1352" t="str">
        <f>IF(A25&lt;=$K$16,VLOOKUP(O25,$P$20:$Q$26,2,0),"")</f>
        <v/>
      </c>
      <c r="G25" s="341"/>
      <c r="H25" s="193"/>
      <c r="I25" s="811" t="s">
        <v>929</v>
      </c>
      <c r="J25" s="818">
        <f>IF(VLOOKUP($G$2,'ĐT ĐC'!$B:$Z,7,0)="",0,VLOOKUP($G$2,'ĐT ĐC'!$B:$Z,7,0))</f>
        <v>0</v>
      </c>
      <c r="K25" s="813" t="str">
        <f>IF(J25=0,"",COUNTA($J$17:J25))</f>
        <v/>
      </c>
      <c r="L25" s="813"/>
      <c r="M25" s="815" t="str">
        <f t="shared" si="6"/>
        <v>4</v>
      </c>
      <c r="N25" s="815" t="str">
        <f t="shared" si="3"/>
        <v/>
      </c>
      <c r="O25" s="816" t="str">
        <f>IF(VLOOKUP($G$2,'ĐT ĐC'!$B:$Z,18,0)="","",VLOOKUP($G$2,'ĐT ĐC'!$B:$Z,18,0))</f>
        <v/>
      </c>
      <c r="P25" s="809" t="s">
        <v>745</v>
      </c>
      <c r="Q25" s="596" t="s">
        <v>746</v>
      </c>
      <c r="R25" s="597" t="str">
        <f t="shared" si="5"/>
        <v>4b</v>
      </c>
      <c r="S25" s="193"/>
      <c r="T25" s="193"/>
      <c r="U25" s="193"/>
      <c r="V25" s="193"/>
      <c r="W25" s="193"/>
      <c r="X25" s="193"/>
      <c r="Y25" s="193"/>
      <c r="Z25" s="193"/>
      <c r="AA25" s="627"/>
      <c r="AB25" s="342">
        <f>AB23+1</f>
        <v>9</v>
      </c>
      <c r="AC25" s="342" t="str">
        <f>IF($AC$17&gt;=AB25,AB25,"")</f>
        <v/>
      </c>
      <c r="AD25" s="342" t="e">
        <f>VLOOKUP(AB25,$AC$5:$AF$15,2,0)</f>
        <v>#N/A</v>
      </c>
      <c r="AE25" s="621" t="str">
        <f>IF(AC25="","",LEFT(AD25,1))</f>
        <v/>
      </c>
      <c r="AF25" s="342" t="str">
        <f>IF(AC25="","",VLOOKUP(AC25,$AC$3:AF$15,3,0))</f>
        <v/>
      </c>
      <c r="AG25" s="342" t="str">
        <f>IF(AC25="","",VLOOKUP(AC25,$AC$3:AF$15,4,0))</f>
        <v/>
      </c>
      <c r="AH25" s="629" t="str">
        <f>IF(AE25="",AH23,AE25)</f>
        <v>4</v>
      </c>
      <c r="AI25" s="342" t="str">
        <f>IF(AC25&lt;$AC$17,AF25-AF26,IF(AC25=$AC$17,AF25-$AF$40,""))</f>
        <v/>
      </c>
      <c r="AJ25" s="342" t="str">
        <f>IF(AC25&lt;$AC$17,$G$7-AF26,IF(AC25=$AC$17,$G$7-$AF$40,""))</f>
        <v/>
      </c>
      <c r="AN25" s="357"/>
    </row>
    <row r="26" spans="1:44" ht="18" customHeight="1">
      <c r="A26" s="1358"/>
      <c r="B26" s="665" t="str">
        <f>IF(A25&lt;$K$16,J25,"")</f>
        <v/>
      </c>
      <c r="C26" s="805" t="str">
        <f>C25</f>
        <v>4</v>
      </c>
      <c r="D26" s="1353"/>
      <c r="E26" s="1353"/>
      <c r="F26" s="1352"/>
      <c r="G26" s="341" t="s">
        <v>1189</v>
      </c>
      <c r="H26" s="193"/>
      <c r="I26" s="811"/>
      <c r="J26" s="818"/>
      <c r="K26" s="813" t="str">
        <f>IF(J26=0,"",COUNTA($J$17:J26))</f>
        <v/>
      </c>
      <c r="L26" s="813"/>
      <c r="M26" s="815"/>
      <c r="N26" s="815" t="str">
        <f t="shared" si="3"/>
        <v/>
      </c>
      <c r="O26" s="816"/>
      <c r="P26" s="810" t="s">
        <v>747</v>
      </c>
      <c r="Q26" s="598" t="s">
        <v>748</v>
      </c>
      <c r="R26" s="599" t="str">
        <f t="shared" si="5"/>
        <v>4c</v>
      </c>
      <c r="S26" s="193"/>
      <c r="T26" s="193"/>
      <c r="U26" s="193"/>
      <c r="V26" s="193"/>
      <c r="W26" s="193"/>
      <c r="X26" s="193"/>
      <c r="Y26" s="193"/>
      <c r="Z26" s="193"/>
      <c r="AA26" s="627"/>
      <c r="AB26" s="342"/>
      <c r="AC26" s="342"/>
      <c r="AD26" s="342"/>
      <c r="AE26" s="621" t="str">
        <f t="shared" si="4"/>
        <v/>
      </c>
      <c r="AF26" s="342" t="str">
        <f>AF27</f>
        <v/>
      </c>
      <c r="AG26" s="342"/>
      <c r="AH26" s="629"/>
      <c r="AI26" s="342"/>
      <c r="AJ26" s="342"/>
      <c r="AN26" s="357"/>
      <c r="AR26" s="553"/>
    </row>
    <row r="27" spans="1:44" ht="24" customHeight="1">
      <c r="A27" s="1358" t="str">
        <f>K27</f>
        <v/>
      </c>
      <c r="B27" s="665" t="str">
        <f>B26</f>
        <v/>
      </c>
      <c r="C27" s="805" t="str">
        <f>M27</f>
        <v>4</v>
      </c>
      <c r="D27" s="1353" t="e">
        <f>IF(A27&lt;$K$16,B27-B28,B27-$B$40)</f>
        <v>#VALUE!</v>
      </c>
      <c r="E27" s="1353" t="str">
        <f>IF(A27&lt;$K$16,$G$5-B28,IF(A27=$K$16,$G$5-$B$40,""))</f>
        <v/>
      </c>
      <c r="F27" s="1352" t="str">
        <f>IF(A27&lt;=$K$16,VLOOKUP(O27,$P$20:$Q$26,2,0),"")</f>
        <v/>
      </c>
      <c r="G27" s="341"/>
      <c r="H27" s="193"/>
      <c r="I27" s="811" t="s">
        <v>930</v>
      </c>
      <c r="J27" s="818">
        <f>IF(VLOOKUP($G$2,'ĐT ĐC'!$B:$Z,8,0)="",0,VLOOKUP($G$2,'ĐT ĐC'!$B:$Z,8,0))</f>
        <v>0</v>
      </c>
      <c r="K27" s="813" t="str">
        <f>IF(J27=0,"",COUNTA($J$17:J27))</f>
        <v/>
      </c>
      <c r="L27" s="813"/>
      <c r="M27" s="815" t="str">
        <f t="shared" si="6"/>
        <v>4</v>
      </c>
      <c r="N27" s="815" t="str">
        <f t="shared" si="3"/>
        <v/>
      </c>
      <c r="O27" s="816" t="str">
        <f>IF(VLOOKUP($G$2,'ĐT ĐC'!$B:$Z,19,0)="","",VLOOKUP($G$2,'ĐT ĐC'!$B:$Z,19,0))</f>
        <v/>
      </c>
      <c r="P27" s="193"/>
      <c r="Q27" s="193"/>
      <c r="R27" s="193"/>
      <c r="S27" s="193"/>
      <c r="T27" s="193"/>
      <c r="U27" s="193"/>
      <c r="V27" s="193"/>
      <c r="W27" s="193"/>
      <c r="X27" s="193"/>
      <c r="Y27" s="193"/>
      <c r="Z27" s="193"/>
      <c r="AA27" s="627"/>
      <c r="AB27" s="342">
        <f>AB25+1</f>
        <v>10</v>
      </c>
      <c r="AC27" s="342" t="str">
        <f>IF($AC$17&gt;=AB27,AB27,"")</f>
        <v/>
      </c>
      <c r="AD27" s="342" t="e">
        <f>VLOOKUP(AB27,$AC$5:$AF$15,2,0)</f>
        <v>#N/A</v>
      </c>
      <c r="AE27" s="621" t="str">
        <f>IF(AC27="","",LEFT(AD27,1))</f>
        <v/>
      </c>
      <c r="AF27" s="342" t="str">
        <f>IF(AC27="","",VLOOKUP(AC27,$AC$3:AF$15,3,0))</f>
        <v/>
      </c>
      <c r="AG27" s="342" t="str">
        <f>IF(AC27="","",VLOOKUP(AC27,$AC$3:AF$15,4,0))</f>
        <v/>
      </c>
      <c r="AH27" s="629" t="str">
        <f>IF(AE27="",AH25,AE27)</f>
        <v>4</v>
      </c>
      <c r="AI27" s="342" t="str">
        <f>IF(AC27&lt;$AC$17,AF27-AF28,IF(AC27=$AC$17,AF27-$AF$40,""))</f>
        <v/>
      </c>
      <c r="AJ27" s="342" t="str">
        <f>IF(AC27&lt;$AC$17,$G$7-AF28,IF(AC27=$AC$17,$G$7-$AF$40,""))</f>
        <v/>
      </c>
      <c r="AN27" s="357"/>
    </row>
    <row r="28" spans="1:44" ht="36.75" customHeight="1">
      <c r="A28" s="1358"/>
      <c r="B28" s="665" t="str">
        <f>IF(A27&lt;$K$16,J27,"")</f>
        <v/>
      </c>
      <c r="C28" s="805" t="str">
        <f>C27</f>
        <v>4</v>
      </c>
      <c r="D28" s="1353"/>
      <c r="E28" s="1353"/>
      <c r="F28" s="1352"/>
      <c r="G28" s="341"/>
      <c r="H28" s="193"/>
      <c r="I28" s="811"/>
      <c r="J28" s="818"/>
      <c r="K28" s="813" t="str">
        <f>IF(J28=0,"",COUNTA($J$17:J28))</f>
        <v/>
      </c>
      <c r="L28" s="813"/>
      <c r="M28" s="815"/>
      <c r="N28" s="815" t="str">
        <f t="shared" si="3"/>
        <v/>
      </c>
      <c r="O28" s="816"/>
      <c r="P28" s="193"/>
      <c r="Q28" s="193"/>
      <c r="R28" s="193"/>
      <c r="S28" s="193"/>
      <c r="T28" s="193"/>
      <c r="U28" s="193"/>
      <c r="V28" s="193"/>
      <c r="W28" s="193"/>
      <c r="X28" s="193"/>
      <c r="Y28" s="193"/>
      <c r="Z28" s="193"/>
      <c r="AA28" s="627"/>
      <c r="AB28" s="342"/>
      <c r="AC28" s="342"/>
      <c r="AD28" s="342"/>
      <c r="AE28" s="621" t="str">
        <f t="shared" si="4"/>
        <v/>
      </c>
      <c r="AF28" s="342" t="str">
        <f>AF29</f>
        <v/>
      </c>
      <c r="AG28" s="342"/>
      <c r="AH28" s="629"/>
      <c r="AI28" s="342"/>
      <c r="AJ28" s="342"/>
      <c r="AN28" s="357"/>
      <c r="AR28" s="553"/>
    </row>
    <row r="29" spans="1:44" ht="18" customHeight="1">
      <c r="A29" s="1358" t="str">
        <f>K29</f>
        <v/>
      </c>
      <c r="B29" s="665" t="str">
        <f>B28</f>
        <v/>
      </c>
      <c r="C29" s="805" t="str">
        <f>M29</f>
        <v>4</v>
      </c>
      <c r="D29" s="1353" t="e">
        <f>IF(A29&lt;$K$16,B29-B30,B29-$B$40)</f>
        <v>#VALUE!</v>
      </c>
      <c r="E29" s="1353" t="str">
        <f>IF(A29&lt;$K$16,$G$5-B30,IF(A29=$K$16,$G$5-$B$40,""))</f>
        <v/>
      </c>
      <c r="F29" s="1352" t="str">
        <f>IF(A29&lt;=$K$16,VLOOKUP(O29,$P$20:$Q$26,2,0),"")</f>
        <v/>
      </c>
      <c r="G29" s="341"/>
      <c r="H29" s="193"/>
      <c r="I29" s="811" t="s">
        <v>931</v>
      </c>
      <c r="J29" s="818">
        <f>IF(VLOOKUP($G$2,'ĐT ĐC'!$B:$Z,9,0)="",0,VLOOKUP($G$2,'ĐT ĐC'!$B:$Z,9,0))</f>
        <v>0</v>
      </c>
      <c r="K29" s="813" t="str">
        <f>IF(J29=0,"",COUNTA($J$17:J29))</f>
        <v/>
      </c>
      <c r="L29" s="813"/>
      <c r="M29" s="815" t="str">
        <f t="shared" si="6"/>
        <v>4</v>
      </c>
      <c r="N29" s="815" t="str">
        <f t="shared" si="3"/>
        <v/>
      </c>
      <c r="O29" s="816" t="str">
        <f>IF(VLOOKUP($G$2,'ĐT ĐC'!$B:$Z,20,0)="","",VLOOKUP($G$2,'ĐT ĐC'!$B:$Z,20,0))</f>
        <v/>
      </c>
      <c r="P29" s="193"/>
      <c r="Q29" s="193"/>
      <c r="R29" s="193"/>
      <c r="S29" s="193"/>
      <c r="T29" s="193"/>
      <c r="U29" s="193"/>
      <c r="V29" s="193"/>
      <c r="W29" s="193"/>
      <c r="X29" s="193"/>
      <c r="Y29" s="193"/>
      <c r="Z29" s="193"/>
      <c r="AA29" s="627"/>
      <c r="AB29" s="342">
        <f>AB27+1</f>
        <v>11</v>
      </c>
      <c r="AC29" s="342" t="str">
        <f>IF($AC$17&gt;=AB29,AB29,"")</f>
        <v/>
      </c>
      <c r="AD29" s="342" t="e">
        <f>VLOOKUP(AB29,$AC$5:$AF$15,2,0)</f>
        <v>#N/A</v>
      </c>
      <c r="AE29" s="621" t="str">
        <f>IF(AC29="","",LEFT(AD29,1))</f>
        <v/>
      </c>
      <c r="AF29" s="342" t="str">
        <f>IF(AC29="","",VLOOKUP(AC29,$AC$3:AF$15,3,0))</f>
        <v/>
      </c>
      <c r="AG29" s="342" t="str">
        <f>IF(AC29="","",VLOOKUP(AC29,$AC$3:AF$15,4,0))</f>
        <v/>
      </c>
      <c r="AH29" s="629" t="str">
        <f>IF(AE29="",AH27,AE29)</f>
        <v>4</v>
      </c>
      <c r="AI29" s="342" t="str">
        <f>IF(AC29&lt;$AC$17,AF29-AF30,IF(AC29=$AC$17,AF29-$AF$40,""))</f>
        <v/>
      </c>
      <c r="AJ29" s="342" t="str">
        <f>IF(AC29&lt;$AC$17,$G$7-AF30,IF(AC29=$AC$17,$G$7-$AF$40,""))</f>
        <v/>
      </c>
      <c r="AN29" s="357"/>
    </row>
    <row r="30" spans="1:44" ht="14.25" customHeight="1">
      <c r="A30" s="1358"/>
      <c r="B30" s="665" t="str">
        <f>IF(A29&lt;$K$16,J29,"")</f>
        <v/>
      </c>
      <c r="C30" s="805" t="str">
        <f>C29</f>
        <v>4</v>
      </c>
      <c r="D30" s="1353"/>
      <c r="E30" s="1353"/>
      <c r="F30" s="1352"/>
      <c r="G30" s="341"/>
      <c r="H30" s="193"/>
      <c r="I30" s="811"/>
      <c r="J30" s="818"/>
      <c r="K30" s="813" t="str">
        <f>IF(J30=0,"",COUNTA($J$17:J30))</f>
        <v/>
      </c>
      <c r="L30" s="813"/>
      <c r="M30" s="815"/>
      <c r="N30" s="815" t="str">
        <f t="shared" si="3"/>
        <v/>
      </c>
      <c r="O30" s="816"/>
      <c r="P30" s="193"/>
      <c r="Q30" s="193"/>
      <c r="R30" s="193"/>
      <c r="S30" s="193"/>
      <c r="T30" s="193"/>
      <c r="U30" s="193"/>
      <c r="V30" s="193"/>
      <c r="W30" s="193"/>
      <c r="X30" s="193"/>
      <c r="Y30" s="193"/>
      <c r="Z30" s="193"/>
      <c r="AA30" s="627"/>
      <c r="AB30" s="342"/>
      <c r="AC30" s="342"/>
      <c r="AD30" s="342"/>
      <c r="AE30" s="621" t="str">
        <f t="shared" si="4"/>
        <v/>
      </c>
      <c r="AF30" s="342" t="str">
        <f>AF31</f>
        <v/>
      </c>
      <c r="AG30" s="342"/>
      <c r="AH30" s="629"/>
      <c r="AI30" s="342"/>
      <c r="AJ30" s="342"/>
      <c r="AN30" s="357"/>
      <c r="AR30" s="553"/>
    </row>
    <row r="31" spans="1:44" ht="22.5" customHeight="1">
      <c r="A31" s="1358" t="str">
        <f>K31</f>
        <v/>
      </c>
      <c r="B31" s="665" t="str">
        <f>B30</f>
        <v/>
      </c>
      <c r="C31" s="805" t="str">
        <f>M31</f>
        <v>4</v>
      </c>
      <c r="D31" s="1353" t="e">
        <f>IF(A31&lt;$K$16,B31-B32,B31-$B$40)</f>
        <v>#VALUE!</v>
      </c>
      <c r="E31" s="1353" t="str">
        <f>IF(A31&lt;$K$16,$G$5-B32,IF(A31=$K$16,$G$5-$B$40,""))</f>
        <v/>
      </c>
      <c r="F31" s="1352" t="str">
        <f>IF(A31&lt;=$K$16,VLOOKUP(O31,$P$20:$Q$26,2,0),"")</f>
        <v/>
      </c>
      <c r="G31" s="341"/>
      <c r="H31" s="193"/>
      <c r="I31" s="811" t="s">
        <v>932</v>
      </c>
      <c r="J31" s="818">
        <f>IF(VLOOKUP($G$2,'ĐT ĐC'!$B:$Z,10,0)="",0,VLOOKUP($G$2,'ĐT ĐC'!$B:$Z,10,0))</f>
        <v>0</v>
      </c>
      <c r="K31" s="813" t="str">
        <f>IF(J31=0,"",COUNTA($J$17:J31))</f>
        <v/>
      </c>
      <c r="L31" s="813"/>
      <c r="M31" s="815" t="str">
        <f t="shared" si="6"/>
        <v>4</v>
      </c>
      <c r="N31" s="815" t="str">
        <f t="shared" si="3"/>
        <v/>
      </c>
      <c r="O31" s="816" t="str">
        <f>IF(VLOOKUP($G$2,'ĐT ĐC'!$B:$Z,21,0)="","",VLOOKUP($G$2,'ĐT ĐC'!$B:$Z,21,0))</f>
        <v/>
      </c>
      <c r="P31" s="193"/>
      <c r="Q31" s="193"/>
      <c r="R31" s="193"/>
      <c r="S31" s="193"/>
      <c r="T31" s="193"/>
      <c r="U31" s="193"/>
      <c r="V31" s="193"/>
      <c r="W31" s="193"/>
      <c r="X31" s="193"/>
      <c r="Y31" s="193"/>
      <c r="Z31" s="193"/>
      <c r="AA31" s="627"/>
      <c r="AB31" s="342">
        <f>AB29+1</f>
        <v>12</v>
      </c>
      <c r="AC31" s="342" t="str">
        <f>IF($AC$17&gt;=AB31,AB31,"")</f>
        <v/>
      </c>
      <c r="AD31" s="342" t="e">
        <f>VLOOKUP(AB31,$AC$5:$AF$15,2,0)</f>
        <v>#N/A</v>
      </c>
      <c r="AE31" s="621" t="str">
        <f>IF(AC31="","",LEFT(AD31,1))</f>
        <v/>
      </c>
      <c r="AF31" s="342" t="str">
        <f>IF(AC31="","",VLOOKUP(AC31,$AC$3:AF$15,3,0))</f>
        <v/>
      </c>
      <c r="AG31" s="342" t="str">
        <f>IF(AC31="","",VLOOKUP(AC31,$AC$3:AF$15,4,0))</f>
        <v/>
      </c>
      <c r="AH31" s="629" t="str">
        <f>IF(AE31="",AH29,AE31)</f>
        <v>4</v>
      </c>
      <c r="AI31" s="342" t="str">
        <f>IF(AC31&lt;$AC$17,AF31-AF32,IF(AC31=$AC$17,AF31-$AF$40,""))</f>
        <v/>
      </c>
      <c r="AJ31" s="342" t="str">
        <f>IF(AC31&lt;$AC$17,$G$7-AF32,IF(AC31=$AC$17,$G$7-$AF$40,""))</f>
        <v/>
      </c>
      <c r="AN31" s="357"/>
    </row>
    <row r="32" spans="1:44" ht="32.25" customHeight="1">
      <c r="A32" s="1358"/>
      <c r="B32" s="665" t="str">
        <f>IF(A31&lt;$K$16,J31,"")</f>
        <v/>
      </c>
      <c r="C32" s="805" t="str">
        <f>C31</f>
        <v>4</v>
      </c>
      <c r="D32" s="1353"/>
      <c r="E32" s="1353"/>
      <c r="F32" s="1352"/>
      <c r="G32" s="341"/>
      <c r="H32" s="193"/>
      <c r="I32" s="811"/>
      <c r="J32" s="818"/>
      <c r="K32" s="813" t="str">
        <f>IF(J32=0,"",COUNTA($J$17:J32))</f>
        <v/>
      </c>
      <c r="L32" s="813"/>
      <c r="M32" s="815"/>
      <c r="N32" s="815" t="str">
        <f t="shared" si="3"/>
        <v/>
      </c>
      <c r="O32" s="816"/>
      <c r="P32" s="193"/>
      <c r="Q32" s="193"/>
      <c r="R32" s="193"/>
      <c r="S32" s="193"/>
      <c r="T32" s="193"/>
      <c r="U32" s="193"/>
      <c r="V32" s="193"/>
      <c r="W32" s="193"/>
      <c r="X32" s="193"/>
      <c r="Y32" s="193"/>
      <c r="Z32" s="193"/>
      <c r="AA32" s="627"/>
      <c r="AB32" s="342"/>
      <c r="AC32" s="342"/>
      <c r="AD32" s="342"/>
      <c r="AE32" s="621" t="str">
        <f t="shared" si="4"/>
        <v/>
      </c>
      <c r="AF32" s="342" t="str">
        <f>AF33</f>
        <v/>
      </c>
      <c r="AG32" s="342"/>
      <c r="AH32" s="629"/>
      <c r="AI32" s="342"/>
      <c r="AJ32" s="342"/>
      <c r="AN32" s="357"/>
      <c r="AR32" s="553"/>
    </row>
    <row r="33" spans="1:44" ht="12" customHeight="1">
      <c r="A33" s="1358" t="str">
        <f>K33</f>
        <v/>
      </c>
      <c r="B33" s="665" t="str">
        <f>B32</f>
        <v/>
      </c>
      <c r="C33" s="805" t="str">
        <f>M33</f>
        <v>4</v>
      </c>
      <c r="D33" s="1353" t="e">
        <f>IF(A33&lt;$K$16,B33-B34,B33-$B$40)</f>
        <v>#VALUE!</v>
      </c>
      <c r="E33" s="1353" t="str">
        <f>IF(A33&lt;$K$16,$G$5-B34,IF(A33=$K$16,$G$5-$B$40,""))</f>
        <v/>
      </c>
      <c r="F33" s="1352" t="str">
        <f>IF(A33&lt;=$K$16,VLOOKUP(O33,$P$20:$Q$26,2,0),"")</f>
        <v/>
      </c>
      <c r="G33" s="341"/>
      <c r="H33" s="193"/>
      <c r="I33" s="811" t="s">
        <v>933</v>
      </c>
      <c r="J33" s="818">
        <f>IF(VLOOKUP($G$2,'ĐT ĐC'!$B:$Z,11,0)="",0,VLOOKUP($G$2,'ĐT ĐC'!$B:$Z,11,0))</f>
        <v>0</v>
      </c>
      <c r="K33" s="813" t="str">
        <f>IF(J33=0,"",COUNTA($J$17:J33))</f>
        <v/>
      </c>
      <c r="L33" s="813"/>
      <c r="M33" s="815" t="str">
        <f t="shared" si="6"/>
        <v>4</v>
      </c>
      <c r="N33" s="815" t="str">
        <f t="shared" si="3"/>
        <v/>
      </c>
      <c r="O33" s="816" t="str">
        <f>IF(VLOOKUP($G$2,'ĐT ĐC'!$B:$Z,22,0)="","",VLOOKUP($G$2,'ĐT ĐC'!$B:$Z,22,0))</f>
        <v/>
      </c>
      <c r="P33" s="193"/>
      <c r="Q33" s="193"/>
      <c r="R33" s="193"/>
      <c r="S33" s="193"/>
      <c r="T33" s="193"/>
      <c r="U33" s="193"/>
      <c r="V33" s="193"/>
      <c r="W33" s="193"/>
      <c r="X33" s="193"/>
      <c r="Y33" s="193"/>
      <c r="Z33" s="193"/>
      <c r="AA33" s="627"/>
      <c r="AB33" s="342">
        <f>AB31+1</f>
        <v>13</v>
      </c>
      <c r="AC33" s="342" t="str">
        <f>IF($AC$17&gt;=AB33,AB33,"")</f>
        <v/>
      </c>
      <c r="AD33" s="342" t="e">
        <f>VLOOKUP(AB33,$AC$5:$AF$15,2,0)</f>
        <v>#N/A</v>
      </c>
      <c r="AE33" s="621" t="str">
        <f>IF(AC33="","",LEFT(AD33,1))</f>
        <v/>
      </c>
      <c r="AF33" s="342" t="str">
        <f>IF(AC33="","",VLOOKUP(AC33,$AC$3:AF$15,3,0))</f>
        <v/>
      </c>
      <c r="AG33" s="342" t="str">
        <f>IF(AC33="","",VLOOKUP(AC33,$AC$3:AF$15,4,0))</f>
        <v/>
      </c>
      <c r="AH33" s="629" t="str">
        <f>IF(AE33="",AH31,AE33)</f>
        <v>4</v>
      </c>
      <c r="AI33" s="342" t="str">
        <f>IF(AC33&lt;$AC$17,AF33-AF34,IF(AC33=$AC$17,AF33-$AF$40,""))</f>
        <v/>
      </c>
      <c r="AJ33" s="342" t="str">
        <f>IF(AC33&lt;$AC$17,$G$7-AF34,IF(AC33=$AC$17,$G$7-$AF$40,""))</f>
        <v/>
      </c>
      <c r="AN33" s="357"/>
    </row>
    <row r="34" spans="1:44" ht="13.5" customHeight="1">
      <c r="A34" s="1358"/>
      <c r="B34" s="665" t="str">
        <f>IF(A33&lt;$K$16,J33,"")</f>
        <v/>
      </c>
      <c r="C34" s="805" t="str">
        <f>C33</f>
        <v>4</v>
      </c>
      <c r="D34" s="1353"/>
      <c r="E34" s="1353"/>
      <c r="F34" s="1352"/>
      <c r="G34" s="625"/>
      <c r="H34" s="798"/>
      <c r="I34" s="811"/>
      <c r="J34" s="818"/>
      <c r="K34" s="813" t="str">
        <f>IF(J34=0,"",COUNTA($J$17:J34))</f>
        <v/>
      </c>
      <c r="L34" s="813"/>
      <c r="M34" s="815"/>
      <c r="N34" s="815" t="str">
        <f t="shared" si="3"/>
        <v/>
      </c>
      <c r="O34" s="816"/>
      <c r="P34" s="798"/>
      <c r="Q34" s="798"/>
      <c r="R34" s="798"/>
      <c r="S34" s="798"/>
      <c r="T34" s="798"/>
      <c r="U34" s="798"/>
      <c r="V34" s="798"/>
      <c r="W34" s="798"/>
      <c r="X34" s="798"/>
      <c r="Y34" s="798"/>
      <c r="Z34" s="798"/>
      <c r="AA34" s="627"/>
      <c r="AB34" s="342"/>
      <c r="AC34" s="342"/>
      <c r="AD34" s="342"/>
      <c r="AE34" s="621" t="str">
        <f t="shared" si="4"/>
        <v/>
      </c>
      <c r="AF34" s="342" t="str">
        <f>AF35</f>
        <v/>
      </c>
      <c r="AG34" s="342"/>
      <c r="AH34" s="629"/>
      <c r="AI34" s="342"/>
      <c r="AJ34" s="342"/>
      <c r="AN34" s="357"/>
      <c r="AR34" s="553"/>
    </row>
    <row r="35" spans="1:44" ht="18" customHeight="1">
      <c r="A35" s="1358" t="str">
        <f>K35</f>
        <v/>
      </c>
      <c r="B35" s="665" t="str">
        <f>B34</f>
        <v/>
      </c>
      <c r="C35" s="805" t="str">
        <f>M35</f>
        <v>4</v>
      </c>
      <c r="D35" s="1353" t="e">
        <f>IF(A35&lt;$K$16,B35-B36,B35-$B$40)</f>
        <v>#VALUE!</v>
      </c>
      <c r="E35" s="1353" t="str">
        <f>IF(A35&lt;$K$16,$G$5-B36,IF(A35=$K$16,$G$5-$B$40,""))</f>
        <v/>
      </c>
      <c r="F35" s="1352" t="str">
        <f>IF(A35&lt;=$K$16,VLOOKUP(O35,$P$20:$Q$26,2,0),"")</f>
        <v/>
      </c>
      <c r="G35" s="341"/>
      <c r="H35" s="193"/>
      <c r="I35" s="811" t="s">
        <v>934</v>
      </c>
      <c r="J35" s="818">
        <f>IF(VLOOKUP($G$2,'ĐT ĐC'!$B:$Z,12,0)="",0,VLOOKUP($G$2,'ĐT ĐC'!$B:$Z,12,0))</f>
        <v>0</v>
      </c>
      <c r="K35" s="813" t="str">
        <f>IF(J35=0,"",COUNTA($J$17:J35))</f>
        <v/>
      </c>
      <c r="L35" s="813"/>
      <c r="M35" s="815" t="str">
        <f t="shared" si="6"/>
        <v>4</v>
      </c>
      <c r="N35" s="815" t="str">
        <f t="shared" si="3"/>
        <v/>
      </c>
      <c r="O35" s="816" t="str">
        <f>IF(VLOOKUP($G$2,'ĐT ĐC'!$B:$Z,23,0)="","",VLOOKUP($G$2,'ĐT ĐC'!$B:$Z,23,0))</f>
        <v/>
      </c>
      <c r="P35" s="193"/>
      <c r="Q35" s="193"/>
      <c r="R35" s="193"/>
      <c r="S35" s="193"/>
      <c r="T35" s="193"/>
      <c r="U35" s="193"/>
      <c r="V35" s="193"/>
      <c r="W35" s="193"/>
      <c r="X35" s="193"/>
      <c r="Y35" s="193"/>
      <c r="Z35" s="193"/>
      <c r="AA35" s="627"/>
      <c r="AB35" s="342">
        <f>AB33+1</f>
        <v>14</v>
      </c>
      <c r="AC35" s="342" t="str">
        <f>IF($AC$17&gt;=AB35,AB35,"")</f>
        <v/>
      </c>
      <c r="AD35" s="342" t="e">
        <f>VLOOKUP(AB35,$AC$5:$AF$15,2,0)</f>
        <v>#N/A</v>
      </c>
      <c r="AE35" s="621" t="str">
        <f>IF(AC35="","",LEFT(AD35,1))</f>
        <v/>
      </c>
      <c r="AF35" s="342" t="str">
        <f>IF(AC35="","",VLOOKUP(AC35,$AC$3:AF$15,3,0))</f>
        <v/>
      </c>
      <c r="AG35" s="342" t="str">
        <f>IF(AC35="","",VLOOKUP(AC35,$AC$3:AF$15,4,0))</f>
        <v/>
      </c>
      <c r="AH35" s="629" t="str">
        <f>IF(AE35="",AH33,AE35)</f>
        <v>4</v>
      </c>
      <c r="AI35" s="342" t="str">
        <f>IF(AC35&lt;$AC$17,AF35-AF36,IF(AC35=$AC$17,AF35-$AF$40,""))</f>
        <v/>
      </c>
      <c r="AJ35" s="342" t="str">
        <f>IF(AC35&lt;$AC$17,$G$7-AF36,IF(AC35=$AC$17,$G$7-$AF$40,""))</f>
        <v/>
      </c>
      <c r="AN35" s="357"/>
    </row>
    <row r="36" spans="1:44" ht="18" customHeight="1">
      <c r="A36" s="1358"/>
      <c r="B36" s="665" t="str">
        <f>IF(A35&lt;$K$16,J35,"")</f>
        <v/>
      </c>
      <c r="C36" s="805" t="str">
        <f>C35</f>
        <v>4</v>
      </c>
      <c r="D36" s="1353"/>
      <c r="E36" s="1353"/>
      <c r="F36" s="1352"/>
      <c r="G36" s="344"/>
      <c r="H36" s="798"/>
      <c r="I36" s="811"/>
      <c r="J36" s="818"/>
      <c r="K36" s="813" t="str">
        <f>IF(J36=0,"",COUNTA($J$17:J36))</f>
        <v/>
      </c>
      <c r="L36" s="813"/>
      <c r="M36" s="815"/>
      <c r="N36" s="815" t="str">
        <f t="shared" si="3"/>
        <v/>
      </c>
      <c r="O36" s="816"/>
      <c r="P36" s="798"/>
      <c r="Q36" s="798"/>
      <c r="R36" s="798"/>
      <c r="S36" s="798"/>
      <c r="T36" s="798"/>
      <c r="U36" s="798"/>
      <c r="V36" s="798"/>
      <c r="W36" s="798"/>
      <c r="X36" s="798"/>
      <c r="Y36" s="798"/>
      <c r="Z36" s="798"/>
      <c r="AA36" s="627"/>
      <c r="AB36" s="342"/>
      <c r="AC36" s="342"/>
      <c r="AD36" s="342"/>
      <c r="AE36" s="621" t="str">
        <f t="shared" si="4"/>
        <v/>
      </c>
      <c r="AF36" s="342" t="str">
        <f>AF37</f>
        <v/>
      </c>
      <c r="AG36" s="342"/>
      <c r="AH36" s="629"/>
      <c r="AI36" s="342"/>
      <c r="AJ36" s="342"/>
      <c r="AN36" s="357"/>
      <c r="AR36" s="553"/>
    </row>
    <row r="37" spans="1:44" ht="10.5" customHeight="1">
      <c r="A37" s="1358" t="str">
        <f>K37</f>
        <v/>
      </c>
      <c r="B37" s="665" t="str">
        <f>B36</f>
        <v/>
      </c>
      <c r="C37" s="805" t="str">
        <f>M37</f>
        <v>4</v>
      </c>
      <c r="D37" s="1353" t="e">
        <f>IF(A37&lt;$K$16,B37-B38,B37-$B$40)</f>
        <v>#VALUE!</v>
      </c>
      <c r="E37" s="1353" t="str">
        <f>IF(A37&lt;$K$16,$G$5-B38,IF(A37=$K$16,$G$5-$B$40,""))</f>
        <v/>
      </c>
      <c r="F37" s="1352" t="str">
        <f>IF(A37&lt;=$K$16,VLOOKUP(O37,$P$20:$Q$26,2,0),"")</f>
        <v/>
      </c>
      <c r="G37" s="341"/>
      <c r="H37" s="193"/>
      <c r="I37" s="811" t="s">
        <v>935</v>
      </c>
      <c r="J37" s="818">
        <f>IF(VLOOKUP($G$2,'ĐT ĐC'!$B:$Z,13,0)="",0,VLOOKUP($G$2,'ĐT ĐC'!$B:$Z,13,0))</f>
        <v>0</v>
      </c>
      <c r="K37" s="813" t="str">
        <f>IF(J37=0,"",COUNTA($J$17:J37))</f>
        <v/>
      </c>
      <c r="L37" s="813"/>
      <c r="M37" s="815" t="str">
        <f t="shared" si="6"/>
        <v>4</v>
      </c>
      <c r="N37" s="815" t="str">
        <f t="shared" si="3"/>
        <v/>
      </c>
      <c r="O37" s="816" t="str">
        <f>IF(VLOOKUP($G$2,'ĐT ĐC'!$B:$Z,24,0)="","",VLOOKUP($G$2,'ĐT ĐC'!$B:$Z,24,0))</f>
        <v/>
      </c>
      <c r="P37" s="193"/>
      <c r="Q37" s="193"/>
      <c r="R37" s="193"/>
      <c r="S37" s="193"/>
      <c r="T37" s="193"/>
      <c r="U37" s="193"/>
      <c r="V37" s="193"/>
      <c r="W37" s="193"/>
      <c r="X37" s="193"/>
      <c r="Y37" s="193"/>
      <c r="Z37" s="193"/>
      <c r="AA37" s="627"/>
      <c r="AB37" s="342">
        <f>AB35+1</f>
        <v>15</v>
      </c>
      <c r="AC37" s="626" t="str">
        <f>IF($AC$17&gt;=AB37,AB37,"")</f>
        <v/>
      </c>
      <c r="AD37" s="342" t="e">
        <f>VLOOKUP(AB37,$AC$5:$AF$15,2,0)</f>
        <v>#N/A</v>
      </c>
      <c r="AE37" s="621" t="str">
        <f>IF(AC37="","",LEFT(AD37,1))</f>
        <v/>
      </c>
      <c r="AF37" s="342" t="str">
        <f>IF(AC37="","",VLOOKUP(AC37,$AC$3:AF$15,3,0))</f>
        <v/>
      </c>
      <c r="AG37" s="342" t="str">
        <f>IF(AC37="","",VLOOKUP(AC37,$AC$3:AF$15,4,0))</f>
        <v/>
      </c>
      <c r="AH37" s="629" t="str">
        <f>IF(AE37="",AH35,AE37)</f>
        <v>4</v>
      </c>
      <c r="AI37" s="342" t="str">
        <f>IF(AC37&lt;$AC$17,AF37-AF38,IF(AC37=$AC$17,AF37-$AF$40,""))</f>
        <v/>
      </c>
      <c r="AJ37" s="342" t="str">
        <f>IF(AC37&lt;$AC$17,$G$7-AF38,IF(AC37=$AC$17,$G$7-$AF$40,""))</f>
        <v/>
      </c>
      <c r="AN37" s="357"/>
    </row>
    <row r="38" spans="1:44" ht="18" customHeight="1">
      <c r="A38" s="1358"/>
      <c r="B38" s="665" t="str">
        <f>IF(A37&lt;$K$16,J37,"")</f>
        <v/>
      </c>
      <c r="C38" s="805" t="str">
        <f>C37</f>
        <v>4</v>
      </c>
      <c r="D38" s="1353"/>
      <c r="E38" s="1353"/>
      <c r="F38" s="1352"/>
      <c r="G38" s="344"/>
      <c r="H38" s="798"/>
      <c r="I38" s="811"/>
      <c r="J38" s="818"/>
      <c r="K38" s="813" t="str">
        <f>IF(J38=0,"",COUNTA($J$17:J38))</f>
        <v/>
      </c>
      <c r="L38" s="813"/>
      <c r="M38" s="815"/>
      <c r="N38" s="815" t="str">
        <f t="shared" si="3"/>
        <v/>
      </c>
      <c r="O38" s="816"/>
      <c r="P38" s="798"/>
      <c r="Q38" s="798"/>
      <c r="R38" s="798"/>
      <c r="S38" s="798"/>
      <c r="T38" s="798"/>
      <c r="U38" s="798"/>
      <c r="V38" s="798"/>
      <c r="W38" s="798"/>
      <c r="X38" s="798"/>
      <c r="Y38" s="798"/>
      <c r="Z38" s="798"/>
      <c r="AA38" s="627"/>
      <c r="AB38" s="342"/>
      <c r="AC38" s="342"/>
      <c r="AD38" s="342"/>
      <c r="AE38" s="621" t="str">
        <f t="shared" si="4"/>
        <v/>
      </c>
      <c r="AF38" s="342" t="str">
        <f>AF39</f>
        <v/>
      </c>
      <c r="AG38" s="342"/>
      <c r="AH38" s="629"/>
      <c r="AI38" s="342"/>
      <c r="AJ38" s="342"/>
      <c r="AN38" s="357"/>
      <c r="AR38" s="553"/>
    </row>
    <row r="39" spans="1:44" ht="8.25" customHeight="1">
      <c r="A39" s="1358" t="str">
        <f>K39</f>
        <v/>
      </c>
      <c r="B39" s="626" t="str">
        <f>B38</f>
        <v/>
      </c>
      <c r="C39" s="805" t="str">
        <f>M39</f>
        <v>4</v>
      </c>
      <c r="D39" s="1353" t="e">
        <f>IF(A39&lt;$K$16,B39-B40,B39-$B$40)</f>
        <v>#VALUE!</v>
      </c>
      <c r="E39" s="1353" t="str">
        <f>IF(A39&lt;$K$16,$G$5-B40,IF(A39=$K$16,$G$5-$B$40,""))</f>
        <v/>
      </c>
      <c r="F39" s="1352" t="str">
        <f>IF(A39&lt;=$K$16,VLOOKUP(O39,$P$20:$Q$26,2,0),"")</f>
        <v/>
      </c>
      <c r="G39" s="345"/>
      <c r="H39" s="193"/>
      <c r="I39" s="811" t="s">
        <v>936</v>
      </c>
      <c r="J39" s="818">
        <f>IF(VLOOKUP($G$2,'ĐT ĐC'!$B:$Z,14,0)="",0,VLOOKUP($G$2,'ĐT ĐC'!$B:$Z,14,0))</f>
        <v>0</v>
      </c>
      <c r="K39" s="813" t="str">
        <f>IF(J39=0,"",COUNTA($J$17:J39))</f>
        <v/>
      </c>
      <c r="L39" s="813"/>
      <c r="M39" s="815" t="str">
        <f t="shared" si="6"/>
        <v>4</v>
      </c>
      <c r="N39" s="815" t="str">
        <f t="shared" si="3"/>
        <v/>
      </c>
      <c r="O39" s="816" t="str">
        <f>IF(VLOOKUP($G$2,'ĐT ĐC'!$B:$Z,25,0)="","",VLOOKUP($G$2,'ĐT ĐC'!$B:$Z,25,0))</f>
        <v/>
      </c>
      <c r="P39" s="193"/>
      <c r="Q39" s="193"/>
      <c r="R39" s="193"/>
      <c r="S39" s="193"/>
      <c r="T39" s="193"/>
      <c r="U39" s="193"/>
      <c r="V39" s="193"/>
      <c r="W39" s="193"/>
      <c r="X39" s="193"/>
      <c r="Y39" s="193"/>
      <c r="Z39" s="193"/>
      <c r="AA39" s="627"/>
      <c r="AB39" s="342">
        <f>AB37+1</f>
        <v>16</v>
      </c>
      <c r="AC39" s="342" t="str">
        <f>IF($AC$17&gt;=AB39,AB39,"")</f>
        <v/>
      </c>
      <c r="AD39" s="342" t="e">
        <f>VLOOKUP(AB39,$AC$5:$AF$15,2,0)</f>
        <v>#N/A</v>
      </c>
      <c r="AE39" s="621" t="str">
        <f>IF(AC39="","",LEFT(AD39,1))</f>
        <v/>
      </c>
      <c r="AF39" s="342" t="str">
        <f>IF(AC39="","",VLOOKUP(AC39,$AC$3:AF$15,3,0))</f>
        <v/>
      </c>
      <c r="AG39" s="342" t="str">
        <f>IF(AC39="","",VLOOKUP(AC39,$AC$3:AF$15,4,0))</f>
        <v/>
      </c>
      <c r="AH39" s="629" t="str">
        <f>IF(AE39="",AH37,AE39)</f>
        <v>4</v>
      </c>
      <c r="AI39" s="342" t="str">
        <f>IF(AC39&lt;$AC$17,AF39-AF40,IF(AC39=$AC$17,AF39-$AF$40,""))</f>
        <v/>
      </c>
      <c r="AJ39" s="342" t="str">
        <f>IF(AC39&lt;$AC$17,$G$7-AF40,IF(AC39=$AC$17,$G$7-$AF$40,""))</f>
        <v/>
      </c>
      <c r="AN39" s="357"/>
      <c r="AR39" s="553"/>
    </row>
    <row r="40" spans="1:44" ht="13.5" customHeight="1">
      <c r="A40" s="1361"/>
      <c r="B40" s="665">
        <f>AF40</f>
        <v>-29.703000000000003</v>
      </c>
      <c r="C40" s="807" t="str">
        <f>C39</f>
        <v>4</v>
      </c>
      <c r="D40" s="1355"/>
      <c r="E40" s="1355"/>
      <c r="F40" s="1356"/>
      <c r="G40" s="346"/>
      <c r="H40" s="799"/>
      <c r="I40" s="811"/>
      <c r="J40" s="818"/>
      <c r="K40" s="813" t="str">
        <f>IF(J40=0,"",COUNTA($J$17:J40))</f>
        <v/>
      </c>
      <c r="L40" s="813"/>
      <c r="M40" s="815"/>
      <c r="N40" s="815" t="str">
        <f t="shared" si="3"/>
        <v/>
      </c>
      <c r="O40" s="819"/>
      <c r="P40" s="799"/>
      <c r="Q40" s="799"/>
      <c r="R40" s="799"/>
      <c r="S40" s="799"/>
      <c r="T40" s="799"/>
      <c r="U40" s="799"/>
      <c r="V40" s="799"/>
      <c r="W40" s="799"/>
      <c r="X40" s="799"/>
      <c r="Y40" s="799"/>
      <c r="Z40" s="799"/>
      <c r="AF40" s="553">
        <f>AC1</f>
        <v>-29.703000000000003</v>
      </c>
      <c r="AK40" s="334" t="str">
        <f>LEFT(AD16,1)</f>
        <v/>
      </c>
      <c r="AN40" s="357"/>
      <c r="AR40" s="553"/>
    </row>
    <row r="41" spans="1:44" ht="13.5" customHeight="1">
      <c r="A41" s="630"/>
      <c r="B41" s="348"/>
      <c r="C41" s="349"/>
      <c r="D41" s="351"/>
      <c r="E41" s="352"/>
      <c r="F41" s="353"/>
      <c r="G41" s="900">
        <f>'2. NK'!H50</f>
        <v>29.35</v>
      </c>
      <c r="H41" s="800"/>
      <c r="I41" s="800"/>
      <c r="J41" s="817">
        <f>MIN(J17:J40)</f>
        <v>-29.702999999999999</v>
      </c>
      <c r="K41" s="800"/>
      <c r="L41" s="800"/>
      <c r="M41" s="800"/>
      <c r="N41" s="800"/>
      <c r="O41" s="820"/>
      <c r="P41" s="800"/>
      <c r="Q41" s="800"/>
      <c r="R41" s="800"/>
      <c r="S41" s="800"/>
      <c r="T41" s="800"/>
      <c r="U41" s="800"/>
      <c r="V41" s="800"/>
      <c r="W41" s="800"/>
      <c r="X41" s="800"/>
      <c r="Y41" s="800"/>
      <c r="Z41" s="800"/>
      <c r="AK41" s="334" t="str">
        <f>LEFT(AD17,1)</f>
        <v/>
      </c>
      <c r="AN41" s="357"/>
    </row>
    <row r="42" spans="1:44" ht="16.5" customHeight="1">
      <c r="A42" s="902"/>
      <c r="B42" s="354"/>
      <c r="C42" s="355"/>
      <c r="D42" s="356"/>
      <c r="E42" s="354"/>
      <c r="G42" s="733"/>
      <c r="H42" s="193"/>
      <c r="I42" s="193"/>
      <c r="J42" s="193"/>
      <c r="K42" s="193"/>
      <c r="L42" s="193"/>
      <c r="M42" s="193"/>
      <c r="N42" s="193"/>
      <c r="O42" s="193"/>
      <c r="P42" s="193"/>
      <c r="Q42" s="193"/>
      <c r="R42" s="193"/>
      <c r="S42" s="193"/>
      <c r="T42" s="193"/>
      <c r="U42" s="193"/>
      <c r="V42" s="193"/>
      <c r="W42" s="193"/>
      <c r="X42" s="193"/>
      <c r="Y42" s="193"/>
      <c r="Z42" s="193"/>
    </row>
    <row r="43" spans="1:44" ht="13.5" customHeight="1">
      <c r="A43" s="1354" t="s">
        <v>820</v>
      </c>
      <c r="B43" s="1354"/>
      <c r="C43" s="1354"/>
      <c r="D43" s="1354" t="s">
        <v>186</v>
      </c>
      <c r="E43" s="1354"/>
      <c r="F43" s="1354"/>
      <c r="G43" s="901" t="s">
        <v>5</v>
      </c>
      <c r="H43" s="801"/>
      <c r="I43" s="801"/>
      <c r="J43" s="801"/>
      <c r="K43" s="801"/>
      <c r="L43" s="801"/>
      <c r="M43" s="801"/>
      <c r="N43" s="801"/>
      <c r="O43" s="801"/>
      <c r="P43" s="801"/>
      <c r="Q43" s="801"/>
      <c r="R43" s="801"/>
      <c r="S43" s="801"/>
      <c r="T43" s="801"/>
      <c r="U43" s="801"/>
      <c r="V43" s="801"/>
      <c r="W43" s="801"/>
      <c r="X43" s="801"/>
      <c r="Y43" s="801"/>
      <c r="Z43" s="801"/>
    </row>
    <row r="44" spans="1:44" ht="13.5" customHeight="1">
      <c r="A44" s="340"/>
      <c r="B44" s="1351"/>
      <c r="C44" s="1351"/>
      <c r="D44" s="340"/>
      <c r="E44" s="340"/>
      <c r="F44" s="783"/>
      <c r="G44" s="887"/>
      <c r="H44" s="787"/>
      <c r="I44" s="787"/>
      <c r="J44" s="787"/>
      <c r="K44" s="787"/>
      <c r="L44" s="787"/>
      <c r="M44" s="787"/>
      <c r="N44" s="787"/>
      <c r="O44" s="787"/>
      <c r="P44" s="787"/>
      <c r="Q44" s="787"/>
      <c r="R44" s="787"/>
      <c r="S44" s="787"/>
      <c r="T44" s="787"/>
      <c r="U44" s="787"/>
      <c r="V44" s="787"/>
      <c r="W44" s="787"/>
      <c r="X44" s="787"/>
      <c r="Y44" s="787"/>
      <c r="Z44" s="787"/>
    </row>
    <row r="45" spans="1:44" ht="13.5" customHeight="1">
      <c r="A45" s="340"/>
      <c r="B45" s="340"/>
      <c r="C45" s="358"/>
      <c r="D45" s="340"/>
      <c r="E45" s="340"/>
      <c r="F45" s="783"/>
      <c r="G45" s="358"/>
      <c r="H45" s="193"/>
      <c r="I45" s="193"/>
      <c r="J45" s="193"/>
      <c r="K45" s="193"/>
      <c r="L45" s="193"/>
      <c r="M45" s="193"/>
      <c r="N45" s="193"/>
      <c r="O45" s="193"/>
      <c r="P45" s="193"/>
      <c r="Q45" s="193"/>
      <c r="R45" s="193"/>
      <c r="S45" s="193"/>
      <c r="T45" s="193"/>
      <c r="U45" s="193"/>
      <c r="V45" s="193"/>
      <c r="W45" s="193"/>
      <c r="X45" s="193"/>
      <c r="Y45" s="193"/>
      <c r="Z45" s="193"/>
    </row>
    <row r="46" spans="1:44" ht="13.5" customHeight="1">
      <c r="A46" s="340"/>
      <c r="B46" s="340"/>
      <c r="C46" s="358"/>
      <c r="D46" s="340"/>
      <c r="E46" s="340"/>
      <c r="F46" s="358"/>
      <c r="G46" s="340"/>
      <c r="H46" s="699"/>
      <c r="I46" s="699"/>
      <c r="J46" s="699"/>
      <c r="K46" s="699"/>
      <c r="L46" s="699"/>
      <c r="M46" s="699"/>
      <c r="N46" s="699"/>
      <c r="O46" s="699"/>
      <c r="P46" s="699"/>
      <c r="Q46" s="699"/>
      <c r="R46" s="699"/>
      <c r="S46" s="699"/>
      <c r="T46" s="699"/>
      <c r="U46" s="699"/>
      <c r="V46" s="699"/>
      <c r="W46" s="699"/>
      <c r="X46" s="699"/>
      <c r="Y46" s="699"/>
      <c r="Z46" s="699"/>
    </row>
    <row r="47" spans="1:44" ht="13.5" customHeight="1">
      <c r="A47" s="359"/>
      <c r="B47" s="340"/>
      <c r="C47" s="358"/>
      <c r="D47" s="340"/>
      <c r="E47" s="340"/>
      <c r="F47" s="358"/>
      <c r="G47" s="358"/>
    </row>
    <row r="53" spans="27:28" ht="13.5" customHeight="1">
      <c r="AA53" s="334" t="e">
        <f>LEFT(#REF!,1)</f>
        <v>#REF!</v>
      </c>
      <c r="AB53" s="334" t="str">
        <f>IF(AA11="","",AA47)</f>
        <v/>
      </c>
    </row>
    <row r="54" spans="27:28" ht="13.5" customHeight="1">
      <c r="AB54" s="334" t="str">
        <f>IF(AA12="","",AA48)</f>
        <v/>
      </c>
    </row>
    <row r="55" spans="27:28" ht="13.5" customHeight="1">
      <c r="AB55" s="334" t="str">
        <f>IF(AA13="","",AA49)</f>
        <v/>
      </c>
    </row>
    <row r="56" spans="27:28" ht="13.5" customHeight="1">
      <c r="AB56" s="334" t="str">
        <f>IF(AA14="","",AA50)</f>
        <v/>
      </c>
    </row>
    <row r="57" spans="27:28" ht="13.5" customHeight="1">
      <c r="AB57" s="334" t="str">
        <f>IF(AA15="","",AA51)</f>
        <v/>
      </c>
    </row>
  </sheetData>
  <mergeCells count="68">
    <mergeCell ref="A35:A36"/>
    <mergeCell ref="A33:A34"/>
    <mergeCell ref="D35:D36"/>
    <mergeCell ref="D31:D32"/>
    <mergeCell ref="D33:D34"/>
    <mergeCell ref="F11:F18"/>
    <mergeCell ref="E19:E20"/>
    <mergeCell ref="E21:E22"/>
    <mergeCell ref="E23:E24"/>
    <mergeCell ref="E25:E26"/>
    <mergeCell ref="F21:F22"/>
    <mergeCell ref="F23:F24"/>
    <mergeCell ref="F25:F26"/>
    <mergeCell ref="A43:C43"/>
    <mergeCell ref="C3:E3"/>
    <mergeCell ref="C4:E4"/>
    <mergeCell ref="C5:E5"/>
    <mergeCell ref="E6:E8"/>
    <mergeCell ref="C6:C8"/>
    <mergeCell ref="D6:D8"/>
    <mergeCell ref="A37:A38"/>
    <mergeCell ref="D37:D38"/>
    <mergeCell ref="E11:E18"/>
    <mergeCell ref="C11:C18"/>
    <mergeCell ref="D11:D18"/>
    <mergeCell ref="B11:B12"/>
    <mergeCell ref="A11:A18"/>
    <mergeCell ref="B13:B18"/>
    <mergeCell ref="D19:D20"/>
    <mergeCell ref="F6:F8"/>
    <mergeCell ref="A9:A10"/>
    <mergeCell ref="D9:D10"/>
    <mergeCell ref="A6:A8"/>
    <mergeCell ref="B6:B8"/>
    <mergeCell ref="F9:F10"/>
    <mergeCell ref="E9:E10"/>
    <mergeCell ref="E39:E40"/>
    <mergeCell ref="F39:F40"/>
    <mergeCell ref="A19:A20"/>
    <mergeCell ref="A21:A22"/>
    <mergeCell ref="A23:A24"/>
    <mergeCell ref="A25:A26"/>
    <mergeCell ref="F19:F20"/>
    <mergeCell ref="A39:A40"/>
    <mergeCell ref="D39:D40"/>
    <mergeCell ref="A27:A28"/>
    <mergeCell ref="F27:F28"/>
    <mergeCell ref="F29:F30"/>
    <mergeCell ref="F31:F32"/>
    <mergeCell ref="F33:F34"/>
    <mergeCell ref="A29:A30"/>
    <mergeCell ref="A31:A32"/>
    <mergeCell ref="AN20:AN22"/>
    <mergeCell ref="B44:C44"/>
    <mergeCell ref="F35:F36"/>
    <mergeCell ref="F37:F38"/>
    <mergeCell ref="D27:D28"/>
    <mergeCell ref="D21:D22"/>
    <mergeCell ref="D23:D24"/>
    <mergeCell ref="D25:D26"/>
    <mergeCell ref="E35:E36"/>
    <mergeCell ref="E37:E38"/>
    <mergeCell ref="D43:F43"/>
    <mergeCell ref="E27:E28"/>
    <mergeCell ref="E29:E30"/>
    <mergeCell ref="E31:E32"/>
    <mergeCell ref="E33:E34"/>
    <mergeCell ref="D29:D30"/>
  </mergeCells>
  <phoneticPr fontId="0" type="noConversion"/>
  <conditionalFormatting sqref="C9:C10 R20">
    <cfRule type="cellIs" dxfId="14" priority="18" stopIfTrue="1" operator="equal">
      <formula>1</formula>
    </cfRule>
  </conditionalFormatting>
  <conditionalFormatting sqref="A37:A38 B37 D37:F38">
    <cfRule type="cellIs" dxfId="13" priority="19" stopIfTrue="1" operator="notEqual">
      <formula>""</formula>
    </cfRule>
  </conditionalFormatting>
  <conditionalFormatting sqref="B39 A19:A36 B19 F21:F36 B25 B27 B29 B31 B33 B35 D19:E36 F19 B21 B23">
    <cfRule type="cellIs" dxfId="12" priority="20" stopIfTrue="1" operator="notEqual">
      <formula>""</formula>
    </cfRule>
  </conditionalFormatting>
  <conditionalFormatting sqref="B40 B20 B24 B26 B28 B30 B32 B34 B36 B22 AC37 B38 D39:E40 F39 A39">
    <cfRule type="cellIs" dxfId="11" priority="21" stopIfTrue="1" operator="notEqual">
      <formula>""</formula>
    </cfRule>
  </conditionalFormatting>
  <conditionalFormatting sqref="C19:C40">
    <cfRule type="cellIs" dxfId="10" priority="1" stopIfTrue="1" operator="equal">
      <formula>"h"</formula>
    </cfRule>
    <cfRule type="cellIs" dxfId="9" priority="2" stopIfTrue="1" operator="equal">
      <formula>"4"</formula>
    </cfRule>
  </conditionalFormatting>
  <pageMargins left="0.57999999999999996" right="0.28999999999999998" top="0.34" bottom="0.31" header="0.25" footer="0.19"/>
  <pageSetup paperSize="9" scale="9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267"/>
  <sheetViews>
    <sheetView topLeftCell="G1" workbookViewId="0">
      <pane ySplit="2" topLeftCell="A113" activePane="bottomLeft" state="frozen"/>
      <selection pane="bottomLeft" activeCell="S123" sqref="S123"/>
    </sheetView>
  </sheetViews>
  <sheetFormatPr defaultRowHeight="12.75"/>
  <cols>
    <col min="1" max="1" width="9.140625" style="825"/>
    <col min="2" max="2" width="9.140625" style="824"/>
    <col min="3" max="26" width="9.140625" style="825"/>
    <col min="27" max="27" width="9.140625" style="835"/>
    <col min="28" max="28" width="19.85546875" customWidth="1"/>
  </cols>
  <sheetData>
    <row r="1" spans="1:29" s="823" customFormat="1">
      <c r="A1" s="1386" t="s">
        <v>939</v>
      </c>
      <c r="B1" s="840" t="s">
        <v>966</v>
      </c>
      <c r="C1" s="836" t="s">
        <v>967</v>
      </c>
      <c r="D1" s="836" t="s">
        <v>968</v>
      </c>
      <c r="E1" s="836" t="s">
        <v>969</v>
      </c>
      <c r="F1" s="836" t="s">
        <v>970</v>
      </c>
      <c r="G1" s="836" t="s">
        <v>971</v>
      </c>
      <c r="H1" s="836" t="s">
        <v>972</v>
      </c>
      <c r="I1" s="836" t="s">
        <v>973</v>
      </c>
      <c r="J1" s="836" t="s">
        <v>974</v>
      </c>
      <c r="K1" s="836" t="s">
        <v>975</v>
      </c>
      <c r="L1" s="836" t="s">
        <v>976</v>
      </c>
      <c r="M1" s="836" t="s">
        <v>977</v>
      </c>
      <c r="N1" s="836" t="s">
        <v>978</v>
      </c>
      <c r="O1" s="836" t="s">
        <v>979</v>
      </c>
      <c r="P1" s="837" t="s">
        <v>926</v>
      </c>
      <c r="Q1" s="837" t="s">
        <v>927</v>
      </c>
      <c r="R1" s="837" t="s">
        <v>928</v>
      </c>
      <c r="S1" s="837" t="s">
        <v>929</v>
      </c>
      <c r="T1" s="837" t="s">
        <v>930</v>
      </c>
      <c r="U1" s="837" t="s">
        <v>931</v>
      </c>
      <c r="V1" s="837" t="s">
        <v>932</v>
      </c>
      <c r="W1" s="837" t="s">
        <v>933</v>
      </c>
      <c r="X1" s="837" t="s">
        <v>934</v>
      </c>
      <c r="Y1" s="837" t="s">
        <v>935</v>
      </c>
      <c r="Z1" s="837" t="s">
        <v>936</v>
      </c>
      <c r="AA1" s="834"/>
    </row>
    <row r="2" spans="1:29" s="823" customFormat="1">
      <c r="A2" s="1386"/>
      <c r="B2" s="841">
        <v>1</v>
      </c>
      <c r="C2" s="841">
        <v>2</v>
      </c>
      <c r="D2" s="841">
        <v>3</v>
      </c>
      <c r="E2" s="841">
        <v>4</v>
      </c>
      <c r="F2" s="841">
        <v>5</v>
      </c>
      <c r="G2" s="841">
        <v>6</v>
      </c>
      <c r="H2" s="841">
        <v>7</v>
      </c>
      <c r="I2" s="841">
        <v>8</v>
      </c>
      <c r="J2" s="841">
        <v>9</v>
      </c>
      <c r="K2" s="841">
        <v>10</v>
      </c>
      <c r="L2" s="841">
        <v>11</v>
      </c>
      <c r="M2" s="841">
        <v>12</v>
      </c>
      <c r="N2" s="841">
        <v>13</v>
      </c>
      <c r="O2" s="841">
        <v>14</v>
      </c>
      <c r="P2" s="841">
        <v>15</v>
      </c>
      <c r="Q2" s="841">
        <v>16</v>
      </c>
      <c r="R2" s="841">
        <v>17</v>
      </c>
      <c r="S2" s="841">
        <v>18</v>
      </c>
      <c r="T2" s="841">
        <v>19</v>
      </c>
      <c r="U2" s="841">
        <v>20</v>
      </c>
      <c r="V2" s="841">
        <v>21</v>
      </c>
      <c r="W2" s="841">
        <v>22</v>
      </c>
      <c r="X2" s="841">
        <v>23</v>
      </c>
      <c r="Y2" s="841">
        <v>24</v>
      </c>
      <c r="Z2" s="841">
        <v>25</v>
      </c>
      <c r="AA2" s="834"/>
    </row>
    <row r="3" spans="1:29" s="907" customFormat="1">
      <c r="A3" s="838">
        <f>IF(C3="","",COUNTA($C$3:C3))</f>
        <v>1</v>
      </c>
      <c r="B3" s="911" t="s">
        <v>583</v>
      </c>
      <c r="C3" s="911">
        <v>-4.915</v>
      </c>
      <c r="D3" s="911">
        <v>-26.3</v>
      </c>
      <c r="E3" s="911">
        <v>-27.15</v>
      </c>
      <c r="F3" s="911">
        <v>-29.15</v>
      </c>
      <c r="G3" s="911">
        <v>-30.15</v>
      </c>
      <c r="H3" s="911">
        <v>-31.05</v>
      </c>
      <c r="I3" s="911">
        <v>-39.85</v>
      </c>
      <c r="J3" s="911"/>
      <c r="K3" s="911"/>
      <c r="L3" s="911"/>
      <c r="M3" s="911"/>
      <c r="N3" s="911"/>
      <c r="O3" s="911"/>
      <c r="P3" s="911" t="s">
        <v>741</v>
      </c>
      <c r="Q3" s="911" t="s">
        <v>990</v>
      </c>
      <c r="R3" s="911" t="s">
        <v>747</v>
      </c>
      <c r="S3" s="911" t="s">
        <v>990</v>
      </c>
      <c r="T3" s="911" t="s">
        <v>747</v>
      </c>
      <c r="U3" s="911"/>
      <c r="V3" s="911"/>
      <c r="W3" s="911"/>
      <c r="X3" s="911"/>
      <c r="Y3" s="911"/>
      <c r="Z3" s="911"/>
      <c r="AA3" s="905" t="s">
        <v>735</v>
      </c>
      <c r="AB3" s="906" t="s">
        <v>736</v>
      </c>
      <c r="AC3" s="906" t="s">
        <v>737</v>
      </c>
    </row>
    <row r="4" spans="1:29" s="907" customFormat="1">
      <c r="A4" s="838">
        <f>IF(C4="","",COUNTA($C$3:C4))</f>
        <v>2</v>
      </c>
      <c r="B4" s="911" t="s">
        <v>635</v>
      </c>
      <c r="C4" s="911">
        <v>-5.0640000000000001</v>
      </c>
      <c r="D4" s="911">
        <v>-22.652999999999999</v>
      </c>
      <c r="E4" s="911">
        <v>-23.016999999999999</v>
      </c>
      <c r="F4" s="911">
        <v>-25.064</v>
      </c>
      <c r="G4" s="911">
        <v>-29.702999999999999</v>
      </c>
      <c r="H4" s="911"/>
      <c r="I4" s="911"/>
      <c r="J4" s="911"/>
      <c r="K4" s="911"/>
      <c r="L4" s="911"/>
      <c r="M4" s="911"/>
      <c r="N4" s="911"/>
      <c r="O4" s="911"/>
      <c r="P4" s="911" t="s">
        <v>741</v>
      </c>
      <c r="Q4" s="911" t="s">
        <v>990</v>
      </c>
      <c r="R4" s="911" t="s">
        <v>741</v>
      </c>
      <c r="S4" s="911"/>
      <c r="T4" s="911"/>
      <c r="U4" s="911"/>
      <c r="V4" s="911"/>
      <c r="W4" s="911"/>
      <c r="X4" s="911"/>
      <c r="Y4" s="911"/>
      <c r="Z4" s="911"/>
      <c r="AA4" s="905">
        <v>1</v>
      </c>
      <c r="AB4" s="906" t="s">
        <v>738</v>
      </c>
      <c r="AC4" s="906">
        <v>1</v>
      </c>
    </row>
    <row r="5" spans="1:29" s="907" customFormat="1">
      <c r="A5" s="838">
        <f>IF(C5="","",COUNTA($C$3:C5))</f>
        <v>3</v>
      </c>
      <c r="B5" s="911" t="s">
        <v>578</v>
      </c>
      <c r="C5" s="911">
        <v>-5.5279999999999996</v>
      </c>
      <c r="D5" s="911">
        <v>-29.155999999999999</v>
      </c>
      <c r="E5" s="911">
        <v>-34.33</v>
      </c>
      <c r="F5" s="911">
        <v>-35.03</v>
      </c>
      <c r="G5" s="911">
        <v>-39.756</v>
      </c>
      <c r="H5" s="911"/>
      <c r="I5" s="911"/>
      <c r="J5" s="911"/>
      <c r="K5" s="911"/>
      <c r="L5" s="911"/>
      <c r="M5" s="911"/>
      <c r="N5" s="911"/>
      <c r="O5" s="911"/>
      <c r="P5" s="911" t="s">
        <v>741</v>
      </c>
      <c r="Q5" s="911" t="s">
        <v>990</v>
      </c>
      <c r="R5" s="911" t="s">
        <v>747</v>
      </c>
      <c r="S5" s="911"/>
      <c r="T5" s="911"/>
      <c r="U5" s="911"/>
      <c r="V5" s="911"/>
      <c r="W5" s="911"/>
      <c r="X5" s="911"/>
      <c r="Y5" s="911"/>
      <c r="Z5" s="911"/>
      <c r="AA5" s="905">
        <v>2</v>
      </c>
      <c r="AB5" s="906" t="s">
        <v>739</v>
      </c>
      <c r="AC5" s="906">
        <v>2</v>
      </c>
    </row>
    <row r="6" spans="1:29" s="907" customFormat="1">
      <c r="A6" s="838">
        <f>IF(C6="","",COUNTA($C$3:C6))</f>
        <v>4</v>
      </c>
      <c r="B6" s="911" t="s">
        <v>662</v>
      </c>
      <c r="C6" s="911">
        <v>-4.9669999999999996</v>
      </c>
      <c r="D6" s="911">
        <v>-22.567</v>
      </c>
      <c r="E6" s="911">
        <v>-23.667000000000002</v>
      </c>
      <c r="F6" s="911"/>
      <c r="G6" s="911"/>
      <c r="H6" s="911"/>
      <c r="I6" s="911"/>
      <c r="J6" s="911"/>
      <c r="K6" s="911"/>
      <c r="L6" s="911"/>
      <c r="M6" s="911"/>
      <c r="N6" s="911"/>
      <c r="O6" s="911"/>
      <c r="P6" s="911" t="s">
        <v>741</v>
      </c>
      <c r="Q6" s="911"/>
      <c r="R6" s="911"/>
      <c r="S6" s="911"/>
      <c r="T6" s="911"/>
      <c r="U6" s="911"/>
      <c r="V6" s="911"/>
      <c r="W6" s="911"/>
      <c r="X6" s="911"/>
      <c r="Y6" s="911"/>
      <c r="Z6" s="911"/>
      <c r="AA6" s="905">
        <v>3</v>
      </c>
      <c r="AB6" s="906" t="s">
        <v>740</v>
      </c>
      <c r="AC6" s="906">
        <v>3</v>
      </c>
    </row>
    <row r="7" spans="1:29" s="907" customFormat="1">
      <c r="A7" s="838">
        <f>IF(C7="","",COUNTA($C$3:C7))</f>
        <v>5</v>
      </c>
      <c r="B7" s="911" t="s">
        <v>566</v>
      </c>
      <c r="C7" s="911">
        <v>-5.1779999999999999</v>
      </c>
      <c r="D7" s="911">
        <v>-25.378</v>
      </c>
      <c r="E7" s="911">
        <v>-32.578000000000003</v>
      </c>
      <c r="F7" s="911"/>
      <c r="G7" s="911"/>
      <c r="H7" s="911"/>
      <c r="I7" s="911"/>
      <c r="J7" s="911"/>
      <c r="K7" s="911"/>
      <c r="L7" s="911"/>
      <c r="M7" s="911"/>
      <c r="N7" s="911"/>
      <c r="O7" s="911"/>
      <c r="P7" s="911" t="s">
        <v>741</v>
      </c>
      <c r="Q7" s="911"/>
      <c r="R7" s="911"/>
      <c r="S7" s="911"/>
      <c r="T7" s="911"/>
      <c r="U7" s="911"/>
      <c r="V7" s="911"/>
      <c r="W7" s="911"/>
      <c r="X7" s="911"/>
      <c r="Y7" s="911"/>
      <c r="Z7" s="911"/>
      <c r="AA7" s="905" t="s">
        <v>741</v>
      </c>
      <c r="AB7" s="906" t="s">
        <v>742</v>
      </c>
      <c r="AC7" s="906" t="s">
        <v>741</v>
      </c>
    </row>
    <row r="8" spans="1:29" s="907" customFormat="1">
      <c r="A8" s="838">
        <f>IF(C8="","",COUNTA($C$3:C8))</f>
        <v>6</v>
      </c>
      <c r="B8" s="911" t="s">
        <v>547</v>
      </c>
      <c r="C8" s="911">
        <v>-5.9160000000000004</v>
      </c>
      <c r="D8" s="911">
        <v>-21.815999999999999</v>
      </c>
      <c r="E8" s="911">
        <v>-22.966000000000001</v>
      </c>
      <c r="F8" s="911"/>
      <c r="G8" s="911"/>
      <c r="H8" s="911"/>
      <c r="I8" s="911"/>
      <c r="J8" s="911"/>
      <c r="K8" s="911"/>
      <c r="L8" s="911"/>
      <c r="M8" s="911"/>
      <c r="N8" s="911"/>
      <c r="O8" s="911"/>
      <c r="P8" s="911" t="s">
        <v>741</v>
      </c>
      <c r="Q8" s="911"/>
      <c r="R8" s="911"/>
      <c r="S8" s="911"/>
      <c r="T8" s="911"/>
      <c r="U8" s="911"/>
      <c r="V8" s="911"/>
      <c r="W8" s="911"/>
      <c r="X8" s="911"/>
      <c r="Y8" s="911"/>
      <c r="Z8" s="911"/>
      <c r="AA8" s="905" t="s">
        <v>743</v>
      </c>
      <c r="AB8" s="906" t="s">
        <v>744</v>
      </c>
      <c r="AC8" s="906" t="s">
        <v>743</v>
      </c>
    </row>
    <row r="9" spans="1:29" s="907" customFormat="1">
      <c r="A9" s="838">
        <f>IF(C9="","",COUNTA($C$3:C9))</f>
        <v>7</v>
      </c>
      <c r="B9" s="911" t="s">
        <v>489</v>
      </c>
      <c r="C9" s="911">
        <v>-5.4550000000000001</v>
      </c>
      <c r="D9" s="911">
        <v>-21.454999999999998</v>
      </c>
      <c r="E9" s="911">
        <v>-23.155000000000001</v>
      </c>
      <c r="F9" s="911"/>
      <c r="G9" s="911"/>
      <c r="H9" s="911"/>
      <c r="I9" s="911"/>
      <c r="J9" s="911"/>
      <c r="K9" s="911"/>
      <c r="L9" s="911"/>
      <c r="M9" s="911"/>
      <c r="N9" s="911"/>
      <c r="O9" s="911"/>
      <c r="P9" s="911" t="s">
        <v>741</v>
      </c>
      <c r="Q9" s="911"/>
      <c r="R9" s="911"/>
      <c r="S9" s="911"/>
      <c r="T9" s="911"/>
      <c r="U9" s="911"/>
      <c r="V9" s="911"/>
      <c r="W9" s="911"/>
      <c r="X9" s="911"/>
      <c r="Y9" s="911"/>
      <c r="Z9" s="911"/>
      <c r="AA9" s="905" t="s">
        <v>745</v>
      </c>
      <c r="AB9" s="906" t="s">
        <v>746</v>
      </c>
      <c r="AC9" s="906" t="s">
        <v>745</v>
      </c>
    </row>
    <row r="10" spans="1:29" s="907" customFormat="1">
      <c r="A10" s="838">
        <f>IF(C10="","",COUNTA($C$3:C10))</f>
        <v>8</v>
      </c>
      <c r="B10" s="911" t="s">
        <v>618</v>
      </c>
      <c r="C10" s="911">
        <v>-6.1589999999999998</v>
      </c>
      <c r="D10" s="911">
        <v>-25.658999999999999</v>
      </c>
      <c r="E10" s="911">
        <v>-27.559000000000001</v>
      </c>
      <c r="F10" s="911"/>
      <c r="G10" s="911"/>
      <c r="H10" s="911"/>
      <c r="I10" s="911"/>
      <c r="J10" s="911"/>
      <c r="K10" s="911"/>
      <c r="L10" s="911"/>
      <c r="M10" s="911"/>
      <c r="N10" s="911"/>
      <c r="O10" s="911"/>
      <c r="P10" s="911" t="s">
        <v>741</v>
      </c>
      <c r="Q10" s="911"/>
      <c r="R10" s="911"/>
      <c r="S10" s="911"/>
      <c r="T10" s="911"/>
      <c r="U10" s="911"/>
      <c r="V10" s="911"/>
      <c r="W10" s="911"/>
      <c r="X10" s="911"/>
      <c r="Y10" s="911"/>
      <c r="Z10" s="911"/>
      <c r="AA10" s="905" t="s">
        <v>747</v>
      </c>
      <c r="AB10" s="906" t="s">
        <v>748</v>
      </c>
      <c r="AC10" s="906" t="s">
        <v>747</v>
      </c>
    </row>
    <row r="11" spans="1:29" s="907" customFormat="1">
      <c r="A11" s="838">
        <f>IF(C11="","",COUNTA($C$3:C11))</f>
        <v>9</v>
      </c>
      <c r="B11" s="911" t="s">
        <v>499</v>
      </c>
      <c r="C11" s="911">
        <v>-5.1050000000000004</v>
      </c>
      <c r="D11" s="911">
        <v>-22.905000000000001</v>
      </c>
      <c r="E11" s="911">
        <v>-23.405000000000001</v>
      </c>
      <c r="F11" s="911">
        <v>-24.004999999999999</v>
      </c>
      <c r="G11" s="911">
        <v>-28.204999999999998</v>
      </c>
      <c r="H11" s="911"/>
      <c r="I11" s="911"/>
      <c r="J11" s="911"/>
      <c r="K11" s="911"/>
      <c r="L11" s="911"/>
      <c r="M11" s="911"/>
      <c r="N11" s="911"/>
      <c r="O11" s="911"/>
      <c r="P11" s="911" t="s">
        <v>747</v>
      </c>
      <c r="Q11" s="911" t="s">
        <v>990</v>
      </c>
      <c r="R11" s="911" t="s">
        <v>747</v>
      </c>
      <c r="S11" s="911"/>
      <c r="T11" s="911"/>
      <c r="U11" s="911"/>
      <c r="V11" s="911"/>
      <c r="W11" s="911"/>
      <c r="X11" s="911"/>
      <c r="Y11" s="911"/>
      <c r="Z11" s="911"/>
      <c r="AA11" s="909"/>
      <c r="AB11" s="910"/>
      <c r="AC11" s="910"/>
    </row>
    <row r="12" spans="1:29" s="907" customFormat="1">
      <c r="A12" s="838">
        <f>IF(C12="","",COUNTA($C$3:C12))</f>
        <v>10</v>
      </c>
      <c r="B12" s="911" t="s">
        <v>639</v>
      </c>
      <c r="C12" s="911">
        <v>-3.7450000000000001</v>
      </c>
      <c r="D12" s="911">
        <v>-23.175000000000001</v>
      </c>
      <c r="E12" s="911">
        <v>-24.675000000000001</v>
      </c>
      <c r="F12" s="911"/>
      <c r="G12" s="911"/>
      <c r="H12" s="911"/>
      <c r="I12" s="911"/>
      <c r="J12" s="911"/>
      <c r="K12" s="911"/>
      <c r="L12" s="911"/>
      <c r="M12" s="911"/>
      <c r="N12" s="911"/>
      <c r="O12" s="911"/>
      <c r="P12" s="911" t="s">
        <v>747</v>
      </c>
      <c r="Q12" s="911"/>
      <c r="R12" s="911"/>
      <c r="S12" s="911"/>
      <c r="T12" s="911"/>
      <c r="U12" s="911"/>
      <c r="V12" s="911"/>
      <c r="W12" s="911"/>
      <c r="X12" s="911"/>
      <c r="Y12" s="911"/>
      <c r="Z12" s="911"/>
      <c r="AA12" s="909"/>
      <c r="AB12" s="910"/>
      <c r="AC12" s="910"/>
    </row>
    <row r="13" spans="1:29" s="907" customFormat="1">
      <c r="A13" s="838">
        <f>IF(C13="","",COUNTA($C$3:C13))</f>
        <v>11</v>
      </c>
      <c r="B13" s="911" t="s">
        <v>557</v>
      </c>
      <c r="C13" s="911">
        <v>-6.2329999999999997</v>
      </c>
      <c r="D13" s="911">
        <v>-25.033000000000001</v>
      </c>
      <c r="E13" s="911">
        <v>-26.832999999999998</v>
      </c>
      <c r="F13" s="911">
        <v>-28.832999999999998</v>
      </c>
      <c r="G13" s="911">
        <v>-35.152999999999999</v>
      </c>
      <c r="H13" s="911"/>
      <c r="I13" s="911"/>
      <c r="J13" s="911"/>
      <c r="K13" s="911"/>
      <c r="L13" s="911"/>
      <c r="M13" s="911"/>
      <c r="N13" s="911"/>
      <c r="O13" s="911"/>
      <c r="P13" s="911" t="s">
        <v>741</v>
      </c>
      <c r="Q13" s="911" t="s">
        <v>990</v>
      </c>
      <c r="R13" s="911" t="s">
        <v>747</v>
      </c>
      <c r="S13" s="911"/>
      <c r="T13" s="911"/>
      <c r="U13" s="911"/>
      <c r="V13" s="911"/>
      <c r="W13" s="911"/>
      <c r="X13" s="911"/>
      <c r="Y13" s="911"/>
      <c r="Z13" s="911"/>
      <c r="AA13" s="909"/>
      <c r="AB13" s="910"/>
      <c r="AC13" s="910"/>
    </row>
    <row r="14" spans="1:29" s="907" customFormat="1">
      <c r="A14" s="838">
        <f>IF(C14="","",COUNTA($C$3:C14))</f>
        <v>12</v>
      </c>
      <c r="B14" s="911" t="s">
        <v>647</v>
      </c>
      <c r="C14" s="911">
        <v>-5.508</v>
      </c>
      <c r="D14" s="911">
        <v>-23.41</v>
      </c>
      <c r="E14" s="911">
        <v>-27.11</v>
      </c>
      <c r="F14" s="911">
        <v>-32.11</v>
      </c>
      <c r="G14" s="911">
        <v>-33.71</v>
      </c>
      <c r="H14" s="911">
        <v>-35.81</v>
      </c>
      <c r="I14" s="911"/>
      <c r="J14" s="911"/>
      <c r="K14" s="911"/>
      <c r="L14" s="911"/>
      <c r="M14" s="911"/>
      <c r="N14" s="911"/>
      <c r="O14" s="911"/>
      <c r="P14" s="911" t="s">
        <v>990</v>
      </c>
      <c r="Q14" s="911" t="s">
        <v>741</v>
      </c>
      <c r="R14" s="911" t="s">
        <v>990</v>
      </c>
      <c r="S14" s="911" t="s">
        <v>741</v>
      </c>
      <c r="T14" s="911"/>
      <c r="U14" s="911"/>
      <c r="V14" s="911"/>
      <c r="W14" s="911"/>
      <c r="X14" s="911"/>
      <c r="Y14" s="911"/>
      <c r="Z14" s="911"/>
      <c r="AA14" s="909"/>
      <c r="AB14" s="910"/>
      <c r="AC14" s="910"/>
    </row>
    <row r="15" spans="1:29" s="907" customFormat="1">
      <c r="A15" s="838">
        <f>IF(C15="","",COUNTA($C$3:C15))</f>
        <v>13</v>
      </c>
      <c r="B15" s="911" t="s">
        <v>494</v>
      </c>
      <c r="C15" s="911">
        <v>-5.5449999999999999</v>
      </c>
      <c r="D15" s="911">
        <v>-20.565000000000001</v>
      </c>
      <c r="E15" s="911">
        <v>-23.195</v>
      </c>
      <c r="F15" s="911"/>
      <c r="G15" s="911"/>
      <c r="H15" s="911"/>
      <c r="I15" s="911"/>
      <c r="J15" s="911"/>
      <c r="K15" s="911"/>
      <c r="L15" s="911"/>
      <c r="M15" s="911"/>
      <c r="N15" s="911"/>
      <c r="O15" s="911"/>
      <c r="P15" s="911" t="s">
        <v>741</v>
      </c>
      <c r="Q15" s="911"/>
      <c r="R15" s="911"/>
      <c r="S15" s="911"/>
      <c r="T15" s="911"/>
      <c r="U15" s="911"/>
      <c r="V15" s="911"/>
      <c r="W15" s="911"/>
      <c r="X15" s="911"/>
      <c r="Y15" s="911"/>
      <c r="Z15" s="911"/>
      <c r="AA15" s="909"/>
      <c r="AB15" s="910"/>
      <c r="AC15" s="910"/>
    </row>
    <row r="16" spans="1:29" s="907" customFormat="1">
      <c r="A16" s="838">
        <f>IF(C16="","",COUNTA($C$3:C16))</f>
        <v>14</v>
      </c>
      <c r="B16" s="911" t="s">
        <v>504</v>
      </c>
      <c r="C16" s="911">
        <v>-5.375</v>
      </c>
      <c r="D16" s="911">
        <v>-23.065000000000001</v>
      </c>
      <c r="E16" s="911">
        <v>-24.07</v>
      </c>
      <c r="F16" s="911">
        <v>-25.87</v>
      </c>
      <c r="G16" s="911">
        <v>-27.295000000000002</v>
      </c>
      <c r="H16" s="911"/>
      <c r="I16" s="911"/>
      <c r="J16" s="911"/>
      <c r="K16" s="911"/>
      <c r="L16" s="911"/>
      <c r="M16" s="911"/>
      <c r="N16" s="911"/>
      <c r="O16" s="911"/>
      <c r="P16" s="911" t="s">
        <v>741</v>
      </c>
      <c r="Q16" s="911" t="s">
        <v>990</v>
      </c>
      <c r="R16" s="911" t="s">
        <v>745</v>
      </c>
      <c r="S16" s="911"/>
      <c r="T16" s="911"/>
      <c r="U16" s="911"/>
      <c r="V16" s="911"/>
      <c r="W16" s="911"/>
      <c r="X16" s="911"/>
      <c r="Y16" s="911"/>
      <c r="Z16" s="911"/>
      <c r="AA16" s="909"/>
      <c r="AB16" s="910"/>
      <c r="AC16" s="910"/>
    </row>
    <row r="17" spans="1:29" s="907" customFormat="1">
      <c r="A17" s="838">
        <f>IF(C17="","",COUNTA($C$3:C17))</f>
        <v>15</v>
      </c>
      <c r="B17" s="911" t="s">
        <v>628</v>
      </c>
      <c r="C17" s="911">
        <v>-5.3449999999999998</v>
      </c>
      <c r="D17" s="911">
        <v>-25.645</v>
      </c>
      <c r="E17" s="911">
        <v>-27.524999999999999</v>
      </c>
      <c r="F17" s="911"/>
      <c r="G17" s="911"/>
      <c r="H17" s="911"/>
      <c r="I17" s="911"/>
      <c r="J17" s="911"/>
      <c r="K17" s="911"/>
      <c r="L17" s="911"/>
      <c r="M17" s="911"/>
      <c r="N17" s="911"/>
      <c r="O17" s="911"/>
      <c r="P17" s="911" t="s">
        <v>747</v>
      </c>
      <c r="Q17" s="911"/>
      <c r="R17" s="911"/>
      <c r="S17" s="911"/>
      <c r="T17" s="911"/>
      <c r="U17" s="911"/>
      <c r="V17" s="911"/>
      <c r="W17" s="911"/>
      <c r="X17" s="911"/>
      <c r="Y17" s="911"/>
      <c r="Z17" s="911"/>
      <c r="AA17" s="909"/>
      <c r="AB17" s="910"/>
      <c r="AC17" s="910"/>
    </row>
    <row r="18" spans="1:29" s="907" customFormat="1">
      <c r="A18" s="838">
        <f>IF(C18="","",COUNTA($C$3:C18))</f>
        <v>16</v>
      </c>
      <c r="B18" s="911" t="s">
        <v>634</v>
      </c>
      <c r="C18" s="911">
        <v>-5.35</v>
      </c>
      <c r="D18" s="911">
        <v>-21.53</v>
      </c>
      <c r="E18" s="911">
        <v>-25.7</v>
      </c>
      <c r="F18" s="911"/>
      <c r="G18" s="911"/>
      <c r="H18" s="911"/>
      <c r="I18" s="911"/>
      <c r="J18" s="911"/>
      <c r="K18" s="911"/>
      <c r="L18" s="911"/>
      <c r="M18" s="911"/>
      <c r="N18" s="911"/>
      <c r="O18" s="911"/>
      <c r="P18" s="911" t="s">
        <v>741</v>
      </c>
      <c r="Q18" s="911"/>
      <c r="R18" s="911"/>
      <c r="S18" s="911"/>
      <c r="T18" s="911"/>
      <c r="U18" s="911"/>
      <c r="V18" s="911"/>
      <c r="W18" s="911"/>
      <c r="X18" s="911"/>
      <c r="Y18" s="911"/>
      <c r="Z18" s="911"/>
      <c r="AA18" s="909"/>
      <c r="AB18" s="910"/>
      <c r="AC18" s="910"/>
    </row>
    <row r="19" spans="1:29" s="907" customFormat="1">
      <c r="A19" s="838">
        <f>IF(C19="","",COUNTA($C$3:C19))</f>
        <v>17</v>
      </c>
      <c r="B19" s="911" t="s">
        <v>532</v>
      </c>
      <c r="C19" s="911">
        <v>-5.7</v>
      </c>
      <c r="D19" s="911">
        <v>-23.9</v>
      </c>
      <c r="E19" s="911">
        <v>-25.9</v>
      </c>
      <c r="F19" s="911">
        <v>-27.27</v>
      </c>
      <c r="G19" s="911">
        <v>-32.299999999999997</v>
      </c>
      <c r="H19" s="911">
        <v>-33.299999999999997</v>
      </c>
      <c r="I19" s="911">
        <v>-33.799999999999997</v>
      </c>
      <c r="J19" s="911"/>
      <c r="K19" s="911"/>
      <c r="L19" s="911"/>
      <c r="M19" s="911"/>
      <c r="N19" s="911"/>
      <c r="O19" s="911"/>
      <c r="P19" s="911" t="s">
        <v>1074</v>
      </c>
      <c r="Q19" s="911" t="s">
        <v>990</v>
      </c>
      <c r="R19" s="911" t="s">
        <v>741</v>
      </c>
      <c r="S19" s="911" t="s">
        <v>990</v>
      </c>
      <c r="T19" s="911" t="s">
        <v>747</v>
      </c>
      <c r="U19" s="911"/>
      <c r="V19" s="911"/>
      <c r="W19" s="911"/>
      <c r="X19" s="911"/>
      <c r="Y19" s="911"/>
      <c r="Z19" s="911"/>
      <c r="AA19" s="909"/>
      <c r="AB19" s="910"/>
      <c r="AC19" s="910"/>
    </row>
    <row r="20" spans="1:29" s="907" customFormat="1">
      <c r="A20" s="838">
        <f>IF(C20="","",COUNTA($C$3:C20))</f>
        <v>18</v>
      </c>
      <c r="B20" s="911" t="s">
        <v>632</v>
      </c>
      <c r="C20" s="911">
        <v>-5.5949999999999998</v>
      </c>
      <c r="D20" s="911">
        <v>-24.645</v>
      </c>
      <c r="E20" s="911">
        <v>-25.344999999999999</v>
      </c>
      <c r="F20" s="911">
        <v>-26.844999999999999</v>
      </c>
      <c r="G20" s="911">
        <v>-27.844999999999999</v>
      </c>
      <c r="H20" s="911">
        <v>-30.344999999999999</v>
      </c>
      <c r="I20" s="911">
        <v>-33.045000000000002</v>
      </c>
      <c r="J20" s="911"/>
      <c r="K20" s="911"/>
      <c r="L20" s="911"/>
      <c r="M20" s="911"/>
      <c r="N20" s="911"/>
      <c r="O20" s="911"/>
      <c r="P20" s="911" t="s">
        <v>741</v>
      </c>
      <c r="Q20" s="911" t="s">
        <v>990</v>
      </c>
      <c r="R20" s="911" t="s">
        <v>745</v>
      </c>
      <c r="S20" s="911" t="s">
        <v>990</v>
      </c>
      <c r="T20" s="911" t="s">
        <v>747</v>
      </c>
      <c r="U20" s="911"/>
      <c r="V20" s="911"/>
      <c r="W20" s="911"/>
      <c r="X20" s="911"/>
      <c r="Y20" s="911"/>
      <c r="Z20" s="911"/>
      <c r="AA20" s="909"/>
      <c r="AB20" s="910"/>
      <c r="AC20" s="910"/>
    </row>
    <row r="21" spans="1:29" s="907" customFormat="1">
      <c r="A21" s="838">
        <f>IF(C21="","",COUNTA($C$3:C21))</f>
        <v>19</v>
      </c>
      <c r="B21" s="911" t="s">
        <v>509</v>
      </c>
      <c r="C21" s="911">
        <v>-5.4850000000000003</v>
      </c>
      <c r="D21" s="911">
        <v>-21.484999999999999</v>
      </c>
      <c r="E21" s="911">
        <v>-23.535</v>
      </c>
      <c r="F21" s="911">
        <v>-24.734999999999999</v>
      </c>
      <c r="G21" s="911">
        <v>-27.285</v>
      </c>
      <c r="H21" s="911"/>
      <c r="I21" s="911"/>
      <c r="J21" s="911"/>
      <c r="K21" s="911"/>
      <c r="L21" s="911"/>
      <c r="M21" s="911"/>
      <c r="N21" s="911"/>
      <c r="O21" s="911"/>
      <c r="P21" s="911" t="s">
        <v>741</v>
      </c>
      <c r="Q21" s="911" t="s">
        <v>990</v>
      </c>
      <c r="R21" s="911" t="s">
        <v>741</v>
      </c>
      <c r="S21" s="911"/>
      <c r="T21" s="911"/>
      <c r="U21" s="911"/>
      <c r="V21" s="911"/>
      <c r="W21" s="911"/>
      <c r="X21" s="911"/>
      <c r="Y21" s="911"/>
      <c r="Z21" s="911"/>
      <c r="AA21" s="909"/>
      <c r="AB21" s="910"/>
      <c r="AC21" s="910"/>
    </row>
    <row r="22" spans="1:29" s="907" customFormat="1">
      <c r="A22" s="838">
        <f>IF(C22="","",COUNTA($C$3:C22))</f>
        <v>20</v>
      </c>
      <c r="B22" s="911" t="s">
        <v>552</v>
      </c>
      <c r="C22" s="911">
        <v>-5.8949999999999996</v>
      </c>
      <c r="D22" s="911">
        <v>-23.695</v>
      </c>
      <c r="E22" s="911">
        <v>-27.545000000000002</v>
      </c>
      <c r="F22" s="911"/>
      <c r="G22" s="911"/>
      <c r="H22" s="911"/>
      <c r="I22" s="911"/>
      <c r="J22" s="911"/>
      <c r="K22" s="911"/>
      <c r="L22" s="911"/>
      <c r="M22" s="911"/>
      <c r="N22" s="911"/>
      <c r="O22" s="911"/>
      <c r="P22" s="911" t="s">
        <v>741</v>
      </c>
      <c r="Q22" s="911"/>
      <c r="R22" s="911"/>
      <c r="S22" s="911"/>
      <c r="T22" s="911"/>
      <c r="U22" s="911"/>
      <c r="V22" s="911"/>
      <c r="W22" s="911"/>
      <c r="X22" s="911"/>
      <c r="Y22" s="911"/>
      <c r="Z22" s="911"/>
      <c r="AA22" s="909"/>
      <c r="AB22" s="910"/>
      <c r="AC22" s="910"/>
    </row>
    <row r="23" spans="1:29" s="907" customFormat="1">
      <c r="A23" s="838">
        <f>IF(C23="","",COUNTA($C$3:C23))</f>
        <v>21</v>
      </c>
      <c r="B23" s="911" t="s">
        <v>591</v>
      </c>
      <c r="C23" s="911">
        <v>-5.9</v>
      </c>
      <c r="D23" s="911">
        <v>-27.35</v>
      </c>
      <c r="E23" s="911">
        <v>-28.35</v>
      </c>
      <c r="F23" s="911"/>
      <c r="G23" s="911"/>
      <c r="H23" s="911"/>
      <c r="I23" s="911"/>
      <c r="J23" s="911"/>
      <c r="K23" s="911"/>
      <c r="L23" s="911"/>
      <c r="M23" s="911"/>
      <c r="N23" s="911"/>
      <c r="O23" s="911"/>
      <c r="P23" s="911" t="s">
        <v>741</v>
      </c>
      <c r="Q23" s="911"/>
      <c r="R23" s="911"/>
      <c r="S23" s="911"/>
      <c r="T23" s="911"/>
      <c r="U23" s="911"/>
      <c r="V23" s="911"/>
      <c r="W23" s="911"/>
      <c r="X23" s="911"/>
      <c r="Y23" s="911"/>
      <c r="Z23" s="911"/>
      <c r="AA23" s="909"/>
      <c r="AB23" s="910"/>
      <c r="AC23" s="910"/>
    </row>
    <row r="24" spans="1:29" s="907" customFormat="1">
      <c r="A24" s="838">
        <f>IF(C24="","",COUNTA($C$3:C24))</f>
        <v>22</v>
      </c>
      <c r="B24" s="911" t="s">
        <v>623</v>
      </c>
      <c r="C24" s="911">
        <v>-5.5</v>
      </c>
      <c r="D24" s="911">
        <v>-25</v>
      </c>
      <c r="E24" s="911">
        <v>-25.7</v>
      </c>
      <c r="F24" s="911">
        <v>-26.8</v>
      </c>
      <c r="G24" s="911">
        <v>-27.5</v>
      </c>
      <c r="H24" s="911"/>
      <c r="I24" s="911"/>
      <c r="J24" s="911"/>
      <c r="K24" s="911"/>
      <c r="L24" s="911"/>
      <c r="M24" s="911"/>
      <c r="N24" s="911"/>
      <c r="O24" s="911"/>
      <c r="P24" s="911" t="s">
        <v>741</v>
      </c>
      <c r="Q24" s="911" t="s">
        <v>990</v>
      </c>
      <c r="R24" s="911" t="s">
        <v>741</v>
      </c>
      <c r="S24" s="911"/>
      <c r="T24" s="911"/>
      <c r="U24" s="911"/>
      <c r="V24" s="911"/>
      <c r="W24" s="911"/>
      <c r="X24" s="911"/>
      <c r="Y24" s="911"/>
      <c r="Z24" s="911"/>
      <c r="AA24" s="909"/>
      <c r="AB24" s="910"/>
      <c r="AC24" s="910"/>
    </row>
    <row r="25" spans="1:29" s="907" customFormat="1">
      <c r="A25" s="838">
        <f>IF(C25="","",COUNTA($C$3:C25))</f>
        <v>23</v>
      </c>
      <c r="B25" s="911" t="s">
        <v>536</v>
      </c>
      <c r="C25" s="911">
        <v>-6.11</v>
      </c>
      <c r="D25" s="911">
        <v>-23.31</v>
      </c>
      <c r="E25" s="911">
        <v>-28.43</v>
      </c>
      <c r="F25" s="911">
        <v>-29.93</v>
      </c>
      <c r="G25" s="911">
        <v>-32.31</v>
      </c>
      <c r="H25" s="911"/>
      <c r="I25" s="911"/>
      <c r="J25" s="911"/>
      <c r="K25" s="911"/>
      <c r="L25" s="911"/>
      <c r="M25" s="911"/>
      <c r="N25" s="911"/>
      <c r="O25" s="911"/>
      <c r="P25" s="911" t="s">
        <v>741</v>
      </c>
      <c r="Q25" s="911" t="s">
        <v>990</v>
      </c>
      <c r="R25" s="911" t="s">
        <v>745</v>
      </c>
      <c r="S25" s="911"/>
      <c r="T25" s="911"/>
      <c r="U25" s="911"/>
      <c r="V25" s="911"/>
      <c r="W25" s="911"/>
      <c r="X25" s="911"/>
      <c r="Y25" s="911"/>
      <c r="Z25" s="911"/>
      <c r="AA25" s="909"/>
      <c r="AB25" s="910"/>
      <c r="AC25" s="910"/>
    </row>
    <row r="26" spans="1:29" s="907" customFormat="1">
      <c r="A26" s="838">
        <f>IF(C26="","",COUNTA($C$3:C26))</f>
        <v>24</v>
      </c>
      <c r="B26" s="911" t="s">
        <v>637</v>
      </c>
      <c r="C26" s="911">
        <v>-5.4880000000000004</v>
      </c>
      <c r="D26" s="911">
        <v>-23.718</v>
      </c>
      <c r="E26" s="911">
        <v>-24.088000000000001</v>
      </c>
      <c r="F26" s="911">
        <v>-26.588000000000001</v>
      </c>
      <c r="G26" s="911">
        <v>-28.388000000000002</v>
      </c>
      <c r="H26" s="911">
        <v>-31.088000000000001</v>
      </c>
      <c r="I26" s="911">
        <v>-32.988</v>
      </c>
      <c r="J26" s="911"/>
      <c r="K26" s="911"/>
      <c r="L26" s="911"/>
      <c r="M26" s="911"/>
      <c r="N26" s="911"/>
      <c r="O26" s="911"/>
      <c r="P26" s="911" t="s">
        <v>741</v>
      </c>
      <c r="Q26" s="911" t="s">
        <v>990</v>
      </c>
      <c r="R26" s="911" t="s">
        <v>745</v>
      </c>
      <c r="S26" s="911" t="s">
        <v>990</v>
      </c>
      <c r="T26" s="911" t="s">
        <v>745</v>
      </c>
      <c r="U26" s="911"/>
      <c r="V26" s="911"/>
      <c r="W26" s="911"/>
      <c r="X26" s="911"/>
      <c r="Y26" s="911"/>
      <c r="Z26" s="911"/>
      <c r="AA26" s="909"/>
      <c r="AB26" s="910"/>
      <c r="AC26" s="910"/>
    </row>
    <row r="27" spans="1:29" s="907" customFormat="1">
      <c r="A27" s="838">
        <f>IF(C27="","",COUNTA($C$3:C27))</f>
        <v>25</v>
      </c>
      <c r="B27" s="911" t="s">
        <v>514</v>
      </c>
      <c r="C27" s="911">
        <v>-5.3680000000000003</v>
      </c>
      <c r="D27" s="911">
        <v>-22.968</v>
      </c>
      <c r="E27" s="911">
        <v>-25.117999999999999</v>
      </c>
      <c r="F27" s="911"/>
      <c r="G27" s="911"/>
      <c r="H27" s="911"/>
      <c r="I27" s="911"/>
      <c r="J27" s="911"/>
      <c r="K27" s="911"/>
      <c r="L27" s="911"/>
      <c r="M27" s="911"/>
      <c r="N27" s="911"/>
      <c r="O27" s="911"/>
      <c r="P27" s="911" t="s">
        <v>741</v>
      </c>
      <c r="Q27" s="911"/>
      <c r="R27" s="911"/>
      <c r="S27" s="911"/>
      <c r="T27" s="911"/>
      <c r="U27" s="911"/>
      <c r="V27" s="911"/>
      <c r="W27" s="911"/>
      <c r="X27" s="911"/>
      <c r="Y27" s="911"/>
      <c r="Z27" s="911"/>
      <c r="AA27" s="909"/>
      <c r="AB27" s="910"/>
      <c r="AC27" s="910"/>
    </row>
    <row r="28" spans="1:29" s="907" customFormat="1">
      <c r="A28" s="838">
        <f>IF(C28="","",COUNTA($C$3:C28))</f>
        <v>26</v>
      </c>
      <c r="B28" s="911" t="s">
        <v>542</v>
      </c>
      <c r="C28" s="911">
        <v>-6.1849999999999996</v>
      </c>
      <c r="D28" s="911">
        <v>-21.754999999999999</v>
      </c>
      <c r="E28" s="911">
        <v>-27.704999999999998</v>
      </c>
      <c r="F28" s="911"/>
      <c r="G28" s="911"/>
      <c r="H28" s="911"/>
      <c r="I28" s="911"/>
      <c r="J28" s="911"/>
      <c r="K28" s="911"/>
      <c r="L28" s="911"/>
      <c r="M28" s="911"/>
      <c r="N28" s="911"/>
      <c r="O28" s="911"/>
      <c r="P28" s="911" t="s">
        <v>741</v>
      </c>
      <c r="Q28" s="911"/>
      <c r="R28" s="911"/>
      <c r="S28" s="911"/>
      <c r="T28" s="911"/>
      <c r="U28" s="911"/>
      <c r="V28" s="911"/>
      <c r="W28" s="911"/>
      <c r="X28" s="911"/>
      <c r="Y28" s="911"/>
      <c r="Z28" s="911"/>
      <c r="AA28" s="909"/>
      <c r="AB28" s="910"/>
      <c r="AC28" s="910"/>
    </row>
    <row r="29" spans="1:29" s="907" customFormat="1">
      <c r="A29" s="838">
        <f>IF(C29="","",COUNTA($C$3:C29))</f>
        <v>27</v>
      </c>
      <c r="B29" s="911" t="s">
        <v>644</v>
      </c>
      <c r="C29" s="911">
        <v>-6.61</v>
      </c>
      <c r="D29" s="911">
        <v>-21.96</v>
      </c>
      <c r="E29" s="911">
        <v>-24.51</v>
      </c>
      <c r="F29" s="911"/>
      <c r="G29" s="911"/>
      <c r="H29" s="911"/>
      <c r="I29" s="911"/>
      <c r="J29" s="911"/>
      <c r="K29" s="911"/>
      <c r="L29" s="911"/>
      <c r="M29" s="911"/>
      <c r="N29" s="911"/>
      <c r="O29" s="911"/>
      <c r="P29" s="911" t="s">
        <v>747</v>
      </c>
      <c r="Q29" s="911"/>
      <c r="R29" s="911"/>
      <c r="S29" s="911"/>
      <c r="T29" s="911"/>
      <c r="U29" s="911"/>
      <c r="V29" s="911"/>
      <c r="W29" s="911"/>
      <c r="X29" s="911"/>
      <c r="Y29" s="911"/>
      <c r="Z29" s="911"/>
      <c r="AA29" s="909"/>
      <c r="AB29" s="910"/>
      <c r="AC29" s="910"/>
    </row>
    <row r="30" spans="1:29" s="907" customFormat="1">
      <c r="A30" s="838">
        <f>IF(C30="","",COUNTA($C$3:C30))</f>
        <v>28</v>
      </c>
      <c r="B30" s="911" t="s">
        <v>524</v>
      </c>
      <c r="C30" s="911">
        <v>-5.52</v>
      </c>
      <c r="D30" s="911">
        <v>-22.57</v>
      </c>
      <c r="E30" s="911">
        <v>-24.97</v>
      </c>
      <c r="F30" s="911"/>
      <c r="G30" s="911"/>
      <c r="H30" s="911"/>
      <c r="I30" s="911"/>
      <c r="J30" s="911"/>
      <c r="K30" s="911"/>
      <c r="L30" s="911"/>
      <c r="M30" s="911"/>
      <c r="N30" s="911"/>
      <c r="O30" s="911"/>
      <c r="P30" s="911" t="s">
        <v>747</v>
      </c>
      <c r="Q30" s="911"/>
      <c r="R30" s="911"/>
      <c r="S30" s="911"/>
      <c r="T30" s="911"/>
      <c r="U30" s="911"/>
      <c r="V30" s="911"/>
      <c r="W30" s="911"/>
      <c r="X30" s="911"/>
      <c r="Y30" s="911"/>
      <c r="Z30" s="911"/>
      <c r="AA30" s="909"/>
      <c r="AB30" s="910"/>
      <c r="AC30" s="910"/>
    </row>
    <row r="31" spans="1:29" s="907" customFormat="1">
      <c r="A31" s="838">
        <f>IF(C31="","",COUNTA($C$3:C31))</f>
        <v>29</v>
      </c>
      <c r="B31" s="911" t="s">
        <v>541</v>
      </c>
      <c r="C31" s="911">
        <v>-5.8479999999999999</v>
      </c>
      <c r="D31" s="911">
        <v>-23.148</v>
      </c>
      <c r="E31" s="911">
        <v>-25.748000000000001</v>
      </c>
      <c r="F31" s="911">
        <v>-30.148</v>
      </c>
      <c r="G31" s="911">
        <v>-32.298000000000002</v>
      </c>
      <c r="H31" s="911"/>
      <c r="I31" s="911"/>
      <c r="J31" s="911"/>
      <c r="K31" s="911"/>
      <c r="L31" s="911"/>
      <c r="M31" s="911"/>
      <c r="N31" s="911"/>
      <c r="O31" s="911"/>
      <c r="P31" s="911" t="s">
        <v>741</v>
      </c>
      <c r="Q31" s="911" t="s">
        <v>990</v>
      </c>
      <c r="R31" s="911" t="s">
        <v>747</v>
      </c>
      <c r="S31" s="911"/>
      <c r="T31" s="911"/>
      <c r="U31" s="911"/>
      <c r="V31" s="911"/>
      <c r="W31" s="911"/>
      <c r="X31" s="911"/>
      <c r="Y31" s="911"/>
      <c r="Z31" s="911"/>
      <c r="AA31" s="909"/>
      <c r="AB31" s="910"/>
      <c r="AC31" s="910"/>
    </row>
    <row r="32" spans="1:29" s="907" customFormat="1">
      <c r="A32" s="838">
        <f>IF(C32="","",COUNTA($C$3:C32))</f>
        <v>30</v>
      </c>
      <c r="B32" s="911" t="s">
        <v>654</v>
      </c>
      <c r="C32" s="911">
        <v>-5.64</v>
      </c>
      <c r="D32" s="911">
        <v>-21.94</v>
      </c>
      <c r="E32" s="911">
        <v>-24.59</v>
      </c>
      <c r="F32" s="911"/>
      <c r="G32" s="911"/>
      <c r="H32" s="911"/>
      <c r="I32" s="911"/>
      <c r="J32" s="911"/>
      <c r="K32" s="911"/>
      <c r="L32" s="911"/>
      <c r="M32" s="911"/>
      <c r="N32" s="911"/>
      <c r="O32" s="911"/>
      <c r="P32" s="911" t="s">
        <v>747</v>
      </c>
      <c r="Q32" s="911"/>
      <c r="R32" s="911"/>
      <c r="S32" s="911"/>
      <c r="T32" s="911"/>
      <c r="U32" s="911"/>
      <c r="V32" s="911"/>
      <c r="W32" s="911"/>
      <c r="X32" s="911"/>
      <c r="Y32" s="911"/>
      <c r="Z32" s="911"/>
      <c r="AA32" s="909"/>
      <c r="AB32" s="910"/>
      <c r="AC32" s="910"/>
    </row>
    <row r="33" spans="1:29" s="907" customFormat="1">
      <c r="A33" s="838">
        <f>IF(C33="","",COUNTA($C$3:C33))</f>
        <v>31</v>
      </c>
      <c r="B33" s="911" t="s">
        <v>519</v>
      </c>
      <c r="C33" s="911">
        <v>-5.6580000000000004</v>
      </c>
      <c r="D33" s="911">
        <v>-22.457999999999998</v>
      </c>
      <c r="E33" s="911">
        <v>-25.058</v>
      </c>
      <c r="F33" s="911"/>
      <c r="G33" s="911"/>
      <c r="H33" s="911"/>
      <c r="I33" s="911"/>
      <c r="J33" s="911"/>
      <c r="K33" s="911"/>
      <c r="L33" s="911"/>
      <c r="M33" s="911"/>
      <c r="N33" s="911"/>
      <c r="O33" s="911"/>
      <c r="P33" s="911" t="s">
        <v>745</v>
      </c>
      <c r="Q33" s="911"/>
      <c r="R33" s="911"/>
      <c r="S33" s="911"/>
      <c r="T33" s="911"/>
      <c r="U33" s="911"/>
      <c r="V33" s="911"/>
      <c r="W33" s="911"/>
      <c r="X33" s="911"/>
      <c r="Y33" s="911"/>
      <c r="Z33" s="911"/>
      <c r="AA33" s="909"/>
      <c r="AB33" s="910"/>
      <c r="AC33" s="910"/>
    </row>
    <row r="34" spans="1:29" s="907" customFormat="1">
      <c r="A34" s="838">
        <f>IF(C34="","",COUNTA($C$3:C34))</f>
        <v>32</v>
      </c>
      <c r="B34" s="911" t="s">
        <v>671</v>
      </c>
      <c r="C34" s="911">
        <v>-5.4950000000000001</v>
      </c>
      <c r="D34" s="911">
        <v>-20.895</v>
      </c>
      <c r="E34" s="911">
        <v>-24.995000000000001</v>
      </c>
      <c r="F34" s="911"/>
      <c r="G34" s="911"/>
      <c r="H34" s="911"/>
      <c r="I34" s="911"/>
      <c r="J34" s="911"/>
      <c r="K34" s="911"/>
      <c r="L34" s="911"/>
      <c r="M34" s="911"/>
      <c r="N34" s="911"/>
      <c r="O34" s="911"/>
      <c r="P34" s="911" t="s">
        <v>747</v>
      </c>
      <c r="Q34" s="911"/>
      <c r="R34" s="911"/>
      <c r="S34" s="911"/>
      <c r="T34" s="911"/>
      <c r="U34" s="911"/>
      <c r="V34" s="911"/>
      <c r="W34" s="911"/>
      <c r="X34" s="911"/>
      <c r="Y34" s="911"/>
      <c r="Z34" s="911"/>
      <c r="AA34" s="909"/>
      <c r="AB34" s="910"/>
      <c r="AC34" s="910"/>
    </row>
    <row r="35" spans="1:29" s="907" customFormat="1">
      <c r="A35" s="838">
        <f>IF(C35="","",COUNTA($C$3:C35))</f>
        <v>33</v>
      </c>
      <c r="B35" s="911" t="s">
        <v>652</v>
      </c>
      <c r="C35" s="911">
        <v>-5.6989999999999998</v>
      </c>
      <c r="D35" s="911">
        <v>-22.349</v>
      </c>
      <c r="E35" s="911">
        <v>-23.149000000000001</v>
      </c>
      <c r="F35" s="911">
        <v>-26.349</v>
      </c>
      <c r="G35" s="911">
        <v>-29.349</v>
      </c>
      <c r="H35" s="911">
        <v>-31.149000000000001</v>
      </c>
      <c r="I35" s="911">
        <v>-35.798999999999999</v>
      </c>
      <c r="J35" s="911"/>
      <c r="K35" s="911"/>
      <c r="L35" s="911"/>
      <c r="M35" s="911"/>
      <c r="N35" s="911"/>
      <c r="O35" s="911"/>
      <c r="P35" s="911" t="s">
        <v>741</v>
      </c>
      <c r="Q35" s="911" t="s">
        <v>990</v>
      </c>
      <c r="R35" s="911" t="s">
        <v>745</v>
      </c>
      <c r="S35" s="911" t="s">
        <v>990</v>
      </c>
      <c r="T35" s="911" t="s">
        <v>747</v>
      </c>
      <c r="U35" s="911"/>
      <c r="V35" s="911"/>
      <c r="W35" s="911"/>
      <c r="X35" s="911"/>
      <c r="Y35" s="911"/>
      <c r="Z35" s="911"/>
      <c r="AA35" s="909"/>
      <c r="AB35" s="910"/>
      <c r="AC35" s="910"/>
    </row>
    <row r="36" spans="1:29" s="907" customFormat="1">
      <c r="A36" s="838">
        <f>IF(C36="","",COUNTA($C$3:C36))</f>
        <v>34</v>
      </c>
      <c r="B36" s="911" t="s">
        <v>658</v>
      </c>
      <c r="C36" s="911">
        <v>-5.67</v>
      </c>
      <c r="D36" s="911">
        <v>-20.420000000000002</v>
      </c>
      <c r="E36" s="911">
        <v>-24.47</v>
      </c>
      <c r="F36" s="911"/>
      <c r="G36" s="911"/>
      <c r="H36" s="911"/>
      <c r="I36" s="911"/>
      <c r="J36" s="911"/>
      <c r="K36" s="911"/>
      <c r="L36" s="911"/>
      <c r="M36" s="911"/>
      <c r="N36" s="911"/>
      <c r="O36" s="911"/>
      <c r="P36" s="911" t="s">
        <v>747</v>
      </c>
      <c r="Q36" s="911"/>
      <c r="R36" s="911"/>
      <c r="S36" s="911"/>
      <c r="T36" s="911"/>
      <c r="U36" s="911"/>
      <c r="V36" s="911"/>
      <c r="W36" s="911"/>
      <c r="X36" s="911"/>
      <c r="Y36" s="911"/>
      <c r="Z36" s="911"/>
      <c r="AA36" s="909"/>
      <c r="AB36" s="910"/>
      <c r="AC36" s="910"/>
    </row>
    <row r="37" spans="1:29" s="907" customFormat="1">
      <c r="A37" s="838">
        <f>IF(C37="","",COUNTA($C$3:C37))</f>
        <v>35</v>
      </c>
      <c r="B37" s="911" t="s">
        <v>551</v>
      </c>
      <c r="C37" s="911">
        <v>-5.665</v>
      </c>
      <c r="D37" s="911">
        <v>-22.965</v>
      </c>
      <c r="E37" s="911">
        <v>-23.655999999999999</v>
      </c>
      <c r="F37" s="911">
        <v>-24.465</v>
      </c>
      <c r="G37" s="911">
        <v>-32.365000000000002</v>
      </c>
      <c r="H37" s="911"/>
      <c r="I37" s="911"/>
      <c r="J37" s="911"/>
      <c r="K37" s="911"/>
      <c r="L37" s="911"/>
      <c r="M37" s="911"/>
      <c r="N37" s="911"/>
      <c r="O37" s="911"/>
      <c r="P37" s="911" t="s">
        <v>741</v>
      </c>
      <c r="Q37" s="911" t="s">
        <v>990</v>
      </c>
      <c r="R37" s="911" t="s">
        <v>741</v>
      </c>
      <c r="S37" s="911"/>
      <c r="T37" s="911"/>
      <c r="U37" s="911"/>
      <c r="V37" s="911"/>
      <c r="W37" s="911"/>
      <c r="X37" s="911"/>
      <c r="Y37" s="911"/>
      <c r="Z37" s="911"/>
      <c r="AA37" s="909"/>
      <c r="AB37" s="910"/>
      <c r="AC37" s="910"/>
    </row>
    <row r="38" spans="1:29" s="907" customFormat="1">
      <c r="A38" s="838">
        <f>IF(C38="","",COUNTA($C$3:C38))</f>
        <v>36</v>
      </c>
      <c r="B38" s="911" t="s">
        <v>666</v>
      </c>
      <c r="C38" s="911">
        <v>-6.5780000000000003</v>
      </c>
      <c r="D38" s="911">
        <v>-22.585000000000001</v>
      </c>
      <c r="E38" s="911">
        <v>-25.984999999999999</v>
      </c>
      <c r="F38" s="911"/>
      <c r="G38" s="911"/>
      <c r="H38" s="911"/>
      <c r="I38" s="911"/>
      <c r="J38" s="911"/>
      <c r="K38" s="911"/>
      <c r="L38" s="911"/>
      <c r="M38" s="911"/>
      <c r="N38" s="911"/>
      <c r="O38" s="911"/>
      <c r="P38" s="911" t="s">
        <v>741</v>
      </c>
      <c r="Q38" s="911"/>
      <c r="R38" s="911"/>
      <c r="S38" s="911"/>
      <c r="T38" s="911"/>
      <c r="U38" s="911"/>
      <c r="V38" s="911"/>
      <c r="W38" s="911"/>
      <c r="X38" s="911"/>
      <c r="Y38" s="911"/>
      <c r="Z38" s="911"/>
      <c r="AA38" s="909"/>
      <c r="AB38" s="910"/>
      <c r="AC38" s="910"/>
    </row>
    <row r="39" spans="1:29" s="907" customFormat="1">
      <c r="A39" s="838">
        <f>IF(C39="","",COUNTA($C$3:C39))</f>
        <v>37</v>
      </c>
      <c r="B39" s="911" t="s">
        <v>642</v>
      </c>
      <c r="C39" s="911">
        <v>-5.6749999999999998</v>
      </c>
      <c r="D39" s="911">
        <v>-23.225000000000001</v>
      </c>
      <c r="E39" s="911">
        <v>-26.225000000000001</v>
      </c>
      <c r="F39" s="911">
        <v>-28.725000000000001</v>
      </c>
      <c r="G39" s="911">
        <v>-33.024999999999999</v>
      </c>
      <c r="H39" s="911"/>
      <c r="I39" s="911"/>
      <c r="J39" s="911"/>
      <c r="K39" s="911"/>
      <c r="L39" s="911"/>
      <c r="M39" s="911"/>
      <c r="N39" s="911"/>
      <c r="O39" s="911"/>
      <c r="P39" s="911" t="s">
        <v>741</v>
      </c>
      <c r="Q39" s="911" t="s">
        <v>990</v>
      </c>
      <c r="R39" s="911" t="s">
        <v>747</v>
      </c>
      <c r="S39" s="911"/>
      <c r="T39" s="911"/>
      <c r="U39" s="911"/>
      <c r="V39" s="911"/>
      <c r="W39" s="911"/>
      <c r="X39" s="911"/>
      <c r="Y39" s="911"/>
      <c r="Z39" s="911"/>
      <c r="AA39" s="909"/>
      <c r="AB39" s="910"/>
      <c r="AC39" s="910"/>
    </row>
    <row r="40" spans="1:29" s="907" customFormat="1">
      <c r="A40" s="838">
        <f>IF(C40="","",COUNTA($C$3:C40))</f>
        <v>38</v>
      </c>
      <c r="B40" s="911" t="s">
        <v>649</v>
      </c>
      <c r="C40" s="911">
        <v>-5.7089999999999996</v>
      </c>
      <c r="D40" s="911">
        <v>-21.408999999999999</v>
      </c>
      <c r="E40" s="911">
        <v>-21.908999999999999</v>
      </c>
      <c r="F40" s="911">
        <v>-22.209</v>
      </c>
      <c r="G40" s="911">
        <v>-24.609000000000002</v>
      </c>
      <c r="H40" s="911"/>
      <c r="I40" s="911"/>
      <c r="J40" s="911"/>
      <c r="K40" s="911"/>
      <c r="L40" s="911"/>
      <c r="M40" s="911"/>
      <c r="N40" s="911"/>
      <c r="O40" s="911"/>
      <c r="P40" s="911" t="s">
        <v>747</v>
      </c>
      <c r="Q40" s="911" t="s">
        <v>990</v>
      </c>
      <c r="R40" s="911" t="s">
        <v>747</v>
      </c>
      <c r="S40" s="911"/>
      <c r="T40" s="911"/>
      <c r="U40" s="911"/>
      <c r="V40" s="911"/>
      <c r="W40" s="911"/>
      <c r="X40" s="911"/>
      <c r="Y40" s="911"/>
      <c r="Z40" s="911"/>
      <c r="AA40" s="909"/>
      <c r="AB40" s="910"/>
      <c r="AC40" s="910"/>
    </row>
    <row r="41" spans="1:29" s="907" customFormat="1">
      <c r="A41" s="838">
        <f>IF(C41="","",COUNTA($C$3:C41))</f>
        <v>39</v>
      </c>
      <c r="B41" s="911" t="s">
        <v>656</v>
      </c>
      <c r="C41" s="911">
        <v>-5.5549999999999997</v>
      </c>
      <c r="D41" s="911">
        <v>-21.855</v>
      </c>
      <c r="E41" s="911">
        <v>-24.504999999999999</v>
      </c>
      <c r="F41" s="911"/>
      <c r="G41" s="911"/>
      <c r="H41" s="911"/>
      <c r="I41" s="911"/>
      <c r="J41" s="911"/>
      <c r="K41" s="911"/>
      <c r="L41" s="911"/>
      <c r="M41" s="911"/>
      <c r="N41" s="911"/>
      <c r="O41" s="911"/>
      <c r="P41" s="911" t="s">
        <v>741</v>
      </c>
      <c r="Q41" s="911"/>
      <c r="R41" s="911"/>
      <c r="S41" s="911"/>
      <c r="T41" s="911"/>
      <c r="U41" s="911"/>
      <c r="V41" s="911"/>
      <c r="W41" s="911"/>
      <c r="X41" s="911"/>
      <c r="Y41" s="911"/>
      <c r="Z41" s="911"/>
      <c r="AA41" s="909"/>
      <c r="AB41" s="910"/>
      <c r="AC41" s="910"/>
    </row>
    <row r="42" spans="1:29" s="907" customFormat="1">
      <c r="A42" s="838">
        <f>IF(C42="","",COUNTA($C$3:C42))</f>
        <v>40</v>
      </c>
      <c r="B42" s="911" t="s">
        <v>546</v>
      </c>
      <c r="C42" s="911">
        <v>-5.7549999999999999</v>
      </c>
      <c r="D42" s="911">
        <v>-22.055</v>
      </c>
      <c r="E42" s="911">
        <v>-23.254999999999999</v>
      </c>
      <c r="F42" s="911">
        <v>-26.754999999999999</v>
      </c>
      <c r="G42" s="911">
        <v>-32.305</v>
      </c>
      <c r="H42" s="911"/>
      <c r="I42" s="911"/>
      <c r="J42" s="911"/>
      <c r="K42" s="911"/>
      <c r="L42" s="911"/>
      <c r="M42" s="911"/>
      <c r="N42" s="911"/>
      <c r="O42" s="911"/>
      <c r="P42" s="911" t="s">
        <v>741</v>
      </c>
      <c r="Q42" s="911" t="s">
        <v>990</v>
      </c>
      <c r="R42" s="911" t="s">
        <v>745</v>
      </c>
      <c r="S42" s="911"/>
      <c r="T42" s="911"/>
      <c r="U42" s="911"/>
      <c r="V42" s="911"/>
      <c r="W42" s="911"/>
      <c r="X42" s="911"/>
      <c r="Y42" s="911"/>
      <c r="Z42" s="911"/>
      <c r="AA42" s="909"/>
      <c r="AB42" s="910"/>
      <c r="AC42" s="910"/>
    </row>
    <row r="43" spans="1:29" s="907" customFormat="1">
      <c r="A43" s="838">
        <f>IF(C43="","",COUNTA($C$3:C43))</f>
        <v>41</v>
      </c>
      <c r="B43" s="911" t="s">
        <v>660</v>
      </c>
      <c r="C43" s="911">
        <v>-5.5</v>
      </c>
      <c r="D43" s="911">
        <v>-21.3</v>
      </c>
      <c r="E43" s="911">
        <v>-24.6</v>
      </c>
      <c r="F43" s="911"/>
      <c r="G43" s="911"/>
      <c r="H43" s="911"/>
      <c r="I43" s="911"/>
      <c r="J43" s="911"/>
      <c r="K43" s="911"/>
      <c r="L43" s="911"/>
      <c r="M43" s="911"/>
      <c r="N43" s="911"/>
      <c r="O43" s="911"/>
      <c r="P43" s="911" t="s">
        <v>741</v>
      </c>
      <c r="Q43" s="911"/>
      <c r="R43" s="911"/>
      <c r="S43" s="911"/>
      <c r="T43" s="911"/>
      <c r="U43" s="911"/>
      <c r="V43" s="911"/>
      <c r="W43" s="911"/>
      <c r="X43" s="911"/>
      <c r="Y43" s="911"/>
      <c r="Z43" s="911"/>
      <c r="AA43" s="909"/>
      <c r="AB43" s="910"/>
      <c r="AC43" s="910"/>
    </row>
    <row r="44" spans="1:29" s="907" customFormat="1">
      <c r="A44" s="838">
        <f>IF(C44="","",COUNTA($C$3:C44))</f>
        <v>42</v>
      </c>
      <c r="B44" s="911" t="s">
        <v>702</v>
      </c>
      <c r="C44" s="911">
        <v>-5.2249999999999996</v>
      </c>
      <c r="D44" s="911">
        <v>-21.561</v>
      </c>
      <c r="E44" s="911">
        <v>-25.081</v>
      </c>
      <c r="F44" s="911"/>
      <c r="G44" s="911"/>
      <c r="H44" s="911"/>
      <c r="I44" s="911"/>
      <c r="J44" s="911"/>
      <c r="K44" s="911"/>
      <c r="L44" s="911"/>
      <c r="M44" s="911"/>
      <c r="N44" s="911"/>
      <c r="O44" s="911"/>
      <c r="P44" s="911" t="s">
        <v>741</v>
      </c>
      <c r="Q44" s="911"/>
      <c r="R44" s="911"/>
      <c r="S44" s="911"/>
      <c r="T44" s="911"/>
      <c r="U44" s="911"/>
      <c r="V44" s="911"/>
      <c r="W44" s="911"/>
      <c r="X44" s="911"/>
      <c r="Y44" s="911"/>
      <c r="Z44" s="911"/>
      <c r="AA44" s="909"/>
      <c r="AB44" s="910"/>
      <c r="AC44" s="910"/>
    </row>
    <row r="45" spans="1:29" s="907" customFormat="1">
      <c r="A45" s="838">
        <f>IF(C45="","",COUNTA($C$3:C45))</f>
        <v>43</v>
      </c>
      <c r="B45" s="911" t="s">
        <v>664</v>
      </c>
      <c r="C45" s="911">
        <v>-5.6920000000000002</v>
      </c>
      <c r="D45" s="911">
        <v>-22.192</v>
      </c>
      <c r="E45" s="911">
        <v>-24.501999999999999</v>
      </c>
      <c r="F45" s="911"/>
      <c r="G45" s="911"/>
      <c r="H45" s="911"/>
      <c r="I45" s="911"/>
      <c r="J45" s="911"/>
      <c r="K45" s="911"/>
      <c r="L45" s="911"/>
      <c r="M45" s="911"/>
      <c r="N45" s="911"/>
      <c r="O45" s="911"/>
      <c r="P45" s="911" t="s">
        <v>741</v>
      </c>
      <c r="Q45" s="911"/>
      <c r="R45" s="911"/>
      <c r="S45" s="911"/>
      <c r="T45" s="911"/>
      <c r="U45" s="911"/>
      <c r="V45" s="911"/>
      <c r="W45" s="911"/>
      <c r="X45" s="911"/>
      <c r="Y45" s="911"/>
      <c r="Z45" s="911"/>
      <c r="AA45" s="909"/>
      <c r="AB45" s="910"/>
      <c r="AC45" s="910"/>
    </row>
    <row r="46" spans="1:29" s="907" customFormat="1">
      <c r="A46" s="838">
        <f>IF(C46="","",COUNTA($C$3:C46))</f>
        <v>44</v>
      </c>
      <c r="B46" s="911" t="s">
        <v>533</v>
      </c>
      <c r="C46" s="911">
        <v>-5.33</v>
      </c>
      <c r="D46" s="911">
        <v>-22.13</v>
      </c>
      <c r="E46" s="911">
        <v>-25.13</v>
      </c>
      <c r="F46" s="911"/>
      <c r="G46" s="911"/>
      <c r="H46" s="911"/>
      <c r="I46" s="911"/>
      <c r="J46" s="911"/>
      <c r="K46" s="911"/>
      <c r="L46" s="911"/>
      <c r="M46" s="911"/>
      <c r="N46" s="911"/>
      <c r="O46" s="911"/>
      <c r="P46" s="911" t="s">
        <v>741</v>
      </c>
      <c r="Q46" s="911"/>
      <c r="R46" s="911"/>
      <c r="S46" s="911"/>
      <c r="T46" s="911"/>
      <c r="U46" s="911"/>
      <c r="V46" s="911"/>
      <c r="W46" s="911"/>
      <c r="X46" s="911"/>
      <c r="Y46" s="911"/>
      <c r="Z46" s="911"/>
      <c r="AA46" s="909"/>
      <c r="AB46" s="910"/>
      <c r="AC46" s="910"/>
    </row>
    <row r="47" spans="1:29" s="907" customFormat="1">
      <c r="A47" s="838">
        <f>IF(C47="","",COUNTA($C$3:C47))</f>
        <v>45</v>
      </c>
      <c r="B47" s="911" t="s">
        <v>556</v>
      </c>
      <c r="C47" s="911">
        <v>-5.59</v>
      </c>
      <c r="D47" s="911">
        <v>-22.69</v>
      </c>
      <c r="E47" s="911">
        <v>-30.67</v>
      </c>
      <c r="F47" s="911">
        <v>-31.37</v>
      </c>
      <c r="G47" s="911">
        <v>-32.36</v>
      </c>
      <c r="H47" s="911"/>
      <c r="I47" s="911"/>
      <c r="J47" s="911"/>
      <c r="K47" s="911"/>
      <c r="L47" s="911"/>
      <c r="M47" s="911"/>
      <c r="N47" s="911"/>
      <c r="O47" s="911"/>
      <c r="P47" s="911" t="s">
        <v>741</v>
      </c>
      <c r="Q47" s="911" t="s">
        <v>990</v>
      </c>
      <c r="R47" s="911" t="s">
        <v>745</v>
      </c>
      <c r="S47" s="911"/>
      <c r="T47" s="911"/>
      <c r="U47" s="911"/>
      <c r="V47" s="911"/>
      <c r="W47" s="911"/>
      <c r="X47" s="911"/>
      <c r="Y47" s="911"/>
      <c r="Z47" s="911"/>
      <c r="AA47" s="909"/>
      <c r="AB47" s="910"/>
      <c r="AC47" s="910"/>
    </row>
    <row r="48" spans="1:29" s="907" customFormat="1">
      <c r="A48" s="838">
        <f>IF(C48="","",COUNTA($C$3:C48))</f>
        <v>46</v>
      </c>
      <c r="B48" s="911" t="s">
        <v>698</v>
      </c>
      <c r="C48" s="911">
        <v>-5.6</v>
      </c>
      <c r="D48" s="911">
        <v>-22.8</v>
      </c>
      <c r="E48" s="911">
        <v>-24.9</v>
      </c>
      <c r="F48" s="911"/>
      <c r="G48" s="911"/>
      <c r="H48" s="911"/>
      <c r="I48" s="911"/>
      <c r="J48" s="911"/>
      <c r="K48" s="911"/>
      <c r="L48" s="911"/>
      <c r="M48" s="911"/>
      <c r="N48" s="911"/>
      <c r="O48" s="911"/>
      <c r="P48" s="911" t="s">
        <v>741</v>
      </c>
      <c r="Q48" s="911"/>
      <c r="R48" s="911"/>
      <c r="S48" s="911"/>
      <c r="T48" s="911"/>
      <c r="U48" s="911"/>
      <c r="V48" s="911"/>
      <c r="W48" s="911"/>
      <c r="X48" s="911"/>
      <c r="Y48" s="911"/>
      <c r="Z48" s="911"/>
      <c r="AA48" s="909"/>
      <c r="AB48" s="910"/>
      <c r="AC48" s="910"/>
    </row>
    <row r="49" spans="1:29" s="907" customFormat="1">
      <c r="A49" s="838">
        <f>IF(C49="","",COUNTA($C$3:C49))</f>
        <v>47</v>
      </c>
      <c r="B49" s="911" t="s">
        <v>681</v>
      </c>
      <c r="C49" s="911">
        <v>-5.54</v>
      </c>
      <c r="D49" s="911">
        <v>-22.34</v>
      </c>
      <c r="E49" s="911">
        <v>-31.64</v>
      </c>
      <c r="F49" s="911">
        <v>-34.14</v>
      </c>
      <c r="G49" s="911">
        <v>-35.840000000000003</v>
      </c>
      <c r="H49" s="911"/>
      <c r="I49" s="911"/>
      <c r="J49" s="911"/>
      <c r="K49" s="911"/>
      <c r="L49" s="911"/>
      <c r="M49" s="911"/>
      <c r="N49" s="911"/>
      <c r="O49" s="911"/>
      <c r="P49" s="911" t="s">
        <v>747</v>
      </c>
      <c r="Q49" s="911" t="s">
        <v>990</v>
      </c>
      <c r="R49" s="911" t="s">
        <v>747</v>
      </c>
      <c r="S49" s="911"/>
      <c r="T49" s="911"/>
      <c r="U49" s="911"/>
      <c r="V49" s="911"/>
      <c r="W49" s="911"/>
      <c r="X49" s="911"/>
      <c r="Y49" s="911"/>
      <c r="Z49" s="911"/>
      <c r="AA49" s="909"/>
      <c r="AB49" s="910"/>
      <c r="AC49" s="910"/>
    </row>
    <row r="50" spans="1:29" s="907" customFormat="1">
      <c r="A50" s="838">
        <f>IF(C50="","",COUNTA($C$3:C50))</f>
        <v>48</v>
      </c>
      <c r="B50" s="911" t="s">
        <v>669</v>
      </c>
      <c r="C50" s="911">
        <v>-6.4749999999999996</v>
      </c>
      <c r="D50" s="911">
        <v>-21.774999999999999</v>
      </c>
      <c r="E50" s="911">
        <v>-24.475000000000001</v>
      </c>
      <c r="F50" s="911"/>
      <c r="G50" s="911"/>
      <c r="H50" s="911"/>
      <c r="I50" s="911"/>
      <c r="J50" s="911"/>
      <c r="K50" s="911"/>
      <c r="L50" s="911"/>
      <c r="M50" s="911"/>
      <c r="N50" s="911"/>
      <c r="O50" s="911"/>
      <c r="P50" s="911" t="s">
        <v>741</v>
      </c>
      <c r="Q50" s="911"/>
      <c r="R50" s="911"/>
      <c r="S50" s="911"/>
      <c r="T50" s="911"/>
      <c r="U50" s="911"/>
      <c r="V50" s="911"/>
      <c r="W50" s="911"/>
      <c r="X50" s="911"/>
      <c r="Y50" s="911"/>
      <c r="Z50" s="911"/>
      <c r="AA50" s="909"/>
      <c r="AB50" s="910"/>
      <c r="AC50" s="910"/>
    </row>
    <row r="51" spans="1:29" s="907" customFormat="1">
      <c r="A51" s="838">
        <f>IF(C51="","",COUNTA($C$3:C51))</f>
        <v>49</v>
      </c>
      <c r="B51" s="911" t="s">
        <v>576</v>
      </c>
      <c r="C51" s="911">
        <v>-6.0940000000000003</v>
      </c>
      <c r="D51" s="911">
        <v>-20.094000000000001</v>
      </c>
      <c r="E51" s="911">
        <v>-23.094000000000001</v>
      </c>
      <c r="F51" s="911">
        <v>-26.494</v>
      </c>
      <c r="G51" s="911">
        <v>-28.294</v>
      </c>
      <c r="H51" s="911">
        <v>-29.893999999999998</v>
      </c>
      <c r="I51" s="911">
        <v>-32.293999999999997</v>
      </c>
      <c r="J51" s="911"/>
      <c r="K51" s="911"/>
      <c r="L51" s="911"/>
      <c r="M51" s="911"/>
      <c r="N51" s="911"/>
      <c r="O51" s="911"/>
      <c r="P51" s="911" t="s">
        <v>741</v>
      </c>
      <c r="Q51" s="911" t="s">
        <v>990</v>
      </c>
      <c r="R51" s="911" t="s">
        <v>745</v>
      </c>
      <c r="S51" s="911" t="s">
        <v>990</v>
      </c>
      <c r="T51" s="911" t="s">
        <v>745</v>
      </c>
      <c r="U51" s="911"/>
      <c r="V51" s="911"/>
      <c r="W51" s="911"/>
      <c r="X51" s="911"/>
      <c r="Y51" s="911"/>
      <c r="Z51" s="911"/>
      <c r="AA51" s="909"/>
      <c r="AB51" s="910"/>
      <c r="AC51" s="910"/>
    </row>
    <row r="52" spans="1:29" s="907" customFormat="1">
      <c r="A52" s="838">
        <f>IF(C52="","",COUNTA($C$3:C52))</f>
        <v>50</v>
      </c>
      <c r="B52" s="911" t="s">
        <v>520</v>
      </c>
      <c r="C52" s="911">
        <v>-5.7</v>
      </c>
      <c r="D52" s="911">
        <v>-22.5</v>
      </c>
      <c r="E52" s="911">
        <v>-24.9</v>
      </c>
      <c r="F52" s="911"/>
      <c r="G52" s="911"/>
      <c r="H52" s="911"/>
      <c r="I52" s="911"/>
      <c r="J52" s="911"/>
      <c r="K52" s="911"/>
      <c r="L52" s="911"/>
      <c r="M52" s="911"/>
      <c r="N52" s="911"/>
      <c r="O52" s="911"/>
      <c r="P52" s="911" t="s">
        <v>741</v>
      </c>
      <c r="Q52" s="911"/>
      <c r="R52" s="911"/>
      <c r="S52" s="911"/>
      <c r="T52" s="911"/>
      <c r="U52" s="911"/>
      <c r="V52" s="911"/>
      <c r="W52" s="911"/>
      <c r="X52" s="911"/>
      <c r="Y52" s="911"/>
      <c r="Z52" s="911"/>
      <c r="AA52" s="908"/>
    </row>
    <row r="53" spans="1:29" s="907" customFormat="1">
      <c r="A53" s="838">
        <f>IF(C53="","",COUNTA($C$3:C53))</f>
        <v>51</v>
      </c>
      <c r="B53" s="911" t="s">
        <v>561</v>
      </c>
      <c r="C53" s="911">
        <v>-5.55</v>
      </c>
      <c r="D53" s="911">
        <v>-23.45</v>
      </c>
      <c r="E53" s="911">
        <v>-24.65</v>
      </c>
      <c r="F53" s="911">
        <v>-26.15</v>
      </c>
      <c r="G53" s="911">
        <v>-32.299999999999997</v>
      </c>
      <c r="H53" s="911"/>
      <c r="I53" s="911"/>
      <c r="J53" s="911"/>
      <c r="K53" s="911"/>
      <c r="L53" s="911"/>
      <c r="M53" s="911"/>
      <c r="N53" s="911"/>
      <c r="O53" s="911"/>
      <c r="P53" s="911" t="s">
        <v>745</v>
      </c>
      <c r="Q53" s="911" t="s">
        <v>990</v>
      </c>
      <c r="R53" s="911" t="s">
        <v>745</v>
      </c>
      <c r="S53" s="911"/>
      <c r="T53" s="911"/>
      <c r="U53" s="911"/>
      <c r="V53" s="911"/>
      <c r="W53" s="911"/>
      <c r="X53" s="911"/>
      <c r="Y53" s="911"/>
      <c r="Z53" s="911"/>
      <c r="AA53" s="908"/>
    </row>
    <row r="54" spans="1:29" s="907" customFormat="1">
      <c r="A54" s="838">
        <f>IF(C54="","",COUNTA($C$3:C54))</f>
        <v>52</v>
      </c>
      <c r="B54" s="911" t="s">
        <v>569</v>
      </c>
      <c r="C54" s="911">
        <v>-5.78</v>
      </c>
      <c r="D54" s="911">
        <v>-22.08</v>
      </c>
      <c r="E54" s="911">
        <v>-24.9</v>
      </c>
      <c r="F54" s="911"/>
      <c r="G54" s="911"/>
      <c r="H54" s="911"/>
      <c r="I54" s="911"/>
      <c r="J54" s="911"/>
      <c r="K54" s="911"/>
      <c r="L54" s="911"/>
      <c r="M54" s="911"/>
      <c r="N54" s="911"/>
      <c r="O54" s="911"/>
      <c r="P54" s="911" t="s">
        <v>741</v>
      </c>
      <c r="Q54" s="911"/>
      <c r="R54" s="911"/>
      <c r="S54" s="911"/>
      <c r="T54" s="911"/>
      <c r="U54" s="911"/>
      <c r="V54" s="911"/>
      <c r="W54" s="911"/>
      <c r="X54" s="911"/>
      <c r="Y54" s="911"/>
      <c r="Z54" s="911"/>
      <c r="AA54" s="908"/>
    </row>
    <row r="55" spans="1:29" s="907" customFormat="1">
      <c r="A55" s="838">
        <f>IF(C55="","",COUNTA($C$3:C55))</f>
        <v>53</v>
      </c>
      <c r="B55" s="911" t="s">
        <v>686</v>
      </c>
      <c r="C55" s="911">
        <v>-6.2249999999999996</v>
      </c>
      <c r="D55" s="911">
        <v>-24.524999999999999</v>
      </c>
      <c r="E55" s="911">
        <v>-30.274999999999999</v>
      </c>
      <c r="F55" s="911">
        <v>-31.324999999999999</v>
      </c>
      <c r="G55" s="911">
        <v>-32.325000000000003</v>
      </c>
      <c r="H55" s="911"/>
      <c r="I55" s="911"/>
      <c r="J55" s="911"/>
      <c r="K55" s="911"/>
      <c r="L55" s="911"/>
      <c r="M55" s="911"/>
      <c r="N55" s="911"/>
      <c r="O55" s="911"/>
      <c r="P55" s="911" t="s">
        <v>747</v>
      </c>
      <c r="Q55" s="911" t="s">
        <v>990</v>
      </c>
      <c r="R55" s="911" t="s">
        <v>747</v>
      </c>
      <c r="S55" s="911"/>
      <c r="T55" s="911"/>
      <c r="U55" s="911"/>
      <c r="V55" s="911"/>
      <c r="W55" s="911"/>
      <c r="X55" s="911"/>
      <c r="Y55" s="911"/>
      <c r="Z55" s="911"/>
      <c r="AA55" s="908"/>
    </row>
    <row r="56" spans="1:29" s="907" customFormat="1">
      <c r="A56" s="838">
        <f>IF(C56="","",COUNTA($C$3:C56))</f>
        <v>54</v>
      </c>
      <c r="B56" s="911" t="s">
        <v>564</v>
      </c>
      <c r="C56" s="911">
        <v>-5.2</v>
      </c>
      <c r="D56" s="911">
        <v>-21.5</v>
      </c>
      <c r="E56" s="911">
        <v>-25.1</v>
      </c>
      <c r="F56" s="911"/>
      <c r="G56" s="911"/>
      <c r="H56" s="911"/>
      <c r="I56" s="911"/>
      <c r="J56" s="911"/>
      <c r="K56" s="911"/>
      <c r="L56" s="911"/>
      <c r="M56" s="911"/>
      <c r="N56" s="911"/>
      <c r="O56" s="911"/>
      <c r="P56" s="911" t="s">
        <v>745</v>
      </c>
      <c r="Q56" s="911"/>
      <c r="R56" s="911"/>
      <c r="S56" s="911"/>
      <c r="T56" s="911"/>
      <c r="U56" s="911"/>
      <c r="V56" s="911"/>
      <c r="W56" s="911"/>
      <c r="X56" s="911"/>
      <c r="Y56" s="911"/>
      <c r="Z56" s="911"/>
      <c r="AA56" s="908"/>
    </row>
    <row r="57" spans="1:29" s="907" customFormat="1">
      <c r="A57" s="838">
        <f>IF(C57="","",COUNTA($C$3:C57))</f>
        <v>55</v>
      </c>
      <c r="B57" s="911" t="s">
        <v>571</v>
      </c>
      <c r="C57" s="911">
        <v>-6.5449999999999999</v>
      </c>
      <c r="D57" s="911">
        <v>-20.745000000000001</v>
      </c>
      <c r="E57" s="911">
        <v>-23.85</v>
      </c>
      <c r="F57" s="911">
        <v>-25.15</v>
      </c>
      <c r="G57" s="911">
        <v>-32.295000000000002</v>
      </c>
      <c r="H57" s="911"/>
      <c r="I57" s="911"/>
      <c r="J57" s="911"/>
      <c r="K57" s="911"/>
      <c r="L57" s="911"/>
      <c r="M57" s="911"/>
      <c r="N57" s="911"/>
      <c r="O57" s="911"/>
      <c r="P57" s="911" t="s">
        <v>741</v>
      </c>
      <c r="Q57" s="911" t="s">
        <v>990</v>
      </c>
      <c r="R57" s="911" t="s">
        <v>747</v>
      </c>
      <c r="S57" s="911"/>
      <c r="T57" s="911"/>
      <c r="U57" s="911"/>
      <c r="V57" s="911"/>
      <c r="W57" s="911"/>
      <c r="X57" s="911"/>
      <c r="Y57" s="911"/>
      <c r="Z57" s="911"/>
      <c r="AA57" s="908"/>
    </row>
    <row r="58" spans="1:29" s="907" customFormat="1">
      <c r="A58" s="838">
        <f>IF(C58="","",COUNTA($C$3:C58))</f>
        <v>56</v>
      </c>
      <c r="B58" s="911" t="s">
        <v>525</v>
      </c>
      <c r="C58" s="911">
        <v>-6.34</v>
      </c>
      <c r="D58" s="911">
        <v>-21.94</v>
      </c>
      <c r="E58" s="911">
        <v>-24.94</v>
      </c>
      <c r="F58" s="911"/>
      <c r="G58" s="911"/>
      <c r="H58" s="911"/>
      <c r="I58" s="911"/>
      <c r="J58" s="911"/>
      <c r="K58" s="911"/>
      <c r="L58" s="911"/>
      <c r="M58" s="911"/>
      <c r="N58" s="911"/>
      <c r="O58" s="911"/>
      <c r="P58" s="911" t="s">
        <v>741</v>
      </c>
      <c r="Q58" s="911"/>
      <c r="R58" s="911"/>
      <c r="S58" s="911"/>
      <c r="T58" s="911"/>
      <c r="U58" s="911"/>
      <c r="V58" s="911"/>
      <c r="W58" s="911"/>
      <c r="X58" s="911"/>
      <c r="Y58" s="911"/>
      <c r="Z58" s="911"/>
      <c r="AA58" s="908"/>
    </row>
    <row r="59" spans="1:29" s="907" customFormat="1">
      <c r="A59" s="838">
        <f>IF(C59="","",COUNTA($C$3:C59))</f>
        <v>57</v>
      </c>
      <c r="B59" s="911" t="s">
        <v>500</v>
      </c>
      <c r="C59" s="911">
        <v>-5.4450000000000003</v>
      </c>
      <c r="D59" s="911">
        <v>-23.045000000000002</v>
      </c>
      <c r="E59" s="911">
        <v>-25.344999999999999</v>
      </c>
      <c r="F59" s="911">
        <v>-27.445</v>
      </c>
      <c r="G59" s="911">
        <v>-27.844999999999999</v>
      </c>
      <c r="H59" s="911">
        <v>-30.545000000000002</v>
      </c>
      <c r="I59" s="911">
        <v>-32.344999999999999</v>
      </c>
      <c r="J59" s="911"/>
      <c r="K59" s="911"/>
      <c r="L59" s="911"/>
      <c r="M59" s="911"/>
      <c r="N59" s="911"/>
      <c r="O59" s="911"/>
      <c r="P59" s="911" t="s">
        <v>741</v>
      </c>
      <c r="Q59" s="911" t="s">
        <v>990</v>
      </c>
      <c r="R59" s="911" t="s">
        <v>745</v>
      </c>
      <c r="S59" s="911" t="s">
        <v>990</v>
      </c>
      <c r="T59" s="911" t="s">
        <v>747</v>
      </c>
      <c r="U59" s="911"/>
      <c r="V59" s="911"/>
      <c r="W59" s="911"/>
      <c r="X59" s="911"/>
      <c r="Y59" s="911"/>
      <c r="Z59" s="911"/>
      <c r="AA59" s="908"/>
    </row>
    <row r="60" spans="1:29" s="907" customFormat="1">
      <c r="A60" s="838">
        <f>IF(C60="","",COUNTA($C$3:C60))</f>
        <v>58</v>
      </c>
      <c r="B60" s="911" t="s">
        <v>529</v>
      </c>
      <c r="C60" s="911">
        <v>-5.47</v>
      </c>
      <c r="D60" s="911">
        <v>-23.17</v>
      </c>
      <c r="E60" s="911">
        <v>-25.27</v>
      </c>
      <c r="F60" s="911"/>
      <c r="G60" s="911"/>
      <c r="H60" s="911"/>
      <c r="I60" s="911"/>
      <c r="J60" s="911"/>
      <c r="K60" s="911"/>
      <c r="L60" s="911"/>
      <c r="M60" s="911"/>
      <c r="N60" s="911"/>
      <c r="O60" s="911"/>
      <c r="P60" s="911" t="s">
        <v>741</v>
      </c>
      <c r="Q60" s="911"/>
      <c r="R60" s="911"/>
      <c r="S60" s="911"/>
      <c r="T60" s="911"/>
      <c r="U60" s="911"/>
      <c r="V60" s="911"/>
      <c r="W60" s="911"/>
      <c r="X60" s="911"/>
      <c r="Y60" s="911"/>
      <c r="Z60" s="911"/>
      <c r="AA60" s="908"/>
    </row>
    <row r="61" spans="1:29" s="907" customFormat="1">
      <c r="A61" s="838">
        <f>IF(C61="","",COUNTA($C$3:C61))</f>
        <v>59</v>
      </c>
      <c r="B61" s="911" t="s">
        <v>688</v>
      </c>
      <c r="C61" s="911">
        <v>-5.56</v>
      </c>
      <c r="D61" s="911">
        <v>-20.46</v>
      </c>
      <c r="E61" s="911">
        <v>-23.96</v>
      </c>
      <c r="F61" s="911">
        <v>-25.96</v>
      </c>
      <c r="G61" s="911">
        <v>-31.18</v>
      </c>
      <c r="H61" s="911"/>
      <c r="I61" s="911"/>
      <c r="J61" s="911"/>
      <c r="K61" s="911"/>
      <c r="L61" s="911"/>
      <c r="M61" s="911"/>
      <c r="N61" s="911"/>
      <c r="O61" s="911"/>
      <c r="P61" s="911" t="s">
        <v>741</v>
      </c>
      <c r="Q61" s="911" t="s">
        <v>990</v>
      </c>
      <c r="R61" s="911" t="s">
        <v>747</v>
      </c>
      <c r="S61" s="911"/>
      <c r="T61" s="911"/>
      <c r="U61" s="911"/>
      <c r="V61" s="911"/>
      <c r="W61" s="911"/>
      <c r="X61" s="911"/>
      <c r="Y61" s="911"/>
      <c r="Z61" s="911"/>
      <c r="AA61" s="908"/>
    </row>
    <row r="62" spans="1:29" s="907" customFormat="1">
      <c r="A62" s="838">
        <f>IF(C62="","",COUNTA($C$3:C62))</f>
        <v>60</v>
      </c>
      <c r="B62" s="911" t="s">
        <v>676</v>
      </c>
      <c r="C62" s="911">
        <v>-6.4829999999999997</v>
      </c>
      <c r="D62" s="911">
        <v>-22.933</v>
      </c>
      <c r="E62" s="911">
        <v>-30.183</v>
      </c>
      <c r="F62" s="911">
        <v>-31.183</v>
      </c>
      <c r="G62" s="911">
        <v>-36.283000000000001</v>
      </c>
      <c r="H62" s="911"/>
      <c r="I62" s="911"/>
      <c r="J62" s="911"/>
      <c r="K62" s="911"/>
      <c r="L62" s="911"/>
      <c r="M62" s="911"/>
      <c r="N62" s="911"/>
      <c r="O62" s="911"/>
      <c r="P62" s="911" t="s">
        <v>741</v>
      </c>
      <c r="Q62" s="911" t="s">
        <v>990</v>
      </c>
      <c r="R62" s="911" t="s">
        <v>747</v>
      </c>
      <c r="S62" s="911"/>
      <c r="T62" s="911"/>
      <c r="U62" s="911"/>
      <c r="V62" s="911"/>
      <c r="W62" s="911"/>
      <c r="X62" s="911"/>
      <c r="Y62" s="911"/>
      <c r="Z62" s="911"/>
      <c r="AA62" s="908"/>
    </row>
    <row r="63" spans="1:29">
      <c r="A63" s="838">
        <f>IF(C63="","",COUNTA($C$3:C63))</f>
        <v>61</v>
      </c>
      <c r="B63" s="862" t="s">
        <v>559</v>
      </c>
      <c r="C63" s="838">
        <v>-5.38</v>
      </c>
      <c r="D63" s="838">
        <v>-20.78</v>
      </c>
      <c r="E63" s="838">
        <v>-25.58</v>
      </c>
      <c r="F63" s="838"/>
      <c r="G63" s="838"/>
      <c r="H63" s="838"/>
      <c r="I63" s="838"/>
      <c r="J63" s="838"/>
      <c r="K63" s="838"/>
      <c r="L63" s="838"/>
      <c r="M63" s="838"/>
      <c r="N63" s="838"/>
      <c r="O63" s="838"/>
      <c r="P63" s="838" t="s">
        <v>741</v>
      </c>
      <c r="Q63" s="838"/>
      <c r="R63" s="838"/>
      <c r="S63" s="838"/>
      <c r="T63" s="838"/>
      <c r="U63" s="838"/>
      <c r="V63" s="838"/>
      <c r="W63" s="838"/>
      <c r="X63" s="838"/>
      <c r="Y63" s="838"/>
      <c r="Z63" s="838"/>
    </row>
    <row r="64" spans="1:29">
      <c r="A64" s="838">
        <f>IF(C64="","",COUNTA($C$3:C64))</f>
        <v>62</v>
      </c>
      <c r="B64" s="862" t="s">
        <v>602</v>
      </c>
      <c r="C64" s="838">
        <v>-5.5430000000000001</v>
      </c>
      <c r="D64" s="838">
        <v>-25.643000000000001</v>
      </c>
      <c r="E64" s="838">
        <v>-27.78</v>
      </c>
      <c r="F64" s="838"/>
      <c r="G64" s="838"/>
      <c r="H64" s="838"/>
      <c r="I64" s="838"/>
      <c r="J64" s="838"/>
      <c r="K64" s="838"/>
      <c r="L64" s="838"/>
      <c r="M64" s="838"/>
      <c r="N64" s="838"/>
      <c r="O64" s="838"/>
      <c r="P64" s="838" t="s">
        <v>741</v>
      </c>
      <c r="Q64" s="838"/>
      <c r="R64" s="838"/>
      <c r="S64" s="838"/>
      <c r="T64" s="838"/>
      <c r="U64" s="838"/>
      <c r="V64" s="838"/>
      <c r="W64" s="838"/>
      <c r="X64" s="838"/>
      <c r="Y64" s="838"/>
      <c r="Z64" s="838"/>
    </row>
    <row r="65" spans="1:26">
      <c r="A65" s="838">
        <f>IF(C65="","",COUNTA($C$3:C65))</f>
        <v>63</v>
      </c>
      <c r="B65" s="862" t="s">
        <v>572</v>
      </c>
      <c r="C65" s="838">
        <v>-5.6950000000000003</v>
      </c>
      <c r="D65" s="838">
        <v>-23.094999999999999</v>
      </c>
      <c r="E65" s="838">
        <v>-27.645</v>
      </c>
      <c r="F65" s="838"/>
      <c r="G65" s="838"/>
      <c r="H65" s="838"/>
      <c r="I65" s="838"/>
      <c r="J65" s="838"/>
      <c r="K65" s="838"/>
      <c r="L65" s="838"/>
      <c r="M65" s="838"/>
      <c r="N65" s="838"/>
      <c r="O65" s="838"/>
      <c r="P65" s="838" t="s">
        <v>741</v>
      </c>
      <c r="Q65" s="838"/>
      <c r="R65" s="838"/>
      <c r="S65" s="838"/>
      <c r="T65" s="838"/>
      <c r="U65" s="838"/>
      <c r="V65" s="838"/>
      <c r="W65" s="838"/>
      <c r="X65" s="838"/>
      <c r="Y65" s="838"/>
      <c r="Z65" s="838"/>
    </row>
    <row r="66" spans="1:26">
      <c r="A66" s="838">
        <f>IF(C66="","",COUNTA($C$3:C66))</f>
        <v>64</v>
      </c>
      <c r="B66" s="862" t="s">
        <v>694</v>
      </c>
      <c r="C66" s="838">
        <v>-5.77</v>
      </c>
      <c r="D66" s="838">
        <v>-23.22</v>
      </c>
      <c r="E66" s="838">
        <v>-27.97</v>
      </c>
      <c r="F66" s="838">
        <v>-28.77</v>
      </c>
      <c r="G66" s="838">
        <v>-29.87</v>
      </c>
      <c r="H66" s="838">
        <v>-30.27</v>
      </c>
      <c r="I66" s="838">
        <v>-32.369999999999997</v>
      </c>
      <c r="J66" s="838"/>
      <c r="K66" s="838"/>
      <c r="L66" s="838"/>
      <c r="M66" s="838"/>
      <c r="N66" s="838"/>
      <c r="O66" s="838"/>
      <c r="P66" s="838" t="s">
        <v>741</v>
      </c>
      <c r="Q66" s="838" t="s">
        <v>990</v>
      </c>
      <c r="R66" s="838" t="s">
        <v>741</v>
      </c>
      <c r="S66" s="838" t="s">
        <v>990</v>
      </c>
      <c r="T66" s="838" t="s">
        <v>741</v>
      </c>
      <c r="U66" s="838"/>
      <c r="V66" s="838"/>
      <c r="W66" s="838"/>
      <c r="X66" s="838"/>
      <c r="Y66" s="838"/>
      <c r="Z66" s="838"/>
    </row>
    <row r="67" spans="1:26">
      <c r="A67" s="838">
        <f>IF(C67="","",COUNTA($C$3:C67))</f>
        <v>65</v>
      </c>
      <c r="B67" s="862" t="s">
        <v>562</v>
      </c>
      <c r="C67" s="838">
        <v>-5.7469999999999999</v>
      </c>
      <c r="D67" s="838">
        <v>-27.49</v>
      </c>
      <c r="E67" s="838">
        <v>-27.54</v>
      </c>
      <c r="F67" s="838"/>
      <c r="G67" s="838"/>
      <c r="H67" s="838"/>
      <c r="I67" s="838"/>
      <c r="J67" s="838"/>
      <c r="K67" s="838"/>
      <c r="L67" s="838"/>
      <c r="M67" s="838"/>
      <c r="N67" s="838"/>
      <c r="O67" s="838"/>
      <c r="P67" s="838" t="s">
        <v>741</v>
      </c>
      <c r="Q67" s="838"/>
      <c r="R67" s="838"/>
      <c r="S67" s="838"/>
      <c r="T67" s="838"/>
      <c r="U67" s="838"/>
      <c r="V67" s="838"/>
      <c r="W67" s="838"/>
      <c r="X67" s="838"/>
      <c r="Y67" s="838"/>
      <c r="Z67" s="838"/>
    </row>
    <row r="68" spans="1:26">
      <c r="A68" s="838">
        <f>IF(C68="","",COUNTA($C$3:C68))</f>
        <v>66</v>
      </c>
      <c r="B68" s="862" t="s">
        <v>574</v>
      </c>
      <c r="C68" s="838">
        <v>-5.3</v>
      </c>
      <c r="D68" s="838">
        <v>-23.15</v>
      </c>
      <c r="E68" s="838">
        <v>-30.9</v>
      </c>
      <c r="F68" s="838">
        <v>-34.299999999999997</v>
      </c>
      <c r="G68" s="838">
        <v>-36.799999999999997</v>
      </c>
      <c r="H68" s="838">
        <v>-38.92</v>
      </c>
      <c r="I68" s="838"/>
      <c r="J68" s="838"/>
      <c r="K68" s="838"/>
      <c r="L68" s="838"/>
      <c r="M68" s="838"/>
      <c r="N68" s="838"/>
      <c r="O68" s="838"/>
      <c r="P68" s="838" t="s">
        <v>990</v>
      </c>
      <c r="Q68" s="838" t="s">
        <v>741</v>
      </c>
      <c r="R68" s="838" t="s">
        <v>990</v>
      </c>
      <c r="S68" s="838" t="s">
        <v>741</v>
      </c>
      <c r="T68" s="838"/>
      <c r="U68" s="838"/>
      <c r="V68" s="838"/>
      <c r="W68" s="838"/>
      <c r="X68" s="838"/>
      <c r="Y68" s="838"/>
      <c r="Z68" s="838"/>
    </row>
    <row r="69" spans="1:26">
      <c r="A69" s="838">
        <f>IF(C69="","",COUNTA($C$3:C69))</f>
        <v>67</v>
      </c>
      <c r="B69" s="862" t="s">
        <v>567</v>
      </c>
      <c r="C69" s="838">
        <v>-5.6449999999999996</v>
      </c>
      <c r="D69" s="838">
        <v>-22.645</v>
      </c>
      <c r="E69" s="838">
        <v>-23.645</v>
      </c>
      <c r="F69" s="838">
        <v>-24.645</v>
      </c>
      <c r="G69" s="838">
        <v>-27.645</v>
      </c>
      <c r="H69" s="838"/>
      <c r="I69" s="838"/>
      <c r="J69" s="838"/>
      <c r="K69" s="838"/>
      <c r="L69" s="838"/>
      <c r="M69" s="838"/>
      <c r="N69" s="838"/>
      <c r="O69" s="838"/>
      <c r="P69" s="838" t="s">
        <v>741</v>
      </c>
      <c r="Q69" s="838" t="s">
        <v>990</v>
      </c>
      <c r="R69" s="838" t="s">
        <v>741</v>
      </c>
      <c r="S69" s="838"/>
      <c r="T69" s="838"/>
      <c r="U69" s="838"/>
      <c r="V69" s="838"/>
      <c r="W69" s="838"/>
      <c r="X69" s="838"/>
      <c r="Y69" s="838"/>
      <c r="Z69" s="838"/>
    </row>
    <row r="70" spans="1:26">
      <c r="A70" s="838">
        <f>IF(C70="","",COUNTA($C$3:C70))</f>
        <v>68</v>
      </c>
      <c r="B70" s="862" t="s">
        <v>490</v>
      </c>
      <c r="C70" s="838">
        <v>-5.7050000000000001</v>
      </c>
      <c r="D70" s="838">
        <v>-22.105</v>
      </c>
      <c r="E70" s="838">
        <v>-23.305</v>
      </c>
      <c r="F70" s="838">
        <v>-24.305</v>
      </c>
      <c r="G70" s="838">
        <v>-26.704999999999998</v>
      </c>
      <c r="H70" s="838">
        <v>-27.605</v>
      </c>
      <c r="I70" s="838">
        <v>-29.405000000000001</v>
      </c>
      <c r="J70" s="838">
        <v>-30.204999999999998</v>
      </c>
      <c r="K70" s="838">
        <v>-32.5</v>
      </c>
      <c r="L70" s="838"/>
      <c r="M70" s="838"/>
      <c r="N70" s="838"/>
      <c r="O70" s="838"/>
      <c r="P70" s="838" t="s">
        <v>741</v>
      </c>
      <c r="Q70" s="838" t="s">
        <v>990</v>
      </c>
      <c r="R70" s="838" t="s">
        <v>741</v>
      </c>
      <c r="S70" s="838" t="s">
        <v>990</v>
      </c>
      <c r="T70" s="838" t="s">
        <v>745</v>
      </c>
      <c r="U70" s="838" t="s">
        <v>990</v>
      </c>
      <c r="V70" s="838" t="s">
        <v>745</v>
      </c>
      <c r="W70" s="838"/>
      <c r="X70" s="838"/>
      <c r="Y70" s="838"/>
      <c r="Z70" s="838"/>
    </row>
    <row r="71" spans="1:26">
      <c r="A71" s="838">
        <f>IF(C71="","",COUNTA($C$3:C71))</f>
        <v>69</v>
      </c>
      <c r="B71" s="862" t="s">
        <v>594</v>
      </c>
      <c r="C71" s="838">
        <v>-5.2</v>
      </c>
      <c r="D71" s="838">
        <v>-21.5</v>
      </c>
      <c r="E71" s="838">
        <v>-24.204999999999998</v>
      </c>
      <c r="F71" s="838">
        <v>-25.105</v>
      </c>
      <c r="G71" s="838">
        <v>-28.204999999999998</v>
      </c>
      <c r="H71" s="838"/>
      <c r="I71" s="838"/>
      <c r="J71" s="838"/>
      <c r="K71" s="838"/>
      <c r="L71" s="838"/>
      <c r="M71" s="838"/>
      <c r="N71" s="838"/>
      <c r="O71" s="838"/>
      <c r="P71" s="838" t="s">
        <v>741</v>
      </c>
      <c r="Q71" s="838" t="s">
        <v>990</v>
      </c>
      <c r="R71" s="838" t="s">
        <v>741</v>
      </c>
      <c r="S71" s="838"/>
      <c r="T71" s="838"/>
      <c r="U71" s="838"/>
      <c r="V71" s="838"/>
      <c r="W71" s="838"/>
      <c r="X71" s="838"/>
      <c r="Y71" s="838"/>
      <c r="Z71" s="838"/>
    </row>
    <row r="72" spans="1:26">
      <c r="A72" s="838">
        <f>IF(C72="","",COUNTA($C$3:C72))</f>
        <v>70</v>
      </c>
      <c r="B72" s="862" t="s">
        <v>577</v>
      </c>
      <c r="C72" s="838">
        <v>-5.6379999999999999</v>
      </c>
      <c r="D72" s="838">
        <v>-23.138000000000002</v>
      </c>
      <c r="E72" s="838">
        <v>-24.338000000000001</v>
      </c>
      <c r="F72" s="838">
        <v>-24.838000000000001</v>
      </c>
      <c r="G72" s="838">
        <v>-27.638000000000002</v>
      </c>
      <c r="H72" s="838"/>
      <c r="I72" s="838"/>
      <c r="J72" s="838"/>
      <c r="K72" s="838"/>
      <c r="L72" s="838"/>
      <c r="M72" s="838"/>
      <c r="N72" s="838"/>
      <c r="O72" s="838"/>
      <c r="P72" s="838" t="s">
        <v>747</v>
      </c>
      <c r="Q72" s="838" t="s">
        <v>990</v>
      </c>
      <c r="R72" s="838" t="s">
        <v>747</v>
      </c>
      <c r="S72" s="838"/>
      <c r="T72" s="838"/>
      <c r="U72" s="838"/>
      <c r="V72" s="838"/>
      <c r="W72" s="838"/>
      <c r="X72" s="838"/>
      <c r="Y72" s="838"/>
      <c r="Z72" s="838"/>
    </row>
    <row r="73" spans="1:26">
      <c r="A73" s="838">
        <f>IF(C73="","",COUNTA($C$3:C73))</f>
        <v>71</v>
      </c>
      <c r="B73" s="862" t="s">
        <v>582</v>
      </c>
      <c r="C73" s="838">
        <v>-5.7350000000000003</v>
      </c>
      <c r="D73" s="838">
        <v>-23.274999999999999</v>
      </c>
      <c r="E73" s="838">
        <v>-24.475000000000001</v>
      </c>
      <c r="F73" s="838">
        <v>-25.475000000000001</v>
      </c>
      <c r="G73" s="838">
        <v>-27.475000000000001</v>
      </c>
      <c r="H73" s="838"/>
      <c r="I73" s="838"/>
      <c r="J73" s="838"/>
      <c r="K73" s="838"/>
      <c r="L73" s="838"/>
      <c r="M73" s="838"/>
      <c r="N73" s="838"/>
      <c r="O73" s="838"/>
      <c r="P73" s="838" t="s">
        <v>747</v>
      </c>
      <c r="Q73" s="838" t="s">
        <v>990</v>
      </c>
      <c r="R73" s="838" t="s">
        <v>747</v>
      </c>
      <c r="S73" s="838"/>
      <c r="T73" s="838"/>
      <c r="U73" s="838"/>
      <c r="V73" s="838"/>
      <c r="W73" s="838"/>
      <c r="X73" s="838"/>
      <c r="Y73" s="838"/>
      <c r="Z73" s="838"/>
    </row>
    <row r="74" spans="1:26">
      <c r="A74" s="838">
        <f>IF(C74="","",COUNTA($C$3:C74))</f>
        <v>72</v>
      </c>
      <c r="B74" s="862" t="s">
        <v>592</v>
      </c>
      <c r="C74" s="838">
        <v>-5.43</v>
      </c>
      <c r="D74" s="838">
        <v>-21.63</v>
      </c>
      <c r="E74" s="838">
        <v>-23.63</v>
      </c>
      <c r="F74" s="838">
        <v>-24.63</v>
      </c>
      <c r="G74" s="838">
        <v>-27.73</v>
      </c>
      <c r="H74" s="838"/>
      <c r="I74" s="838"/>
      <c r="J74" s="838"/>
      <c r="K74" s="838"/>
      <c r="L74" s="838"/>
      <c r="M74" s="838"/>
      <c r="N74" s="838"/>
      <c r="O74" s="838"/>
      <c r="P74" s="838" t="s">
        <v>747</v>
      </c>
      <c r="Q74" s="838" t="s">
        <v>990</v>
      </c>
      <c r="R74" s="838" t="s">
        <v>747</v>
      </c>
      <c r="S74" s="838"/>
      <c r="T74" s="838"/>
      <c r="U74" s="838"/>
      <c r="V74" s="838"/>
      <c r="W74" s="838"/>
      <c r="X74" s="838"/>
      <c r="Y74" s="838"/>
      <c r="Z74" s="838"/>
    </row>
    <row r="75" spans="1:26">
      <c r="A75" s="838">
        <f>IF(C75="","",COUNTA($C$3:C75))</f>
        <v>73</v>
      </c>
      <c r="B75" s="862" t="s">
        <v>678</v>
      </c>
      <c r="C75" s="838">
        <v>-5.931</v>
      </c>
      <c r="D75" s="838">
        <v>-19.831</v>
      </c>
      <c r="E75" s="838">
        <v>-25.831</v>
      </c>
      <c r="F75" s="838">
        <v>-27.331</v>
      </c>
      <c r="G75" s="838">
        <v>-31.030999999999999</v>
      </c>
      <c r="H75" s="838"/>
      <c r="I75" s="838"/>
      <c r="J75" s="838"/>
      <c r="K75" s="838"/>
      <c r="L75" s="838"/>
      <c r="M75" s="838"/>
      <c r="N75" s="838"/>
      <c r="O75" s="838"/>
      <c r="P75" s="838" t="s">
        <v>741</v>
      </c>
      <c r="Q75" s="838" t="s">
        <v>990</v>
      </c>
      <c r="R75" s="838" t="s">
        <v>741</v>
      </c>
      <c r="S75" s="838"/>
      <c r="T75" s="838"/>
      <c r="U75" s="838"/>
      <c r="V75" s="838"/>
      <c r="W75" s="838"/>
      <c r="X75" s="838"/>
      <c r="Y75" s="838"/>
      <c r="Z75" s="838"/>
    </row>
    <row r="76" spans="1:26">
      <c r="A76" s="838">
        <f>IF(C76="","",COUNTA($C$3:C76))</f>
        <v>74</v>
      </c>
      <c r="B76" s="862" t="s">
        <v>597</v>
      </c>
      <c r="C76" s="838">
        <v>-5.4450000000000003</v>
      </c>
      <c r="D76" s="838">
        <v>-21.745000000000001</v>
      </c>
      <c r="E76" s="838">
        <v>-27.645</v>
      </c>
      <c r="F76" s="838"/>
      <c r="G76" s="838"/>
      <c r="H76" s="838"/>
      <c r="I76" s="838"/>
      <c r="J76" s="838"/>
      <c r="K76" s="838"/>
      <c r="L76" s="838"/>
      <c r="M76" s="838"/>
      <c r="N76" s="838"/>
      <c r="O76" s="838"/>
      <c r="P76" s="838" t="s">
        <v>741</v>
      </c>
      <c r="Q76" s="838"/>
      <c r="R76" s="838"/>
      <c r="S76" s="838"/>
      <c r="T76" s="838"/>
      <c r="U76" s="838"/>
      <c r="V76" s="838"/>
      <c r="W76" s="838"/>
      <c r="X76" s="838"/>
      <c r="Y76" s="838"/>
      <c r="Z76" s="838"/>
    </row>
    <row r="77" spans="1:26">
      <c r="A77" s="838">
        <f>IF(C77="","",COUNTA($C$3:C77))</f>
        <v>75</v>
      </c>
      <c r="B77" s="915" t="s">
        <v>691</v>
      </c>
      <c r="C77" s="838">
        <v>-5.165</v>
      </c>
      <c r="D77" s="838">
        <v>-23.664999999999999</v>
      </c>
      <c r="E77" s="838">
        <v>-26.655000000000001</v>
      </c>
      <c r="F77" s="838">
        <v>-28.164999999999999</v>
      </c>
      <c r="G77" s="838">
        <v>-32.564999999999998</v>
      </c>
      <c r="H77" s="838"/>
      <c r="I77" s="838"/>
      <c r="J77" s="838"/>
      <c r="K77" s="838"/>
      <c r="L77" s="838"/>
      <c r="M77" s="838"/>
      <c r="N77" s="838"/>
      <c r="O77" s="838"/>
      <c r="P77" s="838" t="s">
        <v>747</v>
      </c>
      <c r="Q77" s="838" t="s">
        <v>990</v>
      </c>
      <c r="R77" s="838" t="s">
        <v>747</v>
      </c>
      <c r="S77" s="838"/>
      <c r="T77" s="838"/>
      <c r="U77" s="838"/>
      <c r="V77" s="838"/>
      <c r="W77" s="838"/>
      <c r="X77" s="838"/>
      <c r="Y77" s="838"/>
      <c r="Z77" s="838"/>
    </row>
    <row r="78" spans="1:26">
      <c r="A78" s="838">
        <f>IF(C78="","",COUNTA($C$3:C78))</f>
        <v>76</v>
      </c>
      <c r="B78" s="915" t="s">
        <v>587</v>
      </c>
      <c r="C78" s="838">
        <v>-5.5780000000000003</v>
      </c>
      <c r="D78" s="838">
        <v>-20.375</v>
      </c>
      <c r="E78" s="838">
        <v>-27.725000000000001</v>
      </c>
      <c r="F78" s="838"/>
      <c r="G78" s="838"/>
      <c r="H78" s="838"/>
      <c r="I78" s="838"/>
      <c r="J78" s="838"/>
      <c r="K78" s="838"/>
      <c r="L78" s="838"/>
      <c r="M78" s="838"/>
      <c r="N78" s="838"/>
      <c r="O78" s="838"/>
      <c r="P78" s="838" t="s">
        <v>741</v>
      </c>
      <c r="Q78" s="838"/>
      <c r="R78" s="838"/>
      <c r="S78" s="838"/>
      <c r="T78" s="838"/>
      <c r="U78" s="838"/>
      <c r="V78" s="838"/>
      <c r="W78" s="838"/>
      <c r="X78" s="838"/>
      <c r="Y78" s="838"/>
      <c r="Z78" s="838"/>
    </row>
    <row r="79" spans="1:26">
      <c r="A79" s="838">
        <f>IF(C79="","",COUNTA($C$3:C79))</f>
        <v>77</v>
      </c>
      <c r="B79" s="915" t="s">
        <v>607</v>
      </c>
      <c r="C79" s="838">
        <v>-5.4889999999999999</v>
      </c>
      <c r="D79" s="838">
        <v>-30.888999999999999</v>
      </c>
      <c r="E79" s="838">
        <v>-32.189</v>
      </c>
      <c r="F79" s="838"/>
      <c r="G79" s="838"/>
      <c r="H79" s="838"/>
      <c r="I79" s="838"/>
      <c r="J79" s="838"/>
      <c r="K79" s="838"/>
      <c r="L79" s="838"/>
      <c r="M79" s="838"/>
      <c r="N79" s="838"/>
      <c r="O79" s="838"/>
      <c r="P79" s="838" t="s">
        <v>741</v>
      </c>
      <c r="Q79" s="838"/>
      <c r="R79" s="838"/>
      <c r="S79" s="838"/>
      <c r="T79" s="838"/>
      <c r="U79" s="838"/>
      <c r="V79" s="838"/>
      <c r="W79" s="838"/>
      <c r="X79" s="838"/>
      <c r="Y79" s="838"/>
      <c r="Z79" s="838"/>
    </row>
    <row r="80" spans="1:26">
      <c r="A80" s="838">
        <f>IF(C80="","",COUNTA($C$3:C80))</f>
        <v>78</v>
      </c>
      <c r="B80" s="915" t="s">
        <v>495</v>
      </c>
      <c r="C80" s="838">
        <v>-5.78</v>
      </c>
      <c r="D80" s="838">
        <v>-25.119</v>
      </c>
      <c r="E80" s="838">
        <v>-32.219000000000001</v>
      </c>
      <c r="F80" s="838"/>
      <c r="G80" s="838"/>
      <c r="H80" s="838"/>
      <c r="I80" s="838"/>
      <c r="J80" s="838"/>
      <c r="K80" s="838"/>
      <c r="L80" s="838"/>
      <c r="M80" s="838"/>
      <c r="N80" s="838"/>
      <c r="O80" s="838"/>
      <c r="P80" s="838" t="s">
        <v>747</v>
      </c>
      <c r="Q80" s="838"/>
      <c r="R80" s="838"/>
      <c r="S80" s="838"/>
      <c r="T80" s="838"/>
      <c r="U80" s="838"/>
      <c r="V80" s="838"/>
      <c r="W80" s="838"/>
      <c r="X80" s="838"/>
      <c r="Y80" s="838"/>
      <c r="Z80" s="838"/>
    </row>
    <row r="81" spans="1:26">
      <c r="A81" s="838">
        <f>IF(C81="","",COUNTA($C$3:C81))</f>
        <v>79</v>
      </c>
      <c r="B81" s="915" t="s">
        <v>496</v>
      </c>
      <c r="C81" s="838">
        <v>-4.859</v>
      </c>
      <c r="D81" s="838">
        <v>-21.059000000000001</v>
      </c>
      <c r="E81" s="838">
        <v>-23.859000000000002</v>
      </c>
      <c r="F81" s="838">
        <v>-25.359000000000002</v>
      </c>
      <c r="G81" s="838">
        <v>-26.859000000000002</v>
      </c>
      <c r="H81" s="838"/>
      <c r="I81" s="838"/>
      <c r="J81" s="838"/>
      <c r="K81" s="838"/>
      <c r="L81" s="838"/>
      <c r="M81" s="838"/>
      <c r="N81" s="838"/>
      <c r="O81" s="838"/>
      <c r="P81" s="838" t="s">
        <v>741</v>
      </c>
      <c r="Q81" s="838" t="s">
        <v>990</v>
      </c>
      <c r="R81" s="838" t="s">
        <v>741</v>
      </c>
      <c r="S81" s="838"/>
      <c r="T81" s="838"/>
      <c r="U81" s="838"/>
      <c r="V81" s="838"/>
      <c r="W81" s="838"/>
      <c r="X81" s="838"/>
      <c r="Y81" s="838"/>
      <c r="Z81" s="838"/>
    </row>
    <row r="82" spans="1:26">
      <c r="A82" s="838">
        <f>IF(C82="","",COUNTA($C$3:C82))</f>
        <v>80</v>
      </c>
      <c r="B82" s="915" t="s">
        <v>515</v>
      </c>
      <c r="C82" s="838">
        <v>-5.4530000000000003</v>
      </c>
      <c r="D82" s="838">
        <v>-21.553000000000001</v>
      </c>
      <c r="E82" s="838">
        <v>-27.452999999999999</v>
      </c>
      <c r="F82" s="838">
        <v>-29.452999999999999</v>
      </c>
      <c r="G82" s="838">
        <v>-31.952999999999999</v>
      </c>
      <c r="H82" s="838"/>
      <c r="I82" s="838"/>
      <c r="J82" s="838"/>
      <c r="K82" s="838"/>
      <c r="L82" s="838"/>
      <c r="M82" s="838"/>
      <c r="N82" s="838"/>
      <c r="O82" s="838"/>
      <c r="P82" s="838" t="s">
        <v>747</v>
      </c>
      <c r="Q82" s="838" t="s">
        <v>990</v>
      </c>
      <c r="R82" s="838" t="s">
        <v>747</v>
      </c>
      <c r="S82" s="838"/>
      <c r="T82" s="838"/>
      <c r="U82" s="838"/>
      <c r="V82" s="838"/>
      <c r="W82" s="838"/>
      <c r="X82" s="838"/>
      <c r="Y82" s="838"/>
      <c r="Z82" s="838"/>
    </row>
    <row r="83" spans="1:26">
      <c r="A83" s="838">
        <f>IF(C83="","",COUNTA($C$3:C83))</f>
        <v>81</v>
      </c>
      <c r="B83" s="916" t="s">
        <v>612</v>
      </c>
      <c r="C83" s="838">
        <v>-5.33</v>
      </c>
      <c r="D83" s="838">
        <v>-26.23</v>
      </c>
      <c r="E83" s="838">
        <v>-28.3</v>
      </c>
      <c r="F83" s="838"/>
      <c r="G83" s="838"/>
      <c r="H83" s="838"/>
      <c r="I83" s="838"/>
      <c r="J83" s="838"/>
      <c r="K83" s="838"/>
      <c r="L83" s="838"/>
      <c r="M83" s="838"/>
      <c r="N83" s="838"/>
      <c r="O83" s="838"/>
      <c r="P83" s="838" t="s">
        <v>741</v>
      </c>
      <c r="Q83" s="838"/>
      <c r="R83" s="838"/>
      <c r="S83" s="838"/>
      <c r="T83" s="838"/>
      <c r="U83" s="838"/>
      <c r="V83" s="838"/>
      <c r="W83" s="838"/>
      <c r="X83" s="838"/>
      <c r="Y83" s="838"/>
      <c r="Z83" s="838"/>
    </row>
    <row r="84" spans="1:26">
      <c r="A84" s="838">
        <f>IF(C84="","",COUNTA($C$3:C84))</f>
        <v>82</v>
      </c>
      <c r="B84" s="916" t="s">
        <v>507</v>
      </c>
      <c r="C84" s="838">
        <v>-5.5720000000000001</v>
      </c>
      <c r="D84" s="838">
        <v>-20.972000000000001</v>
      </c>
      <c r="E84" s="838">
        <v>-25.472000000000001</v>
      </c>
      <c r="F84" s="838">
        <v>-26.972000000000001</v>
      </c>
      <c r="G84" s="838">
        <v>-29.192</v>
      </c>
      <c r="H84" s="838"/>
      <c r="I84" s="838"/>
      <c r="J84" s="838"/>
      <c r="K84" s="838"/>
      <c r="L84" s="838"/>
      <c r="M84" s="838"/>
      <c r="N84" s="838"/>
      <c r="O84" s="838"/>
      <c r="P84" s="838" t="s">
        <v>741</v>
      </c>
      <c r="Q84" s="838" t="s">
        <v>990</v>
      </c>
      <c r="R84" s="838" t="s">
        <v>745</v>
      </c>
      <c r="S84" s="838"/>
      <c r="T84" s="838"/>
      <c r="U84" s="838"/>
      <c r="V84" s="838"/>
      <c r="W84" s="838"/>
      <c r="X84" s="838"/>
      <c r="Y84" s="838"/>
      <c r="Z84" s="838"/>
    </row>
    <row r="85" spans="1:26">
      <c r="A85" s="838">
        <f>IF(C85="","",COUNTA($C$3:C85))</f>
        <v>83</v>
      </c>
      <c r="B85" s="920" t="s">
        <v>505</v>
      </c>
      <c r="C85" s="838">
        <v>-5.16</v>
      </c>
      <c r="D85" s="838">
        <v>-20.76</v>
      </c>
      <c r="E85" s="838">
        <v>-26.06</v>
      </c>
      <c r="F85" s="838">
        <v>-27.06</v>
      </c>
      <c r="G85" s="838">
        <v>-32.229999999999997</v>
      </c>
      <c r="H85" s="838"/>
      <c r="I85" s="838"/>
      <c r="J85" s="838"/>
      <c r="K85" s="838"/>
      <c r="L85" s="838"/>
      <c r="M85" s="838"/>
      <c r="N85" s="838"/>
      <c r="O85" s="838"/>
      <c r="P85" s="838" t="s">
        <v>741</v>
      </c>
      <c r="Q85" s="838" t="s">
        <v>990</v>
      </c>
      <c r="R85" s="838" t="s">
        <v>745</v>
      </c>
      <c r="S85" s="838"/>
      <c r="T85" s="838"/>
      <c r="U85" s="838"/>
      <c r="V85" s="838"/>
      <c r="W85" s="838"/>
      <c r="X85" s="838"/>
      <c r="Y85" s="838"/>
      <c r="Z85" s="838"/>
    </row>
    <row r="86" spans="1:26">
      <c r="A86" s="838">
        <f>IF(C86="","",COUNTA($C$3:C86))</f>
        <v>84</v>
      </c>
      <c r="B86" s="920" t="s">
        <v>537</v>
      </c>
      <c r="C86" s="838">
        <v>-5.2080000000000002</v>
      </c>
      <c r="D86" s="838">
        <v>-21.207999999999998</v>
      </c>
      <c r="E86" s="838">
        <v>-24.6</v>
      </c>
      <c r="F86" s="838">
        <v>-25.81</v>
      </c>
      <c r="G86" s="838">
        <v>-27.2</v>
      </c>
      <c r="H86" s="838">
        <v>-28.05</v>
      </c>
      <c r="I86" s="838">
        <v>-31.428000000000001</v>
      </c>
      <c r="J86" s="838"/>
      <c r="K86" s="838"/>
      <c r="L86" s="838"/>
      <c r="M86" s="838"/>
      <c r="N86" s="838"/>
      <c r="O86" s="838"/>
      <c r="P86" s="838" t="s">
        <v>741</v>
      </c>
      <c r="Q86" s="838" t="s">
        <v>990</v>
      </c>
      <c r="R86" s="838" t="s">
        <v>745</v>
      </c>
      <c r="S86" s="838" t="s">
        <v>990</v>
      </c>
      <c r="T86" s="838" t="s">
        <v>747</v>
      </c>
      <c r="U86" s="838"/>
      <c r="V86" s="838"/>
      <c r="W86" s="838"/>
      <c r="X86" s="838"/>
      <c r="Y86" s="838"/>
      <c r="Z86" s="838"/>
    </row>
    <row r="87" spans="1:26">
      <c r="A87" s="838">
        <f>IF(C87="","",COUNTA($C$3:C87))</f>
        <v>85</v>
      </c>
      <c r="B87" s="920" t="s">
        <v>670</v>
      </c>
      <c r="C87" s="838">
        <v>-5.05</v>
      </c>
      <c r="D87" s="838">
        <v>-21.2</v>
      </c>
      <c r="E87" s="838">
        <v>-24.88</v>
      </c>
      <c r="F87" s="838">
        <v>-26.158000000000001</v>
      </c>
      <c r="G87" s="838">
        <v>-28.358000000000001</v>
      </c>
      <c r="H87" s="838"/>
      <c r="I87" s="838"/>
      <c r="J87" s="838"/>
      <c r="K87" s="838"/>
      <c r="L87" s="838"/>
      <c r="M87" s="838"/>
      <c r="N87" s="838"/>
      <c r="O87" s="838"/>
      <c r="P87" s="838" t="s">
        <v>745</v>
      </c>
      <c r="Q87" s="838" t="s">
        <v>990</v>
      </c>
      <c r="R87" s="838" t="s">
        <v>745</v>
      </c>
      <c r="S87" s="838"/>
      <c r="T87" s="838"/>
      <c r="U87" s="838"/>
      <c r="V87" s="838"/>
      <c r="W87" s="838"/>
      <c r="X87" s="838"/>
      <c r="Y87" s="838"/>
      <c r="Z87" s="838"/>
    </row>
    <row r="88" spans="1:26">
      <c r="A88" s="838">
        <f>IF(C88="","",COUNTA($C$3:C88))</f>
        <v>86</v>
      </c>
      <c r="B88" s="921" t="s">
        <v>617</v>
      </c>
      <c r="C88" s="838">
        <v>-5.1950000000000003</v>
      </c>
      <c r="D88" s="838">
        <v>-21.795000000000002</v>
      </c>
      <c r="E88" s="838">
        <v>-24.64</v>
      </c>
      <c r="F88" s="838"/>
      <c r="G88" s="838"/>
      <c r="H88" s="838"/>
      <c r="I88" s="838"/>
      <c r="J88" s="838"/>
      <c r="K88" s="838"/>
      <c r="L88" s="838"/>
      <c r="M88" s="838"/>
      <c r="N88" s="838"/>
      <c r="O88" s="838"/>
      <c r="P88" s="839" t="s">
        <v>741</v>
      </c>
      <c r="Q88" s="838"/>
      <c r="R88" s="838"/>
      <c r="S88" s="838"/>
      <c r="T88" s="838"/>
      <c r="U88" s="838"/>
      <c r="V88" s="838"/>
      <c r="W88" s="838"/>
      <c r="X88" s="838"/>
      <c r="Y88" s="838"/>
      <c r="Z88" s="838"/>
    </row>
    <row r="89" spans="1:26">
      <c r="A89" s="838">
        <f>IF(C89="","",COUNTA($C$3:C89))</f>
        <v>87</v>
      </c>
      <c r="B89" s="862" t="s">
        <v>1112</v>
      </c>
      <c r="C89" s="838">
        <v>-4.9269999999999996</v>
      </c>
      <c r="D89" s="838">
        <v>-20.047000000000001</v>
      </c>
      <c r="E89" s="838">
        <v>-27.78</v>
      </c>
      <c r="F89" s="838"/>
      <c r="G89" s="838"/>
      <c r="H89" s="838"/>
      <c r="I89" s="838"/>
      <c r="J89" s="838"/>
      <c r="K89" s="838"/>
      <c r="L89" s="838"/>
      <c r="M89" s="838"/>
      <c r="N89" s="838"/>
      <c r="O89" s="838"/>
      <c r="P89" s="839" t="s">
        <v>741</v>
      </c>
      <c r="Q89" s="838"/>
      <c r="R89" s="838"/>
      <c r="S89" s="838"/>
      <c r="T89" s="838"/>
      <c r="U89" s="838"/>
      <c r="V89" s="838"/>
      <c r="W89" s="838"/>
      <c r="X89" s="838"/>
      <c r="Y89" s="838"/>
      <c r="Z89" s="838"/>
    </row>
    <row r="90" spans="1:26">
      <c r="A90" s="838">
        <f>IF(C90="","",COUNTA($C$3:C90))</f>
        <v>88</v>
      </c>
      <c r="B90" s="921" t="s">
        <v>683</v>
      </c>
      <c r="C90" s="838">
        <v>-5.63</v>
      </c>
      <c r="D90" s="838">
        <v>-18.13</v>
      </c>
      <c r="E90" s="838">
        <v>-23.13</v>
      </c>
      <c r="F90" s="838">
        <v>-24.63</v>
      </c>
      <c r="G90" s="838">
        <v>-31.08</v>
      </c>
      <c r="H90" s="838"/>
      <c r="I90" s="838"/>
      <c r="J90" s="838"/>
      <c r="K90" s="838"/>
      <c r="L90" s="838"/>
      <c r="M90" s="838"/>
      <c r="N90" s="838"/>
      <c r="O90" s="838"/>
      <c r="P90" s="839" t="s">
        <v>741</v>
      </c>
      <c r="Q90" s="839" t="s">
        <v>990</v>
      </c>
      <c r="R90" s="839" t="s">
        <v>747</v>
      </c>
      <c r="S90" s="838"/>
      <c r="T90" s="838"/>
      <c r="U90" s="838"/>
      <c r="V90" s="838"/>
      <c r="W90" s="838"/>
      <c r="X90" s="838"/>
      <c r="Y90" s="838"/>
      <c r="Z90" s="838"/>
    </row>
    <row r="91" spans="1:26">
      <c r="A91" s="838">
        <f>IF(C91="","",COUNTA($C$3:C91))</f>
        <v>89</v>
      </c>
      <c r="B91" s="824" t="s">
        <v>682</v>
      </c>
      <c r="C91" s="825">
        <v>-5.0010000000000003</v>
      </c>
      <c r="D91" s="825">
        <v>-22.7</v>
      </c>
      <c r="E91" s="825">
        <v>-25.4</v>
      </c>
      <c r="F91" s="825">
        <v>-26.4</v>
      </c>
      <c r="G91" s="825">
        <v>-28.231000000000002</v>
      </c>
      <c r="P91" s="826" t="s">
        <v>741</v>
      </c>
      <c r="Q91" s="826" t="s">
        <v>990</v>
      </c>
      <c r="R91" s="826" t="s">
        <v>741</v>
      </c>
    </row>
    <row r="92" spans="1:26">
      <c r="A92" s="838">
        <f>IF(C92="","",COUNTA($C$3:C92))</f>
        <v>90</v>
      </c>
      <c r="B92" s="862" t="s">
        <v>510</v>
      </c>
      <c r="C92" s="838">
        <v>-5.1890000000000001</v>
      </c>
      <c r="D92" s="838">
        <v>-21.29</v>
      </c>
      <c r="E92" s="838">
        <v>-27.09</v>
      </c>
      <c r="F92" s="838">
        <v>-28.59</v>
      </c>
      <c r="G92" s="838">
        <v>-31.02</v>
      </c>
      <c r="H92" s="838"/>
      <c r="I92" s="838"/>
      <c r="J92" s="838"/>
      <c r="K92" s="838"/>
      <c r="L92" s="838"/>
      <c r="M92" s="838"/>
      <c r="N92" s="838"/>
      <c r="O92" s="838"/>
      <c r="P92" s="839" t="s">
        <v>745</v>
      </c>
      <c r="Q92" s="839" t="s">
        <v>990</v>
      </c>
      <c r="R92" s="839" t="s">
        <v>745</v>
      </c>
      <c r="S92" s="838"/>
      <c r="T92" s="838"/>
      <c r="U92" s="838"/>
      <c r="V92" s="838"/>
      <c r="W92" s="838"/>
      <c r="X92" s="838"/>
      <c r="Y92" s="838"/>
      <c r="Z92" s="838"/>
    </row>
    <row r="93" spans="1:26">
      <c r="A93" s="838">
        <f>IF(C93="","",COUNTA($C$3:C93))</f>
        <v>91</v>
      </c>
      <c r="B93" s="862" t="s">
        <v>530</v>
      </c>
      <c r="C93" s="838">
        <v>-5.3159999999999998</v>
      </c>
      <c r="D93" s="838">
        <v>-19.916</v>
      </c>
      <c r="E93" s="838">
        <v>-21.315999999999999</v>
      </c>
      <c r="F93" s="838"/>
      <c r="G93" s="838"/>
      <c r="H93" s="838"/>
      <c r="I93" s="838"/>
      <c r="J93" s="838"/>
      <c r="K93" s="838"/>
      <c r="L93" s="838"/>
      <c r="M93" s="838"/>
      <c r="N93" s="838"/>
      <c r="O93" s="838"/>
      <c r="P93" s="839" t="s">
        <v>741</v>
      </c>
      <c r="Q93" s="838"/>
      <c r="R93" s="838"/>
      <c r="S93" s="838"/>
      <c r="T93" s="838"/>
      <c r="U93" s="838"/>
      <c r="V93" s="838"/>
      <c r="W93" s="838"/>
      <c r="X93" s="838"/>
      <c r="Y93" s="838"/>
      <c r="Z93" s="838"/>
    </row>
    <row r="94" spans="1:26">
      <c r="A94" s="838">
        <f>IF(C94="","",COUNTA($C$3:C94))</f>
        <v>92</v>
      </c>
      <c r="B94" s="862" t="s">
        <v>512</v>
      </c>
      <c r="C94" s="838">
        <v>-5.08</v>
      </c>
      <c r="D94" s="838">
        <v>-21.08</v>
      </c>
      <c r="E94" s="838">
        <v>-25.02</v>
      </c>
      <c r="F94" s="838">
        <v>-25.917999999999999</v>
      </c>
      <c r="G94" s="838">
        <v>-28.768000000000001</v>
      </c>
      <c r="H94" s="838"/>
      <c r="I94" s="838"/>
      <c r="J94" s="838"/>
      <c r="K94" s="838"/>
      <c r="L94" s="838"/>
      <c r="M94" s="838"/>
      <c r="N94" s="838"/>
      <c r="O94" s="838"/>
      <c r="P94" s="839" t="s">
        <v>741</v>
      </c>
      <c r="Q94" s="839" t="s">
        <v>990</v>
      </c>
      <c r="R94" s="839" t="s">
        <v>741</v>
      </c>
      <c r="S94" s="838"/>
      <c r="T94" s="838"/>
      <c r="U94" s="838"/>
      <c r="V94" s="838"/>
      <c r="W94" s="838"/>
      <c r="X94" s="838"/>
      <c r="Y94" s="838"/>
      <c r="Z94" s="838"/>
    </row>
    <row r="95" spans="1:26">
      <c r="A95" s="838">
        <f>IF(C95="","",COUNTA($C$3:C95))</f>
        <v>93</v>
      </c>
      <c r="B95" s="862" t="s">
        <v>665</v>
      </c>
      <c r="C95" s="838">
        <v>-5.0869999999999997</v>
      </c>
      <c r="D95" s="838">
        <v>-21.087</v>
      </c>
      <c r="E95" s="838">
        <v>-22.98</v>
      </c>
      <c r="F95" s="838">
        <v>-24.48</v>
      </c>
      <c r="G95" s="838">
        <v>-28.38</v>
      </c>
      <c r="H95" s="838"/>
      <c r="I95" s="838"/>
      <c r="J95" s="838"/>
      <c r="K95" s="838"/>
      <c r="L95" s="838"/>
      <c r="M95" s="838"/>
      <c r="N95" s="838"/>
      <c r="O95" s="838"/>
      <c r="P95" s="839" t="s">
        <v>745</v>
      </c>
      <c r="Q95" s="839" t="s">
        <v>990</v>
      </c>
      <c r="R95" s="839" t="s">
        <v>745</v>
      </c>
      <c r="S95" s="838"/>
      <c r="T95" s="838"/>
      <c r="U95" s="838"/>
      <c r="V95" s="838"/>
      <c r="W95" s="838"/>
      <c r="X95" s="838"/>
      <c r="Y95" s="838"/>
      <c r="Z95" s="838"/>
    </row>
    <row r="96" spans="1:26">
      <c r="A96" s="838">
        <f>IF(C96="","",COUNTA($C$3:C96))</f>
        <v>94</v>
      </c>
      <c r="B96" s="862" t="s">
        <v>554</v>
      </c>
      <c r="C96" s="838">
        <v>-5.07</v>
      </c>
      <c r="D96" s="838">
        <v>-19.52</v>
      </c>
      <c r="E96" s="838">
        <v>-21.33</v>
      </c>
      <c r="F96" s="838"/>
      <c r="G96" s="838"/>
      <c r="H96" s="838"/>
      <c r="I96" s="838"/>
      <c r="J96" s="838"/>
      <c r="K96" s="838"/>
      <c r="L96" s="838"/>
      <c r="M96" s="838"/>
      <c r="N96" s="838"/>
      <c r="O96" s="838"/>
      <c r="P96" s="839" t="s">
        <v>741</v>
      </c>
      <c r="Q96" s="838"/>
      <c r="R96" s="838"/>
      <c r="S96" s="838"/>
      <c r="T96" s="838"/>
      <c r="U96" s="838"/>
      <c r="V96" s="838"/>
      <c r="W96" s="838"/>
      <c r="X96" s="838"/>
      <c r="Y96" s="838"/>
      <c r="Z96" s="838"/>
    </row>
    <row r="97" spans="1:26">
      <c r="A97" s="838">
        <f>IF(C97="","",COUNTA($C$3:C97))</f>
        <v>95</v>
      </c>
      <c r="B97" s="862" t="s">
        <v>534</v>
      </c>
      <c r="C97" s="838">
        <v>-5.3460000000000001</v>
      </c>
      <c r="D97" s="838">
        <v>-20.846</v>
      </c>
      <c r="E97" s="838">
        <v>-23.346</v>
      </c>
      <c r="F97" s="838">
        <v>-23.846</v>
      </c>
      <c r="G97" s="838">
        <v>-27.39</v>
      </c>
      <c r="H97" s="838"/>
      <c r="I97" s="838"/>
      <c r="J97" s="838"/>
      <c r="K97" s="838"/>
      <c r="L97" s="838"/>
      <c r="M97" s="838"/>
      <c r="N97" s="838"/>
      <c r="O97" s="838"/>
      <c r="P97" s="839" t="s">
        <v>741</v>
      </c>
      <c r="Q97" s="839" t="s">
        <v>990</v>
      </c>
      <c r="R97" s="839" t="s">
        <v>741</v>
      </c>
      <c r="S97" s="838"/>
      <c r="T97" s="838"/>
      <c r="U97" s="838"/>
      <c r="V97" s="838"/>
      <c r="W97" s="838"/>
      <c r="X97" s="838"/>
      <c r="Y97" s="838"/>
      <c r="Z97" s="838"/>
    </row>
    <row r="98" spans="1:26">
      <c r="A98" s="838">
        <f>IF(C98="","",COUNTA($C$3:C98))</f>
        <v>96</v>
      </c>
      <c r="B98" s="862" t="s">
        <v>497</v>
      </c>
      <c r="C98" s="838">
        <v>-5.28</v>
      </c>
      <c r="D98" s="838">
        <v>-22.08</v>
      </c>
      <c r="E98" s="838">
        <v>-24.69</v>
      </c>
      <c r="F98" s="838">
        <v>-25.69</v>
      </c>
      <c r="G98" s="838">
        <v>-28.84</v>
      </c>
      <c r="H98" s="838"/>
      <c r="I98" s="838"/>
      <c r="J98" s="838"/>
      <c r="K98" s="838"/>
      <c r="L98" s="838"/>
      <c r="M98" s="838"/>
      <c r="N98" s="838"/>
      <c r="O98" s="838"/>
      <c r="P98" s="838" t="s">
        <v>741</v>
      </c>
      <c r="Q98" s="838" t="s">
        <v>990</v>
      </c>
      <c r="R98" s="838" t="s">
        <v>741</v>
      </c>
      <c r="S98" s="838"/>
      <c r="T98" s="838"/>
      <c r="U98" s="838"/>
      <c r="V98" s="838"/>
      <c r="W98" s="838"/>
      <c r="X98" s="838"/>
      <c r="Y98" s="838"/>
      <c r="Z98" s="838"/>
    </row>
    <row r="99" spans="1:26">
      <c r="A99" s="838">
        <f>IF(C99="","",COUNTA($C$3:C99))</f>
        <v>97</v>
      </c>
      <c r="B99" s="862" t="s">
        <v>599</v>
      </c>
      <c r="C99" s="838">
        <v>-4.9710000000000001</v>
      </c>
      <c r="D99" s="838">
        <v>-19.77</v>
      </c>
      <c r="E99" s="838">
        <v>-22.37</v>
      </c>
      <c r="F99" s="838">
        <v>-23.37</v>
      </c>
      <c r="G99" s="838">
        <v>-26.88</v>
      </c>
      <c r="H99" s="838"/>
      <c r="I99" s="838"/>
      <c r="J99" s="838"/>
      <c r="K99" s="838"/>
      <c r="L99" s="838"/>
      <c r="M99" s="838"/>
      <c r="N99" s="838"/>
      <c r="O99" s="838"/>
      <c r="P99" s="838" t="s">
        <v>741</v>
      </c>
      <c r="Q99" s="838" t="s">
        <v>990</v>
      </c>
      <c r="R99" s="838" t="s">
        <v>741</v>
      </c>
      <c r="S99" s="838"/>
      <c r="T99" s="838"/>
      <c r="U99" s="838"/>
      <c r="V99" s="838"/>
      <c r="W99" s="838"/>
      <c r="X99" s="838"/>
      <c r="Y99" s="838"/>
      <c r="Z99" s="838"/>
    </row>
    <row r="100" spans="1:26">
      <c r="A100" s="838">
        <f>IF(C100="","",COUNTA($C$3:C100))</f>
        <v>98</v>
      </c>
      <c r="B100" s="862" t="s">
        <v>539</v>
      </c>
      <c r="C100" s="838">
        <v>-5.4</v>
      </c>
      <c r="D100" s="838">
        <v>-20.501999999999999</v>
      </c>
      <c r="E100" s="838">
        <v>-22.5</v>
      </c>
      <c r="F100" s="838">
        <v>-24.3</v>
      </c>
      <c r="G100" s="838">
        <v>-27.33</v>
      </c>
      <c r="H100" s="838"/>
      <c r="I100" s="838"/>
      <c r="J100" s="838"/>
      <c r="K100" s="838"/>
      <c r="L100" s="838"/>
      <c r="M100" s="838"/>
      <c r="N100" s="838"/>
      <c r="O100" s="838"/>
      <c r="P100" s="839" t="s">
        <v>741</v>
      </c>
      <c r="Q100" s="839" t="s">
        <v>990</v>
      </c>
      <c r="R100" s="839" t="s">
        <v>741</v>
      </c>
      <c r="S100" s="838"/>
      <c r="T100" s="838"/>
      <c r="U100" s="838"/>
      <c r="V100" s="838"/>
      <c r="W100" s="838"/>
      <c r="X100" s="838"/>
      <c r="Y100" s="838"/>
      <c r="Z100" s="838"/>
    </row>
    <row r="101" spans="1:26">
      <c r="A101" s="838">
        <f>IF(C101="","",COUNTA($C$3:C101))</f>
        <v>99</v>
      </c>
      <c r="B101" s="862" t="s">
        <v>549</v>
      </c>
      <c r="C101" s="838">
        <v>5.08</v>
      </c>
      <c r="D101" s="838">
        <v>-19.739999999999998</v>
      </c>
      <c r="E101" s="838">
        <v>-23.43</v>
      </c>
      <c r="F101" s="838">
        <v>-24.28</v>
      </c>
      <c r="G101" s="838">
        <v>-27.33</v>
      </c>
      <c r="H101" s="838"/>
      <c r="I101" s="838"/>
      <c r="J101" s="838"/>
      <c r="K101" s="838"/>
      <c r="L101" s="838"/>
      <c r="M101" s="838"/>
      <c r="N101" s="838"/>
      <c r="O101" s="838"/>
      <c r="P101" s="839" t="s">
        <v>741</v>
      </c>
      <c r="Q101" s="839" t="s">
        <v>990</v>
      </c>
      <c r="R101" s="839" t="s">
        <v>741</v>
      </c>
      <c r="S101" s="838"/>
      <c r="T101" s="838"/>
      <c r="U101" s="838"/>
      <c r="V101" s="838"/>
      <c r="W101" s="838"/>
      <c r="X101" s="838"/>
      <c r="Y101" s="838"/>
      <c r="Z101" s="838"/>
    </row>
    <row r="102" spans="1:26">
      <c r="A102" s="838">
        <f>IF(C102="","",COUNTA($C$3:C102))</f>
        <v>100</v>
      </c>
      <c r="B102" s="862" t="s">
        <v>502</v>
      </c>
      <c r="C102" s="838">
        <v>-5.1660000000000004</v>
      </c>
      <c r="D102" s="838">
        <v>-19.37</v>
      </c>
      <c r="E102" s="838">
        <v>-23.56</v>
      </c>
      <c r="F102" s="838">
        <v>-24.56</v>
      </c>
      <c r="G102" s="838">
        <v>-29.265999999999998</v>
      </c>
      <c r="H102" s="838"/>
      <c r="I102" s="838"/>
      <c r="J102" s="838"/>
      <c r="K102" s="838"/>
      <c r="L102" s="838"/>
      <c r="M102" s="838"/>
      <c r="N102" s="838"/>
      <c r="O102" s="838"/>
      <c r="P102" s="839" t="s">
        <v>741</v>
      </c>
      <c r="Q102" s="839" t="s">
        <v>990</v>
      </c>
      <c r="R102" s="839" t="s">
        <v>741</v>
      </c>
      <c r="S102" s="838"/>
      <c r="T102" s="838"/>
      <c r="U102" s="838"/>
      <c r="V102" s="838"/>
      <c r="W102" s="838"/>
      <c r="X102" s="838"/>
      <c r="Y102" s="838"/>
      <c r="Z102" s="838"/>
    </row>
    <row r="103" spans="1:26">
      <c r="A103" s="838">
        <f>IF(C103="","",COUNTA($C$3:C103))</f>
        <v>101</v>
      </c>
      <c r="B103" s="862" t="s">
        <v>538</v>
      </c>
      <c r="C103" s="838">
        <v>-5.0199999999999996</v>
      </c>
      <c r="D103" s="838">
        <v>-20.39</v>
      </c>
      <c r="E103" s="838">
        <v>-20.82</v>
      </c>
      <c r="F103" s="838">
        <v>-21.422999999999998</v>
      </c>
      <c r="G103" s="838">
        <v>-24.273</v>
      </c>
      <c r="H103" s="838"/>
      <c r="I103" s="838"/>
      <c r="J103" s="838"/>
      <c r="K103" s="838"/>
      <c r="L103" s="838"/>
      <c r="M103" s="838"/>
      <c r="N103" s="838"/>
      <c r="O103" s="838"/>
      <c r="P103" s="838" t="s">
        <v>741</v>
      </c>
      <c r="Q103" s="838" t="s">
        <v>990</v>
      </c>
      <c r="R103" s="838" t="s">
        <v>741</v>
      </c>
      <c r="S103" s="838"/>
      <c r="T103" s="838"/>
      <c r="U103" s="838"/>
      <c r="V103" s="838"/>
      <c r="W103" s="838"/>
      <c r="X103" s="838"/>
      <c r="Y103" s="838"/>
      <c r="Z103" s="838"/>
    </row>
    <row r="104" spans="1:26">
      <c r="A104" s="838">
        <f>IF(C104="","",COUNTA($C$3:C104))</f>
        <v>102</v>
      </c>
      <c r="B104" s="862" t="s">
        <v>544</v>
      </c>
      <c r="C104" s="838">
        <v>-5.13</v>
      </c>
      <c r="D104" s="838">
        <v>-21.03</v>
      </c>
      <c r="E104" s="838">
        <v>-23.13</v>
      </c>
      <c r="F104" s="838">
        <v>-23.93</v>
      </c>
      <c r="G104" s="838">
        <v>-27.43</v>
      </c>
      <c r="H104" s="838"/>
      <c r="I104" s="838"/>
      <c r="J104" s="838"/>
      <c r="K104" s="838"/>
      <c r="L104" s="838"/>
      <c r="M104" s="838"/>
      <c r="N104" s="838"/>
      <c r="O104" s="838"/>
      <c r="P104" s="838" t="s">
        <v>741</v>
      </c>
      <c r="Q104" s="838" t="s">
        <v>990</v>
      </c>
      <c r="R104" s="838" t="s">
        <v>747</v>
      </c>
      <c r="S104" s="838"/>
      <c r="T104" s="838"/>
      <c r="U104" s="838"/>
      <c r="V104" s="838"/>
      <c r="W104" s="838"/>
      <c r="X104" s="838"/>
      <c r="Y104" s="838"/>
      <c r="Z104" s="838"/>
    </row>
    <row r="105" spans="1:26">
      <c r="A105" s="838">
        <f>IF(C105="","",COUNTA($C$3:C105))</f>
        <v>103</v>
      </c>
      <c r="B105" s="862" t="s">
        <v>543</v>
      </c>
      <c r="C105" s="838">
        <v>-5.1989999999999998</v>
      </c>
      <c r="D105" s="838">
        <v>-19.099</v>
      </c>
      <c r="E105" s="838">
        <v>-23.099</v>
      </c>
      <c r="F105" s="838">
        <v>-23.699000000000002</v>
      </c>
      <c r="G105" s="838">
        <v>-24.19</v>
      </c>
      <c r="H105" s="838"/>
      <c r="I105" s="838"/>
      <c r="J105" s="838"/>
      <c r="K105" s="838"/>
      <c r="L105" s="838"/>
      <c r="M105" s="838"/>
      <c r="N105" s="838"/>
      <c r="O105" s="838"/>
      <c r="P105" s="838" t="s">
        <v>741</v>
      </c>
      <c r="Q105" s="838" t="s">
        <v>990</v>
      </c>
      <c r="R105" s="838" t="s">
        <v>741</v>
      </c>
      <c r="S105" s="838"/>
      <c r="T105" s="838"/>
      <c r="U105" s="838"/>
      <c r="V105" s="838"/>
      <c r="W105" s="838"/>
      <c r="X105" s="838"/>
      <c r="Y105" s="838"/>
      <c r="Z105" s="838"/>
    </row>
    <row r="106" spans="1:26">
      <c r="A106" s="838">
        <f>IF(C106="","",COUNTA($C$3:C106))</f>
        <v>104</v>
      </c>
      <c r="B106" s="862" t="s">
        <v>501</v>
      </c>
      <c r="C106" s="838">
        <v>-5.1180000000000003</v>
      </c>
      <c r="D106" s="838">
        <v>-20.41</v>
      </c>
      <c r="E106" s="838">
        <v>-24.01</v>
      </c>
      <c r="F106" s="838">
        <v>-25.53</v>
      </c>
      <c r="G106" s="838">
        <v>-26.417999999999999</v>
      </c>
      <c r="H106" s="838"/>
      <c r="I106" s="838"/>
      <c r="J106" s="838"/>
      <c r="K106" s="838"/>
      <c r="L106" s="838"/>
      <c r="M106" s="838"/>
      <c r="N106" s="838"/>
      <c r="O106" s="838"/>
      <c r="P106" s="838" t="s">
        <v>747</v>
      </c>
      <c r="Q106" s="838" t="s">
        <v>990</v>
      </c>
      <c r="R106" s="838" t="s">
        <v>747</v>
      </c>
      <c r="S106" s="838"/>
      <c r="T106" s="838"/>
      <c r="U106" s="838"/>
      <c r="V106" s="838"/>
      <c r="W106" s="838"/>
      <c r="X106" s="838"/>
      <c r="Y106" s="838"/>
      <c r="Z106" s="838"/>
    </row>
    <row r="107" spans="1:26">
      <c r="A107" s="838">
        <f>IF(C107="","",COUNTA($C$3:C107))</f>
        <v>105</v>
      </c>
      <c r="B107" s="862" t="s">
        <v>643</v>
      </c>
      <c r="C107" s="838">
        <v>-4.8979999999999997</v>
      </c>
      <c r="D107" s="838">
        <v>-21.89</v>
      </c>
      <c r="E107" s="838">
        <v>-22.99</v>
      </c>
      <c r="F107" s="838">
        <v>-24.09</v>
      </c>
      <c r="G107" s="838">
        <v>-27.2</v>
      </c>
      <c r="H107" s="838"/>
      <c r="I107" s="838"/>
      <c r="J107" s="838"/>
      <c r="K107" s="838"/>
      <c r="L107" s="838"/>
      <c r="M107" s="838"/>
      <c r="N107" s="838"/>
      <c r="O107" s="838"/>
      <c r="P107" s="838" t="s">
        <v>747</v>
      </c>
      <c r="Q107" s="838" t="s">
        <v>990</v>
      </c>
      <c r="R107" s="838" t="s">
        <v>747</v>
      </c>
      <c r="S107" s="838"/>
      <c r="T107" s="838"/>
      <c r="U107" s="838"/>
      <c r="V107" s="838"/>
      <c r="W107" s="838"/>
      <c r="X107" s="838"/>
      <c r="Y107" s="838"/>
      <c r="Z107" s="838"/>
    </row>
    <row r="108" spans="1:26">
      <c r="A108" s="838">
        <f>IF(C108="","",COUNTA($C$3:C108))</f>
        <v>106</v>
      </c>
      <c r="B108" s="862" t="s">
        <v>492</v>
      </c>
      <c r="C108" s="838">
        <v>-5.4089999999999998</v>
      </c>
      <c r="D108" s="838">
        <v>-20.65</v>
      </c>
      <c r="E108" s="838">
        <v>-22.55</v>
      </c>
      <c r="F108" s="838">
        <v>-24.1</v>
      </c>
      <c r="G108" s="838">
        <v>-28.72</v>
      </c>
      <c r="H108" s="838"/>
      <c r="I108" s="838"/>
      <c r="J108" s="838"/>
      <c r="K108" s="838"/>
      <c r="L108" s="838"/>
      <c r="M108" s="838"/>
      <c r="N108" s="838"/>
      <c r="O108" s="838"/>
      <c r="P108" s="838" t="s">
        <v>747</v>
      </c>
      <c r="Q108" s="838" t="s">
        <v>990</v>
      </c>
      <c r="R108" s="838" t="s">
        <v>747</v>
      </c>
      <c r="S108" s="838"/>
      <c r="T108" s="838"/>
      <c r="U108" s="838"/>
      <c r="V108" s="838"/>
      <c r="W108" s="838"/>
      <c r="X108" s="838"/>
      <c r="Y108" s="838"/>
      <c r="Z108" s="838"/>
    </row>
    <row r="109" spans="1:26">
      <c r="A109" s="838">
        <f>IF(C109="","",COUNTA($C$3:C109))</f>
        <v>107</v>
      </c>
      <c r="B109" s="862" t="s">
        <v>661</v>
      </c>
      <c r="C109" s="838">
        <v>-4.9889999999999999</v>
      </c>
      <c r="D109" s="838">
        <v>-20.59</v>
      </c>
      <c r="E109" s="838">
        <v>-23.13</v>
      </c>
      <c r="F109" s="838">
        <v>-24.298999999999999</v>
      </c>
      <c r="G109" s="838">
        <v>-28.31</v>
      </c>
      <c r="H109" s="838"/>
      <c r="I109" s="838"/>
      <c r="J109" s="838"/>
      <c r="K109" s="838"/>
      <c r="L109" s="838"/>
      <c r="M109" s="838"/>
      <c r="N109" s="838"/>
      <c r="O109" s="838"/>
      <c r="P109" s="838" t="s">
        <v>747</v>
      </c>
      <c r="Q109" s="838" t="s">
        <v>990</v>
      </c>
      <c r="R109" s="838" t="s">
        <v>747</v>
      </c>
      <c r="S109" s="838"/>
      <c r="T109" s="838"/>
      <c r="U109" s="838"/>
      <c r="V109" s="838"/>
      <c r="W109" s="838"/>
      <c r="X109" s="838"/>
      <c r="Y109" s="838"/>
      <c r="Z109" s="838"/>
    </row>
    <row r="110" spans="1:26">
      <c r="A110" s="838">
        <f>IF(C110="","",COUNTA($C$3:C110))</f>
        <v>108</v>
      </c>
      <c r="B110" s="862" t="s">
        <v>589</v>
      </c>
      <c r="C110" s="838">
        <v>-4.9960000000000004</v>
      </c>
      <c r="D110" s="838">
        <v>-19.89</v>
      </c>
      <c r="E110" s="838">
        <v>-23.89</v>
      </c>
      <c r="F110" s="838">
        <v>-25.19</v>
      </c>
      <c r="G110" s="838">
        <v>-26.94</v>
      </c>
      <c r="H110" s="838"/>
      <c r="I110" s="838"/>
      <c r="J110" s="838"/>
      <c r="K110" s="838"/>
      <c r="L110" s="838"/>
      <c r="M110" s="838"/>
      <c r="N110" s="838"/>
      <c r="O110" s="838"/>
      <c r="P110" s="838" t="s">
        <v>747</v>
      </c>
      <c r="Q110" s="838" t="s">
        <v>990</v>
      </c>
      <c r="R110" s="838" t="s">
        <v>747</v>
      </c>
      <c r="S110" s="838"/>
      <c r="T110" s="838"/>
      <c r="U110" s="838"/>
      <c r="V110" s="838"/>
      <c r="W110" s="838"/>
      <c r="X110" s="838"/>
      <c r="Y110" s="838"/>
      <c r="Z110" s="838"/>
    </row>
    <row r="111" spans="1:26">
      <c r="A111" s="838">
        <f>IF(C111="","",COUNTA($C$3:C111))</f>
        <v>109</v>
      </c>
      <c r="B111" s="862" t="s">
        <v>464</v>
      </c>
      <c r="C111" s="838">
        <v>-5.4649999999999999</v>
      </c>
      <c r="D111" s="838">
        <v>-20.465</v>
      </c>
      <c r="E111" s="838">
        <v>-21.565000000000001</v>
      </c>
      <c r="F111" s="838">
        <v>-23.065000000000001</v>
      </c>
      <c r="G111" s="838">
        <v>-25.265000000000001</v>
      </c>
      <c r="H111" s="838">
        <v>-26.765000000000001</v>
      </c>
      <c r="I111" s="838">
        <v>-29.074999999999999</v>
      </c>
      <c r="J111" s="838"/>
      <c r="K111" s="838"/>
      <c r="L111" s="838"/>
      <c r="M111" s="838"/>
      <c r="N111" s="838"/>
      <c r="O111" s="838"/>
      <c r="P111" s="838" t="s">
        <v>741</v>
      </c>
      <c r="Q111" s="838" t="s">
        <v>990</v>
      </c>
      <c r="R111" s="838" t="s">
        <v>745</v>
      </c>
      <c r="S111" s="838" t="s">
        <v>990</v>
      </c>
      <c r="T111" s="838" t="s">
        <v>747</v>
      </c>
      <c r="U111" s="838"/>
      <c r="V111" s="838"/>
      <c r="W111" s="838"/>
      <c r="X111" s="838"/>
      <c r="Y111" s="838"/>
      <c r="Z111" s="838"/>
    </row>
    <row r="112" spans="1:26">
      <c r="A112" s="838">
        <f>IF(C112="","",COUNTA($C$3:C112))</f>
        <v>110</v>
      </c>
      <c r="B112" s="862" t="s">
        <v>548</v>
      </c>
      <c r="C112" s="838">
        <v>-4.91</v>
      </c>
      <c r="D112" s="838">
        <v>-18.309999999999999</v>
      </c>
      <c r="E112" s="838">
        <v>-20.010000000000002</v>
      </c>
      <c r="F112" s="838">
        <v>-21.61</v>
      </c>
      <c r="G112" s="838">
        <v>-24.76</v>
      </c>
      <c r="H112" s="838"/>
      <c r="I112" s="838"/>
      <c r="J112" s="838"/>
      <c r="K112" s="838"/>
      <c r="L112" s="838"/>
      <c r="M112" s="838"/>
      <c r="N112" s="838"/>
      <c r="O112" s="838"/>
      <c r="P112" s="838" t="s">
        <v>745</v>
      </c>
      <c r="Q112" s="838" t="s">
        <v>990</v>
      </c>
      <c r="R112" s="838" t="s">
        <v>747</v>
      </c>
      <c r="S112" s="838"/>
      <c r="T112" s="838"/>
      <c r="U112" s="838"/>
      <c r="V112" s="838"/>
      <c r="W112" s="838"/>
      <c r="X112" s="838"/>
      <c r="Y112" s="838"/>
      <c r="Z112" s="838"/>
    </row>
    <row r="113" spans="1:26">
      <c r="A113" s="838">
        <f>IF(C113="","",COUNTA($C$3:C113))</f>
        <v>111</v>
      </c>
      <c r="B113" s="862" t="s">
        <v>586</v>
      </c>
      <c r="C113" s="838">
        <v>-5.2850000000000001</v>
      </c>
      <c r="D113" s="838">
        <v>-23.58</v>
      </c>
      <c r="E113" s="838">
        <v>-23.88</v>
      </c>
      <c r="F113" s="838">
        <v>-24.68</v>
      </c>
      <c r="G113" s="838">
        <v>-27.35</v>
      </c>
      <c r="H113" s="838"/>
      <c r="I113" s="838"/>
      <c r="J113" s="838"/>
      <c r="K113" s="838"/>
      <c r="L113" s="838"/>
      <c r="M113" s="838"/>
      <c r="N113" s="838"/>
      <c r="O113" s="838"/>
      <c r="P113" s="838" t="s">
        <v>747</v>
      </c>
      <c r="Q113" s="838" t="s">
        <v>990</v>
      </c>
      <c r="R113" s="838" t="s">
        <v>747</v>
      </c>
      <c r="S113" s="838"/>
      <c r="T113" s="838"/>
      <c r="U113" s="838"/>
      <c r="V113" s="838"/>
      <c r="W113" s="838"/>
      <c r="X113" s="838"/>
      <c r="Y113" s="838"/>
      <c r="Z113" s="838"/>
    </row>
    <row r="114" spans="1:26">
      <c r="A114" s="838">
        <f>IF(C114="","",COUNTA($C$3:C114))</f>
        <v>112</v>
      </c>
      <c r="B114" s="862" t="s">
        <v>622</v>
      </c>
      <c r="C114" s="838">
        <v>-4.78</v>
      </c>
      <c r="D114" s="838">
        <v>-22.98</v>
      </c>
      <c r="E114" s="838">
        <v>-23.29</v>
      </c>
      <c r="F114" s="838">
        <v>-23.64</v>
      </c>
      <c r="G114" s="838">
        <v>-24.76</v>
      </c>
      <c r="H114" s="838"/>
      <c r="I114" s="838"/>
      <c r="J114" s="838"/>
      <c r="K114" s="838"/>
      <c r="L114" s="838"/>
      <c r="M114" s="838"/>
      <c r="N114" s="838"/>
      <c r="O114" s="838"/>
      <c r="P114" s="838" t="s">
        <v>747</v>
      </c>
      <c r="Q114" s="838" t="s">
        <v>990</v>
      </c>
      <c r="R114" s="838" t="s">
        <v>747</v>
      </c>
      <c r="S114" s="838"/>
      <c r="T114" s="838"/>
      <c r="U114" s="838"/>
      <c r="V114" s="838"/>
      <c r="W114" s="838"/>
      <c r="X114" s="838"/>
      <c r="Y114" s="838"/>
      <c r="Z114" s="838"/>
    </row>
    <row r="115" spans="1:26">
      <c r="A115" s="838">
        <f>IF(C115="","",COUNTA($C$3:C115))</f>
        <v>113</v>
      </c>
      <c r="B115" s="862" t="s">
        <v>704</v>
      </c>
      <c r="C115" s="838">
        <v>-5.2009999999999996</v>
      </c>
      <c r="D115" s="838">
        <v>-21.500699999999998</v>
      </c>
      <c r="E115" s="838">
        <v>-23.11</v>
      </c>
      <c r="F115" s="838">
        <v>-25.24</v>
      </c>
      <c r="G115" s="838">
        <v>-28.76</v>
      </c>
      <c r="H115" s="838"/>
      <c r="I115" s="838"/>
      <c r="J115" s="838"/>
      <c r="K115" s="838"/>
      <c r="L115" s="838"/>
      <c r="M115" s="838"/>
      <c r="N115" s="838"/>
      <c r="O115" s="838"/>
      <c r="P115" s="838" t="s">
        <v>747</v>
      </c>
      <c r="Q115" s="838" t="s">
        <v>990</v>
      </c>
      <c r="R115" s="838" t="s">
        <v>747</v>
      </c>
      <c r="S115" s="838"/>
      <c r="T115" s="838"/>
      <c r="U115" s="838"/>
      <c r="V115" s="838"/>
      <c r="W115" s="838"/>
      <c r="X115" s="838"/>
      <c r="Y115" s="838"/>
      <c r="Z115" s="838"/>
    </row>
    <row r="116" spans="1:26">
      <c r="A116" s="838">
        <f>IF(C116="","",COUNTA($C$3:C116))</f>
        <v>114</v>
      </c>
      <c r="B116" s="862" t="s">
        <v>528</v>
      </c>
      <c r="C116" s="838">
        <v>-4.8</v>
      </c>
      <c r="D116" s="838">
        <v>-21.51</v>
      </c>
      <c r="E116" s="838">
        <v>-25.1</v>
      </c>
      <c r="F116" s="838">
        <v>-26.4</v>
      </c>
      <c r="G116" s="838">
        <v>-30.61</v>
      </c>
      <c r="H116" s="838"/>
      <c r="I116" s="838"/>
      <c r="J116" s="838"/>
      <c r="K116" s="838"/>
      <c r="L116" s="838"/>
      <c r="M116" s="838"/>
      <c r="N116" s="838"/>
      <c r="O116" s="838"/>
      <c r="P116" s="838" t="s">
        <v>747</v>
      </c>
      <c r="Q116" s="838" t="s">
        <v>990</v>
      </c>
      <c r="R116" s="838" t="s">
        <v>747</v>
      </c>
      <c r="S116" s="838"/>
      <c r="T116" s="838"/>
      <c r="U116" s="838"/>
      <c r="V116" s="838"/>
      <c r="W116" s="838"/>
      <c r="X116" s="838"/>
      <c r="Y116" s="838"/>
      <c r="Z116" s="838"/>
    </row>
    <row r="117" spans="1:26">
      <c r="A117" s="838">
        <f>IF(C117="","",COUNTA($C$3:C117))</f>
        <v>115</v>
      </c>
      <c r="B117" s="862" t="s">
        <v>581</v>
      </c>
      <c r="C117" s="838">
        <v>-5.17</v>
      </c>
      <c r="D117" s="838">
        <v>-20.47</v>
      </c>
      <c r="E117" s="838">
        <v>-21.67</v>
      </c>
      <c r="F117" s="838">
        <v>-25.38</v>
      </c>
      <c r="G117" s="838">
        <v>-27.37</v>
      </c>
      <c r="H117" s="838"/>
      <c r="I117" s="838"/>
      <c r="J117" s="838"/>
      <c r="K117" s="838"/>
      <c r="L117" s="838"/>
      <c r="M117" s="838"/>
      <c r="N117" s="838"/>
      <c r="O117" s="838"/>
      <c r="P117" s="839" t="s">
        <v>747</v>
      </c>
      <c r="Q117" s="839" t="s">
        <v>990</v>
      </c>
      <c r="R117" s="839" t="s">
        <v>747</v>
      </c>
      <c r="S117" s="838"/>
      <c r="T117" s="838"/>
      <c r="U117" s="838"/>
      <c r="V117" s="838"/>
      <c r="W117" s="838"/>
      <c r="X117" s="838"/>
      <c r="Y117" s="838"/>
      <c r="Z117" s="838"/>
    </row>
    <row r="118" spans="1:26">
      <c r="A118" s="838">
        <f>IF(C118="","",COUNTA($C$3:C118))</f>
        <v>116</v>
      </c>
      <c r="B118" s="862" t="s">
        <v>1129</v>
      </c>
      <c r="C118" s="838">
        <v>-4.88</v>
      </c>
      <c r="D118" s="838">
        <v>-23.68</v>
      </c>
      <c r="E118" s="838">
        <v>-24.01</v>
      </c>
      <c r="F118" s="838">
        <v>-24.88</v>
      </c>
      <c r="G118" s="838">
        <v>-27.23</v>
      </c>
      <c r="H118" s="838"/>
      <c r="I118" s="838"/>
      <c r="J118" s="838"/>
      <c r="K118" s="838"/>
      <c r="L118" s="838"/>
      <c r="M118" s="838"/>
      <c r="N118" s="838"/>
      <c r="O118" s="838"/>
      <c r="P118" s="839" t="s">
        <v>741</v>
      </c>
      <c r="Q118" s="839" t="s">
        <v>990</v>
      </c>
      <c r="R118" s="839" t="s">
        <v>741</v>
      </c>
      <c r="S118" s="839"/>
      <c r="T118" s="839"/>
      <c r="U118" s="839"/>
      <c r="V118" s="839"/>
      <c r="W118" s="838"/>
      <c r="X118" s="838"/>
      <c r="Y118" s="838"/>
      <c r="Z118" s="838"/>
    </row>
    <row r="119" spans="1:26">
      <c r="A119" s="838">
        <f>IF(C119="","",COUNTA($C$3:C119))</f>
        <v>117</v>
      </c>
      <c r="B119" s="862" t="s">
        <v>584</v>
      </c>
      <c r="C119" s="838">
        <v>-5.26</v>
      </c>
      <c r="D119" s="838">
        <v>-20.957999999999998</v>
      </c>
      <c r="E119" s="838">
        <v>-22.67</v>
      </c>
      <c r="F119" s="838">
        <v>-25.41</v>
      </c>
      <c r="G119" s="838">
        <v>-26.51</v>
      </c>
      <c r="H119" s="838">
        <v>-27.66</v>
      </c>
      <c r="I119" s="838">
        <v>-30.86</v>
      </c>
      <c r="J119" s="838">
        <v>-33.61</v>
      </c>
      <c r="K119" s="838">
        <v>-37.909999999999997</v>
      </c>
      <c r="L119" s="838"/>
      <c r="M119" s="838"/>
      <c r="N119" s="838"/>
      <c r="O119" s="838"/>
      <c r="P119" s="839" t="s">
        <v>747</v>
      </c>
      <c r="Q119" s="839" t="s">
        <v>990</v>
      </c>
      <c r="R119" s="839" t="s">
        <v>747</v>
      </c>
      <c r="S119" s="839" t="s">
        <v>990</v>
      </c>
      <c r="T119" s="839" t="s">
        <v>745</v>
      </c>
      <c r="U119" s="839" t="s">
        <v>990</v>
      </c>
      <c r="V119" s="839" t="s">
        <v>747</v>
      </c>
      <c r="W119" s="838"/>
      <c r="X119" s="838"/>
      <c r="Y119" s="838"/>
      <c r="Z119" s="838"/>
    </row>
    <row r="120" spans="1:26">
      <c r="A120" s="838">
        <f>IF(C120="","",COUNTA($C$3:C120))</f>
        <v>118</v>
      </c>
      <c r="B120" s="862" t="s">
        <v>604</v>
      </c>
      <c r="C120" s="838">
        <v>-5.0389999999999997</v>
      </c>
      <c r="D120" s="838">
        <v>-19.04</v>
      </c>
      <c r="E120" s="838">
        <v>-20.89</v>
      </c>
      <c r="F120" s="838">
        <v>-21.57</v>
      </c>
      <c r="G120" s="838">
        <v>-26.9</v>
      </c>
      <c r="H120" s="838"/>
      <c r="I120" s="838"/>
      <c r="J120" s="838"/>
      <c r="K120" s="838"/>
      <c r="L120" s="838"/>
      <c r="M120" s="838"/>
      <c r="N120" s="838"/>
      <c r="O120" s="838"/>
      <c r="P120" s="839" t="s">
        <v>747</v>
      </c>
      <c r="Q120" s="839" t="s">
        <v>990</v>
      </c>
      <c r="R120" s="839" t="s">
        <v>747</v>
      </c>
      <c r="S120" s="838"/>
      <c r="T120" s="838"/>
      <c r="U120" s="838"/>
      <c r="V120" s="838"/>
      <c r="W120" s="838"/>
      <c r="X120" s="838"/>
      <c r="Y120" s="838"/>
      <c r="Z120" s="838"/>
    </row>
    <row r="121" spans="1:26">
      <c r="A121" s="838">
        <f>IF(C121="","",COUNTA($C$3:C121))</f>
        <v>119</v>
      </c>
      <c r="B121" s="862" t="s">
        <v>601</v>
      </c>
      <c r="C121" s="838">
        <v>-5.22</v>
      </c>
      <c r="D121" s="838">
        <v>-21.12</v>
      </c>
      <c r="E121" s="838">
        <v>-21.57</v>
      </c>
      <c r="F121" s="838">
        <v>-22.35</v>
      </c>
      <c r="G121" s="838">
        <v>-24.77</v>
      </c>
      <c r="H121" s="838"/>
      <c r="I121" s="838"/>
      <c r="J121" s="838"/>
      <c r="K121" s="838"/>
      <c r="L121" s="838"/>
      <c r="M121" s="838"/>
      <c r="N121" s="838"/>
      <c r="O121" s="838"/>
      <c r="P121" s="839" t="s">
        <v>747</v>
      </c>
      <c r="Q121" s="839" t="s">
        <v>990</v>
      </c>
      <c r="R121" s="839" t="s">
        <v>747</v>
      </c>
      <c r="S121" s="838"/>
      <c r="T121" s="838"/>
      <c r="U121" s="838"/>
      <c r="V121" s="838"/>
      <c r="W121" s="838"/>
      <c r="X121" s="838"/>
      <c r="Y121" s="838"/>
      <c r="Z121" s="838"/>
    </row>
    <row r="122" spans="1:26">
      <c r="A122" s="838">
        <f>IF(C122="","",COUNTA($C$3:C122))</f>
        <v>120</v>
      </c>
      <c r="B122" s="862" t="s">
        <v>627</v>
      </c>
      <c r="C122" s="838">
        <v>-4.95</v>
      </c>
      <c r="D122" s="838">
        <v>-18.75</v>
      </c>
      <c r="E122" s="838">
        <v>-22.36</v>
      </c>
      <c r="F122" s="838">
        <v>-23.6</v>
      </c>
      <c r="G122" s="838">
        <v>-27.5</v>
      </c>
      <c r="H122" s="838"/>
      <c r="I122" s="838"/>
      <c r="J122" s="838"/>
      <c r="K122" s="838"/>
      <c r="L122" s="838"/>
      <c r="M122" s="838"/>
      <c r="N122" s="838"/>
      <c r="O122" s="838"/>
      <c r="P122" s="838" t="s">
        <v>747</v>
      </c>
      <c r="Q122" s="838" t="s">
        <v>990</v>
      </c>
      <c r="R122" s="838" t="s">
        <v>747</v>
      </c>
      <c r="S122" s="838"/>
      <c r="T122" s="838"/>
      <c r="U122" s="838"/>
      <c r="V122" s="838"/>
      <c r="W122" s="838"/>
      <c r="X122" s="838"/>
      <c r="Y122" s="838"/>
      <c r="Z122" s="838"/>
    </row>
    <row r="123" spans="1:26">
      <c r="A123" s="838">
        <f>IF(C123="","",COUNTA($C$3:C123))</f>
        <v>121</v>
      </c>
      <c r="B123" s="862" t="s">
        <v>624</v>
      </c>
      <c r="C123" s="838">
        <v>-4.72</v>
      </c>
      <c r="D123" s="838">
        <v>-20.62</v>
      </c>
      <c r="E123" s="838">
        <v>-22.82</v>
      </c>
      <c r="F123" s="838">
        <v>-24.02</v>
      </c>
      <c r="G123" s="838">
        <v>-28.42</v>
      </c>
      <c r="H123" s="838"/>
      <c r="I123" s="838"/>
      <c r="J123" s="838"/>
      <c r="K123" s="838"/>
      <c r="L123" s="838"/>
      <c r="M123" s="838"/>
      <c r="N123" s="838"/>
      <c r="O123" s="838"/>
      <c r="P123" s="839" t="s">
        <v>747</v>
      </c>
      <c r="Q123" s="839" t="s">
        <v>990</v>
      </c>
      <c r="R123" s="839" t="s">
        <v>747</v>
      </c>
      <c r="S123" s="838"/>
      <c r="T123" s="838"/>
      <c r="U123" s="838"/>
      <c r="V123" s="838"/>
      <c r="W123" s="838"/>
      <c r="X123" s="838"/>
      <c r="Y123" s="838"/>
      <c r="Z123" s="838"/>
    </row>
    <row r="124" spans="1:26">
      <c r="A124" s="838">
        <f>IF(C124="","",COUNTA($C$3:C124))</f>
        <v>122</v>
      </c>
      <c r="B124" s="862" t="s">
        <v>553</v>
      </c>
      <c r="C124" s="838">
        <v>-4.99</v>
      </c>
      <c r="D124" s="838">
        <v>-20.190000000000001</v>
      </c>
      <c r="E124" s="838">
        <v>-20.94</v>
      </c>
      <c r="F124" s="838">
        <v>-21.29</v>
      </c>
      <c r="G124" s="838">
        <v>-24.84</v>
      </c>
      <c r="H124" s="838"/>
      <c r="I124" s="838"/>
      <c r="J124" s="838"/>
      <c r="K124" s="838"/>
      <c r="L124" s="838"/>
      <c r="M124" s="838"/>
      <c r="N124" s="838"/>
      <c r="O124" s="838"/>
      <c r="P124" s="839" t="s">
        <v>747</v>
      </c>
      <c r="Q124" s="839" t="s">
        <v>990</v>
      </c>
      <c r="R124" s="839" t="s">
        <v>747</v>
      </c>
      <c r="S124" s="838"/>
      <c r="T124" s="838"/>
      <c r="U124" s="838"/>
      <c r="V124" s="838"/>
      <c r="W124" s="838"/>
      <c r="X124" s="838"/>
      <c r="Y124" s="838"/>
      <c r="Z124" s="838"/>
    </row>
    <row r="125" spans="1:26">
      <c r="A125" s="838">
        <f>IF(C125="","",COUNTA($C$3:C125))</f>
        <v>123</v>
      </c>
      <c r="B125" s="862" t="s">
        <v>1131</v>
      </c>
      <c r="C125" s="838">
        <v>-4.7300000000000004</v>
      </c>
      <c r="D125" s="838">
        <v>-21.93</v>
      </c>
      <c r="E125" s="838">
        <v>-22.86</v>
      </c>
      <c r="F125" s="838">
        <v>-24.11</v>
      </c>
      <c r="G125" s="838">
        <v>-26.4</v>
      </c>
      <c r="H125" s="838">
        <v>-27.51</v>
      </c>
      <c r="I125" s="838">
        <v>-30.51</v>
      </c>
      <c r="J125" s="838"/>
      <c r="K125" s="838"/>
      <c r="L125" s="838"/>
      <c r="M125" s="838"/>
      <c r="N125" s="838"/>
      <c r="O125" s="838"/>
      <c r="P125" s="839" t="s">
        <v>745</v>
      </c>
      <c r="Q125" s="839" t="s">
        <v>990</v>
      </c>
      <c r="R125" s="839" t="s">
        <v>745</v>
      </c>
      <c r="S125" s="839" t="s">
        <v>990</v>
      </c>
      <c r="T125" s="839" t="s">
        <v>747</v>
      </c>
      <c r="U125" s="838"/>
      <c r="V125" s="838"/>
      <c r="W125" s="838"/>
      <c r="X125" s="838"/>
      <c r="Y125" s="838"/>
      <c r="Z125" s="838"/>
    </row>
    <row r="126" spans="1:26">
      <c r="A126" s="838">
        <f>IF(C126="","",COUNTA($C$3:C126))</f>
        <v>124</v>
      </c>
      <c r="B126" s="862" t="s">
        <v>629</v>
      </c>
      <c r="C126" s="838">
        <v>-5.21</v>
      </c>
      <c r="D126" s="838">
        <v>-22.21</v>
      </c>
      <c r="E126" s="838">
        <v>-23.16</v>
      </c>
      <c r="F126" s="838">
        <v>-25.01</v>
      </c>
      <c r="G126" s="838">
        <v>-28.31</v>
      </c>
      <c r="H126" s="838"/>
      <c r="I126" s="838"/>
      <c r="J126" s="838"/>
      <c r="K126" s="838"/>
      <c r="L126" s="838"/>
      <c r="M126" s="838"/>
      <c r="N126" s="838"/>
      <c r="O126" s="838"/>
      <c r="P126" s="838" t="s">
        <v>747</v>
      </c>
      <c r="Q126" s="838" t="s">
        <v>990</v>
      </c>
      <c r="R126" s="838" t="s">
        <v>747</v>
      </c>
      <c r="S126" s="838"/>
      <c r="T126" s="838"/>
      <c r="U126" s="838"/>
      <c r="V126" s="838"/>
      <c r="W126" s="838"/>
      <c r="X126" s="838"/>
      <c r="Y126" s="838"/>
      <c r="Z126" s="838"/>
    </row>
    <row r="127" spans="1:26">
      <c r="A127" s="838">
        <f>IF(C127="","",COUNTA($C$3:C127))</f>
        <v>125</v>
      </c>
      <c r="B127" s="862" t="s">
        <v>638</v>
      </c>
      <c r="C127" s="838">
        <v>-5.1139999999999999</v>
      </c>
      <c r="D127" s="838">
        <v>-20.513999999999999</v>
      </c>
      <c r="E127" s="838">
        <v>-21.414000000000001</v>
      </c>
      <c r="F127" s="838">
        <v>-23.564</v>
      </c>
      <c r="G127" s="838">
        <v>-28.713999999999999</v>
      </c>
      <c r="H127" s="838"/>
      <c r="I127" s="838"/>
      <c r="J127" s="838"/>
      <c r="K127" s="838"/>
      <c r="L127" s="838"/>
      <c r="M127" s="838"/>
      <c r="N127" s="838"/>
      <c r="O127" s="838"/>
      <c r="P127" s="838" t="s">
        <v>747</v>
      </c>
      <c r="Q127" s="838" t="s">
        <v>990</v>
      </c>
      <c r="R127" s="838" t="s">
        <v>747</v>
      </c>
      <c r="S127" s="838"/>
      <c r="T127" s="838"/>
      <c r="U127" s="838"/>
      <c r="V127" s="838"/>
      <c r="W127" s="838"/>
      <c r="X127" s="838"/>
      <c r="Y127" s="838"/>
      <c r="Z127" s="838"/>
    </row>
    <row r="128" spans="1:26">
      <c r="A128" s="838">
        <f>IF(C128="","",COUNTA($C$3:C128))</f>
        <v>126</v>
      </c>
      <c r="B128" s="862" t="s">
        <v>596</v>
      </c>
      <c r="C128" s="838">
        <v>-5.38</v>
      </c>
      <c r="D128" s="838">
        <v>-23.68</v>
      </c>
      <c r="E128" s="838">
        <v>-24.48</v>
      </c>
      <c r="F128" s="838">
        <v>-25.88</v>
      </c>
      <c r="G128" s="838">
        <v>-27.73</v>
      </c>
      <c r="H128" s="838">
        <v>-28.5</v>
      </c>
      <c r="I128" s="838">
        <v>-30.55</v>
      </c>
      <c r="J128" s="838"/>
      <c r="K128" s="838"/>
      <c r="L128" s="838"/>
      <c r="M128" s="838"/>
      <c r="N128" s="838"/>
      <c r="O128" s="838"/>
      <c r="P128" s="838" t="s">
        <v>745</v>
      </c>
      <c r="Q128" s="838" t="s">
        <v>990</v>
      </c>
      <c r="R128" s="838" t="s">
        <v>747</v>
      </c>
      <c r="S128" s="838" t="s">
        <v>990</v>
      </c>
      <c r="T128" s="838" t="s">
        <v>747</v>
      </c>
      <c r="U128" s="838"/>
      <c r="V128" s="838"/>
      <c r="W128" s="838"/>
      <c r="X128" s="838"/>
      <c r="Y128" s="838"/>
      <c r="Z128" s="838"/>
    </row>
    <row r="129" spans="1:26">
      <c r="A129" s="838">
        <f>IF(C129="","",COUNTA($C$3:C129))</f>
        <v>127</v>
      </c>
      <c r="B129" s="862" t="s">
        <v>633</v>
      </c>
      <c r="C129" s="838">
        <v>-4.7</v>
      </c>
      <c r="D129" s="838">
        <v>-22.73</v>
      </c>
      <c r="E129" s="838">
        <v>-23.48</v>
      </c>
      <c r="F129" s="838">
        <v>-24.83</v>
      </c>
      <c r="G129" s="838">
        <v>-25.99</v>
      </c>
      <c r="H129" s="838">
        <v>-26.33</v>
      </c>
      <c r="I129" s="838">
        <v>-28.33</v>
      </c>
      <c r="J129" s="838"/>
      <c r="K129" s="838"/>
      <c r="L129" s="838"/>
      <c r="M129" s="838"/>
      <c r="N129" s="838"/>
      <c r="O129" s="838"/>
      <c r="P129" s="838" t="s">
        <v>745</v>
      </c>
      <c r="Q129" s="838" t="s">
        <v>990</v>
      </c>
      <c r="R129" s="838" t="s">
        <v>745</v>
      </c>
      <c r="S129" s="838" t="s">
        <v>990</v>
      </c>
      <c r="T129" s="838" t="s">
        <v>747</v>
      </c>
      <c r="U129" s="838"/>
      <c r="V129" s="838"/>
      <c r="W129" s="838"/>
      <c r="X129" s="838"/>
      <c r="Y129" s="838"/>
      <c r="Z129" s="838"/>
    </row>
    <row r="130" spans="1:26">
      <c r="A130" s="838">
        <f>IF(C130="","",COUNTA($C$3:C130))</f>
        <v>128</v>
      </c>
      <c r="B130" s="862" t="s">
        <v>558</v>
      </c>
      <c r="C130" s="838">
        <v>-5.5540000000000003</v>
      </c>
      <c r="D130" s="838">
        <v>-21.07</v>
      </c>
      <c r="E130" s="838">
        <v>-22.01</v>
      </c>
      <c r="F130" s="838">
        <v>-23.01</v>
      </c>
      <c r="G130" s="838">
        <v>-24.76</v>
      </c>
      <c r="H130" s="838"/>
      <c r="I130" s="838"/>
      <c r="J130" s="838"/>
      <c r="K130" s="838"/>
      <c r="L130" s="838"/>
      <c r="M130" s="838"/>
      <c r="N130" s="838"/>
      <c r="O130" s="838"/>
      <c r="P130" s="838" t="s">
        <v>745</v>
      </c>
      <c r="Q130" s="838" t="s">
        <v>990</v>
      </c>
      <c r="R130" s="838" t="s">
        <v>747</v>
      </c>
      <c r="S130" s="838"/>
      <c r="T130" s="838"/>
      <c r="U130" s="838"/>
      <c r="V130" s="838"/>
      <c r="W130" s="838"/>
      <c r="X130" s="838"/>
      <c r="Y130" s="838"/>
      <c r="Z130" s="838"/>
    </row>
    <row r="131" spans="1:26">
      <c r="A131" s="838">
        <f>IF(C131="","",COUNTA($C$3:C131))</f>
        <v>129</v>
      </c>
      <c r="B131" s="862" t="s">
        <v>563</v>
      </c>
      <c r="C131" s="838">
        <v>-5.01</v>
      </c>
      <c r="D131" s="838">
        <v>-19.510000000000002</v>
      </c>
      <c r="E131" s="838">
        <v>-21.66</v>
      </c>
      <c r="F131" s="838">
        <v>-23.11</v>
      </c>
      <c r="G131" s="838">
        <v>-25.39</v>
      </c>
      <c r="H131" s="838"/>
      <c r="I131" s="838"/>
      <c r="J131" s="838"/>
      <c r="K131" s="838"/>
      <c r="L131" s="838"/>
      <c r="M131" s="838"/>
      <c r="N131" s="838"/>
      <c r="O131" s="838"/>
      <c r="P131" s="838" t="s">
        <v>747</v>
      </c>
      <c r="Q131" s="838" t="s">
        <v>990</v>
      </c>
      <c r="R131" s="838" t="s">
        <v>747</v>
      </c>
      <c r="S131" s="838"/>
      <c r="T131" s="838"/>
      <c r="U131" s="838"/>
      <c r="V131" s="838"/>
      <c r="W131" s="838"/>
      <c r="X131" s="838"/>
      <c r="Y131" s="838"/>
      <c r="Z131" s="838"/>
    </row>
    <row r="132" spans="1:26">
      <c r="A132" s="838">
        <f>IF(C132="","",COUNTA($C$3:C132))</f>
        <v>130</v>
      </c>
      <c r="B132" s="862" t="s">
        <v>606</v>
      </c>
      <c r="C132" s="838">
        <v>-5.3319999999999999</v>
      </c>
      <c r="D132" s="838">
        <v>-23.032</v>
      </c>
      <c r="E132" s="838">
        <v>-24.73</v>
      </c>
      <c r="F132" s="838">
        <v>-26.05</v>
      </c>
      <c r="G132" s="838">
        <v>-27.58</v>
      </c>
      <c r="H132" s="838">
        <v>-29.13</v>
      </c>
      <c r="I132" s="838">
        <v>-30.56</v>
      </c>
      <c r="J132" s="838"/>
      <c r="K132" s="838"/>
      <c r="L132" s="838"/>
      <c r="M132" s="838"/>
      <c r="N132" s="838"/>
      <c r="O132" s="838"/>
      <c r="P132" s="838" t="s">
        <v>745</v>
      </c>
      <c r="Q132" s="838" t="s">
        <v>990</v>
      </c>
      <c r="R132" s="838" t="s">
        <v>745</v>
      </c>
      <c r="S132" s="838" t="s">
        <v>990</v>
      </c>
      <c r="T132" s="838" t="s">
        <v>747</v>
      </c>
      <c r="U132" s="838"/>
      <c r="V132" s="838"/>
      <c r="W132" s="838"/>
      <c r="X132" s="838"/>
      <c r="Y132" s="838"/>
      <c r="Z132" s="838"/>
    </row>
    <row r="133" spans="1:26">
      <c r="A133" s="838">
        <f>IF(C133="","",COUNTA($C$3:C133))</f>
        <v>131</v>
      </c>
      <c r="B133" s="862" t="s">
        <v>573</v>
      </c>
      <c r="C133" s="838">
        <v>-4.91</v>
      </c>
      <c r="D133" s="838">
        <v>-21.01</v>
      </c>
      <c r="E133" s="838">
        <v>-22.36</v>
      </c>
      <c r="F133" s="838">
        <v>-23.81</v>
      </c>
      <c r="G133" s="838">
        <v>-25.31</v>
      </c>
      <c r="H133" s="838"/>
      <c r="I133" s="838"/>
      <c r="J133" s="838"/>
      <c r="K133" s="838"/>
      <c r="L133" s="838"/>
      <c r="M133" s="838"/>
      <c r="N133" s="838"/>
      <c r="O133" s="838"/>
      <c r="P133" s="838" t="s">
        <v>747</v>
      </c>
      <c r="Q133" s="838" t="s">
        <v>990</v>
      </c>
      <c r="R133" s="838" t="s">
        <v>747</v>
      </c>
      <c r="S133" s="838"/>
      <c r="T133" s="838"/>
      <c r="U133" s="838"/>
      <c r="V133" s="838"/>
      <c r="W133" s="838"/>
      <c r="X133" s="838"/>
      <c r="Y133" s="838"/>
      <c r="Z133" s="838"/>
    </row>
    <row r="134" spans="1:26">
      <c r="A134" s="838">
        <f>IF(C134="","",COUNTA($C$3:C134))</f>
        <v>132</v>
      </c>
      <c r="B134" s="862" t="s">
        <v>568</v>
      </c>
      <c r="C134" s="838">
        <v>-5.14</v>
      </c>
      <c r="D134" s="838">
        <v>-20.54</v>
      </c>
      <c r="E134" s="838">
        <v>-22.19</v>
      </c>
      <c r="F134" s="838">
        <v>-23.44</v>
      </c>
      <c r="G134" s="838">
        <v>-25.44</v>
      </c>
      <c r="H134" s="838"/>
      <c r="I134" s="838"/>
      <c r="J134" s="838"/>
      <c r="K134" s="838"/>
      <c r="L134" s="838"/>
      <c r="M134" s="838"/>
      <c r="N134" s="838"/>
      <c r="O134" s="838"/>
      <c r="P134" s="838" t="s">
        <v>747</v>
      </c>
      <c r="Q134" s="838" t="s">
        <v>990</v>
      </c>
      <c r="R134" s="838" t="s">
        <v>747</v>
      </c>
      <c r="S134" s="838"/>
      <c r="T134" s="838"/>
      <c r="U134" s="838"/>
      <c r="V134" s="838"/>
      <c r="W134" s="838"/>
      <c r="X134" s="838"/>
      <c r="Y134" s="838"/>
      <c r="Z134" s="838"/>
    </row>
    <row r="135" spans="1:26">
      <c r="A135" s="838">
        <f>IF(C135="","",COUNTA($C$3:C135))</f>
        <v>133</v>
      </c>
      <c r="B135" s="862" t="s">
        <v>648</v>
      </c>
      <c r="C135" s="838">
        <v>-5.0620000000000003</v>
      </c>
      <c r="D135" s="838">
        <v>-20.86</v>
      </c>
      <c r="E135" s="838">
        <v>-23.661999999999999</v>
      </c>
      <c r="F135" s="838">
        <v>-24.861999999999998</v>
      </c>
      <c r="G135" s="838">
        <v>-27.01</v>
      </c>
      <c r="H135" s="838"/>
      <c r="I135" s="838"/>
      <c r="J135" s="838"/>
      <c r="K135" s="838"/>
      <c r="L135" s="838"/>
      <c r="M135" s="838"/>
      <c r="N135" s="838"/>
      <c r="O135" s="838"/>
      <c r="P135" s="838" t="s">
        <v>747</v>
      </c>
      <c r="Q135" s="838" t="s">
        <v>990</v>
      </c>
      <c r="R135" s="838" t="s">
        <v>747</v>
      </c>
      <c r="S135" s="838"/>
      <c r="T135" s="838"/>
      <c r="U135" s="838"/>
      <c r="V135" s="838"/>
      <c r="W135" s="838"/>
      <c r="X135" s="838"/>
      <c r="Y135" s="838"/>
      <c r="Z135" s="838"/>
    </row>
    <row r="136" spans="1:26">
      <c r="A136" s="838">
        <f>IF(C136="","",COUNTA($C$3:C136))</f>
        <v>134</v>
      </c>
      <c r="B136" s="862" t="s">
        <v>614</v>
      </c>
      <c r="C136" s="838">
        <v>-5.2069999999999999</v>
      </c>
      <c r="D136" s="838">
        <v>-21.52</v>
      </c>
      <c r="E136" s="838">
        <v>-22.1</v>
      </c>
      <c r="F136" s="838">
        <v>-23.86</v>
      </c>
      <c r="G136" s="838">
        <v>-25.21</v>
      </c>
      <c r="H136" s="838">
        <v>-26.16</v>
      </c>
      <c r="I136" s="838">
        <v>-28.52</v>
      </c>
      <c r="J136" s="838"/>
      <c r="K136" s="838"/>
      <c r="L136" s="838"/>
      <c r="M136" s="838"/>
      <c r="N136" s="838"/>
      <c r="O136" s="838"/>
      <c r="P136" s="838" t="s">
        <v>745</v>
      </c>
      <c r="Q136" s="838" t="s">
        <v>990</v>
      </c>
      <c r="R136" s="838" t="s">
        <v>745</v>
      </c>
      <c r="S136" s="838" t="s">
        <v>990</v>
      </c>
      <c r="T136" s="838" t="s">
        <v>747</v>
      </c>
      <c r="U136" s="838"/>
      <c r="V136" s="838"/>
      <c r="W136" s="838"/>
      <c r="X136" s="838"/>
      <c r="Y136" s="838"/>
      <c r="Z136" s="838"/>
    </row>
    <row r="137" spans="1:26">
      <c r="A137" s="838">
        <f>IF(C137="","",COUNTA($C$3:C137))</f>
        <v>135</v>
      </c>
      <c r="B137" s="862" t="s">
        <v>523</v>
      </c>
      <c r="C137" s="838">
        <v>-5.73</v>
      </c>
      <c r="D137" s="838">
        <v>-20.74</v>
      </c>
      <c r="E137" s="838">
        <v>-23.14</v>
      </c>
      <c r="F137" s="838">
        <v>-23.84</v>
      </c>
      <c r="G137" s="838">
        <v>-25.94</v>
      </c>
      <c r="H137" s="838">
        <v>-27.14</v>
      </c>
      <c r="I137" s="838">
        <v>-30.53</v>
      </c>
      <c r="J137" s="838"/>
      <c r="K137" s="838"/>
      <c r="L137" s="838"/>
      <c r="M137" s="838"/>
      <c r="N137" s="838"/>
      <c r="O137" s="838"/>
      <c r="P137" s="838" t="s">
        <v>745</v>
      </c>
      <c r="Q137" s="838" t="s">
        <v>990</v>
      </c>
      <c r="R137" s="838" t="s">
        <v>745</v>
      </c>
      <c r="S137" s="838" t="s">
        <v>990</v>
      </c>
      <c r="T137" s="838" t="s">
        <v>747</v>
      </c>
      <c r="U137" s="838"/>
      <c r="V137" s="838"/>
      <c r="W137" s="838"/>
      <c r="X137" s="838"/>
      <c r="Y137" s="838"/>
      <c r="Z137" s="838"/>
    </row>
    <row r="138" spans="1:26">
      <c r="A138" s="838">
        <f>IF(C138="","",COUNTA($C$3:C138))</f>
        <v>136</v>
      </c>
      <c r="B138" s="862" t="s">
        <v>696</v>
      </c>
      <c r="C138" s="838">
        <v>-5.3209999999999997</v>
      </c>
      <c r="D138" s="838">
        <v>-21.22</v>
      </c>
      <c r="E138" s="838">
        <v>-23.62</v>
      </c>
      <c r="F138" s="838">
        <v>-25.12</v>
      </c>
      <c r="G138" s="838">
        <v>-27.22</v>
      </c>
      <c r="H138" s="838">
        <v>-27.92</v>
      </c>
      <c r="I138" s="838">
        <v>-30.12</v>
      </c>
      <c r="J138" s="838"/>
      <c r="K138" s="838"/>
      <c r="L138" s="838"/>
      <c r="M138" s="838"/>
      <c r="N138" s="838"/>
      <c r="O138" s="838"/>
      <c r="P138" s="838" t="s">
        <v>741</v>
      </c>
      <c r="Q138" s="838" t="s">
        <v>990</v>
      </c>
      <c r="R138" s="838" t="s">
        <v>745</v>
      </c>
      <c r="S138" s="838" t="s">
        <v>990</v>
      </c>
      <c r="T138" s="838" t="s">
        <v>747</v>
      </c>
      <c r="U138" s="838"/>
      <c r="V138" s="838"/>
      <c r="W138" s="838"/>
      <c r="X138" s="838"/>
      <c r="Y138" s="838"/>
      <c r="Z138" s="838"/>
    </row>
    <row r="139" spans="1:26">
      <c r="A139" s="838">
        <f>IF(C139="","",COUNTA($C$3:C139))</f>
        <v>137</v>
      </c>
      <c r="B139" s="862" t="s">
        <v>609</v>
      </c>
      <c r="C139" s="838">
        <v>-5.1020000000000003</v>
      </c>
      <c r="D139" s="838">
        <v>-22.3</v>
      </c>
      <c r="E139" s="838">
        <v>-24.4</v>
      </c>
      <c r="F139" s="838">
        <v>-25.5</v>
      </c>
      <c r="G139" s="838">
        <v>-28.35</v>
      </c>
      <c r="H139" s="838"/>
      <c r="I139" s="838"/>
      <c r="J139" s="838"/>
      <c r="K139" s="838"/>
      <c r="L139" s="838"/>
      <c r="M139" s="838"/>
      <c r="N139" s="838"/>
      <c r="O139" s="838"/>
      <c r="P139" s="838" t="s">
        <v>745</v>
      </c>
      <c r="Q139" s="838" t="s">
        <v>990</v>
      </c>
      <c r="R139" s="838" t="s">
        <v>747</v>
      </c>
      <c r="S139" s="838"/>
      <c r="T139" s="838"/>
      <c r="U139" s="838"/>
      <c r="V139" s="838"/>
      <c r="W139" s="838"/>
      <c r="X139" s="838"/>
      <c r="Y139" s="838"/>
      <c r="Z139" s="838"/>
    </row>
    <row r="140" spans="1:26">
      <c r="A140" s="838">
        <f>IF(C140="","",COUNTA($C$3:C140))</f>
        <v>138</v>
      </c>
      <c r="B140" s="862" t="s">
        <v>653</v>
      </c>
      <c r="C140" s="838">
        <v>-5.16</v>
      </c>
      <c r="D140" s="838">
        <v>-20.76</v>
      </c>
      <c r="E140" s="838">
        <v>-21.51</v>
      </c>
      <c r="F140" s="838">
        <v>-23.36</v>
      </c>
      <c r="G140" s="838">
        <v>-24.96</v>
      </c>
      <c r="H140" s="838">
        <v>-26.31</v>
      </c>
      <c r="I140" s="838">
        <v>-28.36</v>
      </c>
      <c r="J140" s="838"/>
      <c r="K140" s="838"/>
      <c r="L140" s="838"/>
      <c r="M140" s="838"/>
      <c r="N140" s="838"/>
      <c r="O140" s="838"/>
      <c r="P140" s="838" t="s">
        <v>741</v>
      </c>
      <c r="Q140" s="838" t="s">
        <v>990</v>
      </c>
      <c r="R140" s="838" t="s">
        <v>745</v>
      </c>
      <c r="S140" s="838" t="s">
        <v>990</v>
      </c>
      <c r="T140" s="838" t="s">
        <v>747</v>
      </c>
      <c r="U140" s="838"/>
      <c r="V140" s="838"/>
      <c r="W140" s="838"/>
      <c r="X140" s="838"/>
      <c r="Y140" s="838"/>
      <c r="Z140" s="838"/>
    </row>
    <row r="141" spans="1:26">
      <c r="A141" s="838">
        <f>IF(C141="","",COUNTA($C$3:C141))</f>
        <v>139</v>
      </c>
      <c r="B141" s="862" t="s">
        <v>619</v>
      </c>
      <c r="C141" s="838">
        <v>-5.39</v>
      </c>
      <c r="D141" s="838">
        <v>-20.292000000000002</v>
      </c>
      <c r="E141" s="838">
        <v>-21.59</v>
      </c>
      <c r="F141" s="838">
        <v>-22.84</v>
      </c>
      <c r="G141" s="838">
        <v>-24.39</v>
      </c>
      <c r="H141" s="838">
        <v>-26.19</v>
      </c>
      <c r="I141" s="838">
        <v>-28.39</v>
      </c>
      <c r="J141" s="838"/>
      <c r="K141" s="838"/>
      <c r="L141" s="838"/>
      <c r="M141" s="838"/>
      <c r="N141" s="838"/>
      <c r="O141" s="838"/>
      <c r="P141" s="838" t="s">
        <v>741</v>
      </c>
      <c r="Q141" s="838" t="s">
        <v>990</v>
      </c>
      <c r="R141" s="838" t="s">
        <v>745</v>
      </c>
      <c r="S141" s="838" t="s">
        <v>990</v>
      </c>
      <c r="T141" s="838" t="s">
        <v>747</v>
      </c>
      <c r="U141" s="838"/>
      <c r="V141" s="838"/>
      <c r="W141" s="838"/>
      <c r="X141" s="838"/>
      <c r="Y141" s="838"/>
      <c r="Z141" s="838"/>
    </row>
    <row r="142" spans="1:26">
      <c r="A142" s="838">
        <f>IF(C142="","",COUNTA($C$3:C142))</f>
        <v>140</v>
      </c>
      <c r="B142" s="862" t="s">
        <v>657</v>
      </c>
      <c r="C142" s="838">
        <v>-5.3369999999999997</v>
      </c>
      <c r="D142" s="838">
        <v>-23.03</v>
      </c>
      <c r="E142" s="838">
        <v>-23.73</v>
      </c>
      <c r="F142" s="838">
        <v>-24.73</v>
      </c>
      <c r="G142" s="838">
        <v>-28.38</v>
      </c>
      <c r="H142" s="838"/>
      <c r="I142" s="838"/>
      <c r="J142" s="838"/>
      <c r="K142" s="838"/>
      <c r="L142" s="838"/>
      <c r="M142" s="838"/>
      <c r="N142" s="838"/>
      <c r="O142" s="838"/>
      <c r="P142" s="838" t="s">
        <v>745</v>
      </c>
      <c r="Q142" s="838" t="s">
        <v>990</v>
      </c>
      <c r="R142" s="838" t="s">
        <v>747</v>
      </c>
      <c r="S142" s="838"/>
      <c r="T142" s="838"/>
      <c r="U142" s="838"/>
      <c r="V142" s="838"/>
      <c r="W142" s="838"/>
      <c r="X142" s="838"/>
      <c r="Y142" s="838"/>
      <c r="Z142" s="838"/>
    </row>
    <row r="143" spans="1:26">
      <c r="A143" s="838">
        <f>IF(C143="","",COUNTA($C$3:C143))</f>
        <v>141</v>
      </c>
      <c r="B143" s="862" t="s">
        <v>693</v>
      </c>
      <c r="C143" s="838">
        <v>-6.1189999999999998</v>
      </c>
      <c r="D143" s="838">
        <v>-24.51</v>
      </c>
      <c r="E143" s="838">
        <v>-26.31</v>
      </c>
      <c r="F143" s="838">
        <v>-27.51</v>
      </c>
      <c r="G143" s="838">
        <v>-28.61</v>
      </c>
      <c r="H143" s="838">
        <v>-29.31</v>
      </c>
      <c r="I143" s="838">
        <v>-31.068999999999999</v>
      </c>
      <c r="J143" s="838"/>
      <c r="K143" s="838"/>
      <c r="L143" s="838"/>
      <c r="M143" s="838"/>
      <c r="N143" s="838"/>
      <c r="O143" s="838"/>
      <c r="P143" s="838" t="s">
        <v>741</v>
      </c>
      <c r="Q143" s="838" t="s">
        <v>990</v>
      </c>
      <c r="R143" s="838" t="s">
        <v>745</v>
      </c>
      <c r="S143" s="838" t="s">
        <v>990</v>
      </c>
      <c r="T143" s="838" t="s">
        <v>747</v>
      </c>
      <c r="U143" s="838"/>
      <c r="V143" s="838"/>
      <c r="W143" s="838"/>
      <c r="X143" s="838"/>
      <c r="Y143" s="838"/>
      <c r="Z143" s="838"/>
    </row>
    <row r="144" spans="1:26">
      <c r="A144" s="838">
        <f>IF(C144="","",COUNTA($C$3:C144))</f>
        <v>142</v>
      </c>
      <c r="B144" s="862" t="s">
        <v>692</v>
      </c>
      <c r="C144" s="838">
        <v>-5.56</v>
      </c>
      <c r="D144" s="838">
        <v>-20.86</v>
      </c>
      <c r="E144" s="838">
        <v>-23.86</v>
      </c>
      <c r="F144" s="838">
        <v>-24.71</v>
      </c>
      <c r="G144" s="838">
        <v>-26.36</v>
      </c>
      <c r="H144" s="838">
        <v>-27.86</v>
      </c>
      <c r="I144" s="838">
        <v>-29.51</v>
      </c>
      <c r="J144" s="838">
        <v>-31.66</v>
      </c>
      <c r="K144" s="838">
        <v>-36.159999999999997</v>
      </c>
      <c r="L144" s="838">
        <v>-38.86</v>
      </c>
      <c r="M144" s="838">
        <v>-43.21</v>
      </c>
      <c r="N144" s="838"/>
      <c r="O144" s="838"/>
      <c r="P144" s="838" t="s">
        <v>741</v>
      </c>
      <c r="Q144" s="838" t="s">
        <v>990</v>
      </c>
      <c r="R144" s="838" t="s">
        <v>741</v>
      </c>
      <c r="S144" s="838" t="s">
        <v>990</v>
      </c>
      <c r="T144" s="838" t="s">
        <v>745</v>
      </c>
      <c r="U144" s="838" t="s">
        <v>990</v>
      </c>
      <c r="V144" s="838" t="s">
        <v>745</v>
      </c>
      <c r="W144" s="838" t="s">
        <v>990</v>
      </c>
      <c r="X144" s="838" t="s">
        <v>747</v>
      </c>
      <c r="Y144" s="838"/>
      <c r="Z144" s="838"/>
    </row>
    <row r="145" spans="1:27">
      <c r="A145" s="838">
        <f>IF(C145="","",COUNTA($C$3:C145))</f>
        <v>143</v>
      </c>
      <c r="B145" s="862" t="s">
        <v>579</v>
      </c>
      <c r="C145" s="838">
        <v>-5.12</v>
      </c>
      <c r="D145" s="838">
        <v>-21.52</v>
      </c>
      <c r="E145" s="838">
        <v>-23.12</v>
      </c>
      <c r="F145" s="838">
        <v>-25.32</v>
      </c>
      <c r="G145" s="838">
        <v>-28.62</v>
      </c>
      <c r="H145" s="838">
        <v>-31.57</v>
      </c>
      <c r="I145" s="838">
        <v>-34.74</v>
      </c>
      <c r="J145" s="838">
        <v>-36.020000000000003</v>
      </c>
      <c r="K145" s="838">
        <v>-37.770000000000003</v>
      </c>
      <c r="L145" s="838"/>
      <c r="M145" s="838"/>
      <c r="N145" s="838"/>
      <c r="O145" s="838"/>
      <c r="P145" s="838" t="s">
        <v>741</v>
      </c>
      <c r="Q145" s="838" t="s">
        <v>990</v>
      </c>
      <c r="R145" s="838" t="s">
        <v>741</v>
      </c>
      <c r="S145" s="838" t="s">
        <v>990</v>
      </c>
      <c r="T145" s="838" t="s">
        <v>745</v>
      </c>
      <c r="U145" s="838" t="s">
        <v>990</v>
      </c>
      <c r="V145" s="838" t="s">
        <v>747</v>
      </c>
      <c r="W145" s="838"/>
      <c r="X145" s="838"/>
      <c r="Y145" s="838"/>
      <c r="Z145" s="838"/>
    </row>
    <row r="146" spans="1:27">
      <c r="A146" s="838">
        <f>IF(C146="","",COUNTA($C$3:C146))</f>
        <v>144</v>
      </c>
      <c r="B146" s="862" t="s">
        <v>611</v>
      </c>
      <c r="C146" s="838">
        <v>-5.3479999999999999</v>
      </c>
      <c r="D146" s="838">
        <v>-20.36</v>
      </c>
      <c r="E146" s="838">
        <v>-22.84</v>
      </c>
      <c r="F146" s="838">
        <v>-24.06</v>
      </c>
      <c r="G146" s="838">
        <v>-26.74</v>
      </c>
      <c r="H146" s="838">
        <v>-28.34</v>
      </c>
      <c r="I146" s="838">
        <v>-30.56</v>
      </c>
      <c r="J146" s="838"/>
      <c r="K146" s="838"/>
      <c r="L146" s="838"/>
      <c r="M146" s="838"/>
      <c r="N146" s="838"/>
      <c r="O146" s="838"/>
      <c r="P146" s="838" t="s">
        <v>741</v>
      </c>
      <c r="Q146" s="838" t="s">
        <v>990</v>
      </c>
      <c r="R146" s="838" t="s">
        <v>741</v>
      </c>
      <c r="S146" s="838" t="s">
        <v>990</v>
      </c>
      <c r="T146" s="838" t="s">
        <v>747</v>
      </c>
      <c r="U146" s="838"/>
      <c r="V146" s="838"/>
      <c r="W146" s="838"/>
      <c r="X146" s="838"/>
      <c r="Y146" s="838"/>
      <c r="Z146" s="838"/>
    </row>
    <row r="147" spans="1:27">
      <c r="A147" s="838">
        <f>IF(C147="","",COUNTA($C$3:C147))</f>
        <v>145</v>
      </c>
      <c r="B147" s="862" t="s">
        <v>700</v>
      </c>
      <c r="C147" s="838">
        <v>-5.46</v>
      </c>
      <c r="D147" s="838">
        <v>-23.16</v>
      </c>
      <c r="E147" s="838">
        <v>-24.11</v>
      </c>
      <c r="F147" s="838">
        <v>-25.46</v>
      </c>
      <c r="G147" s="838">
        <v>-27.01</v>
      </c>
      <c r="H147" s="838">
        <v>-28.86</v>
      </c>
      <c r="I147" s="838">
        <v>-30.7</v>
      </c>
      <c r="J147" s="838"/>
      <c r="K147" s="838"/>
      <c r="L147" s="838"/>
      <c r="M147" s="838"/>
      <c r="N147" s="838"/>
      <c r="O147" s="838"/>
      <c r="P147" s="838" t="s">
        <v>741</v>
      </c>
      <c r="Q147" s="838" t="s">
        <v>990</v>
      </c>
      <c r="R147" s="838" t="s">
        <v>741</v>
      </c>
      <c r="S147" s="838" t="s">
        <v>990</v>
      </c>
      <c r="T147" s="838" t="s">
        <v>747</v>
      </c>
      <c r="U147" s="838"/>
      <c r="V147" s="838"/>
      <c r="W147" s="838"/>
      <c r="X147" s="838"/>
      <c r="Y147" s="838"/>
      <c r="Z147" s="838"/>
    </row>
    <row r="148" spans="1:27">
      <c r="A148" s="838">
        <f>IF(C148="","",COUNTA($C$3:C148))</f>
        <v>146</v>
      </c>
      <c r="B148" s="862" t="s">
        <v>677</v>
      </c>
      <c r="C148" s="838">
        <v>-5.32</v>
      </c>
      <c r="D148" s="838">
        <v>-20.34</v>
      </c>
      <c r="E148" s="838">
        <v>-22.07</v>
      </c>
      <c r="F148" s="838">
        <v>-23.32</v>
      </c>
      <c r="G148" s="838">
        <v>-25.72</v>
      </c>
      <c r="H148" s="838">
        <v>-26.42</v>
      </c>
      <c r="I148" s="838">
        <v>-28.34</v>
      </c>
      <c r="J148" s="838"/>
      <c r="K148" s="838"/>
      <c r="L148" s="838"/>
      <c r="M148" s="838"/>
      <c r="N148" s="838"/>
      <c r="O148" s="838"/>
      <c r="P148" s="838" t="s">
        <v>741</v>
      </c>
      <c r="Q148" s="838" t="s">
        <v>990</v>
      </c>
      <c r="R148" s="838" t="s">
        <v>741</v>
      </c>
      <c r="S148" s="838" t="s">
        <v>990</v>
      </c>
      <c r="T148" s="838" t="s">
        <v>747</v>
      </c>
      <c r="U148" s="838"/>
      <c r="V148" s="838"/>
      <c r="W148" s="838"/>
      <c r="X148" s="838"/>
      <c r="Y148" s="838"/>
      <c r="Z148" s="838"/>
    </row>
    <row r="149" spans="1:27" s="1070" customFormat="1">
      <c r="A149" s="1067">
        <f>IF(C149="","",COUNTA($C$3:C149))</f>
        <v>147</v>
      </c>
      <c r="B149" s="1068" t="s">
        <v>631</v>
      </c>
      <c r="C149" s="1067">
        <v>-5.1369999999999996</v>
      </c>
      <c r="D149" s="1067">
        <v>-19.14</v>
      </c>
      <c r="E149" s="1067">
        <v>-21.44</v>
      </c>
      <c r="F149" s="1067">
        <v>-23.29</v>
      </c>
      <c r="G149" s="1067">
        <v>-25.94</v>
      </c>
      <c r="H149" s="1067">
        <v>-27.39</v>
      </c>
      <c r="I149" s="1067">
        <v>-29.24</v>
      </c>
      <c r="J149" s="1067">
        <v>-30.34</v>
      </c>
      <c r="K149" s="1067">
        <v>-33.39</v>
      </c>
      <c r="L149" s="1067"/>
      <c r="M149" s="1067"/>
      <c r="N149" s="1067"/>
      <c r="O149" s="1067"/>
      <c r="P149" s="1067" t="s">
        <v>741</v>
      </c>
      <c r="Q149" s="1067" t="s">
        <v>990</v>
      </c>
      <c r="R149" s="1067" t="s">
        <v>741</v>
      </c>
      <c r="S149" s="1067" t="s">
        <v>990</v>
      </c>
      <c r="T149" s="1067" t="s">
        <v>747</v>
      </c>
      <c r="U149" s="1067" t="s">
        <v>990</v>
      </c>
      <c r="V149" s="1067" t="s">
        <v>747</v>
      </c>
      <c r="W149" s="1067"/>
      <c r="X149" s="1067"/>
      <c r="Y149" s="1067"/>
      <c r="Z149" s="1067"/>
      <c r="AA149" s="1069"/>
    </row>
    <row r="150" spans="1:27">
      <c r="A150" s="838">
        <f>IF(C150="","",COUNTA($C$3:C150))</f>
        <v>148</v>
      </c>
      <c r="B150" s="862" t="s">
        <v>703</v>
      </c>
      <c r="C150" s="838">
        <v>-5.14</v>
      </c>
      <c r="D150" s="838">
        <v>-22.06</v>
      </c>
      <c r="E150" s="838">
        <v>-22.84</v>
      </c>
      <c r="F150" s="838">
        <v>-23.94</v>
      </c>
      <c r="G150" s="838">
        <v>-25.4</v>
      </c>
      <c r="H150" s="838">
        <v>-26.3</v>
      </c>
      <c r="I150" s="838">
        <v>-28.41</v>
      </c>
      <c r="J150" s="838"/>
      <c r="K150" s="838"/>
      <c r="L150" s="838"/>
      <c r="M150" s="838"/>
      <c r="N150" s="838"/>
      <c r="O150" s="838"/>
      <c r="P150" s="838" t="s">
        <v>741</v>
      </c>
      <c r="Q150" s="838" t="s">
        <v>990</v>
      </c>
      <c r="R150" s="838" t="s">
        <v>741</v>
      </c>
      <c r="S150" s="838" t="s">
        <v>990</v>
      </c>
      <c r="T150" s="838" t="s">
        <v>747</v>
      </c>
      <c r="U150" s="838"/>
      <c r="V150" s="838"/>
      <c r="W150" s="838"/>
      <c r="X150" s="838"/>
      <c r="Y150" s="838"/>
      <c r="Z150" s="838"/>
    </row>
    <row r="151" spans="1:27">
      <c r="A151" s="838">
        <f>IF(C151="","",COUNTA($C$3:C151))</f>
        <v>149</v>
      </c>
      <c r="B151" s="862" t="s">
        <v>695</v>
      </c>
      <c r="C151" s="838">
        <v>-5.28</v>
      </c>
      <c r="D151" s="838">
        <v>-21.3</v>
      </c>
      <c r="E151" s="838">
        <v>-23.23</v>
      </c>
      <c r="F151" s="838">
        <v>-25.48</v>
      </c>
      <c r="G151" s="838">
        <v>-26.88</v>
      </c>
      <c r="H151" s="838">
        <v>-28.43</v>
      </c>
      <c r="I151" s="838">
        <v>-36.590000000000003</v>
      </c>
      <c r="J151" s="838">
        <v>-38.68</v>
      </c>
      <c r="K151" s="838">
        <v>-43.24</v>
      </c>
      <c r="L151" s="838"/>
      <c r="M151" s="838"/>
      <c r="N151" s="838"/>
      <c r="O151" s="838"/>
      <c r="P151" s="838" t="s">
        <v>741</v>
      </c>
      <c r="Q151" s="838" t="s">
        <v>990</v>
      </c>
      <c r="R151" s="838" t="s">
        <v>741</v>
      </c>
      <c r="S151" s="838" t="s">
        <v>990</v>
      </c>
      <c r="T151" s="838" t="s">
        <v>745</v>
      </c>
      <c r="U151" s="838" t="s">
        <v>990</v>
      </c>
      <c r="V151" s="838" t="s">
        <v>747</v>
      </c>
      <c r="W151" s="838"/>
      <c r="X151" s="838"/>
      <c r="Y151" s="838"/>
      <c r="Z151" s="838"/>
    </row>
    <row r="152" spans="1:27">
      <c r="A152" s="838">
        <f>IF(C152="","",COUNTA($C$3:C152))</f>
        <v>150</v>
      </c>
      <c r="B152" s="862" t="s">
        <v>588</v>
      </c>
      <c r="C152" s="838">
        <v>-5.04</v>
      </c>
      <c r="D152" s="838">
        <v>-23.65</v>
      </c>
      <c r="E152" s="838">
        <v>-24.96</v>
      </c>
      <c r="F152" s="838">
        <v>-26.39</v>
      </c>
      <c r="G152" s="838">
        <v>-28.17</v>
      </c>
      <c r="H152" s="838">
        <v>-30.05</v>
      </c>
      <c r="I152" s="838">
        <v>-33.369999999999997</v>
      </c>
      <c r="J152" s="838"/>
      <c r="K152" s="838"/>
      <c r="L152" s="838"/>
      <c r="M152" s="838"/>
      <c r="N152" s="838"/>
      <c r="O152" s="838"/>
      <c r="P152" s="838" t="s">
        <v>741</v>
      </c>
      <c r="Q152" s="838" t="s">
        <v>990</v>
      </c>
      <c r="R152" s="838" t="s">
        <v>741</v>
      </c>
      <c r="S152" s="838" t="s">
        <v>990</v>
      </c>
      <c r="T152" s="838" t="s">
        <v>747</v>
      </c>
      <c r="U152" s="838"/>
      <c r="V152" s="838"/>
      <c r="W152" s="838"/>
      <c r="X152" s="838"/>
      <c r="Y152" s="838"/>
      <c r="Z152" s="838"/>
    </row>
    <row r="153" spans="1:27">
      <c r="A153" s="838">
        <f>IF(C153="","",COUNTA($C$3:C153))</f>
        <v>151</v>
      </c>
      <c r="B153" s="862" t="s">
        <v>491</v>
      </c>
      <c r="C153" s="838">
        <v>-5.57</v>
      </c>
      <c r="D153" s="838">
        <v>-22.39</v>
      </c>
      <c r="E153" s="838">
        <v>-23.37</v>
      </c>
      <c r="F153" s="838">
        <v>-24.32</v>
      </c>
      <c r="G153" s="838">
        <v>-26.48</v>
      </c>
      <c r="H153" s="838"/>
      <c r="I153" s="838"/>
      <c r="J153" s="838"/>
      <c r="K153" s="838"/>
      <c r="L153" s="838"/>
      <c r="M153" s="838"/>
      <c r="N153" s="838"/>
      <c r="O153" s="838"/>
      <c r="P153" s="838" t="s">
        <v>741</v>
      </c>
      <c r="Q153" s="838" t="s">
        <v>990</v>
      </c>
      <c r="R153" s="838" t="s">
        <v>745</v>
      </c>
      <c r="S153" s="838"/>
      <c r="T153" s="838"/>
      <c r="U153" s="838"/>
      <c r="V153" s="838"/>
      <c r="W153" s="838"/>
      <c r="X153" s="838"/>
      <c r="Y153" s="838"/>
      <c r="Z153" s="838"/>
    </row>
    <row r="154" spans="1:27">
      <c r="A154" s="838">
        <f>IF(C154="","",COUNTA($C$3:C154))</f>
        <v>152</v>
      </c>
      <c r="B154" s="862" t="s">
        <v>687</v>
      </c>
      <c r="C154" s="838">
        <v>-5.2969999999999997</v>
      </c>
      <c r="D154" s="838">
        <v>-21.83</v>
      </c>
      <c r="E154" s="838">
        <v>-24.5</v>
      </c>
      <c r="F154" s="838">
        <v>-26.4</v>
      </c>
      <c r="G154" s="838">
        <v>-30.3</v>
      </c>
      <c r="H154" s="838">
        <v>-32.700000000000003</v>
      </c>
      <c r="I154" s="838">
        <v>-36.9</v>
      </c>
      <c r="J154" s="838">
        <v>-39.6</v>
      </c>
      <c r="K154" s="838">
        <v>-43.32</v>
      </c>
      <c r="L154" s="838"/>
      <c r="M154" s="838"/>
      <c r="N154" s="838"/>
      <c r="O154" s="838"/>
      <c r="P154" s="1067" t="s">
        <v>741</v>
      </c>
      <c r="Q154" s="1067" t="s">
        <v>990</v>
      </c>
      <c r="R154" s="1067" t="s">
        <v>741</v>
      </c>
      <c r="S154" s="1067" t="s">
        <v>990</v>
      </c>
      <c r="T154" s="1067" t="s">
        <v>747</v>
      </c>
      <c r="U154" s="1067" t="s">
        <v>990</v>
      </c>
      <c r="V154" s="1067" t="s">
        <v>747</v>
      </c>
      <c r="W154" s="838"/>
      <c r="X154" s="838"/>
      <c r="Y154" s="838"/>
      <c r="Z154" s="838"/>
    </row>
    <row r="155" spans="1:27">
      <c r="A155" s="838">
        <f>IF(C155="","",COUNTA($C$3:C155))</f>
        <v>153</v>
      </c>
      <c r="B155" s="862" t="s">
        <v>535</v>
      </c>
      <c r="C155" s="838">
        <v>-5.12</v>
      </c>
      <c r="D155" s="838">
        <v>-19.940000000000001</v>
      </c>
      <c r="E155" s="838">
        <v>-21.78</v>
      </c>
      <c r="F155" s="838">
        <v>-22.62</v>
      </c>
      <c r="G155" s="838">
        <v>-23.84</v>
      </c>
      <c r="H155" s="838"/>
      <c r="I155" s="838"/>
      <c r="J155" s="838"/>
      <c r="K155" s="838"/>
      <c r="L155" s="838"/>
      <c r="M155" s="838"/>
      <c r="N155" s="838"/>
      <c r="O155" s="838"/>
      <c r="P155" s="1067" t="s">
        <v>741</v>
      </c>
      <c r="Q155" s="1067" t="s">
        <v>990</v>
      </c>
      <c r="R155" s="1067" t="s">
        <v>745</v>
      </c>
      <c r="S155" s="838"/>
      <c r="T155" s="838"/>
      <c r="U155" s="838"/>
      <c r="V155" s="838"/>
      <c r="W155" s="838"/>
      <c r="X155" s="838"/>
      <c r="Y155" s="838"/>
      <c r="Z155" s="838"/>
    </row>
    <row r="156" spans="1:27">
      <c r="A156" s="838">
        <f>IF(C156="","",COUNTA($C$3:C156))</f>
        <v>154</v>
      </c>
      <c r="B156" s="862" t="s">
        <v>517</v>
      </c>
      <c r="C156" s="838">
        <v>-5.01</v>
      </c>
      <c r="D156" s="838">
        <v>-23.04</v>
      </c>
      <c r="E156" s="838">
        <v>-24.31</v>
      </c>
      <c r="F156" s="838">
        <v>-25.11</v>
      </c>
      <c r="G156" s="838">
        <v>-28.01</v>
      </c>
      <c r="H156" s="838">
        <v>-29.91</v>
      </c>
      <c r="I156" s="838">
        <v>-32.61</v>
      </c>
      <c r="J156" s="838">
        <v>-35.11</v>
      </c>
      <c r="K156" s="838">
        <v>-38.83</v>
      </c>
      <c r="L156" s="838"/>
      <c r="M156" s="838"/>
      <c r="N156" s="838"/>
      <c r="O156" s="838"/>
      <c r="P156" s="1067" t="s">
        <v>741</v>
      </c>
      <c r="Q156" s="1067" t="s">
        <v>990</v>
      </c>
      <c r="R156" s="1067" t="s">
        <v>741</v>
      </c>
      <c r="S156" s="1067" t="s">
        <v>990</v>
      </c>
      <c r="T156" s="1067" t="s">
        <v>747</v>
      </c>
      <c r="U156" s="1067" t="s">
        <v>990</v>
      </c>
      <c r="V156" s="1067" t="s">
        <v>747</v>
      </c>
      <c r="W156" s="838"/>
      <c r="X156" s="838"/>
      <c r="Y156" s="838"/>
      <c r="Z156" s="838"/>
    </row>
    <row r="157" spans="1:27">
      <c r="A157" s="838">
        <f>IF(C157="","",COUNTA($C$3:C157))</f>
        <v>155</v>
      </c>
      <c r="B157" s="862" t="s">
        <v>616</v>
      </c>
      <c r="C157" s="838">
        <v>-5.4720000000000004</v>
      </c>
      <c r="D157" s="838">
        <v>-21.82</v>
      </c>
      <c r="E157" s="838">
        <v>-23.52</v>
      </c>
      <c r="F157" s="838">
        <v>-25.37</v>
      </c>
      <c r="G157" s="838">
        <v>-27.47</v>
      </c>
      <c r="H157" s="838">
        <v>-29.73</v>
      </c>
      <c r="I157" s="838">
        <v>-33.049999999999997</v>
      </c>
      <c r="J157" s="838"/>
      <c r="K157" s="838"/>
      <c r="L157" s="838"/>
      <c r="M157" s="838"/>
      <c r="N157" s="838"/>
      <c r="O157" s="838"/>
      <c r="P157" s="1067" t="s">
        <v>741</v>
      </c>
      <c r="Q157" s="1067" t="s">
        <v>990</v>
      </c>
      <c r="R157" s="1067" t="s">
        <v>741</v>
      </c>
      <c r="S157" s="1067" t="s">
        <v>990</v>
      </c>
      <c r="T157" s="1067" t="s">
        <v>747</v>
      </c>
      <c r="U157" s="838"/>
      <c r="V157" s="838"/>
      <c r="W157" s="838"/>
      <c r="X157" s="838"/>
      <c r="Y157" s="838"/>
      <c r="Z157" s="838"/>
    </row>
    <row r="158" spans="1:27">
      <c r="A158" s="838">
        <f>IF(C158="","",COUNTA($C$3:C158))</f>
        <v>156</v>
      </c>
      <c r="B158" s="862" t="s">
        <v>506</v>
      </c>
      <c r="C158" s="838">
        <v>-5.3620000000000001</v>
      </c>
      <c r="D158" s="838">
        <v>-22.39</v>
      </c>
      <c r="E158" s="838">
        <v>-23.86</v>
      </c>
      <c r="F158" s="838">
        <v>-24.66</v>
      </c>
      <c r="G158" s="838">
        <v>-26.47</v>
      </c>
      <c r="H158" s="838"/>
      <c r="I158" s="838"/>
      <c r="J158" s="838"/>
      <c r="K158" s="838"/>
      <c r="L158" s="838"/>
      <c r="M158" s="838"/>
      <c r="N158" s="838"/>
      <c r="O158" s="838"/>
      <c r="P158" s="1067" t="s">
        <v>741</v>
      </c>
      <c r="Q158" s="1067" t="s">
        <v>990</v>
      </c>
      <c r="R158" s="1067" t="s">
        <v>741</v>
      </c>
      <c r="S158" s="838"/>
      <c r="T158" s="838"/>
      <c r="U158" s="838"/>
      <c r="V158" s="838"/>
      <c r="W158" s="838"/>
      <c r="X158" s="838"/>
      <c r="Y158" s="838"/>
      <c r="Z158" s="838"/>
    </row>
    <row r="159" spans="1:27">
      <c r="A159" s="838">
        <f>IF(C159="","",COUNTA($C$3:C159))</f>
        <v>157</v>
      </c>
      <c r="B159" s="862" t="s">
        <v>511</v>
      </c>
      <c r="C159" s="838">
        <v>-5.26</v>
      </c>
      <c r="D159" s="838">
        <v>-21.98</v>
      </c>
      <c r="E159" s="838">
        <v>-23.28</v>
      </c>
      <c r="F159" s="838">
        <v>-24.43</v>
      </c>
      <c r="G159" s="838">
        <v>-28.59</v>
      </c>
      <c r="H159" s="838">
        <v>-31.96</v>
      </c>
      <c r="I159" s="838">
        <v>-36.03</v>
      </c>
      <c r="J159" s="838">
        <v>-38.630000000000003</v>
      </c>
      <c r="K159" s="838">
        <v>-43.26</v>
      </c>
      <c r="L159" s="838"/>
      <c r="M159" s="838"/>
      <c r="N159" s="838"/>
      <c r="O159" s="838"/>
      <c r="P159" s="1067" t="s">
        <v>741</v>
      </c>
      <c r="Q159" s="1067" t="s">
        <v>990</v>
      </c>
      <c r="R159" s="1067" t="s">
        <v>741</v>
      </c>
      <c r="S159" s="1067" t="s">
        <v>990</v>
      </c>
      <c r="T159" s="1067" t="s">
        <v>747</v>
      </c>
      <c r="U159" s="1067" t="s">
        <v>990</v>
      </c>
      <c r="V159" s="1067" t="s">
        <v>747</v>
      </c>
      <c r="W159" s="838"/>
      <c r="X159" s="838"/>
      <c r="Y159" s="838"/>
      <c r="Z159" s="838"/>
    </row>
    <row r="160" spans="1:27">
      <c r="A160" s="838">
        <f>IF(C160="","",COUNTA($C$3:C160))</f>
        <v>158</v>
      </c>
      <c r="B160" s="862" t="s">
        <v>516</v>
      </c>
      <c r="C160" s="838">
        <v>-5.4249999999999998</v>
      </c>
      <c r="D160" s="838">
        <v>-19.54</v>
      </c>
      <c r="E160" s="838">
        <v>-21.12</v>
      </c>
      <c r="F160" s="838">
        <v>-21.82</v>
      </c>
      <c r="G160" s="838">
        <v>-23.85</v>
      </c>
      <c r="H160" s="838"/>
      <c r="I160" s="838"/>
      <c r="J160" s="838"/>
      <c r="K160" s="838"/>
      <c r="L160" s="838"/>
      <c r="M160" s="838"/>
      <c r="N160" s="838"/>
      <c r="O160" s="838"/>
      <c r="P160" s="1067" t="s">
        <v>741</v>
      </c>
      <c r="Q160" s="1067" t="s">
        <v>990</v>
      </c>
      <c r="R160" s="1067" t="s">
        <v>745</v>
      </c>
      <c r="S160" s="838"/>
      <c r="T160" s="838"/>
      <c r="U160" s="838"/>
      <c r="V160" s="838"/>
      <c r="W160" s="838"/>
      <c r="X160" s="838"/>
      <c r="Y160" s="838"/>
      <c r="Z160" s="838"/>
    </row>
    <row r="161" spans="1:27">
      <c r="A161" s="838">
        <f>IF(C161="","",COUNTA($C$3:C161))</f>
        <v>159</v>
      </c>
      <c r="B161" s="862" t="s">
        <v>593</v>
      </c>
      <c r="C161" s="838">
        <v>-4.88</v>
      </c>
      <c r="D161" s="838">
        <v>-20.61</v>
      </c>
      <c r="E161" s="838">
        <v>-22.51</v>
      </c>
      <c r="F161" s="838">
        <v>-23.7</v>
      </c>
      <c r="G161" s="838">
        <v>-26.39</v>
      </c>
      <c r="H161" s="838">
        <v>-27.1</v>
      </c>
      <c r="I161" s="838">
        <v>-28.44</v>
      </c>
      <c r="J161" s="838"/>
      <c r="K161" s="838"/>
      <c r="L161" s="838"/>
      <c r="M161" s="838"/>
      <c r="N161" s="838"/>
      <c r="O161" s="838"/>
      <c r="P161" s="1067" t="s">
        <v>741</v>
      </c>
      <c r="Q161" s="1067" t="s">
        <v>990</v>
      </c>
      <c r="R161" s="1067" t="s">
        <v>741</v>
      </c>
      <c r="S161" s="1067" t="s">
        <v>990</v>
      </c>
      <c r="T161" s="1067" t="s">
        <v>747</v>
      </c>
      <c r="U161" s="838"/>
      <c r="V161" s="838"/>
      <c r="W161" s="838"/>
      <c r="X161" s="838"/>
      <c r="Y161" s="838"/>
      <c r="Z161" s="838"/>
    </row>
    <row r="162" spans="1:27">
      <c r="A162" s="838">
        <f>IF(C162="","",COUNTA($C$3:C162))</f>
        <v>160</v>
      </c>
      <c r="B162" s="862" t="s">
        <v>699</v>
      </c>
      <c r="C162" s="838">
        <v>-5.48</v>
      </c>
      <c r="D162" s="838">
        <v>-22.4</v>
      </c>
      <c r="E162" s="838">
        <v>-23.43</v>
      </c>
      <c r="F162" s="838">
        <v>-25.77</v>
      </c>
      <c r="G162" s="838">
        <v>-28.08</v>
      </c>
      <c r="H162" s="838">
        <v>-30.44</v>
      </c>
      <c r="I162" s="838">
        <v>-34.1</v>
      </c>
      <c r="J162" s="838">
        <v>-35.43</v>
      </c>
      <c r="K162" s="838">
        <v>-38.78</v>
      </c>
      <c r="L162" s="838">
        <v>-40.43</v>
      </c>
      <c r="M162" s="838">
        <v>-43.33</v>
      </c>
      <c r="N162" s="838"/>
      <c r="O162" s="838"/>
      <c r="P162" s="1067" t="s">
        <v>741</v>
      </c>
      <c r="Q162" s="1067" t="s">
        <v>990</v>
      </c>
      <c r="R162" s="1067" t="s">
        <v>741</v>
      </c>
      <c r="S162" s="1067" t="s">
        <v>990</v>
      </c>
      <c r="T162" s="1067" t="s">
        <v>747</v>
      </c>
      <c r="U162" s="1067" t="s">
        <v>990</v>
      </c>
      <c r="V162" s="1067" t="s">
        <v>747</v>
      </c>
      <c r="W162" s="1067" t="s">
        <v>990</v>
      </c>
      <c r="X162" s="1067" t="s">
        <v>747</v>
      </c>
      <c r="Y162" s="838"/>
      <c r="Z162" s="838"/>
    </row>
    <row r="163" spans="1:27">
      <c r="A163" s="838">
        <f>IF(C163="","",COUNTA($C$3:C163))</f>
        <v>161</v>
      </c>
      <c r="B163" s="862" t="s">
        <v>518</v>
      </c>
      <c r="C163" s="838">
        <v>-5.53</v>
      </c>
      <c r="D163" s="838">
        <v>-23.34</v>
      </c>
      <c r="E163" s="838">
        <v>-24.98</v>
      </c>
      <c r="F163" s="838">
        <v>-27.25</v>
      </c>
      <c r="G163" s="838">
        <v>-28.63</v>
      </c>
      <c r="H163" s="838">
        <v>-31.13</v>
      </c>
      <c r="I163" s="838">
        <v>-32.86</v>
      </c>
      <c r="J163" s="838"/>
      <c r="K163" s="838"/>
      <c r="L163" s="838"/>
      <c r="M163" s="838"/>
      <c r="N163" s="838"/>
      <c r="O163" s="838"/>
      <c r="P163" s="1067" t="s">
        <v>741</v>
      </c>
      <c r="Q163" s="1067" t="s">
        <v>990</v>
      </c>
      <c r="R163" s="1067" t="s">
        <v>741</v>
      </c>
      <c r="S163" s="1067" t="s">
        <v>990</v>
      </c>
      <c r="T163" s="1067" t="s">
        <v>747</v>
      </c>
      <c r="U163" s="838"/>
      <c r="V163" s="838"/>
      <c r="W163" s="838"/>
      <c r="X163" s="838"/>
      <c r="Y163" s="838"/>
      <c r="Z163" s="838"/>
    </row>
    <row r="164" spans="1:27">
      <c r="A164" s="838">
        <f>IF(C164="","",COUNTA($C$3:C164))</f>
        <v>162</v>
      </c>
      <c r="B164" s="862" t="s">
        <v>526</v>
      </c>
      <c r="C164" s="838">
        <v>-5.2</v>
      </c>
      <c r="D164" s="838">
        <v>-20.61</v>
      </c>
      <c r="E164" s="838">
        <v>-21.35</v>
      </c>
      <c r="F164" s="838">
        <v>-22.5</v>
      </c>
      <c r="G164" s="838">
        <v>-23.85</v>
      </c>
      <c r="H164" s="838"/>
      <c r="I164" s="838"/>
      <c r="J164" s="838"/>
      <c r="K164" s="838"/>
      <c r="L164" s="838"/>
      <c r="M164" s="838"/>
      <c r="N164" s="838"/>
      <c r="O164" s="838"/>
      <c r="P164" s="1067" t="s">
        <v>741</v>
      </c>
      <c r="Q164" s="1067" t="s">
        <v>990</v>
      </c>
      <c r="R164" s="1067" t="s">
        <v>741</v>
      </c>
      <c r="S164" s="838"/>
      <c r="T164" s="838"/>
      <c r="U164" s="838"/>
      <c r="V164" s="838"/>
      <c r="W164" s="838"/>
      <c r="X164" s="838"/>
      <c r="Y164" s="838"/>
      <c r="Z164" s="838"/>
    </row>
    <row r="165" spans="1:27">
      <c r="A165" s="838">
        <f>IF(C165="","",COUNTA($C$3:C165))</f>
        <v>163</v>
      </c>
      <c r="B165" s="862" t="s">
        <v>521</v>
      </c>
      <c r="C165" s="838">
        <v>-5.22</v>
      </c>
      <c r="D165" s="838">
        <v>-21.22</v>
      </c>
      <c r="E165" s="838">
        <v>-22.17</v>
      </c>
      <c r="F165" s="838">
        <v>-22.73</v>
      </c>
      <c r="G165" s="838">
        <v>-23.87</v>
      </c>
      <c r="H165" s="838"/>
      <c r="I165" s="838"/>
      <c r="J165" s="838"/>
      <c r="K165" s="838"/>
      <c r="L165" s="838"/>
      <c r="M165" s="838"/>
      <c r="N165" s="838"/>
      <c r="O165" s="838"/>
      <c r="P165" s="1067" t="s">
        <v>741</v>
      </c>
      <c r="Q165" s="1067" t="s">
        <v>990</v>
      </c>
      <c r="R165" s="1067" t="s">
        <v>741</v>
      </c>
      <c r="S165" s="838"/>
      <c r="T165" s="838"/>
      <c r="U165" s="838"/>
      <c r="V165" s="838"/>
      <c r="W165" s="838"/>
      <c r="X165" s="838"/>
      <c r="Y165" s="838"/>
      <c r="Z165" s="838"/>
    </row>
    <row r="166" spans="1:27">
      <c r="A166" s="838">
        <f>IF(C166="","",COUNTA($C$3:C166))</f>
        <v>164</v>
      </c>
      <c r="B166" s="862" t="s">
        <v>585</v>
      </c>
      <c r="C166" s="838">
        <v>-5.54</v>
      </c>
      <c r="D166" s="838">
        <v>-22.39</v>
      </c>
      <c r="E166" s="838">
        <v>-24.44</v>
      </c>
      <c r="F166" s="838">
        <v>-26.59</v>
      </c>
      <c r="G166" s="838">
        <v>-28.86</v>
      </c>
      <c r="H166" s="838">
        <v>-30.39</v>
      </c>
      <c r="I166" s="838">
        <v>-33.14</v>
      </c>
      <c r="J166" s="838"/>
      <c r="K166" s="838"/>
      <c r="L166" s="838"/>
      <c r="M166" s="838"/>
      <c r="N166" s="838"/>
      <c r="O166" s="838"/>
      <c r="P166" s="1067" t="s">
        <v>741</v>
      </c>
      <c r="Q166" s="1067" t="s">
        <v>990</v>
      </c>
      <c r="R166" s="1067" t="s">
        <v>741</v>
      </c>
      <c r="S166" s="1067" t="s">
        <v>990</v>
      </c>
      <c r="T166" s="1067" t="s">
        <v>747</v>
      </c>
      <c r="U166" s="838"/>
      <c r="V166" s="838"/>
      <c r="W166" s="838"/>
      <c r="X166" s="838"/>
      <c r="Y166" s="838"/>
      <c r="Z166" s="838"/>
    </row>
    <row r="167" spans="1:27">
      <c r="A167" s="838">
        <f>IF(C167="","",COUNTA($C$3:C167))</f>
        <v>165</v>
      </c>
      <c r="B167" s="862" t="s">
        <v>531</v>
      </c>
      <c r="C167" s="838">
        <v>-4.7439999999999998</v>
      </c>
      <c r="D167" s="838">
        <v>-20.87</v>
      </c>
      <c r="E167" s="838">
        <v>-21.87</v>
      </c>
      <c r="F167" s="838">
        <v>-22.7</v>
      </c>
      <c r="G167" s="838">
        <v>-24.08</v>
      </c>
      <c r="H167" s="838"/>
      <c r="I167" s="838"/>
      <c r="J167" s="838"/>
      <c r="K167" s="838"/>
      <c r="L167" s="838"/>
      <c r="M167" s="838"/>
      <c r="N167" s="838"/>
      <c r="O167" s="838"/>
      <c r="P167" s="1067" t="s">
        <v>741</v>
      </c>
      <c r="Q167" s="1067" t="s">
        <v>990</v>
      </c>
      <c r="R167" s="1067" t="s">
        <v>741</v>
      </c>
      <c r="S167" s="838"/>
      <c r="T167" s="838"/>
      <c r="U167" s="838"/>
      <c r="V167" s="838"/>
      <c r="W167" s="838"/>
      <c r="X167" s="838"/>
      <c r="Y167" s="838"/>
      <c r="Z167" s="838"/>
    </row>
    <row r="168" spans="1:27">
      <c r="A168" s="838">
        <f>IF(C168="","",COUNTA($C$3:C168))</f>
        <v>166</v>
      </c>
      <c r="B168" s="862" t="s">
        <v>493</v>
      </c>
      <c r="C168" s="838">
        <v>-5.8</v>
      </c>
      <c r="D168" s="838">
        <v>-18.45</v>
      </c>
      <c r="E168" s="838">
        <v>-22.22</v>
      </c>
      <c r="F168" s="838">
        <v>-23.82</v>
      </c>
      <c r="G168" s="838">
        <v>-26.4</v>
      </c>
      <c r="H168" s="838">
        <v>-28.25</v>
      </c>
      <c r="I168" s="838">
        <v>-30.41</v>
      </c>
      <c r="J168" s="838"/>
      <c r="K168" s="838"/>
      <c r="L168" s="838"/>
      <c r="M168" s="838"/>
      <c r="N168" s="838"/>
      <c r="O168" s="838"/>
      <c r="P168" s="1067" t="s">
        <v>741</v>
      </c>
      <c r="Q168" s="1067" t="s">
        <v>990</v>
      </c>
      <c r="R168" s="1067" t="s">
        <v>741</v>
      </c>
      <c r="S168" s="1067" t="s">
        <v>990</v>
      </c>
      <c r="T168" s="1067" t="s">
        <v>747</v>
      </c>
      <c r="U168" s="838"/>
      <c r="V168" s="838"/>
      <c r="W168" s="838"/>
      <c r="X168" s="838"/>
      <c r="Y168" s="838"/>
      <c r="Z168" s="838"/>
    </row>
    <row r="169" spans="1:27" s="1190" customFormat="1">
      <c r="A169" s="838">
        <f>IF(C169="","",COUNTA($C$3:C169))</f>
        <v>167</v>
      </c>
      <c r="B169" s="1188" t="s">
        <v>705</v>
      </c>
      <c r="C169" s="838">
        <v>-5.6849999999999996</v>
      </c>
      <c r="D169" s="838">
        <v>-19.23</v>
      </c>
      <c r="E169" s="838">
        <v>-22.44</v>
      </c>
      <c r="F169" s="838">
        <v>-23.61</v>
      </c>
      <c r="G169" s="838">
        <v>-26.39</v>
      </c>
      <c r="H169" s="838">
        <v>-26.99</v>
      </c>
      <c r="I169" s="838">
        <v>-29.1</v>
      </c>
      <c r="J169" s="838"/>
      <c r="K169" s="838"/>
      <c r="L169" s="838"/>
      <c r="M169" s="838"/>
      <c r="N169" s="838"/>
      <c r="O169" s="838"/>
      <c r="P169" s="1067" t="s">
        <v>741</v>
      </c>
      <c r="Q169" s="1067" t="s">
        <v>990</v>
      </c>
      <c r="R169" s="1067" t="s">
        <v>741</v>
      </c>
      <c r="S169" s="1067" t="s">
        <v>990</v>
      </c>
      <c r="T169" s="1067" t="s">
        <v>747</v>
      </c>
      <c r="U169" s="838"/>
      <c r="V169" s="838"/>
      <c r="W169" s="838"/>
      <c r="X169" s="838"/>
      <c r="Y169" s="838"/>
      <c r="Z169" s="838"/>
      <c r="AA169" s="835"/>
    </row>
    <row r="170" spans="1:27" s="1190" customFormat="1">
      <c r="A170" s="838">
        <f>IF(C170="","",COUNTA($C$3:C170))</f>
        <v>168</v>
      </c>
      <c r="B170" s="1188" t="s">
        <v>603</v>
      </c>
      <c r="C170" s="838">
        <v>-5.024</v>
      </c>
      <c r="D170" s="838">
        <v>-20.2</v>
      </c>
      <c r="E170" s="838">
        <v>-23.63</v>
      </c>
      <c r="F170" s="838">
        <v>-24.68</v>
      </c>
      <c r="G170" s="838">
        <v>-25.98</v>
      </c>
      <c r="H170" s="838">
        <v>-27.08</v>
      </c>
      <c r="I170" s="838">
        <v>-28.49</v>
      </c>
      <c r="J170" s="838"/>
      <c r="K170" s="838"/>
      <c r="L170" s="838"/>
      <c r="M170" s="838"/>
      <c r="N170" s="838"/>
      <c r="O170" s="838"/>
      <c r="P170" s="1067" t="s">
        <v>741</v>
      </c>
      <c r="Q170" s="1067" t="s">
        <v>990</v>
      </c>
      <c r="R170" s="1067" t="s">
        <v>741</v>
      </c>
      <c r="S170" s="1067" t="s">
        <v>990</v>
      </c>
      <c r="T170" s="1067" t="s">
        <v>747</v>
      </c>
      <c r="U170" s="838"/>
      <c r="V170" s="838"/>
      <c r="W170" s="838"/>
      <c r="X170" s="838"/>
      <c r="Y170" s="838"/>
      <c r="Z170" s="838"/>
      <c r="AA170" s="835"/>
    </row>
    <row r="171" spans="1:27" s="1190" customFormat="1">
      <c r="A171" s="838">
        <f>IF(C171="","",COUNTA($C$3:C171))</f>
        <v>169</v>
      </c>
      <c r="B171" s="1188" t="s">
        <v>613</v>
      </c>
      <c r="C171" s="838">
        <v>-5.17</v>
      </c>
      <c r="D171" s="838">
        <v>-17.29</v>
      </c>
      <c r="E171" s="838">
        <v>-20.22</v>
      </c>
      <c r="F171" s="838">
        <v>-21.58</v>
      </c>
      <c r="G171" s="838">
        <v>-24.77</v>
      </c>
      <c r="H171" s="838">
        <v>-25.97</v>
      </c>
      <c r="I171" s="838">
        <v>-28.38</v>
      </c>
      <c r="J171" s="838"/>
      <c r="K171" s="838"/>
      <c r="L171" s="838"/>
      <c r="M171" s="838"/>
      <c r="N171" s="838"/>
      <c r="O171" s="838"/>
      <c r="P171" s="1067" t="s">
        <v>741</v>
      </c>
      <c r="Q171" s="1067" t="s">
        <v>990</v>
      </c>
      <c r="R171" s="1067" t="s">
        <v>741</v>
      </c>
      <c r="S171" s="1067" t="s">
        <v>990</v>
      </c>
      <c r="T171" s="1067" t="s">
        <v>747</v>
      </c>
      <c r="U171" s="838"/>
      <c r="V171" s="838"/>
      <c r="W171" s="838"/>
      <c r="X171" s="838"/>
      <c r="Y171" s="838"/>
      <c r="Z171" s="838"/>
      <c r="AA171" s="835"/>
    </row>
    <row r="172" spans="1:27" s="1190" customFormat="1">
      <c r="A172" s="838">
        <f>IF(C172="","",COUNTA($C$3:C172))</f>
        <v>170</v>
      </c>
      <c r="B172" s="1188" t="s">
        <v>580</v>
      </c>
      <c r="C172" s="838">
        <v>-5.0359999999999996</v>
      </c>
      <c r="D172" s="838">
        <v>-20.07</v>
      </c>
      <c r="E172" s="838">
        <v>-22.02</v>
      </c>
      <c r="F172" s="838">
        <v>-24.49</v>
      </c>
      <c r="G172" s="838">
        <v>-26.09</v>
      </c>
      <c r="H172" s="838">
        <v>-28.84</v>
      </c>
      <c r="I172" s="838">
        <v>-32.950000000000003</v>
      </c>
      <c r="J172" s="838"/>
      <c r="K172" s="838"/>
      <c r="L172" s="838"/>
      <c r="M172" s="838"/>
      <c r="N172" s="838"/>
      <c r="O172" s="838"/>
      <c r="P172" s="1067" t="s">
        <v>741</v>
      </c>
      <c r="Q172" s="1067" t="s">
        <v>990</v>
      </c>
      <c r="R172" s="1067" t="s">
        <v>741</v>
      </c>
      <c r="S172" s="1067" t="s">
        <v>990</v>
      </c>
      <c r="T172" s="1067" t="s">
        <v>747</v>
      </c>
      <c r="U172" s="838"/>
      <c r="V172" s="838"/>
      <c r="W172" s="838"/>
      <c r="X172" s="838"/>
      <c r="Y172" s="838"/>
      <c r="Z172" s="838"/>
      <c r="AA172" s="835"/>
    </row>
    <row r="173" spans="1:27" s="1190" customFormat="1">
      <c r="A173" s="838">
        <f>IF(C173="","",COUNTA($C$3:C173))</f>
        <v>171</v>
      </c>
      <c r="B173" s="1188" t="s">
        <v>570</v>
      </c>
      <c r="C173" s="838">
        <v>-5.14</v>
      </c>
      <c r="D173" s="838">
        <v>-20.55</v>
      </c>
      <c r="E173" s="838">
        <v>-22.14</v>
      </c>
      <c r="F173" s="838">
        <v>-24.39</v>
      </c>
      <c r="G173" s="838">
        <v>-26.76</v>
      </c>
      <c r="H173" s="838">
        <v>-29.39</v>
      </c>
      <c r="I173" s="838">
        <v>-34.71</v>
      </c>
      <c r="J173" s="838"/>
      <c r="K173" s="838"/>
      <c r="L173" s="838"/>
      <c r="M173" s="838"/>
      <c r="N173" s="838"/>
      <c r="O173" s="838"/>
      <c r="P173" s="1067" t="s">
        <v>741</v>
      </c>
      <c r="Q173" s="1067" t="s">
        <v>990</v>
      </c>
      <c r="R173" s="1067" t="s">
        <v>741</v>
      </c>
      <c r="S173" s="1067" t="s">
        <v>990</v>
      </c>
      <c r="T173" s="1067" t="s">
        <v>747</v>
      </c>
      <c r="U173" s="838"/>
      <c r="V173" s="838"/>
      <c r="W173" s="838"/>
      <c r="X173" s="838"/>
      <c r="Y173" s="838"/>
      <c r="Z173" s="838"/>
      <c r="AA173" s="835"/>
    </row>
    <row r="174" spans="1:27" s="1190" customFormat="1">
      <c r="A174" s="838">
        <f>IF(C174="","",COUNTA($C$3:C174))</f>
        <v>172</v>
      </c>
      <c r="B174" s="1188" t="s">
        <v>1132</v>
      </c>
      <c r="C174" s="838">
        <v>-5.08</v>
      </c>
      <c r="D174" s="838">
        <v>-18.510000000000002</v>
      </c>
      <c r="E174" s="838">
        <v>-20.58</v>
      </c>
      <c r="F174" s="838">
        <v>-22.13</v>
      </c>
      <c r="G174" s="838">
        <v>-25.38</v>
      </c>
      <c r="H174" s="838">
        <v>-27.49</v>
      </c>
      <c r="I174" s="838">
        <v>-30.88</v>
      </c>
      <c r="J174" s="838"/>
      <c r="K174" s="838"/>
      <c r="L174" s="838"/>
      <c r="M174" s="838"/>
      <c r="N174" s="838"/>
      <c r="O174" s="838"/>
      <c r="P174" s="1067" t="s">
        <v>741</v>
      </c>
      <c r="Q174" s="1067" t="s">
        <v>990</v>
      </c>
      <c r="R174" s="1067" t="s">
        <v>741</v>
      </c>
      <c r="S174" s="1067" t="s">
        <v>990</v>
      </c>
      <c r="T174" s="1067" t="s">
        <v>747</v>
      </c>
      <c r="U174" s="838"/>
      <c r="V174" s="838"/>
      <c r="W174" s="838"/>
      <c r="X174" s="838"/>
      <c r="Y174" s="838"/>
      <c r="Z174" s="838"/>
      <c r="AA174" s="835"/>
    </row>
    <row r="175" spans="1:27" s="1190" customFormat="1">
      <c r="A175" s="838">
        <f>IF(C175="","",COUNTA($C$3:C175))</f>
        <v>173</v>
      </c>
      <c r="B175" s="1188" t="s">
        <v>498</v>
      </c>
      <c r="C175" s="838">
        <v>-5.4690000000000003</v>
      </c>
      <c r="D175" s="838">
        <v>-19.510000000000002</v>
      </c>
      <c r="E175" s="838">
        <v>-22.51</v>
      </c>
      <c r="F175" s="838">
        <v>-24.16</v>
      </c>
      <c r="G175" s="838">
        <v>-25.76</v>
      </c>
      <c r="H175" s="838">
        <v>-26.56</v>
      </c>
      <c r="I175" s="838">
        <v>-30.32</v>
      </c>
      <c r="J175" s="838"/>
      <c r="K175" s="838"/>
      <c r="L175" s="838"/>
      <c r="M175" s="838"/>
      <c r="N175" s="838"/>
      <c r="O175" s="838"/>
      <c r="P175" s="1067" t="s">
        <v>741</v>
      </c>
      <c r="Q175" s="1067" t="s">
        <v>990</v>
      </c>
      <c r="R175" s="1067" t="s">
        <v>741</v>
      </c>
      <c r="S175" s="1067" t="s">
        <v>990</v>
      </c>
      <c r="T175" s="1067" t="s">
        <v>747</v>
      </c>
      <c r="U175" s="838"/>
      <c r="V175" s="838"/>
      <c r="W175" s="838"/>
      <c r="X175" s="838"/>
      <c r="Y175" s="838"/>
      <c r="Z175" s="838"/>
      <c r="AA175" s="835"/>
    </row>
    <row r="176" spans="1:27" s="1190" customFormat="1">
      <c r="A176" s="838">
        <f>IF(C176="","",COUNTA($C$3:C176))</f>
        <v>174</v>
      </c>
      <c r="B176" s="1188" t="s">
        <v>590</v>
      </c>
      <c r="C176" s="838">
        <v>-5.15</v>
      </c>
      <c r="D176" s="838">
        <v>-21.96</v>
      </c>
      <c r="E176" s="838">
        <v>-23.25</v>
      </c>
      <c r="F176" s="838">
        <v>-25.45</v>
      </c>
      <c r="G176" s="838">
        <v>-27.6</v>
      </c>
      <c r="H176" s="838">
        <v>-29.95</v>
      </c>
      <c r="I176" s="838">
        <v>-32.9</v>
      </c>
      <c r="J176" s="838"/>
      <c r="K176" s="838"/>
      <c r="L176" s="838"/>
      <c r="M176" s="838"/>
      <c r="N176" s="838"/>
      <c r="O176" s="838"/>
      <c r="P176" s="1067" t="s">
        <v>741</v>
      </c>
      <c r="Q176" s="1067" t="s">
        <v>990</v>
      </c>
      <c r="R176" s="1067" t="s">
        <v>741</v>
      </c>
      <c r="S176" s="1067" t="s">
        <v>990</v>
      </c>
      <c r="T176" s="1067" t="s">
        <v>747</v>
      </c>
      <c r="U176" s="838"/>
      <c r="V176" s="838"/>
      <c r="W176" s="838"/>
      <c r="X176" s="838"/>
      <c r="Y176" s="838"/>
      <c r="Z176" s="838"/>
      <c r="AA176" s="835"/>
    </row>
    <row r="177" spans="1:27" s="1190" customFormat="1">
      <c r="A177" s="838">
        <f>IF(C177="","",COUNTA($C$3:C177))</f>
        <v>175</v>
      </c>
      <c r="B177" s="1188" t="s">
        <v>595</v>
      </c>
      <c r="C177" s="838">
        <v>-5.45</v>
      </c>
      <c r="D177" s="838">
        <v>-21.3</v>
      </c>
      <c r="E177" s="838">
        <v>-22.56</v>
      </c>
      <c r="F177" s="838">
        <v>-24.81</v>
      </c>
      <c r="G177" s="838">
        <v>-27.08</v>
      </c>
      <c r="H177" s="838">
        <v>-28.72</v>
      </c>
      <c r="I177" s="838">
        <v>-32.96</v>
      </c>
      <c r="J177" s="838"/>
      <c r="K177" s="838"/>
      <c r="L177" s="838"/>
      <c r="M177" s="838"/>
      <c r="N177" s="838"/>
      <c r="O177" s="838"/>
      <c r="P177" s="1067" t="s">
        <v>741</v>
      </c>
      <c r="Q177" s="1067" t="s">
        <v>990</v>
      </c>
      <c r="R177" s="1067" t="s">
        <v>741</v>
      </c>
      <c r="S177" s="1067" t="s">
        <v>990</v>
      </c>
      <c r="T177" s="1067" t="s">
        <v>747</v>
      </c>
      <c r="U177" s="838"/>
      <c r="V177" s="838"/>
      <c r="W177" s="838"/>
      <c r="X177" s="838"/>
      <c r="Y177" s="838"/>
      <c r="Z177" s="838"/>
      <c r="AA177" s="835"/>
    </row>
    <row r="178" spans="1:27" s="1190" customFormat="1">
      <c r="A178" s="838">
        <f>IF(C178="","",COUNTA($C$3:C178))</f>
        <v>176</v>
      </c>
      <c r="B178" s="1188" t="s">
        <v>659</v>
      </c>
      <c r="C178" s="838">
        <v>-5.43</v>
      </c>
      <c r="D178" s="838">
        <v>-20.27</v>
      </c>
      <c r="E178" s="838">
        <v>-21.98</v>
      </c>
      <c r="F178" s="838">
        <v>-23.53</v>
      </c>
      <c r="G178" s="838">
        <v>-27.28</v>
      </c>
      <c r="H178" s="838">
        <v>-28.73</v>
      </c>
      <c r="I178" s="838">
        <v>-31.41</v>
      </c>
      <c r="J178" s="838"/>
      <c r="K178" s="838"/>
      <c r="L178" s="838"/>
      <c r="M178" s="838"/>
      <c r="N178" s="838"/>
      <c r="O178" s="838"/>
      <c r="P178" s="1067" t="s">
        <v>741</v>
      </c>
      <c r="Q178" s="1067" t="s">
        <v>990</v>
      </c>
      <c r="R178" s="1067" t="s">
        <v>741</v>
      </c>
      <c r="S178" s="1067" t="s">
        <v>990</v>
      </c>
      <c r="T178" s="1067" t="s">
        <v>747</v>
      </c>
      <c r="U178" s="838"/>
      <c r="V178" s="838"/>
      <c r="W178" s="838"/>
      <c r="X178" s="838"/>
      <c r="Y178" s="838"/>
      <c r="Z178" s="838"/>
      <c r="AA178" s="835"/>
    </row>
    <row r="179" spans="1:27" s="1190" customFormat="1">
      <c r="A179" s="838">
        <f>IF(C179="","",COUNTA($C$3:C179))</f>
        <v>177</v>
      </c>
      <c r="B179" s="1188" t="s">
        <v>598</v>
      </c>
      <c r="C179" s="838">
        <v>-5.0970000000000004</v>
      </c>
      <c r="D179" s="838">
        <v>-20.71</v>
      </c>
      <c r="E179" s="838">
        <v>-22.89</v>
      </c>
      <c r="F179" s="838">
        <v>-23.39</v>
      </c>
      <c r="G179" s="838">
        <v>-25.54</v>
      </c>
      <c r="H179" s="838">
        <v>-26.7</v>
      </c>
      <c r="I179" s="838">
        <v>-28.44</v>
      </c>
      <c r="J179" s="838"/>
      <c r="K179" s="838"/>
      <c r="L179" s="838"/>
      <c r="M179" s="838"/>
      <c r="N179" s="838"/>
      <c r="O179" s="838"/>
      <c r="P179" s="1067" t="s">
        <v>741</v>
      </c>
      <c r="Q179" s="1067" t="s">
        <v>990</v>
      </c>
      <c r="R179" s="1067" t="s">
        <v>741</v>
      </c>
      <c r="S179" s="1067" t="s">
        <v>990</v>
      </c>
      <c r="T179" s="1067" t="s">
        <v>747</v>
      </c>
      <c r="U179" s="838"/>
      <c r="V179" s="838"/>
      <c r="W179" s="838"/>
      <c r="X179" s="838"/>
      <c r="Y179" s="838"/>
      <c r="Z179" s="838"/>
      <c r="AA179" s="835"/>
    </row>
    <row r="180" spans="1:27" s="1190" customFormat="1">
      <c r="A180" s="838">
        <f>IF(C180="","",COUNTA($C$3:C180))</f>
        <v>178</v>
      </c>
      <c r="B180" s="1188" t="s">
        <v>522</v>
      </c>
      <c r="C180" s="838">
        <v>-5.12</v>
      </c>
      <c r="D180" s="838">
        <v>-20.85</v>
      </c>
      <c r="E180" s="838">
        <v>-23.32</v>
      </c>
      <c r="F180" s="838">
        <v>-25.12</v>
      </c>
      <c r="G180" s="838">
        <v>-29.47</v>
      </c>
      <c r="H180" s="838">
        <v>-32.35</v>
      </c>
      <c r="I180" s="838">
        <v>-34.57</v>
      </c>
      <c r="J180" s="838">
        <v>-36.25</v>
      </c>
      <c r="K180" s="838">
        <v>-38.81</v>
      </c>
      <c r="L180" s="838"/>
      <c r="M180" s="838"/>
      <c r="N180" s="838"/>
      <c r="O180" s="838"/>
      <c r="P180" s="1067" t="s">
        <v>741</v>
      </c>
      <c r="Q180" s="1067" t="s">
        <v>990</v>
      </c>
      <c r="R180" s="1067" t="s">
        <v>741</v>
      </c>
      <c r="S180" s="1067" t="s">
        <v>990</v>
      </c>
      <c r="T180" s="1067" t="s">
        <v>747</v>
      </c>
      <c r="U180" s="1067" t="s">
        <v>990</v>
      </c>
      <c r="V180" s="1067" t="s">
        <v>747</v>
      </c>
      <c r="W180" s="838"/>
      <c r="X180" s="838"/>
      <c r="Y180" s="838"/>
      <c r="Z180" s="838"/>
      <c r="AA180" s="835"/>
    </row>
    <row r="181" spans="1:27" s="1190" customFormat="1">
      <c r="A181" s="838">
        <f>IF(C181="","",COUNTA($C$3:C181))</f>
        <v>179</v>
      </c>
      <c r="B181" s="1188" t="s">
        <v>608</v>
      </c>
      <c r="C181" s="838">
        <v>-4.95</v>
      </c>
      <c r="D181" s="838">
        <v>-19.37</v>
      </c>
      <c r="E181" s="838">
        <v>-22.75</v>
      </c>
      <c r="F181" s="838">
        <v>-23.61</v>
      </c>
      <c r="G181" s="838">
        <v>-25.4</v>
      </c>
      <c r="H181" s="838">
        <v>-26.15</v>
      </c>
      <c r="I181" s="838">
        <v>-28.41</v>
      </c>
      <c r="J181" s="838"/>
      <c r="K181" s="838"/>
      <c r="L181" s="838"/>
      <c r="M181" s="838"/>
      <c r="N181" s="838"/>
      <c r="O181" s="838"/>
      <c r="P181" s="1067" t="s">
        <v>741</v>
      </c>
      <c r="Q181" s="1067" t="s">
        <v>990</v>
      </c>
      <c r="R181" s="1067" t="s">
        <v>741</v>
      </c>
      <c r="S181" s="1067" t="s">
        <v>990</v>
      </c>
      <c r="T181" s="1067" t="s">
        <v>747</v>
      </c>
      <c r="U181" s="838"/>
      <c r="V181" s="838"/>
      <c r="W181" s="838"/>
      <c r="X181" s="838"/>
      <c r="Y181" s="838"/>
      <c r="Z181" s="838"/>
      <c r="AA181" s="835"/>
    </row>
    <row r="182" spans="1:27" s="1190" customFormat="1">
      <c r="A182" s="838">
        <f>IF(C182="","",COUNTA($C$3:C182))</f>
        <v>180</v>
      </c>
      <c r="B182" s="1188" t="s">
        <v>605</v>
      </c>
      <c r="C182" s="838">
        <v>-5.17</v>
      </c>
      <c r="D182" s="838">
        <v>-20.5</v>
      </c>
      <c r="E182" s="838">
        <v>-23.87</v>
      </c>
      <c r="F182" s="838">
        <v>-24.97</v>
      </c>
      <c r="G182" s="838">
        <v>-26.77</v>
      </c>
      <c r="H182" s="838">
        <v>-28.27</v>
      </c>
      <c r="I182" s="838">
        <v>-32.72</v>
      </c>
      <c r="J182" s="838">
        <v>-34.67</v>
      </c>
      <c r="K182" s="838">
        <v>-45.02</v>
      </c>
      <c r="L182" s="838"/>
      <c r="M182" s="838"/>
      <c r="N182" s="838"/>
      <c r="O182" s="838"/>
      <c r="P182" s="1067" t="s">
        <v>741</v>
      </c>
      <c r="Q182" s="1067" t="s">
        <v>990</v>
      </c>
      <c r="R182" s="1067" t="s">
        <v>741</v>
      </c>
      <c r="S182" s="1067" t="s">
        <v>990</v>
      </c>
      <c r="T182" s="1067" t="s">
        <v>747</v>
      </c>
      <c r="U182" s="1067" t="s">
        <v>990</v>
      </c>
      <c r="V182" s="1067" t="s">
        <v>747</v>
      </c>
      <c r="W182" s="838"/>
      <c r="X182" s="838"/>
      <c r="Y182" s="838"/>
      <c r="Z182" s="838"/>
      <c r="AA182" s="835"/>
    </row>
    <row r="183" spans="1:27" s="1190" customFormat="1">
      <c r="A183" s="838">
        <f>IF(C183="","",COUNTA($C$3:C183))</f>
        <v>181</v>
      </c>
      <c r="B183" s="1188" t="s">
        <v>701</v>
      </c>
      <c r="C183" s="838">
        <v>-5.59</v>
      </c>
      <c r="D183" s="838">
        <v>-22.23</v>
      </c>
      <c r="E183" s="838">
        <v>-24.55</v>
      </c>
      <c r="F183" s="838">
        <v>-25.31</v>
      </c>
      <c r="G183" s="838">
        <v>-27.49</v>
      </c>
      <c r="H183" s="838">
        <v>-27.91</v>
      </c>
      <c r="I183" s="838">
        <v>-29.03</v>
      </c>
      <c r="J183" s="838"/>
      <c r="K183" s="838"/>
      <c r="L183" s="838"/>
      <c r="M183" s="838"/>
      <c r="N183" s="838"/>
      <c r="O183" s="838"/>
      <c r="P183" s="1067" t="s">
        <v>741</v>
      </c>
      <c r="Q183" s="1067" t="s">
        <v>990</v>
      </c>
      <c r="R183" s="1067" t="s">
        <v>741</v>
      </c>
      <c r="S183" s="1067" t="s">
        <v>990</v>
      </c>
      <c r="T183" s="1067" t="s">
        <v>747</v>
      </c>
      <c r="U183" s="838"/>
      <c r="V183" s="838"/>
      <c r="W183" s="838"/>
      <c r="X183" s="838"/>
      <c r="Y183" s="838"/>
      <c r="Z183" s="838"/>
      <c r="AA183" s="835"/>
    </row>
    <row r="184" spans="1:27" s="1190" customFormat="1">
      <c r="A184" s="838">
        <f>IF(C184="","",COUNTA($C$3:C184))</f>
        <v>182</v>
      </c>
      <c r="B184" s="1188" t="s">
        <v>663</v>
      </c>
      <c r="C184" s="838">
        <v>-5.67</v>
      </c>
      <c r="D184" s="838">
        <v>-19.91</v>
      </c>
      <c r="E184" s="838">
        <v>-23.03</v>
      </c>
      <c r="F184" s="838">
        <v>-24.78</v>
      </c>
      <c r="G184" s="838">
        <v>-27.13</v>
      </c>
      <c r="H184" s="838"/>
      <c r="I184" s="838"/>
      <c r="J184" s="838"/>
      <c r="K184" s="838"/>
      <c r="L184" s="838"/>
      <c r="M184" s="838"/>
      <c r="N184" s="838"/>
      <c r="O184" s="838"/>
      <c r="P184" s="1067" t="s">
        <v>741</v>
      </c>
      <c r="Q184" s="1067" t="s">
        <v>990</v>
      </c>
      <c r="R184" s="1067" t="s">
        <v>741</v>
      </c>
      <c r="S184" s="838"/>
      <c r="T184" s="838"/>
      <c r="U184" s="838"/>
      <c r="V184" s="838"/>
      <c r="W184" s="838"/>
      <c r="X184" s="838"/>
      <c r="Y184" s="838"/>
      <c r="Z184" s="838"/>
      <c r="AA184" s="835"/>
    </row>
    <row r="185" spans="1:27">
      <c r="A185" s="838">
        <f>IF(C185="","",COUNTA($C$3:C185))</f>
        <v>183</v>
      </c>
      <c r="B185" s="862" t="s">
        <v>540</v>
      </c>
      <c r="C185" s="838">
        <v>-5.44</v>
      </c>
      <c r="D185" s="838">
        <v>-21.15</v>
      </c>
      <c r="E185" s="838">
        <v>-22.39</v>
      </c>
      <c r="F185" s="838">
        <v>-24.64</v>
      </c>
      <c r="G185" s="838">
        <v>-27.34</v>
      </c>
      <c r="H185" s="838">
        <v>-29.96</v>
      </c>
      <c r="I185" s="838">
        <v>-34.46</v>
      </c>
      <c r="J185" s="838"/>
      <c r="K185" s="838"/>
      <c r="L185" s="838"/>
      <c r="M185" s="838"/>
      <c r="N185" s="838"/>
      <c r="O185" s="838"/>
      <c r="P185" s="838" t="s">
        <v>741</v>
      </c>
      <c r="Q185" s="838" t="s">
        <v>990</v>
      </c>
      <c r="R185" s="838" t="s">
        <v>741</v>
      </c>
      <c r="S185" s="838" t="s">
        <v>990</v>
      </c>
      <c r="T185" s="838" t="s">
        <v>747</v>
      </c>
      <c r="U185" s="838"/>
      <c r="V185" s="838"/>
      <c r="W185" s="838"/>
      <c r="X185" s="838"/>
      <c r="Y185" s="838"/>
      <c r="Z185" s="838"/>
    </row>
    <row r="186" spans="1:27">
      <c r="A186" s="838">
        <f>IF(C186="","",COUNTA($C$3:C186))</f>
        <v>184</v>
      </c>
      <c r="B186" s="862" t="s">
        <v>463</v>
      </c>
      <c r="C186" s="838">
        <v>-5.01</v>
      </c>
      <c r="D186" s="838">
        <v>-20.63</v>
      </c>
      <c r="E186" s="838">
        <v>-22.08</v>
      </c>
      <c r="F186" s="838">
        <v>-22.96</v>
      </c>
      <c r="G186" s="838">
        <v>-25.11</v>
      </c>
      <c r="H186" s="838">
        <v>-25.33</v>
      </c>
      <c r="I186" s="838">
        <v>-30.24</v>
      </c>
      <c r="J186" s="838"/>
      <c r="K186" s="838"/>
      <c r="L186" s="838"/>
      <c r="M186" s="838"/>
      <c r="N186" s="838"/>
      <c r="O186" s="838"/>
      <c r="P186" s="838" t="s">
        <v>741</v>
      </c>
      <c r="Q186" s="838" t="s">
        <v>990</v>
      </c>
      <c r="R186" s="838" t="s">
        <v>741</v>
      </c>
      <c r="S186" s="838" t="s">
        <v>990</v>
      </c>
      <c r="T186" s="838" t="s">
        <v>747</v>
      </c>
      <c r="U186" s="838"/>
      <c r="V186" s="838"/>
      <c r="W186" s="838"/>
      <c r="X186" s="838"/>
      <c r="Y186" s="838"/>
      <c r="Z186" s="838"/>
    </row>
    <row r="187" spans="1:27">
      <c r="A187" s="838">
        <f>IF(C187="","",COUNTA($C$3:C187))</f>
        <v>185</v>
      </c>
      <c r="B187" s="862" t="s">
        <v>697</v>
      </c>
      <c r="C187" s="838">
        <v>-5.63</v>
      </c>
      <c r="D187" s="838">
        <v>-21.06</v>
      </c>
      <c r="E187" s="838">
        <v>-24.03</v>
      </c>
      <c r="F187" s="838">
        <v>-24.68</v>
      </c>
      <c r="G187" s="838">
        <v>-26.83</v>
      </c>
      <c r="H187" s="838">
        <v>-28.16</v>
      </c>
      <c r="I187" s="838">
        <v>-30.08</v>
      </c>
      <c r="J187" s="838"/>
      <c r="K187" s="838"/>
      <c r="L187" s="838"/>
      <c r="M187" s="838"/>
      <c r="N187" s="838"/>
      <c r="O187" s="838"/>
      <c r="P187" s="838" t="s">
        <v>741</v>
      </c>
      <c r="Q187" s="838" t="s">
        <v>990</v>
      </c>
      <c r="R187" s="838" t="s">
        <v>741</v>
      </c>
      <c r="S187" s="838" t="s">
        <v>990</v>
      </c>
      <c r="T187" s="838" t="s">
        <v>747</v>
      </c>
      <c r="U187" s="838"/>
      <c r="V187" s="838"/>
      <c r="W187" s="838"/>
      <c r="X187" s="838"/>
      <c r="Y187" s="838"/>
      <c r="Z187" s="838"/>
      <c r="AA187" s="835" t="s">
        <v>1178</v>
      </c>
    </row>
    <row r="188" spans="1:27">
      <c r="A188" s="838">
        <f>IF(C188="","",COUNTA($C$3:C188))</f>
        <v>186</v>
      </c>
      <c r="B188" s="862" t="s">
        <v>600</v>
      </c>
      <c r="C188" s="838">
        <v>-5.42</v>
      </c>
      <c r="D188" s="838">
        <v>-21.74</v>
      </c>
      <c r="E188" s="838">
        <v>-23.33</v>
      </c>
      <c r="F188" s="838">
        <v>-25.47</v>
      </c>
      <c r="G188" s="838">
        <v>-29.07</v>
      </c>
      <c r="H188" s="838">
        <v>-31.33</v>
      </c>
      <c r="I188" s="838">
        <v>-35.85</v>
      </c>
      <c r="J188" s="838">
        <v>-38.35</v>
      </c>
      <c r="K188" s="838">
        <v>-45.03</v>
      </c>
      <c r="L188" s="838"/>
      <c r="M188" s="838"/>
      <c r="N188" s="838"/>
      <c r="O188" s="838"/>
      <c r="P188" s="838" t="s">
        <v>741</v>
      </c>
      <c r="Q188" s="838" t="s">
        <v>990</v>
      </c>
      <c r="R188" s="838" t="s">
        <v>741</v>
      </c>
      <c r="S188" s="838" t="s">
        <v>990</v>
      </c>
      <c r="T188" s="838" t="s">
        <v>747</v>
      </c>
      <c r="U188" s="838" t="s">
        <v>990</v>
      </c>
      <c r="V188" s="838" t="s">
        <v>747</v>
      </c>
      <c r="W188" s="838"/>
      <c r="X188" s="838"/>
      <c r="Y188" s="838"/>
      <c r="Z188" s="838"/>
    </row>
    <row r="189" spans="1:27">
      <c r="A189" s="838">
        <f>IF(C189="","",COUNTA($C$3:C189))</f>
        <v>187</v>
      </c>
      <c r="B189" s="862" t="s">
        <v>545</v>
      </c>
      <c r="C189" s="838">
        <v>-5.45</v>
      </c>
      <c r="D189" s="838">
        <v>-21.5</v>
      </c>
      <c r="E189" s="838">
        <v>-24.65</v>
      </c>
      <c r="F189" s="838">
        <v>-26.45</v>
      </c>
      <c r="G189" s="838">
        <v>-29.15</v>
      </c>
      <c r="H189" s="838">
        <v>-30.57</v>
      </c>
      <c r="I189" s="838">
        <v>-34.4</v>
      </c>
      <c r="J189" s="838"/>
      <c r="K189" s="838"/>
      <c r="L189" s="838"/>
      <c r="M189" s="838"/>
      <c r="N189" s="838"/>
      <c r="O189" s="838"/>
      <c r="P189" s="838" t="s">
        <v>741</v>
      </c>
      <c r="Q189" s="838" t="s">
        <v>990</v>
      </c>
      <c r="R189" s="838" t="s">
        <v>741</v>
      </c>
      <c r="S189" s="838" t="s">
        <v>990</v>
      </c>
      <c r="T189" s="838" t="s">
        <v>747</v>
      </c>
      <c r="U189" s="838"/>
      <c r="V189" s="838"/>
      <c r="W189" s="838"/>
      <c r="X189" s="838"/>
      <c r="Y189" s="838"/>
      <c r="Z189" s="838"/>
    </row>
    <row r="190" spans="1:27">
      <c r="A190" s="838">
        <f>IF(C190="","",COUNTA($C$3:C190))</f>
        <v>188</v>
      </c>
      <c r="B190" s="862" t="s">
        <v>667</v>
      </c>
      <c r="C190" s="838">
        <v>-5.3019999999999996</v>
      </c>
      <c r="D190" s="838">
        <v>-22.42</v>
      </c>
      <c r="E190" s="838">
        <v>-24.9</v>
      </c>
      <c r="F190" s="838">
        <v>-25.8</v>
      </c>
      <c r="G190" s="838">
        <v>-28.31</v>
      </c>
      <c r="H190" s="838">
        <v>-28.83</v>
      </c>
      <c r="I190" s="838">
        <v>-30.19</v>
      </c>
      <c r="J190" s="838"/>
      <c r="K190" s="838"/>
      <c r="L190" s="838"/>
      <c r="M190" s="838"/>
      <c r="N190" s="838"/>
      <c r="O190" s="838"/>
      <c r="P190" s="838" t="s">
        <v>741</v>
      </c>
      <c r="Q190" s="838" t="s">
        <v>990</v>
      </c>
      <c r="R190" s="838" t="s">
        <v>741</v>
      </c>
      <c r="S190" s="838" t="s">
        <v>990</v>
      </c>
      <c r="T190" s="838" t="s">
        <v>747</v>
      </c>
      <c r="U190" s="838"/>
      <c r="V190" s="838"/>
      <c r="W190" s="838"/>
      <c r="X190" s="838"/>
      <c r="Y190" s="838"/>
      <c r="Z190" s="838"/>
    </row>
    <row r="191" spans="1:27">
      <c r="A191" s="838">
        <f>IF(C191="","",COUNTA($C$3:C191))</f>
        <v>189</v>
      </c>
      <c r="B191" s="862" t="s">
        <v>555</v>
      </c>
      <c r="C191" s="838">
        <v>-5.38</v>
      </c>
      <c r="D191" s="838">
        <v>-21.9</v>
      </c>
      <c r="E191" s="838">
        <v>-23.48</v>
      </c>
      <c r="F191" s="838">
        <v>-25.61</v>
      </c>
      <c r="G191" s="838">
        <v>-28.93</v>
      </c>
      <c r="H191" s="838">
        <v>-31.63</v>
      </c>
      <c r="I191" s="838">
        <v>-34.43</v>
      </c>
      <c r="J191" s="838"/>
      <c r="K191" s="838"/>
      <c r="L191" s="838"/>
      <c r="M191" s="838"/>
      <c r="N191" s="838"/>
      <c r="O191" s="838"/>
      <c r="P191" s="838" t="s">
        <v>741</v>
      </c>
      <c r="Q191" s="838" t="s">
        <v>990</v>
      </c>
      <c r="R191" s="838" t="s">
        <v>741</v>
      </c>
      <c r="S191" s="838" t="s">
        <v>990</v>
      </c>
      <c r="T191" s="838" t="s">
        <v>747</v>
      </c>
      <c r="U191" s="838"/>
      <c r="V191" s="838"/>
      <c r="W191" s="838"/>
      <c r="X191" s="838"/>
      <c r="Y191" s="838"/>
      <c r="Z191" s="838"/>
    </row>
    <row r="192" spans="1:27">
      <c r="A192" s="838">
        <f>IF(C192="","",COUNTA($C$3:C192))</f>
        <v>190</v>
      </c>
      <c r="B192" s="862" t="s">
        <v>615</v>
      </c>
      <c r="C192" s="838">
        <v>-5.4</v>
      </c>
      <c r="D192" s="838">
        <v>-20.85</v>
      </c>
      <c r="E192" s="838">
        <v>-24.5</v>
      </c>
      <c r="F192" s="838">
        <v>-26.75</v>
      </c>
      <c r="G192" s="838">
        <v>-34.1</v>
      </c>
      <c r="H192" s="838">
        <v>-35.6</v>
      </c>
      <c r="I192" s="838">
        <v>-37.92</v>
      </c>
      <c r="J192" s="838">
        <v>-40.35</v>
      </c>
      <c r="K192" s="838">
        <v>-45.11</v>
      </c>
      <c r="L192" s="838"/>
      <c r="M192" s="838"/>
      <c r="N192" s="838"/>
      <c r="O192" s="838"/>
      <c r="P192" s="838" t="s">
        <v>741</v>
      </c>
      <c r="Q192" s="838" t="s">
        <v>990</v>
      </c>
      <c r="R192" s="838" t="s">
        <v>741</v>
      </c>
      <c r="S192" s="838" t="s">
        <v>990</v>
      </c>
      <c r="T192" s="838" t="s">
        <v>747</v>
      </c>
      <c r="U192" s="838" t="s">
        <v>990</v>
      </c>
      <c r="V192" s="838" t="s">
        <v>747</v>
      </c>
      <c r="W192" s="838"/>
      <c r="X192" s="838"/>
      <c r="Y192" s="838"/>
      <c r="Z192" s="838"/>
    </row>
    <row r="193" spans="1:26">
      <c r="A193" s="838">
        <f>IF(C193="","",COUNTA($C$3:C193))</f>
        <v>191</v>
      </c>
      <c r="B193" s="862" t="s">
        <v>560</v>
      </c>
      <c r="C193" s="838">
        <v>-5.4720000000000004</v>
      </c>
      <c r="D193" s="838">
        <v>-20.62</v>
      </c>
      <c r="E193" s="838">
        <v>-24.17</v>
      </c>
      <c r="F193" s="838">
        <v>-24.67</v>
      </c>
      <c r="G193" s="838">
        <v>-27.8</v>
      </c>
      <c r="H193" s="838">
        <v>-28.99</v>
      </c>
      <c r="I193" s="838">
        <v>-30.58</v>
      </c>
      <c r="J193" s="838">
        <v>-32.29</v>
      </c>
      <c r="K193" s="838">
        <v>-34.520000000000003</v>
      </c>
      <c r="L193" s="838"/>
      <c r="M193" s="838"/>
      <c r="N193" s="838"/>
      <c r="O193" s="838"/>
      <c r="P193" s="838" t="s">
        <v>741</v>
      </c>
      <c r="Q193" s="838" t="s">
        <v>990</v>
      </c>
      <c r="R193" s="838" t="s">
        <v>741</v>
      </c>
      <c r="S193" s="838" t="s">
        <v>990</v>
      </c>
      <c r="T193" s="838" t="s">
        <v>747</v>
      </c>
      <c r="U193" s="838" t="s">
        <v>990</v>
      </c>
      <c r="V193" s="838" t="s">
        <v>747</v>
      </c>
      <c r="W193" s="838"/>
      <c r="X193" s="838"/>
      <c r="Y193" s="838"/>
      <c r="Z193" s="838"/>
    </row>
    <row r="194" spans="1:26">
      <c r="A194" s="838">
        <f>IF(C194="","",COUNTA($C$3:C194))</f>
        <v>192</v>
      </c>
      <c r="B194" s="862" t="s">
        <v>610</v>
      </c>
      <c r="C194" s="838">
        <v>-5.4219999999999997</v>
      </c>
      <c r="D194" s="838">
        <v>-22.54</v>
      </c>
      <c r="E194" s="838">
        <v>-26.24</v>
      </c>
      <c r="F194" s="838">
        <v>-27.52</v>
      </c>
      <c r="G194" s="838">
        <v>-34.97</v>
      </c>
      <c r="H194" s="838">
        <v>-37.65</v>
      </c>
      <c r="I194" s="838">
        <v>-38.630000000000003</v>
      </c>
      <c r="J194" s="838">
        <v>-41.57</v>
      </c>
      <c r="K194" s="838">
        <v>-45</v>
      </c>
      <c r="L194" s="838"/>
      <c r="M194" s="838"/>
      <c r="N194" s="838"/>
      <c r="O194" s="838"/>
      <c r="P194" s="838" t="s">
        <v>741</v>
      </c>
      <c r="Q194" s="838" t="s">
        <v>990</v>
      </c>
      <c r="R194" s="838" t="s">
        <v>741</v>
      </c>
      <c r="S194" s="838" t="s">
        <v>990</v>
      </c>
      <c r="T194" s="838" t="s">
        <v>747</v>
      </c>
      <c r="U194" s="838" t="s">
        <v>990</v>
      </c>
      <c r="V194" s="838" t="s">
        <v>747</v>
      </c>
      <c r="W194" s="838"/>
      <c r="X194" s="838"/>
      <c r="Y194" s="838"/>
      <c r="Z194" s="838"/>
    </row>
    <row r="195" spans="1:26">
      <c r="A195" s="838">
        <f>IF(C195="","",COUNTA($C$3:C195))</f>
        <v>193</v>
      </c>
      <c r="B195" s="862" t="s">
        <v>672</v>
      </c>
      <c r="C195" s="838">
        <v>-5.0220000000000002</v>
      </c>
      <c r="D195" s="838">
        <v>-20.43</v>
      </c>
      <c r="E195" s="838">
        <v>-23.24</v>
      </c>
      <c r="F195" s="838">
        <v>-24.15</v>
      </c>
      <c r="G195" s="838">
        <v>-26.76</v>
      </c>
      <c r="H195" s="838">
        <v>-27.33</v>
      </c>
      <c r="I195" s="838">
        <v>-30.04</v>
      </c>
      <c r="J195" s="838"/>
      <c r="K195" s="838"/>
      <c r="L195" s="838"/>
      <c r="M195" s="838"/>
      <c r="N195" s="838"/>
      <c r="O195" s="838"/>
      <c r="P195" s="838" t="s">
        <v>741</v>
      </c>
      <c r="Q195" s="838" t="s">
        <v>990</v>
      </c>
      <c r="R195" s="838" t="s">
        <v>741</v>
      </c>
      <c r="S195" s="838" t="s">
        <v>990</v>
      </c>
      <c r="T195" s="838" t="s">
        <v>747</v>
      </c>
      <c r="U195" s="838"/>
      <c r="V195" s="838"/>
      <c r="W195" s="838"/>
      <c r="X195" s="838"/>
      <c r="Y195" s="838"/>
      <c r="Z195" s="838"/>
    </row>
    <row r="196" spans="1:26">
      <c r="A196" s="838">
        <f>IF(C196="","",COUNTA($C$3:C196))</f>
        <v>194</v>
      </c>
      <c r="B196" s="862" t="s">
        <v>550</v>
      </c>
      <c r="C196" s="838">
        <v>-5.63</v>
      </c>
      <c r="D196" s="838">
        <v>-22.65</v>
      </c>
      <c r="E196" s="838">
        <v>-24.78</v>
      </c>
      <c r="F196" s="838">
        <v>-26.68</v>
      </c>
      <c r="G196" s="838">
        <v>-29.35</v>
      </c>
      <c r="H196" s="838">
        <v>-31.86</v>
      </c>
      <c r="I196" s="838">
        <v>-34.4</v>
      </c>
      <c r="J196" s="838"/>
      <c r="K196" s="838"/>
      <c r="L196" s="838"/>
      <c r="M196" s="838"/>
      <c r="N196" s="838"/>
      <c r="O196" s="838"/>
      <c r="P196" s="838" t="s">
        <v>741</v>
      </c>
      <c r="Q196" s="838" t="s">
        <v>990</v>
      </c>
      <c r="R196" s="838" t="s">
        <v>741</v>
      </c>
      <c r="S196" s="838" t="s">
        <v>990</v>
      </c>
      <c r="T196" s="838" t="s">
        <v>747</v>
      </c>
      <c r="U196" s="838"/>
      <c r="V196" s="838"/>
      <c r="W196" s="838"/>
      <c r="X196" s="838"/>
      <c r="Y196" s="838"/>
      <c r="Z196" s="838"/>
    </row>
    <row r="197" spans="1:26">
      <c r="A197" s="838">
        <f>IF(C197="","",COUNTA($C$3:C197))</f>
        <v>195</v>
      </c>
      <c r="B197" s="862" t="s">
        <v>689</v>
      </c>
      <c r="C197" s="838">
        <v>-5.08</v>
      </c>
      <c r="D197" s="838">
        <v>-21.11</v>
      </c>
      <c r="E197" s="838">
        <v>-24.23</v>
      </c>
      <c r="F197" s="838">
        <v>-25.15</v>
      </c>
      <c r="G197" s="838">
        <v>-27.14</v>
      </c>
      <c r="H197" s="838"/>
      <c r="I197" s="838"/>
      <c r="J197" s="838"/>
      <c r="K197" s="838"/>
      <c r="L197" s="838"/>
      <c r="M197" s="838"/>
      <c r="N197" s="838"/>
      <c r="O197" s="838"/>
      <c r="P197" s="838" t="s">
        <v>741</v>
      </c>
      <c r="Q197" s="838" t="s">
        <v>990</v>
      </c>
      <c r="R197" s="838" t="s">
        <v>745</v>
      </c>
      <c r="S197" s="838"/>
      <c r="T197" s="838"/>
      <c r="U197" s="838"/>
      <c r="V197" s="838"/>
      <c r="W197" s="838"/>
      <c r="X197" s="838"/>
      <c r="Y197" s="838"/>
      <c r="Z197" s="838"/>
    </row>
    <row r="198" spans="1:26">
      <c r="A198" s="838">
        <f>IF(C198="","",COUNTA($C$3:C198))</f>
        <v>196</v>
      </c>
      <c r="B198" s="862" t="s">
        <v>684</v>
      </c>
      <c r="C198" s="838">
        <v>-4.9320000000000004</v>
      </c>
      <c r="D198" s="838">
        <v>-20.88</v>
      </c>
      <c r="E198" s="838">
        <v>-23</v>
      </c>
      <c r="F198" s="838">
        <v>-24.15</v>
      </c>
      <c r="G198" s="838">
        <v>-27.09</v>
      </c>
      <c r="H198" s="838"/>
      <c r="I198" s="838"/>
      <c r="J198" s="838"/>
      <c r="K198" s="838"/>
      <c r="L198" s="838"/>
      <c r="M198" s="838"/>
      <c r="N198" s="838"/>
      <c r="O198" s="838"/>
      <c r="P198" s="838" t="s">
        <v>741</v>
      </c>
      <c r="Q198" s="838" t="s">
        <v>990</v>
      </c>
      <c r="R198" s="838" t="s">
        <v>745</v>
      </c>
      <c r="S198" s="838"/>
      <c r="T198" s="838"/>
      <c r="U198" s="838"/>
      <c r="V198" s="838"/>
      <c r="W198" s="838"/>
      <c r="X198" s="838"/>
      <c r="Y198" s="838"/>
      <c r="Z198" s="838"/>
    </row>
    <row r="199" spans="1:26">
      <c r="A199" s="838">
        <f>IF(C199="","",COUNTA($C$3:C199))</f>
        <v>197</v>
      </c>
      <c r="B199" s="862" t="s">
        <v>621</v>
      </c>
      <c r="C199" s="838">
        <v>-5.12</v>
      </c>
      <c r="D199" s="838">
        <v>-21.34</v>
      </c>
      <c r="E199" s="838">
        <v>-23.97</v>
      </c>
      <c r="F199" s="838">
        <v>-25.04</v>
      </c>
      <c r="G199" s="838">
        <v>-27.38</v>
      </c>
      <c r="H199" s="838">
        <v>-28.33</v>
      </c>
      <c r="I199" s="838">
        <v>-29.99</v>
      </c>
      <c r="J199" s="838">
        <v>-30.34</v>
      </c>
      <c r="K199" s="838">
        <v>-32.840000000000003</v>
      </c>
      <c r="L199" s="838"/>
      <c r="M199" s="838"/>
      <c r="N199" s="838"/>
      <c r="O199" s="838"/>
      <c r="P199" s="838" t="s">
        <v>741</v>
      </c>
      <c r="Q199" s="838" t="s">
        <v>990</v>
      </c>
      <c r="R199" s="838" t="s">
        <v>741</v>
      </c>
      <c r="S199" s="838" t="s">
        <v>990</v>
      </c>
      <c r="T199" s="838" t="s">
        <v>747</v>
      </c>
      <c r="U199" s="838" t="s">
        <v>990</v>
      </c>
      <c r="V199" s="838" t="s">
        <v>747</v>
      </c>
      <c r="W199" s="838"/>
      <c r="X199" s="838"/>
      <c r="Y199" s="838"/>
      <c r="Z199" s="838"/>
    </row>
    <row r="200" spans="1:26">
      <c r="A200" s="838">
        <f>IF(C200="","",COUNTA($C$3:C200))</f>
        <v>198</v>
      </c>
      <c r="B200" s="862" t="s">
        <v>513</v>
      </c>
      <c r="C200" s="838">
        <v>-5.54</v>
      </c>
      <c r="D200" s="838">
        <v>-22.55</v>
      </c>
      <c r="E200" s="838">
        <v>-24.79</v>
      </c>
      <c r="F200" s="838">
        <v>-27.54</v>
      </c>
      <c r="G200" s="838">
        <v>-32.85</v>
      </c>
      <c r="H200" s="838"/>
      <c r="I200" s="838"/>
      <c r="J200" s="838"/>
      <c r="K200" s="838"/>
      <c r="L200" s="838"/>
      <c r="M200" s="838"/>
      <c r="N200" s="838"/>
      <c r="O200" s="838"/>
      <c r="P200" s="838" t="s">
        <v>741</v>
      </c>
      <c r="Q200" s="838" t="s">
        <v>990</v>
      </c>
      <c r="R200" s="838" t="s">
        <v>747</v>
      </c>
      <c r="S200" s="838"/>
      <c r="T200" s="838"/>
      <c r="U200" s="838"/>
      <c r="V200" s="838"/>
      <c r="W200" s="838"/>
      <c r="X200" s="838"/>
      <c r="Y200" s="838"/>
      <c r="Z200" s="838"/>
    </row>
    <row r="201" spans="1:26">
      <c r="A201" s="838">
        <f>IF(C201="","",COUNTA($C$3:C201))</f>
        <v>199</v>
      </c>
      <c r="B201" s="862" t="s">
        <v>565</v>
      </c>
      <c r="C201" s="838">
        <v>-5.33</v>
      </c>
      <c r="D201" s="838">
        <v>-21.55</v>
      </c>
      <c r="E201" s="838">
        <v>-25.18</v>
      </c>
      <c r="F201" s="838">
        <v>-27.43</v>
      </c>
      <c r="G201" s="838">
        <v>-29.58</v>
      </c>
      <c r="H201" s="838">
        <v>-31.66</v>
      </c>
      <c r="I201" s="838">
        <v>-34.75</v>
      </c>
      <c r="J201" s="838"/>
      <c r="K201" s="838"/>
      <c r="L201" s="838"/>
      <c r="M201" s="838"/>
      <c r="N201" s="838"/>
      <c r="O201" s="838"/>
      <c r="P201" s="838" t="s">
        <v>741</v>
      </c>
      <c r="Q201" s="838" t="s">
        <v>990</v>
      </c>
      <c r="R201" s="838" t="s">
        <v>741</v>
      </c>
      <c r="S201" s="838" t="s">
        <v>990</v>
      </c>
      <c r="T201" s="838" t="s">
        <v>747</v>
      </c>
      <c r="U201" s="838"/>
      <c r="V201" s="838"/>
      <c r="W201" s="838"/>
      <c r="X201" s="838"/>
      <c r="Y201" s="838"/>
      <c r="Z201" s="838"/>
    </row>
    <row r="202" spans="1:26">
      <c r="A202" s="838">
        <f>IF(C202="","",COUNTA($C$3:C202))</f>
        <v>200</v>
      </c>
      <c r="B202" s="862" t="s">
        <v>508</v>
      </c>
      <c r="C202" s="838">
        <v>-5.52</v>
      </c>
      <c r="D202" s="838">
        <v>-21.43</v>
      </c>
      <c r="E202" s="838">
        <v>-26.07</v>
      </c>
      <c r="F202" s="838">
        <v>-27.82</v>
      </c>
      <c r="G202" s="838">
        <v>-31.401</v>
      </c>
      <c r="H202" s="838"/>
      <c r="I202" s="838"/>
      <c r="J202" s="838"/>
      <c r="K202" s="838"/>
      <c r="L202" s="838"/>
      <c r="M202" s="838"/>
      <c r="N202" s="838"/>
      <c r="O202" s="838"/>
      <c r="P202" s="838" t="s">
        <v>741</v>
      </c>
      <c r="Q202" s="838" t="s">
        <v>990</v>
      </c>
      <c r="R202" s="838" t="s">
        <v>747</v>
      </c>
      <c r="S202" s="838"/>
      <c r="T202" s="838"/>
      <c r="U202" s="838"/>
      <c r="V202" s="838"/>
      <c r="W202" s="838"/>
      <c r="X202" s="838"/>
      <c r="Y202" s="838"/>
      <c r="Z202" s="838"/>
    </row>
    <row r="203" spans="1:26">
      <c r="A203" s="838">
        <f>IF(C203="","",COUNTA($C$3:C203))</f>
        <v>201</v>
      </c>
      <c r="B203" s="862" t="s">
        <v>651</v>
      </c>
      <c r="C203" s="838">
        <v>-4.8499999999999996</v>
      </c>
      <c r="D203" s="838">
        <v>-20.36</v>
      </c>
      <c r="E203" s="838">
        <v>-22.06</v>
      </c>
      <c r="F203" s="838">
        <v>-22.97</v>
      </c>
      <c r="G203" s="838">
        <v>-27.16</v>
      </c>
      <c r="H203" s="838"/>
      <c r="I203" s="838"/>
      <c r="J203" s="838"/>
      <c r="K203" s="838"/>
      <c r="L203" s="838"/>
      <c r="M203" s="838"/>
      <c r="N203" s="838"/>
      <c r="O203" s="838"/>
      <c r="P203" s="838" t="s">
        <v>741</v>
      </c>
      <c r="Q203" s="838" t="s">
        <v>990</v>
      </c>
      <c r="R203" s="838" t="s">
        <v>747</v>
      </c>
      <c r="S203" s="838"/>
      <c r="T203" s="838"/>
      <c r="U203" s="838"/>
      <c r="V203" s="838"/>
      <c r="W203" s="838"/>
      <c r="X203" s="838"/>
      <c r="Y203" s="838"/>
      <c r="Z203" s="838"/>
    </row>
    <row r="204" spans="1:26">
      <c r="A204" s="838">
        <f>IF(C204="","",COUNTA($C$3:C204))</f>
        <v>202</v>
      </c>
      <c r="B204" s="862" t="s">
        <v>620</v>
      </c>
      <c r="C204" s="838">
        <v>-5.2779999999999996</v>
      </c>
      <c r="D204" s="838">
        <v>-23.88</v>
      </c>
      <c r="E204" s="838">
        <v>-25.29</v>
      </c>
      <c r="F204" s="838">
        <v>-27.52</v>
      </c>
      <c r="G204" s="838">
        <v>-29.87</v>
      </c>
      <c r="H204" s="838">
        <v>-32.57</v>
      </c>
      <c r="I204" s="838">
        <v>-35.450000000000003</v>
      </c>
      <c r="J204" s="838">
        <v>-37.19</v>
      </c>
      <c r="K204" s="838">
        <v>-41.91</v>
      </c>
      <c r="L204" s="838"/>
      <c r="M204" s="838"/>
      <c r="N204" s="838"/>
      <c r="O204" s="838"/>
      <c r="P204" s="838" t="s">
        <v>741</v>
      </c>
      <c r="Q204" s="838" t="s">
        <v>990</v>
      </c>
      <c r="R204" s="838" t="s">
        <v>741</v>
      </c>
      <c r="S204" s="838" t="s">
        <v>990</v>
      </c>
      <c r="T204" s="838" t="s">
        <v>747</v>
      </c>
      <c r="U204" s="838" t="s">
        <v>990</v>
      </c>
      <c r="V204" s="838" t="s">
        <v>747</v>
      </c>
      <c r="W204" s="838"/>
      <c r="X204" s="838"/>
      <c r="Y204" s="838"/>
      <c r="Z204" s="838"/>
    </row>
    <row r="205" spans="1:26">
      <c r="A205" s="838">
        <f>IF(C205="","",COUNTA($C$3:C205))</f>
        <v>203</v>
      </c>
      <c r="B205" s="862" t="s">
        <v>503</v>
      </c>
      <c r="C205" s="838">
        <v>-5.7</v>
      </c>
      <c r="D205" s="838">
        <v>-22.65</v>
      </c>
      <c r="E205" s="838">
        <v>-26.85</v>
      </c>
      <c r="F205" s="838">
        <v>-28.61</v>
      </c>
      <c r="G205" s="838">
        <v>-31.55</v>
      </c>
      <c r="H205" s="838"/>
      <c r="I205" s="838"/>
      <c r="J205" s="838"/>
      <c r="K205" s="838"/>
      <c r="L205" s="838"/>
      <c r="M205" s="838"/>
      <c r="N205" s="838"/>
      <c r="O205" s="838"/>
      <c r="P205" s="838" t="s">
        <v>741</v>
      </c>
      <c r="Q205" s="838" t="s">
        <v>990</v>
      </c>
      <c r="R205" s="838" t="s">
        <v>741</v>
      </c>
      <c r="S205" s="838"/>
      <c r="T205" s="838"/>
      <c r="U205" s="838"/>
      <c r="V205" s="838"/>
      <c r="W205" s="838"/>
      <c r="X205" s="838"/>
      <c r="Y205" s="838"/>
      <c r="Z205" s="838"/>
    </row>
    <row r="206" spans="1:26">
      <c r="A206" s="838">
        <f>IF(C206="","",COUNTA($C$3:C206))</f>
        <v>204</v>
      </c>
      <c r="B206" s="862" t="s">
        <v>626</v>
      </c>
      <c r="C206" s="838">
        <v>-4.93</v>
      </c>
      <c r="D206" s="838">
        <v>-21.14</v>
      </c>
      <c r="E206" s="838">
        <v>-26.78</v>
      </c>
      <c r="F206" s="838">
        <v>-29.1</v>
      </c>
      <c r="G206" s="838">
        <v>-32.82</v>
      </c>
      <c r="H206" s="838"/>
      <c r="I206" s="838"/>
      <c r="J206" s="838"/>
      <c r="K206" s="838"/>
      <c r="L206" s="838"/>
      <c r="M206" s="838"/>
      <c r="N206" s="838"/>
      <c r="O206" s="838"/>
      <c r="P206" s="838" t="s">
        <v>741</v>
      </c>
      <c r="Q206" s="838" t="s">
        <v>990</v>
      </c>
      <c r="R206" s="838" t="s">
        <v>745</v>
      </c>
      <c r="S206" s="838"/>
      <c r="T206" s="838"/>
      <c r="U206" s="838"/>
      <c r="V206" s="838"/>
      <c r="W206" s="838"/>
      <c r="X206" s="838"/>
      <c r="Y206" s="838"/>
      <c r="Z206" s="838"/>
    </row>
    <row r="207" spans="1:26">
      <c r="A207" s="838">
        <f>IF(C207="","",COUNTA($C$3:C207))</f>
        <v>205</v>
      </c>
      <c r="B207" s="862" t="s">
        <v>679</v>
      </c>
      <c r="C207" s="838">
        <v>-5.0199999999999996</v>
      </c>
      <c r="D207" s="838">
        <v>-20.77</v>
      </c>
      <c r="E207" s="838">
        <v>-23.94</v>
      </c>
      <c r="F207" s="838">
        <v>-25.22</v>
      </c>
      <c r="G207" s="838">
        <v>-27.11</v>
      </c>
      <c r="H207" s="838"/>
      <c r="I207" s="838"/>
      <c r="J207" s="838"/>
      <c r="K207" s="838"/>
      <c r="L207" s="838"/>
      <c r="M207" s="838"/>
      <c r="N207" s="838"/>
      <c r="O207" s="838"/>
      <c r="P207" s="838" t="s">
        <v>741</v>
      </c>
      <c r="Q207" s="838" t="s">
        <v>990</v>
      </c>
      <c r="R207" s="838" t="s">
        <v>745</v>
      </c>
      <c r="S207" s="838"/>
      <c r="T207" s="838"/>
      <c r="U207" s="838"/>
      <c r="V207" s="838"/>
      <c r="W207" s="838"/>
      <c r="X207" s="838"/>
      <c r="Y207" s="838"/>
      <c r="Z207" s="838"/>
    </row>
    <row r="208" spans="1:26">
      <c r="A208" s="838">
        <f>IF(C208="","",COUNTA($C$3:C208))</f>
        <v>206</v>
      </c>
      <c r="B208" s="862" t="s">
        <v>655</v>
      </c>
      <c r="C208" s="838">
        <v>-5.17</v>
      </c>
      <c r="D208" s="838">
        <v>-20.92</v>
      </c>
      <c r="E208" s="838">
        <v>-24.72</v>
      </c>
      <c r="F208" s="838">
        <v>-27.17</v>
      </c>
      <c r="G208" s="838">
        <v>-31.42</v>
      </c>
      <c r="H208" s="838"/>
      <c r="I208" s="838"/>
      <c r="J208" s="838"/>
      <c r="K208" s="838"/>
      <c r="L208" s="838"/>
      <c r="M208" s="838"/>
      <c r="N208" s="838"/>
      <c r="O208" s="838"/>
      <c r="P208" s="838" t="s">
        <v>741</v>
      </c>
      <c r="Q208" s="838" t="s">
        <v>990</v>
      </c>
      <c r="R208" s="838" t="s">
        <v>747</v>
      </c>
      <c r="S208" s="838"/>
      <c r="T208" s="838"/>
      <c r="U208" s="838"/>
      <c r="V208" s="838"/>
      <c r="W208" s="838"/>
      <c r="X208" s="838"/>
      <c r="Y208" s="838"/>
      <c r="Z208" s="838"/>
    </row>
    <row r="209" spans="1:26">
      <c r="A209" s="838">
        <f>IF(C209="","",COUNTA($C$3:C209))</f>
        <v>207</v>
      </c>
      <c r="B209" s="862" t="s">
        <v>527</v>
      </c>
      <c r="C209" s="838">
        <v>-5.54</v>
      </c>
      <c r="D209" s="838">
        <v>-22.35</v>
      </c>
      <c r="E209" s="838">
        <v>-25.54</v>
      </c>
      <c r="F209" s="838">
        <v>-27.36</v>
      </c>
      <c r="G209" s="838">
        <v>-31.69</v>
      </c>
      <c r="H209" s="838">
        <v>-33.950000000000003</v>
      </c>
      <c r="I209" s="838">
        <v>-35.11</v>
      </c>
      <c r="J209" s="838">
        <v>-36.49</v>
      </c>
      <c r="K209" s="838">
        <v>-41.9</v>
      </c>
      <c r="L209" s="838"/>
      <c r="M209" s="838"/>
      <c r="N209" s="838"/>
      <c r="O209" s="838"/>
      <c r="P209" s="838" t="s">
        <v>741</v>
      </c>
      <c r="Q209" s="838" t="s">
        <v>990</v>
      </c>
      <c r="R209" s="838" t="s">
        <v>741</v>
      </c>
      <c r="S209" s="838" t="s">
        <v>990</v>
      </c>
      <c r="T209" s="838" t="s">
        <v>747</v>
      </c>
      <c r="U209" s="838" t="s">
        <v>990</v>
      </c>
      <c r="V209" s="838" t="s">
        <v>747</v>
      </c>
      <c r="W209" s="838"/>
      <c r="X209" s="838"/>
      <c r="Y209" s="838"/>
      <c r="Z209" s="838"/>
    </row>
    <row r="210" spans="1:26">
      <c r="A210" s="838">
        <f>IF(C210="","",COUNTA($C$3:C210))</f>
        <v>208</v>
      </c>
      <c r="B210" s="862" t="s">
        <v>650</v>
      </c>
      <c r="C210" s="838">
        <v>-5.3250000000000002</v>
      </c>
      <c r="D210" s="838">
        <v>-21.47</v>
      </c>
      <c r="E210" s="838">
        <v>-25.03</v>
      </c>
      <c r="F210" s="838">
        <v>-26.14</v>
      </c>
      <c r="G210" s="838">
        <v>-29.03</v>
      </c>
      <c r="H210" s="838"/>
      <c r="I210" s="838"/>
      <c r="J210" s="838"/>
      <c r="K210" s="838"/>
      <c r="L210" s="838"/>
      <c r="M210" s="838"/>
      <c r="N210" s="838"/>
      <c r="O210" s="838"/>
      <c r="P210" s="838" t="s">
        <v>741</v>
      </c>
      <c r="Q210" s="838" t="s">
        <v>990</v>
      </c>
      <c r="R210" s="838" t="s">
        <v>747</v>
      </c>
      <c r="S210" s="838"/>
      <c r="T210" s="838"/>
      <c r="U210" s="838"/>
      <c r="V210" s="838"/>
      <c r="W210" s="838"/>
      <c r="X210" s="838"/>
      <c r="Y210" s="838"/>
      <c r="Z210" s="838"/>
    </row>
    <row r="211" spans="1:26">
      <c r="A211" s="838">
        <f>IF(C211="","",COUNTA($C$3:C211))</f>
        <v>209</v>
      </c>
      <c r="B211" s="862" t="s">
        <v>625</v>
      </c>
      <c r="C211" s="838">
        <v>-5.1619999999999999</v>
      </c>
      <c r="D211" s="838">
        <v>-22.81</v>
      </c>
      <c r="E211" s="838">
        <v>-25.98</v>
      </c>
      <c r="F211" s="838">
        <v>-26.77</v>
      </c>
      <c r="G211" s="838">
        <v>-29.93</v>
      </c>
      <c r="H211" s="838">
        <v>-31.29</v>
      </c>
      <c r="I211" s="838">
        <v>-35.770000000000003</v>
      </c>
      <c r="J211" s="838">
        <v>-36.29</v>
      </c>
      <c r="K211" s="838">
        <v>-41.91</v>
      </c>
      <c r="L211" s="838"/>
      <c r="M211" s="838"/>
      <c r="N211" s="838"/>
      <c r="O211" s="838"/>
      <c r="P211" s="838" t="s">
        <v>741</v>
      </c>
      <c r="Q211" s="838" t="s">
        <v>990</v>
      </c>
      <c r="R211" s="838" t="s">
        <v>741</v>
      </c>
      <c r="S211" s="838" t="s">
        <v>990</v>
      </c>
      <c r="T211" s="838" t="s">
        <v>747</v>
      </c>
      <c r="U211" s="838" t="s">
        <v>990</v>
      </c>
      <c r="V211" s="838" t="s">
        <v>747</v>
      </c>
      <c r="W211" s="838"/>
      <c r="X211" s="838"/>
      <c r="Y211" s="838"/>
      <c r="Z211" s="838"/>
    </row>
    <row r="212" spans="1:26">
      <c r="A212" s="838">
        <f>IF(C212="","",COUNTA($C$3:C212))</f>
        <v>210</v>
      </c>
      <c r="B212" s="862" t="s">
        <v>630</v>
      </c>
      <c r="C212" s="838">
        <v>-5.0599999999999996</v>
      </c>
      <c r="D212" s="838">
        <v>-22.78</v>
      </c>
      <c r="E212" s="838">
        <v>-26.48</v>
      </c>
      <c r="F212" s="838">
        <v>-28.37</v>
      </c>
      <c r="G212" s="838">
        <v>-31.98</v>
      </c>
      <c r="H212" s="838">
        <v>-35.19</v>
      </c>
      <c r="I212" s="838">
        <v>-38.479999999999997</v>
      </c>
      <c r="J212" s="838">
        <v>-40.07</v>
      </c>
      <c r="K212" s="838">
        <v>41.94</v>
      </c>
      <c r="L212" s="838"/>
      <c r="M212" s="838"/>
      <c r="N212" s="838"/>
      <c r="O212" s="838"/>
      <c r="P212" s="838" t="s">
        <v>741</v>
      </c>
      <c r="Q212" s="838" t="s">
        <v>990</v>
      </c>
      <c r="R212" s="838" t="s">
        <v>741</v>
      </c>
      <c r="S212" s="838" t="s">
        <v>990</v>
      </c>
      <c r="T212" s="838" t="s">
        <v>747</v>
      </c>
      <c r="U212" s="838" t="s">
        <v>990</v>
      </c>
      <c r="V212" s="838" t="s">
        <v>747</v>
      </c>
      <c r="W212" s="838"/>
      <c r="X212" s="838"/>
      <c r="Y212" s="838"/>
      <c r="Z212" s="838"/>
    </row>
    <row r="213" spans="1:26">
      <c r="A213" s="838">
        <f>IF(C213="","",COUNTA($C$3:C213))</f>
        <v>211</v>
      </c>
      <c r="B213" s="862" t="s">
        <v>646</v>
      </c>
      <c r="C213" s="838">
        <v>-4.74</v>
      </c>
      <c r="D213" s="838">
        <v>-22.36</v>
      </c>
      <c r="E213" s="838">
        <v>-23.97</v>
      </c>
      <c r="F213" s="838">
        <v>-24.85</v>
      </c>
      <c r="G213" s="838">
        <v>-26.01</v>
      </c>
      <c r="H213" s="838"/>
      <c r="I213" s="838"/>
      <c r="J213" s="838"/>
      <c r="K213" s="838"/>
      <c r="L213" s="838"/>
      <c r="M213" s="838"/>
      <c r="N213" s="838"/>
      <c r="O213" s="838"/>
      <c r="P213" s="838" t="s">
        <v>741</v>
      </c>
      <c r="Q213" s="838" t="s">
        <v>990</v>
      </c>
      <c r="R213" s="838" t="s">
        <v>747</v>
      </c>
      <c r="S213" s="838"/>
      <c r="T213" s="838"/>
      <c r="U213" s="838"/>
      <c r="V213" s="838"/>
      <c r="W213" s="838"/>
      <c r="X213" s="838"/>
      <c r="Y213" s="838"/>
      <c r="Z213" s="838"/>
    </row>
    <row r="214" spans="1:26">
      <c r="A214" s="838">
        <f>IF(C214="","",COUNTA($C$3:C214))</f>
        <v>212</v>
      </c>
      <c r="B214" s="862" t="s">
        <v>575</v>
      </c>
      <c r="C214" s="838">
        <v>-5.1950000000000003</v>
      </c>
      <c r="D214" s="838">
        <v>-21.35</v>
      </c>
      <c r="E214" s="838">
        <v>-24.53</v>
      </c>
      <c r="F214" s="838">
        <v>-25.41</v>
      </c>
      <c r="G214" s="838">
        <v>-28.62</v>
      </c>
      <c r="H214" s="838">
        <v>-29.37</v>
      </c>
      <c r="I214" s="838">
        <v>-32.020000000000003</v>
      </c>
      <c r="J214" s="838">
        <v>-32.43</v>
      </c>
      <c r="K214" s="838">
        <v>-34.71</v>
      </c>
      <c r="L214" s="838"/>
      <c r="M214" s="838"/>
      <c r="N214" s="838"/>
      <c r="O214" s="838"/>
      <c r="P214" s="838" t="s">
        <v>741</v>
      </c>
      <c r="Q214" s="838" t="s">
        <v>990</v>
      </c>
      <c r="R214" s="838" t="s">
        <v>741</v>
      </c>
      <c r="S214" s="838" t="s">
        <v>990</v>
      </c>
      <c r="T214" s="838" t="s">
        <v>747</v>
      </c>
      <c r="U214" s="838" t="s">
        <v>990</v>
      </c>
      <c r="V214" s="838" t="s">
        <v>747</v>
      </c>
      <c r="W214" s="838"/>
      <c r="X214" s="838"/>
      <c r="Y214" s="838"/>
      <c r="Z214" s="838"/>
    </row>
    <row r="215" spans="1:26">
      <c r="A215" s="838">
        <f>IF(C215="","",COUNTA($C$3:C215))</f>
        <v>213</v>
      </c>
      <c r="B215" s="862" t="s">
        <v>640</v>
      </c>
      <c r="C215" s="838">
        <v>-5.25</v>
      </c>
      <c r="D215" s="838">
        <v>-19.77</v>
      </c>
      <c r="E215" s="838">
        <v>-23.66</v>
      </c>
      <c r="F215" s="838">
        <v>-25.02</v>
      </c>
      <c r="G215" s="838">
        <v>-30</v>
      </c>
      <c r="H215" s="838"/>
      <c r="I215" s="838"/>
      <c r="J215" s="838"/>
      <c r="K215" s="838"/>
      <c r="L215" s="838"/>
      <c r="M215" s="838"/>
      <c r="N215" s="838"/>
      <c r="O215" s="838"/>
      <c r="P215" s="838" t="s">
        <v>741</v>
      </c>
      <c r="Q215" s="838" t="s">
        <v>990</v>
      </c>
      <c r="R215" s="838" t="s">
        <v>747</v>
      </c>
      <c r="S215" s="838"/>
      <c r="T215" s="838"/>
      <c r="U215" s="838"/>
      <c r="V215" s="838"/>
      <c r="W215" s="838"/>
      <c r="X215" s="838"/>
      <c r="Y215" s="838"/>
      <c r="Z215" s="838"/>
    </row>
    <row r="216" spans="1:26">
      <c r="A216" s="838">
        <f>IF(C216="","",COUNTA($C$3:C216))</f>
        <v>214</v>
      </c>
      <c r="B216" s="862" t="s">
        <v>645</v>
      </c>
      <c r="C216" s="838">
        <v>-5.55</v>
      </c>
      <c r="D216" s="838">
        <v>-21.52</v>
      </c>
      <c r="E216" s="838">
        <v>-23.87</v>
      </c>
      <c r="F216" s="838">
        <v>-24.96</v>
      </c>
      <c r="G216" s="838">
        <v>-29.12</v>
      </c>
      <c r="H216" s="838"/>
      <c r="I216" s="838"/>
      <c r="J216" s="838"/>
      <c r="K216" s="838"/>
      <c r="L216" s="838"/>
      <c r="M216" s="838"/>
      <c r="N216" s="838"/>
      <c r="O216" s="838"/>
      <c r="P216" s="838" t="s">
        <v>741</v>
      </c>
      <c r="Q216" s="838" t="s">
        <v>990</v>
      </c>
      <c r="R216" s="838" t="s">
        <v>747</v>
      </c>
      <c r="S216" s="838"/>
      <c r="T216" s="838"/>
      <c r="U216" s="838"/>
      <c r="V216" s="838"/>
      <c r="W216" s="838"/>
      <c r="X216" s="838"/>
      <c r="Y216" s="838"/>
      <c r="Z216" s="838"/>
    </row>
    <row r="217" spans="1:26">
      <c r="A217" s="838">
        <f>IF(C217="","",COUNTA($C$3:C217))</f>
        <v>215</v>
      </c>
      <c r="B217" s="862" t="s">
        <v>636</v>
      </c>
      <c r="C217" s="838">
        <v>-5.04</v>
      </c>
      <c r="D217" s="838">
        <v>-20.29</v>
      </c>
      <c r="E217" s="838">
        <v>-24.31</v>
      </c>
      <c r="F217" s="838">
        <v>-25.46</v>
      </c>
      <c r="G217" s="838">
        <v>-28.41</v>
      </c>
      <c r="H217" s="838"/>
      <c r="I217" s="838"/>
      <c r="J217" s="838"/>
      <c r="K217" s="838"/>
      <c r="L217" s="838"/>
      <c r="M217" s="838"/>
      <c r="N217" s="838"/>
      <c r="O217" s="838"/>
      <c r="P217" s="838" t="s">
        <v>741</v>
      </c>
      <c r="Q217" s="838" t="s">
        <v>990</v>
      </c>
      <c r="R217" s="838" t="s">
        <v>747</v>
      </c>
      <c r="S217" s="838"/>
      <c r="T217" s="838"/>
      <c r="U217" s="838"/>
      <c r="V217" s="838"/>
      <c r="W217" s="838"/>
      <c r="X217" s="838"/>
      <c r="Y217" s="838"/>
      <c r="Z217" s="838"/>
    </row>
    <row r="218" spans="1:26">
      <c r="A218" s="838">
        <f>IF(C218="","",COUNTA($C$3:C218))</f>
        <v>216</v>
      </c>
      <c r="B218" s="862" t="s">
        <v>641</v>
      </c>
      <c r="C218" s="838">
        <v>-4.9400000000000004</v>
      </c>
      <c r="D218" s="838">
        <v>-19.91</v>
      </c>
      <c r="E218" s="838">
        <v>-23.02</v>
      </c>
      <c r="F218" s="838">
        <v>-23.95</v>
      </c>
      <c r="G218" s="838">
        <v>-28.43</v>
      </c>
      <c r="H218" s="838"/>
      <c r="I218" s="838"/>
      <c r="J218" s="838"/>
      <c r="K218" s="838"/>
      <c r="L218" s="838"/>
      <c r="M218" s="838"/>
      <c r="N218" s="838"/>
      <c r="O218" s="838"/>
      <c r="P218" s="838" t="s">
        <v>741</v>
      </c>
      <c r="Q218" s="838" t="s">
        <v>990</v>
      </c>
      <c r="R218" s="838" t="s">
        <v>747</v>
      </c>
      <c r="S218" s="838"/>
      <c r="T218" s="838"/>
      <c r="U218" s="838"/>
      <c r="V218" s="838"/>
      <c r="W218" s="838"/>
      <c r="X218" s="838"/>
      <c r="Y218" s="838"/>
      <c r="Z218" s="838"/>
    </row>
    <row r="219" spans="1:26">
      <c r="A219" s="838" t="str">
        <f>IF(C219="","",COUNTA($C$3:C219))</f>
        <v/>
      </c>
      <c r="B219" s="862"/>
      <c r="C219" s="838"/>
      <c r="D219" s="838"/>
      <c r="E219" s="838"/>
      <c r="F219" s="838"/>
      <c r="G219" s="838"/>
      <c r="H219" s="838"/>
      <c r="I219" s="838"/>
      <c r="J219" s="838"/>
      <c r="K219" s="838"/>
      <c r="L219" s="838"/>
      <c r="M219" s="838"/>
      <c r="N219" s="838"/>
      <c r="O219" s="838"/>
      <c r="P219" s="838"/>
      <c r="Q219" s="838"/>
      <c r="R219" s="838"/>
      <c r="S219" s="838"/>
      <c r="T219" s="838"/>
      <c r="U219" s="838"/>
      <c r="V219" s="838"/>
      <c r="W219" s="838"/>
      <c r="X219" s="838"/>
      <c r="Y219" s="838"/>
      <c r="Z219" s="838"/>
    </row>
    <row r="220" spans="1:26">
      <c r="A220" s="838" t="str">
        <f>IF(C220="","",COUNTA($C$3:C220))</f>
        <v/>
      </c>
      <c r="B220" s="862"/>
      <c r="C220" s="838"/>
      <c r="D220" s="838"/>
      <c r="E220" s="838"/>
      <c r="F220" s="838"/>
      <c r="G220" s="838"/>
      <c r="H220" s="838"/>
      <c r="I220" s="838"/>
      <c r="J220" s="838"/>
      <c r="K220" s="838"/>
      <c r="L220" s="838"/>
      <c r="M220" s="838"/>
      <c r="N220" s="838"/>
      <c r="O220" s="838"/>
      <c r="P220" s="838"/>
      <c r="Q220" s="838"/>
      <c r="R220" s="838"/>
      <c r="S220" s="838"/>
      <c r="T220" s="838"/>
      <c r="U220" s="838"/>
      <c r="V220" s="838"/>
      <c r="W220" s="838"/>
      <c r="X220" s="838"/>
      <c r="Y220" s="838"/>
      <c r="Z220" s="838"/>
    </row>
    <row r="221" spans="1:26">
      <c r="A221" s="838" t="str">
        <f>IF(C221="","",COUNTA($C$3:C221))</f>
        <v/>
      </c>
      <c r="B221" s="862"/>
      <c r="C221" s="838"/>
      <c r="D221" s="838"/>
      <c r="E221" s="838"/>
      <c r="F221" s="838"/>
      <c r="G221" s="838"/>
      <c r="H221" s="838"/>
      <c r="I221" s="838"/>
      <c r="J221" s="838"/>
      <c r="K221" s="838"/>
      <c r="L221" s="838"/>
      <c r="M221" s="838"/>
      <c r="N221" s="838"/>
      <c r="O221" s="838"/>
      <c r="P221" s="838"/>
      <c r="Q221" s="838"/>
      <c r="R221" s="838"/>
      <c r="S221" s="838"/>
      <c r="T221" s="838"/>
      <c r="U221" s="838"/>
      <c r="V221" s="838"/>
      <c r="W221" s="838"/>
      <c r="X221" s="838"/>
      <c r="Y221" s="838"/>
      <c r="Z221" s="838"/>
    </row>
    <row r="222" spans="1:26">
      <c r="A222" s="838" t="str">
        <f>IF(C222="","",COUNTA($C$3:C222))</f>
        <v/>
      </c>
      <c r="B222" s="862"/>
      <c r="C222" s="838"/>
      <c r="D222" s="838"/>
      <c r="E222" s="838"/>
      <c r="F222" s="838"/>
      <c r="G222" s="838"/>
      <c r="H222" s="838"/>
      <c r="I222" s="838"/>
      <c r="J222" s="838"/>
      <c r="K222" s="838"/>
      <c r="L222" s="838"/>
      <c r="M222" s="838"/>
      <c r="N222" s="838"/>
      <c r="O222" s="838"/>
      <c r="P222" s="838"/>
      <c r="Q222" s="838"/>
      <c r="R222" s="838"/>
      <c r="S222" s="838"/>
      <c r="T222" s="838"/>
      <c r="U222" s="838"/>
      <c r="V222" s="838"/>
      <c r="W222" s="838"/>
      <c r="X222" s="838"/>
      <c r="Y222" s="838"/>
      <c r="Z222" s="838"/>
    </row>
    <row r="223" spans="1:26">
      <c r="A223" s="838" t="str">
        <f>IF(C223="","",COUNTA($C$3:C223))</f>
        <v/>
      </c>
      <c r="B223" s="862"/>
      <c r="C223" s="838"/>
      <c r="D223" s="838"/>
      <c r="E223" s="838"/>
      <c r="F223" s="838"/>
      <c r="G223" s="838"/>
      <c r="H223" s="838"/>
      <c r="I223" s="838"/>
      <c r="J223" s="838"/>
      <c r="K223" s="838"/>
      <c r="L223" s="838"/>
      <c r="M223" s="838"/>
      <c r="N223" s="838"/>
      <c r="O223" s="838"/>
      <c r="P223" s="838"/>
      <c r="Q223" s="838"/>
      <c r="R223" s="838"/>
      <c r="S223" s="838"/>
      <c r="T223" s="838"/>
      <c r="U223" s="838"/>
      <c r="V223" s="838"/>
      <c r="W223" s="838"/>
      <c r="X223" s="838"/>
      <c r="Y223" s="838"/>
      <c r="Z223" s="838"/>
    </row>
    <row r="224" spans="1:26">
      <c r="A224" s="838" t="str">
        <f>IF(C224="","",COUNTA($C$3:C224))</f>
        <v/>
      </c>
      <c r="B224" s="862"/>
      <c r="C224" s="838"/>
      <c r="D224" s="838"/>
      <c r="E224" s="838"/>
      <c r="F224" s="838"/>
      <c r="G224" s="838"/>
      <c r="H224" s="838"/>
      <c r="I224" s="838"/>
      <c r="J224" s="838"/>
      <c r="K224" s="838"/>
      <c r="L224" s="838"/>
      <c r="M224" s="838"/>
      <c r="N224" s="838"/>
      <c r="O224" s="838"/>
      <c r="P224" s="838"/>
      <c r="Q224" s="838"/>
      <c r="R224" s="838"/>
      <c r="S224" s="838"/>
      <c r="T224" s="838"/>
      <c r="U224" s="838"/>
      <c r="V224" s="838"/>
      <c r="W224" s="838"/>
      <c r="X224" s="838"/>
      <c r="Y224" s="838"/>
      <c r="Z224" s="838"/>
    </row>
    <row r="225" spans="1:26">
      <c r="A225" s="838" t="str">
        <f>IF(C225="","",COUNTA($C$3:C225))</f>
        <v/>
      </c>
      <c r="B225" s="862"/>
      <c r="C225" s="838"/>
      <c r="D225" s="838"/>
      <c r="E225" s="838"/>
      <c r="F225" s="838"/>
      <c r="G225" s="838"/>
      <c r="H225" s="838"/>
      <c r="I225" s="838"/>
      <c r="J225" s="838"/>
      <c r="K225" s="838"/>
      <c r="L225" s="838"/>
      <c r="M225" s="838"/>
      <c r="N225" s="838"/>
      <c r="O225" s="838"/>
      <c r="P225" s="838"/>
      <c r="Q225" s="838"/>
      <c r="R225" s="838"/>
      <c r="S225" s="838"/>
      <c r="T225" s="838"/>
      <c r="U225" s="838"/>
      <c r="V225" s="838"/>
      <c r="W225" s="838"/>
      <c r="X225" s="838"/>
      <c r="Y225" s="838"/>
      <c r="Z225" s="838"/>
    </row>
    <row r="226" spans="1:26">
      <c r="A226" s="838" t="str">
        <f>IF(C226="","",COUNTA($C$3:C226))</f>
        <v/>
      </c>
      <c r="B226" s="862"/>
      <c r="C226" s="838"/>
      <c r="D226" s="838"/>
      <c r="E226" s="838"/>
      <c r="F226" s="838"/>
      <c r="G226" s="838"/>
      <c r="H226" s="838"/>
      <c r="I226" s="838"/>
      <c r="J226" s="838"/>
      <c r="K226" s="838"/>
      <c r="L226" s="838"/>
      <c r="M226" s="838"/>
      <c r="N226" s="838"/>
      <c r="O226" s="838"/>
      <c r="P226" s="838"/>
      <c r="Q226" s="838"/>
      <c r="R226" s="838"/>
      <c r="S226" s="838"/>
      <c r="T226" s="838"/>
      <c r="U226" s="838"/>
      <c r="V226" s="838"/>
      <c r="W226" s="838"/>
      <c r="X226" s="838"/>
      <c r="Y226" s="838"/>
      <c r="Z226" s="838"/>
    </row>
    <row r="227" spans="1:26">
      <c r="A227" s="838" t="str">
        <f>IF(C227="","",COUNTA($C$3:C227))</f>
        <v/>
      </c>
      <c r="B227" s="862"/>
      <c r="C227" s="838"/>
      <c r="D227" s="838"/>
      <c r="E227" s="838"/>
      <c r="F227" s="838"/>
      <c r="G227" s="838"/>
      <c r="H227" s="838"/>
      <c r="I227" s="838"/>
      <c r="J227" s="838"/>
      <c r="K227" s="838"/>
      <c r="L227" s="838"/>
      <c r="M227" s="838"/>
      <c r="N227" s="838"/>
      <c r="O227" s="838"/>
      <c r="P227" s="838"/>
      <c r="Q227" s="838"/>
      <c r="R227" s="838"/>
      <c r="S227" s="838"/>
      <c r="T227" s="838"/>
      <c r="U227" s="838"/>
      <c r="V227" s="838"/>
      <c r="W227" s="838"/>
      <c r="X227" s="838"/>
      <c r="Y227" s="838"/>
      <c r="Z227" s="838"/>
    </row>
    <row r="228" spans="1:26">
      <c r="A228" s="838" t="str">
        <f>IF(C228="","",COUNTA($C$3:C228))</f>
        <v/>
      </c>
      <c r="B228" s="862"/>
      <c r="C228" s="838"/>
      <c r="D228" s="838"/>
      <c r="E228" s="838"/>
      <c r="F228" s="838"/>
      <c r="G228" s="838"/>
      <c r="H228" s="838"/>
      <c r="I228" s="838"/>
      <c r="J228" s="838"/>
      <c r="K228" s="838"/>
      <c r="L228" s="838"/>
      <c r="M228" s="838"/>
      <c r="N228" s="838"/>
      <c r="O228" s="838"/>
      <c r="P228" s="838"/>
      <c r="Q228" s="838"/>
      <c r="R228" s="838"/>
      <c r="S228" s="838"/>
      <c r="T228" s="838"/>
      <c r="U228" s="838"/>
      <c r="V228" s="838"/>
      <c r="W228" s="838"/>
      <c r="X228" s="838"/>
      <c r="Y228" s="838"/>
      <c r="Z228" s="838"/>
    </row>
    <row r="229" spans="1:26">
      <c r="A229" s="838" t="str">
        <f>IF(C229="","",COUNTA($C$3:C229))</f>
        <v/>
      </c>
      <c r="B229" s="862"/>
      <c r="C229" s="838"/>
      <c r="D229" s="838"/>
      <c r="E229" s="838"/>
      <c r="F229" s="838"/>
      <c r="G229" s="838"/>
      <c r="H229" s="838"/>
      <c r="I229" s="838"/>
      <c r="J229" s="838"/>
      <c r="K229" s="838"/>
      <c r="L229" s="838"/>
      <c r="M229" s="838"/>
      <c r="N229" s="838"/>
      <c r="O229" s="838"/>
      <c r="P229" s="838"/>
      <c r="Q229" s="838"/>
      <c r="R229" s="838"/>
      <c r="S229" s="838"/>
      <c r="T229" s="838"/>
      <c r="U229" s="838"/>
      <c r="V229" s="838"/>
      <c r="W229" s="838"/>
      <c r="X229" s="838"/>
      <c r="Y229" s="838"/>
      <c r="Z229" s="838"/>
    </row>
    <row r="230" spans="1:26">
      <c r="A230" s="838" t="str">
        <f>IF(C230="","",COUNTA($C$3:C230))</f>
        <v/>
      </c>
      <c r="B230" s="862"/>
      <c r="C230" s="838"/>
      <c r="D230" s="838"/>
      <c r="E230" s="838"/>
      <c r="F230" s="838"/>
      <c r="G230" s="838"/>
      <c r="H230" s="838"/>
      <c r="I230" s="838"/>
      <c r="J230" s="838"/>
      <c r="K230" s="838"/>
      <c r="L230" s="838"/>
      <c r="M230" s="838"/>
      <c r="N230" s="838"/>
      <c r="O230" s="838"/>
      <c r="P230" s="838"/>
      <c r="Q230" s="838"/>
      <c r="R230" s="838"/>
      <c r="S230" s="838"/>
      <c r="T230" s="838"/>
      <c r="U230" s="838"/>
      <c r="V230" s="838"/>
      <c r="W230" s="838"/>
      <c r="X230" s="838"/>
      <c r="Y230" s="838"/>
      <c r="Z230" s="838"/>
    </row>
    <row r="231" spans="1:26">
      <c r="A231" s="838" t="str">
        <f>IF(C231="","",COUNTA($C$3:C231))</f>
        <v/>
      </c>
      <c r="B231" s="862"/>
      <c r="C231" s="838"/>
      <c r="D231" s="838"/>
      <c r="E231" s="838"/>
      <c r="F231" s="838"/>
      <c r="G231" s="838"/>
      <c r="H231" s="838"/>
      <c r="I231" s="838"/>
      <c r="J231" s="838"/>
      <c r="K231" s="838"/>
      <c r="L231" s="838"/>
      <c r="M231" s="838"/>
      <c r="N231" s="838"/>
      <c r="O231" s="838"/>
      <c r="P231" s="838"/>
      <c r="Q231" s="838"/>
      <c r="R231" s="838"/>
      <c r="S231" s="838"/>
      <c r="T231" s="838"/>
      <c r="U231" s="838"/>
      <c r="V231" s="838"/>
      <c r="W231" s="838"/>
      <c r="X231" s="838"/>
      <c r="Y231" s="838"/>
      <c r="Z231" s="838"/>
    </row>
    <row r="232" spans="1:26">
      <c r="A232" s="838" t="str">
        <f>IF(C232="","",COUNTA($C$3:C232))</f>
        <v/>
      </c>
      <c r="B232" s="862"/>
      <c r="C232" s="838"/>
      <c r="D232" s="838"/>
      <c r="E232" s="838"/>
      <c r="F232" s="838"/>
      <c r="G232" s="838"/>
      <c r="H232" s="838"/>
      <c r="I232" s="838"/>
      <c r="J232" s="838"/>
      <c r="K232" s="838"/>
      <c r="L232" s="838"/>
      <c r="M232" s="838"/>
      <c r="N232" s="838"/>
      <c r="O232" s="838"/>
      <c r="P232" s="838"/>
      <c r="Q232" s="838"/>
      <c r="R232" s="838"/>
      <c r="S232" s="838"/>
      <c r="T232" s="838"/>
      <c r="U232" s="838"/>
      <c r="V232" s="838"/>
      <c r="W232" s="838"/>
      <c r="X232" s="838"/>
      <c r="Y232" s="838"/>
      <c r="Z232" s="838"/>
    </row>
    <row r="233" spans="1:26">
      <c r="A233" s="838" t="str">
        <f>IF(C233="","",COUNTA($C$3:C233))</f>
        <v/>
      </c>
      <c r="B233" s="862"/>
      <c r="C233" s="838"/>
      <c r="D233" s="838"/>
      <c r="E233" s="838"/>
      <c r="F233" s="838"/>
      <c r="G233" s="838"/>
      <c r="H233" s="838"/>
      <c r="I233" s="838"/>
      <c r="J233" s="838"/>
      <c r="K233" s="838"/>
      <c r="L233" s="838"/>
      <c r="M233" s="838"/>
      <c r="N233" s="838"/>
      <c r="O233" s="838"/>
      <c r="P233" s="838"/>
      <c r="Q233" s="838"/>
      <c r="R233" s="838"/>
      <c r="S233" s="838"/>
      <c r="T233" s="838"/>
      <c r="U233" s="838"/>
      <c r="V233" s="838"/>
      <c r="W233" s="838"/>
      <c r="X233" s="838"/>
      <c r="Y233" s="838"/>
      <c r="Z233" s="838"/>
    </row>
    <row r="234" spans="1:26">
      <c r="A234" s="838" t="str">
        <f>IF(C234="","",COUNTA($C$3:C234))</f>
        <v/>
      </c>
      <c r="B234" s="862"/>
      <c r="C234" s="838"/>
      <c r="D234" s="838"/>
      <c r="E234" s="838"/>
      <c r="F234" s="838"/>
      <c r="G234" s="838"/>
      <c r="H234" s="838"/>
      <c r="I234" s="838"/>
      <c r="J234" s="838"/>
      <c r="K234" s="838"/>
      <c r="L234" s="838"/>
      <c r="M234" s="838"/>
      <c r="N234" s="838"/>
      <c r="O234" s="838"/>
      <c r="P234" s="838"/>
      <c r="Q234" s="838"/>
      <c r="R234" s="838"/>
      <c r="S234" s="838"/>
      <c r="T234" s="838"/>
      <c r="U234" s="838"/>
      <c r="V234" s="838"/>
      <c r="W234" s="838"/>
      <c r="X234" s="838"/>
      <c r="Y234" s="838"/>
      <c r="Z234" s="838"/>
    </row>
    <row r="235" spans="1:26">
      <c r="A235" s="838" t="str">
        <f>IF(C235="","",COUNTA($C$3:C235))</f>
        <v/>
      </c>
      <c r="B235" s="862"/>
      <c r="C235" s="838"/>
      <c r="D235" s="838"/>
      <c r="E235" s="838"/>
      <c r="F235" s="838"/>
      <c r="G235" s="838"/>
      <c r="H235" s="838"/>
      <c r="I235" s="838"/>
      <c r="J235" s="838"/>
      <c r="K235" s="838"/>
      <c r="L235" s="838"/>
      <c r="M235" s="838"/>
      <c r="N235" s="838"/>
      <c r="O235" s="838"/>
      <c r="P235" s="838"/>
      <c r="Q235" s="838"/>
      <c r="R235" s="838"/>
      <c r="S235" s="838"/>
      <c r="T235" s="838"/>
      <c r="U235" s="838"/>
      <c r="V235" s="838"/>
      <c r="W235" s="838"/>
      <c r="X235" s="838"/>
      <c r="Y235" s="838"/>
      <c r="Z235" s="838"/>
    </row>
    <row r="236" spans="1:26">
      <c r="A236" s="838" t="str">
        <f>IF(C236="","",COUNTA($C$3:C236))</f>
        <v/>
      </c>
      <c r="B236" s="862"/>
      <c r="C236" s="838"/>
      <c r="D236" s="838"/>
      <c r="E236" s="838"/>
      <c r="F236" s="838"/>
      <c r="G236" s="838"/>
      <c r="H236" s="838"/>
      <c r="I236" s="838"/>
      <c r="J236" s="838"/>
      <c r="K236" s="838"/>
      <c r="L236" s="838"/>
      <c r="M236" s="838"/>
      <c r="N236" s="838"/>
      <c r="O236" s="838"/>
      <c r="P236" s="838"/>
      <c r="Q236" s="838"/>
      <c r="R236" s="838"/>
      <c r="S236" s="838"/>
      <c r="T236" s="838"/>
      <c r="U236" s="838"/>
      <c r="V236" s="838"/>
      <c r="W236" s="838"/>
      <c r="X236" s="838"/>
      <c r="Y236" s="838"/>
      <c r="Z236" s="838"/>
    </row>
    <row r="237" spans="1:26">
      <c r="A237" s="838" t="str">
        <f>IF(C237="","",COUNTA($C$3:C237))</f>
        <v/>
      </c>
      <c r="B237" s="862"/>
      <c r="C237" s="838"/>
      <c r="D237" s="838"/>
      <c r="E237" s="838"/>
      <c r="F237" s="838"/>
      <c r="G237" s="838"/>
      <c r="H237" s="838"/>
      <c r="I237" s="838"/>
      <c r="J237" s="838"/>
      <c r="K237" s="838"/>
      <c r="L237" s="838"/>
      <c r="M237" s="838"/>
      <c r="N237" s="838"/>
      <c r="O237" s="838"/>
      <c r="P237" s="838"/>
      <c r="Q237" s="838"/>
      <c r="R237" s="838"/>
      <c r="S237" s="838"/>
      <c r="T237" s="838"/>
      <c r="U237" s="838"/>
      <c r="V237" s="838"/>
      <c r="W237" s="838"/>
      <c r="X237" s="838"/>
      <c r="Y237" s="838"/>
      <c r="Z237" s="838"/>
    </row>
    <row r="238" spans="1:26">
      <c r="A238" s="838" t="str">
        <f>IF(C238="","",COUNTA($C$3:C238))</f>
        <v/>
      </c>
      <c r="B238" s="862"/>
      <c r="C238" s="838"/>
      <c r="D238" s="838"/>
      <c r="E238" s="838"/>
      <c r="F238" s="838"/>
      <c r="G238" s="838"/>
      <c r="H238" s="838"/>
      <c r="I238" s="838"/>
      <c r="J238" s="838"/>
      <c r="K238" s="838"/>
      <c r="L238" s="838"/>
      <c r="M238" s="838"/>
      <c r="N238" s="838"/>
      <c r="O238" s="838"/>
      <c r="P238" s="838"/>
      <c r="Q238" s="838"/>
      <c r="R238" s="838"/>
      <c r="S238" s="838"/>
      <c r="T238" s="838"/>
      <c r="U238" s="838"/>
      <c r="V238" s="838"/>
      <c r="W238" s="838"/>
      <c r="X238" s="838"/>
      <c r="Y238" s="838"/>
      <c r="Z238" s="838"/>
    </row>
    <row r="239" spans="1:26">
      <c r="A239" s="838" t="str">
        <f>IF(C239="","",COUNTA($C$3:C239))</f>
        <v/>
      </c>
      <c r="B239" s="862"/>
      <c r="C239" s="838"/>
      <c r="D239" s="838"/>
      <c r="E239" s="838"/>
      <c r="F239" s="838"/>
      <c r="G239" s="838"/>
      <c r="H239" s="838"/>
      <c r="I239" s="838"/>
      <c r="J239" s="838"/>
      <c r="K239" s="838"/>
      <c r="L239" s="838"/>
      <c r="M239" s="838"/>
      <c r="N239" s="838"/>
      <c r="O239" s="838"/>
      <c r="P239" s="838"/>
      <c r="Q239" s="838"/>
      <c r="R239" s="838"/>
      <c r="S239" s="838"/>
      <c r="T239" s="838"/>
      <c r="U239" s="838"/>
      <c r="V239" s="838"/>
      <c r="W239" s="838"/>
      <c r="X239" s="838"/>
      <c r="Y239" s="838"/>
      <c r="Z239" s="838"/>
    </row>
    <row r="240" spans="1:26">
      <c r="A240" s="838" t="str">
        <f>IF(C240="","",COUNTA($C$3:C240))</f>
        <v/>
      </c>
      <c r="B240" s="862"/>
      <c r="C240" s="838"/>
      <c r="D240" s="838"/>
      <c r="E240" s="838"/>
      <c r="F240" s="838"/>
      <c r="G240" s="838"/>
      <c r="H240" s="838"/>
      <c r="I240" s="838"/>
      <c r="J240" s="838"/>
      <c r="K240" s="838"/>
      <c r="L240" s="838"/>
      <c r="M240" s="838"/>
      <c r="N240" s="838"/>
      <c r="O240" s="838"/>
      <c r="P240" s="838"/>
      <c r="Q240" s="838"/>
      <c r="R240" s="838"/>
      <c r="S240" s="838"/>
      <c r="T240" s="838"/>
      <c r="U240" s="838"/>
      <c r="V240" s="838"/>
      <c r="W240" s="838"/>
      <c r="X240" s="838"/>
      <c r="Y240" s="838"/>
      <c r="Z240" s="838"/>
    </row>
    <row r="241" spans="1:26">
      <c r="A241" s="838" t="str">
        <f>IF(C241="","",COUNTA($C$3:C241))</f>
        <v/>
      </c>
      <c r="B241" s="862"/>
      <c r="C241" s="838"/>
      <c r="D241" s="838"/>
      <c r="E241" s="838"/>
      <c r="F241" s="838"/>
      <c r="G241" s="838"/>
      <c r="H241" s="838"/>
      <c r="I241" s="838"/>
      <c r="J241" s="838"/>
      <c r="K241" s="838"/>
      <c r="L241" s="838"/>
      <c r="M241" s="838"/>
      <c r="N241" s="838"/>
      <c r="O241" s="838"/>
      <c r="P241" s="838"/>
      <c r="Q241" s="838"/>
      <c r="R241" s="838"/>
      <c r="S241" s="838"/>
      <c r="T241" s="838"/>
      <c r="U241" s="838"/>
      <c r="V241" s="838"/>
      <c r="W241" s="838"/>
      <c r="X241" s="838"/>
      <c r="Y241" s="838"/>
      <c r="Z241" s="838"/>
    </row>
    <row r="242" spans="1:26">
      <c r="A242" s="838" t="str">
        <f>IF(C242="","",COUNTA($C$3:C242))</f>
        <v/>
      </c>
      <c r="B242" s="862"/>
      <c r="C242" s="838"/>
      <c r="D242" s="838"/>
      <c r="E242" s="838"/>
      <c r="F242" s="838"/>
      <c r="G242" s="838"/>
      <c r="H242" s="838"/>
      <c r="I242" s="838"/>
      <c r="J242" s="838"/>
      <c r="K242" s="838"/>
      <c r="L242" s="838"/>
      <c r="M242" s="838"/>
      <c r="N242" s="838"/>
      <c r="O242" s="838"/>
      <c r="P242" s="838"/>
      <c r="Q242" s="838"/>
      <c r="R242" s="838"/>
      <c r="S242" s="838"/>
      <c r="T242" s="838"/>
      <c r="U242" s="838"/>
      <c r="V242" s="838"/>
      <c r="W242" s="838"/>
      <c r="X242" s="838"/>
      <c r="Y242" s="838"/>
      <c r="Z242" s="838"/>
    </row>
    <row r="243" spans="1:26">
      <c r="A243" s="838" t="str">
        <f>IF(C243="","",COUNTA($C$3:C243))</f>
        <v/>
      </c>
      <c r="B243" s="862"/>
      <c r="C243" s="838"/>
      <c r="D243" s="838"/>
      <c r="E243" s="838"/>
      <c r="F243" s="838"/>
      <c r="G243" s="838"/>
      <c r="H243" s="838"/>
      <c r="I243" s="838"/>
      <c r="J243" s="838"/>
      <c r="K243" s="838"/>
      <c r="L243" s="838"/>
      <c r="M243" s="838"/>
      <c r="N243" s="838"/>
      <c r="O243" s="838"/>
      <c r="P243" s="838"/>
      <c r="Q243" s="838"/>
      <c r="R243" s="838"/>
      <c r="S243" s="838"/>
      <c r="T243" s="838"/>
      <c r="U243" s="838"/>
      <c r="V243" s="838"/>
      <c r="W243" s="838"/>
      <c r="X243" s="838"/>
      <c r="Y243" s="838"/>
      <c r="Z243" s="838"/>
    </row>
    <row r="244" spans="1:26">
      <c r="A244" s="838" t="str">
        <f>IF(C244="","",COUNTA($C$3:C244))</f>
        <v/>
      </c>
      <c r="B244" s="862"/>
      <c r="C244" s="838"/>
      <c r="D244" s="838"/>
      <c r="E244" s="838"/>
      <c r="F244" s="838"/>
      <c r="G244" s="838"/>
      <c r="H244" s="838"/>
      <c r="I244" s="838"/>
      <c r="J244" s="838"/>
      <c r="K244" s="838"/>
      <c r="L244" s="838"/>
      <c r="M244" s="838"/>
      <c r="N244" s="838"/>
      <c r="O244" s="838"/>
      <c r="P244" s="838"/>
      <c r="Q244" s="838"/>
      <c r="R244" s="838"/>
      <c r="S244" s="838"/>
      <c r="T244" s="838"/>
      <c r="U244" s="838"/>
      <c r="V244" s="838"/>
      <c r="W244" s="838"/>
      <c r="X244" s="838"/>
      <c r="Y244" s="838"/>
      <c r="Z244" s="838"/>
    </row>
    <row r="245" spans="1:26">
      <c r="A245" s="838" t="str">
        <f>IF(C245="","",COUNTA($C$3:C245))</f>
        <v/>
      </c>
      <c r="B245" s="862"/>
      <c r="C245" s="838"/>
      <c r="D245" s="838"/>
      <c r="E245" s="838"/>
      <c r="F245" s="838"/>
      <c r="G245" s="838"/>
      <c r="H245" s="838"/>
      <c r="I245" s="838"/>
      <c r="J245" s="838"/>
      <c r="K245" s="838"/>
      <c r="L245" s="838"/>
      <c r="M245" s="838"/>
      <c r="N245" s="838"/>
      <c r="O245" s="838"/>
      <c r="P245" s="838"/>
      <c r="Q245" s="838"/>
      <c r="R245" s="838"/>
      <c r="S245" s="838"/>
      <c r="T245" s="838"/>
      <c r="U245" s="838"/>
      <c r="V245" s="838"/>
      <c r="W245" s="838"/>
      <c r="X245" s="838"/>
      <c r="Y245" s="838"/>
      <c r="Z245" s="838"/>
    </row>
    <row r="246" spans="1:26">
      <c r="A246" s="838" t="str">
        <f>IF(C246="","",COUNTA($C$3:C246))</f>
        <v/>
      </c>
      <c r="B246" s="862"/>
      <c r="C246" s="838"/>
      <c r="D246" s="838"/>
      <c r="E246" s="838"/>
      <c r="F246" s="838"/>
      <c r="G246" s="838"/>
      <c r="H246" s="838"/>
      <c r="I246" s="838"/>
      <c r="J246" s="838"/>
      <c r="K246" s="838"/>
      <c r="L246" s="838"/>
      <c r="M246" s="838"/>
      <c r="N246" s="838"/>
      <c r="O246" s="838"/>
      <c r="P246" s="838"/>
      <c r="Q246" s="838"/>
      <c r="R246" s="838"/>
      <c r="S246" s="838"/>
      <c r="T246" s="838"/>
      <c r="U246" s="838"/>
      <c r="V246" s="838"/>
      <c r="W246" s="838"/>
      <c r="X246" s="838"/>
      <c r="Y246" s="838"/>
      <c r="Z246" s="838"/>
    </row>
    <row r="247" spans="1:26">
      <c r="A247" s="838" t="str">
        <f>IF(C247="","",COUNTA($C$3:C247))</f>
        <v/>
      </c>
      <c r="B247" s="862"/>
      <c r="C247" s="838"/>
      <c r="D247" s="838"/>
      <c r="E247" s="838"/>
      <c r="F247" s="838"/>
      <c r="G247" s="838"/>
      <c r="H247" s="838"/>
      <c r="I247" s="838"/>
      <c r="J247" s="838"/>
      <c r="K247" s="838"/>
      <c r="L247" s="838"/>
      <c r="M247" s="838"/>
      <c r="N247" s="838"/>
      <c r="O247" s="838"/>
      <c r="P247" s="838"/>
      <c r="Q247" s="838"/>
      <c r="R247" s="838"/>
      <c r="S247" s="838"/>
      <c r="T247" s="838"/>
      <c r="U247" s="838"/>
      <c r="V247" s="838"/>
      <c r="W247" s="838"/>
      <c r="X247" s="838"/>
      <c r="Y247" s="838"/>
      <c r="Z247" s="838"/>
    </row>
    <row r="248" spans="1:26">
      <c r="A248" s="838" t="str">
        <f>IF(C248="","",COUNTA($C$3:C248))</f>
        <v/>
      </c>
      <c r="B248" s="862"/>
      <c r="C248" s="838"/>
      <c r="D248" s="838"/>
      <c r="E248" s="838"/>
      <c r="F248" s="838"/>
      <c r="G248" s="838"/>
      <c r="H248" s="838"/>
      <c r="I248" s="838"/>
      <c r="J248" s="838"/>
      <c r="K248" s="838"/>
      <c r="L248" s="838"/>
      <c r="M248" s="838"/>
      <c r="N248" s="838"/>
      <c r="O248" s="838"/>
      <c r="P248" s="838"/>
      <c r="Q248" s="838"/>
      <c r="R248" s="838"/>
      <c r="S248" s="838"/>
      <c r="T248" s="838"/>
      <c r="U248" s="838"/>
      <c r="V248" s="838"/>
      <c r="W248" s="838"/>
      <c r="X248" s="838"/>
      <c r="Y248" s="838"/>
      <c r="Z248" s="838"/>
    </row>
    <row r="249" spans="1:26">
      <c r="A249" s="838" t="str">
        <f>IF(C249="","",COUNTA($C$3:C249))</f>
        <v/>
      </c>
      <c r="B249" s="862"/>
      <c r="C249" s="838"/>
      <c r="D249" s="838"/>
      <c r="E249" s="838"/>
      <c r="F249" s="838"/>
      <c r="G249" s="838"/>
      <c r="H249" s="838"/>
      <c r="I249" s="838"/>
      <c r="J249" s="838"/>
      <c r="K249" s="838"/>
      <c r="L249" s="838"/>
      <c r="M249" s="838"/>
      <c r="N249" s="838"/>
      <c r="O249" s="838"/>
      <c r="P249" s="838"/>
      <c r="Q249" s="838"/>
      <c r="R249" s="838"/>
      <c r="S249" s="838"/>
      <c r="T249" s="838"/>
      <c r="U249" s="838"/>
      <c r="V249" s="838"/>
      <c r="W249" s="838"/>
      <c r="X249" s="838"/>
      <c r="Y249" s="838"/>
      <c r="Z249" s="838"/>
    </row>
    <row r="250" spans="1:26">
      <c r="A250" s="838" t="str">
        <f>IF(C250="","",COUNTA($C$3:C250))</f>
        <v/>
      </c>
      <c r="B250" s="862"/>
      <c r="C250" s="838"/>
      <c r="D250" s="838"/>
      <c r="E250" s="838"/>
      <c r="F250" s="838"/>
      <c r="G250" s="838"/>
      <c r="H250" s="838"/>
      <c r="I250" s="838"/>
      <c r="J250" s="838"/>
      <c r="K250" s="838"/>
      <c r="L250" s="838"/>
      <c r="M250" s="838"/>
      <c r="N250" s="838"/>
      <c r="O250" s="838"/>
      <c r="P250" s="838"/>
      <c r="Q250" s="838"/>
      <c r="R250" s="838"/>
      <c r="S250" s="838"/>
      <c r="T250" s="838"/>
      <c r="U250" s="838"/>
      <c r="V250" s="838"/>
      <c r="W250" s="838"/>
      <c r="X250" s="838"/>
      <c r="Y250" s="838"/>
      <c r="Z250" s="838"/>
    </row>
    <row r="251" spans="1:26">
      <c r="A251" s="838" t="str">
        <f>IF(C251="","",COUNTA($C$3:C251))</f>
        <v/>
      </c>
      <c r="B251" s="862"/>
      <c r="C251" s="838"/>
      <c r="D251" s="838"/>
      <c r="E251" s="838"/>
      <c r="F251" s="838"/>
      <c r="G251" s="838"/>
      <c r="H251" s="838"/>
      <c r="I251" s="838"/>
      <c r="J251" s="838"/>
      <c r="K251" s="838"/>
      <c r="L251" s="838"/>
      <c r="M251" s="838"/>
      <c r="N251" s="838"/>
      <c r="O251" s="838"/>
      <c r="P251" s="838"/>
      <c r="Q251" s="838"/>
      <c r="R251" s="838"/>
      <c r="S251" s="838"/>
      <c r="T251" s="838"/>
      <c r="U251" s="838"/>
      <c r="V251" s="838"/>
      <c r="W251" s="838"/>
      <c r="X251" s="838"/>
      <c r="Y251" s="838"/>
      <c r="Z251" s="838"/>
    </row>
    <row r="252" spans="1:26">
      <c r="A252" s="838" t="str">
        <f>IF(C252="","",COUNTA($C$3:C252))</f>
        <v/>
      </c>
      <c r="B252" s="862"/>
      <c r="C252" s="838"/>
      <c r="D252" s="838"/>
      <c r="E252" s="838"/>
      <c r="F252" s="838"/>
      <c r="G252" s="838"/>
      <c r="H252" s="838"/>
      <c r="I252" s="838"/>
      <c r="J252" s="838"/>
      <c r="K252" s="838"/>
      <c r="L252" s="838"/>
      <c r="M252" s="838"/>
      <c r="N252" s="838"/>
      <c r="O252" s="838"/>
      <c r="P252" s="838"/>
      <c r="Q252" s="838"/>
      <c r="R252" s="838"/>
      <c r="S252" s="838"/>
      <c r="T252" s="838"/>
      <c r="U252" s="838"/>
      <c r="V252" s="838"/>
      <c r="W252" s="838"/>
      <c r="X252" s="838"/>
      <c r="Y252" s="838"/>
      <c r="Z252" s="838"/>
    </row>
    <row r="253" spans="1:26">
      <c r="A253" s="838" t="str">
        <f>IF(C253="","",COUNTA($C$3:C253))</f>
        <v/>
      </c>
      <c r="B253" s="862"/>
      <c r="C253" s="838"/>
      <c r="D253" s="838"/>
      <c r="E253" s="838"/>
      <c r="F253" s="838"/>
      <c r="G253" s="838"/>
      <c r="H253" s="838"/>
      <c r="I253" s="838"/>
      <c r="J253" s="838"/>
      <c r="K253" s="838"/>
      <c r="L253" s="838"/>
      <c r="M253" s="838"/>
      <c r="N253" s="838"/>
      <c r="O253" s="838"/>
      <c r="P253" s="838"/>
      <c r="Q253" s="838"/>
      <c r="R253" s="838"/>
      <c r="S253" s="838"/>
      <c r="T253" s="838"/>
      <c r="U253" s="838"/>
      <c r="V253" s="838"/>
      <c r="W253" s="838"/>
      <c r="X253" s="838"/>
      <c r="Y253" s="838"/>
      <c r="Z253" s="838"/>
    </row>
    <row r="254" spans="1:26">
      <c r="A254" s="838" t="str">
        <f>IF(C254="","",COUNTA($C$3:C254))</f>
        <v/>
      </c>
      <c r="B254" s="862"/>
      <c r="C254" s="838"/>
      <c r="D254" s="838"/>
      <c r="E254" s="838"/>
      <c r="F254" s="838"/>
      <c r="G254" s="838"/>
      <c r="H254" s="838"/>
      <c r="I254" s="838"/>
      <c r="J254" s="838"/>
      <c r="K254" s="838"/>
      <c r="L254" s="838"/>
      <c r="M254" s="838"/>
      <c r="N254" s="838"/>
      <c r="O254" s="838"/>
      <c r="P254" s="838"/>
      <c r="Q254" s="838"/>
      <c r="R254" s="838"/>
      <c r="S254" s="838"/>
      <c r="T254" s="838"/>
      <c r="U254" s="838"/>
      <c r="V254" s="838"/>
      <c r="W254" s="838"/>
      <c r="X254" s="838"/>
      <c r="Y254" s="838"/>
      <c r="Z254" s="838"/>
    </row>
    <row r="255" spans="1:26">
      <c r="A255" s="838" t="str">
        <f>IF(C255="","",COUNTA($C$3:C255))</f>
        <v/>
      </c>
      <c r="B255" s="862"/>
      <c r="C255" s="838"/>
      <c r="D255" s="838"/>
      <c r="E255" s="838"/>
      <c r="F255" s="838"/>
      <c r="G255" s="838"/>
      <c r="H255" s="838"/>
      <c r="I255" s="838"/>
      <c r="J255" s="838"/>
      <c r="K255" s="838"/>
      <c r="L255" s="838"/>
      <c r="M255" s="838"/>
      <c r="N255" s="838"/>
      <c r="O255" s="838"/>
      <c r="P255" s="838"/>
      <c r="Q255" s="838"/>
      <c r="R255" s="838"/>
      <c r="S255" s="838"/>
      <c r="T255" s="838"/>
      <c r="U255" s="838"/>
      <c r="V255" s="838"/>
      <c r="W255" s="838"/>
      <c r="X255" s="838"/>
      <c r="Y255" s="838"/>
      <c r="Z255" s="838"/>
    </row>
    <row r="256" spans="1:26">
      <c r="A256" s="838" t="str">
        <f>IF(C256="","",COUNTA($C$3:C256))</f>
        <v/>
      </c>
      <c r="B256" s="862"/>
      <c r="C256" s="838"/>
      <c r="D256" s="838"/>
      <c r="E256" s="838"/>
      <c r="F256" s="838"/>
      <c r="G256" s="838"/>
      <c r="H256" s="838"/>
      <c r="I256" s="838"/>
      <c r="J256" s="838"/>
      <c r="K256" s="838"/>
      <c r="L256" s="838"/>
      <c r="M256" s="838"/>
      <c r="N256" s="838"/>
      <c r="O256" s="838"/>
      <c r="P256" s="838"/>
      <c r="Q256" s="838"/>
      <c r="R256" s="838"/>
      <c r="S256" s="838"/>
      <c r="T256" s="838"/>
      <c r="U256" s="838"/>
      <c r="V256" s="838"/>
      <c r="W256" s="838"/>
      <c r="X256" s="838"/>
      <c r="Y256" s="838"/>
      <c r="Z256" s="838"/>
    </row>
    <row r="257" spans="1:26">
      <c r="A257" s="838" t="str">
        <f>IF(C257="","",COUNTA($C$3:C257))</f>
        <v/>
      </c>
      <c r="B257" s="862"/>
      <c r="C257" s="838"/>
      <c r="D257" s="838"/>
      <c r="E257" s="838"/>
      <c r="F257" s="838"/>
      <c r="G257" s="838"/>
      <c r="H257" s="838"/>
      <c r="I257" s="838"/>
      <c r="J257" s="838"/>
      <c r="K257" s="838"/>
      <c r="L257" s="838"/>
      <c r="M257" s="838"/>
      <c r="N257" s="838"/>
      <c r="O257" s="838"/>
      <c r="P257" s="838"/>
      <c r="Q257" s="838"/>
      <c r="R257" s="838"/>
      <c r="S257" s="838"/>
      <c r="T257" s="838"/>
      <c r="U257" s="838"/>
      <c r="V257" s="838"/>
      <c r="W257" s="838"/>
      <c r="X257" s="838"/>
      <c r="Y257" s="838"/>
      <c r="Z257" s="838"/>
    </row>
    <row r="258" spans="1:26">
      <c r="A258" s="838" t="str">
        <f>IF(C258="","",COUNTA($C$3:C258))</f>
        <v/>
      </c>
      <c r="B258" s="862"/>
      <c r="C258" s="838"/>
      <c r="D258" s="838"/>
      <c r="E258" s="838"/>
      <c r="F258" s="838"/>
      <c r="G258" s="838"/>
      <c r="H258" s="838"/>
      <c r="I258" s="838"/>
      <c r="J258" s="838"/>
      <c r="K258" s="838"/>
      <c r="L258" s="838"/>
      <c r="M258" s="838"/>
      <c r="N258" s="838"/>
      <c r="O258" s="838"/>
      <c r="P258" s="838"/>
      <c r="Q258" s="838"/>
      <c r="R258" s="838"/>
      <c r="S258" s="838"/>
      <c r="T258" s="838"/>
      <c r="U258" s="838"/>
      <c r="V258" s="838"/>
      <c r="W258" s="838"/>
      <c r="X258" s="838"/>
      <c r="Y258" s="838"/>
      <c r="Z258" s="838"/>
    </row>
    <row r="259" spans="1:26">
      <c r="A259" s="838" t="str">
        <f>IF(C259="","",COUNTA($C$3:C259))</f>
        <v/>
      </c>
      <c r="B259" s="862"/>
      <c r="C259" s="838"/>
      <c r="D259" s="838"/>
      <c r="E259" s="838"/>
      <c r="F259" s="838"/>
      <c r="G259" s="838"/>
      <c r="H259" s="838"/>
      <c r="I259" s="838"/>
      <c r="J259" s="838"/>
      <c r="K259" s="838"/>
      <c r="L259" s="838"/>
      <c r="M259" s="838"/>
      <c r="N259" s="838"/>
      <c r="O259" s="838"/>
      <c r="P259" s="838"/>
      <c r="Q259" s="838"/>
      <c r="R259" s="838"/>
      <c r="S259" s="838"/>
      <c r="T259" s="838"/>
      <c r="U259" s="838"/>
      <c r="V259" s="838"/>
      <c r="W259" s="838"/>
      <c r="X259" s="838"/>
      <c r="Y259" s="838"/>
      <c r="Z259" s="838"/>
    </row>
    <row r="260" spans="1:26">
      <c r="A260" s="838" t="str">
        <f>IF(C260="","",COUNTA($C$3:C260))</f>
        <v/>
      </c>
      <c r="B260" s="862"/>
      <c r="C260" s="838"/>
      <c r="D260" s="838"/>
      <c r="E260" s="838"/>
      <c r="F260" s="838"/>
      <c r="G260" s="838"/>
      <c r="H260" s="838"/>
      <c r="I260" s="838"/>
      <c r="J260" s="838"/>
      <c r="K260" s="838"/>
      <c r="L260" s="838"/>
      <c r="M260" s="838"/>
      <c r="N260" s="838"/>
      <c r="O260" s="838"/>
      <c r="P260" s="838"/>
      <c r="Q260" s="838"/>
      <c r="R260" s="838"/>
      <c r="S260" s="838"/>
      <c r="T260" s="838"/>
      <c r="U260" s="838"/>
      <c r="V260" s="838"/>
      <c r="W260" s="838"/>
      <c r="X260" s="838"/>
      <c r="Y260" s="838"/>
      <c r="Z260" s="838"/>
    </row>
    <row r="261" spans="1:26">
      <c r="A261" s="838" t="str">
        <f>IF(C261="","",COUNTA($C$3:C261))</f>
        <v/>
      </c>
      <c r="B261" s="862"/>
      <c r="C261" s="838"/>
      <c r="D261" s="838"/>
      <c r="E261" s="838"/>
      <c r="F261" s="838"/>
      <c r="G261" s="838"/>
      <c r="H261" s="838"/>
      <c r="I261" s="838"/>
      <c r="J261" s="838"/>
      <c r="K261" s="838"/>
      <c r="L261" s="838"/>
      <c r="M261" s="838"/>
      <c r="N261" s="838"/>
      <c r="O261" s="838"/>
      <c r="P261" s="838"/>
      <c r="Q261" s="838"/>
      <c r="R261" s="838"/>
      <c r="S261" s="838"/>
      <c r="T261" s="838"/>
      <c r="U261" s="838"/>
      <c r="V261" s="838"/>
      <c r="W261" s="838"/>
      <c r="X261" s="838"/>
      <c r="Y261" s="838"/>
      <c r="Z261" s="838"/>
    </row>
    <row r="262" spans="1:26">
      <c r="A262" s="838" t="str">
        <f>IF(C262="","",COUNTA($C$3:C262))</f>
        <v/>
      </c>
      <c r="B262" s="862"/>
      <c r="C262" s="838"/>
      <c r="D262" s="838"/>
      <c r="E262" s="838"/>
      <c r="F262" s="838"/>
      <c r="G262" s="838"/>
      <c r="H262" s="838"/>
      <c r="I262" s="838"/>
      <c r="J262" s="838"/>
      <c r="K262" s="838"/>
      <c r="L262" s="838"/>
      <c r="M262" s="838"/>
      <c r="N262" s="838"/>
      <c r="O262" s="838"/>
      <c r="P262" s="838"/>
      <c r="Q262" s="838"/>
      <c r="R262" s="838"/>
      <c r="S262" s="838"/>
      <c r="T262" s="838"/>
      <c r="U262" s="838"/>
      <c r="V262" s="838"/>
      <c r="W262" s="838"/>
      <c r="X262" s="838"/>
      <c r="Y262" s="838"/>
      <c r="Z262" s="838"/>
    </row>
    <row r="263" spans="1:26">
      <c r="A263" s="838" t="str">
        <f>IF(C263="","",COUNTA($C$3:C263))</f>
        <v/>
      </c>
      <c r="B263" s="862"/>
      <c r="C263" s="838"/>
      <c r="D263" s="838"/>
      <c r="E263" s="838"/>
      <c r="F263" s="838"/>
      <c r="G263" s="838"/>
      <c r="H263" s="838"/>
      <c r="I263" s="838"/>
      <c r="J263" s="838"/>
      <c r="K263" s="838"/>
      <c r="L263" s="838"/>
      <c r="M263" s="838"/>
      <c r="N263" s="838"/>
      <c r="O263" s="838"/>
      <c r="P263" s="838"/>
      <c r="Q263" s="838"/>
      <c r="R263" s="838"/>
      <c r="S263" s="838"/>
      <c r="T263" s="838"/>
      <c r="U263" s="838"/>
      <c r="V263" s="838"/>
      <c r="W263" s="838"/>
      <c r="X263" s="838"/>
      <c r="Y263" s="838"/>
      <c r="Z263" s="838"/>
    </row>
    <row r="264" spans="1:26">
      <c r="A264" s="838" t="str">
        <f>IF(C264="","",COUNTA($C$3:C264))</f>
        <v/>
      </c>
      <c r="B264" s="862"/>
      <c r="C264" s="838"/>
      <c r="D264" s="838"/>
      <c r="E264" s="838"/>
      <c r="F264" s="838"/>
      <c r="G264" s="838"/>
      <c r="H264" s="838"/>
      <c r="I264" s="838"/>
      <c r="J264" s="838"/>
      <c r="K264" s="838"/>
      <c r="L264" s="838"/>
      <c r="M264" s="838"/>
      <c r="N264" s="838"/>
      <c r="O264" s="838"/>
      <c r="P264" s="838"/>
      <c r="Q264" s="838"/>
      <c r="R264" s="838"/>
      <c r="S264" s="838"/>
      <c r="T264" s="838"/>
      <c r="U264" s="838"/>
      <c r="V264" s="838"/>
      <c r="W264" s="838"/>
      <c r="X264" s="838"/>
      <c r="Y264" s="838"/>
      <c r="Z264" s="838"/>
    </row>
    <row r="265" spans="1:26">
      <c r="A265" s="838" t="str">
        <f>IF(C265="","",COUNTA($C$3:C265))</f>
        <v/>
      </c>
      <c r="B265" s="862"/>
      <c r="C265" s="838"/>
      <c r="D265" s="838"/>
      <c r="E265" s="838"/>
      <c r="F265" s="838"/>
      <c r="G265" s="838"/>
      <c r="H265" s="838"/>
      <c r="I265" s="838"/>
      <c r="J265" s="838"/>
      <c r="K265" s="838"/>
      <c r="L265" s="838"/>
      <c r="M265" s="838"/>
      <c r="N265" s="838"/>
      <c r="O265" s="838"/>
      <c r="P265" s="838"/>
      <c r="Q265" s="838"/>
      <c r="R265" s="838"/>
      <c r="S265" s="838"/>
      <c r="T265" s="838"/>
      <c r="U265" s="838"/>
      <c r="V265" s="838"/>
      <c r="W265" s="838"/>
      <c r="X265" s="838"/>
      <c r="Y265" s="838"/>
      <c r="Z265" s="838"/>
    </row>
    <row r="266" spans="1:26">
      <c r="A266" s="838" t="str">
        <f>IF(C266="","",COUNTA($C$3:C266))</f>
        <v/>
      </c>
      <c r="B266" s="862"/>
      <c r="C266" s="838"/>
      <c r="D266" s="838"/>
      <c r="E266" s="838"/>
      <c r="F266" s="838"/>
      <c r="G266" s="838"/>
      <c r="H266" s="838"/>
      <c r="I266" s="838"/>
      <c r="J266" s="838"/>
      <c r="K266" s="838"/>
      <c r="L266" s="838"/>
      <c r="M266" s="838"/>
      <c r="N266" s="838"/>
      <c r="O266" s="838"/>
      <c r="P266" s="838"/>
      <c r="Q266" s="838"/>
      <c r="R266" s="838"/>
      <c r="S266" s="838"/>
      <c r="T266" s="838"/>
      <c r="U266" s="838"/>
      <c r="V266" s="838"/>
      <c r="W266" s="838"/>
      <c r="X266" s="838"/>
      <c r="Y266" s="838"/>
      <c r="Z266" s="838"/>
    </row>
    <row r="267" spans="1:26">
      <c r="A267" s="838" t="str">
        <f>IF(C267="","",COUNTA($C$3:C267))</f>
        <v/>
      </c>
      <c r="B267" s="862"/>
      <c r="C267" s="838"/>
      <c r="D267" s="838"/>
      <c r="E267" s="838"/>
      <c r="F267" s="838"/>
      <c r="G267" s="838"/>
      <c r="H267" s="838"/>
      <c r="I267" s="838"/>
      <c r="J267" s="838"/>
      <c r="K267" s="838"/>
      <c r="L267" s="838"/>
      <c r="M267" s="838"/>
      <c r="N267" s="838"/>
      <c r="O267" s="838"/>
      <c r="P267" s="838"/>
      <c r="Q267" s="838"/>
      <c r="R267" s="838"/>
      <c r="S267" s="838"/>
      <c r="T267" s="838"/>
      <c r="U267" s="838"/>
      <c r="V267" s="838"/>
      <c r="W267" s="838"/>
      <c r="X267" s="838"/>
      <c r="Y267" s="838"/>
      <c r="Z267" s="838"/>
    </row>
  </sheetData>
  <mergeCells count="1">
    <mergeCell ref="A1:A2"/>
  </mergeCells>
  <conditionalFormatting sqref="A2:XFD2">
    <cfRule type="cellIs" dxfId="8" priority="1" stopIfTrue="1" operator="lessThan">
      <formula>13</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sheetPr>
  <dimension ref="A1:AC35"/>
  <sheetViews>
    <sheetView view="pageBreakPreview" topLeftCell="A7" zoomScaleNormal="100" zoomScaleSheetLayoutView="100" workbookViewId="0">
      <selection activeCell="G32" sqref="G32"/>
    </sheetView>
  </sheetViews>
  <sheetFormatPr defaultRowHeight="18.75"/>
  <cols>
    <col min="1" max="2" width="6.7109375" style="360" customWidth="1"/>
    <col min="3" max="3" width="7.5703125" style="360" customWidth="1"/>
    <col min="4" max="4" width="13.7109375" style="360" customWidth="1"/>
    <col min="5" max="5" width="10.5703125" style="360" customWidth="1"/>
    <col min="6" max="6" width="12.28515625" style="360" customWidth="1"/>
    <col min="7" max="7" width="8.85546875" style="360" customWidth="1"/>
    <col min="8" max="8" width="9" style="360" customWidth="1"/>
    <col min="9" max="9" width="10" style="360" customWidth="1"/>
    <col min="10" max="10" width="8.28515625" style="360" customWidth="1"/>
    <col min="11" max="13" width="11.28515625" style="360" customWidth="1"/>
    <col min="14" max="14" width="10.5703125" style="360" customWidth="1"/>
    <col min="15" max="15" width="11.5703125" style="360" customWidth="1"/>
    <col min="16" max="16" width="13.5703125" style="394" customWidth="1"/>
    <col min="17" max="16384" width="9.140625" style="360"/>
  </cols>
  <sheetData>
    <row r="1" spans="1:29" ht="34.5" customHeight="1">
      <c r="A1" s="1403" t="s">
        <v>38</v>
      </c>
      <c r="B1" s="1403"/>
      <c r="C1" s="1403"/>
      <c r="D1" s="1403"/>
      <c r="E1" s="1403"/>
      <c r="F1" s="1403"/>
      <c r="G1" s="1403"/>
      <c r="H1" s="1403"/>
      <c r="I1" s="1403"/>
      <c r="J1" s="1403"/>
      <c r="K1" s="1403"/>
      <c r="L1" s="1403"/>
      <c r="M1" s="1403"/>
      <c r="N1" s="1403"/>
      <c r="O1" s="1403"/>
      <c r="P1" s="1403"/>
    </row>
    <row r="2" spans="1:29" s="361" customFormat="1" ht="23.25" customHeight="1">
      <c r="A2" s="1400" t="s">
        <v>16</v>
      </c>
      <c r="B2" s="1400" t="s">
        <v>17</v>
      </c>
      <c r="C2" s="1400" t="s">
        <v>177</v>
      </c>
      <c r="D2" s="1400" t="s">
        <v>18</v>
      </c>
      <c r="E2" s="1389" t="s">
        <v>19</v>
      </c>
      <c r="F2" s="1390"/>
      <c r="G2" s="1389" t="s">
        <v>22</v>
      </c>
      <c r="H2" s="1390"/>
      <c r="I2" s="1393" t="s">
        <v>26</v>
      </c>
      <c r="J2" s="1390"/>
      <c r="K2" s="1389" t="s">
        <v>392</v>
      </c>
      <c r="L2" s="1390"/>
      <c r="M2" s="1389" t="s">
        <v>28</v>
      </c>
      <c r="N2" s="1393"/>
      <c r="O2" s="1390"/>
      <c r="P2" s="1400" t="s">
        <v>36</v>
      </c>
      <c r="R2" s="361" t="s">
        <v>1132</v>
      </c>
    </row>
    <row r="3" spans="1:29" s="361" customFormat="1" ht="24.75" customHeight="1">
      <c r="A3" s="1401"/>
      <c r="B3" s="1401"/>
      <c r="C3" s="1401"/>
      <c r="D3" s="1401"/>
      <c r="E3" s="1391"/>
      <c r="F3" s="1392"/>
      <c r="G3" s="1391"/>
      <c r="H3" s="1392"/>
      <c r="I3" s="1394"/>
      <c r="J3" s="1392"/>
      <c r="K3" s="1391"/>
      <c r="L3" s="1392"/>
      <c r="M3" s="1391"/>
      <c r="N3" s="1394"/>
      <c r="O3" s="1392"/>
      <c r="P3" s="1401"/>
    </row>
    <row r="4" spans="1:29" s="361" customFormat="1" ht="24" customHeight="1">
      <c r="A4" s="1401"/>
      <c r="B4" s="1401"/>
      <c r="C4" s="1401"/>
      <c r="D4" s="1401"/>
      <c r="E4" s="1400" t="s">
        <v>20</v>
      </c>
      <c r="F4" s="1400" t="s">
        <v>21</v>
      </c>
      <c r="G4" s="1400" t="s">
        <v>361</v>
      </c>
      <c r="H4" s="1400" t="s">
        <v>353</v>
      </c>
      <c r="I4" s="1400" t="s">
        <v>23</v>
      </c>
      <c r="J4" s="1400" t="s">
        <v>24</v>
      </c>
      <c r="K4" s="1400" t="s">
        <v>27</v>
      </c>
      <c r="L4" s="1400" t="s">
        <v>178</v>
      </c>
      <c r="M4" s="1400" t="s">
        <v>1</v>
      </c>
      <c r="N4" s="1400" t="s">
        <v>29</v>
      </c>
      <c r="O4" s="1400" t="s">
        <v>33</v>
      </c>
      <c r="P4" s="1401"/>
      <c r="R4" s="361" t="s">
        <v>39</v>
      </c>
      <c r="S4" s="362">
        <f>'2. NK'!H10</f>
        <v>800</v>
      </c>
      <c r="T4" s="362"/>
    </row>
    <row r="5" spans="1:29" s="361" customFormat="1" ht="27.75" customHeight="1">
      <c r="A5" s="1402"/>
      <c r="B5" s="1402"/>
      <c r="C5" s="1402"/>
      <c r="D5" s="1402"/>
      <c r="E5" s="1402"/>
      <c r="F5" s="1402"/>
      <c r="G5" s="1402"/>
      <c r="H5" s="1402"/>
      <c r="I5" s="1402"/>
      <c r="J5" s="1402"/>
      <c r="K5" s="1402"/>
      <c r="L5" s="1402"/>
      <c r="M5" s="1402"/>
      <c r="N5" s="1402"/>
      <c r="O5" s="1402"/>
      <c r="P5" s="1402"/>
      <c r="R5" s="1399" t="s">
        <v>393</v>
      </c>
      <c r="S5" s="1397">
        <f>'2. NK'!H50</f>
        <v>29.35</v>
      </c>
      <c r="T5" s="830"/>
      <c r="V5" s="361" t="s">
        <v>1167</v>
      </c>
    </row>
    <row r="6" spans="1:29" s="361" customFormat="1" ht="23.25" customHeight="1">
      <c r="A6" s="1405">
        <f>'2. NK'!G52</f>
        <v>42466</v>
      </c>
      <c r="B6" s="1407" t="str">
        <f>'2. NK'!D10</f>
        <v>B1</v>
      </c>
      <c r="C6" s="363"/>
      <c r="D6" s="669" t="str">
        <f>IF(VLOOKUP(AC6,ĐTBT!$D:$R,3,0)="","",VLOOKUP(AC6,ĐTBT!$D:$R,3,0))</f>
        <v/>
      </c>
      <c r="E6" s="364"/>
      <c r="F6" s="364"/>
      <c r="G6" s="364"/>
      <c r="H6" s="364"/>
      <c r="I6" s="364"/>
      <c r="J6" s="364"/>
      <c r="K6" s="674"/>
      <c r="L6" s="670"/>
      <c r="M6" s="1097">
        <f>S5</f>
        <v>29.35</v>
      </c>
      <c r="N6" s="1097">
        <f>M6</f>
        <v>29.35</v>
      </c>
      <c r="O6" s="670"/>
      <c r="P6" s="365"/>
      <c r="Q6" s="366"/>
      <c r="R6" s="1399"/>
      <c r="S6" s="1398"/>
      <c r="T6" s="831" t="s">
        <v>1166</v>
      </c>
      <c r="U6" s="361">
        <f>SUM(U7:U21)</f>
        <v>3</v>
      </c>
      <c r="Y6" s="376">
        <v>3.472222222222222E-3</v>
      </c>
      <c r="AB6" s="844" t="s">
        <v>983</v>
      </c>
      <c r="AC6" s="853" t="str">
        <f>$B$6&amp;AB6</f>
        <v>B1a</v>
      </c>
    </row>
    <row r="7" spans="1:29" s="366" customFormat="1" ht="21.95" customHeight="1">
      <c r="A7" s="1406"/>
      <c r="B7" s="1408"/>
      <c r="C7" s="367">
        <v>1</v>
      </c>
      <c r="D7" s="669" t="str">
        <f>IF(VLOOKUP($AC$7,ĐTBT!$D:$R,3,0)="","",VLOOKUP($AC$7,ĐTBT!$D:$R,3,0))</f>
        <v>14C-00534</v>
      </c>
      <c r="E7" s="854">
        <f>IF(C7&lt;=$U$6,G7-$T$13,"")</f>
        <v>0.81944444444444409</v>
      </c>
      <c r="F7" s="854">
        <f>IF(C7&lt;=$U$6,G7-$T$12,"")</f>
        <v>0.82986111111111072</v>
      </c>
      <c r="G7" s="854">
        <f>IF(C7&lt;=$U$6,X7,"")</f>
        <v>0.83333333333333293</v>
      </c>
      <c r="H7" s="854">
        <f>IF(C7&lt;=$U$6,Y7,"")</f>
        <v>0.84027777777777735</v>
      </c>
      <c r="I7" s="669">
        <f>IF(VLOOKUP(AC7,ĐTBT!$D:$R,8,0)="","",VLOOKUP(AC7,ĐTBT!$D:$R,8,0))</f>
        <v>8</v>
      </c>
      <c r="J7" s="669">
        <f>IF(VLOOKUP(AC7,ĐTBT!$D:$R,9,0)="","",VLOOKUP(AC7,ĐTBT!$D:$R,9,0))</f>
        <v>19</v>
      </c>
      <c r="K7" s="371">
        <f>IF(VLOOKUP(AC7,ĐTBT!$D:$R,10,0)="","",VLOOKUP(AC7,ĐTBT!$D:$R,10,0))</f>
        <v>22.48</v>
      </c>
      <c r="L7" s="372">
        <f t="shared" ref="L7:L10" si="0">IF(K7="","",IF(K7-N7&gt;0,K7-N7,0))</f>
        <v>18.600000000000001</v>
      </c>
      <c r="M7" s="372">
        <f>IF(I7="","",IF(M6="","",IF((M6-I7/(PI()*($S$4/2000)^2))&gt;0,(M6-I7/(PI()*($S$4/2000)^2)),"")))</f>
        <v>13.434505690810468</v>
      </c>
      <c r="N7" s="373">
        <f>IF(VLOOKUP(AC7,ĐTBT!$D:$R,13,0)="","",VLOOKUP(AC7,ĐTBT!$D:$R,13,0))</f>
        <v>3.88</v>
      </c>
      <c r="O7" s="374">
        <f>IF(K7="","",IF(M7="","",ABS(M7-N7)))</f>
        <v>9.5545056908104691</v>
      </c>
      <c r="P7" s="375" t="str">
        <f>IF(VLOOKUP(AC7,ĐTBT!$D:$R,15,0)="","",VLOOKUP(AC7,ĐTBT!$D:$R,15,0))</f>
        <v>X</v>
      </c>
      <c r="Q7" s="366">
        <v>1</v>
      </c>
      <c r="R7" s="376"/>
      <c r="S7" s="376"/>
      <c r="T7" s="376"/>
      <c r="U7" s="366">
        <f>IF(I7="",0,1)</f>
        <v>1</v>
      </c>
      <c r="V7" s="366">
        <f>IF(I7&gt;25,0,IF(I7&gt;12,3,IF(I7&gt;7,2,IF(I7&gt;0,1,0))))</f>
        <v>2</v>
      </c>
      <c r="W7" s="376">
        <f>V7*$Y$6</f>
        <v>6.9444444444444441E-3</v>
      </c>
      <c r="X7" s="376">
        <f>T8</f>
        <v>0.83333333333333293</v>
      </c>
      <c r="Y7" s="376">
        <f>IF(U6=1,T9,X7+W7)</f>
        <v>0.84027777777777735</v>
      </c>
      <c r="AA7" s="366">
        <v>1</v>
      </c>
      <c r="AB7" s="845" t="s">
        <v>984</v>
      </c>
      <c r="AC7" s="853" t="str">
        <f t="shared" ref="AC7:AC21" si="1">$B$6&amp;AB7</f>
        <v>B1b</v>
      </c>
    </row>
    <row r="8" spans="1:29" s="366" customFormat="1" ht="21.95" customHeight="1">
      <c r="A8" s="1406"/>
      <c r="B8" s="1408"/>
      <c r="C8" s="367">
        <v>2</v>
      </c>
      <c r="D8" s="669" t="str">
        <f>IF(VLOOKUP(AC8,ĐTBT!$D:$R,3,0)="","",VLOOKUP(AC8,ĐTBT!$D:$R,3,0))</f>
        <v>14P-0582</v>
      </c>
      <c r="E8" s="854">
        <f t="shared" ref="E8:E21" si="2">IF(C8&lt;=$U$6,G8-$T$13,"")</f>
        <v>0.83449074074074037</v>
      </c>
      <c r="F8" s="854">
        <f t="shared" ref="F8:F21" si="3">IF(C8&lt;=$U$6,G8-$T$12,"")</f>
        <v>0.844907407407407</v>
      </c>
      <c r="G8" s="854">
        <f t="shared" ref="G8:G21" si="4">IF(C8&lt;=$U$6,X8,"")</f>
        <v>0.84837962962962921</v>
      </c>
      <c r="H8" s="854">
        <f t="shared" ref="H8:H21" si="5">IF(C8&lt;=$U$6,Y8,"")</f>
        <v>0.85532407407407363</v>
      </c>
      <c r="I8" s="669">
        <f>IF(VLOOKUP(AC8,ĐTBT!$D:$R,8,0)="","",VLOOKUP(AC8,ĐTBT!$D:$R,8,0))</f>
        <v>8</v>
      </c>
      <c r="J8" s="669">
        <f>IF(VLOOKUP(AC8,ĐTBT!$D:$R,9,0)="","",VLOOKUP(AC8,ĐTBT!$D:$R,9,0))</f>
        <v>18.5</v>
      </c>
      <c r="K8" s="371">
        <f>IF(VLOOKUP(AC8,ĐTBT!$D:$R,10,0)="","",VLOOKUP(AC8,ĐTBT!$D:$R,10,0))</f>
        <v>3.7</v>
      </c>
      <c r="L8" s="372">
        <f t="shared" si="0"/>
        <v>2.6900000000000004</v>
      </c>
      <c r="M8" s="372" t="str">
        <f t="shared" ref="M8:M21" si="6">IF(I8="","",IF(M7="","",IF((M7-I8/(PI()*($S$4/2000)^2))&gt;0,(M7-I8/(PI()*($S$4/2000)^2)),"")))</f>
        <v/>
      </c>
      <c r="N8" s="373">
        <f>IF(VLOOKUP(AC8,ĐTBT!$D:$R,13,0)="","",VLOOKUP(AC8,ĐTBT!$D:$R,13,0))</f>
        <v>1.01</v>
      </c>
      <c r="O8" s="374" t="str">
        <f t="shared" ref="O8:O21" si="7">IF(K8="","",IF(M8="","",ABS(M8-N8)))</f>
        <v/>
      </c>
      <c r="P8" s="375" t="str">
        <f>IF(VLOOKUP(AC8,ĐTBT!$D:$R,15,0)="","",VLOOKUP(AC8,ĐTBT!$D:$R,15,0))</f>
        <v>X</v>
      </c>
      <c r="Q8" s="366">
        <v>2</v>
      </c>
      <c r="R8" s="376"/>
      <c r="S8" s="376" t="s">
        <v>359</v>
      </c>
      <c r="T8" s="376">
        <f>'2. NK'!F52</f>
        <v>0.83333333333333293</v>
      </c>
      <c r="U8" s="366">
        <f t="shared" ref="U8:U21" si="8">IF(I8="",0,1)</f>
        <v>1</v>
      </c>
      <c r="V8" s="366">
        <f t="shared" ref="V8:V21" si="9">IF(I8&gt;25,0,IF(I8&gt;12,3,IF(I8&gt;7,2,IF(I8&gt;0,1,0))))</f>
        <v>2</v>
      </c>
      <c r="W8" s="376">
        <f t="shared" ref="W8:W21" si="10">V8*$Y$6</f>
        <v>6.9444444444444441E-3</v>
      </c>
      <c r="X8" s="376">
        <f>IF(C8&lt;$U$6,Y7+$T$16,Y7+$T$16*2)</f>
        <v>0.84837962962962921</v>
      </c>
      <c r="Y8" s="376">
        <f>X8+W8</f>
        <v>0.85532407407407363</v>
      </c>
      <c r="AA8" s="366">
        <v>2</v>
      </c>
      <c r="AB8" s="845" t="s">
        <v>985</v>
      </c>
      <c r="AC8" s="853" t="str">
        <f t="shared" si="1"/>
        <v>B1c</v>
      </c>
    </row>
    <row r="9" spans="1:29" s="366" customFormat="1" ht="21.95" customHeight="1">
      <c r="A9" s="1406"/>
      <c r="B9" s="1408"/>
      <c r="C9" s="367">
        <v>3</v>
      </c>
      <c r="D9" s="669" t="str">
        <f>IF(VLOOKUP(AC9,ĐTBT!$D:$R,3,0)="","",VLOOKUP(AC9,ĐTBT!$D:$R,3,0))</f>
        <v>14C-10388</v>
      </c>
      <c r="E9" s="854">
        <f t="shared" si="2"/>
        <v>0.85763888888888851</v>
      </c>
      <c r="F9" s="854">
        <f t="shared" si="3"/>
        <v>0.86805555555555514</v>
      </c>
      <c r="G9" s="854">
        <f t="shared" si="4"/>
        <v>0.87152777777777735</v>
      </c>
      <c r="H9" s="854">
        <f t="shared" si="5"/>
        <v>0.87499999999999956</v>
      </c>
      <c r="I9" s="669">
        <f>IF(VLOOKUP(AC9,ĐTBT!$D:$R,8,0)="","",VLOOKUP(AC9,ĐTBT!$D:$R,8,0))</f>
        <v>2</v>
      </c>
      <c r="J9" s="669">
        <f>IF(VLOOKUP(AC9,ĐTBT!$D:$R,9,0)="","",VLOOKUP(AC9,ĐTBT!$D:$R,9,0))</f>
        <v>19.5</v>
      </c>
      <c r="K9" s="371">
        <f>IF(VLOOKUP(AC9,ĐTBT!$D:$R,10,0)="","",VLOOKUP(AC9,ĐTBT!$D:$R,10,0))</f>
        <v>0</v>
      </c>
      <c r="L9" s="372">
        <f t="shared" si="0"/>
        <v>0</v>
      </c>
      <c r="M9" s="372" t="str">
        <f t="shared" si="6"/>
        <v/>
      </c>
      <c r="N9" s="373">
        <f>IF(VLOOKUP(AC9,ĐTBT!$D:$R,13,0)="","",VLOOKUP(AC9,ĐTBT!$D:$R,13,0))</f>
        <v>0.2</v>
      </c>
      <c r="O9" s="374" t="str">
        <f t="shared" si="7"/>
        <v/>
      </c>
      <c r="P9" s="375" t="str">
        <f>IF(VLOOKUP(AC9,ĐTBT!$D:$R,15,0)="","",VLOOKUP(AC9,ĐTBT!$D:$R,15,0))</f>
        <v>X</v>
      </c>
      <c r="Q9" s="366">
        <v>3</v>
      </c>
      <c r="R9" s="376"/>
      <c r="S9" s="376" t="s">
        <v>351</v>
      </c>
      <c r="T9" s="376">
        <f>'2. NK'!I52</f>
        <v>0.87499999999999956</v>
      </c>
      <c r="U9" s="366">
        <f t="shared" si="8"/>
        <v>1</v>
      </c>
      <c r="V9" s="366">
        <f t="shared" si="9"/>
        <v>1</v>
      </c>
      <c r="W9" s="376">
        <f t="shared" si="10"/>
        <v>3.472222222222222E-3</v>
      </c>
      <c r="X9" s="376">
        <f t="shared" ref="X9:X21" si="11">IF(C9&lt;$U$6,Y8+$T$16,Y8+$T$16*2)</f>
        <v>0.87152777777777735</v>
      </c>
      <c r="Y9" s="376">
        <f t="shared" ref="Y9:Y21" si="12">X9+W9</f>
        <v>0.87499999999999956</v>
      </c>
      <c r="AA9" s="366">
        <v>3</v>
      </c>
      <c r="AB9" s="845" t="s">
        <v>986</v>
      </c>
      <c r="AC9" s="853" t="str">
        <f t="shared" si="1"/>
        <v>B1d</v>
      </c>
    </row>
    <row r="10" spans="1:29" s="366" customFormat="1" ht="21.95" customHeight="1">
      <c r="A10" s="1406"/>
      <c r="B10" s="1408"/>
      <c r="C10" s="367">
        <v>4</v>
      </c>
      <c r="D10" s="669" t="str">
        <f>IF(VLOOKUP(AC10,ĐTBT!$D:$R,3,0)="","",VLOOKUP(AC10,ĐTBT!$D:$R,3,0))</f>
        <v/>
      </c>
      <c r="E10" s="854" t="str">
        <f t="shared" si="2"/>
        <v/>
      </c>
      <c r="F10" s="854" t="str">
        <f t="shared" si="3"/>
        <v/>
      </c>
      <c r="G10" s="854" t="str">
        <f t="shared" si="4"/>
        <v/>
      </c>
      <c r="H10" s="854" t="str">
        <f t="shared" si="5"/>
        <v/>
      </c>
      <c r="I10" s="669" t="str">
        <f>IF(VLOOKUP(AC10,ĐTBT!$D:$R,8,0)="","",VLOOKUP(AC10,ĐTBT!$D:$R,8,0))</f>
        <v/>
      </c>
      <c r="J10" s="669" t="str">
        <f>IF(VLOOKUP(AC10,ĐTBT!$D:$R,9,0)="","",VLOOKUP(AC10,ĐTBT!$D:$R,9,0))</f>
        <v/>
      </c>
      <c r="K10" s="669" t="str">
        <f>IF(VLOOKUP(AC10,ĐTBT!$D:$R,10,0)="","",VLOOKUP(AC10,ĐTBT!$D:$R,10,0))</f>
        <v/>
      </c>
      <c r="L10" s="372" t="str">
        <f t="shared" si="0"/>
        <v/>
      </c>
      <c r="M10" s="372" t="str">
        <f t="shared" si="6"/>
        <v/>
      </c>
      <c r="N10" s="373" t="str">
        <f>IF(VLOOKUP(AC10,ĐTBT!$D:$R,13,0)="","",VLOOKUP(AC10,ĐTBT!$D:$R,13,0))</f>
        <v/>
      </c>
      <c r="O10" s="374" t="str">
        <f t="shared" si="7"/>
        <v/>
      </c>
      <c r="P10" s="375" t="str">
        <f>IF(VLOOKUP(AC10,ĐTBT!$D:$R,15,0)="","",VLOOKUP(AC10,ĐTBT!$D:$R,15,0))</f>
        <v/>
      </c>
      <c r="Q10" s="366">
        <v>4</v>
      </c>
      <c r="R10" s="376"/>
      <c r="S10" s="376" t="s">
        <v>1162</v>
      </c>
      <c r="T10" s="376">
        <f>T9-T8</f>
        <v>4.166666666666663E-2</v>
      </c>
      <c r="U10" s="366">
        <f t="shared" si="8"/>
        <v>0</v>
      </c>
      <c r="V10" s="366">
        <f t="shared" si="9"/>
        <v>0</v>
      </c>
      <c r="W10" s="376">
        <f t="shared" si="10"/>
        <v>0</v>
      </c>
      <c r="X10" s="376">
        <f t="shared" si="11"/>
        <v>0.89120370370370328</v>
      </c>
      <c r="Y10" s="376">
        <f t="shared" si="12"/>
        <v>0.89120370370370328</v>
      </c>
      <c r="AA10" s="366">
        <v>4</v>
      </c>
      <c r="AB10" s="845" t="s">
        <v>987</v>
      </c>
      <c r="AC10" s="853" t="str">
        <f t="shared" si="1"/>
        <v>B1e</v>
      </c>
    </row>
    <row r="11" spans="1:29" s="366" customFormat="1" ht="24.75" customHeight="1">
      <c r="A11" s="1406"/>
      <c r="B11" s="1408"/>
      <c r="C11" s="367">
        <v>5</v>
      </c>
      <c r="D11" s="669" t="str">
        <f>IF(VLOOKUP(AC11,ĐTBT!$D:$R,3,0)="","",VLOOKUP(AC11,ĐTBT!$D:$R,3,0))</f>
        <v/>
      </c>
      <c r="E11" s="854" t="str">
        <f t="shared" si="2"/>
        <v/>
      </c>
      <c r="F11" s="854" t="str">
        <f t="shared" si="3"/>
        <v/>
      </c>
      <c r="G11" s="854" t="str">
        <f t="shared" si="4"/>
        <v/>
      </c>
      <c r="H11" s="854" t="str">
        <f t="shared" si="5"/>
        <v/>
      </c>
      <c r="I11" s="669" t="str">
        <f>IF(VLOOKUP(AC11,ĐTBT!$D:$R,8,0)="","",VLOOKUP(AC11,ĐTBT!$D:$R,8,0))</f>
        <v/>
      </c>
      <c r="J11" s="669" t="str">
        <f>IF(VLOOKUP(AC11,ĐTBT!$D:$R,9,0)="","",VLOOKUP(AC11,ĐTBT!$D:$R,9,0))</f>
        <v/>
      </c>
      <c r="K11" s="669" t="str">
        <f>IF(VLOOKUP(AC11,ĐTBT!$D:$R,10,0)="","",VLOOKUP(AC11,ĐTBT!$D:$R,10,0))</f>
        <v/>
      </c>
      <c r="L11" s="372" t="str">
        <f>IF(K11="","",IF(K11-N11&gt;0,K11-N11,0))</f>
        <v/>
      </c>
      <c r="M11" s="372" t="str">
        <f t="shared" si="6"/>
        <v/>
      </c>
      <c r="N11" s="373" t="str">
        <f>IF(VLOOKUP(AC11,ĐTBT!$D:$R,13,0)="","",VLOOKUP(AC11,ĐTBT!$D:$R,13,0))</f>
        <v/>
      </c>
      <c r="O11" s="374" t="str">
        <f t="shared" si="7"/>
        <v/>
      </c>
      <c r="P11" s="375" t="str">
        <f>IF(VLOOKUP(AC11,ĐTBT!$D:$R,15,0)="","",VLOOKUP(AC11,ĐTBT!$D:$R,15,0))</f>
        <v/>
      </c>
      <c r="R11" s="376"/>
      <c r="S11" s="376" t="s">
        <v>1163</v>
      </c>
      <c r="T11" s="376">
        <f>T10/U6</f>
        <v>1.3888888888888876E-2</v>
      </c>
      <c r="U11" s="366">
        <f t="shared" si="8"/>
        <v>0</v>
      </c>
      <c r="V11" s="366">
        <f t="shared" si="9"/>
        <v>0</v>
      </c>
      <c r="W11" s="376">
        <f t="shared" si="10"/>
        <v>0</v>
      </c>
      <c r="X11" s="376">
        <f t="shared" si="11"/>
        <v>0.907407407407407</v>
      </c>
      <c r="Y11" s="376">
        <f t="shared" si="12"/>
        <v>0.907407407407407</v>
      </c>
      <c r="AA11" s="366">
        <v>5</v>
      </c>
      <c r="AB11" s="845" t="s">
        <v>988</v>
      </c>
      <c r="AC11" s="853" t="str">
        <f t="shared" si="1"/>
        <v>B1f</v>
      </c>
    </row>
    <row r="12" spans="1:29" s="366" customFormat="1" ht="21.95" customHeight="1">
      <c r="A12" s="1406"/>
      <c r="B12" s="1408"/>
      <c r="C12" s="367">
        <v>6</v>
      </c>
      <c r="D12" s="669" t="str">
        <f>IF(VLOOKUP(AC12,ĐTBT!$D:$R,3,0)="","",VLOOKUP(AC12,ĐTBT!$D:$R,3,0))</f>
        <v/>
      </c>
      <c r="E12" s="854" t="str">
        <f t="shared" si="2"/>
        <v/>
      </c>
      <c r="F12" s="854" t="str">
        <f t="shared" si="3"/>
        <v/>
      </c>
      <c r="G12" s="854" t="str">
        <f t="shared" si="4"/>
        <v/>
      </c>
      <c r="H12" s="854" t="str">
        <f t="shared" si="5"/>
        <v/>
      </c>
      <c r="I12" s="669" t="str">
        <f>IF(VLOOKUP(AC12,ĐTBT!$D:$R,8,0)="","",VLOOKUP(AC12,ĐTBT!$D:$R,8,0))</f>
        <v/>
      </c>
      <c r="J12" s="669" t="str">
        <f>IF(VLOOKUP(AC12,ĐTBT!$D:$R,9,0)="","",VLOOKUP(AC12,ĐTBT!$D:$R,9,0))</f>
        <v/>
      </c>
      <c r="K12" s="669" t="str">
        <f>IF(VLOOKUP(AC12,ĐTBT!$D:$R,10,0)="","",VLOOKUP(AC12,ĐTBT!$D:$R,10,0))</f>
        <v/>
      </c>
      <c r="L12" s="372" t="str">
        <f t="shared" ref="L12:L21" si="13">IF(K12="","",IF(K12-N12&gt;0,K12-N12,0))</f>
        <v/>
      </c>
      <c r="M12" s="372" t="str">
        <f t="shared" si="6"/>
        <v/>
      </c>
      <c r="N12" s="373" t="str">
        <f>IF(VLOOKUP(AC12,ĐTBT!$D:$R,13,0)="","",VLOOKUP(AC12,ĐTBT!$D:$R,13,0))</f>
        <v/>
      </c>
      <c r="O12" s="374" t="str">
        <f t="shared" si="7"/>
        <v/>
      </c>
      <c r="P12" s="375" t="str">
        <f>IF(VLOOKUP(AC12,ĐTBT!$D:$R,15,0)="","",VLOOKUP(AC12,ĐTBT!$D:$R,15,0))</f>
        <v/>
      </c>
      <c r="R12" s="376"/>
      <c r="S12" s="366" t="s">
        <v>1164</v>
      </c>
      <c r="T12" s="376">
        <v>3.472222222222222E-3</v>
      </c>
      <c r="U12" s="366">
        <f t="shared" si="8"/>
        <v>0</v>
      </c>
      <c r="V12" s="366">
        <f t="shared" si="9"/>
        <v>0</v>
      </c>
      <c r="W12" s="376">
        <f t="shared" si="10"/>
        <v>0</v>
      </c>
      <c r="X12" s="376">
        <f t="shared" si="11"/>
        <v>0.92361111111111072</v>
      </c>
      <c r="Y12" s="376">
        <f t="shared" si="12"/>
        <v>0.92361111111111072</v>
      </c>
      <c r="AA12" s="366">
        <v>6</v>
      </c>
      <c r="AB12" s="845" t="s">
        <v>989</v>
      </c>
      <c r="AC12" s="853" t="str">
        <f t="shared" si="1"/>
        <v>B1g</v>
      </c>
    </row>
    <row r="13" spans="1:29" s="366" customFormat="1" ht="21.95" customHeight="1">
      <c r="A13" s="1406"/>
      <c r="B13" s="1408"/>
      <c r="C13" s="367">
        <v>7</v>
      </c>
      <c r="D13" s="669" t="str">
        <f>IF(VLOOKUP(AC13,ĐTBT!$D:$R,3,0)="","",VLOOKUP(AC13,ĐTBT!$D:$R,3,0))</f>
        <v/>
      </c>
      <c r="E13" s="854" t="str">
        <f t="shared" si="2"/>
        <v/>
      </c>
      <c r="F13" s="854" t="str">
        <f t="shared" si="3"/>
        <v/>
      </c>
      <c r="G13" s="854" t="str">
        <f t="shared" si="4"/>
        <v/>
      </c>
      <c r="H13" s="854" t="str">
        <f t="shared" si="5"/>
        <v/>
      </c>
      <c r="I13" s="669" t="str">
        <f>IF(VLOOKUP(AC13,ĐTBT!$D:$R,8,0)="","",VLOOKUP(AC13,ĐTBT!$D:$R,8,0))</f>
        <v/>
      </c>
      <c r="J13" s="669" t="str">
        <f>IF(VLOOKUP(AC13,ĐTBT!$D:$R,9,0)="","",VLOOKUP(AC13,ĐTBT!$D:$R,9,0))</f>
        <v/>
      </c>
      <c r="K13" s="669" t="str">
        <f>IF(VLOOKUP(AC13,ĐTBT!$D:$R,10,0)="","",VLOOKUP(AC13,ĐTBT!$D:$R,10,0))</f>
        <v/>
      </c>
      <c r="L13" s="372" t="str">
        <f t="shared" si="13"/>
        <v/>
      </c>
      <c r="M13" s="372" t="str">
        <f t="shared" si="6"/>
        <v/>
      </c>
      <c r="N13" s="373" t="str">
        <f>IF(VLOOKUP(AC13,ĐTBT!$D:$R,13,0)="","",VLOOKUP(AC13,ĐTBT!$D:$R,13,0))</f>
        <v/>
      </c>
      <c r="O13" s="374" t="str">
        <f t="shared" si="7"/>
        <v/>
      </c>
      <c r="P13" s="375" t="str">
        <f>IF(VLOOKUP(AC13,ĐTBT!$D:$R,15,0)="","",VLOOKUP(AC13,ĐTBT!$D:$R,15,0))</f>
        <v/>
      </c>
      <c r="R13" s="376"/>
      <c r="S13" s="366" t="s">
        <v>1165</v>
      </c>
      <c r="T13" s="1145">
        <v>1.3888888888888888E-2</v>
      </c>
      <c r="U13" s="366">
        <f t="shared" si="8"/>
        <v>0</v>
      </c>
      <c r="V13" s="366">
        <f t="shared" si="9"/>
        <v>0</v>
      </c>
      <c r="W13" s="376">
        <f t="shared" si="10"/>
        <v>0</v>
      </c>
      <c r="X13" s="376">
        <f t="shared" si="11"/>
        <v>0.93981481481481444</v>
      </c>
      <c r="Y13" s="376">
        <f t="shared" si="12"/>
        <v>0.93981481481481444</v>
      </c>
      <c r="AA13" s="366">
        <v>7</v>
      </c>
      <c r="AB13" s="845" t="s">
        <v>990</v>
      </c>
      <c r="AC13" s="853" t="str">
        <f t="shared" si="1"/>
        <v>B1h</v>
      </c>
    </row>
    <row r="14" spans="1:29" s="366" customFormat="1" ht="21.95" customHeight="1">
      <c r="A14" s="1406"/>
      <c r="B14" s="1408"/>
      <c r="C14" s="367">
        <v>8</v>
      </c>
      <c r="D14" s="669" t="str">
        <f>IF(VLOOKUP(AC14,ĐTBT!$D:$R,3,0)="","",VLOOKUP(AC14,ĐTBT!$D:$R,3,0))</f>
        <v/>
      </c>
      <c r="E14" s="854" t="str">
        <f t="shared" si="2"/>
        <v/>
      </c>
      <c r="F14" s="854" t="str">
        <f t="shared" si="3"/>
        <v/>
      </c>
      <c r="G14" s="854" t="str">
        <f t="shared" si="4"/>
        <v/>
      </c>
      <c r="H14" s="854" t="str">
        <f t="shared" si="5"/>
        <v/>
      </c>
      <c r="I14" s="669" t="str">
        <f>IF(VLOOKUP(AC14,ĐTBT!$D:$R,8,0)="","",VLOOKUP(AC14,ĐTBT!$D:$R,8,0))</f>
        <v/>
      </c>
      <c r="J14" s="669" t="str">
        <f>IF(VLOOKUP(AC14,ĐTBT!$D:$R,9,0)="","",VLOOKUP(AC14,ĐTBT!$D:$R,9,0))</f>
        <v/>
      </c>
      <c r="K14" s="669" t="str">
        <f>IF(VLOOKUP(AC14,ĐTBT!$D:$R,10,0)="","",VLOOKUP(AC14,ĐTBT!$D:$R,10,0))</f>
        <v/>
      </c>
      <c r="L14" s="372" t="str">
        <f t="shared" si="13"/>
        <v/>
      </c>
      <c r="M14" s="372" t="str">
        <f t="shared" si="6"/>
        <v/>
      </c>
      <c r="N14" s="373" t="str">
        <f>IF(VLOOKUP(AC14,ĐTBT!$D:$R,13,0)="","",VLOOKUP(AC14,ĐTBT!$D:$R,13,0))</f>
        <v/>
      </c>
      <c r="O14" s="374" t="str">
        <f t="shared" si="7"/>
        <v/>
      </c>
      <c r="P14" s="375" t="str">
        <f>IF(VLOOKUP(AC14,ĐTBT!$D:$R,15,0)="","",VLOOKUP(AC14,ĐTBT!$D:$R,15,0))</f>
        <v/>
      </c>
      <c r="R14" s="376"/>
      <c r="S14" s="366" t="s">
        <v>1162</v>
      </c>
      <c r="T14" s="376">
        <f>SUM(W7:W21)</f>
        <v>1.7361111111111112E-2</v>
      </c>
      <c r="U14" s="366">
        <f t="shared" si="8"/>
        <v>0</v>
      </c>
      <c r="V14" s="366">
        <f t="shared" si="9"/>
        <v>0</v>
      </c>
      <c r="W14" s="376">
        <f t="shared" si="10"/>
        <v>0</v>
      </c>
      <c r="X14" s="376">
        <f t="shared" si="11"/>
        <v>0.95601851851851816</v>
      </c>
      <c r="Y14" s="376">
        <f t="shared" si="12"/>
        <v>0.95601851851851816</v>
      </c>
      <c r="AA14" s="366">
        <v>8</v>
      </c>
      <c r="AB14" s="845" t="s">
        <v>991</v>
      </c>
      <c r="AC14" s="853" t="str">
        <f t="shared" si="1"/>
        <v>B1i</v>
      </c>
    </row>
    <row r="15" spans="1:29" s="366" customFormat="1" ht="21.95" customHeight="1">
      <c r="A15" s="1406"/>
      <c r="B15" s="1408"/>
      <c r="C15" s="367">
        <v>9</v>
      </c>
      <c r="D15" s="669" t="str">
        <f>IF(VLOOKUP(AC15,ĐTBT!$D:$R,3,0)="","",VLOOKUP(AC15,ĐTBT!$D:$R,3,0))</f>
        <v/>
      </c>
      <c r="E15" s="854" t="str">
        <f t="shared" si="2"/>
        <v/>
      </c>
      <c r="F15" s="854" t="str">
        <f t="shared" si="3"/>
        <v/>
      </c>
      <c r="G15" s="854" t="str">
        <f t="shared" si="4"/>
        <v/>
      </c>
      <c r="H15" s="854" t="str">
        <f t="shared" si="5"/>
        <v/>
      </c>
      <c r="I15" s="669" t="str">
        <f>IF(VLOOKUP(AC15,ĐTBT!$D:$R,8,0)="","",VLOOKUP(AC15,ĐTBT!$D:$R,8,0))</f>
        <v/>
      </c>
      <c r="J15" s="669" t="str">
        <f>IF(VLOOKUP(AC15,ĐTBT!$D:$R,9,0)="","",VLOOKUP(AC15,ĐTBT!$D:$R,9,0))</f>
        <v/>
      </c>
      <c r="K15" s="669" t="str">
        <f>IF(VLOOKUP(AC15,ĐTBT!$D:$R,10,0)="","",VLOOKUP(AC15,ĐTBT!$D:$R,10,0))</f>
        <v/>
      </c>
      <c r="L15" s="372" t="str">
        <f t="shared" si="13"/>
        <v/>
      </c>
      <c r="M15" s="372" t="str">
        <f t="shared" si="6"/>
        <v/>
      </c>
      <c r="N15" s="373" t="str">
        <f>IF(VLOOKUP(AC15,ĐTBT!$D:$R,13,0)="","",VLOOKUP(AC15,ĐTBT!$D:$R,13,0))</f>
        <v/>
      </c>
      <c r="O15" s="374" t="str">
        <f t="shared" si="7"/>
        <v/>
      </c>
      <c r="P15" s="375" t="str">
        <f>IF(VLOOKUP(AC15,ĐTBT!$D:$R,15,0)="","",VLOOKUP(AC15,ĐTBT!$D:$R,15,0))</f>
        <v/>
      </c>
      <c r="R15" s="376"/>
      <c r="S15" s="366" t="s">
        <v>1168</v>
      </c>
      <c r="T15" s="376">
        <f>T10-T14</f>
        <v>2.4305555555555518E-2</v>
      </c>
      <c r="U15" s="366">
        <f t="shared" si="8"/>
        <v>0</v>
      </c>
      <c r="V15" s="366">
        <f t="shared" si="9"/>
        <v>0</v>
      </c>
      <c r="W15" s="376">
        <f t="shared" si="10"/>
        <v>0</v>
      </c>
      <c r="X15" s="376">
        <f t="shared" si="11"/>
        <v>0.97222222222222188</v>
      </c>
      <c r="Y15" s="376">
        <f t="shared" si="12"/>
        <v>0.97222222222222188</v>
      </c>
      <c r="AA15" s="366">
        <v>9</v>
      </c>
      <c r="AB15" s="845" t="s">
        <v>992</v>
      </c>
      <c r="AC15" s="853" t="str">
        <f t="shared" si="1"/>
        <v>B1k</v>
      </c>
    </row>
    <row r="16" spans="1:29" s="366" customFormat="1" ht="21.95" customHeight="1">
      <c r="A16" s="1406"/>
      <c r="B16" s="1408"/>
      <c r="C16" s="367">
        <v>10</v>
      </c>
      <c r="D16" s="669" t="str">
        <f>IF(VLOOKUP(AC16,ĐTBT!$D:$R,3,0)="","",VLOOKUP(AC16,ĐTBT!$D:$R,3,0))</f>
        <v/>
      </c>
      <c r="E16" s="854" t="str">
        <f t="shared" si="2"/>
        <v/>
      </c>
      <c r="F16" s="854" t="str">
        <f t="shared" si="3"/>
        <v/>
      </c>
      <c r="G16" s="854" t="str">
        <f t="shared" si="4"/>
        <v/>
      </c>
      <c r="H16" s="854" t="str">
        <f t="shared" si="5"/>
        <v/>
      </c>
      <c r="I16" s="669" t="str">
        <f>IF(VLOOKUP(AC16,ĐTBT!$D:$R,8,0)="","",VLOOKUP(AC16,ĐTBT!$D:$R,8,0))</f>
        <v/>
      </c>
      <c r="J16" s="669" t="str">
        <f>IF(VLOOKUP(AC16,ĐTBT!$D:$R,9,0)="","",VLOOKUP(AC16,ĐTBT!$D:$R,9,0))</f>
        <v/>
      </c>
      <c r="K16" s="669" t="str">
        <f>IF(VLOOKUP(AC16,ĐTBT!$D:$R,10,0)="","",VLOOKUP(AC16,ĐTBT!$D:$R,10,0))</f>
        <v/>
      </c>
      <c r="L16" s="372" t="str">
        <f t="shared" si="13"/>
        <v/>
      </c>
      <c r="M16" s="372" t="str">
        <f t="shared" si="6"/>
        <v/>
      </c>
      <c r="N16" s="373" t="str">
        <f>IF(VLOOKUP(AC16,ĐTBT!$D:$R,13,0)="","",VLOOKUP(AC16,ĐTBT!$D:$R,13,0))</f>
        <v/>
      </c>
      <c r="O16" s="374" t="str">
        <f t="shared" si="7"/>
        <v/>
      </c>
      <c r="P16" s="375" t="str">
        <f>IF(VLOOKUP(AC16,ĐTBT!$D:$R,15,0)="","",VLOOKUP(AC16,ĐTBT!$D:$R,15,0))</f>
        <v/>
      </c>
      <c r="R16" s="376"/>
      <c r="T16" s="376">
        <f>T15/U6</f>
        <v>8.1018518518518393E-3</v>
      </c>
      <c r="U16" s="366">
        <f t="shared" si="8"/>
        <v>0</v>
      </c>
      <c r="V16" s="366">
        <f t="shared" si="9"/>
        <v>0</v>
      </c>
      <c r="W16" s="376">
        <f t="shared" si="10"/>
        <v>0</v>
      </c>
      <c r="X16" s="376">
        <f t="shared" si="11"/>
        <v>0.9884259259259256</v>
      </c>
      <c r="Y16" s="376">
        <f t="shared" si="12"/>
        <v>0.9884259259259256</v>
      </c>
      <c r="AA16" s="366">
        <v>10</v>
      </c>
      <c r="AB16" s="845" t="s">
        <v>993</v>
      </c>
      <c r="AC16" s="853" t="str">
        <f t="shared" si="1"/>
        <v>B1l</v>
      </c>
    </row>
    <row r="17" spans="1:29" s="366" customFormat="1" ht="21.95" customHeight="1">
      <c r="A17" s="1406"/>
      <c r="B17" s="1408"/>
      <c r="C17" s="367">
        <v>11</v>
      </c>
      <c r="D17" s="669" t="str">
        <f>IF(VLOOKUP(AC17,ĐTBT!$D:$R,3,0)="","",VLOOKUP(AC17,ĐTBT!$D:$R,3,0))</f>
        <v/>
      </c>
      <c r="E17" s="854" t="str">
        <f t="shared" si="2"/>
        <v/>
      </c>
      <c r="F17" s="854" t="str">
        <f t="shared" si="3"/>
        <v/>
      </c>
      <c r="G17" s="854" t="str">
        <f t="shared" si="4"/>
        <v/>
      </c>
      <c r="H17" s="854" t="str">
        <f t="shared" si="5"/>
        <v/>
      </c>
      <c r="I17" s="669" t="str">
        <f>IF(VLOOKUP(AC17,ĐTBT!$D:$R,8,0)="","",VLOOKUP(AC17,ĐTBT!$D:$R,8,0))</f>
        <v/>
      </c>
      <c r="J17" s="669" t="str">
        <f>IF(VLOOKUP(AC17,ĐTBT!$D:$R,9,0)="","",VLOOKUP(AC17,ĐTBT!$D:$R,9,0))</f>
        <v/>
      </c>
      <c r="K17" s="669" t="str">
        <f>IF(VLOOKUP(AC17,ĐTBT!$D:$R,10,0)="","",VLOOKUP(AC17,ĐTBT!$D:$R,10,0))</f>
        <v/>
      </c>
      <c r="L17" s="372" t="str">
        <f t="shared" si="13"/>
        <v/>
      </c>
      <c r="M17" s="372" t="str">
        <f t="shared" si="6"/>
        <v/>
      </c>
      <c r="N17" s="373" t="str">
        <f>IF(VLOOKUP(AC17,ĐTBT!$D:$R,13,0)="","",VLOOKUP(AC17,ĐTBT!$D:$R,13,0))</f>
        <v/>
      </c>
      <c r="O17" s="374" t="str">
        <f t="shared" si="7"/>
        <v/>
      </c>
      <c r="P17" s="375" t="str">
        <f>IF(VLOOKUP(AC17,ĐTBT!$D:$R,15,0)="","",VLOOKUP(AC17,ĐTBT!$D:$R,15,0))</f>
        <v/>
      </c>
      <c r="R17" s="376"/>
      <c r="U17" s="366">
        <f t="shared" si="8"/>
        <v>0</v>
      </c>
      <c r="V17" s="366">
        <f t="shared" si="9"/>
        <v>0</v>
      </c>
      <c r="W17" s="376">
        <f t="shared" si="10"/>
        <v>0</v>
      </c>
      <c r="X17" s="376">
        <f t="shared" si="11"/>
        <v>1.0046296296296293</v>
      </c>
      <c r="Y17" s="376">
        <f t="shared" si="12"/>
        <v>1.0046296296296293</v>
      </c>
      <c r="AA17" s="366">
        <v>11</v>
      </c>
      <c r="AB17" s="845" t="s">
        <v>994</v>
      </c>
      <c r="AC17" s="853" t="str">
        <f t="shared" si="1"/>
        <v>B1m</v>
      </c>
    </row>
    <row r="18" spans="1:29" s="366" customFormat="1" ht="21.95" customHeight="1">
      <c r="A18" s="1406"/>
      <c r="B18" s="1408"/>
      <c r="C18" s="367">
        <v>12</v>
      </c>
      <c r="D18" s="669" t="str">
        <f>IF(VLOOKUP(AC18,ĐTBT!$D:$R,3,0)="","",VLOOKUP(AC18,ĐTBT!$D:$R,3,0))</f>
        <v/>
      </c>
      <c r="E18" s="854" t="str">
        <f t="shared" si="2"/>
        <v/>
      </c>
      <c r="F18" s="854" t="str">
        <f t="shared" si="3"/>
        <v/>
      </c>
      <c r="G18" s="854" t="str">
        <f t="shared" si="4"/>
        <v/>
      </c>
      <c r="H18" s="854" t="str">
        <f t="shared" si="5"/>
        <v/>
      </c>
      <c r="I18" s="669" t="str">
        <f>IF(VLOOKUP(AC18,ĐTBT!$D:$R,8,0)="","",VLOOKUP(AC18,ĐTBT!$D:$R,8,0))</f>
        <v/>
      </c>
      <c r="J18" s="669" t="str">
        <f>IF(VLOOKUP(AC18,ĐTBT!$D:$R,9,0)="","",VLOOKUP(AC18,ĐTBT!$D:$R,9,0))</f>
        <v/>
      </c>
      <c r="K18" s="669" t="str">
        <f>IF(VLOOKUP(AC18,ĐTBT!$D:$R,10,0)="","",VLOOKUP(AC18,ĐTBT!$D:$R,10,0))</f>
        <v/>
      </c>
      <c r="L18" s="372" t="str">
        <f t="shared" si="13"/>
        <v/>
      </c>
      <c r="M18" s="372" t="str">
        <f t="shared" si="6"/>
        <v/>
      </c>
      <c r="N18" s="373" t="str">
        <f>IF(VLOOKUP(AC18,ĐTBT!$D:$R,13,0)="","",VLOOKUP(AC18,ĐTBT!$D:$R,13,0))</f>
        <v/>
      </c>
      <c r="O18" s="374" t="str">
        <f t="shared" si="7"/>
        <v/>
      </c>
      <c r="P18" s="375" t="str">
        <f>IF(VLOOKUP(AC18,ĐTBT!$D:$R,15,0)="","",VLOOKUP(AC18,ĐTBT!$D:$R,15,0))</f>
        <v/>
      </c>
      <c r="R18" s="376"/>
      <c r="U18" s="366">
        <f t="shared" si="8"/>
        <v>0</v>
      </c>
      <c r="V18" s="366">
        <f t="shared" si="9"/>
        <v>0</v>
      </c>
      <c r="W18" s="376">
        <f t="shared" si="10"/>
        <v>0</v>
      </c>
      <c r="X18" s="376">
        <f t="shared" si="11"/>
        <v>1.020833333333333</v>
      </c>
      <c r="Y18" s="376">
        <f t="shared" si="12"/>
        <v>1.020833333333333</v>
      </c>
      <c r="AA18" s="366">
        <v>12</v>
      </c>
      <c r="AB18" s="845" t="s">
        <v>995</v>
      </c>
      <c r="AC18" s="853" t="str">
        <f t="shared" si="1"/>
        <v>B1n</v>
      </c>
    </row>
    <row r="19" spans="1:29" s="366" customFormat="1" ht="21.95" customHeight="1">
      <c r="A19" s="1406"/>
      <c r="B19" s="1408"/>
      <c r="C19" s="367">
        <v>13</v>
      </c>
      <c r="D19" s="669" t="str">
        <f>IF(VLOOKUP(AC19,ĐTBT!$D:$R,3,0)="","",VLOOKUP(AC19,ĐTBT!$D:$R,3,0))</f>
        <v/>
      </c>
      <c r="E19" s="854" t="str">
        <f t="shared" si="2"/>
        <v/>
      </c>
      <c r="F19" s="854" t="str">
        <f t="shared" si="3"/>
        <v/>
      </c>
      <c r="G19" s="854" t="str">
        <f t="shared" si="4"/>
        <v/>
      </c>
      <c r="H19" s="854" t="str">
        <f t="shared" si="5"/>
        <v/>
      </c>
      <c r="I19" s="669" t="str">
        <f>IF(VLOOKUP(AC19,ĐTBT!$D:$R,8,0)="","",VLOOKUP(AC19,ĐTBT!$D:$R,8,0))</f>
        <v/>
      </c>
      <c r="J19" s="669" t="str">
        <f>IF(VLOOKUP(AC19,ĐTBT!$D:$R,9,0)="","",VLOOKUP(AC19,ĐTBT!$D:$R,9,0))</f>
        <v/>
      </c>
      <c r="K19" s="669" t="str">
        <f>IF(VLOOKUP(AC19,ĐTBT!$D:$R,10,0)="","",VLOOKUP(AC19,ĐTBT!$D:$R,10,0))</f>
        <v/>
      </c>
      <c r="L19" s="372" t="str">
        <f t="shared" si="13"/>
        <v/>
      </c>
      <c r="M19" s="372" t="str">
        <f t="shared" si="6"/>
        <v/>
      </c>
      <c r="N19" s="373" t="str">
        <f>IF(VLOOKUP(AC19,ĐTBT!$D:$R,13,0)="","",VLOOKUP(AC19,ĐTBT!$D:$R,13,0))</f>
        <v/>
      </c>
      <c r="O19" s="374" t="str">
        <f t="shared" si="7"/>
        <v/>
      </c>
      <c r="P19" s="375" t="str">
        <f>IF(VLOOKUP(AC19,ĐTBT!$D:$R,15,0)="","",VLOOKUP(AC19,ĐTBT!$D:$R,15,0))</f>
        <v/>
      </c>
      <c r="R19" s="376"/>
      <c r="U19" s="366">
        <f t="shared" si="8"/>
        <v>0</v>
      </c>
      <c r="V19" s="366">
        <f t="shared" si="9"/>
        <v>0</v>
      </c>
      <c r="W19" s="376">
        <f t="shared" si="10"/>
        <v>0</v>
      </c>
      <c r="X19" s="376">
        <f t="shared" si="11"/>
        <v>1.0370370370370368</v>
      </c>
      <c r="Y19" s="376">
        <f t="shared" si="12"/>
        <v>1.0370370370370368</v>
      </c>
      <c r="AA19" s="366">
        <v>13</v>
      </c>
      <c r="AB19" s="845" t="s">
        <v>471</v>
      </c>
      <c r="AC19" s="853" t="str">
        <f t="shared" si="1"/>
        <v>B1x</v>
      </c>
    </row>
    <row r="20" spans="1:29" s="366" customFormat="1" ht="21.95" customHeight="1">
      <c r="A20" s="1406"/>
      <c r="B20" s="1408"/>
      <c r="C20" s="367">
        <v>14</v>
      </c>
      <c r="D20" s="669" t="str">
        <f>IF(VLOOKUP(AC20,ĐTBT!$D:$R,3,0)="","",VLOOKUP(AC20,ĐTBT!$D:$R,3,0))</f>
        <v/>
      </c>
      <c r="E20" s="854" t="str">
        <f t="shared" si="2"/>
        <v/>
      </c>
      <c r="F20" s="854" t="str">
        <f t="shared" si="3"/>
        <v/>
      </c>
      <c r="G20" s="854" t="str">
        <f t="shared" si="4"/>
        <v/>
      </c>
      <c r="H20" s="854" t="str">
        <f t="shared" si="5"/>
        <v/>
      </c>
      <c r="I20" s="669" t="str">
        <f>IF(VLOOKUP(AC20,ĐTBT!$D:$R,8,0)="","",VLOOKUP(AC20,ĐTBT!$D:$R,8,0))</f>
        <v/>
      </c>
      <c r="J20" s="669" t="str">
        <f>IF(VLOOKUP(AC20,ĐTBT!$D:$R,9,0)="","",VLOOKUP(AC20,ĐTBT!$D:$R,9,0))</f>
        <v/>
      </c>
      <c r="K20" s="669" t="str">
        <f>IF(VLOOKUP(AC20,ĐTBT!$D:$R,10,0)="","",VLOOKUP(AC20,ĐTBT!$D:$R,10,0))</f>
        <v/>
      </c>
      <c r="L20" s="372" t="str">
        <f t="shared" si="13"/>
        <v/>
      </c>
      <c r="M20" s="372" t="str">
        <f t="shared" si="6"/>
        <v/>
      </c>
      <c r="N20" s="373" t="str">
        <f>IF(VLOOKUP(AC20,ĐTBT!$D:$R,13,0)="","",VLOOKUP(AC20,ĐTBT!$D:$R,13,0))</f>
        <v/>
      </c>
      <c r="O20" s="374" t="str">
        <f t="shared" si="7"/>
        <v/>
      </c>
      <c r="P20" s="375" t="str">
        <f>IF(VLOOKUP(AC20,ĐTBT!$D:$R,15,0)="","",VLOOKUP(AC20,ĐTBT!$D:$R,15,0))</f>
        <v/>
      </c>
      <c r="R20" s="376"/>
      <c r="U20" s="366">
        <f t="shared" si="8"/>
        <v>0</v>
      </c>
      <c r="V20" s="366">
        <f t="shared" si="9"/>
        <v>0</v>
      </c>
      <c r="W20" s="376">
        <f t="shared" si="10"/>
        <v>0</v>
      </c>
      <c r="X20" s="376">
        <f t="shared" si="11"/>
        <v>1.0532407407407405</v>
      </c>
      <c r="Y20" s="376">
        <f t="shared" si="12"/>
        <v>1.0532407407407405</v>
      </c>
      <c r="AA20" s="366">
        <v>14</v>
      </c>
      <c r="AB20" s="845" t="s">
        <v>732</v>
      </c>
      <c r="AC20" s="853" t="str">
        <f t="shared" si="1"/>
        <v>B1y</v>
      </c>
    </row>
    <row r="21" spans="1:29" s="366" customFormat="1" ht="21.95" customHeight="1">
      <c r="A21" s="1406"/>
      <c r="B21" s="1408"/>
      <c r="C21" s="367">
        <v>15</v>
      </c>
      <c r="D21" s="669" t="str">
        <f>IF(VLOOKUP(AC21,ĐTBT!$D:$R,3,0)="","",VLOOKUP(AC21,ĐTBT!$D:$R,3,0))</f>
        <v/>
      </c>
      <c r="E21" s="854" t="str">
        <f t="shared" si="2"/>
        <v/>
      </c>
      <c r="F21" s="854" t="str">
        <f t="shared" si="3"/>
        <v/>
      </c>
      <c r="G21" s="854" t="str">
        <f t="shared" si="4"/>
        <v/>
      </c>
      <c r="H21" s="854" t="str">
        <f t="shared" si="5"/>
        <v/>
      </c>
      <c r="I21" s="669" t="str">
        <f>IF(VLOOKUP(AC21,ĐTBT!$D:$R,8,0)="","",VLOOKUP(AC21,ĐTBT!$D:$R,8,0))</f>
        <v/>
      </c>
      <c r="J21" s="669" t="str">
        <f>IF(VLOOKUP(AC21,ĐTBT!$D:$R,9,0)="","",VLOOKUP(AC21,ĐTBT!$D:$R,9,0))</f>
        <v/>
      </c>
      <c r="K21" s="669" t="str">
        <f>IF(VLOOKUP(AC21,ĐTBT!$D:$R,10,0)="","",VLOOKUP(AC21,ĐTBT!$D:$R,10,0))</f>
        <v/>
      </c>
      <c r="L21" s="372" t="str">
        <f t="shared" si="13"/>
        <v/>
      </c>
      <c r="M21" s="372" t="str">
        <f t="shared" si="6"/>
        <v/>
      </c>
      <c r="N21" s="373" t="str">
        <f>IF(VLOOKUP(AC21,ĐTBT!$D:$R,13,0)="","",VLOOKUP(AC21,ĐTBT!$D:$R,13,0))</f>
        <v/>
      </c>
      <c r="O21" s="374" t="str">
        <f t="shared" si="7"/>
        <v/>
      </c>
      <c r="P21" s="858" t="str">
        <f>IF(VLOOKUP(AC21,ĐTBT!$D:$R,15,0)="","",VLOOKUP(AC21,ĐTBT!$D:$R,15,0))</f>
        <v/>
      </c>
      <c r="R21" s="376"/>
      <c r="U21" s="366">
        <f t="shared" si="8"/>
        <v>0</v>
      </c>
      <c r="V21" s="366">
        <f t="shared" si="9"/>
        <v>0</v>
      </c>
      <c r="W21" s="376">
        <f t="shared" si="10"/>
        <v>0</v>
      </c>
      <c r="X21" s="376">
        <f t="shared" si="11"/>
        <v>1.0694444444444442</v>
      </c>
      <c r="Y21" s="376">
        <f t="shared" si="12"/>
        <v>1.0694444444444442</v>
      </c>
      <c r="AA21" s="366">
        <v>15</v>
      </c>
      <c r="AB21" s="846" t="s">
        <v>996</v>
      </c>
      <c r="AC21" s="853" t="str">
        <f t="shared" si="1"/>
        <v>B1z</v>
      </c>
    </row>
    <row r="22" spans="1:29" s="361" customFormat="1">
      <c r="A22" s="384"/>
      <c r="B22" s="384"/>
      <c r="C22" s="186"/>
      <c r="D22" s="186"/>
      <c r="E22" s="186"/>
      <c r="F22" s="1404" t="s">
        <v>30</v>
      </c>
      <c r="G22" s="1404"/>
      <c r="H22" s="1404"/>
      <c r="I22" s="1404"/>
      <c r="J22" s="1404"/>
      <c r="K22" s="385"/>
      <c r="L22" s="386">
        <f>SUM(I7:I21)</f>
        <v>18</v>
      </c>
      <c r="M22" s="385" t="s">
        <v>15</v>
      </c>
      <c r="N22" s="385"/>
      <c r="O22" s="186"/>
      <c r="P22" s="186"/>
      <c r="V22" s="366"/>
      <c r="AB22" s="846"/>
      <c r="AC22" s="361" t="str">
        <f>B22&amp;AB22</f>
        <v/>
      </c>
    </row>
    <row r="23" spans="1:29" s="361" customFormat="1">
      <c r="A23" s="388"/>
      <c r="B23" s="388"/>
      <c r="C23" s="387"/>
      <c r="D23" s="387"/>
      <c r="E23" s="387"/>
      <c r="F23" s="1388" t="s">
        <v>2</v>
      </c>
      <c r="G23" s="1388"/>
      <c r="H23" s="1388"/>
      <c r="I23" s="1388"/>
      <c r="J23" s="1388"/>
      <c r="K23" s="389"/>
      <c r="L23" s="390">
        <f>'2. NK'!J55</f>
        <v>11.405987200000004</v>
      </c>
      <c r="M23" s="389" t="s">
        <v>15</v>
      </c>
      <c r="N23" s="389"/>
      <c r="O23" s="387"/>
      <c r="P23" s="387"/>
      <c r="V23" s="366"/>
    </row>
    <row r="24" spans="1:29" s="361" customFormat="1">
      <c r="A24" s="350"/>
      <c r="B24" s="350"/>
      <c r="C24" s="350"/>
      <c r="D24" s="350"/>
      <c r="E24" s="350"/>
      <c r="F24" s="1388" t="s">
        <v>34</v>
      </c>
      <c r="G24" s="1388"/>
      <c r="H24" s="1388"/>
      <c r="I24" s="1388"/>
      <c r="J24" s="1388"/>
      <c r="K24" s="389"/>
      <c r="L24" s="390">
        <f>L22-L23</f>
        <v>6.5940127999999962</v>
      </c>
      <c r="M24" s="389" t="s">
        <v>15</v>
      </c>
      <c r="N24" s="389"/>
      <c r="O24" s="350"/>
      <c r="P24" s="350"/>
      <c r="V24" s="366"/>
    </row>
    <row r="25" spans="1:29" s="361" customFormat="1" ht="15.75">
      <c r="A25" s="1395" t="s">
        <v>820</v>
      </c>
      <c r="B25" s="1395"/>
      <c r="C25" s="1395"/>
      <c r="D25" s="1395"/>
      <c r="E25" s="1395"/>
      <c r="F25" s="1395" t="s">
        <v>186</v>
      </c>
      <c r="G25" s="1395"/>
      <c r="H25" s="1395"/>
      <c r="I25" s="1395"/>
      <c r="J25" s="1395"/>
      <c r="K25" s="1396" t="s">
        <v>5</v>
      </c>
      <c r="L25" s="1396"/>
      <c r="M25" s="1396"/>
      <c r="N25" s="1396"/>
      <c r="O25" s="1396"/>
      <c r="P25" s="350"/>
    </row>
    <row r="26" spans="1:29">
      <c r="A26" s="391"/>
      <c r="B26" s="391"/>
      <c r="C26" s="391"/>
      <c r="D26" s="391"/>
      <c r="E26" s="391"/>
      <c r="F26" s="391"/>
      <c r="G26" s="391" t="s">
        <v>1189</v>
      </c>
      <c r="H26" s="391"/>
      <c r="I26" s="391"/>
      <c r="J26" s="391"/>
      <c r="K26" s="391"/>
      <c r="L26" s="391"/>
      <c r="M26" s="391"/>
      <c r="N26" s="391"/>
      <c r="O26" s="391"/>
      <c r="P26" s="391"/>
    </row>
    <row r="27" spans="1:29" s="393" customFormat="1" ht="30" customHeight="1">
      <c r="A27" s="392"/>
      <c r="B27" s="392"/>
      <c r="C27" s="392"/>
      <c r="D27" s="392"/>
      <c r="E27" s="392" t="s">
        <v>165</v>
      </c>
      <c r="F27" s="392"/>
      <c r="G27" s="392"/>
      <c r="H27" s="392"/>
      <c r="I27" s="187"/>
      <c r="J27" s="187"/>
      <c r="K27" s="187"/>
      <c r="L27" s="1387"/>
      <c r="M27" s="1387"/>
      <c r="N27" s="1387"/>
      <c r="O27" s="392"/>
      <c r="P27" s="392"/>
    </row>
    <row r="28" spans="1:29">
      <c r="A28" s="391"/>
      <c r="B28" s="391"/>
      <c r="C28" s="391"/>
      <c r="D28" s="391"/>
      <c r="E28" s="391"/>
      <c r="F28" s="391"/>
      <c r="G28" s="391"/>
      <c r="H28" s="391"/>
      <c r="I28" s="391"/>
      <c r="J28" s="391"/>
      <c r="K28" s="391"/>
      <c r="L28" s="391"/>
      <c r="M28" s="391"/>
      <c r="N28" s="391"/>
      <c r="O28" s="391"/>
      <c r="P28" s="391"/>
    </row>
    <row r="29" spans="1:29">
      <c r="A29" s="391"/>
      <c r="B29" s="391"/>
      <c r="C29" s="391"/>
      <c r="D29" s="391"/>
      <c r="E29" s="391"/>
      <c r="F29" s="391"/>
      <c r="G29" s="391"/>
      <c r="H29" s="391"/>
      <c r="I29" s="391"/>
      <c r="J29" s="391"/>
      <c r="K29" s="391"/>
      <c r="L29" s="391"/>
      <c r="M29" s="391"/>
      <c r="N29" s="391"/>
      <c r="O29" s="391"/>
      <c r="P29" s="391"/>
    </row>
    <row r="30" spans="1:29">
      <c r="A30" s="391"/>
      <c r="B30" s="391"/>
      <c r="C30" s="391"/>
      <c r="D30" s="391"/>
      <c r="E30" s="391"/>
      <c r="F30" s="391"/>
      <c r="G30" s="391"/>
      <c r="H30" s="391"/>
      <c r="I30" s="391"/>
      <c r="J30" s="391"/>
      <c r="K30" s="391"/>
      <c r="L30" s="391"/>
      <c r="M30" s="391"/>
      <c r="N30" s="391"/>
      <c r="O30" s="391"/>
      <c r="P30" s="391"/>
    </row>
    <row r="31" spans="1:29">
      <c r="A31" s="391"/>
      <c r="B31" s="391"/>
      <c r="C31" s="391"/>
      <c r="D31" s="391"/>
      <c r="E31" s="391"/>
      <c r="F31" s="391"/>
      <c r="G31" s="391"/>
      <c r="H31" s="391"/>
      <c r="I31" s="391"/>
      <c r="J31" s="391"/>
      <c r="K31" s="391"/>
      <c r="L31" s="391"/>
      <c r="M31" s="391"/>
      <c r="N31" s="391"/>
      <c r="O31" s="391"/>
      <c r="P31" s="391"/>
    </row>
    <row r="35" spans="8:8">
      <c r="H35" s="395"/>
    </row>
  </sheetData>
  <mergeCells count="33">
    <mergeCell ref="A1:P1"/>
    <mergeCell ref="F22:J22"/>
    <mergeCell ref="O4:O5"/>
    <mergeCell ref="L4:L5"/>
    <mergeCell ref="M4:M5"/>
    <mergeCell ref="N4:N5"/>
    <mergeCell ref="A6:A21"/>
    <mergeCell ref="B6:B21"/>
    <mergeCell ref="A2:A5"/>
    <mergeCell ref="B2:B5"/>
    <mergeCell ref="P2:P5"/>
    <mergeCell ref="J4:J5"/>
    <mergeCell ref="E4:E5"/>
    <mergeCell ref="I4:I5"/>
    <mergeCell ref="H4:H5"/>
    <mergeCell ref="S5:S6"/>
    <mergeCell ref="R5:R6"/>
    <mergeCell ref="C2:C5"/>
    <mergeCell ref="D2:D5"/>
    <mergeCell ref="K4:K5"/>
    <mergeCell ref="E2:F3"/>
    <mergeCell ref="F4:F5"/>
    <mergeCell ref="G4:G5"/>
    <mergeCell ref="L27:N27"/>
    <mergeCell ref="F23:J23"/>
    <mergeCell ref="K2:L3"/>
    <mergeCell ref="M2:O3"/>
    <mergeCell ref="A25:E25"/>
    <mergeCell ref="K25:O25"/>
    <mergeCell ref="F25:J25"/>
    <mergeCell ref="F24:J24"/>
    <mergeCell ref="G2:H3"/>
    <mergeCell ref="I2:J3"/>
  </mergeCells>
  <phoneticPr fontId="0" type="noConversion"/>
  <pageMargins left="0.55118110236220474" right="0.31496062992125984" top="0.59055118110236227" bottom="0.35433070866141736" header="0.23622047244094491" footer="0.19685039370078741"/>
  <pageSetup paperSize="9" scale="86"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4320"/>
  <sheetViews>
    <sheetView topLeftCell="A2288" zoomScaleNormal="100" workbookViewId="0">
      <selection activeCell="O2329" sqref="O2329"/>
    </sheetView>
  </sheetViews>
  <sheetFormatPr defaultRowHeight="18.75"/>
  <cols>
    <col min="1" max="3" width="6.7109375" style="360" customWidth="1"/>
    <col min="4" max="4" width="8" style="877" customWidth="1"/>
    <col min="5" max="5" width="7.5703125" style="360" customWidth="1"/>
    <col min="6" max="6" width="13.7109375" style="360" customWidth="1"/>
    <col min="7" max="7" width="11.5703125" style="360" customWidth="1"/>
    <col min="8" max="8" width="12.28515625" style="360" customWidth="1"/>
    <col min="9" max="9" width="8.85546875" style="360" customWidth="1"/>
    <col min="10" max="10" width="9" style="360" customWidth="1"/>
    <col min="11" max="11" width="10" style="360" customWidth="1"/>
    <col min="12" max="12" width="8.28515625" style="360" customWidth="1"/>
    <col min="13" max="15" width="11.28515625" style="360" customWidth="1"/>
    <col min="16" max="16" width="10.5703125" style="360" customWidth="1"/>
    <col min="17" max="17" width="11.5703125" style="360" customWidth="1"/>
    <col min="18" max="18" width="13.5703125" style="394" customWidth="1"/>
    <col min="19" max="20" width="9.140625" style="360"/>
    <col min="21" max="21" width="9.7109375" style="360" bestFit="1" customWidth="1"/>
    <col min="22" max="16384" width="9.140625" style="360"/>
  </cols>
  <sheetData>
    <row r="1" spans="1:23" s="361" customFormat="1" ht="23.25" customHeight="1">
      <c r="A1" s="1400" t="s">
        <v>939</v>
      </c>
      <c r="B1" s="1400" t="s">
        <v>17</v>
      </c>
      <c r="C1" s="827"/>
      <c r="D1" s="871"/>
      <c r="E1" s="1400" t="s">
        <v>177</v>
      </c>
      <c r="F1" s="1400" t="s">
        <v>18</v>
      </c>
      <c r="G1" s="1389" t="s">
        <v>19</v>
      </c>
      <c r="H1" s="1390"/>
      <c r="I1" s="1389" t="s">
        <v>22</v>
      </c>
      <c r="J1" s="1390"/>
      <c r="K1" s="1393" t="s">
        <v>26</v>
      </c>
      <c r="L1" s="1390"/>
      <c r="M1" s="1389" t="s">
        <v>392</v>
      </c>
      <c r="N1" s="1390"/>
      <c r="O1" s="1389" t="s">
        <v>28</v>
      </c>
      <c r="P1" s="1393"/>
      <c r="Q1" s="1390"/>
      <c r="R1" s="1400" t="s">
        <v>36</v>
      </c>
      <c r="T1" s="361">
        <f>MAX(J5:J19)-MIN(I5:I19)</f>
        <v>0.10069444444444443</v>
      </c>
      <c r="V1" s="853" t="str">
        <f>B5</f>
        <v>A60</v>
      </c>
      <c r="W1" s="361">
        <f>COUNTIF(K6:K20,"&gt;0")</f>
        <v>3</v>
      </c>
    </row>
    <row r="2" spans="1:23" s="361" customFormat="1" ht="24.75" customHeight="1">
      <c r="A2" s="1401"/>
      <c r="B2" s="1401"/>
      <c r="C2" s="828"/>
      <c r="D2" s="872"/>
      <c r="E2" s="1401"/>
      <c r="F2" s="1401"/>
      <c r="G2" s="1391"/>
      <c r="H2" s="1392"/>
      <c r="I2" s="1391"/>
      <c r="J2" s="1392"/>
      <c r="K2" s="1394"/>
      <c r="L2" s="1392"/>
      <c r="M2" s="1391"/>
      <c r="N2" s="1392"/>
      <c r="O2" s="1391"/>
      <c r="P2" s="1394"/>
      <c r="Q2" s="1392"/>
      <c r="R2" s="1401"/>
    </row>
    <row r="3" spans="1:23" s="361" customFormat="1" ht="24" customHeight="1">
      <c r="A3" s="1401"/>
      <c r="B3" s="1401"/>
      <c r="C3" s="828"/>
      <c r="D3" s="872"/>
      <c r="E3" s="1401"/>
      <c r="F3" s="1401"/>
      <c r="G3" s="1400" t="s">
        <v>20</v>
      </c>
      <c r="H3" s="1400" t="s">
        <v>21</v>
      </c>
      <c r="I3" s="1400" t="s">
        <v>361</v>
      </c>
      <c r="J3" s="1400" t="s">
        <v>353</v>
      </c>
      <c r="K3" s="1400" t="s">
        <v>23</v>
      </c>
      <c r="L3" s="1400" t="s">
        <v>24</v>
      </c>
      <c r="M3" s="1400" t="s">
        <v>27</v>
      </c>
      <c r="N3" s="1400" t="s">
        <v>178</v>
      </c>
      <c r="O3" s="1400" t="s">
        <v>1</v>
      </c>
      <c r="P3" s="1400" t="s">
        <v>29</v>
      </c>
      <c r="Q3" s="1400" t="s">
        <v>33</v>
      </c>
      <c r="R3" s="1401"/>
      <c r="T3" s="361" t="s">
        <v>39</v>
      </c>
      <c r="U3" s="362">
        <f>VLOOKUP(B5,'Thong tin'!$A:$M,13,0)</f>
        <v>1200</v>
      </c>
    </row>
    <row r="4" spans="1:23" s="361" customFormat="1" ht="27.75" customHeight="1">
      <c r="A4" s="1402"/>
      <c r="B4" s="1402"/>
      <c r="C4" s="829"/>
      <c r="D4" s="873"/>
      <c r="E4" s="1402"/>
      <c r="F4" s="1402"/>
      <c r="G4" s="1402"/>
      <c r="H4" s="1402"/>
      <c r="I4" s="1402"/>
      <c r="J4" s="1402"/>
      <c r="K4" s="1402"/>
      <c r="L4" s="1402"/>
      <c r="M4" s="1402"/>
      <c r="N4" s="1402"/>
      <c r="O4" s="1402"/>
      <c r="P4" s="1402"/>
      <c r="Q4" s="1402"/>
      <c r="R4" s="1402"/>
      <c r="T4" s="1399" t="s">
        <v>393</v>
      </c>
      <c r="U4" s="1397">
        <f>VLOOKUP(B5,DT.NK!$B:$AZ,45,0)</f>
        <v>25.2</v>
      </c>
    </row>
    <row r="5" spans="1:23" s="361" customFormat="1" ht="23.25" customHeight="1">
      <c r="A5" s="1409">
        <v>1</v>
      </c>
      <c r="B5" s="1412" t="s">
        <v>559</v>
      </c>
      <c r="C5" s="844" t="s">
        <v>983</v>
      </c>
      <c r="D5" s="874" t="str">
        <f>B5&amp;C5</f>
        <v>A60a</v>
      </c>
      <c r="E5" s="363"/>
      <c r="F5" s="364"/>
      <c r="G5" s="364"/>
      <c r="H5" s="364"/>
      <c r="I5" s="364"/>
      <c r="J5" s="364"/>
      <c r="K5" s="364"/>
      <c r="L5" s="364"/>
      <c r="M5" s="674"/>
      <c r="N5" s="670"/>
      <c r="O5" s="670">
        <f>U4</f>
        <v>25.2</v>
      </c>
      <c r="P5" s="670">
        <f>O5</f>
        <v>25.2</v>
      </c>
      <c r="Q5" s="670">
        <v>0</v>
      </c>
      <c r="R5" s="365"/>
      <c r="S5" s="366"/>
      <c r="T5" s="1399"/>
      <c r="U5" s="1398"/>
    </row>
    <row r="6" spans="1:23" s="366" customFormat="1" ht="21.95" customHeight="1">
      <c r="A6" s="1410"/>
      <c r="B6" s="1413"/>
      <c r="C6" s="845" t="s">
        <v>984</v>
      </c>
      <c r="D6" s="874" t="str">
        <f>B5&amp;C6</f>
        <v>A60b</v>
      </c>
      <c r="E6" s="367">
        <v>1</v>
      </c>
      <c r="F6" s="669" t="s">
        <v>980</v>
      </c>
      <c r="G6" s="369">
        <v>2.4999999999999998E-2</v>
      </c>
      <c r="H6" s="368">
        <v>6.25E-2</v>
      </c>
      <c r="I6" s="369">
        <v>6.5972222222222224E-2</v>
      </c>
      <c r="J6" s="368">
        <v>6.9444444444444434E-2</v>
      </c>
      <c r="K6" s="669">
        <v>10</v>
      </c>
      <c r="L6" s="669">
        <v>19</v>
      </c>
      <c r="M6" s="675">
        <v>21.05</v>
      </c>
      <c r="N6" s="671">
        <f>IF(M6-P6&gt;0,M6-P6,0)</f>
        <v>2.75</v>
      </c>
      <c r="O6" s="671">
        <f>O5-K6/(PI()*($U$3/2000)^2)</f>
        <v>16.358058717116926</v>
      </c>
      <c r="P6" s="672">
        <v>18.3</v>
      </c>
      <c r="Q6" s="673">
        <f>ABS(O6-P6)</f>
        <v>1.9419412828830751</v>
      </c>
      <c r="R6" s="375" t="s">
        <v>188</v>
      </c>
      <c r="T6" s="376"/>
      <c r="U6" s="376"/>
    </row>
    <row r="7" spans="1:23" s="366" customFormat="1" ht="21.95" customHeight="1">
      <c r="A7" s="1410"/>
      <c r="B7" s="1413"/>
      <c r="C7" s="845" t="s">
        <v>985</v>
      </c>
      <c r="D7" s="874" t="str">
        <f>B5&amp;C7</f>
        <v>A60c</v>
      </c>
      <c r="E7" s="367">
        <v>2</v>
      </c>
      <c r="F7" s="669" t="s">
        <v>981</v>
      </c>
      <c r="G7" s="369">
        <v>4.5138888888888888E-2</v>
      </c>
      <c r="H7" s="368">
        <v>7.9861111111111105E-2</v>
      </c>
      <c r="I7" s="369">
        <v>8.3333333333333329E-2</v>
      </c>
      <c r="J7" s="368">
        <v>8.6805555555555566E-2</v>
      </c>
      <c r="K7" s="669">
        <v>11</v>
      </c>
      <c r="L7" s="669">
        <v>20</v>
      </c>
      <c r="M7" s="675">
        <v>11.6</v>
      </c>
      <c r="N7" s="671">
        <f>IF(M7-P7&gt;0,M7-P7,0)</f>
        <v>2.6999999999999993</v>
      </c>
      <c r="O7" s="671">
        <f>O6-K7/(PI()*($U$3/2000)^2)</f>
        <v>6.6319233059455431</v>
      </c>
      <c r="P7" s="672">
        <v>8.9</v>
      </c>
      <c r="Q7" s="673">
        <f>ABS(O7-P7)</f>
        <v>2.2680766940544572</v>
      </c>
      <c r="R7" s="375" t="s">
        <v>188</v>
      </c>
      <c r="T7" s="376"/>
      <c r="U7" s="376"/>
    </row>
    <row r="8" spans="1:23" s="366" customFormat="1" ht="21.95" customHeight="1">
      <c r="A8" s="1410"/>
      <c r="B8" s="1413"/>
      <c r="C8" s="845" t="s">
        <v>986</v>
      </c>
      <c r="D8" s="874" t="str">
        <f>B5&amp;C8</f>
        <v>A60d</v>
      </c>
      <c r="E8" s="367">
        <v>3</v>
      </c>
      <c r="F8" s="669" t="s">
        <v>982</v>
      </c>
      <c r="G8" s="369">
        <v>0.12847222222222224</v>
      </c>
      <c r="H8" s="368">
        <v>0.15277777777777776</v>
      </c>
      <c r="I8" s="369">
        <v>0.16319444444444445</v>
      </c>
      <c r="J8" s="368">
        <v>0.16666666666666666</v>
      </c>
      <c r="K8" s="669">
        <v>2.5</v>
      </c>
      <c r="L8" s="669">
        <v>20</v>
      </c>
      <c r="M8" s="675">
        <v>11.6</v>
      </c>
      <c r="N8" s="671">
        <f>IF(M8-P8&gt;0,M8-P8,0)</f>
        <v>4.3</v>
      </c>
      <c r="O8" s="671">
        <f>O7-K8/(PI()*($U$3/2000)^2)</f>
        <v>4.4214379852247747</v>
      </c>
      <c r="P8" s="672">
        <v>7.3</v>
      </c>
      <c r="Q8" s="673">
        <f>ABS(O8-P8)</f>
        <v>2.8785620147752251</v>
      </c>
      <c r="R8" s="375" t="s">
        <v>188</v>
      </c>
      <c r="T8" s="376"/>
      <c r="U8" s="376"/>
    </row>
    <row r="9" spans="1:23" s="366" customFormat="1" ht="21.95" customHeight="1">
      <c r="A9" s="1410"/>
      <c r="B9" s="1413"/>
      <c r="C9" s="845" t="s">
        <v>987</v>
      </c>
      <c r="D9" s="874" t="str">
        <f>B5&amp;C9</f>
        <v>A60e</v>
      </c>
      <c r="E9" s="367">
        <v>4</v>
      </c>
      <c r="F9" s="669"/>
      <c r="G9" s="369"/>
      <c r="H9" s="368"/>
      <c r="I9" s="369"/>
      <c r="J9" s="368"/>
      <c r="K9" s="669"/>
      <c r="L9" s="370"/>
      <c r="M9" s="675"/>
      <c r="N9" s="671"/>
      <c r="O9" s="671"/>
      <c r="P9" s="373"/>
      <c r="Q9" s="673"/>
      <c r="R9" s="375"/>
      <c r="T9" s="376"/>
      <c r="U9" s="376"/>
    </row>
    <row r="10" spans="1:23" s="366" customFormat="1" ht="24.75" customHeight="1">
      <c r="A10" s="1410"/>
      <c r="B10" s="1413"/>
      <c r="C10" s="845" t="s">
        <v>988</v>
      </c>
      <c r="D10" s="874" t="str">
        <f>B5&amp;C10</f>
        <v>A60f</v>
      </c>
      <c r="E10" s="367">
        <v>5</v>
      </c>
      <c r="F10" s="669"/>
      <c r="G10" s="369"/>
      <c r="H10" s="368"/>
      <c r="I10" s="369"/>
      <c r="J10" s="368"/>
      <c r="K10" s="669"/>
      <c r="L10" s="370"/>
      <c r="M10" s="371"/>
      <c r="N10" s="671"/>
      <c r="O10" s="671"/>
      <c r="P10" s="373"/>
      <c r="Q10" s="673"/>
      <c r="R10" s="377"/>
      <c r="S10" s="366" t="s">
        <v>190</v>
      </c>
      <c r="T10" s="376"/>
      <c r="U10" s="376"/>
    </row>
    <row r="11" spans="1:23" s="366" customFormat="1" ht="21.95" customHeight="1">
      <c r="A11" s="1410"/>
      <c r="B11" s="1413"/>
      <c r="C11" s="845" t="s">
        <v>989</v>
      </c>
      <c r="D11" s="874" t="str">
        <f>B5&amp;C11</f>
        <v>A60g</v>
      </c>
      <c r="E11" s="367">
        <v>6</v>
      </c>
      <c r="F11" s="669"/>
      <c r="G11" s="369"/>
      <c r="H11" s="368"/>
      <c r="I11" s="369"/>
      <c r="J11" s="368"/>
      <c r="K11" s="669"/>
      <c r="L11" s="370"/>
      <c r="M11" s="371"/>
      <c r="N11" s="671"/>
      <c r="O11" s="671"/>
      <c r="P11" s="373"/>
      <c r="Q11" s="673"/>
      <c r="R11" s="375"/>
      <c r="S11" s="366" t="s">
        <v>190</v>
      </c>
    </row>
    <row r="12" spans="1:23" s="366" customFormat="1" ht="21.95" customHeight="1">
      <c r="A12" s="1410"/>
      <c r="B12" s="1413"/>
      <c r="C12" s="845" t="s">
        <v>990</v>
      </c>
      <c r="D12" s="874" t="str">
        <f>B5&amp;C12</f>
        <v>A60h</v>
      </c>
      <c r="E12" s="367">
        <v>7</v>
      </c>
      <c r="F12" s="669"/>
      <c r="G12" s="368"/>
      <c r="H12" s="368"/>
      <c r="I12" s="368"/>
      <c r="J12" s="368"/>
      <c r="K12" s="669"/>
      <c r="L12" s="370"/>
      <c r="M12" s="371"/>
      <c r="N12" s="671"/>
      <c r="O12" s="671"/>
      <c r="P12" s="373"/>
      <c r="Q12" s="673"/>
      <c r="R12" s="377"/>
      <c r="S12" s="366" t="s">
        <v>190</v>
      </c>
    </row>
    <row r="13" spans="1:23" s="366" customFormat="1" ht="21.95" customHeight="1">
      <c r="A13" s="1410"/>
      <c r="B13" s="1413"/>
      <c r="C13" s="845" t="s">
        <v>991</v>
      </c>
      <c r="D13" s="874" t="str">
        <f>B5&amp;C13</f>
        <v>A60i</v>
      </c>
      <c r="E13" s="367">
        <v>8</v>
      </c>
      <c r="F13" s="669"/>
      <c r="G13" s="368"/>
      <c r="H13" s="368"/>
      <c r="I13" s="368"/>
      <c r="J13" s="368"/>
      <c r="K13" s="370"/>
      <c r="L13" s="370"/>
      <c r="M13" s="371"/>
      <c r="N13" s="671"/>
      <c r="O13" s="671"/>
      <c r="P13" s="373"/>
      <c r="Q13" s="673"/>
      <c r="R13" s="378"/>
    </row>
    <row r="14" spans="1:23" s="366" customFormat="1" ht="21.95" customHeight="1">
      <c r="A14" s="1410"/>
      <c r="B14" s="1413"/>
      <c r="C14" s="845" t="s">
        <v>992</v>
      </c>
      <c r="D14" s="874" t="str">
        <f>B5&amp;C14</f>
        <v>A60k</v>
      </c>
      <c r="E14" s="367">
        <v>9</v>
      </c>
      <c r="F14" s="370"/>
      <c r="G14" s="368"/>
      <c r="H14" s="368"/>
      <c r="I14" s="368"/>
      <c r="J14" s="368"/>
      <c r="K14" s="370"/>
      <c r="L14" s="370"/>
      <c r="M14" s="371"/>
      <c r="N14" s="372"/>
      <c r="O14" s="372"/>
      <c r="P14" s="373"/>
      <c r="Q14" s="374"/>
      <c r="R14" s="378"/>
      <c r="S14" s="379"/>
    </row>
    <row r="15" spans="1:23" s="366" customFormat="1" ht="21.95" customHeight="1">
      <c r="A15" s="1410"/>
      <c r="B15" s="1413"/>
      <c r="C15" s="845" t="s">
        <v>993</v>
      </c>
      <c r="D15" s="874" t="str">
        <f>B5&amp;C15</f>
        <v>A60l</v>
      </c>
      <c r="E15" s="367">
        <v>10</v>
      </c>
      <c r="F15" s="370"/>
      <c r="G15" s="368"/>
      <c r="H15" s="368"/>
      <c r="I15" s="368"/>
      <c r="J15" s="368"/>
      <c r="K15" s="370"/>
      <c r="L15" s="370"/>
      <c r="M15" s="370"/>
      <c r="N15" s="372"/>
      <c r="O15" s="372"/>
      <c r="P15" s="373"/>
      <c r="Q15" s="374"/>
      <c r="R15" s="378"/>
      <c r="S15" s="379"/>
    </row>
    <row r="16" spans="1:23" s="366" customFormat="1" ht="21.95" customHeight="1">
      <c r="A16" s="1410"/>
      <c r="B16" s="1413"/>
      <c r="C16" s="845" t="s">
        <v>994</v>
      </c>
      <c r="D16" s="874" t="str">
        <f>B5&amp;C16</f>
        <v>A60m</v>
      </c>
      <c r="E16" s="367">
        <v>11</v>
      </c>
      <c r="F16" s="370"/>
      <c r="G16" s="368"/>
      <c r="H16" s="368"/>
      <c r="I16" s="368"/>
      <c r="J16" s="368"/>
      <c r="K16" s="370"/>
      <c r="L16" s="370"/>
      <c r="M16" s="370"/>
      <c r="N16" s="372"/>
      <c r="O16" s="372"/>
      <c r="P16" s="380"/>
      <c r="Q16" s="374"/>
      <c r="R16" s="381"/>
      <c r="S16" s="379"/>
    </row>
    <row r="17" spans="1:23" s="366" customFormat="1" ht="21.95" customHeight="1">
      <c r="A17" s="1410"/>
      <c r="B17" s="1413"/>
      <c r="C17" s="845" t="s">
        <v>995</v>
      </c>
      <c r="D17" s="874" t="str">
        <f>B5&amp;C17</f>
        <v>A60n</v>
      </c>
      <c r="E17" s="367">
        <v>12</v>
      </c>
      <c r="F17" s="370"/>
      <c r="G17" s="368"/>
      <c r="H17" s="368"/>
      <c r="I17" s="368"/>
      <c r="J17" s="368"/>
      <c r="K17" s="370"/>
      <c r="L17" s="370"/>
      <c r="M17" s="370"/>
      <c r="N17" s="372"/>
      <c r="O17" s="372"/>
      <c r="P17" s="380"/>
      <c r="Q17" s="374"/>
      <c r="R17" s="381"/>
      <c r="S17" s="361"/>
      <c r="T17" s="361"/>
      <c r="U17" s="361"/>
    </row>
    <row r="18" spans="1:23" s="366" customFormat="1" ht="21.95" customHeight="1">
      <c r="A18" s="1410"/>
      <c r="B18" s="1413"/>
      <c r="C18" s="845" t="s">
        <v>471</v>
      </c>
      <c r="D18" s="874" t="str">
        <f>B5&amp;C18</f>
        <v>A60x</v>
      </c>
      <c r="E18" s="367">
        <v>13</v>
      </c>
      <c r="F18" s="370"/>
      <c r="G18" s="368"/>
      <c r="H18" s="368"/>
      <c r="I18" s="368"/>
      <c r="J18" s="368"/>
      <c r="K18" s="370"/>
      <c r="L18" s="370"/>
      <c r="M18" s="370"/>
      <c r="N18" s="382"/>
      <c r="O18" s="372"/>
      <c r="P18" s="380"/>
      <c r="Q18" s="381"/>
      <c r="R18" s="381"/>
      <c r="S18" s="361"/>
      <c r="T18" s="361"/>
      <c r="U18" s="361"/>
    </row>
    <row r="19" spans="1:23" s="366" customFormat="1" ht="21.95" customHeight="1">
      <c r="A19" s="1410"/>
      <c r="B19" s="1413"/>
      <c r="C19" s="845" t="s">
        <v>732</v>
      </c>
      <c r="D19" s="874" t="str">
        <f>B5&amp;C19</f>
        <v>A60y</v>
      </c>
      <c r="E19" s="367">
        <v>14</v>
      </c>
      <c r="F19" s="370"/>
      <c r="G19" s="368"/>
      <c r="H19" s="368"/>
      <c r="I19" s="368"/>
      <c r="J19" s="368"/>
      <c r="K19" s="370"/>
      <c r="L19" s="370"/>
      <c r="M19" s="370"/>
      <c r="N19" s="382"/>
      <c r="O19" s="372"/>
      <c r="P19" s="380"/>
      <c r="Q19" s="381"/>
      <c r="R19" s="381"/>
      <c r="S19" s="361"/>
      <c r="T19" s="361"/>
      <c r="U19" s="362"/>
    </row>
    <row r="20" spans="1:23" s="366" customFormat="1" ht="21.95" customHeight="1">
      <c r="A20" s="1411"/>
      <c r="B20" s="1414"/>
      <c r="C20" s="846" t="s">
        <v>996</v>
      </c>
      <c r="D20" s="874" t="str">
        <f>B5&amp;C20</f>
        <v>A60z</v>
      </c>
      <c r="E20" s="847">
        <v>15</v>
      </c>
      <c r="F20" s="848"/>
      <c r="G20" s="849"/>
      <c r="H20" s="849"/>
      <c r="I20" s="849"/>
      <c r="J20" s="849"/>
      <c r="K20" s="848"/>
      <c r="L20" s="848"/>
      <c r="M20" s="848"/>
      <c r="N20" s="850"/>
      <c r="O20" s="851"/>
      <c r="P20" s="851"/>
      <c r="Q20" s="852"/>
      <c r="R20" s="383"/>
      <c r="S20" s="361"/>
      <c r="T20" s="832"/>
      <c r="U20" s="830"/>
    </row>
    <row r="21" spans="1:23">
      <c r="A21" s="1400" t="s">
        <v>939</v>
      </c>
      <c r="B21" s="1400" t="s">
        <v>17</v>
      </c>
      <c r="C21" s="827"/>
      <c r="D21" s="871"/>
      <c r="E21" s="1400" t="s">
        <v>177</v>
      </c>
      <c r="F21" s="1400" t="s">
        <v>18</v>
      </c>
      <c r="G21" s="1389" t="s">
        <v>19</v>
      </c>
      <c r="H21" s="1390"/>
      <c r="I21" s="1389" t="s">
        <v>22</v>
      </c>
      <c r="J21" s="1390"/>
      <c r="K21" s="1393" t="s">
        <v>26</v>
      </c>
      <c r="L21" s="1390"/>
      <c r="M21" s="1389" t="s">
        <v>392</v>
      </c>
      <c r="N21" s="1390"/>
      <c r="O21" s="1389" t="s">
        <v>28</v>
      </c>
      <c r="P21" s="1393"/>
      <c r="Q21" s="1390"/>
      <c r="R21" s="1400" t="s">
        <v>36</v>
      </c>
      <c r="S21" s="361"/>
      <c r="T21" s="361">
        <f>MAX(J25:J39)-MIN(I25:I39)</f>
        <v>2.430555555555558E-2</v>
      </c>
      <c r="U21" s="361"/>
      <c r="V21" s="853" t="str">
        <f t="shared" ref="V21" si="0">B25</f>
        <v>B39</v>
      </c>
      <c r="W21" s="361">
        <f t="shared" ref="W21" si="1">COUNTIF(K26:K40,"&gt;0")</f>
        <v>1</v>
      </c>
    </row>
    <row r="22" spans="1:23">
      <c r="A22" s="1401"/>
      <c r="B22" s="1401"/>
      <c r="C22" s="828"/>
      <c r="D22" s="872"/>
      <c r="E22" s="1401"/>
      <c r="F22" s="1401"/>
      <c r="G22" s="1391"/>
      <c r="H22" s="1392"/>
      <c r="I22" s="1391"/>
      <c r="J22" s="1392"/>
      <c r="K22" s="1394"/>
      <c r="L22" s="1392"/>
      <c r="M22" s="1391"/>
      <c r="N22" s="1392"/>
      <c r="O22" s="1391"/>
      <c r="P22" s="1394"/>
      <c r="Q22" s="1392"/>
      <c r="R22" s="1401"/>
      <c r="S22" s="361"/>
      <c r="T22" s="361"/>
      <c r="U22" s="361"/>
      <c r="V22" s="361"/>
      <c r="W22" s="361"/>
    </row>
    <row r="23" spans="1:23">
      <c r="A23" s="1401"/>
      <c r="B23" s="1401"/>
      <c r="C23" s="828"/>
      <c r="D23" s="872"/>
      <c r="E23" s="1401"/>
      <c r="F23" s="1401"/>
      <c r="G23" s="1400" t="s">
        <v>20</v>
      </c>
      <c r="H23" s="1400" t="s">
        <v>21</v>
      </c>
      <c r="I23" s="1400" t="s">
        <v>361</v>
      </c>
      <c r="J23" s="1400" t="s">
        <v>353</v>
      </c>
      <c r="K23" s="1400" t="s">
        <v>23</v>
      </c>
      <c r="L23" s="1400" t="s">
        <v>24</v>
      </c>
      <c r="M23" s="1400" t="s">
        <v>27</v>
      </c>
      <c r="N23" s="1400" t="s">
        <v>178</v>
      </c>
      <c r="O23" s="1400" t="s">
        <v>1</v>
      </c>
      <c r="P23" s="1400" t="s">
        <v>29</v>
      </c>
      <c r="Q23" s="1400" t="s">
        <v>33</v>
      </c>
      <c r="R23" s="1401"/>
      <c r="S23" s="361"/>
      <c r="T23" s="361" t="s">
        <v>39</v>
      </c>
      <c r="U23" s="362">
        <f>VLOOKUP(B25,'Thong tin'!$A:$M,13,0)</f>
        <v>800</v>
      </c>
      <c r="V23" s="361"/>
      <c r="W23" s="361"/>
    </row>
    <row r="24" spans="1:23">
      <c r="A24" s="1402"/>
      <c r="B24" s="1402"/>
      <c r="C24" s="829"/>
      <c r="D24" s="873"/>
      <c r="E24" s="1402"/>
      <c r="F24" s="1402"/>
      <c r="G24" s="1402"/>
      <c r="H24" s="1402"/>
      <c r="I24" s="1402"/>
      <c r="J24" s="1402"/>
      <c r="K24" s="1402"/>
      <c r="L24" s="1402"/>
      <c r="M24" s="1402"/>
      <c r="N24" s="1402"/>
      <c r="O24" s="1402"/>
      <c r="P24" s="1402"/>
      <c r="Q24" s="1402"/>
      <c r="R24" s="1402"/>
      <c r="S24" s="361"/>
      <c r="T24" s="1399" t="s">
        <v>393</v>
      </c>
      <c r="U24" s="1397">
        <f>VLOOKUP(B25,DT.NK!$B:$AZ,45,0)</f>
        <v>27.14</v>
      </c>
      <c r="V24" s="361"/>
      <c r="W24" s="361"/>
    </row>
    <row r="25" spans="1:23">
      <c r="A25" s="1409">
        <f>A5+1</f>
        <v>2</v>
      </c>
      <c r="B25" s="1412" t="s">
        <v>602</v>
      </c>
      <c r="C25" s="844" t="s">
        <v>983</v>
      </c>
      <c r="D25" s="874" t="str">
        <f>B25&amp;C25</f>
        <v>B39a</v>
      </c>
      <c r="E25" s="363"/>
      <c r="F25" s="364"/>
      <c r="G25" s="364"/>
      <c r="H25" s="364"/>
      <c r="I25" s="364"/>
      <c r="J25" s="364"/>
      <c r="K25" s="364"/>
      <c r="L25" s="364"/>
      <c r="M25" s="674"/>
      <c r="N25" s="670"/>
      <c r="O25" s="670">
        <f>U24</f>
        <v>27.14</v>
      </c>
      <c r="P25" s="670">
        <f>O25</f>
        <v>27.14</v>
      </c>
      <c r="Q25" s="670">
        <v>0</v>
      </c>
      <c r="R25" s="365"/>
      <c r="S25" s="366"/>
      <c r="T25" s="1399"/>
      <c r="U25" s="1398"/>
      <c r="V25" s="361"/>
      <c r="W25" s="361"/>
    </row>
    <row r="26" spans="1:23">
      <c r="A26" s="1410"/>
      <c r="B26" s="1413"/>
      <c r="C26" s="845" t="s">
        <v>984</v>
      </c>
      <c r="D26" s="875" t="str">
        <f>B25&amp;C26</f>
        <v>B39b</v>
      </c>
      <c r="E26" s="367">
        <v>1</v>
      </c>
      <c r="F26" s="669" t="s">
        <v>980</v>
      </c>
      <c r="G26" s="369">
        <v>0.22916666666666666</v>
      </c>
      <c r="H26" s="368">
        <v>0.25347222222222221</v>
      </c>
      <c r="I26" s="369">
        <v>0.27083333333333331</v>
      </c>
      <c r="J26" s="368">
        <v>0.2951388888888889</v>
      </c>
      <c r="K26" s="669">
        <v>12</v>
      </c>
      <c r="L26" s="669">
        <v>19</v>
      </c>
      <c r="M26" s="675">
        <v>27.14</v>
      </c>
      <c r="N26" s="671">
        <f>IF(M26-P26&gt;0,M26-P26,0)</f>
        <v>21.94</v>
      </c>
      <c r="O26" s="671">
        <f>O25-K26/(PI()*(U23/2000)^2)</f>
        <v>3.2667585362157006</v>
      </c>
      <c r="P26" s="672">
        <v>5.2</v>
      </c>
      <c r="Q26" s="673">
        <f>ABS(O26-P26)</f>
        <v>1.9332414637842996</v>
      </c>
      <c r="R26" s="375" t="s">
        <v>188</v>
      </c>
      <c r="S26" s="366"/>
      <c r="T26" s="376"/>
      <c r="U26" s="376"/>
      <c r="V26" s="366"/>
      <c r="W26" s="366"/>
    </row>
    <row r="27" spans="1:23">
      <c r="A27" s="1410"/>
      <c r="B27" s="1413"/>
      <c r="C27" s="845" t="s">
        <v>985</v>
      </c>
      <c r="D27" s="875" t="str">
        <f>B25&amp;C27</f>
        <v>B39c</v>
      </c>
      <c r="E27" s="367">
        <v>2</v>
      </c>
      <c r="F27" s="669"/>
      <c r="G27" s="369"/>
      <c r="H27" s="368"/>
      <c r="I27" s="369"/>
      <c r="J27" s="368"/>
      <c r="K27" s="669"/>
      <c r="L27" s="669"/>
      <c r="M27" s="675"/>
      <c r="N27" s="671"/>
      <c r="O27" s="671"/>
      <c r="P27" s="672"/>
      <c r="Q27" s="673"/>
      <c r="R27" s="375"/>
      <c r="S27" s="366"/>
      <c r="T27" s="376"/>
      <c r="U27" s="376"/>
      <c r="V27" s="366"/>
      <c r="W27" s="366"/>
    </row>
    <row r="28" spans="1:23">
      <c r="A28" s="1410"/>
      <c r="B28" s="1413"/>
      <c r="C28" s="845" t="s">
        <v>986</v>
      </c>
      <c r="D28" s="875" t="str">
        <f>B25&amp;C28</f>
        <v>B39d</v>
      </c>
      <c r="E28" s="367">
        <v>3</v>
      </c>
      <c r="F28" s="669"/>
      <c r="G28" s="369"/>
      <c r="H28" s="368"/>
      <c r="I28" s="369"/>
      <c r="J28" s="368"/>
      <c r="K28" s="669"/>
      <c r="L28" s="669"/>
      <c r="M28" s="675"/>
      <c r="N28" s="671"/>
      <c r="O28" s="671"/>
      <c r="P28" s="672"/>
      <c r="Q28" s="673"/>
      <c r="R28" s="375"/>
      <c r="S28" s="366"/>
      <c r="T28" s="376"/>
      <c r="U28" s="376"/>
      <c r="V28" s="366"/>
      <c r="W28" s="366"/>
    </row>
    <row r="29" spans="1:23">
      <c r="A29" s="1410"/>
      <c r="B29" s="1413"/>
      <c r="C29" s="845" t="s">
        <v>987</v>
      </c>
      <c r="D29" s="875" t="str">
        <f>B25&amp;C29</f>
        <v>B39e</v>
      </c>
      <c r="E29" s="367">
        <v>4</v>
      </c>
      <c r="F29" s="669"/>
      <c r="G29" s="369"/>
      <c r="H29" s="368"/>
      <c r="I29" s="369"/>
      <c r="J29" s="368"/>
      <c r="K29" s="669"/>
      <c r="L29" s="370"/>
      <c r="M29" s="675"/>
      <c r="N29" s="671"/>
      <c r="O29" s="671"/>
      <c r="P29" s="373"/>
      <c r="Q29" s="673"/>
      <c r="R29" s="375"/>
      <c r="S29" s="366"/>
      <c r="T29" s="376"/>
      <c r="U29" s="376"/>
      <c r="V29" s="366"/>
      <c r="W29" s="366"/>
    </row>
    <row r="30" spans="1:23">
      <c r="A30" s="1410"/>
      <c r="B30" s="1413"/>
      <c r="C30" s="845" t="s">
        <v>988</v>
      </c>
      <c r="D30" s="875" t="str">
        <f>B25&amp;C30</f>
        <v>B39f</v>
      </c>
      <c r="E30" s="367">
        <v>5</v>
      </c>
      <c r="F30" s="669"/>
      <c r="G30" s="369"/>
      <c r="H30" s="368"/>
      <c r="I30" s="369"/>
      <c r="J30" s="368"/>
      <c r="K30" s="669"/>
      <c r="L30" s="370"/>
      <c r="M30" s="371"/>
      <c r="N30" s="671"/>
      <c r="O30" s="671"/>
      <c r="P30" s="373"/>
      <c r="Q30" s="673"/>
      <c r="R30" s="377"/>
      <c r="S30" s="366" t="s">
        <v>190</v>
      </c>
      <c r="T30" s="376"/>
      <c r="U30" s="376"/>
      <c r="V30" s="366"/>
      <c r="W30" s="366"/>
    </row>
    <row r="31" spans="1:23">
      <c r="A31" s="1410"/>
      <c r="B31" s="1413"/>
      <c r="C31" s="845" t="s">
        <v>989</v>
      </c>
      <c r="D31" s="875" t="str">
        <f>B25&amp;C31</f>
        <v>B39g</v>
      </c>
      <c r="E31" s="367">
        <v>6</v>
      </c>
      <c r="F31" s="669"/>
      <c r="G31" s="369"/>
      <c r="H31" s="368"/>
      <c r="I31" s="369"/>
      <c r="J31" s="368"/>
      <c r="K31" s="669"/>
      <c r="L31" s="370"/>
      <c r="M31" s="371"/>
      <c r="N31" s="671"/>
      <c r="O31" s="671"/>
      <c r="P31" s="373"/>
      <c r="Q31" s="673"/>
      <c r="R31" s="375"/>
      <c r="S31" s="366" t="s">
        <v>190</v>
      </c>
      <c r="T31" s="366"/>
      <c r="U31" s="366"/>
      <c r="V31" s="366"/>
      <c r="W31" s="366"/>
    </row>
    <row r="32" spans="1:23">
      <c r="A32" s="1410"/>
      <c r="B32" s="1413"/>
      <c r="C32" s="845" t="s">
        <v>990</v>
      </c>
      <c r="D32" s="875" t="str">
        <f>B25&amp;C32</f>
        <v>B39h</v>
      </c>
      <c r="E32" s="367">
        <v>7</v>
      </c>
      <c r="F32" s="669"/>
      <c r="G32" s="368"/>
      <c r="H32" s="368"/>
      <c r="I32" s="368"/>
      <c r="J32" s="368"/>
      <c r="K32" s="669"/>
      <c r="L32" s="370"/>
      <c r="M32" s="371"/>
      <c r="N32" s="671"/>
      <c r="O32" s="671"/>
      <c r="P32" s="373"/>
      <c r="Q32" s="673"/>
      <c r="R32" s="377"/>
      <c r="S32" s="366" t="s">
        <v>190</v>
      </c>
      <c r="T32" s="366"/>
      <c r="U32" s="366"/>
      <c r="V32" s="366"/>
      <c r="W32" s="366"/>
    </row>
    <row r="33" spans="1:23">
      <c r="A33" s="1410"/>
      <c r="B33" s="1413"/>
      <c r="C33" s="845" t="s">
        <v>991</v>
      </c>
      <c r="D33" s="875" t="str">
        <f>B25&amp;C33</f>
        <v>B39i</v>
      </c>
      <c r="E33" s="367">
        <v>8</v>
      </c>
      <c r="F33" s="669"/>
      <c r="G33" s="368"/>
      <c r="H33" s="368"/>
      <c r="I33" s="368"/>
      <c r="J33" s="368"/>
      <c r="K33" s="370"/>
      <c r="L33" s="370"/>
      <c r="M33" s="371"/>
      <c r="N33" s="671"/>
      <c r="O33" s="671"/>
      <c r="P33" s="373"/>
      <c r="Q33" s="673"/>
      <c r="R33" s="378"/>
      <c r="S33" s="366"/>
      <c r="T33" s="366"/>
      <c r="U33" s="366"/>
      <c r="V33" s="366"/>
      <c r="W33" s="366"/>
    </row>
    <row r="34" spans="1:23">
      <c r="A34" s="1410"/>
      <c r="B34" s="1413"/>
      <c r="C34" s="845" t="s">
        <v>992</v>
      </c>
      <c r="D34" s="875" t="str">
        <f>B25&amp;C34</f>
        <v>B39k</v>
      </c>
      <c r="E34" s="367">
        <v>9</v>
      </c>
      <c r="F34" s="370"/>
      <c r="G34" s="368"/>
      <c r="H34" s="368"/>
      <c r="I34" s="368"/>
      <c r="J34" s="368"/>
      <c r="K34" s="370"/>
      <c r="L34" s="370"/>
      <c r="M34" s="371"/>
      <c r="N34" s="372"/>
      <c r="O34" s="372"/>
      <c r="P34" s="373"/>
      <c r="Q34" s="374"/>
      <c r="R34" s="378"/>
      <c r="S34" s="379"/>
      <c r="T34" s="366"/>
      <c r="U34" s="366"/>
      <c r="V34" s="366"/>
      <c r="W34" s="366"/>
    </row>
    <row r="35" spans="1:23">
      <c r="A35" s="1410"/>
      <c r="B35" s="1413"/>
      <c r="C35" s="845" t="s">
        <v>993</v>
      </c>
      <c r="D35" s="875" t="str">
        <f>B25&amp;C35</f>
        <v>B39l</v>
      </c>
      <c r="E35" s="367">
        <v>10</v>
      </c>
      <c r="F35" s="370"/>
      <c r="G35" s="368"/>
      <c r="H35" s="368"/>
      <c r="I35" s="368"/>
      <c r="J35" s="368"/>
      <c r="K35" s="370"/>
      <c r="L35" s="370"/>
      <c r="M35" s="370"/>
      <c r="N35" s="372"/>
      <c r="O35" s="372"/>
      <c r="P35" s="373"/>
      <c r="Q35" s="374"/>
      <c r="R35" s="378"/>
      <c r="S35" s="379"/>
      <c r="T35" s="366"/>
      <c r="U35" s="366"/>
      <c r="V35" s="366"/>
      <c r="W35" s="366"/>
    </row>
    <row r="36" spans="1:23">
      <c r="A36" s="1410"/>
      <c r="B36" s="1413"/>
      <c r="C36" s="845" t="s">
        <v>994</v>
      </c>
      <c r="D36" s="875" t="str">
        <f>B25&amp;C36</f>
        <v>B39m</v>
      </c>
      <c r="E36" s="367">
        <v>11</v>
      </c>
      <c r="F36" s="370"/>
      <c r="G36" s="368"/>
      <c r="H36" s="368"/>
      <c r="I36" s="368"/>
      <c r="J36" s="368"/>
      <c r="K36" s="370"/>
      <c r="L36" s="370"/>
      <c r="M36" s="370"/>
      <c r="N36" s="372"/>
      <c r="O36" s="372"/>
      <c r="P36" s="380"/>
      <c r="Q36" s="374"/>
      <c r="R36" s="381"/>
      <c r="S36" s="379"/>
      <c r="T36" s="366"/>
      <c r="U36" s="366"/>
      <c r="V36" s="366"/>
      <c r="W36" s="366"/>
    </row>
    <row r="37" spans="1:23">
      <c r="A37" s="1410"/>
      <c r="B37" s="1413"/>
      <c r="C37" s="845" t="s">
        <v>995</v>
      </c>
      <c r="D37" s="875" t="str">
        <f>B25&amp;C37</f>
        <v>B39n</v>
      </c>
      <c r="E37" s="367">
        <v>12</v>
      </c>
      <c r="F37" s="370"/>
      <c r="G37" s="368"/>
      <c r="H37" s="368"/>
      <c r="I37" s="368"/>
      <c r="J37" s="368"/>
      <c r="K37" s="370"/>
      <c r="L37" s="370"/>
      <c r="M37" s="370"/>
      <c r="N37" s="372"/>
      <c r="O37" s="372"/>
      <c r="P37" s="380"/>
      <c r="Q37" s="374"/>
      <c r="R37" s="381"/>
      <c r="S37" s="361"/>
      <c r="T37" s="361"/>
      <c r="U37" s="361"/>
      <c r="V37" s="366"/>
      <c r="W37" s="366"/>
    </row>
    <row r="38" spans="1:23">
      <c r="A38" s="1410"/>
      <c r="B38" s="1413"/>
      <c r="C38" s="845" t="s">
        <v>471</v>
      </c>
      <c r="D38" s="875" t="str">
        <f>B25&amp;C38</f>
        <v>B39x</v>
      </c>
      <c r="E38" s="367">
        <v>13</v>
      </c>
      <c r="F38" s="370"/>
      <c r="G38" s="368"/>
      <c r="H38" s="368"/>
      <c r="I38" s="368"/>
      <c r="J38" s="368"/>
      <c r="K38" s="370"/>
      <c r="L38" s="370"/>
      <c r="M38" s="370"/>
      <c r="N38" s="382"/>
      <c r="O38" s="372"/>
      <c r="P38" s="380"/>
      <c r="Q38" s="381"/>
      <c r="R38" s="381"/>
      <c r="S38" s="361"/>
      <c r="T38" s="361"/>
      <c r="U38" s="361"/>
      <c r="V38" s="366"/>
      <c r="W38" s="366"/>
    </row>
    <row r="39" spans="1:23">
      <c r="A39" s="1410"/>
      <c r="B39" s="1413"/>
      <c r="C39" s="845" t="s">
        <v>732</v>
      </c>
      <c r="D39" s="875" t="str">
        <f>B25&amp;C39</f>
        <v>B39y</v>
      </c>
      <c r="E39" s="367">
        <v>14</v>
      </c>
      <c r="F39" s="370"/>
      <c r="G39" s="368"/>
      <c r="H39" s="368"/>
      <c r="I39" s="368"/>
      <c r="J39" s="368"/>
      <c r="K39" s="370"/>
      <c r="L39" s="370"/>
      <c r="M39" s="370"/>
      <c r="N39" s="382"/>
      <c r="O39" s="372"/>
      <c r="P39" s="380"/>
      <c r="Q39" s="381"/>
      <c r="R39" s="381"/>
      <c r="S39" s="361"/>
      <c r="T39" s="361"/>
      <c r="U39" s="362"/>
      <c r="V39" s="366"/>
      <c r="W39" s="366"/>
    </row>
    <row r="40" spans="1:23">
      <c r="A40" s="1411"/>
      <c r="B40" s="1414"/>
      <c r="C40" s="846" t="s">
        <v>996</v>
      </c>
      <c r="D40" s="876" t="str">
        <f>B25&amp;C40</f>
        <v>B39z</v>
      </c>
      <c r="E40" s="847">
        <v>15</v>
      </c>
      <c r="F40" s="848"/>
      <c r="G40" s="849"/>
      <c r="H40" s="849"/>
      <c r="I40" s="849"/>
      <c r="J40" s="849"/>
      <c r="K40" s="848"/>
      <c r="L40" s="848"/>
      <c r="M40" s="848"/>
      <c r="N40" s="850"/>
      <c r="O40" s="851"/>
      <c r="P40" s="851"/>
      <c r="Q40" s="852"/>
      <c r="R40" s="383"/>
      <c r="S40" s="361"/>
      <c r="T40" s="832"/>
      <c r="U40" s="830"/>
      <c r="V40" s="366"/>
      <c r="W40" s="366"/>
    </row>
    <row r="41" spans="1:23" ht="18.75" customHeight="1">
      <c r="A41" s="1400" t="s">
        <v>939</v>
      </c>
      <c r="B41" s="1400" t="s">
        <v>17</v>
      </c>
      <c r="C41" s="827"/>
      <c r="D41" s="871"/>
      <c r="E41" s="1400" t="s">
        <v>177</v>
      </c>
      <c r="F41" s="1400" t="s">
        <v>18</v>
      </c>
      <c r="G41" s="1389" t="s">
        <v>19</v>
      </c>
      <c r="H41" s="1390"/>
      <c r="I41" s="1389" t="s">
        <v>22</v>
      </c>
      <c r="J41" s="1390"/>
      <c r="K41" s="1393" t="s">
        <v>26</v>
      </c>
      <c r="L41" s="1390"/>
      <c r="M41" s="1389" t="s">
        <v>392</v>
      </c>
      <c r="N41" s="1390"/>
      <c r="O41" s="1389" t="s">
        <v>28</v>
      </c>
      <c r="P41" s="1393"/>
      <c r="Q41" s="1390"/>
      <c r="R41" s="1400" t="s">
        <v>36</v>
      </c>
      <c r="S41" s="361"/>
      <c r="T41" s="361">
        <f>MAX(J45:J59)-MIN(I45:I59)</f>
        <v>2.0833333333333259E-2</v>
      </c>
      <c r="U41" s="361"/>
      <c r="V41" s="853" t="str">
        <f t="shared" ref="V41" si="2">B45</f>
        <v>B33</v>
      </c>
      <c r="W41" s="361">
        <f t="shared" ref="W41" si="3">COUNTIF(K46:K60,"&gt;0")</f>
        <v>2</v>
      </c>
    </row>
    <row r="42" spans="1:23">
      <c r="A42" s="1401"/>
      <c r="B42" s="1401"/>
      <c r="C42" s="828"/>
      <c r="D42" s="872"/>
      <c r="E42" s="1401"/>
      <c r="F42" s="1401"/>
      <c r="G42" s="1391"/>
      <c r="H42" s="1392"/>
      <c r="I42" s="1391"/>
      <c r="J42" s="1392"/>
      <c r="K42" s="1394"/>
      <c r="L42" s="1392"/>
      <c r="M42" s="1391"/>
      <c r="N42" s="1392"/>
      <c r="O42" s="1391"/>
      <c r="P42" s="1394"/>
      <c r="Q42" s="1392"/>
      <c r="R42" s="1401"/>
      <c r="S42" s="361"/>
      <c r="T42" s="361"/>
      <c r="U42" s="361"/>
      <c r="V42" s="361"/>
      <c r="W42" s="361"/>
    </row>
    <row r="43" spans="1:23" ht="18.75" customHeight="1">
      <c r="A43" s="1401"/>
      <c r="B43" s="1401"/>
      <c r="C43" s="828"/>
      <c r="D43" s="872"/>
      <c r="E43" s="1401"/>
      <c r="F43" s="1401"/>
      <c r="G43" s="1400" t="s">
        <v>20</v>
      </c>
      <c r="H43" s="1400" t="s">
        <v>21</v>
      </c>
      <c r="I43" s="1400" t="s">
        <v>361</v>
      </c>
      <c r="J43" s="1400" t="s">
        <v>353</v>
      </c>
      <c r="K43" s="1400" t="s">
        <v>23</v>
      </c>
      <c r="L43" s="1400" t="s">
        <v>24</v>
      </c>
      <c r="M43" s="1400" t="s">
        <v>27</v>
      </c>
      <c r="N43" s="1400" t="s">
        <v>178</v>
      </c>
      <c r="O43" s="1400" t="s">
        <v>1</v>
      </c>
      <c r="P43" s="1400" t="s">
        <v>29</v>
      </c>
      <c r="Q43" s="1400" t="s">
        <v>33</v>
      </c>
      <c r="R43" s="1401"/>
      <c r="S43" s="361"/>
      <c r="T43" s="361" t="s">
        <v>39</v>
      </c>
      <c r="U43" s="362">
        <f>VLOOKUP(B45,'Thong tin'!$A:$M,13,0)</f>
        <v>800</v>
      </c>
      <c r="V43" s="361"/>
      <c r="W43" s="361"/>
    </row>
    <row r="44" spans="1:23" ht="18.75" customHeight="1">
      <c r="A44" s="1402"/>
      <c r="B44" s="1402"/>
      <c r="C44" s="829"/>
      <c r="D44" s="873"/>
      <c r="E44" s="1402"/>
      <c r="F44" s="1402"/>
      <c r="G44" s="1402"/>
      <c r="H44" s="1402"/>
      <c r="I44" s="1402"/>
      <c r="J44" s="1402"/>
      <c r="K44" s="1402"/>
      <c r="L44" s="1402"/>
      <c r="M44" s="1402"/>
      <c r="N44" s="1402"/>
      <c r="O44" s="1402"/>
      <c r="P44" s="1402"/>
      <c r="Q44" s="1402"/>
      <c r="R44" s="1402"/>
      <c r="S44" s="361"/>
      <c r="T44" s="1399" t="s">
        <v>393</v>
      </c>
      <c r="U44" s="1397">
        <f>VLOOKUP(B45,DT.NK!$B:$AZ,45,0)</f>
        <v>26.85</v>
      </c>
      <c r="V44" s="361"/>
      <c r="W44" s="361"/>
    </row>
    <row r="45" spans="1:23">
      <c r="A45" s="1409">
        <f>A25+1</f>
        <v>3</v>
      </c>
      <c r="B45" s="1412" t="s">
        <v>572</v>
      </c>
      <c r="C45" s="844" t="s">
        <v>983</v>
      </c>
      <c r="D45" s="874" t="str">
        <f>B45&amp;C45</f>
        <v>B33a</v>
      </c>
      <c r="E45" s="363"/>
      <c r="F45" s="364"/>
      <c r="G45" s="364"/>
      <c r="H45" s="364"/>
      <c r="I45" s="364"/>
      <c r="J45" s="364"/>
      <c r="K45" s="364"/>
      <c r="L45" s="364"/>
      <c r="M45" s="674"/>
      <c r="N45" s="670"/>
      <c r="O45" s="670">
        <f>U44</f>
        <v>26.85</v>
      </c>
      <c r="P45" s="670">
        <f>O45</f>
        <v>26.85</v>
      </c>
      <c r="Q45" s="670">
        <v>0</v>
      </c>
      <c r="R45" s="365"/>
      <c r="S45" s="366"/>
      <c r="T45" s="1399"/>
      <c r="U45" s="1398"/>
      <c r="V45" s="361"/>
      <c r="W45" s="361"/>
    </row>
    <row r="46" spans="1:23">
      <c r="A46" s="1410"/>
      <c r="B46" s="1413"/>
      <c r="C46" s="845" t="s">
        <v>984</v>
      </c>
      <c r="D46" s="875" t="str">
        <f>B45&amp;C46</f>
        <v>B33b</v>
      </c>
      <c r="E46" s="367">
        <v>1</v>
      </c>
      <c r="F46" s="669" t="s">
        <v>1007</v>
      </c>
      <c r="G46" s="369">
        <v>0.875</v>
      </c>
      <c r="H46" s="368">
        <v>0.90625</v>
      </c>
      <c r="I46" s="369">
        <v>0.90972222222222221</v>
      </c>
      <c r="J46" s="368">
        <v>0.9145833333333333</v>
      </c>
      <c r="K46" s="669">
        <v>12</v>
      </c>
      <c r="L46" s="669">
        <v>18</v>
      </c>
      <c r="M46" s="675">
        <v>10.1</v>
      </c>
      <c r="N46" s="671">
        <f>IF(M46-P46&gt;0,M46-P46,0)</f>
        <v>3.6999999999999993</v>
      </c>
      <c r="O46" s="671">
        <f>O45-K46/(PI()*(U43/2000)^2)</f>
        <v>2.9767585362157014</v>
      </c>
      <c r="P46" s="672">
        <v>6.4</v>
      </c>
      <c r="Q46" s="673">
        <f>ABS(O46-P46)</f>
        <v>3.4232414637842989</v>
      </c>
      <c r="R46" s="375" t="s">
        <v>188</v>
      </c>
      <c r="S46" s="366"/>
      <c r="T46" s="376"/>
      <c r="U46" s="376"/>
      <c r="V46" s="366"/>
      <c r="W46" s="366"/>
    </row>
    <row r="47" spans="1:23">
      <c r="A47" s="1410"/>
      <c r="B47" s="1413"/>
      <c r="C47" s="845" t="s">
        <v>985</v>
      </c>
      <c r="D47" s="875" t="str">
        <f>B45&amp;C47</f>
        <v>B33c</v>
      </c>
      <c r="E47" s="367">
        <v>2</v>
      </c>
      <c r="F47" s="669" t="s">
        <v>1008</v>
      </c>
      <c r="G47" s="369">
        <v>0.90277777777777779</v>
      </c>
      <c r="H47" s="368">
        <v>0.92708333333333337</v>
      </c>
      <c r="I47" s="369">
        <v>0.92708333333333337</v>
      </c>
      <c r="J47" s="368">
        <v>0.93055555555555547</v>
      </c>
      <c r="K47" s="669">
        <v>1.5</v>
      </c>
      <c r="L47" s="669">
        <v>19</v>
      </c>
      <c r="M47" s="675">
        <v>10.1</v>
      </c>
      <c r="N47" s="671">
        <f>IF(M47-P47&gt;0,M47-P47,0)</f>
        <v>5.8</v>
      </c>
      <c r="O47" s="671">
        <f>O46-K47/(PI()*(U43/2000)^2)</f>
        <v>-7.3966467573360895E-3</v>
      </c>
      <c r="P47" s="672">
        <v>4.3</v>
      </c>
      <c r="Q47" s="673">
        <f>ABS(O47-P47)</f>
        <v>4.3073966467573364</v>
      </c>
      <c r="R47" s="375" t="s">
        <v>188</v>
      </c>
      <c r="S47" s="366"/>
      <c r="T47" s="376"/>
      <c r="U47" s="376"/>
      <c r="V47" s="366"/>
      <c r="W47" s="366"/>
    </row>
    <row r="48" spans="1:23">
      <c r="A48" s="1410"/>
      <c r="B48" s="1413"/>
      <c r="C48" s="845" t="s">
        <v>986</v>
      </c>
      <c r="D48" s="875" t="str">
        <f>B45&amp;C48</f>
        <v>B33d</v>
      </c>
      <c r="E48" s="367">
        <v>3</v>
      </c>
      <c r="F48" s="669"/>
      <c r="G48" s="369"/>
      <c r="H48" s="368"/>
      <c r="I48" s="369"/>
      <c r="J48" s="368"/>
      <c r="K48" s="669"/>
      <c r="L48" s="669"/>
      <c r="M48" s="675"/>
      <c r="N48" s="671"/>
      <c r="O48" s="671"/>
      <c r="P48" s="672"/>
      <c r="Q48" s="673"/>
      <c r="R48" s="375"/>
      <c r="S48" s="366"/>
      <c r="T48" s="376"/>
      <c r="U48" s="376"/>
      <c r="V48" s="366"/>
      <c r="W48" s="366"/>
    </row>
    <row r="49" spans="1:23">
      <c r="A49" s="1410"/>
      <c r="B49" s="1413"/>
      <c r="C49" s="845" t="s">
        <v>987</v>
      </c>
      <c r="D49" s="875" t="str">
        <f>B45&amp;C49</f>
        <v>B33e</v>
      </c>
      <c r="E49" s="367">
        <v>4</v>
      </c>
      <c r="F49" s="669"/>
      <c r="G49" s="369"/>
      <c r="H49" s="368"/>
      <c r="I49" s="369"/>
      <c r="J49" s="368"/>
      <c r="K49" s="669"/>
      <c r="L49" s="370"/>
      <c r="M49" s="675"/>
      <c r="N49" s="671"/>
      <c r="O49" s="671"/>
      <c r="P49" s="373"/>
      <c r="Q49" s="673"/>
      <c r="R49" s="375"/>
      <c r="S49" s="366"/>
      <c r="T49" s="376"/>
      <c r="U49" s="376"/>
      <c r="V49" s="366"/>
      <c r="W49" s="366"/>
    </row>
    <row r="50" spans="1:23">
      <c r="A50" s="1410"/>
      <c r="B50" s="1413"/>
      <c r="C50" s="845" t="s">
        <v>988</v>
      </c>
      <c r="D50" s="875" t="str">
        <f>B45&amp;C50</f>
        <v>B33f</v>
      </c>
      <c r="E50" s="367">
        <v>5</v>
      </c>
      <c r="F50" s="669"/>
      <c r="G50" s="369"/>
      <c r="H50" s="368"/>
      <c r="I50" s="369"/>
      <c r="J50" s="368"/>
      <c r="K50" s="669"/>
      <c r="L50" s="370"/>
      <c r="M50" s="371"/>
      <c r="N50" s="671"/>
      <c r="O50" s="671"/>
      <c r="P50" s="373"/>
      <c r="Q50" s="673"/>
      <c r="R50" s="377"/>
      <c r="S50" s="366" t="s">
        <v>190</v>
      </c>
      <c r="T50" s="376"/>
      <c r="U50" s="376"/>
      <c r="V50" s="366"/>
      <c r="W50" s="366"/>
    </row>
    <row r="51" spans="1:23">
      <c r="A51" s="1410"/>
      <c r="B51" s="1413"/>
      <c r="C51" s="845" t="s">
        <v>989</v>
      </c>
      <c r="D51" s="875" t="str">
        <f>B45&amp;C51</f>
        <v>B33g</v>
      </c>
      <c r="E51" s="367">
        <v>6</v>
      </c>
      <c r="F51" s="669"/>
      <c r="G51" s="369"/>
      <c r="H51" s="368"/>
      <c r="I51" s="369"/>
      <c r="J51" s="368"/>
      <c r="K51" s="669"/>
      <c r="L51" s="370"/>
      <c r="M51" s="371"/>
      <c r="N51" s="671"/>
      <c r="O51" s="671"/>
      <c r="P51" s="373"/>
      <c r="Q51" s="673"/>
      <c r="R51" s="375"/>
      <c r="S51" s="366" t="s">
        <v>190</v>
      </c>
      <c r="T51" s="366"/>
      <c r="U51" s="366"/>
      <c r="V51" s="366"/>
      <c r="W51" s="366"/>
    </row>
    <row r="52" spans="1:23">
      <c r="A52" s="1410"/>
      <c r="B52" s="1413"/>
      <c r="C52" s="845" t="s">
        <v>990</v>
      </c>
      <c r="D52" s="875" t="str">
        <f>B45&amp;C52</f>
        <v>B33h</v>
      </c>
      <c r="E52" s="367">
        <v>7</v>
      </c>
      <c r="F52" s="669"/>
      <c r="G52" s="368"/>
      <c r="H52" s="368"/>
      <c r="I52" s="368"/>
      <c r="J52" s="368"/>
      <c r="K52" s="669"/>
      <c r="L52" s="370"/>
      <c r="M52" s="371"/>
      <c r="N52" s="671"/>
      <c r="O52" s="671"/>
      <c r="P52" s="373"/>
      <c r="Q52" s="673"/>
      <c r="R52" s="377"/>
      <c r="S52" s="366" t="s">
        <v>190</v>
      </c>
      <c r="T52" s="366"/>
      <c r="U52" s="366"/>
      <c r="V52" s="366"/>
      <c r="W52" s="366"/>
    </row>
    <row r="53" spans="1:23">
      <c r="A53" s="1410"/>
      <c r="B53" s="1413"/>
      <c r="C53" s="845" t="s">
        <v>991</v>
      </c>
      <c r="D53" s="875" t="str">
        <f>B45&amp;C53</f>
        <v>B33i</v>
      </c>
      <c r="E53" s="367">
        <v>8</v>
      </c>
      <c r="F53" s="669"/>
      <c r="G53" s="368"/>
      <c r="H53" s="368"/>
      <c r="I53" s="368"/>
      <c r="J53" s="368"/>
      <c r="K53" s="370"/>
      <c r="L53" s="370"/>
      <c r="M53" s="371"/>
      <c r="N53" s="671"/>
      <c r="O53" s="671"/>
      <c r="P53" s="373"/>
      <c r="Q53" s="673"/>
      <c r="R53" s="378"/>
      <c r="S53" s="366"/>
      <c r="T53" s="366"/>
      <c r="U53" s="366"/>
      <c r="V53" s="366"/>
      <c r="W53" s="366"/>
    </row>
    <row r="54" spans="1:23">
      <c r="A54" s="1410"/>
      <c r="B54" s="1413"/>
      <c r="C54" s="845" t="s">
        <v>992</v>
      </c>
      <c r="D54" s="875" t="str">
        <f>B45&amp;C54</f>
        <v>B33k</v>
      </c>
      <c r="E54" s="367">
        <v>9</v>
      </c>
      <c r="F54" s="370"/>
      <c r="G54" s="368"/>
      <c r="H54" s="368"/>
      <c r="I54" s="368"/>
      <c r="J54" s="368"/>
      <c r="K54" s="370"/>
      <c r="L54" s="370"/>
      <c r="M54" s="371"/>
      <c r="N54" s="372"/>
      <c r="O54" s="372"/>
      <c r="P54" s="373"/>
      <c r="Q54" s="374"/>
      <c r="R54" s="378"/>
      <c r="S54" s="379"/>
      <c r="T54" s="366"/>
      <c r="U54" s="366"/>
      <c r="V54" s="366"/>
      <c r="W54" s="366"/>
    </row>
    <row r="55" spans="1:23">
      <c r="A55" s="1410"/>
      <c r="B55" s="1413"/>
      <c r="C55" s="845" t="s">
        <v>993</v>
      </c>
      <c r="D55" s="875" t="str">
        <f>B45&amp;C55</f>
        <v>B33l</v>
      </c>
      <c r="E55" s="367">
        <v>10</v>
      </c>
      <c r="F55" s="370"/>
      <c r="G55" s="368"/>
      <c r="H55" s="368"/>
      <c r="I55" s="368"/>
      <c r="J55" s="368"/>
      <c r="K55" s="370"/>
      <c r="L55" s="370"/>
      <c r="M55" s="370"/>
      <c r="N55" s="372"/>
      <c r="O55" s="372"/>
      <c r="P55" s="373"/>
      <c r="Q55" s="374"/>
      <c r="R55" s="378"/>
      <c r="S55" s="379"/>
      <c r="T55" s="366"/>
      <c r="U55" s="366"/>
      <c r="V55" s="366"/>
      <c r="W55" s="366"/>
    </row>
    <row r="56" spans="1:23">
      <c r="A56" s="1410"/>
      <c r="B56" s="1413"/>
      <c r="C56" s="845" t="s">
        <v>994</v>
      </c>
      <c r="D56" s="875" t="str">
        <f>B45&amp;C56</f>
        <v>B33m</v>
      </c>
      <c r="E56" s="367">
        <v>11</v>
      </c>
      <c r="F56" s="370"/>
      <c r="G56" s="368"/>
      <c r="H56" s="368"/>
      <c r="I56" s="368"/>
      <c r="J56" s="368"/>
      <c r="K56" s="370"/>
      <c r="L56" s="370"/>
      <c r="M56" s="370"/>
      <c r="N56" s="372"/>
      <c r="O56" s="372"/>
      <c r="P56" s="380"/>
      <c r="Q56" s="374"/>
      <c r="R56" s="381"/>
      <c r="S56" s="379"/>
      <c r="T56" s="366"/>
      <c r="U56" s="366"/>
      <c r="V56" s="366"/>
      <c r="W56" s="366"/>
    </row>
    <row r="57" spans="1:23">
      <c r="A57" s="1410"/>
      <c r="B57" s="1413"/>
      <c r="C57" s="845" t="s">
        <v>995</v>
      </c>
      <c r="D57" s="875" t="str">
        <f>B45&amp;C57</f>
        <v>B33n</v>
      </c>
      <c r="E57" s="367">
        <v>12</v>
      </c>
      <c r="F57" s="370"/>
      <c r="G57" s="368"/>
      <c r="H57" s="368"/>
      <c r="I57" s="368"/>
      <c r="J57" s="368"/>
      <c r="K57" s="370"/>
      <c r="L57" s="370"/>
      <c r="M57" s="370"/>
      <c r="N57" s="372"/>
      <c r="O57" s="372"/>
      <c r="P57" s="380"/>
      <c r="Q57" s="374"/>
      <c r="R57" s="381"/>
      <c r="S57" s="361"/>
      <c r="T57" s="361"/>
      <c r="U57" s="361"/>
      <c r="V57" s="366"/>
      <c r="W57" s="366"/>
    </row>
    <row r="58" spans="1:23">
      <c r="A58" s="1410"/>
      <c r="B58" s="1413"/>
      <c r="C58" s="845" t="s">
        <v>471</v>
      </c>
      <c r="D58" s="875" t="str">
        <f>B45&amp;C58</f>
        <v>B33x</v>
      </c>
      <c r="E58" s="367">
        <v>13</v>
      </c>
      <c r="F58" s="370"/>
      <c r="G58" s="368"/>
      <c r="H58" s="368"/>
      <c r="I58" s="368"/>
      <c r="J58" s="368"/>
      <c r="K58" s="370"/>
      <c r="L58" s="370"/>
      <c r="M58" s="370"/>
      <c r="N58" s="382"/>
      <c r="O58" s="372"/>
      <c r="P58" s="380"/>
      <c r="Q58" s="381"/>
      <c r="R58" s="381"/>
      <c r="S58" s="361"/>
      <c r="T58" s="361"/>
      <c r="U58" s="361"/>
      <c r="V58" s="366"/>
      <c r="W58" s="366"/>
    </row>
    <row r="59" spans="1:23">
      <c r="A59" s="1410"/>
      <c r="B59" s="1413"/>
      <c r="C59" s="845" t="s">
        <v>732</v>
      </c>
      <c r="D59" s="875" t="str">
        <f>B45&amp;C59</f>
        <v>B33y</v>
      </c>
      <c r="E59" s="367">
        <v>14</v>
      </c>
      <c r="F59" s="370"/>
      <c r="G59" s="368"/>
      <c r="H59" s="368"/>
      <c r="I59" s="368"/>
      <c r="J59" s="368"/>
      <c r="K59" s="370"/>
      <c r="L59" s="370"/>
      <c r="M59" s="370"/>
      <c r="N59" s="382"/>
      <c r="O59" s="372"/>
      <c r="P59" s="380"/>
      <c r="Q59" s="381"/>
      <c r="R59" s="381"/>
      <c r="S59" s="361"/>
      <c r="T59" s="361"/>
      <c r="U59" s="362"/>
      <c r="V59" s="366"/>
      <c r="W59" s="366"/>
    </row>
    <row r="60" spans="1:23">
      <c r="A60" s="1411"/>
      <c r="B60" s="1414"/>
      <c r="C60" s="846" t="s">
        <v>996</v>
      </c>
      <c r="D60" s="876" t="str">
        <f>B45&amp;C60</f>
        <v>B33z</v>
      </c>
      <c r="E60" s="847">
        <v>15</v>
      </c>
      <c r="F60" s="848"/>
      <c r="G60" s="849"/>
      <c r="H60" s="849"/>
      <c r="I60" s="849"/>
      <c r="J60" s="849"/>
      <c r="K60" s="848"/>
      <c r="L60" s="848"/>
      <c r="M60" s="848"/>
      <c r="N60" s="850"/>
      <c r="O60" s="851"/>
      <c r="P60" s="851"/>
      <c r="Q60" s="852"/>
      <c r="R60" s="383"/>
      <c r="S60" s="361"/>
      <c r="T60" s="832"/>
      <c r="U60" s="830"/>
      <c r="V60" s="366"/>
      <c r="W60" s="366"/>
    </row>
    <row r="61" spans="1:23">
      <c r="A61" s="1400" t="s">
        <v>939</v>
      </c>
      <c r="B61" s="1400" t="s">
        <v>17</v>
      </c>
      <c r="C61" s="827"/>
      <c r="D61" s="871"/>
      <c r="E61" s="1400" t="s">
        <v>177</v>
      </c>
      <c r="F61" s="1400" t="s">
        <v>18</v>
      </c>
      <c r="G61" s="1389" t="s">
        <v>19</v>
      </c>
      <c r="H61" s="1390"/>
      <c r="I61" s="1389" t="s">
        <v>22</v>
      </c>
      <c r="J61" s="1390"/>
      <c r="K61" s="1393" t="s">
        <v>26</v>
      </c>
      <c r="L61" s="1390"/>
      <c r="M61" s="1389" t="s">
        <v>392</v>
      </c>
      <c r="N61" s="1390"/>
      <c r="O61" s="1389" t="s">
        <v>28</v>
      </c>
      <c r="P61" s="1393"/>
      <c r="Q61" s="1390"/>
      <c r="R61" s="1400" t="s">
        <v>36</v>
      </c>
      <c r="S61" s="361"/>
      <c r="T61" s="361">
        <f>MAX(J65:J79)-MIN(I65:I79)</f>
        <v>0.14583333333333331</v>
      </c>
      <c r="U61" s="361"/>
      <c r="V61" s="853" t="str">
        <f t="shared" ref="V61" si="4">B65</f>
        <v>A43</v>
      </c>
      <c r="W61" s="361">
        <f t="shared" ref="W61" si="5">COUNTIF(K66:K80,"&gt;0")</f>
        <v>4</v>
      </c>
    </row>
    <row r="62" spans="1:23">
      <c r="A62" s="1401"/>
      <c r="B62" s="1401"/>
      <c r="C62" s="828"/>
      <c r="D62" s="872"/>
      <c r="E62" s="1401"/>
      <c r="F62" s="1401"/>
      <c r="G62" s="1391"/>
      <c r="H62" s="1392"/>
      <c r="I62" s="1391"/>
      <c r="J62" s="1392"/>
      <c r="K62" s="1394"/>
      <c r="L62" s="1392"/>
      <c r="M62" s="1391"/>
      <c r="N62" s="1392"/>
      <c r="O62" s="1391"/>
      <c r="P62" s="1394"/>
      <c r="Q62" s="1392"/>
      <c r="R62" s="1401"/>
      <c r="S62" s="361"/>
      <c r="T62" s="361"/>
      <c r="U62" s="361"/>
      <c r="V62" s="361"/>
      <c r="W62" s="361"/>
    </row>
    <row r="63" spans="1:23">
      <c r="A63" s="1401"/>
      <c r="B63" s="1401"/>
      <c r="C63" s="828"/>
      <c r="D63" s="872"/>
      <c r="E63" s="1401"/>
      <c r="F63" s="1401"/>
      <c r="G63" s="1400" t="s">
        <v>20</v>
      </c>
      <c r="H63" s="1400" t="s">
        <v>21</v>
      </c>
      <c r="I63" s="1400" t="s">
        <v>361</v>
      </c>
      <c r="J63" s="1400" t="s">
        <v>353</v>
      </c>
      <c r="K63" s="1400" t="s">
        <v>23</v>
      </c>
      <c r="L63" s="1400" t="s">
        <v>24</v>
      </c>
      <c r="M63" s="1400" t="s">
        <v>27</v>
      </c>
      <c r="N63" s="1400" t="s">
        <v>178</v>
      </c>
      <c r="O63" s="1400" t="s">
        <v>1</v>
      </c>
      <c r="P63" s="1400" t="s">
        <v>29</v>
      </c>
      <c r="Q63" s="1400" t="s">
        <v>33</v>
      </c>
      <c r="R63" s="1401"/>
      <c r="S63" s="361"/>
      <c r="T63" s="361" t="s">
        <v>39</v>
      </c>
      <c r="U63" s="362">
        <f>VLOOKUP(B65,'Thong tin'!$A:$M,13,0)</f>
        <v>1200</v>
      </c>
      <c r="V63" s="361"/>
      <c r="W63" s="361"/>
    </row>
    <row r="64" spans="1:23">
      <c r="A64" s="1402"/>
      <c r="B64" s="1402"/>
      <c r="C64" s="829"/>
      <c r="D64" s="873"/>
      <c r="E64" s="1402"/>
      <c r="F64" s="1402"/>
      <c r="G64" s="1402"/>
      <c r="H64" s="1402"/>
      <c r="I64" s="1402"/>
      <c r="J64" s="1402"/>
      <c r="K64" s="1402"/>
      <c r="L64" s="1402"/>
      <c r="M64" s="1402"/>
      <c r="N64" s="1402"/>
      <c r="O64" s="1402"/>
      <c r="P64" s="1402"/>
      <c r="Q64" s="1402"/>
      <c r="R64" s="1402"/>
      <c r="S64" s="361"/>
      <c r="T64" s="1399" t="s">
        <v>393</v>
      </c>
      <c r="U64" s="1397">
        <f>VLOOKUP(B65,DT.NK!$B:$AZ,45,0)</f>
        <v>31.6</v>
      </c>
      <c r="V64" s="361"/>
      <c r="W64" s="361"/>
    </row>
    <row r="65" spans="1:23">
      <c r="A65" s="1409">
        <f>A45+1</f>
        <v>4</v>
      </c>
      <c r="B65" s="1412" t="s">
        <v>694</v>
      </c>
      <c r="C65" s="844" t="s">
        <v>983</v>
      </c>
      <c r="D65" s="874" t="str">
        <f>B65&amp;C65</f>
        <v>A43a</v>
      </c>
      <c r="E65" s="363"/>
      <c r="F65" s="364"/>
      <c r="G65" s="364"/>
      <c r="H65" s="364"/>
      <c r="I65" s="364"/>
      <c r="J65" s="364"/>
      <c r="K65" s="364"/>
      <c r="L65" s="364"/>
      <c r="M65" s="674"/>
      <c r="N65" s="670"/>
      <c r="O65" s="670">
        <f>U64</f>
        <v>31.6</v>
      </c>
      <c r="P65" s="670">
        <f>O65</f>
        <v>31.6</v>
      </c>
      <c r="Q65" s="670">
        <v>0</v>
      </c>
      <c r="R65" s="365"/>
      <c r="S65" s="366"/>
      <c r="T65" s="1399"/>
      <c r="U65" s="1398"/>
      <c r="V65" s="361"/>
      <c r="W65" s="361"/>
    </row>
    <row r="66" spans="1:23">
      <c r="A66" s="1410"/>
      <c r="B66" s="1413"/>
      <c r="C66" s="845" t="s">
        <v>984</v>
      </c>
      <c r="D66" s="875" t="str">
        <f>B65&amp;C66</f>
        <v>A43b</v>
      </c>
      <c r="E66" s="367">
        <v>1</v>
      </c>
      <c r="F66" s="669" t="s">
        <v>980</v>
      </c>
      <c r="G66" s="369">
        <v>2.0833333333333332E-2</v>
      </c>
      <c r="H66" s="368">
        <v>5.5555555555555552E-2</v>
      </c>
      <c r="I66" s="369">
        <v>6.5972222222222224E-2</v>
      </c>
      <c r="J66" s="368">
        <v>6.9444444444444434E-2</v>
      </c>
      <c r="K66" s="669">
        <v>10</v>
      </c>
      <c r="L66" s="669">
        <v>19</v>
      </c>
      <c r="M66" s="675">
        <v>29.1</v>
      </c>
      <c r="N66" s="671">
        <f>IF(M66-P66&gt;0,M66-P66,0)</f>
        <v>3.7000000000000028</v>
      </c>
      <c r="O66" s="671">
        <f>O65-K66/(PI()*(U63/2000)^2)</f>
        <v>22.758058717116928</v>
      </c>
      <c r="P66" s="672">
        <v>25.4</v>
      </c>
      <c r="Q66" s="673">
        <f>ABS(O66-P66)</f>
        <v>2.6419412828830708</v>
      </c>
      <c r="R66" s="375" t="s">
        <v>188</v>
      </c>
      <c r="S66" s="366"/>
      <c r="T66" s="376"/>
      <c r="U66" s="376"/>
      <c r="V66" s="366"/>
      <c r="W66" s="366"/>
    </row>
    <row r="67" spans="1:23">
      <c r="A67" s="1410"/>
      <c r="B67" s="1413"/>
      <c r="C67" s="845" t="s">
        <v>985</v>
      </c>
      <c r="D67" s="875" t="str">
        <f>B65&amp;C67</f>
        <v>A43c</v>
      </c>
      <c r="E67" s="367">
        <v>2</v>
      </c>
      <c r="F67" s="669" t="s">
        <v>1007</v>
      </c>
      <c r="G67" s="369">
        <v>2.7777777777777776E-2</v>
      </c>
      <c r="H67" s="368">
        <v>6.25E-2</v>
      </c>
      <c r="I67" s="369">
        <v>7.2916666666666671E-2</v>
      </c>
      <c r="J67" s="368">
        <v>7.6388888888888895E-2</v>
      </c>
      <c r="K67" s="669">
        <v>10</v>
      </c>
      <c r="L67" s="669">
        <v>20</v>
      </c>
      <c r="M67" s="675">
        <v>22.8</v>
      </c>
      <c r="N67" s="671">
        <f>IF(M67-P67&gt;0,M67-P67,0)</f>
        <v>5.1000000000000014</v>
      </c>
      <c r="O67" s="671">
        <f>O66-K67/(PI()*(U63/2000)^2)</f>
        <v>13.916117434233854</v>
      </c>
      <c r="P67" s="672">
        <v>17.7</v>
      </c>
      <c r="Q67" s="673">
        <f>ABS(O67-P67)</f>
        <v>3.7838825657661452</v>
      </c>
      <c r="R67" s="375" t="s">
        <v>188</v>
      </c>
      <c r="S67" s="366"/>
      <c r="T67" s="376"/>
      <c r="U67" s="376"/>
      <c r="V67" s="366"/>
      <c r="W67" s="366"/>
    </row>
    <row r="68" spans="1:23">
      <c r="A68" s="1410"/>
      <c r="B68" s="1413"/>
      <c r="C68" s="845" t="s">
        <v>986</v>
      </c>
      <c r="D68" s="875" t="str">
        <f>B65&amp;C68</f>
        <v>A43d</v>
      </c>
      <c r="E68" s="367">
        <v>3</v>
      </c>
      <c r="F68" s="669" t="s">
        <v>1008</v>
      </c>
      <c r="G68" s="369">
        <v>3.4722222222222224E-2</v>
      </c>
      <c r="H68" s="368">
        <v>7.2916666666666671E-2</v>
      </c>
      <c r="I68" s="369">
        <v>7.6388888888888895E-2</v>
      </c>
      <c r="J68" s="368">
        <v>7.9861111111111105E-2</v>
      </c>
      <c r="K68" s="669">
        <v>10</v>
      </c>
      <c r="L68" s="669">
        <v>18.5</v>
      </c>
      <c r="M68" s="675">
        <v>13.35</v>
      </c>
      <c r="N68" s="671">
        <f>IF(M68-P68&gt;0,M68-P68,0)</f>
        <v>2.25</v>
      </c>
      <c r="O68" s="671">
        <f>O67-K68/(PI()*(U63/2000)^2)</f>
        <v>5.0741761513507804</v>
      </c>
      <c r="P68" s="672">
        <v>11.1</v>
      </c>
      <c r="Q68" s="673">
        <f>ABS(O68-P68)</f>
        <v>6.0258238486492193</v>
      </c>
      <c r="R68" s="375" t="s">
        <v>188</v>
      </c>
      <c r="S68" s="366"/>
      <c r="T68" s="376"/>
      <c r="U68" s="376"/>
      <c r="V68" s="366"/>
      <c r="W68" s="366"/>
    </row>
    <row r="69" spans="1:23">
      <c r="A69" s="1410"/>
      <c r="B69" s="1413"/>
      <c r="C69" s="845" t="s">
        <v>987</v>
      </c>
      <c r="D69" s="875" t="str">
        <f>B65&amp;C69</f>
        <v>A43e</v>
      </c>
      <c r="E69" s="367">
        <v>4</v>
      </c>
      <c r="F69" s="669" t="s">
        <v>980</v>
      </c>
      <c r="G69" s="369">
        <v>6.9444444444444434E-2</v>
      </c>
      <c r="H69" s="368">
        <v>0.10416666666666667</v>
      </c>
      <c r="I69" s="369">
        <v>0.20833333333333334</v>
      </c>
      <c r="J69" s="368">
        <v>0.21180555555555555</v>
      </c>
      <c r="K69" s="669">
        <v>4</v>
      </c>
      <c r="L69" s="370">
        <v>19</v>
      </c>
      <c r="M69" s="675">
        <v>13.35</v>
      </c>
      <c r="N69" s="671">
        <f>IF(M69-P69&gt;0,M69-P69,0)</f>
        <v>6.25</v>
      </c>
      <c r="O69" s="671">
        <f>O68-K69/(PI()*(U63/2000)^2)</f>
        <v>1.5373996381975505</v>
      </c>
      <c r="P69" s="373">
        <v>7.1</v>
      </c>
      <c r="Q69" s="673">
        <f>ABS(O69-P69)</f>
        <v>5.5626003618024491</v>
      </c>
      <c r="R69" s="375"/>
      <c r="S69" s="366"/>
      <c r="T69" s="376"/>
      <c r="U69" s="376"/>
      <c r="V69" s="366"/>
      <c r="W69" s="366"/>
    </row>
    <row r="70" spans="1:23">
      <c r="A70" s="1410"/>
      <c r="B70" s="1413"/>
      <c r="C70" s="845" t="s">
        <v>988</v>
      </c>
      <c r="D70" s="875" t="str">
        <f>B65&amp;C70</f>
        <v>A43f</v>
      </c>
      <c r="E70" s="367">
        <v>5</v>
      </c>
      <c r="F70" s="669"/>
      <c r="G70" s="369"/>
      <c r="H70" s="368"/>
      <c r="I70" s="369"/>
      <c r="J70" s="368"/>
      <c r="K70" s="669"/>
      <c r="L70" s="370"/>
      <c r="M70" s="371"/>
      <c r="N70" s="671"/>
      <c r="O70" s="671"/>
      <c r="P70" s="373"/>
      <c r="Q70" s="673"/>
      <c r="R70" s="377"/>
      <c r="S70" s="366" t="s">
        <v>190</v>
      </c>
      <c r="T70" s="376"/>
      <c r="U70" s="376"/>
      <c r="V70" s="366"/>
      <c r="W70" s="366"/>
    </row>
    <row r="71" spans="1:23">
      <c r="A71" s="1410"/>
      <c r="B71" s="1413"/>
      <c r="C71" s="845" t="s">
        <v>989</v>
      </c>
      <c r="D71" s="875" t="str">
        <f>B65&amp;C71</f>
        <v>A43g</v>
      </c>
      <c r="E71" s="367">
        <v>6</v>
      </c>
      <c r="F71" s="669"/>
      <c r="G71" s="369"/>
      <c r="H71" s="368"/>
      <c r="I71" s="369"/>
      <c r="J71" s="368"/>
      <c r="K71" s="669"/>
      <c r="L71" s="370"/>
      <c r="M71" s="371"/>
      <c r="N71" s="671"/>
      <c r="O71" s="671"/>
      <c r="P71" s="373"/>
      <c r="Q71" s="673"/>
      <c r="R71" s="375"/>
      <c r="S71" s="366" t="s">
        <v>190</v>
      </c>
      <c r="T71" s="366"/>
      <c r="U71" s="366"/>
      <c r="V71" s="366"/>
      <c r="W71" s="366"/>
    </row>
    <row r="72" spans="1:23">
      <c r="A72" s="1410"/>
      <c r="B72" s="1413"/>
      <c r="C72" s="845" t="s">
        <v>990</v>
      </c>
      <c r="D72" s="875" t="str">
        <f>B65&amp;C72</f>
        <v>A43h</v>
      </c>
      <c r="E72" s="367">
        <v>7</v>
      </c>
      <c r="F72" s="669"/>
      <c r="G72" s="368"/>
      <c r="H72" s="368"/>
      <c r="I72" s="368"/>
      <c r="J72" s="368"/>
      <c r="K72" s="669"/>
      <c r="L72" s="370"/>
      <c r="M72" s="371"/>
      <c r="N72" s="671"/>
      <c r="O72" s="671"/>
      <c r="P72" s="373"/>
      <c r="Q72" s="673"/>
      <c r="R72" s="377"/>
      <c r="S72" s="366" t="s">
        <v>190</v>
      </c>
      <c r="T72" s="366"/>
      <c r="U72" s="366"/>
      <c r="V72" s="366"/>
      <c r="W72" s="366"/>
    </row>
    <row r="73" spans="1:23">
      <c r="A73" s="1410"/>
      <c r="B73" s="1413"/>
      <c r="C73" s="845" t="s">
        <v>991</v>
      </c>
      <c r="D73" s="875" t="str">
        <f>B65&amp;C73</f>
        <v>A43i</v>
      </c>
      <c r="E73" s="367">
        <v>8</v>
      </c>
      <c r="F73" s="669"/>
      <c r="G73" s="368"/>
      <c r="H73" s="368"/>
      <c r="I73" s="368"/>
      <c r="J73" s="368"/>
      <c r="K73" s="370"/>
      <c r="L73" s="370"/>
      <c r="M73" s="371"/>
      <c r="N73" s="671"/>
      <c r="O73" s="671"/>
      <c r="P73" s="373"/>
      <c r="Q73" s="673"/>
      <c r="R73" s="378"/>
      <c r="S73" s="366"/>
      <c r="T73" s="366"/>
      <c r="U73" s="366"/>
      <c r="V73" s="366"/>
      <c r="W73" s="366"/>
    </row>
    <row r="74" spans="1:23">
      <c r="A74" s="1410"/>
      <c r="B74" s="1413"/>
      <c r="C74" s="845" t="s">
        <v>992</v>
      </c>
      <c r="D74" s="875" t="str">
        <f>B65&amp;C74</f>
        <v>A43k</v>
      </c>
      <c r="E74" s="367">
        <v>9</v>
      </c>
      <c r="F74" s="370"/>
      <c r="G74" s="368"/>
      <c r="H74" s="368"/>
      <c r="I74" s="368"/>
      <c r="J74" s="368"/>
      <c r="K74" s="370"/>
      <c r="L74" s="370"/>
      <c r="M74" s="371"/>
      <c r="N74" s="372"/>
      <c r="O74" s="372"/>
      <c r="P74" s="373"/>
      <c r="Q74" s="374"/>
      <c r="R74" s="378"/>
      <c r="S74" s="379"/>
      <c r="T74" s="366"/>
      <c r="U74" s="366"/>
      <c r="V74" s="366"/>
      <c r="W74" s="366"/>
    </row>
    <row r="75" spans="1:23">
      <c r="A75" s="1410"/>
      <c r="B75" s="1413"/>
      <c r="C75" s="845" t="s">
        <v>993</v>
      </c>
      <c r="D75" s="875" t="str">
        <f>B65&amp;C75</f>
        <v>A43l</v>
      </c>
      <c r="E75" s="367">
        <v>10</v>
      </c>
      <c r="F75" s="370"/>
      <c r="G75" s="368"/>
      <c r="H75" s="368"/>
      <c r="I75" s="368"/>
      <c r="J75" s="368"/>
      <c r="K75" s="370"/>
      <c r="L75" s="370"/>
      <c r="M75" s="370"/>
      <c r="N75" s="372"/>
      <c r="O75" s="372"/>
      <c r="P75" s="373"/>
      <c r="Q75" s="374"/>
      <c r="R75" s="378"/>
      <c r="S75" s="379"/>
      <c r="T75" s="366"/>
      <c r="U75" s="366"/>
      <c r="V75" s="366"/>
      <c r="W75" s="366"/>
    </row>
    <row r="76" spans="1:23">
      <c r="A76" s="1410"/>
      <c r="B76" s="1413"/>
      <c r="C76" s="845" t="s">
        <v>994</v>
      </c>
      <c r="D76" s="875" t="str">
        <f>B65&amp;C76</f>
        <v>A43m</v>
      </c>
      <c r="E76" s="367">
        <v>11</v>
      </c>
      <c r="F76" s="370"/>
      <c r="G76" s="368"/>
      <c r="H76" s="368"/>
      <c r="I76" s="368"/>
      <c r="J76" s="368"/>
      <c r="K76" s="370"/>
      <c r="L76" s="370"/>
      <c r="M76" s="370"/>
      <c r="N76" s="372"/>
      <c r="O76" s="372"/>
      <c r="P76" s="380"/>
      <c r="Q76" s="374"/>
      <c r="R76" s="381"/>
      <c r="S76" s="379"/>
      <c r="T76" s="366"/>
      <c r="U76" s="366"/>
      <c r="V76" s="366"/>
      <c r="W76" s="366"/>
    </row>
    <row r="77" spans="1:23">
      <c r="A77" s="1410"/>
      <c r="B77" s="1413"/>
      <c r="C77" s="845" t="s">
        <v>995</v>
      </c>
      <c r="D77" s="875" t="str">
        <f>B65&amp;C77</f>
        <v>A43n</v>
      </c>
      <c r="E77" s="367">
        <v>12</v>
      </c>
      <c r="F77" s="370"/>
      <c r="G77" s="368"/>
      <c r="H77" s="368"/>
      <c r="I77" s="368"/>
      <c r="J77" s="368"/>
      <c r="K77" s="370"/>
      <c r="L77" s="370"/>
      <c r="M77" s="370"/>
      <c r="N77" s="372"/>
      <c r="O77" s="372"/>
      <c r="P77" s="380"/>
      <c r="Q77" s="374"/>
      <c r="R77" s="381"/>
      <c r="S77" s="361"/>
      <c r="T77" s="361"/>
      <c r="U77" s="361"/>
      <c r="V77" s="366"/>
      <c r="W77" s="366"/>
    </row>
    <row r="78" spans="1:23">
      <c r="A78" s="1410"/>
      <c r="B78" s="1413"/>
      <c r="C78" s="845" t="s">
        <v>471</v>
      </c>
      <c r="D78" s="875" t="str">
        <f>B65&amp;C78</f>
        <v>A43x</v>
      </c>
      <c r="E78" s="367">
        <v>13</v>
      </c>
      <c r="F78" s="370"/>
      <c r="G78" s="368"/>
      <c r="H78" s="368"/>
      <c r="I78" s="368"/>
      <c r="J78" s="368"/>
      <c r="K78" s="370"/>
      <c r="L78" s="370"/>
      <c r="M78" s="370"/>
      <c r="N78" s="382"/>
      <c r="O78" s="372"/>
      <c r="P78" s="380"/>
      <c r="Q78" s="381"/>
      <c r="R78" s="381"/>
      <c r="S78" s="361"/>
      <c r="T78" s="361"/>
      <c r="U78" s="361"/>
      <c r="V78" s="366"/>
      <c r="W78" s="366"/>
    </row>
    <row r="79" spans="1:23">
      <c r="A79" s="1410"/>
      <c r="B79" s="1413"/>
      <c r="C79" s="845" t="s">
        <v>732</v>
      </c>
      <c r="D79" s="875" t="str">
        <f>B65&amp;C79</f>
        <v>A43y</v>
      </c>
      <c r="E79" s="367">
        <v>14</v>
      </c>
      <c r="F79" s="370"/>
      <c r="G79" s="368"/>
      <c r="H79" s="368"/>
      <c r="I79" s="368"/>
      <c r="J79" s="368"/>
      <c r="K79" s="370"/>
      <c r="L79" s="370"/>
      <c r="M79" s="370"/>
      <c r="N79" s="382"/>
      <c r="O79" s="372"/>
      <c r="P79" s="380"/>
      <c r="Q79" s="381"/>
      <c r="R79" s="381"/>
      <c r="S79" s="361"/>
      <c r="T79" s="361"/>
      <c r="U79" s="362"/>
      <c r="V79" s="366"/>
      <c r="W79" s="366"/>
    </row>
    <row r="80" spans="1:23">
      <c r="A80" s="1411"/>
      <c r="B80" s="1414"/>
      <c r="C80" s="846" t="s">
        <v>996</v>
      </c>
      <c r="D80" s="876" t="str">
        <f>B65&amp;C80</f>
        <v>A43z</v>
      </c>
      <c r="E80" s="847">
        <v>15</v>
      </c>
      <c r="F80" s="848"/>
      <c r="G80" s="849"/>
      <c r="H80" s="849"/>
      <c r="I80" s="849"/>
      <c r="J80" s="849"/>
      <c r="K80" s="848"/>
      <c r="L80" s="848"/>
      <c r="M80" s="848"/>
      <c r="N80" s="850"/>
      <c r="O80" s="851"/>
      <c r="P80" s="851"/>
      <c r="Q80" s="852"/>
      <c r="R80" s="383"/>
      <c r="S80" s="361"/>
      <c r="T80" s="832"/>
      <c r="U80" s="830"/>
      <c r="V80" s="366"/>
      <c r="W80" s="366"/>
    </row>
    <row r="81" spans="1:23">
      <c r="A81" s="1400" t="s">
        <v>939</v>
      </c>
      <c r="B81" s="1400" t="s">
        <v>17</v>
      </c>
      <c r="C81" s="827"/>
      <c r="D81" s="871"/>
      <c r="E81" s="1400" t="s">
        <v>177</v>
      </c>
      <c r="F81" s="1400" t="s">
        <v>18</v>
      </c>
      <c r="G81" s="1389" t="s">
        <v>19</v>
      </c>
      <c r="H81" s="1390"/>
      <c r="I81" s="1389" t="s">
        <v>22</v>
      </c>
      <c r="J81" s="1390"/>
      <c r="K81" s="1393" t="s">
        <v>26</v>
      </c>
      <c r="L81" s="1390"/>
      <c r="M81" s="1389" t="s">
        <v>392</v>
      </c>
      <c r="N81" s="1390"/>
      <c r="O81" s="1389" t="s">
        <v>28</v>
      </c>
      <c r="P81" s="1393"/>
      <c r="Q81" s="1390"/>
      <c r="R81" s="1400" t="s">
        <v>36</v>
      </c>
      <c r="S81" s="361"/>
      <c r="T81" s="361">
        <f>MAX(J85:J99)-MIN(I85:I99)</f>
        <v>1.3888888888888867E-2</v>
      </c>
      <c r="U81" s="361"/>
      <c r="V81" s="853" t="str">
        <f t="shared" ref="V81" si="6">B85</f>
        <v>B31</v>
      </c>
      <c r="W81" s="361">
        <f t="shared" ref="W81" si="7">COUNTIF(K86:K100,"&gt;0")</f>
        <v>2</v>
      </c>
    </row>
    <row r="82" spans="1:23">
      <c r="A82" s="1401"/>
      <c r="B82" s="1401"/>
      <c r="C82" s="828"/>
      <c r="D82" s="872"/>
      <c r="E82" s="1401"/>
      <c r="F82" s="1401"/>
      <c r="G82" s="1391"/>
      <c r="H82" s="1392"/>
      <c r="I82" s="1391"/>
      <c r="J82" s="1392"/>
      <c r="K82" s="1394"/>
      <c r="L82" s="1392"/>
      <c r="M82" s="1391"/>
      <c r="N82" s="1392"/>
      <c r="O82" s="1391"/>
      <c r="P82" s="1394"/>
      <c r="Q82" s="1392"/>
      <c r="R82" s="1401"/>
      <c r="S82" s="361"/>
      <c r="T82" s="361"/>
      <c r="U82" s="361"/>
      <c r="V82" s="361"/>
      <c r="W82" s="361"/>
    </row>
    <row r="83" spans="1:23">
      <c r="A83" s="1401"/>
      <c r="B83" s="1401"/>
      <c r="C83" s="828"/>
      <c r="D83" s="872"/>
      <c r="E83" s="1401"/>
      <c r="F83" s="1401"/>
      <c r="G83" s="1400" t="s">
        <v>20</v>
      </c>
      <c r="H83" s="1400" t="s">
        <v>21</v>
      </c>
      <c r="I83" s="1400" t="s">
        <v>361</v>
      </c>
      <c r="J83" s="1400" t="s">
        <v>353</v>
      </c>
      <c r="K83" s="1400" t="s">
        <v>23</v>
      </c>
      <c r="L83" s="1400" t="s">
        <v>24</v>
      </c>
      <c r="M83" s="1400" t="s">
        <v>27</v>
      </c>
      <c r="N83" s="1400" t="s">
        <v>178</v>
      </c>
      <c r="O83" s="1400" t="s">
        <v>1</v>
      </c>
      <c r="P83" s="1400" t="s">
        <v>29</v>
      </c>
      <c r="Q83" s="1400" t="s">
        <v>33</v>
      </c>
      <c r="R83" s="1401"/>
      <c r="S83" s="361"/>
      <c r="T83" s="361" t="s">
        <v>39</v>
      </c>
      <c r="U83" s="362">
        <f>VLOOKUP(B85,'Thong tin'!$A:$M,13,0)</f>
        <v>800</v>
      </c>
      <c r="V83" s="361"/>
      <c r="W83" s="361"/>
    </row>
    <row r="84" spans="1:23">
      <c r="A84" s="1402"/>
      <c r="B84" s="1402"/>
      <c r="C84" s="829"/>
      <c r="D84" s="873"/>
      <c r="E84" s="1402"/>
      <c r="F84" s="1402"/>
      <c r="G84" s="1402"/>
      <c r="H84" s="1402"/>
      <c r="I84" s="1402"/>
      <c r="J84" s="1402"/>
      <c r="K84" s="1402"/>
      <c r="L84" s="1402"/>
      <c r="M84" s="1402"/>
      <c r="N84" s="1402"/>
      <c r="O84" s="1402"/>
      <c r="P84" s="1402"/>
      <c r="Q84" s="1402"/>
      <c r="R84" s="1402"/>
      <c r="S84" s="361"/>
      <c r="T84" s="1399" t="s">
        <v>393</v>
      </c>
      <c r="U84" s="1397">
        <f>VLOOKUP(B85,DT.NK!$B:$AZ,45,0)</f>
        <v>26.7</v>
      </c>
      <c r="V84" s="361"/>
      <c r="W84" s="361"/>
    </row>
    <row r="85" spans="1:23">
      <c r="A85" s="1409">
        <f>A65+1</f>
        <v>5</v>
      </c>
      <c r="B85" s="1412" t="s">
        <v>562</v>
      </c>
      <c r="C85" s="844" t="s">
        <v>983</v>
      </c>
      <c r="D85" s="874" t="str">
        <f>B85&amp;C85</f>
        <v>B31a</v>
      </c>
      <c r="E85" s="363"/>
      <c r="F85" s="364"/>
      <c r="G85" s="364"/>
      <c r="H85" s="364"/>
      <c r="I85" s="364"/>
      <c r="J85" s="364"/>
      <c r="K85" s="364"/>
      <c r="L85" s="364"/>
      <c r="M85" s="674"/>
      <c r="N85" s="670"/>
      <c r="O85" s="670">
        <f>U84</f>
        <v>26.7</v>
      </c>
      <c r="P85" s="670">
        <f>O85</f>
        <v>26.7</v>
      </c>
      <c r="Q85" s="670">
        <v>0</v>
      </c>
      <c r="R85" s="365"/>
      <c r="S85" s="366"/>
      <c r="T85" s="1399"/>
      <c r="U85" s="1398"/>
      <c r="V85" s="361"/>
      <c r="W85" s="361"/>
    </row>
    <row r="86" spans="1:23">
      <c r="A86" s="1410"/>
      <c r="B86" s="1413"/>
      <c r="C86" s="845" t="s">
        <v>984</v>
      </c>
      <c r="D86" s="875" t="str">
        <f>B85&amp;C86</f>
        <v>B31b</v>
      </c>
      <c r="E86" s="367">
        <v>1</v>
      </c>
      <c r="F86" s="669" t="s">
        <v>1008</v>
      </c>
      <c r="G86" s="369">
        <v>5.2083333333333336E-2</v>
      </c>
      <c r="H86" s="368">
        <v>0.125</v>
      </c>
      <c r="I86" s="369">
        <v>0.1388888888888889</v>
      </c>
      <c r="J86" s="368">
        <v>0.1423611111111111</v>
      </c>
      <c r="K86" s="669">
        <v>7</v>
      </c>
      <c r="L86" s="669">
        <v>19</v>
      </c>
      <c r="M86" s="675">
        <v>19.399999999999999</v>
      </c>
      <c r="N86" s="671">
        <f>IF(M86-P86&gt;0,M86-P86,0)</f>
        <v>3.7999999999999989</v>
      </c>
      <c r="O86" s="671">
        <f>O85-K86/(PI()*(U83/2000)^2)</f>
        <v>12.773942479459159</v>
      </c>
      <c r="P86" s="672">
        <v>15.6</v>
      </c>
      <c r="Q86" s="673">
        <f>ABS(O86-P86)</f>
        <v>2.8260575205408411</v>
      </c>
      <c r="R86" s="375" t="s">
        <v>188</v>
      </c>
      <c r="S86" s="366"/>
      <c r="T86" s="376"/>
      <c r="U86" s="376"/>
      <c r="V86" s="366"/>
      <c r="W86" s="366"/>
    </row>
    <row r="87" spans="1:23">
      <c r="A87" s="1410"/>
      <c r="B87" s="1413"/>
      <c r="C87" s="845" t="s">
        <v>985</v>
      </c>
      <c r="D87" s="875" t="str">
        <f>B85&amp;C87</f>
        <v>B31c</v>
      </c>
      <c r="E87" s="367">
        <v>2</v>
      </c>
      <c r="F87" s="669" t="s">
        <v>1010</v>
      </c>
      <c r="G87" s="369">
        <v>5.9027777777777783E-2</v>
      </c>
      <c r="H87" s="368">
        <v>0.13541666666666666</v>
      </c>
      <c r="I87" s="369">
        <v>0.14930555555555555</v>
      </c>
      <c r="J87" s="368">
        <v>0.15277777777777776</v>
      </c>
      <c r="K87" s="669">
        <v>6</v>
      </c>
      <c r="L87" s="669">
        <v>20</v>
      </c>
      <c r="M87" s="675">
        <v>19.399999999999999</v>
      </c>
      <c r="N87" s="671">
        <f>IF(M87-P87&gt;0,M87-P87,0)</f>
        <v>15.2</v>
      </c>
      <c r="O87" s="671">
        <f>O86-K87/(PI()*(U83/2000)^2)</f>
        <v>0.8373217475670085</v>
      </c>
      <c r="P87" s="672">
        <v>4.2</v>
      </c>
      <c r="Q87" s="673">
        <f>ABS(O87-P87)</f>
        <v>3.3626782524329917</v>
      </c>
      <c r="R87" s="375" t="s">
        <v>188</v>
      </c>
      <c r="S87" s="366"/>
      <c r="T87" s="376"/>
      <c r="U87" s="376"/>
      <c r="V87" s="366"/>
      <c r="W87" s="366"/>
    </row>
    <row r="88" spans="1:23">
      <c r="A88" s="1410"/>
      <c r="B88" s="1413"/>
      <c r="C88" s="845" t="s">
        <v>986</v>
      </c>
      <c r="D88" s="875" t="str">
        <f>B85&amp;C88</f>
        <v>B31d</v>
      </c>
      <c r="E88" s="367">
        <v>3</v>
      </c>
      <c r="F88" s="669"/>
      <c r="G88" s="369"/>
      <c r="H88" s="368"/>
      <c r="I88" s="369"/>
      <c r="J88" s="368"/>
      <c r="K88" s="669"/>
      <c r="L88" s="669"/>
      <c r="M88" s="675"/>
      <c r="N88" s="671"/>
      <c r="O88" s="671"/>
      <c r="P88" s="672"/>
      <c r="Q88" s="673"/>
      <c r="R88" s="375"/>
      <c r="S88" s="366"/>
      <c r="T88" s="376"/>
      <c r="U88" s="376"/>
      <c r="V88" s="366"/>
      <c r="W88" s="366"/>
    </row>
    <row r="89" spans="1:23">
      <c r="A89" s="1410"/>
      <c r="B89" s="1413"/>
      <c r="C89" s="845" t="s">
        <v>987</v>
      </c>
      <c r="D89" s="875" t="str">
        <f>B85&amp;C89</f>
        <v>B31e</v>
      </c>
      <c r="E89" s="367">
        <v>4</v>
      </c>
      <c r="F89" s="669"/>
      <c r="G89" s="369"/>
      <c r="H89" s="368"/>
      <c r="I89" s="369"/>
      <c r="J89" s="368"/>
      <c r="K89" s="669"/>
      <c r="L89" s="370"/>
      <c r="M89" s="675"/>
      <c r="N89" s="671"/>
      <c r="O89" s="671"/>
      <c r="P89" s="373"/>
      <c r="Q89" s="673"/>
      <c r="R89" s="375"/>
      <c r="S89" s="366"/>
      <c r="T89" s="376"/>
      <c r="U89" s="376"/>
      <c r="V89" s="366"/>
      <c r="W89" s="366"/>
    </row>
    <row r="90" spans="1:23">
      <c r="A90" s="1410"/>
      <c r="B90" s="1413"/>
      <c r="C90" s="845" t="s">
        <v>988</v>
      </c>
      <c r="D90" s="875" t="str">
        <f>B85&amp;C90</f>
        <v>B31f</v>
      </c>
      <c r="E90" s="367">
        <v>5</v>
      </c>
      <c r="F90" s="669"/>
      <c r="G90" s="369"/>
      <c r="H90" s="368"/>
      <c r="I90" s="369"/>
      <c r="J90" s="368"/>
      <c r="K90" s="669"/>
      <c r="L90" s="370"/>
      <c r="M90" s="371"/>
      <c r="N90" s="671"/>
      <c r="O90" s="671"/>
      <c r="P90" s="373"/>
      <c r="Q90" s="673"/>
      <c r="R90" s="377"/>
      <c r="S90" s="366" t="s">
        <v>190</v>
      </c>
      <c r="T90" s="376"/>
      <c r="U90" s="376"/>
      <c r="V90" s="366"/>
      <c r="W90" s="366"/>
    </row>
    <row r="91" spans="1:23">
      <c r="A91" s="1410"/>
      <c r="B91" s="1413"/>
      <c r="C91" s="845" t="s">
        <v>989</v>
      </c>
      <c r="D91" s="875" t="str">
        <f>B85&amp;C91</f>
        <v>B31g</v>
      </c>
      <c r="E91" s="367">
        <v>6</v>
      </c>
      <c r="F91" s="669"/>
      <c r="G91" s="369"/>
      <c r="H91" s="368"/>
      <c r="I91" s="369"/>
      <c r="J91" s="368"/>
      <c r="K91" s="669"/>
      <c r="L91" s="370"/>
      <c r="M91" s="371"/>
      <c r="N91" s="671"/>
      <c r="O91" s="671"/>
      <c r="P91" s="373"/>
      <c r="Q91" s="673"/>
      <c r="R91" s="375"/>
      <c r="S91" s="366" t="s">
        <v>190</v>
      </c>
      <c r="T91" s="366"/>
      <c r="U91" s="366"/>
      <c r="V91" s="366"/>
      <c r="W91" s="366"/>
    </row>
    <row r="92" spans="1:23">
      <c r="A92" s="1410"/>
      <c r="B92" s="1413"/>
      <c r="C92" s="845" t="s">
        <v>990</v>
      </c>
      <c r="D92" s="875" t="str">
        <f>B85&amp;C92</f>
        <v>B31h</v>
      </c>
      <c r="E92" s="367">
        <v>7</v>
      </c>
      <c r="F92" s="669"/>
      <c r="G92" s="368"/>
      <c r="H92" s="368"/>
      <c r="I92" s="368"/>
      <c r="J92" s="368"/>
      <c r="K92" s="669"/>
      <c r="L92" s="370"/>
      <c r="M92" s="371"/>
      <c r="N92" s="671"/>
      <c r="O92" s="671"/>
      <c r="P92" s="373"/>
      <c r="Q92" s="673"/>
      <c r="R92" s="377"/>
      <c r="S92" s="366" t="s">
        <v>190</v>
      </c>
      <c r="T92" s="366"/>
      <c r="U92" s="366"/>
      <c r="V92" s="366"/>
      <c r="W92" s="366"/>
    </row>
    <row r="93" spans="1:23">
      <c r="A93" s="1410"/>
      <c r="B93" s="1413"/>
      <c r="C93" s="845" t="s">
        <v>991</v>
      </c>
      <c r="D93" s="875" t="str">
        <f>B85&amp;C93</f>
        <v>B31i</v>
      </c>
      <c r="E93" s="367">
        <v>8</v>
      </c>
      <c r="F93" s="669"/>
      <c r="G93" s="368"/>
      <c r="H93" s="368"/>
      <c r="I93" s="368"/>
      <c r="J93" s="368"/>
      <c r="K93" s="370"/>
      <c r="L93" s="370"/>
      <c r="M93" s="371"/>
      <c r="N93" s="671"/>
      <c r="O93" s="671"/>
      <c r="P93" s="373"/>
      <c r="Q93" s="673"/>
      <c r="R93" s="378"/>
      <c r="S93" s="366"/>
      <c r="T93" s="366"/>
      <c r="U93" s="366"/>
      <c r="V93" s="366"/>
      <c r="W93" s="366"/>
    </row>
    <row r="94" spans="1:23">
      <c r="A94" s="1410"/>
      <c r="B94" s="1413"/>
      <c r="C94" s="845" t="s">
        <v>992</v>
      </c>
      <c r="D94" s="875" t="str">
        <f>B85&amp;C94</f>
        <v>B31k</v>
      </c>
      <c r="E94" s="367">
        <v>9</v>
      </c>
      <c r="F94" s="370"/>
      <c r="G94" s="368"/>
      <c r="H94" s="368"/>
      <c r="I94" s="368"/>
      <c r="J94" s="368"/>
      <c r="K94" s="370"/>
      <c r="L94" s="370"/>
      <c r="M94" s="371"/>
      <c r="N94" s="372"/>
      <c r="O94" s="372"/>
      <c r="P94" s="373"/>
      <c r="Q94" s="374"/>
      <c r="R94" s="378"/>
      <c r="S94" s="379"/>
      <c r="T94" s="366"/>
      <c r="U94" s="366"/>
      <c r="V94" s="366"/>
      <c r="W94" s="366"/>
    </row>
    <row r="95" spans="1:23">
      <c r="A95" s="1410"/>
      <c r="B95" s="1413"/>
      <c r="C95" s="845" t="s">
        <v>993</v>
      </c>
      <c r="D95" s="875" t="str">
        <f>B85&amp;C95</f>
        <v>B31l</v>
      </c>
      <c r="E95" s="367">
        <v>10</v>
      </c>
      <c r="F95" s="370"/>
      <c r="G95" s="368"/>
      <c r="H95" s="368"/>
      <c r="I95" s="368"/>
      <c r="J95" s="368"/>
      <c r="K95" s="370"/>
      <c r="L95" s="370"/>
      <c r="M95" s="370"/>
      <c r="N95" s="372"/>
      <c r="O95" s="372"/>
      <c r="P95" s="373"/>
      <c r="Q95" s="374"/>
      <c r="R95" s="378"/>
      <c r="S95" s="379"/>
      <c r="T95" s="366"/>
      <c r="U95" s="366"/>
      <c r="V95" s="366"/>
      <c r="W95" s="366"/>
    </row>
    <row r="96" spans="1:23">
      <c r="A96" s="1410"/>
      <c r="B96" s="1413"/>
      <c r="C96" s="845" t="s">
        <v>994</v>
      </c>
      <c r="D96" s="875" t="str">
        <f>B85&amp;C96</f>
        <v>B31m</v>
      </c>
      <c r="E96" s="367">
        <v>11</v>
      </c>
      <c r="F96" s="370"/>
      <c r="G96" s="368"/>
      <c r="H96" s="368"/>
      <c r="I96" s="368"/>
      <c r="J96" s="368"/>
      <c r="K96" s="370"/>
      <c r="L96" s="370"/>
      <c r="M96" s="370"/>
      <c r="N96" s="372"/>
      <c r="O96" s="372"/>
      <c r="P96" s="380"/>
      <c r="Q96" s="374"/>
      <c r="R96" s="381"/>
      <c r="S96" s="379"/>
      <c r="T96" s="366"/>
      <c r="U96" s="366"/>
      <c r="V96" s="366"/>
      <c r="W96" s="366"/>
    </row>
    <row r="97" spans="1:23">
      <c r="A97" s="1410"/>
      <c r="B97" s="1413"/>
      <c r="C97" s="845" t="s">
        <v>995</v>
      </c>
      <c r="D97" s="875" t="str">
        <f>B85&amp;C97</f>
        <v>B31n</v>
      </c>
      <c r="E97" s="367">
        <v>12</v>
      </c>
      <c r="F97" s="370"/>
      <c r="G97" s="368"/>
      <c r="H97" s="368"/>
      <c r="I97" s="368"/>
      <c r="J97" s="368"/>
      <c r="K97" s="370"/>
      <c r="L97" s="370"/>
      <c r="M97" s="370"/>
      <c r="N97" s="372"/>
      <c r="O97" s="372"/>
      <c r="P97" s="380"/>
      <c r="Q97" s="374"/>
      <c r="R97" s="381"/>
      <c r="S97" s="361"/>
      <c r="T97" s="361"/>
      <c r="U97" s="361"/>
      <c r="V97" s="366"/>
      <c r="W97" s="366"/>
    </row>
    <row r="98" spans="1:23">
      <c r="A98" s="1410"/>
      <c r="B98" s="1413"/>
      <c r="C98" s="845" t="s">
        <v>471</v>
      </c>
      <c r="D98" s="875" t="str">
        <f>B85&amp;C98</f>
        <v>B31x</v>
      </c>
      <c r="E98" s="367">
        <v>13</v>
      </c>
      <c r="F98" s="370"/>
      <c r="G98" s="368"/>
      <c r="H98" s="368"/>
      <c r="I98" s="368"/>
      <c r="J98" s="368"/>
      <c r="K98" s="370"/>
      <c r="L98" s="370"/>
      <c r="M98" s="370"/>
      <c r="N98" s="382"/>
      <c r="O98" s="372"/>
      <c r="P98" s="380"/>
      <c r="Q98" s="381"/>
      <c r="R98" s="381"/>
      <c r="S98" s="361"/>
      <c r="T98" s="361"/>
      <c r="U98" s="361"/>
      <c r="V98" s="366"/>
      <c r="W98" s="366"/>
    </row>
    <row r="99" spans="1:23">
      <c r="A99" s="1410"/>
      <c r="B99" s="1413"/>
      <c r="C99" s="845" t="s">
        <v>732</v>
      </c>
      <c r="D99" s="875" t="str">
        <f>B85&amp;C99</f>
        <v>B31y</v>
      </c>
      <c r="E99" s="367">
        <v>14</v>
      </c>
      <c r="F99" s="370"/>
      <c r="G99" s="368"/>
      <c r="H99" s="368"/>
      <c r="I99" s="368"/>
      <c r="J99" s="368"/>
      <c r="K99" s="370"/>
      <c r="L99" s="370"/>
      <c r="M99" s="370"/>
      <c r="N99" s="382"/>
      <c r="O99" s="372"/>
      <c r="P99" s="380"/>
      <c r="Q99" s="381"/>
      <c r="R99" s="381"/>
      <c r="S99" s="361"/>
      <c r="T99" s="361"/>
      <c r="U99" s="362"/>
      <c r="V99" s="366"/>
      <c r="W99" s="366"/>
    </row>
    <row r="100" spans="1:23">
      <c r="A100" s="1411"/>
      <c r="B100" s="1414"/>
      <c r="C100" s="846" t="s">
        <v>996</v>
      </c>
      <c r="D100" s="876" t="str">
        <f>B85&amp;C100</f>
        <v>B31z</v>
      </c>
      <c r="E100" s="847">
        <v>15</v>
      </c>
      <c r="F100" s="848"/>
      <c r="G100" s="849"/>
      <c r="H100" s="849"/>
      <c r="I100" s="849"/>
      <c r="J100" s="849"/>
      <c r="K100" s="848"/>
      <c r="L100" s="848"/>
      <c r="M100" s="848"/>
      <c r="N100" s="850"/>
      <c r="O100" s="851"/>
      <c r="P100" s="851"/>
      <c r="Q100" s="852"/>
      <c r="R100" s="383"/>
      <c r="S100" s="361"/>
      <c r="T100" s="832"/>
      <c r="U100" s="830"/>
      <c r="V100" s="366"/>
      <c r="W100" s="366"/>
    </row>
    <row r="101" spans="1:23">
      <c r="A101" s="1400" t="s">
        <v>939</v>
      </c>
      <c r="B101" s="1400" t="s">
        <v>17</v>
      </c>
      <c r="C101" s="827"/>
      <c r="D101" s="871"/>
      <c r="E101" s="1400" t="s">
        <v>177</v>
      </c>
      <c r="F101" s="1400" t="s">
        <v>18</v>
      </c>
      <c r="G101" s="1389" t="s">
        <v>19</v>
      </c>
      <c r="H101" s="1390"/>
      <c r="I101" s="1389" t="s">
        <v>22</v>
      </c>
      <c r="J101" s="1390"/>
      <c r="K101" s="1393" t="s">
        <v>26</v>
      </c>
      <c r="L101" s="1390"/>
      <c r="M101" s="1389" t="s">
        <v>392</v>
      </c>
      <c r="N101" s="1390"/>
      <c r="O101" s="1389" t="s">
        <v>28</v>
      </c>
      <c r="P101" s="1393"/>
      <c r="Q101" s="1390"/>
      <c r="R101" s="1400" t="s">
        <v>36</v>
      </c>
      <c r="S101" s="361"/>
      <c r="T101" s="361">
        <f>MAX(J105:J119)-MIN(I105:I119)</f>
        <v>9.722222222222221E-2</v>
      </c>
      <c r="U101" s="361"/>
      <c r="V101" s="853" t="str">
        <f t="shared" ref="V101" si="8">B105</f>
        <v>A63</v>
      </c>
      <c r="W101" s="361">
        <f t="shared" ref="W101" si="9">COUNTIF(K106:K120,"&gt;0")</f>
        <v>6</v>
      </c>
    </row>
    <row r="102" spans="1:23">
      <c r="A102" s="1401"/>
      <c r="B102" s="1401"/>
      <c r="C102" s="828"/>
      <c r="D102" s="872"/>
      <c r="E102" s="1401"/>
      <c r="F102" s="1401"/>
      <c r="G102" s="1391"/>
      <c r="H102" s="1392"/>
      <c r="I102" s="1391"/>
      <c r="J102" s="1392"/>
      <c r="K102" s="1394"/>
      <c r="L102" s="1392"/>
      <c r="M102" s="1391"/>
      <c r="N102" s="1392"/>
      <c r="O102" s="1391"/>
      <c r="P102" s="1394"/>
      <c r="Q102" s="1392"/>
      <c r="R102" s="1401"/>
      <c r="S102" s="361"/>
      <c r="T102" s="361"/>
      <c r="U102" s="361"/>
      <c r="V102" s="361"/>
      <c r="W102" s="361"/>
    </row>
    <row r="103" spans="1:23">
      <c r="A103" s="1401"/>
      <c r="B103" s="1401"/>
      <c r="C103" s="828"/>
      <c r="D103" s="872"/>
      <c r="E103" s="1401"/>
      <c r="F103" s="1401"/>
      <c r="G103" s="1400" t="s">
        <v>20</v>
      </c>
      <c r="H103" s="1400" t="s">
        <v>21</v>
      </c>
      <c r="I103" s="1400" t="s">
        <v>361</v>
      </c>
      <c r="J103" s="1400" t="s">
        <v>353</v>
      </c>
      <c r="K103" s="1400" t="s">
        <v>23</v>
      </c>
      <c r="L103" s="1400" t="s">
        <v>24</v>
      </c>
      <c r="M103" s="1400" t="s">
        <v>27</v>
      </c>
      <c r="N103" s="1400" t="s">
        <v>178</v>
      </c>
      <c r="O103" s="1400" t="s">
        <v>1</v>
      </c>
      <c r="P103" s="1400" t="s">
        <v>29</v>
      </c>
      <c r="Q103" s="1400" t="s">
        <v>33</v>
      </c>
      <c r="R103" s="1401"/>
      <c r="S103" s="361"/>
      <c r="T103" s="361" t="s">
        <v>39</v>
      </c>
      <c r="U103" s="362">
        <f>VLOOKUP(B105,'Thong tin'!$A:$M,13,0)</f>
        <v>1200</v>
      </c>
      <c r="V103" s="361"/>
      <c r="W103" s="361"/>
    </row>
    <row r="104" spans="1:23">
      <c r="A104" s="1402"/>
      <c r="B104" s="1402"/>
      <c r="C104" s="829"/>
      <c r="D104" s="873"/>
      <c r="E104" s="1402"/>
      <c r="F104" s="1402"/>
      <c r="G104" s="1402"/>
      <c r="H104" s="1402"/>
      <c r="I104" s="1402"/>
      <c r="J104" s="1402"/>
      <c r="K104" s="1402"/>
      <c r="L104" s="1402"/>
      <c r="M104" s="1402"/>
      <c r="N104" s="1402"/>
      <c r="O104" s="1402"/>
      <c r="P104" s="1402"/>
      <c r="Q104" s="1402"/>
      <c r="R104" s="1402"/>
      <c r="S104" s="361"/>
      <c r="T104" s="1399" t="s">
        <v>393</v>
      </c>
      <c r="U104" s="1397">
        <f>VLOOKUP(B105,DT.NK!$B:$AZ,45,0)</f>
        <v>38.619999999999997</v>
      </c>
      <c r="V104" s="361"/>
      <c r="W104" s="361"/>
    </row>
    <row r="105" spans="1:23">
      <c r="A105" s="1409">
        <f>A85+1</f>
        <v>6</v>
      </c>
      <c r="B105" s="1412" t="s">
        <v>574</v>
      </c>
      <c r="C105" s="844" t="s">
        <v>983</v>
      </c>
      <c r="D105" s="874" t="str">
        <f>B105&amp;C105</f>
        <v>A63a</v>
      </c>
      <c r="E105" s="363"/>
      <c r="F105" s="364"/>
      <c r="G105" s="364"/>
      <c r="H105" s="364"/>
      <c r="I105" s="364"/>
      <c r="J105" s="364"/>
      <c r="K105" s="364"/>
      <c r="L105" s="364"/>
      <c r="M105" s="674"/>
      <c r="N105" s="670"/>
      <c r="O105" s="670">
        <f>U104</f>
        <v>38.619999999999997</v>
      </c>
      <c r="P105" s="670">
        <f>O105</f>
        <v>38.619999999999997</v>
      </c>
      <c r="Q105" s="670">
        <v>0</v>
      </c>
      <c r="R105" s="365"/>
      <c r="S105" s="366"/>
      <c r="T105" s="1399"/>
      <c r="U105" s="1398"/>
      <c r="V105" s="361"/>
      <c r="W105" s="361"/>
    </row>
    <row r="106" spans="1:23">
      <c r="A106" s="1410"/>
      <c r="B106" s="1413"/>
      <c r="C106" s="845" t="s">
        <v>984</v>
      </c>
      <c r="D106" s="875" t="str">
        <f>B105&amp;C106</f>
        <v>A63b</v>
      </c>
      <c r="E106" s="367">
        <v>1</v>
      </c>
      <c r="F106" s="669" t="s">
        <v>1010</v>
      </c>
      <c r="G106" s="369">
        <v>0.37847222222222227</v>
      </c>
      <c r="H106" s="368">
        <v>0.40972222222222227</v>
      </c>
      <c r="I106" s="369">
        <v>0.4375</v>
      </c>
      <c r="J106" s="368">
        <v>0.44166666666666665</v>
      </c>
      <c r="K106" s="669">
        <v>9</v>
      </c>
      <c r="L106" s="669">
        <v>18</v>
      </c>
      <c r="M106" s="675">
        <v>38.619999999999997</v>
      </c>
      <c r="N106" s="671">
        <f t="shared" ref="N106:N111" si="10">IF(M106-P106&gt;0,M106-P106,0)</f>
        <v>2.9199999999999946</v>
      </c>
      <c r="O106" s="671">
        <f>O105-K106/(PI()*(U103/2000)^2)</f>
        <v>30.662252845405231</v>
      </c>
      <c r="P106" s="672">
        <v>35.700000000000003</v>
      </c>
      <c r="Q106" s="673">
        <f t="shared" ref="Q106:Q111" si="11">ABS(O106-P106)</f>
        <v>5.0377471545947721</v>
      </c>
      <c r="R106" s="375" t="s">
        <v>188</v>
      </c>
      <c r="S106" s="366"/>
      <c r="T106" s="376"/>
      <c r="U106" s="376"/>
      <c r="V106" s="366"/>
      <c r="W106" s="366"/>
    </row>
    <row r="107" spans="1:23">
      <c r="A107" s="1410"/>
      <c r="B107" s="1413"/>
      <c r="C107" s="845" t="s">
        <v>985</v>
      </c>
      <c r="D107" s="875" t="str">
        <f>B105&amp;C107</f>
        <v>A63c</v>
      </c>
      <c r="E107" s="367">
        <v>2</v>
      </c>
      <c r="F107" s="669" t="s">
        <v>1007</v>
      </c>
      <c r="G107" s="369">
        <v>0.38541666666666669</v>
      </c>
      <c r="H107" s="368">
        <v>0.42083333333333334</v>
      </c>
      <c r="I107" s="369">
        <v>0.44791666666666669</v>
      </c>
      <c r="J107" s="368">
        <v>0.4513888888888889</v>
      </c>
      <c r="K107" s="669">
        <v>9</v>
      </c>
      <c r="L107" s="669">
        <v>18</v>
      </c>
      <c r="M107" s="675">
        <v>36.619999999999997</v>
      </c>
      <c r="N107" s="671">
        <f t="shared" si="10"/>
        <v>4.1199999999999974</v>
      </c>
      <c r="O107" s="671">
        <f>O106-K107/(PI()*(U103/2000)^2)</f>
        <v>22.704505690810464</v>
      </c>
      <c r="P107" s="672">
        <v>32.5</v>
      </c>
      <c r="Q107" s="673">
        <f t="shared" si="11"/>
        <v>9.7954943091895359</v>
      </c>
      <c r="R107" s="375" t="s">
        <v>188</v>
      </c>
      <c r="S107" s="366"/>
      <c r="T107" s="376"/>
      <c r="U107" s="376"/>
      <c r="V107" s="366"/>
      <c r="W107" s="366"/>
    </row>
    <row r="108" spans="1:23">
      <c r="A108" s="1410"/>
      <c r="B108" s="1413"/>
      <c r="C108" s="845" t="s">
        <v>986</v>
      </c>
      <c r="D108" s="875" t="str">
        <f>B105&amp;C108</f>
        <v>A63d</v>
      </c>
      <c r="E108" s="367">
        <v>3</v>
      </c>
      <c r="F108" s="669" t="s">
        <v>980</v>
      </c>
      <c r="G108" s="369">
        <v>0.41736111111111113</v>
      </c>
      <c r="H108" s="368">
        <v>0.44791666666666669</v>
      </c>
      <c r="I108" s="369">
        <v>0.45555555555555555</v>
      </c>
      <c r="J108" s="368">
        <v>0.45902777777777781</v>
      </c>
      <c r="K108" s="669">
        <v>9</v>
      </c>
      <c r="L108" s="669">
        <v>19</v>
      </c>
      <c r="M108" s="675">
        <v>30.32</v>
      </c>
      <c r="N108" s="671">
        <f t="shared" si="10"/>
        <v>3.5199999999999996</v>
      </c>
      <c r="O108" s="671">
        <f>O107-K108/(PI()*(U103/2000)^2)</f>
        <v>14.746758536215697</v>
      </c>
      <c r="P108" s="672">
        <v>26.8</v>
      </c>
      <c r="Q108" s="673">
        <f t="shared" si="11"/>
        <v>12.053241463784303</v>
      </c>
      <c r="R108" s="375" t="s">
        <v>188</v>
      </c>
      <c r="S108" s="366"/>
      <c r="T108" s="376"/>
      <c r="U108" s="376"/>
      <c r="V108" s="366"/>
      <c r="W108" s="366"/>
    </row>
    <row r="109" spans="1:23">
      <c r="A109" s="1410"/>
      <c r="B109" s="1413"/>
      <c r="C109" s="845" t="s">
        <v>987</v>
      </c>
      <c r="D109" s="875" t="str">
        <f>B105&amp;C109</f>
        <v>A63e</v>
      </c>
      <c r="E109" s="367">
        <v>4</v>
      </c>
      <c r="F109" s="669" t="s">
        <v>1008</v>
      </c>
      <c r="G109" s="369">
        <v>0.43055555555555558</v>
      </c>
      <c r="H109" s="368">
        <v>0.46875</v>
      </c>
      <c r="I109" s="369">
        <v>0.47222222222222227</v>
      </c>
      <c r="J109" s="368">
        <v>0.47569444444444442</v>
      </c>
      <c r="K109" s="669">
        <v>9</v>
      </c>
      <c r="L109" s="370">
        <v>18</v>
      </c>
      <c r="M109" s="675">
        <v>27.17</v>
      </c>
      <c r="N109" s="671">
        <f t="shared" si="10"/>
        <v>5.4700000000000024</v>
      </c>
      <c r="O109" s="671">
        <f>O108-K109/(PI()*(U103/2000)^2)</f>
        <v>6.7890113816209308</v>
      </c>
      <c r="P109" s="373">
        <v>21.7</v>
      </c>
      <c r="Q109" s="673">
        <f t="shared" si="11"/>
        <v>14.910988618379069</v>
      </c>
      <c r="R109" s="375"/>
      <c r="S109" s="366"/>
      <c r="T109" s="376"/>
      <c r="U109" s="376"/>
      <c r="V109" s="366"/>
      <c r="W109" s="366"/>
    </row>
    <row r="110" spans="1:23">
      <c r="A110" s="1410"/>
      <c r="B110" s="1413"/>
      <c r="C110" s="845" t="s">
        <v>988</v>
      </c>
      <c r="D110" s="875" t="str">
        <f>B105&amp;C110</f>
        <v>A63f</v>
      </c>
      <c r="E110" s="367">
        <v>5</v>
      </c>
      <c r="F110" s="669" t="s">
        <v>1010</v>
      </c>
      <c r="G110" s="369">
        <v>0.4513888888888889</v>
      </c>
      <c r="H110" s="368">
        <v>0.4909722222222222</v>
      </c>
      <c r="I110" s="369">
        <v>0.49652777777777773</v>
      </c>
      <c r="J110" s="368">
        <v>0.5</v>
      </c>
      <c r="K110" s="669">
        <v>9</v>
      </c>
      <c r="L110" s="370">
        <v>19</v>
      </c>
      <c r="M110" s="371">
        <v>17.72</v>
      </c>
      <c r="N110" s="671">
        <f t="shared" si="10"/>
        <v>3.7199999999999989</v>
      </c>
      <c r="O110" s="671">
        <f>O109-K110/(PI()*(U103/2000)^2)</f>
        <v>-1.1687357729738359</v>
      </c>
      <c r="P110" s="373">
        <v>14</v>
      </c>
      <c r="Q110" s="673">
        <f t="shared" si="11"/>
        <v>15.168735772973836</v>
      </c>
      <c r="R110" s="377"/>
      <c r="S110" s="366" t="s">
        <v>190</v>
      </c>
      <c r="T110" s="376"/>
      <c r="U110" s="376"/>
      <c r="V110" s="366"/>
      <c r="W110" s="366"/>
    </row>
    <row r="111" spans="1:23">
      <c r="A111" s="1410"/>
      <c r="B111" s="1413"/>
      <c r="C111" s="845" t="s">
        <v>989</v>
      </c>
      <c r="D111" s="875" t="str">
        <f>B105&amp;C111</f>
        <v>A63g</v>
      </c>
      <c r="E111" s="367">
        <v>6</v>
      </c>
      <c r="F111" s="669" t="s">
        <v>1007</v>
      </c>
      <c r="G111" s="369">
        <v>0.49374999999999997</v>
      </c>
      <c r="H111" s="368">
        <v>0.52916666666666667</v>
      </c>
      <c r="I111" s="369">
        <v>0.53125</v>
      </c>
      <c r="J111" s="368">
        <v>0.53472222222222221</v>
      </c>
      <c r="K111" s="669">
        <v>9</v>
      </c>
      <c r="L111" s="370">
        <v>19</v>
      </c>
      <c r="M111" s="371">
        <v>11.42</v>
      </c>
      <c r="N111" s="671">
        <f t="shared" si="10"/>
        <v>4.92</v>
      </c>
      <c r="O111" s="671">
        <f>O110-K111/(PI()*(U103/2000)^2)</f>
        <v>-9.1264829275686026</v>
      </c>
      <c r="P111" s="373">
        <v>6.5</v>
      </c>
      <c r="Q111" s="673">
        <f t="shared" si="11"/>
        <v>15.626482927568603</v>
      </c>
      <c r="R111" s="375"/>
      <c r="S111" s="366" t="s">
        <v>190</v>
      </c>
      <c r="T111" s="366"/>
      <c r="U111" s="366"/>
      <c r="V111" s="366"/>
      <c r="W111" s="366"/>
    </row>
    <row r="112" spans="1:23">
      <c r="A112" s="1410"/>
      <c r="B112" s="1413"/>
      <c r="C112" s="845" t="s">
        <v>990</v>
      </c>
      <c r="D112" s="875" t="str">
        <f>B105&amp;C112</f>
        <v>A63h</v>
      </c>
      <c r="E112" s="367">
        <v>7</v>
      </c>
      <c r="F112" s="669"/>
      <c r="G112" s="368"/>
      <c r="H112" s="368"/>
      <c r="I112" s="368"/>
      <c r="J112" s="368"/>
      <c r="K112" s="669"/>
      <c r="L112" s="370"/>
      <c r="M112" s="371"/>
      <c r="N112" s="671"/>
      <c r="O112" s="671"/>
      <c r="P112" s="373"/>
      <c r="Q112" s="673"/>
      <c r="R112" s="377"/>
      <c r="S112" s="366" t="s">
        <v>190</v>
      </c>
      <c r="T112" s="366"/>
      <c r="U112" s="366"/>
      <c r="V112" s="366"/>
      <c r="W112" s="366"/>
    </row>
    <row r="113" spans="1:23">
      <c r="A113" s="1410"/>
      <c r="B113" s="1413"/>
      <c r="C113" s="845" t="s">
        <v>991</v>
      </c>
      <c r="D113" s="875" t="str">
        <f>B105&amp;C113</f>
        <v>A63i</v>
      </c>
      <c r="E113" s="367">
        <v>8</v>
      </c>
      <c r="F113" s="669"/>
      <c r="G113" s="368"/>
      <c r="H113" s="368"/>
      <c r="I113" s="368"/>
      <c r="J113" s="368"/>
      <c r="K113" s="370"/>
      <c r="L113" s="370"/>
      <c r="M113" s="371"/>
      <c r="N113" s="671"/>
      <c r="O113" s="671"/>
      <c r="P113" s="373"/>
      <c r="Q113" s="673"/>
      <c r="R113" s="378"/>
      <c r="S113" s="366"/>
      <c r="T113" s="366"/>
      <c r="U113" s="366"/>
      <c r="V113" s="366"/>
      <c r="W113" s="366"/>
    </row>
    <row r="114" spans="1:23">
      <c r="A114" s="1410"/>
      <c r="B114" s="1413"/>
      <c r="C114" s="845" t="s">
        <v>992</v>
      </c>
      <c r="D114" s="875" t="str">
        <f>B105&amp;C114</f>
        <v>A63k</v>
      </c>
      <c r="E114" s="367">
        <v>9</v>
      </c>
      <c r="F114" s="370"/>
      <c r="G114" s="368"/>
      <c r="H114" s="368"/>
      <c r="I114" s="368"/>
      <c r="J114" s="368"/>
      <c r="K114" s="370"/>
      <c r="L114" s="370"/>
      <c r="M114" s="371"/>
      <c r="N114" s="372"/>
      <c r="O114" s="372"/>
      <c r="P114" s="373"/>
      <c r="Q114" s="374"/>
      <c r="R114" s="378"/>
      <c r="S114" s="379"/>
      <c r="T114" s="366"/>
      <c r="U114" s="366"/>
      <c r="V114" s="366"/>
      <c r="W114" s="366"/>
    </row>
    <row r="115" spans="1:23">
      <c r="A115" s="1410"/>
      <c r="B115" s="1413"/>
      <c r="C115" s="845" t="s">
        <v>993</v>
      </c>
      <c r="D115" s="875" t="str">
        <f>B105&amp;C115</f>
        <v>A63l</v>
      </c>
      <c r="E115" s="367">
        <v>10</v>
      </c>
      <c r="F115" s="370"/>
      <c r="G115" s="368"/>
      <c r="H115" s="368"/>
      <c r="I115" s="368"/>
      <c r="J115" s="368"/>
      <c r="K115" s="370"/>
      <c r="L115" s="370"/>
      <c r="M115" s="370"/>
      <c r="N115" s="372"/>
      <c r="O115" s="372"/>
      <c r="P115" s="373"/>
      <c r="Q115" s="374"/>
      <c r="R115" s="378"/>
      <c r="S115" s="379"/>
      <c r="T115" s="366"/>
      <c r="U115" s="366"/>
      <c r="V115" s="366"/>
      <c r="W115" s="366"/>
    </row>
    <row r="116" spans="1:23">
      <c r="A116" s="1410"/>
      <c r="B116" s="1413"/>
      <c r="C116" s="845" t="s">
        <v>994</v>
      </c>
      <c r="D116" s="875" t="str">
        <f>B105&amp;C116</f>
        <v>A63m</v>
      </c>
      <c r="E116" s="367">
        <v>11</v>
      </c>
      <c r="F116" s="370"/>
      <c r="G116" s="368"/>
      <c r="H116" s="368"/>
      <c r="I116" s="368"/>
      <c r="J116" s="368"/>
      <c r="K116" s="370"/>
      <c r="L116" s="370"/>
      <c r="M116" s="370"/>
      <c r="N116" s="372"/>
      <c r="O116" s="372"/>
      <c r="P116" s="380"/>
      <c r="Q116" s="374"/>
      <c r="R116" s="381"/>
      <c r="S116" s="379"/>
      <c r="T116" s="366"/>
      <c r="U116" s="366"/>
      <c r="V116" s="366"/>
      <c r="W116" s="366"/>
    </row>
    <row r="117" spans="1:23">
      <c r="A117" s="1410"/>
      <c r="B117" s="1413"/>
      <c r="C117" s="845" t="s">
        <v>995</v>
      </c>
      <c r="D117" s="875" t="str">
        <f>B105&amp;C117</f>
        <v>A63n</v>
      </c>
      <c r="E117" s="367">
        <v>12</v>
      </c>
      <c r="F117" s="370"/>
      <c r="G117" s="368"/>
      <c r="H117" s="368"/>
      <c r="I117" s="368"/>
      <c r="J117" s="368"/>
      <c r="K117" s="370"/>
      <c r="L117" s="370"/>
      <c r="M117" s="370"/>
      <c r="N117" s="372"/>
      <c r="O117" s="372"/>
      <c r="P117" s="380"/>
      <c r="Q117" s="374"/>
      <c r="R117" s="381"/>
      <c r="S117" s="361"/>
      <c r="T117" s="361"/>
      <c r="U117" s="361"/>
      <c r="V117" s="366"/>
      <c r="W117" s="366"/>
    </row>
    <row r="118" spans="1:23">
      <c r="A118" s="1410"/>
      <c r="B118" s="1413"/>
      <c r="C118" s="845" t="s">
        <v>471</v>
      </c>
      <c r="D118" s="875" t="str">
        <f>B105&amp;C118</f>
        <v>A63x</v>
      </c>
      <c r="E118" s="367">
        <v>13</v>
      </c>
      <c r="F118" s="370"/>
      <c r="G118" s="368"/>
      <c r="H118" s="368"/>
      <c r="I118" s="368"/>
      <c r="J118" s="368"/>
      <c r="K118" s="370"/>
      <c r="L118" s="370"/>
      <c r="M118" s="370"/>
      <c r="N118" s="382"/>
      <c r="O118" s="372"/>
      <c r="P118" s="380"/>
      <c r="Q118" s="381"/>
      <c r="R118" s="381"/>
      <c r="S118" s="361"/>
      <c r="T118" s="361"/>
      <c r="U118" s="361"/>
      <c r="V118" s="366"/>
      <c r="W118" s="366"/>
    </row>
    <row r="119" spans="1:23">
      <c r="A119" s="1410"/>
      <c r="B119" s="1413"/>
      <c r="C119" s="845" t="s">
        <v>732</v>
      </c>
      <c r="D119" s="875" t="str">
        <f>B105&amp;C119</f>
        <v>A63y</v>
      </c>
      <c r="E119" s="367">
        <v>14</v>
      </c>
      <c r="F119" s="370"/>
      <c r="G119" s="368"/>
      <c r="H119" s="368"/>
      <c r="I119" s="368"/>
      <c r="J119" s="368"/>
      <c r="K119" s="370"/>
      <c r="L119" s="370"/>
      <c r="M119" s="370"/>
      <c r="N119" s="382"/>
      <c r="O119" s="372"/>
      <c r="P119" s="380"/>
      <c r="Q119" s="381"/>
      <c r="R119" s="381"/>
      <c r="S119" s="361"/>
      <c r="T119" s="361"/>
      <c r="U119" s="362"/>
      <c r="V119" s="366"/>
      <c r="W119" s="366"/>
    </row>
    <row r="120" spans="1:23">
      <c r="A120" s="1411"/>
      <c r="B120" s="1414"/>
      <c r="C120" s="846" t="s">
        <v>996</v>
      </c>
      <c r="D120" s="876" t="str">
        <f>B105&amp;C120</f>
        <v>A63z</v>
      </c>
      <c r="E120" s="847">
        <v>15</v>
      </c>
      <c r="F120" s="848"/>
      <c r="G120" s="849"/>
      <c r="H120" s="849"/>
      <c r="I120" s="849"/>
      <c r="J120" s="849"/>
      <c r="K120" s="848"/>
      <c r="L120" s="848"/>
      <c r="M120" s="848"/>
      <c r="N120" s="850"/>
      <c r="O120" s="851"/>
      <c r="P120" s="851"/>
      <c r="Q120" s="852"/>
      <c r="R120" s="383"/>
      <c r="S120" s="361"/>
      <c r="T120" s="832"/>
      <c r="U120" s="830"/>
      <c r="V120" s="366"/>
      <c r="W120" s="366"/>
    </row>
    <row r="121" spans="1:23">
      <c r="A121" s="1400" t="s">
        <v>939</v>
      </c>
      <c r="B121" s="1400" t="s">
        <v>17</v>
      </c>
      <c r="C121" s="827"/>
      <c r="D121" s="871"/>
      <c r="E121" s="1400" t="s">
        <v>177</v>
      </c>
      <c r="F121" s="1400" t="s">
        <v>18</v>
      </c>
      <c r="G121" s="1389" t="s">
        <v>19</v>
      </c>
      <c r="H121" s="1390"/>
      <c r="I121" s="1389" t="s">
        <v>22</v>
      </c>
      <c r="J121" s="1390"/>
      <c r="K121" s="1393" t="s">
        <v>26</v>
      </c>
      <c r="L121" s="1390"/>
      <c r="M121" s="1389" t="s">
        <v>392</v>
      </c>
      <c r="N121" s="1390"/>
      <c r="O121" s="1389" t="s">
        <v>28</v>
      </c>
      <c r="P121" s="1393"/>
      <c r="Q121" s="1390"/>
      <c r="R121" s="1400" t="s">
        <v>36</v>
      </c>
      <c r="S121" s="361"/>
      <c r="T121" s="361">
        <f>MAX(J125:J139)-MIN(I125:I139)</f>
        <v>2.4305555555555469E-2</v>
      </c>
      <c r="U121" s="361"/>
      <c r="V121" s="853" t="str">
        <f t="shared" ref="V121" si="12">B125</f>
        <v>B32</v>
      </c>
      <c r="W121" s="361">
        <f t="shared" ref="W121" si="13">COUNTIF(K126:K140,"&gt;0")</f>
        <v>2</v>
      </c>
    </row>
    <row r="122" spans="1:23">
      <c r="A122" s="1401"/>
      <c r="B122" s="1401"/>
      <c r="C122" s="828"/>
      <c r="D122" s="872"/>
      <c r="E122" s="1401"/>
      <c r="F122" s="1401"/>
      <c r="G122" s="1391"/>
      <c r="H122" s="1392"/>
      <c r="I122" s="1391"/>
      <c r="J122" s="1392"/>
      <c r="K122" s="1394"/>
      <c r="L122" s="1392"/>
      <c r="M122" s="1391"/>
      <c r="N122" s="1392"/>
      <c r="O122" s="1391"/>
      <c r="P122" s="1394"/>
      <c r="Q122" s="1392"/>
      <c r="R122" s="1401"/>
      <c r="S122" s="361"/>
      <c r="T122" s="361"/>
      <c r="U122" s="361"/>
      <c r="V122" s="361"/>
      <c r="W122" s="361"/>
    </row>
    <row r="123" spans="1:23">
      <c r="A123" s="1401"/>
      <c r="B123" s="1401"/>
      <c r="C123" s="828"/>
      <c r="D123" s="872"/>
      <c r="E123" s="1401"/>
      <c r="F123" s="1401"/>
      <c r="G123" s="1400" t="s">
        <v>20</v>
      </c>
      <c r="H123" s="1400" t="s">
        <v>21</v>
      </c>
      <c r="I123" s="1400" t="s">
        <v>361</v>
      </c>
      <c r="J123" s="1400" t="s">
        <v>353</v>
      </c>
      <c r="K123" s="1400" t="s">
        <v>23</v>
      </c>
      <c r="L123" s="1400" t="s">
        <v>24</v>
      </c>
      <c r="M123" s="1400" t="s">
        <v>27</v>
      </c>
      <c r="N123" s="1400" t="s">
        <v>178</v>
      </c>
      <c r="O123" s="1400" t="s">
        <v>1</v>
      </c>
      <c r="P123" s="1400" t="s">
        <v>29</v>
      </c>
      <c r="Q123" s="1400" t="s">
        <v>33</v>
      </c>
      <c r="R123" s="1401"/>
      <c r="S123" s="361"/>
      <c r="T123" s="361" t="s">
        <v>39</v>
      </c>
      <c r="U123" s="362">
        <f>VLOOKUP(B125,'Thong tin'!$A:$M,13,0)</f>
        <v>800</v>
      </c>
      <c r="V123" s="361"/>
      <c r="W123" s="361"/>
    </row>
    <row r="124" spans="1:23">
      <c r="A124" s="1402"/>
      <c r="B124" s="1402"/>
      <c r="C124" s="829"/>
      <c r="D124" s="873"/>
      <c r="E124" s="1402"/>
      <c r="F124" s="1402"/>
      <c r="G124" s="1402"/>
      <c r="H124" s="1402"/>
      <c r="I124" s="1402"/>
      <c r="J124" s="1402"/>
      <c r="K124" s="1402"/>
      <c r="L124" s="1402"/>
      <c r="M124" s="1402"/>
      <c r="N124" s="1402"/>
      <c r="O124" s="1402"/>
      <c r="P124" s="1402"/>
      <c r="Q124" s="1402"/>
      <c r="R124" s="1402"/>
      <c r="S124" s="361"/>
      <c r="T124" s="1399" t="s">
        <v>393</v>
      </c>
      <c r="U124" s="1397">
        <f>VLOOKUP(B125,DT.NK!$B:$AZ,45,0)</f>
        <v>27</v>
      </c>
      <c r="V124" s="361"/>
      <c r="W124" s="361"/>
    </row>
    <row r="125" spans="1:23">
      <c r="A125" s="1409">
        <f>A105+1</f>
        <v>7</v>
      </c>
      <c r="B125" s="1412" t="s">
        <v>567</v>
      </c>
      <c r="C125" s="844" t="s">
        <v>983</v>
      </c>
      <c r="D125" s="874" t="str">
        <f>B125&amp;C125</f>
        <v>B32a</v>
      </c>
      <c r="E125" s="363"/>
      <c r="F125" s="364"/>
      <c r="G125" s="364"/>
      <c r="H125" s="364"/>
      <c r="I125" s="364"/>
      <c r="J125" s="364"/>
      <c r="K125" s="364"/>
      <c r="L125" s="364"/>
      <c r="M125" s="674"/>
      <c r="N125" s="670"/>
      <c r="O125" s="670">
        <f>U124</f>
        <v>27</v>
      </c>
      <c r="P125" s="670">
        <f>O125</f>
        <v>27</v>
      </c>
      <c r="Q125" s="670">
        <v>0</v>
      </c>
      <c r="R125" s="365"/>
      <c r="S125" s="366"/>
      <c r="T125" s="1399"/>
      <c r="U125" s="1398"/>
      <c r="V125" s="361"/>
      <c r="W125" s="361"/>
    </row>
    <row r="126" spans="1:23">
      <c r="A126" s="1410"/>
      <c r="B126" s="1413"/>
      <c r="C126" s="845" t="s">
        <v>984</v>
      </c>
      <c r="D126" s="875" t="str">
        <f>B125&amp;C126</f>
        <v>B32b</v>
      </c>
      <c r="E126" s="367">
        <v>1</v>
      </c>
      <c r="F126" s="669" t="s">
        <v>1012</v>
      </c>
      <c r="G126" s="369">
        <v>0.90277777777777779</v>
      </c>
      <c r="H126" s="368">
        <v>0.93055555555555547</v>
      </c>
      <c r="I126" s="369">
        <v>0.9375</v>
      </c>
      <c r="J126" s="368">
        <v>0.94097222222222221</v>
      </c>
      <c r="K126" s="669">
        <v>7</v>
      </c>
      <c r="L126" s="669">
        <v>19</v>
      </c>
      <c r="M126" s="675">
        <v>10.45</v>
      </c>
      <c r="N126" s="671">
        <f>IF(M126-P126&gt;0,M126-P126,0)</f>
        <v>0</v>
      </c>
      <c r="O126" s="671">
        <f>O125-K126/(PI()*(U123/2000)^2)</f>
        <v>13.073942479459159</v>
      </c>
      <c r="P126" s="672">
        <v>14</v>
      </c>
      <c r="Q126" s="673">
        <f>ABS(O126-P126)</f>
        <v>0.92605752054084078</v>
      </c>
      <c r="R126" s="375" t="s">
        <v>188</v>
      </c>
      <c r="S126" s="366"/>
      <c r="T126" s="376"/>
      <c r="U126" s="376"/>
      <c r="V126" s="366"/>
      <c r="W126" s="366"/>
    </row>
    <row r="127" spans="1:23">
      <c r="A127" s="1410"/>
      <c r="B127" s="1413"/>
      <c r="C127" s="845" t="s">
        <v>985</v>
      </c>
      <c r="D127" s="875" t="str">
        <f>B125&amp;C127</f>
        <v>B32c</v>
      </c>
      <c r="E127" s="367">
        <v>2</v>
      </c>
      <c r="F127" s="669" t="s">
        <v>1013</v>
      </c>
      <c r="G127" s="369">
        <v>0.90972222222222221</v>
      </c>
      <c r="H127" s="368">
        <v>0.95138888888888884</v>
      </c>
      <c r="I127" s="369">
        <v>0.95833333333333337</v>
      </c>
      <c r="J127" s="368">
        <v>0.96180555555555547</v>
      </c>
      <c r="K127" s="669">
        <v>6</v>
      </c>
      <c r="L127" s="669">
        <v>20</v>
      </c>
      <c r="M127" s="675">
        <v>10.45</v>
      </c>
      <c r="N127" s="671">
        <f>IF(M127-P127&gt;0,M127-P127,0)</f>
        <v>6.1499999999999995</v>
      </c>
      <c r="O127" s="671">
        <f>O126-K127/(PI()*(U123/2000)^2)</f>
        <v>1.1373217475670092</v>
      </c>
      <c r="P127" s="672">
        <v>4.3</v>
      </c>
      <c r="Q127" s="673">
        <f>ABS(O127-P127)</f>
        <v>3.1626782524329906</v>
      </c>
      <c r="R127" s="375" t="s">
        <v>188</v>
      </c>
      <c r="S127" s="366"/>
      <c r="T127" s="376"/>
      <c r="U127" s="376"/>
      <c r="V127" s="366"/>
      <c r="W127" s="366"/>
    </row>
    <row r="128" spans="1:23">
      <c r="A128" s="1410"/>
      <c r="B128" s="1413"/>
      <c r="C128" s="845" t="s">
        <v>986</v>
      </c>
      <c r="D128" s="875" t="str">
        <f>B125&amp;C128</f>
        <v>B32d</v>
      </c>
      <c r="E128" s="367">
        <v>3</v>
      </c>
      <c r="F128" s="669"/>
      <c r="G128" s="369"/>
      <c r="H128" s="368"/>
      <c r="I128" s="369"/>
      <c r="J128" s="368"/>
      <c r="K128" s="669"/>
      <c r="L128" s="669"/>
      <c r="M128" s="675"/>
      <c r="N128" s="671"/>
      <c r="O128" s="671"/>
      <c r="P128" s="672"/>
      <c r="Q128" s="673"/>
      <c r="R128" s="375"/>
      <c r="S128" s="366"/>
      <c r="T128" s="376"/>
      <c r="U128" s="376"/>
      <c r="V128" s="366"/>
      <c r="W128" s="366"/>
    </row>
    <row r="129" spans="1:23">
      <c r="A129" s="1410"/>
      <c r="B129" s="1413"/>
      <c r="C129" s="845" t="s">
        <v>987</v>
      </c>
      <c r="D129" s="875" t="str">
        <f>B125&amp;C129</f>
        <v>B32e</v>
      </c>
      <c r="E129" s="367">
        <v>4</v>
      </c>
      <c r="F129" s="669"/>
      <c r="G129" s="369"/>
      <c r="H129" s="368"/>
      <c r="I129" s="369"/>
      <c r="J129" s="368"/>
      <c r="K129" s="669"/>
      <c r="L129" s="370"/>
      <c r="M129" s="675"/>
      <c r="N129" s="671"/>
      <c r="O129" s="671"/>
      <c r="P129" s="373"/>
      <c r="Q129" s="673"/>
      <c r="R129" s="375"/>
      <c r="S129" s="366"/>
      <c r="T129" s="376"/>
      <c r="U129" s="376"/>
      <c r="V129" s="366"/>
      <c r="W129" s="366"/>
    </row>
    <row r="130" spans="1:23">
      <c r="A130" s="1410"/>
      <c r="B130" s="1413"/>
      <c r="C130" s="845" t="s">
        <v>988</v>
      </c>
      <c r="D130" s="875" t="str">
        <f>B125&amp;C130</f>
        <v>B32f</v>
      </c>
      <c r="E130" s="367">
        <v>5</v>
      </c>
      <c r="F130" s="669"/>
      <c r="G130" s="369"/>
      <c r="H130" s="368"/>
      <c r="I130" s="369"/>
      <c r="J130" s="368"/>
      <c r="K130" s="669"/>
      <c r="L130" s="370"/>
      <c r="M130" s="371"/>
      <c r="N130" s="671"/>
      <c r="O130" s="671"/>
      <c r="P130" s="373"/>
      <c r="Q130" s="673"/>
      <c r="R130" s="377"/>
      <c r="S130" s="366" t="s">
        <v>190</v>
      </c>
      <c r="T130" s="376"/>
      <c r="U130" s="376"/>
      <c r="V130" s="366"/>
      <c r="W130" s="366"/>
    </row>
    <row r="131" spans="1:23">
      <c r="A131" s="1410"/>
      <c r="B131" s="1413"/>
      <c r="C131" s="845" t="s">
        <v>989</v>
      </c>
      <c r="D131" s="875" t="str">
        <f>B125&amp;C131</f>
        <v>B32g</v>
      </c>
      <c r="E131" s="367">
        <v>6</v>
      </c>
      <c r="F131" s="669"/>
      <c r="G131" s="369"/>
      <c r="H131" s="368"/>
      <c r="I131" s="369"/>
      <c r="J131" s="368"/>
      <c r="K131" s="669"/>
      <c r="L131" s="370"/>
      <c r="M131" s="371"/>
      <c r="N131" s="671"/>
      <c r="O131" s="671"/>
      <c r="P131" s="373"/>
      <c r="Q131" s="673"/>
      <c r="R131" s="375"/>
      <c r="S131" s="366" t="s">
        <v>190</v>
      </c>
      <c r="T131" s="366"/>
      <c r="U131" s="366"/>
      <c r="V131" s="366"/>
      <c r="W131" s="366"/>
    </row>
    <row r="132" spans="1:23">
      <c r="A132" s="1410"/>
      <c r="B132" s="1413"/>
      <c r="C132" s="845" t="s">
        <v>990</v>
      </c>
      <c r="D132" s="875" t="str">
        <f>B125&amp;C132</f>
        <v>B32h</v>
      </c>
      <c r="E132" s="367">
        <v>7</v>
      </c>
      <c r="F132" s="669"/>
      <c r="G132" s="368"/>
      <c r="H132" s="368"/>
      <c r="I132" s="368"/>
      <c r="J132" s="368"/>
      <c r="K132" s="669"/>
      <c r="L132" s="370"/>
      <c r="M132" s="371"/>
      <c r="N132" s="671"/>
      <c r="O132" s="671"/>
      <c r="P132" s="373"/>
      <c r="Q132" s="673"/>
      <c r="R132" s="377"/>
      <c r="S132" s="366" t="s">
        <v>190</v>
      </c>
      <c r="T132" s="366"/>
      <c r="U132" s="366"/>
      <c r="V132" s="366"/>
      <c r="W132" s="366"/>
    </row>
    <row r="133" spans="1:23">
      <c r="A133" s="1410"/>
      <c r="B133" s="1413"/>
      <c r="C133" s="845" t="s">
        <v>991</v>
      </c>
      <c r="D133" s="875" t="str">
        <f>B125&amp;C133</f>
        <v>B32i</v>
      </c>
      <c r="E133" s="367">
        <v>8</v>
      </c>
      <c r="F133" s="669"/>
      <c r="G133" s="368"/>
      <c r="H133" s="368"/>
      <c r="I133" s="368"/>
      <c r="J133" s="368"/>
      <c r="K133" s="370"/>
      <c r="L133" s="370"/>
      <c r="M133" s="371"/>
      <c r="N133" s="671"/>
      <c r="O133" s="671"/>
      <c r="P133" s="373"/>
      <c r="Q133" s="673"/>
      <c r="R133" s="378"/>
      <c r="S133" s="366"/>
      <c r="T133" s="366"/>
      <c r="U133" s="366"/>
      <c r="V133" s="366"/>
      <c r="W133" s="366"/>
    </row>
    <row r="134" spans="1:23">
      <c r="A134" s="1410"/>
      <c r="B134" s="1413"/>
      <c r="C134" s="845" t="s">
        <v>992</v>
      </c>
      <c r="D134" s="875" t="str">
        <f>B125&amp;C134</f>
        <v>B32k</v>
      </c>
      <c r="E134" s="367">
        <v>9</v>
      </c>
      <c r="F134" s="370"/>
      <c r="G134" s="368"/>
      <c r="H134" s="368"/>
      <c r="I134" s="368"/>
      <c r="J134" s="368"/>
      <c r="K134" s="370"/>
      <c r="L134" s="370"/>
      <c r="M134" s="371"/>
      <c r="N134" s="372"/>
      <c r="O134" s="372"/>
      <c r="P134" s="373"/>
      <c r="Q134" s="374"/>
      <c r="R134" s="378"/>
      <c r="S134" s="379"/>
      <c r="T134" s="366"/>
      <c r="U134" s="366"/>
      <c r="V134" s="366"/>
      <c r="W134" s="366"/>
    </row>
    <row r="135" spans="1:23">
      <c r="A135" s="1410"/>
      <c r="B135" s="1413"/>
      <c r="C135" s="845" t="s">
        <v>993</v>
      </c>
      <c r="D135" s="875" t="str">
        <f>B125&amp;C135</f>
        <v>B32l</v>
      </c>
      <c r="E135" s="367">
        <v>10</v>
      </c>
      <c r="F135" s="370"/>
      <c r="G135" s="368"/>
      <c r="H135" s="368"/>
      <c r="I135" s="368"/>
      <c r="J135" s="368"/>
      <c r="K135" s="370"/>
      <c r="L135" s="370"/>
      <c r="M135" s="370"/>
      <c r="N135" s="372"/>
      <c r="O135" s="372"/>
      <c r="P135" s="373"/>
      <c r="Q135" s="374"/>
      <c r="R135" s="378"/>
      <c r="S135" s="379"/>
      <c r="T135" s="366"/>
      <c r="U135" s="366"/>
      <c r="V135" s="366"/>
      <c r="W135" s="366"/>
    </row>
    <row r="136" spans="1:23">
      <c r="A136" s="1410"/>
      <c r="B136" s="1413"/>
      <c r="C136" s="845" t="s">
        <v>994</v>
      </c>
      <c r="D136" s="875" t="str">
        <f>B125&amp;C136</f>
        <v>B32m</v>
      </c>
      <c r="E136" s="367">
        <v>11</v>
      </c>
      <c r="F136" s="370"/>
      <c r="G136" s="368"/>
      <c r="H136" s="368"/>
      <c r="I136" s="368"/>
      <c r="J136" s="368"/>
      <c r="K136" s="370"/>
      <c r="L136" s="370"/>
      <c r="M136" s="370"/>
      <c r="N136" s="372"/>
      <c r="O136" s="372"/>
      <c r="P136" s="380"/>
      <c r="Q136" s="374"/>
      <c r="R136" s="381"/>
      <c r="S136" s="379"/>
      <c r="T136" s="366"/>
      <c r="U136" s="366"/>
      <c r="V136" s="366"/>
      <c r="W136" s="366"/>
    </row>
    <row r="137" spans="1:23">
      <c r="A137" s="1410"/>
      <c r="B137" s="1413"/>
      <c r="C137" s="845" t="s">
        <v>995</v>
      </c>
      <c r="D137" s="875" t="str">
        <f>B125&amp;C137</f>
        <v>B32n</v>
      </c>
      <c r="E137" s="367">
        <v>12</v>
      </c>
      <c r="F137" s="370"/>
      <c r="G137" s="368"/>
      <c r="H137" s="368"/>
      <c r="I137" s="368"/>
      <c r="J137" s="368"/>
      <c r="K137" s="370"/>
      <c r="L137" s="370"/>
      <c r="M137" s="370"/>
      <c r="N137" s="372"/>
      <c r="O137" s="372"/>
      <c r="P137" s="380"/>
      <c r="Q137" s="374"/>
      <c r="R137" s="381"/>
      <c r="S137" s="361"/>
      <c r="T137" s="361"/>
      <c r="U137" s="361"/>
      <c r="V137" s="366"/>
      <c r="W137" s="366"/>
    </row>
    <row r="138" spans="1:23">
      <c r="A138" s="1410"/>
      <c r="B138" s="1413"/>
      <c r="C138" s="845" t="s">
        <v>471</v>
      </c>
      <c r="D138" s="875" t="str">
        <f>B125&amp;C138</f>
        <v>B32x</v>
      </c>
      <c r="E138" s="367">
        <v>13</v>
      </c>
      <c r="F138" s="370"/>
      <c r="G138" s="368"/>
      <c r="H138" s="368"/>
      <c r="I138" s="368"/>
      <c r="J138" s="368"/>
      <c r="K138" s="370"/>
      <c r="L138" s="370"/>
      <c r="M138" s="370"/>
      <c r="N138" s="382"/>
      <c r="O138" s="372"/>
      <c r="P138" s="380"/>
      <c r="Q138" s="381"/>
      <c r="R138" s="381"/>
      <c r="S138" s="361"/>
      <c r="T138" s="361"/>
      <c r="U138" s="361"/>
      <c r="V138" s="366"/>
      <c r="W138" s="366"/>
    </row>
    <row r="139" spans="1:23">
      <c r="A139" s="1410"/>
      <c r="B139" s="1413"/>
      <c r="C139" s="845" t="s">
        <v>732</v>
      </c>
      <c r="D139" s="875" t="str">
        <f>B125&amp;C139</f>
        <v>B32y</v>
      </c>
      <c r="E139" s="367">
        <v>14</v>
      </c>
      <c r="F139" s="370"/>
      <c r="G139" s="368"/>
      <c r="H139" s="368"/>
      <c r="I139" s="368"/>
      <c r="J139" s="368"/>
      <c r="K139" s="370"/>
      <c r="L139" s="370"/>
      <c r="M139" s="370"/>
      <c r="N139" s="382"/>
      <c r="O139" s="372"/>
      <c r="P139" s="380"/>
      <c r="Q139" s="381"/>
      <c r="R139" s="381"/>
      <c r="S139" s="361"/>
      <c r="T139" s="361"/>
      <c r="U139" s="362"/>
      <c r="V139" s="366"/>
      <c r="W139" s="366"/>
    </row>
    <row r="140" spans="1:23">
      <c r="A140" s="1411"/>
      <c r="B140" s="1414"/>
      <c r="C140" s="846" t="s">
        <v>996</v>
      </c>
      <c r="D140" s="876" t="str">
        <f>B125&amp;C140</f>
        <v>B32z</v>
      </c>
      <c r="E140" s="847">
        <v>15</v>
      </c>
      <c r="F140" s="848"/>
      <c r="G140" s="849"/>
      <c r="H140" s="849"/>
      <c r="I140" s="849"/>
      <c r="J140" s="849"/>
      <c r="K140" s="848"/>
      <c r="L140" s="848"/>
      <c r="M140" s="848"/>
      <c r="N140" s="850"/>
      <c r="O140" s="851"/>
      <c r="P140" s="851"/>
      <c r="Q140" s="852"/>
      <c r="R140" s="383"/>
      <c r="S140" s="361"/>
      <c r="T140" s="832"/>
      <c r="U140" s="830"/>
      <c r="V140" s="366"/>
      <c r="W140" s="366"/>
    </row>
    <row r="141" spans="1:23">
      <c r="A141" s="1400" t="s">
        <v>939</v>
      </c>
      <c r="B141" s="1400" t="s">
        <v>17</v>
      </c>
      <c r="C141" s="827"/>
      <c r="D141" s="871"/>
      <c r="E141" s="1400" t="s">
        <v>177</v>
      </c>
      <c r="F141" s="1400" t="s">
        <v>18</v>
      </c>
      <c r="G141" s="1389" t="s">
        <v>19</v>
      </c>
      <c r="H141" s="1390"/>
      <c r="I141" s="1389" t="s">
        <v>22</v>
      </c>
      <c r="J141" s="1390"/>
      <c r="K141" s="1393" t="s">
        <v>26</v>
      </c>
      <c r="L141" s="1390"/>
      <c r="M141" s="1389" t="s">
        <v>392</v>
      </c>
      <c r="N141" s="1390"/>
      <c r="O141" s="1389" t="s">
        <v>28</v>
      </c>
      <c r="P141" s="1393"/>
      <c r="Q141" s="1390"/>
      <c r="R141" s="1400" t="s">
        <v>36</v>
      </c>
      <c r="S141" s="361"/>
      <c r="T141" s="361">
        <f>MAX(J145:J159)-MIN(I145:I159)</f>
        <v>7.9861111111111105E-2</v>
      </c>
      <c r="U141" s="361"/>
      <c r="V141" s="853" t="str">
        <f t="shared" ref="V141" si="14">B145</f>
        <v>A46</v>
      </c>
      <c r="W141" s="361">
        <f t="shared" ref="W141" si="15">COUNTIF(K146:K160,"&gt;0")</f>
        <v>4</v>
      </c>
    </row>
    <row r="142" spans="1:23">
      <c r="A142" s="1401"/>
      <c r="B142" s="1401"/>
      <c r="C142" s="828"/>
      <c r="D142" s="872"/>
      <c r="E142" s="1401"/>
      <c r="F142" s="1401"/>
      <c r="G142" s="1391"/>
      <c r="H142" s="1392"/>
      <c r="I142" s="1391"/>
      <c r="J142" s="1392"/>
      <c r="K142" s="1394"/>
      <c r="L142" s="1392"/>
      <c r="M142" s="1391"/>
      <c r="N142" s="1392"/>
      <c r="O142" s="1391"/>
      <c r="P142" s="1394"/>
      <c r="Q142" s="1392"/>
      <c r="R142" s="1401"/>
      <c r="S142" s="361"/>
      <c r="T142" s="361"/>
      <c r="U142" s="361"/>
      <c r="V142" s="361"/>
      <c r="W142" s="361"/>
    </row>
    <row r="143" spans="1:23">
      <c r="A143" s="1401"/>
      <c r="B143" s="1401"/>
      <c r="C143" s="828"/>
      <c r="D143" s="872"/>
      <c r="E143" s="1401"/>
      <c r="F143" s="1401"/>
      <c r="G143" s="1400" t="s">
        <v>20</v>
      </c>
      <c r="H143" s="1400" t="s">
        <v>21</v>
      </c>
      <c r="I143" s="1400" t="s">
        <v>361</v>
      </c>
      <c r="J143" s="1400" t="s">
        <v>353</v>
      </c>
      <c r="K143" s="1400" t="s">
        <v>23</v>
      </c>
      <c r="L143" s="1400" t="s">
        <v>24</v>
      </c>
      <c r="M143" s="1400" t="s">
        <v>27</v>
      </c>
      <c r="N143" s="1400" t="s">
        <v>178</v>
      </c>
      <c r="O143" s="1400" t="s">
        <v>1</v>
      </c>
      <c r="P143" s="1400" t="s">
        <v>29</v>
      </c>
      <c r="Q143" s="1400" t="s">
        <v>33</v>
      </c>
      <c r="R143" s="1401"/>
      <c r="S143" s="361"/>
      <c r="T143" s="361" t="s">
        <v>39</v>
      </c>
      <c r="U143" s="362">
        <f>VLOOKUP(B145,'Thong tin'!$A:$M,13,0)</f>
        <v>1200</v>
      </c>
      <c r="V143" s="361"/>
      <c r="W143" s="361"/>
    </row>
    <row r="144" spans="1:23">
      <c r="A144" s="1402"/>
      <c r="B144" s="1402"/>
      <c r="C144" s="829"/>
      <c r="D144" s="873"/>
      <c r="E144" s="1402"/>
      <c r="F144" s="1402"/>
      <c r="G144" s="1402"/>
      <c r="H144" s="1402"/>
      <c r="I144" s="1402"/>
      <c r="J144" s="1402"/>
      <c r="K144" s="1402"/>
      <c r="L144" s="1402"/>
      <c r="M144" s="1402"/>
      <c r="N144" s="1402"/>
      <c r="O144" s="1402"/>
      <c r="P144" s="1402"/>
      <c r="Q144" s="1402"/>
      <c r="R144" s="1402"/>
      <c r="S144" s="361"/>
      <c r="T144" s="1399" t="s">
        <v>393</v>
      </c>
      <c r="U144" s="1397">
        <f>VLOOKUP(B145,DT.NK!$B:$AZ,45,0)</f>
        <v>31.7</v>
      </c>
      <c r="V144" s="361"/>
      <c r="W144" s="361"/>
    </row>
    <row r="145" spans="1:23">
      <c r="A145" s="1409">
        <f>A125+1</f>
        <v>8</v>
      </c>
      <c r="B145" s="1412" t="s">
        <v>490</v>
      </c>
      <c r="C145" s="844" t="s">
        <v>983</v>
      </c>
      <c r="D145" s="874" t="str">
        <f>B145&amp;C145</f>
        <v>A46a</v>
      </c>
      <c r="E145" s="363"/>
      <c r="F145" s="364"/>
      <c r="G145" s="364"/>
      <c r="H145" s="364"/>
      <c r="I145" s="364"/>
      <c r="J145" s="364"/>
      <c r="K145" s="364"/>
      <c r="L145" s="364"/>
      <c r="M145" s="674"/>
      <c r="N145" s="670"/>
      <c r="O145" s="670">
        <f>U144</f>
        <v>31.7</v>
      </c>
      <c r="P145" s="670">
        <f>O145</f>
        <v>31.7</v>
      </c>
      <c r="Q145" s="670">
        <v>0</v>
      </c>
      <c r="R145" s="365"/>
      <c r="S145" s="366"/>
      <c r="T145" s="1399"/>
      <c r="U145" s="1398"/>
      <c r="V145" s="361"/>
      <c r="W145" s="361"/>
    </row>
    <row r="146" spans="1:23">
      <c r="A146" s="1410"/>
      <c r="B146" s="1413"/>
      <c r="C146" s="845" t="s">
        <v>984</v>
      </c>
      <c r="D146" s="875" t="str">
        <f>B145&amp;C146</f>
        <v>A46b</v>
      </c>
      <c r="E146" s="367">
        <v>1</v>
      </c>
      <c r="F146" s="669" t="s">
        <v>981</v>
      </c>
      <c r="G146" s="369">
        <v>0.21527777777777779</v>
      </c>
      <c r="H146" s="368">
        <v>0.23958333333333334</v>
      </c>
      <c r="I146" s="369">
        <v>0.25347222222222221</v>
      </c>
      <c r="J146" s="368">
        <v>0.25833333333333336</v>
      </c>
      <c r="K146" s="669">
        <v>10</v>
      </c>
      <c r="L146" s="669">
        <v>19</v>
      </c>
      <c r="M146" s="675">
        <v>29.7</v>
      </c>
      <c r="N146" s="671">
        <f>IF(M146-P146&gt;0,M146-P146,0)</f>
        <v>5.6999999999999993</v>
      </c>
      <c r="O146" s="671">
        <f>O145-K146/(PI()*(U143/2000)^2)</f>
        <v>22.858058717116926</v>
      </c>
      <c r="P146" s="672">
        <v>24</v>
      </c>
      <c r="Q146" s="673">
        <f>ABS(O146-P146)</f>
        <v>1.1419412828830744</v>
      </c>
      <c r="R146" s="375" t="s">
        <v>188</v>
      </c>
      <c r="S146" s="366"/>
      <c r="T146" s="376"/>
      <c r="U146" s="376"/>
      <c r="V146" s="366"/>
      <c r="W146" s="366"/>
    </row>
    <row r="147" spans="1:23">
      <c r="A147" s="1410"/>
      <c r="B147" s="1413"/>
      <c r="C147" s="845" t="s">
        <v>985</v>
      </c>
      <c r="D147" s="875" t="str">
        <f>B145&amp;C147</f>
        <v>A46c</v>
      </c>
      <c r="E147" s="367">
        <v>2</v>
      </c>
      <c r="F147" s="669" t="s">
        <v>982</v>
      </c>
      <c r="G147" s="369">
        <v>0.22083333333333333</v>
      </c>
      <c r="H147" s="368">
        <v>0.24652777777777779</v>
      </c>
      <c r="I147" s="369">
        <v>0.2673611111111111</v>
      </c>
      <c r="J147" s="368">
        <v>0.27291666666666664</v>
      </c>
      <c r="K147" s="669">
        <v>10</v>
      </c>
      <c r="L147" s="669">
        <v>19</v>
      </c>
      <c r="M147" s="675">
        <v>23.4</v>
      </c>
      <c r="N147" s="671">
        <f>IF(M147-P147&gt;0,M147-P147,0)</f>
        <v>4.8999999999999986</v>
      </c>
      <c r="O147" s="671">
        <f>O146-K147/(PI()*(U143/2000)^2)</f>
        <v>14.016117434233852</v>
      </c>
      <c r="P147" s="672">
        <v>18.5</v>
      </c>
      <c r="Q147" s="673">
        <f>ABS(O147-P147)</f>
        <v>4.4838825657661481</v>
      </c>
      <c r="R147" s="375" t="s">
        <v>188</v>
      </c>
      <c r="S147" s="366"/>
      <c r="T147" s="376"/>
      <c r="U147" s="376"/>
      <c r="V147" s="366"/>
      <c r="W147" s="366"/>
    </row>
    <row r="148" spans="1:23">
      <c r="A148" s="1410"/>
      <c r="B148" s="1413"/>
      <c r="C148" s="845" t="s">
        <v>986</v>
      </c>
      <c r="D148" s="875" t="str">
        <f>B145&amp;C148</f>
        <v>A46d</v>
      </c>
      <c r="E148" s="367">
        <v>3</v>
      </c>
      <c r="F148" s="669" t="s">
        <v>1014</v>
      </c>
      <c r="G148" s="369">
        <v>0.23055555555555554</v>
      </c>
      <c r="H148" s="368">
        <v>0.26041666666666669</v>
      </c>
      <c r="I148" s="369">
        <v>0.27916666666666667</v>
      </c>
      <c r="J148" s="368">
        <v>0.28472222222222221</v>
      </c>
      <c r="K148" s="669">
        <v>10</v>
      </c>
      <c r="L148" s="669">
        <v>18.5</v>
      </c>
      <c r="M148" s="675">
        <v>13.95</v>
      </c>
      <c r="N148" s="671">
        <f>IF(M148-P148&gt;0,M148-P148,0)</f>
        <v>4.1499999999999986</v>
      </c>
      <c r="O148" s="671">
        <f>O147-K148/(PI()*(U143/2000)^2)</f>
        <v>5.1741761513507782</v>
      </c>
      <c r="P148" s="672">
        <v>9.8000000000000007</v>
      </c>
      <c r="Q148" s="673">
        <f>ABS(O148-P148)</f>
        <v>4.6258238486492225</v>
      </c>
      <c r="R148" s="375" t="s">
        <v>188</v>
      </c>
      <c r="S148" s="366"/>
      <c r="T148" s="376"/>
      <c r="U148" s="376"/>
      <c r="V148" s="366"/>
      <c r="W148" s="366"/>
    </row>
    <row r="149" spans="1:23">
      <c r="A149" s="1410"/>
      <c r="B149" s="1413"/>
      <c r="C149" s="845" t="s">
        <v>987</v>
      </c>
      <c r="D149" s="875" t="str">
        <f>B145&amp;C149</f>
        <v>A46e</v>
      </c>
      <c r="E149" s="367">
        <v>4</v>
      </c>
      <c r="F149" s="669" t="s">
        <v>981</v>
      </c>
      <c r="G149" s="369">
        <v>0.31458333333333333</v>
      </c>
      <c r="H149" s="368">
        <v>0.3263888888888889</v>
      </c>
      <c r="I149" s="369">
        <v>0.32777777777777778</v>
      </c>
      <c r="J149" s="368">
        <v>0.33333333333333331</v>
      </c>
      <c r="K149" s="669">
        <v>3</v>
      </c>
      <c r="L149" s="370">
        <v>19</v>
      </c>
      <c r="M149" s="675">
        <v>13.95</v>
      </c>
      <c r="N149" s="671">
        <f>IF(M149-P149&gt;0,M149-P149,0)</f>
        <v>6.85</v>
      </c>
      <c r="O149" s="671">
        <f>O148-K149/(PI()*(U143/2000)^2)</f>
        <v>2.5215937664858559</v>
      </c>
      <c r="P149" s="373">
        <v>7.1</v>
      </c>
      <c r="Q149" s="673">
        <f>ABS(O149-P149)</f>
        <v>4.5784062335141442</v>
      </c>
      <c r="R149" s="375"/>
      <c r="S149" s="366"/>
      <c r="T149" s="376"/>
      <c r="U149" s="376"/>
      <c r="V149" s="366"/>
      <c r="W149" s="366"/>
    </row>
    <row r="150" spans="1:23">
      <c r="A150" s="1410"/>
      <c r="B150" s="1413"/>
      <c r="C150" s="845" t="s">
        <v>988</v>
      </c>
      <c r="D150" s="875" t="str">
        <f>B145&amp;C150</f>
        <v>A46f</v>
      </c>
      <c r="E150" s="367">
        <v>5</v>
      </c>
      <c r="F150" s="669"/>
      <c r="G150" s="369"/>
      <c r="H150" s="368"/>
      <c r="I150" s="369"/>
      <c r="J150" s="368"/>
      <c r="K150" s="669"/>
      <c r="L150" s="370"/>
      <c r="M150" s="371"/>
      <c r="N150" s="671"/>
      <c r="O150" s="671"/>
      <c r="P150" s="373"/>
      <c r="Q150" s="673"/>
      <c r="R150" s="377"/>
      <c r="S150" s="366" t="s">
        <v>190</v>
      </c>
      <c r="T150" s="376"/>
      <c r="U150" s="376"/>
      <c r="V150" s="366"/>
      <c r="W150" s="366"/>
    </row>
    <row r="151" spans="1:23">
      <c r="A151" s="1410"/>
      <c r="B151" s="1413"/>
      <c r="C151" s="845" t="s">
        <v>989</v>
      </c>
      <c r="D151" s="875" t="str">
        <f>B145&amp;C151</f>
        <v>A46g</v>
      </c>
      <c r="E151" s="367">
        <v>6</v>
      </c>
      <c r="F151" s="669"/>
      <c r="G151" s="369"/>
      <c r="H151" s="368"/>
      <c r="I151" s="369"/>
      <c r="J151" s="368"/>
      <c r="K151" s="669"/>
      <c r="L151" s="370"/>
      <c r="M151" s="371"/>
      <c r="N151" s="671"/>
      <c r="O151" s="671"/>
      <c r="P151" s="373"/>
      <c r="Q151" s="673"/>
      <c r="R151" s="375"/>
      <c r="S151" s="366" t="s">
        <v>190</v>
      </c>
      <c r="T151" s="366"/>
      <c r="U151" s="366"/>
      <c r="V151" s="366"/>
      <c r="W151" s="366"/>
    </row>
    <row r="152" spans="1:23">
      <c r="A152" s="1410"/>
      <c r="B152" s="1413"/>
      <c r="C152" s="845" t="s">
        <v>990</v>
      </c>
      <c r="D152" s="875" t="str">
        <f>B145&amp;C152</f>
        <v>A46h</v>
      </c>
      <c r="E152" s="367">
        <v>7</v>
      </c>
      <c r="F152" s="669"/>
      <c r="G152" s="368"/>
      <c r="H152" s="368"/>
      <c r="I152" s="368"/>
      <c r="J152" s="368"/>
      <c r="K152" s="669"/>
      <c r="L152" s="370"/>
      <c r="M152" s="371"/>
      <c r="N152" s="671"/>
      <c r="O152" s="671"/>
      <c r="P152" s="373"/>
      <c r="Q152" s="673"/>
      <c r="R152" s="377"/>
      <c r="S152" s="366" t="s">
        <v>190</v>
      </c>
      <c r="T152" s="366"/>
      <c r="U152" s="366"/>
      <c r="V152" s="366"/>
      <c r="W152" s="366"/>
    </row>
    <row r="153" spans="1:23">
      <c r="A153" s="1410"/>
      <c r="B153" s="1413"/>
      <c r="C153" s="845" t="s">
        <v>991</v>
      </c>
      <c r="D153" s="875" t="str">
        <f>B145&amp;C153</f>
        <v>A46i</v>
      </c>
      <c r="E153" s="367">
        <v>8</v>
      </c>
      <c r="F153" s="669"/>
      <c r="G153" s="368"/>
      <c r="H153" s="368"/>
      <c r="I153" s="368"/>
      <c r="J153" s="368"/>
      <c r="K153" s="370"/>
      <c r="L153" s="370"/>
      <c r="M153" s="371"/>
      <c r="N153" s="671"/>
      <c r="O153" s="671"/>
      <c r="P153" s="373"/>
      <c r="Q153" s="673"/>
      <c r="R153" s="378"/>
      <c r="S153" s="366"/>
      <c r="T153" s="366"/>
      <c r="U153" s="366"/>
      <c r="V153" s="366"/>
      <c r="W153" s="366"/>
    </row>
    <row r="154" spans="1:23">
      <c r="A154" s="1410"/>
      <c r="B154" s="1413"/>
      <c r="C154" s="845" t="s">
        <v>992</v>
      </c>
      <c r="D154" s="875" t="str">
        <f>B145&amp;C154</f>
        <v>A46k</v>
      </c>
      <c r="E154" s="367">
        <v>9</v>
      </c>
      <c r="F154" s="370"/>
      <c r="G154" s="368"/>
      <c r="H154" s="368"/>
      <c r="I154" s="368"/>
      <c r="J154" s="368"/>
      <c r="K154" s="370"/>
      <c r="L154" s="370"/>
      <c r="M154" s="371"/>
      <c r="N154" s="372"/>
      <c r="O154" s="372"/>
      <c r="P154" s="373"/>
      <c r="Q154" s="374"/>
      <c r="R154" s="378"/>
      <c r="S154" s="379"/>
      <c r="T154" s="366"/>
      <c r="U154" s="366"/>
      <c r="V154" s="366"/>
      <c r="W154" s="366"/>
    </row>
    <row r="155" spans="1:23">
      <c r="A155" s="1410"/>
      <c r="B155" s="1413"/>
      <c r="C155" s="845" t="s">
        <v>993</v>
      </c>
      <c r="D155" s="875" t="str">
        <f>B145&amp;C155</f>
        <v>A46l</v>
      </c>
      <c r="E155" s="367">
        <v>10</v>
      </c>
      <c r="F155" s="370"/>
      <c r="G155" s="368"/>
      <c r="H155" s="368"/>
      <c r="I155" s="368"/>
      <c r="J155" s="368"/>
      <c r="K155" s="370"/>
      <c r="L155" s="370"/>
      <c r="M155" s="370"/>
      <c r="N155" s="372"/>
      <c r="O155" s="372"/>
      <c r="P155" s="373"/>
      <c r="Q155" s="374"/>
      <c r="R155" s="378"/>
      <c r="S155" s="379"/>
      <c r="T155" s="366"/>
      <c r="U155" s="366"/>
      <c r="V155" s="366"/>
      <c r="W155" s="366"/>
    </row>
    <row r="156" spans="1:23">
      <c r="A156" s="1410"/>
      <c r="B156" s="1413"/>
      <c r="C156" s="845" t="s">
        <v>994</v>
      </c>
      <c r="D156" s="875" t="str">
        <f>B145&amp;C156</f>
        <v>A46m</v>
      </c>
      <c r="E156" s="367">
        <v>11</v>
      </c>
      <c r="F156" s="370"/>
      <c r="G156" s="368"/>
      <c r="H156" s="368"/>
      <c r="I156" s="368"/>
      <c r="J156" s="368"/>
      <c r="K156" s="370"/>
      <c r="L156" s="370"/>
      <c r="M156" s="370"/>
      <c r="N156" s="372"/>
      <c r="O156" s="372"/>
      <c r="P156" s="380"/>
      <c r="Q156" s="374"/>
      <c r="R156" s="381"/>
      <c r="S156" s="379"/>
      <c r="T156" s="366"/>
      <c r="U156" s="366"/>
      <c r="V156" s="366"/>
      <c r="W156" s="366"/>
    </row>
    <row r="157" spans="1:23">
      <c r="A157" s="1410"/>
      <c r="B157" s="1413"/>
      <c r="C157" s="845" t="s">
        <v>995</v>
      </c>
      <c r="D157" s="875" t="str">
        <f>B145&amp;C157</f>
        <v>A46n</v>
      </c>
      <c r="E157" s="367">
        <v>12</v>
      </c>
      <c r="F157" s="370"/>
      <c r="G157" s="368"/>
      <c r="H157" s="368"/>
      <c r="I157" s="368"/>
      <c r="J157" s="368"/>
      <c r="K157" s="370"/>
      <c r="L157" s="370"/>
      <c r="M157" s="370"/>
      <c r="N157" s="372"/>
      <c r="O157" s="372"/>
      <c r="P157" s="380"/>
      <c r="Q157" s="374"/>
      <c r="R157" s="381"/>
      <c r="S157" s="361"/>
      <c r="T157" s="361"/>
      <c r="U157" s="361"/>
      <c r="V157" s="366"/>
      <c r="W157" s="366"/>
    </row>
    <row r="158" spans="1:23">
      <c r="A158" s="1410"/>
      <c r="B158" s="1413"/>
      <c r="C158" s="845" t="s">
        <v>471</v>
      </c>
      <c r="D158" s="875" t="str">
        <f>B145&amp;C158</f>
        <v>A46x</v>
      </c>
      <c r="E158" s="367">
        <v>13</v>
      </c>
      <c r="F158" s="370"/>
      <c r="G158" s="368"/>
      <c r="H158" s="368"/>
      <c r="I158" s="368"/>
      <c r="J158" s="368"/>
      <c r="K158" s="370"/>
      <c r="L158" s="370"/>
      <c r="M158" s="370"/>
      <c r="N158" s="382"/>
      <c r="O158" s="372"/>
      <c r="P158" s="380"/>
      <c r="Q158" s="381"/>
      <c r="R158" s="381"/>
      <c r="S158" s="361"/>
      <c r="T158" s="361"/>
      <c r="U158" s="361"/>
      <c r="V158" s="366"/>
      <c r="W158" s="366"/>
    </row>
    <row r="159" spans="1:23">
      <c r="A159" s="1410"/>
      <c r="B159" s="1413"/>
      <c r="C159" s="845" t="s">
        <v>732</v>
      </c>
      <c r="D159" s="875" t="str">
        <f>B145&amp;C159</f>
        <v>A46y</v>
      </c>
      <c r="E159" s="367">
        <v>14</v>
      </c>
      <c r="F159" s="370"/>
      <c r="G159" s="368"/>
      <c r="H159" s="368"/>
      <c r="I159" s="368"/>
      <c r="J159" s="368"/>
      <c r="K159" s="370"/>
      <c r="L159" s="370"/>
      <c r="M159" s="370"/>
      <c r="N159" s="382"/>
      <c r="O159" s="372"/>
      <c r="P159" s="380"/>
      <c r="Q159" s="381"/>
      <c r="R159" s="381"/>
      <c r="S159" s="361"/>
      <c r="T159" s="361"/>
      <c r="U159" s="362"/>
      <c r="V159" s="366"/>
      <c r="W159" s="366"/>
    </row>
    <row r="160" spans="1:23">
      <c r="A160" s="1411"/>
      <c r="B160" s="1414"/>
      <c r="C160" s="846" t="s">
        <v>996</v>
      </c>
      <c r="D160" s="876" t="str">
        <f>B145&amp;C160</f>
        <v>A46z</v>
      </c>
      <c r="E160" s="847">
        <v>15</v>
      </c>
      <c r="F160" s="848"/>
      <c r="G160" s="849"/>
      <c r="H160" s="849"/>
      <c r="I160" s="849"/>
      <c r="J160" s="849"/>
      <c r="K160" s="848"/>
      <c r="L160" s="848"/>
      <c r="M160" s="848"/>
      <c r="N160" s="850"/>
      <c r="O160" s="851"/>
      <c r="P160" s="851"/>
      <c r="Q160" s="852"/>
      <c r="R160" s="383"/>
      <c r="S160" s="361"/>
      <c r="T160" s="832"/>
      <c r="U160" s="830"/>
      <c r="V160" s="366"/>
      <c r="W160" s="366"/>
    </row>
    <row r="161" spans="1:23">
      <c r="A161" s="1400" t="s">
        <v>939</v>
      </c>
      <c r="B161" s="1400" t="s">
        <v>17</v>
      </c>
      <c r="C161" s="827"/>
      <c r="D161" s="871"/>
      <c r="E161" s="1400" t="s">
        <v>177</v>
      </c>
      <c r="F161" s="1400" t="s">
        <v>18</v>
      </c>
      <c r="G161" s="1389" t="s">
        <v>19</v>
      </c>
      <c r="H161" s="1390"/>
      <c r="I161" s="1389" t="s">
        <v>22</v>
      </c>
      <c r="J161" s="1390"/>
      <c r="K161" s="1393" t="s">
        <v>26</v>
      </c>
      <c r="L161" s="1390"/>
      <c r="M161" s="1389" t="s">
        <v>392</v>
      </c>
      <c r="N161" s="1390"/>
      <c r="O161" s="1389" t="s">
        <v>28</v>
      </c>
      <c r="P161" s="1393"/>
      <c r="Q161" s="1390"/>
      <c r="R161" s="1400" t="s">
        <v>36</v>
      </c>
      <c r="S161" s="361"/>
      <c r="T161" s="361">
        <f>MAX(J165:J179)-MIN(I165:I179)</f>
        <v>8.3333333333333259E-2</v>
      </c>
      <c r="U161" s="361"/>
      <c r="V161" s="853" t="str">
        <f t="shared" ref="V161" si="16">B165</f>
        <v>A67</v>
      </c>
      <c r="W161" s="361">
        <f t="shared" ref="W161" si="17">COUNTIF(K166:K180,"&gt;0")</f>
        <v>3</v>
      </c>
    </row>
    <row r="162" spans="1:23">
      <c r="A162" s="1401"/>
      <c r="B162" s="1401"/>
      <c r="C162" s="828"/>
      <c r="D162" s="872"/>
      <c r="E162" s="1401"/>
      <c r="F162" s="1401"/>
      <c r="G162" s="1391"/>
      <c r="H162" s="1392"/>
      <c r="I162" s="1391"/>
      <c r="J162" s="1392"/>
      <c r="K162" s="1394"/>
      <c r="L162" s="1392"/>
      <c r="M162" s="1391"/>
      <c r="N162" s="1392"/>
      <c r="O162" s="1391"/>
      <c r="P162" s="1394"/>
      <c r="Q162" s="1392"/>
      <c r="R162" s="1401"/>
      <c r="S162" s="361"/>
      <c r="T162" s="361"/>
      <c r="U162" s="361"/>
      <c r="V162" s="361"/>
      <c r="W162" s="361"/>
    </row>
    <row r="163" spans="1:23">
      <c r="A163" s="1401"/>
      <c r="B163" s="1401"/>
      <c r="C163" s="828"/>
      <c r="D163" s="872"/>
      <c r="E163" s="1401"/>
      <c r="F163" s="1401"/>
      <c r="G163" s="1400" t="s">
        <v>20</v>
      </c>
      <c r="H163" s="1400" t="s">
        <v>21</v>
      </c>
      <c r="I163" s="1400" t="s">
        <v>361</v>
      </c>
      <c r="J163" s="1400" t="s">
        <v>353</v>
      </c>
      <c r="K163" s="1400" t="s">
        <v>23</v>
      </c>
      <c r="L163" s="1400" t="s">
        <v>24</v>
      </c>
      <c r="M163" s="1400" t="s">
        <v>27</v>
      </c>
      <c r="N163" s="1400" t="s">
        <v>178</v>
      </c>
      <c r="O163" s="1400" t="s">
        <v>1</v>
      </c>
      <c r="P163" s="1400" t="s">
        <v>29</v>
      </c>
      <c r="Q163" s="1400" t="s">
        <v>33</v>
      </c>
      <c r="R163" s="1401"/>
      <c r="S163" s="361"/>
      <c r="T163" s="361" t="s">
        <v>39</v>
      </c>
      <c r="U163" s="362">
        <f>VLOOKUP(B165,'Thong tin'!$A:$M,13,0)</f>
        <v>1200</v>
      </c>
      <c r="V163" s="361"/>
      <c r="W163" s="361"/>
    </row>
    <row r="164" spans="1:23">
      <c r="A164" s="1402"/>
      <c r="B164" s="1402"/>
      <c r="C164" s="829"/>
      <c r="D164" s="873"/>
      <c r="E164" s="1402"/>
      <c r="F164" s="1402"/>
      <c r="G164" s="1402"/>
      <c r="H164" s="1402"/>
      <c r="I164" s="1402"/>
      <c r="J164" s="1402"/>
      <c r="K164" s="1402"/>
      <c r="L164" s="1402"/>
      <c r="M164" s="1402"/>
      <c r="N164" s="1402"/>
      <c r="O164" s="1402"/>
      <c r="P164" s="1402"/>
      <c r="Q164" s="1402"/>
      <c r="R164" s="1402"/>
      <c r="S164" s="361"/>
      <c r="T164" s="1399" t="s">
        <v>393</v>
      </c>
      <c r="U164" s="1397">
        <f>VLOOKUP(B165,DT.NK!$B:$AZ,45,0)</f>
        <v>28</v>
      </c>
      <c r="V164" s="361"/>
      <c r="W164" s="361"/>
    </row>
    <row r="165" spans="1:23">
      <c r="A165" s="1409">
        <f>A145+1</f>
        <v>9</v>
      </c>
      <c r="B165" s="1412" t="s">
        <v>594</v>
      </c>
      <c r="C165" s="844" t="s">
        <v>983</v>
      </c>
      <c r="D165" s="874" t="str">
        <f>B165&amp;C165</f>
        <v>A67a</v>
      </c>
      <c r="E165" s="363"/>
      <c r="F165" s="364"/>
      <c r="G165" s="364"/>
      <c r="H165" s="364"/>
      <c r="I165" s="364"/>
      <c r="J165" s="364"/>
      <c r="K165" s="364"/>
      <c r="L165" s="364"/>
      <c r="M165" s="674"/>
      <c r="N165" s="670"/>
      <c r="O165" s="670">
        <f>U164</f>
        <v>28</v>
      </c>
      <c r="P165" s="670">
        <f>O165</f>
        <v>28</v>
      </c>
      <c r="Q165" s="670">
        <v>0</v>
      </c>
      <c r="R165" s="365"/>
      <c r="S165" s="366"/>
      <c r="T165" s="1399"/>
      <c r="U165" s="1398"/>
      <c r="V165" s="361"/>
      <c r="W165" s="361"/>
    </row>
    <row r="166" spans="1:23">
      <c r="A166" s="1410"/>
      <c r="B166" s="1413"/>
      <c r="C166" s="845" t="s">
        <v>984</v>
      </c>
      <c r="D166" s="874" t="str">
        <f>B165&amp;C166</f>
        <v>A67b</v>
      </c>
      <c r="E166" s="367">
        <v>1</v>
      </c>
      <c r="F166" s="669" t="s">
        <v>1007</v>
      </c>
      <c r="G166" s="369">
        <v>0.55555555555555558</v>
      </c>
      <c r="H166" s="368">
        <v>0.58333333333333337</v>
      </c>
      <c r="I166" s="369">
        <v>0.59722222222222221</v>
      </c>
      <c r="J166" s="368">
        <v>0.60416666666666663</v>
      </c>
      <c r="K166" s="669">
        <v>10</v>
      </c>
      <c r="L166" s="669">
        <v>19</v>
      </c>
      <c r="M166" s="675">
        <v>22.85</v>
      </c>
      <c r="N166" s="671">
        <f>IF(M166-P166&gt;0,M166-P166,0)</f>
        <v>2.75</v>
      </c>
      <c r="O166" s="671">
        <f>O165-K166/(PI()*($U$3/2000)^2)</f>
        <v>19.158058717116926</v>
      </c>
      <c r="P166" s="672">
        <v>20.100000000000001</v>
      </c>
      <c r="Q166" s="673">
        <f>ABS(O166-P166)</f>
        <v>0.9419412828830751</v>
      </c>
      <c r="R166" s="375" t="s">
        <v>188</v>
      </c>
      <c r="S166" s="366"/>
      <c r="T166" s="376"/>
      <c r="U166" s="376"/>
      <c r="V166" s="366"/>
      <c r="W166" s="366"/>
    </row>
    <row r="167" spans="1:23">
      <c r="A167" s="1410"/>
      <c r="B167" s="1413"/>
      <c r="C167" s="845" t="s">
        <v>985</v>
      </c>
      <c r="D167" s="874" t="str">
        <f>B165&amp;C167</f>
        <v>A67c</v>
      </c>
      <c r="E167" s="367">
        <v>2</v>
      </c>
      <c r="F167" s="669" t="s">
        <v>980</v>
      </c>
      <c r="G167" s="369">
        <v>0.56597222222222221</v>
      </c>
      <c r="H167" s="368">
        <v>0.59027777777777779</v>
      </c>
      <c r="I167" s="369">
        <v>0.61111111111111105</v>
      </c>
      <c r="J167" s="368">
        <v>0.61805555555555558</v>
      </c>
      <c r="K167" s="669">
        <v>10</v>
      </c>
      <c r="L167" s="669">
        <v>19</v>
      </c>
      <c r="M167" s="675">
        <v>19.7</v>
      </c>
      <c r="N167" s="671">
        <f>IF(M167-P167&gt;0,M167-P167,0)</f>
        <v>4.6999999999999993</v>
      </c>
      <c r="O167" s="671">
        <f>O166-K167/(PI()*($U$3/2000)^2)</f>
        <v>10.316117434233853</v>
      </c>
      <c r="P167" s="672">
        <v>15</v>
      </c>
      <c r="Q167" s="673">
        <f>ABS(O167-P167)</f>
        <v>4.6838825657661474</v>
      </c>
      <c r="R167" s="375" t="s">
        <v>188</v>
      </c>
      <c r="S167" s="366"/>
      <c r="T167" s="376"/>
      <c r="U167" s="376"/>
      <c r="V167" s="366"/>
      <c r="W167" s="366"/>
    </row>
    <row r="168" spans="1:23">
      <c r="A168" s="1410"/>
      <c r="B168" s="1413"/>
      <c r="C168" s="845" t="s">
        <v>986</v>
      </c>
      <c r="D168" s="874" t="str">
        <f>B165&amp;C168</f>
        <v>A67d</v>
      </c>
      <c r="E168" s="367">
        <v>3</v>
      </c>
      <c r="F168" s="669" t="s">
        <v>1008</v>
      </c>
      <c r="G168" s="369">
        <v>0.64583333333333337</v>
      </c>
      <c r="H168" s="368">
        <v>0.67013888888888884</v>
      </c>
      <c r="I168" s="369">
        <v>0.67499999999999993</v>
      </c>
      <c r="J168" s="368">
        <v>0.68055555555555547</v>
      </c>
      <c r="K168" s="669">
        <v>9</v>
      </c>
      <c r="L168" s="669">
        <v>18</v>
      </c>
      <c r="M168" s="675">
        <v>13.4</v>
      </c>
      <c r="N168" s="671">
        <f>IF(M168-P168&gt;0,M168-P168,0)</f>
        <v>5.4</v>
      </c>
      <c r="O168" s="671">
        <f>O167-K168/(PI()*($U$3/2000)^2)</f>
        <v>2.358370279639086</v>
      </c>
      <c r="P168" s="672">
        <v>8</v>
      </c>
      <c r="Q168" s="673">
        <f>ABS(O168-P168)</f>
        <v>5.641629720360914</v>
      </c>
      <c r="R168" s="375" t="s">
        <v>188</v>
      </c>
      <c r="S168" s="366"/>
      <c r="T168" s="376"/>
      <c r="U168" s="376"/>
      <c r="V168" s="366"/>
      <c r="W168" s="366"/>
    </row>
    <row r="169" spans="1:23">
      <c r="A169" s="1410"/>
      <c r="B169" s="1413"/>
      <c r="C169" s="845" t="s">
        <v>987</v>
      </c>
      <c r="D169" s="874" t="str">
        <f>B165&amp;C169</f>
        <v>A67e</v>
      </c>
      <c r="E169" s="367">
        <v>4</v>
      </c>
      <c r="F169" s="669"/>
      <c r="G169" s="369"/>
      <c r="H169" s="368"/>
      <c r="I169" s="369"/>
      <c r="J169" s="368"/>
      <c r="K169" s="669"/>
      <c r="L169" s="370"/>
      <c r="M169" s="675"/>
      <c r="N169" s="671"/>
      <c r="O169" s="671"/>
      <c r="P169" s="373"/>
      <c r="Q169" s="673"/>
      <c r="R169" s="375"/>
      <c r="S169" s="366"/>
      <c r="T169" s="376"/>
      <c r="U169" s="376"/>
      <c r="V169" s="366"/>
      <c r="W169" s="366"/>
    </row>
    <row r="170" spans="1:23">
      <c r="A170" s="1410"/>
      <c r="B170" s="1413"/>
      <c r="C170" s="845" t="s">
        <v>988</v>
      </c>
      <c r="D170" s="874" t="str">
        <f>B165&amp;C170</f>
        <v>A67f</v>
      </c>
      <c r="E170" s="367">
        <v>5</v>
      </c>
      <c r="F170" s="669"/>
      <c r="G170" s="369"/>
      <c r="H170" s="368"/>
      <c r="I170" s="369"/>
      <c r="J170" s="368"/>
      <c r="K170" s="669"/>
      <c r="L170" s="370"/>
      <c r="M170" s="371"/>
      <c r="N170" s="671"/>
      <c r="O170" s="671"/>
      <c r="P170" s="373"/>
      <c r="Q170" s="673"/>
      <c r="R170" s="377"/>
      <c r="S170" s="366" t="s">
        <v>190</v>
      </c>
      <c r="T170" s="376"/>
      <c r="U170" s="376"/>
      <c r="V170" s="366"/>
      <c r="W170" s="366"/>
    </row>
    <row r="171" spans="1:23">
      <c r="A171" s="1410"/>
      <c r="B171" s="1413"/>
      <c r="C171" s="845" t="s">
        <v>989</v>
      </c>
      <c r="D171" s="874" t="str">
        <f>B165&amp;C171</f>
        <v>A67g</v>
      </c>
      <c r="E171" s="367">
        <v>6</v>
      </c>
      <c r="F171" s="669"/>
      <c r="G171" s="369"/>
      <c r="H171" s="368"/>
      <c r="I171" s="369"/>
      <c r="J171" s="368"/>
      <c r="K171" s="669"/>
      <c r="L171" s="370"/>
      <c r="M171" s="371"/>
      <c r="N171" s="671"/>
      <c r="O171" s="671"/>
      <c r="P171" s="373"/>
      <c r="Q171" s="673"/>
      <c r="R171" s="375"/>
      <c r="S171" s="366" t="s">
        <v>190</v>
      </c>
      <c r="T171" s="366"/>
      <c r="U171" s="366"/>
      <c r="V171" s="366"/>
      <c r="W171" s="366"/>
    </row>
    <row r="172" spans="1:23">
      <c r="A172" s="1410"/>
      <c r="B172" s="1413"/>
      <c r="C172" s="845" t="s">
        <v>990</v>
      </c>
      <c r="D172" s="874" t="str">
        <f>B165&amp;C172</f>
        <v>A67h</v>
      </c>
      <c r="E172" s="367">
        <v>7</v>
      </c>
      <c r="F172" s="669"/>
      <c r="G172" s="368"/>
      <c r="H172" s="368"/>
      <c r="I172" s="368"/>
      <c r="J172" s="368"/>
      <c r="K172" s="669"/>
      <c r="L172" s="370"/>
      <c r="M172" s="371"/>
      <c r="N172" s="671"/>
      <c r="O172" s="671"/>
      <c r="P172" s="373"/>
      <c r="Q172" s="673"/>
      <c r="R172" s="377"/>
      <c r="S172" s="366" t="s">
        <v>190</v>
      </c>
      <c r="T172" s="366"/>
      <c r="U172" s="366"/>
      <c r="V172" s="366"/>
      <c r="W172" s="366"/>
    </row>
    <row r="173" spans="1:23">
      <c r="A173" s="1410"/>
      <c r="B173" s="1413"/>
      <c r="C173" s="845" t="s">
        <v>991</v>
      </c>
      <c r="D173" s="874" t="str">
        <f>B165&amp;C173</f>
        <v>A67i</v>
      </c>
      <c r="E173" s="367">
        <v>8</v>
      </c>
      <c r="F173" s="669"/>
      <c r="G173" s="368"/>
      <c r="H173" s="368"/>
      <c r="I173" s="368"/>
      <c r="J173" s="368"/>
      <c r="K173" s="370"/>
      <c r="L173" s="370"/>
      <c r="M173" s="371"/>
      <c r="N173" s="671"/>
      <c r="O173" s="671"/>
      <c r="P173" s="373"/>
      <c r="Q173" s="673"/>
      <c r="R173" s="378"/>
      <c r="S173" s="366"/>
      <c r="T173" s="366"/>
      <c r="U173" s="366"/>
      <c r="V173" s="366"/>
      <c r="W173" s="366"/>
    </row>
    <row r="174" spans="1:23">
      <c r="A174" s="1410"/>
      <c r="B174" s="1413"/>
      <c r="C174" s="845" t="s">
        <v>992</v>
      </c>
      <c r="D174" s="874" t="str">
        <f>B165&amp;C174</f>
        <v>A67k</v>
      </c>
      <c r="E174" s="367">
        <v>9</v>
      </c>
      <c r="F174" s="370"/>
      <c r="G174" s="368"/>
      <c r="H174" s="368"/>
      <c r="I174" s="368"/>
      <c r="J174" s="368"/>
      <c r="K174" s="370"/>
      <c r="L174" s="370"/>
      <c r="M174" s="371"/>
      <c r="N174" s="372"/>
      <c r="O174" s="372"/>
      <c r="P174" s="373"/>
      <c r="Q174" s="374"/>
      <c r="R174" s="378"/>
      <c r="S174" s="379"/>
      <c r="T174" s="366"/>
      <c r="U174" s="366"/>
      <c r="V174" s="366"/>
      <c r="W174" s="366"/>
    </row>
    <row r="175" spans="1:23">
      <c r="A175" s="1410"/>
      <c r="B175" s="1413"/>
      <c r="C175" s="845" t="s">
        <v>993</v>
      </c>
      <c r="D175" s="874" t="str">
        <f>B165&amp;C175</f>
        <v>A67l</v>
      </c>
      <c r="E175" s="367">
        <v>10</v>
      </c>
      <c r="F175" s="370"/>
      <c r="G175" s="368"/>
      <c r="H175" s="368"/>
      <c r="I175" s="368"/>
      <c r="J175" s="368"/>
      <c r="K175" s="370"/>
      <c r="L175" s="370"/>
      <c r="M175" s="370"/>
      <c r="N175" s="372"/>
      <c r="O175" s="372"/>
      <c r="P175" s="373"/>
      <c r="Q175" s="374"/>
      <c r="R175" s="378"/>
      <c r="S175" s="379"/>
      <c r="T175" s="366"/>
      <c r="U175" s="366"/>
      <c r="V175" s="366"/>
      <c r="W175" s="366"/>
    </row>
    <row r="176" spans="1:23">
      <c r="A176" s="1410"/>
      <c r="B176" s="1413"/>
      <c r="C176" s="845" t="s">
        <v>994</v>
      </c>
      <c r="D176" s="874" t="str">
        <f>B165&amp;C176</f>
        <v>A67m</v>
      </c>
      <c r="E176" s="367">
        <v>11</v>
      </c>
      <c r="F176" s="370"/>
      <c r="G176" s="368"/>
      <c r="H176" s="368"/>
      <c r="I176" s="368"/>
      <c r="J176" s="368"/>
      <c r="K176" s="370"/>
      <c r="L176" s="370"/>
      <c r="M176" s="370"/>
      <c r="N176" s="372"/>
      <c r="O176" s="372"/>
      <c r="P176" s="380"/>
      <c r="Q176" s="374"/>
      <c r="R176" s="381"/>
      <c r="S176" s="379"/>
      <c r="T176" s="366"/>
      <c r="U176" s="366"/>
      <c r="V176" s="366"/>
      <c r="W176" s="366"/>
    </row>
    <row r="177" spans="1:23">
      <c r="A177" s="1410"/>
      <c r="B177" s="1413"/>
      <c r="C177" s="845" t="s">
        <v>995</v>
      </c>
      <c r="D177" s="874" t="str">
        <f>B165&amp;C177</f>
        <v>A67n</v>
      </c>
      <c r="E177" s="367">
        <v>12</v>
      </c>
      <c r="F177" s="370"/>
      <c r="G177" s="368"/>
      <c r="H177" s="368"/>
      <c r="I177" s="368"/>
      <c r="J177" s="368"/>
      <c r="K177" s="370"/>
      <c r="L177" s="370"/>
      <c r="M177" s="370"/>
      <c r="N177" s="372"/>
      <c r="O177" s="372"/>
      <c r="P177" s="380"/>
      <c r="Q177" s="374"/>
      <c r="R177" s="381"/>
      <c r="S177" s="361"/>
      <c r="T177" s="361"/>
      <c r="U177" s="361"/>
      <c r="V177" s="366"/>
      <c r="W177" s="366"/>
    </row>
    <row r="178" spans="1:23">
      <c r="A178" s="1410"/>
      <c r="B178" s="1413"/>
      <c r="C178" s="845" t="s">
        <v>471</v>
      </c>
      <c r="D178" s="874" t="str">
        <f>B165&amp;C178</f>
        <v>A67x</v>
      </c>
      <c r="E178" s="367">
        <v>13</v>
      </c>
      <c r="F178" s="370"/>
      <c r="G178" s="368"/>
      <c r="H178" s="368"/>
      <c r="I178" s="368"/>
      <c r="J178" s="368"/>
      <c r="K178" s="370"/>
      <c r="L178" s="370"/>
      <c r="M178" s="370"/>
      <c r="N178" s="382"/>
      <c r="O178" s="372"/>
      <c r="P178" s="380"/>
      <c r="Q178" s="381"/>
      <c r="R178" s="381"/>
      <c r="S178" s="361"/>
      <c r="T178" s="361"/>
      <c r="U178" s="361"/>
      <c r="V178" s="366"/>
      <c r="W178" s="366"/>
    </row>
    <row r="179" spans="1:23">
      <c r="A179" s="1410"/>
      <c r="B179" s="1413"/>
      <c r="C179" s="845" t="s">
        <v>732</v>
      </c>
      <c r="D179" s="874" t="str">
        <f>B165&amp;C179</f>
        <v>A67y</v>
      </c>
      <c r="E179" s="367">
        <v>14</v>
      </c>
      <c r="F179" s="370"/>
      <c r="G179" s="368"/>
      <c r="H179" s="368"/>
      <c r="I179" s="368"/>
      <c r="J179" s="368"/>
      <c r="K179" s="370"/>
      <c r="L179" s="370"/>
      <c r="M179" s="370"/>
      <c r="N179" s="382"/>
      <c r="O179" s="372"/>
      <c r="P179" s="380"/>
      <c r="Q179" s="381"/>
      <c r="R179" s="381"/>
      <c r="S179" s="361"/>
      <c r="T179" s="361"/>
      <c r="U179" s="362"/>
      <c r="V179" s="366"/>
      <c r="W179" s="366"/>
    </row>
    <row r="180" spans="1:23">
      <c r="A180" s="1411"/>
      <c r="B180" s="1414"/>
      <c r="C180" s="846" t="s">
        <v>996</v>
      </c>
      <c r="D180" s="874" t="str">
        <f>B165&amp;C180</f>
        <v>A67z</v>
      </c>
      <c r="E180" s="847">
        <v>15</v>
      </c>
      <c r="F180" s="848"/>
      <c r="G180" s="849"/>
      <c r="H180" s="849"/>
      <c r="I180" s="849"/>
      <c r="J180" s="849"/>
      <c r="K180" s="848"/>
      <c r="L180" s="848"/>
      <c r="M180" s="848"/>
      <c r="N180" s="850"/>
      <c r="O180" s="851"/>
      <c r="P180" s="851"/>
      <c r="Q180" s="852"/>
      <c r="R180" s="383"/>
      <c r="S180" s="361"/>
      <c r="T180" s="832"/>
      <c r="U180" s="830"/>
      <c r="V180" s="366"/>
      <c r="W180" s="366"/>
    </row>
    <row r="181" spans="1:23">
      <c r="A181" s="1400" t="s">
        <v>939</v>
      </c>
      <c r="B181" s="1400" t="s">
        <v>17</v>
      </c>
      <c r="C181" s="827"/>
      <c r="D181" s="871"/>
      <c r="E181" s="1400" t="s">
        <v>177</v>
      </c>
      <c r="F181" s="1400" t="s">
        <v>18</v>
      </c>
      <c r="G181" s="1389" t="s">
        <v>19</v>
      </c>
      <c r="H181" s="1390"/>
      <c r="I181" s="1389" t="s">
        <v>22</v>
      </c>
      <c r="J181" s="1390"/>
      <c r="K181" s="1393" t="s">
        <v>26</v>
      </c>
      <c r="L181" s="1390"/>
      <c r="M181" s="1389" t="s">
        <v>392</v>
      </c>
      <c r="N181" s="1390"/>
      <c r="O181" s="1389" t="s">
        <v>28</v>
      </c>
      <c r="P181" s="1393"/>
      <c r="Q181" s="1390"/>
      <c r="R181" s="1400" t="s">
        <v>36</v>
      </c>
      <c r="S181" s="361"/>
      <c r="T181" s="361">
        <f>MAX(J185:J199)-MIN(I185:I199)</f>
        <v>1.3888888888888895E-2</v>
      </c>
      <c r="U181" s="361"/>
      <c r="V181" s="853" t="str">
        <f t="shared" ref="V181" si="18">B185</f>
        <v>B34</v>
      </c>
      <c r="W181" s="361">
        <f t="shared" ref="W181" si="19">COUNTIF(K186:K200,"&gt;0")</f>
        <v>2</v>
      </c>
    </row>
    <row r="182" spans="1:23">
      <c r="A182" s="1401"/>
      <c r="B182" s="1401"/>
      <c r="C182" s="828"/>
      <c r="D182" s="872"/>
      <c r="E182" s="1401"/>
      <c r="F182" s="1401"/>
      <c r="G182" s="1391"/>
      <c r="H182" s="1392"/>
      <c r="I182" s="1391"/>
      <c r="J182" s="1392"/>
      <c r="K182" s="1394"/>
      <c r="L182" s="1392"/>
      <c r="M182" s="1391"/>
      <c r="N182" s="1392"/>
      <c r="O182" s="1391"/>
      <c r="P182" s="1394"/>
      <c r="Q182" s="1392"/>
      <c r="R182" s="1401"/>
      <c r="S182" s="361"/>
      <c r="T182" s="361"/>
      <c r="U182" s="361"/>
      <c r="V182" s="361"/>
      <c r="W182" s="361"/>
    </row>
    <row r="183" spans="1:23">
      <c r="A183" s="1401"/>
      <c r="B183" s="1401"/>
      <c r="C183" s="828"/>
      <c r="D183" s="872"/>
      <c r="E183" s="1401"/>
      <c r="F183" s="1401"/>
      <c r="G183" s="1400" t="s">
        <v>20</v>
      </c>
      <c r="H183" s="1400" t="s">
        <v>21</v>
      </c>
      <c r="I183" s="1400" t="s">
        <v>361</v>
      </c>
      <c r="J183" s="1400" t="s">
        <v>353</v>
      </c>
      <c r="K183" s="1400" t="s">
        <v>23</v>
      </c>
      <c r="L183" s="1400" t="s">
        <v>24</v>
      </c>
      <c r="M183" s="1400" t="s">
        <v>27</v>
      </c>
      <c r="N183" s="1400" t="s">
        <v>178</v>
      </c>
      <c r="O183" s="1400" t="s">
        <v>1</v>
      </c>
      <c r="P183" s="1400" t="s">
        <v>29</v>
      </c>
      <c r="Q183" s="1400" t="s">
        <v>33</v>
      </c>
      <c r="R183" s="1401"/>
      <c r="S183" s="361"/>
      <c r="T183" s="361" t="s">
        <v>39</v>
      </c>
      <c r="U183" s="362">
        <f>VLOOKUP(B185,'Thong tin'!$A:$M,13,0)</f>
        <v>800</v>
      </c>
      <c r="V183" s="361"/>
      <c r="W183" s="361"/>
    </row>
    <row r="184" spans="1:23">
      <c r="A184" s="1402"/>
      <c r="B184" s="1402"/>
      <c r="C184" s="829"/>
      <c r="D184" s="873"/>
      <c r="E184" s="1402"/>
      <c r="F184" s="1402"/>
      <c r="G184" s="1402"/>
      <c r="H184" s="1402"/>
      <c r="I184" s="1402"/>
      <c r="J184" s="1402"/>
      <c r="K184" s="1402"/>
      <c r="L184" s="1402"/>
      <c r="M184" s="1402"/>
      <c r="N184" s="1402"/>
      <c r="O184" s="1402"/>
      <c r="P184" s="1402"/>
      <c r="Q184" s="1402"/>
      <c r="R184" s="1402"/>
      <c r="S184" s="361"/>
      <c r="T184" s="1399" t="s">
        <v>393</v>
      </c>
      <c r="U184" s="1397">
        <f>VLOOKUP(B185,DT.NK!$B:$AZ,45,0)</f>
        <v>27</v>
      </c>
      <c r="V184" s="361"/>
      <c r="W184" s="361"/>
    </row>
    <row r="185" spans="1:23">
      <c r="A185" s="1409">
        <f>A165+1</f>
        <v>10</v>
      </c>
      <c r="B185" s="1412" t="s">
        <v>577</v>
      </c>
      <c r="C185" s="844" t="s">
        <v>983</v>
      </c>
      <c r="D185" s="874" t="str">
        <f>B185&amp;C185</f>
        <v>B34a</v>
      </c>
      <c r="E185" s="363"/>
      <c r="F185" s="364"/>
      <c r="G185" s="364"/>
      <c r="H185" s="364"/>
      <c r="I185" s="364"/>
      <c r="J185" s="364"/>
      <c r="K185" s="364"/>
      <c r="L185" s="364"/>
      <c r="M185" s="674"/>
      <c r="N185" s="670"/>
      <c r="O185" s="670">
        <f>U184</f>
        <v>27</v>
      </c>
      <c r="P185" s="670">
        <f>O185</f>
        <v>27</v>
      </c>
      <c r="Q185" s="670">
        <v>0</v>
      </c>
      <c r="R185" s="365"/>
      <c r="S185" s="366"/>
      <c r="T185" s="1399"/>
      <c r="U185" s="1398"/>
      <c r="V185" s="361"/>
      <c r="W185" s="361"/>
    </row>
    <row r="186" spans="1:23">
      <c r="A186" s="1410"/>
      <c r="B186" s="1413"/>
      <c r="C186" s="845" t="s">
        <v>984</v>
      </c>
      <c r="D186" s="875" t="str">
        <f>B185&amp;C186</f>
        <v>B34b</v>
      </c>
      <c r="E186" s="367">
        <v>1</v>
      </c>
      <c r="F186" s="669" t="s">
        <v>981</v>
      </c>
      <c r="G186" s="369">
        <v>0.99861111111111101</v>
      </c>
      <c r="H186" s="368">
        <v>3.125E-2</v>
      </c>
      <c r="I186" s="369">
        <v>7.9861111111111105E-2</v>
      </c>
      <c r="J186" s="368">
        <v>8.3333333333333329E-2</v>
      </c>
      <c r="K186" s="669">
        <v>6</v>
      </c>
      <c r="L186" s="669">
        <v>18.5</v>
      </c>
      <c r="M186" s="675">
        <v>20.7</v>
      </c>
      <c r="N186" s="671">
        <f>IF(M186-P186&gt;0,M186-P186,0)</f>
        <v>4.1999999999999993</v>
      </c>
      <c r="O186" s="671">
        <f>O185-K186/(PI()*(U183/2000)^2)</f>
        <v>15.06337926810785</v>
      </c>
      <c r="P186" s="672">
        <v>16.5</v>
      </c>
      <c r="Q186" s="673">
        <f>ABS(O186-P186)</f>
        <v>1.43662073189215</v>
      </c>
      <c r="R186" s="375" t="s">
        <v>188</v>
      </c>
      <c r="S186" s="366"/>
      <c r="T186" s="376"/>
      <c r="U186" s="376"/>
      <c r="V186" s="366"/>
      <c r="W186" s="366"/>
    </row>
    <row r="187" spans="1:23">
      <c r="A187" s="1410"/>
      <c r="B187" s="1413"/>
      <c r="C187" s="845" t="s">
        <v>985</v>
      </c>
      <c r="D187" s="875" t="str">
        <f>B185&amp;C187</f>
        <v>B34c</v>
      </c>
      <c r="E187" s="367">
        <v>2</v>
      </c>
      <c r="F187" s="669" t="s">
        <v>982</v>
      </c>
      <c r="G187" s="369">
        <v>1.0416666666666666E-2</v>
      </c>
      <c r="H187" s="368">
        <v>4.5138888888888888E-2</v>
      </c>
      <c r="I187" s="369">
        <v>9.0277777777777776E-2</v>
      </c>
      <c r="J187" s="368">
        <v>9.375E-2</v>
      </c>
      <c r="K187" s="669">
        <v>6</v>
      </c>
      <c r="L187" s="669">
        <v>18.5</v>
      </c>
      <c r="M187" s="675">
        <v>11.25</v>
      </c>
      <c r="N187" s="671">
        <f>IF(M187-P187&gt;0,M187-P187,0)</f>
        <v>6.55</v>
      </c>
      <c r="O187" s="671">
        <f>O186-K187/(PI()*(U183/2000)^2)</f>
        <v>3.1267585362157</v>
      </c>
      <c r="P187" s="672">
        <v>4.7</v>
      </c>
      <c r="Q187" s="673">
        <f>ABS(O187-P187)</f>
        <v>1.5732414637843002</v>
      </c>
      <c r="R187" s="375" t="s">
        <v>188</v>
      </c>
      <c r="S187" s="366"/>
      <c r="T187" s="376"/>
      <c r="U187" s="376"/>
      <c r="V187" s="366"/>
      <c r="W187" s="366"/>
    </row>
    <row r="188" spans="1:23">
      <c r="A188" s="1410"/>
      <c r="B188" s="1413"/>
      <c r="C188" s="845" t="s">
        <v>986</v>
      </c>
      <c r="D188" s="875" t="str">
        <f>B185&amp;C188</f>
        <v>B34d</v>
      </c>
      <c r="E188" s="367">
        <v>3</v>
      </c>
      <c r="F188" s="669"/>
      <c r="G188" s="369"/>
      <c r="H188" s="368"/>
      <c r="I188" s="369"/>
      <c r="J188" s="368"/>
      <c r="K188" s="669"/>
      <c r="L188" s="669"/>
      <c r="M188" s="675"/>
      <c r="N188" s="671"/>
      <c r="O188" s="671"/>
      <c r="P188" s="672"/>
      <c r="Q188" s="673"/>
      <c r="R188" s="375"/>
      <c r="S188" s="366"/>
      <c r="T188" s="376"/>
      <c r="U188" s="376"/>
      <c r="V188" s="366"/>
      <c r="W188" s="366"/>
    </row>
    <row r="189" spans="1:23">
      <c r="A189" s="1410"/>
      <c r="B189" s="1413"/>
      <c r="C189" s="845" t="s">
        <v>987</v>
      </c>
      <c r="D189" s="875" t="str">
        <f>B185&amp;C189</f>
        <v>B34e</v>
      </c>
      <c r="E189" s="367">
        <v>4</v>
      </c>
      <c r="F189" s="669"/>
      <c r="G189" s="369"/>
      <c r="H189" s="368"/>
      <c r="I189" s="369"/>
      <c r="J189" s="368"/>
      <c r="K189" s="669"/>
      <c r="L189" s="370"/>
      <c r="M189" s="675"/>
      <c r="N189" s="671"/>
      <c r="O189" s="671"/>
      <c r="P189" s="373"/>
      <c r="Q189" s="673"/>
      <c r="R189" s="375"/>
      <c r="S189" s="366"/>
      <c r="T189" s="376"/>
      <c r="U189" s="376"/>
      <c r="V189" s="366"/>
      <c r="W189" s="366"/>
    </row>
    <row r="190" spans="1:23">
      <c r="A190" s="1410"/>
      <c r="B190" s="1413"/>
      <c r="C190" s="845" t="s">
        <v>988</v>
      </c>
      <c r="D190" s="875" t="str">
        <f>B185&amp;C190</f>
        <v>B34f</v>
      </c>
      <c r="E190" s="367">
        <v>5</v>
      </c>
      <c r="F190" s="669"/>
      <c r="G190" s="369"/>
      <c r="H190" s="368"/>
      <c r="I190" s="369"/>
      <c r="J190" s="368"/>
      <c r="K190" s="669"/>
      <c r="L190" s="370"/>
      <c r="M190" s="371"/>
      <c r="N190" s="671"/>
      <c r="O190" s="671"/>
      <c r="P190" s="373"/>
      <c r="Q190" s="673"/>
      <c r="R190" s="377"/>
      <c r="S190" s="366" t="s">
        <v>190</v>
      </c>
      <c r="T190" s="376"/>
      <c r="U190" s="376"/>
      <c r="V190" s="366"/>
      <c r="W190" s="366"/>
    </row>
    <row r="191" spans="1:23">
      <c r="A191" s="1410"/>
      <c r="B191" s="1413"/>
      <c r="C191" s="845" t="s">
        <v>989</v>
      </c>
      <c r="D191" s="875" t="str">
        <f>B185&amp;C191</f>
        <v>B34g</v>
      </c>
      <c r="E191" s="367">
        <v>6</v>
      </c>
      <c r="F191" s="669"/>
      <c r="G191" s="369"/>
      <c r="H191" s="368"/>
      <c r="I191" s="369"/>
      <c r="J191" s="368"/>
      <c r="K191" s="669"/>
      <c r="L191" s="370"/>
      <c r="M191" s="371"/>
      <c r="N191" s="671"/>
      <c r="O191" s="671"/>
      <c r="P191" s="373"/>
      <c r="Q191" s="673"/>
      <c r="R191" s="375"/>
      <c r="S191" s="366" t="s">
        <v>190</v>
      </c>
      <c r="T191" s="366"/>
      <c r="U191" s="366"/>
      <c r="V191" s="366"/>
      <c r="W191" s="366"/>
    </row>
    <row r="192" spans="1:23">
      <c r="A192" s="1410"/>
      <c r="B192" s="1413"/>
      <c r="C192" s="845" t="s">
        <v>990</v>
      </c>
      <c r="D192" s="875" t="str">
        <f>B185&amp;C192</f>
        <v>B34h</v>
      </c>
      <c r="E192" s="367">
        <v>7</v>
      </c>
      <c r="F192" s="669"/>
      <c r="G192" s="368"/>
      <c r="H192" s="368"/>
      <c r="I192" s="368"/>
      <c r="J192" s="368"/>
      <c r="K192" s="669"/>
      <c r="L192" s="370"/>
      <c r="M192" s="371"/>
      <c r="N192" s="671"/>
      <c r="O192" s="671"/>
      <c r="P192" s="373"/>
      <c r="Q192" s="673"/>
      <c r="R192" s="377"/>
      <c r="S192" s="366" t="s">
        <v>190</v>
      </c>
      <c r="T192" s="366"/>
      <c r="U192" s="366"/>
      <c r="V192" s="366"/>
      <c r="W192" s="366"/>
    </row>
    <row r="193" spans="1:23">
      <c r="A193" s="1410"/>
      <c r="B193" s="1413"/>
      <c r="C193" s="845" t="s">
        <v>991</v>
      </c>
      <c r="D193" s="875" t="str">
        <f>B185&amp;C193</f>
        <v>B34i</v>
      </c>
      <c r="E193" s="367">
        <v>8</v>
      </c>
      <c r="F193" s="669"/>
      <c r="G193" s="368"/>
      <c r="H193" s="368"/>
      <c r="I193" s="368"/>
      <c r="J193" s="368"/>
      <c r="K193" s="370"/>
      <c r="L193" s="370"/>
      <c r="M193" s="371"/>
      <c r="N193" s="671"/>
      <c r="O193" s="671"/>
      <c r="P193" s="373"/>
      <c r="Q193" s="673"/>
      <c r="R193" s="378"/>
      <c r="S193" s="366"/>
      <c r="T193" s="366"/>
      <c r="U193" s="366"/>
      <c r="V193" s="366"/>
      <c r="W193" s="366"/>
    </row>
    <row r="194" spans="1:23">
      <c r="A194" s="1410"/>
      <c r="B194" s="1413"/>
      <c r="C194" s="845" t="s">
        <v>992</v>
      </c>
      <c r="D194" s="875" t="str">
        <f>B185&amp;C194</f>
        <v>B34k</v>
      </c>
      <c r="E194" s="367">
        <v>9</v>
      </c>
      <c r="F194" s="370"/>
      <c r="G194" s="368"/>
      <c r="H194" s="368"/>
      <c r="I194" s="368"/>
      <c r="J194" s="368"/>
      <c r="K194" s="370"/>
      <c r="L194" s="370"/>
      <c r="M194" s="371"/>
      <c r="N194" s="372"/>
      <c r="O194" s="372"/>
      <c r="P194" s="373"/>
      <c r="Q194" s="374"/>
      <c r="R194" s="378"/>
      <c r="S194" s="379"/>
      <c r="T194" s="366"/>
      <c r="U194" s="366"/>
      <c r="V194" s="366"/>
      <c r="W194" s="366"/>
    </row>
    <row r="195" spans="1:23">
      <c r="A195" s="1410"/>
      <c r="B195" s="1413"/>
      <c r="C195" s="845" t="s">
        <v>993</v>
      </c>
      <c r="D195" s="875" t="str">
        <f>B185&amp;C195</f>
        <v>B34l</v>
      </c>
      <c r="E195" s="367">
        <v>10</v>
      </c>
      <c r="F195" s="370"/>
      <c r="G195" s="368"/>
      <c r="H195" s="368"/>
      <c r="I195" s="368"/>
      <c r="J195" s="368"/>
      <c r="K195" s="370"/>
      <c r="L195" s="370"/>
      <c r="M195" s="370"/>
      <c r="N195" s="372"/>
      <c r="O195" s="372"/>
      <c r="P195" s="373"/>
      <c r="Q195" s="374"/>
      <c r="R195" s="378"/>
      <c r="S195" s="379"/>
      <c r="T195" s="366"/>
      <c r="U195" s="366"/>
      <c r="V195" s="366"/>
      <c r="W195" s="366"/>
    </row>
    <row r="196" spans="1:23">
      <c r="A196" s="1410"/>
      <c r="B196" s="1413"/>
      <c r="C196" s="845" t="s">
        <v>994</v>
      </c>
      <c r="D196" s="875" t="str">
        <f>B185&amp;C196</f>
        <v>B34m</v>
      </c>
      <c r="E196" s="367">
        <v>11</v>
      </c>
      <c r="F196" s="370"/>
      <c r="G196" s="368"/>
      <c r="H196" s="368"/>
      <c r="I196" s="368"/>
      <c r="J196" s="368"/>
      <c r="K196" s="370"/>
      <c r="L196" s="370"/>
      <c r="M196" s="370"/>
      <c r="N196" s="372"/>
      <c r="O196" s="372"/>
      <c r="P196" s="380"/>
      <c r="Q196" s="374"/>
      <c r="R196" s="381"/>
      <c r="S196" s="379"/>
      <c r="T196" s="366"/>
      <c r="U196" s="366"/>
      <c r="V196" s="366"/>
      <c r="W196" s="366"/>
    </row>
    <row r="197" spans="1:23">
      <c r="A197" s="1410"/>
      <c r="B197" s="1413"/>
      <c r="C197" s="845" t="s">
        <v>995</v>
      </c>
      <c r="D197" s="875" t="str">
        <f>B185&amp;C197</f>
        <v>B34n</v>
      </c>
      <c r="E197" s="367">
        <v>12</v>
      </c>
      <c r="F197" s="370"/>
      <c r="G197" s="368"/>
      <c r="H197" s="368"/>
      <c r="I197" s="368"/>
      <c r="J197" s="368"/>
      <c r="K197" s="370"/>
      <c r="L197" s="370"/>
      <c r="M197" s="370"/>
      <c r="N197" s="372"/>
      <c r="O197" s="372"/>
      <c r="P197" s="380"/>
      <c r="Q197" s="374"/>
      <c r="R197" s="381"/>
      <c r="S197" s="361"/>
      <c r="T197" s="361"/>
      <c r="U197" s="361"/>
      <c r="V197" s="366"/>
      <c r="W197" s="366"/>
    </row>
    <row r="198" spans="1:23">
      <c r="A198" s="1410"/>
      <c r="B198" s="1413"/>
      <c r="C198" s="845" t="s">
        <v>471</v>
      </c>
      <c r="D198" s="875" t="str">
        <f>B185&amp;C198</f>
        <v>B34x</v>
      </c>
      <c r="E198" s="367">
        <v>13</v>
      </c>
      <c r="F198" s="370"/>
      <c r="G198" s="368"/>
      <c r="H198" s="368"/>
      <c r="I198" s="368"/>
      <c r="J198" s="368"/>
      <c r="K198" s="370"/>
      <c r="L198" s="370"/>
      <c r="M198" s="370"/>
      <c r="N198" s="382"/>
      <c r="O198" s="372"/>
      <c r="P198" s="380"/>
      <c r="Q198" s="381"/>
      <c r="R198" s="381"/>
      <c r="S198" s="361"/>
      <c r="T198" s="361"/>
      <c r="U198" s="361"/>
      <c r="V198" s="366"/>
      <c r="W198" s="366"/>
    </row>
    <row r="199" spans="1:23">
      <c r="A199" s="1410"/>
      <c r="B199" s="1413"/>
      <c r="C199" s="845" t="s">
        <v>732</v>
      </c>
      <c r="D199" s="875" t="str">
        <f>B185&amp;C199</f>
        <v>B34y</v>
      </c>
      <c r="E199" s="367">
        <v>14</v>
      </c>
      <c r="F199" s="370"/>
      <c r="G199" s="368"/>
      <c r="H199" s="368"/>
      <c r="I199" s="368"/>
      <c r="J199" s="368"/>
      <c r="K199" s="370"/>
      <c r="L199" s="370"/>
      <c r="M199" s="370"/>
      <c r="N199" s="382"/>
      <c r="O199" s="372"/>
      <c r="P199" s="380"/>
      <c r="Q199" s="381"/>
      <c r="R199" s="381"/>
      <c r="S199" s="361"/>
      <c r="T199" s="361"/>
      <c r="U199" s="362"/>
      <c r="V199" s="366"/>
      <c r="W199" s="366"/>
    </row>
    <row r="200" spans="1:23">
      <c r="A200" s="1411"/>
      <c r="B200" s="1414"/>
      <c r="C200" s="846" t="s">
        <v>996</v>
      </c>
      <c r="D200" s="876" t="str">
        <f>B185&amp;C200</f>
        <v>B34z</v>
      </c>
      <c r="E200" s="847">
        <v>15</v>
      </c>
      <c r="F200" s="848"/>
      <c r="G200" s="849"/>
      <c r="H200" s="849"/>
      <c r="I200" s="849"/>
      <c r="J200" s="849"/>
      <c r="K200" s="848"/>
      <c r="L200" s="848"/>
      <c r="M200" s="848"/>
      <c r="N200" s="850"/>
      <c r="O200" s="851"/>
      <c r="P200" s="851"/>
      <c r="Q200" s="852"/>
      <c r="R200" s="383"/>
      <c r="S200" s="361"/>
      <c r="T200" s="832"/>
      <c r="U200" s="830"/>
      <c r="V200" s="366"/>
      <c r="W200" s="366"/>
    </row>
    <row r="201" spans="1:23">
      <c r="A201" s="1400" t="s">
        <v>939</v>
      </c>
      <c r="B201" s="1400" t="s">
        <v>17</v>
      </c>
      <c r="C201" s="827"/>
      <c r="D201" s="871"/>
      <c r="E201" s="1400" t="s">
        <v>177</v>
      </c>
      <c r="F201" s="1400" t="s">
        <v>18</v>
      </c>
      <c r="G201" s="1389" t="s">
        <v>19</v>
      </c>
      <c r="H201" s="1390"/>
      <c r="I201" s="1389" t="s">
        <v>22</v>
      </c>
      <c r="J201" s="1390"/>
      <c r="K201" s="1393" t="s">
        <v>26</v>
      </c>
      <c r="L201" s="1390"/>
      <c r="M201" s="1389" t="s">
        <v>392</v>
      </c>
      <c r="N201" s="1390"/>
      <c r="O201" s="1389" t="s">
        <v>28</v>
      </c>
      <c r="P201" s="1393"/>
      <c r="Q201" s="1390"/>
      <c r="R201" s="1400" t="s">
        <v>36</v>
      </c>
      <c r="S201" s="361"/>
      <c r="T201" s="361">
        <f>MAX(J205:J219)-MIN(I205:I219)</f>
        <v>2.0833333333333315E-2</v>
      </c>
      <c r="U201" s="361"/>
      <c r="V201" s="853" t="str">
        <f t="shared" ref="V201" si="20">B205</f>
        <v>B35</v>
      </c>
      <c r="W201" s="361">
        <f t="shared" ref="W201" si="21">COUNTIF(K206:K220,"&gt;0")</f>
        <v>2</v>
      </c>
    </row>
    <row r="202" spans="1:23">
      <c r="A202" s="1401"/>
      <c r="B202" s="1401"/>
      <c r="C202" s="828"/>
      <c r="D202" s="872"/>
      <c r="E202" s="1401"/>
      <c r="F202" s="1401"/>
      <c r="G202" s="1391"/>
      <c r="H202" s="1392"/>
      <c r="I202" s="1391"/>
      <c r="J202" s="1392"/>
      <c r="K202" s="1394"/>
      <c r="L202" s="1392"/>
      <c r="M202" s="1391"/>
      <c r="N202" s="1392"/>
      <c r="O202" s="1391"/>
      <c r="P202" s="1394"/>
      <c r="Q202" s="1392"/>
      <c r="R202" s="1401"/>
      <c r="S202" s="361"/>
      <c r="T202" s="361"/>
      <c r="U202" s="361"/>
      <c r="V202" s="361"/>
      <c r="W202" s="361"/>
    </row>
    <row r="203" spans="1:23">
      <c r="A203" s="1401"/>
      <c r="B203" s="1401"/>
      <c r="C203" s="828"/>
      <c r="D203" s="872"/>
      <c r="E203" s="1401"/>
      <c r="F203" s="1401"/>
      <c r="G203" s="1400" t="s">
        <v>20</v>
      </c>
      <c r="H203" s="1400" t="s">
        <v>21</v>
      </c>
      <c r="I203" s="1400" t="s">
        <v>361</v>
      </c>
      <c r="J203" s="1400" t="s">
        <v>353</v>
      </c>
      <c r="K203" s="1400" t="s">
        <v>23</v>
      </c>
      <c r="L203" s="1400" t="s">
        <v>24</v>
      </c>
      <c r="M203" s="1400" t="s">
        <v>27</v>
      </c>
      <c r="N203" s="1400" t="s">
        <v>178</v>
      </c>
      <c r="O203" s="1400" t="s">
        <v>1</v>
      </c>
      <c r="P203" s="1400" t="s">
        <v>29</v>
      </c>
      <c r="Q203" s="1400" t="s">
        <v>33</v>
      </c>
      <c r="R203" s="1401"/>
      <c r="S203" s="361"/>
      <c r="T203" s="361" t="s">
        <v>39</v>
      </c>
      <c r="U203" s="362">
        <f>VLOOKUP(B205,'Thong tin'!$A:$M,13,0)</f>
        <v>800</v>
      </c>
      <c r="V203" s="361"/>
      <c r="W203" s="361"/>
    </row>
    <row r="204" spans="1:23">
      <c r="A204" s="1402"/>
      <c r="B204" s="1402"/>
      <c r="C204" s="829"/>
      <c r="D204" s="873"/>
      <c r="E204" s="1402"/>
      <c r="F204" s="1402"/>
      <c r="G204" s="1402"/>
      <c r="H204" s="1402"/>
      <c r="I204" s="1402"/>
      <c r="J204" s="1402"/>
      <c r="K204" s="1402"/>
      <c r="L204" s="1402"/>
      <c r="M204" s="1402"/>
      <c r="N204" s="1402"/>
      <c r="O204" s="1402"/>
      <c r="P204" s="1402"/>
      <c r="Q204" s="1402"/>
      <c r="R204" s="1402"/>
      <c r="S204" s="361"/>
      <c r="T204" s="1399" t="s">
        <v>393</v>
      </c>
      <c r="U204" s="1397">
        <f>VLOOKUP(B205,DT.NK!$B:$AZ,45,0)</f>
        <v>27</v>
      </c>
      <c r="V204" s="361"/>
      <c r="W204" s="361"/>
    </row>
    <row r="205" spans="1:23">
      <c r="A205" s="1409">
        <f>A185+1</f>
        <v>11</v>
      </c>
      <c r="B205" s="1412" t="s">
        <v>582</v>
      </c>
      <c r="C205" s="844" t="s">
        <v>983</v>
      </c>
      <c r="D205" s="874" t="str">
        <f>B205&amp;C205</f>
        <v>B35a</v>
      </c>
      <c r="E205" s="363"/>
      <c r="F205" s="364"/>
      <c r="G205" s="364"/>
      <c r="H205" s="364"/>
      <c r="I205" s="364"/>
      <c r="J205" s="364"/>
      <c r="K205" s="364"/>
      <c r="L205" s="364"/>
      <c r="M205" s="674"/>
      <c r="N205" s="670"/>
      <c r="O205" s="670">
        <f>U204</f>
        <v>27</v>
      </c>
      <c r="P205" s="670">
        <f>O205</f>
        <v>27</v>
      </c>
      <c r="Q205" s="670">
        <v>0</v>
      </c>
      <c r="R205" s="365"/>
      <c r="S205" s="366"/>
      <c r="T205" s="1399"/>
      <c r="U205" s="1398"/>
      <c r="V205" s="361"/>
      <c r="W205" s="361"/>
    </row>
    <row r="206" spans="1:23">
      <c r="A206" s="1410"/>
      <c r="B206" s="1413"/>
      <c r="C206" s="845" t="s">
        <v>984</v>
      </c>
      <c r="D206" s="875" t="str">
        <f>B205&amp;C206</f>
        <v>B35b</v>
      </c>
      <c r="E206" s="367">
        <v>1</v>
      </c>
      <c r="F206" s="669" t="s">
        <v>1018</v>
      </c>
      <c r="G206" s="369">
        <v>0.21249999999999999</v>
      </c>
      <c r="H206" s="368">
        <v>0.24305555555555555</v>
      </c>
      <c r="I206" s="369">
        <v>0.25</v>
      </c>
      <c r="J206" s="368">
        <v>0.25694444444444448</v>
      </c>
      <c r="K206" s="669">
        <v>6</v>
      </c>
      <c r="L206" s="669">
        <v>19</v>
      </c>
      <c r="M206" s="675">
        <v>20.7</v>
      </c>
      <c r="N206" s="671">
        <f>IF(M206-P206&gt;0,M206-P206,0)</f>
        <v>3.6999999999999993</v>
      </c>
      <c r="O206" s="671">
        <f>O205-K206/(PI()*(U203/2000)^2)</f>
        <v>15.06337926810785</v>
      </c>
      <c r="P206" s="672">
        <v>17</v>
      </c>
      <c r="Q206" s="673">
        <f>ABS(O206-P206)</f>
        <v>1.93662073189215</v>
      </c>
      <c r="R206" s="375" t="s">
        <v>188</v>
      </c>
      <c r="S206" s="366"/>
      <c r="T206" s="376"/>
      <c r="U206" s="376"/>
      <c r="V206" s="366"/>
      <c r="W206" s="366"/>
    </row>
    <row r="207" spans="1:23">
      <c r="A207" s="1410"/>
      <c r="B207" s="1413"/>
      <c r="C207" s="845" t="s">
        <v>985</v>
      </c>
      <c r="D207" s="875" t="str">
        <f>B205&amp;C207</f>
        <v>B35c</v>
      </c>
      <c r="E207" s="367">
        <v>2</v>
      </c>
      <c r="F207" s="669" t="s">
        <v>1010</v>
      </c>
      <c r="G207" s="369">
        <v>0.21527777777777779</v>
      </c>
      <c r="H207" s="368">
        <v>0.24652777777777779</v>
      </c>
      <c r="I207" s="369">
        <v>0.2638888888888889</v>
      </c>
      <c r="J207" s="368">
        <v>0.27083333333333331</v>
      </c>
      <c r="K207" s="669">
        <v>6</v>
      </c>
      <c r="L207" s="669">
        <v>19</v>
      </c>
      <c r="M207" s="675">
        <v>11.25</v>
      </c>
      <c r="N207" s="671">
        <f>IF(M207-P207&gt;0,M207-P207,0)</f>
        <v>6.45</v>
      </c>
      <c r="O207" s="671">
        <f>O206-K207/(PI()*(U203/2000)^2)</f>
        <v>3.1267585362157</v>
      </c>
      <c r="P207" s="672">
        <v>4.8</v>
      </c>
      <c r="Q207" s="673">
        <f>ABS(O207-P207)</f>
        <v>1.6732414637842998</v>
      </c>
      <c r="R207" s="375" t="s">
        <v>188</v>
      </c>
      <c r="S207" s="366"/>
      <c r="T207" s="376"/>
      <c r="U207" s="376"/>
      <c r="V207" s="366"/>
      <c r="W207" s="366"/>
    </row>
    <row r="208" spans="1:23">
      <c r="A208" s="1410"/>
      <c r="B208" s="1413"/>
      <c r="C208" s="845" t="s">
        <v>986</v>
      </c>
      <c r="D208" s="875" t="str">
        <f>B205&amp;C208</f>
        <v>B35d</v>
      </c>
      <c r="E208" s="367">
        <v>3</v>
      </c>
      <c r="F208" s="669"/>
      <c r="G208" s="369"/>
      <c r="H208" s="368"/>
      <c r="I208" s="369"/>
      <c r="J208" s="368"/>
      <c r="K208" s="669"/>
      <c r="L208" s="669"/>
      <c r="M208" s="675"/>
      <c r="N208" s="671"/>
      <c r="O208" s="671"/>
      <c r="P208" s="672"/>
      <c r="Q208" s="673"/>
      <c r="R208" s="375"/>
      <c r="S208" s="366"/>
      <c r="T208" s="376"/>
      <c r="U208" s="376"/>
      <c r="V208" s="366"/>
      <c r="W208" s="366"/>
    </row>
    <row r="209" spans="1:23">
      <c r="A209" s="1410"/>
      <c r="B209" s="1413"/>
      <c r="C209" s="845" t="s">
        <v>987</v>
      </c>
      <c r="D209" s="875" t="str">
        <f>B205&amp;C209</f>
        <v>B35e</v>
      </c>
      <c r="E209" s="367">
        <v>4</v>
      </c>
      <c r="F209" s="669"/>
      <c r="G209" s="369"/>
      <c r="H209" s="368"/>
      <c r="I209" s="369"/>
      <c r="J209" s="368"/>
      <c r="K209" s="669"/>
      <c r="L209" s="370"/>
      <c r="M209" s="675"/>
      <c r="N209" s="671"/>
      <c r="O209" s="671"/>
      <c r="P209" s="373"/>
      <c r="Q209" s="673"/>
      <c r="R209" s="375"/>
      <c r="S209" s="366"/>
      <c r="T209" s="376"/>
      <c r="U209" s="376"/>
      <c r="V209" s="366"/>
      <c r="W209" s="366"/>
    </row>
    <row r="210" spans="1:23">
      <c r="A210" s="1410"/>
      <c r="B210" s="1413"/>
      <c r="C210" s="845" t="s">
        <v>988</v>
      </c>
      <c r="D210" s="875" t="str">
        <f>B205&amp;C210</f>
        <v>B35f</v>
      </c>
      <c r="E210" s="367">
        <v>5</v>
      </c>
      <c r="F210" s="669"/>
      <c r="G210" s="369"/>
      <c r="H210" s="368"/>
      <c r="I210" s="369"/>
      <c r="J210" s="368"/>
      <c r="K210" s="669"/>
      <c r="L210" s="370"/>
      <c r="M210" s="371"/>
      <c r="N210" s="671"/>
      <c r="O210" s="671"/>
      <c r="P210" s="373"/>
      <c r="Q210" s="673"/>
      <c r="R210" s="377"/>
      <c r="S210" s="366" t="s">
        <v>190</v>
      </c>
      <c r="T210" s="376"/>
      <c r="U210" s="376"/>
      <c r="V210" s="366"/>
      <c r="W210" s="366"/>
    </row>
    <row r="211" spans="1:23">
      <c r="A211" s="1410"/>
      <c r="B211" s="1413"/>
      <c r="C211" s="845" t="s">
        <v>989</v>
      </c>
      <c r="D211" s="875" t="str">
        <f>B205&amp;C211</f>
        <v>B35g</v>
      </c>
      <c r="E211" s="367">
        <v>6</v>
      </c>
      <c r="F211" s="669"/>
      <c r="G211" s="369"/>
      <c r="H211" s="368"/>
      <c r="I211" s="369"/>
      <c r="J211" s="368"/>
      <c r="K211" s="669"/>
      <c r="L211" s="370"/>
      <c r="M211" s="371"/>
      <c r="N211" s="671"/>
      <c r="O211" s="671"/>
      <c r="P211" s="373"/>
      <c r="Q211" s="673"/>
      <c r="R211" s="375"/>
      <c r="S211" s="366" t="s">
        <v>190</v>
      </c>
      <c r="T211" s="366"/>
      <c r="U211" s="366"/>
      <c r="V211" s="366"/>
      <c r="W211" s="366"/>
    </row>
    <row r="212" spans="1:23">
      <c r="A212" s="1410"/>
      <c r="B212" s="1413"/>
      <c r="C212" s="845" t="s">
        <v>990</v>
      </c>
      <c r="D212" s="875" t="str">
        <f>B205&amp;C212</f>
        <v>B35h</v>
      </c>
      <c r="E212" s="367">
        <v>7</v>
      </c>
      <c r="F212" s="669"/>
      <c r="G212" s="368"/>
      <c r="H212" s="368"/>
      <c r="I212" s="368"/>
      <c r="J212" s="368"/>
      <c r="K212" s="669"/>
      <c r="L212" s="370"/>
      <c r="M212" s="371"/>
      <c r="N212" s="671"/>
      <c r="O212" s="671"/>
      <c r="P212" s="373"/>
      <c r="Q212" s="673"/>
      <c r="R212" s="377"/>
      <c r="S212" s="366" t="s">
        <v>190</v>
      </c>
      <c r="T212" s="366"/>
      <c r="U212" s="366"/>
      <c r="V212" s="366"/>
      <c r="W212" s="366"/>
    </row>
    <row r="213" spans="1:23">
      <c r="A213" s="1410"/>
      <c r="B213" s="1413"/>
      <c r="C213" s="845" t="s">
        <v>991</v>
      </c>
      <c r="D213" s="875" t="str">
        <f>B205&amp;C213</f>
        <v>B35i</v>
      </c>
      <c r="E213" s="367">
        <v>8</v>
      </c>
      <c r="F213" s="669"/>
      <c r="G213" s="368"/>
      <c r="H213" s="368"/>
      <c r="I213" s="368"/>
      <c r="J213" s="368"/>
      <c r="K213" s="370"/>
      <c r="L213" s="370"/>
      <c r="M213" s="371"/>
      <c r="N213" s="671"/>
      <c r="O213" s="671"/>
      <c r="P213" s="373"/>
      <c r="Q213" s="673"/>
      <c r="R213" s="378"/>
      <c r="S213" s="366"/>
      <c r="T213" s="366"/>
      <c r="U213" s="366"/>
      <c r="V213" s="366"/>
      <c r="W213" s="366"/>
    </row>
    <row r="214" spans="1:23">
      <c r="A214" s="1410"/>
      <c r="B214" s="1413"/>
      <c r="C214" s="845" t="s">
        <v>992</v>
      </c>
      <c r="D214" s="875" t="str">
        <f>B205&amp;C214</f>
        <v>B35k</v>
      </c>
      <c r="E214" s="367">
        <v>9</v>
      </c>
      <c r="F214" s="370"/>
      <c r="G214" s="368"/>
      <c r="H214" s="368"/>
      <c r="I214" s="368"/>
      <c r="J214" s="368"/>
      <c r="K214" s="370"/>
      <c r="L214" s="370"/>
      <c r="M214" s="371"/>
      <c r="N214" s="372"/>
      <c r="O214" s="372"/>
      <c r="P214" s="373"/>
      <c r="Q214" s="374"/>
      <c r="R214" s="378"/>
      <c r="S214" s="379"/>
      <c r="T214" s="366"/>
      <c r="U214" s="366"/>
      <c r="V214" s="366"/>
      <c r="W214" s="366"/>
    </row>
    <row r="215" spans="1:23">
      <c r="A215" s="1410"/>
      <c r="B215" s="1413"/>
      <c r="C215" s="845" t="s">
        <v>993</v>
      </c>
      <c r="D215" s="875" t="str">
        <f>B205&amp;C215</f>
        <v>B35l</v>
      </c>
      <c r="E215" s="367">
        <v>10</v>
      </c>
      <c r="F215" s="370"/>
      <c r="G215" s="368"/>
      <c r="H215" s="368"/>
      <c r="I215" s="368"/>
      <c r="J215" s="368"/>
      <c r="K215" s="370"/>
      <c r="L215" s="370"/>
      <c r="M215" s="370"/>
      <c r="N215" s="372"/>
      <c r="O215" s="372"/>
      <c r="P215" s="373"/>
      <c r="Q215" s="374"/>
      <c r="R215" s="378"/>
      <c r="S215" s="379"/>
      <c r="T215" s="366"/>
      <c r="U215" s="366"/>
      <c r="V215" s="366"/>
      <c r="W215" s="366"/>
    </row>
    <row r="216" spans="1:23">
      <c r="A216" s="1410"/>
      <c r="B216" s="1413"/>
      <c r="C216" s="845" t="s">
        <v>994</v>
      </c>
      <c r="D216" s="875" t="str">
        <f>B205&amp;C216</f>
        <v>B35m</v>
      </c>
      <c r="E216" s="367">
        <v>11</v>
      </c>
      <c r="F216" s="370"/>
      <c r="G216" s="368"/>
      <c r="H216" s="368"/>
      <c r="I216" s="368"/>
      <c r="J216" s="368"/>
      <c r="K216" s="370"/>
      <c r="L216" s="370"/>
      <c r="M216" s="370"/>
      <c r="N216" s="372"/>
      <c r="O216" s="372"/>
      <c r="P216" s="380"/>
      <c r="Q216" s="374"/>
      <c r="R216" s="381"/>
      <c r="S216" s="379"/>
      <c r="T216" s="366"/>
      <c r="U216" s="366"/>
      <c r="V216" s="366"/>
      <c r="W216" s="366"/>
    </row>
    <row r="217" spans="1:23">
      <c r="A217" s="1410"/>
      <c r="B217" s="1413"/>
      <c r="C217" s="845" t="s">
        <v>995</v>
      </c>
      <c r="D217" s="875" t="str">
        <f>B205&amp;C217</f>
        <v>B35n</v>
      </c>
      <c r="E217" s="367">
        <v>12</v>
      </c>
      <c r="F217" s="370"/>
      <c r="G217" s="368"/>
      <c r="H217" s="368"/>
      <c r="I217" s="368"/>
      <c r="J217" s="368"/>
      <c r="K217" s="370"/>
      <c r="L217" s="370"/>
      <c r="M217" s="370"/>
      <c r="N217" s="372"/>
      <c r="O217" s="372"/>
      <c r="P217" s="380"/>
      <c r="Q217" s="374"/>
      <c r="R217" s="381"/>
      <c r="S217" s="361"/>
      <c r="T217" s="361"/>
      <c r="U217" s="361"/>
      <c r="V217" s="366"/>
      <c r="W217" s="366"/>
    </row>
    <row r="218" spans="1:23">
      <c r="A218" s="1410"/>
      <c r="B218" s="1413"/>
      <c r="C218" s="845" t="s">
        <v>471</v>
      </c>
      <c r="D218" s="875" t="str">
        <f>B205&amp;C218</f>
        <v>B35x</v>
      </c>
      <c r="E218" s="367">
        <v>13</v>
      </c>
      <c r="F218" s="370"/>
      <c r="G218" s="368"/>
      <c r="H218" s="368"/>
      <c r="I218" s="368"/>
      <c r="J218" s="368"/>
      <c r="K218" s="370"/>
      <c r="L218" s="370"/>
      <c r="M218" s="370"/>
      <c r="N218" s="382"/>
      <c r="O218" s="372"/>
      <c r="P218" s="380"/>
      <c r="Q218" s="381"/>
      <c r="R218" s="381"/>
      <c r="S218" s="361"/>
      <c r="T218" s="361"/>
      <c r="U218" s="361"/>
      <c r="V218" s="366"/>
      <c r="W218" s="366"/>
    </row>
    <row r="219" spans="1:23">
      <c r="A219" s="1410"/>
      <c r="B219" s="1413"/>
      <c r="C219" s="845" t="s">
        <v>732</v>
      </c>
      <c r="D219" s="875" t="str">
        <f>B205&amp;C219</f>
        <v>B35y</v>
      </c>
      <c r="E219" s="367">
        <v>14</v>
      </c>
      <c r="F219" s="370"/>
      <c r="G219" s="368"/>
      <c r="H219" s="368"/>
      <c r="I219" s="368"/>
      <c r="J219" s="368"/>
      <c r="K219" s="370"/>
      <c r="L219" s="370"/>
      <c r="M219" s="370"/>
      <c r="N219" s="382"/>
      <c r="O219" s="372"/>
      <c r="P219" s="380"/>
      <c r="Q219" s="381"/>
      <c r="R219" s="381"/>
      <c r="S219" s="361"/>
      <c r="T219" s="361"/>
      <c r="U219" s="362"/>
      <c r="V219" s="366"/>
      <c r="W219" s="366"/>
    </row>
    <row r="220" spans="1:23">
      <c r="A220" s="1411"/>
      <c r="B220" s="1414"/>
      <c r="C220" s="846" t="s">
        <v>996</v>
      </c>
      <c r="D220" s="876" t="str">
        <f>B205&amp;C220</f>
        <v>B35z</v>
      </c>
      <c r="E220" s="847">
        <v>15</v>
      </c>
      <c r="F220" s="848"/>
      <c r="G220" s="849"/>
      <c r="H220" s="849"/>
      <c r="I220" s="849"/>
      <c r="J220" s="849"/>
      <c r="K220" s="848"/>
      <c r="L220" s="848"/>
      <c r="M220" s="848"/>
      <c r="N220" s="850"/>
      <c r="O220" s="851"/>
      <c r="P220" s="851"/>
      <c r="Q220" s="852"/>
      <c r="R220" s="383"/>
      <c r="S220" s="361"/>
      <c r="T220" s="832"/>
      <c r="U220" s="830"/>
      <c r="V220" s="366"/>
      <c r="W220" s="366"/>
    </row>
    <row r="221" spans="1:23">
      <c r="A221" s="1400" t="s">
        <v>939</v>
      </c>
      <c r="B221" s="1400" t="s">
        <v>17</v>
      </c>
      <c r="C221" s="827"/>
      <c r="D221" s="871"/>
      <c r="E221" s="1400" t="s">
        <v>177</v>
      </c>
      <c r="F221" s="1400" t="s">
        <v>18</v>
      </c>
      <c r="G221" s="1389" t="s">
        <v>19</v>
      </c>
      <c r="H221" s="1390"/>
      <c r="I221" s="1389" t="s">
        <v>22</v>
      </c>
      <c r="J221" s="1390"/>
      <c r="K221" s="1393" t="s">
        <v>26</v>
      </c>
      <c r="L221" s="1390"/>
      <c r="M221" s="1389" t="s">
        <v>392</v>
      </c>
      <c r="N221" s="1390"/>
      <c r="O221" s="1389" t="s">
        <v>28</v>
      </c>
      <c r="P221" s="1393"/>
      <c r="Q221" s="1390"/>
      <c r="R221" s="1400" t="s">
        <v>36</v>
      </c>
      <c r="S221" s="361"/>
      <c r="T221" s="361">
        <f>MAX(J225:J239)-MIN(I225:I239)</f>
        <v>2.4305555555555552E-2</v>
      </c>
      <c r="U221" s="361"/>
      <c r="V221" s="853" t="str">
        <f t="shared" ref="V221" si="22">B225</f>
        <v>B37</v>
      </c>
      <c r="W221" s="361">
        <f t="shared" ref="W221" si="23">COUNTIF(K226:K240,"&gt;0")</f>
        <v>2</v>
      </c>
    </row>
    <row r="222" spans="1:23">
      <c r="A222" s="1401"/>
      <c r="B222" s="1401"/>
      <c r="C222" s="828"/>
      <c r="D222" s="872"/>
      <c r="E222" s="1401"/>
      <c r="F222" s="1401"/>
      <c r="G222" s="1391"/>
      <c r="H222" s="1392"/>
      <c r="I222" s="1391"/>
      <c r="J222" s="1392"/>
      <c r="K222" s="1394"/>
      <c r="L222" s="1392"/>
      <c r="M222" s="1391"/>
      <c r="N222" s="1392"/>
      <c r="O222" s="1391"/>
      <c r="P222" s="1394"/>
      <c r="Q222" s="1392"/>
      <c r="R222" s="1401"/>
      <c r="S222" s="361"/>
      <c r="T222" s="361"/>
      <c r="U222" s="361"/>
      <c r="V222" s="361"/>
      <c r="W222" s="361"/>
    </row>
    <row r="223" spans="1:23">
      <c r="A223" s="1401"/>
      <c r="B223" s="1401"/>
      <c r="C223" s="828"/>
      <c r="D223" s="872"/>
      <c r="E223" s="1401"/>
      <c r="F223" s="1401"/>
      <c r="G223" s="1400" t="s">
        <v>20</v>
      </c>
      <c r="H223" s="1400" t="s">
        <v>21</v>
      </c>
      <c r="I223" s="1400" t="s">
        <v>361</v>
      </c>
      <c r="J223" s="1400" t="s">
        <v>353</v>
      </c>
      <c r="K223" s="1400" t="s">
        <v>23</v>
      </c>
      <c r="L223" s="1400" t="s">
        <v>24</v>
      </c>
      <c r="M223" s="1400" t="s">
        <v>27</v>
      </c>
      <c r="N223" s="1400" t="s">
        <v>178</v>
      </c>
      <c r="O223" s="1400" t="s">
        <v>1</v>
      </c>
      <c r="P223" s="1400" t="s">
        <v>29</v>
      </c>
      <c r="Q223" s="1400" t="s">
        <v>33</v>
      </c>
      <c r="R223" s="1401"/>
      <c r="S223" s="361"/>
      <c r="T223" s="361" t="s">
        <v>39</v>
      </c>
      <c r="U223" s="362">
        <f>VLOOKUP(B225,'Thong tin'!$A:$M,13,0)</f>
        <v>800</v>
      </c>
      <c r="V223" s="361"/>
      <c r="W223" s="361"/>
    </row>
    <row r="224" spans="1:23">
      <c r="A224" s="1402"/>
      <c r="B224" s="1402"/>
      <c r="C224" s="829"/>
      <c r="D224" s="873"/>
      <c r="E224" s="1402"/>
      <c r="F224" s="1402"/>
      <c r="G224" s="1402"/>
      <c r="H224" s="1402"/>
      <c r="I224" s="1402"/>
      <c r="J224" s="1402"/>
      <c r="K224" s="1402"/>
      <c r="L224" s="1402"/>
      <c r="M224" s="1402"/>
      <c r="N224" s="1402"/>
      <c r="O224" s="1402"/>
      <c r="P224" s="1402"/>
      <c r="Q224" s="1402"/>
      <c r="R224" s="1402"/>
      <c r="S224" s="361"/>
      <c r="T224" s="1399" t="s">
        <v>393</v>
      </c>
      <c r="U224" s="1397">
        <f>VLOOKUP(B225,DT.NK!$B:$AZ,45,0)</f>
        <v>27</v>
      </c>
      <c r="V224" s="361"/>
      <c r="W224" s="361"/>
    </row>
    <row r="225" spans="1:23">
      <c r="A225" s="1409">
        <f>A205+1</f>
        <v>12</v>
      </c>
      <c r="B225" s="1412" t="s">
        <v>592</v>
      </c>
      <c r="C225" s="844" t="s">
        <v>983</v>
      </c>
      <c r="D225" s="874" t="str">
        <f>B225&amp;C225</f>
        <v>B37a</v>
      </c>
      <c r="E225" s="363"/>
      <c r="F225" s="364"/>
      <c r="G225" s="364"/>
      <c r="H225" s="364"/>
      <c r="I225" s="364"/>
      <c r="J225" s="364"/>
      <c r="K225" s="364"/>
      <c r="L225" s="364"/>
      <c r="M225" s="674"/>
      <c r="N225" s="670"/>
      <c r="O225" s="670">
        <f>U224</f>
        <v>27</v>
      </c>
      <c r="P225" s="670">
        <f>O225</f>
        <v>27</v>
      </c>
      <c r="Q225" s="670">
        <v>0</v>
      </c>
      <c r="R225" s="365"/>
      <c r="S225" s="366"/>
      <c r="T225" s="1399"/>
      <c r="U225" s="1398"/>
      <c r="V225" s="361"/>
      <c r="W225" s="361"/>
    </row>
    <row r="226" spans="1:23">
      <c r="A226" s="1410"/>
      <c r="B226" s="1413"/>
      <c r="C226" s="845" t="s">
        <v>984</v>
      </c>
      <c r="D226" s="875" t="str">
        <f>B225&amp;C226</f>
        <v>B37b</v>
      </c>
      <c r="E226" s="367">
        <v>1</v>
      </c>
      <c r="F226" s="669" t="s">
        <v>1018</v>
      </c>
      <c r="G226" s="369">
        <v>0.1388888888888889</v>
      </c>
      <c r="H226" s="368">
        <v>0.17013888888888887</v>
      </c>
      <c r="I226" s="369">
        <v>0.1875</v>
      </c>
      <c r="J226" s="368">
        <v>0.19097222222222221</v>
      </c>
      <c r="K226" s="669">
        <v>6</v>
      </c>
      <c r="L226" s="669">
        <v>19</v>
      </c>
      <c r="M226" s="675">
        <v>20.8</v>
      </c>
      <c r="N226" s="671">
        <f>IF(M226-P226&gt;0,M226-P226,0)</f>
        <v>4.1999999999999993</v>
      </c>
      <c r="O226" s="671">
        <f>O225-K226/(PI()*(U223/2000)^2)</f>
        <v>15.06337926810785</v>
      </c>
      <c r="P226" s="672">
        <v>16.600000000000001</v>
      </c>
      <c r="Q226" s="673">
        <f>ABS(O226-P226)</f>
        <v>1.5366207318921514</v>
      </c>
      <c r="R226" s="375" t="s">
        <v>188</v>
      </c>
      <c r="S226" s="366"/>
      <c r="T226" s="376"/>
      <c r="U226" s="376"/>
      <c r="V226" s="366"/>
      <c r="W226" s="366"/>
    </row>
    <row r="227" spans="1:23">
      <c r="A227" s="1410"/>
      <c r="B227" s="1413"/>
      <c r="C227" s="845" t="s">
        <v>985</v>
      </c>
      <c r="D227" s="875" t="str">
        <f>B225&amp;C227</f>
        <v>B37c</v>
      </c>
      <c r="E227" s="367">
        <v>2</v>
      </c>
      <c r="F227" s="669" t="s">
        <v>1008</v>
      </c>
      <c r="G227" s="369">
        <v>0.14166666666666666</v>
      </c>
      <c r="H227" s="368">
        <v>0.17500000000000002</v>
      </c>
      <c r="I227" s="369">
        <v>0.20833333333333334</v>
      </c>
      <c r="J227" s="368">
        <v>0.21180555555555555</v>
      </c>
      <c r="K227" s="669">
        <v>6</v>
      </c>
      <c r="L227" s="669">
        <v>19</v>
      </c>
      <c r="M227" s="675">
        <v>11.35</v>
      </c>
      <c r="N227" s="671">
        <f>IF(M227-P227&gt;0,M227-P227,0)</f>
        <v>6.35</v>
      </c>
      <c r="O227" s="671">
        <f>O226-K227/(PI()*(U223/2000)^2)</f>
        <v>3.1267585362157</v>
      </c>
      <c r="P227" s="672">
        <v>5</v>
      </c>
      <c r="Q227" s="673">
        <f>ABS(O227-P227)</f>
        <v>1.8732414637843</v>
      </c>
      <c r="R227" s="375" t="s">
        <v>188</v>
      </c>
      <c r="S227" s="366"/>
      <c r="T227" s="376"/>
      <c r="U227" s="376"/>
      <c r="V227" s="366"/>
      <c r="W227" s="366"/>
    </row>
    <row r="228" spans="1:23">
      <c r="A228" s="1410"/>
      <c r="B228" s="1413"/>
      <c r="C228" s="845" t="s">
        <v>986</v>
      </c>
      <c r="D228" s="875" t="str">
        <f>B225&amp;C228</f>
        <v>B37d</v>
      </c>
      <c r="E228" s="367">
        <v>3</v>
      </c>
      <c r="F228" s="669"/>
      <c r="G228" s="369"/>
      <c r="H228" s="368"/>
      <c r="I228" s="369"/>
      <c r="J228" s="368"/>
      <c r="K228" s="669"/>
      <c r="L228" s="669"/>
      <c r="M228" s="675"/>
      <c r="N228" s="671"/>
      <c r="O228" s="671"/>
      <c r="P228" s="672"/>
      <c r="Q228" s="673"/>
      <c r="R228" s="375"/>
      <c r="S228" s="366"/>
      <c r="T228" s="376"/>
      <c r="U228" s="376"/>
      <c r="V228" s="366"/>
      <c r="W228" s="366"/>
    </row>
    <row r="229" spans="1:23">
      <c r="A229" s="1410"/>
      <c r="B229" s="1413"/>
      <c r="C229" s="845" t="s">
        <v>987</v>
      </c>
      <c r="D229" s="875" t="str">
        <f>B225&amp;C229</f>
        <v>B37e</v>
      </c>
      <c r="E229" s="367">
        <v>4</v>
      </c>
      <c r="F229" s="669"/>
      <c r="G229" s="369"/>
      <c r="H229" s="368"/>
      <c r="I229" s="369"/>
      <c r="J229" s="368"/>
      <c r="K229" s="669"/>
      <c r="L229" s="370"/>
      <c r="M229" s="675"/>
      <c r="N229" s="671"/>
      <c r="O229" s="671"/>
      <c r="P229" s="373"/>
      <c r="Q229" s="673"/>
      <c r="R229" s="375"/>
      <c r="S229" s="366"/>
      <c r="T229" s="376"/>
      <c r="U229" s="376"/>
      <c r="V229" s="366"/>
      <c r="W229" s="366"/>
    </row>
    <row r="230" spans="1:23">
      <c r="A230" s="1410"/>
      <c r="B230" s="1413"/>
      <c r="C230" s="845" t="s">
        <v>988</v>
      </c>
      <c r="D230" s="875" t="str">
        <f>B225&amp;C230</f>
        <v>B37f</v>
      </c>
      <c r="E230" s="367">
        <v>5</v>
      </c>
      <c r="F230" s="669"/>
      <c r="G230" s="369"/>
      <c r="H230" s="368"/>
      <c r="I230" s="369"/>
      <c r="J230" s="368"/>
      <c r="K230" s="669"/>
      <c r="L230" s="370"/>
      <c r="M230" s="371"/>
      <c r="N230" s="671"/>
      <c r="O230" s="671"/>
      <c r="P230" s="373"/>
      <c r="Q230" s="673"/>
      <c r="R230" s="377"/>
      <c r="S230" s="366" t="s">
        <v>190</v>
      </c>
      <c r="T230" s="376"/>
      <c r="U230" s="376"/>
      <c r="V230" s="366"/>
      <c r="W230" s="366"/>
    </row>
    <row r="231" spans="1:23">
      <c r="A231" s="1410"/>
      <c r="B231" s="1413"/>
      <c r="C231" s="845" t="s">
        <v>989</v>
      </c>
      <c r="D231" s="875" t="str">
        <f>B225&amp;C231</f>
        <v>B37g</v>
      </c>
      <c r="E231" s="367">
        <v>6</v>
      </c>
      <c r="F231" s="669"/>
      <c r="G231" s="369"/>
      <c r="H231" s="368"/>
      <c r="I231" s="369"/>
      <c r="J231" s="368"/>
      <c r="K231" s="669"/>
      <c r="L231" s="370"/>
      <c r="M231" s="371"/>
      <c r="N231" s="671"/>
      <c r="O231" s="671"/>
      <c r="P231" s="373"/>
      <c r="Q231" s="673"/>
      <c r="R231" s="375"/>
      <c r="S231" s="366" t="s">
        <v>190</v>
      </c>
      <c r="T231" s="366"/>
      <c r="U231" s="366"/>
      <c r="V231" s="366"/>
      <c r="W231" s="366"/>
    </row>
    <row r="232" spans="1:23">
      <c r="A232" s="1410"/>
      <c r="B232" s="1413"/>
      <c r="C232" s="845" t="s">
        <v>990</v>
      </c>
      <c r="D232" s="875" t="str">
        <f>B225&amp;C232</f>
        <v>B37h</v>
      </c>
      <c r="E232" s="367">
        <v>7</v>
      </c>
      <c r="F232" s="669"/>
      <c r="G232" s="368"/>
      <c r="H232" s="368"/>
      <c r="I232" s="368"/>
      <c r="J232" s="368"/>
      <c r="K232" s="669"/>
      <c r="L232" s="370"/>
      <c r="M232" s="371"/>
      <c r="N232" s="671"/>
      <c r="O232" s="671"/>
      <c r="P232" s="373"/>
      <c r="Q232" s="673"/>
      <c r="R232" s="377"/>
      <c r="S232" s="366" t="s">
        <v>190</v>
      </c>
      <c r="T232" s="366"/>
      <c r="U232" s="366"/>
      <c r="V232" s="366"/>
      <c r="W232" s="366"/>
    </row>
    <row r="233" spans="1:23">
      <c r="A233" s="1410"/>
      <c r="B233" s="1413"/>
      <c r="C233" s="845" t="s">
        <v>991</v>
      </c>
      <c r="D233" s="875" t="str">
        <f>B225&amp;C233</f>
        <v>B37i</v>
      </c>
      <c r="E233" s="367">
        <v>8</v>
      </c>
      <c r="F233" s="669"/>
      <c r="G233" s="368"/>
      <c r="H233" s="368"/>
      <c r="I233" s="368"/>
      <c r="J233" s="368"/>
      <c r="K233" s="370"/>
      <c r="L233" s="370"/>
      <c r="M233" s="371"/>
      <c r="N233" s="671"/>
      <c r="O233" s="671"/>
      <c r="P233" s="373"/>
      <c r="Q233" s="673"/>
      <c r="R233" s="378"/>
      <c r="S233" s="366"/>
      <c r="T233" s="366"/>
      <c r="U233" s="366"/>
      <c r="V233" s="366"/>
      <c r="W233" s="366"/>
    </row>
    <row r="234" spans="1:23">
      <c r="A234" s="1410"/>
      <c r="B234" s="1413"/>
      <c r="C234" s="845" t="s">
        <v>992</v>
      </c>
      <c r="D234" s="875" t="str">
        <f>B225&amp;C234</f>
        <v>B37k</v>
      </c>
      <c r="E234" s="367">
        <v>9</v>
      </c>
      <c r="F234" s="370"/>
      <c r="G234" s="368"/>
      <c r="H234" s="368"/>
      <c r="I234" s="368"/>
      <c r="J234" s="368"/>
      <c r="K234" s="370"/>
      <c r="L234" s="370"/>
      <c r="M234" s="371"/>
      <c r="N234" s="372"/>
      <c r="O234" s="372"/>
      <c r="P234" s="373"/>
      <c r="Q234" s="374"/>
      <c r="R234" s="378"/>
      <c r="S234" s="379"/>
      <c r="T234" s="366"/>
      <c r="U234" s="366"/>
      <c r="V234" s="366"/>
      <c r="W234" s="366"/>
    </row>
    <row r="235" spans="1:23">
      <c r="A235" s="1410"/>
      <c r="B235" s="1413"/>
      <c r="C235" s="845" t="s">
        <v>993</v>
      </c>
      <c r="D235" s="875" t="str">
        <f>B225&amp;C235</f>
        <v>B37l</v>
      </c>
      <c r="E235" s="367">
        <v>10</v>
      </c>
      <c r="F235" s="370"/>
      <c r="G235" s="368"/>
      <c r="H235" s="368"/>
      <c r="I235" s="368"/>
      <c r="J235" s="368"/>
      <c r="K235" s="370"/>
      <c r="L235" s="370"/>
      <c r="M235" s="370"/>
      <c r="N235" s="372"/>
      <c r="O235" s="372"/>
      <c r="P235" s="373"/>
      <c r="Q235" s="374"/>
      <c r="R235" s="378"/>
      <c r="S235" s="379"/>
      <c r="T235" s="366"/>
      <c r="U235" s="366"/>
      <c r="V235" s="366"/>
      <c r="W235" s="366"/>
    </row>
    <row r="236" spans="1:23">
      <c r="A236" s="1410"/>
      <c r="B236" s="1413"/>
      <c r="C236" s="845" t="s">
        <v>994</v>
      </c>
      <c r="D236" s="875" t="str">
        <f>B225&amp;C236</f>
        <v>B37m</v>
      </c>
      <c r="E236" s="367">
        <v>11</v>
      </c>
      <c r="F236" s="370"/>
      <c r="G236" s="368"/>
      <c r="H236" s="368"/>
      <c r="I236" s="368"/>
      <c r="J236" s="368"/>
      <c r="K236" s="370"/>
      <c r="L236" s="370"/>
      <c r="M236" s="370"/>
      <c r="N236" s="372"/>
      <c r="O236" s="372"/>
      <c r="P236" s="380"/>
      <c r="Q236" s="374"/>
      <c r="R236" s="381"/>
      <c r="S236" s="379"/>
      <c r="T236" s="366"/>
      <c r="U236" s="366"/>
      <c r="V236" s="366"/>
      <c r="W236" s="366"/>
    </row>
    <row r="237" spans="1:23">
      <c r="A237" s="1410"/>
      <c r="B237" s="1413"/>
      <c r="C237" s="845" t="s">
        <v>995</v>
      </c>
      <c r="D237" s="875" t="str">
        <f>B225&amp;C237</f>
        <v>B37n</v>
      </c>
      <c r="E237" s="367">
        <v>12</v>
      </c>
      <c r="F237" s="370"/>
      <c r="G237" s="368"/>
      <c r="H237" s="368"/>
      <c r="I237" s="368"/>
      <c r="J237" s="368"/>
      <c r="K237" s="370"/>
      <c r="L237" s="370"/>
      <c r="M237" s="370"/>
      <c r="N237" s="372"/>
      <c r="O237" s="372"/>
      <c r="P237" s="380"/>
      <c r="Q237" s="374"/>
      <c r="R237" s="381"/>
      <c r="S237" s="361"/>
      <c r="T237" s="361"/>
      <c r="U237" s="361"/>
      <c r="V237" s="366"/>
      <c r="W237" s="366"/>
    </row>
    <row r="238" spans="1:23">
      <c r="A238" s="1410"/>
      <c r="B238" s="1413"/>
      <c r="C238" s="845" t="s">
        <v>471</v>
      </c>
      <c r="D238" s="875" t="str">
        <f>B225&amp;C238</f>
        <v>B37x</v>
      </c>
      <c r="E238" s="367">
        <v>13</v>
      </c>
      <c r="F238" s="370"/>
      <c r="G238" s="368"/>
      <c r="H238" s="368"/>
      <c r="I238" s="368"/>
      <c r="J238" s="368"/>
      <c r="K238" s="370"/>
      <c r="L238" s="370"/>
      <c r="M238" s="370"/>
      <c r="N238" s="382"/>
      <c r="O238" s="372"/>
      <c r="P238" s="380"/>
      <c r="Q238" s="381"/>
      <c r="R238" s="381"/>
      <c r="S238" s="361"/>
      <c r="T238" s="361"/>
      <c r="U238" s="361"/>
      <c r="V238" s="366"/>
      <c r="W238" s="366"/>
    </row>
    <row r="239" spans="1:23">
      <c r="A239" s="1410"/>
      <c r="B239" s="1413"/>
      <c r="C239" s="845" t="s">
        <v>732</v>
      </c>
      <c r="D239" s="875" t="str">
        <f>B225&amp;C239</f>
        <v>B37y</v>
      </c>
      <c r="E239" s="367">
        <v>14</v>
      </c>
      <c r="F239" s="370"/>
      <c r="G239" s="368"/>
      <c r="H239" s="368"/>
      <c r="I239" s="368"/>
      <c r="J239" s="368"/>
      <c r="K239" s="370"/>
      <c r="L239" s="370"/>
      <c r="M239" s="370"/>
      <c r="N239" s="382"/>
      <c r="O239" s="372"/>
      <c r="P239" s="380"/>
      <c r="Q239" s="381"/>
      <c r="R239" s="381"/>
      <c r="S239" s="361"/>
      <c r="T239" s="361"/>
      <c r="U239" s="362"/>
      <c r="V239" s="366"/>
      <c r="W239" s="366"/>
    </row>
    <row r="240" spans="1:23">
      <c r="A240" s="1411"/>
      <c r="B240" s="1414"/>
      <c r="C240" s="846" t="s">
        <v>996</v>
      </c>
      <c r="D240" s="876" t="str">
        <f>B225&amp;C240</f>
        <v>B37z</v>
      </c>
      <c r="E240" s="847">
        <v>15</v>
      </c>
      <c r="F240" s="848"/>
      <c r="G240" s="849"/>
      <c r="H240" s="849"/>
      <c r="I240" s="849"/>
      <c r="J240" s="849"/>
      <c r="K240" s="848"/>
      <c r="L240" s="848"/>
      <c r="M240" s="848"/>
      <c r="N240" s="850"/>
      <c r="O240" s="851"/>
      <c r="P240" s="851"/>
      <c r="Q240" s="852"/>
      <c r="R240" s="383"/>
      <c r="S240" s="361"/>
      <c r="T240" s="832"/>
      <c r="U240" s="830"/>
      <c r="V240" s="366"/>
      <c r="W240" s="366"/>
    </row>
    <row r="241" spans="1:23">
      <c r="A241" s="1400" t="s">
        <v>939</v>
      </c>
      <c r="B241" s="1400" t="s">
        <v>17</v>
      </c>
      <c r="C241" s="827"/>
      <c r="D241" s="871"/>
      <c r="E241" s="1400" t="s">
        <v>177</v>
      </c>
      <c r="F241" s="1400" t="s">
        <v>18</v>
      </c>
      <c r="G241" s="1389" t="s">
        <v>19</v>
      </c>
      <c r="H241" s="1390"/>
      <c r="I241" s="1389" t="s">
        <v>22</v>
      </c>
      <c r="J241" s="1390"/>
      <c r="K241" s="1393" t="s">
        <v>26</v>
      </c>
      <c r="L241" s="1390"/>
      <c r="M241" s="1389" t="s">
        <v>392</v>
      </c>
      <c r="N241" s="1390"/>
      <c r="O241" s="1389" t="s">
        <v>28</v>
      </c>
      <c r="P241" s="1393"/>
      <c r="Q241" s="1390"/>
      <c r="R241" s="1400" t="s">
        <v>36</v>
      </c>
      <c r="S241" s="361"/>
      <c r="T241" s="361">
        <f>MAX(J245:J259)-MIN(I245:I259)</f>
        <v>0.11805555555555552</v>
      </c>
      <c r="U241" s="361"/>
      <c r="V241" s="853" t="str">
        <f t="shared" ref="V241" si="24">B245</f>
        <v>A129</v>
      </c>
      <c r="W241" s="361">
        <f t="shared" ref="W241" si="25">COUNTIF(K246:K260,"&gt;0")</f>
        <v>5</v>
      </c>
    </row>
    <row r="242" spans="1:23">
      <c r="A242" s="1401"/>
      <c r="B242" s="1401"/>
      <c r="C242" s="828"/>
      <c r="D242" s="872"/>
      <c r="E242" s="1401"/>
      <c r="F242" s="1401"/>
      <c r="G242" s="1391"/>
      <c r="H242" s="1392"/>
      <c r="I242" s="1391"/>
      <c r="J242" s="1392"/>
      <c r="K242" s="1394"/>
      <c r="L242" s="1392"/>
      <c r="M242" s="1391"/>
      <c r="N242" s="1392"/>
      <c r="O242" s="1391"/>
      <c r="P242" s="1394"/>
      <c r="Q242" s="1392"/>
      <c r="R242" s="1401"/>
      <c r="S242" s="361"/>
      <c r="T242" s="361"/>
      <c r="U242" s="361"/>
      <c r="V242" s="361"/>
      <c r="W242" s="361"/>
    </row>
    <row r="243" spans="1:23">
      <c r="A243" s="1401"/>
      <c r="B243" s="1401"/>
      <c r="C243" s="828"/>
      <c r="D243" s="872"/>
      <c r="E243" s="1401"/>
      <c r="F243" s="1401"/>
      <c r="G243" s="1400" t="s">
        <v>20</v>
      </c>
      <c r="H243" s="1400" t="s">
        <v>21</v>
      </c>
      <c r="I243" s="1400" t="s">
        <v>361</v>
      </c>
      <c r="J243" s="1400" t="s">
        <v>353</v>
      </c>
      <c r="K243" s="1400" t="s">
        <v>23</v>
      </c>
      <c r="L243" s="1400" t="s">
        <v>24</v>
      </c>
      <c r="M243" s="1400" t="s">
        <v>27</v>
      </c>
      <c r="N243" s="1400" t="s">
        <v>178</v>
      </c>
      <c r="O243" s="1400" t="s">
        <v>1</v>
      </c>
      <c r="P243" s="1400" t="s">
        <v>29</v>
      </c>
      <c r="Q243" s="1400" t="s">
        <v>33</v>
      </c>
      <c r="R243" s="1401"/>
      <c r="S243" s="361"/>
      <c r="T243" s="361" t="s">
        <v>39</v>
      </c>
      <c r="U243" s="362">
        <f>VLOOKUP(B245,'Thong tin'!$A:$M,13,0)</f>
        <v>1200</v>
      </c>
      <c r="V243" s="361"/>
      <c r="W243" s="361"/>
    </row>
    <row r="244" spans="1:23">
      <c r="A244" s="1402"/>
      <c r="B244" s="1402"/>
      <c r="C244" s="829"/>
      <c r="D244" s="873"/>
      <c r="E244" s="1402"/>
      <c r="F244" s="1402"/>
      <c r="G244" s="1402"/>
      <c r="H244" s="1402"/>
      <c r="I244" s="1402"/>
      <c r="J244" s="1402"/>
      <c r="K244" s="1402"/>
      <c r="L244" s="1402"/>
      <c r="M244" s="1402"/>
      <c r="N244" s="1402"/>
      <c r="O244" s="1402"/>
      <c r="P244" s="1402"/>
      <c r="Q244" s="1402"/>
      <c r="R244" s="1402"/>
      <c r="S244" s="361"/>
      <c r="T244" s="1399" t="s">
        <v>393</v>
      </c>
      <c r="U244" s="1397">
        <f>VLOOKUP(B245,DT.NK!$B:$AZ,45,0)</f>
        <v>30.2</v>
      </c>
      <c r="V244" s="361"/>
      <c r="W244" s="361"/>
    </row>
    <row r="245" spans="1:23">
      <c r="A245" s="1409">
        <f>A225+1</f>
        <v>13</v>
      </c>
      <c r="B245" s="1412" t="s">
        <v>678</v>
      </c>
      <c r="C245" s="844" t="s">
        <v>983</v>
      </c>
      <c r="D245" s="868" t="str">
        <f>B245&amp;C245</f>
        <v>A129a</v>
      </c>
      <c r="E245" s="363"/>
      <c r="F245" s="364"/>
      <c r="G245" s="364"/>
      <c r="H245" s="364"/>
      <c r="I245" s="364"/>
      <c r="J245" s="364"/>
      <c r="K245" s="364"/>
      <c r="L245" s="364"/>
      <c r="M245" s="674"/>
      <c r="N245" s="670"/>
      <c r="O245" s="670">
        <f>U244</f>
        <v>30.2</v>
      </c>
      <c r="P245" s="670">
        <f>O245</f>
        <v>30.2</v>
      </c>
      <c r="Q245" s="670">
        <v>0</v>
      </c>
      <c r="R245" s="365"/>
      <c r="S245" s="366"/>
      <c r="T245" s="1399"/>
      <c r="U245" s="1398"/>
      <c r="V245" s="361"/>
      <c r="W245" s="361"/>
    </row>
    <row r="246" spans="1:23">
      <c r="A246" s="1410"/>
      <c r="B246" s="1413"/>
      <c r="C246" s="845" t="s">
        <v>984</v>
      </c>
      <c r="D246" s="869" t="str">
        <f>B245&amp;C246</f>
        <v>A129b</v>
      </c>
      <c r="E246" s="367">
        <v>1</v>
      </c>
      <c r="F246" s="669" t="s">
        <v>982</v>
      </c>
      <c r="G246" s="369">
        <v>0.20138888888888887</v>
      </c>
      <c r="H246" s="368">
        <v>0.24305555555555555</v>
      </c>
      <c r="I246" s="369">
        <v>0.25694444444444448</v>
      </c>
      <c r="J246" s="368">
        <v>0.26041666666666669</v>
      </c>
      <c r="K246" s="669">
        <v>9</v>
      </c>
      <c r="L246" s="669">
        <v>18.5</v>
      </c>
      <c r="M246" s="675">
        <v>28.2</v>
      </c>
      <c r="N246" s="671">
        <f>IF(M246-P246&gt;0,M246-P246,0)</f>
        <v>2</v>
      </c>
      <c r="O246" s="671">
        <f>O245-K246/(PI()*(U243/2000)^2)</f>
        <v>22.242252845405233</v>
      </c>
      <c r="P246" s="672">
        <v>26.2</v>
      </c>
      <c r="Q246" s="673">
        <f>ABS(O246-P246)</f>
        <v>3.9577471545947667</v>
      </c>
      <c r="R246" s="375" t="s">
        <v>188</v>
      </c>
      <c r="S246" s="366"/>
      <c r="T246" s="376"/>
      <c r="U246" s="376"/>
      <c r="V246" s="366"/>
      <c r="W246" s="366"/>
    </row>
    <row r="247" spans="1:23">
      <c r="A247" s="1410"/>
      <c r="B247" s="1413"/>
      <c r="C247" s="845" t="s">
        <v>985</v>
      </c>
      <c r="D247" s="869" t="str">
        <f>B245&amp;C247</f>
        <v>A129c</v>
      </c>
      <c r="E247" s="367">
        <v>2</v>
      </c>
      <c r="F247" s="669" t="s">
        <v>1019</v>
      </c>
      <c r="G247" s="369">
        <v>0.21180555555555555</v>
      </c>
      <c r="H247" s="368">
        <v>0.25</v>
      </c>
      <c r="I247" s="369">
        <v>0.2638888888888889</v>
      </c>
      <c r="J247" s="368">
        <v>0.2673611111111111</v>
      </c>
      <c r="K247" s="669">
        <v>9</v>
      </c>
      <c r="L247" s="669">
        <v>19</v>
      </c>
      <c r="M247" s="675">
        <v>25.05</v>
      </c>
      <c r="N247" s="671">
        <f>IF(M247-P247&gt;0,M247-P247,0)</f>
        <v>2.0500000000000007</v>
      </c>
      <c r="O247" s="671">
        <f>O246-K247/(PI()*(U243/2000)^2)</f>
        <v>14.284505690810466</v>
      </c>
      <c r="P247" s="672">
        <v>23</v>
      </c>
      <c r="Q247" s="673">
        <f>ABS(O247-P247)</f>
        <v>8.7154943091895341</v>
      </c>
      <c r="R247" s="375" t="s">
        <v>188</v>
      </c>
      <c r="S247" s="366"/>
      <c r="T247" s="376"/>
      <c r="U247" s="376"/>
      <c r="V247" s="366"/>
      <c r="W247" s="366"/>
    </row>
    <row r="248" spans="1:23">
      <c r="A248" s="1410"/>
      <c r="B248" s="1413"/>
      <c r="C248" s="845" t="s">
        <v>986</v>
      </c>
      <c r="D248" s="869" t="str">
        <f>B245&amp;C248</f>
        <v>A129d</v>
      </c>
      <c r="E248" s="367">
        <v>3</v>
      </c>
      <c r="F248" s="669" t="s">
        <v>981</v>
      </c>
      <c r="G248" s="369">
        <v>0.22638888888888889</v>
      </c>
      <c r="H248" s="368">
        <v>0.29166666666666669</v>
      </c>
      <c r="I248" s="369">
        <v>0.2986111111111111</v>
      </c>
      <c r="J248" s="368">
        <v>0.30208333333333331</v>
      </c>
      <c r="K248" s="669">
        <v>9</v>
      </c>
      <c r="L248" s="669">
        <v>19.5</v>
      </c>
      <c r="M248" s="675">
        <v>18.75</v>
      </c>
      <c r="N248" s="671">
        <f>IF(M248-P248&gt;0,M248-P248,0)</f>
        <v>3.75</v>
      </c>
      <c r="O248" s="671">
        <f>O247-K248/(PI()*(U243/2000)^2)</f>
        <v>6.3267585362156993</v>
      </c>
      <c r="P248" s="672">
        <v>15</v>
      </c>
      <c r="Q248" s="673">
        <f>ABS(O248-P248)</f>
        <v>8.6732414637843007</v>
      </c>
      <c r="R248" s="375" t="s">
        <v>188</v>
      </c>
      <c r="S248" s="366"/>
      <c r="T248" s="376"/>
      <c r="U248" s="376"/>
      <c r="V248" s="366"/>
      <c r="W248" s="366"/>
    </row>
    <row r="249" spans="1:23">
      <c r="A249" s="1410"/>
      <c r="B249" s="1413"/>
      <c r="C249" s="845" t="s">
        <v>987</v>
      </c>
      <c r="D249" s="869" t="str">
        <f>B245&amp;C249</f>
        <v>A129e</v>
      </c>
      <c r="E249" s="367">
        <v>4</v>
      </c>
      <c r="F249" s="669" t="s">
        <v>982</v>
      </c>
      <c r="G249" s="369">
        <v>0.27083333333333331</v>
      </c>
      <c r="H249" s="368">
        <v>0.3125</v>
      </c>
      <c r="I249" s="369">
        <v>0.32291666666666669</v>
      </c>
      <c r="J249" s="368">
        <v>0.3263888888888889</v>
      </c>
      <c r="K249" s="669">
        <v>10</v>
      </c>
      <c r="L249" s="370">
        <v>18</v>
      </c>
      <c r="M249" s="675">
        <v>15.6</v>
      </c>
      <c r="N249" s="671">
        <f>IF(M249-P249&gt;0,M249-P249,0)</f>
        <v>3.2999999999999989</v>
      </c>
      <c r="O249" s="671">
        <f>O248-K249/(PI()*(U243/2000)^2)</f>
        <v>-2.5151827466673744</v>
      </c>
      <c r="P249" s="373">
        <v>12.3</v>
      </c>
      <c r="Q249" s="673">
        <f>ABS(O249-P249)</f>
        <v>14.815182746667375</v>
      </c>
      <c r="R249" s="375"/>
      <c r="S249" s="366"/>
      <c r="T249" s="376"/>
      <c r="U249" s="376"/>
      <c r="V249" s="366"/>
      <c r="W249" s="366"/>
    </row>
    <row r="250" spans="1:23">
      <c r="A250" s="1410"/>
      <c r="B250" s="1413"/>
      <c r="C250" s="845" t="s">
        <v>988</v>
      </c>
      <c r="D250" s="869" t="str">
        <f>B245&amp;C250</f>
        <v>A129f</v>
      </c>
      <c r="E250" s="367">
        <v>5</v>
      </c>
      <c r="F250" s="669" t="s">
        <v>1019</v>
      </c>
      <c r="G250" s="369">
        <v>0.35069444444444442</v>
      </c>
      <c r="H250" s="368">
        <v>0.37152777777777773</v>
      </c>
      <c r="I250" s="369">
        <v>0.37708333333333338</v>
      </c>
      <c r="J250" s="368">
        <v>0.375</v>
      </c>
      <c r="K250" s="669">
        <v>7</v>
      </c>
      <c r="L250" s="370">
        <v>19</v>
      </c>
      <c r="M250" s="371">
        <v>15.6</v>
      </c>
      <c r="N250" s="671">
        <f>IF(M250-P250&gt;0,M250-P250,0)</f>
        <v>9.3000000000000007</v>
      </c>
      <c r="O250" s="671">
        <f>O249-K250/(PI()*(U243/2000)^2)</f>
        <v>-8.704541644685527</v>
      </c>
      <c r="P250" s="373">
        <v>6.3</v>
      </c>
      <c r="Q250" s="673">
        <f>ABS(O250-P250)</f>
        <v>15.004541644685528</v>
      </c>
      <c r="R250" s="377"/>
      <c r="S250" s="366" t="s">
        <v>190</v>
      </c>
      <c r="T250" s="376"/>
      <c r="U250" s="376"/>
      <c r="V250" s="366"/>
      <c r="W250" s="366"/>
    </row>
    <row r="251" spans="1:23">
      <c r="A251" s="1410"/>
      <c r="B251" s="1413"/>
      <c r="C251" s="845" t="s">
        <v>989</v>
      </c>
      <c r="D251" s="869" t="str">
        <f>B245&amp;C251</f>
        <v>A129g</v>
      </c>
      <c r="E251" s="367">
        <v>6</v>
      </c>
      <c r="F251" s="669"/>
      <c r="G251" s="369"/>
      <c r="H251" s="368"/>
      <c r="I251" s="369"/>
      <c r="J251" s="368"/>
      <c r="K251" s="669"/>
      <c r="L251" s="370"/>
      <c r="M251" s="371"/>
      <c r="N251" s="671"/>
      <c r="O251" s="671"/>
      <c r="P251" s="373"/>
      <c r="Q251" s="673"/>
      <c r="R251" s="375"/>
      <c r="S251" s="366" t="s">
        <v>190</v>
      </c>
      <c r="T251" s="366"/>
      <c r="U251" s="366"/>
      <c r="V251" s="366"/>
      <c r="W251" s="366"/>
    </row>
    <row r="252" spans="1:23">
      <c r="A252" s="1410"/>
      <c r="B252" s="1413"/>
      <c r="C252" s="845" t="s">
        <v>990</v>
      </c>
      <c r="D252" s="869" t="str">
        <f>B245&amp;C252</f>
        <v>A129h</v>
      </c>
      <c r="E252" s="367">
        <v>7</v>
      </c>
      <c r="F252" s="669"/>
      <c r="G252" s="368"/>
      <c r="H252" s="368"/>
      <c r="I252" s="368"/>
      <c r="J252" s="368"/>
      <c r="K252" s="669"/>
      <c r="L252" s="370"/>
      <c r="M252" s="371"/>
      <c r="N252" s="671"/>
      <c r="O252" s="671"/>
      <c r="P252" s="373"/>
      <c r="Q252" s="673"/>
      <c r="R252" s="377"/>
      <c r="S252" s="366" t="s">
        <v>190</v>
      </c>
      <c r="T252" s="366"/>
      <c r="U252" s="366"/>
      <c r="V252" s="366"/>
      <c r="W252" s="366"/>
    </row>
    <row r="253" spans="1:23">
      <c r="A253" s="1410"/>
      <c r="B253" s="1413"/>
      <c r="C253" s="845" t="s">
        <v>991</v>
      </c>
      <c r="D253" s="869" t="str">
        <f>B245&amp;C253</f>
        <v>A129i</v>
      </c>
      <c r="E253" s="367">
        <v>8</v>
      </c>
      <c r="F253" s="669"/>
      <c r="G253" s="368"/>
      <c r="H253" s="368"/>
      <c r="I253" s="368"/>
      <c r="J253" s="368"/>
      <c r="K253" s="370"/>
      <c r="L253" s="370"/>
      <c r="M253" s="371"/>
      <c r="N253" s="671"/>
      <c r="O253" s="671"/>
      <c r="P253" s="373"/>
      <c r="Q253" s="673"/>
      <c r="R253" s="378"/>
      <c r="S253" s="366"/>
      <c r="T253" s="366"/>
      <c r="U253" s="366"/>
      <c r="V253" s="366"/>
      <c r="W253" s="366"/>
    </row>
    <row r="254" spans="1:23">
      <c r="A254" s="1410"/>
      <c r="B254" s="1413"/>
      <c r="C254" s="845" t="s">
        <v>992</v>
      </c>
      <c r="D254" s="869" t="str">
        <f>B245&amp;C254</f>
        <v>A129k</v>
      </c>
      <c r="E254" s="367">
        <v>9</v>
      </c>
      <c r="F254" s="370"/>
      <c r="G254" s="368"/>
      <c r="H254" s="368"/>
      <c r="I254" s="368"/>
      <c r="J254" s="368"/>
      <c r="K254" s="370"/>
      <c r="L254" s="370"/>
      <c r="M254" s="371"/>
      <c r="N254" s="372"/>
      <c r="O254" s="372"/>
      <c r="P254" s="373"/>
      <c r="Q254" s="374"/>
      <c r="R254" s="378"/>
      <c r="S254" s="379"/>
      <c r="T254" s="366"/>
      <c r="U254" s="366"/>
      <c r="V254" s="366"/>
      <c r="W254" s="366"/>
    </row>
    <row r="255" spans="1:23">
      <c r="A255" s="1410"/>
      <c r="B255" s="1413"/>
      <c r="C255" s="845" t="s">
        <v>993</v>
      </c>
      <c r="D255" s="869" t="str">
        <f>B245&amp;C255</f>
        <v>A129l</v>
      </c>
      <c r="E255" s="367">
        <v>10</v>
      </c>
      <c r="F255" s="370"/>
      <c r="G255" s="368"/>
      <c r="H255" s="368"/>
      <c r="I255" s="368"/>
      <c r="J255" s="368"/>
      <c r="K255" s="370"/>
      <c r="L255" s="370"/>
      <c r="M255" s="370"/>
      <c r="N255" s="372"/>
      <c r="O255" s="372"/>
      <c r="P255" s="373"/>
      <c r="Q255" s="374"/>
      <c r="R255" s="378"/>
      <c r="S255" s="379"/>
      <c r="T255" s="366"/>
      <c r="U255" s="366"/>
      <c r="V255" s="366"/>
      <c r="W255" s="366"/>
    </row>
    <row r="256" spans="1:23">
      <c r="A256" s="1410"/>
      <c r="B256" s="1413"/>
      <c r="C256" s="845" t="s">
        <v>994</v>
      </c>
      <c r="D256" s="869" t="str">
        <f>B245&amp;C256</f>
        <v>A129m</v>
      </c>
      <c r="E256" s="367">
        <v>11</v>
      </c>
      <c r="F256" s="370"/>
      <c r="G256" s="368"/>
      <c r="H256" s="368"/>
      <c r="I256" s="368"/>
      <c r="J256" s="368"/>
      <c r="K256" s="370"/>
      <c r="L256" s="370"/>
      <c r="M256" s="370"/>
      <c r="N256" s="372"/>
      <c r="O256" s="372"/>
      <c r="P256" s="380"/>
      <c r="Q256" s="374"/>
      <c r="R256" s="381"/>
      <c r="S256" s="379"/>
      <c r="T256" s="366"/>
      <c r="U256" s="366"/>
      <c r="V256" s="366"/>
      <c r="W256" s="366"/>
    </row>
    <row r="257" spans="1:23">
      <c r="A257" s="1410"/>
      <c r="B257" s="1413"/>
      <c r="C257" s="845" t="s">
        <v>995</v>
      </c>
      <c r="D257" s="869" t="str">
        <f>B245&amp;C257</f>
        <v>A129n</v>
      </c>
      <c r="E257" s="367">
        <v>12</v>
      </c>
      <c r="F257" s="370"/>
      <c r="G257" s="368"/>
      <c r="H257" s="368"/>
      <c r="I257" s="368"/>
      <c r="J257" s="368"/>
      <c r="K257" s="370"/>
      <c r="L257" s="370"/>
      <c r="M257" s="370"/>
      <c r="N257" s="372"/>
      <c r="O257" s="372"/>
      <c r="P257" s="380"/>
      <c r="Q257" s="374"/>
      <c r="R257" s="381"/>
      <c r="S257" s="361"/>
      <c r="T257" s="361"/>
      <c r="U257" s="361"/>
      <c r="V257" s="366"/>
      <c r="W257" s="366"/>
    </row>
    <row r="258" spans="1:23">
      <c r="A258" s="1410"/>
      <c r="B258" s="1413"/>
      <c r="C258" s="845" t="s">
        <v>471</v>
      </c>
      <c r="D258" s="869" t="str">
        <f>B245&amp;C258</f>
        <v>A129x</v>
      </c>
      <c r="E258" s="367">
        <v>13</v>
      </c>
      <c r="F258" s="370"/>
      <c r="G258" s="368"/>
      <c r="H258" s="368"/>
      <c r="I258" s="368"/>
      <c r="J258" s="368"/>
      <c r="K258" s="370"/>
      <c r="L258" s="370"/>
      <c r="M258" s="370"/>
      <c r="N258" s="382"/>
      <c r="O258" s="372"/>
      <c r="P258" s="380"/>
      <c r="Q258" s="381"/>
      <c r="R258" s="381"/>
      <c r="S258" s="361"/>
      <c r="T258" s="361"/>
      <c r="U258" s="361"/>
      <c r="V258" s="366"/>
      <c r="W258" s="366"/>
    </row>
    <row r="259" spans="1:23">
      <c r="A259" s="1410"/>
      <c r="B259" s="1413"/>
      <c r="C259" s="845" t="s">
        <v>732</v>
      </c>
      <c r="D259" s="869" t="str">
        <f>B245&amp;C259</f>
        <v>A129y</v>
      </c>
      <c r="E259" s="367">
        <v>14</v>
      </c>
      <c r="F259" s="370"/>
      <c r="G259" s="368"/>
      <c r="H259" s="368"/>
      <c r="I259" s="368"/>
      <c r="J259" s="368"/>
      <c r="K259" s="370"/>
      <c r="L259" s="370"/>
      <c r="M259" s="370"/>
      <c r="N259" s="382"/>
      <c r="O259" s="372"/>
      <c r="P259" s="380"/>
      <c r="Q259" s="381"/>
      <c r="R259" s="381"/>
      <c r="S259" s="361"/>
      <c r="T259" s="361"/>
      <c r="U259" s="362"/>
      <c r="V259" s="366"/>
      <c r="W259" s="366"/>
    </row>
    <row r="260" spans="1:23">
      <c r="A260" s="1411"/>
      <c r="B260" s="1414"/>
      <c r="C260" s="846" t="s">
        <v>996</v>
      </c>
      <c r="D260" s="870" t="str">
        <f>B245&amp;C260</f>
        <v>A129z</v>
      </c>
      <c r="E260" s="847">
        <v>15</v>
      </c>
      <c r="F260" s="848"/>
      <c r="G260" s="849"/>
      <c r="H260" s="849"/>
      <c r="I260" s="849"/>
      <c r="J260" s="849"/>
      <c r="K260" s="848"/>
      <c r="L260" s="848"/>
      <c r="M260" s="848"/>
      <c r="N260" s="850"/>
      <c r="O260" s="851"/>
      <c r="P260" s="851"/>
      <c r="Q260" s="852"/>
      <c r="R260" s="383"/>
      <c r="S260" s="361"/>
      <c r="T260" s="832"/>
      <c r="U260" s="830"/>
      <c r="V260" s="366"/>
      <c r="W260" s="366"/>
    </row>
    <row r="261" spans="1:23">
      <c r="A261" s="1400" t="s">
        <v>939</v>
      </c>
      <c r="B261" s="1400" t="s">
        <v>17</v>
      </c>
      <c r="C261" s="827"/>
      <c r="D261" s="871"/>
      <c r="E261" s="1400" t="s">
        <v>177</v>
      </c>
      <c r="F261" s="1400" t="s">
        <v>18</v>
      </c>
      <c r="G261" s="1389" t="s">
        <v>19</v>
      </c>
      <c r="H261" s="1390"/>
      <c r="I261" s="1389" t="s">
        <v>22</v>
      </c>
      <c r="J261" s="1390"/>
      <c r="K261" s="1393" t="s">
        <v>26</v>
      </c>
      <c r="L261" s="1390"/>
      <c r="M261" s="1389" t="s">
        <v>392</v>
      </c>
      <c r="N261" s="1390"/>
      <c r="O261" s="1389" t="s">
        <v>28</v>
      </c>
      <c r="P261" s="1393"/>
      <c r="Q261" s="1390"/>
      <c r="R261" s="1400" t="s">
        <v>36</v>
      </c>
      <c r="S261" s="361"/>
      <c r="T261" s="361">
        <f>MAX(J265:J279)-MIN(I265:I279)</f>
        <v>2.0833333333333343E-2</v>
      </c>
      <c r="U261" s="361"/>
      <c r="V261" s="853" t="str">
        <f t="shared" ref="V261" si="26">B265</f>
        <v>B38</v>
      </c>
      <c r="W261" s="361">
        <f t="shared" ref="W261" si="27">COUNTIF(K266:K280,"&gt;0")</f>
        <v>2</v>
      </c>
    </row>
    <row r="262" spans="1:23">
      <c r="A262" s="1401"/>
      <c r="B262" s="1401"/>
      <c r="C262" s="828"/>
      <c r="D262" s="872"/>
      <c r="E262" s="1401"/>
      <c r="F262" s="1401"/>
      <c r="G262" s="1391"/>
      <c r="H262" s="1392"/>
      <c r="I262" s="1391"/>
      <c r="J262" s="1392"/>
      <c r="K262" s="1394"/>
      <c r="L262" s="1392"/>
      <c r="M262" s="1391"/>
      <c r="N262" s="1392"/>
      <c r="O262" s="1391"/>
      <c r="P262" s="1394"/>
      <c r="Q262" s="1392"/>
      <c r="R262" s="1401"/>
      <c r="S262" s="361"/>
      <c r="T262" s="361"/>
      <c r="U262" s="361"/>
      <c r="V262" s="361"/>
      <c r="W262" s="361"/>
    </row>
    <row r="263" spans="1:23">
      <c r="A263" s="1401"/>
      <c r="B263" s="1401"/>
      <c r="C263" s="828"/>
      <c r="D263" s="872"/>
      <c r="E263" s="1401"/>
      <c r="F263" s="1401"/>
      <c r="G263" s="1400" t="s">
        <v>20</v>
      </c>
      <c r="H263" s="1400" t="s">
        <v>21</v>
      </c>
      <c r="I263" s="1400" t="s">
        <v>361</v>
      </c>
      <c r="J263" s="1400" t="s">
        <v>353</v>
      </c>
      <c r="K263" s="1400" t="s">
        <v>23</v>
      </c>
      <c r="L263" s="1400" t="s">
        <v>24</v>
      </c>
      <c r="M263" s="1400" t="s">
        <v>27</v>
      </c>
      <c r="N263" s="1400" t="s">
        <v>178</v>
      </c>
      <c r="O263" s="1400" t="s">
        <v>1</v>
      </c>
      <c r="P263" s="1400" t="s">
        <v>29</v>
      </c>
      <c r="Q263" s="1400" t="s">
        <v>33</v>
      </c>
      <c r="R263" s="1401"/>
      <c r="S263" s="361"/>
      <c r="T263" s="361" t="s">
        <v>39</v>
      </c>
      <c r="U263" s="362">
        <f>VLOOKUP(B265,'Thong tin'!$A:$M,13,0)</f>
        <v>800</v>
      </c>
      <c r="V263" s="361"/>
      <c r="W263" s="361"/>
    </row>
    <row r="264" spans="1:23">
      <c r="A264" s="1402"/>
      <c r="B264" s="1402"/>
      <c r="C264" s="829"/>
      <c r="D264" s="873"/>
      <c r="E264" s="1402"/>
      <c r="F264" s="1402"/>
      <c r="G264" s="1402"/>
      <c r="H264" s="1402"/>
      <c r="I264" s="1402"/>
      <c r="J264" s="1402"/>
      <c r="K264" s="1402"/>
      <c r="L264" s="1402"/>
      <c r="M264" s="1402"/>
      <c r="N264" s="1402"/>
      <c r="O264" s="1402"/>
      <c r="P264" s="1402"/>
      <c r="Q264" s="1402"/>
      <c r="R264" s="1402"/>
      <c r="S264" s="361"/>
      <c r="T264" s="1399" t="s">
        <v>393</v>
      </c>
      <c r="U264" s="1397">
        <f>VLOOKUP(B265,DT.NK!$B:$AZ,45,0)</f>
        <v>27.2</v>
      </c>
      <c r="V264" s="361"/>
      <c r="W264" s="361"/>
    </row>
    <row r="265" spans="1:23">
      <c r="A265" s="1409">
        <f>A245+1</f>
        <v>14</v>
      </c>
      <c r="B265" s="1412" t="s">
        <v>597</v>
      </c>
      <c r="C265" s="844" t="s">
        <v>983</v>
      </c>
      <c r="D265" s="874" t="str">
        <f>B265&amp;C265</f>
        <v>B38a</v>
      </c>
      <c r="E265" s="363"/>
      <c r="F265" s="364"/>
      <c r="G265" s="364"/>
      <c r="H265" s="364"/>
      <c r="I265" s="364"/>
      <c r="J265" s="364"/>
      <c r="K265" s="364"/>
      <c r="L265" s="364"/>
      <c r="M265" s="674"/>
      <c r="N265" s="670"/>
      <c r="O265" s="670">
        <f>U264</f>
        <v>27.2</v>
      </c>
      <c r="P265" s="670">
        <f>O265</f>
        <v>27.2</v>
      </c>
      <c r="Q265" s="670">
        <v>0</v>
      </c>
      <c r="R265" s="365"/>
      <c r="S265" s="366"/>
      <c r="T265" s="1399"/>
      <c r="U265" s="1398"/>
      <c r="V265" s="361"/>
      <c r="W265" s="361"/>
    </row>
    <row r="266" spans="1:23">
      <c r="A266" s="1410"/>
      <c r="B266" s="1413"/>
      <c r="C266" s="845" t="s">
        <v>984</v>
      </c>
      <c r="D266" s="875" t="str">
        <f>B265&amp;C266</f>
        <v>B38b</v>
      </c>
      <c r="E266" s="367">
        <v>1</v>
      </c>
      <c r="F266" s="669" t="s">
        <v>1014</v>
      </c>
      <c r="G266" s="369">
        <v>0.125</v>
      </c>
      <c r="H266" s="368">
        <v>0.15625</v>
      </c>
      <c r="I266" s="369">
        <v>0.16666666666666666</v>
      </c>
      <c r="J266" s="368">
        <v>0.17013888888888887</v>
      </c>
      <c r="K266" s="669">
        <v>6</v>
      </c>
      <c r="L266" s="669">
        <v>19</v>
      </c>
      <c r="M266" s="675">
        <v>18.899999999999999</v>
      </c>
      <c r="N266" s="671">
        <f>IF(M266-P266&gt;0,M266-P266,0)</f>
        <v>3.1999999999999993</v>
      </c>
      <c r="O266" s="671">
        <f>O265-K266/(PI()*(U263/2000)^2)</f>
        <v>15.263379268107849</v>
      </c>
      <c r="P266" s="672">
        <v>15.7</v>
      </c>
      <c r="Q266" s="673">
        <f>ABS(O266-P266)</f>
        <v>0.43662073189215</v>
      </c>
      <c r="R266" s="375" t="s">
        <v>188</v>
      </c>
      <c r="S266" s="366"/>
      <c r="T266" s="376"/>
      <c r="U266" s="376"/>
      <c r="V266" s="366"/>
      <c r="W266" s="366"/>
    </row>
    <row r="267" spans="1:23">
      <c r="A267" s="1410"/>
      <c r="B267" s="1413"/>
      <c r="C267" s="845" t="s">
        <v>985</v>
      </c>
      <c r="D267" s="875" t="str">
        <f>B265&amp;C267</f>
        <v>B38c</v>
      </c>
      <c r="E267" s="367">
        <v>2</v>
      </c>
      <c r="F267" s="669" t="s">
        <v>982</v>
      </c>
      <c r="G267" s="369">
        <v>0.13194444444444445</v>
      </c>
      <c r="H267" s="368">
        <v>0.15972222222222224</v>
      </c>
      <c r="I267" s="369">
        <v>0.18055555555555555</v>
      </c>
      <c r="J267" s="368">
        <v>0.1875</v>
      </c>
      <c r="K267" s="669">
        <v>6</v>
      </c>
      <c r="L267" s="669">
        <v>19</v>
      </c>
      <c r="M267" s="675">
        <v>9.4499999999999993</v>
      </c>
      <c r="N267" s="671">
        <f>IF(M267-P267&gt;0,M267-P267,0)</f>
        <v>4.5499999999999989</v>
      </c>
      <c r="O267" s="671">
        <f>O266-K267/(PI()*(U263/2000)^2)</f>
        <v>3.3267585362156993</v>
      </c>
      <c r="P267" s="672">
        <v>4.9000000000000004</v>
      </c>
      <c r="Q267" s="673">
        <f>ABS(O267-P267)</f>
        <v>1.5732414637843011</v>
      </c>
      <c r="R267" s="375" t="s">
        <v>188</v>
      </c>
      <c r="S267" s="366"/>
      <c r="T267" s="376"/>
      <c r="U267" s="376"/>
      <c r="V267" s="366"/>
      <c r="W267" s="366"/>
    </row>
    <row r="268" spans="1:23">
      <c r="A268" s="1410"/>
      <c r="B268" s="1413"/>
      <c r="C268" s="845" t="s">
        <v>986</v>
      </c>
      <c r="D268" s="875" t="str">
        <f>B265&amp;C268</f>
        <v>B38d</v>
      </c>
      <c r="E268" s="367">
        <v>3</v>
      </c>
      <c r="F268" s="669"/>
      <c r="G268" s="369"/>
      <c r="H268" s="368"/>
      <c r="I268" s="369"/>
      <c r="J268" s="368"/>
      <c r="K268" s="669"/>
      <c r="L268" s="669"/>
      <c r="M268" s="675"/>
      <c r="N268" s="671"/>
      <c r="O268" s="671"/>
      <c r="P268" s="672"/>
      <c r="Q268" s="673"/>
      <c r="R268" s="375"/>
      <c r="S268" s="366"/>
      <c r="T268" s="376"/>
      <c r="U268" s="376"/>
      <c r="V268" s="366"/>
      <c r="W268" s="366"/>
    </row>
    <row r="269" spans="1:23">
      <c r="A269" s="1410"/>
      <c r="B269" s="1413"/>
      <c r="C269" s="845" t="s">
        <v>987</v>
      </c>
      <c r="D269" s="875" t="str">
        <f>B265&amp;C269</f>
        <v>B38e</v>
      </c>
      <c r="E269" s="367">
        <v>4</v>
      </c>
      <c r="F269" s="669"/>
      <c r="G269" s="369"/>
      <c r="H269" s="368"/>
      <c r="I269" s="369"/>
      <c r="J269" s="368"/>
      <c r="K269" s="669"/>
      <c r="L269" s="370"/>
      <c r="M269" s="675"/>
      <c r="N269" s="671"/>
      <c r="O269" s="671"/>
      <c r="P269" s="373"/>
      <c r="Q269" s="673"/>
      <c r="R269" s="375"/>
      <c r="S269" s="366"/>
      <c r="T269" s="376"/>
      <c r="U269" s="376"/>
      <c r="V269" s="366"/>
      <c r="W269" s="366"/>
    </row>
    <row r="270" spans="1:23">
      <c r="A270" s="1410"/>
      <c r="B270" s="1413"/>
      <c r="C270" s="845" t="s">
        <v>988</v>
      </c>
      <c r="D270" s="875" t="str">
        <f>B265&amp;C270</f>
        <v>B38f</v>
      </c>
      <c r="E270" s="367">
        <v>5</v>
      </c>
      <c r="F270" s="669"/>
      <c r="G270" s="369"/>
      <c r="H270" s="368"/>
      <c r="I270" s="369"/>
      <c r="J270" s="368"/>
      <c r="K270" s="669"/>
      <c r="L270" s="370"/>
      <c r="M270" s="371"/>
      <c r="N270" s="671"/>
      <c r="O270" s="671"/>
      <c r="P270" s="373"/>
      <c r="Q270" s="673"/>
      <c r="R270" s="377"/>
      <c r="S270" s="366" t="s">
        <v>190</v>
      </c>
      <c r="T270" s="376"/>
      <c r="U270" s="376"/>
      <c r="V270" s="366"/>
      <c r="W270" s="366"/>
    </row>
    <row r="271" spans="1:23">
      <c r="A271" s="1410"/>
      <c r="B271" s="1413"/>
      <c r="C271" s="845" t="s">
        <v>989</v>
      </c>
      <c r="D271" s="875" t="str">
        <f>B265&amp;C271</f>
        <v>B38g</v>
      </c>
      <c r="E271" s="367">
        <v>6</v>
      </c>
      <c r="F271" s="669"/>
      <c r="G271" s="369"/>
      <c r="H271" s="368"/>
      <c r="I271" s="369"/>
      <c r="J271" s="368"/>
      <c r="K271" s="669"/>
      <c r="L271" s="370"/>
      <c r="M271" s="371"/>
      <c r="N271" s="671"/>
      <c r="O271" s="671"/>
      <c r="P271" s="373"/>
      <c r="Q271" s="673"/>
      <c r="R271" s="375"/>
      <c r="S271" s="366" t="s">
        <v>190</v>
      </c>
      <c r="T271" s="366"/>
      <c r="U271" s="366"/>
      <c r="V271" s="366"/>
      <c r="W271" s="366"/>
    </row>
    <row r="272" spans="1:23">
      <c r="A272" s="1410"/>
      <c r="B272" s="1413"/>
      <c r="C272" s="845" t="s">
        <v>990</v>
      </c>
      <c r="D272" s="875" t="str">
        <f>B265&amp;C272</f>
        <v>B38h</v>
      </c>
      <c r="E272" s="367">
        <v>7</v>
      </c>
      <c r="F272" s="669"/>
      <c r="G272" s="368"/>
      <c r="H272" s="368"/>
      <c r="I272" s="368"/>
      <c r="J272" s="368"/>
      <c r="K272" s="669"/>
      <c r="L272" s="370"/>
      <c r="M272" s="371"/>
      <c r="N272" s="671"/>
      <c r="O272" s="671"/>
      <c r="P272" s="373"/>
      <c r="Q272" s="673"/>
      <c r="R272" s="377"/>
      <c r="S272" s="366" t="s">
        <v>190</v>
      </c>
      <c r="T272" s="366"/>
      <c r="U272" s="366"/>
      <c r="V272" s="366"/>
      <c r="W272" s="366"/>
    </row>
    <row r="273" spans="1:23">
      <c r="A273" s="1410"/>
      <c r="B273" s="1413"/>
      <c r="C273" s="845" t="s">
        <v>991</v>
      </c>
      <c r="D273" s="875" t="str">
        <f>B265&amp;C273</f>
        <v>B38i</v>
      </c>
      <c r="E273" s="367">
        <v>8</v>
      </c>
      <c r="F273" s="669"/>
      <c r="G273" s="368"/>
      <c r="H273" s="368"/>
      <c r="I273" s="368"/>
      <c r="J273" s="368"/>
      <c r="K273" s="370"/>
      <c r="L273" s="370"/>
      <c r="M273" s="371"/>
      <c r="N273" s="671"/>
      <c r="O273" s="671"/>
      <c r="P273" s="373"/>
      <c r="Q273" s="673"/>
      <c r="R273" s="378"/>
      <c r="S273" s="366"/>
      <c r="T273" s="366"/>
      <c r="U273" s="366"/>
      <c r="V273" s="366"/>
      <c r="W273" s="366"/>
    </row>
    <row r="274" spans="1:23">
      <c r="A274" s="1410"/>
      <c r="B274" s="1413"/>
      <c r="C274" s="845" t="s">
        <v>992</v>
      </c>
      <c r="D274" s="875" t="str">
        <f>B265&amp;C274</f>
        <v>B38k</v>
      </c>
      <c r="E274" s="367">
        <v>9</v>
      </c>
      <c r="F274" s="370"/>
      <c r="G274" s="368"/>
      <c r="H274" s="368"/>
      <c r="I274" s="368"/>
      <c r="J274" s="368"/>
      <c r="K274" s="370"/>
      <c r="L274" s="370"/>
      <c r="M274" s="371"/>
      <c r="N274" s="372"/>
      <c r="O274" s="372"/>
      <c r="P274" s="373"/>
      <c r="Q274" s="374"/>
      <c r="R274" s="378"/>
      <c r="S274" s="379"/>
      <c r="T274" s="366"/>
      <c r="U274" s="366"/>
      <c r="V274" s="366"/>
      <c r="W274" s="366"/>
    </row>
    <row r="275" spans="1:23">
      <c r="A275" s="1410"/>
      <c r="B275" s="1413"/>
      <c r="C275" s="845" t="s">
        <v>993</v>
      </c>
      <c r="D275" s="875" t="str">
        <f>B265&amp;C275</f>
        <v>B38l</v>
      </c>
      <c r="E275" s="367">
        <v>10</v>
      </c>
      <c r="F275" s="370"/>
      <c r="G275" s="368"/>
      <c r="H275" s="368"/>
      <c r="I275" s="368"/>
      <c r="J275" s="368"/>
      <c r="K275" s="370"/>
      <c r="L275" s="370"/>
      <c r="M275" s="370"/>
      <c r="N275" s="372"/>
      <c r="O275" s="372"/>
      <c r="P275" s="373"/>
      <c r="Q275" s="374"/>
      <c r="R275" s="378"/>
      <c r="S275" s="379"/>
      <c r="T275" s="366"/>
      <c r="U275" s="366"/>
      <c r="V275" s="366"/>
      <c r="W275" s="366"/>
    </row>
    <row r="276" spans="1:23">
      <c r="A276" s="1410"/>
      <c r="B276" s="1413"/>
      <c r="C276" s="845" t="s">
        <v>994</v>
      </c>
      <c r="D276" s="875" t="str">
        <f>B265&amp;C276</f>
        <v>B38m</v>
      </c>
      <c r="E276" s="367">
        <v>11</v>
      </c>
      <c r="F276" s="370"/>
      <c r="G276" s="368"/>
      <c r="H276" s="368"/>
      <c r="I276" s="368"/>
      <c r="J276" s="368"/>
      <c r="K276" s="370"/>
      <c r="L276" s="370"/>
      <c r="M276" s="370"/>
      <c r="N276" s="372"/>
      <c r="O276" s="372"/>
      <c r="P276" s="380"/>
      <c r="Q276" s="374"/>
      <c r="R276" s="381"/>
      <c r="S276" s="379"/>
      <c r="T276" s="366"/>
      <c r="U276" s="366"/>
      <c r="V276" s="366"/>
      <c r="W276" s="366"/>
    </row>
    <row r="277" spans="1:23">
      <c r="A277" s="1410"/>
      <c r="B277" s="1413"/>
      <c r="C277" s="845" t="s">
        <v>995</v>
      </c>
      <c r="D277" s="875" t="str">
        <f>B265&amp;C277</f>
        <v>B38n</v>
      </c>
      <c r="E277" s="367">
        <v>12</v>
      </c>
      <c r="F277" s="370"/>
      <c r="G277" s="368"/>
      <c r="H277" s="368"/>
      <c r="I277" s="368"/>
      <c r="J277" s="368"/>
      <c r="K277" s="370"/>
      <c r="L277" s="370"/>
      <c r="M277" s="370"/>
      <c r="N277" s="372"/>
      <c r="O277" s="372"/>
      <c r="P277" s="380"/>
      <c r="Q277" s="374"/>
      <c r="R277" s="381"/>
      <c r="S277" s="361"/>
      <c r="T277" s="361"/>
      <c r="U277" s="361"/>
      <c r="V277" s="366"/>
      <c r="W277" s="366"/>
    </row>
    <row r="278" spans="1:23">
      <c r="A278" s="1410"/>
      <c r="B278" s="1413"/>
      <c r="C278" s="845" t="s">
        <v>471</v>
      </c>
      <c r="D278" s="875" t="str">
        <f>B265&amp;C278</f>
        <v>B38x</v>
      </c>
      <c r="E278" s="367">
        <v>13</v>
      </c>
      <c r="F278" s="370"/>
      <c r="G278" s="368"/>
      <c r="H278" s="368"/>
      <c r="I278" s="368"/>
      <c r="J278" s="368"/>
      <c r="K278" s="370"/>
      <c r="L278" s="370"/>
      <c r="M278" s="370"/>
      <c r="N278" s="382"/>
      <c r="O278" s="372"/>
      <c r="P278" s="380"/>
      <c r="Q278" s="381"/>
      <c r="R278" s="381"/>
      <c r="S278" s="361"/>
      <c r="T278" s="361"/>
      <c r="U278" s="361"/>
      <c r="V278" s="366"/>
      <c r="W278" s="366"/>
    </row>
    <row r="279" spans="1:23">
      <c r="A279" s="1410"/>
      <c r="B279" s="1413"/>
      <c r="C279" s="845" t="s">
        <v>732</v>
      </c>
      <c r="D279" s="875" t="str">
        <f>B265&amp;C279</f>
        <v>B38y</v>
      </c>
      <c r="E279" s="367">
        <v>14</v>
      </c>
      <c r="F279" s="370"/>
      <c r="G279" s="368"/>
      <c r="H279" s="368"/>
      <c r="I279" s="368"/>
      <c r="J279" s="368"/>
      <c r="K279" s="370"/>
      <c r="L279" s="370"/>
      <c r="M279" s="370"/>
      <c r="N279" s="382"/>
      <c r="O279" s="372"/>
      <c r="P279" s="380"/>
      <c r="Q279" s="381"/>
      <c r="R279" s="381"/>
      <c r="S279" s="361"/>
      <c r="T279" s="361"/>
      <c r="U279" s="362"/>
      <c r="V279" s="366"/>
      <c r="W279" s="366"/>
    </row>
    <row r="280" spans="1:23">
      <c r="A280" s="1411"/>
      <c r="B280" s="1414"/>
      <c r="C280" s="846" t="s">
        <v>996</v>
      </c>
      <c r="D280" s="876" t="str">
        <f>B265&amp;C280</f>
        <v>B38z</v>
      </c>
      <c r="E280" s="847">
        <v>15</v>
      </c>
      <c r="F280" s="848"/>
      <c r="G280" s="849"/>
      <c r="H280" s="849"/>
      <c r="I280" s="849"/>
      <c r="J280" s="849"/>
      <c r="K280" s="848"/>
      <c r="L280" s="848"/>
      <c r="M280" s="848"/>
      <c r="N280" s="850"/>
      <c r="O280" s="851"/>
      <c r="P280" s="851"/>
      <c r="Q280" s="852"/>
      <c r="R280" s="383"/>
      <c r="S280" s="361"/>
      <c r="T280" s="832"/>
      <c r="U280" s="830"/>
      <c r="V280" s="366"/>
      <c r="W280" s="366"/>
    </row>
    <row r="281" spans="1:23">
      <c r="A281" s="1400" t="s">
        <v>939</v>
      </c>
      <c r="B281" s="1400" t="s">
        <v>17</v>
      </c>
      <c r="C281" s="827"/>
      <c r="D281" s="871"/>
      <c r="E281" s="1400" t="s">
        <v>177</v>
      </c>
      <c r="F281" s="1400" t="s">
        <v>18</v>
      </c>
      <c r="G281" s="1389" t="s">
        <v>19</v>
      </c>
      <c r="H281" s="1390"/>
      <c r="I281" s="1389" t="s">
        <v>22</v>
      </c>
      <c r="J281" s="1390"/>
      <c r="K281" s="1393" t="s">
        <v>26</v>
      </c>
      <c r="L281" s="1390"/>
      <c r="M281" s="1389" t="s">
        <v>392</v>
      </c>
      <c r="N281" s="1390"/>
      <c r="O281" s="1389" t="s">
        <v>28</v>
      </c>
      <c r="P281" s="1393"/>
      <c r="Q281" s="1390"/>
      <c r="R281" s="1400" t="s">
        <v>36</v>
      </c>
      <c r="S281" s="361"/>
      <c r="T281" s="361">
        <f>MAX(J285:J299)-MIN(I285:I299)</f>
        <v>4.5138888888888895E-2</v>
      </c>
      <c r="U281" s="361"/>
      <c r="V281" s="853" t="str">
        <f t="shared" ref="V281" si="28">B285</f>
        <v>B1</v>
      </c>
      <c r="W281" s="361">
        <f t="shared" ref="W281" si="29">COUNTIF(K286:K300,"&gt;0")</f>
        <v>3</v>
      </c>
    </row>
    <row r="282" spans="1:23">
      <c r="A282" s="1401"/>
      <c r="B282" s="1401"/>
      <c r="C282" s="828"/>
      <c r="D282" s="872"/>
      <c r="E282" s="1401"/>
      <c r="F282" s="1401"/>
      <c r="G282" s="1391"/>
      <c r="H282" s="1392"/>
      <c r="I282" s="1391"/>
      <c r="J282" s="1392"/>
      <c r="K282" s="1394"/>
      <c r="L282" s="1392"/>
      <c r="M282" s="1391"/>
      <c r="N282" s="1392"/>
      <c r="O282" s="1391"/>
      <c r="P282" s="1394"/>
      <c r="Q282" s="1392"/>
      <c r="R282" s="1401"/>
      <c r="S282" s="361"/>
      <c r="T282" s="361"/>
      <c r="U282" s="361"/>
      <c r="V282" s="361"/>
      <c r="W282" s="361"/>
    </row>
    <row r="283" spans="1:23">
      <c r="A283" s="1401"/>
      <c r="B283" s="1401"/>
      <c r="C283" s="828"/>
      <c r="D283" s="872"/>
      <c r="E283" s="1401"/>
      <c r="F283" s="1401"/>
      <c r="G283" s="1400" t="s">
        <v>20</v>
      </c>
      <c r="H283" s="1400" t="s">
        <v>21</v>
      </c>
      <c r="I283" s="1400" t="s">
        <v>361</v>
      </c>
      <c r="J283" s="1400" t="s">
        <v>353</v>
      </c>
      <c r="K283" s="1400" t="s">
        <v>23</v>
      </c>
      <c r="L283" s="1400" t="s">
        <v>24</v>
      </c>
      <c r="M283" s="1400" t="s">
        <v>27</v>
      </c>
      <c r="N283" s="1400" t="s">
        <v>178</v>
      </c>
      <c r="O283" s="1400" t="s">
        <v>1</v>
      </c>
      <c r="P283" s="1400" t="s">
        <v>29</v>
      </c>
      <c r="Q283" s="1400" t="s">
        <v>33</v>
      </c>
      <c r="R283" s="1401"/>
      <c r="S283" s="361"/>
      <c r="T283" s="361" t="s">
        <v>39</v>
      </c>
      <c r="U283" s="362">
        <f>VLOOKUP(B285,'Thong tin'!$A:$M,13,0)</f>
        <v>800</v>
      </c>
      <c r="V283" s="361"/>
      <c r="W283" s="361"/>
    </row>
    <row r="284" spans="1:23">
      <c r="A284" s="1402"/>
      <c r="B284" s="1402"/>
      <c r="C284" s="829"/>
      <c r="D284" s="873"/>
      <c r="E284" s="1402"/>
      <c r="F284" s="1402"/>
      <c r="G284" s="1402"/>
      <c r="H284" s="1402"/>
      <c r="I284" s="1402"/>
      <c r="J284" s="1402"/>
      <c r="K284" s="1402"/>
      <c r="L284" s="1402"/>
      <c r="M284" s="1402"/>
      <c r="N284" s="1402"/>
      <c r="O284" s="1402"/>
      <c r="P284" s="1402"/>
      <c r="Q284" s="1402"/>
      <c r="R284" s="1402"/>
      <c r="S284" s="361"/>
      <c r="T284" s="1399" t="s">
        <v>393</v>
      </c>
      <c r="U284" s="1397">
        <f>VLOOKUP(B285,DT.NK!$B:$AZ,45,0)</f>
        <v>29.35</v>
      </c>
      <c r="V284" s="361"/>
      <c r="W284" s="361"/>
    </row>
    <row r="285" spans="1:23">
      <c r="A285" s="1409">
        <f>A265+1</f>
        <v>15</v>
      </c>
      <c r="B285" s="1412" t="s">
        <v>635</v>
      </c>
      <c r="C285" s="844" t="s">
        <v>983</v>
      </c>
      <c r="D285" s="874" t="str">
        <f>B285&amp;C285</f>
        <v>B1a</v>
      </c>
      <c r="E285" s="363"/>
      <c r="F285" s="364"/>
      <c r="G285" s="364"/>
      <c r="H285" s="364"/>
      <c r="I285" s="364"/>
      <c r="J285" s="364"/>
      <c r="K285" s="364"/>
      <c r="L285" s="364"/>
      <c r="M285" s="674"/>
      <c r="N285" s="670"/>
      <c r="O285" s="670">
        <f>U284</f>
        <v>29.35</v>
      </c>
      <c r="P285" s="670">
        <f>O285</f>
        <v>29.35</v>
      </c>
      <c r="Q285" s="670">
        <v>0</v>
      </c>
      <c r="R285" s="365"/>
      <c r="S285" s="366"/>
      <c r="T285" s="1399"/>
      <c r="U285" s="1398"/>
      <c r="V285" s="361"/>
      <c r="W285" s="361"/>
    </row>
    <row r="286" spans="1:23">
      <c r="A286" s="1410"/>
      <c r="B286" s="1413"/>
      <c r="C286" s="845" t="s">
        <v>984</v>
      </c>
      <c r="D286" s="875" t="str">
        <f>B285&amp;C286</f>
        <v>B1b</v>
      </c>
      <c r="E286" s="367">
        <v>1</v>
      </c>
      <c r="F286" s="669" t="s">
        <v>1050</v>
      </c>
      <c r="G286" s="369">
        <v>9.1666666666666674E-2</v>
      </c>
      <c r="H286" s="368">
        <v>0.11805555555555557</v>
      </c>
      <c r="I286" s="369">
        <v>0.1423611111111111</v>
      </c>
      <c r="J286" s="368">
        <v>0.15277777777777776</v>
      </c>
      <c r="K286" s="669">
        <v>8</v>
      </c>
      <c r="L286" s="669">
        <v>19</v>
      </c>
      <c r="M286" s="675">
        <v>22.48</v>
      </c>
      <c r="N286" s="671">
        <f>IF(M286-P286&gt;0,M286-P286,0)</f>
        <v>18.600000000000001</v>
      </c>
      <c r="O286" s="671">
        <f>O285-K286/(PI()*(U283/2000)^2)</f>
        <v>13.434505690810468</v>
      </c>
      <c r="P286" s="672">
        <v>3.88</v>
      </c>
      <c r="Q286" s="673">
        <f>ABS(O286-P286)</f>
        <v>9.5545056908104691</v>
      </c>
      <c r="R286" s="375" t="s">
        <v>188</v>
      </c>
      <c r="S286" s="366"/>
      <c r="T286" s="376"/>
      <c r="U286" s="376"/>
      <c r="V286" s="366"/>
      <c r="W286" s="366"/>
    </row>
    <row r="287" spans="1:23">
      <c r="A287" s="1410"/>
      <c r="B287" s="1413"/>
      <c r="C287" s="845" t="s">
        <v>985</v>
      </c>
      <c r="D287" s="875" t="str">
        <f>B285&amp;C287</f>
        <v>B1c</v>
      </c>
      <c r="E287" s="367">
        <v>2</v>
      </c>
      <c r="F287" s="669" t="s">
        <v>1051</v>
      </c>
      <c r="G287" s="369">
        <v>0.10902777777777778</v>
      </c>
      <c r="H287" s="368">
        <v>0.15277777777777776</v>
      </c>
      <c r="I287" s="369">
        <v>0.15625</v>
      </c>
      <c r="J287" s="368">
        <v>0.17083333333333331</v>
      </c>
      <c r="K287" s="669">
        <v>8</v>
      </c>
      <c r="L287" s="669">
        <v>18.5</v>
      </c>
      <c r="M287" s="675">
        <v>3.7</v>
      </c>
      <c r="N287" s="671">
        <f>IF(M287-P287&gt;0,M287-P287,0)</f>
        <v>2.6900000000000004</v>
      </c>
      <c r="O287" s="671">
        <f>O286-K287/(PI()*(U283/2000)^2)</f>
        <v>-2.4809886183790653</v>
      </c>
      <c r="P287" s="672">
        <v>1.01</v>
      </c>
      <c r="Q287" s="673">
        <f>ABS(O287-P287)</f>
        <v>3.490988618379065</v>
      </c>
      <c r="R287" s="375" t="s">
        <v>188</v>
      </c>
      <c r="S287" s="366"/>
      <c r="T287" s="376"/>
      <c r="U287" s="376"/>
      <c r="V287" s="366"/>
      <c r="W287" s="366"/>
    </row>
    <row r="288" spans="1:23">
      <c r="A288" s="1410"/>
      <c r="B288" s="1413"/>
      <c r="C288" s="845" t="s">
        <v>986</v>
      </c>
      <c r="D288" s="875" t="str">
        <f>B285&amp;C288</f>
        <v>B1d</v>
      </c>
      <c r="E288" s="367">
        <v>3</v>
      </c>
      <c r="F288" s="669" t="s">
        <v>1052</v>
      </c>
      <c r="G288" s="369">
        <v>0.16666666666666666</v>
      </c>
      <c r="H288" s="368">
        <v>0.18055555555555555</v>
      </c>
      <c r="I288" s="369">
        <v>0.18402777777777779</v>
      </c>
      <c r="J288" s="368">
        <v>0.1875</v>
      </c>
      <c r="K288" s="669">
        <v>2</v>
      </c>
      <c r="L288" s="669">
        <v>19.5</v>
      </c>
      <c r="M288" s="675">
        <v>0</v>
      </c>
      <c r="N288" s="671">
        <f>IF(M288-P288&gt;0,M288-P288,0)</f>
        <v>0</v>
      </c>
      <c r="O288" s="671">
        <f>O287-K288/(PI()*(U283/2000)^2)</f>
        <v>-6.4598621956764486</v>
      </c>
      <c r="P288" s="672">
        <v>0.2</v>
      </c>
      <c r="Q288" s="673">
        <f>ABS(O288-P288)</f>
        <v>6.6598621956764488</v>
      </c>
      <c r="R288" s="375" t="s">
        <v>188</v>
      </c>
      <c r="S288" s="366"/>
      <c r="T288" s="376"/>
      <c r="U288" s="376"/>
      <c r="V288" s="366"/>
      <c r="W288" s="366"/>
    </row>
    <row r="289" spans="1:23">
      <c r="A289" s="1410"/>
      <c r="B289" s="1413"/>
      <c r="C289" s="845" t="s">
        <v>987</v>
      </c>
      <c r="D289" s="875" t="str">
        <f>B285&amp;C289</f>
        <v>B1e</v>
      </c>
      <c r="E289" s="367">
        <v>4</v>
      </c>
      <c r="F289" s="669"/>
      <c r="G289" s="369"/>
      <c r="H289" s="368"/>
      <c r="I289" s="369"/>
      <c r="J289" s="368"/>
      <c r="K289" s="669"/>
      <c r="L289" s="370"/>
      <c r="M289" s="675"/>
      <c r="N289" s="671"/>
      <c r="O289" s="671"/>
      <c r="P289" s="373"/>
      <c r="Q289" s="673"/>
      <c r="R289" s="375"/>
      <c r="S289" s="366"/>
      <c r="T289" s="376"/>
      <c r="U289" s="376"/>
      <c r="V289" s="366"/>
      <c r="W289" s="366"/>
    </row>
    <row r="290" spans="1:23">
      <c r="A290" s="1410"/>
      <c r="B290" s="1413"/>
      <c r="C290" s="845" t="s">
        <v>988</v>
      </c>
      <c r="D290" s="875" t="str">
        <f>B285&amp;C290</f>
        <v>B1f</v>
      </c>
      <c r="E290" s="367">
        <v>5</v>
      </c>
      <c r="F290" s="669"/>
      <c r="G290" s="369"/>
      <c r="H290" s="368"/>
      <c r="I290" s="369"/>
      <c r="J290" s="368"/>
      <c r="K290" s="669"/>
      <c r="L290" s="370"/>
      <c r="M290" s="371"/>
      <c r="N290" s="671"/>
      <c r="O290" s="671"/>
      <c r="P290" s="373"/>
      <c r="Q290" s="673"/>
      <c r="R290" s="377"/>
      <c r="S290" s="366" t="s">
        <v>190</v>
      </c>
      <c r="T290" s="376"/>
      <c r="U290" s="376"/>
      <c r="V290" s="366"/>
      <c r="W290" s="366"/>
    </row>
    <row r="291" spans="1:23">
      <c r="A291" s="1410"/>
      <c r="B291" s="1413"/>
      <c r="C291" s="845" t="s">
        <v>989</v>
      </c>
      <c r="D291" s="875" t="str">
        <f>B285&amp;C291</f>
        <v>B1g</v>
      </c>
      <c r="E291" s="367">
        <v>6</v>
      </c>
      <c r="F291" s="669"/>
      <c r="G291" s="369"/>
      <c r="H291" s="368"/>
      <c r="I291" s="369"/>
      <c r="J291" s="368"/>
      <c r="K291" s="669"/>
      <c r="L291" s="370"/>
      <c r="M291" s="371"/>
      <c r="N291" s="671"/>
      <c r="O291" s="671"/>
      <c r="P291" s="373"/>
      <c r="Q291" s="673"/>
      <c r="R291" s="375"/>
      <c r="S291" s="366" t="s">
        <v>190</v>
      </c>
      <c r="T291" s="366"/>
      <c r="U291" s="366"/>
      <c r="V291" s="366"/>
      <c r="W291" s="366"/>
    </row>
    <row r="292" spans="1:23">
      <c r="A292" s="1410"/>
      <c r="B292" s="1413"/>
      <c r="C292" s="845" t="s">
        <v>990</v>
      </c>
      <c r="D292" s="875" t="str">
        <f>B285&amp;C292</f>
        <v>B1h</v>
      </c>
      <c r="E292" s="367">
        <v>7</v>
      </c>
      <c r="F292" s="669"/>
      <c r="G292" s="368"/>
      <c r="H292" s="368"/>
      <c r="I292" s="368"/>
      <c r="J292" s="368"/>
      <c r="K292" s="669"/>
      <c r="L292" s="370"/>
      <c r="M292" s="371"/>
      <c r="N292" s="671"/>
      <c r="O292" s="671"/>
      <c r="P292" s="373"/>
      <c r="Q292" s="673"/>
      <c r="R292" s="377"/>
      <c r="S292" s="366" t="s">
        <v>190</v>
      </c>
      <c r="T292" s="366"/>
      <c r="U292" s="366"/>
      <c r="V292" s="366"/>
      <c r="W292" s="366"/>
    </row>
    <row r="293" spans="1:23">
      <c r="A293" s="1410"/>
      <c r="B293" s="1413"/>
      <c r="C293" s="845" t="s">
        <v>991</v>
      </c>
      <c r="D293" s="875" t="str">
        <f>B285&amp;C293</f>
        <v>B1i</v>
      </c>
      <c r="E293" s="367">
        <v>8</v>
      </c>
      <c r="F293" s="669"/>
      <c r="G293" s="368"/>
      <c r="H293" s="368"/>
      <c r="I293" s="368"/>
      <c r="J293" s="368"/>
      <c r="K293" s="370"/>
      <c r="L293" s="370"/>
      <c r="M293" s="371"/>
      <c r="N293" s="671"/>
      <c r="O293" s="671"/>
      <c r="P293" s="373"/>
      <c r="Q293" s="673"/>
      <c r="R293" s="378"/>
      <c r="S293" s="366"/>
      <c r="T293" s="366"/>
      <c r="U293" s="366"/>
      <c r="V293" s="366"/>
      <c r="W293" s="366"/>
    </row>
    <row r="294" spans="1:23">
      <c r="A294" s="1410"/>
      <c r="B294" s="1413"/>
      <c r="C294" s="845" t="s">
        <v>992</v>
      </c>
      <c r="D294" s="875" t="str">
        <f>B285&amp;C294</f>
        <v>B1k</v>
      </c>
      <c r="E294" s="367">
        <v>9</v>
      </c>
      <c r="F294" s="370"/>
      <c r="G294" s="368"/>
      <c r="H294" s="368"/>
      <c r="I294" s="368"/>
      <c r="J294" s="368"/>
      <c r="K294" s="370"/>
      <c r="L294" s="370"/>
      <c r="M294" s="371"/>
      <c r="N294" s="372"/>
      <c r="O294" s="372"/>
      <c r="P294" s="373"/>
      <c r="Q294" s="374"/>
      <c r="R294" s="378"/>
      <c r="S294" s="379"/>
      <c r="T294" s="366"/>
      <c r="U294" s="366"/>
      <c r="V294" s="366"/>
      <c r="W294" s="366"/>
    </row>
    <row r="295" spans="1:23">
      <c r="A295" s="1410"/>
      <c r="B295" s="1413"/>
      <c r="C295" s="845" t="s">
        <v>993</v>
      </c>
      <c r="D295" s="875" t="str">
        <f>B285&amp;C295</f>
        <v>B1l</v>
      </c>
      <c r="E295" s="367">
        <v>10</v>
      </c>
      <c r="F295" s="370"/>
      <c r="G295" s="368"/>
      <c r="H295" s="368"/>
      <c r="I295" s="368"/>
      <c r="J295" s="368"/>
      <c r="K295" s="370"/>
      <c r="L295" s="370"/>
      <c r="M295" s="370"/>
      <c r="N295" s="372"/>
      <c r="O295" s="372"/>
      <c r="P295" s="373"/>
      <c r="Q295" s="374"/>
      <c r="R295" s="378"/>
      <c r="S295" s="379"/>
      <c r="T295" s="366"/>
      <c r="U295" s="366"/>
      <c r="V295" s="366"/>
      <c r="W295" s="366"/>
    </row>
    <row r="296" spans="1:23">
      <c r="A296" s="1410"/>
      <c r="B296" s="1413"/>
      <c r="C296" s="845" t="s">
        <v>994</v>
      </c>
      <c r="D296" s="875" t="str">
        <f>B285&amp;C296</f>
        <v>B1m</v>
      </c>
      <c r="E296" s="367">
        <v>11</v>
      </c>
      <c r="F296" s="370"/>
      <c r="G296" s="368"/>
      <c r="H296" s="368"/>
      <c r="I296" s="368"/>
      <c r="J296" s="368"/>
      <c r="K296" s="370"/>
      <c r="L296" s="370"/>
      <c r="M296" s="370"/>
      <c r="N296" s="372"/>
      <c r="O296" s="372"/>
      <c r="P296" s="380"/>
      <c r="Q296" s="374"/>
      <c r="R296" s="381"/>
      <c r="S296" s="379"/>
      <c r="T296" s="366"/>
      <c r="U296" s="366"/>
      <c r="V296" s="366"/>
      <c r="W296" s="366"/>
    </row>
    <row r="297" spans="1:23">
      <c r="A297" s="1410"/>
      <c r="B297" s="1413"/>
      <c r="C297" s="845" t="s">
        <v>995</v>
      </c>
      <c r="D297" s="875" t="str">
        <f>B285&amp;C297</f>
        <v>B1n</v>
      </c>
      <c r="E297" s="367">
        <v>12</v>
      </c>
      <c r="F297" s="370"/>
      <c r="G297" s="368"/>
      <c r="H297" s="368"/>
      <c r="I297" s="368"/>
      <c r="J297" s="368"/>
      <c r="K297" s="370"/>
      <c r="L297" s="370"/>
      <c r="M297" s="370"/>
      <c r="N297" s="372"/>
      <c r="O297" s="372"/>
      <c r="P297" s="380"/>
      <c r="Q297" s="374"/>
      <c r="R297" s="381"/>
      <c r="S297" s="361"/>
      <c r="T297" s="361"/>
      <c r="U297" s="361"/>
      <c r="V297" s="366"/>
      <c r="W297" s="366"/>
    </row>
    <row r="298" spans="1:23">
      <c r="A298" s="1410"/>
      <c r="B298" s="1413"/>
      <c r="C298" s="845" t="s">
        <v>471</v>
      </c>
      <c r="D298" s="875" t="str">
        <f>B285&amp;C298</f>
        <v>B1x</v>
      </c>
      <c r="E298" s="367">
        <v>13</v>
      </c>
      <c r="F298" s="370"/>
      <c r="G298" s="368"/>
      <c r="H298" s="368"/>
      <c r="I298" s="368"/>
      <c r="J298" s="368"/>
      <c r="K298" s="370"/>
      <c r="L298" s="370"/>
      <c r="M298" s="370"/>
      <c r="N298" s="382"/>
      <c r="O298" s="372"/>
      <c r="P298" s="380"/>
      <c r="Q298" s="381"/>
      <c r="R298" s="381"/>
      <c r="S298" s="361"/>
      <c r="T298" s="361"/>
      <c r="U298" s="361"/>
      <c r="V298" s="366"/>
      <c r="W298" s="366"/>
    </row>
    <row r="299" spans="1:23">
      <c r="A299" s="1410"/>
      <c r="B299" s="1413"/>
      <c r="C299" s="845" t="s">
        <v>732</v>
      </c>
      <c r="D299" s="875" t="str">
        <f>B285&amp;C299</f>
        <v>B1y</v>
      </c>
      <c r="E299" s="367">
        <v>14</v>
      </c>
      <c r="F299" s="370"/>
      <c r="G299" s="368"/>
      <c r="H299" s="368"/>
      <c r="I299" s="368"/>
      <c r="J299" s="368"/>
      <c r="K299" s="370"/>
      <c r="L299" s="370"/>
      <c r="M299" s="370"/>
      <c r="N299" s="382"/>
      <c r="O299" s="372"/>
      <c r="P299" s="380"/>
      <c r="Q299" s="381"/>
      <c r="R299" s="381"/>
      <c r="S299" s="361"/>
      <c r="T299" s="361"/>
      <c r="U299" s="362"/>
      <c r="V299" s="366"/>
      <c r="W299" s="366"/>
    </row>
    <row r="300" spans="1:23">
      <c r="A300" s="1411"/>
      <c r="B300" s="1414"/>
      <c r="C300" s="846" t="s">
        <v>996</v>
      </c>
      <c r="D300" s="876" t="str">
        <f>B285&amp;C300</f>
        <v>B1z</v>
      </c>
      <c r="E300" s="847">
        <v>15</v>
      </c>
      <c r="F300" s="848"/>
      <c r="G300" s="849"/>
      <c r="H300" s="849"/>
      <c r="I300" s="849"/>
      <c r="J300" s="849"/>
      <c r="K300" s="848"/>
      <c r="L300" s="848"/>
      <c r="M300" s="848"/>
      <c r="N300" s="850"/>
      <c r="O300" s="851"/>
      <c r="P300" s="851"/>
      <c r="Q300" s="852"/>
      <c r="R300" s="383"/>
      <c r="S300" s="361"/>
      <c r="T300" s="832"/>
      <c r="U300" s="830"/>
      <c r="V300" s="366"/>
      <c r="W300" s="366"/>
    </row>
    <row r="301" spans="1:23">
      <c r="A301" s="1400" t="s">
        <v>939</v>
      </c>
      <c r="B301" s="1400" t="s">
        <v>17</v>
      </c>
      <c r="C301" s="827"/>
      <c r="D301" s="871"/>
      <c r="E301" s="1400" t="s">
        <v>177</v>
      </c>
      <c r="F301" s="1400" t="s">
        <v>18</v>
      </c>
      <c r="G301" s="1389" t="s">
        <v>19</v>
      </c>
      <c r="H301" s="1390"/>
      <c r="I301" s="1389" t="s">
        <v>22</v>
      </c>
      <c r="J301" s="1390"/>
      <c r="K301" s="1393" t="s">
        <v>26</v>
      </c>
      <c r="L301" s="1390"/>
      <c r="M301" s="1389" t="s">
        <v>392</v>
      </c>
      <c r="N301" s="1390"/>
      <c r="O301" s="1389" t="s">
        <v>28</v>
      </c>
      <c r="P301" s="1393"/>
      <c r="Q301" s="1390"/>
      <c r="R301" s="1400" t="s">
        <v>36</v>
      </c>
      <c r="S301" s="361"/>
      <c r="T301" s="361">
        <f>MAX(J305:J319)-MIN(I305:I319)</f>
        <v>0.99652777777777779</v>
      </c>
      <c r="U301" s="361"/>
      <c r="V301" s="853" t="str">
        <f t="shared" ref="V301" si="30">B305</f>
        <v>A20</v>
      </c>
      <c r="W301" s="361">
        <f t="shared" ref="W301" si="31">COUNTIF(K306:K320,"&gt;0")</f>
        <v>7</v>
      </c>
    </row>
    <row r="302" spans="1:23">
      <c r="A302" s="1401"/>
      <c r="B302" s="1401"/>
      <c r="C302" s="828"/>
      <c r="D302" s="872"/>
      <c r="E302" s="1401"/>
      <c r="F302" s="1401"/>
      <c r="G302" s="1391"/>
      <c r="H302" s="1392"/>
      <c r="I302" s="1391"/>
      <c r="J302" s="1392"/>
      <c r="K302" s="1394"/>
      <c r="L302" s="1392"/>
      <c r="M302" s="1391"/>
      <c r="N302" s="1392"/>
      <c r="O302" s="1391"/>
      <c r="P302" s="1394"/>
      <c r="Q302" s="1392"/>
      <c r="R302" s="1401"/>
      <c r="S302" s="361"/>
      <c r="T302" s="361"/>
      <c r="U302" s="361"/>
      <c r="V302" s="361"/>
      <c r="W302" s="361"/>
    </row>
    <row r="303" spans="1:23">
      <c r="A303" s="1401"/>
      <c r="B303" s="1401"/>
      <c r="C303" s="828"/>
      <c r="D303" s="872"/>
      <c r="E303" s="1401"/>
      <c r="F303" s="1401"/>
      <c r="G303" s="1400" t="s">
        <v>20</v>
      </c>
      <c r="H303" s="1400" t="s">
        <v>21</v>
      </c>
      <c r="I303" s="1400" t="s">
        <v>361</v>
      </c>
      <c r="J303" s="1400" t="s">
        <v>353</v>
      </c>
      <c r="K303" s="1400" t="s">
        <v>23</v>
      </c>
      <c r="L303" s="1400" t="s">
        <v>24</v>
      </c>
      <c r="M303" s="1400" t="s">
        <v>27</v>
      </c>
      <c r="N303" s="1400" t="s">
        <v>178</v>
      </c>
      <c r="O303" s="1400" t="s">
        <v>1</v>
      </c>
      <c r="P303" s="1400" t="s">
        <v>29</v>
      </c>
      <c r="Q303" s="1400" t="s">
        <v>33</v>
      </c>
      <c r="R303" s="1401"/>
      <c r="S303" s="361"/>
      <c r="T303" s="361" t="s">
        <v>39</v>
      </c>
      <c r="U303" s="362">
        <f>VLOOKUP(B305,'Thong tin'!$A:$M,13,0)</f>
        <v>1200</v>
      </c>
      <c r="V303" s="361"/>
      <c r="W303" s="361"/>
    </row>
    <row r="304" spans="1:23">
      <c r="A304" s="1402"/>
      <c r="B304" s="1402"/>
      <c r="C304" s="829"/>
      <c r="D304" s="873"/>
      <c r="E304" s="1402"/>
      <c r="F304" s="1402"/>
      <c r="G304" s="1402"/>
      <c r="H304" s="1402"/>
      <c r="I304" s="1402"/>
      <c r="J304" s="1402"/>
      <c r="K304" s="1402"/>
      <c r="L304" s="1402"/>
      <c r="M304" s="1402"/>
      <c r="N304" s="1402"/>
      <c r="O304" s="1402"/>
      <c r="P304" s="1402"/>
      <c r="Q304" s="1402"/>
      <c r="R304" s="1402"/>
      <c r="S304" s="361"/>
      <c r="T304" s="1399" t="s">
        <v>393</v>
      </c>
      <c r="U304" s="1397">
        <f>VLOOKUP(B305,DT.NK!$B:$AZ,45,0)</f>
        <v>39.6</v>
      </c>
      <c r="V304" s="361"/>
      <c r="W304" s="361"/>
    </row>
    <row r="305" spans="1:23">
      <c r="A305" s="1409">
        <f>A285+1</f>
        <v>16</v>
      </c>
      <c r="B305" s="1412" t="s">
        <v>583</v>
      </c>
      <c r="C305" s="844" t="s">
        <v>983</v>
      </c>
      <c r="D305" s="874" t="str">
        <f>B305&amp;C305</f>
        <v>A20a</v>
      </c>
      <c r="E305" s="363"/>
      <c r="F305" s="364"/>
      <c r="G305" s="364"/>
      <c r="H305" s="364"/>
      <c r="I305" s="364"/>
      <c r="J305" s="364"/>
      <c r="K305" s="364"/>
      <c r="L305" s="364"/>
      <c r="M305" s="674"/>
      <c r="N305" s="670"/>
      <c r="O305" s="670">
        <f>U304</f>
        <v>39.6</v>
      </c>
      <c r="P305" s="670">
        <f>O305</f>
        <v>39.6</v>
      </c>
      <c r="Q305" s="670">
        <v>0</v>
      </c>
      <c r="R305" s="365"/>
      <c r="S305" s="366"/>
      <c r="T305" s="1399"/>
      <c r="U305" s="1398"/>
      <c r="V305" s="361"/>
      <c r="W305" s="361"/>
    </row>
    <row r="306" spans="1:23">
      <c r="A306" s="1410"/>
      <c r="B306" s="1413"/>
      <c r="C306" s="845" t="s">
        <v>984</v>
      </c>
      <c r="D306" s="875" t="str">
        <f>B305&amp;C306</f>
        <v>A20b</v>
      </c>
      <c r="E306" s="367">
        <v>1</v>
      </c>
      <c r="F306" s="669" t="s">
        <v>1053</v>
      </c>
      <c r="G306" s="369">
        <v>0.96180555555555547</v>
      </c>
      <c r="H306" s="368">
        <v>0.97916666666666663</v>
      </c>
      <c r="I306" s="369">
        <v>0.99305555555555547</v>
      </c>
      <c r="J306" s="368">
        <v>0.99652777777777779</v>
      </c>
      <c r="K306" s="669">
        <v>7</v>
      </c>
      <c r="L306" s="669">
        <v>19</v>
      </c>
      <c r="M306" s="675">
        <v>39.4</v>
      </c>
      <c r="N306" s="671">
        <f t="shared" ref="N306:N312" si="32">IF(M306-P306&gt;0,M306-P306,0)</f>
        <v>3.8999999999999986</v>
      </c>
      <c r="O306" s="671">
        <f>O305-K306/(PI()*(U303/2000)^2)</f>
        <v>33.410641101981852</v>
      </c>
      <c r="P306" s="672">
        <v>35.5</v>
      </c>
      <c r="Q306" s="673">
        <f t="shared" ref="Q306:Q312" si="33">ABS(O306-P306)</f>
        <v>2.0893588980181477</v>
      </c>
      <c r="R306" s="375" t="s">
        <v>188</v>
      </c>
      <c r="S306" s="366"/>
      <c r="T306" s="376"/>
      <c r="U306" s="376"/>
      <c r="V306" s="366"/>
      <c r="W306" s="366"/>
    </row>
    <row r="307" spans="1:23">
      <c r="A307" s="1410"/>
      <c r="B307" s="1413"/>
      <c r="C307" s="845" t="s">
        <v>985</v>
      </c>
      <c r="D307" s="875" t="str">
        <f>B305&amp;C307</f>
        <v>A20c</v>
      </c>
      <c r="E307" s="367">
        <v>2</v>
      </c>
      <c r="F307" s="669" t="s">
        <v>1054</v>
      </c>
      <c r="G307" s="369">
        <v>0.97222222222222221</v>
      </c>
      <c r="H307" s="368">
        <v>0.98611111111111116</v>
      </c>
      <c r="I307" s="369">
        <v>0</v>
      </c>
      <c r="J307" s="368">
        <v>4.1666666666666666E-3</v>
      </c>
      <c r="K307" s="669">
        <v>7</v>
      </c>
      <c r="L307" s="669">
        <v>20</v>
      </c>
      <c r="M307" s="675">
        <v>34.25</v>
      </c>
      <c r="N307" s="671">
        <f t="shared" si="32"/>
        <v>3.9499999999999993</v>
      </c>
      <c r="O307" s="671">
        <f>O306-K307/(PI()*(U303/2000)^2)</f>
        <v>27.2212822039637</v>
      </c>
      <c r="P307" s="672">
        <v>30.3</v>
      </c>
      <c r="Q307" s="673">
        <f t="shared" si="33"/>
        <v>3.078717796036301</v>
      </c>
      <c r="R307" s="375" t="s">
        <v>188</v>
      </c>
      <c r="S307" s="366"/>
      <c r="T307" s="376"/>
      <c r="U307" s="376"/>
      <c r="V307" s="366"/>
      <c r="W307" s="366"/>
    </row>
    <row r="308" spans="1:23">
      <c r="A308" s="1410"/>
      <c r="B308" s="1413"/>
      <c r="C308" s="845" t="s">
        <v>986</v>
      </c>
      <c r="D308" s="875" t="str">
        <f>B305&amp;C308</f>
        <v>A20d</v>
      </c>
      <c r="E308" s="367">
        <v>3</v>
      </c>
      <c r="F308" s="669" t="s">
        <v>1055</v>
      </c>
      <c r="G308" s="369">
        <v>0.95138888888888884</v>
      </c>
      <c r="H308" s="368">
        <v>0.97222222222222221</v>
      </c>
      <c r="I308" s="369">
        <v>1.0416666666666666E-2</v>
      </c>
      <c r="J308" s="368">
        <v>1.3888888888888888E-2</v>
      </c>
      <c r="K308" s="669">
        <v>7</v>
      </c>
      <c r="L308" s="669">
        <v>19</v>
      </c>
      <c r="M308" s="675">
        <v>31.1</v>
      </c>
      <c r="N308" s="671">
        <f t="shared" si="32"/>
        <v>5.1000000000000014</v>
      </c>
      <c r="O308" s="671">
        <f>O307-K308/(PI()*(U303/2000)^2)</f>
        <v>21.031923305945547</v>
      </c>
      <c r="P308" s="672">
        <v>26</v>
      </c>
      <c r="Q308" s="673">
        <f t="shared" si="33"/>
        <v>4.968076694054453</v>
      </c>
      <c r="R308" s="375"/>
      <c r="S308" s="366"/>
      <c r="T308" s="376"/>
      <c r="U308" s="376"/>
      <c r="V308" s="366"/>
      <c r="W308" s="366"/>
    </row>
    <row r="309" spans="1:23">
      <c r="A309" s="1410"/>
      <c r="B309" s="1413"/>
      <c r="C309" s="845" t="s">
        <v>987</v>
      </c>
      <c r="D309" s="875" t="str">
        <f>B305&amp;C309</f>
        <v>A20e</v>
      </c>
      <c r="E309" s="367">
        <v>4</v>
      </c>
      <c r="F309" s="669" t="s">
        <v>1056</v>
      </c>
      <c r="G309" s="369">
        <v>0.98263888888888884</v>
      </c>
      <c r="H309" s="368">
        <v>0</v>
      </c>
      <c r="I309" s="369">
        <v>1.3888888888888888E-2</v>
      </c>
      <c r="J309" s="368">
        <v>1.7361111111111112E-2</v>
      </c>
      <c r="K309" s="669">
        <v>7</v>
      </c>
      <c r="L309" s="370">
        <v>19.5</v>
      </c>
      <c r="M309" s="675">
        <v>24.8</v>
      </c>
      <c r="N309" s="671">
        <f t="shared" si="32"/>
        <v>3.3000000000000007</v>
      </c>
      <c r="O309" s="671">
        <f>O308-K309/(PI()*(U303/2000)^2)</f>
        <v>14.842564407927394</v>
      </c>
      <c r="P309" s="373">
        <v>21.5</v>
      </c>
      <c r="Q309" s="673">
        <f t="shared" si="33"/>
        <v>6.6574355920726056</v>
      </c>
      <c r="R309" s="375"/>
      <c r="S309" s="366"/>
      <c r="T309" s="376"/>
      <c r="U309" s="376"/>
      <c r="V309" s="366"/>
      <c r="W309" s="366"/>
    </row>
    <row r="310" spans="1:23">
      <c r="A310" s="1410"/>
      <c r="B310" s="1413"/>
      <c r="C310" s="845" t="s">
        <v>988</v>
      </c>
      <c r="D310" s="875" t="str">
        <f>B305&amp;C310</f>
        <v>A20f</v>
      </c>
      <c r="E310" s="367">
        <v>5</v>
      </c>
      <c r="F310" s="669" t="s">
        <v>1053</v>
      </c>
      <c r="G310" s="369">
        <v>2.4305555555555556E-2</v>
      </c>
      <c r="H310" s="368">
        <v>4.8611111111111112E-2</v>
      </c>
      <c r="I310" s="369">
        <v>5.2083333333333336E-2</v>
      </c>
      <c r="J310" s="368">
        <v>5.5555555555555552E-2</v>
      </c>
      <c r="K310" s="669">
        <v>7</v>
      </c>
      <c r="L310" s="370">
        <v>19</v>
      </c>
      <c r="M310" s="371">
        <v>18.5</v>
      </c>
      <c r="N310" s="671">
        <f t="shared" si="32"/>
        <v>2.8000000000000007</v>
      </c>
      <c r="O310" s="671">
        <f>O309-K310/(PI()*(U303/2000)^2)</f>
        <v>8.6532055099092418</v>
      </c>
      <c r="P310" s="373">
        <v>15.7</v>
      </c>
      <c r="Q310" s="673">
        <f t="shared" si="33"/>
        <v>7.0467944900907575</v>
      </c>
      <c r="R310" s="377"/>
      <c r="S310" s="366" t="s">
        <v>190</v>
      </c>
      <c r="T310" s="376"/>
      <c r="U310" s="376"/>
      <c r="V310" s="366"/>
      <c r="W310" s="366"/>
    </row>
    <row r="311" spans="1:23">
      <c r="A311" s="1410"/>
      <c r="B311" s="1413"/>
      <c r="C311" s="845" t="s">
        <v>989</v>
      </c>
      <c r="D311" s="875" t="str">
        <f>B305&amp;C311</f>
        <v>A20g</v>
      </c>
      <c r="E311" s="367">
        <v>6</v>
      </c>
      <c r="F311" s="669" t="s">
        <v>1054</v>
      </c>
      <c r="G311" s="369">
        <v>3.888888888888889E-2</v>
      </c>
      <c r="H311" s="368">
        <v>5.5555555555555552E-2</v>
      </c>
      <c r="I311" s="369">
        <v>5.9027777777777783E-2</v>
      </c>
      <c r="J311" s="368">
        <v>6.25E-2</v>
      </c>
      <c r="K311" s="669">
        <v>7</v>
      </c>
      <c r="L311" s="370">
        <v>20</v>
      </c>
      <c r="M311" s="371">
        <v>15.35</v>
      </c>
      <c r="N311" s="671">
        <f t="shared" si="32"/>
        <v>4.5499999999999989</v>
      </c>
      <c r="O311" s="671">
        <f>O310-K311/(PI()*(U303/2000)^2)</f>
        <v>2.46384661189109</v>
      </c>
      <c r="P311" s="373">
        <v>10.8</v>
      </c>
      <c r="Q311" s="673">
        <f t="shared" si="33"/>
        <v>8.3361533881089116</v>
      </c>
      <c r="R311" s="375" t="s">
        <v>188</v>
      </c>
      <c r="S311" s="366" t="s">
        <v>190</v>
      </c>
      <c r="T311" s="366"/>
      <c r="U311" s="366"/>
      <c r="V311" s="366"/>
      <c r="W311" s="366"/>
    </row>
    <row r="312" spans="1:23">
      <c r="A312" s="1410"/>
      <c r="B312" s="1413"/>
      <c r="C312" s="845" t="s">
        <v>990</v>
      </c>
      <c r="D312" s="875" t="str">
        <f>B305&amp;C312</f>
        <v>A20h</v>
      </c>
      <c r="E312" s="367">
        <v>7</v>
      </c>
      <c r="F312" s="669" t="s">
        <v>1057</v>
      </c>
      <c r="G312" s="368">
        <v>4.8611111111111112E-2</v>
      </c>
      <c r="H312" s="368">
        <v>6.25E-2</v>
      </c>
      <c r="I312" s="368">
        <v>6.9444444444444434E-2</v>
      </c>
      <c r="J312" s="368">
        <v>7.2916666666666671E-2</v>
      </c>
      <c r="K312" s="669">
        <v>7</v>
      </c>
      <c r="L312" s="370">
        <v>19.5</v>
      </c>
      <c r="M312" s="371">
        <v>9.0500000000000007</v>
      </c>
      <c r="N312" s="671">
        <f t="shared" si="32"/>
        <v>3.5500000000000007</v>
      </c>
      <c r="O312" s="671">
        <f>O311-K312/(PI()*(U303/2000)^2)</f>
        <v>-3.7255122861270618</v>
      </c>
      <c r="P312" s="373">
        <v>5.5</v>
      </c>
      <c r="Q312" s="673">
        <f t="shared" si="33"/>
        <v>9.2255122861270618</v>
      </c>
      <c r="R312" s="377"/>
      <c r="S312" s="366" t="s">
        <v>190</v>
      </c>
      <c r="T312" s="366"/>
      <c r="U312" s="366"/>
      <c r="V312" s="366"/>
      <c r="W312" s="366"/>
    </row>
    <row r="313" spans="1:23">
      <c r="A313" s="1410"/>
      <c r="B313" s="1413"/>
      <c r="C313" s="845" t="s">
        <v>991</v>
      </c>
      <c r="D313" s="875" t="str">
        <f>B305&amp;C313</f>
        <v>A20i</v>
      </c>
      <c r="E313" s="367">
        <v>8</v>
      </c>
      <c r="F313" s="669"/>
      <c r="G313" s="368"/>
      <c r="H313" s="368"/>
      <c r="I313" s="368"/>
      <c r="J313" s="368"/>
      <c r="K313" s="370"/>
      <c r="L313" s="370"/>
      <c r="M313" s="371"/>
      <c r="N313" s="671"/>
      <c r="O313" s="671"/>
      <c r="P313" s="373"/>
      <c r="Q313" s="673"/>
      <c r="R313" s="378"/>
      <c r="S313" s="366"/>
      <c r="T313" s="366"/>
      <c r="U313" s="366"/>
      <c r="V313" s="366"/>
      <c r="W313" s="366"/>
    </row>
    <row r="314" spans="1:23">
      <c r="A314" s="1410"/>
      <c r="B314" s="1413"/>
      <c r="C314" s="845" t="s">
        <v>992</v>
      </c>
      <c r="D314" s="875" t="str">
        <f>B305&amp;C314</f>
        <v>A20k</v>
      </c>
      <c r="E314" s="367">
        <v>9</v>
      </c>
      <c r="F314" s="370"/>
      <c r="G314" s="368"/>
      <c r="H314" s="368"/>
      <c r="I314" s="368"/>
      <c r="J314" s="368"/>
      <c r="K314" s="370"/>
      <c r="L314" s="370"/>
      <c r="M314" s="371"/>
      <c r="N314" s="372"/>
      <c r="O314" s="372"/>
      <c r="P314" s="373"/>
      <c r="Q314" s="374"/>
      <c r="R314" s="378"/>
      <c r="S314" s="379"/>
      <c r="T314" s="366"/>
      <c r="U314" s="366"/>
      <c r="V314" s="366"/>
      <c r="W314" s="366"/>
    </row>
    <row r="315" spans="1:23">
      <c r="A315" s="1410"/>
      <c r="B315" s="1413"/>
      <c r="C315" s="845" t="s">
        <v>993</v>
      </c>
      <c r="D315" s="875" t="str">
        <f>B305&amp;C315</f>
        <v>A20l</v>
      </c>
      <c r="E315" s="367">
        <v>10</v>
      </c>
      <c r="F315" s="370"/>
      <c r="G315" s="368"/>
      <c r="H315" s="368"/>
      <c r="I315" s="368"/>
      <c r="J315" s="368"/>
      <c r="K315" s="370"/>
      <c r="L315" s="370"/>
      <c r="M315" s="370"/>
      <c r="N315" s="372"/>
      <c r="O315" s="372"/>
      <c r="P315" s="373"/>
      <c r="Q315" s="374"/>
      <c r="R315" s="378"/>
      <c r="S315" s="379"/>
      <c r="T315" s="366"/>
      <c r="U315" s="366"/>
      <c r="V315" s="366"/>
      <c r="W315" s="366"/>
    </row>
    <row r="316" spans="1:23">
      <c r="A316" s="1410"/>
      <c r="B316" s="1413"/>
      <c r="C316" s="845" t="s">
        <v>994</v>
      </c>
      <c r="D316" s="875" t="str">
        <f>B305&amp;C316</f>
        <v>A20m</v>
      </c>
      <c r="E316" s="367">
        <v>11</v>
      </c>
      <c r="F316" s="370"/>
      <c r="G316" s="368"/>
      <c r="H316" s="368"/>
      <c r="I316" s="368"/>
      <c r="J316" s="368"/>
      <c r="K316" s="370"/>
      <c r="L316" s="370"/>
      <c r="M316" s="370"/>
      <c r="N316" s="372"/>
      <c r="O316" s="372"/>
      <c r="P316" s="380"/>
      <c r="Q316" s="374"/>
      <c r="R316" s="381"/>
      <c r="S316" s="379"/>
      <c r="T316" s="366"/>
      <c r="U316" s="366"/>
      <c r="V316" s="366"/>
      <c r="W316" s="366"/>
    </row>
    <row r="317" spans="1:23">
      <c r="A317" s="1410"/>
      <c r="B317" s="1413"/>
      <c r="C317" s="845" t="s">
        <v>995</v>
      </c>
      <c r="D317" s="875" t="str">
        <f>B305&amp;C317</f>
        <v>A20n</v>
      </c>
      <c r="E317" s="367">
        <v>12</v>
      </c>
      <c r="F317" s="370"/>
      <c r="G317" s="368"/>
      <c r="H317" s="368"/>
      <c r="I317" s="368"/>
      <c r="J317" s="368"/>
      <c r="K317" s="370"/>
      <c r="L317" s="370"/>
      <c r="M317" s="370"/>
      <c r="N317" s="372"/>
      <c r="O317" s="372"/>
      <c r="P317" s="380"/>
      <c r="Q317" s="374"/>
      <c r="R317" s="381"/>
      <c r="S317" s="361"/>
      <c r="T317" s="361"/>
      <c r="U317" s="361"/>
      <c r="V317" s="366"/>
      <c r="W317" s="366"/>
    </row>
    <row r="318" spans="1:23">
      <c r="A318" s="1410"/>
      <c r="B318" s="1413"/>
      <c r="C318" s="845" t="s">
        <v>471</v>
      </c>
      <c r="D318" s="875" t="str">
        <f>B305&amp;C318</f>
        <v>A20x</v>
      </c>
      <c r="E318" s="367">
        <v>13</v>
      </c>
      <c r="F318" s="370"/>
      <c r="G318" s="368"/>
      <c r="H318" s="368"/>
      <c r="I318" s="368"/>
      <c r="J318" s="368"/>
      <c r="K318" s="370"/>
      <c r="L318" s="370"/>
      <c r="M318" s="370"/>
      <c r="N318" s="382"/>
      <c r="O318" s="372"/>
      <c r="P318" s="380"/>
      <c r="Q318" s="381"/>
      <c r="R318" s="381"/>
      <c r="S318" s="361"/>
      <c r="T318" s="361"/>
      <c r="U318" s="361"/>
      <c r="V318" s="366"/>
      <c r="W318" s="366"/>
    </row>
    <row r="319" spans="1:23">
      <c r="A319" s="1410"/>
      <c r="B319" s="1413"/>
      <c r="C319" s="845" t="s">
        <v>732</v>
      </c>
      <c r="D319" s="875" t="str">
        <f>B305&amp;C319</f>
        <v>A20y</v>
      </c>
      <c r="E319" s="367">
        <v>14</v>
      </c>
      <c r="F319" s="370"/>
      <c r="G319" s="368"/>
      <c r="H319" s="368"/>
      <c r="I319" s="368"/>
      <c r="J319" s="368"/>
      <c r="K319" s="370"/>
      <c r="L319" s="370"/>
      <c r="M319" s="370"/>
      <c r="N319" s="382"/>
      <c r="O319" s="372"/>
      <c r="P319" s="380"/>
      <c r="Q319" s="381"/>
      <c r="R319" s="381"/>
      <c r="S319" s="361"/>
      <c r="T319" s="361"/>
      <c r="U319" s="362"/>
      <c r="V319" s="366"/>
      <c r="W319" s="366"/>
    </row>
    <row r="320" spans="1:23">
      <c r="A320" s="1411"/>
      <c r="B320" s="1414"/>
      <c r="C320" s="846" t="s">
        <v>996</v>
      </c>
      <c r="D320" s="876" t="str">
        <f>B305&amp;C320</f>
        <v>A20z</v>
      </c>
      <c r="E320" s="847">
        <v>15</v>
      </c>
      <c r="F320" s="848"/>
      <c r="G320" s="849"/>
      <c r="H320" s="849"/>
      <c r="I320" s="849"/>
      <c r="J320" s="849"/>
      <c r="K320" s="848"/>
      <c r="L320" s="848"/>
      <c r="M320" s="848"/>
      <c r="N320" s="850"/>
      <c r="O320" s="851"/>
      <c r="P320" s="851"/>
      <c r="Q320" s="852"/>
      <c r="R320" s="383"/>
      <c r="S320" s="361"/>
      <c r="T320" s="832"/>
      <c r="U320" s="830"/>
      <c r="V320" s="366"/>
      <c r="W320" s="366"/>
    </row>
    <row r="321" spans="1:23">
      <c r="A321" s="1400" t="s">
        <v>939</v>
      </c>
      <c r="B321" s="1400" t="s">
        <v>17</v>
      </c>
      <c r="C321" s="827"/>
      <c r="D321" s="871"/>
      <c r="E321" s="1400" t="s">
        <v>177</v>
      </c>
      <c r="F321" s="1400" t="s">
        <v>18</v>
      </c>
      <c r="G321" s="1389" t="s">
        <v>19</v>
      </c>
      <c r="H321" s="1390"/>
      <c r="I321" s="1389" t="s">
        <v>22</v>
      </c>
      <c r="J321" s="1390"/>
      <c r="K321" s="1393" t="s">
        <v>26</v>
      </c>
      <c r="L321" s="1390"/>
      <c r="M321" s="1389" t="s">
        <v>392</v>
      </c>
      <c r="N321" s="1390"/>
      <c r="O321" s="1389" t="s">
        <v>28</v>
      </c>
      <c r="P321" s="1393"/>
      <c r="Q321" s="1390"/>
      <c r="R321" s="1400" t="s">
        <v>36</v>
      </c>
      <c r="S321" s="361"/>
      <c r="T321" s="361">
        <f>MAX(J325:J339)-MIN(I325:I339)</f>
        <v>0.10347222222222222</v>
      </c>
      <c r="U321" s="361"/>
      <c r="V321" s="853" t="str">
        <f t="shared" ref="V321" si="34">B325</f>
        <v>A19</v>
      </c>
      <c r="W321" s="361">
        <f t="shared" ref="W321" si="35">COUNTIF(K326:K340,"&gt;0")</f>
        <v>8</v>
      </c>
    </row>
    <row r="322" spans="1:23">
      <c r="A322" s="1401"/>
      <c r="B322" s="1401"/>
      <c r="C322" s="828"/>
      <c r="D322" s="872"/>
      <c r="E322" s="1401"/>
      <c r="F322" s="1401"/>
      <c r="G322" s="1391"/>
      <c r="H322" s="1392"/>
      <c r="I322" s="1391"/>
      <c r="J322" s="1392"/>
      <c r="K322" s="1394"/>
      <c r="L322" s="1392"/>
      <c r="M322" s="1391"/>
      <c r="N322" s="1392"/>
      <c r="O322" s="1391"/>
      <c r="P322" s="1394"/>
      <c r="Q322" s="1392"/>
      <c r="R322" s="1401"/>
      <c r="S322" s="361"/>
      <c r="T322" s="361"/>
      <c r="U322" s="361"/>
      <c r="V322" s="361"/>
      <c r="W322" s="361"/>
    </row>
    <row r="323" spans="1:23">
      <c r="A323" s="1401"/>
      <c r="B323" s="1401"/>
      <c r="C323" s="828"/>
      <c r="D323" s="872"/>
      <c r="E323" s="1401"/>
      <c r="F323" s="1401"/>
      <c r="G323" s="1400" t="s">
        <v>20</v>
      </c>
      <c r="H323" s="1400" t="s">
        <v>21</v>
      </c>
      <c r="I323" s="1400" t="s">
        <v>361</v>
      </c>
      <c r="J323" s="1400" t="s">
        <v>353</v>
      </c>
      <c r="K323" s="1400" t="s">
        <v>23</v>
      </c>
      <c r="L323" s="1400" t="s">
        <v>24</v>
      </c>
      <c r="M323" s="1400" t="s">
        <v>27</v>
      </c>
      <c r="N323" s="1400" t="s">
        <v>178</v>
      </c>
      <c r="O323" s="1400" t="s">
        <v>1</v>
      </c>
      <c r="P323" s="1400" t="s">
        <v>29</v>
      </c>
      <c r="Q323" s="1400" t="s">
        <v>33</v>
      </c>
      <c r="R323" s="1401"/>
      <c r="S323" s="361"/>
      <c r="T323" s="361" t="s">
        <v>39</v>
      </c>
      <c r="U323" s="362">
        <f>VLOOKUP(B325,'Thong tin'!$A:$M,13,0)</f>
        <v>1200</v>
      </c>
      <c r="V323" s="361"/>
      <c r="W323" s="361"/>
    </row>
    <row r="324" spans="1:23">
      <c r="A324" s="1402"/>
      <c r="B324" s="1402"/>
      <c r="C324" s="829"/>
      <c r="D324" s="873"/>
      <c r="E324" s="1402"/>
      <c r="F324" s="1402"/>
      <c r="G324" s="1402"/>
      <c r="H324" s="1402"/>
      <c r="I324" s="1402"/>
      <c r="J324" s="1402"/>
      <c r="K324" s="1402"/>
      <c r="L324" s="1402"/>
      <c r="M324" s="1402"/>
      <c r="N324" s="1402"/>
      <c r="O324" s="1402"/>
      <c r="P324" s="1402"/>
      <c r="Q324" s="1402"/>
      <c r="R324" s="1402"/>
      <c r="S324" s="361"/>
      <c r="T324" s="1399" t="s">
        <v>393</v>
      </c>
      <c r="U324" s="1397">
        <f>VLOOKUP(B325,DT.NK!$B:$AZ,45,0)</f>
        <v>39.799999999999997</v>
      </c>
      <c r="V324" s="361"/>
      <c r="W324" s="361"/>
    </row>
    <row r="325" spans="1:23">
      <c r="A325" s="1409">
        <f>A305+1</f>
        <v>17</v>
      </c>
      <c r="B325" s="1412" t="s">
        <v>578</v>
      </c>
      <c r="C325" s="844" t="s">
        <v>983</v>
      </c>
      <c r="D325" s="874" t="str">
        <f>B325&amp;C325</f>
        <v>A19a</v>
      </c>
      <c r="E325" s="363"/>
      <c r="F325" s="364"/>
      <c r="G325" s="364"/>
      <c r="H325" s="364"/>
      <c r="I325" s="364"/>
      <c r="J325" s="364"/>
      <c r="K325" s="364"/>
      <c r="L325" s="364"/>
      <c r="M325" s="674"/>
      <c r="N325" s="670"/>
      <c r="O325" s="670">
        <f>U324</f>
        <v>39.799999999999997</v>
      </c>
      <c r="P325" s="670">
        <f>O325</f>
        <v>39.799999999999997</v>
      </c>
      <c r="Q325" s="670">
        <v>0</v>
      </c>
      <c r="R325" s="365"/>
      <c r="S325" s="366"/>
      <c r="T325" s="1399"/>
      <c r="U325" s="1398"/>
      <c r="V325" s="361"/>
      <c r="W325" s="361"/>
    </row>
    <row r="326" spans="1:23">
      <c r="A326" s="1410"/>
      <c r="B326" s="1413"/>
      <c r="C326" s="845" t="s">
        <v>984</v>
      </c>
      <c r="D326" s="875" t="str">
        <f>B325&amp;C326</f>
        <v>A19b</v>
      </c>
      <c r="E326" s="367">
        <v>1</v>
      </c>
      <c r="F326" s="669" t="s">
        <v>1058</v>
      </c>
      <c r="G326" s="369">
        <v>0.93888888888888899</v>
      </c>
      <c r="H326" s="368">
        <v>3.472222222222222E-3</v>
      </c>
      <c r="I326" s="369">
        <v>1.1111111111111112E-2</v>
      </c>
      <c r="J326" s="368">
        <v>1.3888888888888888E-2</v>
      </c>
      <c r="K326" s="669">
        <v>8</v>
      </c>
      <c r="L326" s="669">
        <v>19</v>
      </c>
      <c r="M326" s="675">
        <v>39.799999999999997</v>
      </c>
      <c r="N326" s="671">
        <f t="shared" ref="N326:N333" si="36">IF(M326-P326&gt;0,M326-P326,0)</f>
        <v>5</v>
      </c>
      <c r="O326" s="671">
        <f>O325-K326/(PI()*(U323/2000)^2)</f>
        <v>32.726446973693541</v>
      </c>
      <c r="P326" s="672">
        <v>34.799999999999997</v>
      </c>
      <c r="Q326" s="673">
        <f t="shared" ref="Q326:Q333" si="37">ABS(O326-P326)</f>
        <v>2.0735530263064561</v>
      </c>
      <c r="R326" s="375" t="s">
        <v>188</v>
      </c>
      <c r="S326" s="366"/>
      <c r="T326" s="376"/>
      <c r="U326" s="376"/>
      <c r="V326" s="366"/>
      <c r="W326" s="366"/>
    </row>
    <row r="327" spans="1:23">
      <c r="A327" s="1410"/>
      <c r="B327" s="1413"/>
      <c r="C327" s="845" t="s">
        <v>985</v>
      </c>
      <c r="D327" s="875" t="str">
        <f>B325&amp;C327</f>
        <v>A19c</v>
      </c>
      <c r="E327" s="367">
        <v>2</v>
      </c>
      <c r="F327" s="669" t="s">
        <v>1050</v>
      </c>
      <c r="G327" s="369">
        <v>0.91111111111111109</v>
      </c>
      <c r="H327" s="368">
        <v>0.93055555555555547</v>
      </c>
      <c r="I327" s="369">
        <v>1.7361111111111112E-2</v>
      </c>
      <c r="J327" s="368">
        <v>2.0833333333333332E-2</v>
      </c>
      <c r="K327" s="669">
        <v>8</v>
      </c>
      <c r="L327" s="669">
        <v>19.5</v>
      </c>
      <c r="M327" s="675">
        <v>34.799999999999997</v>
      </c>
      <c r="N327" s="671">
        <f t="shared" si="36"/>
        <v>5.4999999999999964</v>
      </c>
      <c r="O327" s="671">
        <f>O326-K327/(PI()*(U323/2000)^2)</f>
        <v>25.652893947387081</v>
      </c>
      <c r="P327" s="672">
        <v>29.3</v>
      </c>
      <c r="Q327" s="673">
        <f t="shared" si="37"/>
        <v>3.6471060526129193</v>
      </c>
      <c r="R327" s="375" t="s">
        <v>188</v>
      </c>
      <c r="S327" s="366"/>
      <c r="T327" s="376"/>
      <c r="U327" s="376"/>
      <c r="V327" s="366"/>
      <c r="W327" s="366"/>
    </row>
    <row r="328" spans="1:23">
      <c r="A328" s="1410"/>
      <c r="B328" s="1413"/>
      <c r="C328" s="845" t="s">
        <v>986</v>
      </c>
      <c r="D328" s="875" t="str">
        <f>B325&amp;C328</f>
        <v>A19d</v>
      </c>
      <c r="E328" s="367">
        <v>3</v>
      </c>
      <c r="F328" s="669" t="s">
        <v>1051</v>
      </c>
      <c r="G328" s="369">
        <v>1.5277777777777777E-2</v>
      </c>
      <c r="H328" s="368">
        <v>2.4305555555555556E-2</v>
      </c>
      <c r="I328" s="369">
        <v>2.7777777777777776E-2</v>
      </c>
      <c r="J328" s="368">
        <v>3.125E-2</v>
      </c>
      <c r="K328" s="669">
        <v>8</v>
      </c>
      <c r="L328" s="669">
        <v>18.5</v>
      </c>
      <c r="M328" s="675">
        <v>28.54</v>
      </c>
      <c r="N328" s="671">
        <f t="shared" si="36"/>
        <v>6.34</v>
      </c>
      <c r="O328" s="671">
        <f>O327-K328/(PI()*(U323/2000)^2)</f>
        <v>18.579340921080622</v>
      </c>
      <c r="P328" s="672">
        <v>22.2</v>
      </c>
      <c r="Q328" s="673">
        <f t="shared" si="37"/>
        <v>3.6206590789193775</v>
      </c>
      <c r="R328" s="375"/>
      <c r="S328" s="366"/>
      <c r="T328" s="376"/>
      <c r="U328" s="376"/>
      <c r="V328" s="366"/>
      <c r="W328" s="366"/>
    </row>
    <row r="329" spans="1:23">
      <c r="A329" s="1410"/>
      <c r="B329" s="1413"/>
      <c r="C329" s="845" t="s">
        <v>987</v>
      </c>
      <c r="D329" s="875" t="str">
        <f>B325&amp;C329</f>
        <v>A19e</v>
      </c>
      <c r="E329" s="367">
        <v>4</v>
      </c>
      <c r="F329" s="669" t="s">
        <v>1052</v>
      </c>
      <c r="G329" s="369">
        <v>2.9166666666666664E-2</v>
      </c>
      <c r="H329" s="368">
        <v>3.4722222222222224E-2</v>
      </c>
      <c r="I329" s="369">
        <v>3.4722222222222224E-2</v>
      </c>
      <c r="J329" s="368">
        <v>5.2083333333333336E-2</v>
      </c>
      <c r="K329" s="370">
        <v>12</v>
      </c>
      <c r="L329" s="370">
        <v>18</v>
      </c>
      <c r="M329" s="371">
        <v>16.02</v>
      </c>
      <c r="N329" s="671">
        <f t="shared" si="36"/>
        <v>5.0199999999999996</v>
      </c>
      <c r="O329" s="671">
        <f>O328-K329/(PI()*(U323/2000)^2)</f>
        <v>7.9690113816209323</v>
      </c>
      <c r="P329" s="373">
        <v>11</v>
      </c>
      <c r="Q329" s="673">
        <f t="shared" si="37"/>
        <v>3.0309886183790677</v>
      </c>
      <c r="R329" s="375" t="s">
        <v>188</v>
      </c>
      <c r="S329" s="366"/>
      <c r="T329" s="376"/>
      <c r="U329" s="376"/>
      <c r="V329" s="366"/>
      <c r="W329" s="366"/>
    </row>
    <row r="330" spans="1:23">
      <c r="A330" s="1410"/>
      <c r="B330" s="1413"/>
      <c r="C330" s="845" t="s">
        <v>988</v>
      </c>
      <c r="D330" s="875" t="str">
        <f>B325&amp;C330</f>
        <v>A19f</v>
      </c>
      <c r="E330" s="367">
        <v>5</v>
      </c>
      <c r="F330" s="669" t="s">
        <v>1050</v>
      </c>
      <c r="G330" s="369">
        <v>4.6527777777777779E-2</v>
      </c>
      <c r="H330" s="368">
        <v>5.9027777777777783E-2</v>
      </c>
      <c r="I330" s="369">
        <v>6.25E-2</v>
      </c>
      <c r="J330" s="368">
        <v>6.5972222222222224E-2</v>
      </c>
      <c r="K330" s="370">
        <v>8</v>
      </c>
      <c r="L330" s="370">
        <v>19</v>
      </c>
      <c r="M330" s="371">
        <v>9.76</v>
      </c>
      <c r="N330" s="671">
        <f t="shared" si="36"/>
        <v>4.66</v>
      </c>
      <c r="O330" s="671">
        <f>O329-K330/(PI()*(U323/2000)^2)</f>
        <v>0.8954583553144726</v>
      </c>
      <c r="P330" s="373">
        <v>5.0999999999999996</v>
      </c>
      <c r="Q330" s="673">
        <f t="shared" si="37"/>
        <v>4.204541644685527</v>
      </c>
      <c r="R330" s="377"/>
      <c r="S330" s="366" t="s">
        <v>190</v>
      </c>
      <c r="T330" s="376"/>
      <c r="U330" s="376"/>
      <c r="V330" s="366"/>
      <c r="W330" s="366"/>
    </row>
    <row r="331" spans="1:23">
      <c r="A331" s="1410"/>
      <c r="B331" s="1413"/>
      <c r="C331" s="845" t="s">
        <v>989</v>
      </c>
      <c r="D331" s="875" t="str">
        <f>B325&amp;C331</f>
        <v>A19g</v>
      </c>
      <c r="E331" s="367">
        <v>6</v>
      </c>
      <c r="F331" s="669" t="s">
        <v>1058</v>
      </c>
      <c r="G331" s="369">
        <v>6.0416666666666667E-2</v>
      </c>
      <c r="H331" s="368">
        <v>6.8749999999999992E-2</v>
      </c>
      <c r="I331" s="369">
        <v>7.2916666666666671E-2</v>
      </c>
      <c r="J331" s="368">
        <v>7.6388888888888895E-2</v>
      </c>
      <c r="K331" s="370">
        <v>5</v>
      </c>
      <c r="L331" s="370">
        <v>19.5</v>
      </c>
      <c r="M331" s="371">
        <v>6.63</v>
      </c>
      <c r="N331" s="671">
        <f t="shared" si="36"/>
        <v>5.23</v>
      </c>
      <c r="O331" s="671">
        <f>O330-K331/(PI()*(U323/2000)^2)</f>
        <v>-3.5255122861270642</v>
      </c>
      <c r="P331" s="373">
        <v>1.4</v>
      </c>
      <c r="Q331" s="673">
        <f t="shared" si="37"/>
        <v>4.9255122861270646</v>
      </c>
      <c r="R331" s="375"/>
      <c r="S331" s="366" t="s">
        <v>190</v>
      </c>
      <c r="T331" s="366"/>
      <c r="U331" s="366"/>
      <c r="V331" s="366"/>
      <c r="W331" s="366"/>
    </row>
    <row r="332" spans="1:23">
      <c r="A332" s="1410"/>
      <c r="B332" s="1413"/>
      <c r="C332" s="845" t="s">
        <v>990</v>
      </c>
      <c r="D332" s="875" t="str">
        <f>B325&amp;C332</f>
        <v>A19h</v>
      </c>
      <c r="E332" s="367">
        <v>7</v>
      </c>
      <c r="F332" s="669" t="s">
        <v>1050</v>
      </c>
      <c r="G332" s="368">
        <v>8.6805555555555566E-2</v>
      </c>
      <c r="H332" s="368">
        <v>9.7222222222222224E-2</v>
      </c>
      <c r="I332" s="368">
        <v>9.7222222222222224E-2</v>
      </c>
      <c r="J332" s="368">
        <v>0.10416666666666667</v>
      </c>
      <c r="K332" s="370">
        <v>3</v>
      </c>
      <c r="L332" s="370">
        <v>18.5</v>
      </c>
      <c r="M332" s="371">
        <v>6.63</v>
      </c>
      <c r="N332" s="671">
        <f t="shared" si="36"/>
        <v>6.63</v>
      </c>
      <c r="O332" s="671">
        <f>O331-K332/(PI()*(U323/2000)^2)</f>
        <v>-6.1780946709919871</v>
      </c>
      <c r="P332" s="373">
        <v>0</v>
      </c>
      <c r="Q332" s="673">
        <f t="shared" si="37"/>
        <v>6.1780946709919871</v>
      </c>
      <c r="R332" s="377"/>
      <c r="S332" s="366" t="s">
        <v>190</v>
      </c>
      <c r="T332" s="366"/>
      <c r="U332" s="366"/>
      <c r="V332" s="366"/>
      <c r="W332" s="366"/>
    </row>
    <row r="333" spans="1:23">
      <c r="A333" s="1410"/>
      <c r="B333" s="1413"/>
      <c r="C333" s="845" t="s">
        <v>991</v>
      </c>
      <c r="D333" s="875" t="str">
        <f>B325&amp;C333</f>
        <v>A19i</v>
      </c>
      <c r="E333" s="367">
        <v>8</v>
      </c>
      <c r="F333" s="669" t="s">
        <v>1058</v>
      </c>
      <c r="G333" s="368">
        <v>9.7222222222222224E-2</v>
      </c>
      <c r="H333" s="368">
        <v>0.1076388888888889</v>
      </c>
      <c r="I333" s="368">
        <v>0.1111111111111111</v>
      </c>
      <c r="J333" s="368">
        <v>0.11458333333333333</v>
      </c>
      <c r="K333" s="370">
        <v>2</v>
      </c>
      <c r="L333" s="370">
        <v>19</v>
      </c>
      <c r="M333" s="371">
        <v>6.63</v>
      </c>
      <c r="N333" s="671">
        <f t="shared" si="36"/>
        <v>6.63</v>
      </c>
      <c r="O333" s="671">
        <f>O332-K333/(PI()*(U323/2000)^2)</f>
        <v>-7.946482927568602</v>
      </c>
      <c r="P333" s="373">
        <v>0</v>
      </c>
      <c r="Q333" s="673">
        <f t="shared" si="37"/>
        <v>7.946482927568602</v>
      </c>
      <c r="R333" s="378"/>
      <c r="S333" s="366"/>
      <c r="T333" s="366"/>
      <c r="U333" s="366"/>
      <c r="V333" s="366"/>
      <c r="W333" s="366"/>
    </row>
    <row r="334" spans="1:23">
      <c r="A334" s="1410"/>
      <c r="B334" s="1413"/>
      <c r="C334" s="845" t="s">
        <v>992</v>
      </c>
      <c r="D334" s="875" t="str">
        <f>B325&amp;C334</f>
        <v>A19k</v>
      </c>
      <c r="E334" s="367">
        <v>9</v>
      </c>
      <c r="F334" s="370"/>
      <c r="G334" s="368"/>
      <c r="H334" s="368"/>
      <c r="I334" s="368"/>
      <c r="J334" s="368"/>
      <c r="K334" s="370"/>
      <c r="L334" s="370"/>
      <c r="M334" s="371"/>
      <c r="N334" s="372"/>
      <c r="O334" s="372"/>
      <c r="P334" s="373"/>
      <c r="Q334" s="374"/>
      <c r="R334" s="378"/>
      <c r="S334" s="379"/>
      <c r="T334" s="366"/>
      <c r="U334" s="366"/>
      <c r="V334" s="366"/>
      <c r="W334" s="366"/>
    </row>
    <row r="335" spans="1:23">
      <c r="A335" s="1410"/>
      <c r="B335" s="1413"/>
      <c r="C335" s="845" t="s">
        <v>993</v>
      </c>
      <c r="D335" s="875" t="str">
        <f>B325&amp;C335</f>
        <v>A19l</v>
      </c>
      <c r="E335" s="367">
        <v>10</v>
      </c>
      <c r="F335" s="370"/>
      <c r="G335" s="368"/>
      <c r="H335" s="368"/>
      <c r="I335" s="368"/>
      <c r="J335" s="368"/>
      <c r="K335" s="370"/>
      <c r="L335" s="370"/>
      <c r="M335" s="370"/>
      <c r="N335" s="372"/>
      <c r="O335" s="372"/>
      <c r="P335" s="373"/>
      <c r="Q335" s="374"/>
      <c r="R335" s="378"/>
      <c r="S335" s="379"/>
      <c r="T335" s="366"/>
      <c r="U335" s="366"/>
      <c r="V335" s="366"/>
      <c r="W335" s="366"/>
    </row>
    <row r="336" spans="1:23">
      <c r="A336" s="1410"/>
      <c r="B336" s="1413"/>
      <c r="C336" s="845" t="s">
        <v>994</v>
      </c>
      <c r="D336" s="875" t="str">
        <f>B325&amp;C336</f>
        <v>A19m</v>
      </c>
      <c r="E336" s="367">
        <v>11</v>
      </c>
      <c r="F336" s="370"/>
      <c r="G336" s="368"/>
      <c r="H336" s="368"/>
      <c r="I336" s="368"/>
      <c r="J336" s="368"/>
      <c r="K336" s="370"/>
      <c r="L336" s="370"/>
      <c r="M336" s="370"/>
      <c r="N336" s="372"/>
      <c r="O336" s="372"/>
      <c r="P336" s="380"/>
      <c r="Q336" s="374"/>
      <c r="R336" s="381"/>
      <c r="S336" s="379"/>
      <c r="T336" s="366"/>
      <c r="U336" s="366"/>
      <c r="V336" s="366"/>
      <c r="W336" s="366"/>
    </row>
    <row r="337" spans="1:23">
      <c r="A337" s="1410"/>
      <c r="B337" s="1413"/>
      <c r="C337" s="845" t="s">
        <v>995</v>
      </c>
      <c r="D337" s="875" t="str">
        <f>B325&amp;C337</f>
        <v>A19n</v>
      </c>
      <c r="E337" s="367">
        <v>12</v>
      </c>
      <c r="F337" s="370"/>
      <c r="G337" s="368"/>
      <c r="H337" s="368"/>
      <c r="I337" s="368"/>
      <c r="J337" s="368"/>
      <c r="K337" s="370"/>
      <c r="L337" s="370"/>
      <c r="M337" s="370"/>
      <c r="N337" s="372"/>
      <c r="O337" s="372"/>
      <c r="P337" s="380"/>
      <c r="Q337" s="374"/>
      <c r="R337" s="381"/>
      <c r="S337" s="361"/>
      <c r="T337" s="361"/>
      <c r="U337" s="361"/>
      <c r="V337" s="366"/>
      <c r="W337" s="366"/>
    </row>
    <row r="338" spans="1:23">
      <c r="A338" s="1410"/>
      <c r="B338" s="1413"/>
      <c r="C338" s="845" t="s">
        <v>471</v>
      </c>
      <c r="D338" s="875" t="str">
        <f>B325&amp;C338</f>
        <v>A19x</v>
      </c>
      <c r="E338" s="367">
        <v>13</v>
      </c>
      <c r="F338" s="370"/>
      <c r="G338" s="368"/>
      <c r="H338" s="368"/>
      <c r="I338" s="368"/>
      <c r="J338" s="368"/>
      <c r="K338" s="370"/>
      <c r="L338" s="370"/>
      <c r="M338" s="370"/>
      <c r="N338" s="382"/>
      <c r="O338" s="372"/>
      <c r="P338" s="380"/>
      <c r="Q338" s="381"/>
      <c r="R338" s="381"/>
      <c r="S338" s="361"/>
      <c r="T338" s="361"/>
      <c r="U338" s="361"/>
      <c r="V338" s="366"/>
      <c r="W338" s="366"/>
    </row>
    <row r="339" spans="1:23">
      <c r="A339" s="1410"/>
      <c r="B339" s="1413"/>
      <c r="C339" s="845" t="s">
        <v>732</v>
      </c>
      <c r="D339" s="875" t="str">
        <f>B325&amp;C339</f>
        <v>A19y</v>
      </c>
      <c r="E339" s="367">
        <v>14</v>
      </c>
      <c r="F339" s="370"/>
      <c r="G339" s="368"/>
      <c r="H339" s="368"/>
      <c r="I339" s="368"/>
      <c r="J339" s="368"/>
      <c r="K339" s="370"/>
      <c r="L339" s="370"/>
      <c r="M339" s="370"/>
      <c r="N339" s="382"/>
      <c r="O339" s="372"/>
      <c r="P339" s="380"/>
      <c r="Q339" s="381"/>
      <c r="R339" s="381"/>
      <c r="S339" s="361"/>
      <c r="T339" s="361"/>
      <c r="U339" s="362"/>
      <c r="V339" s="366"/>
      <c r="W339" s="366"/>
    </row>
    <row r="340" spans="1:23">
      <c r="A340" s="1411"/>
      <c r="B340" s="1414"/>
      <c r="C340" s="846" t="s">
        <v>996</v>
      </c>
      <c r="D340" s="876" t="str">
        <f>B325&amp;C340</f>
        <v>A19z</v>
      </c>
      <c r="E340" s="847">
        <v>15</v>
      </c>
      <c r="F340" s="370"/>
      <c r="G340" s="368"/>
      <c r="H340" s="368"/>
      <c r="I340" s="368"/>
      <c r="J340" s="368"/>
      <c r="K340" s="370"/>
      <c r="L340" s="370"/>
      <c r="M340" s="370"/>
      <c r="N340" s="850"/>
      <c r="O340" s="851"/>
      <c r="P340" s="851"/>
      <c r="Q340" s="852"/>
      <c r="R340" s="383"/>
      <c r="S340" s="361"/>
      <c r="T340" s="832"/>
      <c r="U340" s="830"/>
      <c r="V340" s="366"/>
      <c r="W340" s="366"/>
    </row>
    <row r="341" spans="1:23">
      <c r="A341" s="1400" t="s">
        <v>939</v>
      </c>
      <c r="B341" s="1400" t="s">
        <v>17</v>
      </c>
      <c r="C341" s="827"/>
      <c r="D341" s="871"/>
      <c r="E341" s="1400" t="s">
        <v>177</v>
      </c>
      <c r="F341" s="1400" t="s">
        <v>18</v>
      </c>
      <c r="G341" s="1389" t="s">
        <v>19</v>
      </c>
      <c r="H341" s="1390"/>
      <c r="I341" s="1389" t="s">
        <v>22</v>
      </c>
      <c r="J341" s="1390"/>
      <c r="K341" s="1393" t="s">
        <v>26</v>
      </c>
      <c r="L341" s="1390"/>
      <c r="M341" s="1389" t="s">
        <v>392</v>
      </c>
      <c r="N341" s="1390"/>
      <c r="O341" s="1389" t="s">
        <v>28</v>
      </c>
      <c r="P341" s="1393"/>
      <c r="Q341" s="1390"/>
      <c r="R341" s="1400" t="s">
        <v>36</v>
      </c>
      <c r="S341" s="361"/>
      <c r="T341" s="361">
        <f>MAX(J345:J359)-MIN(I345:I359)</f>
        <v>7.9861111111111105E-2</v>
      </c>
      <c r="U341" s="361"/>
      <c r="V341" s="853" t="str">
        <f t="shared" ref="V341" si="38">B345</f>
        <v>A126</v>
      </c>
      <c r="W341" s="361">
        <f t="shared" ref="W341" si="39">COUNTIF(K346:K360,"&gt;0")</f>
        <v>5</v>
      </c>
    </row>
    <row r="342" spans="1:23">
      <c r="A342" s="1401"/>
      <c r="B342" s="1401"/>
      <c r="C342" s="828"/>
      <c r="D342" s="872"/>
      <c r="E342" s="1401"/>
      <c r="F342" s="1401"/>
      <c r="G342" s="1391"/>
      <c r="H342" s="1392"/>
      <c r="I342" s="1391"/>
      <c r="J342" s="1392"/>
      <c r="K342" s="1394"/>
      <c r="L342" s="1392"/>
      <c r="M342" s="1391"/>
      <c r="N342" s="1392"/>
      <c r="O342" s="1391"/>
      <c r="P342" s="1394"/>
      <c r="Q342" s="1392"/>
      <c r="R342" s="1401"/>
      <c r="S342" s="361"/>
      <c r="T342" s="361"/>
      <c r="U342" s="361"/>
      <c r="V342" s="361"/>
      <c r="W342" s="361"/>
    </row>
    <row r="343" spans="1:23">
      <c r="A343" s="1401"/>
      <c r="B343" s="1401"/>
      <c r="C343" s="828"/>
      <c r="D343" s="872"/>
      <c r="E343" s="1401"/>
      <c r="F343" s="1401"/>
      <c r="G343" s="1400" t="s">
        <v>20</v>
      </c>
      <c r="H343" s="1400" t="s">
        <v>21</v>
      </c>
      <c r="I343" s="1400" t="s">
        <v>361</v>
      </c>
      <c r="J343" s="1400" t="s">
        <v>353</v>
      </c>
      <c r="K343" s="1400" t="s">
        <v>23</v>
      </c>
      <c r="L343" s="1400" t="s">
        <v>24</v>
      </c>
      <c r="M343" s="1400" t="s">
        <v>27</v>
      </c>
      <c r="N343" s="1400" t="s">
        <v>178</v>
      </c>
      <c r="O343" s="1400" t="s">
        <v>1</v>
      </c>
      <c r="P343" s="1400" t="s">
        <v>29</v>
      </c>
      <c r="Q343" s="1400" t="s">
        <v>33</v>
      </c>
      <c r="R343" s="1401"/>
      <c r="S343" s="361"/>
      <c r="T343" s="361" t="s">
        <v>39</v>
      </c>
      <c r="U343" s="362">
        <f>VLOOKUP(B345,'Thong tin'!$A:$M,13,0)</f>
        <v>1200</v>
      </c>
      <c r="V343" s="361"/>
      <c r="W343" s="361"/>
    </row>
    <row r="344" spans="1:23">
      <c r="A344" s="1402"/>
      <c r="B344" s="1402"/>
      <c r="C344" s="829"/>
      <c r="D344" s="873"/>
      <c r="E344" s="1402"/>
      <c r="F344" s="1402"/>
      <c r="G344" s="1402"/>
      <c r="H344" s="1402"/>
      <c r="I344" s="1402"/>
      <c r="J344" s="1402"/>
      <c r="K344" s="1402"/>
      <c r="L344" s="1402"/>
      <c r="M344" s="1402"/>
      <c r="N344" s="1402"/>
      <c r="O344" s="1402"/>
      <c r="P344" s="1402"/>
      <c r="Q344" s="1402"/>
      <c r="R344" s="1402"/>
      <c r="S344" s="361"/>
      <c r="T344" s="1399" t="s">
        <v>393</v>
      </c>
      <c r="U344" s="1397">
        <f>VLOOKUP(B345,DT.NK!$B:$AZ,45,0)</f>
        <v>23.6</v>
      </c>
      <c r="V344" s="361"/>
      <c r="W344" s="361"/>
    </row>
    <row r="345" spans="1:23">
      <c r="A345" s="1409">
        <f>A325+1</f>
        <v>18</v>
      </c>
      <c r="B345" s="1412" t="s">
        <v>662</v>
      </c>
      <c r="C345" s="844" t="s">
        <v>983</v>
      </c>
      <c r="D345" s="874" t="str">
        <f>B345&amp;C345</f>
        <v>A126a</v>
      </c>
      <c r="E345" s="363"/>
      <c r="F345" s="364"/>
      <c r="G345" s="364"/>
      <c r="H345" s="364"/>
      <c r="I345" s="364"/>
      <c r="J345" s="364"/>
      <c r="K345" s="364"/>
      <c r="L345" s="364"/>
      <c r="M345" s="674"/>
      <c r="N345" s="670"/>
      <c r="O345" s="670">
        <f>U344</f>
        <v>23.6</v>
      </c>
      <c r="P345" s="670">
        <f>O345</f>
        <v>23.6</v>
      </c>
      <c r="Q345" s="670">
        <v>0</v>
      </c>
      <c r="R345" s="365"/>
      <c r="S345" s="366"/>
      <c r="T345" s="1399"/>
      <c r="U345" s="1398"/>
      <c r="V345" s="361"/>
      <c r="W345" s="361"/>
    </row>
    <row r="346" spans="1:23">
      <c r="A346" s="1410"/>
      <c r="B346" s="1413"/>
      <c r="C346" s="845" t="s">
        <v>984</v>
      </c>
      <c r="D346" s="875" t="str">
        <f>B345&amp;C346</f>
        <v>A126b</v>
      </c>
      <c r="E346" s="367">
        <v>1</v>
      </c>
      <c r="F346" s="669" t="s">
        <v>1054</v>
      </c>
      <c r="G346" s="369">
        <v>9.375E-2</v>
      </c>
      <c r="H346" s="368">
        <v>0.12152777777777778</v>
      </c>
      <c r="I346" s="369">
        <v>0.12847222222222224</v>
      </c>
      <c r="J346" s="368">
        <v>0.13194444444444445</v>
      </c>
      <c r="K346" s="669">
        <v>7</v>
      </c>
      <c r="L346" s="669">
        <v>19</v>
      </c>
      <c r="M346" s="675">
        <v>21.4</v>
      </c>
      <c r="N346" s="671">
        <f>IF(M346-P346&gt;0,M346-P346,0)</f>
        <v>3.5999999999999979</v>
      </c>
      <c r="O346" s="671">
        <f>O345-K346/(PI()*(U343/2000)^2)</f>
        <v>17.410641101981849</v>
      </c>
      <c r="P346" s="672">
        <v>17.8</v>
      </c>
      <c r="Q346" s="673">
        <f>ABS(O346-P346)</f>
        <v>0.38935889801815193</v>
      </c>
      <c r="R346" s="375" t="s">
        <v>188</v>
      </c>
      <c r="S346" s="366"/>
      <c r="T346" s="376"/>
      <c r="U346" s="376"/>
      <c r="V346" s="366"/>
      <c r="W346" s="366"/>
    </row>
    <row r="347" spans="1:23">
      <c r="A347" s="1410"/>
      <c r="B347" s="1413"/>
      <c r="C347" s="845" t="s">
        <v>985</v>
      </c>
      <c r="D347" s="875" t="str">
        <f>B345&amp;C347</f>
        <v>A126c</v>
      </c>
      <c r="E347" s="367">
        <v>2</v>
      </c>
      <c r="F347" s="669" t="s">
        <v>1059</v>
      </c>
      <c r="G347" s="369">
        <v>8.3333333333333329E-2</v>
      </c>
      <c r="H347" s="368">
        <v>0.1111111111111111</v>
      </c>
      <c r="I347" s="369">
        <v>0.1423611111111111</v>
      </c>
      <c r="J347" s="368">
        <v>0.1423611111111111</v>
      </c>
      <c r="K347" s="669">
        <v>7</v>
      </c>
      <c r="L347" s="669">
        <v>20</v>
      </c>
      <c r="M347" s="675">
        <v>15.4</v>
      </c>
      <c r="N347" s="671">
        <f>IF(M347-P347&gt;0,M347-P347,0)</f>
        <v>3.4000000000000004</v>
      </c>
      <c r="O347" s="671">
        <f>O346-K347/(PI()*(U343/2000)^2)</f>
        <v>11.221282203963696</v>
      </c>
      <c r="P347" s="672">
        <v>12</v>
      </c>
      <c r="Q347" s="673">
        <f>ABS(O347-P347)</f>
        <v>0.77871779603630387</v>
      </c>
      <c r="R347" s="375" t="s">
        <v>188</v>
      </c>
      <c r="S347" s="366"/>
      <c r="T347" s="376"/>
      <c r="U347" s="376"/>
      <c r="V347" s="366"/>
      <c r="W347" s="366"/>
    </row>
    <row r="348" spans="1:23">
      <c r="A348" s="1410"/>
      <c r="B348" s="1413"/>
      <c r="C348" s="845" t="s">
        <v>986</v>
      </c>
      <c r="D348" s="875" t="str">
        <f>B345&amp;C348</f>
        <v>A126d</v>
      </c>
      <c r="E348" s="367">
        <v>3</v>
      </c>
      <c r="F348" s="669" t="s">
        <v>1055</v>
      </c>
      <c r="G348" s="369">
        <v>0.10069444444444443</v>
      </c>
      <c r="H348" s="368">
        <v>0.13194444444444445</v>
      </c>
      <c r="I348" s="369">
        <v>0.15625</v>
      </c>
      <c r="J348" s="368">
        <v>0.15625</v>
      </c>
      <c r="K348" s="669">
        <v>7</v>
      </c>
      <c r="L348" s="669">
        <v>19</v>
      </c>
      <c r="M348" s="675">
        <v>9.1</v>
      </c>
      <c r="N348" s="671">
        <f>IF(M348-P348&gt;0,M348-P348,0)</f>
        <v>2.5999999999999996</v>
      </c>
      <c r="O348" s="671">
        <f>O347-K348/(PI()*(U343/2000)^2)</f>
        <v>5.0319233059455444</v>
      </c>
      <c r="P348" s="672">
        <v>6.5</v>
      </c>
      <c r="Q348" s="673">
        <f>ABS(O348-P348)</f>
        <v>1.4680766940544556</v>
      </c>
      <c r="R348" s="375"/>
      <c r="S348" s="366"/>
      <c r="T348" s="376"/>
      <c r="U348" s="376"/>
      <c r="V348" s="366"/>
      <c r="W348" s="366"/>
    </row>
    <row r="349" spans="1:23">
      <c r="A349" s="1410"/>
      <c r="B349" s="1413"/>
      <c r="C349" s="845" t="s">
        <v>987</v>
      </c>
      <c r="D349" s="875" t="str">
        <f>B345&amp;C349</f>
        <v>A126e</v>
      </c>
      <c r="E349" s="367">
        <v>4</v>
      </c>
      <c r="F349" s="669" t="s">
        <v>1060</v>
      </c>
      <c r="G349" s="369">
        <v>0.12152777777777778</v>
      </c>
      <c r="H349" s="368">
        <v>0.15277777777777776</v>
      </c>
      <c r="I349" s="369">
        <v>0.16666666666666666</v>
      </c>
      <c r="J349" s="368">
        <v>0.16666666666666666</v>
      </c>
      <c r="K349" s="370">
        <v>7</v>
      </c>
      <c r="L349" s="370">
        <v>19</v>
      </c>
      <c r="M349" s="371">
        <v>9.1</v>
      </c>
      <c r="N349" s="671">
        <f>IF(M349-P349&gt;0,M349-P349,0)</f>
        <v>8.2999999999999989</v>
      </c>
      <c r="O349" s="671">
        <f>O348-K349/(PI()*(U343/2000)^2)</f>
        <v>-1.1574355920726074</v>
      </c>
      <c r="P349" s="373">
        <v>0.8</v>
      </c>
      <c r="Q349" s="673">
        <f>ABS(O349-P349)</f>
        <v>1.9574355920726074</v>
      </c>
      <c r="R349" s="375" t="s">
        <v>188</v>
      </c>
      <c r="S349" s="366"/>
      <c r="T349" s="376"/>
      <c r="U349" s="376"/>
      <c r="V349" s="366"/>
      <c r="W349" s="366"/>
    </row>
    <row r="350" spans="1:23">
      <c r="A350" s="1410"/>
      <c r="B350" s="1413"/>
      <c r="C350" s="845" t="s">
        <v>988</v>
      </c>
      <c r="D350" s="875" t="str">
        <f>B345&amp;C350</f>
        <v>A126f</v>
      </c>
      <c r="E350" s="367">
        <v>5</v>
      </c>
      <c r="F350" s="669" t="s">
        <v>1061</v>
      </c>
      <c r="G350" s="369">
        <v>0.17152777777777775</v>
      </c>
      <c r="H350" s="368">
        <v>0.15972222222222224</v>
      </c>
      <c r="I350" s="369">
        <v>0.20833333333333334</v>
      </c>
      <c r="J350" s="368">
        <v>0.20833333333333334</v>
      </c>
      <c r="K350" s="370">
        <v>2</v>
      </c>
      <c r="L350" s="370">
        <v>19</v>
      </c>
      <c r="M350" s="371">
        <v>9.1</v>
      </c>
      <c r="N350" s="671">
        <f>IF(M350-P350&gt;0,M350-P350,0)</f>
        <v>8.2999999999999989</v>
      </c>
      <c r="O350" s="671">
        <f>O349-K350/(PI()*(U343/2000)^2)</f>
        <v>-2.9258238486492223</v>
      </c>
      <c r="P350" s="373">
        <v>0.8</v>
      </c>
      <c r="Q350" s="673">
        <f>ABS(O350-P350)</f>
        <v>3.7258238486492221</v>
      </c>
      <c r="R350" s="377"/>
      <c r="S350" s="366" t="s">
        <v>190</v>
      </c>
      <c r="T350" s="376"/>
      <c r="U350" s="376"/>
      <c r="V350" s="366"/>
      <c r="W350" s="366"/>
    </row>
    <row r="351" spans="1:23">
      <c r="A351" s="1410"/>
      <c r="B351" s="1413"/>
      <c r="C351" s="845" t="s">
        <v>989</v>
      </c>
      <c r="D351" s="875" t="str">
        <f>B345&amp;C351</f>
        <v>A126g</v>
      </c>
      <c r="E351" s="367">
        <v>6</v>
      </c>
      <c r="F351" s="669"/>
      <c r="G351" s="369"/>
      <c r="H351" s="368"/>
      <c r="I351" s="369"/>
      <c r="J351" s="368"/>
      <c r="K351" s="370"/>
      <c r="L351" s="370"/>
      <c r="M351" s="371"/>
      <c r="N351" s="671"/>
      <c r="O351" s="671"/>
      <c r="P351" s="373"/>
      <c r="Q351" s="673"/>
      <c r="R351" s="375"/>
      <c r="S351" s="366" t="s">
        <v>190</v>
      </c>
      <c r="T351" s="366"/>
      <c r="U351" s="366"/>
      <c r="V351" s="366"/>
      <c r="W351" s="366"/>
    </row>
    <row r="352" spans="1:23">
      <c r="A352" s="1410"/>
      <c r="B352" s="1413"/>
      <c r="C352" s="845" t="s">
        <v>990</v>
      </c>
      <c r="D352" s="875" t="str">
        <f>B345&amp;C352</f>
        <v>A126h</v>
      </c>
      <c r="E352" s="367">
        <v>7</v>
      </c>
      <c r="F352" s="669"/>
      <c r="G352" s="368"/>
      <c r="H352" s="368"/>
      <c r="I352" s="368"/>
      <c r="J352" s="368"/>
      <c r="K352" s="370"/>
      <c r="L352" s="370"/>
      <c r="M352" s="371"/>
      <c r="N352" s="671"/>
      <c r="O352" s="671"/>
      <c r="P352" s="373"/>
      <c r="Q352" s="673"/>
      <c r="R352" s="377"/>
      <c r="S352" s="366" t="s">
        <v>190</v>
      </c>
      <c r="T352" s="366"/>
      <c r="U352" s="366"/>
      <c r="V352" s="366"/>
      <c r="W352" s="366"/>
    </row>
    <row r="353" spans="1:23">
      <c r="A353" s="1410"/>
      <c r="B353" s="1413"/>
      <c r="C353" s="845" t="s">
        <v>991</v>
      </c>
      <c r="D353" s="875" t="str">
        <f>B345&amp;C353</f>
        <v>A126i</v>
      </c>
      <c r="E353" s="367">
        <v>8</v>
      </c>
      <c r="F353" s="669"/>
      <c r="G353" s="368"/>
      <c r="H353" s="368"/>
      <c r="I353" s="368"/>
      <c r="J353" s="368"/>
      <c r="K353" s="370"/>
      <c r="L353" s="370"/>
      <c r="M353" s="371"/>
      <c r="N353" s="671"/>
      <c r="O353" s="671"/>
      <c r="P353" s="373"/>
      <c r="Q353" s="673"/>
      <c r="R353" s="378"/>
      <c r="S353" s="366"/>
      <c r="T353" s="366"/>
      <c r="U353" s="366"/>
      <c r="V353" s="366"/>
      <c r="W353" s="366"/>
    </row>
    <row r="354" spans="1:23">
      <c r="A354" s="1410"/>
      <c r="B354" s="1413"/>
      <c r="C354" s="845" t="s">
        <v>992</v>
      </c>
      <c r="D354" s="875" t="str">
        <f>B345&amp;C354</f>
        <v>A126k</v>
      </c>
      <c r="E354" s="367">
        <v>9</v>
      </c>
      <c r="F354" s="370"/>
      <c r="G354" s="368"/>
      <c r="H354" s="368"/>
      <c r="I354" s="368"/>
      <c r="J354" s="368"/>
      <c r="K354" s="370"/>
      <c r="L354" s="370"/>
      <c r="M354" s="371"/>
      <c r="N354" s="372"/>
      <c r="O354" s="372"/>
      <c r="P354" s="373"/>
      <c r="Q354" s="374"/>
      <c r="R354" s="378"/>
      <c r="S354" s="379"/>
      <c r="T354" s="366"/>
      <c r="U354" s="366"/>
      <c r="V354" s="366"/>
      <c r="W354" s="366"/>
    </row>
    <row r="355" spans="1:23">
      <c r="A355" s="1410"/>
      <c r="B355" s="1413"/>
      <c r="C355" s="845" t="s">
        <v>993</v>
      </c>
      <c r="D355" s="875" t="str">
        <f>B345&amp;C355</f>
        <v>A126l</v>
      </c>
      <c r="E355" s="367">
        <v>10</v>
      </c>
      <c r="F355" s="370"/>
      <c r="G355" s="368"/>
      <c r="H355" s="368"/>
      <c r="I355" s="368"/>
      <c r="J355" s="368"/>
      <c r="K355" s="370"/>
      <c r="L355" s="370"/>
      <c r="M355" s="370"/>
      <c r="N355" s="372"/>
      <c r="O355" s="372"/>
      <c r="P355" s="373"/>
      <c r="Q355" s="374"/>
      <c r="R355" s="378"/>
      <c r="S355" s="379"/>
      <c r="T355" s="366"/>
      <c r="U355" s="366"/>
      <c r="V355" s="366"/>
      <c r="W355" s="366"/>
    </row>
    <row r="356" spans="1:23">
      <c r="A356" s="1410"/>
      <c r="B356" s="1413"/>
      <c r="C356" s="845" t="s">
        <v>994</v>
      </c>
      <c r="D356" s="875" t="str">
        <f>B345&amp;C356</f>
        <v>A126m</v>
      </c>
      <c r="E356" s="367">
        <v>11</v>
      </c>
      <c r="F356" s="370"/>
      <c r="G356" s="368"/>
      <c r="H356" s="368"/>
      <c r="I356" s="368"/>
      <c r="J356" s="368"/>
      <c r="K356" s="370"/>
      <c r="L356" s="370"/>
      <c r="M356" s="370"/>
      <c r="N356" s="372"/>
      <c r="O356" s="372"/>
      <c r="P356" s="380"/>
      <c r="Q356" s="374"/>
      <c r="R356" s="381"/>
      <c r="S356" s="379"/>
      <c r="T356" s="366"/>
      <c r="U356" s="366"/>
      <c r="V356" s="366"/>
      <c r="W356" s="366"/>
    </row>
    <row r="357" spans="1:23">
      <c r="A357" s="1410"/>
      <c r="B357" s="1413"/>
      <c r="C357" s="845" t="s">
        <v>995</v>
      </c>
      <c r="D357" s="875" t="str">
        <f>B345&amp;C357</f>
        <v>A126n</v>
      </c>
      <c r="E357" s="367">
        <v>12</v>
      </c>
      <c r="F357" s="370"/>
      <c r="G357" s="368"/>
      <c r="H357" s="368"/>
      <c r="I357" s="368"/>
      <c r="J357" s="368"/>
      <c r="K357" s="370"/>
      <c r="L357" s="370"/>
      <c r="M357" s="370"/>
      <c r="N357" s="372"/>
      <c r="O357" s="372"/>
      <c r="P357" s="380"/>
      <c r="Q357" s="374"/>
      <c r="R357" s="381"/>
      <c r="S357" s="361"/>
      <c r="T357" s="361"/>
      <c r="U357" s="361"/>
      <c r="V357" s="366"/>
      <c r="W357" s="366"/>
    </row>
    <row r="358" spans="1:23">
      <c r="A358" s="1410"/>
      <c r="B358" s="1413"/>
      <c r="C358" s="845" t="s">
        <v>471</v>
      </c>
      <c r="D358" s="875" t="str">
        <f>B345&amp;C358</f>
        <v>A126x</v>
      </c>
      <c r="E358" s="367">
        <v>13</v>
      </c>
      <c r="F358" s="370"/>
      <c r="G358" s="368"/>
      <c r="H358" s="368"/>
      <c r="I358" s="368"/>
      <c r="J358" s="368"/>
      <c r="K358" s="370"/>
      <c r="L358" s="370"/>
      <c r="M358" s="370"/>
      <c r="N358" s="382"/>
      <c r="O358" s="372"/>
      <c r="P358" s="380"/>
      <c r="Q358" s="381"/>
      <c r="R358" s="381"/>
      <c r="S358" s="361"/>
      <c r="T358" s="361"/>
      <c r="U358" s="361"/>
      <c r="V358" s="366"/>
      <c r="W358" s="366"/>
    </row>
    <row r="359" spans="1:23">
      <c r="A359" s="1410"/>
      <c r="B359" s="1413"/>
      <c r="C359" s="845" t="s">
        <v>732</v>
      </c>
      <c r="D359" s="875" t="str">
        <f>B345&amp;C359</f>
        <v>A126y</v>
      </c>
      <c r="E359" s="367">
        <v>14</v>
      </c>
      <c r="F359" s="370"/>
      <c r="G359" s="368"/>
      <c r="H359" s="368"/>
      <c r="I359" s="368"/>
      <c r="J359" s="368"/>
      <c r="K359" s="370"/>
      <c r="L359" s="370"/>
      <c r="M359" s="370"/>
      <c r="N359" s="382"/>
      <c r="O359" s="372"/>
      <c r="P359" s="380"/>
      <c r="Q359" s="381"/>
      <c r="R359" s="381"/>
      <c r="S359" s="361"/>
      <c r="T359" s="361"/>
      <c r="U359" s="362"/>
      <c r="V359" s="366"/>
      <c r="W359" s="366"/>
    </row>
    <row r="360" spans="1:23">
      <c r="A360" s="1411"/>
      <c r="B360" s="1414"/>
      <c r="C360" s="846" t="s">
        <v>996</v>
      </c>
      <c r="D360" s="876" t="str">
        <f>B345&amp;C360</f>
        <v>A126z</v>
      </c>
      <c r="E360" s="847">
        <v>15</v>
      </c>
      <c r="F360" s="370"/>
      <c r="G360" s="368"/>
      <c r="H360" s="368"/>
      <c r="I360" s="368"/>
      <c r="J360" s="368"/>
      <c r="K360" s="370"/>
      <c r="L360" s="370"/>
      <c r="M360" s="370"/>
      <c r="N360" s="850"/>
      <c r="O360" s="851"/>
      <c r="P360" s="851"/>
      <c r="Q360" s="852"/>
      <c r="R360" s="383"/>
      <c r="S360" s="361"/>
      <c r="T360" s="832"/>
      <c r="U360" s="830"/>
      <c r="V360" s="366"/>
      <c r="W360" s="366"/>
    </row>
    <row r="361" spans="1:23">
      <c r="A361" s="1400" t="s">
        <v>939</v>
      </c>
      <c r="B361" s="1400" t="s">
        <v>17</v>
      </c>
      <c r="C361" s="827"/>
      <c r="D361" s="871"/>
      <c r="E361" s="1400" t="s">
        <v>177</v>
      </c>
      <c r="F361" s="1400" t="s">
        <v>18</v>
      </c>
      <c r="G361" s="1389" t="s">
        <v>19</v>
      </c>
      <c r="H361" s="1390"/>
      <c r="I361" s="1389" t="s">
        <v>22</v>
      </c>
      <c r="J361" s="1390"/>
      <c r="K361" s="1393" t="s">
        <v>26</v>
      </c>
      <c r="L361" s="1390"/>
      <c r="M361" s="1389" t="s">
        <v>392</v>
      </c>
      <c r="N361" s="1390"/>
      <c r="O361" s="1389" t="s">
        <v>28</v>
      </c>
      <c r="P361" s="1393"/>
      <c r="Q361" s="1390"/>
      <c r="R361" s="1400" t="s">
        <v>36</v>
      </c>
      <c r="S361" s="361"/>
      <c r="T361" s="361">
        <f>MAX(J365:J379)-MIN(I365:I379)</f>
        <v>0.125</v>
      </c>
      <c r="U361" s="361"/>
      <c r="V361" s="853" t="str">
        <f t="shared" ref="V361" si="40">B365</f>
        <v>A151</v>
      </c>
      <c r="W361" s="361">
        <f t="shared" ref="W361" si="41">COUNTIF(K366:K380,"&gt;0")</f>
        <v>5</v>
      </c>
    </row>
    <row r="362" spans="1:23">
      <c r="A362" s="1401"/>
      <c r="B362" s="1401"/>
      <c r="C362" s="828"/>
      <c r="D362" s="872"/>
      <c r="E362" s="1401"/>
      <c r="F362" s="1401"/>
      <c r="G362" s="1391"/>
      <c r="H362" s="1392"/>
      <c r="I362" s="1391"/>
      <c r="J362" s="1392"/>
      <c r="K362" s="1394"/>
      <c r="L362" s="1392"/>
      <c r="M362" s="1391"/>
      <c r="N362" s="1392"/>
      <c r="O362" s="1391"/>
      <c r="P362" s="1394"/>
      <c r="Q362" s="1392"/>
      <c r="R362" s="1401"/>
      <c r="S362" s="361"/>
      <c r="T362" s="361"/>
      <c r="U362" s="361"/>
      <c r="V362" s="361"/>
      <c r="W362" s="361"/>
    </row>
    <row r="363" spans="1:23">
      <c r="A363" s="1401"/>
      <c r="B363" s="1401"/>
      <c r="C363" s="828"/>
      <c r="D363" s="872"/>
      <c r="E363" s="1401"/>
      <c r="F363" s="1401"/>
      <c r="G363" s="1400" t="s">
        <v>20</v>
      </c>
      <c r="H363" s="1400" t="s">
        <v>21</v>
      </c>
      <c r="I363" s="1400" t="s">
        <v>361</v>
      </c>
      <c r="J363" s="1400" t="s">
        <v>353</v>
      </c>
      <c r="K363" s="1400" t="s">
        <v>23</v>
      </c>
      <c r="L363" s="1400" t="s">
        <v>24</v>
      </c>
      <c r="M363" s="1400" t="s">
        <v>27</v>
      </c>
      <c r="N363" s="1400" t="s">
        <v>178</v>
      </c>
      <c r="O363" s="1400" t="s">
        <v>1</v>
      </c>
      <c r="P363" s="1400" t="s">
        <v>29</v>
      </c>
      <c r="Q363" s="1400" t="s">
        <v>33</v>
      </c>
      <c r="R363" s="1401"/>
      <c r="S363" s="361"/>
      <c r="T363" s="361" t="s">
        <v>39</v>
      </c>
      <c r="U363" s="362">
        <f>VLOOKUP(B365,'Thong tin'!$A:$M,13,0)</f>
        <v>1200</v>
      </c>
      <c r="V363" s="361"/>
      <c r="W363" s="361"/>
    </row>
    <row r="364" spans="1:23">
      <c r="A364" s="1402"/>
      <c r="B364" s="1402"/>
      <c r="C364" s="829"/>
      <c r="D364" s="873"/>
      <c r="E364" s="1402"/>
      <c r="F364" s="1402"/>
      <c r="G364" s="1402"/>
      <c r="H364" s="1402"/>
      <c r="I364" s="1402"/>
      <c r="J364" s="1402"/>
      <c r="K364" s="1402"/>
      <c r="L364" s="1402"/>
      <c r="M364" s="1402"/>
      <c r="N364" s="1402"/>
      <c r="O364" s="1402"/>
      <c r="P364" s="1402"/>
      <c r="Q364" s="1402"/>
      <c r="R364" s="1402"/>
      <c r="S364" s="361"/>
      <c r="T364" s="1399" t="s">
        <v>393</v>
      </c>
      <c r="U364" s="1397">
        <f>VLOOKUP(B365,DT.NK!$B:$AZ,45,0)</f>
        <v>32.200000000000003</v>
      </c>
      <c r="V364" s="361"/>
      <c r="W364" s="361"/>
    </row>
    <row r="365" spans="1:23">
      <c r="A365" s="1409">
        <f>A345+1</f>
        <v>19</v>
      </c>
      <c r="B365" s="1412" t="s">
        <v>566</v>
      </c>
      <c r="C365" s="844" t="s">
        <v>983</v>
      </c>
      <c r="D365" s="874" t="str">
        <f>B365&amp;C365</f>
        <v>A151a</v>
      </c>
      <c r="E365" s="363"/>
      <c r="F365" s="364"/>
      <c r="G365" s="364"/>
      <c r="H365" s="364"/>
      <c r="I365" s="364"/>
      <c r="J365" s="364"/>
      <c r="K365" s="364"/>
      <c r="L365" s="364"/>
      <c r="M365" s="674"/>
      <c r="N365" s="670"/>
      <c r="O365" s="670">
        <f>U364</f>
        <v>32.200000000000003</v>
      </c>
      <c r="P365" s="670">
        <f>O365</f>
        <v>32.200000000000003</v>
      </c>
      <c r="Q365" s="670">
        <v>0</v>
      </c>
      <c r="R365" s="365"/>
      <c r="S365" s="366"/>
      <c r="T365" s="1399"/>
      <c r="U365" s="1398"/>
      <c r="V365" s="361"/>
      <c r="W365" s="361"/>
    </row>
    <row r="366" spans="1:23">
      <c r="A366" s="1410"/>
      <c r="B366" s="1413"/>
      <c r="C366" s="845" t="s">
        <v>984</v>
      </c>
      <c r="D366" s="875" t="str">
        <f>B365&amp;C366</f>
        <v>A151b</v>
      </c>
      <c r="E366" s="367">
        <v>1</v>
      </c>
      <c r="F366" s="669" t="s">
        <v>1050</v>
      </c>
      <c r="G366" s="369">
        <v>0.74097222222222225</v>
      </c>
      <c r="H366" s="368">
        <v>0.76041666666666663</v>
      </c>
      <c r="I366" s="369">
        <v>0.79513888888888884</v>
      </c>
      <c r="J366" s="368">
        <v>0.80208333333333337</v>
      </c>
      <c r="K366" s="669">
        <v>7</v>
      </c>
      <c r="L366" s="669">
        <v>18</v>
      </c>
      <c r="M366" s="675">
        <v>31.2</v>
      </c>
      <c r="N366" s="671">
        <f>IF(M366-P366&gt;0,M366-P366,0)</f>
        <v>4.3999999999999986</v>
      </c>
      <c r="O366" s="671">
        <f>O365-K366/(PI()*(U363/2000)^2)</f>
        <v>26.01064110198185</v>
      </c>
      <c r="P366" s="672">
        <v>26.8</v>
      </c>
      <c r="Q366" s="673">
        <f>ABS(O366-P366)</f>
        <v>0.78935889801815051</v>
      </c>
      <c r="R366" s="375" t="s">
        <v>188</v>
      </c>
      <c r="S366" s="366"/>
      <c r="T366" s="376"/>
      <c r="U366" s="376"/>
      <c r="V366" s="366"/>
      <c r="W366" s="366"/>
    </row>
    <row r="367" spans="1:23">
      <c r="A367" s="1410"/>
      <c r="B367" s="1413"/>
      <c r="C367" s="845" t="s">
        <v>985</v>
      </c>
      <c r="D367" s="875" t="str">
        <f>B365&amp;C367</f>
        <v>A151c</v>
      </c>
      <c r="E367" s="367">
        <v>2</v>
      </c>
      <c r="F367" s="669" t="s">
        <v>1051</v>
      </c>
      <c r="G367" s="369">
        <v>0.76527777777777783</v>
      </c>
      <c r="H367" s="368">
        <v>0.78472222222222221</v>
      </c>
      <c r="I367" s="369">
        <v>0.80902777777777779</v>
      </c>
      <c r="J367" s="368">
        <v>0.8125</v>
      </c>
      <c r="K367" s="669">
        <v>7</v>
      </c>
      <c r="L367" s="669">
        <v>19</v>
      </c>
      <c r="M367" s="675">
        <v>24.9</v>
      </c>
      <c r="N367" s="671">
        <f>IF(M367-P367&gt;0,M367-P367,0)</f>
        <v>4</v>
      </c>
      <c r="O367" s="671">
        <f>O366-K367/(PI()*(U363/2000)^2)</f>
        <v>19.821282203963698</v>
      </c>
      <c r="P367" s="672">
        <v>20.9</v>
      </c>
      <c r="Q367" s="673">
        <f>ABS(O367-P367)</f>
        <v>1.078717796036301</v>
      </c>
      <c r="R367" s="375"/>
      <c r="S367" s="366"/>
      <c r="T367" s="376"/>
      <c r="U367" s="376"/>
      <c r="V367" s="366"/>
      <c r="W367" s="366"/>
    </row>
    <row r="368" spans="1:23">
      <c r="A368" s="1410"/>
      <c r="B368" s="1413"/>
      <c r="C368" s="845" t="s">
        <v>986</v>
      </c>
      <c r="D368" s="875" t="str">
        <f>B365&amp;C368</f>
        <v>A151d</v>
      </c>
      <c r="E368" s="367">
        <v>3</v>
      </c>
      <c r="F368" s="669" t="s">
        <v>1058</v>
      </c>
      <c r="G368" s="369">
        <v>0.79652777777777783</v>
      </c>
      <c r="H368" s="368">
        <v>0.82986111111111116</v>
      </c>
      <c r="I368" s="369">
        <v>0.83680555555555547</v>
      </c>
      <c r="J368" s="368">
        <v>0.84027777777777779</v>
      </c>
      <c r="K368" s="669">
        <v>7</v>
      </c>
      <c r="L368" s="669">
        <v>18</v>
      </c>
      <c r="M368" s="675">
        <v>18.600000000000001</v>
      </c>
      <c r="N368" s="671">
        <f>IF(M368-P368&gt;0,M368-P368,0)</f>
        <v>3.9000000000000021</v>
      </c>
      <c r="O368" s="671">
        <f>O367-K368/(PI()*(U363/2000)^2)</f>
        <v>13.631923305945545</v>
      </c>
      <c r="P368" s="672">
        <v>14.7</v>
      </c>
      <c r="Q368" s="673">
        <f>ABS(O368-P368)</f>
        <v>1.0680766940544544</v>
      </c>
      <c r="R368" s="375" t="s">
        <v>188</v>
      </c>
      <c r="S368" s="366"/>
      <c r="T368" s="376"/>
      <c r="U368" s="376"/>
      <c r="V368" s="366"/>
      <c r="W368" s="366"/>
    </row>
    <row r="369" spans="1:23">
      <c r="A369" s="1410"/>
      <c r="B369" s="1413"/>
      <c r="C369" s="845" t="s">
        <v>987</v>
      </c>
      <c r="D369" s="875" t="str">
        <f>B365&amp;C369</f>
        <v>A151e</v>
      </c>
      <c r="E369" s="367">
        <v>4</v>
      </c>
      <c r="F369" s="669" t="s">
        <v>1050</v>
      </c>
      <c r="G369" s="369">
        <v>0.84861111111111109</v>
      </c>
      <c r="H369" s="368">
        <v>0.875</v>
      </c>
      <c r="I369" s="369">
        <v>0.88194444444444453</v>
      </c>
      <c r="J369" s="368">
        <v>0.88541666666666663</v>
      </c>
      <c r="K369" s="370">
        <v>8</v>
      </c>
      <c r="L369" s="370">
        <v>18</v>
      </c>
      <c r="M369" s="371">
        <v>12.3</v>
      </c>
      <c r="N369" s="671">
        <f>IF(M369-P369&gt;0,M369-P369,0)</f>
        <v>3.7000000000000011</v>
      </c>
      <c r="O369" s="671">
        <f>O368-K369/(PI()*(U363/2000)^2)</f>
        <v>6.5583702796390853</v>
      </c>
      <c r="P369" s="373">
        <v>8.6</v>
      </c>
      <c r="Q369" s="673">
        <f>ABS(O369-P369)</f>
        <v>2.0416297203609144</v>
      </c>
      <c r="R369" s="375"/>
      <c r="S369" s="366"/>
      <c r="T369" s="376"/>
      <c r="U369" s="376"/>
      <c r="V369" s="366"/>
      <c r="W369" s="366"/>
    </row>
    <row r="370" spans="1:23">
      <c r="A370" s="1410"/>
      <c r="B370" s="1413"/>
      <c r="C370" s="845" t="s">
        <v>988</v>
      </c>
      <c r="D370" s="875" t="str">
        <f>B365&amp;C370</f>
        <v>A151f</v>
      </c>
      <c r="E370" s="367">
        <v>5</v>
      </c>
      <c r="F370" s="669" t="s">
        <v>1058</v>
      </c>
      <c r="G370" s="369">
        <v>0.90069444444444446</v>
      </c>
      <c r="H370" s="368">
        <v>0.91319444444444453</v>
      </c>
      <c r="I370" s="369">
        <v>0.91666666666666663</v>
      </c>
      <c r="J370" s="368">
        <v>0.92013888888888884</v>
      </c>
      <c r="K370" s="370">
        <v>4</v>
      </c>
      <c r="L370" s="370">
        <v>19</v>
      </c>
      <c r="M370" s="371">
        <v>12.3</v>
      </c>
      <c r="N370" s="671">
        <f>IF(M370-P370&gt;0,M370-P370,0)</f>
        <v>5.8000000000000007</v>
      </c>
      <c r="O370" s="671">
        <f>O369-K370/(PI()*(U363/2000)^2)</f>
        <v>3.0215937664858554</v>
      </c>
      <c r="P370" s="373">
        <v>6.5</v>
      </c>
      <c r="Q370" s="673">
        <f>ABS(O370-P370)</f>
        <v>3.4784062335141446</v>
      </c>
      <c r="R370" s="377" t="s">
        <v>188</v>
      </c>
      <c r="S370" s="366" t="s">
        <v>190</v>
      </c>
      <c r="T370" s="376"/>
      <c r="U370" s="376"/>
      <c r="V370" s="366"/>
      <c r="W370" s="366"/>
    </row>
    <row r="371" spans="1:23">
      <c r="A371" s="1410"/>
      <c r="B371" s="1413"/>
      <c r="C371" s="845" t="s">
        <v>989</v>
      </c>
      <c r="D371" s="875" t="str">
        <f>B365&amp;C371</f>
        <v>A151g</v>
      </c>
      <c r="E371" s="367">
        <v>6</v>
      </c>
      <c r="F371" s="669"/>
      <c r="G371" s="369"/>
      <c r="H371" s="368"/>
      <c r="I371" s="369"/>
      <c r="J371" s="368"/>
      <c r="K371" s="370"/>
      <c r="L371" s="370"/>
      <c r="M371" s="371"/>
      <c r="N371" s="671"/>
      <c r="O371" s="671"/>
      <c r="P371" s="373"/>
      <c r="Q371" s="673"/>
      <c r="R371" s="375"/>
      <c r="S371" s="366" t="s">
        <v>190</v>
      </c>
      <c r="T371" s="366"/>
      <c r="U371" s="366"/>
      <c r="V371" s="366"/>
      <c r="W371" s="366"/>
    </row>
    <row r="372" spans="1:23">
      <c r="A372" s="1410"/>
      <c r="B372" s="1413"/>
      <c r="C372" s="845" t="s">
        <v>990</v>
      </c>
      <c r="D372" s="875" t="str">
        <f>B365&amp;C372</f>
        <v>A151h</v>
      </c>
      <c r="E372" s="367">
        <v>7</v>
      </c>
      <c r="F372" s="669"/>
      <c r="G372" s="368"/>
      <c r="H372" s="368"/>
      <c r="I372" s="368"/>
      <c r="J372" s="368"/>
      <c r="K372" s="370"/>
      <c r="L372" s="370"/>
      <c r="M372" s="371"/>
      <c r="N372" s="671"/>
      <c r="O372" s="671"/>
      <c r="P372" s="373"/>
      <c r="Q372" s="673"/>
      <c r="R372" s="377"/>
      <c r="S372" s="366" t="s">
        <v>190</v>
      </c>
      <c r="T372" s="366"/>
      <c r="U372" s="366"/>
      <c r="V372" s="366"/>
      <c r="W372" s="366"/>
    </row>
    <row r="373" spans="1:23">
      <c r="A373" s="1410"/>
      <c r="B373" s="1413"/>
      <c r="C373" s="845" t="s">
        <v>991</v>
      </c>
      <c r="D373" s="875" t="str">
        <f>B365&amp;C373</f>
        <v>A151i</v>
      </c>
      <c r="E373" s="367">
        <v>8</v>
      </c>
      <c r="F373" s="669"/>
      <c r="G373" s="368"/>
      <c r="H373" s="368"/>
      <c r="I373" s="368"/>
      <c r="J373" s="368"/>
      <c r="K373" s="370"/>
      <c r="L373" s="370"/>
      <c r="M373" s="371"/>
      <c r="N373" s="671"/>
      <c r="O373" s="671"/>
      <c r="P373" s="373"/>
      <c r="Q373" s="673"/>
      <c r="R373" s="378"/>
      <c r="S373" s="366"/>
      <c r="T373" s="366"/>
      <c r="U373" s="366"/>
      <c r="V373" s="366"/>
      <c r="W373" s="366"/>
    </row>
    <row r="374" spans="1:23">
      <c r="A374" s="1410"/>
      <c r="B374" s="1413"/>
      <c r="C374" s="845" t="s">
        <v>992</v>
      </c>
      <c r="D374" s="875" t="str">
        <f>B365&amp;C374</f>
        <v>A151k</v>
      </c>
      <c r="E374" s="367">
        <v>9</v>
      </c>
      <c r="F374" s="370"/>
      <c r="G374" s="368"/>
      <c r="H374" s="368"/>
      <c r="I374" s="368"/>
      <c r="J374" s="368"/>
      <c r="K374" s="370"/>
      <c r="L374" s="370"/>
      <c r="M374" s="371"/>
      <c r="N374" s="372"/>
      <c r="O374" s="372"/>
      <c r="P374" s="373"/>
      <c r="Q374" s="374"/>
      <c r="R374" s="378"/>
      <c r="S374" s="379"/>
      <c r="T374" s="366"/>
      <c r="U374" s="366"/>
      <c r="V374" s="366"/>
      <c r="W374" s="366"/>
    </row>
    <row r="375" spans="1:23">
      <c r="A375" s="1410"/>
      <c r="B375" s="1413"/>
      <c r="C375" s="845" t="s">
        <v>993</v>
      </c>
      <c r="D375" s="875" t="str">
        <f>B365&amp;C375</f>
        <v>A151l</v>
      </c>
      <c r="E375" s="367">
        <v>10</v>
      </c>
      <c r="F375" s="370"/>
      <c r="G375" s="368"/>
      <c r="H375" s="368"/>
      <c r="I375" s="368"/>
      <c r="J375" s="368"/>
      <c r="K375" s="370"/>
      <c r="L375" s="370"/>
      <c r="M375" s="370"/>
      <c r="N375" s="372"/>
      <c r="O375" s="372"/>
      <c r="P375" s="373"/>
      <c r="Q375" s="374"/>
      <c r="R375" s="378"/>
      <c r="S375" s="379"/>
      <c r="T375" s="366"/>
      <c r="U375" s="366"/>
      <c r="V375" s="366"/>
      <c r="W375" s="366"/>
    </row>
    <row r="376" spans="1:23">
      <c r="A376" s="1410"/>
      <c r="B376" s="1413"/>
      <c r="C376" s="845" t="s">
        <v>994</v>
      </c>
      <c r="D376" s="875" t="str">
        <f>B365&amp;C376</f>
        <v>A151m</v>
      </c>
      <c r="E376" s="367">
        <v>11</v>
      </c>
      <c r="F376" s="370"/>
      <c r="G376" s="368"/>
      <c r="H376" s="368"/>
      <c r="I376" s="368"/>
      <c r="J376" s="368"/>
      <c r="K376" s="370"/>
      <c r="L376" s="370"/>
      <c r="M376" s="370"/>
      <c r="N376" s="372"/>
      <c r="O376" s="372"/>
      <c r="P376" s="380"/>
      <c r="Q376" s="374"/>
      <c r="R376" s="381"/>
      <c r="S376" s="379"/>
      <c r="T376" s="366"/>
      <c r="U376" s="366"/>
      <c r="V376" s="366"/>
      <c r="W376" s="366"/>
    </row>
    <row r="377" spans="1:23">
      <c r="A377" s="1410"/>
      <c r="B377" s="1413"/>
      <c r="C377" s="845" t="s">
        <v>995</v>
      </c>
      <c r="D377" s="875" t="str">
        <f>B365&amp;C377</f>
        <v>A151n</v>
      </c>
      <c r="E377" s="367">
        <v>12</v>
      </c>
      <c r="F377" s="370"/>
      <c r="G377" s="368"/>
      <c r="H377" s="368"/>
      <c r="I377" s="368"/>
      <c r="J377" s="368"/>
      <c r="K377" s="370"/>
      <c r="L377" s="370"/>
      <c r="M377" s="370"/>
      <c r="N377" s="372"/>
      <c r="O377" s="372"/>
      <c r="P377" s="380"/>
      <c r="Q377" s="374"/>
      <c r="R377" s="381"/>
      <c r="S377" s="361"/>
      <c r="T377" s="361"/>
      <c r="U377" s="361"/>
      <c r="V377" s="366"/>
      <c r="W377" s="366"/>
    </row>
    <row r="378" spans="1:23">
      <c r="A378" s="1410"/>
      <c r="B378" s="1413"/>
      <c r="C378" s="845" t="s">
        <v>471</v>
      </c>
      <c r="D378" s="875" t="str">
        <f>B365&amp;C378</f>
        <v>A151x</v>
      </c>
      <c r="E378" s="367">
        <v>13</v>
      </c>
      <c r="F378" s="370"/>
      <c r="G378" s="368"/>
      <c r="H378" s="368"/>
      <c r="I378" s="368"/>
      <c r="J378" s="368"/>
      <c r="K378" s="370"/>
      <c r="L378" s="370"/>
      <c r="M378" s="370"/>
      <c r="N378" s="382"/>
      <c r="O378" s="372"/>
      <c r="P378" s="380"/>
      <c r="Q378" s="381"/>
      <c r="R378" s="381"/>
      <c r="S378" s="361"/>
      <c r="T378" s="361"/>
      <c r="U378" s="361"/>
      <c r="V378" s="366"/>
      <c r="W378" s="366"/>
    </row>
    <row r="379" spans="1:23">
      <c r="A379" s="1410"/>
      <c r="B379" s="1413"/>
      <c r="C379" s="845" t="s">
        <v>732</v>
      </c>
      <c r="D379" s="875" t="str">
        <f>B365&amp;C379</f>
        <v>A151y</v>
      </c>
      <c r="E379" s="367">
        <v>14</v>
      </c>
      <c r="F379" s="370"/>
      <c r="G379" s="368"/>
      <c r="H379" s="368"/>
      <c r="I379" s="368"/>
      <c r="J379" s="368"/>
      <c r="K379" s="370"/>
      <c r="L379" s="370"/>
      <c r="M379" s="370"/>
      <c r="N379" s="382"/>
      <c r="O379" s="372"/>
      <c r="P379" s="380"/>
      <c r="Q379" s="381"/>
      <c r="R379" s="381"/>
      <c r="S379" s="361"/>
      <c r="T379" s="361"/>
      <c r="U379" s="362"/>
      <c r="V379" s="366"/>
      <c r="W379" s="366"/>
    </row>
    <row r="380" spans="1:23">
      <c r="A380" s="1411"/>
      <c r="B380" s="1414"/>
      <c r="C380" s="846" t="s">
        <v>996</v>
      </c>
      <c r="D380" s="876" t="str">
        <f>B365&amp;C380</f>
        <v>A151z</v>
      </c>
      <c r="E380" s="847">
        <v>15</v>
      </c>
      <c r="F380" s="370"/>
      <c r="G380" s="368"/>
      <c r="H380" s="368"/>
      <c r="I380" s="368"/>
      <c r="J380" s="368"/>
      <c r="K380" s="370"/>
      <c r="L380" s="370"/>
      <c r="M380" s="370"/>
      <c r="N380" s="850"/>
      <c r="O380" s="851"/>
      <c r="P380" s="851"/>
      <c r="Q380" s="852"/>
      <c r="R380" s="383"/>
      <c r="S380" s="361"/>
      <c r="T380" s="832"/>
      <c r="U380" s="830"/>
      <c r="V380" s="366"/>
      <c r="W380" s="366"/>
    </row>
    <row r="381" spans="1:23">
      <c r="A381" s="1400" t="s">
        <v>939</v>
      </c>
      <c r="B381" s="1400" t="s">
        <v>17</v>
      </c>
      <c r="C381" s="827"/>
      <c r="D381" s="871"/>
      <c r="E381" s="1400" t="s">
        <v>177</v>
      </c>
      <c r="F381" s="1400" t="s">
        <v>18</v>
      </c>
      <c r="G381" s="1389" t="s">
        <v>19</v>
      </c>
      <c r="H381" s="1390"/>
      <c r="I381" s="1389" t="s">
        <v>22</v>
      </c>
      <c r="J381" s="1390"/>
      <c r="K381" s="1393" t="s">
        <v>26</v>
      </c>
      <c r="L381" s="1390"/>
      <c r="M381" s="1389" t="s">
        <v>392</v>
      </c>
      <c r="N381" s="1390"/>
      <c r="O381" s="1389" t="s">
        <v>28</v>
      </c>
      <c r="P381" s="1393"/>
      <c r="Q381" s="1390"/>
      <c r="R381" s="1400" t="s">
        <v>36</v>
      </c>
      <c r="S381" s="361"/>
      <c r="T381" s="361">
        <f>MAX(J385:J399)-MIN(I385:I399)</f>
        <v>1.0416666666666671E-2</v>
      </c>
      <c r="U381" s="361"/>
      <c r="V381" s="853" t="str">
        <f t="shared" ref="V381" si="42">B385</f>
        <v>B28</v>
      </c>
      <c r="W381" s="361">
        <f t="shared" ref="W381" si="43">COUNTIF(K386:K400,"&gt;0")</f>
        <v>1</v>
      </c>
    </row>
    <row r="382" spans="1:23">
      <c r="A382" s="1401"/>
      <c r="B382" s="1401"/>
      <c r="C382" s="828"/>
      <c r="D382" s="872"/>
      <c r="E382" s="1401"/>
      <c r="F382" s="1401"/>
      <c r="G382" s="1391"/>
      <c r="H382" s="1392"/>
      <c r="I382" s="1391"/>
      <c r="J382" s="1392"/>
      <c r="K382" s="1394"/>
      <c r="L382" s="1392"/>
      <c r="M382" s="1391"/>
      <c r="N382" s="1392"/>
      <c r="O382" s="1391"/>
      <c r="P382" s="1394"/>
      <c r="Q382" s="1392"/>
      <c r="R382" s="1401"/>
      <c r="S382" s="361"/>
      <c r="T382" s="361"/>
      <c r="U382" s="361"/>
      <c r="V382" s="361"/>
      <c r="W382" s="361"/>
    </row>
    <row r="383" spans="1:23">
      <c r="A383" s="1401"/>
      <c r="B383" s="1401"/>
      <c r="C383" s="828"/>
      <c r="D383" s="872"/>
      <c r="E383" s="1401"/>
      <c r="F383" s="1401"/>
      <c r="G383" s="1400" t="s">
        <v>20</v>
      </c>
      <c r="H383" s="1400" t="s">
        <v>21</v>
      </c>
      <c r="I383" s="1400" t="s">
        <v>361</v>
      </c>
      <c r="J383" s="1400" t="s">
        <v>353</v>
      </c>
      <c r="K383" s="1400" t="s">
        <v>23</v>
      </c>
      <c r="L383" s="1400" t="s">
        <v>24</v>
      </c>
      <c r="M383" s="1400" t="s">
        <v>27</v>
      </c>
      <c r="N383" s="1400" t="s">
        <v>178</v>
      </c>
      <c r="O383" s="1400" t="s">
        <v>1</v>
      </c>
      <c r="P383" s="1400" t="s">
        <v>29</v>
      </c>
      <c r="Q383" s="1400" t="s">
        <v>33</v>
      </c>
      <c r="R383" s="1401"/>
      <c r="S383" s="361"/>
      <c r="T383" s="361" t="s">
        <v>39</v>
      </c>
      <c r="U383" s="362">
        <f>VLOOKUP(B385,'Thong tin'!$A:$M,13,0)</f>
        <v>800</v>
      </c>
      <c r="V383" s="361"/>
      <c r="W383" s="361"/>
    </row>
    <row r="384" spans="1:23">
      <c r="A384" s="1402"/>
      <c r="B384" s="1402"/>
      <c r="C384" s="829"/>
      <c r="D384" s="873"/>
      <c r="E384" s="1402"/>
      <c r="F384" s="1402"/>
      <c r="G384" s="1402"/>
      <c r="H384" s="1402"/>
      <c r="I384" s="1402"/>
      <c r="J384" s="1402"/>
      <c r="K384" s="1402"/>
      <c r="L384" s="1402"/>
      <c r="M384" s="1402"/>
      <c r="N384" s="1402"/>
      <c r="O384" s="1402"/>
      <c r="P384" s="1402"/>
      <c r="Q384" s="1402"/>
      <c r="R384" s="1402"/>
      <c r="S384" s="361"/>
      <c r="T384" s="1399" t="s">
        <v>393</v>
      </c>
      <c r="U384" s="1397">
        <f>VLOOKUP(B385,DT.NK!$B:$AZ,45,0)</f>
        <v>22.08</v>
      </c>
      <c r="V384" s="361"/>
      <c r="W384" s="361"/>
    </row>
    <row r="385" spans="1:23">
      <c r="A385" s="1409">
        <f>A365+1</f>
        <v>20</v>
      </c>
      <c r="B385" s="1412" t="s">
        <v>547</v>
      </c>
      <c r="C385" s="844" t="s">
        <v>983</v>
      </c>
      <c r="D385" s="874" t="str">
        <f>B385&amp;C385</f>
        <v>B28a</v>
      </c>
      <c r="E385" s="363"/>
      <c r="F385" s="364"/>
      <c r="G385" s="364"/>
      <c r="H385" s="364"/>
      <c r="I385" s="364"/>
      <c r="J385" s="364"/>
      <c r="K385" s="364"/>
      <c r="L385" s="364"/>
      <c r="M385" s="674"/>
      <c r="N385" s="670"/>
      <c r="O385" s="670">
        <f>U384</f>
        <v>22.08</v>
      </c>
      <c r="P385" s="670">
        <f>O385</f>
        <v>22.08</v>
      </c>
      <c r="Q385" s="670">
        <v>0</v>
      </c>
      <c r="R385" s="365"/>
      <c r="S385" s="366"/>
      <c r="T385" s="1399"/>
      <c r="U385" s="1398"/>
      <c r="V385" s="361"/>
      <c r="W385" s="361"/>
    </row>
    <row r="386" spans="1:23">
      <c r="A386" s="1410"/>
      <c r="B386" s="1413"/>
      <c r="C386" s="845" t="s">
        <v>984</v>
      </c>
      <c r="D386" s="875" t="str">
        <f>B385&amp;C386</f>
        <v>B28b</v>
      </c>
      <c r="E386" s="367">
        <v>1</v>
      </c>
      <c r="F386" s="669" t="s">
        <v>1052</v>
      </c>
      <c r="G386" s="369">
        <v>0.98749999999999993</v>
      </c>
      <c r="H386" s="368">
        <v>6.9444444444444441E-3</v>
      </c>
      <c r="I386" s="369">
        <v>4.8611111111111112E-2</v>
      </c>
      <c r="J386" s="368">
        <v>5.9027777777777783E-2</v>
      </c>
      <c r="K386" s="669">
        <v>9.5</v>
      </c>
      <c r="L386" s="669">
        <v>18</v>
      </c>
      <c r="M386" s="675">
        <v>22.08</v>
      </c>
      <c r="N386" s="671">
        <f>IF(M386-P386&gt;0,M386-P386,0)</f>
        <v>18.279999999999998</v>
      </c>
      <c r="O386" s="671">
        <f>O385-K386/(PI()*(U383/2000)^2)</f>
        <v>3.1803505078374279</v>
      </c>
      <c r="P386" s="672">
        <v>3.8</v>
      </c>
      <c r="Q386" s="673">
        <f>ABS(O386-P386)</f>
        <v>0.61964949216257192</v>
      </c>
      <c r="R386" s="375" t="s">
        <v>188</v>
      </c>
      <c r="S386" s="366"/>
      <c r="T386" s="376"/>
      <c r="U386" s="376"/>
      <c r="V386" s="366"/>
      <c r="W386" s="366"/>
    </row>
    <row r="387" spans="1:23">
      <c r="A387" s="1410"/>
      <c r="B387" s="1413"/>
      <c r="C387" s="845" t="s">
        <v>985</v>
      </c>
      <c r="D387" s="875" t="str">
        <f>B385&amp;C387</f>
        <v>B28c</v>
      </c>
      <c r="E387" s="367">
        <v>2</v>
      </c>
      <c r="F387" s="669"/>
      <c r="G387" s="369"/>
      <c r="H387" s="368"/>
      <c r="I387" s="369"/>
      <c r="J387" s="368"/>
      <c r="K387" s="669"/>
      <c r="L387" s="669"/>
      <c r="M387" s="675"/>
      <c r="N387" s="671"/>
      <c r="O387" s="671"/>
      <c r="P387" s="672"/>
      <c r="Q387" s="673"/>
      <c r="R387" s="375"/>
      <c r="S387" s="366"/>
      <c r="T387" s="376"/>
      <c r="U387" s="376"/>
      <c r="V387" s="366"/>
      <c r="W387" s="366"/>
    </row>
    <row r="388" spans="1:23">
      <c r="A388" s="1410"/>
      <c r="B388" s="1413"/>
      <c r="C388" s="845" t="s">
        <v>986</v>
      </c>
      <c r="D388" s="875" t="str">
        <f>B385&amp;C388</f>
        <v>B28d</v>
      </c>
      <c r="E388" s="367">
        <v>3</v>
      </c>
      <c r="F388" s="669"/>
      <c r="G388" s="369"/>
      <c r="H388" s="368"/>
      <c r="I388" s="369"/>
      <c r="J388" s="368"/>
      <c r="K388" s="669"/>
      <c r="L388" s="669"/>
      <c r="M388" s="675"/>
      <c r="N388" s="671"/>
      <c r="O388" s="671"/>
      <c r="P388" s="672"/>
      <c r="Q388" s="673"/>
      <c r="R388" s="375"/>
      <c r="S388" s="366"/>
      <c r="T388" s="376"/>
      <c r="U388" s="376"/>
      <c r="V388" s="366"/>
      <c r="W388" s="366"/>
    </row>
    <row r="389" spans="1:23">
      <c r="A389" s="1410"/>
      <c r="B389" s="1413"/>
      <c r="C389" s="845" t="s">
        <v>987</v>
      </c>
      <c r="D389" s="875" t="str">
        <f>B385&amp;C389</f>
        <v>B28e</v>
      </c>
      <c r="E389" s="367">
        <v>4</v>
      </c>
      <c r="F389" s="669"/>
      <c r="G389" s="369"/>
      <c r="H389" s="368"/>
      <c r="I389" s="369"/>
      <c r="J389" s="368"/>
      <c r="K389" s="370"/>
      <c r="L389" s="370"/>
      <c r="M389" s="371"/>
      <c r="N389" s="671"/>
      <c r="O389" s="671"/>
      <c r="P389" s="373"/>
      <c r="Q389" s="673"/>
      <c r="R389" s="375"/>
      <c r="S389" s="366"/>
      <c r="T389" s="376"/>
      <c r="U389" s="376"/>
      <c r="V389" s="366"/>
      <c r="W389" s="366"/>
    </row>
    <row r="390" spans="1:23">
      <c r="A390" s="1410"/>
      <c r="B390" s="1413"/>
      <c r="C390" s="845" t="s">
        <v>988</v>
      </c>
      <c r="D390" s="875" t="str">
        <f>B385&amp;C390</f>
        <v>B28f</v>
      </c>
      <c r="E390" s="367">
        <v>5</v>
      </c>
      <c r="F390" s="669"/>
      <c r="G390" s="369"/>
      <c r="H390" s="368"/>
      <c r="I390" s="369"/>
      <c r="J390" s="368"/>
      <c r="K390" s="370"/>
      <c r="L390" s="370"/>
      <c r="M390" s="371"/>
      <c r="N390" s="671"/>
      <c r="O390" s="671"/>
      <c r="P390" s="373"/>
      <c r="Q390" s="673"/>
      <c r="R390" s="377"/>
      <c r="S390" s="366" t="s">
        <v>190</v>
      </c>
      <c r="T390" s="376"/>
      <c r="U390" s="376"/>
      <c r="V390" s="366"/>
      <c r="W390" s="366"/>
    </row>
    <row r="391" spans="1:23">
      <c r="A391" s="1410"/>
      <c r="B391" s="1413"/>
      <c r="C391" s="845" t="s">
        <v>989</v>
      </c>
      <c r="D391" s="875" t="str">
        <f>B385&amp;C391</f>
        <v>B28g</v>
      </c>
      <c r="E391" s="367">
        <v>6</v>
      </c>
      <c r="F391" s="669"/>
      <c r="G391" s="369"/>
      <c r="H391" s="368"/>
      <c r="I391" s="369"/>
      <c r="J391" s="368"/>
      <c r="K391" s="370"/>
      <c r="L391" s="370"/>
      <c r="M391" s="371"/>
      <c r="N391" s="671"/>
      <c r="O391" s="671"/>
      <c r="P391" s="373"/>
      <c r="Q391" s="673"/>
      <c r="R391" s="375"/>
      <c r="S391" s="366" t="s">
        <v>190</v>
      </c>
      <c r="T391" s="366"/>
      <c r="U391" s="366"/>
      <c r="V391" s="366"/>
      <c r="W391" s="366"/>
    </row>
    <row r="392" spans="1:23">
      <c r="A392" s="1410"/>
      <c r="B392" s="1413"/>
      <c r="C392" s="845" t="s">
        <v>990</v>
      </c>
      <c r="D392" s="875" t="str">
        <f>B385&amp;C392</f>
        <v>B28h</v>
      </c>
      <c r="E392" s="367">
        <v>7</v>
      </c>
      <c r="F392" s="669"/>
      <c r="G392" s="368"/>
      <c r="H392" s="368"/>
      <c r="I392" s="368"/>
      <c r="J392" s="368"/>
      <c r="K392" s="370"/>
      <c r="L392" s="370"/>
      <c r="M392" s="371"/>
      <c r="N392" s="671"/>
      <c r="O392" s="671"/>
      <c r="P392" s="373"/>
      <c r="Q392" s="673"/>
      <c r="R392" s="377"/>
      <c r="S392" s="366" t="s">
        <v>190</v>
      </c>
      <c r="T392" s="366"/>
      <c r="U392" s="366"/>
      <c r="V392" s="366"/>
      <c r="W392" s="366"/>
    </row>
    <row r="393" spans="1:23">
      <c r="A393" s="1410"/>
      <c r="B393" s="1413"/>
      <c r="C393" s="845" t="s">
        <v>991</v>
      </c>
      <c r="D393" s="875" t="str">
        <f>B385&amp;C393</f>
        <v>B28i</v>
      </c>
      <c r="E393" s="367">
        <v>8</v>
      </c>
      <c r="F393" s="669"/>
      <c r="G393" s="368"/>
      <c r="H393" s="368"/>
      <c r="I393" s="368"/>
      <c r="J393" s="368"/>
      <c r="K393" s="370"/>
      <c r="L393" s="370"/>
      <c r="M393" s="371"/>
      <c r="N393" s="671"/>
      <c r="O393" s="671"/>
      <c r="P393" s="373"/>
      <c r="Q393" s="673"/>
      <c r="R393" s="378"/>
      <c r="S393" s="366"/>
      <c r="T393" s="366"/>
      <c r="U393" s="366"/>
      <c r="V393" s="366"/>
      <c r="W393" s="366"/>
    </row>
    <row r="394" spans="1:23">
      <c r="A394" s="1410"/>
      <c r="B394" s="1413"/>
      <c r="C394" s="845" t="s">
        <v>992</v>
      </c>
      <c r="D394" s="875" t="str">
        <f>B385&amp;C394</f>
        <v>B28k</v>
      </c>
      <c r="E394" s="367">
        <v>9</v>
      </c>
      <c r="F394" s="370"/>
      <c r="G394" s="368"/>
      <c r="H394" s="368"/>
      <c r="I394" s="368"/>
      <c r="J394" s="368"/>
      <c r="K394" s="370"/>
      <c r="L394" s="370"/>
      <c r="M394" s="371"/>
      <c r="N394" s="372"/>
      <c r="O394" s="372"/>
      <c r="P394" s="373"/>
      <c r="Q394" s="374"/>
      <c r="R394" s="378"/>
      <c r="S394" s="379"/>
      <c r="T394" s="366"/>
      <c r="U394" s="366"/>
      <c r="V394" s="366"/>
      <c r="W394" s="366"/>
    </row>
    <row r="395" spans="1:23">
      <c r="A395" s="1410"/>
      <c r="B395" s="1413"/>
      <c r="C395" s="845" t="s">
        <v>993</v>
      </c>
      <c r="D395" s="875" t="str">
        <f>B385&amp;C395</f>
        <v>B28l</v>
      </c>
      <c r="E395" s="367">
        <v>10</v>
      </c>
      <c r="F395" s="370"/>
      <c r="G395" s="368"/>
      <c r="H395" s="368"/>
      <c r="I395" s="368"/>
      <c r="J395" s="368"/>
      <c r="K395" s="370"/>
      <c r="L395" s="370"/>
      <c r="M395" s="370"/>
      <c r="N395" s="372"/>
      <c r="O395" s="372"/>
      <c r="P395" s="373"/>
      <c r="Q395" s="374"/>
      <c r="R395" s="378"/>
      <c r="S395" s="379"/>
      <c r="T395" s="366"/>
      <c r="U395" s="366"/>
      <c r="V395" s="366"/>
      <c r="W395" s="366"/>
    </row>
    <row r="396" spans="1:23">
      <c r="A396" s="1410"/>
      <c r="B396" s="1413"/>
      <c r="C396" s="845" t="s">
        <v>994</v>
      </c>
      <c r="D396" s="875" t="str">
        <f>B385&amp;C396</f>
        <v>B28m</v>
      </c>
      <c r="E396" s="367">
        <v>11</v>
      </c>
      <c r="F396" s="370"/>
      <c r="G396" s="368"/>
      <c r="H396" s="368"/>
      <c r="I396" s="368"/>
      <c r="J396" s="368"/>
      <c r="K396" s="370"/>
      <c r="L396" s="370"/>
      <c r="M396" s="370"/>
      <c r="N396" s="372"/>
      <c r="O396" s="372"/>
      <c r="P396" s="380"/>
      <c r="Q396" s="374"/>
      <c r="R396" s="381"/>
      <c r="S396" s="379"/>
      <c r="T396" s="366"/>
      <c r="U396" s="366"/>
      <c r="V396" s="366"/>
      <c r="W396" s="366"/>
    </row>
    <row r="397" spans="1:23">
      <c r="A397" s="1410"/>
      <c r="B397" s="1413"/>
      <c r="C397" s="845" t="s">
        <v>995</v>
      </c>
      <c r="D397" s="875" t="str">
        <f>B385&amp;C397</f>
        <v>B28n</v>
      </c>
      <c r="E397" s="367">
        <v>12</v>
      </c>
      <c r="F397" s="370"/>
      <c r="G397" s="368"/>
      <c r="H397" s="368"/>
      <c r="I397" s="368"/>
      <c r="J397" s="368"/>
      <c r="K397" s="370"/>
      <c r="L397" s="370"/>
      <c r="M397" s="370"/>
      <c r="N397" s="372"/>
      <c r="O397" s="372"/>
      <c r="P397" s="380"/>
      <c r="Q397" s="374"/>
      <c r="R397" s="381"/>
      <c r="S397" s="361"/>
      <c r="T397" s="361"/>
      <c r="U397" s="361"/>
      <c r="V397" s="366"/>
      <c r="W397" s="366"/>
    </row>
    <row r="398" spans="1:23">
      <c r="A398" s="1410"/>
      <c r="B398" s="1413"/>
      <c r="C398" s="845" t="s">
        <v>471</v>
      </c>
      <c r="D398" s="875" t="str">
        <f>B385&amp;C398</f>
        <v>B28x</v>
      </c>
      <c r="E398" s="367">
        <v>13</v>
      </c>
      <c r="F398" s="370"/>
      <c r="G398" s="368"/>
      <c r="H398" s="368"/>
      <c r="I398" s="368"/>
      <c r="J398" s="368"/>
      <c r="K398" s="370"/>
      <c r="L398" s="370"/>
      <c r="M398" s="370"/>
      <c r="N398" s="382"/>
      <c r="O398" s="372"/>
      <c r="P398" s="380"/>
      <c r="Q398" s="381"/>
      <c r="R398" s="381"/>
      <c r="S398" s="361"/>
      <c r="T398" s="361"/>
      <c r="U398" s="361"/>
      <c r="V398" s="366"/>
      <c r="W398" s="366"/>
    </row>
    <row r="399" spans="1:23">
      <c r="A399" s="1410"/>
      <c r="B399" s="1413"/>
      <c r="C399" s="845" t="s">
        <v>732</v>
      </c>
      <c r="D399" s="875" t="str">
        <f>B385&amp;C399</f>
        <v>B28y</v>
      </c>
      <c r="E399" s="367">
        <v>14</v>
      </c>
      <c r="F399" s="370"/>
      <c r="G399" s="368"/>
      <c r="H399" s="368"/>
      <c r="I399" s="368"/>
      <c r="J399" s="368"/>
      <c r="K399" s="370"/>
      <c r="L399" s="370"/>
      <c r="M399" s="370"/>
      <c r="N399" s="382"/>
      <c r="O399" s="372"/>
      <c r="P399" s="380"/>
      <c r="Q399" s="381"/>
      <c r="R399" s="381"/>
      <c r="S399" s="361"/>
      <c r="T399" s="361"/>
      <c r="U399" s="362"/>
      <c r="V399" s="366"/>
      <c r="W399" s="366"/>
    </row>
    <row r="400" spans="1:23">
      <c r="A400" s="1411"/>
      <c r="B400" s="1414"/>
      <c r="C400" s="846" t="s">
        <v>996</v>
      </c>
      <c r="D400" s="876" t="str">
        <f>B385&amp;C400</f>
        <v>B28z</v>
      </c>
      <c r="E400" s="847">
        <v>15</v>
      </c>
      <c r="F400" s="370"/>
      <c r="G400" s="368"/>
      <c r="H400" s="368"/>
      <c r="I400" s="368"/>
      <c r="J400" s="368"/>
      <c r="K400" s="370"/>
      <c r="L400" s="370"/>
      <c r="M400" s="370"/>
      <c r="N400" s="850"/>
      <c r="O400" s="851"/>
      <c r="P400" s="851"/>
      <c r="Q400" s="852"/>
      <c r="R400" s="383"/>
      <c r="S400" s="361"/>
      <c r="T400" s="832"/>
      <c r="U400" s="830"/>
      <c r="V400" s="366"/>
      <c r="W400" s="366"/>
    </row>
    <row r="401" spans="1:23">
      <c r="A401" s="1400" t="s">
        <v>939</v>
      </c>
      <c r="B401" s="1400" t="s">
        <v>17</v>
      </c>
      <c r="C401" s="827"/>
      <c r="D401" s="871"/>
      <c r="E401" s="1400" t="s">
        <v>177</v>
      </c>
      <c r="F401" s="1400" t="s">
        <v>18</v>
      </c>
      <c r="G401" s="1389" t="s">
        <v>19</v>
      </c>
      <c r="H401" s="1390"/>
      <c r="I401" s="1389" t="s">
        <v>22</v>
      </c>
      <c r="J401" s="1390"/>
      <c r="K401" s="1393" t="s">
        <v>26</v>
      </c>
      <c r="L401" s="1390"/>
      <c r="M401" s="1389" t="s">
        <v>392</v>
      </c>
      <c r="N401" s="1390"/>
      <c r="O401" s="1389" t="s">
        <v>28</v>
      </c>
      <c r="P401" s="1393"/>
      <c r="Q401" s="1390"/>
      <c r="R401" s="1400" t="s">
        <v>36</v>
      </c>
      <c r="S401" s="361"/>
      <c r="T401" s="361">
        <f>MAX(J405:J419)-MIN(I405:I419)</f>
        <v>4.9305555555555547E-2</v>
      </c>
      <c r="U401" s="361"/>
      <c r="V401" s="853" t="str">
        <f t="shared" ref="V401" si="44">B405</f>
        <v>A1</v>
      </c>
      <c r="W401" s="361">
        <f t="shared" ref="W401" si="45">COUNTIF(K406:K420,"&gt;0")</f>
        <v>3</v>
      </c>
    </row>
    <row r="402" spans="1:23">
      <c r="A402" s="1401"/>
      <c r="B402" s="1401"/>
      <c r="C402" s="828"/>
      <c r="D402" s="872"/>
      <c r="E402" s="1401"/>
      <c r="F402" s="1401"/>
      <c r="G402" s="1391"/>
      <c r="H402" s="1392"/>
      <c r="I402" s="1391"/>
      <c r="J402" s="1392"/>
      <c r="K402" s="1394"/>
      <c r="L402" s="1392"/>
      <c r="M402" s="1391"/>
      <c r="N402" s="1392"/>
      <c r="O402" s="1391"/>
      <c r="P402" s="1394"/>
      <c r="Q402" s="1392"/>
      <c r="R402" s="1401"/>
      <c r="S402" s="361"/>
      <c r="T402" s="361"/>
      <c r="U402" s="361"/>
      <c r="V402" s="361"/>
      <c r="W402" s="361"/>
    </row>
    <row r="403" spans="1:23">
      <c r="A403" s="1401"/>
      <c r="B403" s="1401"/>
      <c r="C403" s="828"/>
      <c r="D403" s="872"/>
      <c r="E403" s="1401"/>
      <c r="F403" s="1401"/>
      <c r="G403" s="1400" t="s">
        <v>20</v>
      </c>
      <c r="H403" s="1400" t="s">
        <v>21</v>
      </c>
      <c r="I403" s="1400" t="s">
        <v>361</v>
      </c>
      <c r="J403" s="1400" t="s">
        <v>353</v>
      </c>
      <c r="K403" s="1400" t="s">
        <v>23</v>
      </c>
      <c r="L403" s="1400" t="s">
        <v>24</v>
      </c>
      <c r="M403" s="1400" t="s">
        <v>27</v>
      </c>
      <c r="N403" s="1400" t="s">
        <v>178</v>
      </c>
      <c r="O403" s="1400" t="s">
        <v>1</v>
      </c>
      <c r="P403" s="1400" t="s">
        <v>29</v>
      </c>
      <c r="Q403" s="1400" t="s">
        <v>33</v>
      </c>
      <c r="R403" s="1401"/>
      <c r="S403" s="361"/>
      <c r="T403" s="361" t="s">
        <v>39</v>
      </c>
      <c r="U403" s="362">
        <f>VLOOKUP(B405,'Thong tin'!$A:$M,13,0)</f>
        <v>1200</v>
      </c>
      <c r="V403" s="361"/>
      <c r="W403" s="361"/>
    </row>
    <row r="404" spans="1:23">
      <c r="A404" s="1402"/>
      <c r="B404" s="1402"/>
      <c r="C404" s="829"/>
      <c r="D404" s="873"/>
      <c r="E404" s="1402"/>
      <c r="F404" s="1402"/>
      <c r="G404" s="1402"/>
      <c r="H404" s="1402"/>
      <c r="I404" s="1402"/>
      <c r="J404" s="1402"/>
      <c r="K404" s="1402"/>
      <c r="L404" s="1402"/>
      <c r="M404" s="1402"/>
      <c r="N404" s="1402"/>
      <c r="O404" s="1402"/>
      <c r="P404" s="1402"/>
      <c r="Q404" s="1402"/>
      <c r="R404" s="1402"/>
      <c r="S404" s="361"/>
      <c r="T404" s="1399" t="s">
        <v>393</v>
      </c>
      <c r="U404" s="1397">
        <f>VLOOKUP(B405,DT.NK!$B:$AZ,45,0)</f>
        <v>22.82</v>
      </c>
      <c r="V404" s="361"/>
      <c r="W404" s="361"/>
    </row>
    <row r="405" spans="1:23">
      <c r="A405" s="1409">
        <f>A385+1</f>
        <v>21</v>
      </c>
      <c r="B405" s="1412" t="s">
        <v>489</v>
      </c>
      <c r="C405" s="844" t="s">
        <v>983</v>
      </c>
      <c r="D405" s="874" t="str">
        <f>B405&amp;C405</f>
        <v>A1a</v>
      </c>
      <c r="E405" s="363"/>
      <c r="F405" s="364"/>
      <c r="G405" s="364"/>
      <c r="H405" s="364"/>
      <c r="I405" s="364"/>
      <c r="J405" s="364"/>
      <c r="K405" s="364"/>
      <c r="L405" s="364"/>
      <c r="M405" s="674"/>
      <c r="N405" s="670"/>
      <c r="O405" s="670">
        <f>U404</f>
        <v>22.82</v>
      </c>
      <c r="P405" s="670">
        <f>O405</f>
        <v>22.82</v>
      </c>
      <c r="Q405" s="670">
        <v>0</v>
      </c>
      <c r="R405" s="365"/>
      <c r="S405" s="366"/>
      <c r="T405" s="1399"/>
      <c r="U405" s="1398"/>
      <c r="V405" s="361"/>
      <c r="W405" s="361"/>
    </row>
    <row r="406" spans="1:23">
      <c r="A406" s="1410"/>
      <c r="B406" s="1413"/>
      <c r="C406" s="845" t="s">
        <v>984</v>
      </c>
      <c r="D406" s="875" t="str">
        <f>B405&amp;C406</f>
        <v>A1b</v>
      </c>
      <c r="E406" s="367">
        <v>1</v>
      </c>
      <c r="F406" s="669" t="s">
        <v>1060</v>
      </c>
      <c r="G406" s="369">
        <v>0.36805555555555558</v>
      </c>
      <c r="H406" s="368">
        <v>0.39930555555555558</v>
      </c>
      <c r="I406" s="369">
        <v>0.40972222222222227</v>
      </c>
      <c r="J406" s="368">
        <v>0.41597222222222219</v>
      </c>
      <c r="K406" s="669">
        <v>8</v>
      </c>
      <c r="L406" s="669">
        <v>18.5</v>
      </c>
      <c r="M406" s="675">
        <v>22.62</v>
      </c>
      <c r="N406" s="671">
        <f>IF(M406-P406&gt;0,M406-P406,0)</f>
        <v>6.4200000000000017</v>
      </c>
      <c r="O406" s="671">
        <f>O405-K406/(PI()*(U403/2000)^2)</f>
        <v>15.746446973693541</v>
      </c>
      <c r="P406" s="672">
        <v>16.2</v>
      </c>
      <c r="Q406" s="673">
        <f>ABS(O406-P406)</f>
        <v>0.45355302630645866</v>
      </c>
      <c r="R406" s="375" t="s">
        <v>188</v>
      </c>
      <c r="S406" s="366"/>
      <c r="T406" s="376"/>
      <c r="U406" s="376"/>
      <c r="V406" s="366"/>
      <c r="W406" s="366"/>
    </row>
    <row r="407" spans="1:23">
      <c r="A407" s="1410"/>
      <c r="B407" s="1413"/>
      <c r="C407" s="845" t="s">
        <v>985</v>
      </c>
      <c r="D407" s="875" t="str">
        <f>B405&amp;C407</f>
        <v>A1c</v>
      </c>
      <c r="E407" s="367">
        <v>2</v>
      </c>
      <c r="F407" s="669" t="s">
        <v>1059</v>
      </c>
      <c r="G407" s="369">
        <v>0.38194444444444442</v>
      </c>
      <c r="H407" s="368">
        <v>0.40625</v>
      </c>
      <c r="I407" s="369">
        <v>0.4201388888888889</v>
      </c>
      <c r="J407" s="368">
        <v>0.43055555555555558</v>
      </c>
      <c r="K407" s="669">
        <v>8</v>
      </c>
      <c r="L407" s="669">
        <v>19</v>
      </c>
      <c r="M407" s="675">
        <v>14.32</v>
      </c>
      <c r="N407" s="671">
        <f>IF(M407-P407&gt;0,M407-P407,0)</f>
        <v>5.120000000000001</v>
      </c>
      <c r="O407" s="671">
        <f>O406-K407/(PI()*(U403/2000)^2)</f>
        <v>8.672893947387081</v>
      </c>
      <c r="P407" s="672">
        <v>9.1999999999999993</v>
      </c>
      <c r="Q407" s="673">
        <f>ABS(O407-P407)</f>
        <v>0.52710605261291832</v>
      </c>
      <c r="R407" s="375" t="s">
        <v>188</v>
      </c>
      <c r="S407" s="366"/>
      <c r="T407" s="376"/>
      <c r="U407" s="376"/>
      <c r="V407" s="366"/>
      <c r="W407" s="366"/>
    </row>
    <row r="408" spans="1:23">
      <c r="A408" s="1410"/>
      <c r="B408" s="1413"/>
      <c r="C408" s="845" t="s">
        <v>986</v>
      </c>
      <c r="D408" s="875" t="str">
        <f>B405&amp;C408</f>
        <v>A1d</v>
      </c>
      <c r="E408" s="367">
        <v>3</v>
      </c>
      <c r="F408" s="669" t="s">
        <v>1057</v>
      </c>
      <c r="G408" s="369">
        <v>0.43402777777777773</v>
      </c>
      <c r="H408" s="368">
        <v>0.4513888888888889</v>
      </c>
      <c r="I408" s="369">
        <v>0.4548611111111111</v>
      </c>
      <c r="J408" s="368">
        <v>0.45902777777777781</v>
      </c>
      <c r="K408" s="669">
        <v>3.5</v>
      </c>
      <c r="L408" s="669">
        <v>19</v>
      </c>
      <c r="M408" s="675">
        <v>9.17</v>
      </c>
      <c r="N408" s="671">
        <f>IF(M408-P408&gt;0,M408-P408,0)</f>
        <v>3.67</v>
      </c>
      <c r="O408" s="671">
        <f>O407-K408/(PI()*(U403/2000)^2)</f>
        <v>5.5782144983780046</v>
      </c>
      <c r="P408" s="672">
        <v>5.5</v>
      </c>
      <c r="Q408" s="673">
        <f>ABS(O408-P408)</f>
        <v>7.8214498378004649E-2</v>
      </c>
      <c r="R408" s="375" t="s">
        <v>188</v>
      </c>
      <c r="S408" s="366"/>
      <c r="T408" s="376"/>
      <c r="U408" s="376"/>
      <c r="V408" s="366"/>
      <c r="W408" s="366"/>
    </row>
    <row r="409" spans="1:23">
      <c r="A409" s="1410"/>
      <c r="B409" s="1413"/>
      <c r="C409" s="845" t="s">
        <v>987</v>
      </c>
      <c r="D409" s="875" t="str">
        <f>B405&amp;C409</f>
        <v>A1e</v>
      </c>
      <c r="E409" s="367">
        <v>4</v>
      </c>
      <c r="F409" s="669"/>
      <c r="G409" s="369"/>
      <c r="H409" s="368"/>
      <c r="I409" s="369"/>
      <c r="J409" s="368"/>
      <c r="K409" s="370"/>
      <c r="L409" s="370"/>
      <c r="M409" s="371"/>
      <c r="N409" s="671"/>
      <c r="O409" s="671"/>
      <c r="P409" s="373"/>
      <c r="Q409" s="673"/>
      <c r="R409" s="375"/>
      <c r="S409" s="366"/>
      <c r="T409" s="376"/>
      <c r="U409" s="376"/>
      <c r="V409" s="366"/>
      <c r="W409" s="366"/>
    </row>
    <row r="410" spans="1:23">
      <c r="A410" s="1410"/>
      <c r="B410" s="1413"/>
      <c r="C410" s="845" t="s">
        <v>988</v>
      </c>
      <c r="D410" s="875" t="str">
        <f>B405&amp;C410</f>
        <v>A1f</v>
      </c>
      <c r="E410" s="367">
        <v>5</v>
      </c>
      <c r="F410" s="669"/>
      <c r="G410" s="369"/>
      <c r="H410" s="368"/>
      <c r="I410" s="369"/>
      <c r="J410" s="368"/>
      <c r="K410" s="370"/>
      <c r="L410" s="370"/>
      <c r="M410" s="371"/>
      <c r="N410" s="671"/>
      <c r="O410" s="671"/>
      <c r="P410" s="373"/>
      <c r="Q410" s="673"/>
      <c r="R410" s="377"/>
      <c r="S410" s="366" t="s">
        <v>190</v>
      </c>
      <c r="T410" s="376"/>
      <c r="U410" s="376"/>
      <c r="V410" s="366"/>
      <c r="W410" s="366"/>
    </row>
    <row r="411" spans="1:23">
      <c r="A411" s="1410"/>
      <c r="B411" s="1413"/>
      <c r="C411" s="845" t="s">
        <v>989</v>
      </c>
      <c r="D411" s="875" t="str">
        <f>B405&amp;C411</f>
        <v>A1g</v>
      </c>
      <c r="E411" s="367">
        <v>6</v>
      </c>
      <c r="F411" s="669"/>
      <c r="G411" s="369"/>
      <c r="H411" s="368"/>
      <c r="I411" s="369"/>
      <c r="J411" s="368"/>
      <c r="K411" s="370"/>
      <c r="L411" s="370"/>
      <c r="M411" s="371"/>
      <c r="N411" s="671"/>
      <c r="O411" s="671"/>
      <c r="P411" s="373"/>
      <c r="Q411" s="673"/>
      <c r="R411" s="375"/>
      <c r="S411" s="366" t="s">
        <v>190</v>
      </c>
      <c r="T411" s="366"/>
      <c r="U411" s="366"/>
      <c r="V411" s="366"/>
      <c r="W411" s="366"/>
    </row>
    <row r="412" spans="1:23">
      <c r="A412" s="1410"/>
      <c r="B412" s="1413"/>
      <c r="C412" s="845" t="s">
        <v>990</v>
      </c>
      <c r="D412" s="875" t="str">
        <f>B405&amp;C412</f>
        <v>A1h</v>
      </c>
      <c r="E412" s="367">
        <v>7</v>
      </c>
      <c r="F412" s="669"/>
      <c r="G412" s="368"/>
      <c r="H412" s="368"/>
      <c r="I412" s="368"/>
      <c r="J412" s="368"/>
      <c r="K412" s="370"/>
      <c r="L412" s="370"/>
      <c r="M412" s="371"/>
      <c r="N412" s="671"/>
      <c r="O412" s="671"/>
      <c r="P412" s="373"/>
      <c r="Q412" s="673"/>
      <c r="R412" s="377"/>
      <c r="S412" s="366" t="s">
        <v>190</v>
      </c>
      <c r="T412" s="366"/>
      <c r="U412" s="366"/>
      <c r="V412" s="366"/>
      <c r="W412" s="366"/>
    </row>
    <row r="413" spans="1:23">
      <c r="A413" s="1410"/>
      <c r="B413" s="1413"/>
      <c r="C413" s="845" t="s">
        <v>991</v>
      </c>
      <c r="D413" s="875" t="str">
        <f>B405&amp;C413</f>
        <v>A1i</v>
      </c>
      <c r="E413" s="367">
        <v>8</v>
      </c>
      <c r="F413" s="669"/>
      <c r="G413" s="368"/>
      <c r="H413" s="368"/>
      <c r="I413" s="368"/>
      <c r="J413" s="368"/>
      <c r="K413" s="370"/>
      <c r="L413" s="370"/>
      <c r="M413" s="371"/>
      <c r="N413" s="671"/>
      <c r="O413" s="671"/>
      <c r="P413" s="373"/>
      <c r="Q413" s="673"/>
      <c r="R413" s="378"/>
      <c r="S413" s="366"/>
      <c r="T413" s="366"/>
      <c r="U413" s="366"/>
      <c r="V413" s="366"/>
      <c r="W413" s="366"/>
    </row>
    <row r="414" spans="1:23">
      <c r="A414" s="1410"/>
      <c r="B414" s="1413"/>
      <c r="C414" s="845" t="s">
        <v>992</v>
      </c>
      <c r="D414" s="875" t="str">
        <f>B405&amp;C414</f>
        <v>A1k</v>
      </c>
      <c r="E414" s="367">
        <v>9</v>
      </c>
      <c r="F414" s="370"/>
      <c r="G414" s="368"/>
      <c r="H414" s="368"/>
      <c r="I414" s="368"/>
      <c r="J414" s="368"/>
      <c r="K414" s="370"/>
      <c r="L414" s="370"/>
      <c r="M414" s="371"/>
      <c r="N414" s="372"/>
      <c r="O414" s="372"/>
      <c r="P414" s="373"/>
      <c r="Q414" s="374"/>
      <c r="R414" s="378"/>
      <c r="S414" s="379"/>
      <c r="T414" s="366"/>
      <c r="U414" s="366"/>
      <c r="V414" s="366"/>
      <c r="W414" s="366"/>
    </row>
    <row r="415" spans="1:23">
      <c r="A415" s="1410"/>
      <c r="B415" s="1413"/>
      <c r="C415" s="845" t="s">
        <v>993</v>
      </c>
      <c r="D415" s="875" t="str">
        <f>B405&amp;C415</f>
        <v>A1l</v>
      </c>
      <c r="E415" s="367">
        <v>10</v>
      </c>
      <c r="F415" s="370"/>
      <c r="G415" s="368"/>
      <c r="H415" s="368"/>
      <c r="I415" s="368"/>
      <c r="J415" s="368"/>
      <c r="K415" s="370"/>
      <c r="L415" s="370"/>
      <c r="M415" s="370"/>
      <c r="N415" s="372"/>
      <c r="O415" s="372"/>
      <c r="P415" s="373"/>
      <c r="Q415" s="374"/>
      <c r="R415" s="378"/>
      <c r="S415" s="379"/>
      <c r="T415" s="366"/>
      <c r="U415" s="366"/>
      <c r="V415" s="366"/>
      <c r="W415" s="366"/>
    </row>
    <row r="416" spans="1:23">
      <c r="A416" s="1410"/>
      <c r="B416" s="1413"/>
      <c r="C416" s="845" t="s">
        <v>994</v>
      </c>
      <c r="D416" s="875" t="str">
        <f>B405&amp;C416</f>
        <v>A1m</v>
      </c>
      <c r="E416" s="367">
        <v>11</v>
      </c>
      <c r="F416" s="370"/>
      <c r="G416" s="368"/>
      <c r="H416" s="368"/>
      <c r="I416" s="368"/>
      <c r="J416" s="368"/>
      <c r="K416" s="370"/>
      <c r="L416" s="370"/>
      <c r="M416" s="370"/>
      <c r="N416" s="372"/>
      <c r="O416" s="372"/>
      <c r="P416" s="380"/>
      <c r="Q416" s="374"/>
      <c r="R416" s="381"/>
      <c r="S416" s="379"/>
      <c r="T416" s="366"/>
      <c r="U416" s="366"/>
      <c r="V416" s="366"/>
      <c r="W416" s="366"/>
    </row>
    <row r="417" spans="1:23">
      <c r="A417" s="1410"/>
      <c r="B417" s="1413"/>
      <c r="C417" s="845" t="s">
        <v>995</v>
      </c>
      <c r="D417" s="875" t="str">
        <f>B405&amp;C417</f>
        <v>A1n</v>
      </c>
      <c r="E417" s="367">
        <v>12</v>
      </c>
      <c r="F417" s="370"/>
      <c r="G417" s="368"/>
      <c r="H417" s="368"/>
      <c r="I417" s="368"/>
      <c r="J417" s="368"/>
      <c r="K417" s="370"/>
      <c r="L417" s="370"/>
      <c r="M417" s="370"/>
      <c r="N417" s="372"/>
      <c r="O417" s="372"/>
      <c r="P417" s="380"/>
      <c r="Q417" s="374"/>
      <c r="R417" s="381"/>
      <c r="S417" s="361"/>
      <c r="T417" s="361"/>
      <c r="U417" s="361"/>
      <c r="V417" s="366"/>
      <c r="W417" s="366"/>
    </row>
    <row r="418" spans="1:23">
      <c r="A418" s="1410"/>
      <c r="B418" s="1413"/>
      <c r="C418" s="845" t="s">
        <v>471</v>
      </c>
      <c r="D418" s="875" t="str">
        <f>B405&amp;C418</f>
        <v>A1x</v>
      </c>
      <c r="E418" s="367">
        <v>13</v>
      </c>
      <c r="F418" s="370"/>
      <c r="G418" s="368"/>
      <c r="H418" s="368"/>
      <c r="I418" s="368"/>
      <c r="J418" s="368"/>
      <c r="K418" s="370"/>
      <c r="L418" s="370"/>
      <c r="M418" s="370"/>
      <c r="N418" s="382"/>
      <c r="O418" s="372"/>
      <c r="P418" s="380"/>
      <c r="Q418" s="381"/>
      <c r="R418" s="381"/>
      <c r="S418" s="361"/>
      <c r="T418" s="361"/>
      <c r="U418" s="361"/>
      <c r="V418" s="366"/>
      <c r="W418" s="366"/>
    </row>
    <row r="419" spans="1:23">
      <c r="A419" s="1410"/>
      <c r="B419" s="1413"/>
      <c r="C419" s="845" t="s">
        <v>732</v>
      </c>
      <c r="D419" s="875" t="str">
        <f>B405&amp;C419</f>
        <v>A1y</v>
      </c>
      <c r="E419" s="367">
        <v>14</v>
      </c>
      <c r="F419" s="370"/>
      <c r="G419" s="368"/>
      <c r="H419" s="368"/>
      <c r="I419" s="368"/>
      <c r="J419" s="368"/>
      <c r="K419" s="370"/>
      <c r="L419" s="370"/>
      <c r="M419" s="370"/>
      <c r="N419" s="382"/>
      <c r="O419" s="372"/>
      <c r="P419" s="380"/>
      <c r="Q419" s="381"/>
      <c r="R419" s="381"/>
      <c r="S419" s="361"/>
      <c r="T419" s="361"/>
      <c r="U419" s="362"/>
      <c r="V419" s="366"/>
      <c r="W419" s="366"/>
    </row>
    <row r="420" spans="1:23">
      <c r="A420" s="1411"/>
      <c r="B420" s="1414"/>
      <c r="C420" s="846" t="s">
        <v>996</v>
      </c>
      <c r="D420" s="876" t="str">
        <f>B405&amp;C420</f>
        <v>A1z</v>
      </c>
      <c r="E420" s="847">
        <v>15</v>
      </c>
      <c r="F420" s="370"/>
      <c r="G420" s="368"/>
      <c r="H420" s="368"/>
      <c r="I420" s="368"/>
      <c r="J420" s="368"/>
      <c r="K420" s="370"/>
      <c r="L420" s="370"/>
      <c r="M420" s="370"/>
      <c r="N420" s="850"/>
      <c r="O420" s="851"/>
      <c r="P420" s="851"/>
      <c r="Q420" s="852"/>
      <c r="R420" s="383"/>
      <c r="S420" s="361"/>
      <c r="T420" s="832"/>
      <c r="U420" s="830"/>
      <c r="V420" s="366"/>
      <c r="W420" s="366"/>
    </row>
    <row r="421" spans="1:23">
      <c r="A421" s="1400" t="s">
        <v>939</v>
      </c>
      <c r="B421" s="1400" t="s">
        <v>17</v>
      </c>
      <c r="C421" s="827"/>
      <c r="D421" s="871"/>
      <c r="E421" s="1400" t="s">
        <v>177</v>
      </c>
      <c r="F421" s="1400" t="s">
        <v>18</v>
      </c>
      <c r="G421" s="1389" t="s">
        <v>19</v>
      </c>
      <c r="H421" s="1390"/>
      <c r="I421" s="1389" t="s">
        <v>22</v>
      </c>
      <c r="J421" s="1390"/>
      <c r="K421" s="1393" t="s">
        <v>26</v>
      </c>
      <c r="L421" s="1390"/>
      <c r="M421" s="1389" t="s">
        <v>392</v>
      </c>
      <c r="N421" s="1390"/>
      <c r="O421" s="1389" t="s">
        <v>28</v>
      </c>
      <c r="P421" s="1393"/>
      <c r="Q421" s="1390"/>
      <c r="R421" s="1400" t="s">
        <v>36</v>
      </c>
      <c r="S421" s="361"/>
      <c r="T421" s="361">
        <f>MAX(J425:J439)-MIN(I425:I439)</f>
        <v>5.208333333333337E-2</v>
      </c>
      <c r="U421" s="361"/>
      <c r="V421" s="853" t="str">
        <f t="shared" ref="V421" si="46">B425</f>
        <v>A27</v>
      </c>
      <c r="W421" s="361">
        <f t="shared" ref="W421" si="47">COUNTIF(K426:K440,"&gt;0")</f>
        <v>4</v>
      </c>
    </row>
    <row r="422" spans="1:23">
      <c r="A422" s="1401"/>
      <c r="B422" s="1401"/>
      <c r="C422" s="828"/>
      <c r="D422" s="872"/>
      <c r="E422" s="1401"/>
      <c r="F422" s="1401"/>
      <c r="G422" s="1391"/>
      <c r="H422" s="1392"/>
      <c r="I422" s="1391"/>
      <c r="J422" s="1392"/>
      <c r="K422" s="1394"/>
      <c r="L422" s="1392"/>
      <c r="M422" s="1391"/>
      <c r="N422" s="1392"/>
      <c r="O422" s="1391"/>
      <c r="P422" s="1394"/>
      <c r="Q422" s="1392"/>
      <c r="R422" s="1401"/>
      <c r="S422" s="361"/>
      <c r="T422" s="361"/>
      <c r="U422" s="361"/>
      <c r="V422" s="361"/>
      <c r="W422" s="361"/>
    </row>
    <row r="423" spans="1:23">
      <c r="A423" s="1401"/>
      <c r="B423" s="1401"/>
      <c r="C423" s="828"/>
      <c r="D423" s="872"/>
      <c r="E423" s="1401"/>
      <c r="F423" s="1401"/>
      <c r="G423" s="1400" t="s">
        <v>20</v>
      </c>
      <c r="H423" s="1400" t="s">
        <v>21</v>
      </c>
      <c r="I423" s="1400" t="s">
        <v>361</v>
      </c>
      <c r="J423" s="1400" t="s">
        <v>353</v>
      </c>
      <c r="K423" s="1400" t="s">
        <v>23</v>
      </c>
      <c r="L423" s="1400" t="s">
        <v>24</v>
      </c>
      <c r="M423" s="1400" t="s">
        <v>27</v>
      </c>
      <c r="N423" s="1400" t="s">
        <v>178</v>
      </c>
      <c r="O423" s="1400" t="s">
        <v>1</v>
      </c>
      <c r="P423" s="1400" t="s">
        <v>29</v>
      </c>
      <c r="Q423" s="1400" t="s">
        <v>33</v>
      </c>
      <c r="R423" s="1401"/>
      <c r="S423" s="361"/>
      <c r="T423" s="361" t="s">
        <v>39</v>
      </c>
      <c r="U423" s="362">
        <f>VLOOKUP(B425,'Thong tin'!$A:$M,13,0)</f>
        <v>1200</v>
      </c>
      <c r="V423" s="361"/>
      <c r="W423" s="361"/>
    </row>
    <row r="424" spans="1:23">
      <c r="A424" s="1402"/>
      <c r="B424" s="1402"/>
      <c r="C424" s="829"/>
      <c r="D424" s="873"/>
      <c r="E424" s="1402"/>
      <c r="F424" s="1402"/>
      <c r="G424" s="1402"/>
      <c r="H424" s="1402"/>
      <c r="I424" s="1402"/>
      <c r="J424" s="1402"/>
      <c r="K424" s="1402"/>
      <c r="L424" s="1402"/>
      <c r="M424" s="1402"/>
      <c r="N424" s="1402"/>
      <c r="O424" s="1402"/>
      <c r="P424" s="1402"/>
      <c r="Q424" s="1402"/>
      <c r="R424" s="1402"/>
      <c r="S424" s="361"/>
      <c r="T424" s="1399" t="s">
        <v>393</v>
      </c>
      <c r="U424" s="1397">
        <f>VLOOKUP(B425,DT.NK!$B:$AZ,45,0)</f>
        <v>27.23</v>
      </c>
      <c r="V424" s="361"/>
      <c r="W424" s="361"/>
    </row>
    <row r="425" spans="1:23">
      <c r="A425" s="1409">
        <f>A405+1</f>
        <v>22</v>
      </c>
      <c r="B425" s="1412" t="s">
        <v>618</v>
      </c>
      <c r="C425" s="844" t="s">
        <v>983</v>
      </c>
      <c r="D425" s="874" t="str">
        <f>B425&amp;C425</f>
        <v>A27a</v>
      </c>
      <c r="E425" s="363"/>
      <c r="F425" s="364"/>
      <c r="G425" s="364"/>
      <c r="H425" s="364"/>
      <c r="I425" s="364"/>
      <c r="J425" s="364"/>
      <c r="K425" s="364"/>
      <c r="L425" s="364"/>
      <c r="M425" s="674"/>
      <c r="N425" s="670"/>
      <c r="O425" s="670">
        <f>U424</f>
        <v>27.23</v>
      </c>
      <c r="P425" s="670">
        <f>O425</f>
        <v>27.23</v>
      </c>
      <c r="Q425" s="670">
        <v>0</v>
      </c>
      <c r="R425" s="365"/>
      <c r="S425" s="366"/>
      <c r="T425" s="1399"/>
      <c r="U425" s="1398"/>
      <c r="V425" s="361"/>
      <c r="W425" s="361"/>
    </row>
    <row r="426" spans="1:23">
      <c r="A426" s="1410"/>
      <c r="B426" s="1413"/>
      <c r="C426" s="845" t="s">
        <v>984</v>
      </c>
      <c r="D426" s="875" t="str">
        <f>B425&amp;C426</f>
        <v>A27b</v>
      </c>
      <c r="E426" s="367">
        <v>1</v>
      </c>
      <c r="F426" s="669" t="s">
        <v>1055</v>
      </c>
      <c r="G426" s="369">
        <v>0.63888888888888895</v>
      </c>
      <c r="H426" s="368">
        <v>0.67013888888888884</v>
      </c>
      <c r="I426" s="369">
        <v>0.68402777777777779</v>
      </c>
      <c r="J426" s="368">
        <v>0.6875</v>
      </c>
      <c r="K426" s="669">
        <v>7</v>
      </c>
      <c r="L426" s="669">
        <v>20</v>
      </c>
      <c r="M426" s="675">
        <v>25.73</v>
      </c>
      <c r="N426" s="671">
        <f>IF(M426-P426&gt;0,M426-P426,0)</f>
        <v>4.7300000000000004</v>
      </c>
      <c r="O426" s="671">
        <f>O425-K426/(PI()*(U423/2000)^2)</f>
        <v>21.040641101981848</v>
      </c>
      <c r="P426" s="672">
        <v>21</v>
      </c>
      <c r="Q426" s="673">
        <f>ABS(O426-P426)</f>
        <v>4.0641101981847783E-2</v>
      </c>
      <c r="R426" s="375" t="s">
        <v>188</v>
      </c>
      <c r="S426" s="366"/>
      <c r="T426" s="376"/>
      <c r="U426" s="376"/>
      <c r="V426" s="366"/>
      <c r="W426" s="366"/>
    </row>
    <row r="427" spans="1:23">
      <c r="A427" s="1410"/>
      <c r="B427" s="1413"/>
      <c r="C427" s="845" t="s">
        <v>985</v>
      </c>
      <c r="D427" s="875" t="str">
        <f>B425&amp;C427</f>
        <v>A27c</v>
      </c>
      <c r="E427" s="367">
        <v>2</v>
      </c>
      <c r="F427" s="669" t="s">
        <v>1056</v>
      </c>
      <c r="G427" s="369">
        <v>0.64930555555555558</v>
      </c>
      <c r="H427" s="368">
        <v>0.67847222222222225</v>
      </c>
      <c r="I427" s="369">
        <v>0.69444444444444453</v>
      </c>
      <c r="J427" s="368">
        <v>0.69861111111111107</v>
      </c>
      <c r="K427" s="669">
        <v>7</v>
      </c>
      <c r="L427" s="669">
        <v>19.5</v>
      </c>
      <c r="M427" s="675">
        <v>19.43</v>
      </c>
      <c r="N427" s="671">
        <f>IF(M427-P427&gt;0,M427-P427,0)</f>
        <v>5.129999999999999</v>
      </c>
      <c r="O427" s="671">
        <f>O426-K427/(PI()*(U423/2000)^2)</f>
        <v>14.851282203963695</v>
      </c>
      <c r="P427" s="672">
        <v>14.3</v>
      </c>
      <c r="Q427" s="673">
        <f>ABS(O427-P427)</f>
        <v>0.55128220396369443</v>
      </c>
      <c r="R427" s="375" t="s">
        <v>188</v>
      </c>
      <c r="S427" s="366"/>
      <c r="T427" s="376"/>
      <c r="U427" s="376"/>
      <c r="V427" s="366"/>
      <c r="W427" s="366"/>
    </row>
    <row r="428" spans="1:23">
      <c r="A428" s="1410"/>
      <c r="B428" s="1413"/>
      <c r="C428" s="845" t="s">
        <v>986</v>
      </c>
      <c r="D428" s="875" t="str">
        <f>B425&amp;C428</f>
        <v>A27d</v>
      </c>
      <c r="E428" s="367">
        <v>3</v>
      </c>
      <c r="F428" s="669" t="s">
        <v>1062</v>
      </c>
      <c r="G428" s="369">
        <v>0.65972222222222221</v>
      </c>
      <c r="H428" s="368">
        <v>0.68402777777777779</v>
      </c>
      <c r="I428" s="369">
        <v>0.70486111111111116</v>
      </c>
      <c r="J428" s="368">
        <v>0.70833333333333337</v>
      </c>
      <c r="K428" s="669">
        <v>7</v>
      </c>
      <c r="L428" s="669">
        <v>20</v>
      </c>
      <c r="M428" s="675">
        <v>13.13</v>
      </c>
      <c r="N428" s="671">
        <f>IF(M428-P428&gt;0,M428-P428,0)</f>
        <v>5.1300000000000008</v>
      </c>
      <c r="O428" s="671">
        <f>O427-K428/(PI()*(U423/2000)^2)</f>
        <v>8.6619233059455425</v>
      </c>
      <c r="P428" s="672">
        <v>8</v>
      </c>
      <c r="Q428" s="673">
        <f>ABS(O428-P428)</f>
        <v>0.6619233059455425</v>
      </c>
      <c r="R428" s="375"/>
      <c r="S428" s="366"/>
      <c r="T428" s="376"/>
      <c r="U428" s="376"/>
      <c r="V428" s="366"/>
      <c r="W428" s="366"/>
    </row>
    <row r="429" spans="1:23">
      <c r="A429" s="1410"/>
      <c r="B429" s="1413"/>
      <c r="C429" s="845" t="s">
        <v>987</v>
      </c>
      <c r="D429" s="875" t="str">
        <f>B425&amp;C429</f>
        <v>A27e</v>
      </c>
      <c r="E429" s="367">
        <v>4</v>
      </c>
      <c r="F429" s="669" t="s">
        <v>1063</v>
      </c>
      <c r="G429" s="369">
        <v>0.71319444444444446</v>
      </c>
      <c r="H429" s="368">
        <v>0.72916666666666663</v>
      </c>
      <c r="I429" s="369">
        <v>0.73263888888888884</v>
      </c>
      <c r="J429" s="368">
        <v>0.73611111111111116</v>
      </c>
      <c r="K429" s="370">
        <v>2</v>
      </c>
      <c r="L429" s="370">
        <v>20</v>
      </c>
      <c r="M429" s="371">
        <v>13.13</v>
      </c>
      <c r="N429" s="671">
        <f>IF(M429-P429&gt;0,M429-P429,0)</f>
        <v>6.73</v>
      </c>
      <c r="O429" s="671">
        <f>O428-K429/(PI()*(U423/2000)^2)</f>
        <v>6.8935350493689276</v>
      </c>
      <c r="P429" s="373">
        <v>6.4</v>
      </c>
      <c r="Q429" s="673">
        <f>ABS(O429-P429)</f>
        <v>0.49353504936892723</v>
      </c>
      <c r="R429" s="375" t="s">
        <v>188</v>
      </c>
      <c r="S429" s="366"/>
      <c r="T429" s="376"/>
      <c r="U429" s="376"/>
      <c r="V429" s="366"/>
      <c r="W429" s="366"/>
    </row>
    <row r="430" spans="1:23">
      <c r="A430" s="1410"/>
      <c r="B430" s="1413"/>
      <c r="C430" s="845" t="s">
        <v>988</v>
      </c>
      <c r="D430" s="875" t="str">
        <f>B425&amp;C430</f>
        <v>A27f</v>
      </c>
      <c r="E430" s="367">
        <v>5</v>
      </c>
      <c r="F430" s="669"/>
      <c r="G430" s="369"/>
      <c r="H430" s="368"/>
      <c r="I430" s="369"/>
      <c r="J430" s="368"/>
      <c r="K430" s="370"/>
      <c r="L430" s="370"/>
      <c r="M430" s="371"/>
      <c r="N430" s="671"/>
      <c r="O430" s="671"/>
      <c r="P430" s="373"/>
      <c r="Q430" s="673"/>
      <c r="R430" s="377"/>
      <c r="S430" s="366" t="s">
        <v>190</v>
      </c>
      <c r="T430" s="376"/>
      <c r="U430" s="376"/>
      <c r="V430" s="366"/>
      <c r="W430" s="366"/>
    </row>
    <row r="431" spans="1:23">
      <c r="A431" s="1410"/>
      <c r="B431" s="1413"/>
      <c r="C431" s="845" t="s">
        <v>989</v>
      </c>
      <c r="D431" s="875" t="str">
        <f>B425&amp;C431</f>
        <v>A27g</v>
      </c>
      <c r="E431" s="367">
        <v>6</v>
      </c>
      <c r="F431" s="669"/>
      <c r="G431" s="369"/>
      <c r="H431" s="368"/>
      <c r="I431" s="369"/>
      <c r="J431" s="368"/>
      <c r="K431" s="370"/>
      <c r="L431" s="370"/>
      <c r="M431" s="371"/>
      <c r="N431" s="671"/>
      <c r="O431" s="671"/>
      <c r="P431" s="373"/>
      <c r="Q431" s="673"/>
      <c r="R431" s="375"/>
      <c r="S431" s="366" t="s">
        <v>190</v>
      </c>
      <c r="T431" s="366"/>
      <c r="U431" s="366"/>
      <c r="V431" s="366"/>
      <c r="W431" s="366"/>
    </row>
    <row r="432" spans="1:23">
      <c r="A432" s="1410"/>
      <c r="B432" s="1413"/>
      <c r="C432" s="845" t="s">
        <v>990</v>
      </c>
      <c r="D432" s="875" t="str">
        <f>B425&amp;C432</f>
        <v>A27h</v>
      </c>
      <c r="E432" s="367">
        <v>7</v>
      </c>
      <c r="F432" s="669"/>
      <c r="G432" s="368"/>
      <c r="H432" s="368"/>
      <c r="I432" s="368"/>
      <c r="J432" s="368"/>
      <c r="K432" s="370"/>
      <c r="L432" s="370"/>
      <c r="M432" s="371"/>
      <c r="N432" s="671"/>
      <c r="O432" s="671"/>
      <c r="P432" s="373"/>
      <c r="Q432" s="673"/>
      <c r="R432" s="377"/>
      <c r="S432" s="366" t="s">
        <v>190</v>
      </c>
      <c r="T432" s="366"/>
      <c r="U432" s="366"/>
      <c r="V432" s="366"/>
      <c r="W432" s="366"/>
    </row>
    <row r="433" spans="1:23">
      <c r="A433" s="1410"/>
      <c r="B433" s="1413"/>
      <c r="C433" s="845" t="s">
        <v>991</v>
      </c>
      <c r="D433" s="875" t="str">
        <f>B425&amp;C433</f>
        <v>A27i</v>
      </c>
      <c r="E433" s="367">
        <v>8</v>
      </c>
      <c r="F433" s="669"/>
      <c r="G433" s="368"/>
      <c r="H433" s="368"/>
      <c r="I433" s="368"/>
      <c r="J433" s="368"/>
      <c r="K433" s="370"/>
      <c r="L433" s="370"/>
      <c r="M433" s="371"/>
      <c r="N433" s="671"/>
      <c r="O433" s="671"/>
      <c r="P433" s="373"/>
      <c r="Q433" s="673"/>
      <c r="R433" s="378"/>
      <c r="S433" s="366"/>
      <c r="T433" s="366"/>
      <c r="U433" s="366"/>
      <c r="V433" s="366"/>
      <c r="W433" s="366"/>
    </row>
    <row r="434" spans="1:23">
      <c r="A434" s="1410"/>
      <c r="B434" s="1413"/>
      <c r="C434" s="845" t="s">
        <v>992</v>
      </c>
      <c r="D434" s="875" t="str">
        <f>B425&amp;C434</f>
        <v>A27k</v>
      </c>
      <c r="E434" s="367">
        <v>9</v>
      </c>
      <c r="F434" s="370"/>
      <c r="G434" s="368"/>
      <c r="H434" s="368"/>
      <c r="I434" s="368"/>
      <c r="J434" s="368"/>
      <c r="K434" s="370"/>
      <c r="L434" s="370"/>
      <c r="M434" s="371"/>
      <c r="N434" s="372"/>
      <c r="O434" s="372"/>
      <c r="P434" s="373"/>
      <c r="Q434" s="374"/>
      <c r="R434" s="378"/>
      <c r="S434" s="379"/>
      <c r="T434" s="366"/>
      <c r="U434" s="366"/>
      <c r="V434" s="366"/>
      <c r="W434" s="366"/>
    </row>
    <row r="435" spans="1:23">
      <c r="A435" s="1410"/>
      <c r="B435" s="1413"/>
      <c r="C435" s="845" t="s">
        <v>993</v>
      </c>
      <c r="D435" s="875" t="str">
        <f>B425&amp;C435</f>
        <v>A27l</v>
      </c>
      <c r="E435" s="367">
        <v>10</v>
      </c>
      <c r="F435" s="370"/>
      <c r="G435" s="368"/>
      <c r="H435" s="368"/>
      <c r="I435" s="368"/>
      <c r="J435" s="368"/>
      <c r="K435" s="370"/>
      <c r="L435" s="370"/>
      <c r="M435" s="370"/>
      <c r="N435" s="372"/>
      <c r="O435" s="372"/>
      <c r="P435" s="373"/>
      <c r="Q435" s="374"/>
      <c r="R435" s="378"/>
      <c r="S435" s="379"/>
      <c r="T435" s="366"/>
      <c r="U435" s="366"/>
      <c r="V435" s="366"/>
      <c r="W435" s="366"/>
    </row>
    <row r="436" spans="1:23">
      <c r="A436" s="1410"/>
      <c r="B436" s="1413"/>
      <c r="C436" s="845" t="s">
        <v>994</v>
      </c>
      <c r="D436" s="875" t="str">
        <f>B425&amp;C436</f>
        <v>A27m</v>
      </c>
      <c r="E436" s="367">
        <v>11</v>
      </c>
      <c r="F436" s="370"/>
      <c r="G436" s="368"/>
      <c r="H436" s="368"/>
      <c r="I436" s="368"/>
      <c r="J436" s="368"/>
      <c r="K436" s="370"/>
      <c r="L436" s="370"/>
      <c r="M436" s="370"/>
      <c r="N436" s="372"/>
      <c r="O436" s="372"/>
      <c r="P436" s="380"/>
      <c r="Q436" s="374"/>
      <c r="R436" s="381"/>
      <c r="S436" s="379"/>
      <c r="T436" s="366"/>
      <c r="U436" s="366"/>
      <c r="V436" s="366"/>
      <c r="W436" s="366"/>
    </row>
    <row r="437" spans="1:23">
      <c r="A437" s="1410"/>
      <c r="B437" s="1413"/>
      <c r="C437" s="845" t="s">
        <v>995</v>
      </c>
      <c r="D437" s="875" t="str">
        <f>B425&amp;C437</f>
        <v>A27n</v>
      </c>
      <c r="E437" s="367">
        <v>12</v>
      </c>
      <c r="F437" s="370"/>
      <c r="G437" s="368"/>
      <c r="H437" s="368"/>
      <c r="I437" s="368"/>
      <c r="J437" s="368"/>
      <c r="K437" s="370"/>
      <c r="L437" s="370"/>
      <c r="M437" s="370"/>
      <c r="N437" s="372"/>
      <c r="O437" s="372"/>
      <c r="P437" s="380"/>
      <c r="Q437" s="374"/>
      <c r="R437" s="381"/>
      <c r="S437" s="361"/>
      <c r="T437" s="361"/>
      <c r="U437" s="361"/>
      <c r="V437" s="366"/>
      <c r="W437" s="366"/>
    </row>
    <row r="438" spans="1:23">
      <c r="A438" s="1410"/>
      <c r="B438" s="1413"/>
      <c r="C438" s="845" t="s">
        <v>471</v>
      </c>
      <c r="D438" s="875" t="str">
        <f>B425&amp;C438</f>
        <v>A27x</v>
      </c>
      <c r="E438" s="367">
        <v>13</v>
      </c>
      <c r="F438" s="370"/>
      <c r="G438" s="368"/>
      <c r="H438" s="368"/>
      <c r="I438" s="368"/>
      <c r="J438" s="368"/>
      <c r="K438" s="370"/>
      <c r="L438" s="370"/>
      <c r="M438" s="370"/>
      <c r="N438" s="382"/>
      <c r="O438" s="372"/>
      <c r="P438" s="380"/>
      <c r="Q438" s="381"/>
      <c r="R438" s="381"/>
      <c r="S438" s="361"/>
      <c r="T438" s="361"/>
      <c r="U438" s="361"/>
      <c r="V438" s="366"/>
      <c r="W438" s="366"/>
    </row>
    <row r="439" spans="1:23">
      <c r="A439" s="1410"/>
      <c r="B439" s="1413"/>
      <c r="C439" s="845" t="s">
        <v>732</v>
      </c>
      <c r="D439" s="875" t="str">
        <f>B425&amp;C439</f>
        <v>A27y</v>
      </c>
      <c r="E439" s="367">
        <v>14</v>
      </c>
      <c r="F439" s="370"/>
      <c r="G439" s="368"/>
      <c r="H439" s="368"/>
      <c r="I439" s="368"/>
      <c r="J439" s="368"/>
      <c r="K439" s="370"/>
      <c r="L439" s="370"/>
      <c r="M439" s="370"/>
      <c r="N439" s="382"/>
      <c r="O439" s="372"/>
      <c r="P439" s="380"/>
      <c r="Q439" s="381"/>
      <c r="R439" s="381"/>
      <c r="S439" s="361"/>
      <c r="T439" s="361"/>
      <c r="U439" s="362"/>
      <c r="V439" s="366"/>
      <c r="W439" s="366"/>
    </row>
    <row r="440" spans="1:23">
      <c r="A440" s="1411"/>
      <c r="B440" s="1414"/>
      <c r="C440" s="846" t="s">
        <v>996</v>
      </c>
      <c r="D440" s="876" t="str">
        <f>B425&amp;C440</f>
        <v>A27z</v>
      </c>
      <c r="E440" s="847">
        <v>15</v>
      </c>
      <c r="F440" s="370"/>
      <c r="G440" s="368"/>
      <c r="H440" s="368"/>
      <c r="I440" s="368"/>
      <c r="J440" s="368"/>
      <c r="K440" s="370"/>
      <c r="L440" s="370"/>
      <c r="M440" s="370"/>
      <c r="N440" s="850"/>
      <c r="O440" s="851"/>
      <c r="P440" s="851"/>
      <c r="Q440" s="852"/>
      <c r="R440" s="383"/>
      <c r="S440" s="361"/>
      <c r="T440" s="832"/>
      <c r="U440" s="830"/>
      <c r="V440" s="366"/>
      <c r="W440" s="366"/>
    </row>
    <row r="441" spans="1:23">
      <c r="A441" s="1400" t="s">
        <v>939</v>
      </c>
      <c r="B441" s="1400" t="s">
        <v>17</v>
      </c>
      <c r="C441" s="827"/>
      <c r="D441" s="871"/>
      <c r="E441" s="1400" t="s">
        <v>177</v>
      </c>
      <c r="F441" s="1400" t="s">
        <v>18</v>
      </c>
      <c r="G441" s="1389" t="s">
        <v>19</v>
      </c>
      <c r="H441" s="1390"/>
      <c r="I441" s="1389" t="s">
        <v>22</v>
      </c>
      <c r="J441" s="1390"/>
      <c r="K441" s="1393" t="s">
        <v>26</v>
      </c>
      <c r="L441" s="1390"/>
      <c r="M441" s="1389" t="s">
        <v>392</v>
      </c>
      <c r="N441" s="1390"/>
      <c r="O441" s="1389" t="s">
        <v>28</v>
      </c>
      <c r="P441" s="1393"/>
      <c r="Q441" s="1390"/>
      <c r="R441" s="1400" t="s">
        <v>36</v>
      </c>
      <c r="S441" s="361"/>
      <c r="T441" s="361">
        <f>MAX(J445:J459)-MIN(I445:I459)</f>
        <v>6.5972222222222099E-2</v>
      </c>
      <c r="U441" s="361"/>
      <c r="V441" s="853" t="str">
        <f t="shared" ref="V441" si="48">B445</f>
        <v>A3</v>
      </c>
      <c r="W441" s="361">
        <f t="shared" ref="W441" si="49">COUNTIF(K446:K460,"&gt;0")</f>
        <v>4</v>
      </c>
    </row>
    <row r="442" spans="1:23">
      <c r="A442" s="1401"/>
      <c r="B442" s="1401"/>
      <c r="C442" s="828"/>
      <c r="D442" s="872"/>
      <c r="E442" s="1401"/>
      <c r="F442" s="1401"/>
      <c r="G442" s="1391"/>
      <c r="H442" s="1392"/>
      <c r="I442" s="1391"/>
      <c r="J442" s="1392"/>
      <c r="K442" s="1394"/>
      <c r="L442" s="1392"/>
      <c r="M442" s="1391"/>
      <c r="N442" s="1392"/>
      <c r="O442" s="1391"/>
      <c r="P442" s="1394"/>
      <c r="Q442" s="1392"/>
      <c r="R442" s="1401"/>
      <c r="S442" s="361"/>
      <c r="T442" s="361"/>
      <c r="U442" s="361"/>
      <c r="V442" s="361"/>
      <c r="W442" s="361"/>
    </row>
    <row r="443" spans="1:23">
      <c r="A443" s="1401"/>
      <c r="B443" s="1401"/>
      <c r="C443" s="828"/>
      <c r="D443" s="872"/>
      <c r="E443" s="1401"/>
      <c r="F443" s="1401"/>
      <c r="G443" s="1400" t="s">
        <v>20</v>
      </c>
      <c r="H443" s="1400" t="s">
        <v>21</v>
      </c>
      <c r="I443" s="1400" t="s">
        <v>361</v>
      </c>
      <c r="J443" s="1400" t="s">
        <v>353</v>
      </c>
      <c r="K443" s="1400" t="s">
        <v>23</v>
      </c>
      <c r="L443" s="1400" t="s">
        <v>24</v>
      </c>
      <c r="M443" s="1400" t="s">
        <v>27</v>
      </c>
      <c r="N443" s="1400" t="s">
        <v>178</v>
      </c>
      <c r="O443" s="1400" t="s">
        <v>1</v>
      </c>
      <c r="P443" s="1400" t="s">
        <v>29</v>
      </c>
      <c r="Q443" s="1400" t="s">
        <v>33</v>
      </c>
      <c r="R443" s="1401"/>
      <c r="S443" s="361"/>
      <c r="T443" s="361" t="s">
        <v>39</v>
      </c>
      <c r="U443" s="362">
        <f>VLOOKUP(B445,'Thong tin'!$A:$M,13,0)</f>
        <v>1200</v>
      </c>
      <c r="V443" s="361"/>
      <c r="W443" s="361"/>
    </row>
    <row r="444" spans="1:23">
      <c r="A444" s="1402"/>
      <c r="B444" s="1402"/>
      <c r="C444" s="829"/>
      <c r="D444" s="873"/>
      <c r="E444" s="1402"/>
      <c r="F444" s="1402"/>
      <c r="G444" s="1402"/>
      <c r="H444" s="1402"/>
      <c r="I444" s="1402"/>
      <c r="J444" s="1402"/>
      <c r="K444" s="1402"/>
      <c r="L444" s="1402"/>
      <c r="M444" s="1402"/>
      <c r="N444" s="1402"/>
      <c r="O444" s="1402"/>
      <c r="P444" s="1402"/>
      <c r="Q444" s="1402"/>
      <c r="R444" s="1402"/>
      <c r="S444" s="361"/>
      <c r="T444" s="1399" t="s">
        <v>393</v>
      </c>
      <c r="U444" s="1397">
        <f>VLOOKUP(B445,DT.NK!$B:$AZ,45,0)</f>
        <v>27.6</v>
      </c>
      <c r="V444" s="361"/>
      <c r="W444" s="361"/>
    </row>
    <row r="445" spans="1:23">
      <c r="A445" s="1409">
        <f>A425+1</f>
        <v>23</v>
      </c>
      <c r="B445" s="1412" t="s">
        <v>499</v>
      </c>
      <c r="C445" s="844" t="s">
        <v>983</v>
      </c>
      <c r="D445" s="874" t="str">
        <f>B445&amp;C445</f>
        <v>A3a</v>
      </c>
      <c r="E445" s="363"/>
      <c r="F445" s="364"/>
      <c r="G445" s="364"/>
      <c r="H445" s="364"/>
      <c r="I445" s="364"/>
      <c r="J445" s="364"/>
      <c r="K445" s="364"/>
      <c r="L445" s="364"/>
      <c r="M445" s="674"/>
      <c r="N445" s="670"/>
      <c r="O445" s="670">
        <f>U444</f>
        <v>27.6</v>
      </c>
      <c r="P445" s="670">
        <f>O445</f>
        <v>27.6</v>
      </c>
      <c r="Q445" s="670">
        <v>0</v>
      </c>
      <c r="R445" s="365"/>
      <c r="S445" s="366"/>
      <c r="T445" s="1399"/>
      <c r="U445" s="1398"/>
      <c r="V445" s="361"/>
      <c r="W445" s="361"/>
    </row>
    <row r="446" spans="1:23">
      <c r="A446" s="1410"/>
      <c r="B446" s="1413"/>
      <c r="C446" s="845" t="s">
        <v>984</v>
      </c>
      <c r="D446" s="875" t="str">
        <f>B445&amp;C446</f>
        <v>A3b</v>
      </c>
      <c r="E446" s="367">
        <v>1</v>
      </c>
      <c r="F446" s="669" t="s">
        <v>1054</v>
      </c>
      <c r="G446" s="369">
        <v>0.77083333333333337</v>
      </c>
      <c r="H446" s="368">
        <v>0.79166666666666663</v>
      </c>
      <c r="I446" s="369">
        <v>0.80208333333333337</v>
      </c>
      <c r="J446" s="368">
        <v>0.8125</v>
      </c>
      <c r="K446" s="669">
        <v>7</v>
      </c>
      <c r="L446" s="669">
        <v>20</v>
      </c>
      <c r="M446" s="675">
        <v>27.6</v>
      </c>
      <c r="N446" s="671">
        <f>IF(M446-P446&gt;0,M446-P446,0)</f>
        <v>5.1000000000000014</v>
      </c>
      <c r="O446" s="671">
        <f>O445-K446/(PI()*(U443/2000)^2)</f>
        <v>21.410641101981849</v>
      </c>
      <c r="P446" s="672">
        <v>22.5</v>
      </c>
      <c r="Q446" s="673">
        <f>ABS(O446-P446)</f>
        <v>1.0893588980181512</v>
      </c>
      <c r="R446" s="375" t="s">
        <v>188</v>
      </c>
      <c r="S446" s="366"/>
      <c r="T446" s="376"/>
      <c r="U446" s="376"/>
      <c r="V446" s="366"/>
      <c r="W446" s="366"/>
    </row>
    <row r="447" spans="1:23">
      <c r="A447" s="1410"/>
      <c r="B447" s="1413"/>
      <c r="C447" s="845" t="s">
        <v>985</v>
      </c>
      <c r="D447" s="875" t="str">
        <f>B445&amp;C447</f>
        <v>A3c</v>
      </c>
      <c r="E447" s="367">
        <v>2</v>
      </c>
      <c r="F447" s="669" t="s">
        <v>1053</v>
      </c>
      <c r="G447" s="369">
        <v>0.78125</v>
      </c>
      <c r="H447" s="368">
        <v>0.80555555555555547</v>
      </c>
      <c r="I447" s="369">
        <v>0.80902777777777779</v>
      </c>
      <c r="J447" s="368">
        <v>0.81944444444444453</v>
      </c>
      <c r="K447" s="669">
        <v>7</v>
      </c>
      <c r="L447" s="669">
        <v>20</v>
      </c>
      <c r="M447" s="675">
        <v>21.3</v>
      </c>
      <c r="N447" s="671">
        <f>IF(M447-P447&gt;0,M447-P447,0)</f>
        <v>3.3000000000000007</v>
      </c>
      <c r="O447" s="671">
        <f>O446-K447/(PI()*(U443/2000)^2)</f>
        <v>15.221282203963696</v>
      </c>
      <c r="P447" s="672">
        <v>18</v>
      </c>
      <c r="Q447" s="673">
        <f>ABS(O447-P447)</f>
        <v>2.7787177960363039</v>
      </c>
      <c r="R447" s="375" t="s">
        <v>188</v>
      </c>
      <c r="S447" s="366"/>
      <c r="T447" s="376"/>
      <c r="U447" s="376"/>
      <c r="V447" s="366"/>
      <c r="W447" s="366"/>
    </row>
    <row r="448" spans="1:23">
      <c r="A448" s="1410"/>
      <c r="B448" s="1413"/>
      <c r="C448" s="845" t="s">
        <v>986</v>
      </c>
      <c r="D448" s="875" t="str">
        <f>B445&amp;C448</f>
        <v>A3d</v>
      </c>
      <c r="E448" s="367">
        <v>3</v>
      </c>
      <c r="F448" s="669" t="s">
        <v>1055</v>
      </c>
      <c r="G448" s="369">
        <v>0.78819444444444453</v>
      </c>
      <c r="H448" s="368">
        <v>0.80902777777777779</v>
      </c>
      <c r="I448" s="369">
        <v>0.82291666666666663</v>
      </c>
      <c r="J448" s="368">
        <v>0.83333333333333337</v>
      </c>
      <c r="K448" s="669">
        <v>7</v>
      </c>
      <c r="L448" s="669">
        <v>19</v>
      </c>
      <c r="M448" s="675">
        <v>18.149999999999999</v>
      </c>
      <c r="N448" s="671">
        <f>IF(M448-P448&gt;0,M448-P448,0)</f>
        <v>4.6499999999999986</v>
      </c>
      <c r="O448" s="671">
        <f>O447-K448/(PI()*(U443/2000)^2)</f>
        <v>9.0319233059455435</v>
      </c>
      <c r="P448" s="672">
        <v>13.5</v>
      </c>
      <c r="Q448" s="673">
        <f>ABS(O448-P448)</f>
        <v>4.4680766940544565</v>
      </c>
      <c r="R448" s="375" t="s">
        <v>188</v>
      </c>
      <c r="S448" s="366"/>
      <c r="T448" s="376"/>
      <c r="U448" s="376"/>
      <c r="V448" s="366"/>
      <c r="W448" s="366"/>
    </row>
    <row r="449" spans="1:23">
      <c r="A449" s="1410"/>
      <c r="B449" s="1413"/>
      <c r="C449" s="845" t="s">
        <v>987</v>
      </c>
      <c r="D449" s="875" t="str">
        <f>B445&amp;C449</f>
        <v>A3e</v>
      </c>
      <c r="E449" s="367">
        <v>4</v>
      </c>
      <c r="F449" s="669" t="s">
        <v>1056</v>
      </c>
      <c r="G449" s="369">
        <v>0.83680555555555547</v>
      </c>
      <c r="H449" s="368">
        <v>0.85763888888888884</v>
      </c>
      <c r="I449" s="369">
        <v>0.86111111111111116</v>
      </c>
      <c r="J449" s="368">
        <v>0.86805555555555547</v>
      </c>
      <c r="K449" s="370">
        <v>7</v>
      </c>
      <c r="L449" s="370">
        <v>19.5</v>
      </c>
      <c r="M449" s="371">
        <v>18.149999999999999</v>
      </c>
      <c r="N449" s="671">
        <f>IF(M449-P449&gt;0,M449-P449,0)</f>
        <v>11.349999999999998</v>
      </c>
      <c r="O449" s="671">
        <f>O448-K449/(PI()*(U443/2000)^2)</f>
        <v>2.8425644079273917</v>
      </c>
      <c r="P449" s="373">
        <v>6.8</v>
      </c>
      <c r="Q449" s="673">
        <f>ABS(O449-P449)</f>
        <v>3.9574355920726081</v>
      </c>
      <c r="R449" s="375"/>
      <c r="S449" s="366"/>
      <c r="T449" s="376"/>
      <c r="U449" s="376"/>
      <c r="V449" s="366"/>
      <c r="W449" s="366"/>
    </row>
    <row r="450" spans="1:23">
      <c r="A450" s="1410"/>
      <c r="B450" s="1413"/>
      <c r="C450" s="845" t="s">
        <v>988</v>
      </c>
      <c r="D450" s="875" t="str">
        <f>B445&amp;C450</f>
        <v>A3f</v>
      </c>
      <c r="E450" s="367">
        <v>5</v>
      </c>
      <c r="F450" s="669"/>
      <c r="G450" s="369"/>
      <c r="H450" s="368"/>
      <c r="I450" s="369"/>
      <c r="J450" s="368"/>
      <c r="K450" s="370"/>
      <c r="L450" s="370"/>
      <c r="M450" s="371"/>
      <c r="N450" s="671"/>
      <c r="O450" s="671"/>
      <c r="P450" s="373"/>
      <c r="Q450" s="673"/>
      <c r="R450" s="377"/>
      <c r="S450" s="366" t="s">
        <v>190</v>
      </c>
      <c r="T450" s="376"/>
      <c r="U450" s="376"/>
      <c r="V450" s="366"/>
      <c r="W450" s="366"/>
    </row>
    <row r="451" spans="1:23">
      <c r="A451" s="1410"/>
      <c r="B451" s="1413"/>
      <c r="C451" s="845" t="s">
        <v>989</v>
      </c>
      <c r="D451" s="875" t="str">
        <f>B445&amp;C451</f>
        <v>A3g</v>
      </c>
      <c r="E451" s="367">
        <v>6</v>
      </c>
      <c r="F451" s="669"/>
      <c r="G451" s="369"/>
      <c r="H451" s="368"/>
      <c r="I451" s="369"/>
      <c r="J451" s="368"/>
      <c r="K451" s="370"/>
      <c r="L451" s="370"/>
      <c r="M451" s="371"/>
      <c r="N451" s="671"/>
      <c r="O451" s="671"/>
      <c r="P451" s="373"/>
      <c r="Q451" s="673"/>
      <c r="R451" s="375"/>
      <c r="S451" s="366" t="s">
        <v>190</v>
      </c>
      <c r="T451" s="366"/>
      <c r="U451" s="366"/>
      <c r="V451" s="366"/>
      <c r="W451" s="366"/>
    </row>
    <row r="452" spans="1:23">
      <c r="A452" s="1410"/>
      <c r="B452" s="1413"/>
      <c r="C452" s="845" t="s">
        <v>990</v>
      </c>
      <c r="D452" s="875" t="str">
        <f>B445&amp;C452</f>
        <v>A3h</v>
      </c>
      <c r="E452" s="367">
        <v>7</v>
      </c>
      <c r="F452" s="669"/>
      <c r="G452" s="368"/>
      <c r="H452" s="368"/>
      <c r="I452" s="368"/>
      <c r="J452" s="368"/>
      <c r="K452" s="370"/>
      <c r="L452" s="370"/>
      <c r="M452" s="371"/>
      <c r="N452" s="671"/>
      <c r="O452" s="671"/>
      <c r="P452" s="373"/>
      <c r="Q452" s="673"/>
      <c r="R452" s="377"/>
      <c r="S452" s="366" t="s">
        <v>190</v>
      </c>
      <c r="T452" s="366"/>
      <c r="U452" s="366"/>
      <c r="V452" s="366"/>
      <c r="W452" s="366"/>
    </row>
    <row r="453" spans="1:23">
      <c r="A453" s="1410"/>
      <c r="B453" s="1413"/>
      <c r="C453" s="845" t="s">
        <v>991</v>
      </c>
      <c r="D453" s="875" t="str">
        <f>B445&amp;C453</f>
        <v>A3i</v>
      </c>
      <c r="E453" s="367">
        <v>8</v>
      </c>
      <c r="F453" s="669"/>
      <c r="G453" s="368"/>
      <c r="H453" s="368"/>
      <c r="I453" s="368"/>
      <c r="J453" s="368"/>
      <c r="K453" s="370"/>
      <c r="L453" s="370"/>
      <c r="M453" s="371"/>
      <c r="N453" s="671"/>
      <c r="O453" s="671"/>
      <c r="P453" s="373"/>
      <c r="Q453" s="673"/>
      <c r="R453" s="378"/>
      <c r="S453" s="366"/>
      <c r="T453" s="366"/>
      <c r="U453" s="366"/>
      <c r="V453" s="366"/>
      <c r="W453" s="366"/>
    </row>
    <row r="454" spans="1:23">
      <c r="A454" s="1410"/>
      <c r="B454" s="1413"/>
      <c r="C454" s="845" t="s">
        <v>992</v>
      </c>
      <c r="D454" s="875" t="str">
        <f>B445&amp;C454</f>
        <v>A3k</v>
      </c>
      <c r="E454" s="367">
        <v>9</v>
      </c>
      <c r="F454" s="370"/>
      <c r="G454" s="368"/>
      <c r="H454" s="368"/>
      <c r="I454" s="368"/>
      <c r="J454" s="368"/>
      <c r="K454" s="370"/>
      <c r="L454" s="370"/>
      <c r="M454" s="371"/>
      <c r="N454" s="372"/>
      <c r="O454" s="372"/>
      <c r="P454" s="373"/>
      <c r="Q454" s="374"/>
      <c r="R454" s="378"/>
      <c r="S454" s="379"/>
      <c r="T454" s="366"/>
      <c r="U454" s="366"/>
      <c r="V454" s="366"/>
      <c r="W454" s="366"/>
    </row>
    <row r="455" spans="1:23">
      <c r="A455" s="1410"/>
      <c r="B455" s="1413"/>
      <c r="C455" s="845" t="s">
        <v>993</v>
      </c>
      <c r="D455" s="875" t="str">
        <f>B445&amp;C455</f>
        <v>A3l</v>
      </c>
      <c r="E455" s="367">
        <v>10</v>
      </c>
      <c r="F455" s="370"/>
      <c r="G455" s="368"/>
      <c r="H455" s="368"/>
      <c r="I455" s="368"/>
      <c r="J455" s="368"/>
      <c r="K455" s="370"/>
      <c r="L455" s="370"/>
      <c r="M455" s="370"/>
      <c r="N455" s="372"/>
      <c r="O455" s="372"/>
      <c r="P455" s="373"/>
      <c r="Q455" s="374"/>
      <c r="R455" s="378"/>
      <c r="S455" s="379"/>
      <c r="T455" s="366"/>
      <c r="U455" s="366"/>
      <c r="V455" s="366"/>
      <c r="W455" s="366"/>
    </row>
    <row r="456" spans="1:23">
      <c r="A456" s="1410"/>
      <c r="B456" s="1413"/>
      <c r="C456" s="845" t="s">
        <v>994</v>
      </c>
      <c r="D456" s="875" t="str">
        <f>B445&amp;C456</f>
        <v>A3m</v>
      </c>
      <c r="E456" s="367">
        <v>11</v>
      </c>
      <c r="F456" s="370"/>
      <c r="G456" s="368"/>
      <c r="H456" s="368"/>
      <c r="I456" s="368"/>
      <c r="J456" s="368"/>
      <c r="K456" s="370"/>
      <c r="L456" s="370"/>
      <c r="M456" s="370"/>
      <c r="N456" s="372"/>
      <c r="O456" s="372"/>
      <c r="P456" s="380"/>
      <c r="Q456" s="374"/>
      <c r="R456" s="381"/>
      <c r="S456" s="379"/>
      <c r="T456" s="366"/>
      <c r="U456" s="366"/>
      <c r="V456" s="366"/>
      <c r="W456" s="366"/>
    </row>
    <row r="457" spans="1:23">
      <c r="A457" s="1410"/>
      <c r="B457" s="1413"/>
      <c r="C457" s="845" t="s">
        <v>995</v>
      </c>
      <c r="D457" s="875" t="str">
        <f>B445&amp;C457</f>
        <v>A3n</v>
      </c>
      <c r="E457" s="367">
        <v>12</v>
      </c>
      <c r="F457" s="370"/>
      <c r="G457" s="368"/>
      <c r="H457" s="368"/>
      <c r="I457" s="368"/>
      <c r="J457" s="368"/>
      <c r="K457" s="370"/>
      <c r="L457" s="370"/>
      <c r="M457" s="370"/>
      <c r="N457" s="372"/>
      <c r="O457" s="372"/>
      <c r="P457" s="380"/>
      <c r="Q457" s="374"/>
      <c r="R457" s="381"/>
      <c r="S457" s="361"/>
      <c r="T457" s="361"/>
      <c r="U457" s="361"/>
      <c r="V457" s="366"/>
      <c r="W457" s="366"/>
    </row>
    <row r="458" spans="1:23">
      <c r="A458" s="1410"/>
      <c r="B458" s="1413"/>
      <c r="C458" s="845" t="s">
        <v>471</v>
      </c>
      <c r="D458" s="875" t="str">
        <f>B445&amp;C458</f>
        <v>A3x</v>
      </c>
      <c r="E458" s="367">
        <v>13</v>
      </c>
      <c r="F458" s="370"/>
      <c r="G458" s="368"/>
      <c r="H458" s="368"/>
      <c r="I458" s="368"/>
      <c r="J458" s="368"/>
      <c r="K458" s="370"/>
      <c r="L458" s="370"/>
      <c r="M458" s="370"/>
      <c r="N458" s="382"/>
      <c r="O458" s="372"/>
      <c r="P458" s="380"/>
      <c r="Q458" s="381"/>
      <c r="R458" s="381"/>
      <c r="S458" s="361"/>
      <c r="T458" s="361"/>
      <c r="U458" s="361"/>
      <c r="V458" s="366"/>
      <c r="W458" s="366"/>
    </row>
    <row r="459" spans="1:23">
      <c r="A459" s="1410"/>
      <c r="B459" s="1413"/>
      <c r="C459" s="845" t="s">
        <v>732</v>
      </c>
      <c r="D459" s="875" t="str">
        <f>B445&amp;C459</f>
        <v>A3y</v>
      </c>
      <c r="E459" s="367">
        <v>14</v>
      </c>
      <c r="F459" s="370"/>
      <c r="G459" s="368"/>
      <c r="H459" s="368"/>
      <c r="I459" s="368"/>
      <c r="J459" s="368"/>
      <c r="K459" s="370"/>
      <c r="L459" s="370"/>
      <c r="M459" s="370"/>
      <c r="N459" s="382"/>
      <c r="O459" s="372"/>
      <c r="P459" s="380"/>
      <c r="Q459" s="381"/>
      <c r="R459" s="381"/>
      <c r="S459" s="361"/>
      <c r="T459" s="361"/>
      <c r="U459" s="362"/>
      <c r="V459" s="366"/>
      <c r="W459" s="366"/>
    </row>
    <row r="460" spans="1:23">
      <c r="A460" s="1411"/>
      <c r="B460" s="1414"/>
      <c r="C460" s="846" t="s">
        <v>996</v>
      </c>
      <c r="D460" s="876" t="str">
        <f>B445&amp;C460</f>
        <v>A3z</v>
      </c>
      <c r="E460" s="847">
        <v>15</v>
      </c>
      <c r="F460" s="370"/>
      <c r="G460" s="368"/>
      <c r="H460" s="368"/>
      <c r="I460" s="368"/>
      <c r="J460" s="368"/>
      <c r="K460" s="370"/>
      <c r="L460" s="370"/>
      <c r="M460" s="370"/>
      <c r="N460" s="850"/>
      <c r="O460" s="851"/>
      <c r="P460" s="851"/>
      <c r="Q460" s="852"/>
      <c r="R460" s="383"/>
      <c r="S460" s="361"/>
      <c r="T460" s="832"/>
      <c r="U460" s="830"/>
      <c r="V460" s="366"/>
      <c r="W460" s="366"/>
    </row>
    <row r="461" spans="1:23">
      <c r="A461" s="1400" t="s">
        <v>939</v>
      </c>
      <c r="B461" s="1400"/>
      <c r="C461" s="827"/>
      <c r="D461" s="871"/>
      <c r="E461" s="1400" t="s">
        <v>177</v>
      </c>
      <c r="F461" s="1400" t="s">
        <v>18</v>
      </c>
      <c r="G461" s="1389" t="s">
        <v>19</v>
      </c>
      <c r="H461" s="1390"/>
      <c r="I461" s="1389" t="s">
        <v>22</v>
      </c>
      <c r="J461" s="1390"/>
      <c r="K461" s="1393" t="s">
        <v>26</v>
      </c>
      <c r="L461" s="1390"/>
      <c r="M461" s="1389" t="s">
        <v>392</v>
      </c>
      <c r="N461" s="1390"/>
      <c r="O461" s="1389" t="s">
        <v>28</v>
      </c>
      <c r="P461" s="1393"/>
      <c r="Q461" s="1390"/>
      <c r="R461" s="1400" t="s">
        <v>36</v>
      </c>
      <c r="S461" s="361"/>
      <c r="T461" s="361">
        <f>MAX(J465:J479)-MIN(I465:I479)</f>
        <v>5.9027777777777762E-2</v>
      </c>
      <c r="U461" s="361"/>
      <c r="V461" s="853" t="str">
        <f t="shared" ref="V461" si="50">B465</f>
        <v>A121</v>
      </c>
      <c r="W461" s="361">
        <f t="shared" ref="W461" si="51">COUNTIF(K466:K480,"&gt;0")</f>
        <v>4</v>
      </c>
    </row>
    <row r="462" spans="1:23">
      <c r="A462" s="1401"/>
      <c r="B462" s="1401"/>
      <c r="C462" s="828"/>
      <c r="D462" s="872"/>
      <c r="E462" s="1401"/>
      <c r="F462" s="1401"/>
      <c r="G462" s="1391"/>
      <c r="H462" s="1392"/>
      <c r="I462" s="1391"/>
      <c r="J462" s="1392"/>
      <c r="K462" s="1394"/>
      <c r="L462" s="1392"/>
      <c r="M462" s="1391"/>
      <c r="N462" s="1392"/>
      <c r="O462" s="1391"/>
      <c r="P462" s="1394"/>
      <c r="Q462" s="1392"/>
      <c r="R462" s="1401"/>
      <c r="S462" s="361"/>
      <c r="T462" s="361"/>
      <c r="U462" s="361"/>
      <c r="V462" s="361"/>
      <c r="W462" s="361"/>
    </row>
    <row r="463" spans="1:23">
      <c r="A463" s="1401"/>
      <c r="B463" s="1401"/>
      <c r="C463" s="828"/>
      <c r="D463" s="872"/>
      <c r="E463" s="1401"/>
      <c r="F463" s="1401"/>
      <c r="G463" s="1400" t="s">
        <v>20</v>
      </c>
      <c r="H463" s="1400" t="s">
        <v>21</v>
      </c>
      <c r="I463" s="1400" t="s">
        <v>361</v>
      </c>
      <c r="J463" s="1400" t="s">
        <v>353</v>
      </c>
      <c r="K463" s="1400" t="s">
        <v>23</v>
      </c>
      <c r="L463" s="1400" t="s">
        <v>24</v>
      </c>
      <c r="M463" s="1400" t="s">
        <v>27</v>
      </c>
      <c r="N463" s="1400" t="s">
        <v>178</v>
      </c>
      <c r="O463" s="1400" t="s">
        <v>1</v>
      </c>
      <c r="P463" s="1400" t="s">
        <v>29</v>
      </c>
      <c r="Q463" s="1400" t="s">
        <v>33</v>
      </c>
      <c r="R463" s="1401"/>
      <c r="S463" s="361"/>
      <c r="T463" s="361" t="s">
        <v>39</v>
      </c>
      <c r="U463" s="362">
        <f>VLOOKUP(B465,'Thong tin'!$A:$M,13,0)</f>
        <v>1200</v>
      </c>
      <c r="V463" s="361"/>
      <c r="W463" s="361"/>
    </row>
    <row r="464" spans="1:23">
      <c r="A464" s="1402"/>
      <c r="B464" s="1402"/>
      <c r="C464" s="829"/>
      <c r="D464" s="873"/>
      <c r="E464" s="1402"/>
      <c r="F464" s="1402"/>
      <c r="G464" s="1402"/>
      <c r="H464" s="1402"/>
      <c r="I464" s="1402"/>
      <c r="J464" s="1402"/>
      <c r="K464" s="1402"/>
      <c r="L464" s="1402"/>
      <c r="M464" s="1402"/>
      <c r="N464" s="1402"/>
      <c r="O464" s="1402"/>
      <c r="P464" s="1402"/>
      <c r="Q464" s="1402"/>
      <c r="R464" s="1402"/>
      <c r="S464" s="361"/>
      <c r="T464" s="1399" t="s">
        <v>393</v>
      </c>
      <c r="U464" s="1397">
        <f>VLOOKUP(B465,DT.NK!$B:$AZ,45,0)</f>
        <v>23.8</v>
      </c>
      <c r="V464" s="361"/>
      <c r="W464" s="361"/>
    </row>
    <row r="465" spans="1:23">
      <c r="A465" s="1409">
        <f>A445+1</f>
        <v>24</v>
      </c>
      <c r="B465" s="1412" t="s">
        <v>639</v>
      </c>
      <c r="C465" s="844" t="s">
        <v>983</v>
      </c>
      <c r="D465" s="874" t="str">
        <f>B465&amp;C465</f>
        <v>A121a</v>
      </c>
      <c r="E465" s="363"/>
      <c r="F465" s="364"/>
      <c r="G465" s="364"/>
      <c r="H465" s="364"/>
      <c r="I465" s="364"/>
      <c r="J465" s="364"/>
      <c r="K465" s="364"/>
      <c r="L465" s="364"/>
      <c r="M465" s="674"/>
      <c r="N465" s="670"/>
      <c r="O465" s="670">
        <f>U464</f>
        <v>23.8</v>
      </c>
      <c r="P465" s="670">
        <f>O465</f>
        <v>23.8</v>
      </c>
      <c r="Q465" s="670">
        <v>0</v>
      </c>
      <c r="R465" s="365"/>
      <c r="S465" s="366"/>
      <c r="T465" s="1399"/>
      <c r="U465" s="1398"/>
      <c r="V465" s="361"/>
      <c r="W465" s="361"/>
    </row>
    <row r="466" spans="1:23">
      <c r="A466" s="1410"/>
      <c r="B466" s="1413"/>
      <c r="C466" s="845" t="s">
        <v>984</v>
      </c>
      <c r="D466" s="875" t="str">
        <f>B465&amp;C466</f>
        <v>A121b</v>
      </c>
      <c r="E466" s="367">
        <v>1</v>
      </c>
      <c r="F466" s="669" t="s">
        <v>1050</v>
      </c>
      <c r="G466" s="369">
        <v>5.6944444444444443E-2</v>
      </c>
      <c r="H466" s="368">
        <v>8.3333333333333329E-2</v>
      </c>
      <c r="I466" s="369">
        <v>9.375E-2</v>
      </c>
      <c r="J466" s="368">
        <v>0.10069444444444443</v>
      </c>
      <c r="K466" s="669">
        <v>8</v>
      </c>
      <c r="L466" s="669">
        <v>19</v>
      </c>
      <c r="M466" s="675">
        <v>21.8</v>
      </c>
      <c r="N466" s="671">
        <f>IF(M466-P466&gt;0,M466-P466,0)</f>
        <v>4.6999999999999993</v>
      </c>
      <c r="O466" s="671">
        <f>O465-K466/(PI()*(U463/2000)^2)</f>
        <v>16.726446973693541</v>
      </c>
      <c r="P466" s="672">
        <v>17.100000000000001</v>
      </c>
      <c r="Q466" s="673">
        <f>ABS(O466-P466)</f>
        <v>0.37355302630646037</v>
      </c>
      <c r="R466" s="375" t="s">
        <v>188</v>
      </c>
      <c r="S466" s="366"/>
      <c r="T466" s="376"/>
      <c r="U466" s="376"/>
      <c r="V466" s="366"/>
      <c r="W466" s="366"/>
    </row>
    <row r="467" spans="1:23">
      <c r="A467" s="1410"/>
      <c r="B467" s="1413"/>
      <c r="C467" s="845" t="s">
        <v>985</v>
      </c>
      <c r="D467" s="875" t="str">
        <f>B465&amp;C467</f>
        <v>A121c</v>
      </c>
      <c r="E467" s="367">
        <v>2</v>
      </c>
      <c r="F467" s="669" t="s">
        <v>1064</v>
      </c>
      <c r="G467" s="369">
        <v>7.7777777777777779E-2</v>
      </c>
      <c r="H467" s="368">
        <v>0.10069444444444443</v>
      </c>
      <c r="I467" s="369">
        <v>0.10416666666666667</v>
      </c>
      <c r="J467" s="368">
        <v>0.11388888888888889</v>
      </c>
      <c r="K467" s="669">
        <v>8</v>
      </c>
      <c r="L467" s="669">
        <v>20</v>
      </c>
      <c r="M467" s="675">
        <v>18.149999999999999</v>
      </c>
      <c r="N467" s="671">
        <f>IF(M467-P467&gt;0,M467-P467,0)</f>
        <v>6.5499999999999989</v>
      </c>
      <c r="O467" s="671">
        <f>O466-K467/(PI()*(U463/2000)^2)</f>
        <v>9.6528939473870814</v>
      </c>
      <c r="P467" s="672">
        <v>11.6</v>
      </c>
      <c r="Q467" s="673">
        <f>ABS(O467-P467)</f>
        <v>1.9471060526129182</v>
      </c>
      <c r="R467" s="375"/>
      <c r="S467" s="366"/>
      <c r="T467" s="376"/>
      <c r="U467" s="376"/>
      <c r="V467" s="366"/>
      <c r="W467" s="366"/>
    </row>
    <row r="468" spans="1:23">
      <c r="A468" s="1410"/>
      <c r="B468" s="1413"/>
      <c r="C468" s="845" t="s">
        <v>986</v>
      </c>
      <c r="D468" s="875" t="str">
        <f>B465&amp;C468</f>
        <v>A121d</v>
      </c>
      <c r="E468" s="367">
        <v>3</v>
      </c>
      <c r="F468" s="669" t="s">
        <v>1065</v>
      </c>
      <c r="G468" s="369">
        <v>0.1125</v>
      </c>
      <c r="H468" s="368">
        <v>0.125</v>
      </c>
      <c r="I468" s="369">
        <v>0.13194444444444445</v>
      </c>
      <c r="J468" s="368">
        <v>0.1423611111111111</v>
      </c>
      <c r="K468" s="669">
        <v>4</v>
      </c>
      <c r="L468" s="669">
        <v>18.5</v>
      </c>
      <c r="M468" s="675">
        <v>18.149999999999999</v>
      </c>
      <c r="N468" s="671">
        <f>IF(M468-P468&gt;0,M468-P468,0)</f>
        <v>7.7499999999999982</v>
      </c>
      <c r="O468" s="671">
        <f>O467-K468/(PI()*(U463/2000)^2)</f>
        <v>6.1161174342338516</v>
      </c>
      <c r="P468" s="672">
        <v>10.4</v>
      </c>
      <c r="Q468" s="673">
        <f>ABS(O468-P468)</f>
        <v>4.2838825657661488</v>
      </c>
      <c r="R468" s="375" t="s">
        <v>188</v>
      </c>
      <c r="S468" s="366"/>
      <c r="T468" s="376"/>
      <c r="U468" s="376"/>
      <c r="V468" s="366"/>
      <c r="W468" s="366"/>
    </row>
    <row r="469" spans="1:23">
      <c r="A469" s="1410"/>
      <c r="B469" s="1413"/>
      <c r="C469" s="845" t="s">
        <v>987</v>
      </c>
      <c r="D469" s="875" t="str">
        <f>B465&amp;C469</f>
        <v>A121e</v>
      </c>
      <c r="E469" s="367">
        <v>4</v>
      </c>
      <c r="F469" s="669" t="s">
        <v>1066</v>
      </c>
      <c r="G469" s="369">
        <v>0.11597222222222221</v>
      </c>
      <c r="H469" s="368">
        <v>0.13541666666666666</v>
      </c>
      <c r="I469" s="369">
        <v>0.1423611111111111</v>
      </c>
      <c r="J469" s="368">
        <v>0.15277777777777776</v>
      </c>
      <c r="K469" s="370">
        <v>4</v>
      </c>
      <c r="L469" s="370">
        <v>19</v>
      </c>
      <c r="M469" s="371">
        <v>18.149999999999999</v>
      </c>
      <c r="N469" s="671">
        <f>IF(M469-P469&gt;0,M469-P469,0)</f>
        <v>11.149999999999999</v>
      </c>
      <c r="O469" s="671">
        <f>O468-K469/(PI()*(U463/2000)^2)</f>
        <v>2.5793409210806217</v>
      </c>
      <c r="P469" s="373">
        <v>7</v>
      </c>
      <c r="Q469" s="673">
        <f>ABS(O469-P469)</f>
        <v>4.4206590789193783</v>
      </c>
      <c r="R469" s="375"/>
      <c r="S469" s="366"/>
      <c r="T469" s="376"/>
      <c r="U469" s="376"/>
      <c r="V469" s="366"/>
      <c r="W469" s="366"/>
    </row>
    <row r="470" spans="1:23">
      <c r="A470" s="1410"/>
      <c r="B470" s="1413"/>
      <c r="C470" s="845" t="s">
        <v>988</v>
      </c>
      <c r="D470" s="875" t="str">
        <f>B465&amp;C470</f>
        <v>A121f</v>
      </c>
      <c r="E470" s="367">
        <v>5</v>
      </c>
      <c r="F470" s="669"/>
      <c r="G470" s="369"/>
      <c r="H470" s="368"/>
      <c r="I470" s="369"/>
      <c r="J470" s="368"/>
      <c r="K470" s="370"/>
      <c r="L470" s="370"/>
      <c r="M470" s="371"/>
      <c r="N470" s="671"/>
      <c r="O470" s="671"/>
      <c r="P470" s="373"/>
      <c r="Q470" s="673"/>
      <c r="R470" s="377"/>
      <c r="S470" s="366" t="s">
        <v>190</v>
      </c>
      <c r="T470" s="376"/>
      <c r="U470" s="376"/>
      <c r="V470" s="366"/>
      <c r="W470" s="366"/>
    </row>
    <row r="471" spans="1:23">
      <c r="A471" s="1410"/>
      <c r="B471" s="1413"/>
      <c r="C471" s="845" t="s">
        <v>989</v>
      </c>
      <c r="D471" s="875" t="str">
        <f>B465&amp;C471</f>
        <v>A121g</v>
      </c>
      <c r="E471" s="367">
        <v>6</v>
      </c>
      <c r="F471" s="669"/>
      <c r="G471" s="369"/>
      <c r="H471" s="368"/>
      <c r="I471" s="369"/>
      <c r="J471" s="368"/>
      <c r="K471" s="370"/>
      <c r="L471" s="370"/>
      <c r="M471" s="371"/>
      <c r="N471" s="671"/>
      <c r="O471" s="671"/>
      <c r="P471" s="373"/>
      <c r="Q471" s="673"/>
      <c r="R471" s="375"/>
      <c r="S471" s="366" t="s">
        <v>190</v>
      </c>
      <c r="T471" s="366"/>
      <c r="U471" s="366"/>
      <c r="V471" s="366"/>
      <c r="W471" s="366"/>
    </row>
    <row r="472" spans="1:23">
      <c r="A472" s="1410"/>
      <c r="B472" s="1413"/>
      <c r="C472" s="845" t="s">
        <v>990</v>
      </c>
      <c r="D472" s="875" t="str">
        <f>B465&amp;C472</f>
        <v>A121h</v>
      </c>
      <c r="E472" s="367">
        <v>7</v>
      </c>
      <c r="F472" s="669"/>
      <c r="G472" s="368"/>
      <c r="H472" s="368"/>
      <c r="I472" s="368"/>
      <c r="J472" s="368"/>
      <c r="K472" s="370"/>
      <c r="L472" s="370"/>
      <c r="M472" s="371"/>
      <c r="N472" s="671"/>
      <c r="O472" s="671"/>
      <c r="P472" s="373"/>
      <c r="Q472" s="673"/>
      <c r="R472" s="377"/>
      <c r="S472" s="366" t="s">
        <v>190</v>
      </c>
      <c r="T472" s="366"/>
      <c r="U472" s="366"/>
      <c r="V472" s="366"/>
      <c r="W472" s="366"/>
    </row>
    <row r="473" spans="1:23">
      <c r="A473" s="1410"/>
      <c r="B473" s="1413"/>
      <c r="C473" s="845" t="s">
        <v>991</v>
      </c>
      <c r="D473" s="875" t="str">
        <f>B465&amp;C473</f>
        <v>A121i</v>
      </c>
      <c r="E473" s="367">
        <v>8</v>
      </c>
      <c r="F473" s="669"/>
      <c r="G473" s="368"/>
      <c r="H473" s="368"/>
      <c r="I473" s="368"/>
      <c r="J473" s="368"/>
      <c r="K473" s="370"/>
      <c r="L473" s="370"/>
      <c r="M473" s="371"/>
      <c r="N473" s="671"/>
      <c r="O473" s="671"/>
      <c r="P473" s="373"/>
      <c r="Q473" s="673"/>
      <c r="R473" s="378"/>
      <c r="S473" s="366"/>
      <c r="T473" s="366"/>
      <c r="U473" s="366"/>
      <c r="V473" s="366"/>
      <c r="W473" s="366"/>
    </row>
    <row r="474" spans="1:23">
      <c r="A474" s="1410"/>
      <c r="B474" s="1413"/>
      <c r="C474" s="845" t="s">
        <v>992</v>
      </c>
      <c r="D474" s="875" t="str">
        <f>B465&amp;C474</f>
        <v>A121k</v>
      </c>
      <c r="E474" s="367">
        <v>9</v>
      </c>
      <c r="F474" s="370"/>
      <c r="G474" s="368"/>
      <c r="H474" s="368"/>
      <c r="I474" s="368"/>
      <c r="J474" s="368"/>
      <c r="K474" s="370"/>
      <c r="L474" s="370"/>
      <c r="M474" s="371"/>
      <c r="N474" s="372"/>
      <c r="O474" s="372"/>
      <c r="P474" s="373"/>
      <c r="Q474" s="374"/>
      <c r="R474" s="378"/>
      <c r="S474" s="379"/>
      <c r="T474" s="366"/>
      <c r="U474" s="366"/>
      <c r="V474" s="366"/>
      <c r="W474" s="366"/>
    </row>
    <row r="475" spans="1:23">
      <c r="A475" s="1410"/>
      <c r="B475" s="1413"/>
      <c r="C475" s="845" t="s">
        <v>993</v>
      </c>
      <c r="D475" s="875" t="str">
        <f>B465&amp;C475</f>
        <v>A121l</v>
      </c>
      <c r="E475" s="367">
        <v>10</v>
      </c>
      <c r="F475" s="370"/>
      <c r="G475" s="368"/>
      <c r="H475" s="368"/>
      <c r="I475" s="368"/>
      <c r="J475" s="368"/>
      <c r="K475" s="370"/>
      <c r="L475" s="370"/>
      <c r="M475" s="370"/>
      <c r="N475" s="372"/>
      <c r="O475" s="372"/>
      <c r="P475" s="373"/>
      <c r="Q475" s="374"/>
      <c r="R475" s="378"/>
      <c r="S475" s="379"/>
      <c r="T475" s="366"/>
      <c r="U475" s="366"/>
      <c r="V475" s="366"/>
      <c r="W475" s="366"/>
    </row>
    <row r="476" spans="1:23">
      <c r="A476" s="1410"/>
      <c r="B476" s="1413"/>
      <c r="C476" s="845" t="s">
        <v>994</v>
      </c>
      <c r="D476" s="875" t="str">
        <f>B465&amp;C476</f>
        <v>A121m</v>
      </c>
      <c r="E476" s="367">
        <v>11</v>
      </c>
      <c r="F476" s="370"/>
      <c r="G476" s="368"/>
      <c r="H476" s="368"/>
      <c r="I476" s="368"/>
      <c r="J476" s="368"/>
      <c r="K476" s="370"/>
      <c r="L476" s="370"/>
      <c r="M476" s="370"/>
      <c r="N476" s="372"/>
      <c r="O476" s="372"/>
      <c r="P476" s="380"/>
      <c r="Q476" s="374"/>
      <c r="R476" s="381"/>
      <c r="S476" s="379"/>
      <c r="T476" s="366"/>
      <c r="U476" s="366"/>
      <c r="V476" s="366"/>
      <c r="W476" s="366"/>
    </row>
    <row r="477" spans="1:23">
      <c r="A477" s="1410"/>
      <c r="B477" s="1413"/>
      <c r="C477" s="845" t="s">
        <v>995</v>
      </c>
      <c r="D477" s="875" t="str">
        <f>B465&amp;C477</f>
        <v>A121n</v>
      </c>
      <c r="E477" s="367">
        <v>12</v>
      </c>
      <c r="F477" s="370"/>
      <c r="G477" s="368"/>
      <c r="H477" s="368"/>
      <c r="I477" s="368"/>
      <c r="J477" s="368"/>
      <c r="K477" s="370"/>
      <c r="L477" s="370"/>
      <c r="M477" s="370"/>
      <c r="N477" s="372"/>
      <c r="O477" s="372"/>
      <c r="P477" s="380"/>
      <c r="Q477" s="374"/>
      <c r="R477" s="381"/>
      <c r="S477" s="361"/>
      <c r="T477" s="361"/>
      <c r="U477" s="361"/>
      <c r="V477" s="366"/>
      <c r="W477" s="366"/>
    </row>
    <row r="478" spans="1:23">
      <c r="A478" s="1410"/>
      <c r="B478" s="1413"/>
      <c r="C478" s="845" t="s">
        <v>471</v>
      </c>
      <c r="D478" s="875" t="str">
        <f>B465&amp;C478</f>
        <v>A121x</v>
      </c>
      <c r="E478" s="367">
        <v>13</v>
      </c>
      <c r="F478" s="370"/>
      <c r="G478" s="368"/>
      <c r="H478" s="368"/>
      <c r="I478" s="368"/>
      <c r="J478" s="368"/>
      <c r="K478" s="370"/>
      <c r="L478" s="370"/>
      <c r="M478" s="370"/>
      <c r="N478" s="382"/>
      <c r="O478" s="372"/>
      <c r="P478" s="380"/>
      <c r="Q478" s="381"/>
      <c r="R478" s="381"/>
      <c r="S478" s="361"/>
      <c r="T478" s="361"/>
      <c r="U478" s="361"/>
      <c r="V478" s="366"/>
      <c r="W478" s="366"/>
    </row>
    <row r="479" spans="1:23">
      <c r="A479" s="1410"/>
      <c r="B479" s="1413"/>
      <c r="C479" s="845" t="s">
        <v>732</v>
      </c>
      <c r="D479" s="875" t="str">
        <f>B465&amp;C479</f>
        <v>A121y</v>
      </c>
      <c r="E479" s="367">
        <v>14</v>
      </c>
      <c r="F479" s="370"/>
      <c r="G479" s="368"/>
      <c r="H479" s="368"/>
      <c r="I479" s="368"/>
      <c r="J479" s="368"/>
      <c r="K479" s="370"/>
      <c r="L479" s="370"/>
      <c r="M479" s="370"/>
      <c r="N479" s="382"/>
      <c r="O479" s="372"/>
      <c r="P479" s="380"/>
      <c r="Q479" s="381"/>
      <c r="R479" s="381"/>
      <c r="S479" s="361"/>
      <c r="T479" s="361"/>
      <c r="U479" s="362"/>
      <c r="V479" s="366"/>
      <c r="W479" s="366"/>
    </row>
    <row r="480" spans="1:23">
      <c r="A480" s="1411"/>
      <c r="B480" s="1414"/>
      <c r="C480" s="846" t="s">
        <v>996</v>
      </c>
      <c r="D480" s="876" t="str">
        <f>B465&amp;C480</f>
        <v>A121z</v>
      </c>
      <c r="E480" s="847">
        <v>15</v>
      </c>
      <c r="F480" s="370"/>
      <c r="G480" s="368"/>
      <c r="H480" s="368"/>
      <c r="I480" s="368"/>
      <c r="J480" s="368"/>
      <c r="K480" s="370"/>
      <c r="L480" s="370"/>
      <c r="M480" s="370"/>
      <c r="N480" s="850"/>
      <c r="O480" s="851"/>
      <c r="P480" s="851"/>
      <c r="Q480" s="852"/>
      <c r="R480" s="383"/>
      <c r="S480" s="361"/>
      <c r="T480" s="832"/>
      <c r="U480" s="830"/>
      <c r="V480" s="366"/>
      <c r="W480" s="366"/>
    </row>
    <row r="481" spans="1:23">
      <c r="A481" s="1400" t="s">
        <v>939</v>
      </c>
      <c r="B481" s="1400"/>
      <c r="C481" s="827"/>
      <c r="D481" s="871"/>
      <c r="E481" s="1400" t="s">
        <v>177</v>
      </c>
      <c r="F481" s="1400" t="s">
        <v>18</v>
      </c>
      <c r="G481" s="1389" t="s">
        <v>19</v>
      </c>
      <c r="H481" s="1390"/>
      <c r="I481" s="1389" t="s">
        <v>22</v>
      </c>
      <c r="J481" s="1390"/>
      <c r="K481" s="1393" t="s">
        <v>26</v>
      </c>
      <c r="L481" s="1390"/>
      <c r="M481" s="1389" t="s">
        <v>392</v>
      </c>
      <c r="N481" s="1390"/>
      <c r="O481" s="1389" t="s">
        <v>28</v>
      </c>
      <c r="P481" s="1393"/>
      <c r="Q481" s="1390"/>
      <c r="R481" s="1400" t="s">
        <v>36</v>
      </c>
      <c r="S481" s="361"/>
      <c r="T481" s="361">
        <f>MAX(J485:J499)-MIN(I485:I499)</f>
        <v>4.8611111111111049E-2</v>
      </c>
      <c r="U481" s="361"/>
      <c r="V481" s="853" t="str">
        <f t="shared" ref="V481" si="52">B485</f>
        <v>B30</v>
      </c>
      <c r="W481" s="361">
        <f t="shared" ref="W481" si="53">COUNTIF(K486:K500,"&gt;0")</f>
        <v>3</v>
      </c>
    </row>
    <row r="482" spans="1:23">
      <c r="A482" s="1401"/>
      <c r="B482" s="1401"/>
      <c r="C482" s="828"/>
      <c r="D482" s="872"/>
      <c r="E482" s="1401"/>
      <c r="F482" s="1401"/>
      <c r="G482" s="1391"/>
      <c r="H482" s="1392"/>
      <c r="I482" s="1391"/>
      <c r="J482" s="1392"/>
      <c r="K482" s="1394"/>
      <c r="L482" s="1392"/>
      <c r="M482" s="1391"/>
      <c r="N482" s="1392"/>
      <c r="O482" s="1391"/>
      <c r="P482" s="1394"/>
      <c r="Q482" s="1392"/>
      <c r="R482" s="1401"/>
      <c r="S482" s="361"/>
      <c r="T482" s="361"/>
      <c r="U482" s="361"/>
      <c r="V482" s="361"/>
      <c r="W482" s="361"/>
    </row>
    <row r="483" spans="1:23">
      <c r="A483" s="1401"/>
      <c r="B483" s="1401"/>
      <c r="C483" s="828"/>
      <c r="D483" s="872"/>
      <c r="E483" s="1401"/>
      <c r="F483" s="1401"/>
      <c r="G483" s="1400" t="s">
        <v>20</v>
      </c>
      <c r="H483" s="1400" t="s">
        <v>21</v>
      </c>
      <c r="I483" s="1400" t="s">
        <v>361</v>
      </c>
      <c r="J483" s="1400" t="s">
        <v>353</v>
      </c>
      <c r="K483" s="1400" t="s">
        <v>23</v>
      </c>
      <c r="L483" s="1400" t="s">
        <v>24</v>
      </c>
      <c r="M483" s="1400" t="s">
        <v>27</v>
      </c>
      <c r="N483" s="1400" t="s">
        <v>178</v>
      </c>
      <c r="O483" s="1400" t="s">
        <v>1</v>
      </c>
      <c r="P483" s="1400" t="s">
        <v>29</v>
      </c>
      <c r="Q483" s="1400" t="s">
        <v>33</v>
      </c>
      <c r="R483" s="1401"/>
      <c r="S483" s="361"/>
      <c r="T483" s="361" t="s">
        <v>39</v>
      </c>
      <c r="U483" s="362">
        <f>VLOOKUP(B485,'Thong tin'!$A:$M,13,0)</f>
        <v>800</v>
      </c>
      <c r="V483" s="361"/>
      <c r="W483" s="361"/>
    </row>
    <row r="484" spans="1:23">
      <c r="A484" s="1402"/>
      <c r="B484" s="1402"/>
      <c r="C484" s="829"/>
      <c r="D484" s="873"/>
      <c r="E484" s="1402"/>
      <c r="F484" s="1402"/>
      <c r="G484" s="1402"/>
      <c r="H484" s="1402"/>
      <c r="I484" s="1402"/>
      <c r="J484" s="1402"/>
      <c r="K484" s="1402"/>
      <c r="L484" s="1402"/>
      <c r="M484" s="1402"/>
      <c r="N484" s="1402"/>
      <c r="O484" s="1402"/>
      <c r="P484" s="1402"/>
      <c r="Q484" s="1402"/>
      <c r="R484" s="1402"/>
      <c r="S484" s="361"/>
      <c r="T484" s="1399" t="s">
        <v>393</v>
      </c>
      <c r="U484" s="1397">
        <f>VLOOKUP(B485,DT.NK!$B:$AZ,45,0)</f>
        <v>33.869999999999997</v>
      </c>
      <c r="V484" s="361"/>
      <c r="W484" s="361"/>
    </row>
    <row r="485" spans="1:23">
      <c r="A485" s="1409">
        <f>A465+1</f>
        <v>25</v>
      </c>
      <c r="B485" s="1412" t="s">
        <v>557</v>
      </c>
      <c r="C485" s="844" t="s">
        <v>983</v>
      </c>
      <c r="D485" s="874" t="str">
        <f>B485&amp;C485</f>
        <v>B30a</v>
      </c>
      <c r="E485" s="363"/>
      <c r="F485" s="364"/>
      <c r="G485" s="364"/>
      <c r="H485" s="364"/>
      <c r="I485" s="364"/>
      <c r="J485" s="364"/>
      <c r="K485" s="364"/>
      <c r="L485" s="364"/>
      <c r="M485" s="674"/>
      <c r="N485" s="670"/>
      <c r="O485" s="670">
        <f>U484</f>
        <v>33.869999999999997</v>
      </c>
      <c r="P485" s="670">
        <f>O485</f>
        <v>33.869999999999997</v>
      </c>
      <c r="Q485" s="670">
        <v>0</v>
      </c>
      <c r="R485" s="365"/>
      <c r="S485" s="366"/>
      <c r="T485" s="1399"/>
      <c r="U485" s="1398"/>
      <c r="V485" s="361"/>
      <c r="W485" s="361"/>
    </row>
    <row r="486" spans="1:23">
      <c r="A486" s="1410"/>
      <c r="B486" s="1413"/>
      <c r="C486" s="845" t="s">
        <v>984</v>
      </c>
      <c r="D486" s="875" t="str">
        <f>B485&amp;C486</f>
        <v>B30b</v>
      </c>
      <c r="E486" s="367">
        <v>1</v>
      </c>
      <c r="F486" s="669" t="s">
        <v>1067</v>
      </c>
      <c r="G486" s="369">
        <v>0.37152777777777773</v>
      </c>
      <c r="H486" s="368">
        <v>0.4201388888888889</v>
      </c>
      <c r="I486" s="369">
        <v>0.44097222222222227</v>
      </c>
      <c r="J486" s="368">
        <v>0.44444444444444442</v>
      </c>
      <c r="K486" s="669">
        <v>7</v>
      </c>
      <c r="L486" s="669">
        <v>20</v>
      </c>
      <c r="M486" s="675">
        <v>26.07</v>
      </c>
      <c r="N486" s="671">
        <f>IF(M486-P486&gt;0,M486-P486,0)</f>
        <v>4.9699999999999989</v>
      </c>
      <c r="O486" s="671">
        <f>O485-K486/(PI()*(U483/2000)^2)</f>
        <v>19.943942479459157</v>
      </c>
      <c r="P486" s="672">
        <v>21.1</v>
      </c>
      <c r="Q486" s="673">
        <f>ABS(O486-P486)</f>
        <v>1.1560575205408448</v>
      </c>
      <c r="R486" s="375" t="s">
        <v>188</v>
      </c>
      <c r="S486" s="366"/>
      <c r="T486" s="376"/>
      <c r="U486" s="376"/>
      <c r="V486" s="366"/>
      <c r="W486" s="366"/>
    </row>
    <row r="487" spans="1:23">
      <c r="A487" s="1410"/>
      <c r="B487" s="1413"/>
      <c r="C487" s="845" t="s">
        <v>985</v>
      </c>
      <c r="D487" s="875" t="str">
        <f>B485&amp;C487</f>
        <v>B30c</v>
      </c>
      <c r="E487" s="367">
        <v>2</v>
      </c>
      <c r="F487" s="669" t="s">
        <v>1058</v>
      </c>
      <c r="G487" s="369">
        <v>0.39166666666666666</v>
      </c>
      <c r="H487" s="368">
        <v>0.43055555555555558</v>
      </c>
      <c r="I487" s="369">
        <v>0.4513888888888889</v>
      </c>
      <c r="J487" s="368">
        <v>0.4548611111111111</v>
      </c>
      <c r="K487" s="669">
        <v>7</v>
      </c>
      <c r="L487" s="669">
        <v>20</v>
      </c>
      <c r="M487" s="675">
        <v>16.62</v>
      </c>
      <c r="N487" s="671">
        <f>IF(M487-P487&gt;0,M487-P487,0)</f>
        <v>9.620000000000001</v>
      </c>
      <c r="O487" s="671">
        <f>O486-K487/(PI()*(U483/2000)^2)</f>
        <v>6.0178849589183159</v>
      </c>
      <c r="P487" s="672">
        <v>7</v>
      </c>
      <c r="Q487" s="673">
        <f>ABS(O487-P487)</f>
        <v>0.98211504108168413</v>
      </c>
      <c r="R487" s="375" t="s">
        <v>188</v>
      </c>
      <c r="S487" s="366"/>
      <c r="T487" s="376"/>
      <c r="U487" s="376"/>
      <c r="V487" s="366"/>
      <c r="W487" s="366"/>
    </row>
    <row r="488" spans="1:23">
      <c r="A488" s="1410"/>
      <c r="B488" s="1413"/>
      <c r="C488" s="845" t="s">
        <v>986</v>
      </c>
      <c r="D488" s="875" t="str">
        <f>B485&amp;C488</f>
        <v>B30d</v>
      </c>
      <c r="E488" s="367">
        <v>3</v>
      </c>
      <c r="F488" s="669" t="s">
        <v>1067</v>
      </c>
      <c r="G488" s="369">
        <v>0.4597222222222222</v>
      </c>
      <c r="H488" s="368">
        <v>0.4826388888888889</v>
      </c>
      <c r="I488" s="369">
        <v>0.4861111111111111</v>
      </c>
      <c r="J488" s="368">
        <v>0.48958333333333331</v>
      </c>
      <c r="K488" s="669">
        <v>2</v>
      </c>
      <c r="L488" s="669">
        <v>19</v>
      </c>
      <c r="M488" s="675">
        <v>16.62</v>
      </c>
      <c r="N488" s="671">
        <f>IF(M488-P488&gt;0,M488-P488,0)</f>
        <v>12.120000000000001</v>
      </c>
      <c r="O488" s="671">
        <f>O487-K488/(PI()*(U483/2000)^2)</f>
        <v>2.0390113816209325</v>
      </c>
      <c r="P488" s="672">
        <v>4.5</v>
      </c>
      <c r="Q488" s="673">
        <f>ABS(O488-P488)</f>
        <v>2.4609886183790675</v>
      </c>
      <c r="R488" s="375" t="s">
        <v>188</v>
      </c>
      <c r="S488" s="366"/>
      <c r="T488" s="376"/>
      <c r="U488" s="376"/>
      <c r="V488" s="366"/>
      <c r="W488" s="366"/>
    </row>
    <row r="489" spans="1:23">
      <c r="A489" s="1410"/>
      <c r="B489" s="1413"/>
      <c r="C489" s="845" t="s">
        <v>987</v>
      </c>
      <c r="D489" s="875" t="str">
        <f>B485&amp;C489</f>
        <v>B30e</v>
      </c>
      <c r="E489" s="367">
        <v>4</v>
      </c>
      <c r="F489" s="669"/>
      <c r="G489" s="369"/>
      <c r="H489" s="368"/>
      <c r="I489" s="369"/>
      <c r="J489" s="368"/>
      <c r="K489" s="370"/>
      <c r="L489" s="370"/>
      <c r="M489" s="371"/>
      <c r="N489" s="671"/>
      <c r="O489" s="671"/>
      <c r="P489" s="373"/>
      <c r="Q489" s="673"/>
      <c r="R489" s="375"/>
      <c r="S489" s="366"/>
      <c r="T489" s="376"/>
      <c r="U489" s="376"/>
      <c r="V489" s="366"/>
      <c r="W489" s="366"/>
    </row>
    <row r="490" spans="1:23">
      <c r="A490" s="1410"/>
      <c r="B490" s="1413"/>
      <c r="C490" s="845" t="s">
        <v>988</v>
      </c>
      <c r="D490" s="875" t="str">
        <f>B485&amp;C490</f>
        <v>B30f</v>
      </c>
      <c r="E490" s="367">
        <v>5</v>
      </c>
      <c r="F490" s="669"/>
      <c r="G490" s="369"/>
      <c r="H490" s="368"/>
      <c r="I490" s="369"/>
      <c r="J490" s="368"/>
      <c r="K490" s="370"/>
      <c r="L490" s="370"/>
      <c r="M490" s="371"/>
      <c r="N490" s="671"/>
      <c r="O490" s="671"/>
      <c r="P490" s="373"/>
      <c r="Q490" s="673"/>
      <c r="R490" s="377"/>
      <c r="S490" s="366" t="s">
        <v>190</v>
      </c>
      <c r="T490" s="376"/>
      <c r="U490" s="376"/>
      <c r="V490" s="366"/>
      <c r="W490" s="366"/>
    </row>
    <row r="491" spans="1:23">
      <c r="A491" s="1410"/>
      <c r="B491" s="1413"/>
      <c r="C491" s="845" t="s">
        <v>989</v>
      </c>
      <c r="D491" s="875" t="str">
        <f>B485&amp;C491</f>
        <v>B30g</v>
      </c>
      <c r="E491" s="367">
        <v>6</v>
      </c>
      <c r="F491" s="669"/>
      <c r="G491" s="369"/>
      <c r="H491" s="368"/>
      <c r="I491" s="369"/>
      <c r="J491" s="368"/>
      <c r="K491" s="370"/>
      <c r="L491" s="370"/>
      <c r="M491" s="371"/>
      <c r="N491" s="671"/>
      <c r="O491" s="671"/>
      <c r="P491" s="373"/>
      <c r="Q491" s="673"/>
      <c r="R491" s="375"/>
      <c r="S491" s="366" t="s">
        <v>190</v>
      </c>
      <c r="T491" s="366"/>
      <c r="U491" s="366"/>
      <c r="V491" s="366"/>
      <c r="W491" s="366"/>
    </row>
    <row r="492" spans="1:23">
      <c r="A492" s="1410"/>
      <c r="B492" s="1413"/>
      <c r="C492" s="845" t="s">
        <v>990</v>
      </c>
      <c r="D492" s="875" t="str">
        <f>B485&amp;C492</f>
        <v>B30h</v>
      </c>
      <c r="E492" s="367">
        <v>7</v>
      </c>
      <c r="F492" s="669"/>
      <c r="G492" s="368"/>
      <c r="H492" s="368"/>
      <c r="I492" s="368"/>
      <c r="J492" s="368"/>
      <c r="K492" s="370"/>
      <c r="L492" s="370"/>
      <c r="M492" s="371"/>
      <c r="N492" s="671"/>
      <c r="O492" s="671"/>
      <c r="P492" s="373"/>
      <c r="Q492" s="673"/>
      <c r="R492" s="377"/>
      <c r="S492" s="366" t="s">
        <v>190</v>
      </c>
      <c r="T492" s="366"/>
      <c r="U492" s="366"/>
      <c r="V492" s="366"/>
      <c r="W492" s="366"/>
    </row>
    <row r="493" spans="1:23">
      <c r="A493" s="1410"/>
      <c r="B493" s="1413"/>
      <c r="C493" s="845" t="s">
        <v>991</v>
      </c>
      <c r="D493" s="875" t="str">
        <f>B485&amp;C493</f>
        <v>B30i</v>
      </c>
      <c r="E493" s="367">
        <v>8</v>
      </c>
      <c r="F493" s="669"/>
      <c r="G493" s="368"/>
      <c r="H493" s="368"/>
      <c r="I493" s="368"/>
      <c r="J493" s="368"/>
      <c r="K493" s="370"/>
      <c r="L493" s="370"/>
      <c r="M493" s="371"/>
      <c r="N493" s="671"/>
      <c r="O493" s="671"/>
      <c r="P493" s="373"/>
      <c r="Q493" s="673"/>
      <c r="R493" s="378"/>
      <c r="S493" s="366"/>
      <c r="T493" s="366"/>
      <c r="U493" s="366"/>
      <c r="V493" s="366"/>
      <c r="W493" s="366"/>
    </row>
    <row r="494" spans="1:23">
      <c r="A494" s="1410"/>
      <c r="B494" s="1413"/>
      <c r="C494" s="845" t="s">
        <v>992</v>
      </c>
      <c r="D494" s="875" t="str">
        <f>B485&amp;C494</f>
        <v>B30k</v>
      </c>
      <c r="E494" s="367">
        <v>9</v>
      </c>
      <c r="F494" s="370"/>
      <c r="G494" s="368"/>
      <c r="H494" s="368"/>
      <c r="I494" s="368"/>
      <c r="J494" s="368"/>
      <c r="K494" s="370"/>
      <c r="L494" s="370"/>
      <c r="M494" s="371"/>
      <c r="N494" s="372"/>
      <c r="O494" s="372"/>
      <c r="P494" s="373"/>
      <c r="Q494" s="374"/>
      <c r="R494" s="378"/>
      <c r="S494" s="379"/>
      <c r="T494" s="366"/>
      <c r="U494" s="366"/>
      <c r="V494" s="366"/>
      <c r="W494" s="366"/>
    </row>
    <row r="495" spans="1:23">
      <c r="A495" s="1410"/>
      <c r="B495" s="1413"/>
      <c r="C495" s="845" t="s">
        <v>993</v>
      </c>
      <c r="D495" s="875" t="str">
        <f>B485&amp;C495</f>
        <v>B30l</v>
      </c>
      <c r="E495" s="367">
        <v>10</v>
      </c>
      <c r="F495" s="370"/>
      <c r="G495" s="368"/>
      <c r="H495" s="368"/>
      <c r="I495" s="368"/>
      <c r="J495" s="368"/>
      <c r="K495" s="370"/>
      <c r="L495" s="370"/>
      <c r="M495" s="370"/>
      <c r="N495" s="372"/>
      <c r="O495" s="372"/>
      <c r="P495" s="373"/>
      <c r="Q495" s="374"/>
      <c r="R495" s="378"/>
      <c r="S495" s="379"/>
      <c r="T495" s="366"/>
      <c r="U495" s="366"/>
      <c r="V495" s="366"/>
      <c r="W495" s="366"/>
    </row>
    <row r="496" spans="1:23">
      <c r="A496" s="1410"/>
      <c r="B496" s="1413"/>
      <c r="C496" s="845" t="s">
        <v>994</v>
      </c>
      <c r="D496" s="875" t="str">
        <f>B485&amp;C496</f>
        <v>B30m</v>
      </c>
      <c r="E496" s="367">
        <v>11</v>
      </c>
      <c r="F496" s="370"/>
      <c r="G496" s="368"/>
      <c r="H496" s="368"/>
      <c r="I496" s="368"/>
      <c r="J496" s="368"/>
      <c r="K496" s="370"/>
      <c r="L496" s="370"/>
      <c r="M496" s="370"/>
      <c r="N496" s="372"/>
      <c r="O496" s="372"/>
      <c r="P496" s="380"/>
      <c r="Q496" s="374"/>
      <c r="R496" s="381"/>
      <c r="S496" s="379"/>
      <c r="T496" s="366"/>
      <c r="U496" s="366"/>
      <c r="V496" s="366"/>
      <c r="W496" s="366"/>
    </row>
    <row r="497" spans="1:23">
      <c r="A497" s="1410"/>
      <c r="B497" s="1413"/>
      <c r="C497" s="845" t="s">
        <v>995</v>
      </c>
      <c r="D497" s="875" t="str">
        <f>B485&amp;C497</f>
        <v>B30n</v>
      </c>
      <c r="E497" s="367">
        <v>12</v>
      </c>
      <c r="F497" s="370"/>
      <c r="G497" s="368"/>
      <c r="H497" s="368"/>
      <c r="I497" s="368"/>
      <c r="J497" s="368"/>
      <c r="K497" s="370"/>
      <c r="L497" s="370"/>
      <c r="M497" s="370"/>
      <c r="N497" s="372"/>
      <c r="O497" s="372"/>
      <c r="P497" s="380"/>
      <c r="Q497" s="374"/>
      <c r="R497" s="381"/>
      <c r="S497" s="361"/>
      <c r="T497" s="361"/>
      <c r="U497" s="361"/>
      <c r="V497" s="366"/>
      <c r="W497" s="366"/>
    </row>
    <row r="498" spans="1:23">
      <c r="A498" s="1410"/>
      <c r="B498" s="1413"/>
      <c r="C498" s="845" t="s">
        <v>471</v>
      </c>
      <c r="D498" s="875" t="str">
        <f>B485&amp;C498</f>
        <v>B30x</v>
      </c>
      <c r="E498" s="367">
        <v>13</v>
      </c>
      <c r="F498" s="370"/>
      <c r="G498" s="368"/>
      <c r="H498" s="368"/>
      <c r="I498" s="368"/>
      <c r="J498" s="368"/>
      <c r="K498" s="370"/>
      <c r="L498" s="370"/>
      <c r="M498" s="370"/>
      <c r="N498" s="382"/>
      <c r="O498" s="372"/>
      <c r="P498" s="380"/>
      <c r="Q498" s="381"/>
      <c r="R498" s="381"/>
      <c r="S498" s="361"/>
      <c r="T498" s="361"/>
      <c r="U498" s="361"/>
      <c r="V498" s="366"/>
      <c r="W498" s="366"/>
    </row>
    <row r="499" spans="1:23">
      <c r="A499" s="1410"/>
      <c r="B499" s="1413"/>
      <c r="C499" s="845" t="s">
        <v>732</v>
      </c>
      <c r="D499" s="875" t="str">
        <f>B485&amp;C499</f>
        <v>B30y</v>
      </c>
      <c r="E499" s="367">
        <v>14</v>
      </c>
      <c r="F499" s="370"/>
      <c r="G499" s="368"/>
      <c r="H499" s="368"/>
      <c r="I499" s="368"/>
      <c r="J499" s="368"/>
      <c r="K499" s="370"/>
      <c r="L499" s="370"/>
      <c r="M499" s="370"/>
      <c r="N499" s="382"/>
      <c r="O499" s="372"/>
      <c r="P499" s="380"/>
      <c r="Q499" s="381"/>
      <c r="R499" s="381"/>
      <c r="S499" s="361"/>
      <c r="T499" s="361"/>
      <c r="U499" s="362"/>
      <c r="V499" s="366"/>
      <c r="W499" s="366"/>
    </row>
    <row r="500" spans="1:23">
      <c r="A500" s="1411"/>
      <c r="B500" s="1414"/>
      <c r="C500" s="846" t="s">
        <v>996</v>
      </c>
      <c r="D500" s="876" t="str">
        <f>B485&amp;C500</f>
        <v>B30z</v>
      </c>
      <c r="E500" s="847">
        <v>15</v>
      </c>
      <c r="F500" s="370"/>
      <c r="G500" s="368"/>
      <c r="H500" s="368"/>
      <c r="I500" s="368"/>
      <c r="J500" s="368"/>
      <c r="K500" s="370"/>
      <c r="L500" s="370"/>
      <c r="M500" s="370"/>
      <c r="N500" s="850"/>
      <c r="O500" s="851"/>
      <c r="P500" s="851"/>
      <c r="Q500" s="852"/>
      <c r="R500" s="383"/>
      <c r="S500" s="361"/>
      <c r="T500" s="832"/>
      <c r="U500" s="830"/>
      <c r="V500" s="366"/>
      <c r="W500" s="366"/>
    </row>
    <row r="501" spans="1:23">
      <c r="A501" s="1400" t="s">
        <v>939</v>
      </c>
      <c r="B501" s="1400"/>
      <c r="C501" s="827"/>
      <c r="D501" s="871"/>
      <c r="E501" s="1400" t="s">
        <v>177</v>
      </c>
      <c r="F501" s="1400" t="s">
        <v>18</v>
      </c>
      <c r="G501" s="1389" t="s">
        <v>19</v>
      </c>
      <c r="H501" s="1390"/>
      <c r="I501" s="1389" t="s">
        <v>22</v>
      </c>
      <c r="J501" s="1390"/>
      <c r="K501" s="1393" t="s">
        <v>26</v>
      </c>
      <c r="L501" s="1390"/>
      <c r="M501" s="1389" t="s">
        <v>392</v>
      </c>
      <c r="N501" s="1390"/>
      <c r="O501" s="1389" t="s">
        <v>28</v>
      </c>
      <c r="P501" s="1393"/>
      <c r="Q501" s="1390"/>
      <c r="R501" s="1400" t="s">
        <v>36</v>
      </c>
      <c r="S501" s="361"/>
      <c r="T501" s="361">
        <f>MAX(J505:J519)-MIN(I505:I519)</f>
        <v>7.986111111111116E-2</v>
      </c>
      <c r="U501" s="361"/>
      <c r="V501" s="853" t="str">
        <f t="shared" ref="V501" si="54">B505</f>
        <v>A33</v>
      </c>
      <c r="W501" s="361">
        <f t="shared" ref="W501" si="55">COUNTIF(K506:K520,"&gt;0")</f>
        <v>5</v>
      </c>
    </row>
    <row r="502" spans="1:23">
      <c r="A502" s="1401"/>
      <c r="B502" s="1401"/>
      <c r="C502" s="828"/>
      <c r="D502" s="872"/>
      <c r="E502" s="1401"/>
      <c r="F502" s="1401"/>
      <c r="G502" s="1391"/>
      <c r="H502" s="1392"/>
      <c r="I502" s="1391"/>
      <c r="J502" s="1392"/>
      <c r="K502" s="1394"/>
      <c r="L502" s="1392"/>
      <c r="M502" s="1391"/>
      <c r="N502" s="1392"/>
      <c r="O502" s="1391"/>
      <c r="P502" s="1394"/>
      <c r="Q502" s="1392"/>
      <c r="R502" s="1401"/>
      <c r="S502" s="361"/>
      <c r="T502" s="361"/>
      <c r="U502" s="361"/>
      <c r="V502" s="361"/>
      <c r="W502" s="361"/>
    </row>
    <row r="503" spans="1:23">
      <c r="A503" s="1401"/>
      <c r="B503" s="1401"/>
      <c r="C503" s="828"/>
      <c r="D503" s="872"/>
      <c r="E503" s="1401"/>
      <c r="F503" s="1401"/>
      <c r="G503" s="1400" t="s">
        <v>20</v>
      </c>
      <c r="H503" s="1400" t="s">
        <v>21</v>
      </c>
      <c r="I503" s="1400" t="s">
        <v>361</v>
      </c>
      <c r="J503" s="1400" t="s">
        <v>353</v>
      </c>
      <c r="K503" s="1400" t="s">
        <v>23</v>
      </c>
      <c r="L503" s="1400" t="s">
        <v>24</v>
      </c>
      <c r="M503" s="1400" t="s">
        <v>27</v>
      </c>
      <c r="N503" s="1400" t="s">
        <v>178</v>
      </c>
      <c r="O503" s="1400" t="s">
        <v>1</v>
      </c>
      <c r="P503" s="1400" t="s">
        <v>29</v>
      </c>
      <c r="Q503" s="1400" t="s">
        <v>33</v>
      </c>
      <c r="R503" s="1401"/>
      <c r="S503" s="361"/>
      <c r="T503" s="361" t="s">
        <v>39</v>
      </c>
      <c r="U503" s="362">
        <f>VLOOKUP(B505,'Thong tin'!$A:$M,13,0)</f>
        <v>1200</v>
      </c>
      <c r="V503" s="361"/>
      <c r="W503" s="361"/>
    </row>
    <row r="504" spans="1:23">
      <c r="A504" s="1402"/>
      <c r="B504" s="1402"/>
      <c r="C504" s="829"/>
      <c r="D504" s="873"/>
      <c r="E504" s="1402"/>
      <c r="F504" s="1402"/>
      <c r="G504" s="1402"/>
      <c r="H504" s="1402"/>
      <c r="I504" s="1402"/>
      <c r="J504" s="1402"/>
      <c r="K504" s="1402"/>
      <c r="L504" s="1402"/>
      <c r="M504" s="1402"/>
      <c r="N504" s="1402"/>
      <c r="O504" s="1402"/>
      <c r="P504" s="1402"/>
      <c r="Q504" s="1402"/>
      <c r="R504" s="1402"/>
      <c r="S504" s="361"/>
      <c r="T504" s="1399" t="s">
        <v>393</v>
      </c>
      <c r="U504" s="1397">
        <f>VLOOKUP(B505,DT.NK!$B:$AZ,45,0)</f>
        <v>35.4</v>
      </c>
      <c r="V504" s="361"/>
      <c r="W504" s="361"/>
    </row>
    <row r="505" spans="1:23">
      <c r="A505" s="1409">
        <f>A485+1</f>
        <v>26</v>
      </c>
      <c r="B505" s="1412" t="s">
        <v>647</v>
      </c>
      <c r="C505" s="844" t="s">
        <v>983</v>
      </c>
      <c r="D505" s="874" t="str">
        <f>B505&amp;C505</f>
        <v>A33a</v>
      </c>
      <c r="E505" s="363"/>
      <c r="F505" s="364"/>
      <c r="G505" s="364"/>
      <c r="H505" s="364"/>
      <c r="I505" s="364"/>
      <c r="J505" s="364"/>
      <c r="K505" s="364"/>
      <c r="L505" s="364"/>
      <c r="M505" s="674"/>
      <c r="N505" s="670"/>
      <c r="O505" s="670">
        <f>U504</f>
        <v>35.4</v>
      </c>
      <c r="P505" s="670">
        <f>O505</f>
        <v>35.4</v>
      </c>
      <c r="Q505" s="670">
        <v>0</v>
      </c>
      <c r="R505" s="365"/>
      <c r="S505" s="366"/>
      <c r="T505" s="1399"/>
      <c r="U505" s="1398"/>
      <c r="V505" s="361"/>
      <c r="W505" s="361"/>
    </row>
    <row r="506" spans="1:23">
      <c r="A506" s="1410"/>
      <c r="B506" s="1413"/>
      <c r="C506" s="845" t="s">
        <v>984</v>
      </c>
      <c r="D506" s="875" t="str">
        <f>B505&amp;C506</f>
        <v>A33b</v>
      </c>
      <c r="E506" s="367">
        <v>1</v>
      </c>
      <c r="F506" s="669" t="s">
        <v>1055</v>
      </c>
      <c r="G506" s="369">
        <v>0.23263888888888887</v>
      </c>
      <c r="H506" s="368">
        <v>0.27083333333333331</v>
      </c>
      <c r="I506" s="369">
        <v>0.2986111111111111</v>
      </c>
      <c r="J506" s="368">
        <v>0.30902777777777779</v>
      </c>
      <c r="K506" s="669">
        <v>8</v>
      </c>
      <c r="L506" s="669">
        <v>20</v>
      </c>
      <c r="M506" s="675">
        <v>34.4</v>
      </c>
      <c r="N506" s="671">
        <f>IF(M506-P506&gt;0,M506-P506,0)</f>
        <v>4.6999999999999993</v>
      </c>
      <c r="O506" s="671">
        <f>O505-K506/(PI()*(U503/2000)^2)</f>
        <v>28.326446973693539</v>
      </c>
      <c r="P506" s="672">
        <v>29.7</v>
      </c>
      <c r="Q506" s="673">
        <f>ABS(O506-P506)</f>
        <v>1.3735530263064604</v>
      </c>
      <c r="R506" s="375" t="s">
        <v>188</v>
      </c>
      <c r="S506" s="366"/>
      <c r="T506" s="376"/>
      <c r="U506" s="376"/>
      <c r="V506" s="366"/>
      <c r="W506" s="366"/>
    </row>
    <row r="507" spans="1:23">
      <c r="A507" s="1410"/>
      <c r="B507" s="1413"/>
      <c r="C507" s="845" t="s">
        <v>985</v>
      </c>
      <c r="D507" s="875" t="str">
        <f>B505&amp;C507</f>
        <v>A33c</v>
      </c>
      <c r="E507" s="367">
        <v>2</v>
      </c>
      <c r="F507" s="669" t="s">
        <v>1062</v>
      </c>
      <c r="G507" s="369">
        <v>0.24652777777777779</v>
      </c>
      <c r="H507" s="368">
        <v>0.27847222222222223</v>
      </c>
      <c r="I507" s="369">
        <v>0.3125</v>
      </c>
      <c r="J507" s="368">
        <v>0.31597222222222221</v>
      </c>
      <c r="K507" s="669">
        <v>8</v>
      </c>
      <c r="L507" s="669">
        <v>19.5</v>
      </c>
      <c r="M507" s="675">
        <v>34.4</v>
      </c>
      <c r="N507" s="671">
        <f>IF(M507-P507&gt;0,M507-P507,0)</f>
        <v>10.599999999999998</v>
      </c>
      <c r="O507" s="671">
        <f>O506-K507/(PI()*(U503/2000)^2)</f>
        <v>21.252893947387079</v>
      </c>
      <c r="P507" s="672">
        <v>23.8</v>
      </c>
      <c r="Q507" s="673">
        <f>ABS(O507-P507)</f>
        <v>2.5471060526129214</v>
      </c>
      <c r="R507" s="375" t="s">
        <v>188</v>
      </c>
      <c r="S507" s="366"/>
      <c r="T507" s="376"/>
      <c r="U507" s="376"/>
      <c r="V507" s="366"/>
      <c r="W507" s="366"/>
    </row>
    <row r="508" spans="1:23">
      <c r="A508" s="1410"/>
      <c r="B508" s="1413"/>
      <c r="C508" s="845" t="s">
        <v>986</v>
      </c>
      <c r="D508" s="875" t="str">
        <f>B505&amp;C508</f>
        <v>A33d</v>
      </c>
      <c r="E508" s="367">
        <v>3</v>
      </c>
      <c r="F508" s="669" t="s">
        <v>1059</v>
      </c>
      <c r="G508" s="369">
        <v>0.25694444444444448</v>
      </c>
      <c r="H508" s="368">
        <v>0.28263888888888888</v>
      </c>
      <c r="I508" s="369">
        <v>0.31944444444444448</v>
      </c>
      <c r="J508" s="368">
        <v>0.32291666666666669</v>
      </c>
      <c r="K508" s="669">
        <v>8</v>
      </c>
      <c r="L508" s="669">
        <v>19.5</v>
      </c>
      <c r="M508" s="675">
        <v>22.95</v>
      </c>
      <c r="N508" s="671">
        <f>IF(M508-P508&gt;0,M508-P508,0)</f>
        <v>5.9499999999999993</v>
      </c>
      <c r="O508" s="671">
        <f>O507-K508/(PI()*(U503/2000)^2)</f>
        <v>14.17934092108062</v>
      </c>
      <c r="P508" s="672">
        <v>17</v>
      </c>
      <c r="Q508" s="673">
        <f>ABS(O508-P508)</f>
        <v>2.8206590789193804</v>
      </c>
      <c r="R508" s="375"/>
      <c r="S508" s="366"/>
      <c r="T508" s="376"/>
      <c r="U508" s="376"/>
      <c r="V508" s="366"/>
      <c r="W508" s="366"/>
    </row>
    <row r="509" spans="1:23">
      <c r="A509" s="1410"/>
      <c r="B509" s="1413"/>
      <c r="C509" s="845" t="s">
        <v>987</v>
      </c>
      <c r="D509" s="875" t="str">
        <f>B505&amp;C509</f>
        <v>A33e</v>
      </c>
      <c r="E509" s="367">
        <v>4</v>
      </c>
      <c r="F509" s="669" t="s">
        <v>1053</v>
      </c>
      <c r="G509" s="369">
        <v>0.27083333333333331</v>
      </c>
      <c r="H509" s="368">
        <v>0.30902777777777779</v>
      </c>
      <c r="I509" s="369">
        <v>0.3263888888888889</v>
      </c>
      <c r="J509" s="368">
        <v>0.3298611111111111</v>
      </c>
      <c r="K509" s="370">
        <v>8</v>
      </c>
      <c r="L509" s="370">
        <v>20</v>
      </c>
      <c r="M509" s="371">
        <v>17.5</v>
      </c>
      <c r="N509" s="671">
        <f>IF(M509-P509&gt;0,M509-P509,0)</f>
        <v>6.3000000000000007</v>
      </c>
      <c r="O509" s="671">
        <f>O508-K509/(PI()*(U503/2000)^2)</f>
        <v>7.10578789477416</v>
      </c>
      <c r="P509" s="373">
        <v>11.2</v>
      </c>
      <c r="Q509" s="673">
        <f>ABS(O509-P509)</f>
        <v>4.0942121052258393</v>
      </c>
      <c r="R509" s="375"/>
      <c r="S509" s="366"/>
      <c r="T509" s="376"/>
      <c r="U509" s="376"/>
      <c r="V509" s="366"/>
      <c r="W509" s="366"/>
    </row>
    <row r="510" spans="1:23">
      <c r="A510" s="1410"/>
      <c r="B510" s="1413"/>
      <c r="C510" s="845" t="s">
        <v>988</v>
      </c>
      <c r="D510" s="875" t="str">
        <f>B505&amp;C510</f>
        <v>A33f</v>
      </c>
      <c r="E510" s="367">
        <v>5</v>
      </c>
      <c r="F510" s="669" t="s">
        <v>1055</v>
      </c>
      <c r="G510" s="369">
        <v>0.35416666666666669</v>
      </c>
      <c r="H510" s="368">
        <v>0.375</v>
      </c>
      <c r="I510" s="369">
        <v>0.37638888888888888</v>
      </c>
      <c r="J510" s="368">
        <v>0.37847222222222227</v>
      </c>
      <c r="K510" s="370">
        <v>6.5</v>
      </c>
      <c r="L510" s="370">
        <v>19</v>
      </c>
      <c r="M510" s="371">
        <v>17.5</v>
      </c>
      <c r="N510" s="671">
        <f>IF(M510-P510&gt;0,M510-P510,0)</f>
        <v>11.5</v>
      </c>
      <c r="O510" s="671">
        <f>O509-K510/(PI()*(U503/2000)^2)</f>
        <v>1.3585260609001617</v>
      </c>
      <c r="P510" s="373">
        <v>6</v>
      </c>
      <c r="Q510" s="673">
        <f>ABS(O510-P510)</f>
        <v>4.6414739390998383</v>
      </c>
      <c r="R510" s="377"/>
      <c r="S510" s="366" t="s">
        <v>190</v>
      </c>
      <c r="T510" s="376"/>
      <c r="U510" s="376"/>
      <c r="V510" s="366"/>
      <c r="W510" s="366"/>
    </row>
    <row r="511" spans="1:23">
      <c r="A511" s="1410"/>
      <c r="B511" s="1413"/>
      <c r="C511" s="845" t="s">
        <v>989</v>
      </c>
      <c r="D511" s="875" t="str">
        <f>B505&amp;C511</f>
        <v>A33g</v>
      </c>
      <c r="E511" s="367">
        <v>6</v>
      </c>
      <c r="F511" s="669"/>
      <c r="G511" s="369"/>
      <c r="H511" s="368"/>
      <c r="I511" s="369"/>
      <c r="J511" s="368"/>
      <c r="K511" s="370"/>
      <c r="L511" s="370"/>
      <c r="M511" s="371"/>
      <c r="N511" s="671"/>
      <c r="O511" s="671"/>
      <c r="P511" s="373"/>
      <c r="Q511" s="673"/>
      <c r="R511" s="375"/>
      <c r="S511" s="366" t="s">
        <v>190</v>
      </c>
      <c r="T511" s="366"/>
      <c r="U511" s="366"/>
      <c r="V511" s="366"/>
      <c r="W511" s="366"/>
    </row>
    <row r="512" spans="1:23">
      <c r="A512" s="1410"/>
      <c r="B512" s="1413"/>
      <c r="C512" s="845" t="s">
        <v>990</v>
      </c>
      <c r="D512" s="875" t="str">
        <f>B505&amp;C512</f>
        <v>A33h</v>
      </c>
      <c r="E512" s="367">
        <v>7</v>
      </c>
      <c r="F512" s="669"/>
      <c r="G512" s="368"/>
      <c r="H512" s="368"/>
      <c r="I512" s="368"/>
      <c r="J512" s="368"/>
      <c r="K512" s="370"/>
      <c r="L512" s="370"/>
      <c r="M512" s="371"/>
      <c r="N512" s="671"/>
      <c r="O512" s="671"/>
      <c r="P512" s="373"/>
      <c r="Q512" s="673"/>
      <c r="R512" s="377"/>
      <c r="S512" s="366" t="s">
        <v>190</v>
      </c>
      <c r="T512" s="366"/>
      <c r="U512" s="366"/>
      <c r="V512" s="366"/>
      <c r="W512" s="366"/>
    </row>
    <row r="513" spans="1:23">
      <c r="A513" s="1410"/>
      <c r="B513" s="1413"/>
      <c r="C513" s="845" t="s">
        <v>991</v>
      </c>
      <c r="D513" s="875" t="str">
        <f>B505&amp;C513</f>
        <v>A33i</v>
      </c>
      <c r="E513" s="367">
        <v>8</v>
      </c>
      <c r="F513" s="669"/>
      <c r="G513" s="368"/>
      <c r="H513" s="368"/>
      <c r="I513" s="368"/>
      <c r="J513" s="368"/>
      <c r="K513" s="370"/>
      <c r="L513" s="370"/>
      <c r="M513" s="371"/>
      <c r="N513" s="671"/>
      <c r="O513" s="671"/>
      <c r="P513" s="373"/>
      <c r="Q513" s="673"/>
      <c r="R513" s="378"/>
      <c r="S513" s="366"/>
      <c r="T513" s="366"/>
      <c r="U513" s="366"/>
      <c r="V513" s="366"/>
      <c r="W513" s="366"/>
    </row>
    <row r="514" spans="1:23">
      <c r="A514" s="1410"/>
      <c r="B514" s="1413"/>
      <c r="C514" s="845" t="s">
        <v>992</v>
      </c>
      <c r="D514" s="875" t="str">
        <f>B505&amp;C514</f>
        <v>A33k</v>
      </c>
      <c r="E514" s="367">
        <v>9</v>
      </c>
      <c r="F514" s="370"/>
      <c r="G514" s="368"/>
      <c r="H514" s="368"/>
      <c r="I514" s="368"/>
      <c r="J514" s="368"/>
      <c r="K514" s="370"/>
      <c r="L514" s="370"/>
      <c r="M514" s="371"/>
      <c r="N514" s="372"/>
      <c r="O514" s="372"/>
      <c r="P514" s="373"/>
      <c r="Q514" s="374"/>
      <c r="R514" s="378"/>
      <c r="S514" s="379"/>
      <c r="T514" s="366"/>
      <c r="U514" s="366"/>
      <c r="V514" s="366"/>
      <c r="W514" s="366"/>
    </row>
    <row r="515" spans="1:23">
      <c r="A515" s="1410"/>
      <c r="B515" s="1413"/>
      <c r="C515" s="845" t="s">
        <v>993</v>
      </c>
      <c r="D515" s="875" t="str">
        <f>B505&amp;C515</f>
        <v>A33l</v>
      </c>
      <c r="E515" s="367">
        <v>10</v>
      </c>
      <c r="F515" s="370"/>
      <c r="G515" s="368"/>
      <c r="H515" s="368"/>
      <c r="I515" s="368"/>
      <c r="J515" s="368"/>
      <c r="K515" s="370"/>
      <c r="L515" s="370"/>
      <c r="M515" s="370"/>
      <c r="N515" s="372"/>
      <c r="O515" s="372"/>
      <c r="P515" s="373"/>
      <c r="Q515" s="374"/>
      <c r="R515" s="378"/>
      <c r="S515" s="379"/>
      <c r="T515" s="366"/>
      <c r="U515" s="366"/>
      <c r="V515" s="366"/>
      <c r="W515" s="366"/>
    </row>
    <row r="516" spans="1:23">
      <c r="A516" s="1410"/>
      <c r="B516" s="1413"/>
      <c r="C516" s="845" t="s">
        <v>994</v>
      </c>
      <c r="D516" s="875" t="str">
        <f>B505&amp;C516</f>
        <v>A33m</v>
      </c>
      <c r="E516" s="367">
        <v>11</v>
      </c>
      <c r="F516" s="370"/>
      <c r="G516" s="368"/>
      <c r="H516" s="368"/>
      <c r="I516" s="368"/>
      <c r="J516" s="368"/>
      <c r="K516" s="370"/>
      <c r="L516" s="370"/>
      <c r="M516" s="370"/>
      <c r="N516" s="372"/>
      <c r="O516" s="372"/>
      <c r="P516" s="380"/>
      <c r="Q516" s="374"/>
      <c r="R516" s="381"/>
      <c r="S516" s="379"/>
      <c r="T516" s="366"/>
      <c r="U516" s="366"/>
      <c r="V516" s="366"/>
      <c r="W516" s="366"/>
    </row>
    <row r="517" spans="1:23">
      <c r="A517" s="1410"/>
      <c r="B517" s="1413"/>
      <c r="C517" s="845" t="s">
        <v>995</v>
      </c>
      <c r="D517" s="875" t="str">
        <f>B505&amp;C517</f>
        <v>A33n</v>
      </c>
      <c r="E517" s="367">
        <v>12</v>
      </c>
      <c r="F517" s="370"/>
      <c r="G517" s="368"/>
      <c r="H517" s="368"/>
      <c r="I517" s="368"/>
      <c r="J517" s="368"/>
      <c r="K517" s="370"/>
      <c r="L517" s="370"/>
      <c r="M517" s="370"/>
      <c r="N517" s="372"/>
      <c r="O517" s="372"/>
      <c r="P517" s="380"/>
      <c r="Q517" s="374"/>
      <c r="R517" s="381"/>
      <c r="S517" s="361"/>
      <c r="T517" s="361"/>
      <c r="U517" s="361"/>
      <c r="V517" s="366"/>
      <c r="W517" s="366"/>
    </row>
    <row r="518" spans="1:23">
      <c r="A518" s="1410"/>
      <c r="B518" s="1413"/>
      <c r="C518" s="845" t="s">
        <v>471</v>
      </c>
      <c r="D518" s="875" t="str">
        <f>B505&amp;C518</f>
        <v>A33x</v>
      </c>
      <c r="E518" s="367">
        <v>13</v>
      </c>
      <c r="F518" s="370"/>
      <c r="G518" s="368"/>
      <c r="H518" s="368"/>
      <c r="I518" s="368"/>
      <c r="J518" s="368"/>
      <c r="K518" s="370"/>
      <c r="L518" s="370"/>
      <c r="M518" s="370"/>
      <c r="N518" s="382"/>
      <c r="O518" s="372"/>
      <c r="P518" s="380"/>
      <c r="Q518" s="381"/>
      <c r="R518" s="381"/>
      <c r="S518" s="361"/>
      <c r="T518" s="361"/>
      <c r="U518" s="361"/>
      <c r="V518" s="366"/>
      <c r="W518" s="366"/>
    </row>
    <row r="519" spans="1:23">
      <c r="A519" s="1410"/>
      <c r="B519" s="1413"/>
      <c r="C519" s="845" t="s">
        <v>732</v>
      </c>
      <c r="D519" s="875" t="str">
        <f>B505&amp;C519</f>
        <v>A33y</v>
      </c>
      <c r="E519" s="367">
        <v>14</v>
      </c>
      <c r="F519" s="370"/>
      <c r="G519" s="368"/>
      <c r="H519" s="368"/>
      <c r="I519" s="368"/>
      <c r="J519" s="368"/>
      <c r="K519" s="370"/>
      <c r="L519" s="370"/>
      <c r="M519" s="370"/>
      <c r="N519" s="382"/>
      <c r="O519" s="372"/>
      <c r="P519" s="380"/>
      <c r="Q519" s="381"/>
      <c r="R519" s="381"/>
      <c r="S519" s="361"/>
      <c r="T519" s="361"/>
      <c r="U519" s="362"/>
      <c r="V519" s="366"/>
      <c r="W519" s="366"/>
    </row>
    <row r="520" spans="1:23">
      <c r="A520" s="1411"/>
      <c r="B520" s="1414"/>
      <c r="C520" s="846" t="s">
        <v>996</v>
      </c>
      <c r="D520" s="876" t="str">
        <f>B505&amp;C520</f>
        <v>A33z</v>
      </c>
      <c r="E520" s="847">
        <v>15</v>
      </c>
      <c r="F520" s="370"/>
      <c r="G520" s="368"/>
      <c r="H520" s="368"/>
      <c r="I520" s="368"/>
      <c r="J520" s="368"/>
      <c r="K520" s="370"/>
      <c r="L520" s="370"/>
      <c r="M520" s="370"/>
      <c r="N520" s="850"/>
      <c r="O520" s="851"/>
      <c r="P520" s="851"/>
      <c r="Q520" s="852"/>
      <c r="R520" s="383"/>
      <c r="S520" s="361"/>
      <c r="T520" s="832"/>
      <c r="U520" s="830"/>
      <c r="V520" s="366"/>
      <c r="W520" s="366"/>
    </row>
    <row r="521" spans="1:23">
      <c r="A521" s="1400" t="s">
        <v>939</v>
      </c>
      <c r="B521" s="1400"/>
      <c r="C521" s="827"/>
      <c r="D521" s="871"/>
      <c r="E521" s="1400" t="s">
        <v>177</v>
      </c>
      <c r="F521" s="1400" t="s">
        <v>18</v>
      </c>
      <c r="G521" s="1389" t="s">
        <v>19</v>
      </c>
      <c r="H521" s="1390"/>
      <c r="I521" s="1389" t="s">
        <v>22</v>
      </c>
      <c r="J521" s="1390"/>
      <c r="K521" s="1393" t="s">
        <v>26</v>
      </c>
      <c r="L521" s="1390"/>
      <c r="M521" s="1389" t="s">
        <v>392</v>
      </c>
      <c r="N521" s="1390"/>
      <c r="O521" s="1389" t="s">
        <v>28</v>
      </c>
      <c r="P521" s="1393"/>
      <c r="Q521" s="1390"/>
      <c r="R521" s="1400" t="s">
        <v>36</v>
      </c>
      <c r="S521" s="361"/>
      <c r="T521" s="361">
        <f>MAX(J525:J539)-MIN(I525:I539)</f>
        <v>5.4861111111111083E-2</v>
      </c>
      <c r="U521" s="361"/>
      <c r="V521" s="853" t="str">
        <f t="shared" ref="V521" si="56">B525</f>
        <v>A2</v>
      </c>
      <c r="W521" s="361">
        <f t="shared" ref="W521" si="57">COUNTIF(K526:K540,"&gt;0")</f>
        <v>3</v>
      </c>
    </row>
    <row r="522" spans="1:23">
      <c r="A522" s="1401"/>
      <c r="B522" s="1401"/>
      <c r="C522" s="828"/>
      <c r="D522" s="872"/>
      <c r="E522" s="1401"/>
      <c r="F522" s="1401"/>
      <c r="G522" s="1391"/>
      <c r="H522" s="1392"/>
      <c r="I522" s="1391"/>
      <c r="J522" s="1392"/>
      <c r="K522" s="1394"/>
      <c r="L522" s="1392"/>
      <c r="M522" s="1391"/>
      <c r="N522" s="1392"/>
      <c r="O522" s="1391"/>
      <c r="P522" s="1394"/>
      <c r="Q522" s="1392"/>
      <c r="R522" s="1401"/>
      <c r="S522" s="361"/>
      <c r="T522" s="361"/>
      <c r="U522" s="361"/>
      <c r="V522" s="361"/>
      <c r="W522" s="361"/>
    </row>
    <row r="523" spans="1:23">
      <c r="A523" s="1401"/>
      <c r="B523" s="1401"/>
      <c r="C523" s="828"/>
      <c r="D523" s="872"/>
      <c r="E523" s="1401"/>
      <c r="F523" s="1401"/>
      <c r="G523" s="1400" t="s">
        <v>20</v>
      </c>
      <c r="H523" s="1400" t="s">
        <v>21</v>
      </c>
      <c r="I523" s="1400" t="s">
        <v>361</v>
      </c>
      <c r="J523" s="1400" t="s">
        <v>353</v>
      </c>
      <c r="K523" s="1400" t="s">
        <v>23</v>
      </c>
      <c r="L523" s="1400" t="s">
        <v>24</v>
      </c>
      <c r="M523" s="1400" t="s">
        <v>27</v>
      </c>
      <c r="N523" s="1400" t="s">
        <v>178</v>
      </c>
      <c r="O523" s="1400" t="s">
        <v>1</v>
      </c>
      <c r="P523" s="1400" t="s">
        <v>29</v>
      </c>
      <c r="Q523" s="1400" t="s">
        <v>33</v>
      </c>
      <c r="R523" s="1401"/>
      <c r="S523" s="361"/>
      <c r="T523" s="361" t="s">
        <v>39</v>
      </c>
      <c r="U523" s="362">
        <f>VLOOKUP(B525,'Thong tin'!$A:$M,13,0)</f>
        <v>1200</v>
      </c>
      <c r="V523" s="361"/>
      <c r="W523" s="361"/>
    </row>
    <row r="524" spans="1:23">
      <c r="A524" s="1402"/>
      <c r="B524" s="1402"/>
      <c r="C524" s="829"/>
      <c r="D524" s="873"/>
      <c r="E524" s="1402"/>
      <c r="F524" s="1402"/>
      <c r="G524" s="1402"/>
      <c r="H524" s="1402"/>
      <c r="I524" s="1402"/>
      <c r="J524" s="1402"/>
      <c r="K524" s="1402"/>
      <c r="L524" s="1402"/>
      <c r="M524" s="1402"/>
      <c r="N524" s="1402"/>
      <c r="O524" s="1402"/>
      <c r="P524" s="1402"/>
      <c r="Q524" s="1402"/>
      <c r="R524" s="1402"/>
      <c r="S524" s="361"/>
      <c r="T524" s="1399" t="s">
        <v>393</v>
      </c>
      <c r="U524" s="1397">
        <f>VLOOKUP(B525,DT.NK!$B:$AZ,45,0)</f>
        <v>22.5</v>
      </c>
      <c r="V524" s="361"/>
      <c r="W524" s="361"/>
    </row>
    <row r="525" spans="1:23">
      <c r="A525" s="1409">
        <f>A505+1</f>
        <v>27</v>
      </c>
      <c r="B525" s="1412" t="s">
        <v>494</v>
      </c>
      <c r="C525" s="844" t="s">
        <v>983</v>
      </c>
      <c r="D525" s="874" t="str">
        <f>B525&amp;C525</f>
        <v>A2a</v>
      </c>
      <c r="E525" s="363"/>
      <c r="F525" s="364"/>
      <c r="G525" s="364"/>
      <c r="H525" s="364"/>
      <c r="I525" s="364"/>
      <c r="J525" s="364"/>
      <c r="K525" s="364"/>
      <c r="L525" s="364"/>
      <c r="M525" s="674"/>
      <c r="N525" s="670"/>
      <c r="O525" s="670">
        <f>U524</f>
        <v>22.5</v>
      </c>
      <c r="P525" s="670">
        <f>O525</f>
        <v>22.5</v>
      </c>
      <c r="Q525" s="670">
        <v>0</v>
      </c>
      <c r="R525" s="365"/>
      <c r="S525" s="366"/>
      <c r="T525" s="1399"/>
      <c r="U525" s="1398"/>
      <c r="V525" s="361"/>
      <c r="W525" s="361"/>
    </row>
    <row r="526" spans="1:23">
      <c r="A526" s="1410"/>
      <c r="B526" s="1413"/>
      <c r="C526" s="845" t="s">
        <v>984</v>
      </c>
      <c r="D526" s="875" t="str">
        <f>B525&amp;C526</f>
        <v>A2b</v>
      </c>
      <c r="E526" s="367">
        <v>1</v>
      </c>
      <c r="F526" s="669" t="s">
        <v>1058</v>
      </c>
      <c r="G526" s="369">
        <v>0.36944444444444446</v>
      </c>
      <c r="H526" s="368">
        <v>0.40972222222222227</v>
      </c>
      <c r="I526" s="369">
        <v>0.42083333333333334</v>
      </c>
      <c r="J526" s="368">
        <v>0.42499999999999999</v>
      </c>
      <c r="K526" s="669">
        <v>8</v>
      </c>
      <c r="L526" s="669">
        <v>18</v>
      </c>
      <c r="M526" s="675">
        <v>34.4</v>
      </c>
      <c r="N526" s="671">
        <f>IF(M526-P526&gt;0,M526-P526,0)</f>
        <v>18.5</v>
      </c>
      <c r="O526" s="671">
        <f>O525-K526/(PI()*(U523/2000)^2)</f>
        <v>15.42644697369354</v>
      </c>
      <c r="P526" s="672">
        <v>15.9</v>
      </c>
      <c r="Q526" s="673">
        <f>ABS(O526-P526)</f>
        <v>0.47355302630646001</v>
      </c>
      <c r="R526" s="375" t="s">
        <v>188</v>
      </c>
      <c r="S526" s="366"/>
      <c r="T526" s="376"/>
      <c r="U526" s="376"/>
      <c r="V526" s="366"/>
      <c r="W526" s="366"/>
    </row>
    <row r="527" spans="1:23">
      <c r="A527" s="1410"/>
      <c r="B527" s="1413"/>
      <c r="C527" s="845" t="s">
        <v>985</v>
      </c>
      <c r="D527" s="875" t="str">
        <f>B525&amp;C527</f>
        <v>A2c</v>
      </c>
      <c r="E527" s="367">
        <v>2</v>
      </c>
      <c r="F527" s="669" t="s">
        <v>1067</v>
      </c>
      <c r="G527" s="369">
        <v>0.39027777777777778</v>
      </c>
      <c r="H527" s="368">
        <v>0.4201388888888889</v>
      </c>
      <c r="I527" s="369">
        <v>0.43055555555555558</v>
      </c>
      <c r="J527" s="368">
        <v>0.43402777777777773</v>
      </c>
      <c r="K527" s="669">
        <v>8</v>
      </c>
      <c r="L527" s="669">
        <v>20</v>
      </c>
      <c r="M527" s="675">
        <v>34.4</v>
      </c>
      <c r="N527" s="671">
        <f>IF(M527-P527&gt;0,M527-P527,0)</f>
        <v>25.4</v>
      </c>
      <c r="O527" s="671">
        <f>O526-K527/(PI()*(U523/2000)^2)</f>
        <v>8.3528939473870807</v>
      </c>
      <c r="P527" s="672">
        <v>9</v>
      </c>
      <c r="Q527" s="673">
        <f>ABS(O527-P527)</f>
        <v>0.64710605261291931</v>
      </c>
      <c r="R527" s="375" t="s">
        <v>188</v>
      </c>
      <c r="S527" s="366"/>
      <c r="T527" s="376"/>
      <c r="U527" s="376"/>
      <c r="V527" s="366"/>
      <c r="W527" s="366"/>
    </row>
    <row r="528" spans="1:23">
      <c r="A528" s="1410"/>
      <c r="B528" s="1413"/>
      <c r="C528" s="845" t="s">
        <v>986</v>
      </c>
      <c r="D528" s="875" t="str">
        <f>B525&amp;C528</f>
        <v>A2d</v>
      </c>
      <c r="E528" s="367">
        <v>3</v>
      </c>
      <c r="F528" s="669" t="s">
        <v>1068</v>
      </c>
      <c r="G528" s="369">
        <v>0.44930555555555557</v>
      </c>
      <c r="H528" s="368">
        <v>0.46875</v>
      </c>
      <c r="I528" s="369">
        <v>0.47222222222222227</v>
      </c>
      <c r="J528" s="368">
        <v>0.47569444444444442</v>
      </c>
      <c r="K528" s="669">
        <v>2.5</v>
      </c>
      <c r="L528" s="669">
        <v>18</v>
      </c>
      <c r="M528" s="675">
        <v>22.95</v>
      </c>
      <c r="N528" s="671">
        <f>IF(M528-P528&gt;0,M528-P528,0)</f>
        <v>16.049999999999997</v>
      </c>
      <c r="O528" s="671">
        <f>O527-K528/(PI()*(U523/2000)^2)</f>
        <v>6.1424086266663123</v>
      </c>
      <c r="P528" s="672">
        <v>6.9</v>
      </c>
      <c r="Q528" s="673">
        <f>ABS(O528-P528)</f>
        <v>0.75759137333368809</v>
      </c>
      <c r="R528" s="375" t="s">
        <v>188</v>
      </c>
      <c r="S528" s="366"/>
      <c r="T528" s="376"/>
      <c r="U528" s="376"/>
      <c r="V528" s="366"/>
      <c r="W528" s="366"/>
    </row>
    <row r="529" spans="1:23">
      <c r="A529" s="1410"/>
      <c r="B529" s="1413"/>
      <c r="C529" s="845" t="s">
        <v>987</v>
      </c>
      <c r="D529" s="875" t="str">
        <f>B525&amp;C529</f>
        <v>A2e</v>
      </c>
      <c r="E529" s="367">
        <v>4</v>
      </c>
      <c r="F529" s="669"/>
      <c r="G529" s="369"/>
      <c r="H529" s="368"/>
      <c r="I529" s="369"/>
      <c r="J529" s="368"/>
      <c r="K529" s="370"/>
      <c r="L529" s="370"/>
      <c r="M529" s="371"/>
      <c r="N529" s="671"/>
      <c r="O529" s="671"/>
      <c r="P529" s="373"/>
      <c r="Q529" s="673"/>
      <c r="R529" s="375"/>
      <c r="S529" s="366"/>
      <c r="T529" s="376"/>
      <c r="U529" s="376"/>
      <c r="V529" s="366"/>
      <c r="W529" s="366"/>
    </row>
    <row r="530" spans="1:23">
      <c r="A530" s="1410"/>
      <c r="B530" s="1413"/>
      <c r="C530" s="845" t="s">
        <v>988</v>
      </c>
      <c r="D530" s="875" t="str">
        <f>B525&amp;C530</f>
        <v>A2f</v>
      </c>
      <c r="E530" s="367">
        <v>5</v>
      </c>
      <c r="F530" s="669"/>
      <c r="G530" s="369"/>
      <c r="H530" s="368"/>
      <c r="I530" s="369"/>
      <c r="J530" s="368"/>
      <c r="K530" s="370"/>
      <c r="L530" s="370"/>
      <c r="M530" s="371"/>
      <c r="N530" s="671"/>
      <c r="O530" s="671"/>
      <c r="P530" s="373"/>
      <c r="Q530" s="673"/>
      <c r="R530" s="377"/>
      <c r="S530" s="366" t="s">
        <v>190</v>
      </c>
      <c r="T530" s="376"/>
      <c r="U530" s="376"/>
      <c r="V530" s="366"/>
      <c r="W530" s="366"/>
    </row>
    <row r="531" spans="1:23">
      <c r="A531" s="1410"/>
      <c r="B531" s="1413"/>
      <c r="C531" s="845" t="s">
        <v>989</v>
      </c>
      <c r="D531" s="875" t="str">
        <f>B525&amp;C531</f>
        <v>A2g</v>
      </c>
      <c r="E531" s="367">
        <v>6</v>
      </c>
      <c r="F531" s="669"/>
      <c r="G531" s="369"/>
      <c r="H531" s="368"/>
      <c r="I531" s="369"/>
      <c r="J531" s="368"/>
      <c r="K531" s="370"/>
      <c r="L531" s="370"/>
      <c r="M531" s="371"/>
      <c r="N531" s="671"/>
      <c r="O531" s="671"/>
      <c r="P531" s="373"/>
      <c r="Q531" s="673"/>
      <c r="R531" s="375"/>
      <c r="S531" s="366" t="s">
        <v>190</v>
      </c>
      <c r="T531" s="366"/>
      <c r="U531" s="366"/>
      <c r="V531" s="366"/>
      <c r="W531" s="366"/>
    </row>
    <row r="532" spans="1:23">
      <c r="A532" s="1410"/>
      <c r="B532" s="1413"/>
      <c r="C532" s="845" t="s">
        <v>990</v>
      </c>
      <c r="D532" s="875" t="str">
        <f>B525&amp;C532</f>
        <v>A2h</v>
      </c>
      <c r="E532" s="367">
        <v>7</v>
      </c>
      <c r="F532" s="669"/>
      <c r="G532" s="368"/>
      <c r="H532" s="368"/>
      <c r="I532" s="368"/>
      <c r="J532" s="368"/>
      <c r="K532" s="370"/>
      <c r="L532" s="370"/>
      <c r="M532" s="371"/>
      <c r="N532" s="671"/>
      <c r="O532" s="671"/>
      <c r="P532" s="373"/>
      <c r="Q532" s="673"/>
      <c r="R532" s="377"/>
      <c r="S532" s="366" t="s">
        <v>190</v>
      </c>
      <c r="T532" s="366"/>
      <c r="U532" s="366"/>
      <c r="V532" s="366"/>
      <c r="W532" s="366"/>
    </row>
    <row r="533" spans="1:23">
      <c r="A533" s="1410"/>
      <c r="B533" s="1413"/>
      <c r="C533" s="845" t="s">
        <v>991</v>
      </c>
      <c r="D533" s="875" t="str">
        <f>B525&amp;C533</f>
        <v>A2i</v>
      </c>
      <c r="E533" s="367">
        <v>8</v>
      </c>
      <c r="F533" s="669"/>
      <c r="G533" s="368"/>
      <c r="H533" s="368"/>
      <c r="I533" s="368"/>
      <c r="J533" s="368"/>
      <c r="K533" s="370"/>
      <c r="L533" s="370"/>
      <c r="M533" s="371"/>
      <c r="N533" s="671"/>
      <c r="O533" s="671"/>
      <c r="P533" s="373"/>
      <c r="Q533" s="673"/>
      <c r="R533" s="378"/>
      <c r="S533" s="366"/>
      <c r="T533" s="366"/>
      <c r="U533" s="366"/>
      <c r="V533" s="366"/>
      <c r="W533" s="366"/>
    </row>
    <row r="534" spans="1:23">
      <c r="A534" s="1410"/>
      <c r="B534" s="1413"/>
      <c r="C534" s="845" t="s">
        <v>992</v>
      </c>
      <c r="D534" s="875" t="str">
        <f>B525&amp;C534</f>
        <v>A2k</v>
      </c>
      <c r="E534" s="367">
        <v>9</v>
      </c>
      <c r="F534" s="370"/>
      <c r="G534" s="368"/>
      <c r="H534" s="368"/>
      <c r="I534" s="368"/>
      <c r="J534" s="368"/>
      <c r="K534" s="370"/>
      <c r="L534" s="370"/>
      <c r="M534" s="371"/>
      <c r="N534" s="372"/>
      <c r="O534" s="372"/>
      <c r="P534" s="373"/>
      <c r="Q534" s="374"/>
      <c r="R534" s="378"/>
      <c r="S534" s="379"/>
      <c r="T534" s="366"/>
      <c r="U534" s="366"/>
      <c r="V534" s="366"/>
      <c r="W534" s="366"/>
    </row>
    <row r="535" spans="1:23">
      <c r="A535" s="1410"/>
      <c r="B535" s="1413"/>
      <c r="C535" s="845" t="s">
        <v>993</v>
      </c>
      <c r="D535" s="875" t="str">
        <f>B525&amp;C535</f>
        <v>A2l</v>
      </c>
      <c r="E535" s="367">
        <v>10</v>
      </c>
      <c r="F535" s="370"/>
      <c r="G535" s="368"/>
      <c r="H535" s="368"/>
      <c r="I535" s="368"/>
      <c r="J535" s="368"/>
      <c r="K535" s="370"/>
      <c r="L535" s="370"/>
      <c r="M535" s="370"/>
      <c r="N535" s="372"/>
      <c r="O535" s="372"/>
      <c r="P535" s="373"/>
      <c r="Q535" s="374"/>
      <c r="R535" s="378"/>
      <c r="S535" s="379"/>
      <c r="T535" s="366"/>
      <c r="U535" s="366"/>
      <c r="V535" s="366"/>
      <c r="W535" s="366"/>
    </row>
    <row r="536" spans="1:23">
      <c r="A536" s="1410"/>
      <c r="B536" s="1413"/>
      <c r="C536" s="845" t="s">
        <v>994</v>
      </c>
      <c r="D536" s="875" t="str">
        <f>B525&amp;C536</f>
        <v>A2m</v>
      </c>
      <c r="E536" s="367">
        <v>11</v>
      </c>
      <c r="F536" s="370"/>
      <c r="G536" s="368"/>
      <c r="H536" s="368"/>
      <c r="I536" s="368"/>
      <c r="J536" s="368"/>
      <c r="K536" s="370"/>
      <c r="L536" s="370"/>
      <c r="M536" s="370"/>
      <c r="N536" s="372"/>
      <c r="O536" s="372"/>
      <c r="P536" s="380"/>
      <c r="Q536" s="374"/>
      <c r="R536" s="381"/>
      <c r="S536" s="379"/>
      <c r="T536" s="366"/>
      <c r="U536" s="366"/>
      <c r="V536" s="366"/>
      <c r="W536" s="366"/>
    </row>
    <row r="537" spans="1:23">
      <c r="A537" s="1410"/>
      <c r="B537" s="1413"/>
      <c r="C537" s="845" t="s">
        <v>995</v>
      </c>
      <c r="D537" s="875" t="str">
        <f>B525&amp;C537</f>
        <v>A2n</v>
      </c>
      <c r="E537" s="367">
        <v>12</v>
      </c>
      <c r="F537" s="370"/>
      <c r="G537" s="368"/>
      <c r="H537" s="368"/>
      <c r="I537" s="368"/>
      <c r="J537" s="368"/>
      <c r="K537" s="370"/>
      <c r="L537" s="370"/>
      <c r="M537" s="370"/>
      <c r="N537" s="372"/>
      <c r="O537" s="372"/>
      <c r="P537" s="380"/>
      <c r="Q537" s="374"/>
      <c r="R537" s="381"/>
      <c r="S537" s="361"/>
      <c r="T537" s="361"/>
      <c r="U537" s="361"/>
      <c r="V537" s="366"/>
      <c r="W537" s="366"/>
    </row>
    <row r="538" spans="1:23">
      <c r="A538" s="1410"/>
      <c r="B538" s="1413"/>
      <c r="C538" s="845" t="s">
        <v>471</v>
      </c>
      <c r="D538" s="875" t="str">
        <f>B525&amp;C538</f>
        <v>A2x</v>
      </c>
      <c r="E538" s="367">
        <v>13</v>
      </c>
      <c r="F538" s="370"/>
      <c r="G538" s="368"/>
      <c r="H538" s="368"/>
      <c r="I538" s="368"/>
      <c r="J538" s="368"/>
      <c r="K538" s="370"/>
      <c r="L538" s="370"/>
      <c r="M538" s="370"/>
      <c r="N538" s="382"/>
      <c r="O538" s="372"/>
      <c r="P538" s="380"/>
      <c r="Q538" s="381"/>
      <c r="R538" s="381"/>
      <c r="S538" s="361"/>
      <c r="T538" s="361"/>
      <c r="U538" s="361"/>
      <c r="V538" s="366"/>
      <c r="W538" s="366"/>
    </row>
    <row r="539" spans="1:23">
      <c r="A539" s="1410"/>
      <c r="B539" s="1413"/>
      <c r="C539" s="845" t="s">
        <v>732</v>
      </c>
      <c r="D539" s="875" t="str">
        <f>B525&amp;C539</f>
        <v>A2y</v>
      </c>
      <c r="E539" s="367">
        <v>14</v>
      </c>
      <c r="F539" s="370"/>
      <c r="G539" s="368"/>
      <c r="H539" s="368"/>
      <c r="I539" s="368"/>
      <c r="J539" s="368"/>
      <c r="K539" s="370"/>
      <c r="L539" s="370"/>
      <c r="M539" s="370"/>
      <c r="N539" s="382"/>
      <c r="O539" s="372"/>
      <c r="P539" s="380"/>
      <c r="Q539" s="381"/>
      <c r="R539" s="381"/>
      <c r="S539" s="361"/>
      <c r="T539" s="361"/>
      <c r="U539" s="362"/>
      <c r="V539" s="366"/>
      <c r="W539" s="366"/>
    </row>
    <row r="540" spans="1:23">
      <c r="A540" s="1411"/>
      <c r="B540" s="1414"/>
      <c r="C540" s="846" t="s">
        <v>996</v>
      </c>
      <c r="D540" s="876" t="str">
        <f>B525&amp;C540</f>
        <v>A2z</v>
      </c>
      <c r="E540" s="847">
        <v>15</v>
      </c>
      <c r="F540" s="370"/>
      <c r="G540" s="368"/>
      <c r="H540" s="368"/>
      <c r="I540" s="368"/>
      <c r="J540" s="368"/>
      <c r="K540" s="370"/>
      <c r="L540" s="370"/>
      <c r="M540" s="370"/>
      <c r="N540" s="850"/>
      <c r="O540" s="851"/>
      <c r="P540" s="851"/>
      <c r="Q540" s="852"/>
      <c r="R540" s="383"/>
      <c r="S540" s="361"/>
      <c r="T540" s="832"/>
      <c r="U540" s="830"/>
      <c r="V540" s="366"/>
      <c r="W540" s="366"/>
    </row>
    <row r="541" spans="1:23">
      <c r="A541" s="1400" t="s">
        <v>939</v>
      </c>
      <c r="B541" s="1400"/>
      <c r="C541" s="827"/>
      <c r="D541" s="871"/>
      <c r="E541" s="1400" t="s">
        <v>177</v>
      </c>
      <c r="F541" s="1400" t="s">
        <v>18</v>
      </c>
      <c r="G541" s="1389" t="s">
        <v>19</v>
      </c>
      <c r="H541" s="1390"/>
      <c r="I541" s="1389" t="s">
        <v>22</v>
      </c>
      <c r="J541" s="1390"/>
      <c r="K541" s="1393" t="s">
        <v>26</v>
      </c>
      <c r="L541" s="1390"/>
      <c r="M541" s="1389" t="s">
        <v>392</v>
      </c>
      <c r="N541" s="1390"/>
      <c r="O541" s="1389" t="s">
        <v>28</v>
      </c>
      <c r="P541" s="1393"/>
      <c r="Q541" s="1390"/>
      <c r="R541" s="1400" t="s">
        <v>36</v>
      </c>
      <c r="S541" s="361"/>
      <c r="T541" s="361">
        <f>MAX(J545:J559)-MIN(I545:I559)</f>
        <v>2.777777777777779E-2</v>
      </c>
      <c r="U541" s="361"/>
      <c r="V541" s="853" t="str">
        <f t="shared" ref="V541" si="58">B545</f>
        <v>A4</v>
      </c>
      <c r="W541" s="361">
        <f t="shared" ref="W541" si="59">COUNTIF(K546:K560,"&gt;0")</f>
        <v>3</v>
      </c>
    </row>
    <row r="542" spans="1:23">
      <c r="A542" s="1401"/>
      <c r="B542" s="1401"/>
      <c r="C542" s="828"/>
      <c r="D542" s="872"/>
      <c r="E542" s="1401"/>
      <c r="F542" s="1401"/>
      <c r="G542" s="1391"/>
      <c r="H542" s="1392"/>
      <c r="I542" s="1391"/>
      <c r="J542" s="1392"/>
      <c r="K542" s="1394"/>
      <c r="L542" s="1392"/>
      <c r="M542" s="1391"/>
      <c r="N542" s="1392"/>
      <c r="O542" s="1391"/>
      <c r="P542" s="1394"/>
      <c r="Q542" s="1392"/>
      <c r="R542" s="1401"/>
      <c r="S542" s="361"/>
      <c r="T542" s="361"/>
      <c r="U542" s="361"/>
      <c r="V542" s="361"/>
      <c r="W542" s="361"/>
    </row>
    <row r="543" spans="1:23">
      <c r="A543" s="1401"/>
      <c r="B543" s="1401"/>
      <c r="C543" s="828"/>
      <c r="D543" s="872"/>
      <c r="E543" s="1401"/>
      <c r="F543" s="1401"/>
      <c r="G543" s="1400" t="s">
        <v>20</v>
      </c>
      <c r="H543" s="1400" t="s">
        <v>21</v>
      </c>
      <c r="I543" s="1400" t="s">
        <v>361</v>
      </c>
      <c r="J543" s="1400" t="s">
        <v>353</v>
      </c>
      <c r="K543" s="1400" t="s">
        <v>23</v>
      </c>
      <c r="L543" s="1400" t="s">
        <v>24</v>
      </c>
      <c r="M543" s="1400" t="s">
        <v>27</v>
      </c>
      <c r="N543" s="1400" t="s">
        <v>178</v>
      </c>
      <c r="O543" s="1400" t="s">
        <v>1</v>
      </c>
      <c r="P543" s="1400" t="s">
        <v>29</v>
      </c>
      <c r="Q543" s="1400" t="s">
        <v>33</v>
      </c>
      <c r="R543" s="1401"/>
      <c r="S543" s="361"/>
      <c r="T543" s="361" t="s">
        <v>39</v>
      </c>
      <c r="U543" s="362">
        <f>VLOOKUP(B545,'Thong tin'!$A:$M,13,0)</f>
        <v>1200</v>
      </c>
      <c r="V543" s="361"/>
      <c r="W543" s="361"/>
    </row>
    <row r="544" spans="1:23">
      <c r="A544" s="1402"/>
      <c r="B544" s="1402"/>
      <c r="C544" s="829"/>
      <c r="D544" s="873"/>
      <c r="E544" s="1402"/>
      <c r="F544" s="1402"/>
      <c r="G544" s="1402"/>
      <c r="H544" s="1402"/>
      <c r="I544" s="1402"/>
      <c r="J544" s="1402"/>
      <c r="K544" s="1402"/>
      <c r="L544" s="1402"/>
      <c r="M544" s="1402"/>
      <c r="N544" s="1402"/>
      <c r="O544" s="1402"/>
      <c r="P544" s="1402"/>
      <c r="Q544" s="1402"/>
      <c r="R544" s="1402"/>
      <c r="S544" s="361"/>
      <c r="T544" s="1399" t="s">
        <v>393</v>
      </c>
      <c r="U544" s="1397">
        <f>VLOOKUP(B545,DT.NK!$B:$AZ,45,0)</f>
        <v>26.8</v>
      </c>
      <c r="V544" s="361"/>
      <c r="W544" s="361"/>
    </row>
    <row r="545" spans="1:23">
      <c r="A545" s="1409">
        <f>A525+1</f>
        <v>28</v>
      </c>
      <c r="B545" s="1412" t="s">
        <v>504</v>
      </c>
      <c r="C545" s="844" t="s">
        <v>983</v>
      </c>
      <c r="D545" s="874" t="str">
        <f>B545&amp;C545</f>
        <v>A4a</v>
      </c>
      <c r="E545" s="363"/>
      <c r="F545" s="364"/>
      <c r="G545" s="364"/>
      <c r="H545" s="364"/>
      <c r="I545" s="364"/>
      <c r="J545" s="364"/>
      <c r="K545" s="364"/>
      <c r="L545" s="364"/>
      <c r="M545" s="674"/>
      <c r="N545" s="670"/>
      <c r="O545" s="670">
        <f>U544</f>
        <v>26.8</v>
      </c>
      <c r="P545" s="670">
        <f>O545</f>
        <v>26.8</v>
      </c>
      <c r="Q545" s="670">
        <v>0</v>
      </c>
      <c r="R545" s="365"/>
      <c r="S545" s="366"/>
      <c r="T545" s="1399"/>
      <c r="U545" s="1398"/>
      <c r="V545" s="361"/>
      <c r="W545" s="361"/>
    </row>
    <row r="546" spans="1:23">
      <c r="A546" s="1410"/>
      <c r="B546" s="1413"/>
      <c r="C546" s="845" t="s">
        <v>984</v>
      </c>
      <c r="D546" s="875" t="str">
        <f>B545&amp;C546</f>
        <v>A4b</v>
      </c>
      <c r="E546" s="367">
        <v>1</v>
      </c>
      <c r="F546" s="669" t="s">
        <v>1069</v>
      </c>
      <c r="G546" s="369">
        <v>0.55694444444444446</v>
      </c>
      <c r="H546" s="368">
        <v>0.57638888888888895</v>
      </c>
      <c r="I546" s="369">
        <v>0.58750000000000002</v>
      </c>
      <c r="J546" s="368">
        <v>0.59375</v>
      </c>
      <c r="K546" s="669">
        <v>8</v>
      </c>
      <c r="L546" s="669">
        <v>18</v>
      </c>
      <c r="M546" s="675">
        <v>25.8</v>
      </c>
      <c r="N546" s="671">
        <f>IF(M546-P546&gt;0,M546-P546,0)</f>
        <v>5.8000000000000007</v>
      </c>
      <c r="O546" s="671">
        <f>O545-K546/(PI()*(U543/2000)^2)</f>
        <v>19.726446973693541</v>
      </c>
      <c r="P546" s="672">
        <v>20</v>
      </c>
      <c r="Q546" s="673">
        <f>ABS(O546-P546)</f>
        <v>0.27355302630645895</v>
      </c>
      <c r="R546" s="375" t="s">
        <v>188</v>
      </c>
      <c r="S546" s="366"/>
      <c r="T546" s="376"/>
      <c r="U546" s="376"/>
      <c r="V546" s="366"/>
      <c r="W546" s="366"/>
    </row>
    <row r="547" spans="1:23">
      <c r="A547" s="1410"/>
      <c r="B547" s="1413"/>
      <c r="C547" s="845" t="s">
        <v>985</v>
      </c>
      <c r="D547" s="875" t="str">
        <f>B545&amp;C547</f>
        <v>A4c</v>
      </c>
      <c r="E547" s="367">
        <v>2</v>
      </c>
      <c r="F547" s="669" t="s">
        <v>1067</v>
      </c>
      <c r="G547" s="369">
        <v>0.56388888888888888</v>
      </c>
      <c r="H547" s="368">
        <v>0.58402777777777781</v>
      </c>
      <c r="I547" s="369">
        <v>0.60069444444444442</v>
      </c>
      <c r="J547" s="368">
        <v>0.60416666666666663</v>
      </c>
      <c r="K547" s="669">
        <v>8</v>
      </c>
      <c r="L547" s="669">
        <v>18.5</v>
      </c>
      <c r="M547" s="675">
        <v>19.5</v>
      </c>
      <c r="N547" s="671">
        <f>IF(M547-P547&gt;0,M547-P547,0)</f>
        <v>6.3000000000000007</v>
      </c>
      <c r="O547" s="671">
        <f>O546-K547/(PI()*(U543/2000)^2)</f>
        <v>12.652893947387081</v>
      </c>
      <c r="P547" s="672">
        <v>13.2</v>
      </c>
      <c r="Q547" s="673">
        <f>ABS(O547-P547)</f>
        <v>0.54710605261291789</v>
      </c>
      <c r="R547" s="375" t="s">
        <v>188</v>
      </c>
      <c r="S547" s="366"/>
      <c r="T547" s="376"/>
      <c r="U547" s="376"/>
      <c r="V547" s="366"/>
      <c r="W547" s="366"/>
    </row>
    <row r="548" spans="1:23">
      <c r="A548" s="1410"/>
      <c r="B548" s="1413"/>
      <c r="C548" s="845" t="s">
        <v>986</v>
      </c>
      <c r="D548" s="875" t="str">
        <f>B545&amp;C548</f>
        <v>A4d</v>
      </c>
      <c r="E548" s="367">
        <v>3</v>
      </c>
      <c r="F548" s="669" t="s">
        <v>1070</v>
      </c>
      <c r="G548" s="369">
        <v>0.57777777777777783</v>
      </c>
      <c r="H548" s="368">
        <v>0.60416666666666663</v>
      </c>
      <c r="I548" s="369">
        <v>0.61111111111111105</v>
      </c>
      <c r="J548" s="368">
        <v>0.61527777777777781</v>
      </c>
      <c r="K548" s="669">
        <v>7</v>
      </c>
      <c r="L548" s="669">
        <v>20</v>
      </c>
      <c r="M548" s="675">
        <v>13.2</v>
      </c>
      <c r="N548" s="671">
        <f>IF(M548-P548&gt;0,M548-P548,0)</f>
        <v>5.9999999999999991</v>
      </c>
      <c r="O548" s="671">
        <f>O547-K548/(PI()*(U543/2000)^2)</f>
        <v>6.4635350493689296</v>
      </c>
      <c r="P548" s="672">
        <v>7.2</v>
      </c>
      <c r="Q548" s="673">
        <f>ABS(O548-P548)</f>
        <v>0.73646495063107054</v>
      </c>
      <c r="R548" s="375" t="s">
        <v>188</v>
      </c>
      <c r="S548" s="366"/>
      <c r="T548" s="376"/>
      <c r="U548" s="376"/>
      <c r="V548" s="366"/>
      <c r="W548" s="366"/>
    </row>
    <row r="549" spans="1:23">
      <c r="A549" s="1410"/>
      <c r="B549" s="1413"/>
      <c r="C549" s="845" t="s">
        <v>987</v>
      </c>
      <c r="D549" s="875" t="str">
        <f>B545&amp;C549</f>
        <v>A4e</v>
      </c>
      <c r="E549" s="367">
        <v>4</v>
      </c>
      <c r="F549" s="669"/>
      <c r="G549" s="369"/>
      <c r="H549" s="368"/>
      <c r="I549" s="369"/>
      <c r="J549" s="368"/>
      <c r="K549" s="370"/>
      <c r="L549" s="370"/>
      <c r="M549" s="371"/>
      <c r="N549" s="671"/>
      <c r="O549" s="671"/>
      <c r="P549" s="373"/>
      <c r="Q549" s="673"/>
      <c r="R549" s="375"/>
      <c r="S549" s="366"/>
      <c r="T549" s="376"/>
      <c r="U549" s="376"/>
      <c r="V549" s="366"/>
      <c r="W549" s="366"/>
    </row>
    <row r="550" spans="1:23">
      <c r="A550" s="1410"/>
      <c r="B550" s="1413"/>
      <c r="C550" s="845" t="s">
        <v>988</v>
      </c>
      <c r="D550" s="875" t="str">
        <f>B545&amp;C550</f>
        <v>A4f</v>
      </c>
      <c r="E550" s="367">
        <v>5</v>
      </c>
      <c r="F550" s="669"/>
      <c r="G550" s="369"/>
      <c r="H550" s="368"/>
      <c r="I550" s="369"/>
      <c r="J550" s="368"/>
      <c r="K550" s="370"/>
      <c r="L550" s="370"/>
      <c r="M550" s="371"/>
      <c r="N550" s="671"/>
      <c r="O550" s="671"/>
      <c r="P550" s="373"/>
      <c r="Q550" s="673"/>
      <c r="R550" s="377"/>
      <c r="S550" s="366" t="s">
        <v>190</v>
      </c>
      <c r="T550" s="376"/>
      <c r="U550" s="376"/>
      <c r="V550" s="366"/>
      <c r="W550" s="366"/>
    </row>
    <row r="551" spans="1:23">
      <c r="A551" s="1410"/>
      <c r="B551" s="1413"/>
      <c r="C551" s="845" t="s">
        <v>989</v>
      </c>
      <c r="D551" s="875" t="str">
        <f>B545&amp;C551</f>
        <v>A4g</v>
      </c>
      <c r="E551" s="367">
        <v>6</v>
      </c>
      <c r="F551" s="669"/>
      <c r="G551" s="369"/>
      <c r="H551" s="368"/>
      <c r="I551" s="369"/>
      <c r="J551" s="368"/>
      <c r="K551" s="370"/>
      <c r="L551" s="370"/>
      <c r="M551" s="371"/>
      <c r="N551" s="671"/>
      <c r="O551" s="671"/>
      <c r="P551" s="373"/>
      <c r="Q551" s="673"/>
      <c r="R551" s="375"/>
      <c r="S551" s="366" t="s">
        <v>190</v>
      </c>
      <c r="T551" s="366"/>
      <c r="U551" s="366"/>
      <c r="V551" s="366"/>
      <c r="W551" s="366"/>
    </row>
    <row r="552" spans="1:23">
      <c r="A552" s="1410"/>
      <c r="B552" s="1413"/>
      <c r="C552" s="845" t="s">
        <v>990</v>
      </c>
      <c r="D552" s="875" t="str">
        <f>B545&amp;C552</f>
        <v>A4h</v>
      </c>
      <c r="E552" s="367">
        <v>7</v>
      </c>
      <c r="F552" s="669"/>
      <c r="G552" s="368"/>
      <c r="H552" s="368"/>
      <c r="I552" s="368"/>
      <c r="J552" s="368"/>
      <c r="K552" s="370"/>
      <c r="L552" s="370"/>
      <c r="M552" s="371"/>
      <c r="N552" s="671"/>
      <c r="O552" s="671"/>
      <c r="P552" s="373"/>
      <c r="Q552" s="673"/>
      <c r="R552" s="377"/>
      <c r="S552" s="366" t="s">
        <v>190</v>
      </c>
      <c r="T552" s="366"/>
      <c r="U552" s="366"/>
      <c r="V552" s="366"/>
      <c r="W552" s="366"/>
    </row>
    <row r="553" spans="1:23">
      <c r="A553" s="1410"/>
      <c r="B553" s="1413"/>
      <c r="C553" s="845" t="s">
        <v>991</v>
      </c>
      <c r="D553" s="875" t="str">
        <f>B545&amp;C553</f>
        <v>A4i</v>
      </c>
      <c r="E553" s="367">
        <v>8</v>
      </c>
      <c r="F553" s="669"/>
      <c r="G553" s="368"/>
      <c r="H553" s="368"/>
      <c r="I553" s="368"/>
      <c r="J553" s="368"/>
      <c r="K553" s="370"/>
      <c r="L553" s="370"/>
      <c r="M553" s="371"/>
      <c r="N553" s="671"/>
      <c r="O553" s="671"/>
      <c r="P553" s="373"/>
      <c r="Q553" s="673"/>
      <c r="R553" s="378"/>
      <c r="S553" s="366"/>
      <c r="T553" s="366"/>
      <c r="U553" s="366"/>
      <c r="V553" s="366"/>
      <c r="W553" s="366"/>
    </row>
    <row r="554" spans="1:23">
      <c r="A554" s="1410"/>
      <c r="B554" s="1413"/>
      <c r="C554" s="845" t="s">
        <v>992</v>
      </c>
      <c r="D554" s="875" t="str">
        <f>B545&amp;C554</f>
        <v>A4k</v>
      </c>
      <c r="E554" s="367">
        <v>9</v>
      </c>
      <c r="F554" s="370"/>
      <c r="G554" s="368"/>
      <c r="H554" s="368"/>
      <c r="I554" s="368"/>
      <c r="J554" s="368"/>
      <c r="K554" s="370"/>
      <c r="L554" s="370"/>
      <c r="M554" s="371"/>
      <c r="N554" s="372"/>
      <c r="O554" s="372"/>
      <c r="P554" s="373"/>
      <c r="Q554" s="374"/>
      <c r="R554" s="378"/>
      <c r="S554" s="379"/>
      <c r="T554" s="366"/>
      <c r="U554" s="366"/>
      <c r="V554" s="366"/>
      <c r="W554" s="366"/>
    </row>
    <row r="555" spans="1:23">
      <c r="A555" s="1410"/>
      <c r="B555" s="1413"/>
      <c r="C555" s="845" t="s">
        <v>993</v>
      </c>
      <c r="D555" s="875" t="str">
        <f>B545&amp;C555</f>
        <v>A4l</v>
      </c>
      <c r="E555" s="367">
        <v>10</v>
      </c>
      <c r="F555" s="370"/>
      <c r="G555" s="368"/>
      <c r="H555" s="368"/>
      <c r="I555" s="368"/>
      <c r="J555" s="368"/>
      <c r="K555" s="370"/>
      <c r="L555" s="370"/>
      <c r="M555" s="370"/>
      <c r="N555" s="372"/>
      <c r="O555" s="372"/>
      <c r="P555" s="373"/>
      <c r="Q555" s="374"/>
      <c r="R555" s="378"/>
      <c r="S555" s="379"/>
      <c r="T555" s="366"/>
      <c r="U555" s="366"/>
      <c r="V555" s="366"/>
      <c r="W555" s="366"/>
    </row>
    <row r="556" spans="1:23">
      <c r="A556" s="1410"/>
      <c r="B556" s="1413"/>
      <c r="C556" s="845" t="s">
        <v>994</v>
      </c>
      <c r="D556" s="875" t="str">
        <f>B545&amp;C556</f>
        <v>A4m</v>
      </c>
      <c r="E556" s="367">
        <v>11</v>
      </c>
      <c r="F556" s="370"/>
      <c r="G556" s="368"/>
      <c r="H556" s="368"/>
      <c r="I556" s="368"/>
      <c r="J556" s="368"/>
      <c r="K556" s="370"/>
      <c r="L556" s="370"/>
      <c r="M556" s="370"/>
      <c r="N556" s="372"/>
      <c r="O556" s="372"/>
      <c r="P556" s="380"/>
      <c r="Q556" s="374"/>
      <c r="R556" s="381"/>
      <c r="S556" s="379"/>
      <c r="T556" s="366"/>
      <c r="U556" s="366"/>
      <c r="V556" s="366"/>
      <c r="W556" s="366"/>
    </row>
    <row r="557" spans="1:23">
      <c r="A557" s="1410"/>
      <c r="B557" s="1413"/>
      <c r="C557" s="845" t="s">
        <v>995</v>
      </c>
      <c r="D557" s="875" t="str">
        <f>B545&amp;C557</f>
        <v>A4n</v>
      </c>
      <c r="E557" s="367">
        <v>12</v>
      </c>
      <c r="F557" s="370"/>
      <c r="G557" s="368"/>
      <c r="H557" s="368"/>
      <c r="I557" s="368"/>
      <c r="J557" s="368"/>
      <c r="K557" s="370"/>
      <c r="L557" s="370"/>
      <c r="M557" s="370"/>
      <c r="N557" s="372"/>
      <c r="O557" s="372"/>
      <c r="P557" s="380"/>
      <c r="Q557" s="374"/>
      <c r="R557" s="381"/>
      <c r="S557" s="361"/>
      <c r="T557" s="361"/>
      <c r="U557" s="361"/>
      <c r="V557" s="366"/>
      <c r="W557" s="366"/>
    </row>
    <row r="558" spans="1:23">
      <c r="A558" s="1410"/>
      <c r="B558" s="1413"/>
      <c r="C558" s="845" t="s">
        <v>471</v>
      </c>
      <c r="D558" s="875" t="str">
        <f>B545&amp;C558</f>
        <v>A4x</v>
      </c>
      <c r="E558" s="367">
        <v>13</v>
      </c>
      <c r="F558" s="370"/>
      <c r="G558" s="368"/>
      <c r="H558" s="368"/>
      <c r="I558" s="368"/>
      <c r="J558" s="368"/>
      <c r="K558" s="370"/>
      <c r="L558" s="370"/>
      <c r="M558" s="370"/>
      <c r="N558" s="382"/>
      <c r="O558" s="372"/>
      <c r="P558" s="380"/>
      <c r="Q558" s="381"/>
      <c r="R558" s="381"/>
      <c r="S558" s="361"/>
      <c r="T558" s="361"/>
      <c r="U558" s="361"/>
      <c r="V558" s="366"/>
      <c r="W558" s="366"/>
    </row>
    <row r="559" spans="1:23">
      <c r="A559" s="1410"/>
      <c r="B559" s="1413"/>
      <c r="C559" s="845" t="s">
        <v>732</v>
      </c>
      <c r="D559" s="875" t="str">
        <f>B545&amp;C559</f>
        <v>A4y</v>
      </c>
      <c r="E559" s="367">
        <v>14</v>
      </c>
      <c r="F559" s="370"/>
      <c r="G559" s="368"/>
      <c r="H559" s="368"/>
      <c r="I559" s="368"/>
      <c r="J559" s="368"/>
      <c r="K559" s="370"/>
      <c r="L559" s="370"/>
      <c r="M559" s="370"/>
      <c r="N559" s="382"/>
      <c r="O559" s="372"/>
      <c r="P559" s="380"/>
      <c r="Q559" s="381"/>
      <c r="R559" s="381"/>
      <c r="S559" s="361"/>
      <c r="T559" s="361"/>
      <c r="U559" s="362"/>
      <c r="V559" s="366"/>
      <c r="W559" s="366"/>
    </row>
    <row r="560" spans="1:23">
      <c r="A560" s="1411"/>
      <c r="B560" s="1414"/>
      <c r="C560" s="846" t="s">
        <v>996</v>
      </c>
      <c r="D560" s="876" t="str">
        <f>B545&amp;C560</f>
        <v>A4z</v>
      </c>
      <c r="E560" s="847">
        <v>15</v>
      </c>
      <c r="F560" s="370"/>
      <c r="G560" s="368"/>
      <c r="H560" s="368"/>
      <c r="I560" s="368"/>
      <c r="J560" s="368"/>
      <c r="K560" s="370"/>
      <c r="L560" s="370"/>
      <c r="M560" s="370"/>
      <c r="N560" s="850"/>
      <c r="O560" s="851"/>
      <c r="P560" s="851"/>
      <c r="Q560" s="852"/>
      <c r="R560" s="383"/>
      <c r="S560" s="361"/>
      <c r="T560" s="832"/>
      <c r="U560" s="830"/>
      <c r="V560" s="366"/>
      <c r="W560" s="366"/>
    </row>
    <row r="561" spans="1:23">
      <c r="A561" s="1400" t="s">
        <v>939</v>
      </c>
      <c r="B561" s="1400"/>
      <c r="C561" s="827"/>
      <c r="D561" s="871"/>
      <c r="E561" s="1400" t="s">
        <v>177</v>
      </c>
      <c r="F561" s="1400" t="s">
        <v>18</v>
      </c>
      <c r="G561" s="1389" t="s">
        <v>19</v>
      </c>
      <c r="H561" s="1390"/>
      <c r="I561" s="1389" t="s">
        <v>22</v>
      </c>
      <c r="J561" s="1390"/>
      <c r="K561" s="1393" t="s">
        <v>26</v>
      </c>
      <c r="L561" s="1390"/>
      <c r="M561" s="1389" t="s">
        <v>392</v>
      </c>
      <c r="N561" s="1390"/>
      <c r="O561" s="1389" t="s">
        <v>28</v>
      </c>
      <c r="P561" s="1393"/>
      <c r="Q561" s="1390"/>
      <c r="R561" s="1400" t="s">
        <v>36</v>
      </c>
      <c r="S561" s="361"/>
      <c r="T561" s="361">
        <f>MAX(J565:J579)-MIN(I565:I579)</f>
        <v>4.1666666666666741E-2</v>
      </c>
      <c r="U561" s="361"/>
      <c r="V561" s="853" t="str">
        <f t="shared" ref="V561" si="60">B565</f>
        <v>A29</v>
      </c>
      <c r="W561" s="361">
        <f t="shared" ref="W561" si="61">COUNTIF(K566:K580,"&gt;0")</f>
        <v>3</v>
      </c>
    </row>
    <row r="562" spans="1:23">
      <c r="A562" s="1401"/>
      <c r="B562" s="1401"/>
      <c r="C562" s="828"/>
      <c r="D562" s="872"/>
      <c r="E562" s="1401"/>
      <c r="F562" s="1401"/>
      <c r="G562" s="1391"/>
      <c r="H562" s="1392"/>
      <c r="I562" s="1391"/>
      <c r="J562" s="1392"/>
      <c r="K562" s="1394"/>
      <c r="L562" s="1392"/>
      <c r="M562" s="1391"/>
      <c r="N562" s="1392"/>
      <c r="O562" s="1391"/>
      <c r="P562" s="1394"/>
      <c r="Q562" s="1392"/>
      <c r="R562" s="1401"/>
      <c r="S562" s="361"/>
      <c r="T562" s="361"/>
      <c r="U562" s="361"/>
      <c r="V562" s="361"/>
      <c r="W562" s="361"/>
    </row>
    <row r="563" spans="1:23">
      <c r="A563" s="1401"/>
      <c r="B563" s="1401"/>
      <c r="C563" s="828"/>
      <c r="D563" s="872"/>
      <c r="E563" s="1401"/>
      <c r="F563" s="1401"/>
      <c r="G563" s="1400" t="s">
        <v>20</v>
      </c>
      <c r="H563" s="1400" t="s">
        <v>21</v>
      </c>
      <c r="I563" s="1400" t="s">
        <v>361</v>
      </c>
      <c r="J563" s="1400" t="s">
        <v>353</v>
      </c>
      <c r="K563" s="1400" t="s">
        <v>23</v>
      </c>
      <c r="L563" s="1400" t="s">
        <v>24</v>
      </c>
      <c r="M563" s="1400" t="s">
        <v>27</v>
      </c>
      <c r="N563" s="1400" t="s">
        <v>178</v>
      </c>
      <c r="O563" s="1400" t="s">
        <v>1</v>
      </c>
      <c r="P563" s="1400" t="s">
        <v>29</v>
      </c>
      <c r="Q563" s="1400" t="s">
        <v>33</v>
      </c>
      <c r="R563" s="1401"/>
      <c r="S563" s="361"/>
      <c r="T563" s="361" t="s">
        <v>39</v>
      </c>
      <c r="U563" s="362">
        <f>VLOOKUP(B565,'Thong tin'!$A:$M,13,0)</f>
        <v>1200</v>
      </c>
      <c r="V563" s="361"/>
      <c r="W563" s="361"/>
    </row>
    <row r="564" spans="1:23">
      <c r="A564" s="1402"/>
      <c r="B564" s="1402"/>
      <c r="C564" s="829"/>
      <c r="D564" s="873"/>
      <c r="E564" s="1402"/>
      <c r="F564" s="1402"/>
      <c r="G564" s="1402"/>
      <c r="H564" s="1402"/>
      <c r="I564" s="1402"/>
      <c r="J564" s="1402"/>
      <c r="K564" s="1402"/>
      <c r="L564" s="1402"/>
      <c r="M564" s="1402"/>
      <c r="N564" s="1402"/>
      <c r="O564" s="1402"/>
      <c r="P564" s="1402"/>
      <c r="Q564" s="1402"/>
      <c r="R564" s="1402"/>
      <c r="S564" s="361"/>
      <c r="T564" s="1399" t="s">
        <v>393</v>
      </c>
      <c r="U564" s="1397">
        <f>VLOOKUP(B565,DT.NK!$B:$AZ,45,0)</f>
        <v>26.9</v>
      </c>
      <c r="V564" s="361"/>
      <c r="W564" s="361"/>
    </row>
    <row r="565" spans="1:23">
      <c r="A565" s="1409">
        <f>A545+1</f>
        <v>29</v>
      </c>
      <c r="B565" s="1412" t="s">
        <v>628</v>
      </c>
      <c r="C565" s="844" t="s">
        <v>983</v>
      </c>
      <c r="D565" s="874" t="str">
        <f>B565&amp;C565</f>
        <v>A29a</v>
      </c>
      <c r="E565" s="363"/>
      <c r="F565" s="364"/>
      <c r="G565" s="364"/>
      <c r="H565" s="364"/>
      <c r="I565" s="364"/>
      <c r="J565" s="364"/>
      <c r="K565" s="364"/>
      <c r="L565" s="364"/>
      <c r="M565" s="674"/>
      <c r="N565" s="670"/>
      <c r="O565" s="670">
        <f>U564</f>
        <v>26.9</v>
      </c>
      <c r="P565" s="670">
        <f>O565</f>
        <v>26.9</v>
      </c>
      <c r="Q565" s="670">
        <v>0</v>
      </c>
      <c r="R565" s="365"/>
      <c r="S565" s="366"/>
      <c r="T565" s="1399"/>
      <c r="U565" s="1398"/>
      <c r="V565" s="361"/>
      <c r="W565" s="361"/>
    </row>
    <row r="566" spans="1:23">
      <c r="A566" s="1410"/>
      <c r="B566" s="1413"/>
      <c r="C566" s="845" t="s">
        <v>984</v>
      </c>
      <c r="D566" s="875" t="str">
        <f>B565&amp;C566</f>
        <v>A29b</v>
      </c>
      <c r="E566" s="367">
        <v>1</v>
      </c>
      <c r="F566" s="669" t="s">
        <v>1071</v>
      </c>
      <c r="G566" s="369">
        <v>0.87638888888888899</v>
      </c>
      <c r="H566" s="368">
        <v>0.90625</v>
      </c>
      <c r="I566" s="369">
        <v>0.91666666666666663</v>
      </c>
      <c r="J566" s="368">
        <v>0.93055555555555547</v>
      </c>
      <c r="K566" s="669">
        <v>8</v>
      </c>
      <c r="L566" s="669">
        <v>20</v>
      </c>
      <c r="M566" s="675">
        <v>25.9</v>
      </c>
      <c r="N566" s="671">
        <f>IF(M566-P566&gt;0,M566-P566,0)</f>
        <v>5.8999999999999986</v>
      </c>
      <c r="O566" s="671">
        <f>O565-K566/(PI()*(U563/2000)^2)</f>
        <v>19.826446973693539</v>
      </c>
      <c r="P566" s="672">
        <v>20</v>
      </c>
      <c r="Q566" s="673">
        <f>ABS(O566-P566)</f>
        <v>0.17355302630646108</v>
      </c>
      <c r="R566" s="375" t="s">
        <v>188</v>
      </c>
      <c r="S566" s="366"/>
      <c r="T566" s="376"/>
      <c r="U566" s="376"/>
      <c r="V566" s="366"/>
      <c r="W566" s="366"/>
    </row>
    <row r="567" spans="1:23">
      <c r="A567" s="1410"/>
      <c r="B567" s="1413"/>
      <c r="C567" s="845" t="s">
        <v>985</v>
      </c>
      <c r="D567" s="875" t="str">
        <f>B565&amp;C567</f>
        <v>A29c</v>
      </c>
      <c r="E567" s="367">
        <v>2</v>
      </c>
      <c r="F567" s="669" t="s">
        <v>1052</v>
      </c>
      <c r="G567" s="369">
        <v>0.89583333333333337</v>
      </c>
      <c r="H567" s="368">
        <v>0.92708333333333337</v>
      </c>
      <c r="I567" s="369">
        <v>0.9375</v>
      </c>
      <c r="J567" s="368">
        <v>0.94444444444444453</v>
      </c>
      <c r="K567" s="669">
        <v>9</v>
      </c>
      <c r="L567" s="669">
        <v>19.5</v>
      </c>
      <c r="M567" s="675">
        <v>16.45</v>
      </c>
      <c r="N567" s="671">
        <f>IF(M567-P567&gt;0,M567-P567,0)</f>
        <v>4.5499999999999989</v>
      </c>
      <c r="O567" s="671">
        <f>O566-K567/(PI()*(U563/2000)^2)</f>
        <v>11.868699819098772</v>
      </c>
      <c r="P567" s="672">
        <v>11.9</v>
      </c>
      <c r="Q567" s="673">
        <f>ABS(O567-P567)</f>
        <v>3.1300180901228103E-2</v>
      </c>
      <c r="R567" s="375" t="s">
        <v>188</v>
      </c>
      <c r="S567" s="366"/>
      <c r="T567" s="376"/>
      <c r="U567" s="376"/>
      <c r="V567" s="366"/>
      <c r="W567" s="366"/>
    </row>
    <row r="568" spans="1:23">
      <c r="A568" s="1410"/>
      <c r="B568" s="1413"/>
      <c r="C568" s="845" t="s">
        <v>986</v>
      </c>
      <c r="D568" s="875" t="str">
        <f>B565&amp;C568</f>
        <v>A29d</v>
      </c>
      <c r="E568" s="367">
        <v>3</v>
      </c>
      <c r="F568" s="669" t="s">
        <v>1072</v>
      </c>
      <c r="G568" s="369">
        <v>0.91666666666666663</v>
      </c>
      <c r="H568" s="368">
        <v>0.93402777777777779</v>
      </c>
      <c r="I568" s="369">
        <v>0.94444444444444453</v>
      </c>
      <c r="J568" s="368">
        <v>0.95833333333333337</v>
      </c>
      <c r="K568" s="669">
        <v>7</v>
      </c>
      <c r="L568" s="669">
        <v>18</v>
      </c>
      <c r="M568" s="675">
        <v>7</v>
      </c>
      <c r="N568" s="671">
        <f>IF(M568-P568&gt;0,M568-P568,0)</f>
        <v>1.2999999999999998</v>
      </c>
      <c r="O568" s="671">
        <f>O567-K568/(PI()*(U563/2000)^2)</f>
        <v>5.6793409210806205</v>
      </c>
      <c r="P568" s="672">
        <v>5.7</v>
      </c>
      <c r="Q568" s="673">
        <f>ABS(O568-P568)</f>
        <v>2.0659078919379681E-2</v>
      </c>
      <c r="R568" s="375" t="s">
        <v>188</v>
      </c>
      <c r="S568" s="366"/>
      <c r="T568" s="376"/>
      <c r="U568" s="376"/>
      <c r="V568" s="366"/>
      <c r="W568" s="366"/>
    </row>
    <row r="569" spans="1:23">
      <c r="A569" s="1410"/>
      <c r="B569" s="1413"/>
      <c r="C569" s="845" t="s">
        <v>987</v>
      </c>
      <c r="D569" s="875" t="str">
        <f>B565&amp;C569</f>
        <v>A29e</v>
      </c>
      <c r="E569" s="367">
        <v>4</v>
      </c>
      <c r="F569" s="669"/>
      <c r="G569" s="369"/>
      <c r="H569" s="368"/>
      <c r="I569" s="369"/>
      <c r="J569" s="368"/>
      <c r="K569" s="370"/>
      <c r="L569" s="370"/>
      <c r="M569" s="371"/>
      <c r="N569" s="671"/>
      <c r="O569" s="671"/>
      <c r="P569" s="373"/>
      <c r="Q569" s="673"/>
      <c r="R569" s="375"/>
      <c r="S569" s="366"/>
      <c r="T569" s="376"/>
      <c r="U569" s="376"/>
      <c r="V569" s="366"/>
      <c r="W569" s="366"/>
    </row>
    <row r="570" spans="1:23">
      <c r="A570" s="1410"/>
      <c r="B570" s="1413"/>
      <c r="C570" s="845" t="s">
        <v>988</v>
      </c>
      <c r="D570" s="875" t="str">
        <f>B565&amp;C570</f>
        <v>A29f</v>
      </c>
      <c r="E570" s="367">
        <v>5</v>
      </c>
      <c r="F570" s="669"/>
      <c r="G570" s="369"/>
      <c r="H570" s="368"/>
      <c r="I570" s="369"/>
      <c r="J570" s="368"/>
      <c r="K570" s="370"/>
      <c r="L570" s="370"/>
      <c r="M570" s="371"/>
      <c r="N570" s="671"/>
      <c r="O570" s="671"/>
      <c r="P570" s="373"/>
      <c r="Q570" s="673"/>
      <c r="R570" s="377"/>
      <c r="S570" s="366" t="s">
        <v>190</v>
      </c>
      <c r="T570" s="376"/>
      <c r="U570" s="376"/>
      <c r="V570" s="366"/>
      <c r="W570" s="366"/>
    </row>
    <row r="571" spans="1:23">
      <c r="A571" s="1410"/>
      <c r="B571" s="1413"/>
      <c r="C571" s="845" t="s">
        <v>989</v>
      </c>
      <c r="D571" s="875" t="str">
        <f>B565&amp;C571</f>
        <v>A29g</v>
      </c>
      <c r="E571" s="367">
        <v>6</v>
      </c>
      <c r="F571" s="669"/>
      <c r="G571" s="369"/>
      <c r="H571" s="368"/>
      <c r="I571" s="369"/>
      <c r="J571" s="368"/>
      <c r="K571" s="370"/>
      <c r="L571" s="370"/>
      <c r="M571" s="371"/>
      <c r="N571" s="671"/>
      <c r="O571" s="671"/>
      <c r="P571" s="373"/>
      <c r="Q571" s="673"/>
      <c r="R571" s="375"/>
      <c r="S571" s="366" t="s">
        <v>190</v>
      </c>
      <c r="T571" s="366"/>
      <c r="U571" s="366"/>
      <c r="V571" s="366"/>
      <c r="W571" s="366"/>
    </row>
    <row r="572" spans="1:23">
      <c r="A572" s="1410"/>
      <c r="B572" s="1413"/>
      <c r="C572" s="845" t="s">
        <v>990</v>
      </c>
      <c r="D572" s="875" t="str">
        <f>B565&amp;C572</f>
        <v>A29h</v>
      </c>
      <c r="E572" s="367">
        <v>7</v>
      </c>
      <c r="F572" s="669"/>
      <c r="G572" s="368"/>
      <c r="H572" s="368"/>
      <c r="I572" s="368"/>
      <c r="J572" s="368"/>
      <c r="K572" s="370"/>
      <c r="L572" s="370"/>
      <c r="M572" s="371"/>
      <c r="N572" s="671"/>
      <c r="O572" s="671"/>
      <c r="P572" s="373"/>
      <c r="Q572" s="673"/>
      <c r="R572" s="377"/>
      <c r="S572" s="366" t="s">
        <v>190</v>
      </c>
      <c r="T572" s="366"/>
      <c r="U572" s="366"/>
      <c r="V572" s="366"/>
      <c r="W572" s="366"/>
    </row>
    <row r="573" spans="1:23">
      <c r="A573" s="1410"/>
      <c r="B573" s="1413"/>
      <c r="C573" s="845" t="s">
        <v>991</v>
      </c>
      <c r="D573" s="875" t="str">
        <f>B565&amp;C573</f>
        <v>A29i</v>
      </c>
      <c r="E573" s="367">
        <v>8</v>
      </c>
      <c r="F573" s="669"/>
      <c r="G573" s="368"/>
      <c r="H573" s="368"/>
      <c r="I573" s="368"/>
      <c r="J573" s="368"/>
      <c r="K573" s="370"/>
      <c r="L573" s="370"/>
      <c r="M573" s="371"/>
      <c r="N573" s="671"/>
      <c r="O573" s="671"/>
      <c r="P573" s="373"/>
      <c r="Q573" s="673"/>
      <c r="R573" s="378"/>
      <c r="S573" s="366"/>
      <c r="T573" s="366"/>
      <c r="U573" s="366"/>
      <c r="V573" s="366"/>
      <c r="W573" s="366"/>
    </row>
    <row r="574" spans="1:23">
      <c r="A574" s="1410"/>
      <c r="B574" s="1413"/>
      <c r="C574" s="845" t="s">
        <v>992</v>
      </c>
      <c r="D574" s="875" t="str">
        <f>B565&amp;C574</f>
        <v>A29k</v>
      </c>
      <c r="E574" s="367">
        <v>9</v>
      </c>
      <c r="F574" s="370"/>
      <c r="G574" s="368"/>
      <c r="H574" s="368"/>
      <c r="I574" s="368"/>
      <c r="J574" s="368"/>
      <c r="K574" s="370"/>
      <c r="L574" s="370"/>
      <c r="M574" s="371"/>
      <c r="N574" s="372"/>
      <c r="O574" s="372"/>
      <c r="P574" s="373"/>
      <c r="Q574" s="374"/>
      <c r="R574" s="378"/>
      <c r="S574" s="379"/>
      <c r="T574" s="366"/>
      <c r="U574" s="366"/>
      <c r="V574" s="366"/>
      <c r="W574" s="366"/>
    </row>
    <row r="575" spans="1:23">
      <c r="A575" s="1410"/>
      <c r="B575" s="1413"/>
      <c r="C575" s="845" t="s">
        <v>993</v>
      </c>
      <c r="D575" s="875" t="str">
        <f>B565&amp;C575</f>
        <v>A29l</v>
      </c>
      <c r="E575" s="367">
        <v>10</v>
      </c>
      <c r="F575" s="370"/>
      <c r="G575" s="368"/>
      <c r="H575" s="368"/>
      <c r="I575" s="368"/>
      <c r="J575" s="368"/>
      <c r="K575" s="370"/>
      <c r="L575" s="370"/>
      <c r="M575" s="370"/>
      <c r="N575" s="372"/>
      <c r="O575" s="372"/>
      <c r="P575" s="373"/>
      <c r="Q575" s="374"/>
      <c r="R575" s="378"/>
      <c r="S575" s="379"/>
      <c r="T575" s="366"/>
      <c r="U575" s="366"/>
      <c r="V575" s="366"/>
      <c r="W575" s="366"/>
    </row>
    <row r="576" spans="1:23">
      <c r="A576" s="1410"/>
      <c r="B576" s="1413"/>
      <c r="C576" s="845" t="s">
        <v>994</v>
      </c>
      <c r="D576" s="875" t="str">
        <f>B565&amp;C576</f>
        <v>A29m</v>
      </c>
      <c r="E576" s="367">
        <v>11</v>
      </c>
      <c r="F576" s="370"/>
      <c r="G576" s="368"/>
      <c r="H576" s="368"/>
      <c r="I576" s="368"/>
      <c r="J576" s="368"/>
      <c r="K576" s="370"/>
      <c r="L576" s="370"/>
      <c r="M576" s="370"/>
      <c r="N576" s="372"/>
      <c r="O576" s="372"/>
      <c r="P576" s="380"/>
      <c r="Q576" s="374"/>
      <c r="R576" s="381"/>
      <c r="S576" s="379"/>
      <c r="T576" s="366"/>
      <c r="U576" s="366"/>
      <c r="V576" s="366"/>
      <c r="W576" s="366"/>
    </row>
    <row r="577" spans="1:23">
      <c r="A577" s="1410"/>
      <c r="B577" s="1413"/>
      <c r="C577" s="845" t="s">
        <v>995</v>
      </c>
      <c r="D577" s="875" t="str">
        <f>B565&amp;C577</f>
        <v>A29n</v>
      </c>
      <c r="E577" s="367">
        <v>12</v>
      </c>
      <c r="F577" s="370"/>
      <c r="G577" s="368"/>
      <c r="H577" s="368"/>
      <c r="I577" s="368"/>
      <c r="J577" s="368"/>
      <c r="K577" s="370"/>
      <c r="L577" s="370"/>
      <c r="M577" s="370"/>
      <c r="N577" s="372"/>
      <c r="O577" s="372"/>
      <c r="P577" s="380"/>
      <c r="Q577" s="374"/>
      <c r="R577" s="381"/>
      <c r="S577" s="361"/>
      <c r="T577" s="361"/>
      <c r="U577" s="361"/>
      <c r="V577" s="366"/>
      <c r="W577" s="366"/>
    </row>
    <row r="578" spans="1:23">
      <c r="A578" s="1410"/>
      <c r="B578" s="1413"/>
      <c r="C578" s="845" t="s">
        <v>471</v>
      </c>
      <c r="D578" s="875" t="str">
        <f>B565&amp;C578</f>
        <v>A29x</v>
      </c>
      <c r="E578" s="367">
        <v>13</v>
      </c>
      <c r="F578" s="370"/>
      <c r="G578" s="368"/>
      <c r="H578" s="368"/>
      <c r="I578" s="368"/>
      <c r="J578" s="368"/>
      <c r="K578" s="370"/>
      <c r="L578" s="370"/>
      <c r="M578" s="370"/>
      <c r="N578" s="382"/>
      <c r="O578" s="372"/>
      <c r="P578" s="380"/>
      <c r="Q578" s="381"/>
      <c r="R578" s="381"/>
      <c r="S578" s="361"/>
      <c r="T578" s="361"/>
      <c r="U578" s="361"/>
      <c r="V578" s="366"/>
      <c r="W578" s="366"/>
    </row>
    <row r="579" spans="1:23">
      <c r="A579" s="1410"/>
      <c r="B579" s="1413"/>
      <c r="C579" s="845" t="s">
        <v>732</v>
      </c>
      <c r="D579" s="875" t="str">
        <f>B565&amp;C579</f>
        <v>A29y</v>
      </c>
      <c r="E579" s="367">
        <v>14</v>
      </c>
      <c r="F579" s="370"/>
      <c r="G579" s="368"/>
      <c r="H579" s="368"/>
      <c r="I579" s="368"/>
      <c r="J579" s="368"/>
      <c r="K579" s="370"/>
      <c r="L579" s="370"/>
      <c r="M579" s="370"/>
      <c r="N579" s="382"/>
      <c r="O579" s="372"/>
      <c r="P579" s="380"/>
      <c r="Q579" s="381"/>
      <c r="R579" s="381"/>
      <c r="S579" s="361"/>
      <c r="T579" s="361"/>
      <c r="U579" s="362"/>
      <c r="V579" s="366"/>
      <c r="W579" s="366"/>
    </row>
    <row r="580" spans="1:23">
      <c r="A580" s="1411"/>
      <c r="B580" s="1414"/>
      <c r="C580" s="846" t="s">
        <v>996</v>
      </c>
      <c r="D580" s="876" t="str">
        <f>B565&amp;C580</f>
        <v>A29z</v>
      </c>
      <c r="E580" s="847">
        <v>15</v>
      </c>
      <c r="F580" s="370"/>
      <c r="G580" s="368"/>
      <c r="H580" s="368"/>
      <c r="I580" s="368"/>
      <c r="J580" s="368"/>
      <c r="K580" s="370"/>
      <c r="L580" s="370"/>
      <c r="M580" s="370"/>
      <c r="N580" s="850"/>
      <c r="O580" s="851"/>
      <c r="P580" s="851"/>
      <c r="Q580" s="852"/>
      <c r="R580" s="383"/>
      <c r="S580" s="361"/>
      <c r="T580" s="832"/>
      <c r="U580" s="830"/>
      <c r="V580" s="366"/>
      <c r="W580" s="366"/>
    </row>
    <row r="581" spans="1:23">
      <c r="A581" s="1400" t="s">
        <v>939</v>
      </c>
      <c r="B581" s="1400"/>
      <c r="C581" s="827"/>
      <c r="D581" s="871"/>
      <c r="E581" s="1400" t="s">
        <v>177</v>
      </c>
      <c r="F581" s="1400" t="s">
        <v>18</v>
      </c>
      <c r="G581" s="1389" t="s">
        <v>19</v>
      </c>
      <c r="H581" s="1390"/>
      <c r="I581" s="1389" t="s">
        <v>22</v>
      </c>
      <c r="J581" s="1390"/>
      <c r="K581" s="1393" t="s">
        <v>26</v>
      </c>
      <c r="L581" s="1390"/>
      <c r="M581" s="1389" t="s">
        <v>392</v>
      </c>
      <c r="N581" s="1390"/>
      <c r="O581" s="1389" t="s">
        <v>28</v>
      </c>
      <c r="P581" s="1393"/>
      <c r="Q581" s="1390"/>
      <c r="R581" s="1400" t="s">
        <v>36</v>
      </c>
      <c r="S581" s="361"/>
      <c r="T581" s="361">
        <f>MAX(J585:J599)-MIN(I585:I599)</f>
        <v>5.5555555555555525E-2</v>
      </c>
      <c r="U581" s="361"/>
      <c r="V581" s="853" t="str">
        <f t="shared" ref="V581" si="62">B585</f>
        <v>A120</v>
      </c>
      <c r="W581" s="361">
        <f t="shared" ref="W581" si="63">COUNTIF(K586:K600,"&gt;0")</f>
        <v>4</v>
      </c>
    </row>
    <row r="582" spans="1:23">
      <c r="A582" s="1401"/>
      <c r="B582" s="1401"/>
      <c r="C582" s="828"/>
      <c r="D582" s="872"/>
      <c r="E582" s="1401"/>
      <c r="F582" s="1401"/>
      <c r="G582" s="1391"/>
      <c r="H582" s="1392"/>
      <c r="I582" s="1391"/>
      <c r="J582" s="1392"/>
      <c r="K582" s="1394"/>
      <c r="L582" s="1392"/>
      <c r="M582" s="1391"/>
      <c r="N582" s="1392"/>
      <c r="O582" s="1391"/>
      <c r="P582" s="1394"/>
      <c r="Q582" s="1392"/>
      <c r="R582" s="1401"/>
      <c r="S582" s="361"/>
      <c r="T582" s="361"/>
      <c r="U582" s="361"/>
      <c r="V582" s="361"/>
      <c r="W582" s="361"/>
    </row>
    <row r="583" spans="1:23">
      <c r="A583" s="1401"/>
      <c r="B583" s="1401"/>
      <c r="C583" s="828"/>
      <c r="D583" s="872"/>
      <c r="E583" s="1401"/>
      <c r="F583" s="1401"/>
      <c r="G583" s="1400" t="s">
        <v>20</v>
      </c>
      <c r="H583" s="1400" t="s">
        <v>21</v>
      </c>
      <c r="I583" s="1400" t="s">
        <v>361</v>
      </c>
      <c r="J583" s="1400" t="s">
        <v>353</v>
      </c>
      <c r="K583" s="1400" t="s">
        <v>23</v>
      </c>
      <c r="L583" s="1400" t="s">
        <v>24</v>
      </c>
      <c r="M583" s="1400" t="s">
        <v>27</v>
      </c>
      <c r="N583" s="1400" t="s">
        <v>178</v>
      </c>
      <c r="O583" s="1400" t="s">
        <v>1</v>
      </c>
      <c r="P583" s="1400" t="s">
        <v>29</v>
      </c>
      <c r="Q583" s="1400" t="s">
        <v>33</v>
      </c>
      <c r="R583" s="1401"/>
      <c r="S583" s="361"/>
      <c r="T583" s="361" t="s">
        <v>39</v>
      </c>
      <c r="U583" s="362">
        <f>VLOOKUP(B585,'Thong tin'!$A:$M,13,0)</f>
        <v>1200</v>
      </c>
      <c r="V583" s="361"/>
      <c r="W583" s="361"/>
    </row>
    <row r="584" spans="1:23">
      <c r="A584" s="1402"/>
      <c r="B584" s="1402"/>
      <c r="C584" s="829"/>
      <c r="D584" s="873"/>
      <c r="E584" s="1402"/>
      <c r="F584" s="1402"/>
      <c r="G584" s="1402"/>
      <c r="H584" s="1402"/>
      <c r="I584" s="1402"/>
      <c r="J584" s="1402"/>
      <c r="K584" s="1402"/>
      <c r="L584" s="1402"/>
      <c r="M584" s="1402"/>
      <c r="N584" s="1402"/>
      <c r="O584" s="1402"/>
      <c r="P584" s="1402"/>
      <c r="Q584" s="1402"/>
      <c r="R584" s="1402"/>
      <c r="S584" s="361"/>
      <c r="T584" s="1399" t="s">
        <v>393</v>
      </c>
      <c r="U584" s="1397">
        <f>VLOOKUP(B585,DT.NK!$B:$AZ,45,0)</f>
        <v>25.25</v>
      </c>
      <c r="V584" s="361"/>
      <c r="W584" s="361"/>
    </row>
    <row r="585" spans="1:23">
      <c r="A585" s="1409">
        <f>A565+1</f>
        <v>30</v>
      </c>
      <c r="B585" s="1412" t="s">
        <v>634</v>
      </c>
      <c r="C585" s="844" t="s">
        <v>983</v>
      </c>
      <c r="D585" s="874" t="str">
        <f>B585&amp;C585</f>
        <v>A120a</v>
      </c>
      <c r="E585" s="363"/>
      <c r="F585" s="364"/>
      <c r="G585" s="364"/>
      <c r="H585" s="364"/>
      <c r="I585" s="364"/>
      <c r="J585" s="364"/>
      <c r="K585" s="364"/>
      <c r="L585" s="364"/>
      <c r="M585" s="674"/>
      <c r="N585" s="670"/>
      <c r="O585" s="670">
        <f>U584</f>
        <v>25.25</v>
      </c>
      <c r="P585" s="670">
        <f>O585</f>
        <v>25.25</v>
      </c>
      <c r="Q585" s="670">
        <v>0</v>
      </c>
      <c r="R585" s="365"/>
      <c r="S585" s="366"/>
      <c r="T585" s="1399"/>
      <c r="U585" s="1398"/>
      <c r="V585" s="361"/>
      <c r="W585" s="361"/>
    </row>
    <row r="586" spans="1:23">
      <c r="A586" s="1410"/>
      <c r="B586" s="1413"/>
      <c r="C586" s="845" t="s">
        <v>984</v>
      </c>
      <c r="D586" s="875" t="str">
        <f>B585&amp;C586</f>
        <v>A120b</v>
      </c>
      <c r="E586" s="367">
        <v>1</v>
      </c>
      <c r="F586" s="669" t="s">
        <v>1073</v>
      </c>
      <c r="G586" s="369">
        <v>0.34166666666666662</v>
      </c>
      <c r="H586" s="368">
        <v>0.375</v>
      </c>
      <c r="I586" s="369">
        <v>0.3888888888888889</v>
      </c>
      <c r="J586" s="368">
        <v>0.3923611111111111</v>
      </c>
      <c r="K586" s="669">
        <v>7</v>
      </c>
      <c r="L586" s="669">
        <v>18</v>
      </c>
      <c r="M586" s="675">
        <v>24.25</v>
      </c>
      <c r="N586" s="671">
        <f>IF(M586-P586&gt;0,M586-P586,0)</f>
        <v>5.0500000000000007</v>
      </c>
      <c r="O586" s="671">
        <f>O585-K586/(PI()*(U583/2000)^2)</f>
        <v>19.060641101981847</v>
      </c>
      <c r="P586" s="672">
        <v>19.2</v>
      </c>
      <c r="Q586" s="673">
        <f>ABS(O586-P586)</f>
        <v>0.13935889801815193</v>
      </c>
      <c r="R586" s="375" t="s">
        <v>188</v>
      </c>
      <c r="S586" s="366"/>
      <c r="T586" s="376"/>
      <c r="U586" s="376"/>
      <c r="V586" s="366"/>
      <c r="W586" s="366"/>
    </row>
    <row r="587" spans="1:23">
      <c r="A587" s="1410"/>
      <c r="B587" s="1413"/>
      <c r="C587" s="845" t="s">
        <v>985</v>
      </c>
      <c r="D587" s="875" t="str">
        <f>B585&amp;C587</f>
        <v>A120c</v>
      </c>
      <c r="E587" s="367">
        <v>2</v>
      </c>
      <c r="F587" s="669" t="s">
        <v>1058</v>
      </c>
      <c r="G587" s="369">
        <v>0.35902777777777778</v>
      </c>
      <c r="H587" s="368">
        <v>0.38611111111111113</v>
      </c>
      <c r="I587" s="369">
        <v>0.39583333333333331</v>
      </c>
      <c r="J587" s="368">
        <v>0.39930555555555558</v>
      </c>
      <c r="K587" s="669">
        <v>7</v>
      </c>
      <c r="L587" s="669">
        <v>18</v>
      </c>
      <c r="M587" s="675">
        <v>17.95</v>
      </c>
      <c r="N587" s="671">
        <f>IF(M587-P587&gt;0,M587-P587,0)</f>
        <v>4.25</v>
      </c>
      <c r="O587" s="671">
        <f>O586-K587/(PI()*(U583/2000)^2)</f>
        <v>12.871282203963695</v>
      </c>
      <c r="P587" s="672">
        <v>13.7</v>
      </c>
      <c r="Q587" s="673">
        <f>ABS(O587-P587)</f>
        <v>0.82871779603630458</v>
      </c>
      <c r="R587" s="375" t="s">
        <v>188</v>
      </c>
      <c r="S587" s="366"/>
      <c r="T587" s="376"/>
      <c r="U587" s="376"/>
      <c r="V587" s="366"/>
      <c r="W587" s="366"/>
    </row>
    <row r="588" spans="1:23">
      <c r="A588" s="1410"/>
      <c r="B588" s="1413"/>
      <c r="C588" s="845" t="s">
        <v>986</v>
      </c>
      <c r="D588" s="875" t="str">
        <f>B585&amp;C588</f>
        <v>A120d</v>
      </c>
      <c r="E588" s="367">
        <v>3</v>
      </c>
      <c r="F588" s="669" t="s">
        <v>1052</v>
      </c>
      <c r="G588" s="369">
        <v>0.37222222222222223</v>
      </c>
      <c r="H588" s="368">
        <v>0.39930555555555558</v>
      </c>
      <c r="I588" s="369">
        <v>0.40625</v>
      </c>
      <c r="J588" s="368">
        <v>0.40972222222222227</v>
      </c>
      <c r="K588" s="669">
        <v>7</v>
      </c>
      <c r="L588" s="669">
        <v>18</v>
      </c>
      <c r="M588" s="675">
        <v>17.95</v>
      </c>
      <c r="N588" s="671">
        <f>IF(M588-P588&gt;0,M588-P588,0)</f>
        <v>6.9499999999999993</v>
      </c>
      <c r="O588" s="671">
        <f>O587-K588/(PI()*(U583/2000)^2)</f>
        <v>6.681923305945543</v>
      </c>
      <c r="P588" s="672">
        <v>11</v>
      </c>
      <c r="Q588" s="673">
        <f>ABS(O588-P588)</f>
        <v>4.318076694054457</v>
      </c>
      <c r="R588" s="375" t="s">
        <v>188</v>
      </c>
      <c r="S588" s="366"/>
      <c r="T588" s="376"/>
      <c r="U588" s="376"/>
      <c r="V588" s="366"/>
      <c r="W588" s="366"/>
    </row>
    <row r="589" spans="1:23">
      <c r="A589" s="1410"/>
      <c r="B589" s="1413"/>
      <c r="C589" s="845" t="s">
        <v>987</v>
      </c>
      <c r="D589" s="875" t="str">
        <f>B585&amp;C589</f>
        <v>A120e</v>
      </c>
      <c r="E589" s="367">
        <v>4</v>
      </c>
      <c r="F589" s="669" t="s">
        <v>1072</v>
      </c>
      <c r="G589" s="369">
        <v>0.42499999999999999</v>
      </c>
      <c r="H589" s="368">
        <v>0.4375</v>
      </c>
      <c r="I589" s="369">
        <v>0.44097222222222227</v>
      </c>
      <c r="J589" s="368">
        <v>0.44444444444444442</v>
      </c>
      <c r="K589" s="370">
        <v>7</v>
      </c>
      <c r="L589" s="370">
        <v>19</v>
      </c>
      <c r="M589" s="371">
        <v>17.95</v>
      </c>
      <c r="N589" s="671">
        <f>IF(M589-P589&gt;0,M589-P589,0)</f>
        <v>11.149999999999999</v>
      </c>
      <c r="O589" s="671">
        <f>O588-K589/(PI()*(U583/2000)^2)</f>
        <v>0.4925644079273912</v>
      </c>
      <c r="P589" s="373">
        <v>6.8</v>
      </c>
      <c r="Q589" s="673"/>
      <c r="R589" s="375"/>
      <c r="S589" s="366"/>
      <c r="T589" s="376"/>
      <c r="U589" s="376"/>
      <c r="V589" s="366"/>
      <c r="W589" s="366"/>
    </row>
    <row r="590" spans="1:23">
      <c r="A590" s="1410"/>
      <c r="B590" s="1413"/>
      <c r="C590" s="845" t="s">
        <v>988</v>
      </c>
      <c r="D590" s="875" t="str">
        <f>B585&amp;C590</f>
        <v>A120f</v>
      </c>
      <c r="E590" s="367">
        <v>5</v>
      </c>
      <c r="F590" s="669"/>
      <c r="G590" s="369"/>
      <c r="H590" s="368"/>
      <c r="I590" s="369"/>
      <c r="J590" s="368"/>
      <c r="K590" s="370"/>
      <c r="L590" s="370"/>
      <c r="M590" s="371"/>
      <c r="N590" s="671"/>
      <c r="O590" s="671"/>
      <c r="P590" s="373"/>
      <c r="Q590" s="673"/>
      <c r="R590" s="377"/>
      <c r="S590" s="366" t="s">
        <v>190</v>
      </c>
      <c r="T590" s="376"/>
      <c r="U590" s="376"/>
      <c r="V590" s="366"/>
      <c r="W590" s="366"/>
    </row>
    <row r="591" spans="1:23">
      <c r="A591" s="1410"/>
      <c r="B591" s="1413"/>
      <c r="C591" s="845" t="s">
        <v>989</v>
      </c>
      <c r="D591" s="875" t="str">
        <f>B585&amp;C591</f>
        <v>A120g</v>
      </c>
      <c r="E591" s="367">
        <v>6</v>
      </c>
      <c r="F591" s="669"/>
      <c r="G591" s="369"/>
      <c r="H591" s="368"/>
      <c r="I591" s="369"/>
      <c r="J591" s="368"/>
      <c r="K591" s="370"/>
      <c r="L591" s="370"/>
      <c r="M591" s="371"/>
      <c r="N591" s="671"/>
      <c r="O591" s="671"/>
      <c r="P591" s="373"/>
      <c r="Q591" s="673"/>
      <c r="R591" s="375"/>
      <c r="S591" s="366" t="s">
        <v>190</v>
      </c>
      <c r="T591" s="366"/>
      <c r="U591" s="366"/>
      <c r="V591" s="366"/>
      <c r="W591" s="366"/>
    </row>
    <row r="592" spans="1:23">
      <c r="A592" s="1410"/>
      <c r="B592" s="1413"/>
      <c r="C592" s="845" t="s">
        <v>990</v>
      </c>
      <c r="D592" s="875" t="str">
        <f>B585&amp;C592</f>
        <v>A120h</v>
      </c>
      <c r="E592" s="367">
        <v>7</v>
      </c>
      <c r="F592" s="669"/>
      <c r="G592" s="368"/>
      <c r="H592" s="368"/>
      <c r="I592" s="368"/>
      <c r="J592" s="368"/>
      <c r="K592" s="370"/>
      <c r="L592" s="370"/>
      <c r="M592" s="371"/>
      <c r="N592" s="671"/>
      <c r="O592" s="671"/>
      <c r="P592" s="373"/>
      <c r="Q592" s="673"/>
      <c r="R592" s="377"/>
      <c r="S592" s="366" t="s">
        <v>190</v>
      </c>
      <c r="T592" s="366"/>
      <c r="U592" s="366"/>
      <c r="V592" s="366"/>
      <c r="W592" s="366"/>
    </row>
    <row r="593" spans="1:23">
      <c r="A593" s="1410"/>
      <c r="B593" s="1413"/>
      <c r="C593" s="845" t="s">
        <v>991</v>
      </c>
      <c r="D593" s="875" t="str">
        <f>B585&amp;C593</f>
        <v>A120i</v>
      </c>
      <c r="E593" s="367">
        <v>8</v>
      </c>
      <c r="F593" s="669"/>
      <c r="G593" s="368"/>
      <c r="H593" s="368"/>
      <c r="I593" s="368"/>
      <c r="J593" s="368"/>
      <c r="K593" s="370"/>
      <c r="L593" s="370"/>
      <c r="M593" s="371"/>
      <c r="N593" s="671"/>
      <c r="O593" s="671"/>
      <c r="P593" s="373"/>
      <c r="Q593" s="673"/>
      <c r="R593" s="378"/>
      <c r="S593" s="366"/>
      <c r="T593" s="366"/>
      <c r="U593" s="366"/>
      <c r="V593" s="366"/>
      <c r="W593" s="366"/>
    </row>
    <row r="594" spans="1:23">
      <c r="A594" s="1410"/>
      <c r="B594" s="1413"/>
      <c r="C594" s="845" t="s">
        <v>992</v>
      </c>
      <c r="D594" s="875" t="str">
        <f>B585&amp;C594</f>
        <v>A120k</v>
      </c>
      <c r="E594" s="367">
        <v>9</v>
      </c>
      <c r="F594" s="370"/>
      <c r="G594" s="368"/>
      <c r="H594" s="368"/>
      <c r="I594" s="368"/>
      <c r="J594" s="368"/>
      <c r="K594" s="370"/>
      <c r="L594" s="370"/>
      <c r="M594" s="371"/>
      <c r="N594" s="372"/>
      <c r="O594" s="372"/>
      <c r="P594" s="373"/>
      <c r="Q594" s="374"/>
      <c r="R594" s="378"/>
      <c r="S594" s="379"/>
      <c r="T594" s="366"/>
      <c r="U594" s="366"/>
      <c r="V594" s="366"/>
      <c r="W594" s="366"/>
    </row>
    <row r="595" spans="1:23">
      <c r="A595" s="1410"/>
      <c r="B595" s="1413"/>
      <c r="C595" s="845" t="s">
        <v>993</v>
      </c>
      <c r="D595" s="875" t="str">
        <f>B585&amp;C595</f>
        <v>A120l</v>
      </c>
      <c r="E595" s="367">
        <v>10</v>
      </c>
      <c r="F595" s="370"/>
      <c r="G595" s="368"/>
      <c r="H595" s="368"/>
      <c r="I595" s="368"/>
      <c r="J595" s="368"/>
      <c r="K595" s="370"/>
      <c r="L595" s="370"/>
      <c r="M595" s="370"/>
      <c r="N595" s="372"/>
      <c r="O595" s="372"/>
      <c r="P595" s="373"/>
      <c r="Q595" s="374"/>
      <c r="R595" s="378"/>
      <c r="S595" s="379"/>
      <c r="T595" s="366"/>
      <c r="U595" s="366"/>
      <c r="V595" s="366"/>
      <c r="W595" s="366"/>
    </row>
    <row r="596" spans="1:23">
      <c r="A596" s="1410"/>
      <c r="B596" s="1413"/>
      <c r="C596" s="845" t="s">
        <v>994</v>
      </c>
      <c r="D596" s="875" t="str">
        <f>B585&amp;C596</f>
        <v>A120m</v>
      </c>
      <c r="E596" s="367">
        <v>11</v>
      </c>
      <c r="F596" s="370"/>
      <c r="G596" s="368"/>
      <c r="H596" s="368"/>
      <c r="I596" s="368"/>
      <c r="J596" s="368"/>
      <c r="K596" s="370"/>
      <c r="L596" s="370"/>
      <c r="M596" s="370"/>
      <c r="N596" s="372"/>
      <c r="O596" s="372"/>
      <c r="P596" s="380"/>
      <c r="Q596" s="374"/>
      <c r="R596" s="381"/>
      <c r="S596" s="379"/>
      <c r="T596" s="366"/>
      <c r="U596" s="366"/>
      <c r="V596" s="366"/>
      <c r="W596" s="366"/>
    </row>
    <row r="597" spans="1:23">
      <c r="A597" s="1410"/>
      <c r="B597" s="1413"/>
      <c r="C597" s="845" t="s">
        <v>995</v>
      </c>
      <c r="D597" s="875" t="str">
        <f>B585&amp;C597</f>
        <v>A120n</v>
      </c>
      <c r="E597" s="367">
        <v>12</v>
      </c>
      <c r="F597" s="370"/>
      <c r="G597" s="368"/>
      <c r="H597" s="368"/>
      <c r="I597" s="368"/>
      <c r="J597" s="368"/>
      <c r="K597" s="370"/>
      <c r="L597" s="370"/>
      <c r="M597" s="370"/>
      <c r="N597" s="372"/>
      <c r="O597" s="372"/>
      <c r="P597" s="380"/>
      <c r="Q597" s="374"/>
      <c r="R597" s="381"/>
      <c r="S597" s="361"/>
      <c r="T597" s="361"/>
      <c r="U597" s="361"/>
      <c r="V597" s="366"/>
      <c r="W597" s="366"/>
    </row>
    <row r="598" spans="1:23">
      <c r="A598" s="1410"/>
      <c r="B598" s="1413"/>
      <c r="C598" s="845" t="s">
        <v>471</v>
      </c>
      <c r="D598" s="875" t="str">
        <f>B585&amp;C598</f>
        <v>A120x</v>
      </c>
      <c r="E598" s="367">
        <v>13</v>
      </c>
      <c r="F598" s="370"/>
      <c r="G598" s="368"/>
      <c r="H598" s="368"/>
      <c r="I598" s="368"/>
      <c r="J598" s="368"/>
      <c r="K598" s="370"/>
      <c r="L598" s="370"/>
      <c r="M598" s="370"/>
      <c r="N598" s="382"/>
      <c r="O598" s="372"/>
      <c r="P598" s="380"/>
      <c r="Q598" s="381"/>
      <c r="R598" s="381"/>
      <c r="S598" s="361"/>
      <c r="T598" s="361"/>
      <c r="U598" s="361"/>
      <c r="V598" s="366"/>
      <c r="W598" s="366"/>
    </row>
    <row r="599" spans="1:23">
      <c r="A599" s="1410"/>
      <c r="B599" s="1413"/>
      <c r="C599" s="845" t="s">
        <v>732</v>
      </c>
      <c r="D599" s="875" t="str">
        <f>B585&amp;C599</f>
        <v>A120y</v>
      </c>
      <c r="E599" s="367">
        <v>14</v>
      </c>
      <c r="F599" s="370"/>
      <c r="G599" s="368"/>
      <c r="H599" s="368"/>
      <c r="I599" s="368"/>
      <c r="J599" s="368"/>
      <c r="K599" s="370"/>
      <c r="L599" s="370"/>
      <c r="M599" s="370"/>
      <c r="N599" s="382"/>
      <c r="O599" s="372"/>
      <c r="P599" s="380"/>
      <c r="Q599" s="381"/>
      <c r="R599" s="381"/>
      <c r="S599" s="361"/>
      <c r="T599" s="361"/>
      <c r="U599" s="362"/>
      <c r="V599" s="366"/>
      <c r="W599" s="366"/>
    </row>
    <row r="600" spans="1:23">
      <c r="A600" s="1411"/>
      <c r="B600" s="1414"/>
      <c r="C600" s="846" t="s">
        <v>996</v>
      </c>
      <c r="D600" s="876" t="str">
        <f>B585&amp;C600</f>
        <v>A120z</v>
      </c>
      <c r="E600" s="847">
        <v>15</v>
      </c>
      <c r="F600" s="370"/>
      <c r="G600" s="368"/>
      <c r="H600" s="368"/>
      <c r="I600" s="368"/>
      <c r="J600" s="368"/>
      <c r="K600" s="370"/>
      <c r="L600" s="370"/>
      <c r="M600" s="370"/>
      <c r="N600" s="850"/>
      <c r="O600" s="851"/>
      <c r="P600" s="851"/>
      <c r="Q600" s="852"/>
      <c r="R600" s="383"/>
      <c r="S600" s="361"/>
      <c r="T600" s="832"/>
      <c r="U600" s="830"/>
      <c r="V600" s="366"/>
      <c r="W600" s="366"/>
    </row>
    <row r="601" spans="1:23">
      <c r="A601" s="1400" t="s">
        <v>939</v>
      </c>
      <c r="B601" s="1400"/>
      <c r="C601" s="827"/>
      <c r="D601" s="871"/>
      <c r="E601" s="1400" t="s">
        <v>177</v>
      </c>
      <c r="F601" s="1400" t="s">
        <v>18</v>
      </c>
      <c r="G601" s="1389" t="s">
        <v>19</v>
      </c>
      <c r="H601" s="1390"/>
      <c r="I601" s="1389" t="s">
        <v>22</v>
      </c>
      <c r="J601" s="1390"/>
      <c r="K601" s="1393" t="s">
        <v>26</v>
      </c>
      <c r="L601" s="1390"/>
      <c r="M601" s="1389" t="s">
        <v>392</v>
      </c>
      <c r="N601" s="1390"/>
      <c r="O601" s="1389" t="s">
        <v>28</v>
      </c>
      <c r="P601" s="1393"/>
      <c r="Q601" s="1390"/>
      <c r="R601" s="1400" t="s">
        <v>36</v>
      </c>
      <c r="S601" s="361"/>
      <c r="T601" s="361">
        <f>MAX(J605:J619)-MIN(I605:I619)</f>
        <v>6.5972222222222099E-2</v>
      </c>
      <c r="U601" s="361"/>
      <c r="V601" s="853" t="str">
        <f t="shared" ref="V601" si="64">B605</f>
        <v>A144</v>
      </c>
      <c r="W601" s="361">
        <f t="shared" ref="W601" si="65">COUNTIF(K606:K620,"&gt;0")</f>
        <v>4</v>
      </c>
    </row>
    <row r="602" spans="1:23">
      <c r="A602" s="1401"/>
      <c r="B602" s="1401"/>
      <c r="C602" s="828"/>
      <c r="D602" s="872"/>
      <c r="E602" s="1401"/>
      <c r="F602" s="1401"/>
      <c r="G602" s="1391"/>
      <c r="H602" s="1392"/>
      <c r="I602" s="1391"/>
      <c r="J602" s="1392"/>
      <c r="K602" s="1394"/>
      <c r="L602" s="1392"/>
      <c r="M602" s="1391"/>
      <c r="N602" s="1392"/>
      <c r="O602" s="1391"/>
      <c r="P602" s="1394"/>
      <c r="Q602" s="1392"/>
      <c r="R602" s="1401"/>
      <c r="S602" s="361"/>
      <c r="T602" s="361"/>
      <c r="U602" s="361"/>
      <c r="V602" s="361"/>
      <c r="W602" s="361"/>
    </row>
    <row r="603" spans="1:23">
      <c r="A603" s="1401"/>
      <c r="B603" s="1401"/>
      <c r="C603" s="828"/>
      <c r="D603" s="872"/>
      <c r="E603" s="1401"/>
      <c r="F603" s="1401"/>
      <c r="G603" s="1400" t="s">
        <v>20</v>
      </c>
      <c r="H603" s="1400" t="s">
        <v>21</v>
      </c>
      <c r="I603" s="1400" t="s">
        <v>361</v>
      </c>
      <c r="J603" s="1400" t="s">
        <v>353</v>
      </c>
      <c r="K603" s="1400" t="s">
        <v>23</v>
      </c>
      <c r="L603" s="1400" t="s">
        <v>24</v>
      </c>
      <c r="M603" s="1400" t="s">
        <v>27</v>
      </c>
      <c r="N603" s="1400" t="s">
        <v>178</v>
      </c>
      <c r="O603" s="1400" t="s">
        <v>1</v>
      </c>
      <c r="P603" s="1400" t="s">
        <v>29</v>
      </c>
      <c r="Q603" s="1400" t="s">
        <v>33</v>
      </c>
      <c r="R603" s="1401"/>
      <c r="S603" s="361"/>
      <c r="T603" s="361" t="s">
        <v>39</v>
      </c>
      <c r="U603" s="362">
        <f>VLOOKUP(B605,'Thong tin'!$A:$M,13,0)</f>
        <v>1200</v>
      </c>
      <c r="V603" s="361"/>
      <c r="W603" s="361"/>
    </row>
    <row r="604" spans="1:23">
      <c r="A604" s="1402"/>
      <c r="B604" s="1402"/>
      <c r="C604" s="829"/>
      <c r="D604" s="873"/>
      <c r="E604" s="1402"/>
      <c r="F604" s="1402"/>
      <c r="G604" s="1402"/>
      <c r="H604" s="1402"/>
      <c r="I604" s="1402"/>
      <c r="J604" s="1402"/>
      <c r="K604" s="1402"/>
      <c r="L604" s="1402"/>
      <c r="M604" s="1402"/>
      <c r="N604" s="1402"/>
      <c r="O604" s="1402"/>
      <c r="P604" s="1402"/>
      <c r="Q604" s="1402"/>
      <c r="R604" s="1402"/>
      <c r="S604" s="361"/>
      <c r="T604" s="1399" t="s">
        <v>393</v>
      </c>
      <c r="U604" s="1397">
        <f>VLOOKUP(B605,DT.NK!$B:$AZ,45,0)</f>
        <v>33</v>
      </c>
      <c r="V604" s="361"/>
      <c r="W604" s="361"/>
    </row>
    <row r="605" spans="1:23">
      <c r="A605" s="1409">
        <f>A585+1</f>
        <v>31</v>
      </c>
      <c r="B605" s="1412" t="s">
        <v>532</v>
      </c>
      <c r="C605" s="844" t="s">
        <v>983</v>
      </c>
      <c r="D605" s="874" t="str">
        <f>B605&amp;C605</f>
        <v>A144a</v>
      </c>
      <c r="E605" s="363"/>
      <c r="F605" s="364"/>
      <c r="G605" s="364"/>
      <c r="H605" s="364"/>
      <c r="I605" s="364"/>
      <c r="J605" s="364"/>
      <c r="K605" s="364"/>
      <c r="L605" s="364"/>
      <c r="M605" s="674"/>
      <c r="N605" s="670"/>
      <c r="O605" s="670">
        <f>U604</f>
        <v>33</v>
      </c>
      <c r="P605" s="670">
        <f>O605</f>
        <v>33</v>
      </c>
      <c r="Q605" s="670">
        <v>0</v>
      </c>
      <c r="R605" s="365"/>
      <c r="S605" s="366"/>
      <c r="T605" s="1399"/>
      <c r="U605" s="1398"/>
      <c r="V605" s="361"/>
      <c r="W605" s="361"/>
    </row>
    <row r="606" spans="1:23">
      <c r="A606" s="1410"/>
      <c r="B606" s="1413"/>
      <c r="C606" s="845" t="s">
        <v>984</v>
      </c>
      <c r="D606" s="875" t="str">
        <f>B605&amp;C606</f>
        <v>A144b</v>
      </c>
      <c r="E606" s="367">
        <v>1</v>
      </c>
      <c r="F606" s="669" t="s">
        <v>1051</v>
      </c>
      <c r="G606" s="369">
        <v>0.74097222222222225</v>
      </c>
      <c r="H606" s="368">
        <v>0.77083333333333337</v>
      </c>
      <c r="I606" s="369">
        <v>0.78819444444444453</v>
      </c>
      <c r="J606" s="368">
        <v>0.79166666666666663</v>
      </c>
      <c r="K606" s="669">
        <v>8</v>
      </c>
      <c r="L606" s="669">
        <v>19</v>
      </c>
      <c r="M606" s="675">
        <v>32</v>
      </c>
      <c r="N606" s="671">
        <f>IF(M606-P606&gt;0,M606-P606,0)</f>
        <v>5.3000000000000007</v>
      </c>
      <c r="O606" s="671">
        <f>O605-K606/(PI()*(U603/2000)^2)</f>
        <v>25.92644697369354</v>
      </c>
      <c r="P606" s="672">
        <v>26.7</v>
      </c>
      <c r="Q606" s="673">
        <f>ABS(O606-P606)</f>
        <v>0.77355302630645895</v>
      </c>
      <c r="R606" s="375" t="s">
        <v>188</v>
      </c>
      <c r="S606" s="366"/>
      <c r="T606" s="376"/>
      <c r="U606" s="376"/>
      <c r="V606" s="366"/>
      <c r="W606" s="366"/>
    </row>
    <row r="607" spans="1:23">
      <c r="A607" s="1410"/>
      <c r="B607" s="1413"/>
      <c r="C607" s="845" t="s">
        <v>985</v>
      </c>
      <c r="D607" s="875" t="str">
        <f>B605&amp;C607</f>
        <v>A144c</v>
      </c>
      <c r="E607" s="367">
        <v>2</v>
      </c>
      <c r="F607" s="669" t="s">
        <v>1052</v>
      </c>
      <c r="G607" s="369">
        <v>0.74444444444444446</v>
      </c>
      <c r="H607" s="368">
        <v>0.77777777777777779</v>
      </c>
      <c r="I607" s="369">
        <v>0.79861111111111116</v>
      </c>
      <c r="J607" s="368">
        <v>0.80208333333333337</v>
      </c>
      <c r="K607" s="669">
        <v>12</v>
      </c>
      <c r="L607" s="669">
        <v>18.5</v>
      </c>
      <c r="M607" s="675">
        <v>22.55</v>
      </c>
      <c r="N607" s="671">
        <f>IF(M607-P607&gt;0,M607-P607,0)</f>
        <v>6.25</v>
      </c>
      <c r="O607" s="671">
        <f>O606-K607/(PI()*(U603/2000)^2)</f>
        <v>15.316117434233851</v>
      </c>
      <c r="P607" s="672">
        <v>16.3</v>
      </c>
      <c r="Q607" s="673">
        <f>ABS(O607-P607)</f>
        <v>0.98388256576614985</v>
      </c>
      <c r="R607" s="375" t="s">
        <v>188</v>
      </c>
      <c r="S607" s="366"/>
      <c r="T607" s="376"/>
      <c r="U607" s="376"/>
      <c r="V607" s="366"/>
      <c r="W607" s="366"/>
    </row>
    <row r="608" spans="1:23">
      <c r="A608" s="1410"/>
      <c r="B608" s="1413"/>
      <c r="C608" s="845" t="s">
        <v>986</v>
      </c>
      <c r="D608" s="875" t="str">
        <f>B605&amp;C608</f>
        <v>A144d</v>
      </c>
      <c r="E608" s="367">
        <v>3</v>
      </c>
      <c r="F608" s="669" t="s">
        <v>1067</v>
      </c>
      <c r="G608" s="369">
        <v>0.7583333333333333</v>
      </c>
      <c r="H608" s="368">
        <v>0.79513888888888884</v>
      </c>
      <c r="I608" s="369">
        <v>0.80902777777777779</v>
      </c>
      <c r="J608" s="368">
        <v>0.8125</v>
      </c>
      <c r="K608" s="669">
        <v>8</v>
      </c>
      <c r="L608" s="669">
        <v>19</v>
      </c>
      <c r="M608" s="675">
        <v>16.25</v>
      </c>
      <c r="N608" s="671">
        <f>IF(M608-P608&gt;0,M608-P608,0)</f>
        <v>6.15</v>
      </c>
      <c r="O608" s="671">
        <f>O607-K608/(PI()*(U603/2000)^2)</f>
        <v>8.2425644079273912</v>
      </c>
      <c r="P608" s="672">
        <v>10.1</v>
      </c>
      <c r="Q608" s="673">
        <f>ABS(O608-P608)</f>
        <v>1.8574355920726084</v>
      </c>
      <c r="R608" s="375" t="s">
        <v>188</v>
      </c>
      <c r="S608" s="366"/>
      <c r="T608" s="376"/>
      <c r="U608" s="376"/>
      <c r="V608" s="366"/>
      <c r="W608" s="366"/>
    </row>
    <row r="609" spans="1:23">
      <c r="A609" s="1410"/>
      <c r="B609" s="1413"/>
      <c r="C609" s="845" t="s">
        <v>987</v>
      </c>
      <c r="D609" s="875" t="str">
        <f>B605&amp;C609</f>
        <v>A144e</v>
      </c>
      <c r="E609" s="367">
        <v>4</v>
      </c>
      <c r="F609" s="669" t="s">
        <v>1075</v>
      </c>
      <c r="G609" s="369">
        <v>0.81805555555555554</v>
      </c>
      <c r="H609" s="368">
        <v>0.84375</v>
      </c>
      <c r="I609" s="369">
        <v>0.85138888888888886</v>
      </c>
      <c r="J609" s="368">
        <v>0.85416666666666663</v>
      </c>
      <c r="K609" s="370">
        <v>4</v>
      </c>
      <c r="L609" s="370">
        <v>19</v>
      </c>
      <c r="M609" s="371">
        <v>16.25</v>
      </c>
      <c r="N609" s="671">
        <f>IF(M609-P609&gt;0,M609-P609,0)</f>
        <v>9.5500000000000007</v>
      </c>
      <c r="O609" s="671">
        <f>O608-K609/(PI()*(U603/2000)^2)</f>
        <v>4.7057878947741614</v>
      </c>
      <c r="P609" s="373">
        <v>6.7</v>
      </c>
      <c r="Q609" s="673">
        <f>ABS(O609-P609)</f>
        <v>1.9942121052258388</v>
      </c>
      <c r="R609" s="375"/>
      <c r="S609" s="366"/>
      <c r="T609" s="376"/>
      <c r="U609" s="376"/>
      <c r="V609" s="366"/>
      <c r="W609" s="366"/>
    </row>
    <row r="610" spans="1:23">
      <c r="A610" s="1410"/>
      <c r="B610" s="1413"/>
      <c r="C610" s="845" t="s">
        <v>988</v>
      </c>
      <c r="D610" s="875" t="str">
        <f>B605&amp;C610</f>
        <v>A144f</v>
      </c>
      <c r="E610" s="367">
        <v>5</v>
      </c>
      <c r="F610" s="669"/>
      <c r="G610" s="369"/>
      <c r="H610" s="368"/>
      <c r="I610" s="369"/>
      <c r="J610" s="368"/>
      <c r="K610" s="370"/>
      <c r="L610" s="370"/>
      <c r="M610" s="371"/>
      <c r="N610" s="671"/>
      <c r="O610" s="671"/>
      <c r="P610" s="373"/>
      <c r="Q610" s="673"/>
      <c r="R610" s="377"/>
      <c r="S610" s="366" t="s">
        <v>190</v>
      </c>
      <c r="T610" s="376"/>
      <c r="U610" s="376"/>
      <c r="V610" s="366"/>
      <c r="W610" s="366"/>
    </row>
    <row r="611" spans="1:23">
      <c r="A611" s="1410"/>
      <c r="B611" s="1413"/>
      <c r="C611" s="845" t="s">
        <v>989</v>
      </c>
      <c r="D611" s="875" t="str">
        <f>B605&amp;C611</f>
        <v>A144g</v>
      </c>
      <c r="E611" s="367">
        <v>6</v>
      </c>
      <c r="F611" s="669"/>
      <c r="G611" s="369"/>
      <c r="H611" s="368"/>
      <c r="I611" s="369"/>
      <c r="J611" s="368"/>
      <c r="K611" s="370"/>
      <c r="L611" s="370"/>
      <c r="M611" s="371"/>
      <c r="N611" s="671"/>
      <c r="O611" s="671"/>
      <c r="P611" s="373"/>
      <c r="Q611" s="673"/>
      <c r="R611" s="375"/>
      <c r="S611" s="366" t="s">
        <v>190</v>
      </c>
      <c r="T611" s="366"/>
      <c r="U611" s="366"/>
      <c r="V611" s="366"/>
      <c r="W611" s="366"/>
    </row>
    <row r="612" spans="1:23">
      <c r="A612" s="1410"/>
      <c r="B612" s="1413"/>
      <c r="C612" s="845" t="s">
        <v>990</v>
      </c>
      <c r="D612" s="875" t="str">
        <f>B605&amp;C612</f>
        <v>A144h</v>
      </c>
      <c r="E612" s="367">
        <v>7</v>
      </c>
      <c r="F612" s="669"/>
      <c r="G612" s="368"/>
      <c r="H612" s="368"/>
      <c r="I612" s="368"/>
      <c r="J612" s="368"/>
      <c r="K612" s="370"/>
      <c r="L612" s="370"/>
      <c r="M612" s="371"/>
      <c r="N612" s="671"/>
      <c r="O612" s="671"/>
      <c r="P612" s="373"/>
      <c r="Q612" s="673"/>
      <c r="R612" s="377"/>
      <c r="S612" s="366" t="s">
        <v>190</v>
      </c>
      <c r="T612" s="366"/>
      <c r="U612" s="366"/>
      <c r="V612" s="366"/>
      <c r="W612" s="366"/>
    </row>
    <row r="613" spans="1:23">
      <c r="A613" s="1410"/>
      <c r="B613" s="1413"/>
      <c r="C613" s="845" t="s">
        <v>991</v>
      </c>
      <c r="D613" s="875" t="str">
        <f>B605&amp;C613</f>
        <v>A144i</v>
      </c>
      <c r="E613" s="367">
        <v>8</v>
      </c>
      <c r="F613" s="669"/>
      <c r="G613" s="368"/>
      <c r="H613" s="368"/>
      <c r="I613" s="368"/>
      <c r="J613" s="368"/>
      <c r="K613" s="370"/>
      <c r="L613" s="370"/>
      <c r="M613" s="371"/>
      <c r="N613" s="671"/>
      <c r="O613" s="671"/>
      <c r="P613" s="373"/>
      <c r="Q613" s="673"/>
      <c r="R613" s="378"/>
      <c r="S613" s="366"/>
      <c r="T613" s="366"/>
      <c r="U613" s="366"/>
      <c r="V613" s="366"/>
      <c r="W613" s="366"/>
    </row>
    <row r="614" spans="1:23">
      <c r="A614" s="1410"/>
      <c r="B614" s="1413"/>
      <c r="C614" s="845" t="s">
        <v>992</v>
      </c>
      <c r="D614" s="875" t="str">
        <f>B605&amp;C614</f>
        <v>A144k</v>
      </c>
      <c r="E614" s="367">
        <v>9</v>
      </c>
      <c r="F614" s="370"/>
      <c r="G614" s="368"/>
      <c r="H614" s="368"/>
      <c r="I614" s="368"/>
      <c r="J614" s="368"/>
      <c r="K614" s="370"/>
      <c r="L614" s="370"/>
      <c r="M614" s="371"/>
      <c r="N614" s="372"/>
      <c r="O614" s="372"/>
      <c r="P614" s="373"/>
      <c r="Q614" s="374"/>
      <c r="R614" s="378"/>
      <c r="S614" s="379"/>
      <c r="T614" s="366"/>
      <c r="U614" s="366"/>
      <c r="V614" s="366"/>
      <c r="W614" s="366"/>
    </row>
    <row r="615" spans="1:23">
      <c r="A615" s="1410"/>
      <c r="B615" s="1413"/>
      <c r="C615" s="845" t="s">
        <v>993</v>
      </c>
      <c r="D615" s="875" t="str">
        <f>B605&amp;C615</f>
        <v>A144l</v>
      </c>
      <c r="E615" s="367">
        <v>10</v>
      </c>
      <c r="F615" s="370"/>
      <c r="G615" s="368"/>
      <c r="H615" s="368"/>
      <c r="I615" s="368"/>
      <c r="J615" s="368"/>
      <c r="K615" s="370"/>
      <c r="L615" s="370"/>
      <c r="M615" s="370"/>
      <c r="N615" s="372"/>
      <c r="O615" s="372"/>
      <c r="P615" s="373"/>
      <c r="Q615" s="374"/>
      <c r="R615" s="378"/>
      <c r="S615" s="379"/>
      <c r="T615" s="366"/>
      <c r="U615" s="366"/>
      <c r="V615" s="366"/>
      <c r="W615" s="366"/>
    </row>
    <row r="616" spans="1:23">
      <c r="A616" s="1410"/>
      <c r="B616" s="1413"/>
      <c r="C616" s="845" t="s">
        <v>994</v>
      </c>
      <c r="D616" s="875" t="str">
        <f>B605&amp;C616</f>
        <v>A144m</v>
      </c>
      <c r="E616" s="367">
        <v>11</v>
      </c>
      <c r="F616" s="370"/>
      <c r="G616" s="368"/>
      <c r="H616" s="368"/>
      <c r="I616" s="368"/>
      <c r="J616" s="368"/>
      <c r="K616" s="370"/>
      <c r="L616" s="370"/>
      <c r="M616" s="370"/>
      <c r="N616" s="372"/>
      <c r="O616" s="372"/>
      <c r="P616" s="380"/>
      <c r="Q616" s="374"/>
      <c r="R616" s="381"/>
      <c r="S616" s="379"/>
      <c r="T616" s="366"/>
      <c r="U616" s="366"/>
      <c r="V616" s="366"/>
      <c r="W616" s="366"/>
    </row>
    <row r="617" spans="1:23">
      <c r="A617" s="1410"/>
      <c r="B617" s="1413"/>
      <c r="C617" s="845" t="s">
        <v>995</v>
      </c>
      <c r="D617" s="875" t="str">
        <f>B605&amp;C617</f>
        <v>A144n</v>
      </c>
      <c r="E617" s="367">
        <v>12</v>
      </c>
      <c r="F617" s="370"/>
      <c r="G617" s="368"/>
      <c r="H617" s="368"/>
      <c r="I617" s="368"/>
      <c r="J617" s="368"/>
      <c r="K617" s="370"/>
      <c r="L617" s="370"/>
      <c r="M617" s="370"/>
      <c r="N617" s="372"/>
      <c r="O617" s="372"/>
      <c r="P617" s="380"/>
      <c r="Q617" s="374"/>
      <c r="R617" s="381"/>
      <c r="S617" s="361"/>
      <c r="T617" s="361"/>
      <c r="U617" s="361"/>
      <c r="V617" s="366"/>
      <c r="W617" s="366"/>
    </row>
    <row r="618" spans="1:23">
      <c r="A618" s="1410"/>
      <c r="B618" s="1413"/>
      <c r="C618" s="845" t="s">
        <v>471</v>
      </c>
      <c r="D618" s="875" t="str">
        <f>B605&amp;C618</f>
        <v>A144x</v>
      </c>
      <c r="E618" s="367">
        <v>13</v>
      </c>
      <c r="F618" s="370"/>
      <c r="G618" s="368"/>
      <c r="H618" s="368"/>
      <c r="I618" s="368"/>
      <c r="J618" s="368"/>
      <c r="K618" s="370"/>
      <c r="L618" s="370"/>
      <c r="M618" s="370"/>
      <c r="N618" s="382"/>
      <c r="O618" s="372"/>
      <c r="P618" s="380"/>
      <c r="Q618" s="381"/>
      <c r="R618" s="381"/>
      <c r="S618" s="361"/>
      <c r="T618" s="361"/>
      <c r="U618" s="361"/>
      <c r="V618" s="366"/>
      <c r="W618" s="366"/>
    </row>
    <row r="619" spans="1:23">
      <c r="A619" s="1410"/>
      <c r="B619" s="1413"/>
      <c r="C619" s="845" t="s">
        <v>732</v>
      </c>
      <c r="D619" s="875" t="str">
        <f>B605&amp;C619</f>
        <v>A144y</v>
      </c>
      <c r="E619" s="367">
        <v>14</v>
      </c>
      <c r="F619" s="370"/>
      <c r="G619" s="368"/>
      <c r="H619" s="368"/>
      <c r="I619" s="368"/>
      <c r="J619" s="368"/>
      <c r="K619" s="370"/>
      <c r="L619" s="370"/>
      <c r="M619" s="370"/>
      <c r="N619" s="382"/>
      <c r="O619" s="372"/>
      <c r="P619" s="380"/>
      <c r="Q619" s="381"/>
      <c r="R619" s="381"/>
      <c r="S619" s="361"/>
      <c r="T619" s="361"/>
      <c r="U619" s="362"/>
      <c r="V619" s="366"/>
      <c r="W619" s="366"/>
    </row>
    <row r="620" spans="1:23">
      <c r="A620" s="1411"/>
      <c r="B620" s="1414"/>
      <c r="C620" s="846" t="s">
        <v>996</v>
      </c>
      <c r="D620" s="876" t="str">
        <f>B605&amp;C620</f>
        <v>A144z</v>
      </c>
      <c r="E620" s="847">
        <v>15</v>
      </c>
      <c r="F620" s="370"/>
      <c r="G620" s="368"/>
      <c r="H620" s="368"/>
      <c r="I620" s="368"/>
      <c r="J620" s="368"/>
      <c r="K620" s="370"/>
      <c r="L620" s="370"/>
      <c r="M620" s="370"/>
      <c r="N620" s="850"/>
      <c r="O620" s="851"/>
      <c r="P620" s="851"/>
      <c r="Q620" s="852"/>
      <c r="R620" s="383"/>
      <c r="S620" s="361"/>
      <c r="T620" s="832"/>
      <c r="U620" s="830"/>
      <c r="V620" s="366"/>
      <c r="W620" s="366"/>
    </row>
    <row r="621" spans="1:23">
      <c r="A621" s="1400" t="s">
        <v>939</v>
      </c>
      <c r="B621" s="1400"/>
      <c r="C621" s="827"/>
      <c r="D621" s="871"/>
      <c r="E621" s="1400" t="s">
        <v>177</v>
      </c>
      <c r="F621" s="1400" t="s">
        <v>18</v>
      </c>
      <c r="G621" s="1389" t="s">
        <v>19</v>
      </c>
      <c r="H621" s="1390"/>
      <c r="I621" s="1389" t="s">
        <v>22</v>
      </c>
      <c r="J621" s="1390"/>
      <c r="K621" s="1393" t="s">
        <v>26</v>
      </c>
      <c r="L621" s="1390"/>
      <c r="M621" s="1389" t="s">
        <v>392</v>
      </c>
      <c r="N621" s="1390"/>
      <c r="O621" s="1389" t="s">
        <v>28</v>
      </c>
      <c r="P621" s="1393"/>
      <c r="Q621" s="1390"/>
      <c r="R621" s="1400" t="s">
        <v>36</v>
      </c>
      <c r="S621" s="361"/>
      <c r="T621" s="361">
        <f>MAX(J625:J639)-MIN(I625:I639)</f>
        <v>0.11527777777777781</v>
      </c>
      <c r="U621" s="361"/>
      <c r="V621" s="853" t="str">
        <f t="shared" ref="V621" si="66">B625</f>
        <v>A30</v>
      </c>
      <c r="W621" s="361">
        <f t="shared" ref="W621" si="67">COUNTIF(K626:K640,"&gt;0")</f>
        <v>7</v>
      </c>
    </row>
    <row r="622" spans="1:23">
      <c r="A622" s="1401"/>
      <c r="B622" s="1401"/>
      <c r="C622" s="828"/>
      <c r="D622" s="872"/>
      <c r="E622" s="1401"/>
      <c r="F622" s="1401"/>
      <c r="G622" s="1391"/>
      <c r="H622" s="1392"/>
      <c r="I622" s="1391"/>
      <c r="J622" s="1392"/>
      <c r="K622" s="1394"/>
      <c r="L622" s="1392"/>
      <c r="M622" s="1391"/>
      <c r="N622" s="1392"/>
      <c r="O622" s="1391"/>
      <c r="P622" s="1394"/>
      <c r="Q622" s="1392"/>
      <c r="R622" s="1401"/>
      <c r="S622" s="361"/>
      <c r="T622" s="361"/>
      <c r="U622" s="361"/>
      <c r="V622" s="361"/>
      <c r="W622" s="361"/>
    </row>
    <row r="623" spans="1:23">
      <c r="A623" s="1401"/>
      <c r="B623" s="1401"/>
      <c r="C623" s="828"/>
      <c r="D623" s="872"/>
      <c r="E623" s="1401"/>
      <c r="F623" s="1401"/>
      <c r="G623" s="1400" t="s">
        <v>20</v>
      </c>
      <c r="H623" s="1400" t="s">
        <v>21</v>
      </c>
      <c r="I623" s="1400" t="s">
        <v>361</v>
      </c>
      <c r="J623" s="1400" t="s">
        <v>353</v>
      </c>
      <c r="K623" s="1400" t="s">
        <v>23</v>
      </c>
      <c r="L623" s="1400" t="s">
        <v>24</v>
      </c>
      <c r="M623" s="1400" t="s">
        <v>27</v>
      </c>
      <c r="N623" s="1400" t="s">
        <v>178</v>
      </c>
      <c r="O623" s="1400" t="s">
        <v>1</v>
      </c>
      <c r="P623" s="1400" t="s">
        <v>29</v>
      </c>
      <c r="Q623" s="1400" t="s">
        <v>33</v>
      </c>
      <c r="R623" s="1401"/>
      <c r="S623" s="361"/>
      <c r="T623" s="361" t="s">
        <v>39</v>
      </c>
      <c r="U623" s="362">
        <f>VLOOKUP(B625,'Thong tin'!$A:$M,13,0)</f>
        <v>1200</v>
      </c>
      <c r="V623" s="361"/>
      <c r="W623" s="361"/>
    </row>
    <row r="624" spans="1:23">
      <c r="A624" s="1402"/>
      <c r="B624" s="1402"/>
      <c r="C624" s="829"/>
      <c r="D624" s="873"/>
      <c r="E624" s="1402"/>
      <c r="F624" s="1402"/>
      <c r="G624" s="1402"/>
      <c r="H624" s="1402"/>
      <c r="I624" s="1402"/>
      <c r="J624" s="1402"/>
      <c r="K624" s="1402"/>
      <c r="L624" s="1402"/>
      <c r="M624" s="1402"/>
      <c r="N624" s="1402"/>
      <c r="O624" s="1402"/>
      <c r="P624" s="1402"/>
      <c r="Q624" s="1402"/>
      <c r="R624" s="1402"/>
      <c r="S624" s="361"/>
      <c r="T624" s="1399" t="s">
        <v>393</v>
      </c>
      <c r="U624" s="1397">
        <f>VLOOKUP(B625,DT.NK!$B:$AZ,45,0)</f>
        <v>32.4</v>
      </c>
      <c r="V624" s="361"/>
      <c r="W624" s="361"/>
    </row>
    <row r="625" spans="1:23">
      <c r="A625" s="1409">
        <f>A605+1</f>
        <v>32</v>
      </c>
      <c r="B625" s="1412" t="s">
        <v>632</v>
      </c>
      <c r="C625" s="844" t="s">
        <v>983</v>
      </c>
      <c r="D625" s="874" t="str">
        <f>B625&amp;C625</f>
        <v>A30a</v>
      </c>
      <c r="E625" s="363"/>
      <c r="F625" s="364"/>
      <c r="G625" s="364"/>
      <c r="H625" s="364"/>
      <c r="I625" s="364"/>
      <c r="J625" s="364"/>
      <c r="K625" s="364"/>
      <c r="L625" s="364"/>
      <c r="M625" s="674"/>
      <c r="N625" s="670"/>
      <c r="O625" s="670">
        <f>U624</f>
        <v>32.4</v>
      </c>
      <c r="P625" s="670">
        <f>O625</f>
        <v>32.4</v>
      </c>
      <c r="Q625" s="670">
        <v>0</v>
      </c>
      <c r="R625" s="365"/>
      <c r="S625" s="366"/>
      <c r="T625" s="1399"/>
      <c r="U625" s="1398"/>
      <c r="V625" s="361"/>
      <c r="W625" s="361"/>
    </row>
    <row r="626" spans="1:23">
      <c r="A626" s="1410"/>
      <c r="B626" s="1413"/>
      <c r="C626" s="845" t="s">
        <v>984</v>
      </c>
      <c r="D626" s="875" t="str">
        <f>B625&amp;C626</f>
        <v>A30b</v>
      </c>
      <c r="E626" s="367">
        <v>1</v>
      </c>
      <c r="F626" s="669" t="s">
        <v>1076</v>
      </c>
      <c r="G626" s="369">
        <v>0.34652777777777777</v>
      </c>
      <c r="H626" s="368">
        <v>0.36805555555555558</v>
      </c>
      <c r="I626" s="369">
        <v>0.38194444444444442</v>
      </c>
      <c r="J626" s="368">
        <v>0.38541666666666669</v>
      </c>
      <c r="K626" s="669">
        <v>7</v>
      </c>
      <c r="L626" s="669">
        <v>19</v>
      </c>
      <c r="M626" s="675">
        <v>31.4</v>
      </c>
      <c r="N626" s="671">
        <f t="shared" ref="N626:N632" si="68">IF(M626-P626&gt;0,M626-P626,0)</f>
        <v>4.1999999999999993</v>
      </c>
      <c r="O626" s="671">
        <f>O625-K626/(PI()*(U623/2000)^2)</f>
        <v>26.210641101981846</v>
      </c>
      <c r="P626" s="672">
        <v>27.2</v>
      </c>
      <c r="Q626" s="673">
        <f t="shared" ref="Q626:Q632" si="69">ABS(O626-P626)</f>
        <v>0.98935889801815335</v>
      </c>
      <c r="R626" s="375" t="s">
        <v>188</v>
      </c>
      <c r="S626" s="366"/>
      <c r="T626" s="376"/>
      <c r="U626" s="376"/>
      <c r="V626" s="366"/>
      <c r="W626" s="366"/>
    </row>
    <row r="627" spans="1:23">
      <c r="A627" s="1410"/>
      <c r="B627" s="1413"/>
      <c r="C627" s="845" t="s">
        <v>985</v>
      </c>
      <c r="D627" s="875" t="str">
        <f>B625&amp;C627</f>
        <v>A30c</v>
      </c>
      <c r="E627" s="367">
        <v>2</v>
      </c>
      <c r="F627" s="669" t="s">
        <v>1077</v>
      </c>
      <c r="G627" s="369">
        <v>0.3520833333333333</v>
      </c>
      <c r="H627" s="368">
        <v>0.3833333333333333</v>
      </c>
      <c r="I627" s="369">
        <v>0.3888888888888889</v>
      </c>
      <c r="J627" s="368">
        <v>0.3923611111111111</v>
      </c>
      <c r="K627" s="669">
        <v>7</v>
      </c>
      <c r="L627" s="669">
        <v>19.5</v>
      </c>
      <c r="M627" s="675">
        <v>28.25</v>
      </c>
      <c r="N627" s="671">
        <f t="shared" si="68"/>
        <v>4.75</v>
      </c>
      <c r="O627" s="671">
        <f>O626-K627/(PI()*(U623/2000)^2)</f>
        <v>20.021282203963693</v>
      </c>
      <c r="P627" s="672">
        <v>23.5</v>
      </c>
      <c r="Q627" s="673">
        <f t="shared" si="69"/>
        <v>3.4787177960363067</v>
      </c>
      <c r="R627" s="375" t="s">
        <v>188</v>
      </c>
      <c r="S627" s="366"/>
      <c r="T627" s="376"/>
      <c r="U627" s="376"/>
      <c r="V627" s="366"/>
      <c r="W627" s="366"/>
    </row>
    <row r="628" spans="1:23">
      <c r="A628" s="1410"/>
      <c r="B628" s="1413"/>
      <c r="C628" s="845" t="s">
        <v>986</v>
      </c>
      <c r="D628" s="875" t="str">
        <f>B625&amp;C628</f>
        <v>A30d</v>
      </c>
      <c r="E628" s="367">
        <v>3</v>
      </c>
      <c r="F628" s="669" t="s">
        <v>1058</v>
      </c>
      <c r="G628" s="369">
        <v>0.36249999999999999</v>
      </c>
      <c r="H628" s="368">
        <v>0.3923611111111111</v>
      </c>
      <c r="I628" s="369">
        <v>0.39930555555555558</v>
      </c>
      <c r="J628" s="368">
        <v>0.40277777777777773</v>
      </c>
      <c r="K628" s="669">
        <v>7</v>
      </c>
      <c r="L628" s="669">
        <v>19.5</v>
      </c>
      <c r="M628" s="675">
        <v>28.25</v>
      </c>
      <c r="N628" s="671">
        <f t="shared" si="68"/>
        <v>6.25</v>
      </c>
      <c r="O628" s="671">
        <f>O627-K628/(PI()*(U623/2000)^2)</f>
        <v>13.831923305945541</v>
      </c>
      <c r="P628" s="672">
        <v>22</v>
      </c>
      <c r="Q628" s="673">
        <f t="shared" si="69"/>
        <v>8.1680766940544594</v>
      </c>
      <c r="R628" s="375" t="s">
        <v>188</v>
      </c>
      <c r="S628" s="366"/>
      <c r="T628" s="376"/>
      <c r="U628" s="376"/>
      <c r="V628" s="366"/>
      <c r="W628" s="366"/>
    </row>
    <row r="629" spans="1:23">
      <c r="A629" s="1410"/>
      <c r="B629" s="1413"/>
      <c r="C629" s="845" t="s">
        <v>987</v>
      </c>
      <c r="D629" s="875" t="str">
        <f>B625&amp;C629</f>
        <v>A30e</v>
      </c>
      <c r="E629" s="367">
        <v>4</v>
      </c>
      <c r="F629" s="669" t="s">
        <v>1067</v>
      </c>
      <c r="G629" s="369">
        <v>0.37291666666666662</v>
      </c>
      <c r="H629" s="368">
        <v>0.40277777777777773</v>
      </c>
      <c r="I629" s="369">
        <v>0.40972222222222227</v>
      </c>
      <c r="J629" s="368">
        <v>0.41319444444444442</v>
      </c>
      <c r="K629" s="370">
        <v>7</v>
      </c>
      <c r="L629" s="370">
        <v>19</v>
      </c>
      <c r="M629" s="371">
        <v>28.25</v>
      </c>
      <c r="N629" s="671">
        <f t="shared" si="68"/>
        <v>8.25</v>
      </c>
      <c r="O629" s="671">
        <f>O628-K629/(PI()*(U623/2000)^2)</f>
        <v>7.6425644079273889</v>
      </c>
      <c r="P629" s="373">
        <v>20</v>
      </c>
      <c r="Q629" s="673">
        <f t="shared" si="69"/>
        <v>12.357435592072612</v>
      </c>
      <c r="R629" s="375"/>
      <c r="S629" s="366"/>
      <c r="T629" s="376"/>
      <c r="U629" s="376"/>
      <c r="V629" s="366"/>
      <c r="W629" s="366"/>
    </row>
    <row r="630" spans="1:23">
      <c r="A630" s="1410"/>
      <c r="B630" s="1413"/>
      <c r="C630" s="845" t="s">
        <v>988</v>
      </c>
      <c r="D630" s="875" t="str">
        <f>B625&amp;C630</f>
        <v>A30f</v>
      </c>
      <c r="E630" s="367">
        <v>5</v>
      </c>
      <c r="F630" s="669" t="s">
        <v>1077</v>
      </c>
      <c r="G630" s="369">
        <v>0.4284722222222222</v>
      </c>
      <c r="H630" s="368">
        <v>0.4513888888888889</v>
      </c>
      <c r="I630" s="369">
        <v>0.4548611111111111</v>
      </c>
      <c r="J630" s="368">
        <v>0.45833333333333331</v>
      </c>
      <c r="K630" s="370">
        <v>7</v>
      </c>
      <c r="L630" s="370">
        <v>19</v>
      </c>
      <c r="M630" s="371">
        <v>22.2</v>
      </c>
      <c r="N630" s="671">
        <f t="shared" si="68"/>
        <v>7.1999999999999993</v>
      </c>
      <c r="O630" s="671">
        <f>O629-K630/(PI()*(U623/2000)^2)</f>
        <v>1.4532055099092371</v>
      </c>
      <c r="P630" s="373">
        <v>15</v>
      </c>
      <c r="Q630" s="673">
        <f t="shared" si="69"/>
        <v>13.546794490090763</v>
      </c>
      <c r="R630" s="377"/>
      <c r="S630" s="366" t="s">
        <v>190</v>
      </c>
      <c r="T630" s="376"/>
      <c r="U630" s="376"/>
      <c r="V630" s="366"/>
      <c r="W630" s="366"/>
    </row>
    <row r="631" spans="1:23">
      <c r="A631" s="1410"/>
      <c r="B631" s="1413"/>
      <c r="C631" s="845" t="s">
        <v>989</v>
      </c>
      <c r="D631" s="875" t="str">
        <f>B625&amp;C631</f>
        <v>A30g</v>
      </c>
      <c r="E631" s="367">
        <v>6</v>
      </c>
      <c r="F631" s="669" t="s">
        <v>1058</v>
      </c>
      <c r="G631" s="369">
        <v>0.44027777777777777</v>
      </c>
      <c r="H631" s="368">
        <v>0.46249999999999997</v>
      </c>
      <c r="I631" s="369">
        <v>0.46527777777777773</v>
      </c>
      <c r="J631" s="368">
        <v>0.46875</v>
      </c>
      <c r="K631" s="370">
        <v>7</v>
      </c>
      <c r="L631" s="370">
        <v>18</v>
      </c>
      <c r="M631" s="371">
        <v>15.9</v>
      </c>
      <c r="N631" s="671">
        <f t="shared" si="68"/>
        <v>6.7000000000000011</v>
      </c>
      <c r="O631" s="671">
        <f>O630-K631/(PI()*(U623/2000)^2)</f>
        <v>-4.7361533881089146</v>
      </c>
      <c r="P631" s="373">
        <v>9.1999999999999993</v>
      </c>
      <c r="Q631" s="673">
        <f t="shared" si="69"/>
        <v>13.936153388108913</v>
      </c>
      <c r="R631" s="375"/>
      <c r="S631" s="366" t="s">
        <v>190</v>
      </c>
      <c r="T631" s="366"/>
      <c r="U631" s="366"/>
      <c r="V631" s="366"/>
      <c r="W631" s="366"/>
    </row>
    <row r="632" spans="1:23">
      <c r="A632" s="1410"/>
      <c r="B632" s="1413"/>
      <c r="C632" s="845" t="s">
        <v>990</v>
      </c>
      <c r="D632" s="875" t="str">
        <f>B625&amp;C632</f>
        <v>A30h</v>
      </c>
      <c r="E632" s="367">
        <v>7</v>
      </c>
      <c r="F632" s="669" t="s">
        <v>1052</v>
      </c>
      <c r="G632" s="368">
        <v>0.47222222222222227</v>
      </c>
      <c r="H632" s="368">
        <v>0.49305555555555558</v>
      </c>
      <c r="I632" s="368">
        <v>0.49444444444444446</v>
      </c>
      <c r="J632" s="368">
        <v>0.49722222222222223</v>
      </c>
      <c r="K632" s="370">
        <v>2.5</v>
      </c>
      <c r="L632" s="370"/>
      <c r="M632" s="371">
        <v>15.9</v>
      </c>
      <c r="N632" s="671">
        <f t="shared" si="68"/>
        <v>8.9</v>
      </c>
      <c r="O632" s="671">
        <f>O631-K632/(PI()*(U623/2000)^2)</f>
        <v>-6.946638708829683</v>
      </c>
      <c r="P632" s="373">
        <v>7</v>
      </c>
      <c r="Q632" s="673">
        <f t="shared" si="69"/>
        <v>13.946638708829683</v>
      </c>
      <c r="R632" s="377"/>
      <c r="S632" s="366" t="s">
        <v>190</v>
      </c>
      <c r="T632" s="366"/>
      <c r="U632" s="366"/>
      <c r="V632" s="366"/>
      <c r="W632" s="366"/>
    </row>
    <row r="633" spans="1:23">
      <c r="A633" s="1410"/>
      <c r="B633" s="1413"/>
      <c r="C633" s="845" t="s">
        <v>991</v>
      </c>
      <c r="D633" s="875" t="str">
        <f>B625&amp;C633</f>
        <v>A30i</v>
      </c>
      <c r="E633" s="367">
        <v>8</v>
      </c>
      <c r="F633" s="669"/>
      <c r="G633" s="368"/>
      <c r="H633" s="368"/>
      <c r="I633" s="368"/>
      <c r="J633" s="368"/>
      <c r="K633" s="370"/>
      <c r="L633" s="370"/>
      <c r="M633" s="371"/>
      <c r="N633" s="671"/>
      <c r="O633" s="671"/>
      <c r="P633" s="373"/>
      <c r="Q633" s="673"/>
      <c r="R633" s="378"/>
      <c r="S633" s="366"/>
      <c r="T633" s="366"/>
      <c r="U633" s="366"/>
      <c r="V633" s="366"/>
      <c r="W633" s="366"/>
    </row>
    <row r="634" spans="1:23">
      <c r="A634" s="1410"/>
      <c r="B634" s="1413"/>
      <c r="C634" s="845" t="s">
        <v>992</v>
      </c>
      <c r="D634" s="875" t="str">
        <f>B625&amp;C634</f>
        <v>A30k</v>
      </c>
      <c r="E634" s="367">
        <v>9</v>
      </c>
      <c r="F634" s="370"/>
      <c r="G634" s="368"/>
      <c r="H634" s="368"/>
      <c r="I634" s="368"/>
      <c r="J634" s="368"/>
      <c r="K634" s="370"/>
      <c r="L634" s="370"/>
      <c r="M634" s="371"/>
      <c r="N634" s="372"/>
      <c r="O634" s="372"/>
      <c r="P634" s="373"/>
      <c r="Q634" s="374"/>
      <c r="R634" s="378"/>
      <c r="S634" s="379"/>
      <c r="T634" s="366"/>
      <c r="U634" s="366"/>
      <c r="V634" s="366"/>
      <c r="W634" s="366"/>
    </row>
    <row r="635" spans="1:23">
      <c r="A635" s="1410"/>
      <c r="B635" s="1413"/>
      <c r="C635" s="845" t="s">
        <v>993</v>
      </c>
      <c r="D635" s="875" t="str">
        <f>B625&amp;C635</f>
        <v>A30l</v>
      </c>
      <c r="E635" s="367">
        <v>10</v>
      </c>
      <c r="F635" s="370"/>
      <c r="G635" s="368"/>
      <c r="H635" s="368"/>
      <c r="I635" s="368"/>
      <c r="J635" s="368"/>
      <c r="K635" s="370"/>
      <c r="L635" s="370"/>
      <c r="M635" s="370"/>
      <c r="N635" s="372"/>
      <c r="O635" s="372"/>
      <c r="P635" s="373"/>
      <c r="Q635" s="374"/>
      <c r="R635" s="378"/>
      <c r="S635" s="379"/>
      <c r="T635" s="366"/>
      <c r="U635" s="366"/>
      <c r="V635" s="366"/>
      <c r="W635" s="366"/>
    </row>
    <row r="636" spans="1:23">
      <c r="A636" s="1410"/>
      <c r="B636" s="1413"/>
      <c r="C636" s="845" t="s">
        <v>994</v>
      </c>
      <c r="D636" s="875" t="str">
        <f>B625&amp;C636</f>
        <v>A30m</v>
      </c>
      <c r="E636" s="367">
        <v>11</v>
      </c>
      <c r="F636" s="370"/>
      <c r="G636" s="368"/>
      <c r="H636" s="368"/>
      <c r="I636" s="368"/>
      <c r="J636" s="368"/>
      <c r="K636" s="370"/>
      <c r="L636" s="370"/>
      <c r="M636" s="370"/>
      <c r="N636" s="372"/>
      <c r="O636" s="372"/>
      <c r="P636" s="380"/>
      <c r="Q636" s="374"/>
      <c r="R636" s="381"/>
      <c r="S636" s="379"/>
      <c r="T636" s="366"/>
      <c r="U636" s="366"/>
      <c r="V636" s="366"/>
      <c r="W636" s="366"/>
    </row>
    <row r="637" spans="1:23">
      <c r="A637" s="1410"/>
      <c r="B637" s="1413"/>
      <c r="C637" s="845" t="s">
        <v>995</v>
      </c>
      <c r="D637" s="875" t="str">
        <f>B625&amp;C637</f>
        <v>A30n</v>
      </c>
      <c r="E637" s="367">
        <v>12</v>
      </c>
      <c r="F637" s="370"/>
      <c r="G637" s="368"/>
      <c r="H637" s="368"/>
      <c r="I637" s="368"/>
      <c r="J637" s="368"/>
      <c r="K637" s="370"/>
      <c r="L637" s="370"/>
      <c r="M637" s="370"/>
      <c r="N637" s="372"/>
      <c r="O637" s="372"/>
      <c r="P637" s="380"/>
      <c r="Q637" s="374"/>
      <c r="R637" s="381"/>
      <c r="S637" s="361"/>
      <c r="T637" s="361"/>
      <c r="U637" s="361"/>
      <c r="V637" s="366"/>
      <c r="W637" s="366"/>
    </row>
    <row r="638" spans="1:23">
      <c r="A638" s="1410"/>
      <c r="B638" s="1413"/>
      <c r="C638" s="845" t="s">
        <v>471</v>
      </c>
      <c r="D638" s="875" t="str">
        <f>B625&amp;C638</f>
        <v>A30x</v>
      </c>
      <c r="E638" s="367">
        <v>13</v>
      </c>
      <c r="F638" s="370"/>
      <c r="G638" s="368"/>
      <c r="H638" s="368"/>
      <c r="I638" s="368"/>
      <c r="J638" s="368"/>
      <c r="K638" s="370"/>
      <c r="L638" s="370"/>
      <c r="M638" s="370"/>
      <c r="N638" s="382"/>
      <c r="O638" s="372"/>
      <c r="P638" s="380"/>
      <c r="Q638" s="381"/>
      <c r="R638" s="381"/>
      <c r="S638" s="361"/>
      <c r="T638" s="361"/>
      <c r="U638" s="361"/>
      <c r="V638" s="366"/>
      <c r="W638" s="366"/>
    </row>
    <row r="639" spans="1:23">
      <c r="A639" s="1410"/>
      <c r="B639" s="1413"/>
      <c r="C639" s="845" t="s">
        <v>732</v>
      </c>
      <c r="D639" s="875" t="str">
        <f>B625&amp;C639</f>
        <v>A30y</v>
      </c>
      <c r="E639" s="367">
        <v>14</v>
      </c>
      <c r="F639" s="370"/>
      <c r="G639" s="368"/>
      <c r="H639" s="368"/>
      <c r="I639" s="368"/>
      <c r="J639" s="368"/>
      <c r="K639" s="370"/>
      <c r="L639" s="370"/>
      <c r="M639" s="370"/>
      <c r="N639" s="382"/>
      <c r="O639" s="372"/>
      <c r="P639" s="380"/>
      <c r="Q639" s="381"/>
      <c r="R639" s="381"/>
      <c r="S639" s="361"/>
      <c r="T639" s="361"/>
      <c r="U639" s="362"/>
      <c r="V639" s="366"/>
      <c r="W639" s="366"/>
    </row>
    <row r="640" spans="1:23">
      <c r="A640" s="1411"/>
      <c r="B640" s="1414"/>
      <c r="C640" s="846" t="s">
        <v>996</v>
      </c>
      <c r="D640" s="876" t="str">
        <f>B625&amp;C640</f>
        <v>A30z</v>
      </c>
      <c r="E640" s="847">
        <v>15</v>
      </c>
      <c r="F640" s="370"/>
      <c r="G640" s="368"/>
      <c r="H640" s="368"/>
      <c r="I640" s="368"/>
      <c r="J640" s="368"/>
      <c r="K640" s="370"/>
      <c r="L640" s="370"/>
      <c r="M640" s="370"/>
      <c r="N640" s="850"/>
      <c r="O640" s="851"/>
      <c r="P640" s="851"/>
      <c r="Q640" s="852"/>
      <c r="R640" s="383"/>
      <c r="S640" s="361"/>
      <c r="T640" s="832"/>
      <c r="U640" s="830"/>
      <c r="V640" s="366"/>
      <c r="W640" s="366"/>
    </row>
    <row r="641" spans="1:23">
      <c r="A641" s="1400" t="s">
        <v>939</v>
      </c>
      <c r="B641" s="1400"/>
      <c r="C641" s="827"/>
      <c r="D641" s="871"/>
      <c r="E641" s="1400" t="s">
        <v>177</v>
      </c>
      <c r="F641" s="1400" t="s">
        <v>18</v>
      </c>
      <c r="G641" s="1389" t="s">
        <v>19</v>
      </c>
      <c r="H641" s="1390"/>
      <c r="I641" s="1389" t="s">
        <v>22</v>
      </c>
      <c r="J641" s="1390"/>
      <c r="K641" s="1393" t="s">
        <v>26</v>
      </c>
      <c r="L641" s="1390"/>
      <c r="M641" s="1389" t="s">
        <v>392</v>
      </c>
      <c r="N641" s="1390"/>
      <c r="O641" s="1389" t="s">
        <v>28</v>
      </c>
      <c r="P641" s="1393"/>
      <c r="Q641" s="1390"/>
      <c r="R641" s="1400" t="s">
        <v>36</v>
      </c>
      <c r="S641" s="361"/>
      <c r="T641" s="361">
        <f>MAX(J645:J659)-MIN(I645:I659)</f>
        <v>5.5555555555555566E-2</v>
      </c>
      <c r="U641" s="361"/>
      <c r="V641" s="853" t="str">
        <f t="shared" ref="V641" si="70">B645</f>
        <v>A5</v>
      </c>
      <c r="W641" s="361">
        <f t="shared" ref="W641" si="71">COUNTIF(K646:K660,"&gt;0")</f>
        <v>4</v>
      </c>
    </row>
    <row r="642" spans="1:23">
      <c r="A642" s="1401"/>
      <c r="B642" s="1401"/>
      <c r="C642" s="828"/>
      <c r="D642" s="872"/>
      <c r="E642" s="1401"/>
      <c r="F642" s="1401"/>
      <c r="G642" s="1391"/>
      <c r="H642" s="1392"/>
      <c r="I642" s="1391"/>
      <c r="J642" s="1392"/>
      <c r="K642" s="1394"/>
      <c r="L642" s="1392"/>
      <c r="M642" s="1391"/>
      <c r="N642" s="1392"/>
      <c r="O642" s="1391"/>
      <c r="P642" s="1394"/>
      <c r="Q642" s="1392"/>
      <c r="R642" s="1401"/>
      <c r="S642" s="361"/>
      <c r="T642" s="361"/>
      <c r="U642" s="361"/>
      <c r="V642" s="361"/>
      <c r="W642" s="361"/>
    </row>
    <row r="643" spans="1:23">
      <c r="A643" s="1401"/>
      <c r="B643" s="1401"/>
      <c r="C643" s="828"/>
      <c r="D643" s="872"/>
      <c r="E643" s="1401"/>
      <c r="F643" s="1401"/>
      <c r="G643" s="1400" t="s">
        <v>20</v>
      </c>
      <c r="H643" s="1400" t="s">
        <v>21</v>
      </c>
      <c r="I643" s="1400" t="s">
        <v>361</v>
      </c>
      <c r="J643" s="1400" t="s">
        <v>353</v>
      </c>
      <c r="K643" s="1400" t="s">
        <v>23</v>
      </c>
      <c r="L643" s="1400" t="s">
        <v>24</v>
      </c>
      <c r="M643" s="1400" t="s">
        <v>27</v>
      </c>
      <c r="N643" s="1400" t="s">
        <v>178</v>
      </c>
      <c r="O643" s="1400" t="s">
        <v>1</v>
      </c>
      <c r="P643" s="1400" t="s">
        <v>29</v>
      </c>
      <c r="Q643" s="1400" t="s">
        <v>33</v>
      </c>
      <c r="R643" s="1401"/>
      <c r="S643" s="361"/>
      <c r="T643" s="361" t="s">
        <v>39</v>
      </c>
      <c r="U643" s="362">
        <f>VLOOKUP(B645,'Thong tin'!$A:$M,13,0)</f>
        <v>1200</v>
      </c>
      <c r="V643" s="361"/>
      <c r="W643" s="361"/>
    </row>
    <row r="644" spans="1:23">
      <c r="A644" s="1402"/>
      <c r="B644" s="1402"/>
      <c r="C644" s="829"/>
      <c r="D644" s="873"/>
      <c r="E644" s="1402"/>
      <c r="F644" s="1402"/>
      <c r="G644" s="1402"/>
      <c r="H644" s="1402"/>
      <c r="I644" s="1402"/>
      <c r="J644" s="1402"/>
      <c r="K644" s="1402"/>
      <c r="L644" s="1402"/>
      <c r="M644" s="1402"/>
      <c r="N644" s="1402"/>
      <c r="O644" s="1402"/>
      <c r="P644" s="1402"/>
      <c r="Q644" s="1402"/>
      <c r="R644" s="1402"/>
      <c r="S644" s="361"/>
      <c r="T644" s="1399" t="s">
        <v>393</v>
      </c>
      <c r="U644" s="1397">
        <f>VLOOKUP(B645,DT.NK!$B:$AZ,45,0)</f>
        <v>26.55</v>
      </c>
      <c r="V644" s="361"/>
      <c r="W644" s="361"/>
    </row>
    <row r="645" spans="1:23">
      <c r="A645" s="1409">
        <f>A625+1</f>
        <v>33</v>
      </c>
      <c r="B645" s="1412" t="s">
        <v>509</v>
      </c>
      <c r="C645" s="844" t="s">
        <v>983</v>
      </c>
      <c r="D645" s="874" t="str">
        <f>B645&amp;C645</f>
        <v>A5a</v>
      </c>
      <c r="E645" s="363"/>
      <c r="F645" s="364"/>
      <c r="G645" s="364"/>
      <c r="H645" s="364"/>
      <c r="I645" s="364"/>
      <c r="J645" s="364"/>
      <c r="K645" s="364"/>
      <c r="L645" s="364"/>
      <c r="M645" s="674"/>
      <c r="N645" s="670"/>
      <c r="O645" s="670">
        <f>U644</f>
        <v>26.55</v>
      </c>
      <c r="P645" s="670">
        <f>O645</f>
        <v>26.55</v>
      </c>
      <c r="Q645" s="670">
        <v>0</v>
      </c>
      <c r="R645" s="365"/>
      <c r="S645" s="366"/>
      <c r="T645" s="1399"/>
      <c r="U645" s="1398"/>
      <c r="V645" s="361"/>
      <c r="W645" s="361"/>
    </row>
    <row r="646" spans="1:23">
      <c r="A646" s="1410"/>
      <c r="B646" s="1413"/>
      <c r="C646" s="845" t="s">
        <v>984</v>
      </c>
      <c r="D646" s="875" t="str">
        <f>B645&amp;C646</f>
        <v>A5b</v>
      </c>
      <c r="E646" s="367">
        <v>1</v>
      </c>
      <c r="F646" s="669" t="s">
        <v>1062</v>
      </c>
      <c r="G646" s="369">
        <v>2.0833333333333332E-2</v>
      </c>
      <c r="H646" s="368">
        <v>5.2083333333333336E-2</v>
      </c>
      <c r="I646" s="369">
        <v>0.10416666666666667</v>
      </c>
      <c r="J646" s="368">
        <v>0.1076388888888889</v>
      </c>
      <c r="K646" s="669">
        <v>8</v>
      </c>
      <c r="L646" s="669">
        <v>19</v>
      </c>
      <c r="M646" s="675">
        <v>25.55</v>
      </c>
      <c r="N646" s="671">
        <f>IF(M646-P646&gt;0,M646-P646,0)</f>
        <v>5.25</v>
      </c>
      <c r="O646" s="671">
        <f>O645-K646/(PI()*(U643/2000)^2)</f>
        <v>19.476446973693541</v>
      </c>
      <c r="P646" s="672">
        <v>20.3</v>
      </c>
      <c r="Q646" s="673">
        <f>ABS(O646-P646)</f>
        <v>0.82355302630645966</v>
      </c>
      <c r="R646" s="375" t="s">
        <v>188</v>
      </c>
      <c r="S646" s="366"/>
      <c r="T646" s="376"/>
      <c r="U646" s="376"/>
      <c r="V646" s="366"/>
      <c r="W646" s="366"/>
    </row>
    <row r="647" spans="1:23">
      <c r="A647" s="1410"/>
      <c r="B647" s="1413"/>
      <c r="C647" s="845" t="s">
        <v>985</v>
      </c>
      <c r="D647" s="875" t="str">
        <f>B645&amp;C647</f>
        <v>A5c</v>
      </c>
      <c r="E647" s="367">
        <v>2</v>
      </c>
      <c r="F647" s="669" t="s">
        <v>1057</v>
      </c>
      <c r="G647" s="369">
        <v>2.7777777777777776E-2</v>
      </c>
      <c r="H647" s="368">
        <v>6.25E-2</v>
      </c>
      <c r="I647" s="369">
        <v>0.1111111111111111</v>
      </c>
      <c r="J647" s="368">
        <v>0.11458333333333333</v>
      </c>
      <c r="K647" s="669">
        <v>8</v>
      </c>
      <c r="L647" s="669">
        <v>20</v>
      </c>
      <c r="M647" s="675">
        <v>19.25</v>
      </c>
      <c r="N647" s="671">
        <f>IF(M647-P647&gt;0,M647-P647,0)</f>
        <v>4.4499999999999993</v>
      </c>
      <c r="O647" s="671">
        <f>O646-K647/(PI()*(U643/2000)^2)</f>
        <v>12.402893947387081</v>
      </c>
      <c r="P647" s="672">
        <v>14.8</v>
      </c>
      <c r="Q647" s="673">
        <f>ABS(O647-P647)</f>
        <v>2.3971060526129193</v>
      </c>
      <c r="R647" s="375" t="s">
        <v>188</v>
      </c>
      <c r="S647" s="366"/>
      <c r="T647" s="376"/>
      <c r="U647" s="376"/>
      <c r="V647" s="366"/>
      <c r="W647" s="366"/>
    </row>
    <row r="648" spans="1:23">
      <c r="A648" s="1410"/>
      <c r="B648" s="1413"/>
      <c r="C648" s="845" t="s">
        <v>986</v>
      </c>
      <c r="D648" s="875" t="str">
        <f>B645&amp;C648</f>
        <v>A5d</v>
      </c>
      <c r="E648" s="367">
        <v>3</v>
      </c>
      <c r="F648" s="669" t="s">
        <v>1055</v>
      </c>
      <c r="G648" s="369">
        <v>3.125E-2</v>
      </c>
      <c r="H648" s="368">
        <v>7.2916666666666671E-2</v>
      </c>
      <c r="I648" s="369">
        <v>0.11805555555555557</v>
      </c>
      <c r="J648" s="368">
        <v>0.12291666666666667</v>
      </c>
      <c r="K648" s="669">
        <v>7</v>
      </c>
      <c r="L648" s="669">
        <v>19.5</v>
      </c>
      <c r="M648" s="675">
        <v>16.149999999999999</v>
      </c>
      <c r="N648" s="671">
        <f>IF(M648-P648&gt;0,M648-P648,0)</f>
        <v>7.6499999999999986</v>
      </c>
      <c r="O648" s="671">
        <f>O647-K648/(PI()*(U643/2000)^2)</f>
        <v>6.2135350493689296</v>
      </c>
      <c r="P648" s="672">
        <v>8.5</v>
      </c>
      <c r="Q648" s="673">
        <f>ABS(O648-P648)</f>
        <v>2.2864649506310704</v>
      </c>
      <c r="R648" s="375" t="s">
        <v>188</v>
      </c>
      <c r="S648" s="366"/>
      <c r="T648" s="376"/>
      <c r="U648" s="376"/>
      <c r="V648" s="366"/>
      <c r="W648" s="366"/>
    </row>
    <row r="649" spans="1:23">
      <c r="A649" s="1410"/>
      <c r="B649" s="1413"/>
      <c r="C649" s="845" t="s">
        <v>987</v>
      </c>
      <c r="D649" s="875" t="str">
        <f>B645&amp;C649</f>
        <v>A5e</v>
      </c>
      <c r="E649" s="367">
        <v>4</v>
      </c>
      <c r="F649" s="669" t="s">
        <v>1059</v>
      </c>
      <c r="G649" s="369">
        <v>0.14791666666666667</v>
      </c>
      <c r="H649" s="368">
        <v>0.15277777777777776</v>
      </c>
      <c r="I649" s="369">
        <v>0.15625</v>
      </c>
      <c r="J649" s="368">
        <v>0.15972222222222224</v>
      </c>
      <c r="K649" s="370">
        <v>2</v>
      </c>
      <c r="L649" s="370">
        <v>18</v>
      </c>
      <c r="M649" s="371">
        <v>16.149999999999999</v>
      </c>
      <c r="N649" s="671">
        <f>IF(M649-P649&gt;0,M649-P649,0)</f>
        <v>9.1499999999999986</v>
      </c>
      <c r="O649" s="671">
        <f>O648-K649/(PI()*(U643/2000)^2)</f>
        <v>4.4451467927923147</v>
      </c>
      <c r="P649" s="373">
        <v>7</v>
      </c>
      <c r="Q649" s="673">
        <f>ABS(O649-P649)</f>
        <v>2.5548532072076853</v>
      </c>
      <c r="R649" s="375"/>
      <c r="S649" s="366"/>
      <c r="T649" s="376"/>
      <c r="U649" s="376"/>
      <c r="V649" s="366"/>
      <c r="W649" s="366"/>
    </row>
    <row r="650" spans="1:23">
      <c r="A650" s="1410"/>
      <c r="B650" s="1413"/>
      <c r="C650" s="845" t="s">
        <v>988</v>
      </c>
      <c r="D650" s="875" t="str">
        <f>B645&amp;C650</f>
        <v>A5f</v>
      </c>
      <c r="E650" s="367">
        <v>5</v>
      </c>
      <c r="F650" s="669"/>
      <c r="G650" s="369"/>
      <c r="H650" s="368"/>
      <c r="I650" s="369"/>
      <c r="J650" s="368"/>
      <c r="K650" s="370"/>
      <c r="L650" s="370"/>
      <c r="M650" s="371"/>
      <c r="N650" s="671"/>
      <c r="O650" s="671"/>
      <c r="P650" s="373"/>
      <c r="Q650" s="673"/>
      <c r="R650" s="377"/>
      <c r="S650" s="366" t="s">
        <v>190</v>
      </c>
      <c r="T650" s="376"/>
      <c r="U650" s="376"/>
      <c r="V650" s="366"/>
      <c r="W650" s="366"/>
    </row>
    <row r="651" spans="1:23">
      <c r="A651" s="1410"/>
      <c r="B651" s="1413"/>
      <c r="C651" s="845" t="s">
        <v>989</v>
      </c>
      <c r="D651" s="875" t="str">
        <f>B645&amp;C651</f>
        <v>A5g</v>
      </c>
      <c r="E651" s="367">
        <v>6</v>
      </c>
      <c r="F651" s="669"/>
      <c r="G651" s="369"/>
      <c r="H651" s="368"/>
      <c r="I651" s="369"/>
      <c r="J651" s="368"/>
      <c r="K651" s="370"/>
      <c r="L651" s="370"/>
      <c r="M651" s="371"/>
      <c r="N651" s="671"/>
      <c r="O651" s="671"/>
      <c r="P651" s="373"/>
      <c r="Q651" s="673"/>
      <c r="R651" s="375"/>
      <c r="S651" s="366" t="s">
        <v>190</v>
      </c>
      <c r="T651" s="366"/>
      <c r="U651" s="366"/>
      <c r="V651" s="366"/>
      <c r="W651" s="366"/>
    </row>
    <row r="652" spans="1:23">
      <c r="A652" s="1410"/>
      <c r="B652" s="1413"/>
      <c r="C652" s="845" t="s">
        <v>990</v>
      </c>
      <c r="D652" s="875" t="str">
        <f>B645&amp;C652</f>
        <v>A5h</v>
      </c>
      <c r="E652" s="367">
        <v>7</v>
      </c>
      <c r="F652" s="669"/>
      <c r="G652" s="368"/>
      <c r="H652" s="368"/>
      <c r="I652" s="368"/>
      <c r="J652" s="368"/>
      <c r="K652" s="370"/>
      <c r="L652" s="370"/>
      <c r="M652" s="371"/>
      <c r="N652" s="671"/>
      <c r="O652" s="671"/>
      <c r="P652" s="373"/>
      <c r="Q652" s="673"/>
      <c r="R652" s="377"/>
      <c r="S652" s="366" t="s">
        <v>190</v>
      </c>
      <c r="T652" s="366"/>
      <c r="U652" s="366"/>
      <c r="V652" s="366"/>
      <c r="W652" s="366"/>
    </row>
    <row r="653" spans="1:23">
      <c r="A653" s="1410"/>
      <c r="B653" s="1413"/>
      <c r="C653" s="845" t="s">
        <v>991</v>
      </c>
      <c r="D653" s="875" t="str">
        <f>B645&amp;C653</f>
        <v>A5i</v>
      </c>
      <c r="E653" s="367">
        <v>8</v>
      </c>
      <c r="F653" s="669"/>
      <c r="G653" s="368"/>
      <c r="H653" s="368"/>
      <c r="I653" s="368"/>
      <c r="J653" s="368"/>
      <c r="K653" s="370"/>
      <c r="L653" s="370"/>
      <c r="M653" s="371"/>
      <c r="N653" s="671"/>
      <c r="O653" s="671"/>
      <c r="P653" s="373"/>
      <c r="Q653" s="673"/>
      <c r="R653" s="378"/>
      <c r="S653" s="366"/>
      <c r="T653" s="366"/>
      <c r="U653" s="366"/>
      <c r="V653" s="366"/>
      <c r="W653" s="366"/>
    </row>
    <row r="654" spans="1:23">
      <c r="A654" s="1410"/>
      <c r="B654" s="1413"/>
      <c r="C654" s="845" t="s">
        <v>992</v>
      </c>
      <c r="D654" s="875" t="str">
        <f>B645&amp;C654</f>
        <v>A5k</v>
      </c>
      <c r="E654" s="367">
        <v>9</v>
      </c>
      <c r="F654" s="370"/>
      <c r="G654" s="368"/>
      <c r="H654" s="368"/>
      <c r="I654" s="368"/>
      <c r="J654" s="368"/>
      <c r="K654" s="370"/>
      <c r="L654" s="370"/>
      <c r="M654" s="371"/>
      <c r="N654" s="372"/>
      <c r="O654" s="372"/>
      <c r="P654" s="373"/>
      <c r="Q654" s="374"/>
      <c r="R654" s="378"/>
      <c r="S654" s="379"/>
      <c r="T654" s="366"/>
      <c r="U654" s="366"/>
      <c r="V654" s="366"/>
      <c r="W654" s="366"/>
    </row>
    <row r="655" spans="1:23">
      <c r="A655" s="1410"/>
      <c r="B655" s="1413"/>
      <c r="C655" s="845" t="s">
        <v>993</v>
      </c>
      <c r="D655" s="875" t="str">
        <f>B645&amp;C655</f>
        <v>A5l</v>
      </c>
      <c r="E655" s="367">
        <v>10</v>
      </c>
      <c r="F655" s="370"/>
      <c r="G655" s="368"/>
      <c r="H655" s="368"/>
      <c r="I655" s="368"/>
      <c r="J655" s="368"/>
      <c r="K655" s="370"/>
      <c r="L655" s="370"/>
      <c r="M655" s="370"/>
      <c r="N655" s="372"/>
      <c r="O655" s="372"/>
      <c r="P655" s="373"/>
      <c r="Q655" s="374"/>
      <c r="R655" s="378"/>
      <c r="S655" s="379"/>
      <c r="T655" s="366"/>
      <c r="U655" s="366"/>
      <c r="V655" s="366"/>
      <c r="W655" s="366"/>
    </row>
    <row r="656" spans="1:23">
      <c r="A656" s="1410"/>
      <c r="B656" s="1413"/>
      <c r="C656" s="845" t="s">
        <v>994</v>
      </c>
      <c r="D656" s="875" t="str">
        <f>B645&amp;C656</f>
        <v>A5m</v>
      </c>
      <c r="E656" s="367">
        <v>11</v>
      </c>
      <c r="F656" s="370"/>
      <c r="G656" s="368"/>
      <c r="H656" s="368"/>
      <c r="I656" s="368"/>
      <c r="J656" s="368"/>
      <c r="K656" s="370"/>
      <c r="L656" s="370"/>
      <c r="M656" s="370"/>
      <c r="N656" s="372"/>
      <c r="O656" s="372"/>
      <c r="P656" s="380"/>
      <c r="Q656" s="374"/>
      <c r="R656" s="381"/>
      <c r="S656" s="379"/>
      <c r="T656" s="366"/>
      <c r="U656" s="366"/>
      <c r="V656" s="366"/>
      <c r="W656" s="366"/>
    </row>
    <row r="657" spans="1:23">
      <c r="A657" s="1410"/>
      <c r="B657" s="1413"/>
      <c r="C657" s="845" t="s">
        <v>995</v>
      </c>
      <c r="D657" s="875" t="str">
        <f>B645&amp;C657</f>
        <v>A5n</v>
      </c>
      <c r="E657" s="367">
        <v>12</v>
      </c>
      <c r="F657" s="370"/>
      <c r="G657" s="368"/>
      <c r="H657" s="368"/>
      <c r="I657" s="368"/>
      <c r="J657" s="368"/>
      <c r="K657" s="370"/>
      <c r="L657" s="370"/>
      <c r="M657" s="370"/>
      <c r="N657" s="372"/>
      <c r="O657" s="372"/>
      <c r="P657" s="380"/>
      <c r="Q657" s="374"/>
      <c r="R657" s="381"/>
      <c r="S657" s="361"/>
      <c r="T657" s="361"/>
      <c r="U657" s="361"/>
      <c r="V657" s="366"/>
      <c r="W657" s="366"/>
    </row>
    <row r="658" spans="1:23">
      <c r="A658" s="1410"/>
      <c r="B658" s="1413"/>
      <c r="C658" s="845" t="s">
        <v>471</v>
      </c>
      <c r="D658" s="875" t="str">
        <f>B645&amp;C658</f>
        <v>A5x</v>
      </c>
      <c r="E658" s="367">
        <v>13</v>
      </c>
      <c r="F658" s="370"/>
      <c r="G658" s="368"/>
      <c r="H658" s="368"/>
      <c r="I658" s="368"/>
      <c r="J658" s="368"/>
      <c r="K658" s="370"/>
      <c r="L658" s="370"/>
      <c r="M658" s="370"/>
      <c r="N658" s="382"/>
      <c r="O658" s="372"/>
      <c r="P658" s="380"/>
      <c r="Q658" s="381"/>
      <c r="R658" s="381"/>
      <c r="S658" s="361"/>
      <c r="T658" s="361"/>
      <c r="U658" s="361"/>
      <c r="V658" s="366"/>
      <c r="W658" s="366"/>
    </row>
    <row r="659" spans="1:23">
      <c r="A659" s="1410"/>
      <c r="B659" s="1413"/>
      <c r="C659" s="845" t="s">
        <v>732</v>
      </c>
      <c r="D659" s="875" t="str">
        <f>B645&amp;C659</f>
        <v>A5y</v>
      </c>
      <c r="E659" s="367">
        <v>14</v>
      </c>
      <c r="F659" s="370"/>
      <c r="G659" s="368"/>
      <c r="H659" s="368"/>
      <c r="I659" s="368"/>
      <c r="J659" s="368"/>
      <c r="K659" s="370"/>
      <c r="L659" s="370"/>
      <c r="M659" s="370"/>
      <c r="N659" s="382"/>
      <c r="O659" s="372"/>
      <c r="P659" s="380"/>
      <c r="Q659" s="381"/>
      <c r="R659" s="381"/>
      <c r="S659" s="361"/>
      <c r="T659" s="361"/>
      <c r="U659" s="362"/>
      <c r="V659" s="366"/>
      <c r="W659" s="366"/>
    </row>
    <row r="660" spans="1:23">
      <c r="A660" s="1411"/>
      <c r="B660" s="1414"/>
      <c r="C660" s="846" t="s">
        <v>996</v>
      </c>
      <c r="D660" s="876" t="str">
        <f>B645&amp;C660</f>
        <v>A5z</v>
      </c>
      <c r="E660" s="847">
        <v>15</v>
      </c>
      <c r="F660" s="370"/>
      <c r="G660" s="368"/>
      <c r="H660" s="368"/>
      <c r="I660" s="368"/>
      <c r="J660" s="368"/>
      <c r="K660" s="370"/>
      <c r="L660" s="370"/>
      <c r="M660" s="370"/>
      <c r="N660" s="850"/>
      <c r="O660" s="851"/>
      <c r="P660" s="851"/>
      <c r="Q660" s="852"/>
      <c r="R660" s="383"/>
      <c r="S660" s="361"/>
      <c r="T660" s="832"/>
      <c r="U660" s="830"/>
      <c r="V660" s="366"/>
      <c r="W660" s="366"/>
    </row>
    <row r="661" spans="1:23">
      <c r="A661" s="1400" t="s">
        <v>939</v>
      </c>
      <c r="B661" s="1400"/>
      <c r="C661" s="827"/>
      <c r="D661" s="871"/>
      <c r="E661" s="1400" t="s">
        <v>177</v>
      </c>
      <c r="F661" s="1400" t="s">
        <v>18</v>
      </c>
      <c r="G661" s="1389" t="s">
        <v>19</v>
      </c>
      <c r="H661" s="1390"/>
      <c r="I661" s="1389" t="s">
        <v>22</v>
      </c>
      <c r="J661" s="1390"/>
      <c r="K661" s="1393" t="s">
        <v>26</v>
      </c>
      <c r="L661" s="1390"/>
      <c r="M661" s="1389" t="s">
        <v>392</v>
      </c>
      <c r="N661" s="1390"/>
      <c r="O661" s="1389" t="s">
        <v>28</v>
      </c>
      <c r="P661" s="1393"/>
      <c r="Q661" s="1390"/>
      <c r="R661" s="1400" t="s">
        <v>36</v>
      </c>
      <c r="S661" s="361"/>
      <c r="T661" s="361">
        <f>MAX(J665:J679)-MIN(I665:I679)</f>
        <v>3.125E-2</v>
      </c>
      <c r="U661" s="361"/>
      <c r="V661" s="853" t="str">
        <f t="shared" ref="V661" si="72">B665</f>
        <v>B29</v>
      </c>
      <c r="W661" s="361">
        <f t="shared" ref="W661" si="73">COUNTIF(K666:K680,"&gt;0")</f>
        <v>2</v>
      </c>
    </row>
    <row r="662" spans="1:23">
      <c r="A662" s="1401"/>
      <c r="B662" s="1401"/>
      <c r="C662" s="828"/>
      <c r="D662" s="872"/>
      <c r="E662" s="1401"/>
      <c r="F662" s="1401"/>
      <c r="G662" s="1391"/>
      <c r="H662" s="1392"/>
      <c r="I662" s="1391"/>
      <c r="J662" s="1392"/>
      <c r="K662" s="1394"/>
      <c r="L662" s="1392"/>
      <c r="M662" s="1391"/>
      <c r="N662" s="1392"/>
      <c r="O662" s="1391"/>
      <c r="P662" s="1394"/>
      <c r="Q662" s="1392"/>
      <c r="R662" s="1401"/>
      <c r="S662" s="361"/>
      <c r="T662" s="361"/>
      <c r="U662" s="361"/>
      <c r="V662" s="361"/>
      <c r="W662" s="361"/>
    </row>
    <row r="663" spans="1:23">
      <c r="A663" s="1401"/>
      <c r="B663" s="1401"/>
      <c r="C663" s="828"/>
      <c r="D663" s="872"/>
      <c r="E663" s="1401"/>
      <c r="F663" s="1401"/>
      <c r="G663" s="1400" t="s">
        <v>20</v>
      </c>
      <c r="H663" s="1400" t="s">
        <v>21</v>
      </c>
      <c r="I663" s="1400" t="s">
        <v>361</v>
      </c>
      <c r="J663" s="1400" t="s">
        <v>353</v>
      </c>
      <c r="K663" s="1400" t="s">
        <v>23</v>
      </c>
      <c r="L663" s="1400" t="s">
        <v>24</v>
      </c>
      <c r="M663" s="1400" t="s">
        <v>27</v>
      </c>
      <c r="N663" s="1400" t="s">
        <v>178</v>
      </c>
      <c r="O663" s="1400" t="s">
        <v>1</v>
      </c>
      <c r="P663" s="1400" t="s">
        <v>29</v>
      </c>
      <c r="Q663" s="1400" t="s">
        <v>33</v>
      </c>
      <c r="R663" s="1401"/>
      <c r="S663" s="361"/>
      <c r="T663" s="361" t="s">
        <v>39</v>
      </c>
      <c r="U663" s="362">
        <f>VLOOKUP(B665,'Thong tin'!$A:$M,13,0)</f>
        <v>800</v>
      </c>
      <c r="V663" s="361"/>
      <c r="W663" s="361"/>
    </row>
    <row r="664" spans="1:23">
      <c r="A664" s="1402"/>
      <c r="B664" s="1402"/>
      <c r="C664" s="829"/>
      <c r="D664" s="873"/>
      <c r="E664" s="1402"/>
      <c r="F664" s="1402"/>
      <c r="G664" s="1402"/>
      <c r="H664" s="1402"/>
      <c r="I664" s="1402"/>
      <c r="J664" s="1402"/>
      <c r="K664" s="1402"/>
      <c r="L664" s="1402"/>
      <c r="M664" s="1402"/>
      <c r="N664" s="1402"/>
      <c r="O664" s="1402"/>
      <c r="P664" s="1402"/>
      <c r="Q664" s="1402"/>
      <c r="R664" s="1402"/>
      <c r="S664" s="361"/>
      <c r="T664" s="1399" t="s">
        <v>393</v>
      </c>
      <c r="U664" s="1397">
        <f>VLOOKUP(B665,DT.NK!$B:$AZ,45,0)</f>
        <v>26.75</v>
      </c>
      <c r="V664" s="361"/>
      <c r="W664" s="361"/>
    </row>
    <row r="665" spans="1:23">
      <c r="A665" s="1409">
        <f>A645+1</f>
        <v>34</v>
      </c>
      <c r="B665" s="1412" t="s">
        <v>552</v>
      </c>
      <c r="C665" s="844" t="s">
        <v>983</v>
      </c>
      <c r="D665" s="874" t="str">
        <f>B665&amp;C665</f>
        <v>B29a</v>
      </c>
      <c r="E665" s="363"/>
      <c r="F665" s="364"/>
      <c r="G665" s="364"/>
      <c r="H665" s="364"/>
      <c r="I665" s="364"/>
      <c r="J665" s="364"/>
      <c r="K665" s="364"/>
      <c r="L665" s="364"/>
      <c r="M665" s="674"/>
      <c r="N665" s="670"/>
      <c r="O665" s="670">
        <f>U664</f>
        <v>26.75</v>
      </c>
      <c r="P665" s="670">
        <f>O665</f>
        <v>26.75</v>
      </c>
      <c r="Q665" s="670">
        <v>0</v>
      </c>
      <c r="R665" s="365"/>
      <c r="S665" s="366"/>
      <c r="T665" s="1399"/>
      <c r="U665" s="1398"/>
      <c r="V665" s="361"/>
      <c r="W665" s="361"/>
    </row>
    <row r="666" spans="1:23">
      <c r="A666" s="1410"/>
      <c r="B666" s="1413"/>
      <c r="C666" s="845" t="s">
        <v>984</v>
      </c>
      <c r="D666" s="875" t="str">
        <f>B665&amp;C666</f>
        <v>B29b</v>
      </c>
      <c r="E666" s="367">
        <v>1</v>
      </c>
      <c r="F666" s="669" t="s">
        <v>1057</v>
      </c>
      <c r="G666" s="369">
        <v>0.75</v>
      </c>
      <c r="H666" s="368">
        <v>0.77083333333333337</v>
      </c>
      <c r="I666" s="369">
        <v>0.78125</v>
      </c>
      <c r="J666" s="368">
        <v>0.78472222222222221</v>
      </c>
      <c r="K666" s="669">
        <v>6</v>
      </c>
      <c r="L666" s="669">
        <v>19</v>
      </c>
      <c r="M666" s="675">
        <v>20.2</v>
      </c>
      <c r="N666" s="671">
        <f>IF(M666-P666&gt;0,M666-P666,0)</f>
        <v>4.3999999999999986</v>
      </c>
      <c r="O666" s="671">
        <f>O665-K666/(PI()*(U663/2000)^2)</f>
        <v>14.81337926810785</v>
      </c>
      <c r="P666" s="672">
        <v>15.8</v>
      </c>
      <c r="Q666" s="673">
        <f>ABS(O666-P666)</f>
        <v>0.98662073189215072</v>
      </c>
      <c r="R666" s="375" t="s">
        <v>188</v>
      </c>
      <c r="S666" s="366"/>
      <c r="T666" s="376"/>
      <c r="U666" s="376"/>
      <c r="V666" s="366"/>
      <c r="W666" s="366"/>
    </row>
    <row r="667" spans="1:23">
      <c r="A667" s="1410"/>
      <c r="B667" s="1413"/>
      <c r="C667" s="845" t="s">
        <v>985</v>
      </c>
      <c r="D667" s="875" t="str">
        <f>B665&amp;C667</f>
        <v>B29c</v>
      </c>
      <c r="E667" s="367">
        <v>2</v>
      </c>
      <c r="F667" s="669" t="s">
        <v>1060</v>
      </c>
      <c r="G667" s="369">
        <v>0.79861111111111116</v>
      </c>
      <c r="H667" s="368">
        <v>0.80555555555555547</v>
      </c>
      <c r="I667" s="369">
        <v>0.80902777777777779</v>
      </c>
      <c r="J667" s="368">
        <v>0.8125</v>
      </c>
      <c r="K667" s="669">
        <v>5.5</v>
      </c>
      <c r="L667" s="669">
        <v>19</v>
      </c>
      <c r="M667" s="675">
        <v>13.9</v>
      </c>
      <c r="N667" s="671">
        <f>IF(M667-P667&gt;0,M667-P667,0)</f>
        <v>8.6000000000000014</v>
      </c>
      <c r="O667" s="671">
        <f>O666-K667/(PI()*(U663/2000)^2)</f>
        <v>3.8714769305400463</v>
      </c>
      <c r="P667" s="672">
        <v>5.3</v>
      </c>
      <c r="Q667" s="673">
        <f>ABS(O667-P667)</f>
        <v>1.4285230694599536</v>
      </c>
      <c r="R667" s="375" t="s">
        <v>188</v>
      </c>
      <c r="S667" s="366"/>
      <c r="T667" s="376"/>
      <c r="U667" s="376"/>
      <c r="V667" s="366"/>
      <c r="W667" s="366"/>
    </row>
    <row r="668" spans="1:23">
      <c r="A668" s="1410"/>
      <c r="B668" s="1413"/>
      <c r="C668" s="845" t="s">
        <v>986</v>
      </c>
      <c r="D668" s="875" t="str">
        <f>B665&amp;C668</f>
        <v>B29d</v>
      </c>
      <c r="E668" s="367">
        <v>3</v>
      </c>
      <c r="F668" s="669"/>
      <c r="G668" s="369"/>
      <c r="H668" s="368"/>
      <c r="I668" s="369"/>
      <c r="J668" s="368"/>
      <c r="K668" s="669"/>
      <c r="L668" s="669"/>
      <c r="M668" s="675"/>
      <c r="N668" s="671"/>
      <c r="O668" s="671"/>
      <c r="P668" s="672"/>
      <c r="Q668" s="673"/>
      <c r="R668" s="375"/>
      <c r="S668" s="366"/>
      <c r="T668" s="376"/>
      <c r="U668" s="376"/>
      <c r="V668" s="366"/>
      <c r="W668" s="366"/>
    </row>
    <row r="669" spans="1:23">
      <c r="A669" s="1410"/>
      <c r="B669" s="1413"/>
      <c r="C669" s="845" t="s">
        <v>987</v>
      </c>
      <c r="D669" s="875" t="str">
        <f>B665&amp;C669</f>
        <v>B29e</v>
      </c>
      <c r="E669" s="367">
        <v>4</v>
      </c>
      <c r="F669" s="669"/>
      <c r="G669" s="369"/>
      <c r="H669" s="368"/>
      <c r="I669" s="369"/>
      <c r="J669" s="368"/>
      <c r="K669" s="370"/>
      <c r="L669" s="370"/>
      <c r="M669" s="371"/>
      <c r="N669" s="671"/>
      <c r="O669" s="671"/>
      <c r="P669" s="373"/>
      <c r="Q669" s="673"/>
      <c r="R669" s="375"/>
      <c r="S669" s="366"/>
      <c r="T669" s="376"/>
      <c r="U669" s="376"/>
      <c r="V669" s="366"/>
      <c r="W669" s="366"/>
    </row>
    <row r="670" spans="1:23">
      <c r="A670" s="1410"/>
      <c r="B670" s="1413"/>
      <c r="C670" s="845" t="s">
        <v>988</v>
      </c>
      <c r="D670" s="875" t="str">
        <f>B665&amp;C670</f>
        <v>B29f</v>
      </c>
      <c r="E670" s="367">
        <v>5</v>
      </c>
      <c r="F670" s="669"/>
      <c r="G670" s="369"/>
      <c r="H670" s="368"/>
      <c r="I670" s="369"/>
      <c r="J670" s="368"/>
      <c r="K670" s="370"/>
      <c r="L670" s="370"/>
      <c r="M670" s="371"/>
      <c r="N670" s="671"/>
      <c r="O670" s="671"/>
      <c r="P670" s="373"/>
      <c r="Q670" s="673"/>
      <c r="R670" s="377"/>
      <c r="S670" s="366" t="s">
        <v>190</v>
      </c>
      <c r="T670" s="376"/>
      <c r="U670" s="376"/>
      <c r="V670" s="366"/>
      <c r="W670" s="366"/>
    </row>
    <row r="671" spans="1:23">
      <c r="A671" s="1410"/>
      <c r="B671" s="1413"/>
      <c r="C671" s="845" t="s">
        <v>989</v>
      </c>
      <c r="D671" s="875" t="str">
        <f>B665&amp;C671</f>
        <v>B29g</v>
      </c>
      <c r="E671" s="367">
        <v>6</v>
      </c>
      <c r="F671" s="669"/>
      <c r="G671" s="369"/>
      <c r="H671" s="368"/>
      <c r="I671" s="369"/>
      <c r="J671" s="368"/>
      <c r="K671" s="370"/>
      <c r="L671" s="370"/>
      <c r="M671" s="371"/>
      <c r="N671" s="671"/>
      <c r="O671" s="671"/>
      <c r="P671" s="373"/>
      <c r="Q671" s="673"/>
      <c r="R671" s="375"/>
      <c r="S671" s="366" t="s">
        <v>190</v>
      </c>
      <c r="T671" s="366"/>
      <c r="U671" s="366"/>
      <c r="V671" s="366"/>
      <c r="W671" s="366"/>
    </row>
    <row r="672" spans="1:23">
      <c r="A672" s="1410"/>
      <c r="B672" s="1413"/>
      <c r="C672" s="845" t="s">
        <v>990</v>
      </c>
      <c r="D672" s="875" t="str">
        <f>B665&amp;C672</f>
        <v>B29h</v>
      </c>
      <c r="E672" s="367">
        <v>7</v>
      </c>
      <c r="F672" s="669"/>
      <c r="G672" s="368"/>
      <c r="H672" s="368"/>
      <c r="I672" s="368"/>
      <c r="J672" s="368"/>
      <c r="K672" s="370"/>
      <c r="L672" s="370"/>
      <c r="M672" s="371"/>
      <c r="N672" s="671"/>
      <c r="O672" s="671"/>
      <c r="P672" s="373"/>
      <c r="Q672" s="673"/>
      <c r="R672" s="377"/>
      <c r="S672" s="366" t="s">
        <v>190</v>
      </c>
      <c r="T672" s="366"/>
      <c r="U672" s="366"/>
      <c r="V672" s="366"/>
      <c r="W672" s="366"/>
    </row>
    <row r="673" spans="1:23">
      <c r="A673" s="1410"/>
      <c r="B673" s="1413"/>
      <c r="C673" s="845" t="s">
        <v>991</v>
      </c>
      <c r="D673" s="875" t="str">
        <f>B665&amp;C673</f>
        <v>B29i</v>
      </c>
      <c r="E673" s="367">
        <v>8</v>
      </c>
      <c r="F673" s="669"/>
      <c r="G673" s="368"/>
      <c r="H673" s="368"/>
      <c r="I673" s="368"/>
      <c r="J673" s="368"/>
      <c r="K673" s="370"/>
      <c r="L673" s="370"/>
      <c r="M673" s="371"/>
      <c r="N673" s="671"/>
      <c r="O673" s="671"/>
      <c r="P673" s="373"/>
      <c r="Q673" s="673"/>
      <c r="R673" s="378"/>
      <c r="S673" s="366"/>
      <c r="T673" s="366"/>
      <c r="U673" s="366"/>
      <c r="V673" s="366"/>
      <c r="W673" s="366"/>
    </row>
    <row r="674" spans="1:23">
      <c r="A674" s="1410"/>
      <c r="B674" s="1413"/>
      <c r="C674" s="845" t="s">
        <v>992</v>
      </c>
      <c r="D674" s="875" t="str">
        <f>B665&amp;C674</f>
        <v>B29k</v>
      </c>
      <c r="E674" s="367">
        <v>9</v>
      </c>
      <c r="F674" s="370"/>
      <c r="G674" s="368"/>
      <c r="H674" s="368"/>
      <c r="I674" s="368"/>
      <c r="J674" s="368"/>
      <c r="K674" s="370"/>
      <c r="L674" s="370"/>
      <c r="M674" s="371"/>
      <c r="N674" s="372"/>
      <c r="O674" s="372"/>
      <c r="P674" s="373"/>
      <c r="Q674" s="374"/>
      <c r="R674" s="378"/>
      <c r="S674" s="379"/>
      <c r="T674" s="366"/>
      <c r="U674" s="366"/>
      <c r="V674" s="366"/>
      <c r="W674" s="366"/>
    </row>
    <row r="675" spans="1:23">
      <c r="A675" s="1410"/>
      <c r="B675" s="1413"/>
      <c r="C675" s="845" t="s">
        <v>993</v>
      </c>
      <c r="D675" s="875" t="str">
        <f>B665&amp;C675</f>
        <v>B29l</v>
      </c>
      <c r="E675" s="367">
        <v>10</v>
      </c>
      <c r="F675" s="370"/>
      <c r="G675" s="368"/>
      <c r="H675" s="368"/>
      <c r="I675" s="368"/>
      <c r="J675" s="368"/>
      <c r="K675" s="370"/>
      <c r="L675" s="370"/>
      <c r="M675" s="370"/>
      <c r="N675" s="372"/>
      <c r="O675" s="372"/>
      <c r="P675" s="373"/>
      <c r="Q675" s="374"/>
      <c r="R675" s="378"/>
      <c r="S675" s="379"/>
      <c r="T675" s="366"/>
      <c r="U675" s="366"/>
      <c r="V675" s="366"/>
      <c r="W675" s="366"/>
    </row>
    <row r="676" spans="1:23">
      <c r="A676" s="1410"/>
      <c r="B676" s="1413"/>
      <c r="C676" s="845" t="s">
        <v>994</v>
      </c>
      <c r="D676" s="875" t="str">
        <f>B665&amp;C676</f>
        <v>B29m</v>
      </c>
      <c r="E676" s="367">
        <v>11</v>
      </c>
      <c r="F676" s="370"/>
      <c r="G676" s="368"/>
      <c r="H676" s="368"/>
      <c r="I676" s="368"/>
      <c r="J676" s="368"/>
      <c r="K676" s="370"/>
      <c r="L676" s="370"/>
      <c r="M676" s="370"/>
      <c r="N676" s="372"/>
      <c r="O676" s="372"/>
      <c r="P676" s="380"/>
      <c r="Q676" s="374"/>
      <c r="R676" s="381"/>
      <c r="S676" s="379"/>
      <c r="T676" s="366"/>
      <c r="U676" s="366"/>
      <c r="V676" s="366"/>
      <c r="W676" s="366"/>
    </row>
    <row r="677" spans="1:23">
      <c r="A677" s="1410"/>
      <c r="B677" s="1413"/>
      <c r="C677" s="845" t="s">
        <v>995</v>
      </c>
      <c r="D677" s="875" t="str">
        <f>B665&amp;C677</f>
        <v>B29n</v>
      </c>
      <c r="E677" s="367">
        <v>12</v>
      </c>
      <c r="F677" s="370"/>
      <c r="G677" s="368"/>
      <c r="H677" s="368"/>
      <c r="I677" s="368"/>
      <c r="J677" s="368"/>
      <c r="K677" s="370"/>
      <c r="L677" s="370"/>
      <c r="M677" s="370"/>
      <c r="N677" s="372"/>
      <c r="O677" s="372"/>
      <c r="P677" s="380"/>
      <c r="Q677" s="374"/>
      <c r="R677" s="381"/>
      <c r="S677" s="361"/>
      <c r="T677" s="361"/>
      <c r="U677" s="361"/>
      <c r="V677" s="366"/>
      <c r="W677" s="366"/>
    </row>
    <row r="678" spans="1:23">
      <c r="A678" s="1410"/>
      <c r="B678" s="1413"/>
      <c r="C678" s="845" t="s">
        <v>471</v>
      </c>
      <c r="D678" s="875" t="str">
        <f>B665&amp;C678</f>
        <v>B29x</v>
      </c>
      <c r="E678" s="367">
        <v>13</v>
      </c>
      <c r="F678" s="370"/>
      <c r="G678" s="368"/>
      <c r="H678" s="368"/>
      <c r="I678" s="368"/>
      <c r="J678" s="368"/>
      <c r="K678" s="370"/>
      <c r="L678" s="370"/>
      <c r="M678" s="370"/>
      <c r="N678" s="382"/>
      <c r="O678" s="372"/>
      <c r="P678" s="380"/>
      <c r="Q678" s="381"/>
      <c r="R678" s="381"/>
      <c r="S678" s="361"/>
      <c r="T678" s="361"/>
      <c r="U678" s="361"/>
      <c r="V678" s="366"/>
      <c r="W678" s="366"/>
    </row>
    <row r="679" spans="1:23">
      <c r="A679" s="1410"/>
      <c r="B679" s="1413"/>
      <c r="C679" s="845" t="s">
        <v>732</v>
      </c>
      <c r="D679" s="875" t="str">
        <f>B665&amp;C679</f>
        <v>B29y</v>
      </c>
      <c r="E679" s="367">
        <v>14</v>
      </c>
      <c r="F679" s="370"/>
      <c r="G679" s="368"/>
      <c r="H679" s="368"/>
      <c r="I679" s="368"/>
      <c r="J679" s="368"/>
      <c r="K679" s="370"/>
      <c r="L679" s="370"/>
      <c r="M679" s="370"/>
      <c r="N679" s="382"/>
      <c r="O679" s="372"/>
      <c r="P679" s="380"/>
      <c r="Q679" s="381"/>
      <c r="R679" s="381"/>
      <c r="S679" s="361"/>
      <c r="T679" s="361"/>
      <c r="U679" s="362"/>
      <c r="V679" s="366"/>
      <c r="W679" s="366"/>
    </row>
    <row r="680" spans="1:23">
      <c r="A680" s="1411"/>
      <c r="B680" s="1414"/>
      <c r="C680" s="846" t="s">
        <v>996</v>
      </c>
      <c r="D680" s="876" t="str">
        <f>B665&amp;C680</f>
        <v>B29z</v>
      </c>
      <c r="E680" s="847">
        <v>15</v>
      </c>
      <c r="F680" s="370"/>
      <c r="G680" s="368"/>
      <c r="H680" s="368"/>
      <c r="I680" s="368"/>
      <c r="J680" s="368"/>
      <c r="K680" s="370"/>
      <c r="L680" s="370"/>
      <c r="M680" s="370"/>
      <c r="N680" s="850"/>
      <c r="O680" s="851"/>
      <c r="P680" s="851"/>
      <c r="Q680" s="852"/>
      <c r="R680" s="383"/>
      <c r="S680" s="361"/>
      <c r="T680" s="832"/>
      <c r="U680" s="830"/>
      <c r="V680" s="366"/>
      <c r="W680" s="366"/>
    </row>
    <row r="681" spans="1:23">
      <c r="A681" s="1400" t="s">
        <v>939</v>
      </c>
      <c r="B681" s="1400"/>
      <c r="C681" s="827"/>
      <c r="D681" s="871"/>
      <c r="E681" s="1400" t="s">
        <v>177</v>
      </c>
      <c r="F681" s="1400" t="s">
        <v>18</v>
      </c>
      <c r="G681" s="1389" t="s">
        <v>19</v>
      </c>
      <c r="H681" s="1390"/>
      <c r="I681" s="1389" t="s">
        <v>22</v>
      </c>
      <c r="J681" s="1390"/>
      <c r="K681" s="1393" t="s">
        <v>26</v>
      </c>
      <c r="L681" s="1390"/>
      <c r="M681" s="1389" t="s">
        <v>392</v>
      </c>
      <c r="N681" s="1390"/>
      <c r="O681" s="1389" t="s">
        <v>28</v>
      </c>
      <c r="P681" s="1393"/>
      <c r="Q681" s="1390"/>
      <c r="R681" s="1400" t="s">
        <v>36</v>
      </c>
      <c r="S681" s="361"/>
      <c r="T681" s="361">
        <f>MAX(J685:J699)-MIN(I685:I699)</f>
        <v>0.98611111111111116</v>
      </c>
      <c r="U681" s="361"/>
      <c r="V681" s="853" t="str">
        <f t="shared" ref="V681" si="74">B685</f>
        <v>A156</v>
      </c>
      <c r="W681" s="361">
        <f t="shared" ref="W681" si="75">COUNTIF(K686:K700,"&gt;0")</f>
        <v>4</v>
      </c>
    </row>
    <row r="682" spans="1:23">
      <c r="A682" s="1401"/>
      <c r="B682" s="1401"/>
      <c r="C682" s="828"/>
      <c r="D682" s="872"/>
      <c r="E682" s="1401"/>
      <c r="F682" s="1401"/>
      <c r="G682" s="1391"/>
      <c r="H682" s="1392"/>
      <c r="I682" s="1391"/>
      <c r="J682" s="1392"/>
      <c r="K682" s="1394"/>
      <c r="L682" s="1392"/>
      <c r="M682" s="1391"/>
      <c r="N682" s="1392"/>
      <c r="O682" s="1391"/>
      <c r="P682" s="1394"/>
      <c r="Q682" s="1392"/>
      <c r="R682" s="1401"/>
      <c r="S682" s="361"/>
      <c r="T682" s="361"/>
      <c r="U682" s="361"/>
      <c r="V682" s="361"/>
      <c r="W682" s="361"/>
    </row>
    <row r="683" spans="1:23">
      <c r="A683" s="1401"/>
      <c r="B683" s="1401"/>
      <c r="C683" s="828"/>
      <c r="D683" s="872"/>
      <c r="E683" s="1401"/>
      <c r="F683" s="1401"/>
      <c r="G683" s="1400" t="s">
        <v>20</v>
      </c>
      <c r="H683" s="1400" t="s">
        <v>21</v>
      </c>
      <c r="I683" s="1400" t="s">
        <v>361</v>
      </c>
      <c r="J683" s="1400" t="s">
        <v>353</v>
      </c>
      <c r="K683" s="1400" t="s">
        <v>23</v>
      </c>
      <c r="L683" s="1400" t="s">
        <v>24</v>
      </c>
      <c r="M683" s="1400" t="s">
        <v>27</v>
      </c>
      <c r="N683" s="1400" t="s">
        <v>178</v>
      </c>
      <c r="O683" s="1400" t="s">
        <v>1</v>
      </c>
      <c r="P683" s="1400" t="s">
        <v>29</v>
      </c>
      <c r="Q683" s="1400" t="s">
        <v>33</v>
      </c>
      <c r="R683" s="1401"/>
      <c r="S683" s="361"/>
      <c r="T683" s="361" t="s">
        <v>39</v>
      </c>
      <c r="U683" s="362">
        <f>VLOOKUP(B685,'Thong tin'!$A:$M,13,0)</f>
        <v>1200</v>
      </c>
      <c r="V683" s="361"/>
      <c r="W683" s="361"/>
    </row>
    <row r="684" spans="1:23">
      <c r="A684" s="1402"/>
      <c r="B684" s="1402"/>
      <c r="C684" s="829"/>
      <c r="D684" s="873"/>
      <c r="E684" s="1402"/>
      <c r="F684" s="1402"/>
      <c r="G684" s="1402"/>
      <c r="H684" s="1402"/>
      <c r="I684" s="1402"/>
      <c r="J684" s="1402"/>
      <c r="K684" s="1402"/>
      <c r="L684" s="1402"/>
      <c r="M684" s="1402"/>
      <c r="N684" s="1402"/>
      <c r="O684" s="1402"/>
      <c r="P684" s="1402"/>
      <c r="Q684" s="1402"/>
      <c r="R684" s="1402"/>
      <c r="S684" s="361"/>
      <c r="T684" s="1399" t="s">
        <v>393</v>
      </c>
      <c r="U684" s="1397">
        <f>VLOOKUP(B685,DT.NK!$B:$AZ,45,0)</f>
        <v>27.5</v>
      </c>
      <c r="V684" s="361"/>
      <c r="W684" s="361"/>
    </row>
    <row r="685" spans="1:23">
      <c r="A685" s="1409">
        <f>A665+1</f>
        <v>35</v>
      </c>
      <c r="B685" s="1412" t="s">
        <v>591</v>
      </c>
      <c r="C685" s="844" t="s">
        <v>983</v>
      </c>
      <c r="D685" s="874" t="str">
        <f>B685&amp;C685</f>
        <v>A156a</v>
      </c>
      <c r="E685" s="363"/>
      <c r="F685" s="364"/>
      <c r="G685" s="364"/>
      <c r="H685" s="364"/>
      <c r="I685" s="364"/>
      <c r="J685" s="364"/>
      <c r="K685" s="364"/>
      <c r="L685" s="364"/>
      <c r="M685" s="674"/>
      <c r="N685" s="670"/>
      <c r="O685" s="670">
        <f>U684</f>
        <v>27.5</v>
      </c>
      <c r="P685" s="670">
        <f>O685</f>
        <v>27.5</v>
      </c>
      <c r="Q685" s="670">
        <v>0</v>
      </c>
      <c r="R685" s="365"/>
      <c r="S685" s="366"/>
      <c r="T685" s="1399"/>
      <c r="U685" s="1398"/>
      <c r="V685" s="361"/>
      <c r="W685" s="361"/>
    </row>
    <row r="686" spans="1:23">
      <c r="A686" s="1410"/>
      <c r="B686" s="1413"/>
      <c r="C686" s="845" t="s">
        <v>984</v>
      </c>
      <c r="D686" s="875" t="str">
        <f>B685&amp;C686</f>
        <v>A156b</v>
      </c>
      <c r="E686" s="367">
        <v>1</v>
      </c>
      <c r="F686" s="669" t="s">
        <v>1050</v>
      </c>
      <c r="G686" s="369">
        <v>0.93194444444444446</v>
      </c>
      <c r="H686" s="368">
        <v>0.94444444444444453</v>
      </c>
      <c r="I686" s="369">
        <v>0.98611111111111116</v>
      </c>
      <c r="J686" s="368">
        <v>0.98958333333333337</v>
      </c>
      <c r="K686" s="669">
        <v>8</v>
      </c>
      <c r="L686" s="669">
        <v>20</v>
      </c>
      <c r="M686" s="675">
        <v>25.5</v>
      </c>
      <c r="N686" s="671">
        <f>IF(M686-P686&gt;0,M686-P686,0)</f>
        <v>3.8000000000000007</v>
      </c>
      <c r="O686" s="671">
        <f>O685-K686/(PI()*(U683/2000)^2)</f>
        <v>20.42644697369354</v>
      </c>
      <c r="P686" s="672">
        <v>21.7</v>
      </c>
      <c r="Q686" s="673">
        <f>ABS(O686-P686)</f>
        <v>1.2735530263064589</v>
      </c>
      <c r="R686" s="375" t="s">
        <v>188</v>
      </c>
      <c r="S686" s="366"/>
      <c r="T686" s="376"/>
      <c r="U686" s="376"/>
      <c r="V686" s="366"/>
      <c r="W686" s="366"/>
    </row>
    <row r="687" spans="1:23">
      <c r="A687" s="1410"/>
      <c r="B687" s="1413"/>
      <c r="C687" s="845" t="s">
        <v>985</v>
      </c>
      <c r="D687" s="875" t="str">
        <f>B685&amp;C687</f>
        <v>A156c</v>
      </c>
      <c r="E687" s="367">
        <v>2</v>
      </c>
      <c r="F687" s="669" t="s">
        <v>1051</v>
      </c>
      <c r="G687" s="369">
        <v>0.94097222222222221</v>
      </c>
      <c r="H687" s="368">
        <v>0.95486111111111116</v>
      </c>
      <c r="I687" s="369">
        <v>0.99652777777777779</v>
      </c>
      <c r="J687" s="368">
        <v>0</v>
      </c>
      <c r="K687" s="669">
        <v>8</v>
      </c>
      <c r="L687" s="669">
        <v>19</v>
      </c>
      <c r="M687" s="675">
        <v>19.2</v>
      </c>
      <c r="N687" s="671">
        <f>IF(M687-P687&gt;0,M687-P687,0)</f>
        <v>4.3999999999999986</v>
      </c>
      <c r="O687" s="671">
        <f>O686-K687/(PI()*(U683/2000)^2)</f>
        <v>13.352893947387081</v>
      </c>
      <c r="P687" s="672">
        <v>14.8</v>
      </c>
      <c r="Q687" s="673">
        <f>ABS(O687-P687)</f>
        <v>1.44710605261292</v>
      </c>
      <c r="R687" s="375" t="s">
        <v>188</v>
      </c>
      <c r="S687" s="366"/>
      <c r="T687" s="376"/>
      <c r="U687" s="376"/>
      <c r="V687" s="366"/>
      <c r="W687" s="366"/>
    </row>
    <row r="688" spans="1:23">
      <c r="A688" s="1410"/>
      <c r="B688" s="1413"/>
      <c r="C688" s="845" t="s">
        <v>986</v>
      </c>
      <c r="D688" s="875" t="str">
        <f>B685&amp;C688</f>
        <v>A156d</v>
      </c>
      <c r="E688" s="367">
        <v>3</v>
      </c>
      <c r="F688" s="669" t="s">
        <v>1052</v>
      </c>
      <c r="G688" s="369">
        <v>0.97361111111111109</v>
      </c>
      <c r="H688" s="368">
        <v>0.98611111111111116</v>
      </c>
      <c r="I688" s="369">
        <v>3.472222222222222E-3</v>
      </c>
      <c r="J688" s="368">
        <v>6.9444444444444441E-3</v>
      </c>
      <c r="K688" s="669">
        <v>7</v>
      </c>
      <c r="L688" s="669">
        <v>19.5</v>
      </c>
      <c r="M688" s="675">
        <v>12.9</v>
      </c>
      <c r="N688" s="671">
        <f>IF(M688-P688&gt;0,M688-P688,0)</f>
        <v>3.5</v>
      </c>
      <c r="O688" s="671">
        <f>O687-K688/(PI()*(U683/2000)^2)</f>
        <v>7.1635350493689289</v>
      </c>
      <c r="P688" s="672">
        <v>9.4</v>
      </c>
      <c r="Q688" s="673">
        <f>ABS(O688-P688)</f>
        <v>2.2364649506310714</v>
      </c>
      <c r="R688" s="375"/>
      <c r="S688" s="366"/>
      <c r="T688" s="376"/>
      <c r="U688" s="376"/>
      <c r="V688" s="366"/>
      <c r="W688" s="366"/>
    </row>
    <row r="689" spans="1:23">
      <c r="A689" s="1410"/>
      <c r="B689" s="1413"/>
      <c r="C689" s="845" t="s">
        <v>987</v>
      </c>
      <c r="D689" s="875" t="str">
        <f>B685&amp;C689</f>
        <v>A156e</v>
      </c>
      <c r="E689" s="367">
        <v>4</v>
      </c>
      <c r="F689" s="669" t="s">
        <v>1058</v>
      </c>
      <c r="G689" s="369">
        <v>0</v>
      </c>
      <c r="H689" s="368">
        <v>1.0416666666666666E-2</v>
      </c>
      <c r="I689" s="369">
        <v>1.7361111111111112E-2</v>
      </c>
      <c r="J689" s="368">
        <v>2.0833333333333332E-2</v>
      </c>
      <c r="K689" s="370">
        <v>3</v>
      </c>
      <c r="L689" s="370">
        <v>19</v>
      </c>
      <c r="M689" s="371">
        <v>12.9</v>
      </c>
      <c r="N689" s="671">
        <f>IF(M689-P689&gt;0,M689-P689,0)</f>
        <v>6.1000000000000005</v>
      </c>
      <c r="O689" s="671">
        <f>O688-K689/(PI()*(U683/2000)^2)</f>
        <v>4.510952664504007</v>
      </c>
      <c r="P689" s="373">
        <v>6.8</v>
      </c>
      <c r="Q689" s="673">
        <f>ABS(O689-P689)</f>
        <v>2.2890473354959928</v>
      </c>
      <c r="R689" s="375" t="s">
        <v>188</v>
      </c>
      <c r="S689" s="366"/>
      <c r="T689" s="376"/>
      <c r="U689" s="376"/>
      <c r="V689" s="366"/>
      <c r="W689" s="366"/>
    </row>
    <row r="690" spans="1:23">
      <c r="A690" s="1410"/>
      <c r="B690" s="1413"/>
      <c r="C690" s="845" t="s">
        <v>988</v>
      </c>
      <c r="D690" s="875" t="str">
        <f>B685&amp;C690</f>
        <v>A156f</v>
      </c>
      <c r="E690" s="367">
        <v>5</v>
      </c>
      <c r="F690" s="669"/>
      <c r="G690" s="369"/>
      <c r="H690" s="368"/>
      <c r="I690" s="369"/>
      <c r="J690" s="368"/>
      <c r="K690" s="370"/>
      <c r="L690" s="370"/>
      <c r="M690" s="371"/>
      <c r="N690" s="671"/>
      <c r="O690" s="671"/>
      <c r="P690" s="373"/>
      <c r="Q690" s="673"/>
      <c r="R690" s="377"/>
      <c r="S690" s="366" t="s">
        <v>190</v>
      </c>
      <c r="T690" s="376"/>
      <c r="U690" s="376"/>
      <c r="V690" s="366"/>
      <c r="W690" s="366"/>
    </row>
    <row r="691" spans="1:23">
      <c r="A691" s="1410"/>
      <c r="B691" s="1413"/>
      <c r="C691" s="845" t="s">
        <v>989</v>
      </c>
      <c r="D691" s="875" t="str">
        <f>B685&amp;C691</f>
        <v>A156g</v>
      </c>
      <c r="E691" s="367">
        <v>6</v>
      </c>
      <c r="F691" s="669"/>
      <c r="G691" s="369"/>
      <c r="H691" s="368"/>
      <c r="I691" s="369"/>
      <c r="J691" s="368"/>
      <c r="K691" s="370"/>
      <c r="L691" s="370"/>
      <c r="M691" s="371"/>
      <c r="N691" s="671"/>
      <c r="O691" s="671"/>
      <c r="P691" s="373"/>
      <c r="Q691" s="673"/>
      <c r="R691" s="375"/>
      <c r="S691" s="366" t="s">
        <v>190</v>
      </c>
      <c r="T691" s="366"/>
      <c r="U691" s="366"/>
      <c r="V691" s="366"/>
      <c r="W691" s="366"/>
    </row>
    <row r="692" spans="1:23">
      <c r="A692" s="1410"/>
      <c r="B692" s="1413"/>
      <c r="C692" s="845" t="s">
        <v>990</v>
      </c>
      <c r="D692" s="875" t="str">
        <f>B685&amp;C692</f>
        <v>A156h</v>
      </c>
      <c r="E692" s="367">
        <v>7</v>
      </c>
      <c r="F692" s="669"/>
      <c r="G692" s="368"/>
      <c r="H692" s="368"/>
      <c r="I692" s="368"/>
      <c r="J692" s="368"/>
      <c r="K692" s="370"/>
      <c r="L692" s="370"/>
      <c r="M692" s="371"/>
      <c r="N692" s="671"/>
      <c r="O692" s="671"/>
      <c r="P692" s="373"/>
      <c r="Q692" s="673"/>
      <c r="R692" s="377"/>
      <c r="S692" s="366" t="s">
        <v>190</v>
      </c>
      <c r="T692" s="366"/>
      <c r="U692" s="366"/>
      <c r="V692" s="366"/>
      <c r="W692" s="366"/>
    </row>
    <row r="693" spans="1:23">
      <c r="A693" s="1410"/>
      <c r="B693" s="1413"/>
      <c r="C693" s="845" t="s">
        <v>991</v>
      </c>
      <c r="D693" s="875" t="str">
        <f>B685&amp;C693</f>
        <v>A156i</v>
      </c>
      <c r="E693" s="367">
        <v>8</v>
      </c>
      <c r="F693" s="669"/>
      <c r="G693" s="368"/>
      <c r="H693" s="368"/>
      <c r="I693" s="368"/>
      <c r="J693" s="368"/>
      <c r="K693" s="370"/>
      <c r="L693" s="370"/>
      <c r="M693" s="371"/>
      <c r="N693" s="671"/>
      <c r="O693" s="671"/>
      <c r="P693" s="373"/>
      <c r="Q693" s="673"/>
      <c r="R693" s="378"/>
      <c r="S693" s="366"/>
      <c r="T693" s="366"/>
      <c r="U693" s="366"/>
      <c r="V693" s="366"/>
      <c r="W693" s="366"/>
    </row>
    <row r="694" spans="1:23">
      <c r="A694" s="1410"/>
      <c r="B694" s="1413"/>
      <c r="C694" s="845" t="s">
        <v>992</v>
      </c>
      <c r="D694" s="875" t="str">
        <f>B685&amp;C694</f>
        <v>A156k</v>
      </c>
      <c r="E694" s="367">
        <v>9</v>
      </c>
      <c r="F694" s="370"/>
      <c r="G694" s="368"/>
      <c r="H694" s="368"/>
      <c r="I694" s="368"/>
      <c r="J694" s="368"/>
      <c r="K694" s="370"/>
      <c r="L694" s="370"/>
      <c r="M694" s="371"/>
      <c r="N694" s="372"/>
      <c r="O694" s="372"/>
      <c r="P694" s="373"/>
      <c r="Q694" s="374"/>
      <c r="R694" s="378"/>
      <c r="S694" s="379"/>
      <c r="T694" s="366"/>
      <c r="U694" s="366"/>
      <c r="V694" s="366"/>
      <c r="W694" s="366"/>
    </row>
    <row r="695" spans="1:23">
      <c r="A695" s="1410"/>
      <c r="B695" s="1413"/>
      <c r="C695" s="845" t="s">
        <v>993</v>
      </c>
      <c r="D695" s="875" t="str">
        <f>B685&amp;C695</f>
        <v>A156l</v>
      </c>
      <c r="E695" s="367">
        <v>10</v>
      </c>
      <c r="F695" s="370"/>
      <c r="G695" s="368"/>
      <c r="H695" s="368"/>
      <c r="I695" s="368"/>
      <c r="J695" s="368"/>
      <c r="K695" s="370"/>
      <c r="L695" s="370"/>
      <c r="M695" s="370"/>
      <c r="N695" s="372"/>
      <c r="O695" s="372"/>
      <c r="P695" s="373"/>
      <c r="Q695" s="374"/>
      <c r="R695" s="378"/>
      <c r="S695" s="379"/>
      <c r="T695" s="366"/>
      <c r="U695" s="366"/>
      <c r="V695" s="366"/>
      <c r="W695" s="366"/>
    </row>
    <row r="696" spans="1:23">
      <c r="A696" s="1410"/>
      <c r="B696" s="1413"/>
      <c r="C696" s="845" t="s">
        <v>994</v>
      </c>
      <c r="D696" s="875" t="str">
        <f>B685&amp;C696</f>
        <v>A156m</v>
      </c>
      <c r="E696" s="367">
        <v>11</v>
      </c>
      <c r="F696" s="370"/>
      <c r="G696" s="368"/>
      <c r="H696" s="368"/>
      <c r="I696" s="368"/>
      <c r="J696" s="368"/>
      <c r="K696" s="370"/>
      <c r="L696" s="370"/>
      <c r="M696" s="370"/>
      <c r="N696" s="372"/>
      <c r="O696" s="372"/>
      <c r="P696" s="380"/>
      <c r="Q696" s="374"/>
      <c r="R696" s="381"/>
      <c r="S696" s="379"/>
      <c r="T696" s="366"/>
      <c r="U696" s="366"/>
      <c r="V696" s="366"/>
      <c r="W696" s="366"/>
    </row>
    <row r="697" spans="1:23">
      <c r="A697" s="1410"/>
      <c r="B697" s="1413"/>
      <c r="C697" s="845" t="s">
        <v>995</v>
      </c>
      <c r="D697" s="875" t="str">
        <f>B685&amp;C697</f>
        <v>A156n</v>
      </c>
      <c r="E697" s="367">
        <v>12</v>
      </c>
      <c r="F697" s="370"/>
      <c r="G697" s="368"/>
      <c r="H697" s="368"/>
      <c r="I697" s="368"/>
      <c r="J697" s="368"/>
      <c r="K697" s="370"/>
      <c r="L697" s="370"/>
      <c r="M697" s="370"/>
      <c r="N697" s="372"/>
      <c r="O697" s="372"/>
      <c r="P697" s="380"/>
      <c r="Q697" s="374"/>
      <c r="R697" s="381"/>
      <c r="S697" s="361"/>
      <c r="T697" s="361"/>
      <c r="U697" s="361"/>
      <c r="V697" s="366"/>
      <c r="W697" s="366"/>
    </row>
    <row r="698" spans="1:23">
      <c r="A698" s="1410"/>
      <c r="B698" s="1413"/>
      <c r="C698" s="845" t="s">
        <v>471</v>
      </c>
      <c r="D698" s="875" t="str">
        <f>B685&amp;C698</f>
        <v>A156x</v>
      </c>
      <c r="E698" s="367">
        <v>13</v>
      </c>
      <c r="F698" s="370"/>
      <c r="G698" s="368"/>
      <c r="H698" s="368"/>
      <c r="I698" s="368"/>
      <c r="J698" s="368"/>
      <c r="K698" s="370"/>
      <c r="L698" s="370"/>
      <c r="M698" s="370"/>
      <c r="N698" s="382"/>
      <c r="O698" s="372"/>
      <c r="P698" s="380"/>
      <c r="Q698" s="381"/>
      <c r="R698" s="381"/>
      <c r="S698" s="361"/>
      <c r="T698" s="361"/>
      <c r="U698" s="361"/>
      <c r="V698" s="366"/>
      <c r="W698" s="366"/>
    </row>
    <row r="699" spans="1:23">
      <c r="A699" s="1410"/>
      <c r="B699" s="1413"/>
      <c r="C699" s="845" t="s">
        <v>732</v>
      </c>
      <c r="D699" s="875" t="str">
        <f>B685&amp;C699</f>
        <v>A156y</v>
      </c>
      <c r="E699" s="367">
        <v>14</v>
      </c>
      <c r="F699" s="370"/>
      <c r="G699" s="368"/>
      <c r="H699" s="368"/>
      <c r="I699" s="368"/>
      <c r="J699" s="368"/>
      <c r="K699" s="370"/>
      <c r="L699" s="370"/>
      <c r="M699" s="370"/>
      <c r="N699" s="382"/>
      <c r="O699" s="372"/>
      <c r="P699" s="380"/>
      <c r="Q699" s="381"/>
      <c r="R699" s="381"/>
      <c r="S699" s="361"/>
      <c r="T699" s="361"/>
      <c r="U699" s="362"/>
      <c r="V699" s="366"/>
      <c r="W699" s="366"/>
    </row>
    <row r="700" spans="1:23">
      <c r="A700" s="1411"/>
      <c r="B700" s="1414"/>
      <c r="C700" s="846" t="s">
        <v>996</v>
      </c>
      <c r="D700" s="876" t="str">
        <f>B685&amp;C700</f>
        <v>A156z</v>
      </c>
      <c r="E700" s="847">
        <v>15</v>
      </c>
      <c r="F700" s="370"/>
      <c r="G700" s="368"/>
      <c r="H700" s="368"/>
      <c r="I700" s="368"/>
      <c r="J700" s="368"/>
      <c r="K700" s="370"/>
      <c r="L700" s="370"/>
      <c r="M700" s="370"/>
      <c r="N700" s="850"/>
      <c r="O700" s="851"/>
      <c r="P700" s="851"/>
      <c r="Q700" s="852"/>
      <c r="R700" s="383"/>
      <c r="S700" s="361"/>
      <c r="T700" s="832"/>
      <c r="U700" s="830"/>
      <c r="V700" s="366"/>
      <c r="W700" s="366"/>
    </row>
    <row r="701" spans="1:23">
      <c r="A701" s="1400" t="s">
        <v>939</v>
      </c>
      <c r="B701" s="1400"/>
      <c r="C701" s="827"/>
      <c r="D701" s="871"/>
      <c r="E701" s="1400" t="s">
        <v>177</v>
      </c>
      <c r="F701" s="1400" t="s">
        <v>18</v>
      </c>
      <c r="G701" s="1389" t="s">
        <v>19</v>
      </c>
      <c r="H701" s="1390"/>
      <c r="I701" s="1389" t="s">
        <v>22</v>
      </c>
      <c r="J701" s="1390"/>
      <c r="K701" s="1393" t="s">
        <v>26</v>
      </c>
      <c r="L701" s="1390"/>
      <c r="M701" s="1389" t="s">
        <v>392</v>
      </c>
      <c r="N701" s="1390"/>
      <c r="O701" s="1389" t="s">
        <v>28</v>
      </c>
      <c r="P701" s="1393"/>
      <c r="Q701" s="1390"/>
      <c r="R701" s="1400" t="s">
        <v>36</v>
      </c>
      <c r="S701" s="361"/>
      <c r="T701" s="361">
        <f>MAX(J705:J719)-MIN(I705:I719)</f>
        <v>4.7916666666666718E-2</v>
      </c>
      <c r="U701" s="361"/>
      <c r="V701" s="853" t="str">
        <f t="shared" ref="V701" si="76">B705</f>
        <v>A28</v>
      </c>
      <c r="W701" s="361">
        <f t="shared" ref="W701" si="77">COUNTIF(K706:K720,"&gt;0")</f>
        <v>3</v>
      </c>
    </row>
    <row r="702" spans="1:23">
      <c r="A702" s="1401"/>
      <c r="B702" s="1401"/>
      <c r="C702" s="828"/>
      <c r="D702" s="872"/>
      <c r="E702" s="1401"/>
      <c r="F702" s="1401"/>
      <c r="G702" s="1391"/>
      <c r="H702" s="1392"/>
      <c r="I702" s="1391"/>
      <c r="J702" s="1392"/>
      <c r="K702" s="1394"/>
      <c r="L702" s="1392"/>
      <c r="M702" s="1391"/>
      <c r="N702" s="1392"/>
      <c r="O702" s="1391"/>
      <c r="P702" s="1394"/>
      <c r="Q702" s="1392"/>
      <c r="R702" s="1401"/>
      <c r="S702" s="361"/>
      <c r="T702" s="361"/>
      <c r="U702" s="361"/>
      <c r="V702" s="361"/>
      <c r="W702" s="361"/>
    </row>
    <row r="703" spans="1:23">
      <c r="A703" s="1401"/>
      <c r="B703" s="1401"/>
      <c r="C703" s="828"/>
      <c r="D703" s="872"/>
      <c r="E703" s="1401"/>
      <c r="F703" s="1401"/>
      <c r="G703" s="1400" t="s">
        <v>20</v>
      </c>
      <c r="H703" s="1400" t="s">
        <v>21</v>
      </c>
      <c r="I703" s="1400" t="s">
        <v>361</v>
      </c>
      <c r="J703" s="1400" t="s">
        <v>353</v>
      </c>
      <c r="K703" s="1400" t="s">
        <v>23</v>
      </c>
      <c r="L703" s="1400" t="s">
        <v>24</v>
      </c>
      <c r="M703" s="1400" t="s">
        <v>27</v>
      </c>
      <c r="N703" s="1400" t="s">
        <v>178</v>
      </c>
      <c r="O703" s="1400" t="s">
        <v>1</v>
      </c>
      <c r="P703" s="1400" t="s">
        <v>29</v>
      </c>
      <c r="Q703" s="1400" t="s">
        <v>33</v>
      </c>
      <c r="R703" s="1401"/>
      <c r="S703" s="361"/>
      <c r="T703" s="361" t="s">
        <v>39</v>
      </c>
      <c r="U703" s="362">
        <f>VLOOKUP(B705,'Thong tin'!$A:$M,13,0)</f>
        <v>1200</v>
      </c>
      <c r="V703" s="361"/>
      <c r="W703" s="361"/>
    </row>
    <row r="704" spans="1:23">
      <c r="A704" s="1402"/>
      <c r="B704" s="1402"/>
      <c r="C704" s="829"/>
      <c r="D704" s="873"/>
      <c r="E704" s="1402"/>
      <c r="F704" s="1402"/>
      <c r="G704" s="1402"/>
      <c r="H704" s="1402"/>
      <c r="I704" s="1402"/>
      <c r="J704" s="1402"/>
      <c r="K704" s="1402"/>
      <c r="L704" s="1402"/>
      <c r="M704" s="1402"/>
      <c r="N704" s="1402"/>
      <c r="O704" s="1402"/>
      <c r="P704" s="1402"/>
      <c r="Q704" s="1402"/>
      <c r="R704" s="1402"/>
      <c r="S704" s="361"/>
      <c r="T704" s="1399" t="s">
        <v>393</v>
      </c>
      <c r="U704" s="1397">
        <f>VLOOKUP(B705,DT.NK!$B:$AZ,45,0)</f>
        <v>26.8</v>
      </c>
      <c r="V704" s="361"/>
      <c r="W704" s="361"/>
    </row>
    <row r="705" spans="1:23">
      <c r="A705" s="1409">
        <f>A685+1</f>
        <v>36</v>
      </c>
      <c r="B705" s="1412" t="s">
        <v>623</v>
      </c>
      <c r="C705" s="844" t="s">
        <v>983</v>
      </c>
      <c r="D705" s="874" t="str">
        <f>B705&amp;C705</f>
        <v>A28a</v>
      </c>
      <c r="E705" s="363"/>
      <c r="F705" s="364"/>
      <c r="G705" s="364"/>
      <c r="H705" s="364"/>
      <c r="I705" s="364"/>
      <c r="J705" s="364"/>
      <c r="K705" s="364"/>
      <c r="L705" s="364"/>
      <c r="M705" s="674"/>
      <c r="N705" s="670"/>
      <c r="O705" s="670">
        <f>U704</f>
        <v>26.8</v>
      </c>
      <c r="P705" s="670">
        <f>O705</f>
        <v>26.8</v>
      </c>
      <c r="Q705" s="670">
        <v>0</v>
      </c>
      <c r="R705" s="365"/>
      <c r="S705" s="366"/>
      <c r="T705" s="1399"/>
      <c r="U705" s="1398"/>
      <c r="V705" s="361"/>
      <c r="W705" s="361"/>
    </row>
    <row r="706" spans="1:23">
      <c r="A706" s="1410"/>
      <c r="B706" s="1413"/>
      <c r="C706" s="845" t="s">
        <v>984</v>
      </c>
      <c r="D706" s="875" t="str">
        <f>B705&amp;C706</f>
        <v>A28b</v>
      </c>
      <c r="E706" s="367">
        <v>1</v>
      </c>
      <c r="F706" s="669" t="s">
        <v>1078</v>
      </c>
      <c r="G706" s="369">
        <v>0.6333333333333333</v>
      </c>
      <c r="H706" s="368">
        <v>0.65277777777777779</v>
      </c>
      <c r="I706" s="369">
        <v>0.65694444444444444</v>
      </c>
      <c r="J706" s="368">
        <v>0.66875000000000007</v>
      </c>
      <c r="K706" s="669">
        <v>7</v>
      </c>
      <c r="L706" s="669">
        <v>19.5</v>
      </c>
      <c r="M706" s="675">
        <v>25.8</v>
      </c>
      <c r="N706" s="671">
        <f>IF(M706-P706&gt;0,M706-P706,0)</f>
        <v>5.1900000000000013</v>
      </c>
      <c r="O706" s="671">
        <f>O705-K706/(PI()*(U703/2000)^2)</f>
        <v>20.610641101981848</v>
      </c>
      <c r="P706" s="672">
        <v>20.61</v>
      </c>
      <c r="Q706" s="673">
        <f>ABS(O706-P706)</f>
        <v>6.4110198184863521E-4</v>
      </c>
      <c r="R706" s="375" t="s">
        <v>188</v>
      </c>
      <c r="S706" s="366"/>
      <c r="T706" s="376"/>
      <c r="U706" s="376"/>
      <c r="V706" s="366"/>
      <c r="W706" s="366"/>
    </row>
    <row r="707" spans="1:23">
      <c r="A707" s="1410"/>
      <c r="B707" s="1413"/>
      <c r="C707" s="845" t="s">
        <v>985</v>
      </c>
      <c r="D707" s="875" t="str">
        <f>B705&amp;C707</f>
        <v>A28c</v>
      </c>
      <c r="E707" s="367">
        <v>2</v>
      </c>
      <c r="F707" s="669" t="s">
        <v>1077</v>
      </c>
      <c r="G707" s="369">
        <v>0.64722222222222225</v>
      </c>
      <c r="H707" s="368">
        <v>0.65763888888888888</v>
      </c>
      <c r="I707" s="369">
        <v>0.67361111111111116</v>
      </c>
      <c r="J707" s="368">
        <v>0.68194444444444446</v>
      </c>
      <c r="K707" s="669">
        <v>8</v>
      </c>
      <c r="L707" s="669">
        <v>18</v>
      </c>
      <c r="M707" s="675">
        <v>16.350000000000001</v>
      </c>
      <c r="N707" s="671">
        <f>IF(M707-P707&gt;0,M707-P707,0)</f>
        <v>2.8200000000000021</v>
      </c>
      <c r="O707" s="671">
        <f>O706-K707/(PI()*(U703/2000)^2)</f>
        <v>13.537088075675388</v>
      </c>
      <c r="P707" s="672">
        <v>13.53</v>
      </c>
      <c r="Q707" s="673">
        <f>ABS(O707-P707)</f>
        <v>7.0880756753890495E-3</v>
      </c>
      <c r="R707" s="375" t="s">
        <v>188</v>
      </c>
      <c r="S707" s="366"/>
      <c r="T707" s="376"/>
      <c r="U707" s="376"/>
      <c r="V707" s="366"/>
      <c r="W707" s="366"/>
    </row>
    <row r="708" spans="1:23">
      <c r="A708" s="1410"/>
      <c r="B708" s="1413"/>
      <c r="C708" s="845" t="s">
        <v>986</v>
      </c>
      <c r="D708" s="875" t="str">
        <f>B705&amp;C708</f>
        <v>A28d</v>
      </c>
      <c r="E708" s="367">
        <v>3</v>
      </c>
      <c r="F708" s="669" t="s">
        <v>1051</v>
      </c>
      <c r="G708" s="369">
        <v>0.65763888888888888</v>
      </c>
      <c r="H708" s="368">
        <v>0.69791666666666663</v>
      </c>
      <c r="I708" s="369">
        <v>0.70138888888888884</v>
      </c>
      <c r="J708" s="368">
        <v>0.70486111111111116</v>
      </c>
      <c r="K708" s="669">
        <v>8</v>
      </c>
      <c r="L708" s="669">
        <v>19.5</v>
      </c>
      <c r="M708" s="675">
        <v>10.050000000000001</v>
      </c>
      <c r="N708" s="671">
        <f>IF(M708-P708&gt;0,M708-P708,0)</f>
        <v>3.6000000000000005</v>
      </c>
      <c r="O708" s="671">
        <f>O707-K708/(PI()*(U703/2000)^2)</f>
        <v>6.4635350493689288</v>
      </c>
      <c r="P708" s="672">
        <v>6.45</v>
      </c>
      <c r="Q708" s="673">
        <f>ABS(O708-P708)</f>
        <v>1.3535049368928576E-2</v>
      </c>
      <c r="R708" s="375" t="s">
        <v>188</v>
      </c>
      <c r="S708" s="366"/>
      <c r="T708" s="376"/>
      <c r="U708" s="376"/>
      <c r="V708" s="366"/>
      <c r="W708" s="366"/>
    </row>
    <row r="709" spans="1:23">
      <c r="A709" s="1410"/>
      <c r="B709" s="1413"/>
      <c r="C709" s="845" t="s">
        <v>987</v>
      </c>
      <c r="D709" s="875" t="str">
        <f>B705&amp;C709</f>
        <v>A28e</v>
      </c>
      <c r="E709" s="367">
        <v>4</v>
      </c>
      <c r="F709" s="669"/>
      <c r="G709" s="369"/>
      <c r="H709" s="368"/>
      <c r="I709" s="369"/>
      <c r="J709" s="368"/>
      <c r="K709" s="370"/>
      <c r="L709" s="370"/>
      <c r="M709" s="371"/>
      <c r="N709" s="671"/>
      <c r="O709" s="671"/>
      <c r="P709" s="373"/>
      <c r="Q709" s="673"/>
      <c r="R709" s="375"/>
      <c r="S709" s="366"/>
      <c r="T709" s="376"/>
      <c r="U709" s="376"/>
      <c r="V709" s="366"/>
      <c r="W709" s="366"/>
    </row>
    <row r="710" spans="1:23">
      <c r="A710" s="1410"/>
      <c r="B710" s="1413"/>
      <c r="C710" s="845" t="s">
        <v>988</v>
      </c>
      <c r="D710" s="875" t="str">
        <f>B705&amp;C710</f>
        <v>A28f</v>
      </c>
      <c r="E710" s="367">
        <v>5</v>
      </c>
      <c r="F710" s="669"/>
      <c r="G710" s="369"/>
      <c r="H710" s="368"/>
      <c r="I710" s="369"/>
      <c r="J710" s="368"/>
      <c r="K710" s="370"/>
      <c r="L710" s="370"/>
      <c r="M710" s="371"/>
      <c r="N710" s="671"/>
      <c r="O710" s="671"/>
      <c r="P710" s="373"/>
      <c r="Q710" s="673"/>
      <c r="R710" s="377"/>
      <c r="S710" s="366" t="s">
        <v>190</v>
      </c>
      <c r="T710" s="376"/>
      <c r="U710" s="376"/>
      <c r="V710" s="366"/>
      <c r="W710" s="366"/>
    </row>
    <row r="711" spans="1:23">
      <c r="A711" s="1410"/>
      <c r="B711" s="1413"/>
      <c r="C711" s="845" t="s">
        <v>989</v>
      </c>
      <c r="D711" s="875" t="str">
        <f>B705&amp;C711</f>
        <v>A28g</v>
      </c>
      <c r="E711" s="367">
        <v>6</v>
      </c>
      <c r="F711" s="669"/>
      <c r="G711" s="369"/>
      <c r="H711" s="368"/>
      <c r="I711" s="369"/>
      <c r="J711" s="368"/>
      <c r="K711" s="370"/>
      <c r="L711" s="370"/>
      <c r="M711" s="371"/>
      <c r="N711" s="671"/>
      <c r="O711" s="671"/>
      <c r="P711" s="373"/>
      <c r="Q711" s="673"/>
      <c r="R711" s="375"/>
      <c r="S711" s="366" t="s">
        <v>190</v>
      </c>
      <c r="T711" s="366"/>
      <c r="U711" s="366"/>
      <c r="V711" s="366"/>
      <c r="W711" s="366"/>
    </row>
    <row r="712" spans="1:23">
      <c r="A712" s="1410"/>
      <c r="B712" s="1413"/>
      <c r="C712" s="845" t="s">
        <v>990</v>
      </c>
      <c r="D712" s="875" t="str">
        <f>B705&amp;C712</f>
        <v>A28h</v>
      </c>
      <c r="E712" s="367">
        <v>7</v>
      </c>
      <c r="F712" s="669"/>
      <c r="G712" s="368"/>
      <c r="H712" s="368"/>
      <c r="I712" s="368"/>
      <c r="J712" s="368"/>
      <c r="K712" s="370"/>
      <c r="L712" s="370"/>
      <c r="M712" s="371"/>
      <c r="N712" s="671"/>
      <c r="O712" s="671"/>
      <c r="P712" s="373"/>
      <c r="Q712" s="673"/>
      <c r="R712" s="377"/>
      <c r="S712" s="366" t="s">
        <v>190</v>
      </c>
      <c r="T712" s="366"/>
      <c r="U712" s="366"/>
      <c r="V712" s="366"/>
      <c r="W712" s="366"/>
    </row>
    <row r="713" spans="1:23">
      <c r="A713" s="1410"/>
      <c r="B713" s="1413"/>
      <c r="C713" s="845" t="s">
        <v>991</v>
      </c>
      <c r="D713" s="875" t="str">
        <f>B705&amp;C713</f>
        <v>A28i</v>
      </c>
      <c r="E713" s="367">
        <v>8</v>
      </c>
      <c r="F713" s="669"/>
      <c r="G713" s="368"/>
      <c r="H713" s="368"/>
      <c r="I713" s="368"/>
      <c r="J713" s="368"/>
      <c r="K713" s="370"/>
      <c r="L713" s="370"/>
      <c r="M713" s="371"/>
      <c r="N713" s="671"/>
      <c r="O713" s="671"/>
      <c r="P713" s="373"/>
      <c r="Q713" s="673"/>
      <c r="R713" s="378"/>
      <c r="S713" s="366"/>
      <c r="T713" s="366"/>
      <c r="U713" s="366"/>
      <c r="V713" s="366"/>
      <c r="W713" s="366"/>
    </row>
    <row r="714" spans="1:23">
      <c r="A714" s="1410"/>
      <c r="B714" s="1413"/>
      <c r="C714" s="845" t="s">
        <v>992</v>
      </c>
      <c r="D714" s="875" t="str">
        <f>B705&amp;C714</f>
        <v>A28k</v>
      </c>
      <c r="E714" s="367">
        <v>9</v>
      </c>
      <c r="F714" s="370"/>
      <c r="G714" s="368"/>
      <c r="H714" s="368"/>
      <c r="I714" s="368"/>
      <c r="J714" s="368"/>
      <c r="K714" s="370"/>
      <c r="L714" s="370"/>
      <c r="M714" s="371"/>
      <c r="N714" s="372"/>
      <c r="O714" s="372"/>
      <c r="P714" s="373"/>
      <c r="Q714" s="374"/>
      <c r="R714" s="378"/>
      <c r="S714" s="379"/>
      <c r="T714" s="366"/>
      <c r="U714" s="366"/>
      <c r="V714" s="366"/>
      <c r="W714" s="366"/>
    </row>
    <row r="715" spans="1:23">
      <c r="A715" s="1410"/>
      <c r="B715" s="1413"/>
      <c r="C715" s="845" t="s">
        <v>993</v>
      </c>
      <c r="D715" s="875" t="str">
        <f>B705&amp;C715</f>
        <v>A28l</v>
      </c>
      <c r="E715" s="367">
        <v>10</v>
      </c>
      <c r="F715" s="370"/>
      <c r="G715" s="368"/>
      <c r="H715" s="368"/>
      <c r="I715" s="368"/>
      <c r="J715" s="368"/>
      <c r="K715" s="370"/>
      <c r="L715" s="370"/>
      <c r="M715" s="370"/>
      <c r="N715" s="372"/>
      <c r="O715" s="372"/>
      <c r="P715" s="373"/>
      <c r="Q715" s="374"/>
      <c r="R715" s="378"/>
      <c r="S715" s="379"/>
      <c r="T715" s="366"/>
      <c r="U715" s="366"/>
      <c r="V715" s="366"/>
      <c r="W715" s="366"/>
    </row>
    <row r="716" spans="1:23">
      <c r="A716" s="1410"/>
      <c r="B716" s="1413"/>
      <c r="C716" s="845" t="s">
        <v>994</v>
      </c>
      <c r="D716" s="875" t="str">
        <f>B705&amp;C716</f>
        <v>A28m</v>
      </c>
      <c r="E716" s="367">
        <v>11</v>
      </c>
      <c r="F716" s="370"/>
      <c r="G716" s="368"/>
      <c r="H716" s="368"/>
      <c r="I716" s="368"/>
      <c r="J716" s="368"/>
      <c r="K716" s="370"/>
      <c r="L716" s="370"/>
      <c r="M716" s="370"/>
      <c r="N716" s="372"/>
      <c r="O716" s="372"/>
      <c r="P716" s="380"/>
      <c r="Q716" s="374"/>
      <c r="R716" s="381"/>
      <c r="S716" s="379"/>
      <c r="T716" s="366"/>
      <c r="U716" s="366"/>
      <c r="V716" s="366"/>
      <c r="W716" s="366"/>
    </row>
    <row r="717" spans="1:23">
      <c r="A717" s="1410"/>
      <c r="B717" s="1413"/>
      <c r="C717" s="845" t="s">
        <v>995</v>
      </c>
      <c r="D717" s="875" t="str">
        <f>B705&amp;C717</f>
        <v>A28n</v>
      </c>
      <c r="E717" s="367">
        <v>12</v>
      </c>
      <c r="F717" s="370"/>
      <c r="G717" s="368"/>
      <c r="H717" s="368"/>
      <c r="I717" s="368"/>
      <c r="J717" s="368"/>
      <c r="K717" s="370"/>
      <c r="L717" s="370"/>
      <c r="M717" s="370"/>
      <c r="N717" s="372"/>
      <c r="O717" s="372"/>
      <c r="P717" s="380"/>
      <c r="Q717" s="374"/>
      <c r="R717" s="381"/>
      <c r="S717" s="361"/>
      <c r="T717" s="361"/>
      <c r="U717" s="361"/>
      <c r="V717" s="366"/>
      <c r="W717" s="366"/>
    </row>
    <row r="718" spans="1:23">
      <c r="A718" s="1410"/>
      <c r="B718" s="1413"/>
      <c r="C718" s="845" t="s">
        <v>471</v>
      </c>
      <c r="D718" s="875" t="str">
        <f>B705&amp;C718</f>
        <v>A28x</v>
      </c>
      <c r="E718" s="367">
        <v>13</v>
      </c>
      <c r="F718" s="370"/>
      <c r="G718" s="368"/>
      <c r="H718" s="368"/>
      <c r="I718" s="368"/>
      <c r="J718" s="368"/>
      <c r="K718" s="370"/>
      <c r="L718" s="370"/>
      <c r="M718" s="370"/>
      <c r="N718" s="382"/>
      <c r="O718" s="372"/>
      <c r="P718" s="380"/>
      <c r="Q718" s="381"/>
      <c r="R718" s="381"/>
      <c r="S718" s="361"/>
      <c r="T718" s="361"/>
      <c r="U718" s="361"/>
      <c r="V718" s="366"/>
      <c r="W718" s="366"/>
    </row>
    <row r="719" spans="1:23">
      <c r="A719" s="1410"/>
      <c r="B719" s="1413"/>
      <c r="C719" s="845" t="s">
        <v>732</v>
      </c>
      <c r="D719" s="875" t="str">
        <f>B705&amp;C719</f>
        <v>A28y</v>
      </c>
      <c r="E719" s="367">
        <v>14</v>
      </c>
      <c r="F719" s="370"/>
      <c r="G719" s="368"/>
      <c r="H719" s="368"/>
      <c r="I719" s="368"/>
      <c r="J719" s="368"/>
      <c r="K719" s="370"/>
      <c r="L719" s="370"/>
      <c r="M719" s="370"/>
      <c r="N719" s="382"/>
      <c r="O719" s="372"/>
      <c r="P719" s="380"/>
      <c r="Q719" s="381"/>
      <c r="R719" s="381"/>
      <c r="S719" s="361"/>
      <c r="T719" s="361"/>
      <c r="U719" s="362"/>
      <c r="V719" s="366"/>
      <c r="W719" s="366"/>
    </row>
    <row r="720" spans="1:23">
      <c r="A720" s="1411"/>
      <c r="B720" s="1414"/>
      <c r="C720" s="846" t="s">
        <v>996</v>
      </c>
      <c r="D720" s="876" t="str">
        <f>B705&amp;C720</f>
        <v>A28z</v>
      </c>
      <c r="E720" s="847">
        <v>15</v>
      </c>
      <c r="F720" s="370"/>
      <c r="G720" s="368"/>
      <c r="H720" s="368"/>
      <c r="I720" s="368"/>
      <c r="J720" s="368"/>
      <c r="K720" s="370"/>
      <c r="L720" s="370"/>
      <c r="M720" s="370"/>
      <c r="N720" s="850"/>
      <c r="O720" s="851"/>
      <c r="P720" s="851"/>
      <c r="Q720" s="852"/>
      <c r="R720" s="383"/>
      <c r="S720" s="361"/>
      <c r="T720" s="832"/>
      <c r="U720" s="830"/>
      <c r="V720" s="366"/>
      <c r="W720" s="366"/>
    </row>
    <row r="721" spans="1:23">
      <c r="A721" s="1400" t="s">
        <v>939</v>
      </c>
      <c r="B721" s="1400"/>
      <c r="C721" s="827"/>
      <c r="D721" s="871"/>
      <c r="E721" s="1400" t="s">
        <v>177</v>
      </c>
      <c r="F721" s="1400" t="s">
        <v>18</v>
      </c>
      <c r="G721" s="1389" t="s">
        <v>19</v>
      </c>
      <c r="H721" s="1390"/>
      <c r="I721" s="1389" t="s">
        <v>22</v>
      </c>
      <c r="J721" s="1390"/>
      <c r="K721" s="1393" t="s">
        <v>26</v>
      </c>
      <c r="L721" s="1390"/>
      <c r="M721" s="1389" t="s">
        <v>392</v>
      </c>
      <c r="N721" s="1390"/>
      <c r="O721" s="1389" t="s">
        <v>28</v>
      </c>
      <c r="P721" s="1393"/>
      <c r="Q721" s="1390"/>
      <c r="R721" s="1400" t="s">
        <v>36</v>
      </c>
      <c r="S721" s="361"/>
      <c r="T721" s="361">
        <f>MAX(J725:J739)-MIN(I725:I739)</f>
        <v>4.861111111111116E-2</v>
      </c>
      <c r="U721" s="361"/>
      <c r="V721" s="853" t="str">
        <f t="shared" ref="V721" si="78">B725</f>
        <v>A145</v>
      </c>
      <c r="W721" s="361">
        <f t="shared" ref="W721" si="79">COUNTIF(K726:K740,"&gt;0")</f>
        <v>4</v>
      </c>
    </row>
    <row r="722" spans="1:23">
      <c r="A722" s="1401"/>
      <c r="B722" s="1401"/>
      <c r="C722" s="828"/>
      <c r="D722" s="872"/>
      <c r="E722" s="1401"/>
      <c r="F722" s="1401"/>
      <c r="G722" s="1391"/>
      <c r="H722" s="1392"/>
      <c r="I722" s="1391"/>
      <c r="J722" s="1392"/>
      <c r="K722" s="1394"/>
      <c r="L722" s="1392"/>
      <c r="M722" s="1391"/>
      <c r="N722" s="1392"/>
      <c r="O722" s="1391"/>
      <c r="P722" s="1394"/>
      <c r="Q722" s="1392"/>
      <c r="R722" s="1401"/>
      <c r="S722" s="361"/>
      <c r="T722" s="361"/>
      <c r="U722" s="361"/>
      <c r="V722" s="361"/>
      <c r="W722" s="361"/>
    </row>
    <row r="723" spans="1:23">
      <c r="A723" s="1401"/>
      <c r="B723" s="1401"/>
      <c r="C723" s="828"/>
      <c r="D723" s="872"/>
      <c r="E723" s="1401"/>
      <c r="F723" s="1401"/>
      <c r="G723" s="1400" t="s">
        <v>20</v>
      </c>
      <c r="H723" s="1400" t="s">
        <v>21</v>
      </c>
      <c r="I723" s="1400" t="s">
        <v>361</v>
      </c>
      <c r="J723" s="1400" t="s">
        <v>353</v>
      </c>
      <c r="K723" s="1400" t="s">
        <v>23</v>
      </c>
      <c r="L723" s="1400" t="s">
        <v>24</v>
      </c>
      <c r="M723" s="1400" t="s">
        <v>27</v>
      </c>
      <c r="N723" s="1400" t="s">
        <v>178</v>
      </c>
      <c r="O723" s="1400" t="s">
        <v>1</v>
      </c>
      <c r="P723" s="1400" t="s">
        <v>29</v>
      </c>
      <c r="Q723" s="1400" t="s">
        <v>33</v>
      </c>
      <c r="R723" s="1401"/>
      <c r="S723" s="361"/>
      <c r="T723" s="361" t="s">
        <v>39</v>
      </c>
      <c r="U723" s="362">
        <f>VLOOKUP(B725,'Thong tin'!$A:$M,13,0)</f>
        <v>1200</v>
      </c>
      <c r="V723" s="361"/>
      <c r="W723" s="361"/>
    </row>
    <row r="724" spans="1:23">
      <c r="A724" s="1402"/>
      <c r="B724" s="1402"/>
      <c r="C724" s="829"/>
      <c r="D724" s="873"/>
      <c r="E724" s="1402"/>
      <c r="F724" s="1402"/>
      <c r="G724" s="1402"/>
      <c r="H724" s="1402"/>
      <c r="I724" s="1402"/>
      <c r="J724" s="1402"/>
      <c r="K724" s="1402"/>
      <c r="L724" s="1402"/>
      <c r="M724" s="1402"/>
      <c r="N724" s="1402"/>
      <c r="O724" s="1402"/>
      <c r="P724" s="1402"/>
      <c r="Q724" s="1402"/>
      <c r="R724" s="1402"/>
      <c r="S724" s="361"/>
      <c r="T724" s="1399" t="s">
        <v>393</v>
      </c>
      <c r="U724" s="1397">
        <f>VLOOKUP(B725,DT.NK!$B:$AZ,45,0)</f>
        <v>31.52</v>
      </c>
      <c r="V724" s="361"/>
      <c r="W724" s="361"/>
    </row>
    <row r="725" spans="1:23">
      <c r="A725" s="1409">
        <f>A705+1</f>
        <v>37</v>
      </c>
      <c r="B725" s="1412" t="s">
        <v>536</v>
      </c>
      <c r="C725" s="844" t="s">
        <v>983</v>
      </c>
      <c r="D725" s="874" t="str">
        <f>B725&amp;C725</f>
        <v>A145a</v>
      </c>
      <c r="E725" s="363"/>
      <c r="F725" s="364"/>
      <c r="G725" s="364"/>
      <c r="H725" s="364"/>
      <c r="I725" s="364"/>
      <c r="J725" s="364"/>
      <c r="K725" s="364"/>
      <c r="L725" s="364"/>
      <c r="M725" s="674"/>
      <c r="N725" s="670"/>
      <c r="O725" s="670">
        <f>U724</f>
        <v>31.52</v>
      </c>
      <c r="P725" s="670">
        <f>O725</f>
        <v>31.52</v>
      </c>
      <c r="Q725" s="670">
        <v>0</v>
      </c>
      <c r="R725" s="365"/>
      <c r="S725" s="366"/>
      <c r="T725" s="1399"/>
      <c r="U725" s="1398"/>
      <c r="V725" s="361"/>
      <c r="W725" s="361"/>
    </row>
    <row r="726" spans="1:23">
      <c r="A726" s="1410"/>
      <c r="B726" s="1413"/>
      <c r="C726" s="845" t="s">
        <v>984</v>
      </c>
      <c r="D726" s="875" t="str">
        <f>B725&amp;C726</f>
        <v>A145b</v>
      </c>
      <c r="E726" s="367">
        <v>1</v>
      </c>
      <c r="F726" s="669" t="s">
        <v>1073</v>
      </c>
      <c r="G726" s="369">
        <v>0.65416666666666667</v>
      </c>
      <c r="H726" s="368">
        <v>0.67708333333333337</v>
      </c>
      <c r="I726" s="369">
        <v>0.69791666666666663</v>
      </c>
      <c r="J726" s="368">
        <v>0.70138888888888884</v>
      </c>
      <c r="K726" s="669">
        <v>7</v>
      </c>
      <c r="L726" s="669">
        <v>19</v>
      </c>
      <c r="M726" s="675">
        <v>31</v>
      </c>
      <c r="N726" s="671">
        <f>IF(M726-P726&gt;0,M726-P726,0)</f>
        <v>5</v>
      </c>
      <c r="O726" s="671">
        <f>O725-K726/(PI()*(U723/2000)^2)</f>
        <v>25.330641101981847</v>
      </c>
      <c r="P726" s="672">
        <v>26</v>
      </c>
      <c r="Q726" s="673">
        <f>ABS(O726-P726)</f>
        <v>0.66935889801815307</v>
      </c>
      <c r="R726" s="375" t="s">
        <v>188</v>
      </c>
      <c r="S726" s="366"/>
      <c r="T726" s="376"/>
      <c r="U726" s="376"/>
      <c r="V726" s="366"/>
      <c r="W726" s="366"/>
    </row>
    <row r="727" spans="1:23">
      <c r="A727" s="1410"/>
      <c r="B727" s="1413"/>
      <c r="C727" s="845" t="s">
        <v>985</v>
      </c>
      <c r="D727" s="875" t="str">
        <f>B725&amp;C727</f>
        <v>A145c</v>
      </c>
      <c r="E727" s="367">
        <v>2</v>
      </c>
      <c r="F727" s="669" t="s">
        <v>1077</v>
      </c>
      <c r="G727" s="369">
        <v>0.66111111111111109</v>
      </c>
      <c r="H727" s="368">
        <v>0.68611111111111101</v>
      </c>
      <c r="I727" s="369">
        <v>0.70833333333333337</v>
      </c>
      <c r="J727" s="368">
        <v>0.71180555555555547</v>
      </c>
      <c r="K727" s="669">
        <v>8</v>
      </c>
      <c r="L727" s="669">
        <v>19</v>
      </c>
      <c r="M727" s="675">
        <v>24.7</v>
      </c>
      <c r="N727" s="671">
        <f>IF(M727-P727&gt;0,M727-P727,0)</f>
        <v>5.6999999999999993</v>
      </c>
      <c r="O727" s="671">
        <f>O726-K727/(PI()*(U723/2000)^2)</f>
        <v>18.257088075675387</v>
      </c>
      <c r="P727" s="672">
        <v>19</v>
      </c>
      <c r="Q727" s="673">
        <f>ABS(O727-P727)</f>
        <v>0.74291192432461273</v>
      </c>
      <c r="R727" s="375" t="s">
        <v>188</v>
      </c>
      <c r="S727" s="366"/>
      <c r="T727" s="376"/>
      <c r="U727" s="376"/>
      <c r="V727" s="366"/>
      <c r="W727" s="366"/>
    </row>
    <row r="728" spans="1:23">
      <c r="A728" s="1410"/>
      <c r="B728" s="1413"/>
      <c r="C728" s="845" t="s">
        <v>986</v>
      </c>
      <c r="D728" s="875" t="str">
        <f>B725&amp;C728</f>
        <v>A145d</v>
      </c>
      <c r="E728" s="367">
        <v>3</v>
      </c>
      <c r="F728" s="669" t="s">
        <v>1050</v>
      </c>
      <c r="G728" s="369">
        <v>0.67152777777777783</v>
      </c>
      <c r="H728" s="368">
        <v>0.70138888888888884</v>
      </c>
      <c r="I728" s="369">
        <v>0.72222222222222221</v>
      </c>
      <c r="J728" s="368">
        <v>0.72569444444444453</v>
      </c>
      <c r="K728" s="669">
        <v>7</v>
      </c>
      <c r="L728" s="669">
        <v>18.5</v>
      </c>
      <c r="M728" s="675">
        <v>18.399999999999999</v>
      </c>
      <c r="N728" s="671">
        <f>IF(M728-P728&gt;0,M728-P728,0)</f>
        <v>5.4999999999999982</v>
      </c>
      <c r="O728" s="671">
        <f>O727-K728/(PI()*(U723/2000)^2)</f>
        <v>12.067729177657235</v>
      </c>
      <c r="P728" s="672">
        <v>12.9</v>
      </c>
      <c r="Q728" s="673">
        <f>ABS(O728-P728)</f>
        <v>0.83227082234276573</v>
      </c>
      <c r="R728" s="375" t="s">
        <v>188</v>
      </c>
      <c r="S728" s="366"/>
      <c r="T728" s="376"/>
      <c r="U728" s="376"/>
      <c r="V728" s="366"/>
      <c r="W728" s="366"/>
    </row>
    <row r="729" spans="1:23">
      <c r="A729" s="1410"/>
      <c r="B729" s="1413"/>
      <c r="C729" s="845" t="s">
        <v>987</v>
      </c>
      <c r="D729" s="875" t="str">
        <f>B725&amp;C729</f>
        <v>A145e</v>
      </c>
      <c r="E729" s="367">
        <v>4</v>
      </c>
      <c r="F729" s="669" t="s">
        <v>1077</v>
      </c>
      <c r="G729" s="369">
        <v>0.72916666666666663</v>
      </c>
      <c r="H729" s="368">
        <v>0.7402777777777777</v>
      </c>
      <c r="I729" s="369">
        <v>0.74305555555555547</v>
      </c>
      <c r="J729" s="368">
        <v>0.74652777777777779</v>
      </c>
      <c r="K729" s="370">
        <v>7</v>
      </c>
      <c r="L729" s="370">
        <v>19</v>
      </c>
      <c r="M729" s="371">
        <v>12.1</v>
      </c>
      <c r="N729" s="671">
        <f>IF(M729-P729&gt;0,M729-P729,0)</f>
        <v>5.6</v>
      </c>
      <c r="O729" s="671">
        <f>O728-K729/(PI()*(U723/2000)^2)</f>
        <v>5.8783702796390829</v>
      </c>
      <c r="P729" s="373">
        <v>6.5</v>
      </c>
      <c r="Q729" s="673">
        <f>ABS(O729-P729)</f>
        <v>0.62162972036091713</v>
      </c>
      <c r="R729" s="375"/>
      <c r="S729" s="366"/>
      <c r="T729" s="376"/>
      <c r="U729" s="376"/>
      <c r="V729" s="366"/>
      <c r="W729" s="366"/>
    </row>
    <row r="730" spans="1:23">
      <c r="A730" s="1410"/>
      <c r="B730" s="1413"/>
      <c r="C730" s="845" t="s">
        <v>988</v>
      </c>
      <c r="D730" s="875" t="str">
        <f>B725&amp;C730</f>
        <v>A145f</v>
      </c>
      <c r="E730" s="367">
        <v>5</v>
      </c>
      <c r="F730" s="669"/>
      <c r="G730" s="369"/>
      <c r="H730" s="368"/>
      <c r="I730" s="369"/>
      <c r="J730" s="368"/>
      <c r="K730" s="370"/>
      <c r="L730" s="370"/>
      <c r="M730" s="371"/>
      <c r="N730" s="671"/>
      <c r="O730" s="671"/>
      <c r="P730" s="373"/>
      <c r="Q730" s="673"/>
      <c r="R730" s="377"/>
      <c r="S730" s="366" t="s">
        <v>190</v>
      </c>
      <c r="T730" s="376"/>
      <c r="U730" s="376"/>
      <c r="V730" s="366"/>
      <c r="W730" s="366"/>
    </row>
    <row r="731" spans="1:23">
      <c r="A731" s="1410"/>
      <c r="B731" s="1413"/>
      <c r="C731" s="845" t="s">
        <v>989</v>
      </c>
      <c r="D731" s="875" t="str">
        <f>B725&amp;C731</f>
        <v>A145g</v>
      </c>
      <c r="E731" s="367">
        <v>6</v>
      </c>
      <c r="F731" s="669"/>
      <c r="G731" s="369"/>
      <c r="H731" s="368"/>
      <c r="I731" s="369"/>
      <c r="J731" s="368"/>
      <c r="K731" s="370"/>
      <c r="L731" s="370"/>
      <c r="M731" s="371"/>
      <c r="N731" s="671"/>
      <c r="O731" s="671"/>
      <c r="P731" s="373"/>
      <c r="Q731" s="673"/>
      <c r="R731" s="375"/>
      <c r="S731" s="366" t="s">
        <v>190</v>
      </c>
      <c r="T731" s="366"/>
      <c r="U731" s="366"/>
      <c r="V731" s="366"/>
      <c r="W731" s="366"/>
    </row>
    <row r="732" spans="1:23">
      <c r="A732" s="1410"/>
      <c r="B732" s="1413"/>
      <c r="C732" s="845" t="s">
        <v>990</v>
      </c>
      <c r="D732" s="875" t="str">
        <f>B725&amp;C732</f>
        <v>A145h</v>
      </c>
      <c r="E732" s="367">
        <v>7</v>
      </c>
      <c r="F732" s="669"/>
      <c r="G732" s="368"/>
      <c r="H732" s="368"/>
      <c r="I732" s="368"/>
      <c r="J732" s="368"/>
      <c r="K732" s="370"/>
      <c r="L732" s="370"/>
      <c r="M732" s="371"/>
      <c r="N732" s="671"/>
      <c r="O732" s="671"/>
      <c r="P732" s="373"/>
      <c r="Q732" s="673"/>
      <c r="R732" s="377"/>
      <c r="S732" s="366" t="s">
        <v>190</v>
      </c>
      <c r="T732" s="366"/>
      <c r="U732" s="366"/>
      <c r="V732" s="366"/>
      <c r="W732" s="366"/>
    </row>
    <row r="733" spans="1:23">
      <c r="A733" s="1410"/>
      <c r="B733" s="1413"/>
      <c r="C733" s="845" t="s">
        <v>991</v>
      </c>
      <c r="D733" s="875" t="str">
        <f>B725&amp;C733</f>
        <v>A145i</v>
      </c>
      <c r="E733" s="367">
        <v>8</v>
      </c>
      <c r="F733" s="669"/>
      <c r="G733" s="368"/>
      <c r="H733" s="368"/>
      <c r="I733" s="368"/>
      <c r="J733" s="368"/>
      <c r="K733" s="370"/>
      <c r="L733" s="370"/>
      <c r="M733" s="371"/>
      <c r="N733" s="671"/>
      <c r="O733" s="671"/>
      <c r="P733" s="373"/>
      <c r="Q733" s="673"/>
      <c r="R733" s="378"/>
      <c r="S733" s="366"/>
      <c r="T733" s="366"/>
      <c r="U733" s="366"/>
      <c r="V733" s="366"/>
      <c r="W733" s="366"/>
    </row>
    <row r="734" spans="1:23">
      <c r="A734" s="1410"/>
      <c r="B734" s="1413"/>
      <c r="C734" s="845" t="s">
        <v>992</v>
      </c>
      <c r="D734" s="875" t="str">
        <f>B725&amp;C734</f>
        <v>A145k</v>
      </c>
      <c r="E734" s="367">
        <v>9</v>
      </c>
      <c r="F734" s="370"/>
      <c r="G734" s="368"/>
      <c r="H734" s="368"/>
      <c r="I734" s="368"/>
      <c r="J734" s="368"/>
      <c r="K734" s="370"/>
      <c r="L734" s="370"/>
      <c r="M734" s="371"/>
      <c r="N734" s="372"/>
      <c r="O734" s="372"/>
      <c r="P734" s="373"/>
      <c r="Q734" s="374"/>
      <c r="R734" s="378"/>
      <c r="S734" s="379"/>
      <c r="T734" s="366"/>
      <c r="U734" s="366"/>
      <c r="V734" s="366"/>
      <c r="W734" s="366"/>
    </row>
    <row r="735" spans="1:23">
      <c r="A735" s="1410"/>
      <c r="B735" s="1413"/>
      <c r="C735" s="845" t="s">
        <v>993</v>
      </c>
      <c r="D735" s="875" t="str">
        <f>B725&amp;C735</f>
        <v>A145l</v>
      </c>
      <c r="E735" s="367">
        <v>10</v>
      </c>
      <c r="F735" s="370"/>
      <c r="G735" s="368"/>
      <c r="H735" s="368"/>
      <c r="I735" s="368"/>
      <c r="J735" s="368"/>
      <c r="K735" s="370"/>
      <c r="L735" s="370"/>
      <c r="M735" s="370"/>
      <c r="N735" s="372"/>
      <c r="O735" s="372"/>
      <c r="P735" s="373"/>
      <c r="Q735" s="374"/>
      <c r="R735" s="378"/>
      <c r="S735" s="379"/>
      <c r="T735" s="366"/>
      <c r="U735" s="366"/>
      <c r="V735" s="366"/>
      <c r="W735" s="366"/>
    </row>
    <row r="736" spans="1:23">
      <c r="A736" s="1410"/>
      <c r="B736" s="1413"/>
      <c r="C736" s="845" t="s">
        <v>994</v>
      </c>
      <c r="D736" s="875" t="str">
        <f>B725&amp;C736</f>
        <v>A145m</v>
      </c>
      <c r="E736" s="367">
        <v>11</v>
      </c>
      <c r="F736" s="370"/>
      <c r="G736" s="368"/>
      <c r="H736" s="368"/>
      <c r="I736" s="368"/>
      <c r="J736" s="368"/>
      <c r="K736" s="370"/>
      <c r="L736" s="370"/>
      <c r="M736" s="370"/>
      <c r="N736" s="372"/>
      <c r="O736" s="372"/>
      <c r="P736" s="380"/>
      <c r="Q736" s="374"/>
      <c r="R736" s="381"/>
      <c r="S736" s="379"/>
      <c r="T736" s="366"/>
      <c r="U736" s="366"/>
      <c r="V736" s="366"/>
      <c r="W736" s="366"/>
    </row>
    <row r="737" spans="1:23">
      <c r="A737" s="1410"/>
      <c r="B737" s="1413"/>
      <c r="C737" s="845" t="s">
        <v>995</v>
      </c>
      <c r="D737" s="875" t="str">
        <f>B725&amp;C737</f>
        <v>A145n</v>
      </c>
      <c r="E737" s="367">
        <v>12</v>
      </c>
      <c r="F737" s="370"/>
      <c r="G737" s="368"/>
      <c r="H737" s="368"/>
      <c r="I737" s="368"/>
      <c r="J737" s="368"/>
      <c r="K737" s="370"/>
      <c r="L737" s="370"/>
      <c r="M737" s="370"/>
      <c r="N737" s="372"/>
      <c r="O737" s="372"/>
      <c r="P737" s="380"/>
      <c r="Q737" s="374"/>
      <c r="R737" s="381"/>
      <c r="S737" s="361"/>
      <c r="T737" s="361"/>
      <c r="U737" s="361"/>
      <c r="V737" s="366"/>
      <c r="W737" s="366"/>
    </row>
    <row r="738" spans="1:23">
      <c r="A738" s="1410"/>
      <c r="B738" s="1413"/>
      <c r="C738" s="845" t="s">
        <v>471</v>
      </c>
      <c r="D738" s="875" t="str">
        <f>B725&amp;C738</f>
        <v>A145x</v>
      </c>
      <c r="E738" s="367">
        <v>13</v>
      </c>
      <c r="F738" s="370"/>
      <c r="G738" s="368"/>
      <c r="H738" s="368"/>
      <c r="I738" s="368"/>
      <c r="J738" s="368"/>
      <c r="K738" s="370"/>
      <c r="L738" s="370"/>
      <c r="M738" s="370"/>
      <c r="N738" s="382"/>
      <c r="O738" s="372"/>
      <c r="P738" s="380"/>
      <c r="Q738" s="381"/>
      <c r="R738" s="381"/>
      <c r="S738" s="361"/>
      <c r="T738" s="361"/>
      <c r="U738" s="361"/>
      <c r="V738" s="366"/>
      <c r="W738" s="366"/>
    </row>
    <row r="739" spans="1:23">
      <c r="A739" s="1410"/>
      <c r="B739" s="1413"/>
      <c r="C739" s="845" t="s">
        <v>732</v>
      </c>
      <c r="D739" s="875" t="str">
        <f>B725&amp;C739</f>
        <v>A145y</v>
      </c>
      <c r="E739" s="367">
        <v>14</v>
      </c>
      <c r="F739" s="370"/>
      <c r="G739" s="368"/>
      <c r="H739" s="368"/>
      <c r="I739" s="368"/>
      <c r="J739" s="368"/>
      <c r="K739" s="370"/>
      <c r="L739" s="370"/>
      <c r="M739" s="370"/>
      <c r="N739" s="382"/>
      <c r="O739" s="372"/>
      <c r="P739" s="380"/>
      <c r="Q739" s="381"/>
      <c r="R739" s="381"/>
      <c r="S739" s="361"/>
      <c r="T739" s="361"/>
      <c r="U739" s="362"/>
      <c r="V739" s="366"/>
      <c r="W739" s="366"/>
    </row>
    <row r="740" spans="1:23">
      <c r="A740" s="1411"/>
      <c r="B740" s="1414"/>
      <c r="C740" s="846" t="s">
        <v>996</v>
      </c>
      <c r="D740" s="876" t="str">
        <f>B725&amp;C740</f>
        <v>A145z</v>
      </c>
      <c r="E740" s="847">
        <v>15</v>
      </c>
      <c r="F740" s="370"/>
      <c r="G740" s="368"/>
      <c r="H740" s="368"/>
      <c r="I740" s="368"/>
      <c r="J740" s="368"/>
      <c r="K740" s="370"/>
      <c r="L740" s="370"/>
      <c r="M740" s="370"/>
      <c r="N740" s="850"/>
      <c r="O740" s="851"/>
      <c r="P740" s="851"/>
      <c r="Q740" s="852"/>
      <c r="R740" s="383"/>
      <c r="S740" s="361"/>
      <c r="T740" s="832"/>
      <c r="U740" s="830"/>
      <c r="V740" s="366"/>
      <c r="W740" s="366"/>
    </row>
    <row r="741" spans="1:23">
      <c r="A741" s="1400" t="s">
        <v>939</v>
      </c>
      <c r="B741" s="1400"/>
      <c r="C741" s="827"/>
      <c r="D741" s="871"/>
      <c r="E741" s="1400" t="s">
        <v>177</v>
      </c>
      <c r="F741" s="1400" t="s">
        <v>18</v>
      </c>
      <c r="G741" s="1389" t="s">
        <v>19</v>
      </c>
      <c r="H741" s="1390"/>
      <c r="I741" s="1389" t="s">
        <v>22</v>
      </c>
      <c r="J741" s="1390"/>
      <c r="K741" s="1393" t="s">
        <v>26</v>
      </c>
      <c r="L741" s="1390"/>
      <c r="M741" s="1389" t="s">
        <v>392</v>
      </c>
      <c r="N741" s="1390"/>
      <c r="O741" s="1389" t="s">
        <v>28</v>
      </c>
      <c r="P741" s="1393"/>
      <c r="Q741" s="1390"/>
      <c r="R741" s="1400" t="s">
        <v>36</v>
      </c>
      <c r="S741" s="361"/>
      <c r="T741" s="361">
        <f>MAX(J745:J759)-MIN(I745:I759)</f>
        <v>0.14444444444444446</v>
      </c>
      <c r="U741" s="361"/>
      <c r="V741" s="853" t="str">
        <f t="shared" ref="V741" si="80">B745</f>
        <v>A31</v>
      </c>
      <c r="W741" s="361">
        <f t="shared" ref="W741" si="81">COUNTIF(K746:K760,"&gt;0")</f>
        <v>5</v>
      </c>
    </row>
    <row r="742" spans="1:23">
      <c r="A742" s="1401"/>
      <c r="B742" s="1401"/>
      <c r="C742" s="828"/>
      <c r="D742" s="872"/>
      <c r="E742" s="1401"/>
      <c r="F742" s="1401"/>
      <c r="G742" s="1391"/>
      <c r="H742" s="1392"/>
      <c r="I742" s="1391"/>
      <c r="J742" s="1392"/>
      <c r="K742" s="1394"/>
      <c r="L742" s="1392"/>
      <c r="M742" s="1391"/>
      <c r="N742" s="1392"/>
      <c r="O742" s="1391"/>
      <c r="P742" s="1394"/>
      <c r="Q742" s="1392"/>
      <c r="R742" s="1401"/>
      <c r="S742" s="361"/>
      <c r="T742" s="361"/>
      <c r="U742" s="361"/>
      <c r="V742" s="361"/>
      <c r="W742" s="361"/>
    </row>
    <row r="743" spans="1:23">
      <c r="A743" s="1401"/>
      <c r="B743" s="1401"/>
      <c r="C743" s="828"/>
      <c r="D743" s="872"/>
      <c r="E743" s="1401"/>
      <c r="F743" s="1401"/>
      <c r="G743" s="1400" t="s">
        <v>20</v>
      </c>
      <c r="H743" s="1400" t="s">
        <v>21</v>
      </c>
      <c r="I743" s="1400" t="s">
        <v>361</v>
      </c>
      <c r="J743" s="1400" t="s">
        <v>353</v>
      </c>
      <c r="K743" s="1400" t="s">
        <v>23</v>
      </c>
      <c r="L743" s="1400" t="s">
        <v>24</v>
      </c>
      <c r="M743" s="1400" t="s">
        <v>27</v>
      </c>
      <c r="N743" s="1400" t="s">
        <v>178</v>
      </c>
      <c r="O743" s="1400" t="s">
        <v>1</v>
      </c>
      <c r="P743" s="1400" t="s">
        <v>29</v>
      </c>
      <c r="Q743" s="1400" t="s">
        <v>33</v>
      </c>
      <c r="R743" s="1401"/>
      <c r="S743" s="361"/>
      <c r="T743" s="361" t="s">
        <v>39</v>
      </c>
      <c r="U743" s="362">
        <f>VLOOKUP(B745,'Thong tin'!$A:$M,13,0)</f>
        <v>1200</v>
      </c>
      <c r="V743" s="361"/>
      <c r="W743" s="361"/>
    </row>
    <row r="744" spans="1:23">
      <c r="A744" s="1402"/>
      <c r="B744" s="1402"/>
      <c r="C744" s="829"/>
      <c r="D744" s="873"/>
      <c r="E744" s="1402"/>
      <c r="F744" s="1402"/>
      <c r="G744" s="1402"/>
      <c r="H744" s="1402"/>
      <c r="I744" s="1402"/>
      <c r="J744" s="1402"/>
      <c r="K744" s="1402"/>
      <c r="L744" s="1402"/>
      <c r="M744" s="1402"/>
      <c r="N744" s="1402"/>
      <c r="O744" s="1402"/>
      <c r="P744" s="1402"/>
      <c r="Q744" s="1402"/>
      <c r="R744" s="1402"/>
      <c r="S744" s="361"/>
      <c r="T744" s="1399" t="s">
        <v>393</v>
      </c>
      <c r="U744" s="1397">
        <f>VLOOKUP(B745,DT.NK!$B:$AZ,45,0)</f>
        <v>32.4</v>
      </c>
      <c r="V744" s="361"/>
      <c r="W744" s="361"/>
    </row>
    <row r="745" spans="1:23">
      <c r="A745" s="1409">
        <f>A725+1</f>
        <v>38</v>
      </c>
      <c r="B745" s="1412" t="s">
        <v>637</v>
      </c>
      <c r="C745" s="844" t="s">
        <v>983</v>
      </c>
      <c r="D745" s="874" t="str">
        <f>B745&amp;C745</f>
        <v>A31a</v>
      </c>
      <c r="E745" s="363"/>
      <c r="F745" s="364"/>
      <c r="G745" s="364"/>
      <c r="H745" s="364"/>
      <c r="I745" s="364"/>
      <c r="J745" s="364"/>
      <c r="K745" s="364"/>
      <c r="L745" s="364"/>
      <c r="M745" s="674"/>
      <c r="N745" s="670"/>
      <c r="O745" s="670">
        <f>U744</f>
        <v>32.4</v>
      </c>
      <c r="P745" s="670">
        <f>O745</f>
        <v>32.4</v>
      </c>
      <c r="Q745" s="670">
        <v>0</v>
      </c>
      <c r="R745" s="365"/>
      <c r="S745" s="366"/>
      <c r="T745" s="1399"/>
      <c r="U745" s="1398"/>
      <c r="V745" s="361"/>
      <c r="W745" s="361"/>
    </row>
    <row r="746" spans="1:23">
      <c r="A746" s="1410"/>
      <c r="B746" s="1413"/>
      <c r="C746" s="845" t="s">
        <v>984</v>
      </c>
      <c r="D746" s="875" t="str">
        <f>B745&amp;C746</f>
        <v>A31b</v>
      </c>
      <c r="E746" s="367">
        <v>1</v>
      </c>
      <c r="F746" s="669" t="s">
        <v>1014</v>
      </c>
      <c r="G746" s="369">
        <v>8.0555555555555561E-2</v>
      </c>
      <c r="H746" s="368">
        <v>0.11458333333333333</v>
      </c>
      <c r="I746" s="369">
        <v>0.16319444444444445</v>
      </c>
      <c r="J746" s="368">
        <v>0.17013888888888887</v>
      </c>
      <c r="K746" s="669">
        <v>10</v>
      </c>
      <c r="L746" s="669">
        <v>19</v>
      </c>
      <c r="M746" s="675">
        <v>32.4</v>
      </c>
      <c r="N746" s="671">
        <f>IF(M746-P746&gt;0,M746-P746,0)</f>
        <v>0.59999999999999787</v>
      </c>
      <c r="O746" s="671">
        <f>O745-K746/(PI()*(U743/2000)^2)</f>
        <v>23.558058717116925</v>
      </c>
      <c r="P746" s="672">
        <v>31.8</v>
      </c>
      <c r="Q746" s="673">
        <f>ABS(O746-P746)</f>
        <v>8.2419412828830758</v>
      </c>
      <c r="R746" s="375" t="s">
        <v>188</v>
      </c>
      <c r="S746" s="366"/>
      <c r="T746" s="376"/>
      <c r="U746" s="376"/>
      <c r="V746" s="366"/>
      <c r="W746" s="366"/>
    </row>
    <row r="747" spans="1:23">
      <c r="A747" s="1410"/>
      <c r="B747" s="1413"/>
      <c r="C747" s="845" t="s">
        <v>985</v>
      </c>
      <c r="D747" s="875" t="str">
        <f>B745&amp;C747</f>
        <v>A31c</v>
      </c>
      <c r="E747" s="367">
        <v>2</v>
      </c>
      <c r="F747" s="669" t="s">
        <v>981</v>
      </c>
      <c r="G747" s="369">
        <v>0.11805555555555557</v>
      </c>
      <c r="H747" s="368">
        <v>0.15277777777777776</v>
      </c>
      <c r="I747" s="369">
        <v>0.17361111111111113</v>
      </c>
      <c r="J747" s="368">
        <v>0.18055555555555555</v>
      </c>
      <c r="K747" s="669">
        <v>10</v>
      </c>
      <c r="L747" s="669">
        <v>18.5</v>
      </c>
      <c r="M747" s="675">
        <v>31.4</v>
      </c>
      <c r="N747" s="671">
        <f>IF(M747-P747&gt;0,M747-P747,0)</f>
        <v>4.3999999999999986</v>
      </c>
      <c r="O747" s="671">
        <f>O746-K747/(PI()*(U743/2000)^2)</f>
        <v>14.716117434233851</v>
      </c>
      <c r="P747" s="672">
        <v>27</v>
      </c>
      <c r="Q747" s="673">
        <f>ABS(O747-P747)</f>
        <v>12.283882565766149</v>
      </c>
      <c r="R747" s="375" t="s">
        <v>188</v>
      </c>
      <c r="S747" s="366"/>
      <c r="T747" s="376"/>
      <c r="U747" s="376"/>
      <c r="V747" s="366"/>
      <c r="W747" s="366"/>
    </row>
    <row r="748" spans="1:23">
      <c r="A748" s="1410"/>
      <c r="B748" s="1413"/>
      <c r="C748" s="845" t="s">
        <v>986</v>
      </c>
      <c r="D748" s="875" t="str">
        <f>B745&amp;C748</f>
        <v>A31d</v>
      </c>
      <c r="E748" s="367">
        <v>3</v>
      </c>
      <c r="F748" s="669" t="s">
        <v>1019</v>
      </c>
      <c r="G748" s="369">
        <v>0.12361111111111112</v>
      </c>
      <c r="H748" s="368">
        <v>0.15625</v>
      </c>
      <c r="I748" s="369">
        <v>0.19027777777777777</v>
      </c>
      <c r="J748" s="368">
        <v>0.19930555555555554</v>
      </c>
      <c r="K748" s="669">
        <v>10</v>
      </c>
      <c r="L748" s="669">
        <v>18</v>
      </c>
      <c r="M748" s="675">
        <v>25.1</v>
      </c>
      <c r="N748" s="671">
        <f>IF(M748-P748&gt;0,M748-P748,0)</f>
        <v>5.8000000000000007</v>
      </c>
      <c r="O748" s="671">
        <f>O747-K748/(PI()*(U743/2000)^2)</f>
        <v>5.8741761513507775</v>
      </c>
      <c r="P748" s="672">
        <v>19.3</v>
      </c>
      <c r="Q748" s="673">
        <f>ABS(O748-P748)</f>
        <v>13.425823848649223</v>
      </c>
      <c r="R748" s="375" t="s">
        <v>188</v>
      </c>
      <c r="S748" s="366"/>
      <c r="T748" s="376"/>
      <c r="U748" s="376"/>
      <c r="V748" s="366"/>
      <c r="W748" s="366"/>
    </row>
    <row r="749" spans="1:23">
      <c r="A749" s="1410"/>
      <c r="B749" s="1413"/>
      <c r="C749" s="845" t="s">
        <v>987</v>
      </c>
      <c r="D749" s="875" t="str">
        <f>B745&amp;C749</f>
        <v>A31e</v>
      </c>
      <c r="E749" s="367">
        <v>4</v>
      </c>
      <c r="F749" s="669" t="s">
        <v>1014</v>
      </c>
      <c r="G749" s="369">
        <v>0.19583333333333333</v>
      </c>
      <c r="H749" s="368">
        <v>0.23263888888888887</v>
      </c>
      <c r="I749" s="369">
        <v>0.23611111111111113</v>
      </c>
      <c r="J749" s="368">
        <v>0.24166666666666667</v>
      </c>
      <c r="K749" s="370">
        <v>10</v>
      </c>
      <c r="L749" s="370">
        <v>18.5</v>
      </c>
      <c r="M749" s="371">
        <v>15.65</v>
      </c>
      <c r="N749" s="671">
        <f>IF(M749-P749&gt;0,M749-P749,0)</f>
        <v>5.65</v>
      </c>
      <c r="O749" s="671">
        <f>O748-K749/(PI()*(U743/2000)^2)</f>
        <v>-2.9677651315322962</v>
      </c>
      <c r="P749" s="373">
        <v>10</v>
      </c>
      <c r="Q749" s="673">
        <f>ABS(O749-P749)</f>
        <v>12.967765131532296</v>
      </c>
      <c r="R749" s="375"/>
      <c r="S749" s="366"/>
      <c r="T749" s="376"/>
      <c r="U749" s="376"/>
      <c r="V749" s="366"/>
      <c r="W749" s="366"/>
    </row>
    <row r="750" spans="1:23">
      <c r="A750" s="1410"/>
      <c r="B750" s="1413"/>
      <c r="C750" s="845" t="s">
        <v>988</v>
      </c>
      <c r="D750" s="875" t="str">
        <f>B745&amp;C750</f>
        <v>A31f</v>
      </c>
      <c r="E750" s="367">
        <v>5</v>
      </c>
      <c r="F750" s="669" t="s">
        <v>1014</v>
      </c>
      <c r="G750" s="369">
        <v>0.27777777777777779</v>
      </c>
      <c r="H750" s="368">
        <v>0.30208333333333331</v>
      </c>
      <c r="I750" s="369">
        <v>0.30416666666666664</v>
      </c>
      <c r="J750" s="368">
        <v>0.30763888888888891</v>
      </c>
      <c r="K750" s="370">
        <v>4.5</v>
      </c>
      <c r="L750" s="370">
        <v>18</v>
      </c>
      <c r="M750" s="371">
        <v>12.5</v>
      </c>
      <c r="N750" s="671">
        <f>IF(M750-P750&gt;0,M750-P750,0)</f>
        <v>5.5</v>
      </c>
      <c r="O750" s="671">
        <f>O749-K750/(PI()*(U743/2000)^2)</f>
        <v>-6.9466387088296795</v>
      </c>
      <c r="P750" s="373">
        <v>7</v>
      </c>
      <c r="Q750" s="673">
        <f>ABS(O750-P750)</f>
        <v>13.946638708829679</v>
      </c>
      <c r="R750" s="377"/>
      <c r="S750" s="366" t="s">
        <v>190</v>
      </c>
      <c r="T750" s="376"/>
      <c r="U750" s="376"/>
      <c r="V750" s="366"/>
      <c r="W750" s="366"/>
    </row>
    <row r="751" spans="1:23">
      <c r="A751" s="1410"/>
      <c r="B751" s="1413"/>
      <c r="C751" s="845" t="s">
        <v>989</v>
      </c>
      <c r="D751" s="875" t="str">
        <f>B745&amp;C751</f>
        <v>A31g</v>
      </c>
      <c r="E751" s="367">
        <v>6</v>
      </c>
      <c r="F751" s="669"/>
      <c r="G751" s="369"/>
      <c r="H751" s="368"/>
      <c r="I751" s="369"/>
      <c r="J751" s="368"/>
      <c r="K751" s="370"/>
      <c r="L751" s="370"/>
      <c r="M751" s="371"/>
      <c r="N751" s="671"/>
      <c r="O751" s="671"/>
      <c r="P751" s="373"/>
      <c r="Q751" s="673"/>
      <c r="R751" s="375"/>
      <c r="S751" s="366" t="s">
        <v>190</v>
      </c>
      <c r="T751" s="366"/>
      <c r="U751" s="366"/>
      <c r="V751" s="366"/>
      <c r="W751" s="366"/>
    </row>
    <row r="752" spans="1:23">
      <c r="A752" s="1410"/>
      <c r="B752" s="1413"/>
      <c r="C752" s="845" t="s">
        <v>990</v>
      </c>
      <c r="D752" s="875" t="str">
        <f>B745&amp;C752</f>
        <v>A31h</v>
      </c>
      <c r="E752" s="367">
        <v>7</v>
      </c>
      <c r="F752" s="669"/>
      <c r="G752" s="368"/>
      <c r="H752" s="368"/>
      <c r="I752" s="368"/>
      <c r="J752" s="368"/>
      <c r="K752" s="370"/>
      <c r="L752" s="370"/>
      <c r="M752" s="371"/>
      <c r="N752" s="671"/>
      <c r="O752" s="671"/>
      <c r="P752" s="373"/>
      <c r="Q752" s="673"/>
      <c r="R752" s="377"/>
      <c r="S752" s="366" t="s">
        <v>190</v>
      </c>
      <c r="T752" s="366"/>
      <c r="U752" s="366"/>
      <c r="V752" s="366"/>
      <c r="W752" s="366"/>
    </row>
    <row r="753" spans="1:23">
      <c r="A753" s="1410"/>
      <c r="B753" s="1413"/>
      <c r="C753" s="845" t="s">
        <v>991</v>
      </c>
      <c r="D753" s="875" t="str">
        <f>B745&amp;C753</f>
        <v>A31i</v>
      </c>
      <c r="E753" s="367">
        <v>8</v>
      </c>
      <c r="F753" s="669"/>
      <c r="G753" s="368"/>
      <c r="H753" s="368"/>
      <c r="I753" s="368"/>
      <c r="J753" s="368"/>
      <c r="K753" s="370"/>
      <c r="L753" s="370"/>
      <c r="M753" s="371"/>
      <c r="N753" s="671"/>
      <c r="O753" s="671"/>
      <c r="P753" s="373"/>
      <c r="Q753" s="673"/>
      <c r="R753" s="378"/>
      <c r="S753" s="366"/>
      <c r="T753" s="366"/>
      <c r="U753" s="366"/>
      <c r="V753" s="366"/>
      <c r="W753" s="366"/>
    </row>
    <row r="754" spans="1:23">
      <c r="A754" s="1410"/>
      <c r="B754" s="1413"/>
      <c r="C754" s="845" t="s">
        <v>992</v>
      </c>
      <c r="D754" s="875" t="str">
        <f>B745&amp;C754</f>
        <v>A31k</v>
      </c>
      <c r="E754" s="367">
        <v>9</v>
      </c>
      <c r="F754" s="370"/>
      <c r="G754" s="368"/>
      <c r="H754" s="368"/>
      <c r="I754" s="368"/>
      <c r="J754" s="368"/>
      <c r="K754" s="370"/>
      <c r="L754" s="370"/>
      <c r="M754" s="371"/>
      <c r="N754" s="372"/>
      <c r="O754" s="372"/>
      <c r="P754" s="373"/>
      <c r="Q754" s="374"/>
      <c r="R754" s="378"/>
      <c r="S754" s="379"/>
      <c r="T754" s="366"/>
      <c r="U754" s="366"/>
      <c r="V754" s="366"/>
      <c r="W754" s="366"/>
    </row>
    <row r="755" spans="1:23">
      <c r="A755" s="1410"/>
      <c r="B755" s="1413"/>
      <c r="C755" s="845" t="s">
        <v>993</v>
      </c>
      <c r="D755" s="875" t="str">
        <f>B745&amp;C755</f>
        <v>A31l</v>
      </c>
      <c r="E755" s="367">
        <v>10</v>
      </c>
      <c r="F755" s="370"/>
      <c r="G755" s="368"/>
      <c r="H755" s="368"/>
      <c r="I755" s="368"/>
      <c r="J755" s="368"/>
      <c r="K755" s="370"/>
      <c r="L755" s="370"/>
      <c r="M755" s="370"/>
      <c r="N755" s="372"/>
      <c r="O755" s="372"/>
      <c r="P755" s="373"/>
      <c r="Q755" s="374"/>
      <c r="R755" s="378"/>
      <c r="S755" s="379"/>
      <c r="T755" s="366"/>
      <c r="U755" s="366"/>
      <c r="V755" s="366"/>
      <c r="W755" s="366"/>
    </row>
    <row r="756" spans="1:23">
      <c r="A756" s="1410"/>
      <c r="B756" s="1413"/>
      <c r="C756" s="845" t="s">
        <v>994</v>
      </c>
      <c r="D756" s="875" t="str">
        <f>B745&amp;C756</f>
        <v>A31m</v>
      </c>
      <c r="E756" s="367">
        <v>11</v>
      </c>
      <c r="F756" s="370"/>
      <c r="G756" s="368"/>
      <c r="H756" s="368"/>
      <c r="I756" s="368"/>
      <c r="J756" s="368"/>
      <c r="K756" s="370"/>
      <c r="L756" s="370"/>
      <c r="M756" s="370"/>
      <c r="N756" s="372"/>
      <c r="O756" s="372"/>
      <c r="P756" s="380"/>
      <c r="Q756" s="374"/>
      <c r="R756" s="381"/>
      <c r="S756" s="379"/>
      <c r="T756" s="366"/>
      <c r="U756" s="366"/>
      <c r="V756" s="366"/>
      <c r="W756" s="366"/>
    </row>
    <row r="757" spans="1:23">
      <c r="A757" s="1410"/>
      <c r="B757" s="1413"/>
      <c r="C757" s="845" t="s">
        <v>995</v>
      </c>
      <c r="D757" s="875" t="str">
        <f>B745&amp;C757</f>
        <v>A31n</v>
      </c>
      <c r="E757" s="367">
        <v>12</v>
      </c>
      <c r="F757" s="370"/>
      <c r="G757" s="368"/>
      <c r="H757" s="368"/>
      <c r="I757" s="368"/>
      <c r="J757" s="368"/>
      <c r="K757" s="370"/>
      <c r="L757" s="370"/>
      <c r="M757" s="370"/>
      <c r="N757" s="372"/>
      <c r="O757" s="372"/>
      <c r="P757" s="380"/>
      <c r="Q757" s="374"/>
      <c r="R757" s="381"/>
      <c r="S757" s="361"/>
      <c r="T757" s="361"/>
      <c r="U757" s="361"/>
      <c r="V757" s="366"/>
      <c r="W757" s="366"/>
    </row>
    <row r="758" spans="1:23">
      <c r="A758" s="1410"/>
      <c r="B758" s="1413"/>
      <c r="C758" s="845" t="s">
        <v>471</v>
      </c>
      <c r="D758" s="875" t="str">
        <f>B745&amp;C758</f>
        <v>A31x</v>
      </c>
      <c r="E758" s="367">
        <v>13</v>
      </c>
      <c r="F758" s="370"/>
      <c r="G758" s="368"/>
      <c r="H758" s="368"/>
      <c r="I758" s="368"/>
      <c r="J758" s="368"/>
      <c r="K758" s="370"/>
      <c r="L758" s="370"/>
      <c r="M758" s="370"/>
      <c r="N758" s="382"/>
      <c r="O758" s="372"/>
      <c r="P758" s="380"/>
      <c r="Q758" s="381"/>
      <c r="R758" s="381"/>
      <c r="S758" s="361"/>
      <c r="T758" s="361"/>
      <c r="U758" s="361"/>
      <c r="V758" s="366"/>
      <c r="W758" s="366"/>
    </row>
    <row r="759" spans="1:23">
      <c r="A759" s="1410"/>
      <c r="B759" s="1413"/>
      <c r="C759" s="845" t="s">
        <v>732</v>
      </c>
      <c r="D759" s="875" t="str">
        <f>B745&amp;C759</f>
        <v>A31y</v>
      </c>
      <c r="E759" s="367">
        <v>14</v>
      </c>
      <c r="F759" s="370"/>
      <c r="G759" s="368"/>
      <c r="H759" s="368"/>
      <c r="I759" s="368"/>
      <c r="J759" s="368"/>
      <c r="K759" s="370"/>
      <c r="L759" s="370"/>
      <c r="M759" s="370"/>
      <c r="N759" s="382"/>
      <c r="O759" s="372"/>
      <c r="P759" s="380"/>
      <c r="Q759" s="381"/>
      <c r="R759" s="381"/>
      <c r="S759" s="361"/>
      <c r="T759" s="361"/>
      <c r="U759" s="362"/>
      <c r="V759" s="366"/>
      <c r="W759" s="366"/>
    </row>
    <row r="760" spans="1:23">
      <c r="A760" s="1411"/>
      <c r="B760" s="1414"/>
      <c r="C760" s="846" t="s">
        <v>996</v>
      </c>
      <c r="D760" s="876" t="str">
        <f>B745&amp;C760</f>
        <v>A31z</v>
      </c>
      <c r="E760" s="847">
        <v>15</v>
      </c>
      <c r="F760" s="370"/>
      <c r="G760" s="368"/>
      <c r="H760" s="368"/>
      <c r="I760" s="368"/>
      <c r="J760" s="368"/>
      <c r="K760" s="370"/>
      <c r="L760" s="370"/>
      <c r="M760" s="370"/>
      <c r="N760" s="850"/>
      <c r="O760" s="851"/>
      <c r="P760" s="851"/>
      <c r="Q760" s="852"/>
      <c r="R760" s="383"/>
      <c r="S760" s="361"/>
      <c r="T760" s="832"/>
      <c r="U760" s="830"/>
      <c r="V760" s="366"/>
      <c r="W760" s="366"/>
    </row>
    <row r="761" spans="1:23">
      <c r="A761" s="1400" t="s">
        <v>939</v>
      </c>
      <c r="B761" s="1400"/>
      <c r="C761" s="827"/>
      <c r="D761" s="871"/>
      <c r="E761" s="1400" t="s">
        <v>177</v>
      </c>
      <c r="F761" s="1400" t="s">
        <v>18</v>
      </c>
      <c r="G761" s="1389" t="s">
        <v>19</v>
      </c>
      <c r="H761" s="1390"/>
      <c r="I761" s="1389" t="s">
        <v>22</v>
      </c>
      <c r="J761" s="1390"/>
      <c r="K761" s="1393" t="s">
        <v>26</v>
      </c>
      <c r="L761" s="1390"/>
      <c r="M761" s="1389" t="s">
        <v>392</v>
      </c>
      <c r="N761" s="1390"/>
      <c r="O761" s="1389" t="s">
        <v>28</v>
      </c>
      <c r="P761" s="1393"/>
      <c r="Q761" s="1390"/>
      <c r="R761" s="1400" t="s">
        <v>36</v>
      </c>
      <c r="S761" s="361"/>
      <c r="T761" s="361">
        <f>MAX(J765:J779)-MIN(I765:I779)</f>
        <v>0.18749999999999989</v>
      </c>
      <c r="U761" s="361"/>
      <c r="V761" s="853" t="str">
        <f t="shared" ref="V761" si="82">B765</f>
        <v>A6</v>
      </c>
      <c r="W761" s="361">
        <f t="shared" ref="W761" si="83">COUNTIF(K766:K780,"&gt;0")</f>
        <v>3</v>
      </c>
    </row>
    <row r="762" spans="1:23">
      <c r="A762" s="1401"/>
      <c r="B762" s="1401"/>
      <c r="C762" s="828"/>
      <c r="D762" s="872"/>
      <c r="E762" s="1401"/>
      <c r="F762" s="1401"/>
      <c r="G762" s="1391"/>
      <c r="H762" s="1392"/>
      <c r="I762" s="1391"/>
      <c r="J762" s="1392"/>
      <c r="K762" s="1394"/>
      <c r="L762" s="1392"/>
      <c r="M762" s="1391"/>
      <c r="N762" s="1392"/>
      <c r="O762" s="1391"/>
      <c r="P762" s="1394"/>
      <c r="Q762" s="1392"/>
      <c r="R762" s="1401"/>
      <c r="S762" s="361"/>
      <c r="T762" s="361"/>
      <c r="U762" s="361"/>
      <c r="V762" s="361"/>
      <c r="W762" s="361"/>
    </row>
    <row r="763" spans="1:23">
      <c r="A763" s="1401"/>
      <c r="B763" s="1401"/>
      <c r="C763" s="828"/>
      <c r="D763" s="872"/>
      <c r="E763" s="1401"/>
      <c r="F763" s="1401"/>
      <c r="G763" s="1400" t="s">
        <v>20</v>
      </c>
      <c r="H763" s="1400" t="s">
        <v>21</v>
      </c>
      <c r="I763" s="1400" t="s">
        <v>361</v>
      </c>
      <c r="J763" s="1400" t="s">
        <v>353</v>
      </c>
      <c r="K763" s="1400" t="s">
        <v>23</v>
      </c>
      <c r="L763" s="1400" t="s">
        <v>24</v>
      </c>
      <c r="M763" s="1400" t="s">
        <v>27</v>
      </c>
      <c r="N763" s="1400" t="s">
        <v>178</v>
      </c>
      <c r="O763" s="1400" t="s">
        <v>1</v>
      </c>
      <c r="P763" s="1400" t="s">
        <v>29</v>
      </c>
      <c r="Q763" s="1400" t="s">
        <v>33</v>
      </c>
      <c r="R763" s="1401"/>
      <c r="S763" s="361"/>
      <c r="T763" s="361" t="s">
        <v>39</v>
      </c>
      <c r="U763" s="362">
        <f>VLOOKUP(B765,'Thong tin'!$A:$M,13,0)</f>
        <v>1200</v>
      </c>
      <c r="V763" s="361"/>
      <c r="W763" s="361"/>
    </row>
    <row r="764" spans="1:23">
      <c r="A764" s="1402"/>
      <c r="B764" s="1402"/>
      <c r="C764" s="829"/>
      <c r="D764" s="873"/>
      <c r="E764" s="1402"/>
      <c r="F764" s="1402"/>
      <c r="G764" s="1402"/>
      <c r="H764" s="1402"/>
      <c r="I764" s="1402"/>
      <c r="J764" s="1402"/>
      <c r="K764" s="1402"/>
      <c r="L764" s="1402"/>
      <c r="M764" s="1402"/>
      <c r="N764" s="1402"/>
      <c r="O764" s="1402"/>
      <c r="P764" s="1402"/>
      <c r="Q764" s="1402"/>
      <c r="R764" s="1402"/>
      <c r="S764" s="361"/>
      <c r="T764" s="1399" t="s">
        <v>393</v>
      </c>
      <c r="U764" s="1397">
        <f>VLOOKUP(B765,DT.NK!$B:$AZ,45,0)</f>
        <v>24.45</v>
      </c>
      <c r="V764" s="361"/>
      <c r="W764" s="361"/>
    </row>
    <row r="765" spans="1:23">
      <c r="A765" s="1409">
        <f>A745+1</f>
        <v>39</v>
      </c>
      <c r="B765" s="1412" t="s">
        <v>514</v>
      </c>
      <c r="C765" s="844" t="s">
        <v>983</v>
      </c>
      <c r="D765" s="874" t="str">
        <f>B765&amp;C765</f>
        <v>A6a</v>
      </c>
      <c r="E765" s="363"/>
      <c r="F765" s="364" t="s">
        <v>1019</v>
      </c>
      <c r="G765" s="914">
        <v>0.4069444444444445</v>
      </c>
      <c r="H765" s="914">
        <v>0.41666666666666669</v>
      </c>
      <c r="I765" s="364"/>
      <c r="J765" s="364"/>
      <c r="K765" s="364"/>
      <c r="L765" s="364"/>
      <c r="M765" s="674"/>
      <c r="N765" s="670"/>
      <c r="O765" s="670">
        <f>U764</f>
        <v>24.45</v>
      </c>
      <c r="P765" s="670">
        <f>O765</f>
        <v>24.45</v>
      </c>
      <c r="Q765" s="670">
        <v>0</v>
      </c>
      <c r="R765" s="365"/>
      <c r="S765" s="366"/>
      <c r="T765" s="1399"/>
      <c r="U765" s="1398"/>
      <c r="V765" s="361"/>
      <c r="W765" s="361"/>
    </row>
    <row r="766" spans="1:23">
      <c r="A766" s="1410"/>
      <c r="B766" s="1413"/>
      <c r="C766" s="845" t="s">
        <v>984</v>
      </c>
      <c r="D766" s="875" t="str">
        <f>B765&amp;C766</f>
        <v>A6b</v>
      </c>
      <c r="E766" s="367">
        <v>1</v>
      </c>
      <c r="F766" s="669" t="s">
        <v>982</v>
      </c>
      <c r="G766" s="369">
        <v>0.4375</v>
      </c>
      <c r="H766" s="368">
        <v>0.47916666666666669</v>
      </c>
      <c r="I766" s="369">
        <v>0.51388888888888895</v>
      </c>
      <c r="J766" s="368">
        <v>0.51874999999999993</v>
      </c>
      <c r="K766" s="669">
        <v>10</v>
      </c>
      <c r="L766" s="669">
        <v>19</v>
      </c>
      <c r="M766" s="675">
        <v>22.45</v>
      </c>
      <c r="N766" s="671">
        <f>IF(M766-P766&gt;0,M766-P766,0)</f>
        <v>4.8499999999999979</v>
      </c>
      <c r="O766" s="671">
        <f>O765-K766/(PI()*(U763/2000)^2)</f>
        <v>15.608058717116926</v>
      </c>
      <c r="P766" s="672">
        <v>17.600000000000001</v>
      </c>
      <c r="Q766" s="673">
        <f>ABS(O766-P766)</f>
        <v>1.9919412828830758</v>
      </c>
      <c r="R766" s="375" t="s">
        <v>188</v>
      </c>
      <c r="S766" s="366"/>
      <c r="T766" s="376"/>
      <c r="U766" s="376"/>
      <c r="V766" s="366"/>
      <c r="W766" s="366"/>
    </row>
    <row r="767" spans="1:23">
      <c r="A767" s="1410"/>
      <c r="B767" s="1413"/>
      <c r="C767" s="845" t="s">
        <v>985</v>
      </c>
      <c r="D767" s="875" t="str">
        <f>B765&amp;C767</f>
        <v>A6c</v>
      </c>
      <c r="E767" s="367">
        <v>2</v>
      </c>
      <c r="F767" s="669" t="s">
        <v>1014</v>
      </c>
      <c r="G767" s="369">
        <v>0.44791666666666669</v>
      </c>
      <c r="H767" s="368">
        <v>0.48958333333333331</v>
      </c>
      <c r="I767" s="369">
        <v>0.52083333333333337</v>
      </c>
      <c r="J767" s="368">
        <v>0.52777777777777779</v>
      </c>
      <c r="K767" s="669">
        <v>10</v>
      </c>
      <c r="L767" s="669">
        <v>19.5</v>
      </c>
      <c r="M767" s="675">
        <v>16.149999999999999</v>
      </c>
      <c r="N767" s="671">
        <f>IF(M767-P767&gt;0,M767-P767,0)</f>
        <v>6.1499999999999986</v>
      </c>
      <c r="O767" s="671">
        <f>O766-K767/(PI()*(U763/2000)^2)</f>
        <v>6.7661174342338519</v>
      </c>
      <c r="P767" s="672">
        <v>10</v>
      </c>
      <c r="Q767" s="673">
        <f>ABS(O767-P767)</f>
        <v>3.2338825657661481</v>
      </c>
      <c r="R767" s="375" t="s">
        <v>188</v>
      </c>
      <c r="S767" s="366"/>
      <c r="T767" s="376"/>
      <c r="U767" s="376"/>
      <c r="V767" s="366"/>
      <c r="W767" s="366"/>
    </row>
    <row r="768" spans="1:23">
      <c r="A768" s="1410"/>
      <c r="B768" s="1413"/>
      <c r="C768" s="845" t="s">
        <v>986</v>
      </c>
      <c r="D768" s="875" t="str">
        <f>B765&amp;C768</f>
        <v>A6d</v>
      </c>
      <c r="E768" s="367">
        <v>3</v>
      </c>
      <c r="F768" s="669" t="s">
        <v>1019</v>
      </c>
      <c r="G768" s="369">
        <v>0.57638888888888895</v>
      </c>
      <c r="H768" s="368">
        <v>0.60069444444444442</v>
      </c>
      <c r="I768" s="369">
        <v>0.69097222222222221</v>
      </c>
      <c r="J768" s="368">
        <v>0.70138888888888884</v>
      </c>
      <c r="K768" s="669">
        <v>4</v>
      </c>
      <c r="L768" s="669">
        <v>19</v>
      </c>
      <c r="M768" s="675">
        <v>16.149999999999999</v>
      </c>
      <c r="N768" s="671">
        <f>IF(M768-P768&gt;0,M768-P768,0)</f>
        <v>10.249999999999998</v>
      </c>
      <c r="O768" s="671">
        <f>O767-K768/(PI()*(U763/2000)^2)</f>
        <v>3.2293409210806221</v>
      </c>
      <c r="P768" s="672">
        <v>5.9</v>
      </c>
      <c r="Q768" s="673">
        <f>ABS(O768-P768)</f>
        <v>2.6706590789193783</v>
      </c>
      <c r="R768" s="375" t="s">
        <v>188</v>
      </c>
      <c r="S768" s="366"/>
      <c r="T768" s="376"/>
      <c r="U768" s="376"/>
      <c r="V768" s="366"/>
      <c r="W768" s="366"/>
    </row>
    <row r="769" spans="1:23">
      <c r="A769" s="1410"/>
      <c r="B769" s="1413"/>
      <c r="C769" s="845" t="s">
        <v>987</v>
      </c>
      <c r="D769" s="875" t="str">
        <f>B765&amp;C769</f>
        <v>A6e</v>
      </c>
      <c r="E769" s="367">
        <v>4</v>
      </c>
      <c r="F769" s="669"/>
      <c r="G769" s="369"/>
      <c r="H769" s="368"/>
      <c r="I769" s="369"/>
      <c r="J769" s="368"/>
      <c r="K769" s="370"/>
      <c r="L769" s="370"/>
      <c r="M769" s="371"/>
      <c r="N769" s="671"/>
      <c r="O769" s="671"/>
      <c r="P769" s="373"/>
      <c r="Q769" s="673"/>
      <c r="R769" s="375"/>
      <c r="S769" s="366"/>
      <c r="T769" s="376"/>
      <c r="U769" s="376"/>
      <c r="V769" s="366"/>
      <c r="W769" s="366"/>
    </row>
    <row r="770" spans="1:23">
      <c r="A770" s="1410"/>
      <c r="B770" s="1413"/>
      <c r="C770" s="845" t="s">
        <v>988</v>
      </c>
      <c r="D770" s="875" t="str">
        <f>B765&amp;C770</f>
        <v>A6f</v>
      </c>
      <c r="E770" s="367">
        <v>5</v>
      </c>
      <c r="F770" s="669"/>
      <c r="G770" s="369"/>
      <c r="H770" s="368"/>
      <c r="I770" s="369"/>
      <c r="J770" s="368"/>
      <c r="K770" s="370"/>
      <c r="L770" s="370"/>
      <c r="M770" s="371"/>
      <c r="N770" s="671"/>
      <c r="O770" s="671"/>
      <c r="P770" s="373"/>
      <c r="Q770" s="673"/>
      <c r="R770" s="377"/>
      <c r="S770" s="366" t="s">
        <v>190</v>
      </c>
      <c r="T770" s="376"/>
      <c r="U770" s="376"/>
      <c r="V770" s="366"/>
      <c r="W770" s="366"/>
    </row>
    <row r="771" spans="1:23">
      <c r="A771" s="1410"/>
      <c r="B771" s="1413"/>
      <c r="C771" s="845" t="s">
        <v>989</v>
      </c>
      <c r="D771" s="875" t="str">
        <f>B765&amp;C771</f>
        <v>A6g</v>
      </c>
      <c r="E771" s="367">
        <v>6</v>
      </c>
      <c r="F771" s="669"/>
      <c r="G771" s="369"/>
      <c r="H771" s="368"/>
      <c r="I771" s="369"/>
      <c r="J771" s="368"/>
      <c r="K771" s="370"/>
      <c r="L771" s="370"/>
      <c r="M771" s="371"/>
      <c r="N771" s="671"/>
      <c r="O771" s="671"/>
      <c r="P771" s="373"/>
      <c r="Q771" s="673"/>
      <c r="R771" s="375"/>
      <c r="S771" s="366" t="s">
        <v>190</v>
      </c>
      <c r="T771" s="366"/>
      <c r="U771" s="366"/>
      <c r="V771" s="366"/>
      <c r="W771" s="366"/>
    </row>
    <row r="772" spans="1:23">
      <c r="A772" s="1410"/>
      <c r="B772" s="1413"/>
      <c r="C772" s="845" t="s">
        <v>990</v>
      </c>
      <c r="D772" s="875" t="str">
        <f>B765&amp;C772</f>
        <v>A6h</v>
      </c>
      <c r="E772" s="367">
        <v>7</v>
      </c>
      <c r="F772" s="669"/>
      <c r="G772" s="368"/>
      <c r="H772" s="368"/>
      <c r="I772" s="368"/>
      <c r="J772" s="368"/>
      <c r="K772" s="370"/>
      <c r="L772" s="370"/>
      <c r="M772" s="371"/>
      <c r="N772" s="671"/>
      <c r="O772" s="671"/>
      <c r="P772" s="373"/>
      <c r="Q772" s="673"/>
      <c r="R772" s="377"/>
      <c r="S772" s="366" t="s">
        <v>190</v>
      </c>
      <c r="T772" s="366"/>
      <c r="U772" s="366"/>
      <c r="V772" s="366"/>
      <c r="W772" s="366"/>
    </row>
    <row r="773" spans="1:23">
      <c r="A773" s="1410"/>
      <c r="B773" s="1413"/>
      <c r="C773" s="845" t="s">
        <v>991</v>
      </c>
      <c r="D773" s="875" t="str">
        <f>B765&amp;C773</f>
        <v>A6i</v>
      </c>
      <c r="E773" s="367">
        <v>8</v>
      </c>
      <c r="F773" s="669"/>
      <c r="G773" s="368"/>
      <c r="H773" s="368"/>
      <c r="I773" s="368"/>
      <c r="J773" s="368"/>
      <c r="K773" s="370"/>
      <c r="L773" s="370"/>
      <c r="M773" s="371"/>
      <c r="N773" s="671"/>
      <c r="O773" s="671"/>
      <c r="P773" s="373"/>
      <c r="Q773" s="673"/>
      <c r="R773" s="378"/>
      <c r="S773" s="366"/>
      <c r="T773" s="366"/>
      <c r="U773" s="366"/>
      <c r="V773" s="366"/>
      <c r="W773" s="366"/>
    </row>
    <row r="774" spans="1:23">
      <c r="A774" s="1410"/>
      <c r="B774" s="1413"/>
      <c r="C774" s="845" t="s">
        <v>992</v>
      </c>
      <c r="D774" s="875" t="str">
        <f>B765&amp;C774</f>
        <v>A6k</v>
      </c>
      <c r="E774" s="367">
        <v>9</v>
      </c>
      <c r="F774" s="370"/>
      <c r="G774" s="368"/>
      <c r="H774" s="368"/>
      <c r="I774" s="368"/>
      <c r="J774" s="368"/>
      <c r="K774" s="370"/>
      <c r="L774" s="370"/>
      <c r="M774" s="371"/>
      <c r="N774" s="372"/>
      <c r="O774" s="372"/>
      <c r="P774" s="373"/>
      <c r="Q774" s="374"/>
      <c r="R774" s="378"/>
      <c r="S774" s="379"/>
      <c r="T774" s="366"/>
      <c r="U774" s="366"/>
      <c r="V774" s="366"/>
      <c r="W774" s="366"/>
    </row>
    <row r="775" spans="1:23">
      <c r="A775" s="1410"/>
      <c r="B775" s="1413"/>
      <c r="C775" s="845" t="s">
        <v>993</v>
      </c>
      <c r="D775" s="875" t="str">
        <f>B765&amp;C775</f>
        <v>A6l</v>
      </c>
      <c r="E775" s="367">
        <v>10</v>
      </c>
      <c r="F775" s="370"/>
      <c r="G775" s="368"/>
      <c r="H775" s="368"/>
      <c r="I775" s="368"/>
      <c r="J775" s="368"/>
      <c r="K775" s="370"/>
      <c r="L775" s="370"/>
      <c r="M775" s="370"/>
      <c r="N775" s="372"/>
      <c r="O775" s="372"/>
      <c r="P775" s="373"/>
      <c r="Q775" s="374"/>
      <c r="R775" s="378"/>
      <c r="S775" s="379"/>
      <c r="T775" s="366"/>
      <c r="U775" s="366"/>
      <c r="V775" s="366"/>
      <c r="W775" s="366"/>
    </row>
    <row r="776" spans="1:23">
      <c r="A776" s="1410"/>
      <c r="B776" s="1413"/>
      <c r="C776" s="845" t="s">
        <v>994</v>
      </c>
      <c r="D776" s="875" t="str">
        <f>B765&amp;C776</f>
        <v>A6m</v>
      </c>
      <c r="E776" s="367">
        <v>11</v>
      </c>
      <c r="F776" s="370"/>
      <c r="G776" s="368"/>
      <c r="H776" s="368"/>
      <c r="I776" s="368"/>
      <c r="J776" s="368"/>
      <c r="K776" s="370"/>
      <c r="L776" s="370"/>
      <c r="M776" s="370"/>
      <c r="N776" s="372"/>
      <c r="O776" s="372"/>
      <c r="P776" s="380"/>
      <c r="Q776" s="374"/>
      <c r="R776" s="381"/>
      <c r="S776" s="379"/>
      <c r="T776" s="366"/>
      <c r="U776" s="366"/>
      <c r="V776" s="366"/>
      <c r="W776" s="366"/>
    </row>
    <row r="777" spans="1:23">
      <c r="A777" s="1410"/>
      <c r="B777" s="1413"/>
      <c r="C777" s="845" t="s">
        <v>995</v>
      </c>
      <c r="D777" s="875" t="str">
        <f>B765&amp;C777</f>
        <v>A6n</v>
      </c>
      <c r="E777" s="367">
        <v>12</v>
      </c>
      <c r="F777" s="370"/>
      <c r="G777" s="368"/>
      <c r="H777" s="368"/>
      <c r="I777" s="368"/>
      <c r="J777" s="368"/>
      <c r="K777" s="370"/>
      <c r="L777" s="370"/>
      <c r="M777" s="370"/>
      <c r="N777" s="372"/>
      <c r="O777" s="372"/>
      <c r="P777" s="380"/>
      <c r="Q777" s="374"/>
      <c r="R777" s="381"/>
      <c r="S777" s="361"/>
      <c r="T777" s="361"/>
      <c r="U777" s="361"/>
      <c r="V777" s="366"/>
      <c r="W777" s="366"/>
    </row>
    <row r="778" spans="1:23">
      <c r="A778" s="1410"/>
      <c r="B778" s="1413"/>
      <c r="C778" s="845" t="s">
        <v>471</v>
      </c>
      <c r="D778" s="875" t="str">
        <f>B765&amp;C778</f>
        <v>A6x</v>
      </c>
      <c r="E778" s="367">
        <v>13</v>
      </c>
      <c r="F778" s="370"/>
      <c r="G778" s="368"/>
      <c r="H778" s="368"/>
      <c r="I778" s="368"/>
      <c r="J778" s="368"/>
      <c r="K778" s="370"/>
      <c r="L778" s="370"/>
      <c r="M778" s="370"/>
      <c r="N778" s="382"/>
      <c r="O778" s="372"/>
      <c r="P778" s="380"/>
      <c r="Q778" s="381"/>
      <c r="R778" s="381"/>
      <c r="S778" s="361"/>
      <c r="T778" s="361"/>
      <c r="U778" s="361"/>
      <c r="V778" s="366"/>
      <c r="W778" s="366"/>
    </row>
    <row r="779" spans="1:23">
      <c r="A779" s="1410"/>
      <c r="B779" s="1413"/>
      <c r="C779" s="845" t="s">
        <v>732</v>
      </c>
      <c r="D779" s="875" t="str">
        <f>B765&amp;C779</f>
        <v>A6y</v>
      </c>
      <c r="E779" s="367">
        <v>14</v>
      </c>
      <c r="F779" s="370"/>
      <c r="G779" s="368"/>
      <c r="H779" s="368"/>
      <c r="I779" s="368"/>
      <c r="J779" s="368"/>
      <c r="K779" s="370"/>
      <c r="L779" s="370"/>
      <c r="M779" s="370"/>
      <c r="N779" s="382"/>
      <c r="O779" s="372"/>
      <c r="P779" s="380"/>
      <c r="Q779" s="381"/>
      <c r="R779" s="381"/>
      <c r="S779" s="361"/>
      <c r="T779" s="361"/>
      <c r="U779" s="362"/>
      <c r="V779" s="366"/>
      <c r="W779" s="366"/>
    </row>
    <row r="780" spans="1:23">
      <c r="A780" s="1411"/>
      <c r="B780" s="1414"/>
      <c r="C780" s="846" t="s">
        <v>996</v>
      </c>
      <c r="D780" s="876" t="str">
        <f>B765&amp;C780</f>
        <v>A6z</v>
      </c>
      <c r="E780" s="847">
        <v>15</v>
      </c>
      <c r="F780" s="370"/>
      <c r="G780" s="368"/>
      <c r="H780" s="368"/>
      <c r="I780" s="368"/>
      <c r="J780" s="368"/>
      <c r="K780" s="370"/>
      <c r="L780" s="370"/>
      <c r="M780" s="370"/>
      <c r="N780" s="850"/>
      <c r="O780" s="851"/>
      <c r="P780" s="851"/>
      <c r="Q780" s="852"/>
      <c r="R780" s="383"/>
      <c r="S780" s="361"/>
      <c r="T780" s="832"/>
      <c r="U780" s="830"/>
      <c r="V780" s="366"/>
      <c r="W780" s="366"/>
    </row>
    <row r="781" spans="1:23">
      <c r="A781" s="1400" t="s">
        <v>939</v>
      </c>
      <c r="B781" s="1400"/>
      <c r="C781" s="827"/>
      <c r="D781" s="871"/>
      <c r="E781" s="1400" t="s">
        <v>177</v>
      </c>
      <c r="F781" s="1400" t="s">
        <v>18</v>
      </c>
      <c r="G781" s="1389" t="s">
        <v>19</v>
      </c>
      <c r="H781" s="1390"/>
      <c r="I781" s="1389" t="s">
        <v>22</v>
      </c>
      <c r="J781" s="1390"/>
      <c r="K781" s="1393" t="s">
        <v>26</v>
      </c>
      <c r="L781" s="1390"/>
      <c r="M781" s="1389" t="s">
        <v>392</v>
      </c>
      <c r="N781" s="1390"/>
      <c r="O781" s="1389" t="s">
        <v>28</v>
      </c>
      <c r="P781" s="1393"/>
      <c r="Q781" s="1390"/>
      <c r="R781" s="1400" t="s">
        <v>36</v>
      </c>
      <c r="S781" s="361"/>
      <c r="T781" s="361">
        <f>MAX(J785:J799)-MIN(I785:I799)</f>
        <v>5.4166666666666474E-2</v>
      </c>
      <c r="U781" s="361"/>
      <c r="V781" s="853" t="str">
        <f t="shared" ref="V781" si="84">B785</f>
        <v>B27</v>
      </c>
      <c r="W781" s="361">
        <f t="shared" ref="W781" si="85">COUNTIF(K786:K800,"&gt;0")</f>
        <v>2</v>
      </c>
    </row>
    <row r="782" spans="1:23">
      <c r="A782" s="1401"/>
      <c r="B782" s="1401"/>
      <c r="C782" s="828"/>
      <c r="D782" s="872"/>
      <c r="E782" s="1401"/>
      <c r="F782" s="1401"/>
      <c r="G782" s="1391"/>
      <c r="H782" s="1392"/>
      <c r="I782" s="1391"/>
      <c r="J782" s="1392"/>
      <c r="K782" s="1394"/>
      <c r="L782" s="1392"/>
      <c r="M782" s="1391"/>
      <c r="N782" s="1392"/>
      <c r="O782" s="1391"/>
      <c r="P782" s="1394"/>
      <c r="Q782" s="1392"/>
      <c r="R782" s="1401"/>
      <c r="S782" s="361"/>
      <c r="T782" s="361"/>
      <c r="U782" s="361"/>
      <c r="V782" s="361"/>
      <c r="W782" s="361"/>
    </row>
    <row r="783" spans="1:23">
      <c r="A783" s="1401"/>
      <c r="B783" s="1401"/>
      <c r="C783" s="828"/>
      <c r="D783" s="872"/>
      <c r="E783" s="1401"/>
      <c r="F783" s="1401"/>
      <c r="G783" s="1400" t="s">
        <v>20</v>
      </c>
      <c r="H783" s="1400" t="s">
        <v>21</v>
      </c>
      <c r="I783" s="1400" t="s">
        <v>361</v>
      </c>
      <c r="J783" s="1400" t="s">
        <v>353</v>
      </c>
      <c r="K783" s="1400" t="s">
        <v>23</v>
      </c>
      <c r="L783" s="1400" t="s">
        <v>24</v>
      </c>
      <c r="M783" s="1400" t="s">
        <v>27</v>
      </c>
      <c r="N783" s="1400" t="s">
        <v>178</v>
      </c>
      <c r="O783" s="1400" t="s">
        <v>1</v>
      </c>
      <c r="P783" s="1400" t="s">
        <v>29</v>
      </c>
      <c r="Q783" s="1400" t="s">
        <v>33</v>
      </c>
      <c r="R783" s="1401"/>
      <c r="S783" s="361"/>
      <c r="T783" s="361" t="s">
        <v>39</v>
      </c>
      <c r="U783" s="362">
        <f>VLOOKUP(B785,'Thong tin'!$A:$M,13,0)</f>
        <v>800</v>
      </c>
      <c r="V783" s="361"/>
      <c r="W783" s="361"/>
    </row>
    <row r="784" spans="1:23">
      <c r="A784" s="1402"/>
      <c r="B784" s="1402"/>
      <c r="C784" s="829"/>
      <c r="D784" s="873"/>
      <c r="E784" s="1402"/>
      <c r="F784" s="1402"/>
      <c r="G784" s="1402"/>
      <c r="H784" s="1402"/>
      <c r="I784" s="1402"/>
      <c r="J784" s="1402"/>
      <c r="K784" s="1402"/>
      <c r="L784" s="1402"/>
      <c r="M784" s="1402"/>
      <c r="N784" s="1402"/>
      <c r="O784" s="1402"/>
      <c r="P784" s="1402"/>
      <c r="Q784" s="1402"/>
      <c r="R784" s="1402"/>
      <c r="S784" s="361"/>
      <c r="T784" s="1399" t="s">
        <v>393</v>
      </c>
      <c r="U784" s="1397">
        <f>VLOOKUP(B785,DT.NK!$B:$AZ,45,0)</f>
        <v>26.5</v>
      </c>
      <c r="V784" s="361"/>
      <c r="W784" s="361"/>
    </row>
    <row r="785" spans="1:23">
      <c r="A785" s="1409">
        <f>A765+1</f>
        <v>40</v>
      </c>
      <c r="B785" s="1412" t="s">
        <v>542</v>
      </c>
      <c r="C785" s="844" t="s">
        <v>983</v>
      </c>
      <c r="D785" s="874" t="str">
        <f>B785&amp;C785</f>
        <v>B27a</v>
      </c>
      <c r="E785" s="363"/>
      <c r="F785" s="364"/>
      <c r="G785" s="364"/>
      <c r="H785" s="364"/>
      <c r="I785" s="364"/>
      <c r="J785" s="364"/>
      <c r="K785" s="364"/>
      <c r="L785" s="364"/>
      <c r="M785" s="674"/>
      <c r="N785" s="670"/>
      <c r="O785" s="670">
        <f>U784</f>
        <v>26.5</v>
      </c>
      <c r="P785" s="670">
        <f>O785</f>
        <v>26.5</v>
      </c>
      <c r="Q785" s="670">
        <v>0</v>
      </c>
      <c r="R785" s="365"/>
      <c r="S785" s="366"/>
      <c r="T785" s="1399"/>
      <c r="U785" s="1398"/>
      <c r="V785" s="361"/>
      <c r="W785" s="361"/>
    </row>
    <row r="786" spans="1:23">
      <c r="A786" s="1410"/>
      <c r="B786" s="1413"/>
      <c r="C786" s="845" t="s">
        <v>984</v>
      </c>
      <c r="D786" s="875" t="str">
        <f>B785&amp;C786</f>
        <v>B27b</v>
      </c>
      <c r="E786" s="367">
        <v>1</v>
      </c>
      <c r="F786" s="669" t="s">
        <v>1052</v>
      </c>
      <c r="G786" s="369">
        <v>0.90416666666666667</v>
      </c>
      <c r="H786" s="368">
        <v>0.93055555555555547</v>
      </c>
      <c r="I786" s="369">
        <v>0.94444444444444453</v>
      </c>
      <c r="J786" s="368">
        <v>0.95000000000000007</v>
      </c>
      <c r="K786" s="669">
        <v>11.5</v>
      </c>
      <c r="L786" s="669">
        <v>19</v>
      </c>
      <c r="M786" s="675">
        <v>26.5</v>
      </c>
      <c r="N786" s="671">
        <f>IF(M786-P786&gt;0,M786-P786,0)</f>
        <v>20.100000000000001</v>
      </c>
      <c r="O786" s="671">
        <f>O785-K786/(PI()*(U783/2000)^2)</f>
        <v>3.621476930540048</v>
      </c>
      <c r="P786" s="672">
        <v>6.4</v>
      </c>
      <c r="Q786" s="673">
        <f>ABS(O786-P786)</f>
        <v>2.7785230694599523</v>
      </c>
      <c r="R786" s="375" t="s">
        <v>188</v>
      </c>
      <c r="S786" s="366"/>
      <c r="T786" s="376"/>
      <c r="U786" s="376"/>
      <c r="V786" s="366"/>
      <c r="W786" s="366"/>
    </row>
    <row r="787" spans="1:23">
      <c r="A787" s="1410"/>
      <c r="B787" s="1413"/>
      <c r="C787" s="845" t="s">
        <v>985</v>
      </c>
      <c r="D787" s="875" t="str">
        <f>B785&amp;C787</f>
        <v>B27c</v>
      </c>
      <c r="E787" s="367">
        <v>2</v>
      </c>
      <c r="F787" s="669" t="s">
        <v>1078</v>
      </c>
      <c r="G787" s="369">
        <v>0.97361111111111109</v>
      </c>
      <c r="H787" s="368">
        <v>0.99305555555555547</v>
      </c>
      <c r="I787" s="369">
        <v>0.99652777777777779</v>
      </c>
      <c r="J787" s="368">
        <v>0.99861111111111101</v>
      </c>
      <c r="K787" s="669">
        <v>1</v>
      </c>
      <c r="L787" s="669">
        <v>19</v>
      </c>
      <c r="M787" s="675">
        <v>26.5</v>
      </c>
      <c r="N787" s="671">
        <f>IF(M787-P787&gt;0,M787-P787,0)</f>
        <v>21.6</v>
      </c>
      <c r="O787" s="671">
        <f>O786-K787/(PI()*(U783/2000)^2)</f>
        <v>1.6320401418913564</v>
      </c>
      <c r="P787" s="672">
        <v>4.9000000000000004</v>
      </c>
      <c r="Q787" s="673">
        <f>ABS(O787-P787)</f>
        <v>3.267959858108644</v>
      </c>
      <c r="R787" s="375" t="s">
        <v>188</v>
      </c>
      <c r="S787" s="366"/>
      <c r="T787" s="376"/>
      <c r="U787" s="376"/>
      <c r="V787" s="366"/>
      <c r="W787" s="366"/>
    </row>
    <row r="788" spans="1:23">
      <c r="A788" s="1410"/>
      <c r="B788" s="1413"/>
      <c r="C788" s="845" t="s">
        <v>986</v>
      </c>
      <c r="D788" s="875" t="str">
        <f>B785&amp;C788</f>
        <v>B27d</v>
      </c>
      <c r="E788" s="367">
        <v>3</v>
      </c>
      <c r="F788" s="669"/>
      <c r="G788" s="369"/>
      <c r="H788" s="368"/>
      <c r="I788" s="369"/>
      <c r="J788" s="368"/>
      <c r="K788" s="669"/>
      <c r="L788" s="669"/>
      <c r="M788" s="675"/>
      <c r="N788" s="671"/>
      <c r="O788" s="671"/>
      <c r="P788" s="672"/>
      <c r="Q788" s="673"/>
      <c r="R788" s="375"/>
      <c r="S788" s="366"/>
      <c r="T788" s="376"/>
      <c r="U788" s="376"/>
      <c r="V788" s="366"/>
      <c r="W788" s="366"/>
    </row>
    <row r="789" spans="1:23">
      <c r="A789" s="1410"/>
      <c r="B789" s="1413"/>
      <c r="C789" s="845" t="s">
        <v>987</v>
      </c>
      <c r="D789" s="875" t="str">
        <f>B785&amp;C789</f>
        <v>B27e</v>
      </c>
      <c r="E789" s="367">
        <v>4</v>
      </c>
      <c r="F789" s="669"/>
      <c r="G789" s="369"/>
      <c r="H789" s="368"/>
      <c r="I789" s="369"/>
      <c r="J789" s="368"/>
      <c r="K789" s="370"/>
      <c r="L789" s="370"/>
      <c r="M789" s="371"/>
      <c r="N789" s="671"/>
      <c r="O789" s="671"/>
      <c r="P789" s="373"/>
      <c r="Q789" s="673"/>
      <c r="R789" s="375"/>
      <c r="S789" s="366"/>
      <c r="T789" s="376"/>
      <c r="U789" s="376"/>
      <c r="V789" s="366"/>
      <c r="W789" s="366"/>
    </row>
    <row r="790" spans="1:23">
      <c r="A790" s="1410"/>
      <c r="B790" s="1413"/>
      <c r="C790" s="845" t="s">
        <v>988</v>
      </c>
      <c r="D790" s="875" t="str">
        <f>B785&amp;C790</f>
        <v>B27f</v>
      </c>
      <c r="E790" s="367">
        <v>5</v>
      </c>
      <c r="F790" s="669"/>
      <c r="G790" s="369"/>
      <c r="H790" s="368"/>
      <c r="I790" s="369"/>
      <c r="J790" s="368"/>
      <c r="K790" s="370"/>
      <c r="L790" s="370"/>
      <c r="M790" s="371"/>
      <c r="N790" s="671"/>
      <c r="O790" s="671"/>
      <c r="P790" s="373"/>
      <c r="Q790" s="673"/>
      <c r="R790" s="377"/>
      <c r="S790" s="366" t="s">
        <v>190</v>
      </c>
      <c r="T790" s="376"/>
      <c r="U790" s="376"/>
      <c r="V790" s="366"/>
      <c r="W790" s="366"/>
    </row>
    <row r="791" spans="1:23">
      <c r="A791" s="1410"/>
      <c r="B791" s="1413"/>
      <c r="C791" s="845" t="s">
        <v>989</v>
      </c>
      <c r="D791" s="875" t="str">
        <f>B785&amp;C791</f>
        <v>B27g</v>
      </c>
      <c r="E791" s="367">
        <v>6</v>
      </c>
      <c r="F791" s="669"/>
      <c r="G791" s="369"/>
      <c r="H791" s="368"/>
      <c r="I791" s="369"/>
      <c r="J791" s="368"/>
      <c r="K791" s="370"/>
      <c r="L791" s="370"/>
      <c r="M791" s="371"/>
      <c r="N791" s="671"/>
      <c r="O791" s="671"/>
      <c r="P791" s="373"/>
      <c r="Q791" s="673"/>
      <c r="R791" s="375"/>
      <c r="S791" s="366" t="s">
        <v>190</v>
      </c>
      <c r="T791" s="366"/>
      <c r="U791" s="366"/>
      <c r="V791" s="366"/>
      <c r="W791" s="366"/>
    </row>
    <row r="792" spans="1:23">
      <c r="A792" s="1410"/>
      <c r="B792" s="1413"/>
      <c r="C792" s="845" t="s">
        <v>990</v>
      </c>
      <c r="D792" s="875" t="str">
        <f>B785&amp;C792</f>
        <v>B27h</v>
      </c>
      <c r="E792" s="367">
        <v>7</v>
      </c>
      <c r="F792" s="669"/>
      <c r="G792" s="368"/>
      <c r="H792" s="368"/>
      <c r="I792" s="368"/>
      <c r="J792" s="368"/>
      <c r="K792" s="370"/>
      <c r="L792" s="370"/>
      <c r="M792" s="371"/>
      <c r="N792" s="671"/>
      <c r="O792" s="671"/>
      <c r="P792" s="373"/>
      <c r="Q792" s="673"/>
      <c r="R792" s="377"/>
      <c r="S792" s="366" t="s">
        <v>190</v>
      </c>
      <c r="T792" s="366"/>
      <c r="U792" s="366"/>
      <c r="V792" s="366"/>
      <c r="W792" s="366"/>
    </row>
    <row r="793" spans="1:23">
      <c r="A793" s="1410"/>
      <c r="B793" s="1413"/>
      <c r="C793" s="845" t="s">
        <v>991</v>
      </c>
      <c r="D793" s="875" t="str">
        <f>B785&amp;C793</f>
        <v>B27i</v>
      </c>
      <c r="E793" s="367">
        <v>8</v>
      </c>
      <c r="F793" s="669"/>
      <c r="G793" s="368"/>
      <c r="H793" s="368"/>
      <c r="I793" s="368"/>
      <c r="J793" s="368"/>
      <c r="K793" s="370"/>
      <c r="L793" s="370"/>
      <c r="M793" s="371"/>
      <c r="N793" s="671"/>
      <c r="O793" s="671"/>
      <c r="P793" s="373"/>
      <c r="Q793" s="673"/>
      <c r="R793" s="378"/>
      <c r="S793" s="366"/>
      <c r="T793" s="366"/>
      <c r="U793" s="366"/>
      <c r="V793" s="366"/>
      <c r="W793" s="366"/>
    </row>
    <row r="794" spans="1:23">
      <c r="A794" s="1410"/>
      <c r="B794" s="1413"/>
      <c r="C794" s="845" t="s">
        <v>992</v>
      </c>
      <c r="D794" s="875" t="str">
        <f>B785&amp;C794</f>
        <v>B27k</v>
      </c>
      <c r="E794" s="367">
        <v>9</v>
      </c>
      <c r="F794" s="370"/>
      <c r="G794" s="368"/>
      <c r="H794" s="368"/>
      <c r="I794" s="368"/>
      <c r="J794" s="368"/>
      <c r="K794" s="370"/>
      <c r="L794" s="370"/>
      <c r="M794" s="371"/>
      <c r="N794" s="372"/>
      <c r="O794" s="372"/>
      <c r="P794" s="373"/>
      <c r="Q794" s="374"/>
      <c r="R794" s="378"/>
      <c r="S794" s="379"/>
      <c r="T794" s="366"/>
      <c r="U794" s="366"/>
      <c r="V794" s="366"/>
      <c r="W794" s="366"/>
    </row>
    <row r="795" spans="1:23">
      <c r="A795" s="1410"/>
      <c r="B795" s="1413"/>
      <c r="C795" s="845" t="s">
        <v>993</v>
      </c>
      <c r="D795" s="875" t="str">
        <f>B785&amp;C795</f>
        <v>B27l</v>
      </c>
      <c r="E795" s="367">
        <v>10</v>
      </c>
      <c r="F795" s="370"/>
      <c r="G795" s="368"/>
      <c r="H795" s="368"/>
      <c r="I795" s="368"/>
      <c r="J795" s="368"/>
      <c r="K795" s="370"/>
      <c r="L795" s="370"/>
      <c r="M795" s="370"/>
      <c r="N795" s="372"/>
      <c r="O795" s="372"/>
      <c r="P795" s="373"/>
      <c r="Q795" s="374"/>
      <c r="R795" s="378"/>
      <c r="S795" s="379"/>
      <c r="T795" s="366"/>
      <c r="U795" s="366"/>
      <c r="V795" s="366"/>
      <c r="W795" s="366"/>
    </row>
    <row r="796" spans="1:23">
      <c r="A796" s="1410"/>
      <c r="B796" s="1413"/>
      <c r="C796" s="845" t="s">
        <v>994</v>
      </c>
      <c r="D796" s="875" t="str">
        <f>B785&amp;C796</f>
        <v>B27m</v>
      </c>
      <c r="E796" s="367">
        <v>11</v>
      </c>
      <c r="F796" s="370"/>
      <c r="G796" s="368"/>
      <c r="H796" s="368"/>
      <c r="I796" s="368"/>
      <c r="J796" s="368"/>
      <c r="K796" s="370"/>
      <c r="L796" s="370"/>
      <c r="M796" s="370"/>
      <c r="N796" s="372"/>
      <c r="O796" s="372"/>
      <c r="P796" s="380"/>
      <c r="Q796" s="374"/>
      <c r="R796" s="381"/>
      <c r="S796" s="379"/>
      <c r="T796" s="366"/>
      <c r="U796" s="366"/>
      <c r="V796" s="366"/>
      <c r="W796" s="366"/>
    </row>
    <row r="797" spans="1:23">
      <c r="A797" s="1410"/>
      <c r="B797" s="1413"/>
      <c r="C797" s="845" t="s">
        <v>995</v>
      </c>
      <c r="D797" s="875" t="str">
        <f>B785&amp;C797</f>
        <v>B27n</v>
      </c>
      <c r="E797" s="367">
        <v>12</v>
      </c>
      <c r="F797" s="370"/>
      <c r="G797" s="368"/>
      <c r="H797" s="368"/>
      <c r="I797" s="368"/>
      <c r="J797" s="368"/>
      <c r="K797" s="370"/>
      <c r="L797" s="370"/>
      <c r="M797" s="370"/>
      <c r="N797" s="372"/>
      <c r="O797" s="372"/>
      <c r="P797" s="380"/>
      <c r="Q797" s="374"/>
      <c r="R797" s="381"/>
      <c r="S797" s="361"/>
      <c r="T797" s="361"/>
      <c r="U797" s="361"/>
      <c r="V797" s="366"/>
      <c r="W797" s="366"/>
    </row>
    <row r="798" spans="1:23">
      <c r="A798" s="1410"/>
      <c r="B798" s="1413"/>
      <c r="C798" s="845" t="s">
        <v>471</v>
      </c>
      <c r="D798" s="875" t="str">
        <f>B785&amp;C798</f>
        <v>B27x</v>
      </c>
      <c r="E798" s="367">
        <v>13</v>
      </c>
      <c r="F798" s="370"/>
      <c r="G798" s="368"/>
      <c r="H798" s="368"/>
      <c r="I798" s="368"/>
      <c r="J798" s="368"/>
      <c r="K798" s="370"/>
      <c r="L798" s="370"/>
      <c r="M798" s="370"/>
      <c r="N798" s="382"/>
      <c r="O798" s="372"/>
      <c r="P798" s="380"/>
      <c r="Q798" s="381"/>
      <c r="R798" s="381"/>
      <c r="S798" s="361"/>
      <c r="T798" s="361"/>
      <c r="U798" s="361"/>
      <c r="V798" s="366"/>
      <c r="W798" s="366"/>
    </row>
    <row r="799" spans="1:23">
      <c r="A799" s="1410"/>
      <c r="B799" s="1413"/>
      <c r="C799" s="845" t="s">
        <v>732</v>
      </c>
      <c r="D799" s="875" t="str">
        <f>B785&amp;C799</f>
        <v>B27y</v>
      </c>
      <c r="E799" s="367">
        <v>14</v>
      </c>
      <c r="F799" s="370"/>
      <c r="G799" s="368"/>
      <c r="H799" s="368"/>
      <c r="I799" s="368"/>
      <c r="J799" s="368"/>
      <c r="K799" s="370"/>
      <c r="L799" s="370"/>
      <c r="M799" s="370"/>
      <c r="N799" s="382"/>
      <c r="O799" s="372"/>
      <c r="P799" s="380"/>
      <c r="Q799" s="381"/>
      <c r="R799" s="381"/>
      <c r="S799" s="361"/>
      <c r="T799" s="361"/>
      <c r="U799" s="362"/>
      <c r="V799" s="366"/>
      <c r="W799" s="366"/>
    </row>
    <row r="800" spans="1:23">
      <c r="A800" s="1411"/>
      <c r="B800" s="1414"/>
      <c r="C800" s="846" t="s">
        <v>996</v>
      </c>
      <c r="D800" s="876" t="str">
        <f>B785&amp;C800</f>
        <v>B27z</v>
      </c>
      <c r="E800" s="847">
        <v>15</v>
      </c>
      <c r="F800" s="370"/>
      <c r="G800" s="368"/>
      <c r="H800" s="368"/>
      <c r="I800" s="368"/>
      <c r="J800" s="368"/>
      <c r="K800" s="370"/>
      <c r="L800" s="370"/>
      <c r="M800" s="370"/>
      <c r="N800" s="850"/>
      <c r="O800" s="851"/>
      <c r="P800" s="851"/>
      <c r="Q800" s="852"/>
      <c r="R800" s="383"/>
      <c r="S800" s="361"/>
      <c r="T800" s="832"/>
      <c r="U800" s="830"/>
      <c r="V800" s="366"/>
      <c r="W800" s="366"/>
    </row>
    <row r="801" spans="1:23">
      <c r="A801" s="1400" t="s">
        <v>939</v>
      </c>
      <c r="B801" s="1400"/>
      <c r="C801" s="827"/>
      <c r="D801" s="871"/>
      <c r="E801" s="1400" t="s">
        <v>177</v>
      </c>
      <c r="F801" s="1400" t="s">
        <v>18</v>
      </c>
      <c r="G801" s="1389" t="s">
        <v>19</v>
      </c>
      <c r="H801" s="1390"/>
      <c r="I801" s="1389" t="s">
        <v>22</v>
      </c>
      <c r="J801" s="1390"/>
      <c r="K801" s="1393" t="s">
        <v>26</v>
      </c>
      <c r="L801" s="1390"/>
      <c r="M801" s="1389" t="s">
        <v>392</v>
      </c>
      <c r="N801" s="1390"/>
      <c r="O801" s="1389" t="s">
        <v>28</v>
      </c>
      <c r="P801" s="1393"/>
      <c r="Q801" s="1390"/>
      <c r="R801" s="1400" t="s">
        <v>36</v>
      </c>
      <c r="S801" s="361"/>
      <c r="T801" s="361">
        <f>MAX(J805:J819)-MIN(I805:I819)</f>
        <v>2.7777777777777762E-2</v>
      </c>
      <c r="U801" s="361"/>
      <c r="V801" s="853" t="str">
        <f t="shared" ref="V801" si="86">B805</f>
        <v>A122</v>
      </c>
      <c r="W801" s="361">
        <f t="shared" ref="W801" si="87">COUNTIF(K806:K820,"&gt;0")</f>
        <v>2</v>
      </c>
    </row>
    <row r="802" spans="1:23">
      <c r="A802" s="1401"/>
      <c r="B802" s="1401"/>
      <c r="C802" s="828"/>
      <c r="D802" s="872"/>
      <c r="E802" s="1401"/>
      <c r="F802" s="1401"/>
      <c r="G802" s="1391"/>
      <c r="H802" s="1392"/>
      <c r="I802" s="1391"/>
      <c r="J802" s="1392"/>
      <c r="K802" s="1394"/>
      <c r="L802" s="1392"/>
      <c r="M802" s="1391"/>
      <c r="N802" s="1392"/>
      <c r="O802" s="1391"/>
      <c r="P802" s="1394"/>
      <c r="Q802" s="1392"/>
      <c r="R802" s="1401"/>
      <c r="S802" s="361"/>
      <c r="T802" s="361"/>
      <c r="U802" s="361"/>
      <c r="V802" s="361"/>
      <c r="W802" s="361"/>
    </row>
    <row r="803" spans="1:23">
      <c r="A803" s="1401"/>
      <c r="B803" s="1401"/>
      <c r="C803" s="828"/>
      <c r="D803" s="872"/>
      <c r="E803" s="1401"/>
      <c r="F803" s="1401"/>
      <c r="G803" s="1400" t="s">
        <v>20</v>
      </c>
      <c r="H803" s="1400" t="s">
        <v>21</v>
      </c>
      <c r="I803" s="1400" t="s">
        <v>361</v>
      </c>
      <c r="J803" s="1400" t="s">
        <v>353</v>
      </c>
      <c r="K803" s="1400" t="s">
        <v>23</v>
      </c>
      <c r="L803" s="1400" t="s">
        <v>24</v>
      </c>
      <c r="M803" s="1400" t="s">
        <v>27</v>
      </c>
      <c r="N803" s="1400" t="s">
        <v>178</v>
      </c>
      <c r="O803" s="1400" t="s">
        <v>1</v>
      </c>
      <c r="P803" s="1400" t="s">
        <v>29</v>
      </c>
      <c r="Q803" s="1400" t="s">
        <v>33</v>
      </c>
      <c r="R803" s="1401"/>
      <c r="S803" s="361"/>
      <c r="T803" s="361" t="s">
        <v>39</v>
      </c>
      <c r="U803" s="362">
        <f>VLOOKUP(B805,'Thong tin'!$A:$M,13,0)</f>
        <v>1200</v>
      </c>
      <c r="V803" s="361"/>
      <c r="W803" s="361"/>
    </row>
    <row r="804" spans="1:23">
      <c r="A804" s="1402"/>
      <c r="B804" s="1402"/>
      <c r="C804" s="829"/>
      <c r="D804" s="873"/>
      <c r="E804" s="1402"/>
      <c r="F804" s="1402"/>
      <c r="G804" s="1402"/>
      <c r="H804" s="1402"/>
      <c r="I804" s="1402"/>
      <c r="J804" s="1402"/>
      <c r="K804" s="1402"/>
      <c r="L804" s="1402"/>
      <c r="M804" s="1402"/>
      <c r="N804" s="1402"/>
      <c r="O804" s="1402"/>
      <c r="P804" s="1402"/>
      <c r="Q804" s="1402"/>
      <c r="R804" s="1402"/>
      <c r="S804" s="361"/>
      <c r="T804" s="1399" t="s">
        <v>393</v>
      </c>
      <c r="U804" s="1397">
        <f>VLOOKUP(B805,DT.NK!$B:$AZ,45,0)</f>
        <v>23.8</v>
      </c>
      <c r="V804" s="361"/>
      <c r="W804" s="361"/>
    </row>
    <row r="805" spans="1:23">
      <c r="A805" s="1409">
        <f>A785+1</f>
        <v>41</v>
      </c>
      <c r="B805" s="1412" t="s">
        <v>644</v>
      </c>
      <c r="C805" s="844" t="s">
        <v>983</v>
      </c>
      <c r="D805" s="874" t="str">
        <f>B805&amp;C805</f>
        <v>A122a</v>
      </c>
      <c r="E805" s="363"/>
      <c r="F805" s="364"/>
      <c r="G805" s="364"/>
      <c r="H805" s="364"/>
      <c r="I805" s="364"/>
      <c r="J805" s="364"/>
      <c r="K805" s="364"/>
      <c r="L805" s="364"/>
      <c r="M805" s="674"/>
      <c r="N805" s="670"/>
      <c r="O805" s="670">
        <f>U804</f>
        <v>23.8</v>
      </c>
      <c r="P805" s="670">
        <f>O805</f>
        <v>23.8</v>
      </c>
      <c r="Q805" s="670">
        <v>0</v>
      </c>
      <c r="R805" s="365"/>
      <c r="S805" s="366"/>
      <c r="T805" s="1399"/>
      <c r="U805" s="1398"/>
      <c r="V805" s="361"/>
      <c r="W805" s="361"/>
    </row>
    <row r="806" spans="1:23">
      <c r="A806" s="1410"/>
      <c r="B806" s="1413"/>
      <c r="C806" s="845" t="s">
        <v>984</v>
      </c>
      <c r="D806" s="875" t="str">
        <f>B805&amp;C806</f>
        <v>A122b</v>
      </c>
      <c r="E806" s="367">
        <v>1</v>
      </c>
      <c r="F806" s="669" t="s">
        <v>982</v>
      </c>
      <c r="G806" s="369">
        <v>0.18333333333333335</v>
      </c>
      <c r="H806" s="368">
        <v>0.22222222222222221</v>
      </c>
      <c r="I806" s="369">
        <v>0.23958333333333334</v>
      </c>
      <c r="J806" s="368">
        <v>0.25</v>
      </c>
      <c r="K806" s="669">
        <v>10</v>
      </c>
      <c r="L806" s="669">
        <v>18.5</v>
      </c>
      <c r="M806" s="675">
        <v>19.5</v>
      </c>
      <c r="N806" s="671">
        <f>IF(M806-P806&gt;0,M806-P806,0)</f>
        <v>4.5</v>
      </c>
      <c r="O806" s="671">
        <f>O805-K806/(PI()*(U803/2000)^2)</f>
        <v>14.958058717116927</v>
      </c>
      <c r="P806" s="672">
        <v>15</v>
      </c>
      <c r="Q806" s="673">
        <f>ABS(O806-P806)</f>
        <v>4.1941282883072972E-2</v>
      </c>
      <c r="R806" s="375" t="s">
        <v>188</v>
      </c>
      <c r="S806" s="366"/>
      <c r="T806" s="376"/>
      <c r="U806" s="376"/>
      <c r="V806" s="366"/>
      <c r="W806" s="366"/>
    </row>
    <row r="807" spans="1:23">
      <c r="A807" s="1410"/>
      <c r="B807" s="1413"/>
      <c r="C807" s="845" t="s">
        <v>985</v>
      </c>
      <c r="D807" s="875" t="str">
        <f>B805&amp;C807</f>
        <v>A122c</v>
      </c>
      <c r="E807" s="367">
        <v>2</v>
      </c>
      <c r="F807" s="669" t="s">
        <v>981</v>
      </c>
      <c r="G807" s="369">
        <v>0.19097222222222221</v>
      </c>
      <c r="H807" s="368">
        <v>0.23611111111111113</v>
      </c>
      <c r="I807" s="369">
        <v>0.25694444444444448</v>
      </c>
      <c r="J807" s="368">
        <v>0.2673611111111111</v>
      </c>
      <c r="K807" s="669">
        <v>11</v>
      </c>
      <c r="L807" s="669">
        <v>19</v>
      </c>
      <c r="M807" s="675">
        <v>13.2</v>
      </c>
      <c r="N807" s="671">
        <f>IF(M807-P807&gt;0,M807-P807,0)</f>
        <v>6.4999999999999991</v>
      </c>
      <c r="O807" s="671">
        <f>O806-K807/(PI()*(U803/2000)^2)</f>
        <v>5.2319233059455446</v>
      </c>
      <c r="P807" s="672">
        <v>6.7</v>
      </c>
      <c r="Q807" s="673">
        <f>ABS(O807-P807)</f>
        <v>1.4680766940544556</v>
      </c>
      <c r="R807" s="375" t="s">
        <v>188</v>
      </c>
      <c r="S807" s="366"/>
      <c r="T807" s="376"/>
      <c r="U807" s="376"/>
      <c r="V807" s="366"/>
      <c r="W807" s="366"/>
    </row>
    <row r="808" spans="1:23">
      <c r="A808" s="1410"/>
      <c r="B808" s="1413"/>
      <c r="C808" s="845" t="s">
        <v>986</v>
      </c>
      <c r="D808" s="875" t="str">
        <f>B805&amp;C808</f>
        <v>A122d</v>
      </c>
      <c r="E808" s="367">
        <v>3</v>
      </c>
      <c r="F808" s="669"/>
      <c r="G808" s="369"/>
      <c r="H808" s="368"/>
      <c r="I808" s="369"/>
      <c r="J808" s="368"/>
      <c r="K808" s="669"/>
      <c r="L808" s="669"/>
      <c r="M808" s="675"/>
      <c r="N808" s="671"/>
      <c r="O808" s="671"/>
      <c r="P808" s="672"/>
      <c r="Q808" s="673"/>
      <c r="R808" s="375"/>
      <c r="S808" s="366"/>
      <c r="T808" s="376"/>
      <c r="U808" s="376"/>
      <c r="V808" s="366"/>
      <c r="W808" s="366"/>
    </row>
    <row r="809" spans="1:23">
      <c r="A809" s="1410"/>
      <c r="B809" s="1413"/>
      <c r="C809" s="845" t="s">
        <v>987</v>
      </c>
      <c r="D809" s="875" t="str">
        <f>B805&amp;C809</f>
        <v>A122e</v>
      </c>
      <c r="E809" s="367">
        <v>4</v>
      </c>
      <c r="F809" s="669"/>
      <c r="G809" s="369"/>
      <c r="H809" s="368"/>
      <c r="I809" s="369"/>
      <c r="J809" s="368"/>
      <c r="K809" s="370"/>
      <c r="L809" s="370"/>
      <c r="M809" s="371"/>
      <c r="N809" s="671"/>
      <c r="O809" s="671"/>
      <c r="P809" s="373"/>
      <c r="Q809" s="673"/>
      <c r="R809" s="375"/>
      <c r="S809" s="366"/>
      <c r="T809" s="376"/>
      <c r="U809" s="376"/>
      <c r="V809" s="366"/>
      <c r="W809" s="366"/>
    </row>
    <row r="810" spans="1:23">
      <c r="A810" s="1410"/>
      <c r="B810" s="1413"/>
      <c r="C810" s="845" t="s">
        <v>988</v>
      </c>
      <c r="D810" s="875" t="str">
        <f>B805&amp;C810</f>
        <v>A122f</v>
      </c>
      <c r="E810" s="367">
        <v>5</v>
      </c>
      <c r="F810" s="669"/>
      <c r="G810" s="369"/>
      <c r="H810" s="368"/>
      <c r="I810" s="369"/>
      <c r="J810" s="368"/>
      <c r="K810" s="370"/>
      <c r="L810" s="370"/>
      <c r="M810" s="371"/>
      <c r="N810" s="671"/>
      <c r="O810" s="671"/>
      <c r="P810" s="373"/>
      <c r="Q810" s="673"/>
      <c r="R810" s="377"/>
      <c r="S810" s="366" t="s">
        <v>190</v>
      </c>
      <c r="T810" s="376"/>
      <c r="U810" s="376"/>
      <c r="V810" s="366"/>
      <c r="W810" s="366"/>
    </row>
    <row r="811" spans="1:23">
      <c r="A811" s="1410"/>
      <c r="B811" s="1413"/>
      <c r="C811" s="845" t="s">
        <v>989</v>
      </c>
      <c r="D811" s="875" t="str">
        <f>B805&amp;C811</f>
        <v>A122g</v>
      </c>
      <c r="E811" s="367">
        <v>6</v>
      </c>
      <c r="F811" s="669"/>
      <c r="G811" s="369"/>
      <c r="H811" s="368"/>
      <c r="I811" s="369"/>
      <c r="J811" s="368"/>
      <c r="K811" s="370"/>
      <c r="L811" s="370"/>
      <c r="M811" s="371"/>
      <c r="N811" s="671"/>
      <c r="O811" s="671"/>
      <c r="P811" s="373"/>
      <c r="Q811" s="673"/>
      <c r="R811" s="375"/>
      <c r="S811" s="366" t="s">
        <v>190</v>
      </c>
      <c r="T811" s="366"/>
      <c r="U811" s="366"/>
      <c r="V811" s="366"/>
      <c r="W811" s="366"/>
    </row>
    <row r="812" spans="1:23">
      <c r="A812" s="1410"/>
      <c r="B812" s="1413"/>
      <c r="C812" s="845" t="s">
        <v>990</v>
      </c>
      <c r="D812" s="875" t="str">
        <f>B805&amp;C812</f>
        <v>A122h</v>
      </c>
      <c r="E812" s="367">
        <v>7</v>
      </c>
      <c r="F812" s="669"/>
      <c r="G812" s="368"/>
      <c r="H812" s="368"/>
      <c r="I812" s="368"/>
      <c r="J812" s="368"/>
      <c r="K812" s="370"/>
      <c r="L812" s="370"/>
      <c r="M812" s="371"/>
      <c r="N812" s="671"/>
      <c r="O812" s="671"/>
      <c r="P812" s="373"/>
      <c r="Q812" s="673"/>
      <c r="R812" s="377"/>
      <c r="S812" s="366" t="s">
        <v>190</v>
      </c>
      <c r="T812" s="366"/>
      <c r="U812" s="366"/>
      <c r="V812" s="366"/>
      <c r="W812" s="366"/>
    </row>
    <row r="813" spans="1:23">
      <c r="A813" s="1410"/>
      <c r="B813" s="1413"/>
      <c r="C813" s="845" t="s">
        <v>991</v>
      </c>
      <c r="D813" s="875" t="str">
        <f>B805&amp;C813</f>
        <v>A122i</v>
      </c>
      <c r="E813" s="367">
        <v>8</v>
      </c>
      <c r="F813" s="669"/>
      <c r="G813" s="368"/>
      <c r="H813" s="368"/>
      <c r="I813" s="368"/>
      <c r="J813" s="368"/>
      <c r="K813" s="370"/>
      <c r="L813" s="370"/>
      <c r="M813" s="371"/>
      <c r="N813" s="671"/>
      <c r="O813" s="671"/>
      <c r="P813" s="373"/>
      <c r="Q813" s="673"/>
      <c r="R813" s="378"/>
      <c r="S813" s="366"/>
      <c r="T813" s="366"/>
      <c r="U813" s="366"/>
      <c r="V813" s="366"/>
      <c r="W813" s="366"/>
    </row>
    <row r="814" spans="1:23">
      <c r="A814" s="1410"/>
      <c r="B814" s="1413"/>
      <c r="C814" s="845" t="s">
        <v>992</v>
      </c>
      <c r="D814" s="875" t="str">
        <f>B805&amp;C814</f>
        <v>A122k</v>
      </c>
      <c r="E814" s="367">
        <v>9</v>
      </c>
      <c r="F814" s="370"/>
      <c r="G814" s="368"/>
      <c r="H814" s="368"/>
      <c r="I814" s="368"/>
      <c r="J814" s="368"/>
      <c r="K814" s="370"/>
      <c r="L814" s="370"/>
      <c r="M814" s="371"/>
      <c r="N814" s="372"/>
      <c r="O814" s="372"/>
      <c r="P814" s="373"/>
      <c r="Q814" s="374"/>
      <c r="R814" s="378"/>
      <c r="S814" s="379"/>
      <c r="T814" s="366"/>
      <c r="U814" s="366"/>
      <c r="V814" s="366"/>
      <c r="W814" s="366"/>
    </row>
    <row r="815" spans="1:23">
      <c r="A815" s="1410"/>
      <c r="B815" s="1413"/>
      <c r="C815" s="845" t="s">
        <v>993</v>
      </c>
      <c r="D815" s="875" t="str">
        <f>B805&amp;C815</f>
        <v>A122l</v>
      </c>
      <c r="E815" s="367">
        <v>10</v>
      </c>
      <c r="F815" s="370"/>
      <c r="G815" s="368"/>
      <c r="H815" s="368"/>
      <c r="I815" s="368"/>
      <c r="J815" s="368"/>
      <c r="K815" s="370"/>
      <c r="L815" s="370"/>
      <c r="M815" s="370"/>
      <c r="N815" s="372"/>
      <c r="O815" s="372"/>
      <c r="P815" s="373"/>
      <c r="Q815" s="374"/>
      <c r="R815" s="378"/>
      <c r="S815" s="379"/>
      <c r="T815" s="366"/>
      <c r="U815" s="366"/>
      <c r="V815" s="366"/>
      <c r="W815" s="366"/>
    </row>
    <row r="816" spans="1:23">
      <c r="A816" s="1410"/>
      <c r="B816" s="1413"/>
      <c r="C816" s="845" t="s">
        <v>994</v>
      </c>
      <c r="D816" s="875" t="str">
        <f>B805&amp;C816</f>
        <v>A122m</v>
      </c>
      <c r="E816" s="367">
        <v>11</v>
      </c>
      <c r="F816" s="370"/>
      <c r="G816" s="368"/>
      <c r="H816" s="368"/>
      <c r="I816" s="368"/>
      <c r="J816" s="368"/>
      <c r="K816" s="370"/>
      <c r="L816" s="370"/>
      <c r="M816" s="370"/>
      <c r="N816" s="372"/>
      <c r="O816" s="372"/>
      <c r="P816" s="380"/>
      <c r="Q816" s="374"/>
      <c r="R816" s="381"/>
      <c r="S816" s="379"/>
      <c r="T816" s="366"/>
      <c r="U816" s="366"/>
      <c r="V816" s="366"/>
      <c r="W816" s="366"/>
    </row>
    <row r="817" spans="1:23">
      <c r="A817" s="1410"/>
      <c r="B817" s="1413"/>
      <c r="C817" s="845" t="s">
        <v>995</v>
      </c>
      <c r="D817" s="875" t="str">
        <f>B805&amp;C817</f>
        <v>A122n</v>
      </c>
      <c r="E817" s="367">
        <v>12</v>
      </c>
      <c r="F817" s="370"/>
      <c r="G817" s="368"/>
      <c r="H817" s="368"/>
      <c r="I817" s="368"/>
      <c r="J817" s="368"/>
      <c r="K817" s="370"/>
      <c r="L817" s="370"/>
      <c r="M817" s="370"/>
      <c r="N817" s="372"/>
      <c r="O817" s="372"/>
      <c r="P817" s="380"/>
      <c r="Q817" s="374"/>
      <c r="R817" s="381"/>
      <c r="S817" s="361"/>
      <c r="T817" s="361"/>
      <c r="U817" s="361"/>
      <c r="V817" s="366"/>
      <c r="W817" s="366"/>
    </row>
    <row r="818" spans="1:23">
      <c r="A818" s="1410"/>
      <c r="B818" s="1413"/>
      <c r="C818" s="845" t="s">
        <v>471</v>
      </c>
      <c r="D818" s="875" t="str">
        <f>B805&amp;C818</f>
        <v>A122x</v>
      </c>
      <c r="E818" s="367">
        <v>13</v>
      </c>
      <c r="F818" s="370"/>
      <c r="G818" s="368"/>
      <c r="H818" s="368"/>
      <c r="I818" s="368"/>
      <c r="J818" s="368"/>
      <c r="K818" s="370"/>
      <c r="L818" s="370"/>
      <c r="M818" s="370"/>
      <c r="N818" s="382"/>
      <c r="O818" s="372"/>
      <c r="P818" s="380"/>
      <c r="Q818" s="381"/>
      <c r="R818" s="381"/>
      <c r="S818" s="361"/>
      <c r="T818" s="361"/>
      <c r="U818" s="361"/>
      <c r="V818" s="366"/>
      <c r="W818" s="366"/>
    </row>
    <row r="819" spans="1:23">
      <c r="A819" s="1410"/>
      <c r="B819" s="1413"/>
      <c r="C819" s="845" t="s">
        <v>732</v>
      </c>
      <c r="D819" s="875" t="str">
        <f>B805&amp;C819</f>
        <v>A122y</v>
      </c>
      <c r="E819" s="367">
        <v>14</v>
      </c>
      <c r="F819" s="370"/>
      <c r="G819" s="368"/>
      <c r="H819" s="368"/>
      <c r="I819" s="368"/>
      <c r="J819" s="368"/>
      <c r="K819" s="370"/>
      <c r="L819" s="370"/>
      <c r="M819" s="370"/>
      <c r="N819" s="382"/>
      <c r="O819" s="372"/>
      <c r="P819" s="380"/>
      <c r="Q819" s="381"/>
      <c r="R819" s="381"/>
      <c r="S819" s="361"/>
      <c r="T819" s="361"/>
      <c r="U819" s="362"/>
      <c r="V819" s="366"/>
      <c r="W819" s="366"/>
    </row>
    <row r="820" spans="1:23">
      <c r="A820" s="1411"/>
      <c r="B820" s="1414"/>
      <c r="C820" s="846" t="s">
        <v>996</v>
      </c>
      <c r="D820" s="876" t="str">
        <f>B805&amp;C820</f>
        <v>A122z</v>
      </c>
      <c r="E820" s="847">
        <v>15</v>
      </c>
      <c r="F820" s="370"/>
      <c r="G820" s="368"/>
      <c r="H820" s="368"/>
      <c r="I820" s="368"/>
      <c r="J820" s="368"/>
      <c r="K820" s="370"/>
      <c r="L820" s="370"/>
      <c r="M820" s="370"/>
      <c r="N820" s="850"/>
      <c r="O820" s="851"/>
      <c r="P820" s="851"/>
      <c r="Q820" s="852"/>
      <c r="R820" s="383"/>
      <c r="S820" s="361"/>
      <c r="T820" s="832"/>
      <c r="U820" s="830"/>
      <c r="V820" s="366"/>
      <c r="W820" s="366"/>
    </row>
    <row r="821" spans="1:23">
      <c r="A821" s="1400" t="s">
        <v>939</v>
      </c>
      <c r="B821" s="1400"/>
      <c r="C821" s="827"/>
      <c r="D821" s="871"/>
      <c r="E821" s="1400" t="s">
        <v>177</v>
      </c>
      <c r="F821" s="1400" t="s">
        <v>18</v>
      </c>
      <c r="G821" s="1389" t="s">
        <v>19</v>
      </c>
      <c r="H821" s="1390"/>
      <c r="I821" s="1389" t="s">
        <v>22</v>
      </c>
      <c r="J821" s="1390"/>
      <c r="K821" s="1393" t="s">
        <v>26</v>
      </c>
      <c r="L821" s="1390"/>
      <c r="M821" s="1389" t="s">
        <v>392</v>
      </c>
      <c r="N821" s="1390"/>
      <c r="O821" s="1389" t="s">
        <v>28</v>
      </c>
      <c r="P821" s="1393"/>
      <c r="Q821" s="1390"/>
      <c r="R821" s="1400" t="s">
        <v>36</v>
      </c>
      <c r="S821" s="361"/>
      <c r="T821" s="361">
        <f>MAX(J825:J839)-MIN(I825:I839)</f>
        <v>5.2083333333333329E-2</v>
      </c>
      <c r="U821" s="361"/>
      <c r="V821" s="853" t="str">
        <f t="shared" ref="V821" si="88">B825</f>
        <v>A8</v>
      </c>
      <c r="W821" s="361">
        <f t="shared" ref="W821" si="89">COUNTIF(K826:K840,"&gt;0")</f>
        <v>3</v>
      </c>
    </row>
    <row r="822" spans="1:23">
      <c r="A822" s="1401"/>
      <c r="B822" s="1401"/>
      <c r="C822" s="828"/>
      <c r="D822" s="872"/>
      <c r="E822" s="1401"/>
      <c r="F822" s="1401"/>
      <c r="G822" s="1391"/>
      <c r="H822" s="1392"/>
      <c r="I822" s="1391"/>
      <c r="J822" s="1392"/>
      <c r="K822" s="1394"/>
      <c r="L822" s="1392"/>
      <c r="M822" s="1391"/>
      <c r="N822" s="1392"/>
      <c r="O822" s="1391"/>
      <c r="P822" s="1394"/>
      <c r="Q822" s="1392"/>
      <c r="R822" s="1401"/>
      <c r="S822" s="361"/>
      <c r="T822" s="361"/>
      <c r="U822" s="361"/>
      <c r="V822" s="361"/>
      <c r="W822" s="361"/>
    </row>
    <row r="823" spans="1:23">
      <c r="A823" s="1401"/>
      <c r="B823" s="1401"/>
      <c r="C823" s="828"/>
      <c r="D823" s="872"/>
      <c r="E823" s="1401"/>
      <c r="F823" s="1401"/>
      <c r="G823" s="1400" t="s">
        <v>20</v>
      </c>
      <c r="H823" s="1400" t="s">
        <v>21</v>
      </c>
      <c r="I823" s="1400" t="s">
        <v>361</v>
      </c>
      <c r="J823" s="1400" t="s">
        <v>353</v>
      </c>
      <c r="K823" s="1400" t="s">
        <v>23</v>
      </c>
      <c r="L823" s="1400" t="s">
        <v>24</v>
      </c>
      <c r="M823" s="1400" t="s">
        <v>27</v>
      </c>
      <c r="N823" s="1400" t="s">
        <v>178</v>
      </c>
      <c r="O823" s="1400" t="s">
        <v>1</v>
      </c>
      <c r="P823" s="1400" t="s">
        <v>29</v>
      </c>
      <c r="Q823" s="1400" t="s">
        <v>33</v>
      </c>
      <c r="R823" s="1401"/>
      <c r="S823" s="361"/>
      <c r="T823" s="361" t="s">
        <v>39</v>
      </c>
      <c r="U823" s="362">
        <f>VLOOKUP(B825,'Thong tin'!$A:$M,13,0)</f>
        <v>1200</v>
      </c>
      <c r="V823" s="361"/>
      <c r="W823" s="361"/>
    </row>
    <row r="824" spans="1:23">
      <c r="A824" s="1402"/>
      <c r="B824" s="1402"/>
      <c r="C824" s="829"/>
      <c r="D824" s="873"/>
      <c r="E824" s="1402"/>
      <c r="F824" s="1402"/>
      <c r="G824" s="1402"/>
      <c r="H824" s="1402"/>
      <c r="I824" s="1402"/>
      <c r="J824" s="1402"/>
      <c r="K824" s="1402"/>
      <c r="L824" s="1402"/>
      <c r="M824" s="1402"/>
      <c r="N824" s="1402"/>
      <c r="O824" s="1402"/>
      <c r="P824" s="1402"/>
      <c r="Q824" s="1402"/>
      <c r="R824" s="1402"/>
      <c r="S824" s="361"/>
      <c r="T824" s="1399" t="s">
        <v>393</v>
      </c>
      <c r="U824" s="1397">
        <f>VLOOKUP(B825,DT.NK!$B:$AZ,45,0)</f>
        <v>24.35</v>
      </c>
      <c r="V824" s="361"/>
      <c r="W824" s="361"/>
    </row>
    <row r="825" spans="1:23">
      <c r="A825" s="1409">
        <f>A805+1</f>
        <v>42</v>
      </c>
      <c r="B825" s="1412" t="s">
        <v>524</v>
      </c>
      <c r="C825" s="844" t="s">
        <v>983</v>
      </c>
      <c r="D825" s="874" t="str">
        <f>B825&amp;C825</f>
        <v>A8a</v>
      </c>
      <c r="E825" s="363"/>
      <c r="F825" s="364"/>
      <c r="G825" s="364"/>
      <c r="H825" s="364"/>
      <c r="I825" s="364"/>
      <c r="J825" s="364"/>
      <c r="K825" s="364"/>
      <c r="L825" s="364"/>
      <c r="M825" s="674"/>
      <c r="N825" s="670"/>
      <c r="O825" s="670">
        <f>U824</f>
        <v>24.35</v>
      </c>
      <c r="P825" s="670">
        <f>O825</f>
        <v>24.35</v>
      </c>
      <c r="Q825" s="670">
        <v>0</v>
      </c>
      <c r="R825" s="365"/>
      <c r="S825" s="366"/>
      <c r="T825" s="1399"/>
      <c r="U825" s="1398"/>
      <c r="V825" s="361"/>
      <c r="W825" s="361"/>
    </row>
    <row r="826" spans="1:23">
      <c r="A826" s="1410"/>
      <c r="B826" s="1413"/>
      <c r="C826" s="845" t="s">
        <v>984</v>
      </c>
      <c r="D826" s="875" t="str">
        <f>B825&amp;C826</f>
        <v>A8b</v>
      </c>
      <c r="E826" s="367">
        <v>1</v>
      </c>
      <c r="F826" s="669" t="s">
        <v>1019</v>
      </c>
      <c r="G826" s="369">
        <v>4.8611111111111112E-2</v>
      </c>
      <c r="H826" s="368">
        <v>7.9861111111111105E-2</v>
      </c>
      <c r="I826" s="369">
        <v>9.7222222222222224E-2</v>
      </c>
      <c r="J826" s="368">
        <v>0.10416666666666667</v>
      </c>
      <c r="K826" s="669">
        <v>10</v>
      </c>
      <c r="L826" s="669">
        <v>19</v>
      </c>
      <c r="M826" s="675">
        <v>22.35</v>
      </c>
      <c r="N826" s="671">
        <f>IF(M826-P826&gt;0,M826-P826,0)</f>
        <v>5.75</v>
      </c>
      <c r="O826" s="671">
        <f>O825-K826/(PI()*(U823/2000)^2)</f>
        <v>15.508058717116928</v>
      </c>
      <c r="P826" s="672">
        <v>16.600000000000001</v>
      </c>
      <c r="Q826" s="673">
        <f>ABS(O826-P826)</f>
        <v>1.0919412828830737</v>
      </c>
      <c r="R826" s="375" t="s">
        <v>188</v>
      </c>
      <c r="S826" s="366"/>
      <c r="T826" s="376"/>
      <c r="U826" s="376"/>
      <c r="V826" s="366"/>
      <c r="W826" s="366"/>
    </row>
    <row r="827" spans="1:23">
      <c r="A827" s="1410"/>
      <c r="B827" s="1413"/>
      <c r="C827" s="845" t="s">
        <v>985</v>
      </c>
      <c r="D827" s="875" t="str">
        <f>B825&amp;C827</f>
        <v>A8c</v>
      </c>
      <c r="E827" s="367">
        <v>2</v>
      </c>
      <c r="F827" s="669" t="s">
        <v>982</v>
      </c>
      <c r="G827" s="369">
        <v>5.2083333333333336E-2</v>
      </c>
      <c r="H827" s="368">
        <v>8.7500000000000008E-2</v>
      </c>
      <c r="I827" s="369">
        <v>0.1111111111111111</v>
      </c>
      <c r="J827" s="368">
        <v>0.12222222222222223</v>
      </c>
      <c r="K827" s="669">
        <v>11</v>
      </c>
      <c r="L827" s="669">
        <v>18.5</v>
      </c>
      <c r="M827" s="675">
        <v>12.9</v>
      </c>
      <c r="N827" s="671">
        <f>IF(M827-P827&gt;0,M827-P827,0)</f>
        <v>4.3000000000000007</v>
      </c>
      <c r="O827" s="671">
        <f>O826-K827/(PI()*(U823/2000)^2)</f>
        <v>5.7819233059455453</v>
      </c>
      <c r="P827" s="672">
        <v>8.6</v>
      </c>
      <c r="Q827" s="673">
        <f>ABS(O827-P827)</f>
        <v>2.8180766940544544</v>
      </c>
      <c r="R827" s="375" t="s">
        <v>188</v>
      </c>
      <c r="S827" s="366"/>
      <c r="T827" s="376"/>
      <c r="U827" s="376"/>
      <c r="V827" s="366"/>
      <c r="W827" s="366"/>
    </row>
    <row r="828" spans="1:23">
      <c r="A828" s="1410"/>
      <c r="B828" s="1413"/>
      <c r="C828" s="845" t="s">
        <v>986</v>
      </c>
      <c r="D828" s="875" t="str">
        <f>B825&amp;C828</f>
        <v>A8d</v>
      </c>
      <c r="E828" s="367">
        <v>3</v>
      </c>
      <c r="F828" s="669" t="s">
        <v>981</v>
      </c>
      <c r="G828" s="369">
        <v>0.125</v>
      </c>
      <c r="H828" s="368">
        <v>0.1388888888888889</v>
      </c>
      <c r="I828" s="369">
        <v>0.14722222222222223</v>
      </c>
      <c r="J828" s="368">
        <v>0.14930555555555555</v>
      </c>
      <c r="K828" s="669">
        <v>2</v>
      </c>
      <c r="L828" s="669">
        <v>19</v>
      </c>
      <c r="M828" s="675">
        <v>12.9</v>
      </c>
      <c r="N828" s="671">
        <f>IF(M828-P828&gt;0,M828-P828,0)</f>
        <v>5.9</v>
      </c>
      <c r="O828" s="671">
        <f>O827-K828/(PI()*(U823/2000)^2)</f>
        <v>4.0135350493689304</v>
      </c>
      <c r="P828" s="672">
        <v>7</v>
      </c>
      <c r="Q828" s="673">
        <f>ABS(O828-P828)</f>
        <v>2.9864649506310696</v>
      </c>
      <c r="R828" s="375" t="s">
        <v>188</v>
      </c>
      <c r="S828" s="366"/>
      <c r="T828" s="376"/>
      <c r="U828" s="376"/>
      <c r="V828" s="366"/>
      <c r="W828" s="366"/>
    </row>
    <row r="829" spans="1:23">
      <c r="A829" s="1410"/>
      <c r="B829" s="1413"/>
      <c r="C829" s="845" t="s">
        <v>987</v>
      </c>
      <c r="D829" s="875" t="str">
        <f>B825&amp;C829</f>
        <v>A8e</v>
      </c>
      <c r="E829" s="367">
        <v>4</v>
      </c>
      <c r="F829" s="669"/>
      <c r="G829" s="369"/>
      <c r="H829" s="368"/>
      <c r="I829" s="369"/>
      <c r="J829" s="368"/>
      <c r="K829" s="370"/>
      <c r="L829" s="370"/>
      <c r="M829" s="371"/>
      <c r="N829" s="671"/>
      <c r="O829" s="671"/>
      <c r="P829" s="373"/>
      <c r="Q829" s="673"/>
      <c r="R829" s="375"/>
      <c r="S829" s="366"/>
      <c r="T829" s="376"/>
      <c r="U829" s="376"/>
      <c r="V829" s="366"/>
      <c r="W829" s="366"/>
    </row>
    <row r="830" spans="1:23">
      <c r="A830" s="1410"/>
      <c r="B830" s="1413"/>
      <c r="C830" s="845" t="s">
        <v>988</v>
      </c>
      <c r="D830" s="875" t="str">
        <f>B825&amp;C830</f>
        <v>A8f</v>
      </c>
      <c r="E830" s="367">
        <v>5</v>
      </c>
      <c r="F830" s="669"/>
      <c r="G830" s="369"/>
      <c r="H830" s="368"/>
      <c r="I830" s="369"/>
      <c r="J830" s="368"/>
      <c r="K830" s="370"/>
      <c r="L830" s="370"/>
      <c r="M830" s="371"/>
      <c r="N830" s="671"/>
      <c r="O830" s="671"/>
      <c r="P830" s="373"/>
      <c r="Q830" s="673"/>
      <c r="R830" s="377"/>
      <c r="S830" s="366" t="s">
        <v>190</v>
      </c>
      <c r="T830" s="376"/>
      <c r="U830" s="376"/>
      <c r="V830" s="366"/>
      <c r="W830" s="366"/>
    </row>
    <row r="831" spans="1:23">
      <c r="A831" s="1410"/>
      <c r="B831" s="1413"/>
      <c r="C831" s="845" t="s">
        <v>989</v>
      </c>
      <c r="D831" s="875" t="str">
        <f>B825&amp;C831</f>
        <v>A8g</v>
      </c>
      <c r="E831" s="367">
        <v>6</v>
      </c>
      <c r="F831" s="669"/>
      <c r="G831" s="369"/>
      <c r="H831" s="368"/>
      <c r="I831" s="369"/>
      <c r="J831" s="368"/>
      <c r="K831" s="370"/>
      <c r="L831" s="370"/>
      <c r="M831" s="371"/>
      <c r="N831" s="671"/>
      <c r="O831" s="671"/>
      <c r="P831" s="373"/>
      <c r="Q831" s="673"/>
      <c r="R831" s="375"/>
      <c r="S831" s="366" t="s">
        <v>190</v>
      </c>
      <c r="T831" s="366"/>
      <c r="U831" s="366"/>
      <c r="V831" s="366"/>
      <c r="W831" s="366"/>
    </row>
    <row r="832" spans="1:23">
      <c r="A832" s="1410"/>
      <c r="B832" s="1413"/>
      <c r="C832" s="845" t="s">
        <v>990</v>
      </c>
      <c r="D832" s="875" t="str">
        <f>B825&amp;C832</f>
        <v>A8h</v>
      </c>
      <c r="E832" s="367">
        <v>7</v>
      </c>
      <c r="F832" s="669"/>
      <c r="G832" s="368"/>
      <c r="H832" s="368"/>
      <c r="I832" s="368"/>
      <c r="J832" s="368"/>
      <c r="K832" s="370"/>
      <c r="L832" s="370"/>
      <c r="M832" s="371"/>
      <c r="N832" s="671"/>
      <c r="O832" s="671"/>
      <c r="P832" s="373"/>
      <c r="Q832" s="673"/>
      <c r="R832" s="377"/>
      <c r="S832" s="366" t="s">
        <v>190</v>
      </c>
      <c r="T832" s="366"/>
      <c r="U832" s="366"/>
      <c r="V832" s="366"/>
      <c r="W832" s="366"/>
    </row>
    <row r="833" spans="1:23">
      <c r="A833" s="1410"/>
      <c r="B833" s="1413"/>
      <c r="C833" s="845" t="s">
        <v>991</v>
      </c>
      <c r="D833" s="875" t="str">
        <f>B825&amp;C833</f>
        <v>A8i</v>
      </c>
      <c r="E833" s="367">
        <v>8</v>
      </c>
      <c r="F833" s="669"/>
      <c r="G833" s="368"/>
      <c r="H833" s="368"/>
      <c r="I833" s="368"/>
      <c r="J833" s="368"/>
      <c r="K833" s="370"/>
      <c r="L833" s="370"/>
      <c r="M833" s="371"/>
      <c r="N833" s="671"/>
      <c r="O833" s="671"/>
      <c r="P833" s="373"/>
      <c r="Q833" s="673"/>
      <c r="R833" s="378"/>
      <c r="S833" s="366"/>
      <c r="T833" s="366"/>
      <c r="U833" s="366"/>
      <c r="V833" s="366"/>
      <c r="W833" s="366"/>
    </row>
    <row r="834" spans="1:23">
      <c r="A834" s="1410"/>
      <c r="B834" s="1413"/>
      <c r="C834" s="845" t="s">
        <v>992</v>
      </c>
      <c r="D834" s="875" t="str">
        <f>B825&amp;C834</f>
        <v>A8k</v>
      </c>
      <c r="E834" s="367">
        <v>9</v>
      </c>
      <c r="F834" s="370"/>
      <c r="G834" s="368"/>
      <c r="H834" s="368"/>
      <c r="I834" s="368"/>
      <c r="J834" s="368"/>
      <c r="K834" s="370"/>
      <c r="L834" s="370"/>
      <c r="M834" s="371"/>
      <c r="N834" s="372"/>
      <c r="O834" s="372"/>
      <c r="P834" s="373"/>
      <c r="Q834" s="374"/>
      <c r="R834" s="378"/>
      <c r="S834" s="379"/>
      <c r="T834" s="366"/>
      <c r="U834" s="366"/>
      <c r="V834" s="366"/>
      <c r="W834" s="366"/>
    </row>
    <row r="835" spans="1:23">
      <c r="A835" s="1410"/>
      <c r="B835" s="1413"/>
      <c r="C835" s="845" t="s">
        <v>993</v>
      </c>
      <c r="D835" s="875" t="str">
        <f>B825&amp;C835</f>
        <v>A8l</v>
      </c>
      <c r="E835" s="367">
        <v>10</v>
      </c>
      <c r="F835" s="370"/>
      <c r="G835" s="368"/>
      <c r="H835" s="368"/>
      <c r="I835" s="368"/>
      <c r="J835" s="368"/>
      <c r="K835" s="370"/>
      <c r="L835" s="370"/>
      <c r="M835" s="370"/>
      <c r="N835" s="372"/>
      <c r="O835" s="372"/>
      <c r="P835" s="373"/>
      <c r="Q835" s="374"/>
      <c r="R835" s="378"/>
      <c r="S835" s="379"/>
      <c r="T835" s="366"/>
      <c r="U835" s="366"/>
      <c r="V835" s="366"/>
      <c r="W835" s="366"/>
    </row>
    <row r="836" spans="1:23">
      <c r="A836" s="1410"/>
      <c r="B836" s="1413"/>
      <c r="C836" s="845" t="s">
        <v>994</v>
      </c>
      <c r="D836" s="875" t="str">
        <f>B825&amp;C836</f>
        <v>A8m</v>
      </c>
      <c r="E836" s="367">
        <v>11</v>
      </c>
      <c r="F836" s="370"/>
      <c r="G836" s="368"/>
      <c r="H836" s="368"/>
      <c r="I836" s="368"/>
      <c r="J836" s="368"/>
      <c r="K836" s="370"/>
      <c r="L836" s="370"/>
      <c r="M836" s="370"/>
      <c r="N836" s="372"/>
      <c r="O836" s="372"/>
      <c r="P836" s="380"/>
      <c r="Q836" s="374"/>
      <c r="R836" s="381"/>
      <c r="S836" s="379"/>
      <c r="T836" s="366"/>
      <c r="U836" s="366"/>
      <c r="V836" s="366"/>
      <c r="W836" s="366"/>
    </row>
    <row r="837" spans="1:23">
      <c r="A837" s="1410"/>
      <c r="B837" s="1413"/>
      <c r="C837" s="845" t="s">
        <v>995</v>
      </c>
      <c r="D837" s="875" t="str">
        <f>B825&amp;C837</f>
        <v>A8n</v>
      </c>
      <c r="E837" s="367">
        <v>12</v>
      </c>
      <c r="F837" s="370"/>
      <c r="G837" s="368"/>
      <c r="H837" s="368"/>
      <c r="I837" s="368"/>
      <c r="J837" s="368"/>
      <c r="K837" s="370"/>
      <c r="L837" s="370"/>
      <c r="M837" s="370"/>
      <c r="N837" s="372"/>
      <c r="O837" s="372"/>
      <c r="P837" s="380"/>
      <c r="Q837" s="374"/>
      <c r="R837" s="381"/>
      <c r="S837" s="361"/>
      <c r="T837" s="361"/>
      <c r="U837" s="361"/>
      <c r="V837" s="366"/>
      <c r="W837" s="366"/>
    </row>
    <row r="838" spans="1:23">
      <c r="A838" s="1410"/>
      <c r="B838" s="1413"/>
      <c r="C838" s="845" t="s">
        <v>471</v>
      </c>
      <c r="D838" s="875" t="str">
        <f>B825&amp;C838</f>
        <v>A8x</v>
      </c>
      <c r="E838" s="367">
        <v>13</v>
      </c>
      <c r="F838" s="370"/>
      <c r="G838" s="368"/>
      <c r="H838" s="368"/>
      <c r="I838" s="368"/>
      <c r="J838" s="368"/>
      <c r="K838" s="370"/>
      <c r="L838" s="370"/>
      <c r="M838" s="370"/>
      <c r="N838" s="382"/>
      <c r="O838" s="372"/>
      <c r="P838" s="380"/>
      <c r="Q838" s="381"/>
      <c r="R838" s="381"/>
      <c r="S838" s="361"/>
      <c r="T838" s="361"/>
      <c r="U838" s="361"/>
      <c r="V838" s="366"/>
      <c r="W838" s="366"/>
    </row>
    <row r="839" spans="1:23">
      <c r="A839" s="1410"/>
      <c r="B839" s="1413"/>
      <c r="C839" s="845" t="s">
        <v>732</v>
      </c>
      <c r="D839" s="875" t="str">
        <f>B825&amp;C839</f>
        <v>A8y</v>
      </c>
      <c r="E839" s="367">
        <v>14</v>
      </c>
      <c r="F839" s="370"/>
      <c r="G839" s="368"/>
      <c r="H839" s="368"/>
      <c r="I839" s="368"/>
      <c r="J839" s="368"/>
      <c r="K839" s="370"/>
      <c r="L839" s="370"/>
      <c r="M839" s="370"/>
      <c r="N839" s="382"/>
      <c r="O839" s="372"/>
      <c r="P839" s="380"/>
      <c r="Q839" s="381"/>
      <c r="R839" s="381"/>
      <c r="S839" s="361"/>
      <c r="T839" s="361"/>
      <c r="U839" s="362"/>
      <c r="V839" s="366"/>
      <c r="W839" s="366"/>
    </row>
    <row r="840" spans="1:23">
      <c r="A840" s="1411"/>
      <c r="B840" s="1414"/>
      <c r="C840" s="846" t="s">
        <v>996</v>
      </c>
      <c r="D840" s="876" t="str">
        <f>B825&amp;C840</f>
        <v>A8z</v>
      </c>
      <c r="E840" s="847">
        <v>15</v>
      </c>
      <c r="F840" s="370"/>
      <c r="G840" s="368"/>
      <c r="H840" s="368"/>
      <c r="I840" s="368"/>
      <c r="J840" s="368"/>
      <c r="K840" s="370"/>
      <c r="L840" s="370"/>
      <c r="M840" s="370"/>
      <c r="N840" s="850"/>
      <c r="O840" s="851"/>
      <c r="P840" s="851"/>
      <c r="Q840" s="852"/>
      <c r="R840" s="383"/>
      <c r="S840" s="361"/>
      <c r="T840" s="832"/>
      <c r="U840" s="830"/>
      <c r="V840" s="366"/>
      <c r="W840" s="366"/>
    </row>
    <row r="841" spans="1:23">
      <c r="A841" s="1400" t="s">
        <v>939</v>
      </c>
      <c r="B841" s="1400"/>
      <c r="C841" s="827"/>
      <c r="D841" s="871"/>
      <c r="E841" s="1400" t="s">
        <v>177</v>
      </c>
      <c r="F841" s="1400" t="s">
        <v>18</v>
      </c>
      <c r="G841" s="1389" t="s">
        <v>19</v>
      </c>
      <c r="H841" s="1390"/>
      <c r="I841" s="1389" t="s">
        <v>22</v>
      </c>
      <c r="J841" s="1390"/>
      <c r="K841" s="1393" t="s">
        <v>26</v>
      </c>
      <c r="L841" s="1390"/>
      <c r="M841" s="1389" t="s">
        <v>392</v>
      </c>
      <c r="N841" s="1390"/>
      <c r="O841" s="1389" t="s">
        <v>28</v>
      </c>
      <c r="P841" s="1393"/>
      <c r="Q841" s="1390"/>
      <c r="R841" s="1400" t="s">
        <v>36</v>
      </c>
      <c r="S841" s="361"/>
      <c r="T841" s="361">
        <f>MAX(J845:J859)-MIN(I845:I859)</f>
        <v>7.5000000000000011E-2</v>
      </c>
      <c r="U841" s="361"/>
      <c r="V841" s="853" t="str">
        <f t="shared" ref="V841" si="90">B845</f>
        <v>A146</v>
      </c>
      <c r="W841" s="361">
        <f t="shared" ref="W841" si="91">COUNTIF(K846:K860,"&gt;0")</f>
        <v>4</v>
      </c>
    </row>
    <row r="842" spans="1:23">
      <c r="A842" s="1401"/>
      <c r="B842" s="1401"/>
      <c r="C842" s="828"/>
      <c r="D842" s="872"/>
      <c r="E842" s="1401"/>
      <c r="F842" s="1401"/>
      <c r="G842" s="1391"/>
      <c r="H842" s="1392"/>
      <c r="I842" s="1391"/>
      <c r="J842" s="1392"/>
      <c r="K842" s="1394"/>
      <c r="L842" s="1392"/>
      <c r="M842" s="1391"/>
      <c r="N842" s="1392"/>
      <c r="O842" s="1391"/>
      <c r="P842" s="1394"/>
      <c r="Q842" s="1392"/>
      <c r="R842" s="1401"/>
      <c r="S842" s="361"/>
      <c r="T842" s="361"/>
      <c r="U842" s="361"/>
      <c r="V842" s="361"/>
      <c r="W842" s="361"/>
    </row>
    <row r="843" spans="1:23">
      <c r="A843" s="1401"/>
      <c r="B843" s="1401"/>
      <c r="C843" s="828"/>
      <c r="D843" s="872"/>
      <c r="E843" s="1401"/>
      <c r="F843" s="1401"/>
      <c r="G843" s="1400" t="s">
        <v>20</v>
      </c>
      <c r="H843" s="1400" t="s">
        <v>21</v>
      </c>
      <c r="I843" s="1400" t="s">
        <v>361</v>
      </c>
      <c r="J843" s="1400" t="s">
        <v>353</v>
      </c>
      <c r="K843" s="1400" t="s">
        <v>23</v>
      </c>
      <c r="L843" s="1400" t="s">
        <v>24</v>
      </c>
      <c r="M843" s="1400" t="s">
        <v>27</v>
      </c>
      <c r="N843" s="1400" t="s">
        <v>178</v>
      </c>
      <c r="O843" s="1400" t="s">
        <v>1</v>
      </c>
      <c r="P843" s="1400" t="s">
        <v>29</v>
      </c>
      <c r="Q843" s="1400" t="s">
        <v>33</v>
      </c>
      <c r="R843" s="1401"/>
      <c r="S843" s="361"/>
      <c r="T843" s="361" t="s">
        <v>39</v>
      </c>
      <c r="U843" s="362">
        <f>VLOOKUP(B845,'Thong tin'!$A:$M,13,0)</f>
        <v>1200</v>
      </c>
      <c r="V843" s="361"/>
      <c r="W843" s="361"/>
    </row>
    <row r="844" spans="1:23">
      <c r="A844" s="1402"/>
      <c r="B844" s="1402"/>
      <c r="C844" s="829"/>
      <c r="D844" s="873"/>
      <c r="E844" s="1402"/>
      <c r="F844" s="1402"/>
      <c r="G844" s="1402"/>
      <c r="H844" s="1402"/>
      <c r="I844" s="1402"/>
      <c r="J844" s="1402"/>
      <c r="K844" s="1402"/>
      <c r="L844" s="1402"/>
      <c r="M844" s="1402"/>
      <c r="N844" s="1402"/>
      <c r="O844" s="1402"/>
      <c r="P844" s="1402"/>
      <c r="Q844" s="1402"/>
      <c r="R844" s="1402"/>
      <c r="S844" s="361"/>
      <c r="T844" s="1399" t="s">
        <v>393</v>
      </c>
      <c r="U844" s="1397">
        <f>VLOOKUP(B845,DT.NK!$B:$AZ,45,0)</f>
        <v>31.35</v>
      </c>
      <c r="V844" s="361"/>
      <c r="W844" s="361"/>
    </row>
    <row r="845" spans="1:23">
      <c r="A845" s="1409">
        <f>A825+1</f>
        <v>43</v>
      </c>
      <c r="B845" s="1412" t="s">
        <v>541</v>
      </c>
      <c r="C845" s="844" t="s">
        <v>983</v>
      </c>
      <c r="D845" s="874" t="str">
        <f>B845&amp;C845</f>
        <v>A146a</v>
      </c>
      <c r="E845" s="363"/>
      <c r="F845" s="364"/>
      <c r="G845" s="364"/>
      <c r="H845" s="364"/>
      <c r="I845" s="364"/>
      <c r="J845" s="364"/>
      <c r="K845" s="364"/>
      <c r="L845" s="364"/>
      <c r="M845" s="674"/>
      <c r="N845" s="670"/>
      <c r="O845" s="670">
        <f>U844</f>
        <v>31.35</v>
      </c>
      <c r="P845" s="670">
        <f>O845</f>
        <v>31.35</v>
      </c>
      <c r="Q845" s="670">
        <v>0</v>
      </c>
      <c r="R845" s="365"/>
      <c r="S845" s="366"/>
      <c r="T845" s="1399"/>
      <c r="U845" s="1398"/>
      <c r="V845" s="361"/>
      <c r="W845" s="361"/>
    </row>
    <row r="846" spans="1:23">
      <c r="A846" s="1410"/>
      <c r="B846" s="1413"/>
      <c r="C846" s="845" t="s">
        <v>984</v>
      </c>
      <c r="D846" s="875" t="str">
        <f>B845&amp;C846</f>
        <v>A146b</v>
      </c>
      <c r="E846" s="367">
        <v>1</v>
      </c>
      <c r="F846" s="669" t="s">
        <v>1019</v>
      </c>
      <c r="G846" s="369">
        <v>0.24027777777777778</v>
      </c>
      <c r="H846" s="368">
        <v>0.2986111111111111</v>
      </c>
      <c r="I846" s="369">
        <v>0.34513888888888888</v>
      </c>
      <c r="J846" s="368">
        <v>0.35069444444444442</v>
      </c>
      <c r="K846" s="669">
        <v>9</v>
      </c>
      <c r="L846" s="669">
        <v>19</v>
      </c>
      <c r="M846" s="675">
        <v>28.85</v>
      </c>
      <c r="N846" s="671">
        <f>IF(M846-P846&gt;0,M846-P846,0)</f>
        <v>4.1500000000000021</v>
      </c>
      <c r="O846" s="671">
        <f>O845-K846/(PI()*(U843/2000)^2)</f>
        <v>23.392252845405235</v>
      </c>
      <c r="P846" s="672">
        <v>24.7</v>
      </c>
      <c r="Q846" s="673">
        <f>ABS(O846-P846)</f>
        <v>1.3077471545947645</v>
      </c>
      <c r="R846" s="375" t="s">
        <v>188</v>
      </c>
      <c r="S846" s="366"/>
      <c r="T846" s="376"/>
      <c r="U846" s="376"/>
      <c r="V846" s="366"/>
      <c r="W846" s="366"/>
    </row>
    <row r="847" spans="1:23">
      <c r="A847" s="1410"/>
      <c r="B847" s="1413"/>
      <c r="C847" s="845" t="s">
        <v>985</v>
      </c>
      <c r="D847" s="875" t="str">
        <f>B845&amp;C847</f>
        <v>A146c</v>
      </c>
      <c r="E847" s="367">
        <v>2</v>
      </c>
      <c r="F847" s="669" t="s">
        <v>982</v>
      </c>
      <c r="G847" s="369">
        <v>0.27430555555555552</v>
      </c>
      <c r="H847" s="368">
        <v>0.3125</v>
      </c>
      <c r="I847" s="369">
        <v>0.35625000000000001</v>
      </c>
      <c r="J847" s="368">
        <v>0.36249999999999999</v>
      </c>
      <c r="K847" s="669">
        <v>9</v>
      </c>
      <c r="L847" s="669">
        <v>20</v>
      </c>
      <c r="M847" s="675">
        <v>19.399999999999999</v>
      </c>
      <c r="N847" s="671">
        <f>IF(M847-P847&gt;0,M847-P847,0)</f>
        <v>3.7999999999999989</v>
      </c>
      <c r="O847" s="671">
        <f>O846-K847/(PI()*(U843/2000)^2)</f>
        <v>15.434505690810468</v>
      </c>
      <c r="P847" s="672">
        <v>15.6</v>
      </c>
      <c r="Q847" s="673">
        <f>ABS(O847-P847)</f>
        <v>0.16549430918953156</v>
      </c>
      <c r="R847" s="375" t="s">
        <v>188</v>
      </c>
      <c r="S847" s="366"/>
      <c r="T847" s="376"/>
      <c r="U847" s="376"/>
      <c r="V847" s="366"/>
      <c r="W847" s="366"/>
    </row>
    <row r="848" spans="1:23">
      <c r="A848" s="1410"/>
      <c r="B848" s="1413"/>
      <c r="C848" s="845" t="s">
        <v>986</v>
      </c>
      <c r="D848" s="875" t="str">
        <f>B845&amp;C848</f>
        <v>A146d</v>
      </c>
      <c r="E848" s="367">
        <v>3</v>
      </c>
      <c r="F848" s="669" t="s">
        <v>1014</v>
      </c>
      <c r="G848" s="369">
        <v>0.35416666666666669</v>
      </c>
      <c r="H848" s="368">
        <v>0.375</v>
      </c>
      <c r="I848" s="369">
        <v>0.3840277777777778</v>
      </c>
      <c r="J848" s="368">
        <v>0.3888888888888889</v>
      </c>
      <c r="K848" s="669">
        <v>10</v>
      </c>
      <c r="L848" s="669">
        <v>19.5</v>
      </c>
      <c r="M848" s="675">
        <v>13.1</v>
      </c>
      <c r="N848" s="671">
        <f>IF(M848-P848&gt;0,M848-P848,0)</f>
        <v>4.2999999999999989</v>
      </c>
      <c r="O848" s="671">
        <f>O847-K848/(PI()*(U843/2000)^2)</f>
        <v>6.5925644079273944</v>
      </c>
      <c r="P848" s="672">
        <v>8.8000000000000007</v>
      </c>
      <c r="Q848" s="673">
        <f>ABS(O848-P848)</f>
        <v>2.2074355920726063</v>
      </c>
      <c r="R848" s="375" t="s">
        <v>188</v>
      </c>
      <c r="S848" s="366"/>
      <c r="T848" s="376"/>
      <c r="U848" s="376"/>
      <c r="V848" s="366"/>
      <c r="W848" s="366"/>
    </row>
    <row r="849" spans="1:23">
      <c r="A849" s="1410"/>
      <c r="B849" s="1413"/>
      <c r="C849" s="845" t="s">
        <v>987</v>
      </c>
      <c r="D849" s="875" t="str">
        <f>B845&amp;C849</f>
        <v>A146e</v>
      </c>
      <c r="E849" s="367">
        <v>4</v>
      </c>
      <c r="F849" s="669" t="s">
        <v>1019</v>
      </c>
      <c r="G849" s="369">
        <v>0.3979166666666667</v>
      </c>
      <c r="H849" s="368">
        <v>0.41319444444444442</v>
      </c>
      <c r="I849" s="369">
        <v>0.41666666666666669</v>
      </c>
      <c r="J849" s="368">
        <v>0.4201388888888889</v>
      </c>
      <c r="K849" s="370">
        <v>3</v>
      </c>
      <c r="L849" s="370">
        <v>18.5</v>
      </c>
      <c r="M849" s="371">
        <v>13.1</v>
      </c>
      <c r="N849" s="671">
        <f>IF(M849-P849&gt;0,M849-P849,0)</f>
        <v>6.6999999999999993</v>
      </c>
      <c r="O849" s="671">
        <f>O848-K849/(PI()*(U843/2000)^2)</f>
        <v>3.939982023062472</v>
      </c>
      <c r="P849" s="373">
        <v>6.4</v>
      </c>
      <c r="Q849" s="673">
        <f>ABS(O849-P849)</f>
        <v>2.4600179769375283</v>
      </c>
      <c r="R849" s="375"/>
      <c r="S849" s="366"/>
      <c r="T849" s="376"/>
      <c r="U849" s="376"/>
      <c r="V849" s="366"/>
      <c r="W849" s="366"/>
    </row>
    <row r="850" spans="1:23">
      <c r="A850" s="1410"/>
      <c r="B850" s="1413"/>
      <c r="C850" s="845" t="s">
        <v>988</v>
      </c>
      <c r="D850" s="875" t="str">
        <f>B845&amp;C850</f>
        <v>A146f</v>
      </c>
      <c r="E850" s="367">
        <v>5</v>
      </c>
      <c r="F850" s="669"/>
      <c r="G850" s="369"/>
      <c r="H850" s="368"/>
      <c r="I850" s="369"/>
      <c r="J850" s="368"/>
      <c r="K850" s="370"/>
      <c r="L850" s="370"/>
      <c r="M850" s="371"/>
      <c r="N850" s="671"/>
      <c r="O850" s="671"/>
      <c r="P850" s="373"/>
      <c r="Q850" s="673"/>
      <c r="R850" s="377"/>
      <c r="S850" s="366" t="s">
        <v>190</v>
      </c>
      <c r="T850" s="376"/>
      <c r="U850" s="376"/>
      <c r="V850" s="366"/>
      <c r="W850" s="366"/>
    </row>
    <row r="851" spans="1:23">
      <c r="A851" s="1410"/>
      <c r="B851" s="1413"/>
      <c r="C851" s="845" t="s">
        <v>989</v>
      </c>
      <c r="D851" s="875" t="str">
        <f>B845&amp;C851</f>
        <v>A146g</v>
      </c>
      <c r="E851" s="367">
        <v>6</v>
      </c>
      <c r="F851" s="669"/>
      <c r="G851" s="369"/>
      <c r="H851" s="368"/>
      <c r="I851" s="369"/>
      <c r="J851" s="368"/>
      <c r="K851" s="370"/>
      <c r="L851" s="370"/>
      <c r="M851" s="371"/>
      <c r="N851" s="671"/>
      <c r="O851" s="671"/>
      <c r="P851" s="373"/>
      <c r="Q851" s="673"/>
      <c r="R851" s="375"/>
      <c r="S851" s="366" t="s">
        <v>190</v>
      </c>
      <c r="T851" s="366"/>
      <c r="U851" s="366"/>
      <c r="V851" s="366"/>
      <c r="W851" s="366"/>
    </row>
    <row r="852" spans="1:23">
      <c r="A852" s="1410"/>
      <c r="B852" s="1413"/>
      <c r="C852" s="845" t="s">
        <v>990</v>
      </c>
      <c r="D852" s="875" t="str">
        <f>B845&amp;C852</f>
        <v>A146h</v>
      </c>
      <c r="E852" s="367">
        <v>7</v>
      </c>
      <c r="F852" s="669"/>
      <c r="G852" s="368"/>
      <c r="H852" s="368"/>
      <c r="I852" s="368"/>
      <c r="J852" s="368"/>
      <c r="K852" s="370"/>
      <c r="L852" s="370"/>
      <c r="M852" s="371"/>
      <c r="N852" s="671"/>
      <c r="O852" s="671"/>
      <c r="P852" s="373"/>
      <c r="Q852" s="673"/>
      <c r="R852" s="377"/>
      <c r="S852" s="366" t="s">
        <v>190</v>
      </c>
      <c r="T852" s="366"/>
      <c r="U852" s="366"/>
      <c r="V852" s="366"/>
      <c r="W852" s="366"/>
    </row>
    <row r="853" spans="1:23">
      <c r="A853" s="1410"/>
      <c r="B853" s="1413"/>
      <c r="C853" s="845" t="s">
        <v>991</v>
      </c>
      <c r="D853" s="875" t="str">
        <f>B845&amp;C853</f>
        <v>A146i</v>
      </c>
      <c r="E853" s="367">
        <v>8</v>
      </c>
      <c r="F853" s="669"/>
      <c r="G853" s="368"/>
      <c r="H853" s="368"/>
      <c r="I853" s="368"/>
      <c r="J853" s="368"/>
      <c r="K853" s="370"/>
      <c r="L853" s="370"/>
      <c r="M853" s="371"/>
      <c r="N853" s="671"/>
      <c r="O853" s="671"/>
      <c r="P853" s="373"/>
      <c r="Q853" s="673"/>
      <c r="R853" s="378"/>
      <c r="S853" s="366"/>
      <c r="T853" s="366"/>
      <c r="U853" s="366"/>
      <c r="V853" s="366"/>
      <c r="W853" s="366"/>
    </row>
    <row r="854" spans="1:23">
      <c r="A854" s="1410"/>
      <c r="B854" s="1413"/>
      <c r="C854" s="845" t="s">
        <v>992</v>
      </c>
      <c r="D854" s="875" t="str">
        <f>B845&amp;C854</f>
        <v>A146k</v>
      </c>
      <c r="E854" s="367">
        <v>9</v>
      </c>
      <c r="F854" s="370"/>
      <c r="G854" s="368"/>
      <c r="H854" s="368"/>
      <c r="I854" s="368"/>
      <c r="J854" s="368"/>
      <c r="K854" s="370"/>
      <c r="L854" s="370"/>
      <c r="M854" s="371"/>
      <c r="N854" s="372"/>
      <c r="O854" s="372"/>
      <c r="P854" s="373"/>
      <c r="Q854" s="374"/>
      <c r="R854" s="378"/>
      <c r="S854" s="379"/>
      <c r="T854" s="366"/>
      <c r="U854" s="366"/>
      <c r="V854" s="366"/>
      <c r="W854" s="366"/>
    </row>
    <row r="855" spans="1:23">
      <c r="A855" s="1410"/>
      <c r="B855" s="1413"/>
      <c r="C855" s="845" t="s">
        <v>993</v>
      </c>
      <c r="D855" s="875" t="str">
        <f>B845&amp;C855</f>
        <v>A146l</v>
      </c>
      <c r="E855" s="367">
        <v>10</v>
      </c>
      <c r="F855" s="370"/>
      <c r="G855" s="368"/>
      <c r="H855" s="368"/>
      <c r="I855" s="368"/>
      <c r="J855" s="368"/>
      <c r="K855" s="370"/>
      <c r="L855" s="370"/>
      <c r="M855" s="370"/>
      <c r="N855" s="372"/>
      <c r="O855" s="372"/>
      <c r="P855" s="373"/>
      <c r="Q855" s="374"/>
      <c r="R855" s="378"/>
      <c r="S855" s="379"/>
      <c r="T855" s="366"/>
      <c r="U855" s="366"/>
      <c r="V855" s="366"/>
      <c r="W855" s="366"/>
    </row>
    <row r="856" spans="1:23">
      <c r="A856" s="1410"/>
      <c r="B856" s="1413"/>
      <c r="C856" s="845" t="s">
        <v>994</v>
      </c>
      <c r="D856" s="875" t="str">
        <f>B845&amp;C856</f>
        <v>A146m</v>
      </c>
      <c r="E856" s="367">
        <v>11</v>
      </c>
      <c r="F856" s="370"/>
      <c r="G856" s="368"/>
      <c r="H856" s="368"/>
      <c r="I856" s="368"/>
      <c r="J856" s="368"/>
      <c r="K856" s="370"/>
      <c r="L856" s="370"/>
      <c r="M856" s="370"/>
      <c r="N856" s="372"/>
      <c r="O856" s="372"/>
      <c r="P856" s="380"/>
      <c r="Q856" s="374"/>
      <c r="R856" s="381"/>
      <c r="S856" s="379"/>
      <c r="T856" s="366"/>
      <c r="U856" s="366"/>
      <c r="V856" s="366"/>
      <c r="W856" s="366"/>
    </row>
    <row r="857" spans="1:23">
      <c r="A857" s="1410"/>
      <c r="B857" s="1413"/>
      <c r="C857" s="845" t="s">
        <v>995</v>
      </c>
      <c r="D857" s="875" t="str">
        <f>B845&amp;C857</f>
        <v>A146n</v>
      </c>
      <c r="E857" s="367">
        <v>12</v>
      </c>
      <c r="F857" s="370"/>
      <c r="G857" s="368"/>
      <c r="H857" s="368"/>
      <c r="I857" s="368"/>
      <c r="J857" s="368"/>
      <c r="K857" s="370"/>
      <c r="L857" s="370"/>
      <c r="M857" s="370"/>
      <c r="N857" s="372"/>
      <c r="O857" s="372"/>
      <c r="P857" s="380"/>
      <c r="Q857" s="374"/>
      <c r="R857" s="381"/>
      <c r="S857" s="361"/>
      <c r="T857" s="361"/>
      <c r="U857" s="361"/>
      <c r="V857" s="366"/>
      <c r="W857" s="366"/>
    </row>
    <row r="858" spans="1:23">
      <c r="A858" s="1410"/>
      <c r="B858" s="1413"/>
      <c r="C858" s="845" t="s">
        <v>471</v>
      </c>
      <c r="D858" s="875" t="str">
        <f>B845&amp;C858</f>
        <v>A146x</v>
      </c>
      <c r="E858" s="367">
        <v>13</v>
      </c>
      <c r="F858" s="370"/>
      <c r="G858" s="368"/>
      <c r="H858" s="368"/>
      <c r="I858" s="368"/>
      <c r="J858" s="368"/>
      <c r="K858" s="370"/>
      <c r="L858" s="370"/>
      <c r="M858" s="370"/>
      <c r="N858" s="382"/>
      <c r="O858" s="372"/>
      <c r="P858" s="380"/>
      <c r="Q858" s="381"/>
      <c r="R858" s="381"/>
      <c r="S858" s="361"/>
      <c r="T858" s="361"/>
      <c r="U858" s="361"/>
      <c r="V858" s="366"/>
      <c r="W858" s="366"/>
    </row>
    <row r="859" spans="1:23">
      <c r="A859" s="1410"/>
      <c r="B859" s="1413"/>
      <c r="C859" s="845" t="s">
        <v>732</v>
      </c>
      <c r="D859" s="875" t="str">
        <f>B845&amp;C859</f>
        <v>A146y</v>
      </c>
      <c r="E859" s="367">
        <v>14</v>
      </c>
      <c r="F859" s="370"/>
      <c r="G859" s="368"/>
      <c r="H859" s="368"/>
      <c r="I859" s="368"/>
      <c r="J859" s="368"/>
      <c r="K859" s="370"/>
      <c r="L859" s="370"/>
      <c r="M859" s="370"/>
      <c r="N859" s="382"/>
      <c r="O859" s="372"/>
      <c r="P859" s="380"/>
      <c r="Q859" s="381"/>
      <c r="R859" s="381"/>
      <c r="S859" s="361"/>
      <c r="T859" s="361"/>
      <c r="U859" s="362"/>
      <c r="V859" s="366"/>
      <c r="W859" s="366"/>
    </row>
    <row r="860" spans="1:23">
      <c r="A860" s="1411"/>
      <c r="B860" s="1414"/>
      <c r="C860" s="846" t="s">
        <v>996</v>
      </c>
      <c r="D860" s="876" t="str">
        <f>B845&amp;C860</f>
        <v>A146z</v>
      </c>
      <c r="E860" s="847">
        <v>15</v>
      </c>
      <c r="F860" s="370"/>
      <c r="G860" s="368"/>
      <c r="H860" s="368"/>
      <c r="I860" s="368"/>
      <c r="J860" s="368"/>
      <c r="K860" s="370"/>
      <c r="L860" s="370"/>
      <c r="M860" s="370"/>
      <c r="N860" s="850"/>
      <c r="O860" s="851"/>
      <c r="P860" s="851"/>
      <c r="Q860" s="852"/>
      <c r="R860" s="383"/>
      <c r="S860" s="361"/>
      <c r="T860" s="832"/>
      <c r="U860" s="830"/>
      <c r="V860" s="366"/>
      <c r="W860" s="366"/>
    </row>
    <row r="861" spans="1:23">
      <c r="A861" s="1400" t="s">
        <v>939</v>
      </c>
      <c r="B861" s="1400"/>
      <c r="C861" s="827"/>
      <c r="D861" s="871"/>
      <c r="E861" s="1400" t="s">
        <v>177</v>
      </c>
      <c r="F861" s="1400" t="s">
        <v>18</v>
      </c>
      <c r="G861" s="1389" t="s">
        <v>19</v>
      </c>
      <c r="H861" s="1390"/>
      <c r="I861" s="1389" t="s">
        <v>22</v>
      </c>
      <c r="J861" s="1390"/>
      <c r="K861" s="1393" t="s">
        <v>26</v>
      </c>
      <c r="L861" s="1390"/>
      <c r="M861" s="1389" t="s">
        <v>392</v>
      </c>
      <c r="N861" s="1390"/>
      <c r="O861" s="1389" t="s">
        <v>28</v>
      </c>
      <c r="P861" s="1393"/>
      <c r="Q861" s="1390"/>
      <c r="R861" s="1400" t="s">
        <v>36</v>
      </c>
      <c r="S861" s="361"/>
      <c r="T861" s="361">
        <f>MAX(J865:J879)-MIN(I865:I879)</f>
        <v>3.4722222222222224E-2</v>
      </c>
      <c r="U861" s="361"/>
      <c r="V861" s="853" t="str">
        <f t="shared" ref="V861" si="92">B865</f>
        <v>A124</v>
      </c>
      <c r="W861" s="361">
        <f t="shared" ref="W861" si="93">COUNTIF(K866:K880,"&gt;0")</f>
        <v>3</v>
      </c>
    </row>
    <row r="862" spans="1:23">
      <c r="A862" s="1401"/>
      <c r="B862" s="1401"/>
      <c r="C862" s="828"/>
      <c r="D862" s="872"/>
      <c r="E862" s="1401"/>
      <c r="F862" s="1401"/>
      <c r="G862" s="1391"/>
      <c r="H862" s="1392"/>
      <c r="I862" s="1391"/>
      <c r="J862" s="1392"/>
      <c r="K862" s="1394"/>
      <c r="L862" s="1392"/>
      <c r="M862" s="1391"/>
      <c r="N862" s="1392"/>
      <c r="O862" s="1391"/>
      <c r="P862" s="1394"/>
      <c r="Q862" s="1392"/>
      <c r="R862" s="1401"/>
      <c r="S862" s="361"/>
      <c r="T862" s="361"/>
      <c r="U862" s="361"/>
      <c r="V862" s="361"/>
      <c r="W862" s="361"/>
    </row>
    <row r="863" spans="1:23">
      <c r="A863" s="1401"/>
      <c r="B863" s="1401"/>
      <c r="C863" s="828"/>
      <c r="D863" s="872"/>
      <c r="E863" s="1401"/>
      <c r="F863" s="1401"/>
      <c r="G863" s="1400" t="s">
        <v>20</v>
      </c>
      <c r="H863" s="1400" t="s">
        <v>21</v>
      </c>
      <c r="I863" s="1400" t="s">
        <v>361</v>
      </c>
      <c r="J863" s="1400" t="s">
        <v>353</v>
      </c>
      <c r="K863" s="1400" t="s">
        <v>23</v>
      </c>
      <c r="L863" s="1400" t="s">
        <v>24</v>
      </c>
      <c r="M863" s="1400" t="s">
        <v>27</v>
      </c>
      <c r="N863" s="1400" t="s">
        <v>178</v>
      </c>
      <c r="O863" s="1400" t="s">
        <v>1</v>
      </c>
      <c r="P863" s="1400" t="s">
        <v>29</v>
      </c>
      <c r="Q863" s="1400" t="s">
        <v>33</v>
      </c>
      <c r="R863" s="1401"/>
      <c r="S863" s="361"/>
      <c r="T863" s="361" t="s">
        <v>39</v>
      </c>
      <c r="U863" s="362">
        <f>VLOOKUP(B865,'Thong tin'!$A:$M,13,0)</f>
        <v>1200</v>
      </c>
      <c r="V863" s="361"/>
      <c r="W863" s="361"/>
    </row>
    <row r="864" spans="1:23">
      <c r="A864" s="1402"/>
      <c r="B864" s="1402"/>
      <c r="C864" s="829"/>
      <c r="D864" s="873"/>
      <c r="E864" s="1402"/>
      <c r="F864" s="1402"/>
      <c r="G864" s="1402"/>
      <c r="H864" s="1402"/>
      <c r="I864" s="1402"/>
      <c r="J864" s="1402"/>
      <c r="K864" s="1402"/>
      <c r="L864" s="1402"/>
      <c r="M864" s="1402"/>
      <c r="N864" s="1402"/>
      <c r="O864" s="1402"/>
      <c r="P864" s="1402"/>
      <c r="Q864" s="1402"/>
      <c r="R864" s="1402"/>
      <c r="S864" s="361"/>
      <c r="T864" s="1399" t="s">
        <v>393</v>
      </c>
      <c r="U864" s="1397">
        <f>VLOOKUP(B865,DT.NK!$B:$AZ,45,0)</f>
        <v>24.2</v>
      </c>
      <c r="V864" s="361"/>
      <c r="W864" s="361"/>
    </row>
    <row r="865" spans="1:23">
      <c r="A865" s="1409">
        <f>A845+1</f>
        <v>44</v>
      </c>
      <c r="B865" s="1412" t="s">
        <v>654</v>
      </c>
      <c r="C865" s="844" t="s">
        <v>983</v>
      </c>
      <c r="D865" s="874" t="str">
        <f>B865&amp;C865</f>
        <v>A124a</v>
      </c>
      <c r="E865" s="363"/>
      <c r="F865" s="364"/>
      <c r="G865" s="364"/>
      <c r="H865" s="364"/>
      <c r="I865" s="364"/>
      <c r="J865" s="364"/>
      <c r="K865" s="364"/>
      <c r="L865" s="364"/>
      <c r="M865" s="674"/>
      <c r="N865" s="670"/>
      <c r="O865" s="670">
        <f>U864</f>
        <v>24.2</v>
      </c>
      <c r="P865" s="670">
        <f>O865</f>
        <v>24.2</v>
      </c>
      <c r="Q865" s="670">
        <v>0</v>
      </c>
      <c r="R865" s="365"/>
      <c r="S865" s="366"/>
      <c r="T865" s="1399"/>
      <c r="U865" s="1398"/>
      <c r="V865" s="361"/>
      <c r="W865" s="361"/>
    </row>
    <row r="866" spans="1:23">
      <c r="A866" s="1410"/>
      <c r="B866" s="1413"/>
      <c r="C866" s="845" t="s">
        <v>984</v>
      </c>
      <c r="D866" s="875" t="str">
        <f>B865&amp;C866</f>
        <v>A124b</v>
      </c>
      <c r="E866" s="367">
        <v>1</v>
      </c>
      <c r="F866" s="669" t="s">
        <v>1072</v>
      </c>
      <c r="G866" s="369">
        <v>0.98749999999999993</v>
      </c>
      <c r="H866" s="368">
        <v>2.0833333333333332E-2</v>
      </c>
      <c r="I866" s="369">
        <v>3.125E-2</v>
      </c>
      <c r="J866" s="368">
        <v>3.4722222222222224E-2</v>
      </c>
      <c r="K866" s="669">
        <v>7</v>
      </c>
      <c r="L866" s="669">
        <v>19</v>
      </c>
      <c r="M866" s="675">
        <v>23.1</v>
      </c>
      <c r="N866" s="671">
        <f>IF(M866-P866&gt;0,M866-P866,0)</f>
        <v>3.9000000000000021</v>
      </c>
      <c r="O866" s="671">
        <f>O865-K866/(PI()*(U863/2000)^2)</f>
        <v>18.010641101981847</v>
      </c>
      <c r="P866" s="672">
        <v>19.2</v>
      </c>
      <c r="Q866" s="673">
        <f>ABS(O866-P866)</f>
        <v>1.1893588980181526</v>
      </c>
      <c r="R866" s="375" t="s">
        <v>188</v>
      </c>
      <c r="S866" s="366"/>
      <c r="T866" s="376"/>
      <c r="U866" s="376"/>
      <c r="V866" s="366"/>
      <c r="W866" s="366"/>
    </row>
    <row r="867" spans="1:23">
      <c r="A867" s="1410"/>
      <c r="B867" s="1413"/>
      <c r="C867" s="845" t="s">
        <v>985</v>
      </c>
      <c r="D867" s="875" t="str">
        <f>B865&amp;C867</f>
        <v>A124c</v>
      </c>
      <c r="E867" s="367">
        <v>2</v>
      </c>
      <c r="F867" s="669" t="s">
        <v>1067</v>
      </c>
      <c r="G867" s="369">
        <v>4.8611111111111112E-3</v>
      </c>
      <c r="H867" s="368">
        <v>2.7777777777777776E-2</v>
      </c>
      <c r="I867" s="369">
        <v>4.1666666666666664E-2</v>
      </c>
      <c r="J867" s="368">
        <v>4.5138888888888888E-2</v>
      </c>
      <c r="K867" s="669">
        <v>7</v>
      </c>
      <c r="L867" s="669">
        <v>19</v>
      </c>
      <c r="M867" s="675">
        <v>16.8</v>
      </c>
      <c r="N867" s="671">
        <f>IF(M867-P867&gt;0,M867-P867,0)</f>
        <v>3.5</v>
      </c>
      <c r="O867" s="671">
        <f>O866-K867/(PI()*(U863/2000)^2)</f>
        <v>11.821282203963694</v>
      </c>
      <c r="P867" s="672">
        <v>13.3</v>
      </c>
      <c r="Q867" s="673">
        <f>ABS(O867-P867)</f>
        <v>1.4787177960363067</v>
      </c>
      <c r="R867" s="375" t="s">
        <v>188</v>
      </c>
      <c r="S867" s="366"/>
      <c r="T867" s="376"/>
      <c r="U867" s="376"/>
      <c r="V867" s="366"/>
      <c r="W867" s="366"/>
    </row>
    <row r="868" spans="1:23">
      <c r="A868" s="1410"/>
      <c r="B868" s="1413"/>
      <c r="C868" s="845" t="s">
        <v>986</v>
      </c>
      <c r="D868" s="875" t="str">
        <f>B865&amp;C868</f>
        <v>A124d</v>
      </c>
      <c r="E868" s="367">
        <v>3</v>
      </c>
      <c r="F868" s="669" t="s">
        <v>1051</v>
      </c>
      <c r="G868" s="369">
        <v>1.5277777777777777E-2</v>
      </c>
      <c r="H868" s="368">
        <v>5.5555555555555552E-2</v>
      </c>
      <c r="I868" s="369">
        <v>6.25E-2</v>
      </c>
      <c r="J868" s="368">
        <v>6.5972222222222224E-2</v>
      </c>
      <c r="K868" s="669">
        <v>7</v>
      </c>
      <c r="L868" s="669">
        <v>19</v>
      </c>
      <c r="M868" s="675">
        <v>10.5</v>
      </c>
      <c r="N868" s="671">
        <f>IF(M868-P868&gt;0,M868-P868,0)</f>
        <v>3.5</v>
      </c>
      <c r="O868" s="671">
        <f>O867-K868/(PI()*(U863/2000)^2)</f>
        <v>5.6319233059455422</v>
      </c>
      <c r="P868" s="672">
        <v>7</v>
      </c>
      <c r="Q868" s="673">
        <f>ABS(O868-P868)</f>
        <v>1.3680766940544578</v>
      </c>
      <c r="R868" s="375" t="s">
        <v>188</v>
      </c>
      <c r="S868" s="366"/>
      <c r="T868" s="376"/>
      <c r="U868" s="376"/>
      <c r="V868" s="366"/>
      <c r="W868" s="366"/>
    </row>
    <row r="869" spans="1:23">
      <c r="A869" s="1410"/>
      <c r="B869" s="1413"/>
      <c r="C869" s="845" t="s">
        <v>987</v>
      </c>
      <c r="D869" s="875" t="str">
        <f>B865&amp;C869</f>
        <v>A124e</v>
      </c>
      <c r="E869" s="367">
        <v>4</v>
      </c>
      <c r="F869" s="669"/>
      <c r="G869" s="369"/>
      <c r="H869" s="368"/>
      <c r="I869" s="369"/>
      <c r="J869" s="368"/>
      <c r="K869" s="370"/>
      <c r="L869" s="370"/>
      <c r="M869" s="371"/>
      <c r="N869" s="671"/>
      <c r="O869" s="671"/>
      <c r="P869" s="373"/>
      <c r="Q869" s="673"/>
      <c r="R869" s="375"/>
      <c r="S869" s="366"/>
      <c r="T869" s="376"/>
      <c r="U869" s="376"/>
      <c r="V869" s="366"/>
      <c r="W869" s="366"/>
    </row>
    <row r="870" spans="1:23">
      <c r="A870" s="1410"/>
      <c r="B870" s="1413"/>
      <c r="C870" s="845" t="s">
        <v>988</v>
      </c>
      <c r="D870" s="875" t="str">
        <f>B865&amp;C870</f>
        <v>A124f</v>
      </c>
      <c r="E870" s="367">
        <v>5</v>
      </c>
      <c r="F870" s="669"/>
      <c r="G870" s="369"/>
      <c r="H870" s="368"/>
      <c r="I870" s="369"/>
      <c r="J870" s="368"/>
      <c r="K870" s="370"/>
      <c r="L870" s="370"/>
      <c r="M870" s="371"/>
      <c r="N870" s="671"/>
      <c r="O870" s="671"/>
      <c r="P870" s="373"/>
      <c r="Q870" s="673"/>
      <c r="R870" s="377"/>
      <c r="S870" s="366" t="s">
        <v>190</v>
      </c>
      <c r="T870" s="376"/>
      <c r="U870" s="376"/>
      <c r="V870" s="366"/>
      <c r="W870" s="366"/>
    </row>
    <row r="871" spans="1:23">
      <c r="A871" s="1410"/>
      <c r="B871" s="1413"/>
      <c r="C871" s="845" t="s">
        <v>989</v>
      </c>
      <c r="D871" s="875" t="str">
        <f>B865&amp;C871</f>
        <v>A124g</v>
      </c>
      <c r="E871" s="367">
        <v>6</v>
      </c>
      <c r="F871" s="669"/>
      <c r="G871" s="369"/>
      <c r="H871" s="368"/>
      <c r="I871" s="369"/>
      <c r="J871" s="368"/>
      <c r="K871" s="370"/>
      <c r="L871" s="370"/>
      <c r="M871" s="371"/>
      <c r="N871" s="671"/>
      <c r="O871" s="671"/>
      <c r="P871" s="373"/>
      <c r="Q871" s="673"/>
      <c r="R871" s="375"/>
      <c r="S871" s="366" t="s">
        <v>190</v>
      </c>
      <c r="T871" s="366"/>
      <c r="U871" s="366"/>
      <c r="V871" s="366"/>
      <c r="W871" s="366"/>
    </row>
    <row r="872" spans="1:23">
      <c r="A872" s="1410"/>
      <c r="B872" s="1413"/>
      <c r="C872" s="845" t="s">
        <v>990</v>
      </c>
      <c r="D872" s="875" t="str">
        <f>B865&amp;C872</f>
        <v>A124h</v>
      </c>
      <c r="E872" s="367">
        <v>7</v>
      </c>
      <c r="F872" s="669"/>
      <c r="G872" s="368"/>
      <c r="H872" s="368"/>
      <c r="I872" s="368"/>
      <c r="J872" s="368"/>
      <c r="K872" s="370"/>
      <c r="L872" s="370"/>
      <c r="M872" s="371"/>
      <c r="N872" s="671"/>
      <c r="O872" s="671"/>
      <c r="P872" s="373"/>
      <c r="Q872" s="673"/>
      <c r="R872" s="377"/>
      <c r="S872" s="366" t="s">
        <v>190</v>
      </c>
      <c r="T872" s="366"/>
      <c r="U872" s="366"/>
      <c r="V872" s="366"/>
      <c r="W872" s="366"/>
    </row>
    <row r="873" spans="1:23">
      <c r="A873" s="1410"/>
      <c r="B873" s="1413"/>
      <c r="C873" s="845" t="s">
        <v>991</v>
      </c>
      <c r="D873" s="875" t="str">
        <f>B865&amp;C873</f>
        <v>A124i</v>
      </c>
      <c r="E873" s="367">
        <v>8</v>
      </c>
      <c r="F873" s="669"/>
      <c r="G873" s="368"/>
      <c r="H873" s="368"/>
      <c r="I873" s="368"/>
      <c r="J873" s="368"/>
      <c r="K873" s="370"/>
      <c r="L873" s="370"/>
      <c r="M873" s="371"/>
      <c r="N873" s="671"/>
      <c r="O873" s="671"/>
      <c r="P873" s="373"/>
      <c r="Q873" s="673"/>
      <c r="R873" s="378"/>
      <c r="S873" s="366"/>
      <c r="T873" s="366"/>
      <c r="U873" s="366"/>
      <c r="V873" s="366"/>
      <c r="W873" s="366"/>
    </row>
    <row r="874" spans="1:23">
      <c r="A874" s="1410"/>
      <c r="B874" s="1413"/>
      <c r="C874" s="845" t="s">
        <v>992</v>
      </c>
      <c r="D874" s="875" t="str">
        <f>B865&amp;C874</f>
        <v>A124k</v>
      </c>
      <c r="E874" s="367">
        <v>9</v>
      </c>
      <c r="F874" s="370"/>
      <c r="G874" s="368"/>
      <c r="H874" s="368"/>
      <c r="I874" s="368"/>
      <c r="J874" s="368"/>
      <c r="K874" s="370"/>
      <c r="L874" s="370"/>
      <c r="M874" s="371"/>
      <c r="N874" s="372"/>
      <c r="O874" s="372"/>
      <c r="P874" s="373"/>
      <c r="Q874" s="374"/>
      <c r="R874" s="378"/>
      <c r="S874" s="379"/>
      <c r="T874" s="366"/>
      <c r="U874" s="366"/>
      <c r="V874" s="366"/>
      <c r="W874" s="366"/>
    </row>
    <row r="875" spans="1:23">
      <c r="A875" s="1410"/>
      <c r="B875" s="1413"/>
      <c r="C875" s="845" t="s">
        <v>993</v>
      </c>
      <c r="D875" s="875" t="str">
        <f>B865&amp;C875</f>
        <v>A124l</v>
      </c>
      <c r="E875" s="367">
        <v>10</v>
      </c>
      <c r="F875" s="370"/>
      <c r="G875" s="368"/>
      <c r="H875" s="368"/>
      <c r="I875" s="368"/>
      <c r="J875" s="368"/>
      <c r="K875" s="370"/>
      <c r="L875" s="370"/>
      <c r="M875" s="370"/>
      <c r="N875" s="372"/>
      <c r="O875" s="372"/>
      <c r="P875" s="373"/>
      <c r="Q875" s="374"/>
      <c r="R875" s="378"/>
      <c r="S875" s="379"/>
      <c r="T875" s="366"/>
      <c r="U875" s="366"/>
      <c r="V875" s="366"/>
      <c r="W875" s="366"/>
    </row>
    <row r="876" spans="1:23">
      <c r="A876" s="1410"/>
      <c r="B876" s="1413"/>
      <c r="C876" s="845" t="s">
        <v>994</v>
      </c>
      <c r="D876" s="875" t="str">
        <f>B865&amp;C876</f>
        <v>A124m</v>
      </c>
      <c r="E876" s="367">
        <v>11</v>
      </c>
      <c r="F876" s="370"/>
      <c r="G876" s="368"/>
      <c r="H876" s="368"/>
      <c r="I876" s="368"/>
      <c r="J876" s="368"/>
      <c r="K876" s="370"/>
      <c r="L876" s="370"/>
      <c r="M876" s="370"/>
      <c r="N876" s="372"/>
      <c r="O876" s="372"/>
      <c r="P876" s="380"/>
      <c r="Q876" s="374"/>
      <c r="R876" s="381"/>
      <c r="S876" s="379"/>
      <c r="T876" s="366"/>
      <c r="U876" s="366"/>
      <c r="V876" s="366"/>
      <c r="W876" s="366"/>
    </row>
    <row r="877" spans="1:23">
      <c r="A877" s="1410"/>
      <c r="B877" s="1413"/>
      <c r="C877" s="845" t="s">
        <v>995</v>
      </c>
      <c r="D877" s="875" t="str">
        <f>B865&amp;C877</f>
        <v>A124n</v>
      </c>
      <c r="E877" s="367">
        <v>12</v>
      </c>
      <c r="F877" s="370"/>
      <c r="G877" s="368"/>
      <c r="H877" s="368"/>
      <c r="I877" s="368"/>
      <c r="J877" s="368"/>
      <c r="K877" s="370"/>
      <c r="L877" s="370"/>
      <c r="M877" s="370"/>
      <c r="N877" s="372"/>
      <c r="O877" s="372"/>
      <c r="P877" s="380"/>
      <c r="Q877" s="374"/>
      <c r="R877" s="381"/>
      <c r="S877" s="361"/>
      <c r="T877" s="361"/>
      <c r="U877" s="361"/>
      <c r="V877" s="366"/>
      <c r="W877" s="366"/>
    </row>
    <row r="878" spans="1:23">
      <c r="A878" s="1410"/>
      <c r="B878" s="1413"/>
      <c r="C878" s="845" t="s">
        <v>471</v>
      </c>
      <c r="D878" s="875" t="str">
        <f>B865&amp;C878</f>
        <v>A124x</v>
      </c>
      <c r="E878" s="367">
        <v>13</v>
      </c>
      <c r="F878" s="370"/>
      <c r="G878" s="368"/>
      <c r="H878" s="368"/>
      <c r="I878" s="368"/>
      <c r="J878" s="368"/>
      <c r="K878" s="370"/>
      <c r="L878" s="370"/>
      <c r="M878" s="370"/>
      <c r="N878" s="382"/>
      <c r="O878" s="372"/>
      <c r="P878" s="380"/>
      <c r="Q878" s="381"/>
      <c r="R878" s="381"/>
      <c r="S878" s="361"/>
      <c r="T878" s="361"/>
      <c r="U878" s="361"/>
      <c r="V878" s="366"/>
      <c r="W878" s="366"/>
    </row>
    <row r="879" spans="1:23">
      <c r="A879" s="1410"/>
      <c r="B879" s="1413"/>
      <c r="C879" s="845" t="s">
        <v>732</v>
      </c>
      <c r="D879" s="875" t="str">
        <f>B865&amp;C879</f>
        <v>A124y</v>
      </c>
      <c r="E879" s="367">
        <v>14</v>
      </c>
      <c r="F879" s="370"/>
      <c r="G879" s="368"/>
      <c r="H879" s="368"/>
      <c r="I879" s="368"/>
      <c r="J879" s="368"/>
      <c r="K879" s="370"/>
      <c r="L879" s="370"/>
      <c r="M879" s="370"/>
      <c r="N879" s="382"/>
      <c r="O879" s="372"/>
      <c r="P879" s="380"/>
      <c r="Q879" s="381"/>
      <c r="R879" s="381"/>
      <c r="S879" s="361"/>
      <c r="T879" s="361"/>
      <c r="U879" s="362"/>
      <c r="V879" s="366"/>
      <c r="W879" s="366"/>
    </row>
    <row r="880" spans="1:23">
      <c r="A880" s="1411"/>
      <c r="B880" s="1414"/>
      <c r="C880" s="846" t="s">
        <v>996</v>
      </c>
      <c r="D880" s="876" t="str">
        <f>B865&amp;C880</f>
        <v>A124z</v>
      </c>
      <c r="E880" s="847">
        <v>15</v>
      </c>
      <c r="F880" s="370"/>
      <c r="G880" s="368"/>
      <c r="H880" s="368"/>
      <c r="I880" s="368"/>
      <c r="J880" s="368"/>
      <c r="K880" s="370"/>
      <c r="L880" s="370"/>
      <c r="M880" s="370"/>
      <c r="N880" s="850"/>
      <c r="O880" s="851"/>
      <c r="P880" s="851"/>
      <c r="Q880" s="852"/>
      <c r="R880" s="383"/>
      <c r="S880" s="361"/>
      <c r="T880" s="832"/>
      <c r="U880" s="830"/>
      <c r="V880" s="366"/>
      <c r="W880" s="366"/>
    </row>
    <row r="881" spans="1:23">
      <c r="A881" s="1400" t="s">
        <v>939</v>
      </c>
      <c r="B881" s="1400"/>
      <c r="C881" s="827"/>
      <c r="D881" s="871"/>
      <c r="E881" s="1400" t="s">
        <v>177</v>
      </c>
      <c r="F881" s="1400" t="s">
        <v>18</v>
      </c>
      <c r="G881" s="1389" t="s">
        <v>19</v>
      </c>
      <c r="H881" s="1390"/>
      <c r="I881" s="1389" t="s">
        <v>22</v>
      </c>
      <c r="J881" s="1390"/>
      <c r="K881" s="1393" t="s">
        <v>26</v>
      </c>
      <c r="L881" s="1390"/>
      <c r="M881" s="1389" t="s">
        <v>392</v>
      </c>
      <c r="N881" s="1390"/>
      <c r="O881" s="1389" t="s">
        <v>28</v>
      </c>
      <c r="P881" s="1393"/>
      <c r="Q881" s="1390"/>
      <c r="R881" s="1400" t="s">
        <v>36</v>
      </c>
      <c r="S881" s="361"/>
      <c r="T881" s="361">
        <f>MAX(J885:J899)-MIN(I885:I899)</f>
        <v>2.2916666666666669E-2</v>
      </c>
      <c r="U881" s="361"/>
      <c r="V881" s="853" t="str">
        <f t="shared" ref="V881" si="94">B885</f>
        <v>A7</v>
      </c>
      <c r="W881" s="361">
        <f t="shared" ref="W881" si="95">COUNTIF(K886:K900,"&gt;0")</f>
        <v>3</v>
      </c>
    </row>
    <row r="882" spans="1:23">
      <c r="A882" s="1401"/>
      <c r="B882" s="1401"/>
      <c r="C882" s="828"/>
      <c r="D882" s="872"/>
      <c r="E882" s="1401"/>
      <c r="F882" s="1401"/>
      <c r="G882" s="1391"/>
      <c r="H882" s="1392"/>
      <c r="I882" s="1391"/>
      <c r="J882" s="1392"/>
      <c r="K882" s="1394"/>
      <c r="L882" s="1392"/>
      <c r="M882" s="1391"/>
      <c r="N882" s="1392"/>
      <c r="O882" s="1391"/>
      <c r="P882" s="1394"/>
      <c r="Q882" s="1392"/>
      <c r="R882" s="1401"/>
      <c r="S882" s="361"/>
      <c r="T882" s="361"/>
      <c r="U882" s="361"/>
      <c r="V882" s="361"/>
      <c r="W882" s="361"/>
    </row>
    <row r="883" spans="1:23">
      <c r="A883" s="1401"/>
      <c r="B883" s="1401"/>
      <c r="C883" s="828"/>
      <c r="D883" s="872"/>
      <c r="E883" s="1401"/>
      <c r="F883" s="1401"/>
      <c r="G883" s="1400" t="s">
        <v>20</v>
      </c>
      <c r="H883" s="1400" t="s">
        <v>21</v>
      </c>
      <c r="I883" s="1400" t="s">
        <v>361</v>
      </c>
      <c r="J883" s="1400" t="s">
        <v>353</v>
      </c>
      <c r="K883" s="1400" t="s">
        <v>23</v>
      </c>
      <c r="L883" s="1400" t="s">
        <v>24</v>
      </c>
      <c r="M883" s="1400" t="s">
        <v>27</v>
      </c>
      <c r="N883" s="1400" t="s">
        <v>178</v>
      </c>
      <c r="O883" s="1400" t="s">
        <v>1</v>
      </c>
      <c r="P883" s="1400" t="s">
        <v>29</v>
      </c>
      <c r="Q883" s="1400" t="s">
        <v>33</v>
      </c>
      <c r="R883" s="1401"/>
      <c r="S883" s="361"/>
      <c r="T883" s="361" t="s">
        <v>39</v>
      </c>
      <c r="U883" s="362">
        <f>VLOOKUP(B885,'Thong tin'!$A:$M,13,0)</f>
        <v>1200</v>
      </c>
      <c r="V883" s="361"/>
      <c r="W883" s="361"/>
    </row>
    <row r="884" spans="1:23">
      <c r="A884" s="1402"/>
      <c r="B884" s="1402"/>
      <c r="C884" s="829"/>
      <c r="D884" s="873"/>
      <c r="E884" s="1402"/>
      <c r="F884" s="1402"/>
      <c r="G884" s="1402"/>
      <c r="H884" s="1402"/>
      <c r="I884" s="1402"/>
      <c r="J884" s="1402"/>
      <c r="K884" s="1402"/>
      <c r="L884" s="1402"/>
      <c r="M884" s="1402"/>
      <c r="N884" s="1402"/>
      <c r="O884" s="1402"/>
      <c r="P884" s="1402"/>
      <c r="Q884" s="1402"/>
      <c r="R884" s="1402"/>
      <c r="S884" s="361"/>
      <c r="T884" s="1399" t="s">
        <v>393</v>
      </c>
      <c r="U884" s="1397">
        <f>VLOOKUP(B885,DT.NK!$B:$AZ,45,0)</f>
        <v>24.4</v>
      </c>
      <c r="V884" s="361"/>
      <c r="W884" s="361"/>
    </row>
    <row r="885" spans="1:23">
      <c r="A885" s="1409">
        <f>A865+1</f>
        <v>45</v>
      </c>
      <c r="B885" s="1412" t="s">
        <v>519</v>
      </c>
      <c r="C885" s="844" t="s">
        <v>983</v>
      </c>
      <c r="D885" s="874" t="str">
        <f>B885&amp;C885</f>
        <v>A7a</v>
      </c>
      <c r="E885" s="363"/>
      <c r="F885" s="364"/>
      <c r="G885" s="364"/>
      <c r="H885" s="364"/>
      <c r="I885" s="364"/>
      <c r="J885" s="364"/>
      <c r="K885" s="364"/>
      <c r="L885" s="364"/>
      <c r="M885" s="674"/>
      <c r="N885" s="670"/>
      <c r="O885" s="670">
        <f>U884</f>
        <v>24.4</v>
      </c>
      <c r="P885" s="670">
        <f>O885</f>
        <v>24.4</v>
      </c>
      <c r="Q885" s="670">
        <v>0</v>
      </c>
      <c r="R885" s="365"/>
      <c r="S885" s="366"/>
      <c r="T885" s="1399"/>
      <c r="U885" s="1398"/>
      <c r="V885" s="361"/>
      <c r="W885" s="361"/>
    </row>
    <row r="886" spans="1:23">
      <c r="A886" s="1410"/>
      <c r="B886" s="1413"/>
      <c r="C886" s="845" t="s">
        <v>984</v>
      </c>
      <c r="D886" s="875" t="str">
        <f>B885&amp;C886</f>
        <v>A7b</v>
      </c>
      <c r="E886" s="367">
        <v>1</v>
      </c>
      <c r="F886" s="669" t="s">
        <v>1072</v>
      </c>
      <c r="G886" s="369">
        <v>0.1125</v>
      </c>
      <c r="H886" s="368">
        <v>0.14027777777777778</v>
      </c>
      <c r="I886" s="369">
        <v>0.15416666666666667</v>
      </c>
      <c r="J886" s="368">
        <v>0.15763888888888888</v>
      </c>
      <c r="K886" s="669">
        <v>7</v>
      </c>
      <c r="L886" s="669">
        <v>19</v>
      </c>
      <c r="M886" s="675">
        <v>22.4</v>
      </c>
      <c r="N886" s="671">
        <f>IF(M886-P886&gt;0,M886-P886,0)</f>
        <v>3.8999999999999986</v>
      </c>
      <c r="O886" s="671">
        <f>O885-K886/(PI()*(U883/2000)^2)</f>
        <v>18.210641101981846</v>
      </c>
      <c r="P886" s="672">
        <v>18.5</v>
      </c>
      <c r="Q886" s="673">
        <f>ABS(O886-P886)</f>
        <v>0.28935889801815406</v>
      </c>
      <c r="R886" s="375" t="s">
        <v>188</v>
      </c>
      <c r="S886" s="366"/>
      <c r="T886" s="376"/>
      <c r="U886" s="376"/>
      <c r="V886" s="366"/>
      <c r="W886" s="366"/>
    </row>
    <row r="887" spans="1:23">
      <c r="A887" s="1410"/>
      <c r="B887" s="1413"/>
      <c r="C887" s="845" t="s">
        <v>985</v>
      </c>
      <c r="D887" s="875" t="str">
        <f>B885&amp;C887</f>
        <v>A7c</v>
      </c>
      <c r="E887" s="367">
        <v>2</v>
      </c>
      <c r="F887" s="669" t="s">
        <v>1067</v>
      </c>
      <c r="G887" s="369">
        <v>0.12291666666666667</v>
      </c>
      <c r="H887" s="368">
        <v>0.14583333333333334</v>
      </c>
      <c r="I887" s="369">
        <v>0.16319444444444445</v>
      </c>
      <c r="J887" s="368">
        <v>0.16666666666666666</v>
      </c>
      <c r="K887" s="669">
        <v>7</v>
      </c>
      <c r="L887" s="669">
        <v>18.5</v>
      </c>
      <c r="M887" s="675">
        <v>16.100000000000001</v>
      </c>
      <c r="N887" s="671">
        <f>IF(M887-P887&gt;0,M887-P887,0)</f>
        <v>3.8000000000000007</v>
      </c>
      <c r="O887" s="671">
        <f>O886-K887/(PI()*(U883/2000)^2)</f>
        <v>12.021282203963693</v>
      </c>
      <c r="P887" s="672">
        <v>12.3</v>
      </c>
      <c r="Q887" s="673">
        <f>ABS(O887-P887)</f>
        <v>0.27871779603630742</v>
      </c>
      <c r="R887" s="375" t="s">
        <v>188</v>
      </c>
      <c r="S887" s="366"/>
      <c r="T887" s="376"/>
      <c r="U887" s="376"/>
      <c r="V887" s="366"/>
      <c r="W887" s="366"/>
    </row>
    <row r="888" spans="1:23">
      <c r="A888" s="1410"/>
      <c r="B888" s="1413"/>
      <c r="C888" s="845" t="s">
        <v>986</v>
      </c>
      <c r="D888" s="875" t="str">
        <f>B885&amp;C888</f>
        <v>A7d</v>
      </c>
      <c r="E888" s="367">
        <v>3</v>
      </c>
      <c r="F888" s="669" t="s">
        <v>1070</v>
      </c>
      <c r="G888" s="369">
        <v>0.14375000000000002</v>
      </c>
      <c r="H888" s="368">
        <v>0.17013888888888887</v>
      </c>
      <c r="I888" s="369">
        <v>0.17361111111111113</v>
      </c>
      <c r="J888" s="368">
        <v>0.17708333333333334</v>
      </c>
      <c r="K888" s="669">
        <v>7</v>
      </c>
      <c r="L888" s="669">
        <v>18.5</v>
      </c>
      <c r="M888" s="675">
        <v>9.8000000000000007</v>
      </c>
      <c r="N888" s="671">
        <f>IF(M888-P888&gt;0,M888-P888,0)</f>
        <v>3.6000000000000005</v>
      </c>
      <c r="O888" s="671">
        <f>O887-K888/(PI()*(U883/2000)^2)</f>
        <v>5.8319233059455415</v>
      </c>
      <c r="P888" s="672">
        <v>6.2</v>
      </c>
      <c r="Q888" s="673">
        <f>ABS(O888-P888)</f>
        <v>0.36807669405445864</v>
      </c>
      <c r="R888" s="375" t="s">
        <v>188</v>
      </c>
      <c r="S888" s="366"/>
      <c r="T888" s="376"/>
      <c r="U888" s="376"/>
      <c r="V888" s="366"/>
      <c r="W888" s="366"/>
    </row>
    <row r="889" spans="1:23">
      <c r="A889" s="1410"/>
      <c r="B889" s="1413"/>
      <c r="C889" s="845" t="s">
        <v>987</v>
      </c>
      <c r="D889" s="875" t="str">
        <f>B885&amp;C889</f>
        <v>A7e</v>
      </c>
      <c r="E889" s="367">
        <v>4</v>
      </c>
      <c r="F889" s="669"/>
      <c r="G889" s="369"/>
      <c r="H889" s="368"/>
      <c r="I889" s="369"/>
      <c r="J889" s="368"/>
      <c r="K889" s="370"/>
      <c r="L889" s="370"/>
      <c r="M889" s="371"/>
      <c r="N889" s="671"/>
      <c r="O889" s="671"/>
      <c r="P889" s="373"/>
      <c r="Q889" s="673"/>
      <c r="R889" s="375"/>
      <c r="S889" s="366"/>
      <c r="T889" s="376"/>
      <c r="U889" s="376"/>
      <c r="V889" s="366"/>
      <c r="W889" s="366"/>
    </row>
    <row r="890" spans="1:23">
      <c r="A890" s="1410"/>
      <c r="B890" s="1413"/>
      <c r="C890" s="845" t="s">
        <v>988</v>
      </c>
      <c r="D890" s="875" t="str">
        <f>B885&amp;C890</f>
        <v>A7f</v>
      </c>
      <c r="E890" s="367">
        <v>5</v>
      </c>
      <c r="F890" s="669"/>
      <c r="G890" s="369"/>
      <c r="H890" s="368"/>
      <c r="I890" s="369"/>
      <c r="J890" s="368"/>
      <c r="K890" s="370"/>
      <c r="L890" s="370"/>
      <c r="M890" s="371"/>
      <c r="N890" s="671"/>
      <c r="O890" s="671"/>
      <c r="P890" s="373"/>
      <c r="Q890" s="673"/>
      <c r="R890" s="377"/>
      <c r="S890" s="366" t="s">
        <v>190</v>
      </c>
      <c r="T890" s="376"/>
      <c r="U890" s="376"/>
      <c r="V890" s="366"/>
      <c r="W890" s="366"/>
    </row>
    <row r="891" spans="1:23">
      <c r="A891" s="1410"/>
      <c r="B891" s="1413"/>
      <c r="C891" s="845" t="s">
        <v>989</v>
      </c>
      <c r="D891" s="875" t="str">
        <f>B885&amp;C891</f>
        <v>A7g</v>
      </c>
      <c r="E891" s="367">
        <v>6</v>
      </c>
      <c r="F891" s="669"/>
      <c r="G891" s="369"/>
      <c r="H891" s="368"/>
      <c r="I891" s="369"/>
      <c r="J891" s="368"/>
      <c r="K891" s="370"/>
      <c r="L891" s="370"/>
      <c r="M891" s="371"/>
      <c r="N891" s="671"/>
      <c r="O891" s="671"/>
      <c r="P891" s="373"/>
      <c r="Q891" s="673"/>
      <c r="R891" s="375"/>
      <c r="S891" s="366" t="s">
        <v>190</v>
      </c>
      <c r="T891" s="366"/>
      <c r="U891" s="366"/>
      <c r="V891" s="366"/>
      <c r="W891" s="366"/>
    </row>
    <row r="892" spans="1:23">
      <c r="A892" s="1410"/>
      <c r="B892" s="1413"/>
      <c r="C892" s="845" t="s">
        <v>990</v>
      </c>
      <c r="D892" s="875" t="str">
        <f>B885&amp;C892</f>
        <v>A7h</v>
      </c>
      <c r="E892" s="367">
        <v>7</v>
      </c>
      <c r="F892" s="669"/>
      <c r="G892" s="368"/>
      <c r="H892" s="368"/>
      <c r="I892" s="368"/>
      <c r="J892" s="368"/>
      <c r="K892" s="370"/>
      <c r="L892" s="370"/>
      <c r="M892" s="371"/>
      <c r="N892" s="671"/>
      <c r="O892" s="671"/>
      <c r="P892" s="373"/>
      <c r="Q892" s="673"/>
      <c r="R892" s="377"/>
      <c r="S892" s="366" t="s">
        <v>190</v>
      </c>
      <c r="T892" s="366"/>
      <c r="U892" s="366"/>
      <c r="V892" s="366"/>
      <c r="W892" s="366"/>
    </row>
    <row r="893" spans="1:23">
      <c r="A893" s="1410"/>
      <c r="B893" s="1413"/>
      <c r="C893" s="845" t="s">
        <v>991</v>
      </c>
      <c r="D893" s="875" t="str">
        <f>B885&amp;C893</f>
        <v>A7i</v>
      </c>
      <c r="E893" s="367">
        <v>8</v>
      </c>
      <c r="F893" s="669"/>
      <c r="G893" s="368"/>
      <c r="H893" s="368"/>
      <c r="I893" s="368"/>
      <c r="J893" s="368"/>
      <c r="K893" s="370"/>
      <c r="L893" s="370"/>
      <c r="M893" s="371"/>
      <c r="N893" s="671"/>
      <c r="O893" s="671"/>
      <c r="P893" s="373"/>
      <c r="Q893" s="673"/>
      <c r="R893" s="378"/>
      <c r="S893" s="366"/>
      <c r="T893" s="366"/>
      <c r="U893" s="366"/>
      <c r="V893" s="366"/>
      <c r="W893" s="366"/>
    </row>
    <row r="894" spans="1:23">
      <c r="A894" s="1410"/>
      <c r="B894" s="1413"/>
      <c r="C894" s="845" t="s">
        <v>992</v>
      </c>
      <c r="D894" s="875" t="str">
        <f>B885&amp;C894</f>
        <v>A7k</v>
      </c>
      <c r="E894" s="367">
        <v>9</v>
      </c>
      <c r="F894" s="370"/>
      <c r="G894" s="368"/>
      <c r="H894" s="368"/>
      <c r="I894" s="368"/>
      <c r="J894" s="368"/>
      <c r="K894" s="370"/>
      <c r="L894" s="370"/>
      <c r="M894" s="371"/>
      <c r="N894" s="372"/>
      <c r="O894" s="372"/>
      <c r="P894" s="373"/>
      <c r="Q894" s="374"/>
      <c r="R894" s="378"/>
      <c r="S894" s="379"/>
      <c r="T894" s="366"/>
      <c r="U894" s="366"/>
      <c r="V894" s="366"/>
      <c r="W894" s="366"/>
    </row>
    <row r="895" spans="1:23">
      <c r="A895" s="1410"/>
      <c r="B895" s="1413"/>
      <c r="C895" s="845" t="s">
        <v>993</v>
      </c>
      <c r="D895" s="875" t="str">
        <f>B885&amp;C895</f>
        <v>A7l</v>
      </c>
      <c r="E895" s="367">
        <v>10</v>
      </c>
      <c r="F895" s="370"/>
      <c r="G895" s="368"/>
      <c r="H895" s="368"/>
      <c r="I895" s="368"/>
      <c r="J895" s="368"/>
      <c r="K895" s="370"/>
      <c r="L895" s="370"/>
      <c r="M895" s="370"/>
      <c r="N895" s="372"/>
      <c r="O895" s="372"/>
      <c r="P895" s="373"/>
      <c r="Q895" s="374"/>
      <c r="R895" s="378"/>
      <c r="S895" s="379"/>
      <c r="T895" s="366"/>
      <c r="U895" s="366"/>
      <c r="V895" s="366"/>
      <c r="W895" s="366"/>
    </row>
    <row r="896" spans="1:23">
      <c r="A896" s="1410"/>
      <c r="B896" s="1413"/>
      <c r="C896" s="845" t="s">
        <v>994</v>
      </c>
      <c r="D896" s="875" t="str">
        <f>B885&amp;C896</f>
        <v>A7m</v>
      </c>
      <c r="E896" s="367">
        <v>11</v>
      </c>
      <c r="F896" s="370"/>
      <c r="G896" s="368"/>
      <c r="H896" s="368"/>
      <c r="I896" s="368"/>
      <c r="J896" s="368"/>
      <c r="K896" s="370"/>
      <c r="L896" s="370"/>
      <c r="M896" s="370"/>
      <c r="N896" s="372"/>
      <c r="O896" s="372"/>
      <c r="P896" s="380"/>
      <c r="Q896" s="374"/>
      <c r="R896" s="381"/>
      <c r="S896" s="379"/>
      <c r="T896" s="366"/>
      <c r="U896" s="366"/>
      <c r="V896" s="366"/>
      <c r="W896" s="366"/>
    </row>
    <row r="897" spans="1:23">
      <c r="A897" s="1410"/>
      <c r="B897" s="1413"/>
      <c r="C897" s="845" t="s">
        <v>995</v>
      </c>
      <c r="D897" s="875" t="str">
        <f>B885&amp;C897</f>
        <v>A7n</v>
      </c>
      <c r="E897" s="367">
        <v>12</v>
      </c>
      <c r="F897" s="370"/>
      <c r="G897" s="368"/>
      <c r="H897" s="368"/>
      <c r="I897" s="368"/>
      <c r="J897" s="368"/>
      <c r="K897" s="370"/>
      <c r="L897" s="370"/>
      <c r="M897" s="370"/>
      <c r="N897" s="372"/>
      <c r="O897" s="372"/>
      <c r="P897" s="380"/>
      <c r="Q897" s="374"/>
      <c r="R897" s="381"/>
      <c r="S897" s="361"/>
      <c r="T897" s="361"/>
      <c r="U897" s="361"/>
      <c r="V897" s="366"/>
      <c r="W897" s="366"/>
    </row>
    <row r="898" spans="1:23">
      <c r="A898" s="1410"/>
      <c r="B898" s="1413"/>
      <c r="C898" s="845" t="s">
        <v>471</v>
      </c>
      <c r="D898" s="875" t="str">
        <f>B885&amp;C898</f>
        <v>A7x</v>
      </c>
      <c r="E898" s="367">
        <v>13</v>
      </c>
      <c r="F898" s="370"/>
      <c r="G898" s="368"/>
      <c r="H898" s="368"/>
      <c r="I898" s="368"/>
      <c r="J898" s="368"/>
      <c r="K898" s="370"/>
      <c r="L898" s="370"/>
      <c r="M898" s="370"/>
      <c r="N898" s="382"/>
      <c r="O898" s="372"/>
      <c r="P898" s="380"/>
      <c r="Q898" s="381"/>
      <c r="R898" s="381"/>
      <c r="S898" s="361"/>
      <c r="T898" s="361"/>
      <c r="U898" s="361"/>
      <c r="V898" s="366"/>
      <c r="W898" s="366"/>
    </row>
    <row r="899" spans="1:23">
      <c r="A899" s="1410"/>
      <c r="B899" s="1413"/>
      <c r="C899" s="845" t="s">
        <v>732</v>
      </c>
      <c r="D899" s="875" t="str">
        <f>B885&amp;C899</f>
        <v>A7y</v>
      </c>
      <c r="E899" s="367">
        <v>14</v>
      </c>
      <c r="F899" s="370"/>
      <c r="G899" s="368"/>
      <c r="H899" s="368"/>
      <c r="I899" s="368"/>
      <c r="J899" s="368"/>
      <c r="K899" s="370"/>
      <c r="L899" s="370"/>
      <c r="M899" s="370"/>
      <c r="N899" s="382"/>
      <c r="O899" s="372"/>
      <c r="P899" s="380"/>
      <c r="Q899" s="381"/>
      <c r="R899" s="381"/>
      <c r="S899" s="361"/>
      <c r="T899" s="361"/>
      <c r="U899" s="362"/>
      <c r="V899" s="366"/>
      <c r="W899" s="366"/>
    </row>
    <row r="900" spans="1:23">
      <c r="A900" s="1411"/>
      <c r="B900" s="1414"/>
      <c r="C900" s="846" t="s">
        <v>996</v>
      </c>
      <c r="D900" s="876" t="str">
        <f>B885&amp;C900</f>
        <v>A7z</v>
      </c>
      <c r="E900" s="847">
        <v>15</v>
      </c>
      <c r="F900" s="370"/>
      <c r="G900" s="368"/>
      <c r="H900" s="368"/>
      <c r="I900" s="368"/>
      <c r="J900" s="368"/>
      <c r="K900" s="370"/>
      <c r="L900" s="370"/>
      <c r="M900" s="370"/>
      <c r="N900" s="850"/>
      <c r="O900" s="851"/>
      <c r="P900" s="851"/>
      <c r="Q900" s="852"/>
      <c r="R900" s="383"/>
      <c r="S900" s="361"/>
      <c r="T900" s="832"/>
      <c r="U900" s="830"/>
      <c r="V900" s="366"/>
      <c r="W900" s="366"/>
    </row>
    <row r="901" spans="1:23">
      <c r="A901" s="1400" t="s">
        <v>939</v>
      </c>
      <c r="B901" s="1400"/>
      <c r="C901" s="827"/>
      <c r="D901" s="871"/>
      <c r="E901" s="1400" t="s">
        <v>177</v>
      </c>
      <c r="F901" s="1400" t="s">
        <v>18</v>
      </c>
      <c r="G901" s="1389" t="s">
        <v>19</v>
      </c>
      <c r="H901" s="1390"/>
      <c r="I901" s="1389" t="s">
        <v>22</v>
      </c>
      <c r="J901" s="1390"/>
      <c r="K901" s="1393" t="s">
        <v>26</v>
      </c>
      <c r="L901" s="1390"/>
      <c r="M901" s="1389" t="s">
        <v>392</v>
      </c>
      <c r="N901" s="1390"/>
      <c r="O901" s="1389" t="s">
        <v>28</v>
      </c>
      <c r="P901" s="1393"/>
      <c r="Q901" s="1390"/>
      <c r="R901" s="1400" t="s">
        <v>36</v>
      </c>
      <c r="S901" s="361"/>
      <c r="T901" s="361">
        <f>MAX(J905:J919)-MIN(I905:I919)</f>
        <v>1.7361111111111105E-2</v>
      </c>
      <c r="U901" s="361"/>
      <c r="V901" s="853" t="str">
        <f t="shared" ref="V901" si="96">B905</f>
        <v>A128</v>
      </c>
      <c r="W901" s="361">
        <f t="shared" ref="W901" si="97">COUNTIF(K906:K920,"&gt;0")</f>
        <v>2</v>
      </c>
    </row>
    <row r="902" spans="1:23">
      <c r="A902" s="1401"/>
      <c r="B902" s="1401"/>
      <c r="C902" s="828"/>
      <c r="D902" s="872"/>
      <c r="E902" s="1401"/>
      <c r="F902" s="1401"/>
      <c r="G902" s="1391"/>
      <c r="H902" s="1392"/>
      <c r="I902" s="1391"/>
      <c r="J902" s="1392"/>
      <c r="K902" s="1394"/>
      <c r="L902" s="1392"/>
      <c r="M902" s="1391"/>
      <c r="N902" s="1392"/>
      <c r="O902" s="1391"/>
      <c r="P902" s="1394"/>
      <c r="Q902" s="1392"/>
      <c r="R902" s="1401"/>
      <c r="S902" s="361"/>
      <c r="T902" s="361"/>
      <c r="U902" s="361"/>
      <c r="V902" s="361"/>
      <c r="W902" s="361"/>
    </row>
    <row r="903" spans="1:23">
      <c r="A903" s="1401"/>
      <c r="B903" s="1401"/>
      <c r="C903" s="828"/>
      <c r="D903" s="872"/>
      <c r="E903" s="1401"/>
      <c r="F903" s="1401"/>
      <c r="G903" s="1400" t="s">
        <v>20</v>
      </c>
      <c r="H903" s="1400" t="s">
        <v>21</v>
      </c>
      <c r="I903" s="1400" t="s">
        <v>361</v>
      </c>
      <c r="J903" s="1400" t="s">
        <v>353</v>
      </c>
      <c r="K903" s="1400" t="s">
        <v>23</v>
      </c>
      <c r="L903" s="1400" t="s">
        <v>24</v>
      </c>
      <c r="M903" s="1400" t="s">
        <v>27</v>
      </c>
      <c r="N903" s="1400" t="s">
        <v>178</v>
      </c>
      <c r="O903" s="1400" t="s">
        <v>1</v>
      </c>
      <c r="P903" s="1400" t="s">
        <v>29</v>
      </c>
      <c r="Q903" s="1400" t="s">
        <v>33</v>
      </c>
      <c r="R903" s="1401"/>
      <c r="S903" s="361"/>
      <c r="T903" s="361" t="s">
        <v>39</v>
      </c>
      <c r="U903" s="362">
        <f>VLOOKUP(B905,'Thong tin'!$A:$M,13,0)</f>
        <v>1200</v>
      </c>
      <c r="V903" s="361"/>
      <c r="W903" s="361"/>
    </row>
    <row r="904" spans="1:23">
      <c r="A904" s="1402"/>
      <c r="B904" s="1402"/>
      <c r="C904" s="829"/>
      <c r="D904" s="873"/>
      <c r="E904" s="1402"/>
      <c r="F904" s="1402"/>
      <c r="G904" s="1402"/>
      <c r="H904" s="1402"/>
      <c r="I904" s="1402"/>
      <c r="J904" s="1402"/>
      <c r="K904" s="1402"/>
      <c r="L904" s="1402"/>
      <c r="M904" s="1402"/>
      <c r="N904" s="1402"/>
      <c r="O904" s="1402"/>
      <c r="P904" s="1402"/>
      <c r="Q904" s="1402"/>
      <c r="R904" s="1402"/>
      <c r="S904" s="361"/>
      <c r="T904" s="1399" t="s">
        <v>393</v>
      </c>
      <c r="U904" s="1397">
        <f>VLOOKUP(B905,DT.NK!$B:$AZ,45,0)</f>
        <v>24.5</v>
      </c>
      <c r="V904" s="361"/>
      <c r="W904" s="361"/>
    </row>
    <row r="905" spans="1:23">
      <c r="A905" s="1409">
        <f>A885+1</f>
        <v>46</v>
      </c>
      <c r="B905" s="1412" t="s">
        <v>671</v>
      </c>
      <c r="C905" s="844" t="s">
        <v>983</v>
      </c>
      <c r="D905" s="874" t="str">
        <f>B905&amp;C905</f>
        <v>A128a</v>
      </c>
      <c r="E905" s="363"/>
      <c r="F905" s="364"/>
      <c r="G905" s="364"/>
      <c r="H905" s="364"/>
      <c r="I905" s="364"/>
      <c r="J905" s="364"/>
      <c r="K905" s="364"/>
      <c r="L905" s="364"/>
      <c r="M905" s="674"/>
      <c r="N905" s="670"/>
      <c r="O905" s="670">
        <f>U904</f>
        <v>24.5</v>
      </c>
      <c r="P905" s="670">
        <f>O905</f>
        <v>24.5</v>
      </c>
      <c r="Q905" s="670">
        <v>0</v>
      </c>
      <c r="R905" s="365"/>
      <c r="S905" s="366"/>
      <c r="T905" s="1399"/>
      <c r="U905" s="1398"/>
      <c r="V905" s="361"/>
      <c r="W905" s="361"/>
    </row>
    <row r="906" spans="1:23">
      <c r="A906" s="1410"/>
      <c r="B906" s="1413"/>
      <c r="C906" s="845" t="s">
        <v>984</v>
      </c>
      <c r="D906" s="875" t="str">
        <f>B905&amp;C906</f>
        <v>A128b</v>
      </c>
      <c r="E906" s="367">
        <v>1</v>
      </c>
      <c r="F906" s="669" t="s">
        <v>1077</v>
      </c>
      <c r="G906" s="369">
        <v>0.11944444444444445</v>
      </c>
      <c r="H906" s="368">
        <v>0.15625</v>
      </c>
      <c r="I906" s="369">
        <v>0.17708333333333334</v>
      </c>
      <c r="J906" s="368">
        <v>0.18194444444444444</v>
      </c>
      <c r="K906" s="669">
        <v>8</v>
      </c>
      <c r="L906" s="669">
        <v>19</v>
      </c>
      <c r="M906" s="675">
        <v>22.5</v>
      </c>
      <c r="N906" s="671">
        <f>IF(M906-P906&gt;0,M906-P906,0)</f>
        <v>4.8999999999999986</v>
      </c>
      <c r="O906" s="671">
        <f>O905-K906/(PI()*(U903/2000)^2)</f>
        <v>17.42644697369354</v>
      </c>
      <c r="P906" s="672">
        <v>17.600000000000001</v>
      </c>
      <c r="Q906" s="673">
        <f>ABS(O906-P906)</f>
        <v>0.17355302630646108</v>
      </c>
      <c r="R906" s="375" t="s">
        <v>188</v>
      </c>
      <c r="S906" s="366"/>
      <c r="T906" s="376"/>
      <c r="U906" s="376"/>
      <c r="V906" s="366"/>
      <c r="W906" s="366"/>
    </row>
    <row r="907" spans="1:23">
      <c r="A907" s="1410"/>
      <c r="B907" s="1413"/>
      <c r="C907" s="845" t="s">
        <v>985</v>
      </c>
      <c r="D907" s="875" t="str">
        <f>B905&amp;C907</f>
        <v>A128c</v>
      </c>
      <c r="E907" s="367">
        <v>2</v>
      </c>
      <c r="F907" s="669" t="s">
        <v>1052</v>
      </c>
      <c r="G907" s="369">
        <v>0.14722222222222223</v>
      </c>
      <c r="H907" s="368">
        <v>0.17361111111111113</v>
      </c>
      <c r="I907" s="369">
        <v>0.1875</v>
      </c>
      <c r="J907" s="368">
        <v>0.19444444444444445</v>
      </c>
      <c r="K907" s="669">
        <v>12</v>
      </c>
      <c r="L907" s="669">
        <v>19</v>
      </c>
      <c r="M907" s="675">
        <v>13.05</v>
      </c>
      <c r="N907" s="671">
        <f>IF(M907-P907&gt;0,M907-P907,0)</f>
        <v>6.0500000000000007</v>
      </c>
      <c r="O907" s="671">
        <f>O906-K907/(PI()*(U903/2000)^2)</f>
        <v>6.8161174342338509</v>
      </c>
      <c r="P907" s="672">
        <v>7</v>
      </c>
      <c r="Q907" s="673">
        <f>ABS(O907-P907)</f>
        <v>0.18388256576614914</v>
      </c>
      <c r="R907" s="375" t="s">
        <v>188</v>
      </c>
      <c r="S907" s="366"/>
      <c r="T907" s="376"/>
      <c r="U907" s="376"/>
      <c r="V907" s="366"/>
      <c r="W907" s="366"/>
    </row>
    <row r="908" spans="1:23">
      <c r="A908" s="1410"/>
      <c r="B908" s="1413"/>
      <c r="C908" s="845" t="s">
        <v>986</v>
      </c>
      <c r="D908" s="875" t="str">
        <f>B905&amp;C908</f>
        <v>A128d</v>
      </c>
      <c r="E908" s="367">
        <v>3</v>
      </c>
      <c r="F908" s="669"/>
      <c r="G908" s="369"/>
      <c r="H908" s="368"/>
      <c r="I908" s="369"/>
      <c r="J908" s="368"/>
      <c r="K908" s="669"/>
      <c r="L908" s="669"/>
      <c r="M908" s="675"/>
      <c r="N908" s="671"/>
      <c r="O908" s="671"/>
      <c r="P908" s="672"/>
      <c r="Q908" s="673"/>
      <c r="R908" s="375"/>
      <c r="S908" s="366"/>
      <c r="T908" s="376"/>
      <c r="U908" s="376"/>
      <c r="V908" s="366"/>
      <c r="W908" s="366"/>
    </row>
    <row r="909" spans="1:23">
      <c r="A909" s="1410"/>
      <c r="B909" s="1413"/>
      <c r="C909" s="845" t="s">
        <v>987</v>
      </c>
      <c r="D909" s="875" t="str">
        <f>B905&amp;C909</f>
        <v>A128e</v>
      </c>
      <c r="E909" s="367">
        <v>4</v>
      </c>
      <c r="F909" s="669"/>
      <c r="G909" s="369"/>
      <c r="H909" s="368"/>
      <c r="I909" s="369"/>
      <c r="J909" s="368"/>
      <c r="K909" s="370"/>
      <c r="L909" s="370"/>
      <c r="M909" s="371"/>
      <c r="N909" s="671"/>
      <c r="O909" s="671"/>
      <c r="P909" s="373"/>
      <c r="Q909" s="673"/>
      <c r="R909" s="375"/>
      <c r="S909" s="366"/>
      <c r="T909" s="376"/>
      <c r="U909" s="376"/>
      <c r="V909" s="366"/>
      <c r="W909" s="366"/>
    </row>
    <row r="910" spans="1:23">
      <c r="A910" s="1410"/>
      <c r="B910" s="1413"/>
      <c r="C910" s="845" t="s">
        <v>988</v>
      </c>
      <c r="D910" s="875" t="str">
        <f>B905&amp;C910</f>
        <v>A128f</v>
      </c>
      <c r="E910" s="367">
        <v>5</v>
      </c>
      <c r="F910" s="669"/>
      <c r="G910" s="369"/>
      <c r="H910" s="368"/>
      <c r="I910" s="369"/>
      <c r="J910" s="368"/>
      <c r="K910" s="370"/>
      <c r="L910" s="370"/>
      <c r="M910" s="371"/>
      <c r="N910" s="671"/>
      <c r="O910" s="671"/>
      <c r="P910" s="373"/>
      <c r="Q910" s="673"/>
      <c r="R910" s="377"/>
      <c r="S910" s="366" t="s">
        <v>190</v>
      </c>
      <c r="T910" s="376"/>
      <c r="U910" s="376"/>
      <c r="V910" s="366"/>
      <c r="W910" s="366"/>
    </row>
    <row r="911" spans="1:23">
      <c r="A911" s="1410"/>
      <c r="B911" s="1413"/>
      <c r="C911" s="845" t="s">
        <v>989</v>
      </c>
      <c r="D911" s="875" t="str">
        <f>B905&amp;C911</f>
        <v>A128g</v>
      </c>
      <c r="E911" s="367">
        <v>6</v>
      </c>
      <c r="F911" s="669"/>
      <c r="G911" s="369"/>
      <c r="H911" s="368"/>
      <c r="I911" s="369"/>
      <c r="J911" s="368"/>
      <c r="K911" s="370"/>
      <c r="L911" s="370"/>
      <c r="M911" s="371"/>
      <c r="N911" s="671"/>
      <c r="O911" s="671"/>
      <c r="P911" s="373"/>
      <c r="Q911" s="673"/>
      <c r="R911" s="375"/>
      <c r="S911" s="366" t="s">
        <v>190</v>
      </c>
      <c r="T911" s="366"/>
      <c r="U911" s="366"/>
      <c r="V911" s="366"/>
      <c r="W911" s="366"/>
    </row>
    <row r="912" spans="1:23">
      <c r="A912" s="1410"/>
      <c r="B912" s="1413"/>
      <c r="C912" s="845" t="s">
        <v>990</v>
      </c>
      <c r="D912" s="875" t="str">
        <f>B905&amp;C912</f>
        <v>A128h</v>
      </c>
      <c r="E912" s="367">
        <v>7</v>
      </c>
      <c r="F912" s="669"/>
      <c r="G912" s="368"/>
      <c r="H912" s="368"/>
      <c r="I912" s="368"/>
      <c r="J912" s="368"/>
      <c r="K912" s="370"/>
      <c r="L912" s="370"/>
      <c r="M912" s="371"/>
      <c r="N912" s="671"/>
      <c r="O912" s="671"/>
      <c r="P912" s="373"/>
      <c r="Q912" s="673"/>
      <c r="R912" s="377"/>
      <c r="S912" s="366" t="s">
        <v>190</v>
      </c>
      <c r="T912" s="366"/>
      <c r="U912" s="366"/>
      <c r="V912" s="366"/>
      <c r="W912" s="366"/>
    </row>
    <row r="913" spans="1:23">
      <c r="A913" s="1410"/>
      <c r="B913" s="1413"/>
      <c r="C913" s="845" t="s">
        <v>991</v>
      </c>
      <c r="D913" s="875" t="str">
        <f>B905&amp;C913</f>
        <v>A128i</v>
      </c>
      <c r="E913" s="367">
        <v>8</v>
      </c>
      <c r="F913" s="669"/>
      <c r="G913" s="368"/>
      <c r="H913" s="368"/>
      <c r="I913" s="368"/>
      <c r="J913" s="368"/>
      <c r="K913" s="370"/>
      <c r="L913" s="370"/>
      <c r="M913" s="371"/>
      <c r="N913" s="671"/>
      <c r="O913" s="671"/>
      <c r="P913" s="373"/>
      <c r="Q913" s="673"/>
      <c r="R913" s="378"/>
      <c r="S913" s="366"/>
      <c r="T913" s="366"/>
      <c r="U913" s="366"/>
      <c r="V913" s="366"/>
      <c r="W913" s="366"/>
    </row>
    <row r="914" spans="1:23">
      <c r="A914" s="1410"/>
      <c r="B914" s="1413"/>
      <c r="C914" s="845" t="s">
        <v>992</v>
      </c>
      <c r="D914" s="875" t="str">
        <f>B905&amp;C914</f>
        <v>A128k</v>
      </c>
      <c r="E914" s="367">
        <v>9</v>
      </c>
      <c r="F914" s="370"/>
      <c r="G914" s="368"/>
      <c r="H914" s="368"/>
      <c r="I914" s="368"/>
      <c r="J914" s="368"/>
      <c r="K914" s="370"/>
      <c r="L914" s="370"/>
      <c r="M914" s="371"/>
      <c r="N914" s="372"/>
      <c r="O914" s="372"/>
      <c r="P914" s="373"/>
      <c r="Q914" s="374"/>
      <c r="R914" s="378"/>
      <c r="S914" s="379"/>
      <c r="T914" s="366"/>
      <c r="U914" s="366"/>
      <c r="V914" s="366"/>
      <c r="W914" s="366"/>
    </row>
    <row r="915" spans="1:23">
      <c r="A915" s="1410"/>
      <c r="B915" s="1413"/>
      <c r="C915" s="845" t="s">
        <v>993</v>
      </c>
      <c r="D915" s="875" t="str">
        <f>B905&amp;C915</f>
        <v>A128l</v>
      </c>
      <c r="E915" s="367">
        <v>10</v>
      </c>
      <c r="F915" s="370"/>
      <c r="G915" s="368"/>
      <c r="H915" s="368"/>
      <c r="I915" s="368"/>
      <c r="J915" s="368"/>
      <c r="K915" s="370"/>
      <c r="L915" s="370"/>
      <c r="M915" s="370"/>
      <c r="N915" s="372"/>
      <c r="O915" s="372"/>
      <c r="P915" s="373"/>
      <c r="Q915" s="374"/>
      <c r="R915" s="378"/>
      <c r="S915" s="379"/>
      <c r="T915" s="366"/>
      <c r="U915" s="366"/>
      <c r="V915" s="366"/>
      <c r="W915" s="366"/>
    </row>
    <row r="916" spans="1:23">
      <c r="A916" s="1410"/>
      <c r="B916" s="1413"/>
      <c r="C916" s="845" t="s">
        <v>994</v>
      </c>
      <c r="D916" s="875" t="str">
        <f>B905&amp;C916</f>
        <v>A128m</v>
      </c>
      <c r="E916" s="367">
        <v>11</v>
      </c>
      <c r="F916" s="370"/>
      <c r="G916" s="368"/>
      <c r="H916" s="368"/>
      <c r="I916" s="368"/>
      <c r="J916" s="368"/>
      <c r="K916" s="370"/>
      <c r="L916" s="370"/>
      <c r="M916" s="370"/>
      <c r="N916" s="372"/>
      <c r="O916" s="372"/>
      <c r="P916" s="380"/>
      <c r="Q916" s="374"/>
      <c r="R916" s="381"/>
      <c r="S916" s="379"/>
      <c r="T916" s="366"/>
      <c r="U916" s="366"/>
      <c r="V916" s="366"/>
      <c r="W916" s="366"/>
    </row>
    <row r="917" spans="1:23">
      <c r="A917" s="1410"/>
      <c r="B917" s="1413"/>
      <c r="C917" s="845" t="s">
        <v>995</v>
      </c>
      <c r="D917" s="875" t="str">
        <f>B905&amp;C917</f>
        <v>A128n</v>
      </c>
      <c r="E917" s="367">
        <v>12</v>
      </c>
      <c r="F917" s="370"/>
      <c r="G917" s="368"/>
      <c r="H917" s="368"/>
      <c r="I917" s="368"/>
      <c r="J917" s="368"/>
      <c r="K917" s="370"/>
      <c r="L917" s="370"/>
      <c r="M917" s="370"/>
      <c r="N917" s="372"/>
      <c r="O917" s="372"/>
      <c r="P917" s="380"/>
      <c r="Q917" s="374"/>
      <c r="R917" s="381"/>
      <c r="S917" s="361"/>
      <c r="T917" s="361"/>
      <c r="U917" s="361"/>
      <c r="V917" s="366"/>
      <c r="W917" s="366"/>
    </row>
    <row r="918" spans="1:23">
      <c r="A918" s="1410"/>
      <c r="B918" s="1413"/>
      <c r="C918" s="845" t="s">
        <v>471</v>
      </c>
      <c r="D918" s="875" t="str">
        <f>B905&amp;C918</f>
        <v>A128x</v>
      </c>
      <c r="E918" s="367">
        <v>13</v>
      </c>
      <c r="F918" s="370"/>
      <c r="G918" s="368"/>
      <c r="H918" s="368"/>
      <c r="I918" s="368"/>
      <c r="J918" s="368"/>
      <c r="K918" s="370"/>
      <c r="L918" s="370"/>
      <c r="M918" s="370"/>
      <c r="N918" s="382"/>
      <c r="O918" s="372"/>
      <c r="P918" s="380"/>
      <c r="Q918" s="381"/>
      <c r="R918" s="381"/>
      <c r="S918" s="361"/>
      <c r="T918" s="361"/>
      <c r="U918" s="361"/>
      <c r="V918" s="366"/>
      <c r="W918" s="366"/>
    </row>
    <row r="919" spans="1:23">
      <c r="A919" s="1410"/>
      <c r="B919" s="1413"/>
      <c r="C919" s="845" t="s">
        <v>732</v>
      </c>
      <c r="D919" s="875" t="str">
        <f>B905&amp;C919</f>
        <v>A128y</v>
      </c>
      <c r="E919" s="367">
        <v>14</v>
      </c>
      <c r="F919" s="370"/>
      <c r="G919" s="368"/>
      <c r="H919" s="368"/>
      <c r="I919" s="368"/>
      <c r="J919" s="368"/>
      <c r="K919" s="370"/>
      <c r="L919" s="370"/>
      <c r="M919" s="370"/>
      <c r="N919" s="382"/>
      <c r="O919" s="372"/>
      <c r="P919" s="380"/>
      <c r="Q919" s="381"/>
      <c r="R919" s="381"/>
      <c r="S919" s="361"/>
      <c r="T919" s="361"/>
      <c r="U919" s="362"/>
      <c r="V919" s="366"/>
      <c r="W919" s="366"/>
    </row>
    <row r="920" spans="1:23">
      <c r="A920" s="1411"/>
      <c r="B920" s="1414"/>
      <c r="C920" s="846" t="s">
        <v>996</v>
      </c>
      <c r="D920" s="876" t="str">
        <f>B905&amp;C920</f>
        <v>A128z</v>
      </c>
      <c r="E920" s="847">
        <v>15</v>
      </c>
      <c r="F920" s="370"/>
      <c r="G920" s="368"/>
      <c r="H920" s="368"/>
      <c r="I920" s="368"/>
      <c r="J920" s="368"/>
      <c r="K920" s="370"/>
      <c r="L920" s="370"/>
      <c r="M920" s="370"/>
      <c r="N920" s="850"/>
      <c r="O920" s="851"/>
      <c r="P920" s="851"/>
      <c r="Q920" s="852"/>
      <c r="R920" s="383"/>
      <c r="S920" s="361"/>
      <c r="T920" s="832"/>
      <c r="U920" s="830"/>
      <c r="V920" s="366"/>
      <c r="W920" s="366"/>
    </row>
    <row r="921" spans="1:23">
      <c r="A921" s="1400" t="s">
        <v>939</v>
      </c>
      <c r="B921" s="1400"/>
      <c r="C921" s="827"/>
      <c r="D921" s="871"/>
      <c r="E921" s="1400" t="s">
        <v>177</v>
      </c>
      <c r="F921" s="1400" t="s">
        <v>18</v>
      </c>
      <c r="G921" s="1389" t="s">
        <v>19</v>
      </c>
      <c r="H921" s="1390"/>
      <c r="I921" s="1389" t="s">
        <v>22</v>
      </c>
      <c r="J921" s="1390"/>
      <c r="K921" s="1393" t="s">
        <v>26</v>
      </c>
      <c r="L921" s="1390"/>
      <c r="M921" s="1389" t="s">
        <v>392</v>
      </c>
      <c r="N921" s="1390"/>
      <c r="O921" s="1389" t="s">
        <v>28</v>
      </c>
      <c r="P921" s="1393"/>
      <c r="Q921" s="1390"/>
      <c r="R921" s="1400" t="s">
        <v>36</v>
      </c>
      <c r="S921" s="361"/>
      <c r="T921" s="361">
        <f>MAX(J925:J939)-MIN(I925:I939)</f>
        <v>0.12152777777777779</v>
      </c>
      <c r="U921" s="361"/>
      <c r="V921" s="853" t="str">
        <f t="shared" ref="V921" si="98">B925</f>
        <v>A34</v>
      </c>
      <c r="W921" s="361">
        <f t="shared" ref="W921" si="99">COUNTIF(K926:K940,"&gt;0")</f>
        <v>7</v>
      </c>
    </row>
    <row r="922" spans="1:23">
      <c r="A922" s="1401"/>
      <c r="B922" s="1401"/>
      <c r="C922" s="828"/>
      <c r="D922" s="872"/>
      <c r="E922" s="1401"/>
      <c r="F922" s="1401"/>
      <c r="G922" s="1391"/>
      <c r="H922" s="1392"/>
      <c r="I922" s="1391"/>
      <c r="J922" s="1392"/>
      <c r="K922" s="1394"/>
      <c r="L922" s="1392"/>
      <c r="M922" s="1391"/>
      <c r="N922" s="1392"/>
      <c r="O922" s="1391"/>
      <c r="P922" s="1394"/>
      <c r="Q922" s="1392"/>
      <c r="R922" s="1401"/>
      <c r="S922" s="361"/>
      <c r="T922" s="361"/>
      <c r="U922" s="361"/>
      <c r="V922" s="361"/>
      <c r="W922" s="361"/>
    </row>
    <row r="923" spans="1:23">
      <c r="A923" s="1401"/>
      <c r="B923" s="1401"/>
      <c r="C923" s="828"/>
      <c r="D923" s="872"/>
      <c r="E923" s="1401"/>
      <c r="F923" s="1401"/>
      <c r="G923" s="1400" t="s">
        <v>20</v>
      </c>
      <c r="H923" s="1400" t="s">
        <v>21</v>
      </c>
      <c r="I923" s="1400" t="s">
        <v>361</v>
      </c>
      <c r="J923" s="1400" t="s">
        <v>353</v>
      </c>
      <c r="K923" s="1400" t="s">
        <v>23</v>
      </c>
      <c r="L923" s="1400" t="s">
        <v>24</v>
      </c>
      <c r="M923" s="1400" t="s">
        <v>27</v>
      </c>
      <c r="N923" s="1400" t="s">
        <v>178</v>
      </c>
      <c r="O923" s="1400" t="s">
        <v>1</v>
      </c>
      <c r="P923" s="1400" t="s">
        <v>29</v>
      </c>
      <c r="Q923" s="1400" t="s">
        <v>33</v>
      </c>
      <c r="R923" s="1401"/>
      <c r="S923" s="361"/>
      <c r="T923" s="361" t="s">
        <v>39</v>
      </c>
      <c r="U923" s="362">
        <f>VLOOKUP(B925,'Thong tin'!$A:$M,13,0)</f>
        <v>1200</v>
      </c>
      <c r="V923" s="361"/>
      <c r="W923" s="361"/>
    </row>
    <row r="924" spans="1:23">
      <c r="A924" s="1402"/>
      <c r="B924" s="1402"/>
      <c r="C924" s="829"/>
      <c r="D924" s="873"/>
      <c r="E924" s="1402"/>
      <c r="F924" s="1402"/>
      <c r="G924" s="1402"/>
      <c r="H924" s="1402"/>
      <c r="I924" s="1402"/>
      <c r="J924" s="1402"/>
      <c r="K924" s="1402"/>
      <c r="L924" s="1402"/>
      <c r="M924" s="1402"/>
      <c r="N924" s="1402"/>
      <c r="O924" s="1402"/>
      <c r="P924" s="1402"/>
      <c r="Q924" s="1402"/>
      <c r="R924" s="1402"/>
      <c r="S924" s="361"/>
      <c r="T924" s="1399" t="s">
        <v>393</v>
      </c>
      <c r="U924" s="1397">
        <f>VLOOKUP(B925,DT.NK!$B:$AZ,45,0)</f>
        <v>35.25</v>
      </c>
      <c r="V924" s="361"/>
      <c r="W924" s="361"/>
    </row>
    <row r="925" spans="1:23">
      <c r="A925" s="1409">
        <f>A905+1</f>
        <v>47</v>
      </c>
      <c r="B925" s="1412" t="s">
        <v>652</v>
      </c>
      <c r="C925" s="844" t="s">
        <v>983</v>
      </c>
      <c r="D925" s="874" t="str">
        <f>B925&amp;C925</f>
        <v>A34a</v>
      </c>
      <c r="E925" s="363"/>
      <c r="F925" s="364"/>
      <c r="G925" s="364"/>
      <c r="H925" s="364"/>
      <c r="I925" s="364"/>
      <c r="J925" s="364"/>
      <c r="K925" s="364"/>
      <c r="L925" s="364"/>
      <c r="M925" s="674"/>
      <c r="N925" s="670"/>
      <c r="O925" s="670">
        <f>U924</f>
        <v>35.25</v>
      </c>
      <c r="P925" s="670">
        <f>O925</f>
        <v>35.25</v>
      </c>
      <c r="Q925" s="670">
        <v>0</v>
      </c>
      <c r="R925" s="365"/>
      <c r="S925" s="366"/>
      <c r="T925" s="1399"/>
      <c r="U925" s="1398"/>
      <c r="V925" s="361"/>
      <c r="W925" s="361"/>
    </row>
    <row r="926" spans="1:23">
      <c r="A926" s="1410"/>
      <c r="B926" s="1413"/>
      <c r="C926" s="845" t="s">
        <v>984</v>
      </c>
      <c r="D926" s="875" t="str">
        <f>B925&amp;C926</f>
        <v>A34b</v>
      </c>
      <c r="E926" s="367">
        <v>1</v>
      </c>
      <c r="F926" s="669" t="s">
        <v>1067</v>
      </c>
      <c r="G926" s="369">
        <v>0.25138888888888888</v>
      </c>
      <c r="H926" s="368">
        <v>0.28125</v>
      </c>
      <c r="I926" s="369">
        <v>0.30555555555555552</v>
      </c>
      <c r="J926" s="368">
        <v>0.30902777777777779</v>
      </c>
      <c r="K926" s="669">
        <v>8</v>
      </c>
      <c r="L926" s="669">
        <v>19</v>
      </c>
      <c r="M926" s="675">
        <v>34.25</v>
      </c>
      <c r="N926" s="671">
        <f t="shared" ref="N926:N932" si="100">IF(M926-P926&gt;0,M926-P926,0)</f>
        <v>5.4499999999999993</v>
      </c>
      <c r="O926" s="671">
        <f>O925-K926/(PI()*(U923/2000)^2)</f>
        <v>28.17644697369354</v>
      </c>
      <c r="P926" s="672">
        <v>28.8</v>
      </c>
      <c r="Q926" s="673">
        <f t="shared" ref="Q926:Q932" si="101">ABS(O926-P926)</f>
        <v>0.62355302630646037</v>
      </c>
      <c r="R926" s="375" t="s">
        <v>188</v>
      </c>
      <c r="S926" s="366"/>
      <c r="T926" s="376"/>
      <c r="U926" s="376"/>
      <c r="V926" s="366"/>
      <c r="W926" s="366"/>
    </row>
    <row r="927" spans="1:23">
      <c r="A927" s="1410"/>
      <c r="B927" s="1413"/>
      <c r="C927" s="845" t="s">
        <v>985</v>
      </c>
      <c r="D927" s="875" t="str">
        <f>B925&amp;C927</f>
        <v>A34c</v>
      </c>
      <c r="E927" s="367">
        <v>2</v>
      </c>
      <c r="F927" s="669" t="s">
        <v>1078</v>
      </c>
      <c r="G927" s="369">
        <v>0.26527777777777778</v>
      </c>
      <c r="H927" s="368">
        <v>0.29166666666666669</v>
      </c>
      <c r="I927" s="369">
        <v>0.3125</v>
      </c>
      <c r="J927" s="368">
        <v>0.31597222222222221</v>
      </c>
      <c r="K927" s="669">
        <v>8</v>
      </c>
      <c r="L927" s="669">
        <v>20</v>
      </c>
      <c r="M927" s="675">
        <v>27.95</v>
      </c>
      <c r="N927" s="671">
        <f t="shared" si="100"/>
        <v>5.4499999999999993</v>
      </c>
      <c r="O927" s="671">
        <f>O926-K927/(PI()*(U923/2000)^2)</f>
        <v>21.102893947387081</v>
      </c>
      <c r="P927" s="672">
        <v>22.5</v>
      </c>
      <c r="Q927" s="673">
        <f t="shared" si="101"/>
        <v>1.3971060526129193</v>
      </c>
      <c r="R927" s="375" t="s">
        <v>188</v>
      </c>
      <c r="S927" s="366"/>
      <c r="T927" s="376"/>
      <c r="U927" s="376"/>
      <c r="V927" s="366"/>
      <c r="W927" s="366"/>
    </row>
    <row r="928" spans="1:23">
      <c r="A928" s="1410"/>
      <c r="B928" s="1413"/>
      <c r="C928" s="845" t="s">
        <v>986</v>
      </c>
      <c r="D928" s="875" t="str">
        <f>B925&amp;C928</f>
        <v>A34d</v>
      </c>
      <c r="E928" s="367">
        <v>3</v>
      </c>
      <c r="F928" s="669" t="s">
        <v>1050</v>
      </c>
      <c r="G928" s="369">
        <v>0.28263888888888888</v>
      </c>
      <c r="H928" s="368">
        <v>0.30902777777777779</v>
      </c>
      <c r="I928" s="369">
        <v>0.3263888888888889</v>
      </c>
      <c r="J928" s="368">
        <v>0.3298611111111111</v>
      </c>
      <c r="K928" s="669">
        <v>8</v>
      </c>
      <c r="L928" s="669">
        <v>19.5</v>
      </c>
      <c r="M928" s="675">
        <v>27.95</v>
      </c>
      <c r="N928" s="671">
        <f t="shared" si="100"/>
        <v>5.3499999999999979</v>
      </c>
      <c r="O928" s="671">
        <f>O927-K928/(PI()*(U923/2000)^2)</f>
        <v>14.029340921080621</v>
      </c>
      <c r="P928" s="672">
        <v>22.6</v>
      </c>
      <c r="Q928" s="673">
        <f t="shared" si="101"/>
        <v>8.5706590789193804</v>
      </c>
      <c r="R928" s="375" t="s">
        <v>188</v>
      </c>
      <c r="S928" s="366"/>
      <c r="T928" s="376"/>
      <c r="U928" s="376"/>
      <c r="V928" s="366"/>
      <c r="W928" s="366"/>
    </row>
    <row r="929" spans="1:23">
      <c r="A929" s="1410"/>
      <c r="B929" s="1413"/>
      <c r="C929" s="845" t="s">
        <v>987</v>
      </c>
      <c r="D929" s="875" t="str">
        <f>B925&amp;C929</f>
        <v>A34e</v>
      </c>
      <c r="E929" s="367">
        <v>4</v>
      </c>
      <c r="F929" s="669" t="s">
        <v>1052</v>
      </c>
      <c r="G929" s="369">
        <v>0.31736111111111115</v>
      </c>
      <c r="H929" s="368">
        <v>0.33680555555555558</v>
      </c>
      <c r="I929" s="369">
        <v>0.34375</v>
      </c>
      <c r="J929" s="368">
        <v>0.34722222222222227</v>
      </c>
      <c r="K929" s="370">
        <v>8</v>
      </c>
      <c r="L929" s="370">
        <v>18.5</v>
      </c>
      <c r="M929" s="371">
        <v>27.95</v>
      </c>
      <c r="N929" s="671">
        <f t="shared" si="100"/>
        <v>5.4499999999999993</v>
      </c>
      <c r="O929" s="671">
        <f>O928-K929/(PI()*(U923/2000)^2)</f>
        <v>6.9557878947741614</v>
      </c>
      <c r="P929" s="373">
        <v>22.5</v>
      </c>
      <c r="Q929" s="673">
        <f t="shared" si="101"/>
        <v>15.544212105225839</v>
      </c>
      <c r="R929" s="375"/>
      <c r="S929" s="366"/>
      <c r="T929" s="376"/>
      <c r="U929" s="376"/>
      <c r="V929" s="366"/>
      <c r="W929" s="366"/>
    </row>
    <row r="930" spans="1:23">
      <c r="A930" s="1410"/>
      <c r="B930" s="1413"/>
      <c r="C930" s="845" t="s">
        <v>988</v>
      </c>
      <c r="D930" s="875" t="str">
        <f>B925&amp;C930</f>
        <v>A34f</v>
      </c>
      <c r="E930" s="367">
        <v>5</v>
      </c>
      <c r="F930" s="669" t="s">
        <v>1067</v>
      </c>
      <c r="G930" s="369">
        <v>0.34513888888888888</v>
      </c>
      <c r="H930" s="368">
        <v>0.37152777777777773</v>
      </c>
      <c r="I930" s="369">
        <v>0.38541666666666669</v>
      </c>
      <c r="J930" s="368">
        <v>0.3888888888888889</v>
      </c>
      <c r="K930" s="370">
        <v>8</v>
      </c>
      <c r="L930" s="370">
        <v>19</v>
      </c>
      <c r="M930" s="371">
        <v>31.1</v>
      </c>
      <c r="N930" s="671">
        <f t="shared" si="100"/>
        <v>10.3</v>
      </c>
      <c r="O930" s="671">
        <f>O929-K930/(PI()*(U923/2000)^2)</f>
        <v>-0.11776513153229828</v>
      </c>
      <c r="P930" s="373">
        <v>20.8</v>
      </c>
      <c r="Q930" s="673">
        <f t="shared" si="101"/>
        <v>20.917765131532299</v>
      </c>
      <c r="R930" s="377"/>
      <c r="S930" s="366" t="s">
        <v>190</v>
      </c>
      <c r="T930" s="376"/>
      <c r="U930" s="376"/>
      <c r="V930" s="366"/>
      <c r="W930" s="366"/>
    </row>
    <row r="931" spans="1:23">
      <c r="A931" s="1410"/>
      <c r="B931" s="1413"/>
      <c r="C931" s="845" t="s">
        <v>989</v>
      </c>
      <c r="D931" s="875" t="str">
        <f>B925&amp;C931</f>
        <v>A34g</v>
      </c>
      <c r="E931" s="367">
        <v>6</v>
      </c>
      <c r="F931" s="669" t="s">
        <v>1078</v>
      </c>
      <c r="G931" s="369">
        <v>0.3576388888888889</v>
      </c>
      <c r="H931" s="368">
        <v>0.38541666666666669</v>
      </c>
      <c r="I931" s="369">
        <v>0.39583333333333331</v>
      </c>
      <c r="J931" s="368">
        <v>0.39930555555555558</v>
      </c>
      <c r="K931" s="370">
        <v>8</v>
      </c>
      <c r="L931" s="370">
        <v>18.5</v>
      </c>
      <c r="M931" s="371">
        <v>31.1</v>
      </c>
      <c r="N931" s="671">
        <f t="shared" si="100"/>
        <v>17.5</v>
      </c>
      <c r="O931" s="671">
        <f>O930-K931/(PI()*(U923/2000)^2)</f>
        <v>-7.1913181578387579</v>
      </c>
      <c r="P931" s="373">
        <v>13.6</v>
      </c>
      <c r="Q931" s="673">
        <f t="shared" si="101"/>
        <v>20.791318157838759</v>
      </c>
      <c r="R931" s="375"/>
      <c r="S931" s="366" t="s">
        <v>190</v>
      </c>
      <c r="T931" s="366"/>
      <c r="U931" s="366"/>
      <c r="V931" s="366"/>
      <c r="W931" s="366"/>
    </row>
    <row r="932" spans="1:23">
      <c r="A932" s="1410"/>
      <c r="B932" s="1413"/>
      <c r="C932" s="845" t="s">
        <v>990</v>
      </c>
      <c r="D932" s="875" t="str">
        <f>B925&amp;C932</f>
        <v>A34h</v>
      </c>
      <c r="E932" s="367">
        <v>7</v>
      </c>
      <c r="F932" s="669" t="s">
        <v>1052</v>
      </c>
      <c r="G932" s="368">
        <v>0.3972222222222222</v>
      </c>
      <c r="H932" s="368">
        <v>0.41666666666666669</v>
      </c>
      <c r="I932" s="368">
        <v>0.4201388888888889</v>
      </c>
      <c r="J932" s="368">
        <v>0.42708333333333331</v>
      </c>
      <c r="K932" s="370">
        <v>8</v>
      </c>
      <c r="L932" s="370">
        <v>20</v>
      </c>
      <c r="M932" s="371">
        <v>31.1</v>
      </c>
      <c r="N932" s="671">
        <f t="shared" si="100"/>
        <v>24.3</v>
      </c>
      <c r="O932" s="671">
        <f>O931-K932/(PI()*(U923/2000)^2)</f>
        <v>-14.264871184145218</v>
      </c>
      <c r="P932" s="373">
        <v>6.8</v>
      </c>
      <c r="Q932" s="673">
        <f t="shared" si="101"/>
        <v>21.064871184145218</v>
      </c>
      <c r="R932" s="377" t="s">
        <v>188</v>
      </c>
      <c r="S932" s="366" t="s">
        <v>190</v>
      </c>
      <c r="T932" s="366"/>
      <c r="U932" s="366"/>
      <c r="V932" s="366"/>
      <c r="W932" s="366"/>
    </row>
    <row r="933" spans="1:23">
      <c r="A933" s="1410"/>
      <c r="B933" s="1413"/>
      <c r="C933" s="845" t="s">
        <v>991</v>
      </c>
      <c r="D933" s="875" t="str">
        <f>B925&amp;C933</f>
        <v>A34i</v>
      </c>
      <c r="E933" s="367">
        <v>8</v>
      </c>
      <c r="F933" s="669"/>
      <c r="G933" s="368"/>
      <c r="H933" s="368"/>
      <c r="I933" s="368"/>
      <c r="J933" s="368"/>
      <c r="K933" s="370"/>
      <c r="L933" s="370"/>
      <c r="M933" s="371"/>
      <c r="N933" s="671"/>
      <c r="O933" s="671"/>
      <c r="P933" s="373"/>
      <c r="Q933" s="673"/>
      <c r="R933" s="378"/>
      <c r="S933" s="366"/>
      <c r="T933" s="366"/>
      <c r="U933" s="366"/>
      <c r="V933" s="366"/>
      <c r="W933" s="366"/>
    </row>
    <row r="934" spans="1:23">
      <c r="A934" s="1410"/>
      <c r="B934" s="1413"/>
      <c r="C934" s="845" t="s">
        <v>992</v>
      </c>
      <c r="D934" s="875" t="str">
        <f>B925&amp;C934</f>
        <v>A34k</v>
      </c>
      <c r="E934" s="367">
        <v>9</v>
      </c>
      <c r="F934" s="370"/>
      <c r="G934" s="368"/>
      <c r="H934" s="368"/>
      <c r="I934" s="368"/>
      <c r="J934" s="368"/>
      <c r="K934" s="370"/>
      <c r="L934" s="370"/>
      <c r="M934" s="371"/>
      <c r="N934" s="372"/>
      <c r="O934" s="372"/>
      <c r="P934" s="373"/>
      <c r="Q934" s="374"/>
      <c r="R934" s="378"/>
      <c r="S934" s="379"/>
      <c r="T934" s="366"/>
      <c r="U934" s="366"/>
      <c r="V934" s="366"/>
      <c r="W934" s="366"/>
    </row>
    <row r="935" spans="1:23">
      <c r="A935" s="1410"/>
      <c r="B935" s="1413"/>
      <c r="C935" s="845" t="s">
        <v>993</v>
      </c>
      <c r="D935" s="875" t="str">
        <f>B925&amp;C935</f>
        <v>A34l</v>
      </c>
      <c r="E935" s="367">
        <v>10</v>
      </c>
      <c r="F935" s="370"/>
      <c r="G935" s="368"/>
      <c r="H935" s="368"/>
      <c r="I935" s="368"/>
      <c r="J935" s="368"/>
      <c r="K935" s="370"/>
      <c r="L935" s="370"/>
      <c r="M935" s="370"/>
      <c r="N935" s="372"/>
      <c r="O935" s="372"/>
      <c r="P935" s="373"/>
      <c r="Q935" s="374"/>
      <c r="R935" s="378"/>
      <c r="S935" s="379"/>
      <c r="T935" s="366"/>
      <c r="U935" s="366"/>
      <c r="V935" s="366"/>
      <c r="W935" s="366"/>
    </row>
    <row r="936" spans="1:23">
      <c r="A936" s="1410"/>
      <c r="B936" s="1413"/>
      <c r="C936" s="845" t="s">
        <v>994</v>
      </c>
      <c r="D936" s="875" t="str">
        <f>B925&amp;C936</f>
        <v>A34m</v>
      </c>
      <c r="E936" s="367">
        <v>11</v>
      </c>
      <c r="F936" s="370"/>
      <c r="G936" s="368"/>
      <c r="H936" s="368"/>
      <c r="I936" s="368"/>
      <c r="J936" s="368"/>
      <c r="K936" s="370"/>
      <c r="L936" s="370"/>
      <c r="M936" s="370"/>
      <c r="N936" s="372"/>
      <c r="O936" s="372"/>
      <c r="P936" s="380"/>
      <c r="Q936" s="374"/>
      <c r="R936" s="381"/>
      <c r="S936" s="379"/>
      <c r="T936" s="366"/>
      <c r="U936" s="366"/>
      <c r="V936" s="366"/>
      <c r="W936" s="366"/>
    </row>
    <row r="937" spans="1:23">
      <c r="A937" s="1410"/>
      <c r="B937" s="1413"/>
      <c r="C937" s="845" t="s">
        <v>995</v>
      </c>
      <c r="D937" s="875" t="str">
        <f>B925&amp;C937</f>
        <v>A34n</v>
      </c>
      <c r="E937" s="367">
        <v>12</v>
      </c>
      <c r="F937" s="370"/>
      <c r="G937" s="368"/>
      <c r="H937" s="368"/>
      <c r="I937" s="368"/>
      <c r="J937" s="368"/>
      <c r="K937" s="370"/>
      <c r="L937" s="370"/>
      <c r="M937" s="370"/>
      <c r="N937" s="372"/>
      <c r="O937" s="372"/>
      <c r="P937" s="380"/>
      <c r="Q937" s="374"/>
      <c r="R937" s="381"/>
      <c r="S937" s="361"/>
      <c r="T937" s="361"/>
      <c r="U937" s="361"/>
      <c r="V937" s="366"/>
      <c r="W937" s="366"/>
    </row>
    <row r="938" spans="1:23">
      <c r="A938" s="1410"/>
      <c r="B938" s="1413"/>
      <c r="C938" s="845" t="s">
        <v>471</v>
      </c>
      <c r="D938" s="875" t="str">
        <f>B925&amp;C938</f>
        <v>A34x</v>
      </c>
      <c r="E938" s="367">
        <v>13</v>
      </c>
      <c r="F938" s="370"/>
      <c r="G938" s="368"/>
      <c r="H938" s="368"/>
      <c r="I938" s="368"/>
      <c r="J938" s="368"/>
      <c r="K938" s="370"/>
      <c r="L938" s="370"/>
      <c r="M938" s="370"/>
      <c r="N938" s="382"/>
      <c r="O938" s="372"/>
      <c r="P938" s="380"/>
      <c r="Q938" s="381"/>
      <c r="R938" s="381"/>
      <c r="S938" s="361"/>
      <c r="T938" s="361"/>
      <c r="U938" s="361"/>
      <c r="V938" s="366"/>
      <c r="W938" s="366"/>
    </row>
    <row r="939" spans="1:23">
      <c r="A939" s="1410"/>
      <c r="B939" s="1413"/>
      <c r="C939" s="845" t="s">
        <v>732</v>
      </c>
      <c r="D939" s="875" t="str">
        <f>B925&amp;C939</f>
        <v>A34y</v>
      </c>
      <c r="E939" s="367">
        <v>14</v>
      </c>
      <c r="F939" s="370"/>
      <c r="G939" s="368"/>
      <c r="H939" s="368"/>
      <c r="I939" s="368"/>
      <c r="J939" s="368"/>
      <c r="K939" s="370"/>
      <c r="L939" s="370"/>
      <c r="M939" s="370"/>
      <c r="N939" s="382"/>
      <c r="O939" s="372"/>
      <c r="P939" s="380"/>
      <c r="Q939" s="381"/>
      <c r="R939" s="381"/>
      <c r="S939" s="361"/>
      <c r="T939" s="361"/>
      <c r="U939" s="362"/>
      <c r="V939" s="366"/>
      <c r="W939" s="366"/>
    </row>
    <row r="940" spans="1:23">
      <c r="A940" s="1411"/>
      <c r="B940" s="1414"/>
      <c r="C940" s="846" t="s">
        <v>996</v>
      </c>
      <c r="D940" s="876" t="str">
        <f>B925&amp;C940</f>
        <v>A34z</v>
      </c>
      <c r="E940" s="847">
        <v>15</v>
      </c>
      <c r="F940" s="370"/>
      <c r="G940" s="368"/>
      <c r="H940" s="368"/>
      <c r="I940" s="368"/>
      <c r="J940" s="368"/>
      <c r="K940" s="370"/>
      <c r="L940" s="370"/>
      <c r="M940" s="370"/>
      <c r="N940" s="850"/>
      <c r="O940" s="851"/>
      <c r="P940" s="851"/>
      <c r="Q940" s="852"/>
      <c r="R940" s="383"/>
      <c r="S940" s="361"/>
      <c r="T940" s="832"/>
      <c r="U940" s="830"/>
      <c r="V940" s="366"/>
      <c r="W940" s="366"/>
    </row>
    <row r="941" spans="1:23">
      <c r="A941" s="1400" t="s">
        <v>939</v>
      </c>
      <c r="B941" s="1400"/>
      <c r="C941" s="827"/>
      <c r="D941" s="871"/>
      <c r="E941" s="1400" t="s">
        <v>177</v>
      </c>
      <c r="F941" s="1400" t="s">
        <v>18</v>
      </c>
      <c r="G941" s="1389" t="s">
        <v>19</v>
      </c>
      <c r="H941" s="1390"/>
      <c r="I941" s="1389" t="s">
        <v>22</v>
      </c>
      <c r="J941" s="1390"/>
      <c r="K941" s="1393" t="s">
        <v>26</v>
      </c>
      <c r="L941" s="1390"/>
      <c r="M941" s="1389" t="s">
        <v>392</v>
      </c>
      <c r="N941" s="1390"/>
      <c r="O941" s="1389" t="s">
        <v>28</v>
      </c>
      <c r="P941" s="1393"/>
      <c r="Q941" s="1390"/>
      <c r="R941" s="1400" t="s">
        <v>36</v>
      </c>
      <c r="S941" s="361"/>
      <c r="T941" s="361">
        <f>MAX(J945:J959)-MIN(I945:I959)</f>
        <v>2.083333333333337E-2</v>
      </c>
      <c r="U941" s="361"/>
      <c r="V941" s="853" t="str">
        <f t="shared" ref="V941" si="102">B945</f>
        <v>A125</v>
      </c>
      <c r="W941" s="361">
        <f t="shared" ref="W941" si="103">COUNTIF(K946:K960,"&gt;0")</f>
        <v>2</v>
      </c>
    </row>
    <row r="942" spans="1:23">
      <c r="A942" s="1401"/>
      <c r="B942" s="1401"/>
      <c r="C942" s="828"/>
      <c r="D942" s="872"/>
      <c r="E942" s="1401"/>
      <c r="F942" s="1401"/>
      <c r="G942" s="1391"/>
      <c r="H942" s="1392"/>
      <c r="I942" s="1391"/>
      <c r="J942" s="1392"/>
      <c r="K942" s="1394"/>
      <c r="L942" s="1392"/>
      <c r="M942" s="1391"/>
      <c r="N942" s="1392"/>
      <c r="O942" s="1391"/>
      <c r="P942" s="1394"/>
      <c r="Q942" s="1392"/>
      <c r="R942" s="1401"/>
      <c r="S942" s="361"/>
      <c r="T942" s="361"/>
      <c r="U942" s="361"/>
      <c r="V942" s="361"/>
      <c r="W942" s="361"/>
    </row>
    <row r="943" spans="1:23">
      <c r="A943" s="1401"/>
      <c r="B943" s="1401"/>
      <c r="C943" s="828"/>
      <c r="D943" s="872"/>
      <c r="E943" s="1401"/>
      <c r="F943" s="1401"/>
      <c r="G943" s="1400" t="s">
        <v>20</v>
      </c>
      <c r="H943" s="1400" t="s">
        <v>21</v>
      </c>
      <c r="I943" s="1400" t="s">
        <v>361</v>
      </c>
      <c r="J943" s="1400" t="s">
        <v>353</v>
      </c>
      <c r="K943" s="1400" t="s">
        <v>23</v>
      </c>
      <c r="L943" s="1400" t="s">
        <v>24</v>
      </c>
      <c r="M943" s="1400" t="s">
        <v>27</v>
      </c>
      <c r="N943" s="1400" t="s">
        <v>178</v>
      </c>
      <c r="O943" s="1400" t="s">
        <v>1</v>
      </c>
      <c r="P943" s="1400" t="s">
        <v>29</v>
      </c>
      <c r="Q943" s="1400" t="s">
        <v>33</v>
      </c>
      <c r="R943" s="1401"/>
      <c r="S943" s="361"/>
      <c r="T943" s="361" t="s">
        <v>39</v>
      </c>
      <c r="U943" s="362">
        <f>VLOOKUP(B945,'Thong tin'!$A:$M,13,0)</f>
        <v>1200</v>
      </c>
      <c r="V943" s="361"/>
      <c r="W943" s="361"/>
    </row>
    <row r="944" spans="1:23">
      <c r="A944" s="1402"/>
      <c r="B944" s="1402"/>
      <c r="C944" s="829"/>
      <c r="D944" s="873"/>
      <c r="E944" s="1402"/>
      <c r="F944" s="1402"/>
      <c r="G944" s="1402"/>
      <c r="H944" s="1402"/>
      <c r="I944" s="1402"/>
      <c r="J944" s="1402"/>
      <c r="K944" s="1402"/>
      <c r="L944" s="1402"/>
      <c r="M944" s="1402"/>
      <c r="N944" s="1402"/>
      <c r="O944" s="1402"/>
      <c r="P944" s="1402"/>
      <c r="Q944" s="1402"/>
      <c r="R944" s="1402"/>
      <c r="S944" s="361"/>
      <c r="T944" s="1399" t="s">
        <v>393</v>
      </c>
      <c r="U944" s="1397">
        <f>VLOOKUP(B945,DT.NK!$B:$AZ,45,0)</f>
        <v>23.62</v>
      </c>
      <c r="V944" s="361"/>
      <c r="W944" s="361"/>
    </row>
    <row r="945" spans="1:23">
      <c r="A945" s="1409">
        <f>A925+1</f>
        <v>48</v>
      </c>
      <c r="B945" s="1412" t="s">
        <v>658</v>
      </c>
      <c r="C945" s="844" t="s">
        <v>983</v>
      </c>
      <c r="D945" s="874" t="str">
        <f>B945&amp;C945</f>
        <v>A125a</v>
      </c>
      <c r="E945" s="363"/>
      <c r="F945" s="364"/>
      <c r="G945" s="364"/>
      <c r="H945" s="364"/>
      <c r="I945" s="364"/>
      <c r="J945" s="364"/>
      <c r="K945" s="364"/>
      <c r="L945" s="364"/>
      <c r="M945" s="674"/>
      <c r="N945" s="670"/>
      <c r="O945" s="670">
        <f>U944</f>
        <v>23.62</v>
      </c>
      <c r="P945" s="670">
        <f>O945</f>
        <v>23.62</v>
      </c>
      <c r="Q945" s="670">
        <v>0</v>
      </c>
      <c r="R945" s="365"/>
      <c r="S945" s="366"/>
      <c r="T945" s="1399"/>
      <c r="U945" s="1398"/>
      <c r="V945" s="361"/>
      <c r="W945" s="361"/>
    </row>
    <row r="946" spans="1:23">
      <c r="A946" s="1410"/>
      <c r="B946" s="1413"/>
      <c r="C946" s="845" t="s">
        <v>984</v>
      </c>
      <c r="D946" s="875" t="str">
        <f>B945&amp;C946</f>
        <v>A125b</v>
      </c>
      <c r="E946" s="367">
        <v>1</v>
      </c>
      <c r="F946" s="669" t="s">
        <v>1052</v>
      </c>
      <c r="G946" s="369">
        <v>0.64722222222222225</v>
      </c>
      <c r="H946" s="368">
        <v>0.65972222222222221</v>
      </c>
      <c r="I946" s="369">
        <v>0.67361111111111116</v>
      </c>
      <c r="J946" s="368">
        <v>0.68055555555555547</v>
      </c>
      <c r="K946" s="669">
        <v>12</v>
      </c>
      <c r="L946" s="669">
        <v>19</v>
      </c>
      <c r="M946" s="675">
        <v>28.47</v>
      </c>
      <c r="N946" s="671">
        <f>IF(M946-P946&gt;0,M946-P946,0)</f>
        <v>15.469999999999999</v>
      </c>
      <c r="O946" s="671">
        <f>O945-K946/(PI()*(U943/2000)^2)</f>
        <v>13.009670460540312</v>
      </c>
      <c r="P946" s="672">
        <v>13</v>
      </c>
      <c r="Q946" s="673">
        <f>ABS(O946-P946)</f>
        <v>9.6704605403115096E-3</v>
      </c>
      <c r="R946" s="375" t="s">
        <v>188</v>
      </c>
      <c r="S946" s="366"/>
      <c r="T946" s="376"/>
      <c r="U946" s="376"/>
      <c r="V946" s="366"/>
      <c r="W946" s="366"/>
    </row>
    <row r="947" spans="1:23">
      <c r="A947" s="1410"/>
      <c r="B947" s="1413"/>
      <c r="C947" s="845" t="s">
        <v>985</v>
      </c>
      <c r="D947" s="875" t="str">
        <f>B945&amp;C947</f>
        <v>A125c</v>
      </c>
      <c r="E947" s="367">
        <v>2</v>
      </c>
      <c r="F947" s="669" t="s">
        <v>1069</v>
      </c>
      <c r="G947" s="369">
        <v>0.66111111111111109</v>
      </c>
      <c r="H947" s="368">
        <v>0.67361111111111116</v>
      </c>
      <c r="I947" s="369">
        <v>0.6875</v>
      </c>
      <c r="J947" s="368">
        <v>0.69444444444444453</v>
      </c>
      <c r="K947" s="669">
        <v>8</v>
      </c>
      <c r="L947" s="669">
        <v>19.5</v>
      </c>
      <c r="M947" s="675">
        <v>28.47</v>
      </c>
      <c r="N947" s="671">
        <f>IF(M947-P947&gt;0,M947-P947,0)</f>
        <v>22.27</v>
      </c>
      <c r="O947" s="671">
        <f>O946-K947/(PI()*(U943/2000)^2)</f>
        <v>5.9361174342338519</v>
      </c>
      <c r="P947" s="672">
        <v>6.2</v>
      </c>
      <c r="Q947" s="673">
        <f>ABS(O947-P947)</f>
        <v>0.26388256576614832</v>
      </c>
      <c r="R947" s="375" t="s">
        <v>188</v>
      </c>
      <c r="S947" s="366"/>
      <c r="T947" s="376"/>
      <c r="U947" s="376"/>
      <c r="V947" s="366"/>
      <c r="W947" s="366"/>
    </row>
    <row r="948" spans="1:23">
      <c r="A948" s="1410"/>
      <c r="B948" s="1413"/>
      <c r="C948" s="845" t="s">
        <v>986</v>
      </c>
      <c r="D948" s="875" t="str">
        <f>B945&amp;C948</f>
        <v>A125d</v>
      </c>
      <c r="E948" s="367">
        <v>3</v>
      </c>
      <c r="F948" s="669"/>
      <c r="G948" s="369"/>
      <c r="H948" s="368"/>
      <c r="I948" s="369"/>
      <c r="J948" s="368"/>
      <c r="K948" s="669"/>
      <c r="L948" s="669"/>
      <c r="M948" s="675"/>
      <c r="N948" s="671"/>
      <c r="O948" s="671"/>
      <c r="P948" s="672"/>
      <c r="Q948" s="673"/>
      <c r="R948" s="375"/>
      <c r="S948" s="366"/>
      <c r="T948" s="376"/>
      <c r="U948" s="376"/>
      <c r="V948" s="366"/>
      <c r="W948" s="366"/>
    </row>
    <row r="949" spans="1:23">
      <c r="A949" s="1410"/>
      <c r="B949" s="1413"/>
      <c r="C949" s="845" t="s">
        <v>987</v>
      </c>
      <c r="D949" s="875" t="str">
        <f>B945&amp;C949</f>
        <v>A125e</v>
      </c>
      <c r="E949" s="367">
        <v>4</v>
      </c>
      <c r="F949" s="669"/>
      <c r="G949" s="369"/>
      <c r="H949" s="368"/>
      <c r="I949" s="369"/>
      <c r="J949" s="368"/>
      <c r="K949" s="669"/>
      <c r="L949" s="370"/>
      <c r="M949" s="675"/>
      <c r="N949" s="671"/>
      <c r="O949" s="671"/>
      <c r="P949" s="373"/>
      <c r="Q949" s="673"/>
      <c r="R949" s="375"/>
      <c r="S949" s="366"/>
      <c r="T949" s="376"/>
      <c r="U949" s="376"/>
      <c r="V949" s="366"/>
      <c r="W949" s="366"/>
    </row>
    <row r="950" spans="1:23">
      <c r="A950" s="1410"/>
      <c r="B950" s="1413"/>
      <c r="C950" s="845" t="s">
        <v>988</v>
      </c>
      <c r="D950" s="875" t="str">
        <f>B945&amp;C950</f>
        <v>A125f</v>
      </c>
      <c r="E950" s="367">
        <v>5</v>
      </c>
      <c r="F950" s="669"/>
      <c r="G950" s="369"/>
      <c r="H950" s="368"/>
      <c r="I950" s="369"/>
      <c r="J950" s="368"/>
      <c r="K950" s="669"/>
      <c r="L950" s="370"/>
      <c r="M950" s="371"/>
      <c r="N950" s="671"/>
      <c r="O950" s="671"/>
      <c r="P950" s="373"/>
      <c r="Q950" s="673"/>
      <c r="R950" s="377"/>
      <c r="S950" s="366" t="s">
        <v>190</v>
      </c>
      <c r="T950" s="376"/>
      <c r="U950" s="376"/>
      <c r="V950" s="366"/>
      <c r="W950" s="366"/>
    </row>
    <row r="951" spans="1:23">
      <c r="A951" s="1410"/>
      <c r="B951" s="1413"/>
      <c r="C951" s="845" t="s">
        <v>989</v>
      </c>
      <c r="D951" s="875" t="str">
        <f>B945&amp;C951</f>
        <v>A125g</v>
      </c>
      <c r="E951" s="367">
        <v>6</v>
      </c>
      <c r="F951" s="669"/>
      <c r="G951" s="369"/>
      <c r="H951" s="368"/>
      <c r="I951" s="369"/>
      <c r="J951" s="368"/>
      <c r="K951" s="669"/>
      <c r="L951" s="370"/>
      <c r="M951" s="371"/>
      <c r="N951" s="671"/>
      <c r="O951" s="671"/>
      <c r="P951" s="373"/>
      <c r="Q951" s="673"/>
      <c r="R951" s="375"/>
      <c r="S951" s="366" t="s">
        <v>190</v>
      </c>
      <c r="T951" s="366"/>
      <c r="U951" s="366"/>
      <c r="V951" s="366"/>
      <c r="W951" s="366"/>
    </row>
    <row r="952" spans="1:23">
      <c r="A952" s="1410"/>
      <c r="B952" s="1413"/>
      <c r="C952" s="845" t="s">
        <v>990</v>
      </c>
      <c r="D952" s="875" t="str">
        <f>B945&amp;C952</f>
        <v>A125h</v>
      </c>
      <c r="E952" s="367">
        <v>7</v>
      </c>
      <c r="F952" s="669"/>
      <c r="G952" s="368"/>
      <c r="H952" s="368"/>
      <c r="I952" s="368"/>
      <c r="J952" s="368"/>
      <c r="K952" s="669"/>
      <c r="L952" s="370"/>
      <c r="M952" s="371"/>
      <c r="N952" s="671"/>
      <c r="O952" s="671"/>
      <c r="P952" s="373"/>
      <c r="Q952" s="673"/>
      <c r="R952" s="377"/>
      <c r="S952" s="366" t="s">
        <v>190</v>
      </c>
      <c r="T952" s="366"/>
      <c r="U952" s="366"/>
      <c r="V952" s="366"/>
      <c r="W952" s="366"/>
    </row>
    <row r="953" spans="1:23">
      <c r="A953" s="1410"/>
      <c r="B953" s="1413"/>
      <c r="C953" s="845" t="s">
        <v>991</v>
      </c>
      <c r="D953" s="875" t="str">
        <f>B945&amp;C953</f>
        <v>A125i</v>
      </c>
      <c r="E953" s="367">
        <v>8</v>
      </c>
      <c r="F953" s="669"/>
      <c r="G953" s="368"/>
      <c r="H953" s="368"/>
      <c r="I953" s="368"/>
      <c r="J953" s="368"/>
      <c r="K953" s="370"/>
      <c r="L953" s="370"/>
      <c r="M953" s="371"/>
      <c r="N953" s="671"/>
      <c r="O953" s="671"/>
      <c r="P953" s="373"/>
      <c r="Q953" s="673"/>
      <c r="R953" s="378"/>
      <c r="S953" s="366"/>
      <c r="T953" s="366"/>
      <c r="U953" s="366"/>
      <c r="V953" s="366"/>
      <c r="W953" s="366"/>
    </row>
    <row r="954" spans="1:23">
      <c r="A954" s="1410"/>
      <c r="B954" s="1413"/>
      <c r="C954" s="845" t="s">
        <v>992</v>
      </c>
      <c r="D954" s="875" t="str">
        <f>B945&amp;C954</f>
        <v>A125k</v>
      </c>
      <c r="E954" s="367">
        <v>9</v>
      </c>
      <c r="F954" s="370"/>
      <c r="G954" s="368"/>
      <c r="H954" s="368"/>
      <c r="I954" s="368"/>
      <c r="J954" s="368"/>
      <c r="K954" s="370"/>
      <c r="L954" s="370"/>
      <c r="M954" s="371"/>
      <c r="N954" s="372"/>
      <c r="O954" s="372"/>
      <c r="P954" s="373"/>
      <c r="Q954" s="374"/>
      <c r="R954" s="378"/>
      <c r="S954" s="379"/>
      <c r="T954" s="366"/>
      <c r="U954" s="366"/>
      <c r="V954" s="366"/>
      <c r="W954" s="366"/>
    </row>
    <row r="955" spans="1:23">
      <c r="A955" s="1410"/>
      <c r="B955" s="1413"/>
      <c r="C955" s="845" t="s">
        <v>993</v>
      </c>
      <c r="D955" s="875" t="str">
        <f>B945&amp;C955</f>
        <v>A125l</v>
      </c>
      <c r="E955" s="367">
        <v>10</v>
      </c>
      <c r="F955" s="370"/>
      <c r="G955" s="368"/>
      <c r="H955" s="368"/>
      <c r="I955" s="368"/>
      <c r="J955" s="368"/>
      <c r="K955" s="370"/>
      <c r="L955" s="370"/>
      <c r="M955" s="370"/>
      <c r="N955" s="372"/>
      <c r="O955" s="372"/>
      <c r="P955" s="373"/>
      <c r="Q955" s="374"/>
      <c r="R955" s="378"/>
      <c r="S955" s="379"/>
      <c r="T955" s="366"/>
      <c r="U955" s="366"/>
      <c r="V955" s="366"/>
      <c r="W955" s="366"/>
    </row>
    <row r="956" spans="1:23">
      <c r="A956" s="1410"/>
      <c r="B956" s="1413"/>
      <c r="C956" s="845" t="s">
        <v>994</v>
      </c>
      <c r="D956" s="875" t="str">
        <f>B945&amp;C956</f>
        <v>A125m</v>
      </c>
      <c r="E956" s="367">
        <v>11</v>
      </c>
      <c r="F956" s="370"/>
      <c r="G956" s="368"/>
      <c r="H956" s="368"/>
      <c r="I956" s="368"/>
      <c r="J956" s="368"/>
      <c r="K956" s="370"/>
      <c r="L956" s="370"/>
      <c r="M956" s="370"/>
      <c r="N956" s="372"/>
      <c r="O956" s="372"/>
      <c r="P956" s="380"/>
      <c r="Q956" s="374"/>
      <c r="R956" s="381"/>
      <c r="S956" s="379"/>
      <c r="T956" s="366"/>
      <c r="U956" s="366"/>
      <c r="V956" s="366"/>
      <c r="W956" s="366"/>
    </row>
    <row r="957" spans="1:23">
      <c r="A957" s="1410"/>
      <c r="B957" s="1413"/>
      <c r="C957" s="845" t="s">
        <v>995</v>
      </c>
      <c r="D957" s="875" t="str">
        <f>B945&amp;C957</f>
        <v>A125n</v>
      </c>
      <c r="E957" s="367">
        <v>12</v>
      </c>
      <c r="F957" s="370"/>
      <c r="G957" s="368"/>
      <c r="H957" s="368"/>
      <c r="I957" s="368"/>
      <c r="J957" s="368"/>
      <c r="K957" s="370"/>
      <c r="L957" s="370"/>
      <c r="M957" s="370"/>
      <c r="N957" s="372"/>
      <c r="O957" s="372"/>
      <c r="P957" s="380"/>
      <c r="Q957" s="374"/>
      <c r="R957" s="381"/>
      <c r="S957" s="361"/>
      <c r="T957" s="361"/>
      <c r="U957" s="361"/>
      <c r="V957" s="366"/>
      <c r="W957" s="366"/>
    </row>
    <row r="958" spans="1:23">
      <c r="A958" s="1410"/>
      <c r="B958" s="1413"/>
      <c r="C958" s="845" t="s">
        <v>471</v>
      </c>
      <c r="D958" s="875" t="str">
        <f>B945&amp;C958</f>
        <v>A125x</v>
      </c>
      <c r="E958" s="367">
        <v>13</v>
      </c>
      <c r="F958" s="370"/>
      <c r="G958" s="368"/>
      <c r="H958" s="368"/>
      <c r="I958" s="368"/>
      <c r="J958" s="368"/>
      <c r="K958" s="370"/>
      <c r="L958" s="370"/>
      <c r="M958" s="370"/>
      <c r="N958" s="382"/>
      <c r="O958" s="372"/>
      <c r="P958" s="380"/>
      <c r="Q958" s="381"/>
      <c r="R958" s="381"/>
      <c r="S958" s="361"/>
      <c r="T958" s="361"/>
      <c r="U958" s="361"/>
      <c r="V958" s="366"/>
      <c r="W958" s="366"/>
    </row>
    <row r="959" spans="1:23">
      <c r="A959" s="1410"/>
      <c r="B959" s="1413"/>
      <c r="C959" s="845" t="s">
        <v>732</v>
      </c>
      <c r="D959" s="875" t="str">
        <f>B945&amp;C959</f>
        <v>A125y</v>
      </c>
      <c r="E959" s="367">
        <v>14</v>
      </c>
      <c r="F959" s="370"/>
      <c r="G959" s="368"/>
      <c r="H959" s="368"/>
      <c r="I959" s="368"/>
      <c r="J959" s="368"/>
      <c r="K959" s="370"/>
      <c r="L959" s="370"/>
      <c r="M959" s="370"/>
      <c r="N959" s="382"/>
      <c r="O959" s="372"/>
      <c r="P959" s="380"/>
      <c r="Q959" s="381"/>
      <c r="R959" s="381"/>
      <c r="S959" s="361"/>
      <c r="T959" s="361"/>
      <c r="U959" s="362"/>
      <c r="V959" s="366"/>
      <c r="W959" s="366"/>
    </row>
    <row r="960" spans="1:23">
      <c r="A960" s="1411"/>
      <c r="B960" s="1414"/>
      <c r="C960" s="846" t="s">
        <v>996</v>
      </c>
      <c r="D960" s="876" t="str">
        <f>B945&amp;C960</f>
        <v>A125z</v>
      </c>
      <c r="E960" s="847">
        <v>15</v>
      </c>
      <c r="F960" s="370"/>
      <c r="G960" s="368"/>
      <c r="H960" s="368"/>
      <c r="I960" s="368"/>
      <c r="J960" s="368"/>
      <c r="K960" s="370"/>
      <c r="L960" s="370"/>
      <c r="M960" s="370"/>
      <c r="N960" s="850"/>
      <c r="O960" s="851"/>
      <c r="P960" s="380"/>
      <c r="Q960" s="852"/>
      <c r="R960" s="383"/>
      <c r="S960" s="361"/>
      <c r="T960" s="832"/>
      <c r="U960" s="830"/>
      <c r="V960" s="366"/>
      <c r="W960" s="366"/>
    </row>
    <row r="961" spans="1:23">
      <c r="A961" s="1400" t="s">
        <v>939</v>
      </c>
      <c r="B961" s="1400"/>
      <c r="C961" s="827"/>
      <c r="D961" s="871"/>
      <c r="E961" s="1400" t="s">
        <v>177</v>
      </c>
      <c r="F961" s="1400" t="s">
        <v>18</v>
      </c>
      <c r="G961" s="1389" t="s">
        <v>19</v>
      </c>
      <c r="H961" s="1390"/>
      <c r="I961" s="1389" t="s">
        <v>22</v>
      </c>
      <c r="J961" s="1390"/>
      <c r="K961" s="1393" t="s">
        <v>26</v>
      </c>
      <c r="L961" s="1390"/>
      <c r="M961" s="1389" t="s">
        <v>392</v>
      </c>
      <c r="N961" s="1390"/>
      <c r="O961" s="1389" t="s">
        <v>28</v>
      </c>
      <c r="P961" s="1393"/>
      <c r="Q961" s="1390"/>
      <c r="R961" s="1400" t="s">
        <v>36</v>
      </c>
      <c r="S961" s="361"/>
      <c r="T961" s="361">
        <f>MAX(J965:J979)-MIN(I965:I979)</f>
        <v>3.4722222222222321E-2</v>
      </c>
      <c r="U961" s="361"/>
      <c r="V961" s="853" t="str">
        <f t="shared" ref="V961" si="104">B965</f>
        <v>A148</v>
      </c>
      <c r="W961" s="361">
        <f t="shared" ref="W961" si="105">COUNTIF(K966:K980,"&gt;0")</f>
        <v>4</v>
      </c>
    </row>
    <row r="962" spans="1:23">
      <c r="A962" s="1401"/>
      <c r="B962" s="1401"/>
      <c r="C962" s="828"/>
      <c r="D962" s="872"/>
      <c r="E962" s="1401"/>
      <c r="F962" s="1401"/>
      <c r="G962" s="1391"/>
      <c r="H962" s="1392"/>
      <c r="I962" s="1391"/>
      <c r="J962" s="1392"/>
      <c r="K962" s="1394"/>
      <c r="L962" s="1392"/>
      <c r="M962" s="1391"/>
      <c r="N962" s="1392"/>
      <c r="O962" s="1391"/>
      <c r="P962" s="1394"/>
      <c r="Q962" s="1392"/>
      <c r="R962" s="1401"/>
      <c r="S962" s="361"/>
      <c r="T962" s="361"/>
      <c r="U962" s="361"/>
      <c r="V962" s="361"/>
      <c r="W962" s="361"/>
    </row>
    <row r="963" spans="1:23">
      <c r="A963" s="1401"/>
      <c r="B963" s="1401"/>
      <c r="C963" s="828"/>
      <c r="D963" s="872"/>
      <c r="E963" s="1401"/>
      <c r="F963" s="1401"/>
      <c r="G963" s="1400" t="s">
        <v>20</v>
      </c>
      <c r="H963" s="1400" t="s">
        <v>21</v>
      </c>
      <c r="I963" s="1400" t="s">
        <v>361</v>
      </c>
      <c r="J963" s="1400" t="s">
        <v>353</v>
      </c>
      <c r="K963" s="1400" t="s">
        <v>23</v>
      </c>
      <c r="L963" s="1400" t="s">
        <v>24</v>
      </c>
      <c r="M963" s="1400" t="s">
        <v>27</v>
      </c>
      <c r="N963" s="1400" t="s">
        <v>178</v>
      </c>
      <c r="O963" s="1400" t="s">
        <v>1</v>
      </c>
      <c r="P963" s="1400" t="s">
        <v>29</v>
      </c>
      <c r="Q963" s="1400" t="s">
        <v>33</v>
      </c>
      <c r="R963" s="1401"/>
      <c r="S963" s="361"/>
      <c r="T963" s="361" t="s">
        <v>39</v>
      </c>
      <c r="U963" s="362">
        <f>VLOOKUP(B965,'Thong tin'!$A:$M,13,0)</f>
        <v>1200</v>
      </c>
      <c r="V963" s="361"/>
      <c r="W963" s="361"/>
    </row>
    <row r="964" spans="1:23">
      <c r="A964" s="1402"/>
      <c r="B964" s="1402"/>
      <c r="C964" s="829"/>
      <c r="D964" s="873"/>
      <c r="E964" s="1402"/>
      <c r="F964" s="1402"/>
      <c r="G964" s="1402"/>
      <c r="H964" s="1402"/>
      <c r="I964" s="1402"/>
      <c r="J964" s="1402"/>
      <c r="K964" s="1402"/>
      <c r="L964" s="1402"/>
      <c r="M964" s="1402"/>
      <c r="N964" s="1402"/>
      <c r="O964" s="1402"/>
      <c r="P964" s="1402"/>
      <c r="Q964" s="1402"/>
      <c r="R964" s="1402"/>
      <c r="S964" s="361"/>
      <c r="T964" s="1399" t="s">
        <v>393</v>
      </c>
      <c r="U964" s="1397">
        <f>VLOOKUP(B965,DT.NK!$B:$AZ,45,0)</f>
        <v>31.8</v>
      </c>
      <c r="V964" s="361"/>
      <c r="W964" s="361"/>
    </row>
    <row r="965" spans="1:23">
      <c r="A965" s="1409">
        <f>A945+1</f>
        <v>49</v>
      </c>
      <c r="B965" s="1412" t="s">
        <v>551</v>
      </c>
      <c r="C965" s="844" t="s">
        <v>983</v>
      </c>
      <c r="D965" s="874" t="str">
        <f>B965&amp;C965</f>
        <v>A148a</v>
      </c>
      <c r="E965" s="363"/>
      <c r="F965" s="364"/>
      <c r="G965" s="364"/>
      <c r="H965" s="364"/>
      <c r="I965" s="364"/>
      <c r="J965" s="364"/>
      <c r="K965" s="364"/>
      <c r="L965" s="364"/>
      <c r="M965" s="674"/>
      <c r="N965" s="670"/>
      <c r="O965" s="670">
        <f>U964</f>
        <v>31.8</v>
      </c>
      <c r="P965" s="670">
        <f>O965</f>
        <v>31.8</v>
      </c>
      <c r="Q965" s="670">
        <v>0</v>
      </c>
      <c r="R965" s="365"/>
      <c r="S965" s="366"/>
      <c r="T965" s="1399"/>
      <c r="U965" s="1398"/>
      <c r="V965" s="361"/>
      <c r="W965" s="361"/>
    </row>
    <row r="966" spans="1:23">
      <c r="A966" s="1410"/>
      <c r="B966" s="1413"/>
      <c r="C966" s="845" t="s">
        <v>984</v>
      </c>
      <c r="D966" s="875" t="str">
        <f>B965&amp;C966</f>
        <v>A148b</v>
      </c>
      <c r="E966" s="367">
        <v>1</v>
      </c>
      <c r="F966" s="669" t="s">
        <v>1065</v>
      </c>
      <c r="G966" s="369">
        <v>0.85555555555555562</v>
      </c>
      <c r="H966" s="368">
        <v>0.875</v>
      </c>
      <c r="I966" s="369">
        <v>0.90972222222222221</v>
      </c>
      <c r="J966" s="368">
        <v>0.91319444444444453</v>
      </c>
      <c r="K966" s="669">
        <v>8</v>
      </c>
      <c r="L966" s="669">
        <v>19</v>
      </c>
      <c r="M966" s="675">
        <v>27.65</v>
      </c>
      <c r="N966" s="671">
        <f>IF(M966-P966&gt;0,M966-P966,0)</f>
        <v>3.1499999999999986</v>
      </c>
      <c r="O966" s="671">
        <f>O965-K966/(PI()*(U963/2000)^2)</f>
        <v>24.726446973693541</v>
      </c>
      <c r="P966" s="672">
        <v>24.5</v>
      </c>
      <c r="Q966" s="673">
        <f>ABS(O966-P966)</f>
        <v>0.22644697369354105</v>
      </c>
      <c r="R966" s="375" t="s">
        <v>188</v>
      </c>
      <c r="S966" s="366"/>
      <c r="T966" s="376"/>
      <c r="U966" s="376"/>
      <c r="V966" s="366"/>
      <c r="W966" s="366"/>
    </row>
    <row r="967" spans="1:23">
      <c r="A967" s="1410"/>
      <c r="B967" s="1413"/>
      <c r="C967" s="845" t="s">
        <v>985</v>
      </c>
      <c r="D967" s="875" t="str">
        <f>B965&amp;C967</f>
        <v>A148c</v>
      </c>
      <c r="E967" s="367">
        <v>2</v>
      </c>
      <c r="F967" s="669" t="s">
        <v>1078</v>
      </c>
      <c r="G967" s="369">
        <v>0.87638888888888899</v>
      </c>
      <c r="H967" s="368">
        <v>0.89583333333333337</v>
      </c>
      <c r="I967" s="369">
        <v>0.91666666666666663</v>
      </c>
      <c r="J967" s="368">
        <v>0.92013888888888884</v>
      </c>
      <c r="K967" s="669">
        <v>8</v>
      </c>
      <c r="L967" s="669">
        <v>19.5</v>
      </c>
      <c r="M967" s="675">
        <v>21.35</v>
      </c>
      <c r="N967" s="671">
        <f>IF(M967-P967&gt;0,M967-P967,0)</f>
        <v>3.6500000000000021</v>
      </c>
      <c r="O967" s="671">
        <f>O966-K967/(PI()*(U963/2000)^2)</f>
        <v>17.652893947387081</v>
      </c>
      <c r="P967" s="672">
        <v>17.7</v>
      </c>
      <c r="Q967" s="673">
        <f>ABS(O967-P967)</f>
        <v>4.7106052612917892E-2</v>
      </c>
      <c r="R967" s="375" t="s">
        <v>188</v>
      </c>
      <c r="S967" s="366"/>
      <c r="T967" s="376"/>
      <c r="U967" s="376"/>
      <c r="V967" s="366"/>
      <c r="W967" s="366"/>
    </row>
    <row r="968" spans="1:23">
      <c r="A968" s="1410"/>
      <c r="B968" s="1413"/>
      <c r="C968" s="845" t="s">
        <v>986</v>
      </c>
      <c r="D968" s="875" t="str">
        <f>B965&amp;C968</f>
        <v>A148d</v>
      </c>
      <c r="E968" s="367">
        <v>3</v>
      </c>
      <c r="F968" s="669" t="s">
        <v>1050</v>
      </c>
      <c r="G968" s="369">
        <v>0.88680555555555562</v>
      </c>
      <c r="H968" s="368">
        <v>0.91319444444444453</v>
      </c>
      <c r="I968" s="369">
        <v>0.91666666666666663</v>
      </c>
      <c r="J968" s="368">
        <v>0.92013888888888884</v>
      </c>
      <c r="K968" s="669">
        <v>8</v>
      </c>
      <c r="L968" s="669">
        <v>18.5</v>
      </c>
      <c r="M968" s="675">
        <v>15.05</v>
      </c>
      <c r="N968" s="671">
        <f>IF(M968-P968&gt;0,M968-P968,0)</f>
        <v>3.0500000000000007</v>
      </c>
      <c r="O968" s="671">
        <f>O967-K968/(PI()*(U963/2000)^2)</f>
        <v>10.579340921080622</v>
      </c>
      <c r="P968" s="672">
        <v>12</v>
      </c>
      <c r="Q968" s="673">
        <f>ABS(O968-P968)</f>
        <v>1.4206590789193783</v>
      </c>
      <c r="R968" s="375"/>
      <c r="S968" s="366"/>
      <c r="T968" s="376"/>
      <c r="U968" s="376"/>
      <c r="V968" s="366"/>
      <c r="W968" s="366"/>
    </row>
    <row r="969" spans="1:23">
      <c r="A969" s="1410"/>
      <c r="B969" s="1413"/>
      <c r="C969" s="845" t="s">
        <v>987</v>
      </c>
      <c r="D969" s="875" t="str">
        <f>B965&amp;C969</f>
        <v>A148e</v>
      </c>
      <c r="E969" s="367">
        <v>4</v>
      </c>
      <c r="F969" s="669" t="s">
        <v>1052</v>
      </c>
      <c r="G969" s="369">
        <v>0.9375</v>
      </c>
      <c r="H969" s="368">
        <v>0.9375</v>
      </c>
      <c r="I969" s="369">
        <v>0.94097222222222221</v>
      </c>
      <c r="J969" s="368">
        <v>0.94444444444444453</v>
      </c>
      <c r="K969" s="669">
        <v>7</v>
      </c>
      <c r="L969" s="370">
        <v>20</v>
      </c>
      <c r="M969" s="675">
        <v>15.05</v>
      </c>
      <c r="N969" s="671">
        <f>IF(M969-P969&gt;0,M969-P969,0)</f>
        <v>9.5500000000000007</v>
      </c>
      <c r="O969" s="671">
        <f>O968-K969/(PI()*(U963/2000)^2)</f>
        <v>4.38998202306247</v>
      </c>
      <c r="P969" s="373">
        <v>5.5</v>
      </c>
      <c r="Q969" s="673">
        <f>ABS(O969-P969)</f>
        <v>1.11001797693753</v>
      </c>
      <c r="R969" s="375"/>
      <c r="S969" s="366"/>
      <c r="T969" s="376"/>
      <c r="U969" s="376"/>
      <c r="V969" s="366"/>
      <c r="W969" s="366"/>
    </row>
    <row r="970" spans="1:23">
      <c r="A970" s="1410"/>
      <c r="B970" s="1413"/>
      <c r="C970" s="845" t="s">
        <v>988</v>
      </c>
      <c r="D970" s="875" t="str">
        <f>B965&amp;C970</f>
        <v>A148f</v>
      </c>
      <c r="E970" s="367">
        <v>5</v>
      </c>
      <c r="F970" s="669"/>
      <c r="G970" s="369"/>
      <c r="H970" s="368"/>
      <c r="I970" s="369"/>
      <c r="J970" s="368"/>
      <c r="K970" s="669"/>
      <c r="L970" s="370"/>
      <c r="M970" s="371"/>
      <c r="N970" s="671"/>
      <c r="O970" s="671"/>
      <c r="P970" s="373"/>
      <c r="Q970" s="673"/>
      <c r="R970" s="377"/>
      <c r="S970" s="366" t="s">
        <v>190</v>
      </c>
      <c r="T970" s="376"/>
      <c r="U970" s="376"/>
      <c r="V970" s="366"/>
      <c r="W970" s="366"/>
    </row>
    <row r="971" spans="1:23">
      <c r="A971" s="1410"/>
      <c r="B971" s="1413"/>
      <c r="C971" s="845" t="s">
        <v>989</v>
      </c>
      <c r="D971" s="875" t="str">
        <f>B965&amp;C971</f>
        <v>A148g</v>
      </c>
      <c r="E971" s="367">
        <v>6</v>
      </c>
      <c r="F971" s="669"/>
      <c r="G971" s="369"/>
      <c r="H971" s="368"/>
      <c r="I971" s="369"/>
      <c r="J971" s="368"/>
      <c r="K971" s="669"/>
      <c r="L971" s="370"/>
      <c r="M971" s="371"/>
      <c r="N971" s="671"/>
      <c r="O971" s="671"/>
      <c r="P971" s="373"/>
      <c r="Q971" s="673"/>
      <c r="R971" s="375"/>
      <c r="S971" s="366" t="s">
        <v>190</v>
      </c>
      <c r="T971" s="366"/>
      <c r="U971" s="366"/>
      <c r="V971" s="366"/>
      <c r="W971" s="366"/>
    </row>
    <row r="972" spans="1:23">
      <c r="A972" s="1410"/>
      <c r="B972" s="1413"/>
      <c r="C972" s="845" t="s">
        <v>990</v>
      </c>
      <c r="D972" s="875" t="str">
        <f>B965&amp;C972</f>
        <v>A148h</v>
      </c>
      <c r="E972" s="367">
        <v>7</v>
      </c>
      <c r="F972" s="669"/>
      <c r="G972" s="368"/>
      <c r="H972" s="368"/>
      <c r="I972" s="368"/>
      <c r="J972" s="368"/>
      <c r="K972" s="669"/>
      <c r="L972" s="370"/>
      <c r="M972" s="371"/>
      <c r="N972" s="671"/>
      <c r="O972" s="671"/>
      <c r="P972" s="373"/>
      <c r="Q972" s="673"/>
      <c r="R972" s="377"/>
      <c r="S972" s="366" t="s">
        <v>190</v>
      </c>
      <c r="T972" s="366"/>
      <c r="U972" s="366"/>
      <c r="V972" s="366"/>
      <c r="W972" s="366"/>
    </row>
    <row r="973" spans="1:23">
      <c r="A973" s="1410"/>
      <c r="B973" s="1413"/>
      <c r="C973" s="845" t="s">
        <v>991</v>
      </c>
      <c r="D973" s="875" t="str">
        <f>B965&amp;C973</f>
        <v>A148i</v>
      </c>
      <c r="E973" s="367">
        <v>8</v>
      </c>
      <c r="F973" s="669"/>
      <c r="G973" s="368"/>
      <c r="H973" s="368"/>
      <c r="I973" s="368"/>
      <c r="J973" s="368"/>
      <c r="K973" s="370"/>
      <c r="L973" s="370"/>
      <c r="M973" s="371"/>
      <c r="N973" s="671"/>
      <c r="O973" s="671"/>
      <c r="P973" s="373"/>
      <c r="Q973" s="673"/>
      <c r="R973" s="378"/>
      <c r="S973" s="366"/>
      <c r="T973" s="366"/>
      <c r="U973" s="366"/>
      <c r="V973" s="366"/>
      <c r="W973" s="366"/>
    </row>
    <row r="974" spans="1:23">
      <c r="A974" s="1410"/>
      <c r="B974" s="1413"/>
      <c r="C974" s="845" t="s">
        <v>992</v>
      </c>
      <c r="D974" s="875" t="str">
        <f>B965&amp;C974</f>
        <v>A148k</v>
      </c>
      <c r="E974" s="367">
        <v>9</v>
      </c>
      <c r="F974" s="370"/>
      <c r="G974" s="368"/>
      <c r="H974" s="368"/>
      <c r="I974" s="368"/>
      <c r="J974" s="368"/>
      <c r="K974" s="370"/>
      <c r="L974" s="370"/>
      <c r="M974" s="371"/>
      <c r="N974" s="372"/>
      <c r="O974" s="372"/>
      <c r="P974" s="373"/>
      <c r="Q974" s="374"/>
      <c r="R974" s="378"/>
      <c r="S974" s="379"/>
      <c r="T974" s="366"/>
      <c r="U974" s="366"/>
      <c r="V974" s="366"/>
      <c r="W974" s="366"/>
    </row>
    <row r="975" spans="1:23">
      <c r="A975" s="1410"/>
      <c r="B975" s="1413"/>
      <c r="C975" s="845" t="s">
        <v>993</v>
      </c>
      <c r="D975" s="875" t="str">
        <f>B965&amp;C975</f>
        <v>A148l</v>
      </c>
      <c r="E975" s="367">
        <v>10</v>
      </c>
      <c r="F975" s="370"/>
      <c r="G975" s="368"/>
      <c r="H975" s="368"/>
      <c r="I975" s="368"/>
      <c r="J975" s="368"/>
      <c r="K975" s="370"/>
      <c r="L975" s="370"/>
      <c r="M975" s="370"/>
      <c r="N975" s="372"/>
      <c r="O975" s="372"/>
      <c r="P975" s="373"/>
      <c r="Q975" s="374"/>
      <c r="R975" s="378"/>
      <c r="S975" s="379"/>
      <c r="T975" s="366"/>
      <c r="U975" s="366"/>
      <c r="V975" s="366"/>
      <c r="W975" s="366"/>
    </row>
    <row r="976" spans="1:23">
      <c r="A976" s="1410"/>
      <c r="B976" s="1413"/>
      <c r="C976" s="845" t="s">
        <v>994</v>
      </c>
      <c r="D976" s="875" t="str">
        <f>B965&amp;C976</f>
        <v>A148m</v>
      </c>
      <c r="E976" s="367">
        <v>11</v>
      </c>
      <c r="F976" s="370"/>
      <c r="G976" s="368"/>
      <c r="H976" s="368"/>
      <c r="I976" s="368"/>
      <c r="J976" s="368"/>
      <c r="K976" s="370"/>
      <c r="L976" s="370"/>
      <c r="M976" s="370"/>
      <c r="N976" s="372"/>
      <c r="O976" s="372"/>
      <c r="P976" s="380"/>
      <c r="Q976" s="374"/>
      <c r="R976" s="381"/>
      <c r="S976" s="379"/>
      <c r="T976" s="366"/>
      <c r="U976" s="366"/>
      <c r="V976" s="366"/>
      <c r="W976" s="366"/>
    </row>
    <row r="977" spans="1:23">
      <c r="A977" s="1410"/>
      <c r="B977" s="1413"/>
      <c r="C977" s="845" t="s">
        <v>995</v>
      </c>
      <c r="D977" s="875" t="str">
        <f>B965&amp;C977</f>
        <v>A148n</v>
      </c>
      <c r="E977" s="367">
        <v>12</v>
      </c>
      <c r="F977" s="370"/>
      <c r="G977" s="368"/>
      <c r="H977" s="368"/>
      <c r="I977" s="368"/>
      <c r="J977" s="368"/>
      <c r="K977" s="370"/>
      <c r="L977" s="370"/>
      <c r="M977" s="370"/>
      <c r="N977" s="372"/>
      <c r="O977" s="372"/>
      <c r="P977" s="380"/>
      <c r="Q977" s="374"/>
      <c r="R977" s="381"/>
      <c r="S977" s="361"/>
      <c r="T977" s="361"/>
      <c r="U977" s="361"/>
      <c r="V977" s="366"/>
      <c r="W977" s="366"/>
    </row>
    <row r="978" spans="1:23">
      <c r="A978" s="1410"/>
      <c r="B978" s="1413"/>
      <c r="C978" s="845" t="s">
        <v>471</v>
      </c>
      <c r="D978" s="875" t="str">
        <f>B965&amp;C978</f>
        <v>A148x</v>
      </c>
      <c r="E978" s="367">
        <v>13</v>
      </c>
      <c r="F978" s="370"/>
      <c r="G978" s="368"/>
      <c r="H978" s="368"/>
      <c r="I978" s="368"/>
      <c r="J978" s="368"/>
      <c r="K978" s="370"/>
      <c r="L978" s="370"/>
      <c r="M978" s="370"/>
      <c r="N978" s="382"/>
      <c r="O978" s="372"/>
      <c r="P978" s="380"/>
      <c r="Q978" s="381"/>
      <c r="R978" s="381"/>
      <c r="S978" s="361"/>
      <c r="T978" s="361"/>
      <c r="U978" s="361"/>
      <c r="V978" s="366"/>
      <c r="W978" s="366"/>
    </row>
    <row r="979" spans="1:23">
      <c r="A979" s="1410"/>
      <c r="B979" s="1413"/>
      <c r="C979" s="845" t="s">
        <v>732</v>
      </c>
      <c r="D979" s="875" t="str">
        <f>B965&amp;C979</f>
        <v>A148y</v>
      </c>
      <c r="E979" s="367">
        <v>14</v>
      </c>
      <c r="F979" s="370"/>
      <c r="G979" s="368"/>
      <c r="H979" s="368"/>
      <c r="I979" s="368"/>
      <c r="J979" s="368"/>
      <c r="K979" s="370"/>
      <c r="L979" s="370"/>
      <c r="M979" s="370"/>
      <c r="N979" s="382"/>
      <c r="O979" s="372"/>
      <c r="P979" s="380"/>
      <c r="Q979" s="381"/>
      <c r="R979" s="381"/>
      <c r="S979" s="361"/>
      <c r="T979" s="361"/>
      <c r="U979" s="362"/>
      <c r="V979" s="366"/>
      <c r="W979" s="366"/>
    </row>
    <row r="980" spans="1:23">
      <c r="A980" s="1411"/>
      <c r="B980" s="1414"/>
      <c r="C980" s="846" t="s">
        <v>996</v>
      </c>
      <c r="D980" s="876" t="str">
        <f>B965&amp;C980</f>
        <v>A148z</v>
      </c>
      <c r="E980" s="847">
        <v>15</v>
      </c>
      <c r="F980" s="370"/>
      <c r="G980" s="368"/>
      <c r="H980" s="368"/>
      <c r="I980" s="368"/>
      <c r="J980" s="368"/>
      <c r="K980" s="370"/>
      <c r="L980" s="370"/>
      <c r="M980" s="370"/>
      <c r="N980" s="850"/>
      <c r="O980" s="851"/>
      <c r="P980" s="380"/>
      <c r="Q980" s="852"/>
      <c r="R980" s="383"/>
      <c r="S980" s="361"/>
      <c r="T980" s="832"/>
      <c r="U980" s="830"/>
      <c r="V980" s="366"/>
      <c r="W980" s="366"/>
    </row>
    <row r="981" spans="1:23">
      <c r="A981" s="1400" t="s">
        <v>939</v>
      </c>
      <c r="B981" s="1400"/>
      <c r="C981" s="827"/>
      <c r="D981" s="871"/>
      <c r="E981" s="1400" t="s">
        <v>177</v>
      </c>
      <c r="F981" s="1400" t="s">
        <v>18</v>
      </c>
      <c r="G981" s="1389" t="s">
        <v>19</v>
      </c>
      <c r="H981" s="1390"/>
      <c r="I981" s="1389" t="s">
        <v>22</v>
      </c>
      <c r="J981" s="1390"/>
      <c r="K981" s="1393" t="s">
        <v>26</v>
      </c>
      <c r="L981" s="1390"/>
      <c r="M981" s="1389" t="s">
        <v>392</v>
      </c>
      <c r="N981" s="1390"/>
      <c r="O981" s="1389" t="s">
        <v>28</v>
      </c>
      <c r="P981" s="1393"/>
      <c r="Q981" s="1390"/>
      <c r="R981" s="1400" t="s">
        <v>36</v>
      </c>
      <c r="S981" s="361"/>
      <c r="T981" s="361">
        <f>MAX(J985:J999)-MIN(I985:I999)</f>
        <v>5.2083333333333259E-2</v>
      </c>
      <c r="U981" s="361"/>
      <c r="V981" s="853" t="str">
        <f t="shared" ref="V981" si="106">B985</f>
        <v>A127</v>
      </c>
      <c r="W981" s="361">
        <f t="shared" ref="W981" si="107">COUNTIF(K986:K1000,"&gt;0")</f>
        <v>3</v>
      </c>
    </row>
    <row r="982" spans="1:23">
      <c r="A982" s="1401"/>
      <c r="B982" s="1401"/>
      <c r="C982" s="828"/>
      <c r="D982" s="872"/>
      <c r="E982" s="1401"/>
      <c r="F982" s="1401"/>
      <c r="G982" s="1391"/>
      <c r="H982" s="1392"/>
      <c r="I982" s="1391"/>
      <c r="J982" s="1392"/>
      <c r="K982" s="1394"/>
      <c r="L982" s="1392"/>
      <c r="M982" s="1391"/>
      <c r="N982" s="1392"/>
      <c r="O982" s="1391"/>
      <c r="P982" s="1394"/>
      <c r="Q982" s="1392"/>
      <c r="R982" s="1401"/>
      <c r="S982" s="361"/>
      <c r="T982" s="361"/>
      <c r="U982" s="361"/>
      <c r="V982" s="361"/>
      <c r="W982" s="361"/>
    </row>
    <row r="983" spans="1:23">
      <c r="A983" s="1401"/>
      <c r="B983" s="1401"/>
      <c r="C983" s="828"/>
      <c r="D983" s="872"/>
      <c r="E983" s="1401"/>
      <c r="F983" s="1401"/>
      <c r="G983" s="1400" t="s">
        <v>20</v>
      </c>
      <c r="H983" s="1400" t="s">
        <v>21</v>
      </c>
      <c r="I983" s="1400" t="s">
        <v>361</v>
      </c>
      <c r="J983" s="1400" t="s">
        <v>353</v>
      </c>
      <c r="K983" s="1400" t="s">
        <v>23</v>
      </c>
      <c r="L983" s="1400" t="s">
        <v>24</v>
      </c>
      <c r="M983" s="1400" t="s">
        <v>27</v>
      </c>
      <c r="N983" s="1400" t="s">
        <v>178</v>
      </c>
      <c r="O983" s="1400" t="s">
        <v>1</v>
      </c>
      <c r="P983" s="1400" t="s">
        <v>29</v>
      </c>
      <c r="Q983" s="1400" t="s">
        <v>33</v>
      </c>
      <c r="R983" s="1401"/>
      <c r="S983" s="361"/>
      <c r="T983" s="361" t="s">
        <v>39</v>
      </c>
      <c r="U983" s="362">
        <f>VLOOKUP(B985,'Thong tin'!$A:$M,13,0)</f>
        <v>1200</v>
      </c>
      <c r="V983" s="361"/>
      <c r="W983" s="361"/>
    </row>
    <row r="984" spans="1:23">
      <c r="A984" s="1402"/>
      <c r="B984" s="1402"/>
      <c r="C984" s="829"/>
      <c r="D984" s="873"/>
      <c r="E984" s="1402"/>
      <c r="F984" s="1402"/>
      <c r="G984" s="1402"/>
      <c r="H984" s="1402"/>
      <c r="I984" s="1402"/>
      <c r="J984" s="1402"/>
      <c r="K984" s="1402"/>
      <c r="L984" s="1402"/>
      <c r="M984" s="1402"/>
      <c r="N984" s="1402"/>
      <c r="O984" s="1402"/>
      <c r="P984" s="1402"/>
      <c r="Q984" s="1402"/>
      <c r="R984" s="1402"/>
      <c r="S984" s="361"/>
      <c r="T984" s="1399" t="s">
        <v>393</v>
      </c>
      <c r="U984" s="1397">
        <f>VLOOKUP(B985,DT.NK!$B:$AZ,45,0)</f>
        <v>25.3</v>
      </c>
      <c r="V984" s="361"/>
      <c r="W984" s="361"/>
    </row>
    <row r="985" spans="1:23">
      <c r="A985" s="1409">
        <f>A965+1</f>
        <v>50</v>
      </c>
      <c r="B985" s="1412" t="s">
        <v>666</v>
      </c>
      <c r="C985" s="844" t="s">
        <v>983</v>
      </c>
      <c r="D985" s="874" t="str">
        <f>B985&amp;C985</f>
        <v>A127a</v>
      </c>
      <c r="E985" s="363"/>
      <c r="F985" s="364"/>
      <c r="G985" s="364"/>
      <c r="H985" s="364"/>
      <c r="I985" s="364"/>
      <c r="J985" s="364"/>
      <c r="K985" s="364"/>
      <c r="L985" s="364"/>
      <c r="M985" s="674"/>
      <c r="N985" s="670"/>
      <c r="O985" s="670">
        <f>U984</f>
        <v>25.3</v>
      </c>
      <c r="P985" s="670">
        <f>O985</f>
        <v>25.3</v>
      </c>
      <c r="Q985" s="670">
        <v>0</v>
      </c>
      <c r="R985" s="365"/>
      <c r="S985" s="366"/>
      <c r="T985" s="1399"/>
      <c r="U985" s="1398"/>
      <c r="V985" s="361"/>
      <c r="W985" s="361"/>
    </row>
    <row r="986" spans="1:23">
      <c r="A986" s="1410"/>
      <c r="B986" s="1413"/>
      <c r="C986" s="845" t="s">
        <v>984</v>
      </c>
      <c r="D986" s="875" t="str">
        <f>B985&amp;C986</f>
        <v>A127b</v>
      </c>
      <c r="E986" s="367">
        <v>1</v>
      </c>
      <c r="F986" s="669" t="s">
        <v>1052</v>
      </c>
      <c r="G986" s="369">
        <v>0.89027777777777783</v>
      </c>
      <c r="H986" s="368">
        <v>0.92361111111111116</v>
      </c>
      <c r="I986" s="369">
        <v>0.92708333333333337</v>
      </c>
      <c r="J986" s="368">
        <v>0.93402777777777779</v>
      </c>
      <c r="K986" s="669">
        <v>12</v>
      </c>
      <c r="L986" s="669">
        <v>19</v>
      </c>
      <c r="M986" s="675">
        <v>22.8</v>
      </c>
      <c r="N986" s="671">
        <f>IF(M986-P986&gt;0,M986-P986,0)</f>
        <v>5.6000000000000014</v>
      </c>
      <c r="O986" s="671">
        <f>O985-K986/(PI()*(U983/2000)^2)</f>
        <v>14.689670460540311</v>
      </c>
      <c r="P986" s="672">
        <v>17.2</v>
      </c>
      <c r="Q986" s="673">
        <f>ABS(O986-P986)</f>
        <v>2.5103295394596881</v>
      </c>
      <c r="R986" s="375" t="s">
        <v>188</v>
      </c>
      <c r="S986" s="366"/>
      <c r="T986" s="376"/>
      <c r="U986" s="376"/>
      <c r="V986" s="366"/>
      <c r="W986" s="366"/>
    </row>
    <row r="987" spans="1:23">
      <c r="A987" s="1410"/>
      <c r="B987" s="1413"/>
      <c r="C987" s="845" t="s">
        <v>985</v>
      </c>
      <c r="D987" s="875" t="str">
        <f>B985&amp;C987</f>
        <v>A127c</v>
      </c>
      <c r="E987" s="367">
        <v>2</v>
      </c>
      <c r="F987" s="669" t="s">
        <v>1050</v>
      </c>
      <c r="G987" s="369">
        <v>0.90416666666666667</v>
      </c>
      <c r="H987" s="368">
        <v>0.93055555555555547</v>
      </c>
      <c r="I987" s="369">
        <v>0.94097222222222221</v>
      </c>
      <c r="J987" s="368">
        <v>0.94444444444444453</v>
      </c>
      <c r="K987" s="669">
        <v>8</v>
      </c>
      <c r="L987" s="669">
        <v>19.5</v>
      </c>
      <c r="M987" s="675">
        <v>19.649999999999999</v>
      </c>
      <c r="N987" s="671">
        <f>IF(M987-P987&gt;0,M987-P987,0)</f>
        <v>6.3499999999999979</v>
      </c>
      <c r="O987" s="671">
        <f>O986-K987/(PI()*(U983/2000)^2)</f>
        <v>7.6161174342338516</v>
      </c>
      <c r="P987" s="672">
        <v>13.3</v>
      </c>
      <c r="Q987" s="673">
        <f>ABS(O987-P987)</f>
        <v>5.6838825657661491</v>
      </c>
      <c r="R987" s="375" t="s">
        <v>188</v>
      </c>
      <c r="S987" s="366"/>
      <c r="T987" s="376"/>
      <c r="U987" s="376"/>
      <c r="V987" s="366"/>
      <c r="W987" s="366"/>
    </row>
    <row r="988" spans="1:23">
      <c r="A988" s="1410"/>
      <c r="B988" s="1413"/>
      <c r="C988" s="845" t="s">
        <v>986</v>
      </c>
      <c r="D988" s="875" t="str">
        <f>B985&amp;C988</f>
        <v>A127d</v>
      </c>
      <c r="E988" s="367">
        <v>3</v>
      </c>
      <c r="F988" s="669" t="s">
        <v>1067</v>
      </c>
      <c r="G988" s="369">
        <v>0.95972222222222225</v>
      </c>
      <c r="H988" s="368">
        <v>0.97222222222222221</v>
      </c>
      <c r="I988" s="369">
        <v>0.97569444444444453</v>
      </c>
      <c r="J988" s="368">
        <v>0.97916666666666663</v>
      </c>
      <c r="K988" s="669">
        <v>8</v>
      </c>
      <c r="L988" s="669">
        <v>18</v>
      </c>
      <c r="M988" s="675">
        <v>19.649999999999999</v>
      </c>
      <c r="N988" s="671">
        <f>IF(M988-P988&gt;0,M988-P988,0)</f>
        <v>13.149999999999999</v>
      </c>
      <c r="O988" s="671">
        <f>O987-K988/(PI()*(U983/2000)^2)</f>
        <v>0.54256440792739191</v>
      </c>
      <c r="P988" s="672">
        <v>6.5</v>
      </c>
      <c r="Q988" s="673">
        <f>ABS(O988-P988)</f>
        <v>5.9574355920726081</v>
      </c>
      <c r="R988" s="375" t="s">
        <v>188</v>
      </c>
      <c r="S988" s="366"/>
      <c r="T988" s="376"/>
      <c r="U988" s="376"/>
      <c r="V988" s="366"/>
      <c r="W988" s="366"/>
    </row>
    <row r="989" spans="1:23">
      <c r="A989" s="1410"/>
      <c r="B989" s="1413"/>
      <c r="C989" s="845" t="s">
        <v>987</v>
      </c>
      <c r="D989" s="875" t="str">
        <f>B985&amp;C989</f>
        <v>A127e</v>
      </c>
      <c r="E989" s="367">
        <v>4</v>
      </c>
      <c r="F989" s="669"/>
      <c r="G989" s="369"/>
      <c r="H989" s="368"/>
      <c r="I989" s="369"/>
      <c r="J989" s="368"/>
      <c r="K989" s="669"/>
      <c r="L989" s="370"/>
      <c r="M989" s="675"/>
      <c r="N989" s="671"/>
      <c r="O989" s="671"/>
      <c r="P989" s="373"/>
      <c r="Q989" s="673"/>
      <c r="R989" s="375"/>
      <c r="S989" s="366"/>
      <c r="T989" s="376"/>
      <c r="U989" s="376"/>
      <c r="V989" s="366"/>
      <c r="W989" s="366"/>
    </row>
    <row r="990" spans="1:23">
      <c r="A990" s="1410"/>
      <c r="B990" s="1413"/>
      <c r="C990" s="845" t="s">
        <v>988</v>
      </c>
      <c r="D990" s="875" t="str">
        <f>B985&amp;C990</f>
        <v>A127f</v>
      </c>
      <c r="E990" s="367">
        <v>5</v>
      </c>
      <c r="F990" s="669"/>
      <c r="G990" s="369"/>
      <c r="H990" s="368"/>
      <c r="I990" s="369"/>
      <c r="J990" s="368"/>
      <c r="K990" s="669"/>
      <c r="L990" s="370"/>
      <c r="M990" s="371"/>
      <c r="N990" s="671"/>
      <c r="O990" s="671"/>
      <c r="P990" s="373"/>
      <c r="Q990" s="673"/>
      <c r="R990" s="377"/>
      <c r="S990" s="366" t="s">
        <v>190</v>
      </c>
      <c r="T990" s="376"/>
      <c r="U990" s="376"/>
      <c r="V990" s="366"/>
      <c r="W990" s="366"/>
    </row>
    <row r="991" spans="1:23">
      <c r="A991" s="1410"/>
      <c r="B991" s="1413"/>
      <c r="C991" s="845" t="s">
        <v>989</v>
      </c>
      <c r="D991" s="875" t="str">
        <f>B985&amp;C991</f>
        <v>A127g</v>
      </c>
      <c r="E991" s="367">
        <v>6</v>
      </c>
      <c r="F991" s="669"/>
      <c r="G991" s="369"/>
      <c r="H991" s="368"/>
      <c r="I991" s="369"/>
      <c r="J991" s="368"/>
      <c r="K991" s="669"/>
      <c r="L991" s="370"/>
      <c r="M991" s="371"/>
      <c r="N991" s="671"/>
      <c r="O991" s="671"/>
      <c r="P991" s="373"/>
      <c r="Q991" s="673"/>
      <c r="R991" s="375"/>
      <c r="S991" s="366" t="s">
        <v>190</v>
      </c>
      <c r="T991" s="366"/>
      <c r="U991" s="366"/>
      <c r="V991" s="366"/>
      <c r="W991" s="366"/>
    </row>
    <row r="992" spans="1:23">
      <c r="A992" s="1410"/>
      <c r="B992" s="1413"/>
      <c r="C992" s="845" t="s">
        <v>990</v>
      </c>
      <c r="D992" s="875" t="str">
        <f>B985&amp;C992</f>
        <v>A127h</v>
      </c>
      <c r="E992" s="367">
        <v>7</v>
      </c>
      <c r="F992" s="669"/>
      <c r="G992" s="368"/>
      <c r="H992" s="368"/>
      <c r="I992" s="368"/>
      <c r="J992" s="368"/>
      <c r="K992" s="669"/>
      <c r="L992" s="370"/>
      <c r="M992" s="371"/>
      <c r="N992" s="671"/>
      <c r="O992" s="671"/>
      <c r="P992" s="373"/>
      <c r="Q992" s="673"/>
      <c r="R992" s="377"/>
      <c r="S992" s="366" t="s">
        <v>190</v>
      </c>
      <c r="T992" s="366"/>
      <c r="U992" s="366"/>
      <c r="V992" s="366"/>
      <c r="W992" s="366"/>
    </row>
    <row r="993" spans="1:23">
      <c r="A993" s="1410"/>
      <c r="B993" s="1413"/>
      <c r="C993" s="845" t="s">
        <v>991</v>
      </c>
      <c r="D993" s="875" t="str">
        <f>B985&amp;C993</f>
        <v>A127i</v>
      </c>
      <c r="E993" s="367">
        <v>8</v>
      </c>
      <c r="F993" s="669"/>
      <c r="G993" s="368"/>
      <c r="H993" s="368"/>
      <c r="I993" s="368"/>
      <c r="J993" s="368"/>
      <c r="K993" s="370"/>
      <c r="L993" s="370"/>
      <c r="M993" s="371"/>
      <c r="N993" s="671"/>
      <c r="O993" s="671"/>
      <c r="P993" s="373"/>
      <c r="Q993" s="673"/>
      <c r="R993" s="378"/>
      <c r="S993" s="366"/>
      <c r="T993" s="366"/>
      <c r="U993" s="366"/>
      <c r="V993" s="366"/>
      <c r="W993" s="366"/>
    </row>
    <row r="994" spans="1:23">
      <c r="A994" s="1410"/>
      <c r="B994" s="1413"/>
      <c r="C994" s="845" t="s">
        <v>992</v>
      </c>
      <c r="D994" s="875" t="str">
        <f>B985&amp;C994</f>
        <v>A127k</v>
      </c>
      <c r="E994" s="367">
        <v>9</v>
      </c>
      <c r="F994" s="370"/>
      <c r="G994" s="368"/>
      <c r="H994" s="368"/>
      <c r="I994" s="368"/>
      <c r="J994" s="368"/>
      <c r="K994" s="370"/>
      <c r="L994" s="370"/>
      <c r="M994" s="371"/>
      <c r="N994" s="372"/>
      <c r="O994" s="372"/>
      <c r="P994" s="373"/>
      <c r="Q994" s="374"/>
      <c r="R994" s="378"/>
      <c r="S994" s="379"/>
      <c r="T994" s="366"/>
      <c r="U994" s="366"/>
      <c r="V994" s="366"/>
      <c r="W994" s="366"/>
    </row>
    <row r="995" spans="1:23">
      <c r="A995" s="1410"/>
      <c r="B995" s="1413"/>
      <c r="C995" s="845" t="s">
        <v>993</v>
      </c>
      <c r="D995" s="875" t="str">
        <f>B985&amp;C995</f>
        <v>A127l</v>
      </c>
      <c r="E995" s="367">
        <v>10</v>
      </c>
      <c r="F995" s="370"/>
      <c r="G995" s="368"/>
      <c r="H995" s="368"/>
      <c r="I995" s="368"/>
      <c r="J995" s="368"/>
      <c r="K995" s="370"/>
      <c r="L995" s="370"/>
      <c r="M995" s="370"/>
      <c r="N995" s="372"/>
      <c r="O995" s="372"/>
      <c r="P995" s="373"/>
      <c r="Q995" s="374"/>
      <c r="R995" s="378"/>
      <c r="S995" s="379"/>
      <c r="T995" s="366"/>
      <c r="U995" s="366"/>
      <c r="V995" s="366"/>
      <c r="W995" s="366"/>
    </row>
    <row r="996" spans="1:23">
      <c r="A996" s="1410"/>
      <c r="B996" s="1413"/>
      <c r="C996" s="845" t="s">
        <v>994</v>
      </c>
      <c r="D996" s="875" t="str">
        <f>B985&amp;C996</f>
        <v>A127m</v>
      </c>
      <c r="E996" s="367">
        <v>11</v>
      </c>
      <c r="F996" s="370"/>
      <c r="G996" s="368"/>
      <c r="H996" s="368"/>
      <c r="I996" s="368"/>
      <c r="J996" s="368"/>
      <c r="K996" s="370"/>
      <c r="L996" s="370"/>
      <c r="M996" s="370"/>
      <c r="N996" s="372"/>
      <c r="O996" s="372"/>
      <c r="P996" s="380"/>
      <c r="Q996" s="374"/>
      <c r="R996" s="381"/>
      <c r="S996" s="379"/>
      <c r="T996" s="366"/>
      <c r="U996" s="366"/>
      <c r="V996" s="366"/>
      <c r="W996" s="366"/>
    </row>
    <row r="997" spans="1:23">
      <c r="A997" s="1410"/>
      <c r="B997" s="1413"/>
      <c r="C997" s="845" t="s">
        <v>995</v>
      </c>
      <c r="D997" s="875" t="str">
        <f>B985&amp;C997</f>
        <v>A127n</v>
      </c>
      <c r="E997" s="367">
        <v>12</v>
      </c>
      <c r="F997" s="370"/>
      <c r="G997" s="368"/>
      <c r="H997" s="368"/>
      <c r="I997" s="368"/>
      <c r="J997" s="368"/>
      <c r="K997" s="370"/>
      <c r="L997" s="370"/>
      <c r="M997" s="370"/>
      <c r="N997" s="372"/>
      <c r="O997" s="372"/>
      <c r="P997" s="380"/>
      <c r="Q997" s="374"/>
      <c r="R997" s="381"/>
      <c r="S997" s="361"/>
      <c r="T997" s="361"/>
      <c r="U997" s="361"/>
      <c r="V997" s="366"/>
      <c r="W997" s="366"/>
    </row>
    <row r="998" spans="1:23">
      <c r="A998" s="1410"/>
      <c r="B998" s="1413"/>
      <c r="C998" s="845" t="s">
        <v>471</v>
      </c>
      <c r="D998" s="875" t="str">
        <f>B985&amp;C998</f>
        <v>A127x</v>
      </c>
      <c r="E998" s="367">
        <v>13</v>
      </c>
      <c r="F998" s="370"/>
      <c r="G998" s="368"/>
      <c r="H998" s="368"/>
      <c r="I998" s="368"/>
      <c r="J998" s="368"/>
      <c r="K998" s="370"/>
      <c r="L998" s="370"/>
      <c r="M998" s="370"/>
      <c r="N998" s="382"/>
      <c r="O998" s="372"/>
      <c r="P998" s="380"/>
      <c r="Q998" s="381"/>
      <c r="R998" s="381"/>
      <c r="S998" s="361"/>
      <c r="T998" s="361"/>
      <c r="U998" s="361"/>
      <c r="V998" s="366"/>
      <c r="W998" s="366"/>
    </row>
    <row r="999" spans="1:23">
      <c r="A999" s="1410"/>
      <c r="B999" s="1413"/>
      <c r="C999" s="845" t="s">
        <v>732</v>
      </c>
      <c r="D999" s="875" t="str">
        <f>B985&amp;C999</f>
        <v>A127y</v>
      </c>
      <c r="E999" s="367">
        <v>14</v>
      </c>
      <c r="F999" s="370"/>
      <c r="G999" s="368"/>
      <c r="H999" s="368"/>
      <c r="I999" s="368"/>
      <c r="J999" s="368"/>
      <c r="K999" s="370"/>
      <c r="L999" s="370"/>
      <c r="M999" s="370"/>
      <c r="N999" s="382"/>
      <c r="O999" s="372"/>
      <c r="P999" s="380"/>
      <c r="Q999" s="381"/>
      <c r="R999" s="381"/>
      <c r="S999" s="361"/>
      <c r="T999" s="361"/>
      <c r="U999" s="362"/>
      <c r="V999" s="366"/>
      <c r="W999" s="366"/>
    </row>
    <row r="1000" spans="1:23">
      <c r="A1000" s="1411"/>
      <c r="B1000" s="1414"/>
      <c r="C1000" s="846" t="s">
        <v>996</v>
      </c>
      <c r="D1000" s="876" t="str">
        <f>B985&amp;C1000</f>
        <v>A127z</v>
      </c>
      <c r="E1000" s="847">
        <v>15</v>
      </c>
      <c r="F1000" s="370"/>
      <c r="G1000" s="368"/>
      <c r="H1000" s="368"/>
      <c r="I1000" s="368"/>
      <c r="J1000" s="368"/>
      <c r="K1000" s="370"/>
      <c r="L1000" s="370"/>
      <c r="M1000" s="370"/>
      <c r="N1000" s="850"/>
      <c r="O1000" s="851"/>
      <c r="P1000" s="380"/>
      <c r="Q1000" s="852"/>
      <c r="R1000" s="383"/>
      <c r="S1000" s="361"/>
      <c r="T1000" s="832"/>
      <c r="U1000" s="830"/>
      <c r="V1000" s="366"/>
      <c r="W1000" s="366"/>
    </row>
    <row r="1001" spans="1:23">
      <c r="A1001" s="1400" t="s">
        <v>939</v>
      </c>
      <c r="B1001" s="1400"/>
      <c r="C1001" s="827"/>
      <c r="D1001" s="871"/>
      <c r="E1001" s="1400" t="s">
        <v>177</v>
      </c>
      <c r="F1001" s="1400" t="s">
        <v>18</v>
      </c>
      <c r="G1001" s="1389" t="s">
        <v>19</v>
      </c>
      <c r="H1001" s="1390"/>
      <c r="I1001" s="1389" t="s">
        <v>22</v>
      </c>
      <c r="J1001" s="1390"/>
      <c r="K1001" s="1393" t="s">
        <v>26</v>
      </c>
      <c r="L1001" s="1390"/>
      <c r="M1001" s="1389" t="s">
        <v>392</v>
      </c>
      <c r="N1001" s="1390"/>
      <c r="O1001" s="1389" t="s">
        <v>28</v>
      </c>
      <c r="P1001" s="1393"/>
      <c r="Q1001" s="1390"/>
      <c r="R1001" s="1400" t="s">
        <v>36</v>
      </c>
      <c r="S1001" s="361"/>
      <c r="T1001" s="361">
        <f>MAX(J1005:J1019)-MIN(I1005:I1019)</f>
        <v>0.94791666666666663</v>
      </c>
      <c r="U1001" s="361"/>
      <c r="V1001" s="853" t="str">
        <f t="shared" ref="V1001" si="108">B1005</f>
        <v>A32</v>
      </c>
      <c r="W1001" s="361">
        <f t="shared" ref="W1001" si="109">COUNTIF(K1006:K1020,"&gt;0")</f>
        <v>4</v>
      </c>
    </row>
    <row r="1002" spans="1:23">
      <c r="A1002" s="1401"/>
      <c r="B1002" s="1401"/>
      <c r="C1002" s="828"/>
      <c r="D1002" s="872"/>
      <c r="E1002" s="1401"/>
      <c r="F1002" s="1401"/>
      <c r="G1002" s="1391"/>
      <c r="H1002" s="1392"/>
      <c r="I1002" s="1391"/>
      <c r="J1002" s="1392"/>
      <c r="K1002" s="1394"/>
      <c r="L1002" s="1392"/>
      <c r="M1002" s="1391"/>
      <c r="N1002" s="1392"/>
      <c r="O1002" s="1391"/>
      <c r="P1002" s="1394"/>
      <c r="Q1002" s="1392"/>
      <c r="R1002" s="1401"/>
      <c r="S1002" s="361"/>
      <c r="T1002" s="361"/>
      <c r="U1002" s="361"/>
      <c r="V1002" s="361"/>
      <c r="W1002" s="361"/>
    </row>
    <row r="1003" spans="1:23">
      <c r="A1003" s="1401"/>
      <c r="B1003" s="1401"/>
      <c r="C1003" s="828"/>
      <c r="D1003" s="872"/>
      <c r="E1003" s="1401"/>
      <c r="F1003" s="1401"/>
      <c r="G1003" s="1400" t="s">
        <v>20</v>
      </c>
      <c r="H1003" s="1400" t="s">
        <v>21</v>
      </c>
      <c r="I1003" s="1400" t="s">
        <v>361</v>
      </c>
      <c r="J1003" s="1400" t="s">
        <v>353</v>
      </c>
      <c r="K1003" s="1400" t="s">
        <v>23</v>
      </c>
      <c r="L1003" s="1400" t="s">
        <v>24</v>
      </c>
      <c r="M1003" s="1400" t="s">
        <v>27</v>
      </c>
      <c r="N1003" s="1400" t="s">
        <v>178</v>
      </c>
      <c r="O1003" s="1400" t="s">
        <v>1</v>
      </c>
      <c r="P1003" s="1400" t="s">
        <v>29</v>
      </c>
      <c r="Q1003" s="1400" t="s">
        <v>33</v>
      </c>
      <c r="R1003" s="1401"/>
      <c r="S1003" s="361"/>
      <c r="T1003" s="361" t="s">
        <v>39</v>
      </c>
      <c r="U1003" s="362">
        <f>VLOOKUP(B1005,'Thong tin'!$A:$M,13,0)</f>
        <v>1200</v>
      </c>
      <c r="V1003" s="361"/>
      <c r="W1003" s="361"/>
    </row>
    <row r="1004" spans="1:23">
      <c r="A1004" s="1402"/>
      <c r="B1004" s="1402"/>
      <c r="C1004" s="829"/>
      <c r="D1004" s="873"/>
      <c r="E1004" s="1402"/>
      <c r="F1004" s="1402"/>
      <c r="G1004" s="1402"/>
      <c r="H1004" s="1402"/>
      <c r="I1004" s="1402"/>
      <c r="J1004" s="1402"/>
      <c r="K1004" s="1402"/>
      <c r="L1004" s="1402"/>
      <c r="M1004" s="1402"/>
      <c r="N1004" s="1402"/>
      <c r="O1004" s="1402"/>
      <c r="P1004" s="1402"/>
      <c r="Q1004" s="1402"/>
      <c r="R1004" s="1402"/>
      <c r="S1004" s="361"/>
      <c r="T1004" s="1399" t="s">
        <v>393</v>
      </c>
      <c r="U1004" s="1397">
        <f>VLOOKUP(B1005,DT.NK!$B:$AZ,45,0)</f>
        <v>32.299999999999997</v>
      </c>
      <c r="V1004" s="361"/>
      <c r="W1004" s="361"/>
    </row>
    <row r="1005" spans="1:23">
      <c r="A1005" s="1409">
        <f>A985+1</f>
        <v>51</v>
      </c>
      <c r="B1005" s="1412" t="s">
        <v>642</v>
      </c>
      <c r="C1005" s="844" t="s">
        <v>983</v>
      </c>
      <c r="D1005" s="874" t="str">
        <f>B1005&amp;C1005</f>
        <v>A32a</v>
      </c>
      <c r="E1005" s="363"/>
      <c r="F1005" s="364"/>
      <c r="G1005" s="364"/>
      <c r="H1005" s="364"/>
      <c r="I1005" s="364"/>
      <c r="J1005" s="364"/>
      <c r="K1005" s="364"/>
      <c r="L1005" s="364"/>
      <c r="M1005" s="674"/>
      <c r="N1005" s="670"/>
      <c r="O1005" s="670">
        <f>U1004</f>
        <v>32.299999999999997</v>
      </c>
      <c r="P1005" s="670">
        <f>O1005</f>
        <v>32.299999999999997</v>
      </c>
      <c r="Q1005" s="670">
        <v>0</v>
      </c>
      <c r="R1005" s="365"/>
      <c r="S1005" s="366"/>
      <c r="T1005" s="1399"/>
      <c r="U1005" s="1398"/>
      <c r="V1005" s="361"/>
      <c r="W1005" s="361"/>
    </row>
    <row r="1006" spans="1:23">
      <c r="A1006" s="1410"/>
      <c r="B1006" s="1413"/>
      <c r="C1006" s="845" t="s">
        <v>984</v>
      </c>
      <c r="D1006" s="875" t="str">
        <f>B1005&amp;C1006</f>
        <v>A32b</v>
      </c>
      <c r="E1006" s="367">
        <v>1</v>
      </c>
      <c r="F1006" s="669" t="s">
        <v>981</v>
      </c>
      <c r="G1006" s="369">
        <v>0.88888888888888884</v>
      </c>
      <c r="H1006" s="368">
        <v>0.92708333333333337</v>
      </c>
      <c r="I1006" s="369">
        <v>0.9375</v>
      </c>
      <c r="J1006" s="368">
        <v>0.94444444444444453</v>
      </c>
      <c r="K1006" s="669">
        <v>10</v>
      </c>
      <c r="L1006" s="669">
        <v>19</v>
      </c>
      <c r="M1006" s="675">
        <v>29.3</v>
      </c>
      <c r="N1006" s="671">
        <f>IF(M1006-P1006&gt;0,M1006-P1006,0)</f>
        <v>2.9000000000000021</v>
      </c>
      <c r="O1006" s="671">
        <f>O1005-K1006/(PI()*(U1003/2000)^2)</f>
        <v>23.458058717116923</v>
      </c>
      <c r="P1006" s="672">
        <v>26.4</v>
      </c>
      <c r="Q1006" s="673">
        <f>ABS(O1006-P1006)</f>
        <v>2.9419412828830751</v>
      </c>
      <c r="R1006" s="375" t="s">
        <v>188</v>
      </c>
      <c r="S1006" s="366"/>
      <c r="T1006" s="376"/>
      <c r="U1006" s="376"/>
      <c r="V1006" s="366"/>
      <c r="W1006" s="366"/>
    </row>
    <row r="1007" spans="1:23">
      <c r="A1007" s="1410"/>
      <c r="B1007" s="1413"/>
      <c r="C1007" s="845" t="s">
        <v>985</v>
      </c>
      <c r="D1007" s="875" t="str">
        <f>B1005&amp;C1007</f>
        <v>A32c</v>
      </c>
      <c r="E1007" s="367">
        <v>2</v>
      </c>
      <c r="F1007" s="669" t="s">
        <v>1019</v>
      </c>
      <c r="G1007" s="369">
        <v>0.90277777777777779</v>
      </c>
      <c r="H1007" s="368">
        <v>0.93055555555555547</v>
      </c>
      <c r="I1007" s="369">
        <v>0.94791666666666663</v>
      </c>
      <c r="J1007" s="368">
        <v>0.95486111111111116</v>
      </c>
      <c r="K1007" s="669">
        <v>10</v>
      </c>
      <c r="L1007" s="669">
        <v>19.5</v>
      </c>
      <c r="M1007" s="675">
        <v>23.3</v>
      </c>
      <c r="N1007" s="671">
        <f>IF(M1007-P1007&gt;0,M1007-P1007,0)</f>
        <v>3</v>
      </c>
      <c r="O1007" s="671">
        <f>O1006-K1007/(PI()*(U1003/2000)^2)</f>
        <v>14.61611743423385</v>
      </c>
      <c r="P1007" s="672">
        <v>20.3</v>
      </c>
      <c r="Q1007" s="673">
        <f>ABS(O1007-P1007)</f>
        <v>5.6838825657661509</v>
      </c>
      <c r="R1007" s="375" t="s">
        <v>188</v>
      </c>
      <c r="S1007" s="366"/>
      <c r="T1007" s="376"/>
      <c r="U1007" s="376"/>
      <c r="V1007" s="366"/>
      <c r="W1007" s="366"/>
    </row>
    <row r="1008" spans="1:23">
      <c r="A1008" s="1410"/>
      <c r="B1008" s="1413"/>
      <c r="C1008" s="845" t="s">
        <v>986</v>
      </c>
      <c r="D1008" s="875" t="str">
        <f>B1005&amp;C1008</f>
        <v>A32d</v>
      </c>
      <c r="E1008" s="367">
        <v>3</v>
      </c>
      <c r="F1008" s="669" t="s">
        <v>982</v>
      </c>
      <c r="G1008" s="369">
        <v>0.91666666666666663</v>
      </c>
      <c r="H1008" s="368">
        <v>0.9375</v>
      </c>
      <c r="I1008" s="369">
        <v>0.95833333333333337</v>
      </c>
      <c r="J1008" s="368">
        <v>0.96527777777777779</v>
      </c>
      <c r="K1008" s="669">
        <v>10</v>
      </c>
      <c r="L1008" s="669">
        <v>20</v>
      </c>
      <c r="M1008" s="675">
        <v>16.7</v>
      </c>
      <c r="N1008" s="671">
        <f>IF(M1008-P1008&gt;0,M1008-P1008,0)</f>
        <v>4.6999999999999993</v>
      </c>
      <c r="O1008" s="671">
        <f>O1007-K1008/(PI()*(U1003/2000)^2)</f>
        <v>5.7741761513507761</v>
      </c>
      <c r="P1008" s="672">
        <v>12</v>
      </c>
      <c r="Q1008" s="673">
        <f>ABS(O1008-P1008)</f>
        <v>6.2258238486492239</v>
      </c>
      <c r="R1008" s="375" t="s">
        <v>188</v>
      </c>
      <c r="S1008" s="366"/>
      <c r="T1008" s="376"/>
      <c r="U1008" s="376"/>
      <c r="V1008" s="366"/>
      <c r="W1008" s="366"/>
    </row>
    <row r="1009" spans="1:23">
      <c r="A1009" s="1410"/>
      <c r="B1009" s="1413"/>
      <c r="C1009" s="845" t="s">
        <v>987</v>
      </c>
      <c r="D1009" s="875" t="str">
        <f>B1005&amp;C1009</f>
        <v>A32e</v>
      </c>
      <c r="E1009" s="367">
        <v>4</v>
      </c>
      <c r="F1009" s="669" t="s">
        <v>1014</v>
      </c>
      <c r="G1009" s="369">
        <v>0.97916666666666663</v>
      </c>
      <c r="H1009" s="368">
        <v>1.0416666666666666E-2</v>
      </c>
      <c r="I1009" s="369">
        <v>1.7361111111111112E-2</v>
      </c>
      <c r="J1009" s="368">
        <v>2.0833333333333332E-2</v>
      </c>
      <c r="K1009" s="669">
        <v>8</v>
      </c>
      <c r="L1009" s="370">
        <v>18.5</v>
      </c>
      <c r="M1009" s="675">
        <v>16.7</v>
      </c>
      <c r="N1009" s="671">
        <f>IF(M1009-P1009&gt;0,M1009-P1009,0)</f>
        <v>10</v>
      </c>
      <c r="O1009" s="671">
        <f>O1008-K1009/(PI()*(U1003/2000)^2)</f>
        <v>-1.2993768749556835</v>
      </c>
      <c r="P1009" s="373">
        <v>6.7</v>
      </c>
      <c r="Q1009" s="673">
        <f>ABS(O1009-P1009)</f>
        <v>7.9993768749556837</v>
      </c>
      <c r="R1009" s="375"/>
      <c r="S1009" s="366"/>
      <c r="T1009" s="376"/>
      <c r="U1009" s="376"/>
      <c r="V1009" s="366"/>
      <c r="W1009" s="366"/>
    </row>
    <row r="1010" spans="1:23">
      <c r="A1010" s="1410"/>
      <c r="B1010" s="1413"/>
      <c r="C1010" s="845" t="s">
        <v>988</v>
      </c>
      <c r="D1010" s="875" t="str">
        <f>B1005&amp;C1010</f>
        <v>A32f</v>
      </c>
      <c r="E1010" s="367">
        <v>5</v>
      </c>
      <c r="F1010" s="669"/>
      <c r="G1010" s="369"/>
      <c r="H1010" s="368"/>
      <c r="I1010" s="369"/>
      <c r="J1010" s="368"/>
      <c r="K1010" s="669"/>
      <c r="L1010" s="370"/>
      <c r="M1010" s="371"/>
      <c r="N1010" s="671"/>
      <c r="O1010" s="671"/>
      <c r="P1010" s="373"/>
      <c r="Q1010" s="673"/>
      <c r="R1010" s="377"/>
      <c r="S1010" s="366" t="s">
        <v>190</v>
      </c>
      <c r="T1010" s="376"/>
      <c r="U1010" s="376"/>
      <c r="V1010" s="366"/>
      <c r="W1010" s="366"/>
    </row>
    <row r="1011" spans="1:23">
      <c r="A1011" s="1410"/>
      <c r="B1011" s="1413"/>
      <c r="C1011" s="845" t="s">
        <v>989</v>
      </c>
      <c r="D1011" s="875" t="str">
        <f>B1005&amp;C1011</f>
        <v>A32g</v>
      </c>
      <c r="E1011" s="367">
        <v>6</v>
      </c>
      <c r="F1011" s="669"/>
      <c r="G1011" s="369"/>
      <c r="H1011" s="368"/>
      <c r="I1011" s="369"/>
      <c r="J1011" s="368"/>
      <c r="K1011" s="669"/>
      <c r="L1011" s="370"/>
      <c r="M1011" s="371"/>
      <c r="N1011" s="671"/>
      <c r="O1011" s="671"/>
      <c r="P1011" s="373"/>
      <c r="Q1011" s="673"/>
      <c r="R1011" s="375"/>
      <c r="S1011" s="366" t="s">
        <v>190</v>
      </c>
      <c r="T1011" s="366"/>
      <c r="U1011" s="366"/>
      <c r="V1011" s="366"/>
      <c r="W1011" s="366"/>
    </row>
    <row r="1012" spans="1:23">
      <c r="A1012" s="1410"/>
      <c r="B1012" s="1413"/>
      <c r="C1012" s="845" t="s">
        <v>990</v>
      </c>
      <c r="D1012" s="875" t="str">
        <f>B1005&amp;C1012</f>
        <v>A32h</v>
      </c>
      <c r="E1012" s="367">
        <v>7</v>
      </c>
      <c r="F1012" s="669"/>
      <c r="G1012" s="368"/>
      <c r="H1012" s="368"/>
      <c r="I1012" s="368"/>
      <c r="J1012" s="368"/>
      <c r="K1012" s="669"/>
      <c r="L1012" s="370"/>
      <c r="M1012" s="371"/>
      <c r="N1012" s="671"/>
      <c r="O1012" s="671"/>
      <c r="P1012" s="373"/>
      <c r="Q1012" s="673"/>
      <c r="R1012" s="377"/>
      <c r="S1012" s="366" t="s">
        <v>190</v>
      </c>
      <c r="T1012" s="366"/>
      <c r="U1012" s="366"/>
      <c r="V1012" s="366"/>
      <c r="W1012" s="366"/>
    </row>
    <row r="1013" spans="1:23">
      <c r="A1013" s="1410"/>
      <c r="B1013" s="1413"/>
      <c r="C1013" s="845" t="s">
        <v>991</v>
      </c>
      <c r="D1013" s="875" t="str">
        <f>B1005&amp;C1013</f>
        <v>A32i</v>
      </c>
      <c r="E1013" s="367">
        <v>8</v>
      </c>
      <c r="F1013" s="669"/>
      <c r="G1013" s="368"/>
      <c r="H1013" s="368"/>
      <c r="I1013" s="368"/>
      <c r="J1013" s="368"/>
      <c r="K1013" s="370"/>
      <c r="L1013" s="370"/>
      <c r="M1013" s="371"/>
      <c r="N1013" s="671"/>
      <c r="O1013" s="671"/>
      <c r="P1013" s="373"/>
      <c r="Q1013" s="673"/>
      <c r="R1013" s="378"/>
      <c r="S1013" s="366"/>
      <c r="T1013" s="366"/>
      <c r="U1013" s="366"/>
      <c r="V1013" s="366"/>
      <c r="W1013" s="366"/>
    </row>
    <row r="1014" spans="1:23">
      <c r="A1014" s="1410"/>
      <c r="B1014" s="1413"/>
      <c r="C1014" s="845" t="s">
        <v>992</v>
      </c>
      <c r="D1014" s="875" t="str">
        <f>B1005&amp;C1014</f>
        <v>A32k</v>
      </c>
      <c r="E1014" s="367">
        <v>9</v>
      </c>
      <c r="F1014" s="370"/>
      <c r="G1014" s="368"/>
      <c r="H1014" s="368"/>
      <c r="I1014" s="368"/>
      <c r="J1014" s="368"/>
      <c r="K1014" s="370"/>
      <c r="L1014" s="370"/>
      <c r="M1014" s="371"/>
      <c r="N1014" s="372"/>
      <c r="O1014" s="372"/>
      <c r="P1014" s="373"/>
      <c r="Q1014" s="374"/>
      <c r="R1014" s="378"/>
      <c r="S1014" s="379"/>
      <c r="T1014" s="366"/>
      <c r="U1014" s="366"/>
      <c r="V1014" s="366"/>
      <c r="W1014" s="366"/>
    </row>
    <row r="1015" spans="1:23">
      <c r="A1015" s="1410"/>
      <c r="B1015" s="1413"/>
      <c r="C1015" s="845" t="s">
        <v>993</v>
      </c>
      <c r="D1015" s="875" t="str">
        <f>B1005&amp;C1015</f>
        <v>A32l</v>
      </c>
      <c r="E1015" s="367">
        <v>10</v>
      </c>
      <c r="F1015" s="370"/>
      <c r="G1015" s="368"/>
      <c r="H1015" s="368"/>
      <c r="I1015" s="368"/>
      <c r="J1015" s="368"/>
      <c r="K1015" s="370"/>
      <c r="L1015" s="370"/>
      <c r="M1015" s="370"/>
      <c r="N1015" s="372"/>
      <c r="O1015" s="372"/>
      <c r="P1015" s="373"/>
      <c r="Q1015" s="374"/>
      <c r="R1015" s="378"/>
      <c r="S1015" s="379"/>
      <c r="T1015" s="366"/>
      <c r="U1015" s="366"/>
      <c r="V1015" s="366"/>
      <c r="W1015" s="366"/>
    </row>
    <row r="1016" spans="1:23">
      <c r="A1016" s="1410"/>
      <c r="B1016" s="1413"/>
      <c r="C1016" s="845" t="s">
        <v>994</v>
      </c>
      <c r="D1016" s="875" t="str">
        <f>B1005&amp;C1016</f>
        <v>A32m</v>
      </c>
      <c r="E1016" s="367">
        <v>11</v>
      </c>
      <c r="F1016" s="370"/>
      <c r="G1016" s="368"/>
      <c r="H1016" s="368"/>
      <c r="I1016" s="368"/>
      <c r="J1016" s="368"/>
      <c r="K1016" s="370"/>
      <c r="L1016" s="370"/>
      <c r="M1016" s="370"/>
      <c r="N1016" s="372"/>
      <c r="O1016" s="372"/>
      <c r="P1016" s="380"/>
      <c r="Q1016" s="374"/>
      <c r="R1016" s="381"/>
      <c r="S1016" s="379"/>
      <c r="T1016" s="366"/>
      <c r="U1016" s="366"/>
      <c r="V1016" s="366"/>
      <c r="W1016" s="366"/>
    </row>
    <row r="1017" spans="1:23">
      <c r="A1017" s="1410"/>
      <c r="B1017" s="1413"/>
      <c r="C1017" s="845" t="s">
        <v>995</v>
      </c>
      <c r="D1017" s="875" t="str">
        <f>B1005&amp;C1017</f>
        <v>A32n</v>
      </c>
      <c r="E1017" s="367">
        <v>12</v>
      </c>
      <c r="F1017" s="370"/>
      <c r="G1017" s="368"/>
      <c r="H1017" s="368"/>
      <c r="I1017" s="368"/>
      <c r="J1017" s="368"/>
      <c r="K1017" s="370"/>
      <c r="L1017" s="370"/>
      <c r="M1017" s="370"/>
      <c r="N1017" s="372"/>
      <c r="O1017" s="372"/>
      <c r="P1017" s="380"/>
      <c r="Q1017" s="374"/>
      <c r="R1017" s="381"/>
      <c r="S1017" s="361"/>
      <c r="T1017" s="361"/>
      <c r="U1017" s="361"/>
      <c r="V1017" s="366"/>
      <c r="W1017" s="366"/>
    </row>
    <row r="1018" spans="1:23">
      <c r="A1018" s="1410"/>
      <c r="B1018" s="1413"/>
      <c r="C1018" s="845" t="s">
        <v>471</v>
      </c>
      <c r="D1018" s="875" t="str">
        <f>B1005&amp;C1018</f>
        <v>A32x</v>
      </c>
      <c r="E1018" s="367">
        <v>13</v>
      </c>
      <c r="F1018" s="370"/>
      <c r="G1018" s="368"/>
      <c r="H1018" s="368"/>
      <c r="I1018" s="368"/>
      <c r="J1018" s="368"/>
      <c r="K1018" s="370"/>
      <c r="L1018" s="370"/>
      <c r="M1018" s="370"/>
      <c r="N1018" s="382"/>
      <c r="O1018" s="372"/>
      <c r="P1018" s="380"/>
      <c r="Q1018" s="381"/>
      <c r="R1018" s="381"/>
      <c r="S1018" s="361"/>
      <c r="T1018" s="361"/>
      <c r="U1018" s="361"/>
      <c r="V1018" s="366"/>
      <c r="W1018" s="366"/>
    </row>
    <row r="1019" spans="1:23">
      <c r="A1019" s="1410"/>
      <c r="B1019" s="1413"/>
      <c r="C1019" s="845" t="s">
        <v>732</v>
      </c>
      <c r="D1019" s="875" t="str">
        <f>B1005&amp;C1019</f>
        <v>A32y</v>
      </c>
      <c r="E1019" s="367">
        <v>14</v>
      </c>
      <c r="F1019" s="370"/>
      <c r="G1019" s="368"/>
      <c r="H1019" s="368"/>
      <c r="I1019" s="368"/>
      <c r="J1019" s="368"/>
      <c r="K1019" s="370"/>
      <c r="L1019" s="370"/>
      <c r="M1019" s="370"/>
      <c r="N1019" s="382"/>
      <c r="O1019" s="372"/>
      <c r="P1019" s="380"/>
      <c r="Q1019" s="381"/>
      <c r="R1019" s="381"/>
      <c r="S1019" s="361"/>
      <c r="T1019" s="361"/>
      <c r="U1019" s="362"/>
      <c r="V1019" s="366"/>
      <c r="W1019" s="366"/>
    </row>
    <row r="1020" spans="1:23">
      <c r="A1020" s="1411"/>
      <c r="B1020" s="1414"/>
      <c r="C1020" s="846" t="s">
        <v>996</v>
      </c>
      <c r="D1020" s="876" t="str">
        <f>B1005&amp;C1020</f>
        <v>A32z</v>
      </c>
      <c r="E1020" s="847">
        <v>15</v>
      </c>
      <c r="F1020" s="370"/>
      <c r="G1020" s="368"/>
      <c r="H1020" s="368"/>
      <c r="I1020" s="368"/>
      <c r="J1020" s="368"/>
      <c r="K1020" s="370"/>
      <c r="L1020" s="370"/>
      <c r="M1020" s="370"/>
      <c r="N1020" s="850"/>
      <c r="O1020" s="851"/>
      <c r="P1020" s="380"/>
      <c r="Q1020" s="852"/>
      <c r="R1020" s="383"/>
      <c r="S1020" s="361"/>
      <c r="T1020" s="832"/>
      <c r="U1020" s="830"/>
      <c r="V1020" s="366"/>
      <c r="W1020" s="366"/>
    </row>
    <row r="1021" spans="1:23">
      <c r="A1021" s="1400" t="s">
        <v>939</v>
      </c>
      <c r="B1021" s="1400"/>
      <c r="C1021" s="827"/>
      <c r="D1021" s="871"/>
      <c r="E1021" s="1400" t="s">
        <v>177</v>
      </c>
      <c r="F1021" s="1400" t="s">
        <v>18</v>
      </c>
      <c r="G1021" s="1389" t="s">
        <v>19</v>
      </c>
      <c r="H1021" s="1390"/>
      <c r="I1021" s="1389" t="s">
        <v>22</v>
      </c>
      <c r="J1021" s="1390"/>
      <c r="K1021" s="1393" t="s">
        <v>26</v>
      </c>
      <c r="L1021" s="1390"/>
      <c r="M1021" s="1389" t="s">
        <v>392</v>
      </c>
      <c r="N1021" s="1390"/>
      <c r="O1021" s="1389" t="s">
        <v>28</v>
      </c>
      <c r="P1021" s="1393"/>
      <c r="Q1021" s="1390"/>
      <c r="R1021" s="1400" t="s">
        <v>36</v>
      </c>
      <c r="S1021" s="361"/>
      <c r="T1021" s="361">
        <f>MAX(J1025:J1039)-MIN(I1025:I1039)</f>
        <v>0.15625</v>
      </c>
      <c r="U1021" s="361"/>
      <c r="V1021" s="853" t="str">
        <f t="shared" ref="V1021" si="110">B1025</f>
        <v>A123</v>
      </c>
      <c r="W1021" s="361">
        <f t="shared" ref="W1021" si="111">COUNTIF(K1026:K1040,"&gt;0")</f>
        <v>3</v>
      </c>
    </row>
    <row r="1022" spans="1:23">
      <c r="A1022" s="1401"/>
      <c r="B1022" s="1401"/>
      <c r="C1022" s="828"/>
      <c r="D1022" s="872"/>
      <c r="E1022" s="1401"/>
      <c r="F1022" s="1401"/>
      <c r="G1022" s="1391"/>
      <c r="H1022" s="1392"/>
      <c r="I1022" s="1391"/>
      <c r="J1022" s="1392"/>
      <c r="K1022" s="1394"/>
      <c r="L1022" s="1392"/>
      <c r="M1022" s="1391"/>
      <c r="N1022" s="1392"/>
      <c r="O1022" s="1391"/>
      <c r="P1022" s="1394"/>
      <c r="Q1022" s="1392"/>
      <c r="R1022" s="1401"/>
      <c r="S1022" s="361"/>
      <c r="T1022" s="361"/>
      <c r="U1022" s="361"/>
      <c r="V1022" s="361"/>
      <c r="W1022" s="361"/>
    </row>
    <row r="1023" spans="1:23">
      <c r="A1023" s="1401"/>
      <c r="B1023" s="1401"/>
      <c r="C1023" s="828"/>
      <c r="D1023" s="872"/>
      <c r="E1023" s="1401"/>
      <c r="F1023" s="1401"/>
      <c r="G1023" s="1400" t="s">
        <v>20</v>
      </c>
      <c r="H1023" s="1400" t="s">
        <v>21</v>
      </c>
      <c r="I1023" s="1400" t="s">
        <v>361</v>
      </c>
      <c r="J1023" s="1400" t="s">
        <v>353</v>
      </c>
      <c r="K1023" s="1400" t="s">
        <v>23</v>
      </c>
      <c r="L1023" s="1400" t="s">
        <v>24</v>
      </c>
      <c r="M1023" s="1400" t="s">
        <v>27</v>
      </c>
      <c r="N1023" s="1400" t="s">
        <v>178</v>
      </c>
      <c r="O1023" s="1400" t="s">
        <v>1</v>
      </c>
      <c r="P1023" s="1400" t="s">
        <v>29</v>
      </c>
      <c r="Q1023" s="1400" t="s">
        <v>33</v>
      </c>
      <c r="R1023" s="1401"/>
      <c r="S1023" s="361"/>
      <c r="T1023" s="361" t="s">
        <v>39</v>
      </c>
      <c r="U1023" s="362">
        <f>VLOOKUP(B1025,'Thong tin'!$A:$M,13,0)</f>
        <v>1200</v>
      </c>
      <c r="V1023" s="361"/>
      <c r="W1023" s="361"/>
    </row>
    <row r="1024" spans="1:23">
      <c r="A1024" s="1402"/>
      <c r="B1024" s="1402"/>
      <c r="C1024" s="829"/>
      <c r="D1024" s="873"/>
      <c r="E1024" s="1402"/>
      <c r="F1024" s="1402"/>
      <c r="G1024" s="1402"/>
      <c r="H1024" s="1402"/>
      <c r="I1024" s="1402"/>
      <c r="J1024" s="1402"/>
      <c r="K1024" s="1402"/>
      <c r="L1024" s="1402"/>
      <c r="M1024" s="1402"/>
      <c r="N1024" s="1402"/>
      <c r="O1024" s="1402"/>
      <c r="P1024" s="1402"/>
      <c r="Q1024" s="1402"/>
      <c r="R1024" s="1402"/>
      <c r="S1024" s="361"/>
      <c r="T1024" s="1399" t="s">
        <v>393</v>
      </c>
      <c r="U1024" s="1397">
        <f>VLOOKUP(B1025,DT.NK!$B:$AZ,45,0)</f>
        <v>23.9</v>
      </c>
      <c r="V1024" s="361"/>
      <c r="W1024" s="361"/>
    </row>
    <row r="1025" spans="1:23">
      <c r="A1025" s="1409">
        <f>A1005+1</f>
        <v>52</v>
      </c>
      <c r="B1025" s="1412" t="s">
        <v>649</v>
      </c>
      <c r="C1025" s="844" t="s">
        <v>983</v>
      </c>
      <c r="D1025" s="874" t="str">
        <f>B1025&amp;C1025</f>
        <v>A123a</v>
      </c>
      <c r="E1025" s="363"/>
      <c r="F1025" s="364"/>
      <c r="G1025" s="364"/>
      <c r="H1025" s="364"/>
      <c r="I1025" s="364"/>
      <c r="J1025" s="364"/>
      <c r="K1025" s="364"/>
      <c r="L1025" s="364"/>
      <c r="M1025" s="674"/>
      <c r="N1025" s="670"/>
      <c r="O1025" s="670">
        <f>U1024</f>
        <v>23.9</v>
      </c>
      <c r="P1025" s="670">
        <f>O1025</f>
        <v>23.9</v>
      </c>
      <c r="Q1025" s="670">
        <v>0</v>
      </c>
      <c r="R1025" s="365"/>
      <c r="S1025" s="366"/>
      <c r="T1025" s="1399"/>
      <c r="U1025" s="1398"/>
      <c r="V1025" s="361"/>
      <c r="W1025" s="361"/>
    </row>
    <row r="1026" spans="1:23">
      <c r="A1026" s="1410"/>
      <c r="B1026" s="1413"/>
      <c r="C1026" s="845" t="s">
        <v>984</v>
      </c>
      <c r="D1026" s="875" t="str">
        <f>B1025&amp;C1026</f>
        <v>A123b</v>
      </c>
      <c r="E1026" s="367">
        <v>1</v>
      </c>
      <c r="F1026" s="669" t="s">
        <v>1019</v>
      </c>
      <c r="G1026" s="369">
        <v>7.2916666666666671E-2</v>
      </c>
      <c r="H1026" s="368">
        <v>0.1076388888888889</v>
      </c>
      <c r="I1026" s="369">
        <v>0.11458333333333333</v>
      </c>
      <c r="J1026" s="368">
        <v>0.12152777777777778</v>
      </c>
      <c r="K1026" s="669">
        <v>10</v>
      </c>
      <c r="L1026" s="669">
        <v>19</v>
      </c>
      <c r="M1026" s="675">
        <v>22.9</v>
      </c>
      <c r="N1026" s="671">
        <f>IF(M1026-P1026&gt;0,M1026-P1026,0)</f>
        <v>5.879999999999999</v>
      </c>
      <c r="O1026" s="671">
        <f>O1025-K1026/(PI()*(U1023/2000)^2)</f>
        <v>15.058058717116925</v>
      </c>
      <c r="P1026" s="672">
        <v>17.02</v>
      </c>
      <c r="Q1026" s="673">
        <f>ABS(O1026-P1026)</f>
        <v>1.9619412828830747</v>
      </c>
      <c r="R1026" s="375" t="s">
        <v>188</v>
      </c>
      <c r="S1026" s="366"/>
      <c r="T1026" s="376"/>
      <c r="U1026" s="376"/>
      <c r="V1026" s="366"/>
      <c r="W1026" s="366"/>
    </row>
    <row r="1027" spans="1:23">
      <c r="A1027" s="1410"/>
      <c r="B1027" s="1413"/>
      <c r="C1027" s="845" t="s">
        <v>985</v>
      </c>
      <c r="D1027" s="875" t="str">
        <f>B1025&amp;C1027</f>
        <v>A123c</v>
      </c>
      <c r="E1027" s="367">
        <v>2</v>
      </c>
      <c r="F1027" s="669" t="s">
        <v>981</v>
      </c>
      <c r="G1027" s="369">
        <v>8.3333333333333329E-2</v>
      </c>
      <c r="H1027" s="368">
        <v>0.125</v>
      </c>
      <c r="I1027" s="369">
        <v>0.21527777777777779</v>
      </c>
      <c r="J1027" s="368">
        <v>0.22222222222222221</v>
      </c>
      <c r="K1027" s="669">
        <v>10</v>
      </c>
      <c r="L1027" s="669">
        <v>20</v>
      </c>
      <c r="M1027" s="675">
        <v>16.600000000000001</v>
      </c>
      <c r="N1027" s="671">
        <f>IF(M1027-P1027&gt;0,M1027-P1027,0)</f>
        <v>6.0000000000000018</v>
      </c>
      <c r="O1027" s="671">
        <f>O1026-K1027/(PI()*(U1023/2000)^2)</f>
        <v>6.2161174342338512</v>
      </c>
      <c r="P1027" s="672">
        <v>10.6</v>
      </c>
      <c r="Q1027" s="673">
        <f>ABS(O1027-P1027)</f>
        <v>4.3838825657661484</v>
      </c>
      <c r="R1027" s="375" t="s">
        <v>188</v>
      </c>
      <c r="S1027" s="366"/>
      <c r="T1027" s="376"/>
      <c r="U1027" s="376"/>
      <c r="V1027" s="366"/>
      <c r="W1027" s="366"/>
    </row>
    <row r="1028" spans="1:23">
      <c r="A1028" s="1410"/>
      <c r="B1028" s="1413"/>
      <c r="C1028" s="845" t="s">
        <v>986</v>
      </c>
      <c r="D1028" s="875" t="str">
        <f>B1025&amp;C1028</f>
        <v>A123d</v>
      </c>
      <c r="E1028" s="367">
        <v>3</v>
      </c>
      <c r="F1028" s="669" t="s">
        <v>1019</v>
      </c>
      <c r="G1028" s="369">
        <v>0.23958333333333334</v>
      </c>
      <c r="H1028" s="368">
        <v>0.2638888888888889</v>
      </c>
      <c r="I1028" s="369">
        <v>0.2673611111111111</v>
      </c>
      <c r="J1028" s="368">
        <v>0.27083333333333331</v>
      </c>
      <c r="K1028" s="669">
        <v>4</v>
      </c>
      <c r="L1028" s="669">
        <v>19.5</v>
      </c>
      <c r="M1028" s="675">
        <v>16.600000000000001</v>
      </c>
      <c r="N1028" s="671">
        <f>IF(M1028-P1028&gt;0,M1028-P1028,0)</f>
        <v>10.000000000000002</v>
      </c>
      <c r="O1028" s="671">
        <f>O1027-K1028/(PI()*(U1023/2000)^2)</f>
        <v>2.6793409210806214</v>
      </c>
      <c r="P1028" s="672">
        <v>6.6</v>
      </c>
      <c r="Q1028" s="673">
        <f>ABS(O1028-P1028)</f>
        <v>3.9206590789193783</v>
      </c>
      <c r="R1028" s="375" t="s">
        <v>188</v>
      </c>
      <c r="S1028" s="366"/>
      <c r="T1028" s="376"/>
      <c r="U1028" s="376"/>
      <c r="V1028" s="366"/>
      <c r="W1028" s="366"/>
    </row>
    <row r="1029" spans="1:23">
      <c r="A1029" s="1410"/>
      <c r="B1029" s="1413"/>
      <c r="C1029" s="845" t="s">
        <v>987</v>
      </c>
      <c r="D1029" s="875" t="str">
        <f>B1025&amp;C1029</f>
        <v>A123e</v>
      </c>
      <c r="E1029" s="367">
        <v>4</v>
      </c>
      <c r="F1029" s="669"/>
      <c r="G1029" s="369"/>
      <c r="H1029" s="368"/>
      <c r="I1029" s="369"/>
      <c r="J1029" s="368"/>
      <c r="K1029" s="669"/>
      <c r="L1029" s="370"/>
      <c r="M1029" s="675"/>
      <c r="N1029" s="671"/>
      <c r="O1029" s="671"/>
      <c r="P1029" s="373"/>
      <c r="Q1029" s="673"/>
      <c r="R1029" s="375"/>
      <c r="S1029" s="366"/>
      <c r="T1029" s="376"/>
      <c r="U1029" s="376"/>
      <c r="V1029" s="366"/>
      <c r="W1029" s="366"/>
    </row>
    <row r="1030" spans="1:23">
      <c r="A1030" s="1410"/>
      <c r="B1030" s="1413"/>
      <c r="C1030" s="845" t="s">
        <v>988</v>
      </c>
      <c r="D1030" s="875" t="str">
        <f>B1025&amp;C1030</f>
        <v>A123f</v>
      </c>
      <c r="E1030" s="367">
        <v>5</v>
      </c>
      <c r="F1030" s="669"/>
      <c r="G1030" s="369"/>
      <c r="H1030" s="368"/>
      <c r="I1030" s="369"/>
      <c r="J1030" s="368"/>
      <c r="K1030" s="669"/>
      <c r="L1030" s="370"/>
      <c r="M1030" s="371"/>
      <c r="N1030" s="671"/>
      <c r="O1030" s="671"/>
      <c r="P1030" s="373"/>
      <c r="Q1030" s="673"/>
      <c r="R1030" s="377"/>
      <c r="S1030" s="366" t="s">
        <v>190</v>
      </c>
      <c r="T1030" s="376"/>
      <c r="U1030" s="376"/>
      <c r="V1030" s="366"/>
      <c r="W1030" s="366"/>
    </row>
    <row r="1031" spans="1:23">
      <c r="A1031" s="1410"/>
      <c r="B1031" s="1413"/>
      <c r="C1031" s="845" t="s">
        <v>989</v>
      </c>
      <c r="D1031" s="875" t="str">
        <f>B1025&amp;C1031</f>
        <v>A123g</v>
      </c>
      <c r="E1031" s="367">
        <v>6</v>
      </c>
      <c r="F1031" s="669"/>
      <c r="G1031" s="369"/>
      <c r="H1031" s="368"/>
      <c r="I1031" s="369"/>
      <c r="J1031" s="368"/>
      <c r="K1031" s="669"/>
      <c r="L1031" s="370"/>
      <c r="M1031" s="371"/>
      <c r="N1031" s="671"/>
      <c r="O1031" s="671"/>
      <c r="P1031" s="373"/>
      <c r="Q1031" s="673"/>
      <c r="R1031" s="375"/>
      <c r="S1031" s="366" t="s">
        <v>190</v>
      </c>
      <c r="T1031" s="366"/>
      <c r="U1031" s="366"/>
      <c r="V1031" s="366"/>
      <c r="W1031" s="366"/>
    </row>
    <row r="1032" spans="1:23">
      <c r="A1032" s="1410"/>
      <c r="B1032" s="1413"/>
      <c r="C1032" s="845" t="s">
        <v>990</v>
      </c>
      <c r="D1032" s="875" t="str">
        <f>B1025&amp;C1032</f>
        <v>A123h</v>
      </c>
      <c r="E1032" s="367">
        <v>7</v>
      </c>
      <c r="F1032" s="669"/>
      <c r="G1032" s="368"/>
      <c r="H1032" s="368"/>
      <c r="I1032" s="368"/>
      <c r="J1032" s="368"/>
      <c r="K1032" s="669"/>
      <c r="L1032" s="370"/>
      <c r="M1032" s="371"/>
      <c r="N1032" s="671"/>
      <c r="O1032" s="671"/>
      <c r="P1032" s="373"/>
      <c r="Q1032" s="673"/>
      <c r="R1032" s="377"/>
      <c r="S1032" s="366" t="s">
        <v>190</v>
      </c>
      <c r="T1032" s="366"/>
      <c r="U1032" s="366"/>
      <c r="V1032" s="366"/>
      <c r="W1032" s="366"/>
    </row>
    <row r="1033" spans="1:23">
      <c r="A1033" s="1410"/>
      <c r="B1033" s="1413"/>
      <c r="C1033" s="845" t="s">
        <v>991</v>
      </c>
      <c r="D1033" s="875" t="str">
        <f>B1025&amp;C1033</f>
        <v>A123i</v>
      </c>
      <c r="E1033" s="367">
        <v>8</v>
      </c>
      <c r="F1033" s="669"/>
      <c r="G1033" s="368"/>
      <c r="H1033" s="368"/>
      <c r="I1033" s="368"/>
      <c r="J1033" s="368"/>
      <c r="K1033" s="370"/>
      <c r="L1033" s="370"/>
      <c r="M1033" s="371"/>
      <c r="N1033" s="671"/>
      <c r="O1033" s="671"/>
      <c r="P1033" s="373"/>
      <c r="Q1033" s="673"/>
      <c r="R1033" s="378"/>
      <c r="S1033" s="366"/>
      <c r="T1033" s="366"/>
      <c r="U1033" s="366"/>
      <c r="V1033" s="366"/>
      <c r="W1033" s="366"/>
    </row>
    <row r="1034" spans="1:23">
      <c r="A1034" s="1410"/>
      <c r="B1034" s="1413"/>
      <c r="C1034" s="845" t="s">
        <v>992</v>
      </c>
      <c r="D1034" s="875" t="str">
        <f>B1025&amp;C1034</f>
        <v>A123k</v>
      </c>
      <c r="E1034" s="367">
        <v>9</v>
      </c>
      <c r="F1034" s="370"/>
      <c r="G1034" s="368"/>
      <c r="H1034" s="368"/>
      <c r="I1034" s="368"/>
      <c r="J1034" s="368"/>
      <c r="K1034" s="370"/>
      <c r="L1034" s="370"/>
      <c r="M1034" s="371"/>
      <c r="N1034" s="372"/>
      <c r="O1034" s="372"/>
      <c r="P1034" s="373"/>
      <c r="Q1034" s="374"/>
      <c r="R1034" s="378"/>
      <c r="S1034" s="379"/>
      <c r="T1034" s="366"/>
      <c r="U1034" s="366"/>
      <c r="V1034" s="366"/>
      <c r="W1034" s="366"/>
    </row>
    <row r="1035" spans="1:23">
      <c r="A1035" s="1410"/>
      <c r="B1035" s="1413"/>
      <c r="C1035" s="845" t="s">
        <v>993</v>
      </c>
      <c r="D1035" s="875" t="str">
        <f>B1025&amp;C1035</f>
        <v>A123l</v>
      </c>
      <c r="E1035" s="367">
        <v>10</v>
      </c>
      <c r="F1035" s="370"/>
      <c r="G1035" s="368"/>
      <c r="H1035" s="368"/>
      <c r="I1035" s="368"/>
      <c r="J1035" s="368"/>
      <c r="K1035" s="370"/>
      <c r="L1035" s="370"/>
      <c r="M1035" s="370"/>
      <c r="N1035" s="372"/>
      <c r="O1035" s="372"/>
      <c r="P1035" s="373"/>
      <c r="Q1035" s="374"/>
      <c r="R1035" s="378"/>
      <c r="S1035" s="379"/>
      <c r="T1035" s="366"/>
      <c r="U1035" s="366"/>
      <c r="V1035" s="366"/>
      <c r="W1035" s="366"/>
    </row>
    <row r="1036" spans="1:23">
      <c r="A1036" s="1410"/>
      <c r="B1036" s="1413"/>
      <c r="C1036" s="845" t="s">
        <v>994</v>
      </c>
      <c r="D1036" s="875" t="str">
        <f>B1025&amp;C1036</f>
        <v>A123m</v>
      </c>
      <c r="E1036" s="367">
        <v>11</v>
      </c>
      <c r="F1036" s="370"/>
      <c r="G1036" s="368"/>
      <c r="H1036" s="368"/>
      <c r="I1036" s="368"/>
      <c r="J1036" s="368"/>
      <c r="K1036" s="370"/>
      <c r="L1036" s="370"/>
      <c r="M1036" s="370"/>
      <c r="N1036" s="372"/>
      <c r="O1036" s="372"/>
      <c r="P1036" s="380"/>
      <c r="Q1036" s="374"/>
      <c r="R1036" s="381"/>
      <c r="S1036" s="379"/>
      <c r="T1036" s="366"/>
      <c r="U1036" s="366"/>
      <c r="V1036" s="366"/>
      <c r="W1036" s="366"/>
    </row>
    <row r="1037" spans="1:23">
      <c r="A1037" s="1410"/>
      <c r="B1037" s="1413"/>
      <c r="C1037" s="845" t="s">
        <v>995</v>
      </c>
      <c r="D1037" s="875" t="str">
        <f>B1025&amp;C1037</f>
        <v>A123n</v>
      </c>
      <c r="E1037" s="367">
        <v>12</v>
      </c>
      <c r="F1037" s="370"/>
      <c r="G1037" s="368"/>
      <c r="H1037" s="368"/>
      <c r="I1037" s="368"/>
      <c r="J1037" s="368"/>
      <c r="K1037" s="370"/>
      <c r="L1037" s="370"/>
      <c r="M1037" s="370"/>
      <c r="N1037" s="372"/>
      <c r="O1037" s="372"/>
      <c r="P1037" s="380"/>
      <c r="Q1037" s="374"/>
      <c r="R1037" s="381"/>
      <c r="S1037" s="361"/>
      <c r="T1037" s="361"/>
      <c r="U1037" s="361"/>
      <c r="V1037" s="366"/>
      <c r="W1037" s="366"/>
    </row>
    <row r="1038" spans="1:23">
      <c r="A1038" s="1410"/>
      <c r="B1038" s="1413"/>
      <c r="C1038" s="845" t="s">
        <v>471</v>
      </c>
      <c r="D1038" s="875" t="str">
        <f>B1025&amp;C1038</f>
        <v>A123x</v>
      </c>
      <c r="E1038" s="367">
        <v>13</v>
      </c>
      <c r="F1038" s="370"/>
      <c r="G1038" s="368"/>
      <c r="H1038" s="368"/>
      <c r="I1038" s="368"/>
      <c r="J1038" s="368"/>
      <c r="K1038" s="370"/>
      <c r="L1038" s="370"/>
      <c r="M1038" s="370"/>
      <c r="N1038" s="382"/>
      <c r="O1038" s="372"/>
      <c r="P1038" s="380"/>
      <c r="Q1038" s="381"/>
      <c r="R1038" s="381"/>
      <c r="S1038" s="361"/>
      <c r="T1038" s="361"/>
      <c r="U1038" s="361"/>
      <c r="V1038" s="366"/>
      <c r="W1038" s="366"/>
    </row>
    <row r="1039" spans="1:23">
      <c r="A1039" s="1410"/>
      <c r="B1039" s="1413"/>
      <c r="C1039" s="845" t="s">
        <v>732</v>
      </c>
      <c r="D1039" s="875" t="str">
        <f>B1025&amp;C1039</f>
        <v>A123y</v>
      </c>
      <c r="E1039" s="367">
        <v>14</v>
      </c>
      <c r="F1039" s="370"/>
      <c r="G1039" s="368"/>
      <c r="H1039" s="368"/>
      <c r="I1039" s="368"/>
      <c r="J1039" s="368"/>
      <c r="K1039" s="370"/>
      <c r="L1039" s="370"/>
      <c r="M1039" s="370"/>
      <c r="N1039" s="382"/>
      <c r="O1039" s="372"/>
      <c r="P1039" s="380"/>
      <c r="Q1039" s="381"/>
      <c r="R1039" s="381"/>
      <c r="S1039" s="361"/>
      <c r="T1039" s="361"/>
      <c r="U1039" s="362"/>
      <c r="V1039" s="366"/>
      <c r="W1039" s="366"/>
    </row>
    <row r="1040" spans="1:23">
      <c r="A1040" s="1411"/>
      <c r="B1040" s="1414"/>
      <c r="C1040" s="846" t="s">
        <v>996</v>
      </c>
      <c r="D1040" s="876" t="str">
        <f>B1025&amp;C1040</f>
        <v>A123z</v>
      </c>
      <c r="E1040" s="847">
        <v>15</v>
      </c>
      <c r="F1040" s="370"/>
      <c r="G1040" s="368"/>
      <c r="H1040" s="368"/>
      <c r="I1040" s="368"/>
      <c r="J1040" s="368"/>
      <c r="K1040" s="370"/>
      <c r="L1040" s="370"/>
      <c r="M1040" s="370"/>
      <c r="N1040" s="850"/>
      <c r="O1040" s="851"/>
      <c r="P1040" s="380"/>
      <c r="Q1040" s="852"/>
      <c r="R1040" s="383"/>
      <c r="S1040" s="361"/>
      <c r="T1040" s="832"/>
      <c r="U1040" s="830"/>
      <c r="V1040" s="366"/>
      <c r="W1040" s="366"/>
    </row>
    <row r="1041" spans="1:23">
      <c r="A1041" s="1400" t="s">
        <v>939</v>
      </c>
      <c r="B1041" s="1400"/>
      <c r="C1041" s="827"/>
      <c r="D1041" s="871"/>
      <c r="E1041" s="1400" t="s">
        <v>177</v>
      </c>
      <c r="F1041" s="1400" t="s">
        <v>18</v>
      </c>
      <c r="G1041" s="1389" t="s">
        <v>19</v>
      </c>
      <c r="H1041" s="1390"/>
      <c r="I1041" s="1389" t="s">
        <v>22</v>
      </c>
      <c r="J1041" s="1390"/>
      <c r="K1041" s="1393" t="s">
        <v>26</v>
      </c>
      <c r="L1041" s="1390"/>
      <c r="M1041" s="1389" t="s">
        <v>392</v>
      </c>
      <c r="N1041" s="1390"/>
      <c r="O1041" s="1389" t="s">
        <v>28</v>
      </c>
      <c r="P1041" s="1393"/>
      <c r="Q1041" s="1390"/>
      <c r="R1041" s="1400" t="s">
        <v>36</v>
      </c>
      <c r="S1041" s="361"/>
      <c r="T1041" s="361">
        <f>MAX(J1045:J1059)-MIN(I1045:I1059)</f>
        <v>2.0833333333333343E-2</v>
      </c>
      <c r="U1041" s="361"/>
      <c r="V1041" s="853" t="str">
        <f t="shared" ref="V1041" si="112">B1045</f>
        <v>A35</v>
      </c>
      <c r="W1041" s="361">
        <f t="shared" ref="W1041" si="113">COUNTIF(K1046:K1060,"&gt;0")</f>
        <v>2</v>
      </c>
    </row>
    <row r="1042" spans="1:23">
      <c r="A1042" s="1401"/>
      <c r="B1042" s="1401"/>
      <c r="C1042" s="828"/>
      <c r="D1042" s="872"/>
      <c r="E1042" s="1401"/>
      <c r="F1042" s="1401"/>
      <c r="G1042" s="1391"/>
      <c r="H1042" s="1392"/>
      <c r="I1042" s="1391"/>
      <c r="J1042" s="1392"/>
      <c r="K1042" s="1394"/>
      <c r="L1042" s="1392"/>
      <c r="M1042" s="1391"/>
      <c r="N1042" s="1392"/>
      <c r="O1042" s="1391"/>
      <c r="P1042" s="1394"/>
      <c r="Q1042" s="1392"/>
      <c r="R1042" s="1401"/>
      <c r="S1042" s="361"/>
      <c r="T1042" s="361"/>
      <c r="U1042" s="361"/>
      <c r="V1042" s="361"/>
      <c r="W1042" s="361"/>
    </row>
    <row r="1043" spans="1:23">
      <c r="A1043" s="1401"/>
      <c r="B1043" s="1401"/>
      <c r="C1043" s="828"/>
      <c r="D1043" s="872"/>
      <c r="E1043" s="1401"/>
      <c r="F1043" s="1401"/>
      <c r="G1043" s="1400" t="s">
        <v>20</v>
      </c>
      <c r="H1043" s="1400" t="s">
        <v>21</v>
      </c>
      <c r="I1043" s="1400" t="s">
        <v>361</v>
      </c>
      <c r="J1043" s="1400" t="s">
        <v>353</v>
      </c>
      <c r="K1043" s="1400" t="s">
        <v>23</v>
      </c>
      <c r="L1043" s="1400" t="s">
        <v>24</v>
      </c>
      <c r="M1043" s="1400" t="s">
        <v>27</v>
      </c>
      <c r="N1043" s="1400" t="s">
        <v>178</v>
      </c>
      <c r="O1043" s="1400" t="s">
        <v>1</v>
      </c>
      <c r="P1043" s="1400" t="s">
        <v>29</v>
      </c>
      <c r="Q1043" s="1400" t="s">
        <v>33</v>
      </c>
      <c r="R1043" s="1401"/>
      <c r="S1043" s="361"/>
      <c r="T1043" s="361" t="s">
        <v>39</v>
      </c>
      <c r="U1043" s="362">
        <f>VLOOKUP(B1045,'Thong tin'!$A:$M,13,0)</f>
        <v>1200</v>
      </c>
      <c r="V1043" s="361"/>
      <c r="W1043" s="361"/>
    </row>
    <row r="1044" spans="1:23">
      <c r="A1044" s="1402"/>
      <c r="B1044" s="1402"/>
      <c r="C1044" s="829"/>
      <c r="D1044" s="873"/>
      <c r="E1044" s="1402"/>
      <c r="F1044" s="1402"/>
      <c r="G1044" s="1402"/>
      <c r="H1044" s="1402"/>
      <c r="I1044" s="1402"/>
      <c r="J1044" s="1402"/>
      <c r="K1044" s="1402"/>
      <c r="L1044" s="1402"/>
      <c r="M1044" s="1402"/>
      <c r="N1044" s="1402"/>
      <c r="O1044" s="1402"/>
      <c r="P1044" s="1402"/>
      <c r="Q1044" s="1402"/>
      <c r="R1044" s="1402"/>
      <c r="S1044" s="361"/>
      <c r="T1044" s="1399" t="s">
        <v>393</v>
      </c>
      <c r="U1044" s="1397">
        <f>VLOOKUP(B1045,DT.NK!$B:$AZ,45,0)</f>
        <v>23.9</v>
      </c>
      <c r="V1044" s="361"/>
      <c r="W1044" s="361"/>
    </row>
    <row r="1045" spans="1:23">
      <c r="A1045" s="1409">
        <f>A1025+1</f>
        <v>53</v>
      </c>
      <c r="B1045" s="1412" t="s">
        <v>656</v>
      </c>
      <c r="C1045" s="844" t="s">
        <v>983</v>
      </c>
      <c r="D1045" s="874" t="str">
        <f>B1045&amp;C1045</f>
        <v>A35a</v>
      </c>
      <c r="E1045" s="363"/>
      <c r="F1045" s="364"/>
      <c r="G1045" s="364"/>
      <c r="H1045" s="364"/>
      <c r="I1045" s="364"/>
      <c r="J1045" s="364"/>
      <c r="K1045" s="364"/>
      <c r="L1045" s="364"/>
      <c r="M1045" s="674"/>
      <c r="N1045" s="670"/>
      <c r="O1045" s="670">
        <f>U1044</f>
        <v>23.9</v>
      </c>
      <c r="P1045" s="670">
        <f>O1045</f>
        <v>23.9</v>
      </c>
      <c r="Q1045" s="670">
        <v>0</v>
      </c>
      <c r="R1045" s="365"/>
      <c r="S1045" s="366"/>
      <c r="T1045" s="1399"/>
      <c r="U1045" s="1398"/>
      <c r="V1045" s="361"/>
      <c r="W1045" s="361"/>
    </row>
    <row r="1046" spans="1:23">
      <c r="A1046" s="1410"/>
      <c r="B1046" s="1413"/>
      <c r="C1046" s="845" t="s">
        <v>984</v>
      </c>
      <c r="D1046" s="875" t="str">
        <f>B1045&amp;C1046</f>
        <v>A35b</v>
      </c>
      <c r="E1046" s="367">
        <v>1</v>
      </c>
      <c r="F1046" s="669" t="s">
        <v>981</v>
      </c>
      <c r="G1046" s="369">
        <v>2.1527777777777781E-2</v>
      </c>
      <c r="H1046" s="368">
        <v>8.6805555555555566E-2</v>
      </c>
      <c r="I1046" s="369">
        <v>9.7222222222222224E-2</v>
      </c>
      <c r="J1046" s="368">
        <v>0.10416666666666667</v>
      </c>
      <c r="K1046" s="669">
        <v>10</v>
      </c>
      <c r="L1046" s="669">
        <v>19</v>
      </c>
      <c r="M1046" s="675">
        <v>22.9</v>
      </c>
      <c r="N1046" s="671">
        <f>IF(M1046-P1046&gt;0,M1046-P1046,0)</f>
        <v>7.8399999999999981</v>
      </c>
      <c r="O1046" s="671">
        <f>O1045-K1046/(PI()*(U1043/2000)^2)</f>
        <v>15.058058717116925</v>
      </c>
      <c r="P1046" s="672">
        <v>15.06</v>
      </c>
      <c r="Q1046" s="673">
        <f>ABS(O1046-P1046)</f>
        <v>1.9412828830756013E-3</v>
      </c>
      <c r="R1046" s="375" t="s">
        <v>188</v>
      </c>
      <c r="S1046" s="366"/>
      <c r="T1046" s="376"/>
      <c r="U1046" s="376"/>
      <c r="V1046" s="366"/>
      <c r="W1046" s="366"/>
    </row>
    <row r="1047" spans="1:23">
      <c r="A1047" s="1410"/>
      <c r="B1047" s="1413"/>
      <c r="C1047" s="845" t="s">
        <v>985</v>
      </c>
      <c r="D1047" s="875" t="str">
        <f>B1045&amp;C1047</f>
        <v>A35c</v>
      </c>
      <c r="E1047" s="367">
        <v>2</v>
      </c>
      <c r="F1047" s="669" t="s">
        <v>1014</v>
      </c>
      <c r="G1047" s="369">
        <v>3.9583333333333331E-2</v>
      </c>
      <c r="H1047" s="368">
        <v>0.10416666666666667</v>
      </c>
      <c r="I1047" s="369">
        <v>0.11458333333333333</v>
      </c>
      <c r="J1047" s="368">
        <v>0.11805555555555557</v>
      </c>
      <c r="K1047" s="669">
        <v>10</v>
      </c>
      <c r="L1047" s="669">
        <v>20</v>
      </c>
      <c r="M1047" s="675">
        <v>22.9</v>
      </c>
      <c r="N1047" s="671">
        <f>IF(M1047-P1047&gt;0,M1047-P1047,0)</f>
        <v>15.899999999999999</v>
      </c>
      <c r="O1047" s="671">
        <f>O1046-K1047/(PI()*(U1043/2000)^2)</f>
        <v>6.2161174342338512</v>
      </c>
      <c r="P1047" s="672">
        <v>7</v>
      </c>
      <c r="Q1047" s="673">
        <f>ABS(O1047-P1047)</f>
        <v>0.78388256576614879</v>
      </c>
      <c r="R1047" s="375" t="s">
        <v>188</v>
      </c>
      <c r="S1047" s="366"/>
      <c r="T1047" s="376"/>
      <c r="U1047" s="376"/>
      <c r="V1047" s="366"/>
      <c r="W1047" s="366"/>
    </row>
    <row r="1048" spans="1:23">
      <c r="A1048" s="1410"/>
      <c r="B1048" s="1413"/>
      <c r="C1048" s="845" t="s">
        <v>986</v>
      </c>
      <c r="D1048" s="875" t="str">
        <f>B1045&amp;C1048</f>
        <v>A35d</v>
      </c>
      <c r="E1048" s="367">
        <v>3</v>
      </c>
      <c r="F1048" s="669"/>
      <c r="G1048" s="369"/>
      <c r="H1048" s="368"/>
      <c r="I1048" s="369"/>
      <c r="J1048" s="368"/>
      <c r="K1048" s="669"/>
      <c r="L1048" s="669"/>
      <c r="M1048" s="675"/>
      <c r="N1048" s="671"/>
      <c r="O1048" s="671"/>
      <c r="P1048" s="672"/>
      <c r="Q1048" s="673"/>
      <c r="R1048" s="375"/>
      <c r="S1048" s="366"/>
      <c r="T1048" s="376"/>
      <c r="U1048" s="376"/>
      <c r="V1048" s="366"/>
      <c r="W1048" s="366"/>
    </row>
    <row r="1049" spans="1:23">
      <c r="A1049" s="1410"/>
      <c r="B1049" s="1413"/>
      <c r="C1049" s="845" t="s">
        <v>987</v>
      </c>
      <c r="D1049" s="875" t="str">
        <f>B1045&amp;C1049</f>
        <v>A35e</v>
      </c>
      <c r="E1049" s="367">
        <v>4</v>
      </c>
      <c r="F1049" s="669"/>
      <c r="G1049" s="369"/>
      <c r="H1049" s="368"/>
      <c r="I1049" s="369"/>
      <c r="J1049" s="368"/>
      <c r="K1049" s="669"/>
      <c r="L1049" s="370"/>
      <c r="M1049" s="675"/>
      <c r="N1049" s="671"/>
      <c r="O1049" s="671"/>
      <c r="P1049" s="373"/>
      <c r="Q1049" s="673"/>
      <c r="R1049" s="375"/>
      <c r="S1049" s="366"/>
      <c r="T1049" s="376"/>
      <c r="U1049" s="376"/>
      <c r="V1049" s="366"/>
      <c r="W1049" s="366"/>
    </row>
    <row r="1050" spans="1:23">
      <c r="A1050" s="1410"/>
      <c r="B1050" s="1413"/>
      <c r="C1050" s="845" t="s">
        <v>988</v>
      </c>
      <c r="D1050" s="875" t="str">
        <f>B1045&amp;C1050</f>
        <v>A35f</v>
      </c>
      <c r="E1050" s="367">
        <v>5</v>
      </c>
      <c r="F1050" s="669"/>
      <c r="G1050" s="369"/>
      <c r="H1050" s="368"/>
      <c r="I1050" s="369"/>
      <c r="J1050" s="368"/>
      <c r="K1050" s="669"/>
      <c r="L1050" s="370"/>
      <c r="M1050" s="371"/>
      <c r="N1050" s="671"/>
      <c r="O1050" s="671"/>
      <c r="P1050" s="373"/>
      <c r="Q1050" s="673"/>
      <c r="R1050" s="377"/>
      <c r="S1050" s="366" t="s">
        <v>190</v>
      </c>
      <c r="T1050" s="376"/>
      <c r="U1050" s="376"/>
      <c r="V1050" s="366"/>
      <c r="W1050" s="366"/>
    </row>
    <row r="1051" spans="1:23">
      <c r="A1051" s="1410"/>
      <c r="B1051" s="1413"/>
      <c r="C1051" s="845" t="s">
        <v>989</v>
      </c>
      <c r="D1051" s="875" t="str">
        <f>B1045&amp;C1051</f>
        <v>A35g</v>
      </c>
      <c r="E1051" s="367">
        <v>6</v>
      </c>
      <c r="F1051" s="669"/>
      <c r="G1051" s="369"/>
      <c r="H1051" s="368"/>
      <c r="I1051" s="369"/>
      <c r="J1051" s="368"/>
      <c r="K1051" s="669"/>
      <c r="L1051" s="370"/>
      <c r="M1051" s="371"/>
      <c r="N1051" s="671"/>
      <c r="O1051" s="671"/>
      <c r="P1051" s="373"/>
      <c r="Q1051" s="673"/>
      <c r="R1051" s="375"/>
      <c r="S1051" s="366" t="s">
        <v>190</v>
      </c>
      <c r="T1051" s="366"/>
      <c r="U1051" s="366"/>
      <c r="V1051" s="366"/>
      <c r="W1051" s="366"/>
    </row>
    <row r="1052" spans="1:23">
      <c r="A1052" s="1410"/>
      <c r="B1052" s="1413"/>
      <c r="C1052" s="845" t="s">
        <v>990</v>
      </c>
      <c r="D1052" s="875" t="str">
        <f>B1045&amp;C1052</f>
        <v>A35h</v>
      </c>
      <c r="E1052" s="367">
        <v>7</v>
      </c>
      <c r="F1052" s="669"/>
      <c r="G1052" s="368"/>
      <c r="H1052" s="368"/>
      <c r="I1052" s="368"/>
      <c r="J1052" s="368"/>
      <c r="K1052" s="669"/>
      <c r="L1052" s="370"/>
      <c r="M1052" s="371"/>
      <c r="N1052" s="671"/>
      <c r="O1052" s="671"/>
      <c r="P1052" s="373"/>
      <c r="Q1052" s="673"/>
      <c r="R1052" s="377"/>
      <c r="S1052" s="366" t="s">
        <v>190</v>
      </c>
      <c r="T1052" s="366"/>
      <c r="U1052" s="366"/>
      <c r="V1052" s="366"/>
      <c r="W1052" s="366"/>
    </row>
    <row r="1053" spans="1:23">
      <c r="A1053" s="1410"/>
      <c r="B1053" s="1413"/>
      <c r="C1053" s="845" t="s">
        <v>991</v>
      </c>
      <c r="D1053" s="875" t="str">
        <f>B1045&amp;C1053</f>
        <v>A35i</v>
      </c>
      <c r="E1053" s="367">
        <v>8</v>
      </c>
      <c r="F1053" s="669"/>
      <c r="G1053" s="368"/>
      <c r="H1053" s="368"/>
      <c r="I1053" s="368"/>
      <c r="J1053" s="368"/>
      <c r="K1053" s="370"/>
      <c r="L1053" s="370"/>
      <c r="M1053" s="371"/>
      <c r="N1053" s="671"/>
      <c r="O1053" s="671"/>
      <c r="P1053" s="373"/>
      <c r="Q1053" s="673"/>
      <c r="R1053" s="378"/>
      <c r="S1053" s="366"/>
      <c r="T1053" s="366"/>
      <c r="U1053" s="366"/>
      <c r="V1053" s="366"/>
      <c r="W1053" s="366"/>
    </row>
    <row r="1054" spans="1:23">
      <c r="A1054" s="1410"/>
      <c r="B1054" s="1413"/>
      <c r="C1054" s="845" t="s">
        <v>992</v>
      </c>
      <c r="D1054" s="875" t="str">
        <f>B1045&amp;C1054</f>
        <v>A35k</v>
      </c>
      <c r="E1054" s="367">
        <v>9</v>
      </c>
      <c r="F1054" s="370"/>
      <c r="G1054" s="368"/>
      <c r="H1054" s="368"/>
      <c r="I1054" s="368"/>
      <c r="J1054" s="368"/>
      <c r="K1054" s="370"/>
      <c r="L1054" s="370"/>
      <c r="M1054" s="371"/>
      <c r="N1054" s="372"/>
      <c r="O1054" s="372"/>
      <c r="P1054" s="373"/>
      <c r="Q1054" s="374"/>
      <c r="R1054" s="378"/>
      <c r="S1054" s="379"/>
      <c r="T1054" s="366"/>
      <c r="U1054" s="366"/>
      <c r="V1054" s="366"/>
      <c r="W1054" s="366"/>
    </row>
    <row r="1055" spans="1:23">
      <c r="A1055" s="1410"/>
      <c r="B1055" s="1413"/>
      <c r="C1055" s="845" t="s">
        <v>993</v>
      </c>
      <c r="D1055" s="875" t="str">
        <f>B1045&amp;C1055</f>
        <v>A35l</v>
      </c>
      <c r="E1055" s="367">
        <v>10</v>
      </c>
      <c r="F1055" s="370"/>
      <c r="G1055" s="368"/>
      <c r="H1055" s="368"/>
      <c r="I1055" s="368"/>
      <c r="J1055" s="368"/>
      <c r="K1055" s="370"/>
      <c r="L1055" s="370"/>
      <c r="M1055" s="370"/>
      <c r="N1055" s="372"/>
      <c r="O1055" s="372"/>
      <c r="P1055" s="373"/>
      <c r="Q1055" s="374"/>
      <c r="R1055" s="378"/>
      <c r="S1055" s="379"/>
      <c r="T1055" s="366"/>
      <c r="U1055" s="366"/>
      <c r="V1055" s="366"/>
      <c r="W1055" s="366"/>
    </row>
    <row r="1056" spans="1:23">
      <c r="A1056" s="1410"/>
      <c r="B1056" s="1413"/>
      <c r="C1056" s="845" t="s">
        <v>994</v>
      </c>
      <c r="D1056" s="875" t="str">
        <f>B1045&amp;C1056</f>
        <v>A35m</v>
      </c>
      <c r="E1056" s="367">
        <v>11</v>
      </c>
      <c r="F1056" s="370"/>
      <c r="G1056" s="368"/>
      <c r="H1056" s="368"/>
      <c r="I1056" s="368"/>
      <c r="J1056" s="368"/>
      <c r="K1056" s="370"/>
      <c r="L1056" s="370"/>
      <c r="M1056" s="370"/>
      <c r="N1056" s="372"/>
      <c r="O1056" s="372"/>
      <c r="P1056" s="380"/>
      <c r="Q1056" s="374"/>
      <c r="R1056" s="381"/>
      <c r="S1056" s="379"/>
      <c r="T1056" s="366"/>
      <c r="U1056" s="366"/>
      <c r="V1056" s="366"/>
      <c r="W1056" s="366"/>
    </row>
    <row r="1057" spans="1:23">
      <c r="A1057" s="1410"/>
      <c r="B1057" s="1413"/>
      <c r="C1057" s="845" t="s">
        <v>995</v>
      </c>
      <c r="D1057" s="875" t="str">
        <f>B1045&amp;C1057</f>
        <v>A35n</v>
      </c>
      <c r="E1057" s="367">
        <v>12</v>
      </c>
      <c r="F1057" s="370"/>
      <c r="G1057" s="368"/>
      <c r="H1057" s="368"/>
      <c r="I1057" s="368"/>
      <c r="J1057" s="368"/>
      <c r="K1057" s="370"/>
      <c r="L1057" s="370"/>
      <c r="M1057" s="370"/>
      <c r="N1057" s="372"/>
      <c r="O1057" s="372"/>
      <c r="P1057" s="380"/>
      <c r="Q1057" s="374"/>
      <c r="R1057" s="381"/>
      <c r="S1057" s="361"/>
      <c r="T1057" s="361"/>
      <c r="U1057" s="361"/>
      <c r="V1057" s="366"/>
      <c r="W1057" s="366"/>
    </row>
    <row r="1058" spans="1:23">
      <c r="A1058" s="1410"/>
      <c r="B1058" s="1413"/>
      <c r="C1058" s="845" t="s">
        <v>471</v>
      </c>
      <c r="D1058" s="875" t="str">
        <f>B1045&amp;C1058</f>
        <v>A35x</v>
      </c>
      <c r="E1058" s="367">
        <v>13</v>
      </c>
      <c r="F1058" s="370"/>
      <c r="G1058" s="368"/>
      <c r="H1058" s="368"/>
      <c r="I1058" s="368"/>
      <c r="J1058" s="368"/>
      <c r="K1058" s="370"/>
      <c r="L1058" s="370"/>
      <c r="M1058" s="370"/>
      <c r="N1058" s="382"/>
      <c r="O1058" s="372"/>
      <c r="P1058" s="380"/>
      <c r="Q1058" s="381"/>
      <c r="R1058" s="381"/>
      <c r="S1058" s="361"/>
      <c r="T1058" s="361"/>
      <c r="U1058" s="361"/>
      <c r="V1058" s="366"/>
      <c r="W1058" s="366"/>
    </row>
    <row r="1059" spans="1:23">
      <c r="A1059" s="1410"/>
      <c r="B1059" s="1413"/>
      <c r="C1059" s="845" t="s">
        <v>732</v>
      </c>
      <c r="D1059" s="875" t="str">
        <f>B1045&amp;C1059</f>
        <v>A35y</v>
      </c>
      <c r="E1059" s="367">
        <v>14</v>
      </c>
      <c r="F1059" s="370"/>
      <c r="G1059" s="368"/>
      <c r="H1059" s="368"/>
      <c r="I1059" s="368"/>
      <c r="J1059" s="368"/>
      <c r="K1059" s="370"/>
      <c r="L1059" s="370"/>
      <c r="M1059" s="370"/>
      <c r="N1059" s="382"/>
      <c r="O1059" s="372"/>
      <c r="P1059" s="380"/>
      <c r="Q1059" s="381"/>
      <c r="R1059" s="381"/>
      <c r="S1059" s="361"/>
      <c r="T1059" s="361"/>
      <c r="U1059" s="362"/>
      <c r="V1059" s="366"/>
      <c r="W1059" s="366"/>
    </row>
    <row r="1060" spans="1:23">
      <c r="A1060" s="1411"/>
      <c r="B1060" s="1414"/>
      <c r="C1060" s="846" t="s">
        <v>996</v>
      </c>
      <c r="D1060" s="876" t="str">
        <f>B1045&amp;C1060</f>
        <v>A35z</v>
      </c>
      <c r="E1060" s="847">
        <v>15</v>
      </c>
      <c r="F1060" s="370"/>
      <c r="G1060" s="368"/>
      <c r="H1060" s="368"/>
      <c r="I1060" s="368"/>
      <c r="J1060" s="368"/>
      <c r="K1060" s="370"/>
      <c r="L1060" s="370"/>
      <c r="M1060" s="370"/>
      <c r="N1060" s="850"/>
      <c r="O1060" s="851"/>
      <c r="P1060" s="380"/>
      <c r="Q1060" s="852"/>
      <c r="R1060" s="383"/>
      <c r="S1060" s="361"/>
      <c r="T1060" s="832"/>
      <c r="U1060" s="830"/>
      <c r="V1060" s="366"/>
      <c r="W1060" s="366"/>
    </row>
    <row r="1061" spans="1:23">
      <c r="A1061" s="1400" t="s">
        <v>939</v>
      </c>
      <c r="B1061" s="1400"/>
      <c r="C1061" s="827"/>
      <c r="D1061" s="871"/>
      <c r="E1061" s="1400" t="s">
        <v>177</v>
      </c>
      <c r="F1061" s="1400" t="s">
        <v>18</v>
      </c>
      <c r="G1061" s="1389" t="s">
        <v>19</v>
      </c>
      <c r="H1061" s="1390"/>
      <c r="I1061" s="1389" t="s">
        <v>22</v>
      </c>
      <c r="J1061" s="1390"/>
      <c r="K1061" s="1393" t="s">
        <v>26</v>
      </c>
      <c r="L1061" s="1390"/>
      <c r="M1061" s="1389" t="s">
        <v>392</v>
      </c>
      <c r="N1061" s="1390"/>
      <c r="O1061" s="1389" t="s">
        <v>28</v>
      </c>
      <c r="P1061" s="1393"/>
      <c r="Q1061" s="1390"/>
      <c r="R1061" s="1400" t="s">
        <v>36</v>
      </c>
      <c r="S1061" s="361"/>
      <c r="T1061" s="361">
        <f>MAX(J1065:J1079)-MIN(I1065:I1079)</f>
        <v>0.9423611111111112</v>
      </c>
      <c r="U1061" s="361"/>
      <c r="V1061" s="853" t="str">
        <f t="shared" ref="V1061" si="114">B1065</f>
        <v>A147</v>
      </c>
      <c r="W1061" s="361">
        <f t="shared" ref="W1061" si="115">COUNTIF(K1066:K1080,"&gt;0")</f>
        <v>4</v>
      </c>
    </row>
    <row r="1062" spans="1:23">
      <c r="A1062" s="1401"/>
      <c r="B1062" s="1401"/>
      <c r="C1062" s="828"/>
      <c r="D1062" s="872"/>
      <c r="E1062" s="1401"/>
      <c r="F1062" s="1401"/>
      <c r="G1062" s="1391"/>
      <c r="H1062" s="1392"/>
      <c r="I1062" s="1391"/>
      <c r="J1062" s="1392"/>
      <c r="K1062" s="1394"/>
      <c r="L1062" s="1392"/>
      <c r="M1062" s="1391"/>
      <c r="N1062" s="1392"/>
      <c r="O1062" s="1391"/>
      <c r="P1062" s="1394"/>
      <c r="Q1062" s="1392"/>
      <c r="R1062" s="1401"/>
      <c r="S1062" s="361"/>
      <c r="T1062" s="361"/>
      <c r="U1062" s="361"/>
      <c r="V1062" s="361"/>
      <c r="W1062" s="361"/>
    </row>
    <row r="1063" spans="1:23">
      <c r="A1063" s="1401"/>
      <c r="B1063" s="1401"/>
      <c r="C1063" s="828"/>
      <c r="D1063" s="872"/>
      <c r="E1063" s="1401"/>
      <c r="F1063" s="1401"/>
      <c r="G1063" s="1400" t="s">
        <v>20</v>
      </c>
      <c r="H1063" s="1400" t="s">
        <v>21</v>
      </c>
      <c r="I1063" s="1400" t="s">
        <v>361</v>
      </c>
      <c r="J1063" s="1400" t="s">
        <v>353</v>
      </c>
      <c r="K1063" s="1400" t="s">
        <v>23</v>
      </c>
      <c r="L1063" s="1400" t="s">
        <v>24</v>
      </c>
      <c r="M1063" s="1400" t="s">
        <v>27</v>
      </c>
      <c r="N1063" s="1400" t="s">
        <v>178</v>
      </c>
      <c r="O1063" s="1400" t="s">
        <v>1</v>
      </c>
      <c r="P1063" s="1400" t="s">
        <v>29</v>
      </c>
      <c r="Q1063" s="1400" t="s">
        <v>33</v>
      </c>
      <c r="R1063" s="1401"/>
      <c r="S1063" s="361"/>
      <c r="T1063" s="361" t="s">
        <v>39</v>
      </c>
      <c r="U1063" s="362">
        <f>VLOOKUP(B1065,'Thong tin'!$A:$M,13,0)</f>
        <v>1200</v>
      </c>
      <c r="V1063" s="361"/>
      <c r="W1063" s="361"/>
    </row>
    <row r="1064" spans="1:23">
      <c r="A1064" s="1402"/>
      <c r="B1064" s="1402"/>
      <c r="C1064" s="829"/>
      <c r="D1064" s="873"/>
      <c r="E1064" s="1402"/>
      <c r="F1064" s="1402"/>
      <c r="G1064" s="1402"/>
      <c r="H1064" s="1402"/>
      <c r="I1064" s="1402"/>
      <c r="J1064" s="1402"/>
      <c r="K1064" s="1402"/>
      <c r="L1064" s="1402"/>
      <c r="M1064" s="1402"/>
      <c r="N1064" s="1402"/>
      <c r="O1064" s="1402"/>
      <c r="P1064" s="1402"/>
      <c r="Q1064" s="1402"/>
      <c r="R1064" s="1402"/>
      <c r="S1064" s="361"/>
      <c r="T1064" s="1399" t="s">
        <v>393</v>
      </c>
      <c r="U1064" s="1397">
        <f>VLOOKUP(B1065,DT.NK!$B:$AZ,45,0)</f>
        <v>31.55</v>
      </c>
      <c r="V1064" s="361"/>
      <c r="W1064" s="361"/>
    </row>
    <row r="1065" spans="1:23">
      <c r="A1065" s="1409">
        <f>A1045+1</f>
        <v>54</v>
      </c>
      <c r="B1065" s="1412" t="s">
        <v>546</v>
      </c>
      <c r="C1065" s="844" t="s">
        <v>983</v>
      </c>
      <c r="D1065" s="874" t="str">
        <f>B1065&amp;C1065</f>
        <v>A147a</v>
      </c>
      <c r="E1065" s="363"/>
      <c r="F1065" s="364"/>
      <c r="G1065" s="364"/>
      <c r="H1065" s="364"/>
      <c r="I1065" s="364"/>
      <c r="J1065" s="364"/>
      <c r="K1065" s="364"/>
      <c r="L1065" s="364"/>
      <c r="M1065" s="674"/>
      <c r="N1065" s="670"/>
      <c r="O1065" s="670">
        <f>U1064</f>
        <v>31.55</v>
      </c>
      <c r="P1065" s="670">
        <f>O1065</f>
        <v>31.55</v>
      </c>
      <c r="Q1065" s="670">
        <v>0</v>
      </c>
      <c r="R1065" s="365"/>
      <c r="S1065" s="366"/>
      <c r="T1065" s="1399"/>
      <c r="U1065" s="1398"/>
      <c r="V1065" s="361"/>
      <c r="W1065" s="361"/>
    </row>
    <row r="1066" spans="1:23">
      <c r="A1066" s="1410"/>
      <c r="B1066" s="1413"/>
      <c r="C1066" s="845" t="s">
        <v>984</v>
      </c>
      <c r="D1066" s="875" t="str">
        <f>B1065&amp;C1066</f>
        <v>A147b</v>
      </c>
      <c r="E1066" s="367">
        <v>1</v>
      </c>
      <c r="F1066" s="669" t="s">
        <v>981</v>
      </c>
      <c r="G1066" s="369">
        <v>0.92152777777777783</v>
      </c>
      <c r="H1066" s="368">
        <v>0.94791666666666663</v>
      </c>
      <c r="I1066" s="369">
        <v>0.95486111111111116</v>
      </c>
      <c r="J1066" s="368">
        <v>0.95972222222222225</v>
      </c>
      <c r="K1066" s="669">
        <v>10</v>
      </c>
      <c r="L1066" s="669">
        <v>19</v>
      </c>
      <c r="M1066" s="675">
        <v>31.55</v>
      </c>
      <c r="N1066" s="671">
        <f>IF(M1066-P1066&gt;0,M1066-P1066,0)</f>
        <v>3.1999999999999993</v>
      </c>
      <c r="O1066" s="671">
        <f>O1065-K1066/(PI()*(U1063/2000)^2)</f>
        <v>22.708058717116927</v>
      </c>
      <c r="P1066" s="672">
        <v>28.35</v>
      </c>
      <c r="Q1066" s="673">
        <f>ABS(O1066-P1066)</f>
        <v>5.6419412828830744</v>
      </c>
      <c r="R1066" s="375" t="s">
        <v>188</v>
      </c>
      <c r="S1066" s="366"/>
      <c r="T1066" s="376"/>
      <c r="U1066" s="376"/>
      <c r="V1066" s="366"/>
      <c r="W1066" s="366"/>
    </row>
    <row r="1067" spans="1:23">
      <c r="A1067" s="1410"/>
      <c r="B1067" s="1413"/>
      <c r="C1067" s="845" t="s">
        <v>985</v>
      </c>
      <c r="D1067" s="875" t="str">
        <f>B1065&amp;C1067</f>
        <v>A147c</v>
      </c>
      <c r="E1067" s="367">
        <v>2</v>
      </c>
      <c r="F1067" s="669" t="s">
        <v>1014</v>
      </c>
      <c r="G1067" s="369">
        <v>0.92708333333333337</v>
      </c>
      <c r="H1067" s="368">
        <v>0.95138888888888884</v>
      </c>
      <c r="I1067" s="369">
        <v>0.96666666666666667</v>
      </c>
      <c r="J1067" s="368">
        <v>0.97222222222222221</v>
      </c>
      <c r="K1067" s="669">
        <v>10</v>
      </c>
      <c r="L1067" s="669">
        <v>19</v>
      </c>
      <c r="M1067" s="675">
        <v>25.25</v>
      </c>
      <c r="N1067" s="671">
        <f>IF(M1067-P1067&gt;0,M1067-P1067,0)</f>
        <v>5</v>
      </c>
      <c r="O1067" s="671">
        <f>O1066-K1067/(PI()*(U1063/2000)^2)</f>
        <v>13.866117434233853</v>
      </c>
      <c r="P1067" s="672">
        <v>20.25</v>
      </c>
      <c r="Q1067" s="673">
        <f>ABS(O1067-P1067)</f>
        <v>6.3838825657661467</v>
      </c>
      <c r="R1067" s="375" t="s">
        <v>188</v>
      </c>
      <c r="S1067" s="366"/>
      <c r="T1067" s="376"/>
      <c r="U1067" s="376"/>
      <c r="V1067" s="366"/>
      <c r="W1067" s="366"/>
    </row>
    <row r="1068" spans="1:23">
      <c r="A1068" s="1410"/>
      <c r="B1068" s="1413"/>
      <c r="C1068" s="845" t="s">
        <v>986</v>
      </c>
      <c r="D1068" s="875" t="str">
        <f>B1065&amp;C1068</f>
        <v>A147d</v>
      </c>
      <c r="E1068" s="367">
        <v>3</v>
      </c>
      <c r="F1068" s="669" t="s">
        <v>1019</v>
      </c>
      <c r="G1068" s="369">
        <v>0.94166666666666676</v>
      </c>
      <c r="H1068" s="368">
        <v>0.96527777777777779</v>
      </c>
      <c r="I1068" s="369">
        <v>0.97916666666666663</v>
      </c>
      <c r="J1068" s="368">
        <v>0.98402777777777783</v>
      </c>
      <c r="K1068" s="669">
        <v>9</v>
      </c>
      <c r="L1068" s="669">
        <v>18.5</v>
      </c>
      <c r="M1068" s="675">
        <v>18.95</v>
      </c>
      <c r="N1068" s="671">
        <f>IF(M1068-P1068&gt;0,M1068-P1068,0)</f>
        <v>6.25</v>
      </c>
      <c r="O1068" s="671">
        <f>O1067-K1068/(PI()*(U1063/2000)^2)</f>
        <v>5.9083702796390867</v>
      </c>
      <c r="P1068" s="672">
        <v>12.7</v>
      </c>
      <c r="Q1068" s="673">
        <f>ABS(O1068-P1068)</f>
        <v>6.7916297203609126</v>
      </c>
      <c r="R1068" s="375" t="s">
        <v>188</v>
      </c>
      <c r="S1068" s="366"/>
      <c r="T1068" s="376"/>
      <c r="U1068" s="376"/>
      <c r="V1068" s="366"/>
      <c r="W1068" s="366"/>
    </row>
    <row r="1069" spans="1:23">
      <c r="A1069" s="1410"/>
      <c r="B1069" s="1413"/>
      <c r="C1069" s="845" t="s">
        <v>987</v>
      </c>
      <c r="D1069" s="875" t="str">
        <f>B1065&amp;C1069</f>
        <v>A147e</v>
      </c>
      <c r="E1069" s="367">
        <v>4</v>
      </c>
      <c r="F1069" s="669" t="s">
        <v>1014</v>
      </c>
      <c r="G1069" s="369">
        <v>1.4583333333333332E-2</v>
      </c>
      <c r="H1069" s="368">
        <v>3.8194444444444441E-2</v>
      </c>
      <c r="I1069" s="369">
        <v>4.1666666666666664E-2</v>
      </c>
      <c r="J1069" s="368">
        <v>4.5138888888888888E-2</v>
      </c>
      <c r="K1069" s="669">
        <v>7</v>
      </c>
      <c r="L1069" s="370">
        <v>19</v>
      </c>
      <c r="M1069" s="675">
        <v>12.65</v>
      </c>
      <c r="N1069" s="671">
        <f>IF(M1069-P1069&gt;0,M1069-P1069,0)</f>
        <v>5.8500000000000005</v>
      </c>
      <c r="O1069" s="671">
        <f>O1068-K1069/(PI()*(U1063/2000)^2)</f>
        <v>-0.28098861837906508</v>
      </c>
      <c r="P1069" s="373">
        <v>6.8</v>
      </c>
      <c r="Q1069" s="673">
        <f>ABS(O1069-P1069)</f>
        <v>7.0809886183790649</v>
      </c>
      <c r="R1069" s="375"/>
      <c r="S1069" s="366"/>
      <c r="T1069" s="376"/>
      <c r="U1069" s="376"/>
      <c r="V1069" s="366"/>
      <c r="W1069" s="366"/>
    </row>
    <row r="1070" spans="1:23">
      <c r="A1070" s="1410"/>
      <c r="B1070" s="1413"/>
      <c r="C1070" s="845" t="s">
        <v>988</v>
      </c>
      <c r="D1070" s="875" t="str">
        <f>B1065&amp;C1070</f>
        <v>A147f</v>
      </c>
      <c r="E1070" s="367">
        <v>5</v>
      </c>
      <c r="F1070" s="669"/>
      <c r="G1070" s="369"/>
      <c r="H1070" s="368"/>
      <c r="I1070" s="369"/>
      <c r="J1070" s="368"/>
      <c r="K1070" s="669"/>
      <c r="L1070" s="370"/>
      <c r="M1070" s="371"/>
      <c r="N1070" s="671"/>
      <c r="O1070" s="671"/>
      <c r="P1070" s="373"/>
      <c r="Q1070" s="673"/>
      <c r="R1070" s="377"/>
      <c r="S1070" s="366" t="s">
        <v>190</v>
      </c>
      <c r="T1070" s="376"/>
      <c r="U1070" s="376"/>
      <c r="V1070" s="366"/>
      <c r="W1070" s="366"/>
    </row>
    <row r="1071" spans="1:23">
      <c r="A1071" s="1410"/>
      <c r="B1071" s="1413"/>
      <c r="C1071" s="845" t="s">
        <v>989</v>
      </c>
      <c r="D1071" s="875" t="str">
        <f>B1065&amp;C1071</f>
        <v>A147g</v>
      </c>
      <c r="E1071" s="367">
        <v>6</v>
      </c>
      <c r="F1071" s="669"/>
      <c r="G1071" s="369"/>
      <c r="H1071" s="368"/>
      <c r="I1071" s="369"/>
      <c r="J1071" s="368"/>
      <c r="K1071" s="669"/>
      <c r="L1071" s="370"/>
      <c r="M1071" s="371"/>
      <c r="N1071" s="671"/>
      <c r="O1071" s="671"/>
      <c r="P1071" s="373"/>
      <c r="Q1071" s="673"/>
      <c r="R1071" s="375"/>
      <c r="S1071" s="366" t="s">
        <v>190</v>
      </c>
      <c r="T1071" s="366"/>
      <c r="U1071" s="366"/>
      <c r="V1071" s="366"/>
      <c r="W1071" s="366"/>
    </row>
    <row r="1072" spans="1:23">
      <c r="A1072" s="1410"/>
      <c r="B1072" s="1413"/>
      <c r="C1072" s="845" t="s">
        <v>990</v>
      </c>
      <c r="D1072" s="875" t="str">
        <f>B1065&amp;C1072</f>
        <v>A147h</v>
      </c>
      <c r="E1072" s="367">
        <v>7</v>
      </c>
      <c r="F1072" s="669"/>
      <c r="G1072" s="368"/>
      <c r="H1072" s="368"/>
      <c r="I1072" s="368"/>
      <c r="J1072" s="368"/>
      <c r="K1072" s="669"/>
      <c r="L1072" s="370"/>
      <c r="M1072" s="371"/>
      <c r="N1072" s="671"/>
      <c r="O1072" s="671"/>
      <c r="P1072" s="373"/>
      <c r="Q1072" s="673"/>
      <c r="R1072" s="377"/>
      <c r="S1072" s="366" t="s">
        <v>190</v>
      </c>
      <c r="T1072" s="366"/>
      <c r="U1072" s="366"/>
      <c r="V1072" s="366"/>
      <c r="W1072" s="366"/>
    </row>
    <row r="1073" spans="1:23">
      <c r="A1073" s="1410"/>
      <c r="B1073" s="1413"/>
      <c r="C1073" s="845" t="s">
        <v>991</v>
      </c>
      <c r="D1073" s="875" t="str">
        <f>B1065&amp;C1073</f>
        <v>A147i</v>
      </c>
      <c r="E1073" s="367">
        <v>8</v>
      </c>
      <c r="F1073" s="669"/>
      <c r="G1073" s="368"/>
      <c r="H1073" s="368"/>
      <c r="I1073" s="368"/>
      <c r="J1073" s="368"/>
      <c r="K1073" s="370"/>
      <c r="L1073" s="370"/>
      <c r="M1073" s="371"/>
      <c r="N1073" s="671"/>
      <c r="O1073" s="671"/>
      <c r="P1073" s="373"/>
      <c r="Q1073" s="673"/>
      <c r="R1073" s="378"/>
      <c r="S1073" s="366"/>
      <c r="T1073" s="366"/>
      <c r="U1073" s="366"/>
      <c r="V1073" s="366"/>
      <c r="W1073" s="366"/>
    </row>
    <row r="1074" spans="1:23">
      <c r="A1074" s="1410"/>
      <c r="B1074" s="1413"/>
      <c r="C1074" s="845" t="s">
        <v>992</v>
      </c>
      <c r="D1074" s="875" t="str">
        <f>B1065&amp;C1074</f>
        <v>A147k</v>
      </c>
      <c r="E1074" s="367">
        <v>9</v>
      </c>
      <c r="F1074" s="370"/>
      <c r="G1074" s="368"/>
      <c r="H1074" s="368"/>
      <c r="I1074" s="368"/>
      <c r="J1074" s="368"/>
      <c r="K1074" s="370"/>
      <c r="L1074" s="370"/>
      <c r="M1074" s="371"/>
      <c r="N1074" s="372"/>
      <c r="O1074" s="372"/>
      <c r="P1074" s="373"/>
      <c r="Q1074" s="374"/>
      <c r="R1074" s="378"/>
      <c r="S1074" s="379"/>
      <c r="T1074" s="366"/>
      <c r="U1074" s="366"/>
      <c r="V1074" s="366"/>
      <c r="W1074" s="366"/>
    </row>
    <row r="1075" spans="1:23">
      <c r="A1075" s="1410"/>
      <c r="B1075" s="1413"/>
      <c r="C1075" s="845" t="s">
        <v>993</v>
      </c>
      <c r="D1075" s="875" t="str">
        <f>B1065&amp;C1075</f>
        <v>A147l</v>
      </c>
      <c r="E1075" s="367">
        <v>10</v>
      </c>
      <c r="F1075" s="370"/>
      <c r="G1075" s="368"/>
      <c r="H1075" s="368"/>
      <c r="I1075" s="368"/>
      <c r="J1075" s="368"/>
      <c r="K1075" s="370"/>
      <c r="L1075" s="370"/>
      <c r="M1075" s="370"/>
      <c r="N1075" s="372"/>
      <c r="O1075" s="372"/>
      <c r="P1075" s="373"/>
      <c r="Q1075" s="374"/>
      <c r="R1075" s="378"/>
      <c r="S1075" s="379"/>
      <c r="T1075" s="366"/>
      <c r="U1075" s="366"/>
      <c r="V1075" s="366"/>
      <c r="W1075" s="366"/>
    </row>
    <row r="1076" spans="1:23">
      <c r="A1076" s="1410"/>
      <c r="B1076" s="1413"/>
      <c r="C1076" s="845" t="s">
        <v>994</v>
      </c>
      <c r="D1076" s="875" t="str">
        <f>B1065&amp;C1076</f>
        <v>A147m</v>
      </c>
      <c r="E1076" s="367">
        <v>11</v>
      </c>
      <c r="F1076" s="370"/>
      <c r="G1076" s="368"/>
      <c r="H1076" s="368"/>
      <c r="I1076" s="368"/>
      <c r="J1076" s="368"/>
      <c r="K1076" s="370"/>
      <c r="L1076" s="370"/>
      <c r="M1076" s="370"/>
      <c r="N1076" s="372"/>
      <c r="O1076" s="372"/>
      <c r="P1076" s="380"/>
      <c r="Q1076" s="374"/>
      <c r="R1076" s="381"/>
      <c r="S1076" s="379"/>
      <c r="T1076" s="366"/>
      <c r="U1076" s="366"/>
      <c r="V1076" s="366"/>
      <c r="W1076" s="366"/>
    </row>
    <row r="1077" spans="1:23">
      <c r="A1077" s="1410"/>
      <c r="B1077" s="1413"/>
      <c r="C1077" s="845" t="s">
        <v>995</v>
      </c>
      <c r="D1077" s="875" t="str">
        <f>B1065&amp;C1077</f>
        <v>A147n</v>
      </c>
      <c r="E1077" s="367">
        <v>12</v>
      </c>
      <c r="F1077" s="370"/>
      <c r="G1077" s="368"/>
      <c r="H1077" s="368"/>
      <c r="I1077" s="368"/>
      <c r="J1077" s="368"/>
      <c r="K1077" s="370"/>
      <c r="L1077" s="370"/>
      <c r="M1077" s="370"/>
      <c r="N1077" s="372"/>
      <c r="O1077" s="372"/>
      <c r="P1077" s="380"/>
      <c r="Q1077" s="374"/>
      <c r="R1077" s="381"/>
      <c r="S1077" s="361"/>
      <c r="T1077" s="361"/>
      <c r="U1077" s="361"/>
      <c r="V1077" s="366"/>
      <c r="W1077" s="366"/>
    </row>
    <row r="1078" spans="1:23">
      <c r="A1078" s="1410"/>
      <c r="B1078" s="1413"/>
      <c r="C1078" s="845" t="s">
        <v>471</v>
      </c>
      <c r="D1078" s="875" t="str">
        <f>B1065&amp;C1078</f>
        <v>A147x</v>
      </c>
      <c r="E1078" s="367">
        <v>13</v>
      </c>
      <c r="F1078" s="370"/>
      <c r="G1078" s="368"/>
      <c r="H1078" s="368"/>
      <c r="I1078" s="368"/>
      <c r="J1078" s="368"/>
      <c r="K1078" s="370"/>
      <c r="L1078" s="370"/>
      <c r="M1078" s="370"/>
      <c r="N1078" s="382"/>
      <c r="O1078" s="372"/>
      <c r="P1078" s="380"/>
      <c r="Q1078" s="381"/>
      <c r="R1078" s="381"/>
      <c r="S1078" s="361"/>
      <c r="T1078" s="361"/>
      <c r="U1078" s="361"/>
      <c r="V1078" s="366"/>
      <c r="W1078" s="366"/>
    </row>
    <row r="1079" spans="1:23">
      <c r="A1079" s="1410"/>
      <c r="B1079" s="1413"/>
      <c r="C1079" s="845" t="s">
        <v>732</v>
      </c>
      <c r="D1079" s="875" t="str">
        <f>B1065&amp;C1079</f>
        <v>A147y</v>
      </c>
      <c r="E1079" s="367">
        <v>14</v>
      </c>
      <c r="F1079" s="370"/>
      <c r="G1079" s="368"/>
      <c r="H1079" s="368"/>
      <c r="I1079" s="368"/>
      <c r="J1079" s="368"/>
      <c r="K1079" s="370"/>
      <c r="L1079" s="370"/>
      <c r="M1079" s="370"/>
      <c r="N1079" s="382"/>
      <c r="O1079" s="372"/>
      <c r="P1079" s="380"/>
      <c r="Q1079" s="381"/>
      <c r="R1079" s="381"/>
      <c r="S1079" s="361"/>
      <c r="T1079" s="361"/>
      <c r="U1079" s="362"/>
      <c r="V1079" s="366"/>
      <c r="W1079" s="366"/>
    </row>
    <row r="1080" spans="1:23">
      <c r="A1080" s="1411"/>
      <c r="B1080" s="1414"/>
      <c r="C1080" s="846" t="s">
        <v>996</v>
      </c>
      <c r="D1080" s="876" t="str">
        <f>B1065&amp;C1080</f>
        <v>A147z</v>
      </c>
      <c r="E1080" s="847">
        <v>15</v>
      </c>
      <c r="F1080" s="370"/>
      <c r="G1080" s="368"/>
      <c r="H1080" s="368"/>
      <c r="I1080" s="368"/>
      <c r="J1080" s="368"/>
      <c r="K1080" s="370"/>
      <c r="L1080" s="370"/>
      <c r="M1080" s="370"/>
      <c r="N1080" s="850"/>
      <c r="O1080" s="851"/>
      <c r="P1080" s="380"/>
      <c r="Q1080" s="852"/>
      <c r="R1080" s="383"/>
      <c r="S1080" s="361"/>
      <c r="T1080" s="832"/>
      <c r="U1080" s="830"/>
      <c r="V1080" s="366"/>
      <c r="W1080" s="366"/>
    </row>
    <row r="1081" spans="1:23">
      <c r="A1081" s="1400" t="s">
        <v>939</v>
      </c>
      <c r="B1081" s="1400"/>
      <c r="C1081" s="827"/>
      <c r="D1081" s="871"/>
      <c r="E1081" s="1400" t="s">
        <v>177</v>
      </c>
      <c r="F1081" s="1400" t="s">
        <v>18</v>
      </c>
      <c r="G1081" s="1389" t="s">
        <v>19</v>
      </c>
      <c r="H1081" s="1390"/>
      <c r="I1081" s="1389" t="s">
        <v>22</v>
      </c>
      <c r="J1081" s="1390"/>
      <c r="K1081" s="1393" t="s">
        <v>26</v>
      </c>
      <c r="L1081" s="1390"/>
      <c r="M1081" s="1389" t="s">
        <v>392</v>
      </c>
      <c r="N1081" s="1390"/>
      <c r="O1081" s="1389" t="s">
        <v>28</v>
      </c>
      <c r="P1081" s="1393"/>
      <c r="Q1081" s="1390"/>
      <c r="R1081" s="1400" t="s">
        <v>36</v>
      </c>
      <c r="S1081" s="361"/>
      <c r="T1081" s="361">
        <f>MAX(J1085:J1099)-MIN(I1085:I1099)</f>
        <v>5.7638888888888878E-2</v>
      </c>
      <c r="U1081" s="361"/>
      <c r="V1081" s="853" t="str">
        <f t="shared" ref="V1081" si="116">B1085</f>
        <v>A36</v>
      </c>
      <c r="W1081" s="361">
        <f t="shared" ref="W1081" si="117">COUNTIF(K1086:K1100,"&gt;0")</f>
        <v>3</v>
      </c>
    </row>
    <row r="1082" spans="1:23">
      <c r="A1082" s="1401"/>
      <c r="B1082" s="1401"/>
      <c r="C1082" s="828"/>
      <c r="D1082" s="872"/>
      <c r="E1082" s="1401"/>
      <c r="F1082" s="1401"/>
      <c r="G1082" s="1391"/>
      <c r="H1082" s="1392"/>
      <c r="I1082" s="1391"/>
      <c r="J1082" s="1392"/>
      <c r="K1082" s="1394"/>
      <c r="L1082" s="1392"/>
      <c r="M1082" s="1391"/>
      <c r="N1082" s="1392"/>
      <c r="O1082" s="1391"/>
      <c r="P1082" s="1394"/>
      <c r="Q1082" s="1392"/>
      <c r="R1082" s="1401"/>
      <c r="S1082" s="361"/>
      <c r="T1082" s="361"/>
      <c r="U1082" s="361"/>
      <c r="V1082" s="361"/>
      <c r="W1082" s="361"/>
    </row>
    <row r="1083" spans="1:23">
      <c r="A1083" s="1401"/>
      <c r="B1083" s="1401"/>
      <c r="C1083" s="828"/>
      <c r="D1083" s="872"/>
      <c r="E1083" s="1401"/>
      <c r="F1083" s="1401"/>
      <c r="G1083" s="1400" t="s">
        <v>20</v>
      </c>
      <c r="H1083" s="1400" t="s">
        <v>21</v>
      </c>
      <c r="I1083" s="1400" t="s">
        <v>361</v>
      </c>
      <c r="J1083" s="1400" t="s">
        <v>353</v>
      </c>
      <c r="K1083" s="1400" t="s">
        <v>23</v>
      </c>
      <c r="L1083" s="1400" t="s">
        <v>24</v>
      </c>
      <c r="M1083" s="1400" t="s">
        <v>27</v>
      </c>
      <c r="N1083" s="1400" t="s">
        <v>178</v>
      </c>
      <c r="O1083" s="1400" t="s">
        <v>1</v>
      </c>
      <c r="P1083" s="1400" t="s">
        <v>29</v>
      </c>
      <c r="Q1083" s="1400" t="s">
        <v>33</v>
      </c>
      <c r="R1083" s="1401"/>
      <c r="S1083" s="361"/>
      <c r="T1083" s="361" t="s">
        <v>39</v>
      </c>
      <c r="U1083" s="362">
        <f>VLOOKUP(B1085,'Thong tin'!$A:$M,13,0)</f>
        <v>1200</v>
      </c>
      <c r="V1083" s="361"/>
      <c r="W1083" s="361"/>
    </row>
    <row r="1084" spans="1:23">
      <c r="A1084" s="1402"/>
      <c r="B1084" s="1402"/>
      <c r="C1084" s="829"/>
      <c r="D1084" s="873"/>
      <c r="E1084" s="1402"/>
      <c r="F1084" s="1402"/>
      <c r="G1084" s="1402"/>
      <c r="H1084" s="1402"/>
      <c r="I1084" s="1402"/>
      <c r="J1084" s="1402"/>
      <c r="K1084" s="1402"/>
      <c r="L1084" s="1402"/>
      <c r="M1084" s="1402"/>
      <c r="N1084" s="1402"/>
      <c r="O1084" s="1402"/>
      <c r="P1084" s="1402"/>
      <c r="Q1084" s="1402"/>
      <c r="R1084" s="1402"/>
      <c r="S1084" s="361"/>
      <c r="T1084" s="1399" t="s">
        <v>393</v>
      </c>
      <c r="U1084" s="1397">
        <f>VLOOKUP(B1085,DT.NK!$B:$AZ,45,0)</f>
        <v>24.1</v>
      </c>
      <c r="V1084" s="361"/>
      <c r="W1084" s="361"/>
    </row>
    <row r="1085" spans="1:23">
      <c r="A1085" s="1409">
        <f>A1065+1</f>
        <v>55</v>
      </c>
      <c r="B1085" s="1412" t="s">
        <v>660</v>
      </c>
      <c r="C1085" s="844" t="s">
        <v>983</v>
      </c>
      <c r="D1085" s="874" t="str">
        <f>B1085&amp;C1085</f>
        <v>A36a</v>
      </c>
      <c r="E1085" s="363"/>
      <c r="F1085" s="364"/>
      <c r="G1085" s="364"/>
      <c r="H1085" s="364"/>
      <c r="I1085" s="364"/>
      <c r="J1085" s="364"/>
      <c r="K1085" s="364"/>
      <c r="L1085" s="364"/>
      <c r="M1085" s="674"/>
      <c r="N1085" s="670"/>
      <c r="O1085" s="670">
        <f>U1084</f>
        <v>24.1</v>
      </c>
      <c r="P1085" s="670">
        <f>O1085</f>
        <v>24.1</v>
      </c>
      <c r="Q1085" s="670">
        <v>0</v>
      </c>
      <c r="R1085" s="365"/>
      <c r="S1085" s="366"/>
      <c r="T1085" s="1399"/>
      <c r="U1085" s="1398"/>
      <c r="V1085" s="361"/>
      <c r="W1085" s="361"/>
    </row>
    <row r="1086" spans="1:23">
      <c r="A1086" s="1410"/>
      <c r="B1086" s="1413"/>
      <c r="C1086" s="845" t="s">
        <v>984</v>
      </c>
      <c r="D1086" s="875" t="str">
        <f>B1085&amp;C1086</f>
        <v>A36b</v>
      </c>
      <c r="E1086" s="367">
        <v>1</v>
      </c>
      <c r="F1086" s="669" t="s">
        <v>1014</v>
      </c>
      <c r="G1086" s="369">
        <v>9.0277777777777776E-2</v>
      </c>
      <c r="H1086" s="368">
        <v>0.125</v>
      </c>
      <c r="I1086" s="369">
        <v>0.1388888888888889</v>
      </c>
      <c r="J1086" s="368">
        <v>0.14583333333333334</v>
      </c>
      <c r="K1086" s="669">
        <v>10</v>
      </c>
      <c r="L1086" s="669">
        <v>19</v>
      </c>
      <c r="M1086" s="675">
        <v>18.95</v>
      </c>
      <c r="N1086" s="671">
        <f>IF(M1086-P1086&gt;0,M1086-P1086,0)</f>
        <v>3.1499999999999986</v>
      </c>
      <c r="O1086" s="671">
        <f>O1085-K1086/(PI()*(U1083/2000)^2)</f>
        <v>15.258058717116928</v>
      </c>
      <c r="P1086" s="672">
        <v>15.8</v>
      </c>
      <c r="Q1086" s="673">
        <f>ABS(O1086-P1086)</f>
        <v>0.54194128288307297</v>
      </c>
      <c r="R1086" s="375" t="s">
        <v>188</v>
      </c>
      <c r="S1086" s="366"/>
      <c r="T1086" s="376"/>
      <c r="U1086" s="376"/>
      <c r="V1086" s="366"/>
      <c r="W1086" s="366"/>
    </row>
    <row r="1087" spans="1:23">
      <c r="A1087" s="1410"/>
      <c r="B1087" s="1413"/>
      <c r="C1087" s="845" t="s">
        <v>985</v>
      </c>
      <c r="D1087" s="875" t="str">
        <f>B1085&amp;C1087</f>
        <v>A36c</v>
      </c>
      <c r="E1087" s="367">
        <v>2</v>
      </c>
      <c r="F1087" s="669" t="s">
        <v>1019</v>
      </c>
      <c r="G1087" s="369">
        <v>9.7222222222222224E-2</v>
      </c>
      <c r="H1087" s="368">
        <v>0.13194444444444445</v>
      </c>
      <c r="I1087" s="369">
        <v>0.15277777777777776</v>
      </c>
      <c r="J1087" s="368">
        <v>0.15972222222222224</v>
      </c>
      <c r="K1087" s="669">
        <v>10</v>
      </c>
      <c r="L1087" s="669">
        <v>19</v>
      </c>
      <c r="M1087" s="675">
        <v>9.5</v>
      </c>
      <c r="N1087" s="671">
        <f>IF(M1087-P1087&gt;0,M1087-P1087,0)</f>
        <v>0.90000000000000036</v>
      </c>
      <c r="O1087" s="671">
        <f>O1086-K1087/(PI()*(U1083/2000)^2)</f>
        <v>6.4161174342338541</v>
      </c>
      <c r="P1087" s="672">
        <v>8.6</v>
      </c>
      <c r="Q1087" s="673">
        <f>ABS(O1087-P1087)</f>
        <v>2.1838825657661456</v>
      </c>
      <c r="R1087" s="375" t="s">
        <v>188</v>
      </c>
      <c r="S1087" s="366"/>
      <c r="T1087" s="376"/>
      <c r="U1087" s="376"/>
      <c r="V1087" s="366"/>
      <c r="W1087" s="366"/>
    </row>
    <row r="1088" spans="1:23">
      <c r="A1088" s="1410"/>
      <c r="B1088" s="1413"/>
      <c r="C1088" s="845" t="s">
        <v>986</v>
      </c>
      <c r="D1088" s="875" t="str">
        <f>B1085&amp;C1088</f>
        <v>A36d</v>
      </c>
      <c r="E1088" s="367">
        <v>3</v>
      </c>
      <c r="F1088" s="669" t="s">
        <v>981</v>
      </c>
      <c r="G1088" s="369">
        <v>0.17013888888888887</v>
      </c>
      <c r="H1088" s="368">
        <v>0.19097222222222221</v>
      </c>
      <c r="I1088" s="369">
        <v>0.19305555555555554</v>
      </c>
      <c r="J1088" s="368">
        <v>0.19652777777777777</v>
      </c>
      <c r="K1088" s="669">
        <v>2</v>
      </c>
      <c r="L1088" s="669">
        <v>18.5</v>
      </c>
      <c r="M1088" s="675">
        <v>9.5</v>
      </c>
      <c r="N1088" s="671">
        <f>IF(M1088-P1088&gt;0,M1088-P1088,0)</f>
        <v>2.8</v>
      </c>
      <c r="O1088" s="671">
        <f>O1087-K1088/(PI()*(U1083/2000)^2)</f>
        <v>4.6477291776572391</v>
      </c>
      <c r="P1088" s="672">
        <v>6.7</v>
      </c>
      <c r="Q1088" s="673">
        <f>ABS(O1088-P1088)</f>
        <v>2.052270822342761</v>
      </c>
      <c r="R1088" s="375"/>
      <c r="S1088" s="366"/>
      <c r="T1088" s="376"/>
      <c r="U1088" s="376"/>
      <c r="V1088" s="366"/>
      <c r="W1088" s="366"/>
    </row>
    <row r="1089" spans="1:23">
      <c r="A1089" s="1410"/>
      <c r="B1089" s="1413"/>
      <c r="C1089" s="845" t="s">
        <v>987</v>
      </c>
      <c r="D1089" s="875" t="str">
        <f>B1085&amp;C1089</f>
        <v>A36e</v>
      </c>
      <c r="E1089" s="367">
        <v>4</v>
      </c>
      <c r="F1089" s="669"/>
      <c r="G1089" s="369"/>
      <c r="H1089" s="368"/>
      <c r="I1089" s="369"/>
      <c r="J1089" s="368"/>
      <c r="K1089" s="669"/>
      <c r="L1089" s="370"/>
      <c r="M1089" s="675"/>
      <c r="N1089" s="671"/>
      <c r="O1089" s="671"/>
      <c r="P1089" s="373"/>
      <c r="Q1089" s="673"/>
      <c r="R1089" s="375"/>
      <c r="S1089" s="366"/>
      <c r="T1089" s="376"/>
      <c r="U1089" s="376"/>
      <c r="V1089" s="366"/>
      <c r="W1089" s="366"/>
    </row>
    <row r="1090" spans="1:23">
      <c r="A1090" s="1410"/>
      <c r="B1090" s="1413"/>
      <c r="C1090" s="845" t="s">
        <v>988</v>
      </c>
      <c r="D1090" s="875" t="str">
        <f>B1085&amp;C1090</f>
        <v>A36f</v>
      </c>
      <c r="E1090" s="367">
        <v>5</v>
      </c>
      <c r="F1090" s="669"/>
      <c r="G1090" s="369"/>
      <c r="H1090" s="368"/>
      <c r="I1090" s="369"/>
      <c r="J1090" s="368"/>
      <c r="K1090" s="669"/>
      <c r="L1090" s="370"/>
      <c r="M1090" s="371"/>
      <c r="N1090" s="671"/>
      <c r="O1090" s="671"/>
      <c r="P1090" s="373"/>
      <c r="Q1090" s="673"/>
      <c r="R1090" s="377"/>
      <c r="S1090" s="366" t="s">
        <v>190</v>
      </c>
      <c r="T1090" s="376"/>
      <c r="U1090" s="376"/>
      <c r="V1090" s="366"/>
      <c r="W1090" s="366"/>
    </row>
    <row r="1091" spans="1:23">
      <c r="A1091" s="1410"/>
      <c r="B1091" s="1413"/>
      <c r="C1091" s="845" t="s">
        <v>989</v>
      </c>
      <c r="D1091" s="875" t="str">
        <f>B1085&amp;C1091</f>
        <v>A36g</v>
      </c>
      <c r="E1091" s="367">
        <v>6</v>
      </c>
      <c r="F1091" s="669"/>
      <c r="G1091" s="369"/>
      <c r="H1091" s="368"/>
      <c r="I1091" s="369"/>
      <c r="J1091" s="368"/>
      <c r="K1091" s="669"/>
      <c r="L1091" s="370"/>
      <c r="M1091" s="371"/>
      <c r="N1091" s="671"/>
      <c r="O1091" s="671"/>
      <c r="P1091" s="373"/>
      <c r="Q1091" s="673"/>
      <c r="R1091" s="375"/>
      <c r="S1091" s="366" t="s">
        <v>190</v>
      </c>
      <c r="T1091" s="366"/>
      <c r="U1091" s="366"/>
      <c r="V1091" s="366"/>
      <c r="W1091" s="366"/>
    </row>
    <row r="1092" spans="1:23">
      <c r="A1092" s="1410"/>
      <c r="B1092" s="1413"/>
      <c r="C1092" s="845" t="s">
        <v>990</v>
      </c>
      <c r="D1092" s="875" t="str">
        <f>B1085&amp;C1092</f>
        <v>A36h</v>
      </c>
      <c r="E1092" s="367">
        <v>7</v>
      </c>
      <c r="F1092" s="669"/>
      <c r="G1092" s="368"/>
      <c r="H1092" s="368"/>
      <c r="I1092" s="368"/>
      <c r="J1092" s="368"/>
      <c r="K1092" s="669"/>
      <c r="L1092" s="370"/>
      <c r="M1092" s="371"/>
      <c r="N1092" s="671"/>
      <c r="O1092" s="671"/>
      <c r="P1092" s="373"/>
      <c r="Q1092" s="673"/>
      <c r="R1092" s="377"/>
      <c r="S1092" s="366" t="s">
        <v>190</v>
      </c>
      <c r="T1092" s="366"/>
      <c r="U1092" s="366"/>
      <c r="V1092" s="366"/>
      <c r="W1092" s="366"/>
    </row>
    <row r="1093" spans="1:23">
      <c r="A1093" s="1410"/>
      <c r="B1093" s="1413"/>
      <c r="C1093" s="845" t="s">
        <v>991</v>
      </c>
      <c r="D1093" s="875" t="str">
        <f>B1085&amp;C1093</f>
        <v>A36i</v>
      </c>
      <c r="E1093" s="367">
        <v>8</v>
      </c>
      <c r="F1093" s="669"/>
      <c r="G1093" s="368"/>
      <c r="H1093" s="368"/>
      <c r="I1093" s="368"/>
      <c r="J1093" s="368"/>
      <c r="K1093" s="370"/>
      <c r="L1093" s="370"/>
      <c r="M1093" s="371"/>
      <c r="N1093" s="671"/>
      <c r="O1093" s="671"/>
      <c r="P1093" s="373"/>
      <c r="Q1093" s="673"/>
      <c r="R1093" s="378"/>
      <c r="S1093" s="366"/>
      <c r="T1093" s="366"/>
      <c r="U1093" s="366"/>
      <c r="V1093" s="366"/>
      <c r="W1093" s="366"/>
    </row>
    <row r="1094" spans="1:23">
      <c r="A1094" s="1410"/>
      <c r="B1094" s="1413"/>
      <c r="C1094" s="845" t="s">
        <v>992</v>
      </c>
      <c r="D1094" s="875" t="str">
        <f>B1085&amp;C1094</f>
        <v>A36k</v>
      </c>
      <c r="E1094" s="367">
        <v>9</v>
      </c>
      <c r="F1094" s="370"/>
      <c r="G1094" s="368"/>
      <c r="H1094" s="368"/>
      <c r="I1094" s="368"/>
      <c r="J1094" s="368"/>
      <c r="K1094" s="370"/>
      <c r="L1094" s="370"/>
      <c r="M1094" s="371"/>
      <c r="N1094" s="372"/>
      <c r="O1094" s="372"/>
      <c r="P1094" s="373"/>
      <c r="Q1094" s="374"/>
      <c r="R1094" s="378"/>
      <c r="S1094" s="379"/>
      <c r="T1094" s="366"/>
      <c r="U1094" s="366"/>
      <c r="V1094" s="366"/>
      <c r="W1094" s="366"/>
    </row>
    <row r="1095" spans="1:23">
      <c r="A1095" s="1410"/>
      <c r="B1095" s="1413"/>
      <c r="C1095" s="845" t="s">
        <v>993</v>
      </c>
      <c r="D1095" s="875" t="str">
        <f>B1085&amp;C1095</f>
        <v>A36l</v>
      </c>
      <c r="E1095" s="367">
        <v>10</v>
      </c>
      <c r="F1095" s="370"/>
      <c r="G1095" s="368"/>
      <c r="H1095" s="368"/>
      <c r="I1095" s="368"/>
      <c r="J1095" s="368"/>
      <c r="K1095" s="370"/>
      <c r="L1095" s="370"/>
      <c r="M1095" s="370"/>
      <c r="N1095" s="372"/>
      <c r="O1095" s="372"/>
      <c r="P1095" s="373"/>
      <c r="Q1095" s="374"/>
      <c r="R1095" s="378"/>
      <c r="S1095" s="379"/>
      <c r="T1095" s="366"/>
      <c r="U1095" s="366"/>
      <c r="V1095" s="366"/>
      <c r="W1095" s="366"/>
    </row>
    <row r="1096" spans="1:23">
      <c r="A1096" s="1410"/>
      <c r="B1096" s="1413"/>
      <c r="C1096" s="845" t="s">
        <v>994</v>
      </c>
      <c r="D1096" s="875" t="str">
        <f>B1085&amp;C1096</f>
        <v>A36m</v>
      </c>
      <c r="E1096" s="367">
        <v>11</v>
      </c>
      <c r="F1096" s="370"/>
      <c r="G1096" s="368"/>
      <c r="H1096" s="368"/>
      <c r="I1096" s="368"/>
      <c r="J1096" s="368"/>
      <c r="K1096" s="370"/>
      <c r="L1096" s="370"/>
      <c r="M1096" s="370"/>
      <c r="N1096" s="372"/>
      <c r="O1096" s="372"/>
      <c r="P1096" s="380"/>
      <c r="Q1096" s="374"/>
      <c r="R1096" s="381"/>
      <c r="S1096" s="379"/>
      <c r="T1096" s="366"/>
      <c r="U1096" s="366"/>
      <c r="V1096" s="366"/>
      <c r="W1096" s="366"/>
    </row>
    <row r="1097" spans="1:23">
      <c r="A1097" s="1410"/>
      <c r="B1097" s="1413"/>
      <c r="C1097" s="845" t="s">
        <v>995</v>
      </c>
      <c r="D1097" s="875" t="str">
        <f>B1085&amp;C1097</f>
        <v>A36n</v>
      </c>
      <c r="E1097" s="367">
        <v>12</v>
      </c>
      <c r="F1097" s="370"/>
      <c r="G1097" s="368"/>
      <c r="H1097" s="368"/>
      <c r="I1097" s="368"/>
      <c r="J1097" s="368"/>
      <c r="K1097" s="370"/>
      <c r="L1097" s="370"/>
      <c r="M1097" s="370"/>
      <c r="N1097" s="372"/>
      <c r="O1097" s="372"/>
      <c r="P1097" s="380"/>
      <c r="Q1097" s="374"/>
      <c r="R1097" s="381"/>
      <c r="S1097" s="361"/>
      <c r="T1097" s="361"/>
      <c r="U1097" s="361"/>
      <c r="V1097" s="366"/>
      <c r="W1097" s="366"/>
    </row>
    <row r="1098" spans="1:23">
      <c r="A1098" s="1410"/>
      <c r="B1098" s="1413"/>
      <c r="C1098" s="845" t="s">
        <v>471</v>
      </c>
      <c r="D1098" s="875" t="str">
        <f>B1085&amp;C1098</f>
        <v>A36x</v>
      </c>
      <c r="E1098" s="367">
        <v>13</v>
      </c>
      <c r="F1098" s="370"/>
      <c r="G1098" s="368"/>
      <c r="H1098" s="368"/>
      <c r="I1098" s="368"/>
      <c r="J1098" s="368"/>
      <c r="K1098" s="370"/>
      <c r="L1098" s="370"/>
      <c r="M1098" s="370"/>
      <c r="N1098" s="382"/>
      <c r="O1098" s="372"/>
      <c r="P1098" s="380"/>
      <c r="Q1098" s="381"/>
      <c r="R1098" s="381"/>
      <c r="S1098" s="361"/>
      <c r="T1098" s="361"/>
      <c r="U1098" s="361"/>
      <c r="V1098" s="366"/>
      <c r="W1098" s="366"/>
    </row>
    <row r="1099" spans="1:23">
      <c r="A1099" s="1410"/>
      <c r="B1099" s="1413"/>
      <c r="C1099" s="845" t="s">
        <v>732</v>
      </c>
      <c r="D1099" s="875" t="str">
        <f>B1085&amp;C1099</f>
        <v>A36y</v>
      </c>
      <c r="E1099" s="367">
        <v>14</v>
      </c>
      <c r="F1099" s="370"/>
      <c r="G1099" s="368"/>
      <c r="H1099" s="368"/>
      <c r="I1099" s="368"/>
      <c r="J1099" s="368"/>
      <c r="K1099" s="370"/>
      <c r="L1099" s="370"/>
      <c r="M1099" s="370"/>
      <c r="N1099" s="382"/>
      <c r="O1099" s="372"/>
      <c r="P1099" s="380"/>
      <c r="Q1099" s="381"/>
      <c r="R1099" s="381"/>
      <c r="S1099" s="361"/>
      <c r="T1099" s="361"/>
      <c r="U1099" s="362"/>
      <c r="V1099" s="366"/>
      <c r="W1099" s="366"/>
    </row>
    <row r="1100" spans="1:23">
      <c r="A1100" s="1411"/>
      <c r="B1100" s="1414"/>
      <c r="C1100" s="846" t="s">
        <v>996</v>
      </c>
      <c r="D1100" s="876" t="str">
        <f>B1085&amp;C1100</f>
        <v>A36z</v>
      </c>
      <c r="E1100" s="847">
        <v>15</v>
      </c>
      <c r="F1100" s="370"/>
      <c r="G1100" s="368"/>
      <c r="H1100" s="368"/>
      <c r="I1100" s="368"/>
      <c r="J1100" s="368"/>
      <c r="K1100" s="370"/>
      <c r="L1100" s="370"/>
      <c r="M1100" s="370"/>
      <c r="N1100" s="850"/>
      <c r="O1100" s="851"/>
      <c r="P1100" s="380"/>
      <c r="Q1100" s="852"/>
      <c r="R1100" s="383"/>
      <c r="S1100" s="361"/>
      <c r="T1100" s="832"/>
      <c r="U1100" s="830"/>
      <c r="V1100" s="366"/>
      <c r="W1100" s="366"/>
    </row>
    <row r="1101" spans="1:23">
      <c r="A1101" s="1400" t="s">
        <v>939</v>
      </c>
      <c r="B1101" s="1400"/>
      <c r="C1101" s="827"/>
      <c r="D1101" s="871"/>
      <c r="E1101" s="1400" t="s">
        <v>177</v>
      </c>
      <c r="F1101" s="1400" t="s">
        <v>18</v>
      </c>
      <c r="G1101" s="1389" t="s">
        <v>19</v>
      </c>
      <c r="H1101" s="1390"/>
      <c r="I1101" s="1389" t="s">
        <v>22</v>
      </c>
      <c r="J1101" s="1390"/>
      <c r="K1101" s="1393" t="s">
        <v>26</v>
      </c>
      <c r="L1101" s="1390"/>
      <c r="M1101" s="1389" t="s">
        <v>392</v>
      </c>
      <c r="N1101" s="1390"/>
      <c r="O1101" s="1389" t="s">
        <v>28</v>
      </c>
      <c r="P1101" s="1393"/>
      <c r="Q1101" s="1390"/>
      <c r="R1101" s="1400" t="s">
        <v>36</v>
      </c>
      <c r="S1101" s="361"/>
      <c r="T1101" s="361">
        <f>MAX(J1105:J1119)-MIN(I1105:I1119)</f>
        <v>5.2083333333333343E-2</v>
      </c>
      <c r="U1101" s="361"/>
      <c r="V1101" s="853" t="str">
        <f t="shared" ref="V1101" si="118">B1105</f>
        <v>A45</v>
      </c>
      <c r="W1101" s="361">
        <f t="shared" ref="W1101" si="119">COUNTIF(K1106:K1120,"&gt;0")</f>
        <v>3</v>
      </c>
    </row>
    <row r="1102" spans="1:23">
      <c r="A1102" s="1401"/>
      <c r="B1102" s="1401"/>
      <c r="C1102" s="828"/>
      <c r="D1102" s="872"/>
      <c r="E1102" s="1401"/>
      <c r="F1102" s="1401"/>
      <c r="G1102" s="1391"/>
      <c r="H1102" s="1392"/>
      <c r="I1102" s="1391"/>
      <c r="J1102" s="1392"/>
      <c r="K1102" s="1394"/>
      <c r="L1102" s="1392"/>
      <c r="M1102" s="1391"/>
      <c r="N1102" s="1392"/>
      <c r="O1102" s="1391"/>
      <c r="P1102" s="1394"/>
      <c r="Q1102" s="1392"/>
      <c r="R1102" s="1401"/>
      <c r="S1102" s="361"/>
      <c r="T1102" s="361"/>
      <c r="U1102" s="361"/>
      <c r="V1102" s="361"/>
      <c r="W1102" s="361"/>
    </row>
    <row r="1103" spans="1:23">
      <c r="A1103" s="1401"/>
      <c r="B1103" s="1401"/>
      <c r="C1103" s="828"/>
      <c r="D1103" s="872"/>
      <c r="E1103" s="1401"/>
      <c r="F1103" s="1401"/>
      <c r="G1103" s="1400" t="s">
        <v>20</v>
      </c>
      <c r="H1103" s="1400" t="s">
        <v>21</v>
      </c>
      <c r="I1103" s="1400" t="s">
        <v>361</v>
      </c>
      <c r="J1103" s="1400" t="s">
        <v>353</v>
      </c>
      <c r="K1103" s="1400" t="s">
        <v>23</v>
      </c>
      <c r="L1103" s="1400" t="s">
        <v>24</v>
      </c>
      <c r="M1103" s="1400" t="s">
        <v>27</v>
      </c>
      <c r="N1103" s="1400" t="s">
        <v>178</v>
      </c>
      <c r="O1103" s="1400" t="s">
        <v>1</v>
      </c>
      <c r="P1103" s="1400" t="s">
        <v>29</v>
      </c>
      <c r="Q1103" s="1400" t="s">
        <v>33</v>
      </c>
      <c r="R1103" s="1401"/>
      <c r="S1103" s="361"/>
      <c r="T1103" s="361" t="s">
        <v>39</v>
      </c>
      <c r="U1103" s="362">
        <f>VLOOKUP(B1105,'Thong tin'!$A:$M,13,0)</f>
        <v>1200</v>
      </c>
      <c r="V1103" s="361"/>
      <c r="W1103" s="361"/>
    </row>
    <row r="1104" spans="1:23">
      <c r="A1104" s="1402"/>
      <c r="B1104" s="1402"/>
      <c r="C1104" s="829"/>
      <c r="D1104" s="873"/>
      <c r="E1104" s="1402"/>
      <c r="F1104" s="1402"/>
      <c r="G1104" s="1402"/>
      <c r="H1104" s="1402"/>
      <c r="I1104" s="1402"/>
      <c r="J1104" s="1402"/>
      <c r="K1104" s="1402"/>
      <c r="L1104" s="1402"/>
      <c r="M1104" s="1402"/>
      <c r="N1104" s="1402"/>
      <c r="O1104" s="1402"/>
      <c r="P1104" s="1402"/>
      <c r="Q1104" s="1402"/>
      <c r="R1104" s="1402"/>
      <c r="S1104" s="361"/>
      <c r="T1104" s="1399" t="s">
        <v>393</v>
      </c>
      <c r="U1104" s="1397">
        <f>VLOOKUP(B1105,DT.NK!$B:$AZ,45,0)</f>
        <v>24.32</v>
      </c>
      <c r="V1104" s="361"/>
      <c r="W1104" s="361"/>
    </row>
    <row r="1105" spans="1:23">
      <c r="A1105" s="1409">
        <f>A1085+1</f>
        <v>56</v>
      </c>
      <c r="B1105" s="1412" t="s">
        <v>702</v>
      </c>
      <c r="C1105" s="844" t="s">
        <v>983</v>
      </c>
      <c r="D1105" s="874" t="str">
        <f>B1105&amp;C1105</f>
        <v>A45a</v>
      </c>
      <c r="E1105" s="363"/>
      <c r="F1105" s="364"/>
      <c r="G1105" s="364"/>
      <c r="H1105" s="364"/>
      <c r="I1105" s="364"/>
      <c r="J1105" s="364"/>
      <c r="K1105" s="364"/>
      <c r="L1105" s="364"/>
      <c r="M1105" s="674"/>
      <c r="N1105" s="670"/>
      <c r="O1105" s="670">
        <f>U1104</f>
        <v>24.32</v>
      </c>
      <c r="P1105" s="670">
        <f>O1105</f>
        <v>24.32</v>
      </c>
      <c r="Q1105" s="670">
        <v>0</v>
      </c>
      <c r="R1105" s="365"/>
      <c r="S1105" s="366"/>
      <c r="T1105" s="1399"/>
      <c r="U1105" s="1398"/>
      <c r="V1105" s="361"/>
      <c r="W1105" s="361"/>
    </row>
    <row r="1106" spans="1:23">
      <c r="A1106" s="1410"/>
      <c r="B1106" s="1413"/>
      <c r="C1106" s="845" t="s">
        <v>984</v>
      </c>
      <c r="D1106" s="875" t="str">
        <f>B1105&amp;C1106</f>
        <v>A45b</v>
      </c>
      <c r="E1106" s="367">
        <v>1</v>
      </c>
      <c r="F1106" s="669" t="s">
        <v>1080</v>
      </c>
      <c r="G1106" s="369">
        <v>4.5138888888888888E-2</v>
      </c>
      <c r="H1106" s="368">
        <v>0.10416666666666667</v>
      </c>
      <c r="I1106" s="369">
        <v>0.13541666666666666</v>
      </c>
      <c r="J1106" s="368">
        <v>0.1388888888888889</v>
      </c>
      <c r="K1106" s="669">
        <v>10</v>
      </c>
      <c r="L1106" s="669">
        <v>19</v>
      </c>
      <c r="M1106" s="675">
        <v>22.32</v>
      </c>
      <c r="N1106" s="671">
        <f>IF(M1106-P1106&gt;0,M1106-P1106,0)</f>
        <v>5.7199999999999989</v>
      </c>
      <c r="O1106" s="671">
        <f>O1105-K1106/(PI()*(U1103/2000)^2)</f>
        <v>15.478058717116927</v>
      </c>
      <c r="P1106" s="672">
        <v>16.600000000000001</v>
      </c>
      <c r="Q1106" s="673">
        <f>ABS(O1106-P1106)</f>
        <v>1.1219412828830748</v>
      </c>
      <c r="R1106" s="375" t="s">
        <v>188</v>
      </c>
      <c r="S1106" s="366"/>
      <c r="T1106" s="376"/>
      <c r="U1106" s="376"/>
      <c r="V1106" s="366"/>
      <c r="W1106" s="366"/>
    </row>
    <row r="1107" spans="1:23">
      <c r="A1107" s="1410"/>
      <c r="B1107" s="1413"/>
      <c r="C1107" s="845" t="s">
        <v>985</v>
      </c>
      <c r="D1107" s="875" t="str">
        <f>B1105&amp;C1107</f>
        <v>A45c</v>
      </c>
      <c r="E1107" s="367">
        <v>2</v>
      </c>
      <c r="F1107" s="669" t="s">
        <v>1007</v>
      </c>
      <c r="G1107" s="369">
        <v>5.5555555555555552E-2</v>
      </c>
      <c r="H1107" s="368">
        <v>0.11458333333333333</v>
      </c>
      <c r="I1107" s="369">
        <v>0.14583333333333334</v>
      </c>
      <c r="J1107" s="368">
        <v>0.14930555555555555</v>
      </c>
      <c r="K1107" s="669">
        <v>10</v>
      </c>
      <c r="L1107" s="669">
        <v>18.5</v>
      </c>
      <c r="M1107" s="675">
        <v>12.87</v>
      </c>
      <c r="N1107" s="671">
        <f>IF(M1107-P1107&gt;0,M1107-P1107,0)</f>
        <v>5.0699999999999994</v>
      </c>
      <c r="O1107" s="671">
        <f>O1106-K1107/(PI()*(U1103/2000)^2)</f>
        <v>6.6361174342338529</v>
      </c>
      <c r="P1107" s="672">
        <v>7.8</v>
      </c>
      <c r="Q1107" s="673">
        <f>ABS(O1107-P1107)</f>
        <v>1.1638825657661469</v>
      </c>
      <c r="R1107" s="375" t="s">
        <v>188</v>
      </c>
      <c r="S1107" s="366"/>
      <c r="T1107" s="376"/>
      <c r="U1107" s="376"/>
      <c r="V1107" s="366"/>
      <c r="W1107" s="366"/>
    </row>
    <row r="1108" spans="1:23">
      <c r="A1108" s="1410"/>
      <c r="B1108" s="1413"/>
      <c r="C1108" s="845" t="s">
        <v>986</v>
      </c>
      <c r="D1108" s="875" t="str">
        <f>B1105&amp;C1108</f>
        <v>A45d</v>
      </c>
      <c r="E1108" s="367">
        <v>3</v>
      </c>
      <c r="F1108" s="669" t="s">
        <v>981</v>
      </c>
      <c r="G1108" s="369">
        <v>0.17152777777777775</v>
      </c>
      <c r="H1108" s="368">
        <v>0.18055555555555555</v>
      </c>
      <c r="I1108" s="369">
        <v>0.18402777777777779</v>
      </c>
      <c r="J1108" s="368">
        <v>0.1875</v>
      </c>
      <c r="K1108" s="669">
        <v>2</v>
      </c>
      <c r="L1108" s="669">
        <v>20</v>
      </c>
      <c r="M1108" s="675">
        <v>12.87</v>
      </c>
      <c r="N1108" s="671">
        <f>IF(M1108-P1108&gt;0,M1108-P1108,0)</f>
        <v>6.0699999999999994</v>
      </c>
      <c r="O1108" s="671">
        <f>O1107-K1108/(PI()*(U1103/2000)^2)</f>
        <v>4.867729177657238</v>
      </c>
      <c r="P1108" s="672">
        <v>6.8</v>
      </c>
      <c r="Q1108" s="673">
        <f>ABS(O1108-P1108)</f>
        <v>1.9322708223427618</v>
      </c>
      <c r="R1108" s="375" t="s">
        <v>188</v>
      </c>
      <c r="S1108" s="366"/>
      <c r="T1108" s="376"/>
      <c r="U1108" s="376"/>
      <c r="V1108" s="366"/>
      <c r="W1108" s="366"/>
    </row>
    <row r="1109" spans="1:23">
      <c r="A1109" s="1410"/>
      <c r="B1109" s="1413"/>
      <c r="C1109" s="845" t="s">
        <v>987</v>
      </c>
      <c r="D1109" s="875" t="str">
        <f>B1105&amp;C1109</f>
        <v>A45e</v>
      </c>
      <c r="E1109" s="367">
        <v>4</v>
      </c>
      <c r="F1109" s="669"/>
      <c r="G1109" s="369"/>
      <c r="H1109" s="368"/>
      <c r="I1109" s="369"/>
      <c r="J1109" s="368"/>
      <c r="K1109" s="669"/>
      <c r="L1109" s="370"/>
      <c r="M1109" s="675"/>
      <c r="N1109" s="671"/>
      <c r="O1109" s="671"/>
      <c r="P1109" s="373"/>
      <c r="Q1109" s="673"/>
      <c r="R1109" s="375"/>
      <c r="S1109" s="366"/>
      <c r="T1109" s="376"/>
      <c r="U1109" s="376"/>
      <c r="V1109" s="366"/>
      <c r="W1109" s="366"/>
    </row>
    <row r="1110" spans="1:23">
      <c r="A1110" s="1410"/>
      <c r="B1110" s="1413"/>
      <c r="C1110" s="845" t="s">
        <v>988</v>
      </c>
      <c r="D1110" s="875" t="str">
        <f>B1105&amp;C1110</f>
        <v>A45f</v>
      </c>
      <c r="E1110" s="367">
        <v>5</v>
      </c>
      <c r="F1110" s="669"/>
      <c r="G1110" s="369"/>
      <c r="H1110" s="368"/>
      <c r="I1110" s="369"/>
      <c r="J1110" s="368"/>
      <c r="K1110" s="669"/>
      <c r="L1110" s="370"/>
      <c r="M1110" s="371"/>
      <c r="N1110" s="671"/>
      <c r="O1110" s="671"/>
      <c r="P1110" s="373"/>
      <c r="Q1110" s="673"/>
      <c r="R1110" s="377"/>
      <c r="S1110" s="366" t="s">
        <v>190</v>
      </c>
      <c r="T1110" s="376"/>
      <c r="U1110" s="376"/>
      <c r="V1110" s="366"/>
      <c r="W1110" s="366"/>
    </row>
    <row r="1111" spans="1:23">
      <c r="A1111" s="1410"/>
      <c r="B1111" s="1413"/>
      <c r="C1111" s="845" t="s">
        <v>989</v>
      </c>
      <c r="D1111" s="875" t="str">
        <f>B1105&amp;C1111</f>
        <v>A45g</v>
      </c>
      <c r="E1111" s="367">
        <v>6</v>
      </c>
      <c r="F1111" s="669"/>
      <c r="G1111" s="369"/>
      <c r="H1111" s="368"/>
      <c r="I1111" s="369"/>
      <c r="J1111" s="368"/>
      <c r="K1111" s="669"/>
      <c r="L1111" s="370"/>
      <c r="M1111" s="371"/>
      <c r="N1111" s="671"/>
      <c r="O1111" s="671"/>
      <c r="P1111" s="373"/>
      <c r="Q1111" s="673"/>
      <c r="R1111" s="375"/>
      <c r="S1111" s="366" t="s">
        <v>190</v>
      </c>
      <c r="T1111" s="366"/>
      <c r="U1111" s="366"/>
      <c r="V1111" s="366"/>
      <c r="W1111" s="366"/>
    </row>
    <row r="1112" spans="1:23">
      <c r="A1112" s="1410"/>
      <c r="B1112" s="1413"/>
      <c r="C1112" s="845" t="s">
        <v>990</v>
      </c>
      <c r="D1112" s="875" t="str">
        <f>B1105&amp;C1112</f>
        <v>A45h</v>
      </c>
      <c r="E1112" s="367">
        <v>7</v>
      </c>
      <c r="F1112" s="669"/>
      <c r="G1112" s="368"/>
      <c r="H1112" s="368"/>
      <c r="I1112" s="368"/>
      <c r="J1112" s="368"/>
      <c r="K1112" s="669"/>
      <c r="L1112" s="370"/>
      <c r="M1112" s="371"/>
      <c r="N1112" s="671"/>
      <c r="O1112" s="671"/>
      <c r="P1112" s="373"/>
      <c r="Q1112" s="673"/>
      <c r="R1112" s="377"/>
      <c r="S1112" s="366" t="s">
        <v>190</v>
      </c>
      <c r="T1112" s="366"/>
      <c r="U1112" s="366"/>
      <c r="V1112" s="366"/>
      <c r="W1112" s="366"/>
    </row>
    <row r="1113" spans="1:23">
      <c r="A1113" s="1410"/>
      <c r="B1113" s="1413"/>
      <c r="C1113" s="845" t="s">
        <v>991</v>
      </c>
      <c r="D1113" s="875" t="str">
        <f>B1105&amp;C1113</f>
        <v>A45i</v>
      </c>
      <c r="E1113" s="367">
        <v>8</v>
      </c>
      <c r="F1113" s="669"/>
      <c r="G1113" s="368"/>
      <c r="H1113" s="368"/>
      <c r="I1113" s="368"/>
      <c r="J1113" s="368"/>
      <c r="K1113" s="370"/>
      <c r="L1113" s="370"/>
      <c r="M1113" s="371"/>
      <c r="N1113" s="671"/>
      <c r="O1113" s="671"/>
      <c r="P1113" s="373"/>
      <c r="Q1113" s="673"/>
      <c r="R1113" s="378"/>
      <c r="S1113" s="366"/>
      <c r="T1113" s="366"/>
      <c r="U1113" s="366"/>
      <c r="V1113" s="366"/>
      <c r="W1113" s="366"/>
    </row>
    <row r="1114" spans="1:23">
      <c r="A1114" s="1410"/>
      <c r="B1114" s="1413"/>
      <c r="C1114" s="845" t="s">
        <v>992</v>
      </c>
      <c r="D1114" s="875" t="str">
        <f>B1105&amp;C1114</f>
        <v>A45k</v>
      </c>
      <c r="E1114" s="367">
        <v>9</v>
      </c>
      <c r="F1114" s="370"/>
      <c r="G1114" s="368"/>
      <c r="H1114" s="368"/>
      <c r="I1114" s="368"/>
      <c r="J1114" s="368"/>
      <c r="K1114" s="370"/>
      <c r="L1114" s="370"/>
      <c r="M1114" s="371"/>
      <c r="N1114" s="372"/>
      <c r="O1114" s="372"/>
      <c r="P1114" s="373"/>
      <c r="Q1114" s="374"/>
      <c r="R1114" s="378"/>
      <c r="S1114" s="379"/>
      <c r="T1114" s="366"/>
      <c r="U1114" s="366"/>
      <c r="V1114" s="366"/>
      <c r="W1114" s="366"/>
    </row>
    <row r="1115" spans="1:23">
      <c r="A1115" s="1410"/>
      <c r="B1115" s="1413"/>
      <c r="C1115" s="845" t="s">
        <v>993</v>
      </c>
      <c r="D1115" s="875" t="str">
        <f>B1105&amp;C1115</f>
        <v>A45l</v>
      </c>
      <c r="E1115" s="367">
        <v>10</v>
      </c>
      <c r="F1115" s="370"/>
      <c r="G1115" s="368"/>
      <c r="H1115" s="368"/>
      <c r="I1115" s="368"/>
      <c r="J1115" s="368"/>
      <c r="K1115" s="370"/>
      <c r="L1115" s="370"/>
      <c r="M1115" s="370"/>
      <c r="N1115" s="372"/>
      <c r="O1115" s="372"/>
      <c r="P1115" s="373"/>
      <c r="Q1115" s="374"/>
      <c r="R1115" s="378"/>
      <c r="S1115" s="379"/>
      <c r="T1115" s="366"/>
      <c r="U1115" s="366"/>
      <c r="V1115" s="366"/>
      <c r="W1115" s="366"/>
    </row>
    <row r="1116" spans="1:23">
      <c r="A1116" s="1410"/>
      <c r="B1116" s="1413"/>
      <c r="C1116" s="845" t="s">
        <v>994</v>
      </c>
      <c r="D1116" s="875" t="str">
        <f>B1105&amp;C1116</f>
        <v>A45m</v>
      </c>
      <c r="E1116" s="367">
        <v>11</v>
      </c>
      <c r="F1116" s="370"/>
      <c r="G1116" s="368"/>
      <c r="H1116" s="368"/>
      <c r="I1116" s="368"/>
      <c r="J1116" s="368"/>
      <c r="K1116" s="370"/>
      <c r="L1116" s="370"/>
      <c r="M1116" s="370"/>
      <c r="N1116" s="372"/>
      <c r="O1116" s="372"/>
      <c r="P1116" s="380"/>
      <c r="Q1116" s="374"/>
      <c r="R1116" s="381"/>
      <c r="S1116" s="379"/>
      <c r="T1116" s="366"/>
      <c r="U1116" s="366"/>
      <c r="V1116" s="366"/>
      <c r="W1116" s="366"/>
    </row>
    <row r="1117" spans="1:23">
      <c r="A1117" s="1410"/>
      <c r="B1117" s="1413"/>
      <c r="C1117" s="845" t="s">
        <v>995</v>
      </c>
      <c r="D1117" s="875" t="str">
        <f>B1105&amp;C1117</f>
        <v>A45n</v>
      </c>
      <c r="E1117" s="367">
        <v>12</v>
      </c>
      <c r="F1117" s="370"/>
      <c r="G1117" s="368"/>
      <c r="H1117" s="368"/>
      <c r="I1117" s="368"/>
      <c r="J1117" s="368"/>
      <c r="K1117" s="370"/>
      <c r="L1117" s="370"/>
      <c r="M1117" s="370"/>
      <c r="N1117" s="372"/>
      <c r="O1117" s="372"/>
      <c r="P1117" s="380"/>
      <c r="Q1117" s="374"/>
      <c r="R1117" s="381"/>
      <c r="S1117" s="361"/>
      <c r="T1117" s="361"/>
      <c r="U1117" s="361"/>
      <c r="V1117" s="366"/>
      <c r="W1117" s="366"/>
    </row>
    <row r="1118" spans="1:23">
      <c r="A1118" s="1410"/>
      <c r="B1118" s="1413"/>
      <c r="C1118" s="845" t="s">
        <v>471</v>
      </c>
      <c r="D1118" s="875" t="str">
        <f>B1105&amp;C1118</f>
        <v>A45x</v>
      </c>
      <c r="E1118" s="367">
        <v>13</v>
      </c>
      <c r="F1118" s="370"/>
      <c r="G1118" s="368"/>
      <c r="H1118" s="368"/>
      <c r="I1118" s="368"/>
      <c r="J1118" s="368"/>
      <c r="K1118" s="370"/>
      <c r="L1118" s="370"/>
      <c r="M1118" s="370"/>
      <c r="N1118" s="382"/>
      <c r="O1118" s="372"/>
      <c r="P1118" s="380"/>
      <c r="Q1118" s="381"/>
      <c r="R1118" s="381"/>
      <c r="S1118" s="361"/>
      <c r="T1118" s="361"/>
      <c r="U1118" s="361"/>
      <c r="V1118" s="366"/>
      <c r="W1118" s="366"/>
    </row>
    <row r="1119" spans="1:23">
      <c r="A1119" s="1410"/>
      <c r="B1119" s="1413"/>
      <c r="C1119" s="845" t="s">
        <v>732</v>
      </c>
      <c r="D1119" s="875" t="str">
        <f>B1105&amp;C1119</f>
        <v>A45y</v>
      </c>
      <c r="E1119" s="367">
        <v>14</v>
      </c>
      <c r="F1119" s="370"/>
      <c r="G1119" s="368"/>
      <c r="H1119" s="368"/>
      <c r="I1119" s="368"/>
      <c r="J1119" s="368"/>
      <c r="K1119" s="370"/>
      <c r="L1119" s="370"/>
      <c r="M1119" s="370"/>
      <c r="N1119" s="382"/>
      <c r="O1119" s="372"/>
      <c r="P1119" s="380"/>
      <c r="Q1119" s="381"/>
      <c r="R1119" s="381"/>
      <c r="S1119" s="361"/>
      <c r="T1119" s="361"/>
      <c r="U1119" s="362"/>
      <c r="V1119" s="366"/>
      <c r="W1119" s="366"/>
    </row>
    <row r="1120" spans="1:23">
      <c r="A1120" s="1411"/>
      <c r="B1120" s="1414"/>
      <c r="C1120" s="846" t="s">
        <v>996</v>
      </c>
      <c r="D1120" s="876" t="str">
        <f>B1105&amp;C1120</f>
        <v>A45z</v>
      </c>
      <c r="E1120" s="847">
        <v>15</v>
      </c>
      <c r="F1120" s="370"/>
      <c r="G1120" s="368"/>
      <c r="H1120" s="368"/>
      <c r="I1120" s="368"/>
      <c r="J1120" s="368"/>
      <c r="K1120" s="370"/>
      <c r="L1120" s="370"/>
      <c r="M1120" s="370"/>
      <c r="N1120" s="850"/>
      <c r="O1120" s="851"/>
      <c r="P1120" s="380"/>
      <c r="Q1120" s="852"/>
      <c r="R1120" s="383"/>
      <c r="S1120" s="361"/>
      <c r="T1120" s="832"/>
      <c r="U1120" s="830"/>
      <c r="V1120" s="366"/>
      <c r="W1120" s="366"/>
    </row>
    <row r="1121" spans="1:23">
      <c r="A1121" s="1400" t="s">
        <v>939</v>
      </c>
      <c r="B1121" s="1400"/>
      <c r="C1121" s="827"/>
      <c r="D1121" s="871"/>
      <c r="E1121" s="1400" t="s">
        <v>177</v>
      </c>
      <c r="F1121" s="1400" t="s">
        <v>18</v>
      </c>
      <c r="G1121" s="1389" t="s">
        <v>19</v>
      </c>
      <c r="H1121" s="1390"/>
      <c r="I1121" s="1389" t="s">
        <v>22</v>
      </c>
      <c r="J1121" s="1390"/>
      <c r="K1121" s="1393" t="s">
        <v>26</v>
      </c>
      <c r="L1121" s="1390"/>
      <c r="M1121" s="1389" t="s">
        <v>392</v>
      </c>
      <c r="N1121" s="1390"/>
      <c r="O1121" s="1389" t="s">
        <v>28</v>
      </c>
      <c r="P1121" s="1393"/>
      <c r="Q1121" s="1390"/>
      <c r="R1121" s="1400" t="s">
        <v>36</v>
      </c>
      <c r="S1121" s="361"/>
      <c r="T1121" s="361">
        <f>MAX(J1125:J1139)-MIN(I1125:I1139)</f>
        <v>9.0277777777777901E-2</v>
      </c>
      <c r="U1121" s="361"/>
      <c r="V1121" s="853" t="str">
        <f t="shared" ref="V1121" si="120">B1125</f>
        <v>A37</v>
      </c>
      <c r="W1121" s="361">
        <f t="shared" ref="W1121" si="121">COUNTIF(K1126:K1140,"&gt;0")</f>
        <v>3</v>
      </c>
    </row>
    <row r="1122" spans="1:23">
      <c r="A1122" s="1401"/>
      <c r="B1122" s="1401"/>
      <c r="C1122" s="828"/>
      <c r="D1122" s="872"/>
      <c r="E1122" s="1401"/>
      <c r="F1122" s="1401"/>
      <c r="G1122" s="1391"/>
      <c r="H1122" s="1392"/>
      <c r="I1122" s="1391"/>
      <c r="J1122" s="1392"/>
      <c r="K1122" s="1394"/>
      <c r="L1122" s="1392"/>
      <c r="M1122" s="1391"/>
      <c r="N1122" s="1392"/>
      <c r="O1122" s="1391"/>
      <c r="P1122" s="1394"/>
      <c r="Q1122" s="1392"/>
      <c r="R1122" s="1401"/>
      <c r="S1122" s="361"/>
      <c r="T1122" s="361"/>
      <c r="U1122" s="361"/>
      <c r="V1122" s="361"/>
      <c r="W1122" s="361"/>
    </row>
    <row r="1123" spans="1:23">
      <c r="A1123" s="1401"/>
      <c r="B1123" s="1401"/>
      <c r="C1123" s="828"/>
      <c r="D1123" s="872"/>
      <c r="E1123" s="1401"/>
      <c r="F1123" s="1401"/>
      <c r="G1123" s="1400" t="s">
        <v>20</v>
      </c>
      <c r="H1123" s="1400" t="s">
        <v>21</v>
      </c>
      <c r="I1123" s="1400" t="s">
        <v>361</v>
      </c>
      <c r="J1123" s="1400" t="s">
        <v>353</v>
      </c>
      <c r="K1123" s="1400" t="s">
        <v>23</v>
      </c>
      <c r="L1123" s="1400" t="s">
        <v>24</v>
      </c>
      <c r="M1123" s="1400" t="s">
        <v>27</v>
      </c>
      <c r="N1123" s="1400" t="s">
        <v>178</v>
      </c>
      <c r="O1123" s="1400" t="s">
        <v>1</v>
      </c>
      <c r="P1123" s="1400" t="s">
        <v>29</v>
      </c>
      <c r="Q1123" s="1400" t="s">
        <v>33</v>
      </c>
      <c r="R1123" s="1401"/>
      <c r="S1123" s="361"/>
      <c r="T1123" s="361" t="s">
        <v>39</v>
      </c>
      <c r="U1123" s="362">
        <f>VLOOKUP(B1125,'Thong tin'!$A:$M,13,0)</f>
        <v>1200</v>
      </c>
      <c r="V1123" s="361"/>
      <c r="W1123" s="361"/>
    </row>
    <row r="1124" spans="1:23">
      <c r="A1124" s="1402"/>
      <c r="B1124" s="1402"/>
      <c r="C1124" s="829"/>
      <c r="D1124" s="873"/>
      <c r="E1124" s="1402"/>
      <c r="F1124" s="1402"/>
      <c r="G1124" s="1402"/>
      <c r="H1124" s="1402"/>
      <c r="I1124" s="1402"/>
      <c r="J1124" s="1402"/>
      <c r="K1124" s="1402"/>
      <c r="L1124" s="1402"/>
      <c r="M1124" s="1402"/>
      <c r="N1124" s="1402"/>
      <c r="O1124" s="1402"/>
      <c r="P1124" s="1402"/>
      <c r="Q1124" s="1402"/>
      <c r="R1124" s="1402"/>
      <c r="S1124" s="361"/>
      <c r="T1124" s="1399" t="s">
        <v>393</v>
      </c>
      <c r="U1124" s="1397">
        <f>VLOOKUP(B1125,DT.NK!$B:$AZ,45,0)</f>
        <v>23.95</v>
      </c>
      <c r="V1124" s="361"/>
      <c r="W1124" s="361"/>
    </row>
    <row r="1125" spans="1:23">
      <c r="A1125" s="1409">
        <f>A1105+1</f>
        <v>57</v>
      </c>
      <c r="B1125" s="1412" t="s">
        <v>664</v>
      </c>
      <c r="C1125" s="844" t="s">
        <v>983</v>
      </c>
      <c r="D1125" s="874" t="str">
        <f>B1125&amp;C1125</f>
        <v>A37a</v>
      </c>
      <c r="E1125" s="363"/>
      <c r="F1125" s="364"/>
      <c r="G1125" s="364"/>
      <c r="H1125" s="364"/>
      <c r="I1125" s="364"/>
      <c r="J1125" s="364"/>
      <c r="K1125" s="364"/>
      <c r="L1125" s="364"/>
      <c r="M1125" s="674"/>
      <c r="N1125" s="670"/>
      <c r="O1125" s="670">
        <f>U1124</f>
        <v>23.95</v>
      </c>
      <c r="P1125" s="670">
        <f>O1125</f>
        <v>23.95</v>
      </c>
      <c r="Q1125" s="670">
        <v>0</v>
      </c>
      <c r="R1125" s="365"/>
      <c r="S1125" s="366"/>
      <c r="T1125" s="1399"/>
      <c r="U1125" s="1398"/>
      <c r="V1125" s="361"/>
      <c r="W1125" s="361"/>
    </row>
    <row r="1126" spans="1:23">
      <c r="A1126" s="1410"/>
      <c r="B1126" s="1413"/>
      <c r="C1126" s="845" t="s">
        <v>984</v>
      </c>
      <c r="D1126" s="875" t="str">
        <f>B1125&amp;C1126</f>
        <v>A37b</v>
      </c>
      <c r="E1126" s="367">
        <v>1</v>
      </c>
      <c r="F1126" s="669" t="s">
        <v>1019</v>
      </c>
      <c r="G1126" s="369">
        <v>0.6875</v>
      </c>
      <c r="H1126" s="368">
        <v>0.71875</v>
      </c>
      <c r="I1126" s="369">
        <v>0.72916666666666663</v>
      </c>
      <c r="J1126" s="368">
        <v>0.73611111111111116</v>
      </c>
      <c r="K1126" s="669">
        <v>10</v>
      </c>
      <c r="L1126" s="669">
        <v>18</v>
      </c>
      <c r="M1126" s="675">
        <v>21.95</v>
      </c>
      <c r="N1126" s="671">
        <f>IF(M1126-P1126&gt;0,M1126-P1126,0)</f>
        <v>5.1499999999999986</v>
      </c>
      <c r="O1126" s="671">
        <f>O1125-K1126/(PI()*(U1123/2000)^2)</f>
        <v>15.108058717116926</v>
      </c>
      <c r="P1126" s="672">
        <v>16.8</v>
      </c>
      <c r="Q1126" s="673">
        <f>ABS(O1126-P1126)</f>
        <v>1.6919412828830751</v>
      </c>
      <c r="R1126" s="375" t="s">
        <v>188</v>
      </c>
      <c r="S1126" s="366"/>
      <c r="T1126" s="376"/>
      <c r="U1126" s="376"/>
      <c r="V1126" s="366"/>
      <c r="W1126" s="366"/>
    </row>
    <row r="1127" spans="1:23">
      <c r="A1127" s="1410"/>
      <c r="B1127" s="1413"/>
      <c r="C1127" s="845" t="s">
        <v>985</v>
      </c>
      <c r="D1127" s="875" t="str">
        <f>B1125&amp;C1127</f>
        <v>A37c</v>
      </c>
      <c r="E1127" s="367">
        <v>2</v>
      </c>
      <c r="F1127" s="669" t="s">
        <v>1014</v>
      </c>
      <c r="G1127" s="369">
        <v>0.69027777777777777</v>
      </c>
      <c r="H1127" s="368">
        <v>0.72222222222222221</v>
      </c>
      <c r="I1127" s="369">
        <v>0.74305555555555547</v>
      </c>
      <c r="J1127" s="368">
        <v>0.75</v>
      </c>
      <c r="K1127" s="669">
        <v>10</v>
      </c>
      <c r="L1127" s="669">
        <v>19</v>
      </c>
      <c r="M1127" s="675">
        <v>12.5</v>
      </c>
      <c r="N1127" s="671">
        <f>IF(M1127-P1127&gt;0,M1127-P1127,0)</f>
        <v>4</v>
      </c>
      <c r="O1127" s="671">
        <f>O1126-K1127/(PI()*(U1123/2000)^2)</f>
        <v>6.2661174342338519</v>
      </c>
      <c r="P1127" s="672">
        <v>8.5</v>
      </c>
      <c r="Q1127" s="673">
        <f>ABS(O1127-P1127)</f>
        <v>2.2338825657661481</v>
      </c>
      <c r="R1127" s="375" t="s">
        <v>188</v>
      </c>
      <c r="S1127" s="366"/>
      <c r="T1127" s="376"/>
      <c r="U1127" s="376"/>
      <c r="V1127" s="366"/>
      <c r="W1127" s="366"/>
    </row>
    <row r="1128" spans="1:23">
      <c r="A1128" s="1410"/>
      <c r="B1128" s="1413"/>
      <c r="C1128" s="845" t="s">
        <v>986</v>
      </c>
      <c r="D1128" s="875" t="str">
        <f>B1125&amp;C1128</f>
        <v>A37d</v>
      </c>
      <c r="E1128" s="367">
        <v>3</v>
      </c>
      <c r="F1128" s="669" t="s">
        <v>1008</v>
      </c>
      <c r="G1128" s="369">
        <v>0.79583333333333339</v>
      </c>
      <c r="H1128" s="368">
        <v>0.8125</v>
      </c>
      <c r="I1128" s="369">
        <v>0.81597222222222221</v>
      </c>
      <c r="J1128" s="368">
        <v>0.81944444444444453</v>
      </c>
      <c r="K1128" s="669">
        <v>3</v>
      </c>
      <c r="L1128" s="669">
        <v>19</v>
      </c>
      <c r="M1128" s="675">
        <v>12.5</v>
      </c>
      <c r="N1128" s="671">
        <f>IF(M1128-P1128&gt;0,M1128-P1128,0)</f>
        <v>5.8</v>
      </c>
      <c r="O1128" s="671">
        <f>O1127-K1128/(PI()*(U1123/2000)^2)</f>
        <v>3.6135350493689296</v>
      </c>
      <c r="P1128" s="672">
        <v>6.7</v>
      </c>
      <c r="Q1128" s="673">
        <f>ABS(O1128-P1128)</f>
        <v>3.0864649506310706</v>
      </c>
      <c r="R1128" s="375" t="s">
        <v>188</v>
      </c>
      <c r="S1128" s="366"/>
      <c r="T1128" s="376"/>
      <c r="U1128" s="376"/>
      <c r="V1128" s="366"/>
      <c r="W1128" s="366"/>
    </row>
    <row r="1129" spans="1:23">
      <c r="A1129" s="1410"/>
      <c r="B1129" s="1413"/>
      <c r="C1129" s="845" t="s">
        <v>987</v>
      </c>
      <c r="D1129" s="875" t="str">
        <f>B1125&amp;C1129</f>
        <v>A37e</v>
      </c>
      <c r="E1129" s="367">
        <v>4</v>
      </c>
      <c r="F1129" s="669"/>
      <c r="G1129" s="369"/>
      <c r="H1129" s="368"/>
      <c r="I1129" s="369"/>
      <c r="J1129" s="368"/>
      <c r="K1129" s="669"/>
      <c r="L1129" s="370"/>
      <c r="M1129" s="675"/>
      <c r="N1129" s="671"/>
      <c r="O1129" s="671"/>
      <c r="P1129" s="373"/>
      <c r="Q1129" s="673"/>
      <c r="R1129" s="375"/>
      <c r="S1129" s="366"/>
      <c r="T1129" s="376"/>
      <c r="U1129" s="376"/>
      <c r="V1129" s="366"/>
      <c r="W1129" s="366"/>
    </row>
    <row r="1130" spans="1:23">
      <c r="A1130" s="1410"/>
      <c r="B1130" s="1413"/>
      <c r="C1130" s="845" t="s">
        <v>988</v>
      </c>
      <c r="D1130" s="875" t="str">
        <f>B1125&amp;C1130</f>
        <v>A37f</v>
      </c>
      <c r="E1130" s="367">
        <v>5</v>
      </c>
      <c r="F1130" s="669"/>
      <c r="G1130" s="369"/>
      <c r="H1130" s="368"/>
      <c r="I1130" s="369"/>
      <c r="J1130" s="368"/>
      <c r="K1130" s="669"/>
      <c r="L1130" s="370"/>
      <c r="M1130" s="371"/>
      <c r="N1130" s="671"/>
      <c r="O1130" s="671"/>
      <c r="P1130" s="373"/>
      <c r="Q1130" s="673"/>
      <c r="R1130" s="377"/>
      <c r="S1130" s="366" t="s">
        <v>190</v>
      </c>
      <c r="T1130" s="376"/>
      <c r="U1130" s="376"/>
      <c r="V1130" s="366"/>
      <c r="W1130" s="366"/>
    </row>
    <row r="1131" spans="1:23">
      <c r="A1131" s="1410"/>
      <c r="B1131" s="1413"/>
      <c r="C1131" s="845" t="s">
        <v>989</v>
      </c>
      <c r="D1131" s="875" t="str">
        <f>B1125&amp;C1131</f>
        <v>A37g</v>
      </c>
      <c r="E1131" s="367">
        <v>6</v>
      </c>
      <c r="F1131" s="669"/>
      <c r="G1131" s="369"/>
      <c r="H1131" s="368"/>
      <c r="I1131" s="369"/>
      <c r="J1131" s="368"/>
      <c r="K1131" s="669"/>
      <c r="L1131" s="370"/>
      <c r="M1131" s="371"/>
      <c r="N1131" s="671"/>
      <c r="O1131" s="671"/>
      <c r="P1131" s="373"/>
      <c r="Q1131" s="673"/>
      <c r="R1131" s="375"/>
      <c r="S1131" s="366" t="s">
        <v>190</v>
      </c>
      <c r="T1131" s="366"/>
      <c r="U1131" s="366"/>
      <c r="V1131" s="366"/>
      <c r="W1131" s="366"/>
    </row>
    <row r="1132" spans="1:23">
      <c r="A1132" s="1410"/>
      <c r="B1132" s="1413"/>
      <c r="C1132" s="845" t="s">
        <v>990</v>
      </c>
      <c r="D1132" s="875" t="str">
        <f>B1125&amp;C1132</f>
        <v>A37h</v>
      </c>
      <c r="E1132" s="367">
        <v>7</v>
      </c>
      <c r="F1132" s="669"/>
      <c r="G1132" s="368"/>
      <c r="H1132" s="368"/>
      <c r="I1132" s="368"/>
      <c r="J1132" s="368"/>
      <c r="K1132" s="669"/>
      <c r="L1132" s="370"/>
      <c r="M1132" s="371"/>
      <c r="N1132" s="671"/>
      <c r="O1132" s="671"/>
      <c r="P1132" s="373"/>
      <c r="Q1132" s="673"/>
      <c r="R1132" s="377"/>
      <c r="S1132" s="366" t="s">
        <v>190</v>
      </c>
      <c r="T1132" s="366"/>
      <c r="U1132" s="366"/>
      <c r="V1132" s="366"/>
      <c r="W1132" s="366"/>
    </row>
    <row r="1133" spans="1:23">
      <c r="A1133" s="1410"/>
      <c r="B1133" s="1413"/>
      <c r="C1133" s="845" t="s">
        <v>991</v>
      </c>
      <c r="D1133" s="875" t="str">
        <f>B1125&amp;C1133</f>
        <v>A37i</v>
      </c>
      <c r="E1133" s="367">
        <v>8</v>
      </c>
      <c r="F1133" s="669"/>
      <c r="G1133" s="368"/>
      <c r="H1133" s="368"/>
      <c r="I1133" s="368"/>
      <c r="J1133" s="368"/>
      <c r="K1133" s="370"/>
      <c r="L1133" s="370"/>
      <c r="M1133" s="371"/>
      <c r="N1133" s="671"/>
      <c r="O1133" s="671"/>
      <c r="P1133" s="373"/>
      <c r="Q1133" s="673"/>
      <c r="R1133" s="378"/>
      <c r="S1133" s="366"/>
      <c r="T1133" s="366"/>
      <c r="U1133" s="366"/>
      <c r="V1133" s="366"/>
      <c r="W1133" s="366"/>
    </row>
    <row r="1134" spans="1:23">
      <c r="A1134" s="1410"/>
      <c r="B1134" s="1413"/>
      <c r="C1134" s="845" t="s">
        <v>992</v>
      </c>
      <c r="D1134" s="875" t="str">
        <f>B1125&amp;C1134</f>
        <v>A37k</v>
      </c>
      <c r="E1134" s="367">
        <v>9</v>
      </c>
      <c r="F1134" s="370"/>
      <c r="G1134" s="368"/>
      <c r="H1134" s="368"/>
      <c r="I1134" s="368"/>
      <c r="J1134" s="368"/>
      <c r="K1134" s="370"/>
      <c r="L1134" s="370"/>
      <c r="M1134" s="371"/>
      <c r="N1134" s="372"/>
      <c r="O1134" s="372"/>
      <c r="P1134" s="373"/>
      <c r="Q1134" s="374"/>
      <c r="R1134" s="378"/>
      <c r="S1134" s="379"/>
      <c r="T1134" s="366"/>
      <c r="U1134" s="366"/>
      <c r="V1134" s="366"/>
      <c r="W1134" s="366"/>
    </row>
    <row r="1135" spans="1:23">
      <c r="A1135" s="1410"/>
      <c r="B1135" s="1413"/>
      <c r="C1135" s="845" t="s">
        <v>993</v>
      </c>
      <c r="D1135" s="875" t="str">
        <f>B1125&amp;C1135</f>
        <v>A37l</v>
      </c>
      <c r="E1135" s="367">
        <v>10</v>
      </c>
      <c r="F1135" s="370"/>
      <c r="G1135" s="368"/>
      <c r="H1135" s="368"/>
      <c r="I1135" s="368"/>
      <c r="J1135" s="368"/>
      <c r="K1135" s="370"/>
      <c r="L1135" s="370"/>
      <c r="M1135" s="370"/>
      <c r="N1135" s="372"/>
      <c r="O1135" s="372"/>
      <c r="P1135" s="373"/>
      <c r="Q1135" s="374"/>
      <c r="R1135" s="378"/>
      <c r="S1135" s="379"/>
      <c r="T1135" s="366"/>
      <c r="U1135" s="366"/>
      <c r="V1135" s="366"/>
      <c r="W1135" s="366"/>
    </row>
    <row r="1136" spans="1:23">
      <c r="A1136" s="1410"/>
      <c r="B1136" s="1413"/>
      <c r="C1136" s="845" t="s">
        <v>994</v>
      </c>
      <c r="D1136" s="875" t="str">
        <f>B1125&amp;C1136</f>
        <v>A37m</v>
      </c>
      <c r="E1136" s="367">
        <v>11</v>
      </c>
      <c r="F1136" s="370"/>
      <c r="G1136" s="368"/>
      <c r="H1136" s="368"/>
      <c r="I1136" s="368"/>
      <c r="J1136" s="368"/>
      <c r="K1136" s="370"/>
      <c r="L1136" s="370"/>
      <c r="M1136" s="370"/>
      <c r="N1136" s="372"/>
      <c r="O1136" s="372"/>
      <c r="P1136" s="380"/>
      <c r="Q1136" s="374"/>
      <c r="R1136" s="381"/>
      <c r="S1136" s="379"/>
      <c r="T1136" s="366"/>
      <c r="U1136" s="366"/>
      <c r="V1136" s="366"/>
      <c r="W1136" s="366"/>
    </row>
    <row r="1137" spans="1:23">
      <c r="A1137" s="1410"/>
      <c r="B1137" s="1413"/>
      <c r="C1137" s="845" t="s">
        <v>995</v>
      </c>
      <c r="D1137" s="875" t="str">
        <f>B1125&amp;C1137</f>
        <v>A37n</v>
      </c>
      <c r="E1137" s="367">
        <v>12</v>
      </c>
      <c r="F1137" s="370"/>
      <c r="G1137" s="368"/>
      <c r="H1137" s="368"/>
      <c r="I1137" s="368"/>
      <c r="J1137" s="368"/>
      <c r="K1137" s="370"/>
      <c r="L1137" s="370"/>
      <c r="M1137" s="370"/>
      <c r="N1137" s="372"/>
      <c r="O1137" s="372"/>
      <c r="P1137" s="380"/>
      <c r="Q1137" s="374"/>
      <c r="R1137" s="381"/>
      <c r="S1137" s="361"/>
      <c r="T1137" s="361"/>
      <c r="U1137" s="361"/>
      <c r="V1137" s="366"/>
      <c r="W1137" s="366"/>
    </row>
    <row r="1138" spans="1:23">
      <c r="A1138" s="1410"/>
      <c r="B1138" s="1413"/>
      <c r="C1138" s="845" t="s">
        <v>471</v>
      </c>
      <c r="D1138" s="875" t="str">
        <f>B1125&amp;C1138</f>
        <v>A37x</v>
      </c>
      <c r="E1138" s="367">
        <v>13</v>
      </c>
      <c r="F1138" s="370"/>
      <c r="G1138" s="368"/>
      <c r="H1138" s="368"/>
      <c r="I1138" s="368"/>
      <c r="J1138" s="368"/>
      <c r="K1138" s="370"/>
      <c r="L1138" s="370"/>
      <c r="M1138" s="370"/>
      <c r="N1138" s="382"/>
      <c r="O1138" s="372"/>
      <c r="P1138" s="380"/>
      <c r="Q1138" s="381"/>
      <c r="R1138" s="381"/>
      <c r="S1138" s="361"/>
      <c r="T1138" s="361"/>
      <c r="U1138" s="361"/>
      <c r="V1138" s="366"/>
      <c r="W1138" s="366"/>
    </row>
    <row r="1139" spans="1:23">
      <c r="A1139" s="1410"/>
      <c r="B1139" s="1413"/>
      <c r="C1139" s="845" t="s">
        <v>732</v>
      </c>
      <c r="D1139" s="875" t="str">
        <f>B1125&amp;C1139</f>
        <v>A37y</v>
      </c>
      <c r="E1139" s="367">
        <v>14</v>
      </c>
      <c r="F1139" s="370"/>
      <c r="G1139" s="368"/>
      <c r="H1139" s="368"/>
      <c r="I1139" s="368"/>
      <c r="J1139" s="368"/>
      <c r="K1139" s="370"/>
      <c r="L1139" s="370"/>
      <c r="M1139" s="370"/>
      <c r="N1139" s="382"/>
      <c r="O1139" s="372"/>
      <c r="P1139" s="380"/>
      <c r="Q1139" s="381"/>
      <c r="R1139" s="381"/>
      <c r="S1139" s="361"/>
      <c r="T1139" s="361"/>
      <c r="U1139" s="362"/>
      <c r="V1139" s="366"/>
      <c r="W1139" s="366"/>
    </row>
    <row r="1140" spans="1:23">
      <c r="A1140" s="1411"/>
      <c r="B1140" s="1414"/>
      <c r="C1140" s="846" t="s">
        <v>996</v>
      </c>
      <c r="D1140" s="876" t="str">
        <f>B1125&amp;C1140</f>
        <v>A37z</v>
      </c>
      <c r="E1140" s="847">
        <v>15</v>
      </c>
      <c r="F1140" s="370"/>
      <c r="G1140" s="368"/>
      <c r="H1140" s="368"/>
      <c r="I1140" s="368"/>
      <c r="J1140" s="368"/>
      <c r="K1140" s="370"/>
      <c r="L1140" s="370"/>
      <c r="M1140" s="370"/>
      <c r="N1140" s="850"/>
      <c r="O1140" s="851"/>
      <c r="P1140" s="380"/>
      <c r="Q1140" s="852"/>
      <c r="R1140" s="383"/>
      <c r="S1140" s="361"/>
      <c r="T1140" s="832"/>
      <c r="U1140" s="830"/>
      <c r="V1140" s="366"/>
      <c r="W1140" s="366"/>
    </row>
    <row r="1141" spans="1:23">
      <c r="A1141" s="1400" t="s">
        <v>939</v>
      </c>
      <c r="B1141" s="1400"/>
      <c r="C1141" s="827"/>
      <c r="D1141" s="871"/>
      <c r="E1141" s="1400" t="s">
        <v>177</v>
      </c>
      <c r="F1141" s="1400" t="s">
        <v>18</v>
      </c>
      <c r="G1141" s="1389" t="s">
        <v>19</v>
      </c>
      <c r="H1141" s="1390"/>
      <c r="I1141" s="1389" t="s">
        <v>22</v>
      </c>
      <c r="J1141" s="1390"/>
      <c r="K1141" s="1393" t="s">
        <v>26</v>
      </c>
      <c r="L1141" s="1390"/>
      <c r="M1141" s="1389" t="s">
        <v>392</v>
      </c>
      <c r="N1141" s="1390"/>
      <c r="O1141" s="1389" t="s">
        <v>28</v>
      </c>
      <c r="P1141" s="1393"/>
      <c r="Q1141" s="1390"/>
      <c r="R1141" s="1400" t="s">
        <v>36</v>
      </c>
      <c r="S1141" s="361"/>
      <c r="T1141" s="361">
        <f>MAX(J1145:J1159)-MIN(I1145:I1159)</f>
        <v>2.0833333333333315E-2</v>
      </c>
      <c r="U1141" s="361"/>
      <c r="V1141" s="853" t="str">
        <f t="shared" ref="V1141" si="122">B1145</f>
        <v>A10</v>
      </c>
      <c r="W1141" s="361">
        <f t="shared" ref="W1141" si="123">COUNTIF(K1146:K1160,"&gt;0")</f>
        <v>2</v>
      </c>
    </row>
    <row r="1142" spans="1:23">
      <c r="A1142" s="1401"/>
      <c r="B1142" s="1401"/>
      <c r="C1142" s="828"/>
      <c r="D1142" s="872"/>
      <c r="E1142" s="1401"/>
      <c r="F1142" s="1401"/>
      <c r="G1142" s="1391"/>
      <c r="H1142" s="1392"/>
      <c r="I1142" s="1391"/>
      <c r="J1142" s="1392"/>
      <c r="K1142" s="1394"/>
      <c r="L1142" s="1392"/>
      <c r="M1142" s="1391"/>
      <c r="N1142" s="1392"/>
      <c r="O1142" s="1391"/>
      <c r="P1142" s="1394"/>
      <c r="Q1142" s="1392"/>
      <c r="R1142" s="1401"/>
      <c r="S1142" s="361"/>
      <c r="T1142" s="361"/>
      <c r="U1142" s="361"/>
      <c r="V1142" s="361"/>
      <c r="W1142" s="361"/>
    </row>
    <row r="1143" spans="1:23">
      <c r="A1143" s="1401"/>
      <c r="B1143" s="1401"/>
      <c r="C1143" s="828"/>
      <c r="D1143" s="872"/>
      <c r="E1143" s="1401"/>
      <c r="F1143" s="1401"/>
      <c r="G1143" s="1400" t="s">
        <v>20</v>
      </c>
      <c r="H1143" s="1400" t="s">
        <v>21</v>
      </c>
      <c r="I1143" s="1400" t="s">
        <v>361</v>
      </c>
      <c r="J1143" s="1400" t="s">
        <v>353</v>
      </c>
      <c r="K1143" s="1400" t="s">
        <v>23</v>
      </c>
      <c r="L1143" s="1400" t="s">
        <v>24</v>
      </c>
      <c r="M1143" s="1400" t="s">
        <v>27</v>
      </c>
      <c r="N1143" s="1400" t="s">
        <v>178</v>
      </c>
      <c r="O1143" s="1400" t="s">
        <v>1</v>
      </c>
      <c r="P1143" s="1400" t="s">
        <v>29</v>
      </c>
      <c r="Q1143" s="1400" t="s">
        <v>33</v>
      </c>
      <c r="R1143" s="1401"/>
      <c r="S1143" s="361"/>
      <c r="T1143" s="361" t="s">
        <v>39</v>
      </c>
      <c r="U1143" s="362">
        <f>VLOOKUP(B1145,'Thong tin'!$A:$M,13,0)</f>
        <v>1200</v>
      </c>
      <c r="V1143" s="361"/>
      <c r="W1143" s="361"/>
    </row>
    <row r="1144" spans="1:23">
      <c r="A1144" s="1402"/>
      <c r="B1144" s="1402"/>
      <c r="C1144" s="829"/>
      <c r="D1144" s="873"/>
      <c r="E1144" s="1402"/>
      <c r="F1144" s="1402"/>
      <c r="G1144" s="1402"/>
      <c r="H1144" s="1402"/>
      <c r="I1144" s="1402"/>
      <c r="J1144" s="1402"/>
      <c r="K1144" s="1402"/>
      <c r="L1144" s="1402"/>
      <c r="M1144" s="1402"/>
      <c r="N1144" s="1402"/>
      <c r="O1144" s="1402"/>
      <c r="P1144" s="1402"/>
      <c r="Q1144" s="1402"/>
      <c r="R1144" s="1402"/>
      <c r="S1144" s="361"/>
      <c r="T1144" s="1399" t="s">
        <v>393</v>
      </c>
      <c r="U1144" s="1397">
        <f>VLOOKUP(B1145,DT.NK!$B:$AZ,45,0)</f>
        <v>24.85</v>
      </c>
      <c r="V1144" s="361"/>
      <c r="W1144" s="361"/>
    </row>
    <row r="1145" spans="1:23">
      <c r="A1145" s="1409">
        <f>A1125+1</f>
        <v>58</v>
      </c>
      <c r="B1145" s="1412" t="s">
        <v>533</v>
      </c>
      <c r="C1145" s="844" t="s">
        <v>983</v>
      </c>
      <c r="D1145" s="874" t="str">
        <f>B1145&amp;C1145</f>
        <v>A10a</v>
      </c>
      <c r="E1145" s="363"/>
      <c r="F1145" s="364"/>
      <c r="G1145" s="364"/>
      <c r="H1145" s="364"/>
      <c r="I1145" s="364"/>
      <c r="J1145" s="364"/>
      <c r="K1145" s="364"/>
      <c r="L1145" s="364"/>
      <c r="M1145" s="674"/>
      <c r="N1145" s="670"/>
      <c r="O1145" s="670">
        <f>U1144</f>
        <v>24.85</v>
      </c>
      <c r="P1145" s="670">
        <f>O1145</f>
        <v>24.85</v>
      </c>
      <c r="Q1145" s="670">
        <v>0</v>
      </c>
      <c r="R1145" s="365"/>
      <c r="S1145" s="366"/>
      <c r="T1145" s="1399"/>
      <c r="U1145" s="1398"/>
      <c r="V1145" s="361"/>
      <c r="W1145" s="361"/>
    </row>
    <row r="1146" spans="1:23">
      <c r="A1146" s="1410"/>
      <c r="B1146" s="1413"/>
      <c r="C1146" s="845" t="s">
        <v>984</v>
      </c>
      <c r="D1146" s="875" t="str">
        <f>B1145&amp;C1146</f>
        <v>A10b</v>
      </c>
      <c r="E1146" s="367">
        <v>1</v>
      </c>
      <c r="F1146" s="669" t="s">
        <v>1007</v>
      </c>
      <c r="G1146" s="369">
        <v>7.2916666666666671E-2</v>
      </c>
      <c r="H1146" s="368">
        <v>0.10416666666666667</v>
      </c>
      <c r="I1146" s="369">
        <v>0.12847222222222224</v>
      </c>
      <c r="J1146" s="368">
        <v>0.13541666666666666</v>
      </c>
      <c r="K1146" s="669">
        <v>10</v>
      </c>
      <c r="L1146" s="669">
        <v>19</v>
      </c>
      <c r="M1146" s="675">
        <v>19.7</v>
      </c>
      <c r="N1146" s="671">
        <f>IF(M1146-P1146&gt;0,M1146-P1146,0)</f>
        <v>3.3000000000000007</v>
      </c>
      <c r="O1146" s="671">
        <f>O1145-K1146/(PI()*(U1143/2000)^2)</f>
        <v>16.008058717116928</v>
      </c>
      <c r="P1146" s="672">
        <v>16.399999999999999</v>
      </c>
      <c r="Q1146" s="673">
        <f>ABS(O1146-P1146)</f>
        <v>0.39194128288307084</v>
      </c>
      <c r="R1146" s="375" t="s">
        <v>188</v>
      </c>
      <c r="S1146" s="366"/>
      <c r="T1146" s="376"/>
      <c r="U1146" s="376"/>
      <c r="V1146" s="366"/>
      <c r="W1146" s="366"/>
    </row>
    <row r="1147" spans="1:23">
      <c r="A1147" s="1410"/>
      <c r="B1147" s="1413"/>
      <c r="C1147" s="845" t="s">
        <v>985</v>
      </c>
      <c r="D1147" s="875" t="str">
        <f>B1145&amp;C1147</f>
        <v>A10c</v>
      </c>
      <c r="E1147" s="367">
        <v>2</v>
      </c>
      <c r="F1147" s="669" t="s">
        <v>1008</v>
      </c>
      <c r="G1147" s="369">
        <v>9.5138888888888884E-2</v>
      </c>
      <c r="H1147" s="368">
        <v>0.125</v>
      </c>
      <c r="I1147" s="369">
        <v>0.1423611111111111</v>
      </c>
      <c r="J1147" s="368">
        <v>0.14930555555555555</v>
      </c>
      <c r="K1147" s="669">
        <v>11</v>
      </c>
      <c r="L1147" s="669">
        <v>19</v>
      </c>
      <c r="M1147" s="675">
        <v>13.4</v>
      </c>
      <c r="N1147" s="671">
        <f>IF(M1147-P1147&gt;0,M1147-P1147,0)</f>
        <v>6.4</v>
      </c>
      <c r="O1147" s="671">
        <f>O1146-K1147/(PI()*(U1143/2000)^2)</f>
        <v>6.2819233059455453</v>
      </c>
      <c r="P1147" s="672">
        <v>7</v>
      </c>
      <c r="Q1147" s="673">
        <f>ABS(O1147-P1147)</f>
        <v>0.71807669405445473</v>
      </c>
      <c r="R1147" s="375" t="s">
        <v>188</v>
      </c>
      <c r="S1147" s="366"/>
      <c r="T1147" s="376"/>
      <c r="U1147" s="376"/>
      <c r="V1147" s="366"/>
      <c r="W1147" s="366"/>
    </row>
    <row r="1148" spans="1:23">
      <c r="A1148" s="1410"/>
      <c r="B1148" s="1413"/>
      <c r="C1148" s="845" t="s">
        <v>986</v>
      </c>
      <c r="D1148" s="875" t="str">
        <f>B1145&amp;C1148</f>
        <v>A10d</v>
      </c>
      <c r="E1148" s="367">
        <v>3</v>
      </c>
      <c r="F1148" s="669"/>
      <c r="G1148" s="369"/>
      <c r="H1148" s="368"/>
      <c r="I1148" s="369"/>
      <c r="J1148" s="368"/>
      <c r="K1148" s="669"/>
      <c r="L1148" s="669"/>
      <c r="M1148" s="675"/>
      <c r="N1148" s="671"/>
      <c r="O1148" s="671"/>
      <c r="P1148" s="672"/>
      <c r="Q1148" s="673"/>
      <c r="R1148" s="375"/>
      <c r="S1148" s="366"/>
      <c r="T1148" s="376"/>
      <c r="U1148" s="376"/>
      <c r="V1148" s="366"/>
      <c r="W1148" s="366"/>
    </row>
    <row r="1149" spans="1:23">
      <c r="A1149" s="1410"/>
      <c r="B1149" s="1413"/>
      <c r="C1149" s="845" t="s">
        <v>987</v>
      </c>
      <c r="D1149" s="875" t="str">
        <f>B1145&amp;C1149</f>
        <v>A10e</v>
      </c>
      <c r="E1149" s="367">
        <v>4</v>
      </c>
      <c r="F1149" s="669"/>
      <c r="G1149" s="369"/>
      <c r="H1149" s="368"/>
      <c r="I1149" s="369"/>
      <c r="J1149" s="368"/>
      <c r="K1149" s="669"/>
      <c r="L1149" s="370"/>
      <c r="M1149" s="675"/>
      <c r="N1149" s="671"/>
      <c r="O1149" s="671"/>
      <c r="P1149" s="373"/>
      <c r="Q1149" s="673"/>
      <c r="R1149" s="375"/>
      <c r="S1149" s="366"/>
      <c r="T1149" s="376"/>
      <c r="U1149" s="376"/>
      <c r="V1149" s="366"/>
      <c r="W1149" s="366"/>
    </row>
    <row r="1150" spans="1:23">
      <c r="A1150" s="1410"/>
      <c r="B1150" s="1413"/>
      <c r="C1150" s="845" t="s">
        <v>988</v>
      </c>
      <c r="D1150" s="875" t="str">
        <f>B1145&amp;C1150</f>
        <v>A10f</v>
      </c>
      <c r="E1150" s="367">
        <v>5</v>
      </c>
      <c r="F1150" s="669"/>
      <c r="G1150" s="369"/>
      <c r="H1150" s="368"/>
      <c r="I1150" s="369"/>
      <c r="J1150" s="368"/>
      <c r="K1150" s="669"/>
      <c r="L1150" s="370"/>
      <c r="M1150" s="371"/>
      <c r="N1150" s="671"/>
      <c r="O1150" s="671"/>
      <c r="P1150" s="373"/>
      <c r="Q1150" s="673"/>
      <c r="R1150" s="377"/>
      <c r="S1150" s="366" t="s">
        <v>190</v>
      </c>
      <c r="T1150" s="376"/>
      <c r="U1150" s="376"/>
      <c r="V1150" s="366"/>
      <c r="W1150" s="366"/>
    </row>
    <row r="1151" spans="1:23">
      <c r="A1151" s="1410"/>
      <c r="B1151" s="1413"/>
      <c r="C1151" s="845" t="s">
        <v>989</v>
      </c>
      <c r="D1151" s="875" t="str">
        <f>B1145&amp;C1151</f>
        <v>A10g</v>
      </c>
      <c r="E1151" s="367">
        <v>6</v>
      </c>
      <c r="F1151" s="669"/>
      <c r="G1151" s="369"/>
      <c r="H1151" s="368"/>
      <c r="I1151" s="369"/>
      <c r="J1151" s="368"/>
      <c r="K1151" s="669"/>
      <c r="L1151" s="370"/>
      <c r="M1151" s="371"/>
      <c r="N1151" s="671"/>
      <c r="O1151" s="671"/>
      <c r="P1151" s="373"/>
      <c r="Q1151" s="673"/>
      <c r="R1151" s="375"/>
      <c r="S1151" s="366" t="s">
        <v>190</v>
      </c>
      <c r="T1151" s="366"/>
      <c r="U1151" s="366"/>
      <c r="V1151" s="366"/>
      <c r="W1151" s="366"/>
    </row>
    <row r="1152" spans="1:23">
      <c r="A1152" s="1410"/>
      <c r="B1152" s="1413"/>
      <c r="C1152" s="845" t="s">
        <v>990</v>
      </c>
      <c r="D1152" s="875" t="str">
        <f>B1145&amp;C1152</f>
        <v>A10h</v>
      </c>
      <c r="E1152" s="367">
        <v>7</v>
      </c>
      <c r="F1152" s="669"/>
      <c r="G1152" s="368"/>
      <c r="H1152" s="368"/>
      <c r="I1152" s="368"/>
      <c r="J1152" s="368"/>
      <c r="K1152" s="669"/>
      <c r="L1152" s="370"/>
      <c r="M1152" s="371"/>
      <c r="N1152" s="671"/>
      <c r="O1152" s="671"/>
      <c r="P1152" s="373"/>
      <c r="Q1152" s="673"/>
      <c r="R1152" s="377"/>
      <c r="S1152" s="366" t="s">
        <v>190</v>
      </c>
      <c r="T1152" s="366"/>
      <c r="U1152" s="366"/>
      <c r="V1152" s="366"/>
      <c r="W1152" s="366"/>
    </row>
    <row r="1153" spans="1:23">
      <c r="A1153" s="1410"/>
      <c r="B1153" s="1413"/>
      <c r="C1153" s="845" t="s">
        <v>991</v>
      </c>
      <c r="D1153" s="875" t="str">
        <f>B1145&amp;C1153</f>
        <v>A10i</v>
      </c>
      <c r="E1153" s="367">
        <v>8</v>
      </c>
      <c r="F1153" s="669"/>
      <c r="G1153" s="368"/>
      <c r="H1153" s="368"/>
      <c r="I1153" s="368"/>
      <c r="J1153" s="368"/>
      <c r="K1153" s="370"/>
      <c r="L1153" s="370"/>
      <c r="M1153" s="371"/>
      <c r="N1153" s="671"/>
      <c r="O1153" s="671"/>
      <c r="P1153" s="373"/>
      <c r="Q1153" s="673"/>
      <c r="R1153" s="378"/>
      <c r="S1153" s="366"/>
      <c r="T1153" s="366"/>
      <c r="U1153" s="366"/>
      <c r="V1153" s="366"/>
      <c r="W1153" s="366"/>
    </row>
    <row r="1154" spans="1:23">
      <c r="A1154" s="1410"/>
      <c r="B1154" s="1413"/>
      <c r="C1154" s="845" t="s">
        <v>992</v>
      </c>
      <c r="D1154" s="875" t="str">
        <f>B1145&amp;C1154</f>
        <v>A10k</v>
      </c>
      <c r="E1154" s="367">
        <v>9</v>
      </c>
      <c r="F1154" s="370"/>
      <c r="G1154" s="368"/>
      <c r="H1154" s="368"/>
      <c r="I1154" s="368"/>
      <c r="J1154" s="368"/>
      <c r="K1154" s="370"/>
      <c r="L1154" s="370"/>
      <c r="M1154" s="371"/>
      <c r="N1154" s="372"/>
      <c r="O1154" s="372"/>
      <c r="P1154" s="373"/>
      <c r="Q1154" s="374"/>
      <c r="R1154" s="378"/>
      <c r="S1154" s="379"/>
      <c r="T1154" s="366"/>
      <c r="U1154" s="366"/>
      <c r="V1154" s="366"/>
      <c r="W1154" s="366"/>
    </row>
    <row r="1155" spans="1:23">
      <c r="A1155" s="1410"/>
      <c r="B1155" s="1413"/>
      <c r="C1155" s="845" t="s">
        <v>993</v>
      </c>
      <c r="D1155" s="875" t="str">
        <f>B1145&amp;C1155</f>
        <v>A10l</v>
      </c>
      <c r="E1155" s="367">
        <v>10</v>
      </c>
      <c r="F1155" s="370"/>
      <c r="G1155" s="368"/>
      <c r="H1155" s="368"/>
      <c r="I1155" s="368"/>
      <c r="J1155" s="368"/>
      <c r="K1155" s="370"/>
      <c r="L1155" s="370"/>
      <c r="M1155" s="370"/>
      <c r="N1155" s="372"/>
      <c r="O1155" s="372"/>
      <c r="P1155" s="373"/>
      <c r="Q1155" s="374"/>
      <c r="R1155" s="378"/>
      <c r="S1155" s="379"/>
      <c r="T1155" s="366"/>
      <c r="U1155" s="366"/>
      <c r="V1155" s="366"/>
      <c r="W1155" s="366"/>
    </row>
    <row r="1156" spans="1:23">
      <c r="A1156" s="1410"/>
      <c r="B1156" s="1413"/>
      <c r="C1156" s="845" t="s">
        <v>994</v>
      </c>
      <c r="D1156" s="875" t="str">
        <f>B1145&amp;C1156</f>
        <v>A10m</v>
      </c>
      <c r="E1156" s="367">
        <v>11</v>
      </c>
      <c r="F1156" s="370"/>
      <c r="G1156" s="368"/>
      <c r="H1156" s="368"/>
      <c r="I1156" s="368"/>
      <c r="J1156" s="368"/>
      <c r="K1156" s="370"/>
      <c r="L1156" s="370"/>
      <c r="M1156" s="370"/>
      <c r="N1156" s="372"/>
      <c r="O1156" s="372"/>
      <c r="P1156" s="380"/>
      <c r="Q1156" s="374"/>
      <c r="R1156" s="381"/>
      <c r="S1156" s="379"/>
      <c r="T1156" s="366"/>
      <c r="U1156" s="366"/>
      <c r="V1156" s="366"/>
      <c r="W1156" s="366"/>
    </row>
    <row r="1157" spans="1:23">
      <c r="A1157" s="1410"/>
      <c r="B1157" s="1413"/>
      <c r="C1157" s="845" t="s">
        <v>995</v>
      </c>
      <c r="D1157" s="875" t="str">
        <f>B1145&amp;C1157</f>
        <v>A10n</v>
      </c>
      <c r="E1157" s="367">
        <v>12</v>
      </c>
      <c r="F1157" s="370"/>
      <c r="G1157" s="368"/>
      <c r="H1157" s="368"/>
      <c r="I1157" s="368"/>
      <c r="J1157" s="368"/>
      <c r="K1157" s="370"/>
      <c r="L1157" s="370"/>
      <c r="M1157" s="370"/>
      <c r="N1157" s="372"/>
      <c r="O1157" s="372"/>
      <c r="P1157" s="380"/>
      <c r="Q1157" s="374"/>
      <c r="R1157" s="381"/>
      <c r="S1157" s="361"/>
      <c r="T1157" s="361"/>
      <c r="U1157" s="361"/>
      <c r="V1157" s="366"/>
      <c r="W1157" s="366"/>
    </row>
    <row r="1158" spans="1:23">
      <c r="A1158" s="1410"/>
      <c r="B1158" s="1413"/>
      <c r="C1158" s="845" t="s">
        <v>471</v>
      </c>
      <c r="D1158" s="875" t="str">
        <f>B1145&amp;C1158</f>
        <v>A10x</v>
      </c>
      <c r="E1158" s="367">
        <v>13</v>
      </c>
      <c r="F1158" s="370"/>
      <c r="G1158" s="368"/>
      <c r="H1158" s="368"/>
      <c r="I1158" s="368"/>
      <c r="J1158" s="368"/>
      <c r="K1158" s="370"/>
      <c r="L1158" s="370"/>
      <c r="M1158" s="370"/>
      <c r="N1158" s="382"/>
      <c r="O1158" s="372"/>
      <c r="P1158" s="380"/>
      <c r="Q1158" s="381"/>
      <c r="R1158" s="381"/>
      <c r="S1158" s="361"/>
      <c r="T1158" s="361"/>
      <c r="U1158" s="361"/>
      <c r="V1158" s="366"/>
      <c r="W1158" s="366"/>
    </row>
    <row r="1159" spans="1:23">
      <c r="A1159" s="1410"/>
      <c r="B1159" s="1413"/>
      <c r="C1159" s="845" t="s">
        <v>732</v>
      </c>
      <c r="D1159" s="875" t="str">
        <f>B1145&amp;C1159</f>
        <v>A10y</v>
      </c>
      <c r="E1159" s="367">
        <v>14</v>
      </c>
      <c r="F1159" s="370"/>
      <c r="G1159" s="368"/>
      <c r="H1159" s="368"/>
      <c r="I1159" s="368"/>
      <c r="J1159" s="368"/>
      <c r="K1159" s="370"/>
      <c r="L1159" s="370"/>
      <c r="M1159" s="370"/>
      <c r="N1159" s="382"/>
      <c r="O1159" s="372"/>
      <c r="P1159" s="380"/>
      <c r="Q1159" s="381"/>
      <c r="R1159" s="381"/>
      <c r="S1159" s="361"/>
      <c r="T1159" s="361"/>
      <c r="U1159" s="362"/>
      <c r="V1159" s="366"/>
      <c r="W1159" s="366"/>
    </row>
    <row r="1160" spans="1:23">
      <c r="A1160" s="1411"/>
      <c r="B1160" s="1414"/>
      <c r="C1160" s="846" t="s">
        <v>996</v>
      </c>
      <c r="D1160" s="876" t="str">
        <f>B1145&amp;C1160</f>
        <v>A10z</v>
      </c>
      <c r="E1160" s="847">
        <v>15</v>
      </c>
      <c r="F1160" s="370"/>
      <c r="G1160" s="368"/>
      <c r="H1160" s="368"/>
      <c r="I1160" s="368"/>
      <c r="J1160" s="368"/>
      <c r="K1160" s="370"/>
      <c r="L1160" s="370"/>
      <c r="M1160" s="370"/>
      <c r="N1160" s="850"/>
      <c r="O1160" s="851"/>
      <c r="P1160" s="380"/>
      <c r="Q1160" s="852"/>
      <c r="R1160" s="383"/>
      <c r="S1160" s="361"/>
      <c r="T1160" s="832"/>
      <c r="U1160" s="830"/>
      <c r="V1160" s="366"/>
      <c r="W1160" s="366"/>
    </row>
    <row r="1161" spans="1:23">
      <c r="A1161" s="1400" t="s">
        <v>939</v>
      </c>
      <c r="B1161" s="1400"/>
      <c r="C1161" s="827"/>
      <c r="D1161" s="871"/>
      <c r="E1161" s="1400" t="s">
        <v>177</v>
      </c>
      <c r="F1161" s="1400" t="s">
        <v>18</v>
      </c>
      <c r="G1161" s="1389" t="s">
        <v>19</v>
      </c>
      <c r="H1161" s="1390"/>
      <c r="I1161" s="1389" t="s">
        <v>22</v>
      </c>
      <c r="J1161" s="1390"/>
      <c r="K1161" s="1393" t="s">
        <v>26</v>
      </c>
      <c r="L1161" s="1390"/>
      <c r="M1161" s="1389" t="s">
        <v>392</v>
      </c>
      <c r="N1161" s="1390"/>
      <c r="O1161" s="1389" t="s">
        <v>28</v>
      </c>
      <c r="P1161" s="1393"/>
      <c r="Q1161" s="1390"/>
      <c r="R1161" s="1400" t="s">
        <v>36</v>
      </c>
      <c r="S1161" s="361"/>
      <c r="T1161" s="361">
        <f>MAX(J1165:J1179)-MIN(I1165:I1179)</f>
        <v>0.97916666666666674</v>
      </c>
      <c r="U1161" s="361"/>
      <c r="V1161" s="853" t="str">
        <f t="shared" ref="V1161" si="124">B1165</f>
        <v>A149</v>
      </c>
      <c r="W1161" s="361">
        <f t="shared" ref="W1161" si="125">COUNTIF(K1166:K1180,"&gt;0")</f>
        <v>4</v>
      </c>
    </row>
    <row r="1162" spans="1:23">
      <c r="A1162" s="1401"/>
      <c r="B1162" s="1401"/>
      <c r="C1162" s="828"/>
      <c r="D1162" s="872"/>
      <c r="E1162" s="1401"/>
      <c r="F1162" s="1401"/>
      <c r="G1162" s="1391"/>
      <c r="H1162" s="1392"/>
      <c r="I1162" s="1391"/>
      <c r="J1162" s="1392"/>
      <c r="K1162" s="1394"/>
      <c r="L1162" s="1392"/>
      <c r="M1162" s="1391"/>
      <c r="N1162" s="1392"/>
      <c r="O1162" s="1391"/>
      <c r="P1162" s="1394"/>
      <c r="Q1162" s="1392"/>
      <c r="R1162" s="1401"/>
      <c r="S1162" s="361"/>
      <c r="T1162" s="361"/>
      <c r="U1162" s="361"/>
      <c r="V1162" s="361"/>
      <c r="W1162" s="361"/>
    </row>
    <row r="1163" spans="1:23">
      <c r="A1163" s="1401"/>
      <c r="B1163" s="1401"/>
      <c r="C1163" s="828"/>
      <c r="D1163" s="872"/>
      <c r="E1163" s="1401"/>
      <c r="F1163" s="1401"/>
      <c r="G1163" s="1400" t="s">
        <v>20</v>
      </c>
      <c r="H1163" s="1400" t="s">
        <v>21</v>
      </c>
      <c r="I1163" s="1400" t="s">
        <v>361</v>
      </c>
      <c r="J1163" s="1400" t="s">
        <v>353</v>
      </c>
      <c r="K1163" s="1400" t="s">
        <v>23</v>
      </c>
      <c r="L1163" s="1400" t="s">
        <v>24</v>
      </c>
      <c r="M1163" s="1400" t="s">
        <v>27</v>
      </c>
      <c r="N1163" s="1400" t="s">
        <v>178</v>
      </c>
      <c r="O1163" s="1400" t="s">
        <v>1</v>
      </c>
      <c r="P1163" s="1400" t="s">
        <v>29</v>
      </c>
      <c r="Q1163" s="1400" t="s">
        <v>33</v>
      </c>
      <c r="R1163" s="1401"/>
      <c r="S1163" s="361"/>
      <c r="T1163" s="361" t="s">
        <v>39</v>
      </c>
      <c r="U1163" s="362">
        <f>VLOOKUP(B1165,'Thong tin'!$A:$M,13,0)</f>
        <v>1200</v>
      </c>
      <c r="V1163" s="361"/>
      <c r="W1163" s="361"/>
    </row>
    <row r="1164" spans="1:23">
      <c r="A1164" s="1402"/>
      <c r="B1164" s="1402"/>
      <c r="C1164" s="829"/>
      <c r="D1164" s="873"/>
      <c r="E1164" s="1402"/>
      <c r="F1164" s="1402"/>
      <c r="G1164" s="1402"/>
      <c r="H1164" s="1402"/>
      <c r="I1164" s="1402"/>
      <c r="J1164" s="1402"/>
      <c r="K1164" s="1402"/>
      <c r="L1164" s="1402"/>
      <c r="M1164" s="1402"/>
      <c r="N1164" s="1402"/>
      <c r="O1164" s="1402"/>
      <c r="P1164" s="1402"/>
      <c r="Q1164" s="1402"/>
      <c r="R1164" s="1402"/>
      <c r="S1164" s="361"/>
      <c r="T1164" s="1399" t="s">
        <v>393</v>
      </c>
      <c r="U1164" s="1397">
        <f>VLOOKUP(B1165,DT.NK!$B:$AZ,45,0)</f>
        <v>32.35</v>
      </c>
      <c r="V1164" s="361"/>
      <c r="W1164" s="361"/>
    </row>
    <row r="1165" spans="1:23">
      <c r="A1165" s="1409">
        <f>A1145+1</f>
        <v>59</v>
      </c>
      <c r="B1165" s="1412" t="s">
        <v>556</v>
      </c>
      <c r="C1165" s="844" t="s">
        <v>983</v>
      </c>
      <c r="D1165" s="874" t="str">
        <f>B1165&amp;C1165</f>
        <v>A149a</v>
      </c>
      <c r="E1165" s="363"/>
      <c r="F1165" s="364"/>
      <c r="G1165" s="364"/>
      <c r="H1165" s="364"/>
      <c r="I1165" s="364"/>
      <c r="J1165" s="364"/>
      <c r="K1165" s="364"/>
      <c r="L1165" s="364"/>
      <c r="M1165" s="674"/>
      <c r="N1165" s="670"/>
      <c r="O1165" s="670">
        <f>U1164</f>
        <v>32.35</v>
      </c>
      <c r="P1165" s="670">
        <f>O1165</f>
        <v>32.35</v>
      </c>
      <c r="Q1165" s="670">
        <v>0</v>
      </c>
      <c r="R1165" s="365"/>
      <c r="S1165" s="366"/>
      <c r="T1165" s="1399"/>
      <c r="U1165" s="1398"/>
      <c r="V1165" s="361"/>
      <c r="W1165" s="361"/>
    </row>
    <row r="1166" spans="1:23">
      <c r="A1166" s="1410"/>
      <c r="B1166" s="1413"/>
      <c r="C1166" s="845" t="s">
        <v>984</v>
      </c>
      <c r="D1166" s="875" t="str">
        <f>B1165&amp;C1166</f>
        <v>A149b</v>
      </c>
      <c r="E1166" s="367">
        <v>1</v>
      </c>
      <c r="F1166" s="669" t="s">
        <v>1007</v>
      </c>
      <c r="G1166" s="369">
        <v>0.92291666666666661</v>
      </c>
      <c r="H1166" s="368">
        <v>0.95486111111111116</v>
      </c>
      <c r="I1166" s="369">
        <v>0.97916666666666663</v>
      </c>
      <c r="J1166" s="368">
        <v>0.98611111111111116</v>
      </c>
      <c r="K1166" s="669">
        <v>10</v>
      </c>
      <c r="L1166" s="669">
        <v>19</v>
      </c>
      <c r="M1166" s="675">
        <v>27.2</v>
      </c>
      <c r="N1166" s="671">
        <f>IF(M1166-P1166&gt;0,M1166-P1166,0)</f>
        <v>2.6999999999999993</v>
      </c>
      <c r="O1166" s="671">
        <f>O1165-K1166/(PI()*(U1163/2000)^2)</f>
        <v>23.508058717116928</v>
      </c>
      <c r="P1166" s="672">
        <v>24.5</v>
      </c>
      <c r="Q1166" s="673">
        <f>ABS(O1166-P1166)</f>
        <v>0.99194128288307226</v>
      </c>
      <c r="R1166" s="375" t="s">
        <v>188</v>
      </c>
      <c r="S1166" s="366"/>
      <c r="T1166" s="376"/>
      <c r="U1166" s="376"/>
      <c r="V1166" s="366"/>
      <c r="W1166" s="366"/>
    </row>
    <row r="1167" spans="1:23">
      <c r="A1167" s="1410"/>
      <c r="B1167" s="1413"/>
      <c r="C1167" s="845" t="s">
        <v>985</v>
      </c>
      <c r="D1167" s="875" t="str">
        <f>B1165&amp;C1167</f>
        <v>A149c</v>
      </c>
      <c r="E1167" s="367">
        <v>2</v>
      </c>
      <c r="F1167" s="669" t="s">
        <v>1019</v>
      </c>
      <c r="G1167" s="369">
        <v>0.93402777777777779</v>
      </c>
      <c r="H1167" s="368">
        <v>0.97222222222222221</v>
      </c>
      <c r="I1167" s="369">
        <v>0.99305555555555547</v>
      </c>
      <c r="J1167" s="368">
        <v>0</v>
      </c>
      <c r="K1167" s="669">
        <v>10</v>
      </c>
      <c r="L1167" s="669">
        <v>19</v>
      </c>
      <c r="M1167" s="675">
        <v>20.9</v>
      </c>
      <c r="N1167" s="671">
        <f>IF(M1167-P1167&gt;0,M1167-P1167,0)</f>
        <v>4.6999999999999993</v>
      </c>
      <c r="O1167" s="671">
        <f>O1166-K1167/(PI()*(U1163/2000)^2)</f>
        <v>14.666117434233854</v>
      </c>
      <c r="P1167" s="672">
        <v>16.2</v>
      </c>
      <c r="Q1167" s="673">
        <f>ABS(O1167-P1167)</f>
        <v>1.5338825657661452</v>
      </c>
      <c r="R1167" s="375" t="s">
        <v>188</v>
      </c>
      <c r="S1167" s="366"/>
      <c r="T1167" s="376"/>
      <c r="U1167" s="376"/>
      <c r="V1167" s="366"/>
      <c r="W1167" s="366"/>
    </row>
    <row r="1168" spans="1:23">
      <c r="A1168" s="1410"/>
      <c r="B1168" s="1413"/>
      <c r="C1168" s="845" t="s">
        <v>986</v>
      </c>
      <c r="D1168" s="875" t="str">
        <f>B1165&amp;C1168</f>
        <v>A149d</v>
      </c>
      <c r="E1168" s="367">
        <v>3</v>
      </c>
      <c r="F1168" s="669" t="s">
        <v>1008</v>
      </c>
      <c r="G1168" s="369">
        <v>0.94236111111111109</v>
      </c>
      <c r="H1168" s="368">
        <v>0.97638888888888886</v>
      </c>
      <c r="I1168" s="369">
        <v>6.9444444444444441E-3</v>
      </c>
      <c r="J1168" s="368">
        <v>1.3888888888888888E-2</v>
      </c>
      <c r="K1168" s="669">
        <v>10</v>
      </c>
      <c r="L1168" s="669">
        <v>18.5</v>
      </c>
      <c r="M1168" s="675">
        <v>14.6</v>
      </c>
      <c r="N1168" s="671">
        <f>IF(M1168-P1168&gt;0,M1168-P1168,0)</f>
        <v>6.51</v>
      </c>
      <c r="O1168" s="671">
        <f>O1167-K1168/(PI()*(U1163/2000)^2)</f>
        <v>5.8241761513507804</v>
      </c>
      <c r="P1168" s="672">
        <v>8.09</v>
      </c>
      <c r="Q1168" s="673">
        <f>ABS(O1168-P1168)</f>
        <v>2.2658238486492195</v>
      </c>
      <c r="R1168" s="375" t="s">
        <v>188</v>
      </c>
      <c r="S1168" s="366"/>
      <c r="T1168" s="376"/>
      <c r="U1168" s="376"/>
      <c r="V1168" s="366"/>
      <c r="W1168" s="366"/>
    </row>
    <row r="1169" spans="1:23">
      <c r="A1169" s="1410"/>
      <c r="B1169" s="1413"/>
      <c r="C1169" s="845" t="s">
        <v>987</v>
      </c>
      <c r="D1169" s="875" t="str">
        <f>B1165&amp;C1169</f>
        <v>A149e</v>
      </c>
      <c r="E1169" s="367">
        <v>4</v>
      </c>
      <c r="F1169" s="669" t="s">
        <v>1014</v>
      </c>
      <c r="G1169" s="369">
        <v>1.5277777777777777E-2</v>
      </c>
      <c r="H1169" s="368">
        <v>3.888888888888889E-2</v>
      </c>
      <c r="I1169" s="369">
        <v>4.1666666666666664E-2</v>
      </c>
      <c r="J1169" s="368">
        <v>4.5138888888888888E-2</v>
      </c>
      <c r="K1169" s="669">
        <v>2</v>
      </c>
      <c r="L1169" s="370">
        <v>19</v>
      </c>
      <c r="M1169" s="675">
        <v>14.6</v>
      </c>
      <c r="N1169" s="671">
        <f>IF(M1169-P1169&gt;0,M1169-P1169,0)</f>
        <v>7.8999999999999995</v>
      </c>
      <c r="O1169" s="671">
        <f>O1168-K1169/(PI()*(U1163/2000)^2)</f>
        <v>4.0557878947741655</v>
      </c>
      <c r="P1169" s="373">
        <v>6.7</v>
      </c>
      <c r="Q1169" s="673">
        <f>ABS(O1169-P1169)</f>
        <v>2.6442121052258347</v>
      </c>
      <c r="R1169" s="375"/>
      <c r="S1169" s="366"/>
      <c r="T1169" s="376"/>
      <c r="U1169" s="376"/>
      <c r="V1169" s="366"/>
      <c r="W1169" s="366"/>
    </row>
    <row r="1170" spans="1:23">
      <c r="A1170" s="1410"/>
      <c r="B1170" s="1413"/>
      <c r="C1170" s="845" t="s">
        <v>988</v>
      </c>
      <c r="D1170" s="875" t="str">
        <f>B1165&amp;C1170</f>
        <v>A149f</v>
      </c>
      <c r="E1170" s="367">
        <v>5</v>
      </c>
      <c r="F1170" s="669"/>
      <c r="G1170" s="369"/>
      <c r="H1170" s="368"/>
      <c r="I1170" s="369"/>
      <c r="J1170" s="368"/>
      <c r="K1170" s="669"/>
      <c r="L1170" s="370"/>
      <c r="M1170" s="371"/>
      <c r="N1170" s="671"/>
      <c r="O1170" s="671"/>
      <c r="P1170" s="373"/>
      <c r="Q1170" s="673"/>
      <c r="R1170" s="377"/>
      <c r="S1170" s="366" t="s">
        <v>190</v>
      </c>
      <c r="T1170" s="376"/>
      <c r="U1170" s="376"/>
      <c r="V1170" s="366"/>
      <c r="W1170" s="366"/>
    </row>
    <row r="1171" spans="1:23">
      <c r="A1171" s="1410"/>
      <c r="B1171" s="1413"/>
      <c r="C1171" s="845" t="s">
        <v>989</v>
      </c>
      <c r="D1171" s="875" t="str">
        <f>B1165&amp;C1171</f>
        <v>A149g</v>
      </c>
      <c r="E1171" s="367">
        <v>6</v>
      </c>
      <c r="F1171" s="669"/>
      <c r="G1171" s="369"/>
      <c r="H1171" s="368"/>
      <c r="I1171" s="369"/>
      <c r="J1171" s="368"/>
      <c r="K1171" s="669"/>
      <c r="L1171" s="370"/>
      <c r="M1171" s="371"/>
      <c r="N1171" s="671"/>
      <c r="O1171" s="671"/>
      <c r="P1171" s="373"/>
      <c r="Q1171" s="673"/>
      <c r="R1171" s="375"/>
      <c r="S1171" s="366" t="s">
        <v>190</v>
      </c>
      <c r="T1171" s="366"/>
      <c r="U1171" s="366"/>
      <c r="V1171" s="366"/>
      <c r="W1171" s="366"/>
    </row>
    <row r="1172" spans="1:23">
      <c r="A1172" s="1410"/>
      <c r="B1172" s="1413"/>
      <c r="C1172" s="845" t="s">
        <v>990</v>
      </c>
      <c r="D1172" s="875" t="str">
        <f>B1165&amp;C1172</f>
        <v>A149h</v>
      </c>
      <c r="E1172" s="367">
        <v>7</v>
      </c>
      <c r="F1172" s="669"/>
      <c r="G1172" s="368"/>
      <c r="H1172" s="368"/>
      <c r="I1172" s="368"/>
      <c r="J1172" s="368"/>
      <c r="K1172" s="669"/>
      <c r="L1172" s="370"/>
      <c r="M1172" s="371"/>
      <c r="N1172" s="671"/>
      <c r="O1172" s="671"/>
      <c r="P1172" s="373"/>
      <c r="Q1172" s="673"/>
      <c r="R1172" s="377"/>
      <c r="S1172" s="366" t="s">
        <v>190</v>
      </c>
      <c r="T1172" s="366"/>
      <c r="U1172" s="366"/>
      <c r="V1172" s="366"/>
      <c r="W1172" s="366"/>
    </row>
    <row r="1173" spans="1:23">
      <c r="A1173" s="1410"/>
      <c r="B1173" s="1413"/>
      <c r="C1173" s="845" t="s">
        <v>991</v>
      </c>
      <c r="D1173" s="875" t="str">
        <f>B1165&amp;C1173</f>
        <v>A149i</v>
      </c>
      <c r="E1173" s="367">
        <v>8</v>
      </c>
      <c r="F1173" s="669"/>
      <c r="G1173" s="368"/>
      <c r="H1173" s="368"/>
      <c r="I1173" s="368"/>
      <c r="J1173" s="368"/>
      <c r="K1173" s="370"/>
      <c r="L1173" s="370"/>
      <c r="M1173" s="371"/>
      <c r="N1173" s="671"/>
      <c r="O1173" s="671"/>
      <c r="P1173" s="373"/>
      <c r="Q1173" s="673"/>
      <c r="R1173" s="378"/>
      <c r="S1173" s="366"/>
      <c r="T1173" s="366"/>
      <c r="U1173" s="366"/>
      <c r="V1173" s="366"/>
      <c r="W1173" s="366"/>
    </row>
    <row r="1174" spans="1:23">
      <c r="A1174" s="1410"/>
      <c r="B1174" s="1413"/>
      <c r="C1174" s="845" t="s">
        <v>992</v>
      </c>
      <c r="D1174" s="875" t="str">
        <f>B1165&amp;C1174</f>
        <v>A149k</v>
      </c>
      <c r="E1174" s="367">
        <v>9</v>
      </c>
      <c r="F1174" s="370"/>
      <c r="G1174" s="368"/>
      <c r="H1174" s="368"/>
      <c r="I1174" s="368"/>
      <c r="J1174" s="368"/>
      <c r="K1174" s="370"/>
      <c r="L1174" s="370"/>
      <c r="M1174" s="371"/>
      <c r="N1174" s="372"/>
      <c r="O1174" s="372"/>
      <c r="P1174" s="373"/>
      <c r="Q1174" s="374"/>
      <c r="R1174" s="378"/>
      <c r="S1174" s="379"/>
      <c r="T1174" s="366"/>
      <c r="U1174" s="366"/>
      <c r="V1174" s="366"/>
      <c r="W1174" s="366"/>
    </row>
    <row r="1175" spans="1:23">
      <c r="A1175" s="1410"/>
      <c r="B1175" s="1413"/>
      <c r="C1175" s="845" t="s">
        <v>993</v>
      </c>
      <c r="D1175" s="875" t="str">
        <f>B1165&amp;C1175</f>
        <v>A149l</v>
      </c>
      <c r="E1175" s="367">
        <v>10</v>
      </c>
      <c r="F1175" s="370"/>
      <c r="G1175" s="368"/>
      <c r="H1175" s="368"/>
      <c r="I1175" s="368"/>
      <c r="J1175" s="368"/>
      <c r="K1175" s="370"/>
      <c r="L1175" s="370"/>
      <c r="M1175" s="370"/>
      <c r="N1175" s="372"/>
      <c r="O1175" s="372"/>
      <c r="P1175" s="373"/>
      <c r="Q1175" s="374"/>
      <c r="R1175" s="378"/>
      <c r="S1175" s="379"/>
      <c r="T1175" s="366"/>
      <c r="U1175" s="366"/>
      <c r="V1175" s="366"/>
      <c r="W1175" s="366"/>
    </row>
    <row r="1176" spans="1:23">
      <c r="A1176" s="1410"/>
      <c r="B1176" s="1413"/>
      <c r="C1176" s="845" t="s">
        <v>994</v>
      </c>
      <c r="D1176" s="875" t="str">
        <f>B1165&amp;C1176</f>
        <v>A149m</v>
      </c>
      <c r="E1176" s="367">
        <v>11</v>
      </c>
      <c r="F1176" s="370"/>
      <c r="G1176" s="368"/>
      <c r="H1176" s="368"/>
      <c r="I1176" s="368"/>
      <c r="J1176" s="368"/>
      <c r="K1176" s="370"/>
      <c r="L1176" s="370"/>
      <c r="M1176" s="370"/>
      <c r="N1176" s="372"/>
      <c r="O1176" s="372"/>
      <c r="P1176" s="380"/>
      <c r="Q1176" s="374"/>
      <c r="R1176" s="381"/>
      <c r="S1176" s="379"/>
      <c r="T1176" s="366"/>
      <c r="U1176" s="366"/>
      <c r="V1176" s="366"/>
      <c r="W1176" s="366"/>
    </row>
    <row r="1177" spans="1:23">
      <c r="A1177" s="1410"/>
      <c r="B1177" s="1413"/>
      <c r="C1177" s="845" t="s">
        <v>995</v>
      </c>
      <c r="D1177" s="875" t="str">
        <f>B1165&amp;C1177</f>
        <v>A149n</v>
      </c>
      <c r="E1177" s="367">
        <v>12</v>
      </c>
      <c r="F1177" s="370"/>
      <c r="G1177" s="368"/>
      <c r="H1177" s="368"/>
      <c r="I1177" s="368"/>
      <c r="J1177" s="368"/>
      <c r="K1177" s="370"/>
      <c r="L1177" s="370"/>
      <c r="M1177" s="370"/>
      <c r="N1177" s="372"/>
      <c r="O1177" s="372"/>
      <c r="P1177" s="380"/>
      <c r="Q1177" s="374"/>
      <c r="R1177" s="381"/>
      <c r="S1177" s="361"/>
      <c r="T1177" s="361"/>
      <c r="U1177" s="361"/>
      <c r="V1177" s="366"/>
      <c r="W1177" s="366"/>
    </row>
    <row r="1178" spans="1:23">
      <c r="A1178" s="1410"/>
      <c r="B1178" s="1413"/>
      <c r="C1178" s="845" t="s">
        <v>471</v>
      </c>
      <c r="D1178" s="875" t="str">
        <f>B1165&amp;C1178</f>
        <v>A149x</v>
      </c>
      <c r="E1178" s="367">
        <v>13</v>
      </c>
      <c r="F1178" s="370"/>
      <c r="G1178" s="368"/>
      <c r="H1178" s="368"/>
      <c r="I1178" s="368"/>
      <c r="J1178" s="368"/>
      <c r="K1178" s="370"/>
      <c r="L1178" s="370"/>
      <c r="M1178" s="370"/>
      <c r="N1178" s="382"/>
      <c r="O1178" s="372"/>
      <c r="P1178" s="380"/>
      <c r="Q1178" s="381"/>
      <c r="R1178" s="381"/>
      <c r="S1178" s="361"/>
      <c r="T1178" s="361"/>
      <c r="U1178" s="361"/>
      <c r="V1178" s="366"/>
      <c r="W1178" s="366"/>
    </row>
    <row r="1179" spans="1:23">
      <c r="A1179" s="1410"/>
      <c r="B1179" s="1413"/>
      <c r="C1179" s="845" t="s">
        <v>732</v>
      </c>
      <c r="D1179" s="875" t="str">
        <f>B1165&amp;C1179</f>
        <v>A149y</v>
      </c>
      <c r="E1179" s="367">
        <v>14</v>
      </c>
      <c r="F1179" s="370"/>
      <c r="G1179" s="368"/>
      <c r="H1179" s="368"/>
      <c r="I1179" s="368"/>
      <c r="J1179" s="368"/>
      <c r="K1179" s="370"/>
      <c r="L1179" s="370"/>
      <c r="M1179" s="370"/>
      <c r="N1179" s="382"/>
      <c r="O1179" s="372"/>
      <c r="P1179" s="380"/>
      <c r="Q1179" s="381"/>
      <c r="R1179" s="381"/>
      <c r="S1179" s="361"/>
      <c r="T1179" s="361"/>
      <c r="U1179" s="362"/>
      <c r="V1179" s="366"/>
      <c r="W1179" s="366"/>
    </row>
    <row r="1180" spans="1:23">
      <c r="A1180" s="1411"/>
      <c r="B1180" s="1414"/>
      <c r="C1180" s="846" t="s">
        <v>996</v>
      </c>
      <c r="D1180" s="876" t="str">
        <f>B1165&amp;C1180</f>
        <v>A149z</v>
      </c>
      <c r="E1180" s="847">
        <v>15</v>
      </c>
      <c r="F1180" s="370"/>
      <c r="G1180" s="368"/>
      <c r="H1180" s="368"/>
      <c r="I1180" s="368"/>
      <c r="J1180" s="368"/>
      <c r="K1180" s="370"/>
      <c r="L1180" s="370"/>
      <c r="M1180" s="370"/>
      <c r="N1180" s="850"/>
      <c r="O1180" s="851"/>
      <c r="P1180" s="380"/>
      <c r="Q1180" s="852"/>
      <c r="R1180" s="383"/>
      <c r="S1180" s="361"/>
      <c r="T1180" s="832"/>
      <c r="U1180" s="830"/>
      <c r="V1180" s="366"/>
      <c r="W1180" s="366"/>
    </row>
    <row r="1181" spans="1:23">
      <c r="A1181" s="1400" t="s">
        <v>939</v>
      </c>
      <c r="B1181" s="1400"/>
      <c r="C1181" s="827"/>
      <c r="D1181" s="871"/>
      <c r="E1181" s="1400" t="s">
        <v>177</v>
      </c>
      <c r="F1181" s="1400" t="s">
        <v>18</v>
      </c>
      <c r="G1181" s="1389" t="s">
        <v>19</v>
      </c>
      <c r="H1181" s="1390"/>
      <c r="I1181" s="1389" t="s">
        <v>22</v>
      </c>
      <c r="J1181" s="1390"/>
      <c r="K1181" s="1393" t="s">
        <v>26</v>
      </c>
      <c r="L1181" s="1390"/>
      <c r="M1181" s="1389" t="s">
        <v>392</v>
      </c>
      <c r="N1181" s="1390"/>
      <c r="O1181" s="1389" t="s">
        <v>28</v>
      </c>
      <c r="P1181" s="1393"/>
      <c r="Q1181" s="1390"/>
      <c r="R1181" s="1400" t="s">
        <v>36</v>
      </c>
      <c r="S1181" s="361"/>
      <c r="T1181" s="361">
        <f>MAX(J1185:J1199)-MIN(I1185:I1199)</f>
        <v>2.0833333333333332E-2</v>
      </c>
      <c r="U1181" s="361"/>
      <c r="V1181" s="853" t="str">
        <f t="shared" ref="V1181" si="126">B1185</f>
        <v>A44</v>
      </c>
      <c r="W1181" s="361">
        <f t="shared" ref="W1181" si="127">COUNTIF(K1186:K1200,"&gt;0")</f>
        <v>2</v>
      </c>
    </row>
    <row r="1182" spans="1:23">
      <c r="A1182" s="1401"/>
      <c r="B1182" s="1401"/>
      <c r="C1182" s="828"/>
      <c r="D1182" s="872"/>
      <c r="E1182" s="1401"/>
      <c r="F1182" s="1401"/>
      <c r="G1182" s="1391"/>
      <c r="H1182" s="1392"/>
      <c r="I1182" s="1391"/>
      <c r="J1182" s="1392"/>
      <c r="K1182" s="1394"/>
      <c r="L1182" s="1392"/>
      <c r="M1182" s="1391"/>
      <c r="N1182" s="1392"/>
      <c r="O1182" s="1391"/>
      <c r="P1182" s="1394"/>
      <c r="Q1182" s="1392"/>
      <c r="R1182" s="1401"/>
      <c r="S1182" s="361"/>
      <c r="T1182" s="361"/>
      <c r="U1182" s="361"/>
      <c r="V1182" s="361"/>
      <c r="W1182" s="361"/>
    </row>
    <row r="1183" spans="1:23">
      <c r="A1183" s="1401"/>
      <c r="B1183" s="1401"/>
      <c r="C1183" s="828"/>
      <c r="D1183" s="872"/>
      <c r="E1183" s="1401"/>
      <c r="F1183" s="1401"/>
      <c r="G1183" s="1400" t="s">
        <v>20</v>
      </c>
      <c r="H1183" s="1400" t="s">
        <v>21</v>
      </c>
      <c r="I1183" s="1400" t="s">
        <v>361</v>
      </c>
      <c r="J1183" s="1400" t="s">
        <v>353</v>
      </c>
      <c r="K1183" s="1400" t="s">
        <v>23</v>
      </c>
      <c r="L1183" s="1400" t="s">
        <v>24</v>
      </c>
      <c r="M1183" s="1400" t="s">
        <v>27</v>
      </c>
      <c r="N1183" s="1400" t="s">
        <v>178</v>
      </c>
      <c r="O1183" s="1400" t="s">
        <v>1</v>
      </c>
      <c r="P1183" s="1400" t="s">
        <v>29</v>
      </c>
      <c r="Q1183" s="1400" t="s">
        <v>33</v>
      </c>
      <c r="R1183" s="1401"/>
      <c r="S1183" s="361"/>
      <c r="T1183" s="361" t="s">
        <v>39</v>
      </c>
      <c r="U1183" s="362">
        <f>VLOOKUP(B1185,'Thong tin'!$A:$M,13,0)</f>
        <v>1200</v>
      </c>
      <c r="V1183" s="361"/>
      <c r="W1183" s="361"/>
    </row>
    <row r="1184" spans="1:23">
      <c r="A1184" s="1402"/>
      <c r="B1184" s="1402"/>
      <c r="C1184" s="829"/>
      <c r="D1184" s="873"/>
      <c r="E1184" s="1402"/>
      <c r="F1184" s="1402"/>
      <c r="G1184" s="1402"/>
      <c r="H1184" s="1402"/>
      <c r="I1184" s="1402"/>
      <c r="J1184" s="1402"/>
      <c r="K1184" s="1402"/>
      <c r="L1184" s="1402"/>
      <c r="M1184" s="1402"/>
      <c r="N1184" s="1402"/>
      <c r="O1184" s="1402"/>
      <c r="P1184" s="1402"/>
      <c r="Q1184" s="1402"/>
      <c r="R1184" s="1402"/>
      <c r="S1184" s="361"/>
      <c r="T1184" s="1399" t="s">
        <v>393</v>
      </c>
      <c r="U1184" s="1397">
        <f>VLOOKUP(B1185,DT.NK!$B:$AZ,45,0)</f>
        <v>24.35</v>
      </c>
      <c r="V1184" s="361"/>
      <c r="W1184" s="361"/>
    </row>
    <row r="1185" spans="1:23">
      <c r="A1185" s="1409">
        <f>A1165+1</f>
        <v>60</v>
      </c>
      <c r="B1185" s="1412" t="s">
        <v>698</v>
      </c>
      <c r="C1185" s="844" t="s">
        <v>983</v>
      </c>
      <c r="D1185" s="874" t="str">
        <f>B1185&amp;C1185</f>
        <v>A44a</v>
      </c>
      <c r="E1185" s="363"/>
      <c r="F1185" s="364"/>
      <c r="G1185" s="364"/>
      <c r="H1185" s="364"/>
      <c r="I1185" s="364"/>
      <c r="J1185" s="364"/>
      <c r="K1185" s="364"/>
      <c r="L1185" s="364"/>
      <c r="M1185" s="674"/>
      <c r="N1185" s="670"/>
      <c r="O1185" s="670">
        <f>U1184</f>
        <v>24.35</v>
      </c>
      <c r="P1185" s="670">
        <f>O1185</f>
        <v>24.35</v>
      </c>
      <c r="Q1185" s="670">
        <v>0</v>
      </c>
      <c r="R1185" s="365"/>
      <c r="S1185" s="366"/>
      <c r="T1185" s="1399"/>
      <c r="U1185" s="1398"/>
      <c r="V1185" s="361"/>
      <c r="W1185" s="361"/>
    </row>
    <row r="1186" spans="1:23">
      <c r="A1186" s="1410"/>
      <c r="B1186" s="1413"/>
      <c r="C1186" s="845" t="s">
        <v>984</v>
      </c>
      <c r="D1186" s="875" t="str">
        <f>B1185&amp;C1186</f>
        <v>A44b</v>
      </c>
      <c r="E1186" s="367">
        <v>1</v>
      </c>
      <c r="F1186" s="669" t="s">
        <v>1081</v>
      </c>
      <c r="G1186" s="369">
        <v>0.96180555555555547</v>
      </c>
      <c r="H1186" s="368">
        <v>0.99305555555555547</v>
      </c>
      <c r="I1186" s="369">
        <v>6.9444444444444441E-3</v>
      </c>
      <c r="J1186" s="368">
        <v>1.3888888888888888E-2</v>
      </c>
      <c r="K1186" s="669">
        <v>10</v>
      </c>
      <c r="L1186" s="669">
        <v>18</v>
      </c>
      <c r="M1186" s="675">
        <v>19.2</v>
      </c>
      <c r="N1186" s="671">
        <f>IF(M1186-P1186&gt;0,M1186-P1186,0)</f>
        <v>3.3999999999999986</v>
      </c>
      <c r="O1186" s="671">
        <f>O1185-K1186/(PI()*(U1183/2000)^2)</f>
        <v>15.508058717116928</v>
      </c>
      <c r="P1186" s="672">
        <v>15.8</v>
      </c>
      <c r="Q1186" s="673">
        <f>ABS(O1186-P1186)</f>
        <v>0.29194128288307297</v>
      </c>
      <c r="R1186" s="375" t="s">
        <v>188</v>
      </c>
      <c r="S1186" s="366"/>
      <c r="T1186" s="376"/>
      <c r="U1186" s="376"/>
      <c r="V1186" s="366"/>
      <c r="W1186" s="366"/>
    </row>
    <row r="1187" spans="1:23">
      <c r="A1187" s="1410"/>
      <c r="B1187" s="1413"/>
      <c r="C1187" s="845" t="s">
        <v>985</v>
      </c>
      <c r="D1187" s="875" t="str">
        <f>B1185&amp;C1187</f>
        <v>A44c</v>
      </c>
      <c r="E1187" s="367">
        <v>2</v>
      </c>
      <c r="F1187" s="669" t="s">
        <v>1081</v>
      </c>
      <c r="G1187" s="369">
        <v>0.96875</v>
      </c>
      <c r="H1187" s="368">
        <v>3.472222222222222E-3</v>
      </c>
      <c r="I1187" s="369">
        <v>2.0833333333333332E-2</v>
      </c>
      <c r="J1187" s="368">
        <v>2.7777777777777776E-2</v>
      </c>
      <c r="K1187" s="669">
        <v>11</v>
      </c>
      <c r="L1187" s="669">
        <v>18</v>
      </c>
      <c r="M1187" s="675">
        <v>19.2</v>
      </c>
      <c r="N1187" s="671">
        <f>IF(M1187-P1187&gt;0,M1187-P1187,0)</f>
        <v>12.2</v>
      </c>
      <c r="O1187" s="671">
        <f>O1186-K1187/(PI()*(U1183/2000)^2)</f>
        <v>5.7819233059455453</v>
      </c>
      <c r="P1187" s="672">
        <v>7</v>
      </c>
      <c r="Q1187" s="673">
        <f>ABS(O1187-P1187)</f>
        <v>1.2180766940544547</v>
      </c>
      <c r="R1187" s="375" t="s">
        <v>188</v>
      </c>
      <c r="S1187" s="366"/>
      <c r="T1187" s="376"/>
      <c r="U1187" s="376"/>
      <c r="V1187" s="366"/>
      <c r="W1187" s="366"/>
    </row>
    <row r="1188" spans="1:23">
      <c r="A1188" s="1410"/>
      <c r="B1188" s="1413"/>
      <c r="C1188" s="845" t="s">
        <v>986</v>
      </c>
      <c r="D1188" s="875" t="str">
        <f>B1185&amp;C1188</f>
        <v>A44d</v>
      </c>
      <c r="E1188" s="367">
        <v>3</v>
      </c>
      <c r="F1188" s="669"/>
      <c r="G1188" s="369"/>
      <c r="H1188" s="368"/>
      <c r="I1188" s="369"/>
      <c r="J1188" s="368"/>
      <c r="K1188" s="669"/>
      <c r="L1188" s="669"/>
      <c r="M1188" s="675"/>
      <c r="N1188" s="671"/>
      <c r="O1188" s="671"/>
      <c r="P1188" s="672"/>
      <c r="Q1188" s="673"/>
      <c r="R1188" s="375"/>
      <c r="S1188" s="366"/>
      <c r="T1188" s="376"/>
      <c r="U1188" s="376"/>
      <c r="V1188" s="366"/>
      <c r="W1188" s="366"/>
    </row>
    <row r="1189" spans="1:23">
      <c r="A1189" s="1410"/>
      <c r="B1189" s="1413"/>
      <c r="C1189" s="845" t="s">
        <v>987</v>
      </c>
      <c r="D1189" s="875" t="str">
        <f>B1185&amp;C1189</f>
        <v>A44e</v>
      </c>
      <c r="E1189" s="367">
        <v>4</v>
      </c>
      <c r="F1189" s="669"/>
      <c r="G1189" s="369"/>
      <c r="H1189" s="368"/>
      <c r="I1189" s="369"/>
      <c r="J1189" s="368"/>
      <c r="K1189" s="669"/>
      <c r="L1189" s="370"/>
      <c r="M1189" s="675"/>
      <c r="N1189" s="671"/>
      <c r="O1189" s="671"/>
      <c r="P1189" s="373"/>
      <c r="Q1189" s="673"/>
      <c r="R1189" s="375"/>
      <c r="S1189" s="366"/>
      <c r="T1189" s="376"/>
      <c r="U1189" s="376"/>
      <c r="V1189" s="366"/>
      <c r="W1189" s="366"/>
    </row>
    <row r="1190" spans="1:23">
      <c r="A1190" s="1410"/>
      <c r="B1190" s="1413"/>
      <c r="C1190" s="845" t="s">
        <v>988</v>
      </c>
      <c r="D1190" s="875" t="str">
        <f>B1185&amp;C1190</f>
        <v>A44f</v>
      </c>
      <c r="E1190" s="367">
        <v>5</v>
      </c>
      <c r="F1190" s="669"/>
      <c r="G1190" s="369"/>
      <c r="H1190" s="368"/>
      <c r="I1190" s="369"/>
      <c r="J1190" s="368"/>
      <c r="K1190" s="669"/>
      <c r="L1190" s="370"/>
      <c r="M1190" s="371"/>
      <c r="N1190" s="671"/>
      <c r="O1190" s="671"/>
      <c r="P1190" s="373"/>
      <c r="Q1190" s="673"/>
      <c r="R1190" s="377"/>
      <c r="S1190" s="366" t="s">
        <v>190</v>
      </c>
      <c r="T1190" s="376"/>
      <c r="U1190" s="376"/>
      <c r="V1190" s="366"/>
      <c r="W1190" s="366"/>
    </row>
    <row r="1191" spans="1:23">
      <c r="A1191" s="1410"/>
      <c r="B1191" s="1413"/>
      <c r="C1191" s="845" t="s">
        <v>989</v>
      </c>
      <c r="D1191" s="875" t="str">
        <f>B1185&amp;C1191</f>
        <v>A44g</v>
      </c>
      <c r="E1191" s="367">
        <v>6</v>
      </c>
      <c r="F1191" s="669"/>
      <c r="G1191" s="369"/>
      <c r="H1191" s="368"/>
      <c r="I1191" s="369"/>
      <c r="J1191" s="368"/>
      <c r="K1191" s="669"/>
      <c r="L1191" s="370"/>
      <c r="M1191" s="371"/>
      <c r="N1191" s="671"/>
      <c r="O1191" s="671"/>
      <c r="P1191" s="373"/>
      <c r="Q1191" s="673"/>
      <c r="R1191" s="375"/>
      <c r="S1191" s="366" t="s">
        <v>190</v>
      </c>
      <c r="T1191" s="366"/>
      <c r="U1191" s="366"/>
      <c r="V1191" s="366"/>
      <c r="W1191" s="366"/>
    </row>
    <row r="1192" spans="1:23">
      <c r="A1192" s="1410"/>
      <c r="B1192" s="1413"/>
      <c r="C1192" s="845" t="s">
        <v>990</v>
      </c>
      <c r="D1192" s="875" t="str">
        <f>B1185&amp;C1192</f>
        <v>A44h</v>
      </c>
      <c r="E1192" s="367">
        <v>7</v>
      </c>
      <c r="F1192" s="669"/>
      <c r="G1192" s="368"/>
      <c r="H1192" s="368"/>
      <c r="I1192" s="368"/>
      <c r="J1192" s="368"/>
      <c r="K1192" s="669"/>
      <c r="L1192" s="370"/>
      <c r="M1192" s="371"/>
      <c r="N1192" s="671"/>
      <c r="O1192" s="671"/>
      <c r="P1192" s="373"/>
      <c r="Q1192" s="673"/>
      <c r="R1192" s="377"/>
      <c r="S1192" s="366" t="s">
        <v>190</v>
      </c>
      <c r="T1192" s="366"/>
      <c r="U1192" s="366"/>
      <c r="V1192" s="366"/>
      <c r="W1192" s="366"/>
    </row>
    <row r="1193" spans="1:23">
      <c r="A1193" s="1410"/>
      <c r="B1193" s="1413"/>
      <c r="C1193" s="845" t="s">
        <v>991</v>
      </c>
      <c r="D1193" s="875" t="str">
        <f>B1185&amp;C1193</f>
        <v>A44i</v>
      </c>
      <c r="E1193" s="367">
        <v>8</v>
      </c>
      <c r="F1193" s="669"/>
      <c r="G1193" s="368"/>
      <c r="H1193" s="368"/>
      <c r="I1193" s="368"/>
      <c r="J1193" s="368"/>
      <c r="K1193" s="370"/>
      <c r="L1193" s="370"/>
      <c r="M1193" s="371"/>
      <c r="N1193" s="671"/>
      <c r="O1193" s="671"/>
      <c r="P1193" s="373"/>
      <c r="Q1193" s="673"/>
      <c r="R1193" s="378"/>
      <c r="S1193" s="366"/>
      <c r="T1193" s="366"/>
      <c r="U1193" s="366"/>
      <c r="V1193" s="366"/>
      <c r="W1193" s="366"/>
    </row>
    <row r="1194" spans="1:23">
      <c r="A1194" s="1410"/>
      <c r="B1194" s="1413"/>
      <c r="C1194" s="845" t="s">
        <v>992</v>
      </c>
      <c r="D1194" s="875" t="str">
        <f>B1185&amp;C1194</f>
        <v>A44k</v>
      </c>
      <c r="E1194" s="367">
        <v>9</v>
      </c>
      <c r="F1194" s="370"/>
      <c r="G1194" s="368"/>
      <c r="H1194" s="368"/>
      <c r="I1194" s="368"/>
      <c r="J1194" s="368"/>
      <c r="K1194" s="370"/>
      <c r="L1194" s="370"/>
      <c r="M1194" s="371"/>
      <c r="N1194" s="372"/>
      <c r="O1194" s="372"/>
      <c r="P1194" s="373"/>
      <c r="Q1194" s="374"/>
      <c r="R1194" s="378"/>
      <c r="S1194" s="379"/>
      <c r="T1194" s="366"/>
      <c r="U1194" s="366"/>
      <c r="V1194" s="366"/>
      <c r="W1194" s="366"/>
    </row>
    <row r="1195" spans="1:23">
      <c r="A1195" s="1410"/>
      <c r="B1195" s="1413"/>
      <c r="C1195" s="845" t="s">
        <v>993</v>
      </c>
      <c r="D1195" s="875" t="str">
        <f>B1185&amp;C1195</f>
        <v>A44l</v>
      </c>
      <c r="E1195" s="367">
        <v>10</v>
      </c>
      <c r="F1195" s="370"/>
      <c r="G1195" s="368"/>
      <c r="H1195" s="368"/>
      <c r="I1195" s="368"/>
      <c r="J1195" s="368"/>
      <c r="K1195" s="370"/>
      <c r="L1195" s="370"/>
      <c r="M1195" s="370"/>
      <c r="N1195" s="372"/>
      <c r="O1195" s="372"/>
      <c r="P1195" s="373"/>
      <c r="Q1195" s="374"/>
      <c r="R1195" s="378"/>
      <c r="S1195" s="379"/>
      <c r="T1195" s="366"/>
      <c r="U1195" s="366"/>
      <c r="V1195" s="366"/>
      <c r="W1195" s="366"/>
    </row>
    <row r="1196" spans="1:23">
      <c r="A1196" s="1410"/>
      <c r="B1196" s="1413"/>
      <c r="C1196" s="845" t="s">
        <v>994</v>
      </c>
      <c r="D1196" s="875" t="str">
        <f>B1185&amp;C1196</f>
        <v>A44m</v>
      </c>
      <c r="E1196" s="367">
        <v>11</v>
      </c>
      <c r="F1196" s="370"/>
      <c r="G1196" s="368"/>
      <c r="H1196" s="368"/>
      <c r="I1196" s="368"/>
      <c r="J1196" s="368"/>
      <c r="K1196" s="370"/>
      <c r="L1196" s="370"/>
      <c r="M1196" s="370"/>
      <c r="N1196" s="372"/>
      <c r="O1196" s="372"/>
      <c r="P1196" s="380"/>
      <c r="Q1196" s="374"/>
      <c r="R1196" s="381"/>
      <c r="S1196" s="379"/>
      <c r="T1196" s="366"/>
      <c r="U1196" s="366"/>
      <c r="V1196" s="366"/>
      <c r="W1196" s="366"/>
    </row>
    <row r="1197" spans="1:23">
      <c r="A1197" s="1410"/>
      <c r="B1197" s="1413"/>
      <c r="C1197" s="845" t="s">
        <v>995</v>
      </c>
      <c r="D1197" s="875" t="str">
        <f>B1185&amp;C1197</f>
        <v>A44n</v>
      </c>
      <c r="E1197" s="367">
        <v>12</v>
      </c>
      <c r="F1197" s="370"/>
      <c r="G1197" s="368"/>
      <c r="H1197" s="368"/>
      <c r="I1197" s="368"/>
      <c r="J1197" s="368"/>
      <c r="K1197" s="370"/>
      <c r="L1197" s="370"/>
      <c r="M1197" s="370"/>
      <c r="N1197" s="372"/>
      <c r="O1197" s="372"/>
      <c r="P1197" s="380"/>
      <c r="Q1197" s="374"/>
      <c r="R1197" s="381"/>
      <c r="S1197" s="361"/>
      <c r="T1197" s="361"/>
      <c r="U1197" s="361"/>
      <c r="V1197" s="366"/>
      <c r="W1197" s="366"/>
    </row>
    <row r="1198" spans="1:23">
      <c r="A1198" s="1410"/>
      <c r="B1198" s="1413"/>
      <c r="C1198" s="845" t="s">
        <v>471</v>
      </c>
      <c r="D1198" s="875" t="str">
        <f>B1185&amp;C1198</f>
        <v>A44x</v>
      </c>
      <c r="E1198" s="367">
        <v>13</v>
      </c>
      <c r="F1198" s="370"/>
      <c r="G1198" s="368"/>
      <c r="H1198" s="368"/>
      <c r="I1198" s="368"/>
      <c r="J1198" s="368"/>
      <c r="K1198" s="370"/>
      <c r="L1198" s="370"/>
      <c r="M1198" s="370"/>
      <c r="N1198" s="382"/>
      <c r="O1198" s="372"/>
      <c r="P1198" s="380"/>
      <c r="Q1198" s="381"/>
      <c r="R1198" s="381"/>
      <c r="S1198" s="361"/>
      <c r="T1198" s="361"/>
      <c r="U1198" s="361"/>
      <c r="V1198" s="366"/>
      <c r="W1198" s="366"/>
    </row>
    <row r="1199" spans="1:23">
      <c r="A1199" s="1410"/>
      <c r="B1199" s="1413"/>
      <c r="C1199" s="845" t="s">
        <v>732</v>
      </c>
      <c r="D1199" s="875" t="str">
        <f>B1185&amp;C1199</f>
        <v>A44y</v>
      </c>
      <c r="E1199" s="367">
        <v>14</v>
      </c>
      <c r="F1199" s="370"/>
      <c r="G1199" s="368"/>
      <c r="H1199" s="368"/>
      <c r="I1199" s="368"/>
      <c r="J1199" s="368"/>
      <c r="K1199" s="370"/>
      <c r="L1199" s="370"/>
      <c r="M1199" s="370"/>
      <c r="N1199" s="382"/>
      <c r="O1199" s="372"/>
      <c r="P1199" s="380"/>
      <c r="Q1199" s="381"/>
      <c r="R1199" s="381"/>
      <c r="S1199" s="361"/>
      <c r="T1199" s="361"/>
      <c r="U1199" s="362"/>
      <c r="V1199" s="366"/>
      <c r="W1199" s="366"/>
    </row>
    <row r="1200" spans="1:23">
      <c r="A1200" s="1411"/>
      <c r="B1200" s="1414"/>
      <c r="C1200" s="846" t="s">
        <v>996</v>
      </c>
      <c r="D1200" s="876" t="str">
        <f>B1185&amp;C1200</f>
        <v>A44z</v>
      </c>
      <c r="E1200" s="847">
        <v>15</v>
      </c>
      <c r="F1200" s="370"/>
      <c r="G1200" s="368"/>
      <c r="H1200" s="368"/>
      <c r="I1200" s="368"/>
      <c r="J1200" s="368"/>
      <c r="K1200" s="370"/>
      <c r="L1200" s="370"/>
      <c r="M1200" s="370"/>
      <c r="N1200" s="850"/>
      <c r="O1200" s="851"/>
      <c r="P1200" s="380"/>
      <c r="Q1200" s="852"/>
      <c r="R1200" s="383"/>
      <c r="S1200" s="361"/>
      <c r="T1200" s="832"/>
      <c r="U1200" s="830"/>
      <c r="V1200" s="366"/>
      <c r="W1200" s="366"/>
    </row>
    <row r="1201" spans="1:23">
      <c r="A1201" s="1400" t="s">
        <v>939</v>
      </c>
      <c r="B1201" s="1400"/>
      <c r="C1201" s="827"/>
      <c r="D1201" s="871"/>
      <c r="E1201" s="1400" t="s">
        <v>177</v>
      </c>
      <c r="F1201" s="1400" t="s">
        <v>18</v>
      </c>
      <c r="G1201" s="1389" t="s">
        <v>19</v>
      </c>
      <c r="H1201" s="1390"/>
      <c r="I1201" s="1389" t="s">
        <v>22</v>
      </c>
      <c r="J1201" s="1390"/>
      <c r="K1201" s="1393" t="s">
        <v>26</v>
      </c>
      <c r="L1201" s="1390"/>
      <c r="M1201" s="1389" t="s">
        <v>392</v>
      </c>
      <c r="N1201" s="1390"/>
      <c r="O1201" s="1389" t="s">
        <v>28</v>
      </c>
      <c r="P1201" s="1393"/>
      <c r="Q1201" s="1390"/>
      <c r="R1201" s="1400" t="s">
        <v>36</v>
      </c>
      <c r="S1201" s="361"/>
      <c r="T1201" s="361">
        <f>MAX(J1205:J1219)-MIN(I1205:I1219)</f>
        <v>0.12499999999999997</v>
      </c>
      <c r="U1201" s="361"/>
      <c r="V1201" s="853" t="str">
        <f t="shared" ref="V1201" si="128">B1205</f>
        <v>A40</v>
      </c>
      <c r="W1201" s="361">
        <f t="shared" ref="W1201" si="129">COUNTIF(K1206:K1220,"&gt;0")</f>
        <v>5</v>
      </c>
    </row>
    <row r="1202" spans="1:23">
      <c r="A1202" s="1401"/>
      <c r="B1202" s="1401"/>
      <c r="C1202" s="828"/>
      <c r="D1202" s="872"/>
      <c r="E1202" s="1401"/>
      <c r="F1202" s="1401"/>
      <c r="G1202" s="1391"/>
      <c r="H1202" s="1392"/>
      <c r="I1202" s="1391"/>
      <c r="J1202" s="1392"/>
      <c r="K1202" s="1394"/>
      <c r="L1202" s="1392"/>
      <c r="M1202" s="1391"/>
      <c r="N1202" s="1392"/>
      <c r="O1202" s="1391"/>
      <c r="P1202" s="1394"/>
      <c r="Q1202" s="1392"/>
      <c r="R1202" s="1401"/>
      <c r="S1202" s="361"/>
      <c r="T1202" s="361"/>
      <c r="U1202" s="361"/>
      <c r="V1202" s="361"/>
      <c r="W1202" s="361"/>
    </row>
    <row r="1203" spans="1:23">
      <c r="A1203" s="1401"/>
      <c r="B1203" s="1401"/>
      <c r="C1203" s="828"/>
      <c r="D1203" s="872"/>
      <c r="E1203" s="1401"/>
      <c r="F1203" s="1401"/>
      <c r="G1203" s="1400" t="s">
        <v>20</v>
      </c>
      <c r="H1203" s="1400" t="s">
        <v>21</v>
      </c>
      <c r="I1203" s="1400" t="s">
        <v>361</v>
      </c>
      <c r="J1203" s="1400" t="s">
        <v>353</v>
      </c>
      <c r="K1203" s="1400" t="s">
        <v>23</v>
      </c>
      <c r="L1203" s="1400" t="s">
        <v>24</v>
      </c>
      <c r="M1203" s="1400" t="s">
        <v>27</v>
      </c>
      <c r="N1203" s="1400" t="s">
        <v>178</v>
      </c>
      <c r="O1203" s="1400" t="s">
        <v>1</v>
      </c>
      <c r="P1203" s="1400" t="s">
        <v>29</v>
      </c>
      <c r="Q1203" s="1400" t="s">
        <v>33</v>
      </c>
      <c r="R1203" s="1401"/>
      <c r="S1203" s="361"/>
      <c r="T1203" s="361" t="s">
        <v>39</v>
      </c>
      <c r="U1203" s="362">
        <f>VLOOKUP(B1205,'Thong tin'!$A:$M,13,0)</f>
        <v>1200</v>
      </c>
      <c r="V1203" s="361"/>
      <c r="W1203" s="361"/>
    </row>
    <row r="1204" spans="1:23">
      <c r="A1204" s="1402"/>
      <c r="B1204" s="1402"/>
      <c r="C1204" s="829"/>
      <c r="D1204" s="873"/>
      <c r="E1204" s="1402"/>
      <c r="F1204" s="1402"/>
      <c r="G1204" s="1402"/>
      <c r="H1204" s="1402"/>
      <c r="I1204" s="1402"/>
      <c r="J1204" s="1402"/>
      <c r="K1204" s="1402"/>
      <c r="L1204" s="1402"/>
      <c r="M1204" s="1402"/>
      <c r="N1204" s="1402"/>
      <c r="O1204" s="1402"/>
      <c r="P1204" s="1402"/>
      <c r="Q1204" s="1402"/>
      <c r="R1204" s="1402"/>
      <c r="S1204" s="361"/>
      <c r="T1204" s="1399" t="s">
        <v>393</v>
      </c>
      <c r="U1204" s="1397">
        <f>VLOOKUP(B1205,DT.NK!$B:$AZ,45,0)</f>
        <v>35.200000000000003</v>
      </c>
      <c r="V1204" s="361"/>
      <c r="W1204" s="361"/>
    </row>
    <row r="1205" spans="1:23">
      <c r="A1205" s="1409">
        <f>A1185+1</f>
        <v>61</v>
      </c>
      <c r="B1205" s="1412" t="s">
        <v>681</v>
      </c>
      <c r="C1205" s="844" t="s">
        <v>983</v>
      </c>
      <c r="D1205" s="874" t="str">
        <f>B1205&amp;C1205</f>
        <v>A40a</v>
      </c>
      <c r="E1205" s="363"/>
      <c r="F1205" s="364"/>
      <c r="G1205" s="364"/>
      <c r="H1205" s="364"/>
      <c r="I1205" s="364"/>
      <c r="J1205" s="364"/>
      <c r="K1205" s="364"/>
      <c r="L1205" s="364"/>
      <c r="M1205" s="674"/>
      <c r="N1205" s="670"/>
      <c r="O1205" s="670">
        <f>U1204</f>
        <v>35.200000000000003</v>
      </c>
      <c r="P1205" s="670">
        <f>O1205</f>
        <v>35.200000000000003</v>
      </c>
      <c r="Q1205" s="670">
        <v>0</v>
      </c>
      <c r="R1205" s="365"/>
      <c r="S1205" s="366"/>
      <c r="T1205" s="1399"/>
      <c r="U1205" s="1398"/>
      <c r="V1205" s="361"/>
      <c r="W1205" s="361"/>
    </row>
    <row r="1206" spans="1:23">
      <c r="A1206" s="1410"/>
      <c r="B1206" s="1413"/>
      <c r="C1206" s="845" t="s">
        <v>984</v>
      </c>
      <c r="D1206" s="875" t="str">
        <f>B1205&amp;C1206</f>
        <v>A40b</v>
      </c>
      <c r="E1206" s="367">
        <v>1</v>
      </c>
      <c r="F1206" s="669" t="s">
        <v>1008</v>
      </c>
      <c r="G1206" s="369">
        <v>0.13194444444444445</v>
      </c>
      <c r="H1206" s="368">
        <v>0.16319444444444445</v>
      </c>
      <c r="I1206" s="369">
        <v>0.17361111111111113</v>
      </c>
      <c r="J1206" s="368">
        <v>0.18055555555555555</v>
      </c>
      <c r="K1206" s="669">
        <v>11</v>
      </c>
      <c r="L1206" s="669">
        <v>19</v>
      </c>
      <c r="M1206" s="675">
        <v>34.200000000000003</v>
      </c>
      <c r="N1206" s="671">
        <f>IF(M1206-P1206&gt;0,M1206-P1206,0)</f>
        <v>3.7000000000000028</v>
      </c>
      <c r="O1206" s="671">
        <f>O1205-K1206/(PI()*(U1203/2000)^2)</f>
        <v>25.473864588828619</v>
      </c>
      <c r="P1206" s="672">
        <v>30.5</v>
      </c>
      <c r="Q1206" s="673">
        <f>ABS(O1206-P1206)</f>
        <v>5.0261354111713814</v>
      </c>
      <c r="R1206" s="375" t="s">
        <v>188</v>
      </c>
      <c r="S1206" s="366"/>
      <c r="T1206" s="376"/>
      <c r="U1206" s="376"/>
      <c r="V1206" s="366"/>
      <c r="W1206" s="366"/>
    </row>
    <row r="1207" spans="1:23">
      <c r="A1207" s="1410"/>
      <c r="B1207" s="1413"/>
      <c r="C1207" s="845" t="s">
        <v>985</v>
      </c>
      <c r="D1207" s="875" t="str">
        <f>B1205&amp;C1207</f>
        <v>A40c</v>
      </c>
      <c r="E1207" s="367">
        <v>2</v>
      </c>
      <c r="F1207" s="669" t="s">
        <v>980</v>
      </c>
      <c r="G1207" s="369">
        <v>0.13541666666666666</v>
      </c>
      <c r="H1207" s="368">
        <v>0.16666666666666666</v>
      </c>
      <c r="I1207" s="369">
        <v>0.1875</v>
      </c>
      <c r="J1207" s="368">
        <v>0.19444444444444445</v>
      </c>
      <c r="K1207" s="669">
        <v>11</v>
      </c>
      <c r="L1207" s="669">
        <v>19</v>
      </c>
      <c r="M1207" s="675">
        <v>27.9</v>
      </c>
      <c r="N1207" s="671">
        <f>IF(M1207-P1207&gt;0,M1207-P1207,0)</f>
        <v>3.8999999999999986</v>
      </c>
      <c r="O1207" s="671">
        <f>O1206-K1207/(PI()*(U1203/2000)^2)</f>
        <v>15.747729177657236</v>
      </c>
      <c r="P1207" s="672">
        <v>24</v>
      </c>
      <c r="Q1207" s="673">
        <f>ABS(O1207-P1207)</f>
        <v>8.2522708223427639</v>
      </c>
      <c r="R1207" s="375" t="s">
        <v>188</v>
      </c>
      <c r="S1207" s="366"/>
      <c r="T1207" s="376"/>
      <c r="U1207" s="376"/>
      <c r="V1207" s="366"/>
      <c r="W1207" s="366"/>
    </row>
    <row r="1208" spans="1:23">
      <c r="A1208" s="1410"/>
      <c r="B1208" s="1413"/>
      <c r="C1208" s="845" t="s">
        <v>986</v>
      </c>
      <c r="D1208" s="875" t="str">
        <f>B1205&amp;C1208</f>
        <v>A40d</v>
      </c>
      <c r="E1208" s="367">
        <v>3</v>
      </c>
      <c r="F1208" s="669" t="s">
        <v>1007</v>
      </c>
      <c r="G1208" s="369">
        <v>0.14583333333333334</v>
      </c>
      <c r="H1208" s="368">
        <v>0.17361111111111113</v>
      </c>
      <c r="I1208" s="369">
        <v>0.20138888888888887</v>
      </c>
      <c r="J1208" s="368">
        <v>0.20833333333333334</v>
      </c>
      <c r="K1208" s="669">
        <v>10</v>
      </c>
      <c r="L1208" s="669">
        <v>18.5</v>
      </c>
      <c r="M1208" s="675">
        <v>21.6</v>
      </c>
      <c r="N1208" s="671">
        <f>IF(M1208-P1208&gt;0,M1208-P1208,0)</f>
        <v>3.1000000000000014</v>
      </c>
      <c r="O1208" s="671">
        <f>O1207-K1208/(PI()*(U1203/2000)^2)</f>
        <v>6.9057878947741624</v>
      </c>
      <c r="P1208" s="672">
        <v>18.5</v>
      </c>
      <c r="Q1208" s="673">
        <f>ABS(O1208-P1208)</f>
        <v>11.594212105225838</v>
      </c>
      <c r="R1208" s="375" t="s">
        <v>188</v>
      </c>
      <c r="S1208" s="366"/>
      <c r="T1208" s="376"/>
      <c r="U1208" s="376"/>
      <c r="V1208" s="366"/>
      <c r="W1208" s="366"/>
    </row>
    <row r="1209" spans="1:23">
      <c r="A1209" s="1410"/>
      <c r="B1209" s="1413"/>
      <c r="C1209" s="845" t="s">
        <v>987</v>
      </c>
      <c r="D1209" s="875" t="str">
        <f>B1205&amp;C1209</f>
        <v>A40e</v>
      </c>
      <c r="E1209" s="367">
        <v>4</v>
      </c>
      <c r="F1209" s="669" t="s">
        <v>1008</v>
      </c>
      <c r="G1209" s="369">
        <v>0.22222222222222221</v>
      </c>
      <c r="H1209" s="368">
        <v>0.25694444444444448</v>
      </c>
      <c r="I1209" s="369">
        <v>0.26041666666666669</v>
      </c>
      <c r="J1209" s="368">
        <v>0.2673611111111111</v>
      </c>
      <c r="K1209" s="669">
        <v>11</v>
      </c>
      <c r="L1209" s="370">
        <v>19</v>
      </c>
      <c r="M1209" s="675">
        <v>15.3</v>
      </c>
      <c r="N1209" s="671">
        <f>IF(M1209-P1209&gt;0,M1209-P1209,0)</f>
        <v>5.3000000000000007</v>
      </c>
      <c r="O1209" s="671">
        <f>O1208-K1209/(PI()*(U1203/2000)^2)</f>
        <v>-2.82034751639722</v>
      </c>
      <c r="P1209" s="373">
        <v>10</v>
      </c>
      <c r="Q1209" s="673">
        <f>ABS(O1209-P1209)</f>
        <v>12.82034751639722</v>
      </c>
      <c r="R1209" s="375"/>
      <c r="S1209" s="366"/>
      <c r="T1209" s="376"/>
      <c r="U1209" s="376"/>
      <c r="V1209" s="366"/>
      <c r="W1209" s="366"/>
    </row>
    <row r="1210" spans="1:23">
      <c r="A1210" s="1410"/>
      <c r="B1210" s="1413"/>
      <c r="C1210" s="845" t="s">
        <v>988</v>
      </c>
      <c r="D1210" s="875" t="str">
        <f>B1205&amp;C1210</f>
        <v>A40f</v>
      </c>
      <c r="E1210" s="367">
        <v>5</v>
      </c>
      <c r="F1210" s="669" t="s">
        <v>1010</v>
      </c>
      <c r="G1210" s="369">
        <v>0.27083333333333331</v>
      </c>
      <c r="H1210" s="368">
        <v>0.29166666666666669</v>
      </c>
      <c r="I1210" s="369">
        <v>0.2951388888888889</v>
      </c>
      <c r="J1210" s="368">
        <v>0.2986111111111111</v>
      </c>
      <c r="K1210" s="669">
        <v>4</v>
      </c>
      <c r="L1210" s="370">
        <v>18</v>
      </c>
      <c r="M1210" s="371">
        <v>15.3</v>
      </c>
      <c r="N1210" s="671">
        <f>IF(M1210-P1210&gt;0,M1210-P1210,0)</f>
        <v>8.9</v>
      </c>
      <c r="O1210" s="671">
        <f>O1209-K1210/(PI()*(U1203/2000)^2)</f>
        <v>-6.3571240295504499</v>
      </c>
      <c r="P1210" s="373">
        <v>6.4</v>
      </c>
      <c r="Q1210" s="673">
        <f>ABS(O1210-P1210)</f>
        <v>12.75712402955045</v>
      </c>
      <c r="R1210" s="377"/>
      <c r="S1210" s="366" t="s">
        <v>190</v>
      </c>
      <c r="T1210" s="376"/>
      <c r="U1210" s="376"/>
      <c r="V1210" s="366"/>
      <c r="W1210" s="366"/>
    </row>
    <row r="1211" spans="1:23">
      <c r="A1211" s="1410"/>
      <c r="B1211" s="1413"/>
      <c r="C1211" s="845" t="s">
        <v>989</v>
      </c>
      <c r="D1211" s="875" t="str">
        <f>B1205&amp;C1211</f>
        <v>A40g</v>
      </c>
      <c r="E1211" s="367">
        <v>6</v>
      </c>
      <c r="F1211" s="669"/>
      <c r="G1211" s="369"/>
      <c r="H1211" s="368"/>
      <c r="I1211" s="369"/>
      <c r="J1211" s="368"/>
      <c r="K1211" s="669"/>
      <c r="L1211" s="370"/>
      <c r="M1211" s="371"/>
      <c r="N1211" s="671"/>
      <c r="O1211" s="671"/>
      <c r="P1211" s="373"/>
      <c r="Q1211" s="673"/>
      <c r="R1211" s="375"/>
      <c r="S1211" s="366" t="s">
        <v>190</v>
      </c>
      <c r="T1211" s="366"/>
      <c r="U1211" s="366"/>
      <c r="V1211" s="366"/>
      <c r="W1211" s="366"/>
    </row>
    <row r="1212" spans="1:23">
      <c r="A1212" s="1410"/>
      <c r="B1212" s="1413"/>
      <c r="C1212" s="845" t="s">
        <v>990</v>
      </c>
      <c r="D1212" s="875" t="str">
        <f>B1205&amp;C1212</f>
        <v>A40h</v>
      </c>
      <c r="E1212" s="367">
        <v>7</v>
      </c>
      <c r="F1212" s="669"/>
      <c r="G1212" s="368"/>
      <c r="H1212" s="368"/>
      <c r="I1212" s="368"/>
      <c r="J1212" s="368"/>
      <c r="K1212" s="669"/>
      <c r="L1212" s="370"/>
      <c r="M1212" s="371"/>
      <c r="N1212" s="671"/>
      <c r="O1212" s="671"/>
      <c r="P1212" s="373"/>
      <c r="Q1212" s="673"/>
      <c r="R1212" s="377"/>
      <c r="S1212" s="366" t="s">
        <v>190</v>
      </c>
      <c r="T1212" s="366"/>
      <c r="U1212" s="366"/>
      <c r="V1212" s="366"/>
      <c r="W1212" s="366"/>
    </row>
    <row r="1213" spans="1:23">
      <c r="A1213" s="1410"/>
      <c r="B1213" s="1413"/>
      <c r="C1213" s="845" t="s">
        <v>991</v>
      </c>
      <c r="D1213" s="875" t="str">
        <f>B1205&amp;C1213</f>
        <v>A40i</v>
      </c>
      <c r="E1213" s="367">
        <v>8</v>
      </c>
      <c r="F1213" s="669"/>
      <c r="G1213" s="368"/>
      <c r="H1213" s="368"/>
      <c r="I1213" s="368"/>
      <c r="J1213" s="368"/>
      <c r="K1213" s="370"/>
      <c r="L1213" s="370"/>
      <c r="M1213" s="371"/>
      <c r="N1213" s="671"/>
      <c r="O1213" s="671"/>
      <c r="P1213" s="373"/>
      <c r="Q1213" s="673"/>
      <c r="R1213" s="378"/>
      <c r="S1213" s="366"/>
      <c r="T1213" s="366"/>
      <c r="U1213" s="366"/>
      <c r="V1213" s="366"/>
      <c r="W1213" s="366"/>
    </row>
    <row r="1214" spans="1:23">
      <c r="A1214" s="1410"/>
      <c r="B1214" s="1413"/>
      <c r="C1214" s="845" t="s">
        <v>992</v>
      </c>
      <c r="D1214" s="875" t="str">
        <f>B1205&amp;C1214</f>
        <v>A40k</v>
      </c>
      <c r="E1214" s="367">
        <v>9</v>
      </c>
      <c r="F1214" s="370"/>
      <c r="G1214" s="368"/>
      <c r="H1214" s="368"/>
      <c r="I1214" s="368"/>
      <c r="J1214" s="368"/>
      <c r="K1214" s="370"/>
      <c r="L1214" s="370"/>
      <c r="M1214" s="371"/>
      <c r="N1214" s="372"/>
      <c r="O1214" s="372"/>
      <c r="P1214" s="373"/>
      <c r="Q1214" s="374"/>
      <c r="R1214" s="378"/>
      <c r="S1214" s="379"/>
      <c r="T1214" s="366"/>
      <c r="U1214" s="366"/>
      <c r="V1214" s="366"/>
      <c r="W1214" s="366"/>
    </row>
    <row r="1215" spans="1:23">
      <c r="A1215" s="1410"/>
      <c r="B1215" s="1413"/>
      <c r="C1215" s="845" t="s">
        <v>993</v>
      </c>
      <c r="D1215" s="875" t="str">
        <f>B1205&amp;C1215</f>
        <v>A40l</v>
      </c>
      <c r="E1215" s="367">
        <v>10</v>
      </c>
      <c r="F1215" s="370"/>
      <c r="G1215" s="368"/>
      <c r="H1215" s="368"/>
      <c r="I1215" s="368"/>
      <c r="J1215" s="368"/>
      <c r="K1215" s="370"/>
      <c r="L1215" s="370"/>
      <c r="M1215" s="370"/>
      <c r="N1215" s="372"/>
      <c r="O1215" s="372"/>
      <c r="P1215" s="373"/>
      <c r="Q1215" s="374"/>
      <c r="R1215" s="378"/>
      <c r="S1215" s="379"/>
      <c r="T1215" s="366"/>
      <c r="U1215" s="366"/>
      <c r="V1215" s="366"/>
      <c r="W1215" s="366"/>
    </row>
    <row r="1216" spans="1:23">
      <c r="A1216" s="1410"/>
      <c r="B1216" s="1413"/>
      <c r="C1216" s="845" t="s">
        <v>994</v>
      </c>
      <c r="D1216" s="875" t="str">
        <f>B1205&amp;C1216</f>
        <v>A40m</v>
      </c>
      <c r="E1216" s="367">
        <v>11</v>
      </c>
      <c r="F1216" s="370"/>
      <c r="G1216" s="368"/>
      <c r="H1216" s="368"/>
      <c r="I1216" s="368"/>
      <c r="J1216" s="368"/>
      <c r="K1216" s="370"/>
      <c r="L1216" s="370"/>
      <c r="M1216" s="370"/>
      <c r="N1216" s="372"/>
      <c r="O1216" s="372"/>
      <c r="P1216" s="380"/>
      <c r="Q1216" s="374"/>
      <c r="R1216" s="381"/>
      <c r="S1216" s="379"/>
      <c r="T1216" s="366"/>
      <c r="U1216" s="366"/>
      <c r="V1216" s="366"/>
      <c r="W1216" s="366"/>
    </row>
    <row r="1217" spans="1:23">
      <c r="A1217" s="1410"/>
      <c r="B1217" s="1413"/>
      <c r="C1217" s="845" t="s">
        <v>995</v>
      </c>
      <c r="D1217" s="875" t="str">
        <f>B1205&amp;C1217</f>
        <v>A40n</v>
      </c>
      <c r="E1217" s="367">
        <v>12</v>
      </c>
      <c r="F1217" s="370"/>
      <c r="G1217" s="368"/>
      <c r="H1217" s="368"/>
      <c r="I1217" s="368"/>
      <c r="J1217" s="368"/>
      <c r="K1217" s="370"/>
      <c r="L1217" s="370"/>
      <c r="M1217" s="370"/>
      <c r="N1217" s="372"/>
      <c r="O1217" s="372"/>
      <c r="P1217" s="380"/>
      <c r="Q1217" s="374"/>
      <c r="R1217" s="381"/>
      <c r="S1217" s="361"/>
      <c r="T1217" s="361"/>
      <c r="U1217" s="361"/>
      <c r="V1217" s="366"/>
      <c r="W1217" s="366"/>
    </row>
    <row r="1218" spans="1:23">
      <c r="A1218" s="1410"/>
      <c r="B1218" s="1413"/>
      <c r="C1218" s="845" t="s">
        <v>471</v>
      </c>
      <c r="D1218" s="875" t="str">
        <f>B1205&amp;C1218</f>
        <v>A40x</v>
      </c>
      <c r="E1218" s="367">
        <v>13</v>
      </c>
      <c r="F1218" s="370"/>
      <c r="G1218" s="368"/>
      <c r="H1218" s="368"/>
      <c r="I1218" s="368"/>
      <c r="J1218" s="368"/>
      <c r="K1218" s="370"/>
      <c r="L1218" s="370"/>
      <c r="M1218" s="370"/>
      <c r="N1218" s="382"/>
      <c r="O1218" s="372"/>
      <c r="P1218" s="380"/>
      <c r="Q1218" s="381"/>
      <c r="R1218" s="381"/>
      <c r="S1218" s="361"/>
      <c r="T1218" s="361"/>
      <c r="U1218" s="361"/>
      <c r="V1218" s="366"/>
      <c r="W1218" s="366"/>
    </row>
    <row r="1219" spans="1:23">
      <c r="A1219" s="1410"/>
      <c r="B1219" s="1413"/>
      <c r="C1219" s="845" t="s">
        <v>732</v>
      </c>
      <c r="D1219" s="875" t="str">
        <f>B1205&amp;C1219</f>
        <v>A40y</v>
      </c>
      <c r="E1219" s="367">
        <v>14</v>
      </c>
      <c r="F1219" s="370"/>
      <c r="G1219" s="368"/>
      <c r="H1219" s="368"/>
      <c r="I1219" s="368"/>
      <c r="J1219" s="368"/>
      <c r="K1219" s="370"/>
      <c r="L1219" s="370"/>
      <c r="M1219" s="370"/>
      <c r="N1219" s="382"/>
      <c r="O1219" s="372"/>
      <c r="P1219" s="380"/>
      <c r="Q1219" s="381"/>
      <c r="R1219" s="381"/>
      <c r="S1219" s="361"/>
      <c r="T1219" s="361"/>
      <c r="U1219" s="362"/>
      <c r="V1219" s="366"/>
      <c r="W1219" s="366"/>
    </row>
    <row r="1220" spans="1:23">
      <c r="A1220" s="1411"/>
      <c r="B1220" s="1414"/>
      <c r="C1220" s="846" t="s">
        <v>996</v>
      </c>
      <c r="D1220" s="876" t="str">
        <f>B1205&amp;C1220</f>
        <v>A40z</v>
      </c>
      <c r="E1220" s="847">
        <v>15</v>
      </c>
      <c r="F1220" s="370"/>
      <c r="G1220" s="368"/>
      <c r="H1220" s="368"/>
      <c r="I1220" s="368"/>
      <c r="J1220" s="368"/>
      <c r="K1220" s="370"/>
      <c r="L1220" s="370"/>
      <c r="M1220" s="370"/>
      <c r="N1220" s="850"/>
      <c r="O1220" s="851"/>
      <c r="P1220" s="380"/>
      <c r="Q1220" s="852"/>
      <c r="R1220" s="383"/>
      <c r="S1220" s="361"/>
      <c r="T1220" s="832"/>
      <c r="U1220" s="830"/>
      <c r="V1220" s="366"/>
      <c r="W1220" s="366"/>
    </row>
    <row r="1221" spans="1:23">
      <c r="A1221" s="1400" t="s">
        <v>939</v>
      </c>
      <c r="B1221" s="1400"/>
      <c r="C1221" s="827"/>
      <c r="D1221" s="871"/>
      <c r="E1221" s="1400" t="s">
        <v>177</v>
      </c>
      <c r="F1221" s="1400" t="s">
        <v>18</v>
      </c>
      <c r="G1221" s="1389" t="s">
        <v>19</v>
      </c>
      <c r="H1221" s="1390"/>
      <c r="I1221" s="1389" t="s">
        <v>22</v>
      </c>
      <c r="J1221" s="1390"/>
      <c r="K1221" s="1393" t="s">
        <v>26</v>
      </c>
      <c r="L1221" s="1390"/>
      <c r="M1221" s="1389" t="s">
        <v>392</v>
      </c>
      <c r="N1221" s="1390"/>
      <c r="O1221" s="1389" t="s">
        <v>28</v>
      </c>
      <c r="P1221" s="1393"/>
      <c r="Q1221" s="1390"/>
      <c r="R1221" s="1400" t="s">
        <v>36</v>
      </c>
      <c r="S1221" s="361"/>
      <c r="T1221" s="361">
        <f>MAX(J1225:J1239)-MIN(I1225:I1239)</f>
        <v>5.2083333333333259E-2</v>
      </c>
      <c r="U1221" s="361"/>
      <c r="V1221" s="853" t="str">
        <f t="shared" ref="V1221" si="130">B1225</f>
        <v>A38</v>
      </c>
      <c r="W1221" s="361">
        <f t="shared" ref="W1221" si="131">COUNTIF(K1226:K1240,"&gt;0")</f>
        <v>2</v>
      </c>
    </row>
    <row r="1222" spans="1:23">
      <c r="A1222" s="1401"/>
      <c r="B1222" s="1401"/>
      <c r="C1222" s="828"/>
      <c r="D1222" s="872"/>
      <c r="E1222" s="1401"/>
      <c r="F1222" s="1401"/>
      <c r="G1222" s="1391"/>
      <c r="H1222" s="1392"/>
      <c r="I1222" s="1391"/>
      <c r="J1222" s="1392"/>
      <c r="K1222" s="1394"/>
      <c r="L1222" s="1392"/>
      <c r="M1222" s="1391"/>
      <c r="N1222" s="1392"/>
      <c r="O1222" s="1391"/>
      <c r="P1222" s="1394"/>
      <c r="Q1222" s="1392"/>
      <c r="R1222" s="1401"/>
      <c r="S1222" s="361"/>
      <c r="T1222" s="361"/>
      <c r="U1222" s="361"/>
      <c r="V1222" s="361"/>
      <c r="W1222" s="361"/>
    </row>
    <row r="1223" spans="1:23">
      <c r="A1223" s="1401"/>
      <c r="B1223" s="1401"/>
      <c r="C1223" s="828"/>
      <c r="D1223" s="872"/>
      <c r="E1223" s="1401"/>
      <c r="F1223" s="1401"/>
      <c r="G1223" s="1400" t="s">
        <v>20</v>
      </c>
      <c r="H1223" s="1400" t="s">
        <v>21</v>
      </c>
      <c r="I1223" s="1400" t="s">
        <v>361</v>
      </c>
      <c r="J1223" s="1400" t="s">
        <v>353</v>
      </c>
      <c r="K1223" s="1400" t="s">
        <v>23</v>
      </c>
      <c r="L1223" s="1400" t="s">
        <v>24</v>
      </c>
      <c r="M1223" s="1400" t="s">
        <v>27</v>
      </c>
      <c r="N1223" s="1400" t="s">
        <v>178</v>
      </c>
      <c r="O1223" s="1400" t="s">
        <v>1</v>
      </c>
      <c r="P1223" s="1400" t="s">
        <v>29</v>
      </c>
      <c r="Q1223" s="1400" t="s">
        <v>33</v>
      </c>
      <c r="R1223" s="1401"/>
      <c r="S1223" s="361"/>
      <c r="T1223" s="361" t="s">
        <v>39</v>
      </c>
      <c r="U1223" s="362">
        <f>VLOOKUP(B1225,'Thong tin'!$A:$M,13,0)</f>
        <v>1200</v>
      </c>
      <c r="V1223" s="361"/>
      <c r="W1223" s="361"/>
    </row>
    <row r="1224" spans="1:23">
      <c r="A1224" s="1402"/>
      <c r="B1224" s="1402"/>
      <c r="C1224" s="829"/>
      <c r="D1224" s="873"/>
      <c r="E1224" s="1402"/>
      <c r="F1224" s="1402"/>
      <c r="G1224" s="1402"/>
      <c r="H1224" s="1402"/>
      <c r="I1224" s="1402"/>
      <c r="J1224" s="1402"/>
      <c r="K1224" s="1402"/>
      <c r="L1224" s="1402"/>
      <c r="M1224" s="1402"/>
      <c r="N1224" s="1402"/>
      <c r="O1224" s="1402"/>
      <c r="P1224" s="1402"/>
      <c r="Q1224" s="1402"/>
      <c r="R1224" s="1402"/>
      <c r="S1224" s="361"/>
      <c r="T1224" s="1399" t="s">
        <v>393</v>
      </c>
      <c r="U1224" s="1397">
        <f>VLOOKUP(B1225,DT.NK!$B:$AZ,45,0)</f>
        <v>24</v>
      </c>
      <c r="V1224" s="361"/>
      <c r="W1224" s="361"/>
    </row>
    <row r="1225" spans="1:23">
      <c r="A1225" s="1409">
        <f>A1205+1</f>
        <v>62</v>
      </c>
      <c r="B1225" s="1412" t="s">
        <v>669</v>
      </c>
      <c r="C1225" s="844" t="s">
        <v>983</v>
      </c>
      <c r="D1225" s="874" t="str">
        <f>B1225&amp;C1225</f>
        <v>A38a</v>
      </c>
      <c r="E1225" s="363"/>
      <c r="F1225" s="364"/>
      <c r="G1225" s="364"/>
      <c r="H1225" s="364"/>
      <c r="I1225" s="364"/>
      <c r="J1225" s="364"/>
      <c r="K1225" s="364"/>
      <c r="L1225" s="364"/>
      <c r="M1225" s="674"/>
      <c r="N1225" s="670"/>
      <c r="O1225" s="670">
        <f>U1224</f>
        <v>24</v>
      </c>
      <c r="P1225" s="670">
        <f>O1225</f>
        <v>24</v>
      </c>
      <c r="Q1225" s="670">
        <v>0</v>
      </c>
      <c r="R1225" s="365"/>
      <c r="S1225" s="366"/>
      <c r="T1225" s="1399"/>
      <c r="U1225" s="1398"/>
      <c r="V1225" s="361"/>
      <c r="W1225" s="361"/>
    </row>
    <row r="1226" spans="1:23">
      <c r="A1226" s="1410"/>
      <c r="B1226" s="1413"/>
      <c r="C1226" s="845" t="s">
        <v>984</v>
      </c>
      <c r="D1226" s="875" t="str">
        <f>B1225&amp;C1226</f>
        <v>A38b</v>
      </c>
      <c r="E1226" s="367">
        <v>1</v>
      </c>
      <c r="F1226" s="669" t="s">
        <v>981</v>
      </c>
      <c r="G1226" s="369">
        <v>0.61249999999999993</v>
      </c>
      <c r="H1226" s="368">
        <v>0.63888888888888895</v>
      </c>
      <c r="I1226" s="369">
        <v>0.64583333333333337</v>
      </c>
      <c r="J1226" s="368">
        <v>0.65277777777777779</v>
      </c>
      <c r="K1226" s="669">
        <v>10</v>
      </c>
      <c r="L1226" s="669">
        <v>19</v>
      </c>
      <c r="M1226" s="675">
        <v>19.850000000000001</v>
      </c>
      <c r="N1226" s="671">
        <f>IF(M1226-P1226&gt;0,M1226-P1226,0)</f>
        <v>3.5500000000000007</v>
      </c>
      <c r="O1226" s="671">
        <f>O1225-K1226/(PI()*(U1223/2000)^2)</f>
        <v>15.158058717116926</v>
      </c>
      <c r="P1226" s="672">
        <v>16.3</v>
      </c>
      <c r="Q1226" s="673">
        <f>ABS(O1226-P1226)</f>
        <v>1.1419412828830744</v>
      </c>
      <c r="R1226" s="375" t="s">
        <v>188</v>
      </c>
      <c r="S1226" s="366"/>
      <c r="T1226" s="376"/>
      <c r="U1226" s="376"/>
      <c r="V1226" s="366"/>
      <c r="W1226" s="366"/>
    </row>
    <row r="1227" spans="1:23">
      <c r="A1227" s="1410"/>
      <c r="B1227" s="1413"/>
      <c r="C1227" s="845" t="s">
        <v>985</v>
      </c>
      <c r="D1227" s="875" t="str">
        <f>B1225&amp;C1227</f>
        <v>A38c</v>
      </c>
      <c r="E1227" s="367">
        <v>2</v>
      </c>
      <c r="F1227" s="669" t="s">
        <v>1010</v>
      </c>
      <c r="G1227" s="369">
        <v>0.64652777777777781</v>
      </c>
      <c r="H1227" s="368">
        <v>0.6875</v>
      </c>
      <c r="I1227" s="369">
        <v>0.69097222222222221</v>
      </c>
      <c r="J1227" s="368">
        <v>0.69791666666666663</v>
      </c>
      <c r="K1227" s="669">
        <v>9</v>
      </c>
      <c r="L1227" s="669">
        <v>19.5</v>
      </c>
      <c r="M1227" s="675">
        <v>19.850000000000001</v>
      </c>
      <c r="N1227" s="671">
        <f>IF(M1227-P1227&gt;0,M1227-P1227,0)</f>
        <v>11.950000000000001</v>
      </c>
      <c r="O1227" s="671">
        <f>O1226-K1227/(PI()*(U1223/2000)^2)</f>
        <v>7.2003115625221596</v>
      </c>
      <c r="P1227" s="672">
        <v>7.9</v>
      </c>
      <c r="Q1227" s="673">
        <f>ABS(O1227-P1227)</f>
        <v>0.69968843747784071</v>
      </c>
      <c r="R1227" s="375" t="s">
        <v>188</v>
      </c>
      <c r="S1227" s="366"/>
      <c r="T1227" s="376"/>
      <c r="U1227" s="376"/>
      <c r="V1227" s="366"/>
      <c r="W1227" s="366"/>
    </row>
    <row r="1228" spans="1:23">
      <c r="A1228" s="1410"/>
      <c r="B1228" s="1413"/>
      <c r="C1228" s="845" t="s">
        <v>986</v>
      </c>
      <c r="D1228" s="875" t="str">
        <f>B1225&amp;C1228</f>
        <v>A38d</v>
      </c>
      <c r="E1228" s="367">
        <v>3</v>
      </c>
      <c r="F1228" s="669"/>
      <c r="G1228" s="369"/>
      <c r="H1228" s="368"/>
      <c r="I1228" s="369"/>
      <c r="J1228" s="368"/>
      <c r="K1228" s="669"/>
      <c r="L1228" s="669"/>
      <c r="M1228" s="675"/>
      <c r="N1228" s="671"/>
      <c r="O1228" s="671"/>
      <c r="P1228" s="672"/>
      <c r="Q1228" s="673"/>
      <c r="R1228" s="375"/>
      <c r="S1228" s="366"/>
      <c r="T1228" s="376"/>
      <c r="U1228" s="376"/>
      <c r="V1228" s="366"/>
      <c r="W1228" s="366"/>
    </row>
    <row r="1229" spans="1:23">
      <c r="A1229" s="1410"/>
      <c r="B1229" s="1413"/>
      <c r="C1229" s="845" t="s">
        <v>987</v>
      </c>
      <c r="D1229" s="875" t="str">
        <f>B1225&amp;C1229</f>
        <v>A38e</v>
      </c>
      <c r="E1229" s="367">
        <v>4</v>
      </c>
      <c r="F1229" s="669"/>
      <c r="G1229" s="369"/>
      <c r="H1229" s="368"/>
      <c r="I1229" s="369"/>
      <c r="J1229" s="368"/>
      <c r="K1229" s="669"/>
      <c r="L1229" s="370"/>
      <c r="M1229" s="675"/>
      <c r="N1229" s="671"/>
      <c r="O1229" s="671"/>
      <c r="P1229" s="373"/>
      <c r="Q1229" s="673"/>
      <c r="R1229" s="375"/>
      <c r="S1229" s="366"/>
      <c r="T1229" s="376"/>
      <c r="U1229" s="376"/>
      <c r="V1229" s="366"/>
      <c r="W1229" s="366"/>
    </row>
    <row r="1230" spans="1:23">
      <c r="A1230" s="1410"/>
      <c r="B1230" s="1413"/>
      <c r="C1230" s="845" t="s">
        <v>988</v>
      </c>
      <c r="D1230" s="875" t="str">
        <f>B1225&amp;C1230</f>
        <v>A38f</v>
      </c>
      <c r="E1230" s="367">
        <v>5</v>
      </c>
      <c r="F1230" s="669"/>
      <c r="G1230" s="369"/>
      <c r="H1230" s="368"/>
      <c r="I1230" s="369"/>
      <c r="J1230" s="368"/>
      <c r="K1230" s="669"/>
      <c r="L1230" s="370"/>
      <c r="M1230" s="371"/>
      <c r="N1230" s="671"/>
      <c r="O1230" s="671"/>
      <c r="P1230" s="373"/>
      <c r="Q1230" s="673"/>
      <c r="R1230" s="377"/>
      <c r="S1230" s="366" t="s">
        <v>190</v>
      </c>
      <c r="T1230" s="376"/>
      <c r="U1230" s="376"/>
      <c r="V1230" s="366"/>
      <c r="W1230" s="366"/>
    </row>
    <row r="1231" spans="1:23">
      <c r="A1231" s="1410"/>
      <c r="B1231" s="1413"/>
      <c r="C1231" s="845" t="s">
        <v>989</v>
      </c>
      <c r="D1231" s="875" t="str">
        <f>B1225&amp;C1231</f>
        <v>A38g</v>
      </c>
      <c r="E1231" s="367">
        <v>6</v>
      </c>
      <c r="F1231" s="669"/>
      <c r="G1231" s="369"/>
      <c r="H1231" s="368"/>
      <c r="I1231" s="369"/>
      <c r="J1231" s="368"/>
      <c r="K1231" s="669"/>
      <c r="L1231" s="370"/>
      <c r="M1231" s="371"/>
      <c r="N1231" s="671"/>
      <c r="O1231" s="671"/>
      <c r="P1231" s="373"/>
      <c r="Q1231" s="673"/>
      <c r="R1231" s="375"/>
      <c r="S1231" s="366" t="s">
        <v>190</v>
      </c>
      <c r="T1231" s="366"/>
      <c r="U1231" s="366"/>
      <c r="V1231" s="366"/>
      <c r="W1231" s="366"/>
    </row>
    <row r="1232" spans="1:23">
      <c r="A1232" s="1410"/>
      <c r="B1232" s="1413"/>
      <c r="C1232" s="845" t="s">
        <v>990</v>
      </c>
      <c r="D1232" s="875" t="str">
        <f>B1225&amp;C1232</f>
        <v>A38h</v>
      </c>
      <c r="E1232" s="367">
        <v>7</v>
      </c>
      <c r="F1232" s="669"/>
      <c r="G1232" s="368"/>
      <c r="H1232" s="368"/>
      <c r="I1232" s="368"/>
      <c r="J1232" s="368"/>
      <c r="K1232" s="669"/>
      <c r="L1232" s="370"/>
      <c r="M1232" s="371"/>
      <c r="N1232" s="671"/>
      <c r="O1232" s="671"/>
      <c r="P1232" s="373"/>
      <c r="Q1232" s="673"/>
      <c r="R1232" s="377"/>
      <c r="S1232" s="366" t="s">
        <v>190</v>
      </c>
      <c r="T1232" s="366"/>
      <c r="U1232" s="366"/>
      <c r="V1232" s="366"/>
      <c r="W1232" s="366"/>
    </row>
    <row r="1233" spans="1:23">
      <c r="A1233" s="1410"/>
      <c r="B1233" s="1413"/>
      <c r="C1233" s="845" t="s">
        <v>991</v>
      </c>
      <c r="D1233" s="875" t="str">
        <f>B1225&amp;C1233</f>
        <v>A38i</v>
      </c>
      <c r="E1233" s="367">
        <v>8</v>
      </c>
      <c r="F1233" s="669"/>
      <c r="G1233" s="368"/>
      <c r="H1233" s="368"/>
      <c r="I1233" s="368"/>
      <c r="J1233" s="368"/>
      <c r="K1233" s="370"/>
      <c r="L1233" s="370"/>
      <c r="M1233" s="371"/>
      <c r="N1233" s="671"/>
      <c r="O1233" s="671"/>
      <c r="P1233" s="373"/>
      <c r="Q1233" s="673"/>
      <c r="R1233" s="378"/>
      <c r="S1233" s="366"/>
      <c r="T1233" s="366"/>
      <c r="U1233" s="366"/>
      <c r="V1233" s="366"/>
      <c r="W1233" s="366"/>
    </row>
    <row r="1234" spans="1:23">
      <c r="A1234" s="1410"/>
      <c r="B1234" s="1413"/>
      <c r="C1234" s="845" t="s">
        <v>992</v>
      </c>
      <c r="D1234" s="875" t="str">
        <f>B1225&amp;C1234</f>
        <v>A38k</v>
      </c>
      <c r="E1234" s="367">
        <v>9</v>
      </c>
      <c r="F1234" s="370"/>
      <c r="G1234" s="368"/>
      <c r="H1234" s="368"/>
      <c r="I1234" s="368"/>
      <c r="J1234" s="368"/>
      <c r="K1234" s="370"/>
      <c r="L1234" s="370"/>
      <c r="M1234" s="371"/>
      <c r="N1234" s="372"/>
      <c r="O1234" s="372"/>
      <c r="P1234" s="373"/>
      <c r="Q1234" s="374"/>
      <c r="R1234" s="378"/>
      <c r="S1234" s="379"/>
      <c r="T1234" s="366"/>
      <c r="U1234" s="366"/>
      <c r="V1234" s="366"/>
      <c r="W1234" s="366"/>
    </row>
    <row r="1235" spans="1:23">
      <c r="A1235" s="1410"/>
      <c r="B1235" s="1413"/>
      <c r="C1235" s="845" t="s">
        <v>993</v>
      </c>
      <c r="D1235" s="875" t="str">
        <f>B1225&amp;C1235</f>
        <v>A38l</v>
      </c>
      <c r="E1235" s="367">
        <v>10</v>
      </c>
      <c r="F1235" s="370"/>
      <c r="G1235" s="368"/>
      <c r="H1235" s="368"/>
      <c r="I1235" s="368"/>
      <c r="J1235" s="368"/>
      <c r="K1235" s="370"/>
      <c r="L1235" s="370"/>
      <c r="M1235" s="370"/>
      <c r="N1235" s="372"/>
      <c r="O1235" s="372"/>
      <c r="P1235" s="373"/>
      <c r="Q1235" s="374"/>
      <c r="R1235" s="378"/>
      <c r="S1235" s="379"/>
      <c r="T1235" s="366"/>
      <c r="U1235" s="366"/>
      <c r="V1235" s="366"/>
      <c r="W1235" s="366"/>
    </row>
    <row r="1236" spans="1:23">
      <c r="A1236" s="1410"/>
      <c r="B1236" s="1413"/>
      <c r="C1236" s="845" t="s">
        <v>994</v>
      </c>
      <c r="D1236" s="875" t="str">
        <f>B1225&amp;C1236</f>
        <v>A38m</v>
      </c>
      <c r="E1236" s="367">
        <v>11</v>
      </c>
      <c r="F1236" s="370"/>
      <c r="G1236" s="368"/>
      <c r="H1236" s="368"/>
      <c r="I1236" s="368"/>
      <c r="J1236" s="368"/>
      <c r="K1236" s="370"/>
      <c r="L1236" s="370"/>
      <c r="M1236" s="370"/>
      <c r="N1236" s="372"/>
      <c r="O1236" s="372"/>
      <c r="P1236" s="380"/>
      <c r="Q1236" s="374"/>
      <c r="R1236" s="381"/>
      <c r="S1236" s="379"/>
      <c r="T1236" s="366"/>
      <c r="U1236" s="366"/>
      <c r="V1236" s="366"/>
      <c r="W1236" s="366"/>
    </row>
    <row r="1237" spans="1:23">
      <c r="A1237" s="1410"/>
      <c r="B1237" s="1413"/>
      <c r="C1237" s="845" t="s">
        <v>995</v>
      </c>
      <c r="D1237" s="875" t="str">
        <f>B1225&amp;C1237</f>
        <v>A38n</v>
      </c>
      <c r="E1237" s="367">
        <v>12</v>
      </c>
      <c r="F1237" s="370"/>
      <c r="G1237" s="368"/>
      <c r="H1237" s="368"/>
      <c r="I1237" s="368"/>
      <c r="J1237" s="368"/>
      <c r="K1237" s="370"/>
      <c r="L1237" s="370"/>
      <c r="M1237" s="370"/>
      <c r="N1237" s="372"/>
      <c r="O1237" s="372"/>
      <c r="P1237" s="380"/>
      <c r="Q1237" s="374"/>
      <c r="R1237" s="381"/>
      <c r="S1237" s="361"/>
      <c r="T1237" s="361"/>
      <c r="U1237" s="361"/>
      <c r="V1237" s="366"/>
      <c r="W1237" s="366"/>
    </row>
    <row r="1238" spans="1:23">
      <c r="A1238" s="1410"/>
      <c r="B1238" s="1413"/>
      <c r="C1238" s="845" t="s">
        <v>471</v>
      </c>
      <c r="D1238" s="875" t="str">
        <f>B1225&amp;C1238</f>
        <v>A38x</v>
      </c>
      <c r="E1238" s="367">
        <v>13</v>
      </c>
      <c r="F1238" s="370"/>
      <c r="G1238" s="368"/>
      <c r="H1238" s="368"/>
      <c r="I1238" s="368"/>
      <c r="J1238" s="368"/>
      <c r="K1238" s="370"/>
      <c r="L1238" s="370"/>
      <c r="M1238" s="370"/>
      <c r="N1238" s="382"/>
      <c r="O1238" s="372"/>
      <c r="P1238" s="380"/>
      <c r="Q1238" s="381"/>
      <c r="R1238" s="381"/>
      <c r="S1238" s="361"/>
      <c r="T1238" s="361"/>
      <c r="U1238" s="361"/>
      <c r="V1238" s="366"/>
      <c r="W1238" s="366"/>
    </row>
    <row r="1239" spans="1:23">
      <c r="A1239" s="1410"/>
      <c r="B1239" s="1413"/>
      <c r="C1239" s="845" t="s">
        <v>732</v>
      </c>
      <c r="D1239" s="875" t="str">
        <f>B1225&amp;C1239</f>
        <v>A38y</v>
      </c>
      <c r="E1239" s="367">
        <v>14</v>
      </c>
      <c r="F1239" s="370"/>
      <c r="G1239" s="368"/>
      <c r="H1239" s="368"/>
      <c r="I1239" s="368"/>
      <c r="J1239" s="368"/>
      <c r="K1239" s="370"/>
      <c r="L1239" s="370"/>
      <c r="M1239" s="370"/>
      <c r="N1239" s="382"/>
      <c r="O1239" s="372"/>
      <c r="P1239" s="380"/>
      <c r="Q1239" s="381"/>
      <c r="R1239" s="381"/>
      <c r="S1239" s="361"/>
      <c r="T1239" s="361"/>
      <c r="U1239" s="362"/>
      <c r="V1239" s="366"/>
      <c r="W1239" s="366"/>
    </row>
    <row r="1240" spans="1:23">
      <c r="A1240" s="1411"/>
      <c r="B1240" s="1414"/>
      <c r="C1240" s="846" t="s">
        <v>996</v>
      </c>
      <c r="D1240" s="876" t="str">
        <f>B1225&amp;C1240</f>
        <v>A38z</v>
      </c>
      <c r="E1240" s="847">
        <v>15</v>
      </c>
      <c r="F1240" s="370"/>
      <c r="G1240" s="368"/>
      <c r="H1240" s="368"/>
      <c r="I1240" s="368"/>
      <c r="J1240" s="368"/>
      <c r="K1240" s="370"/>
      <c r="L1240" s="370"/>
      <c r="M1240" s="370"/>
      <c r="N1240" s="850"/>
      <c r="O1240" s="851"/>
      <c r="P1240" s="380"/>
      <c r="Q1240" s="852"/>
      <c r="R1240" s="383"/>
      <c r="S1240" s="361"/>
      <c r="T1240" s="832"/>
      <c r="U1240" s="830"/>
      <c r="V1240" s="366"/>
      <c r="W1240" s="366"/>
    </row>
    <row r="1241" spans="1:23">
      <c r="A1241" s="1400" t="s">
        <v>939</v>
      </c>
      <c r="B1241" s="1400"/>
      <c r="C1241" s="827"/>
      <c r="D1241" s="871"/>
      <c r="E1241" s="1400" t="s">
        <v>177</v>
      </c>
      <c r="F1241" s="1400" t="s">
        <v>18</v>
      </c>
      <c r="G1241" s="1389" t="s">
        <v>19</v>
      </c>
      <c r="H1241" s="1390"/>
      <c r="I1241" s="1389" t="s">
        <v>22</v>
      </c>
      <c r="J1241" s="1390"/>
      <c r="K1241" s="1393" t="s">
        <v>26</v>
      </c>
      <c r="L1241" s="1390"/>
      <c r="M1241" s="1389" t="s">
        <v>392</v>
      </c>
      <c r="N1241" s="1390"/>
      <c r="O1241" s="1389" t="s">
        <v>28</v>
      </c>
      <c r="P1241" s="1393"/>
      <c r="Q1241" s="1390"/>
      <c r="R1241" s="1400" t="s">
        <v>36</v>
      </c>
      <c r="S1241" s="361"/>
      <c r="T1241" s="361">
        <f>MAX(J1245:J1259)-MIN(I1245:I1259)</f>
        <v>0.92708333333333337</v>
      </c>
      <c r="U1241" s="361"/>
      <c r="V1241" s="853" t="str">
        <f t="shared" ref="V1241" si="132">B1245</f>
        <v>A153</v>
      </c>
      <c r="W1241" s="361">
        <f t="shared" ref="W1241" si="133">COUNTIF(K1246:K1260,"&gt;0")</f>
        <v>5</v>
      </c>
    </row>
    <row r="1242" spans="1:23">
      <c r="A1242" s="1401"/>
      <c r="B1242" s="1401"/>
      <c r="C1242" s="828"/>
      <c r="D1242" s="872"/>
      <c r="E1242" s="1401"/>
      <c r="F1242" s="1401"/>
      <c r="G1242" s="1391"/>
      <c r="H1242" s="1392"/>
      <c r="I1242" s="1391"/>
      <c r="J1242" s="1392"/>
      <c r="K1242" s="1394"/>
      <c r="L1242" s="1392"/>
      <c r="M1242" s="1391"/>
      <c r="N1242" s="1392"/>
      <c r="O1242" s="1391"/>
      <c r="P1242" s="1394"/>
      <c r="Q1242" s="1392"/>
      <c r="R1242" s="1401"/>
      <c r="S1242" s="361"/>
      <c r="T1242" s="361"/>
      <c r="U1242" s="361"/>
      <c r="V1242" s="361"/>
      <c r="W1242" s="361"/>
    </row>
    <row r="1243" spans="1:23">
      <c r="A1243" s="1401"/>
      <c r="B1243" s="1401"/>
      <c r="C1243" s="828"/>
      <c r="D1243" s="872"/>
      <c r="E1243" s="1401"/>
      <c r="F1243" s="1401"/>
      <c r="G1243" s="1400" t="s">
        <v>20</v>
      </c>
      <c r="H1243" s="1400" t="s">
        <v>21</v>
      </c>
      <c r="I1243" s="1400" t="s">
        <v>361</v>
      </c>
      <c r="J1243" s="1400" t="s">
        <v>353</v>
      </c>
      <c r="K1243" s="1400" t="s">
        <v>23</v>
      </c>
      <c r="L1243" s="1400" t="s">
        <v>24</v>
      </c>
      <c r="M1243" s="1400" t="s">
        <v>27</v>
      </c>
      <c r="N1243" s="1400" t="s">
        <v>178</v>
      </c>
      <c r="O1243" s="1400" t="s">
        <v>1</v>
      </c>
      <c r="P1243" s="1400" t="s">
        <v>29</v>
      </c>
      <c r="Q1243" s="1400" t="s">
        <v>33</v>
      </c>
      <c r="R1243" s="1401"/>
      <c r="S1243" s="361"/>
      <c r="T1243" s="361" t="s">
        <v>39</v>
      </c>
      <c r="U1243" s="362">
        <f>VLOOKUP(B1245,'Thong tin'!$A:$M,13,0)</f>
        <v>1200</v>
      </c>
      <c r="V1243" s="361"/>
      <c r="W1243" s="361"/>
    </row>
    <row r="1244" spans="1:23">
      <c r="A1244" s="1402"/>
      <c r="B1244" s="1402"/>
      <c r="C1244" s="829"/>
      <c r="D1244" s="873"/>
      <c r="E1244" s="1402"/>
      <c r="F1244" s="1402"/>
      <c r="G1244" s="1402"/>
      <c r="H1244" s="1402"/>
      <c r="I1244" s="1402"/>
      <c r="J1244" s="1402"/>
      <c r="K1244" s="1402"/>
      <c r="L1244" s="1402"/>
      <c r="M1244" s="1402"/>
      <c r="N1244" s="1402"/>
      <c r="O1244" s="1402"/>
      <c r="P1244" s="1402"/>
      <c r="Q1244" s="1402"/>
      <c r="R1244" s="1402"/>
      <c r="S1244" s="361"/>
      <c r="T1244" s="1399" t="s">
        <v>393</v>
      </c>
      <c r="U1244" s="1397">
        <f>VLOOKUP(B1245,DT.NK!$B:$AZ,45,0)</f>
        <v>31.6</v>
      </c>
      <c r="V1244" s="361"/>
      <c r="W1244" s="361"/>
    </row>
    <row r="1245" spans="1:23">
      <c r="A1245" s="1409">
        <f>A1225+1</f>
        <v>63</v>
      </c>
      <c r="B1245" s="1412" t="s">
        <v>576</v>
      </c>
      <c r="C1245" s="844" t="s">
        <v>983</v>
      </c>
      <c r="D1245" s="874" t="str">
        <f>B1245&amp;C1245</f>
        <v>A153a</v>
      </c>
      <c r="E1245" s="363"/>
      <c r="F1245" s="364"/>
      <c r="G1245" s="364"/>
      <c r="H1245" s="364"/>
      <c r="I1245" s="364"/>
      <c r="J1245" s="364"/>
      <c r="K1245" s="364"/>
      <c r="L1245" s="364"/>
      <c r="M1245" s="674"/>
      <c r="N1245" s="670"/>
      <c r="O1245" s="670">
        <f>U1244</f>
        <v>31.6</v>
      </c>
      <c r="P1245" s="670">
        <f>O1245</f>
        <v>31.6</v>
      </c>
      <c r="Q1245" s="670">
        <v>0</v>
      </c>
      <c r="R1245" s="365"/>
      <c r="S1245" s="366"/>
      <c r="T1245" s="1399"/>
      <c r="U1245" s="1398"/>
      <c r="V1245" s="361"/>
      <c r="W1245" s="361"/>
    </row>
    <row r="1246" spans="1:23">
      <c r="A1246" s="1410"/>
      <c r="B1246" s="1413"/>
      <c r="C1246" s="845" t="s">
        <v>984</v>
      </c>
      <c r="D1246" s="875" t="str">
        <f>B1245&amp;C1246</f>
        <v>A153b</v>
      </c>
      <c r="E1246" s="367">
        <v>1</v>
      </c>
      <c r="F1246" s="669" t="s">
        <v>981</v>
      </c>
      <c r="G1246" s="369">
        <v>0.86249999999999993</v>
      </c>
      <c r="H1246" s="368">
        <v>0.88888888888888884</v>
      </c>
      <c r="I1246" s="369">
        <v>0.89583333333333337</v>
      </c>
      <c r="J1246" s="368">
        <v>0.90277777777777779</v>
      </c>
      <c r="K1246" s="669">
        <v>10</v>
      </c>
      <c r="L1246" s="669">
        <v>19</v>
      </c>
      <c r="M1246" s="675">
        <v>26.45</v>
      </c>
      <c r="N1246" s="671">
        <f>IF(M1246-P1246&gt;0,M1246-P1246,0)</f>
        <v>3.4499999999999993</v>
      </c>
      <c r="O1246" s="671">
        <f>O1245-K1246/(PI()*(U1243/2000)^2)</f>
        <v>22.758058717116928</v>
      </c>
      <c r="P1246" s="672">
        <v>23</v>
      </c>
      <c r="Q1246" s="673">
        <f>ABS(O1246-P1246)</f>
        <v>0.24194128288307226</v>
      </c>
      <c r="R1246" s="375" t="s">
        <v>188</v>
      </c>
      <c r="S1246" s="366"/>
      <c r="T1246" s="376"/>
      <c r="U1246" s="376"/>
      <c r="V1246" s="366"/>
      <c r="W1246" s="366"/>
    </row>
    <row r="1247" spans="1:23">
      <c r="A1247" s="1410"/>
      <c r="B1247" s="1413"/>
      <c r="C1247" s="845" t="s">
        <v>985</v>
      </c>
      <c r="D1247" s="875" t="str">
        <f>B1245&amp;C1247</f>
        <v>A153c</v>
      </c>
      <c r="E1247" s="367">
        <v>2</v>
      </c>
      <c r="F1247" s="669" t="s">
        <v>1019</v>
      </c>
      <c r="G1247" s="369">
        <v>0.87291666666666667</v>
      </c>
      <c r="H1247" s="368">
        <v>0.89236111111111116</v>
      </c>
      <c r="I1247" s="369">
        <v>0.90972222222222221</v>
      </c>
      <c r="J1247" s="368">
        <v>0.91666666666666663</v>
      </c>
      <c r="K1247" s="669">
        <v>10</v>
      </c>
      <c r="L1247" s="669">
        <v>20</v>
      </c>
      <c r="M1247" s="675">
        <v>20.149999999999999</v>
      </c>
      <c r="N1247" s="671">
        <f>IF(M1247-P1247&gt;0,M1247-P1247,0)</f>
        <v>4.1499999999999986</v>
      </c>
      <c r="O1247" s="671">
        <f>O1246-K1247/(PI()*(U1243/2000)^2)</f>
        <v>13.916117434233854</v>
      </c>
      <c r="P1247" s="672">
        <v>16</v>
      </c>
      <c r="Q1247" s="673">
        <f>ABS(O1247-P1247)</f>
        <v>2.0838825657661459</v>
      </c>
      <c r="R1247" s="375" t="s">
        <v>188</v>
      </c>
      <c r="S1247" s="366"/>
      <c r="T1247" s="376"/>
      <c r="U1247" s="376"/>
      <c r="V1247" s="366"/>
      <c r="W1247" s="366"/>
    </row>
    <row r="1248" spans="1:23">
      <c r="A1248" s="1410"/>
      <c r="B1248" s="1413"/>
      <c r="C1248" s="845" t="s">
        <v>986</v>
      </c>
      <c r="D1248" s="875" t="str">
        <f>B1245&amp;C1248</f>
        <v>A153d</v>
      </c>
      <c r="E1248" s="367">
        <v>3</v>
      </c>
      <c r="F1248" s="669" t="s">
        <v>1008</v>
      </c>
      <c r="G1248" s="369">
        <v>0.88194444444444453</v>
      </c>
      <c r="H1248" s="368">
        <v>0.91666666666666663</v>
      </c>
      <c r="I1248" s="369">
        <v>0.92708333333333337</v>
      </c>
      <c r="J1248" s="368">
        <v>0.93402777777777779</v>
      </c>
      <c r="K1248" s="669">
        <v>10</v>
      </c>
      <c r="L1248" s="669">
        <v>20</v>
      </c>
      <c r="M1248" s="675">
        <v>20.149999999999999</v>
      </c>
      <c r="N1248" s="671">
        <f>IF(M1248-P1248&gt;0,M1248-P1248,0)</f>
        <v>6.6499999999999986</v>
      </c>
      <c r="O1248" s="671">
        <f>O1247-K1248/(PI()*(U1243/2000)^2)</f>
        <v>5.0741761513507804</v>
      </c>
      <c r="P1248" s="672">
        <v>13.5</v>
      </c>
      <c r="Q1248" s="673">
        <f>ABS(O1248-P1248)</f>
        <v>8.4258238486492196</v>
      </c>
      <c r="R1248" s="375"/>
      <c r="S1248" s="366"/>
      <c r="T1248" s="376"/>
      <c r="U1248" s="376"/>
      <c r="V1248" s="366"/>
      <c r="W1248" s="366"/>
    </row>
    <row r="1249" spans="1:23">
      <c r="A1249" s="1410"/>
      <c r="B1249" s="1413"/>
      <c r="C1249" s="845" t="s">
        <v>987</v>
      </c>
      <c r="D1249" s="875" t="str">
        <f>B1245&amp;C1249</f>
        <v>A153e</v>
      </c>
      <c r="E1249" s="367">
        <v>4</v>
      </c>
      <c r="F1249" s="669" t="s">
        <v>1019</v>
      </c>
      <c r="G1249" s="369">
        <v>0.96250000000000002</v>
      </c>
      <c r="H1249" s="368">
        <v>0</v>
      </c>
      <c r="I1249" s="369">
        <v>6.9444444444444441E-3</v>
      </c>
      <c r="J1249" s="368">
        <v>1.3888888888888888E-2</v>
      </c>
      <c r="K1249" s="669">
        <v>10</v>
      </c>
      <c r="L1249" s="370">
        <v>20</v>
      </c>
      <c r="M1249" s="675">
        <v>17</v>
      </c>
      <c r="N1249" s="671">
        <f>IF(M1249-P1249&gt;0,M1249-P1249,0)</f>
        <v>7.1999999999999993</v>
      </c>
      <c r="O1249" s="671">
        <f>O1248-K1249/(PI()*(U1243/2000)^2)</f>
        <v>-3.7677651315322933</v>
      </c>
      <c r="P1249" s="373">
        <v>9.8000000000000007</v>
      </c>
      <c r="Q1249" s="673">
        <f>ABS(O1249-P1249)</f>
        <v>13.567765131532294</v>
      </c>
      <c r="R1249" s="375"/>
      <c r="S1249" s="366"/>
      <c r="T1249" s="376"/>
      <c r="U1249" s="376"/>
      <c r="V1249" s="366"/>
      <c r="W1249" s="366"/>
    </row>
    <row r="1250" spans="1:23">
      <c r="A1250" s="1410"/>
      <c r="B1250" s="1413"/>
      <c r="C1250" s="845" t="s">
        <v>988</v>
      </c>
      <c r="D1250" s="875" t="str">
        <f>B1245&amp;C1250</f>
        <v>A153f</v>
      </c>
      <c r="E1250" s="367">
        <v>5</v>
      </c>
      <c r="F1250" s="669" t="s">
        <v>1010</v>
      </c>
      <c r="G1250" s="369">
        <v>1.3888888888888888E-2</v>
      </c>
      <c r="H1250" s="368">
        <v>3.1944444444444449E-2</v>
      </c>
      <c r="I1250" s="369">
        <v>3.4722222222222224E-2</v>
      </c>
      <c r="J1250" s="368">
        <v>3.7499999999999999E-2</v>
      </c>
      <c r="K1250" s="669">
        <v>4</v>
      </c>
      <c r="L1250" s="370">
        <v>19</v>
      </c>
      <c r="M1250" s="371">
        <v>17</v>
      </c>
      <c r="N1250" s="671">
        <f>IF(M1250-P1250&gt;0,M1250-P1250,0)</f>
        <v>10</v>
      </c>
      <c r="O1250" s="671">
        <f>O1249-K1250/(PI()*(U1243/2000)^2)</f>
        <v>-7.3045416446855231</v>
      </c>
      <c r="P1250" s="373">
        <v>7</v>
      </c>
      <c r="Q1250" s="673">
        <f>ABS(O1250-P1250)</f>
        <v>14.304541644685523</v>
      </c>
      <c r="R1250" s="377"/>
      <c r="S1250" s="366" t="s">
        <v>190</v>
      </c>
      <c r="T1250" s="376"/>
      <c r="U1250" s="376"/>
      <c r="V1250" s="366"/>
      <c r="W1250" s="366"/>
    </row>
    <row r="1251" spans="1:23">
      <c r="A1251" s="1410"/>
      <c r="B1251" s="1413"/>
      <c r="C1251" s="845" t="s">
        <v>989</v>
      </c>
      <c r="D1251" s="875" t="str">
        <f>B1245&amp;C1251</f>
        <v>A153g</v>
      </c>
      <c r="E1251" s="367">
        <v>6</v>
      </c>
      <c r="F1251" s="669"/>
      <c r="G1251" s="369"/>
      <c r="H1251" s="368"/>
      <c r="I1251" s="369"/>
      <c r="J1251" s="368"/>
      <c r="K1251" s="669"/>
      <c r="L1251" s="370"/>
      <c r="M1251" s="371"/>
      <c r="N1251" s="671"/>
      <c r="O1251" s="671"/>
      <c r="P1251" s="373"/>
      <c r="Q1251" s="673"/>
      <c r="R1251" s="375"/>
      <c r="S1251" s="366" t="s">
        <v>190</v>
      </c>
      <c r="T1251" s="366"/>
      <c r="U1251" s="366"/>
      <c r="V1251" s="366"/>
      <c r="W1251" s="366"/>
    </row>
    <row r="1252" spans="1:23">
      <c r="A1252" s="1410"/>
      <c r="B1252" s="1413"/>
      <c r="C1252" s="845" t="s">
        <v>990</v>
      </c>
      <c r="D1252" s="875" t="str">
        <f>B1245&amp;C1252</f>
        <v>A153h</v>
      </c>
      <c r="E1252" s="367">
        <v>7</v>
      </c>
      <c r="F1252" s="669"/>
      <c r="G1252" s="368"/>
      <c r="H1252" s="368"/>
      <c r="I1252" s="368"/>
      <c r="J1252" s="368"/>
      <c r="K1252" s="669"/>
      <c r="L1252" s="370"/>
      <c r="M1252" s="371"/>
      <c r="N1252" s="671"/>
      <c r="O1252" s="671"/>
      <c r="P1252" s="373"/>
      <c r="Q1252" s="673"/>
      <c r="R1252" s="377"/>
      <c r="S1252" s="366" t="s">
        <v>190</v>
      </c>
      <c r="T1252" s="366"/>
      <c r="U1252" s="366"/>
      <c r="V1252" s="366"/>
      <c r="W1252" s="366"/>
    </row>
    <row r="1253" spans="1:23">
      <c r="A1253" s="1410"/>
      <c r="B1253" s="1413"/>
      <c r="C1253" s="845" t="s">
        <v>991</v>
      </c>
      <c r="D1253" s="875" t="str">
        <f>B1245&amp;C1253</f>
        <v>A153i</v>
      </c>
      <c r="E1253" s="367">
        <v>8</v>
      </c>
      <c r="F1253" s="669"/>
      <c r="G1253" s="368"/>
      <c r="H1253" s="368"/>
      <c r="I1253" s="368"/>
      <c r="J1253" s="368"/>
      <c r="K1253" s="370"/>
      <c r="L1253" s="370"/>
      <c r="M1253" s="371"/>
      <c r="N1253" s="671"/>
      <c r="O1253" s="671"/>
      <c r="P1253" s="373"/>
      <c r="Q1253" s="673"/>
      <c r="R1253" s="378"/>
      <c r="S1253" s="366"/>
      <c r="T1253" s="366"/>
      <c r="U1253" s="366"/>
      <c r="V1253" s="366"/>
      <c r="W1253" s="366"/>
    </row>
    <row r="1254" spans="1:23">
      <c r="A1254" s="1410"/>
      <c r="B1254" s="1413"/>
      <c r="C1254" s="845" t="s">
        <v>992</v>
      </c>
      <c r="D1254" s="875" t="str">
        <f>B1245&amp;C1254</f>
        <v>A153k</v>
      </c>
      <c r="E1254" s="367">
        <v>9</v>
      </c>
      <c r="F1254" s="370"/>
      <c r="G1254" s="368"/>
      <c r="H1254" s="368"/>
      <c r="I1254" s="368"/>
      <c r="J1254" s="368"/>
      <c r="K1254" s="370"/>
      <c r="L1254" s="370"/>
      <c r="M1254" s="371"/>
      <c r="N1254" s="372"/>
      <c r="O1254" s="372"/>
      <c r="P1254" s="373"/>
      <c r="Q1254" s="374"/>
      <c r="R1254" s="378"/>
      <c r="S1254" s="379"/>
      <c r="T1254" s="366"/>
      <c r="U1254" s="366"/>
      <c r="V1254" s="366"/>
      <c r="W1254" s="366"/>
    </row>
    <row r="1255" spans="1:23">
      <c r="A1255" s="1410"/>
      <c r="B1255" s="1413"/>
      <c r="C1255" s="845" t="s">
        <v>993</v>
      </c>
      <c r="D1255" s="875" t="str">
        <f>B1245&amp;C1255</f>
        <v>A153l</v>
      </c>
      <c r="E1255" s="367">
        <v>10</v>
      </c>
      <c r="F1255" s="370"/>
      <c r="G1255" s="368"/>
      <c r="H1255" s="368"/>
      <c r="I1255" s="368"/>
      <c r="J1255" s="368"/>
      <c r="K1255" s="370"/>
      <c r="L1255" s="370"/>
      <c r="M1255" s="370"/>
      <c r="N1255" s="372"/>
      <c r="O1255" s="372"/>
      <c r="P1255" s="373"/>
      <c r="Q1255" s="374"/>
      <c r="R1255" s="378"/>
      <c r="S1255" s="379"/>
      <c r="T1255" s="366"/>
      <c r="U1255" s="366"/>
      <c r="V1255" s="366"/>
      <c r="W1255" s="366"/>
    </row>
    <row r="1256" spans="1:23">
      <c r="A1256" s="1410"/>
      <c r="B1256" s="1413"/>
      <c r="C1256" s="845" t="s">
        <v>994</v>
      </c>
      <c r="D1256" s="875" t="str">
        <f>B1245&amp;C1256</f>
        <v>A153m</v>
      </c>
      <c r="E1256" s="367">
        <v>11</v>
      </c>
      <c r="F1256" s="370"/>
      <c r="G1256" s="368"/>
      <c r="H1256" s="368"/>
      <c r="I1256" s="368"/>
      <c r="J1256" s="368"/>
      <c r="K1256" s="370"/>
      <c r="L1256" s="370"/>
      <c r="M1256" s="370"/>
      <c r="N1256" s="372"/>
      <c r="O1256" s="372"/>
      <c r="P1256" s="380"/>
      <c r="Q1256" s="374"/>
      <c r="R1256" s="381"/>
      <c r="S1256" s="379"/>
      <c r="T1256" s="366"/>
      <c r="U1256" s="366"/>
      <c r="V1256" s="366"/>
      <c r="W1256" s="366"/>
    </row>
    <row r="1257" spans="1:23">
      <c r="A1257" s="1410"/>
      <c r="B1257" s="1413"/>
      <c r="C1257" s="845" t="s">
        <v>995</v>
      </c>
      <c r="D1257" s="875" t="str">
        <f>B1245&amp;C1257</f>
        <v>A153n</v>
      </c>
      <c r="E1257" s="367">
        <v>12</v>
      </c>
      <c r="F1257" s="370"/>
      <c r="G1257" s="368"/>
      <c r="H1257" s="368"/>
      <c r="I1257" s="368"/>
      <c r="J1257" s="368"/>
      <c r="K1257" s="370"/>
      <c r="L1257" s="370"/>
      <c r="M1257" s="370"/>
      <c r="N1257" s="372"/>
      <c r="O1257" s="372"/>
      <c r="P1257" s="380"/>
      <c r="Q1257" s="374"/>
      <c r="R1257" s="381"/>
      <c r="S1257" s="361"/>
      <c r="T1257" s="361"/>
      <c r="U1257" s="361"/>
      <c r="V1257" s="366"/>
      <c r="W1257" s="366"/>
    </row>
    <row r="1258" spans="1:23">
      <c r="A1258" s="1410"/>
      <c r="B1258" s="1413"/>
      <c r="C1258" s="845" t="s">
        <v>471</v>
      </c>
      <c r="D1258" s="875" t="str">
        <f>B1245&amp;C1258</f>
        <v>A153x</v>
      </c>
      <c r="E1258" s="367">
        <v>13</v>
      </c>
      <c r="F1258" s="370"/>
      <c r="G1258" s="368"/>
      <c r="H1258" s="368"/>
      <c r="I1258" s="368"/>
      <c r="J1258" s="368"/>
      <c r="K1258" s="370"/>
      <c r="L1258" s="370"/>
      <c r="M1258" s="370"/>
      <c r="N1258" s="382"/>
      <c r="O1258" s="372"/>
      <c r="P1258" s="380"/>
      <c r="Q1258" s="381"/>
      <c r="R1258" s="381"/>
      <c r="S1258" s="361"/>
      <c r="T1258" s="361"/>
      <c r="U1258" s="361"/>
      <c r="V1258" s="366"/>
      <c r="W1258" s="366"/>
    </row>
    <row r="1259" spans="1:23">
      <c r="A1259" s="1410"/>
      <c r="B1259" s="1413"/>
      <c r="C1259" s="845" t="s">
        <v>732</v>
      </c>
      <c r="D1259" s="875" t="str">
        <f>B1245&amp;C1259</f>
        <v>A153y</v>
      </c>
      <c r="E1259" s="367">
        <v>14</v>
      </c>
      <c r="F1259" s="370"/>
      <c r="G1259" s="368"/>
      <c r="H1259" s="368"/>
      <c r="I1259" s="368"/>
      <c r="J1259" s="368"/>
      <c r="K1259" s="370"/>
      <c r="L1259" s="370"/>
      <c r="M1259" s="370"/>
      <c r="N1259" s="382"/>
      <c r="O1259" s="372"/>
      <c r="P1259" s="380"/>
      <c r="Q1259" s="381"/>
      <c r="R1259" s="381"/>
      <c r="S1259" s="361"/>
      <c r="T1259" s="361"/>
      <c r="U1259" s="362"/>
      <c r="V1259" s="366"/>
      <c r="W1259" s="366"/>
    </row>
    <row r="1260" spans="1:23">
      <c r="A1260" s="1411"/>
      <c r="B1260" s="1414"/>
      <c r="C1260" s="846" t="s">
        <v>996</v>
      </c>
      <c r="D1260" s="876" t="str">
        <f>B1245&amp;C1260</f>
        <v>A153z</v>
      </c>
      <c r="E1260" s="847">
        <v>15</v>
      </c>
      <c r="F1260" s="370"/>
      <c r="G1260" s="368"/>
      <c r="H1260" s="368"/>
      <c r="I1260" s="368"/>
      <c r="J1260" s="368"/>
      <c r="K1260" s="370"/>
      <c r="L1260" s="370"/>
      <c r="M1260" s="370"/>
      <c r="N1260" s="850"/>
      <c r="O1260" s="851"/>
      <c r="P1260" s="380"/>
      <c r="Q1260" s="852"/>
      <c r="R1260" s="383"/>
      <c r="S1260" s="361"/>
      <c r="T1260" s="832"/>
      <c r="U1260" s="830"/>
      <c r="V1260" s="366"/>
      <c r="W1260" s="366"/>
    </row>
    <row r="1261" spans="1:23">
      <c r="A1261" s="1400" t="s">
        <v>939</v>
      </c>
      <c r="B1261" s="1400"/>
      <c r="C1261" s="827"/>
      <c r="D1261" s="871"/>
      <c r="E1261" s="1400" t="s">
        <v>177</v>
      </c>
      <c r="F1261" s="1400" t="s">
        <v>18</v>
      </c>
      <c r="G1261" s="1389" t="s">
        <v>19</v>
      </c>
      <c r="H1261" s="1390"/>
      <c r="I1261" s="1389" t="s">
        <v>22</v>
      </c>
      <c r="J1261" s="1390"/>
      <c r="K1261" s="1393" t="s">
        <v>26</v>
      </c>
      <c r="L1261" s="1390"/>
      <c r="M1261" s="1389" t="s">
        <v>392</v>
      </c>
      <c r="N1261" s="1390"/>
      <c r="O1261" s="1389" t="s">
        <v>28</v>
      </c>
      <c r="P1261" s="1393"/>
      <c r="Q1261" s="1390"/>
      <c r="R1261" s="1400" t="s">
        <v>36</v>
      </c>
      <c r="S1261" s="361"/>
      <c r="T1261" s="361">
        <f>MAX(J1265:J1279)-MIN(I1265:I1279)</f>
        <v>5.2083333333333315E-2</v>
      </c>
      <c r="U1261" s="361"/>
      <c r="V1261" s="853" t="str">
        <f t="shared" ref="V1261" si="134">B1265</f>
        <v>A52</v>
      </c>
      <c r="W1261" s="361">
        <f t="shared" ref="W1261" si="135">COUNTIF(K1266:K1280,"&gt;0")</f>
        <v>3</v>
      </c>
    </row>
    <row r="1262" spans="1:23">
      <c r="A1262" s="1401"/>
      <c r="B1262" s="1401"/>
      <c r="C1262" s="828"/>
      <c r="D1262" s="872"/>
      <c r="E1262" s="1401"/>
      <c r="F1262" s="1401"/>
      <c r="G1262" s="1391"/>
      <c r="H1262" s="1392"/>
      <c r="I1262" s="1391"/>
      <c r="J1262" s="1392"/>
      <c r="K1262" s="1394"/>
      <c r="L1262" s="1392"/>
      <c r="M1262" s="1391"/>
      <c r="N1262" s="1392"/>
      <c r="O1262" s="1391"/>
      <c r="P1262" s="1394"/>
      <c r="Q1262" s="1392"/>
      <c r="R1262" s="1401"/>
      <c r="S1262" s="361"/>
      <c r="T1262" s="361"/>
      <c r="U1262" s="361"/>
      <c r="V1262" s="361"/>
      <c r="W1262" s="361"/>
    </row>
    <row r="1263" spans="1:23">
      <c r="A1263" s="1401"/>
      <c r="B1263" s="1401"/>
      <c r="C1263" s="828"/>
      <c r="D1263" s="872"/>
      <c r="E1263" s="1401"/>
      <c r="F1263" s="1401"/>
      <c r="G1263" s="1400" t="s">
        <v>20</v>
      </c>
      <c r="H1263" s="1400" t="s">
        <v>21</v>
      </c>
      <c r="I1263" s="1400" t="s">
        <v>361</v>
      </c>
      <c r="J1263" s="1400" t="s">
        <v>353</v>
      </c>
      <c r="K1263" s="1400" t="s">
        <v>23</v>
      </c>
      <c r="L1263" s="1400" t="s">
        <v>24</v>
      </c>
      <c r="M1263" s="1400" t="s">
        <v>27</v>
      </c>
      <c r="N1263" s="1400" t="s">
        <v>178</v>
      </c>
      <c r="O1263" s="1400" t="s">
        <v>1</v>
      </c>
      <c r="P1263" s="1400" t="s">
        <v>29</v>
      </c>
      <c r="Q1263" s="1400" t="s">
        <v>33</v>
      </c>
      <c r="R1263" s="1401"/>
      <c r="S1263" s="361"/>
      <c r="T1263" s="361" t="s">
        <v>39</v>
      </c>
      <c r="U1263" s="362">
        <f>VLOOKUP(B1265,'Thong tin'!$A:$M,13,0)</f>
        <v>1200</v>
      </c>
      <c r="V1263" s="361"/>
      <c r="W1263" s="361"/>
    </row>
    <row r="1264" spans="1:23">
      <c r="A1264" s="1402"/>
      <c r="B1264" s="1402"/>
      <c r="C1264" s="829"/>
      <c r="D1264" s="873"/>
      <c r="E1264" s="1402"/>
      <c r="F1264" s="1402"/>
      <c r="G1264" s="1402"/>
      <c r="H1264" s="1402"/>
      <c r="I1264" s="1402"/>
      <c r="J1264" s="1402"/>
      <c r="K1264" s="1402"/>
      <c r="L1264" s="1402"/>
      <c r="M1264" s="1402"/>
      <c r="N1264" s="1402"/>
      <c r="O1264" s="1402"/>
      <c r="P1264" s="1402"/>
      <c r="Q1264" s="1402"/>
      <c r="R1264" s="1402"/>
      <c r="S1264" s="361"/>
      <c r="T1264" s="1399" t="s">
        <v>393</v>
      </c>
      <c r="U1264" s="1397">
        <f>VLOOKUP(B1265,DT.NK!$B:$AZ,45,0)</f>
        <v>24.3</v>
      </c>
      <c r="V1264" s="361"/>
      <c r="W1264" s="361"/>
    </row>
    <row r="1265" spans="1:23">
      <c r="A1265" s="1409">
        <f>A1245+1</f>
        <v>64</v>
      </c>
      <c r="B1265" s="1412" t="s">
        <v>520</v>
      </c>
      <c r="C1265" s="844" t="s">
        <v>983</v>
      </c>
      <c r="D1265" s="874" t="str">
        <f>B1265&amp;C1265</f>
        <v>A52a</v>
      </c>
      <c r="E1265" s="363"/>
      <c r="F1265" s="364"/>
      <c r="G1265" s="364"/>
      <c r="H1265" s="364"/>
      <c r="I1265" s="364"/>
      <c r="J1265" s="364"/>
      <c r="K1265" s="364"/>
      <c r="L1265" s="364"/>
      <c r="M1265" s="674"/>
      <c r="N1265" s="670"/>
      <c r="O1265" s="670">
        <f>U1264</f>
        <v>24.3</v>
      </c>
      <c r="P1265" s="670">
        <f>O1265</f>
        <v>24.3</v>
      </c>
      <c r="Q1265" s="670">
        <v>0</v>
      </c>
      <c r="R1265" s="365"/>
      <c r="S1265" s="366"/>
      <c r="T1265" s="1399"/>
      <c r="U1265" s="1398"/>
      <c r="V1265" s="361"/>
      <c r="W1265" s="361"/>
    </row>
    <row r="1266" spans="1:23">
      <c r="A1266" s="1410"/>
      <c r="B1266" s="1413"/>
      <c r="C1266" s="845" t="s">
        <v>984</v>
      </c>
      <c r="D1266" s="875" t="str">
        <f>B1265&amp;C1266</f>
        <v>A52b</v>
      </c>
      <c r="E1266" s="367">
        <v>1</v>
      </c>
      <c r="F1266" s="669" t="s">
        <v>1010</v>
      </c>
      <c r="G1266" s="369">
        <v>0.17291666666666669</v>
      </c>
      <c r="H1266" s="368">
        <v>0.20555555555555557</v>
      </c>
      <c r="I1266" s="369">
        <v>0.22222222222222221</v>
      </c>
      <c r="J1266" s="368">
        <v>0.22916666666666666</v>
      </c>
      <c r="K1266" s="669">
        <v>10</v>
      </c>
      <c r="L1266" s="669">
        <v>19</v>
      </c>
      <c r="M1266" s="675">
        <v>19.149999999999999</v>
      </c>
      <c r="N1266" s="671">
        <f>IF(M1266-P1266&gt;0,M1266-P1266,0)</f>
        <v>3.1499999999999986</v>
      </c>
      <c r="O1266" s="671">
        <f>O1265-K1266/(PI()*(U1263/2000)^2)</f>
        <v>15.458058717116927</v>
      </c>
      <c r="P1266" s="672">
        <v>16</v>
      </c>
      <c r="Q1266" s="673">
        <f>ABS(O1266-P1266)</f>
        <v>0.54194128288307297</v>
      </c>
      <c r="R1266" s="375" t="s">
        <v>188</v>
      </c>
      <c r="S1266" s="366"/>
      <c r="T1266" s="376"/>
      <c r="U1266" s="376"/>
      <c r="V1266" s="366"/>
      <c r="W1266" s="366"/>
    </row>
    <row r="1267" spans="1:23">
      <c r="A1267" s="1410"/>
      <c r="B1267" s="1413"/>
      <c r="C1267" s="845" t="s">
        <v>985</v>
      </c>
      <c r="D1267" s="875" t="str">
        <f>B1265&amp;C1267</f>
        <v>A52c</v>
      </c>
      <c r="E1267" s="367">
        <v>2</v>
      </c>
      <c r="F1267" s="669" t="s">
        <v>1007</v>
      </c>
      <c r="G1267" s="369">
        <v>0.18055555555555555</v>
      </c>
      <c r="H1267" s="368">
        <v>0.26041666666666669</v>
      </c>
      <c r="I1267" s="369">
        <v>0.23611111111111113</v>
      </c>
      <c r="J1267" s="368">
        <v>0.24305555555555555</v>
      </c>
      <c r="K1267" s="669">
        <v>10</v>
      </c>
      <c r="L1267" s="669">
        <v>19</v>
      </c>
      <c r="M1267" s="675">
        <v>12.85</v>
      </c>
      <c r="N1267" s="671">
        <f>IF(M1267-P1267&gt;0,M1267-P1267,0)</f>
        <v>4.8499999999999996</v>
      </c>
      <c r="O1267" s="671">
        <f>O1266-K1267/(PI()*(U1263/2000)^2)</f>
        <v>6.6161174342338533</v>
      </c>
      <c r="P1267" s="672">
        <v>8</v>
      </c>
      <c r="Q1267" s="673">
        <f>ABS(O1267-P1267)</f>
        <v>1.3838825657661467</v>
      </c>
      <c r="R1267" s="375" t="s">
        <v>188</v>
      </c>
      <c r="S1267" s="366"/>
      <c r="T1267" s="376"/>
      <c r="U1267" s="376"/>
      <c r="V1267" s="366"/>
      <c r="W1267" s="366"/>
    </row>
    <row r="1268" spans="1:23">
      <c r="A1268" s="1410"/>
      <c r="B1268" s="1413"/>
      <c r="C1268" s="845" t="s">
        <v>986</v>
      </c>
      <c r="D1268" s="875" t="str">
        <f>B1265&amp;C1268</f>
        <v>A52d</v>
      </c>
      <c r="E1268" s="367">
        <v>3</v>
      </c>
      <c r="F1268" s="669" t="s">
        <v>1008</v>
      </c>
      <c r="G1268" s="369">
        <v>0.24722222222222223</v>
      </c>
      <c r="H1268" s="368">
        <v>0.27083333333333331</v>
      </c>
      <c r="I1268" s="369">
        <v>0.2722222222222222</v>
      </c>
      <c r="J1268" s="368">
        <v>0.27430555555555552</v>
      </c>
      <c r="K1268" s="669">
        <v>1.5</v>
      </c>
      <c r="L1268" s="669">
        <v>19</v>
      </c>
      <c r="M1268" s="675">
        <v>12.85</v>
      </c>
      <c r="N1268" s="671">
        <f>IF(M1268-P1268&gt;0,M1268-P1268,0)</f>
        <v>6.1499999999999995</v>
      </c>
      <c r="O1268" s="671">
        <f>O1267-K1268/(PI()*(U1263/2000)^2)</f>
        <v>5.2898262418013919</v>
      </c>
      <c r="P1268" s="672">
        <v>6.7</v>
      </c>
      <c r="Q1268" s="673">
        <f>ABS(O1268-P1268)</f>
        <v>1.4101737581986082</v>
      </c>
      <c r="R1268" s="375" t="s">
        <v>188</v>
      </c>
      <c r="S1268" s="366"/>
      <c r="T1268" s="376"/>
      <c r="U1268" s="376"/>
      <c r="V1268" s="366"/>
      <c r="W1268" s="366"/>
    </row>
    <row r="1269" spans="1:23">
      <c r="A1269" s="1410"/>
      <c r="B1269" s="1413"/>
      <c r="C1269" s="845" t="s">
        <v>987</v>
      </c>
      <c r="D1269" s="875" t="str">
        <f>B1265&amp;C1269</f>
        <v>A52e</v>
      </c>
      <c r="E1269" s="367">
        <v>4</v>
      </c>
      <c r="F1269" s="669"/>
      <c r="G1269" s="369"/>
      <c r="H1269" s="368"/>
      <c r="I1269" s="369"/>
      <c r="J1269" s="368"/>
      <c r="K1269" s="669"/>
      <c r="L1269" s="370"/>
      <c r="M1269" s="675"/>
      <c r="N1269" s="671"/>
      <c r="O1269" s="671"/>
      <c r="P1269" s="373"/>
      <c r="Q1269" s="673"/>
      <c r="R1269" s="375"/>
      <c r="S1269" s="366"/>
      <c r="T1269" s="376"/>
      <c r="U1269" s="376"/>
      <c r="V1269" s="366"/>
      <c r="W1269" s="366"/>
    </row>
    <row r="1270" spans="1:23">
      <c r="A1270" s="1410"/>
      <c r="B1270" s="1413"/>
      <c r="C1270" s="845" t="s">
        <v>988</v>
      </c>
      <c r="D1270" s="875" t="str">
        <f>B1265&amp;C1270</f>
        <v>A52f</v>
      </c>
      <c r="E1270" s="367">
        <v>5</v>
      </c>
      <c r="F1270" s="669"/>
      <c r="G1270" s="369"/>
      <c r="H1270" s="368"/>
      <c r="I1270" s="369"/>
      <c r="J1270" s="368"/>
      <c r="K1270" s="669"/>
      <c r="L1270" s="370"/>
      <c r="M1270" s="371"/>
      <c r="N1270" s="671"/>
      <c r="O1270" s="671"/>
      <c r="P1270" s="373"/>
      <c r="Q1270" s="673"/>
      <c r="R1270" s="377"/>
      <c r="S1270" s="366" t="s">
        <v>190</v>
      </c>
      <c r="T1270" s="376"/>
      <c r="U1270" s="376"/>
      <c r="V1270" s="366"/>
      <c r="W1270" s="366"/>
    </row>
    <row r="1271" spans="1:23">
      <c r="A1271" s="1410"/>
      <c r="B1271" s="1413"/>
      <c r="C1271" s="845" t="s">
        <v>989</v>
      </c>
      <c r="D1271" s="875" t="str">
        <f>B1265&amp;C1271</f>
        <v>A52g</v>
      </c>
      <c r="E1271" s="367">
        <v>6</v>
      </c>
      <c r="F1271" s="669"/>
      <c r="G1271" s="369"/>
      <c r="H1271" s="368"/>
      <c r="I1271" s="369"/>
      <c r="J1271" s="368"/>
      <c r="K1271" s="669"/>
      <c r="L1271" s="370"/>
      <c r="M1271" s="371"/>
      <c r="N1271" s="671"/>
      <c r="O1271" s="671"/>
      <c r="P1271" s="373"/>
      <c r="Q1271" s="673"/>
      <c r="R1271" s="375"/>
      <c r="S1271" s="366" t="s">
        <v>190</v>
      </c>
      <c r="T1271" s="366"/>
      <c r="U1271" s="366"/>
      <c r="V1271" s="366"/>
      <c r="W1271" s="366"/>
    </row>
    <row r="1272" spans="1:23">
      <c r="A1272" s="1410"/>
      <c r="B1272" s="1413"/>
      <c r="C1272" s="845" t="s">
        <v>990</v>
      </c>
      <c r="D1272" s="875" t="str">
        <f>B1265&amp;C1272</f>
        <v>A52h</v>
      </c>
      <c r="E1272" s="367">
        <v>7</v>
      </c>
      <c r="F1272" s="669"/>
      <c r="G1272" s="368"/>
      <c r="H1272" s="368"/>
      <c r="I1272" s="368"/>
      <c r="J1272" s="368"/>
      <c r="K1272" s="669"/>
      <c r="L1272" s="370"/>
      <c r="M1272" s="371"/>
      <c r="N1272" s="671"/>
      <c r="O1272" s="671"/>
      <c r="P1272" s="373"/>
      <c r="Q1272" s="673"/>
      <c r="R1272" s="377"/>
      <c r="S1272" s="366" t="s">
        <v>190</v>
      </c>
      <c r="T1272" s="366"/>
      <c r="U1272" s="366"/>
      <c r="V1272" s="366"/>
      <c r="W1272" s="366"/>
    </row>
    <row r="1273" spans="1:23">
      <c r="A1273" s="1410"/>
      <c r="B1273" s="1413"/>
      <c r="C1273" s="845" t="s">
        <v>991</v>
      </c>
      <c r="D1273" s="875" t="str">
        <f>B1265&amp;C1273</f>
        <v>A52i</v>
      </c>
      <c r="E1273" s="367">
        <v>8</v>
      </c>
      <c r="F1273" s="669"/>
      <c r="G1273" s="368"/>
      <c r="H1273" s="368"/>
      <c r="I1273" s="368"/>
      <c r="J1273" s="368"/>
      <c r="K1273" s="370"/>
      <c r="L1273" s="370"/>
      <c r="M1273" s="371"/>
      <c r="N1273" s="671"/>
      <c r="O1273" s="671"/>
      <c r="P1273" s="373"/>
      <c r="Q1273" s="673"/>
      <c r="R1273" s="378"/>
      <c r="S1273" s="366"/>
      <c r="T1273" s="366"/>
      <c r="U1273" s="366"/>
      <c r="V1273" s="366"/>
      <c r="W1273" s="366"/>
    </row>
    <row r="1274" spans="1:23">
      <c r="A1274" s="1410"/>
      <c r="B1274" s="1413"/>
      <c r="C1274" s="845" t="s">
        <v>992</v>
      </c>
      <c r="D1274" s="875" t="str">
        <f>B1265&amp;C1274</f>
        <v>A52k</v>
      </c>
      <c r="E1274" s="367">
        <v>9</v>
      </c>
      <c r="F1274" s="370"/>
      <c r="G1274" s="368"/>
      <c r="H1274" s="368"/>
      <c r="I1274" s="368"/>
      <c r="J1274" s="368"/>
      <c r="K1274" s="370"/>
      <c r="L1274" s="370"/>
      <c r="M1274" s="371"/>
      <c r="N1274" s="372"/>
      <c r="O1274" s="372"/>
      <c r="P1274" s="373"/>
      <c r="Q1274" s="374"/>
      <c r="R1274" s="378"/>
      <c r="S1274" s="379"/>
      <c r="T1274" s="366"/>
      <c r="U1274" s="366"/>
      <c r="V1274" s="366"/>
      <c r="W1274" s="366"/>
    </row>
    <row r="1275" spans="1:23">
      <c r="A1275" s="1410"/>
      <c r="B1275" s="1413"/>
      <c r="C1275" s="845" t="s">
        <v>993</v>
      </c>
      <c r="D1275" s="875" t="str">
        <f>B1265&amp;C1275</f>
        <v>A52l</v>
      </c>
      <c r="E1275" s="367">
        <v>10</v>
      </c>
      <c r="F1275" s="370"/>
      <c r="G1275" s="368"/>
      <c r="H1275" s="368"/>
      <c r="I1275" s="368"/>
      <c r="J1275" s="368"/>
      <c r="K1275" s="370"/>
      <c r="L1275" s="370"/>
      <c r="M1275" s="370"/>
      <c r="N1275" s="372"/>
      <c r="O1275" s="372"/>
      <c r="P1275" s="373"/>
      <c r="Q1275" s="374"/>
      <c r="R1275" s="378"/>
      <c r="S1275" s="379"/>
      <c r="T1275" s="366"/>
      <c r="U1275" s="366"/>
      <c r="V1275" s="366"/>
      <c r="W1275" s="366"/>
    </row>
    <row r="1276" spans="1:23">
      <c r="A1276" s="1410"/>
      <c r="B1276" s="1413"/>
      <c r="C1276" s="845" t="s">
        <v>994</v>
      </c>
      <c r="D1276" s="875" t="str">
        <f>B1265&amp;C1276</f>
        <v>A52m</v>
      </c>
      <c r="E1276" s="367">
        <v>11</v>
      </c>
      <c r="F1276" s="370"/>
      <c r="G1276" s="368"/>
      <c r="H1276" s="368"/>
      <c r="I1276" s="368"/>
      <c r="J1276" s="368"/>
      <c r="K1276" s="370"/>
      <c r="L1276" s="370"/>
      <c r="M1276" s="370"/>
      <c r="N1276" s="372"/>
      <c r="O1276" s="372"/>
      <c r="P1276" s="380"/>
      <c r="Q1276" s="374"/>
      <c r="R1276" s="381"/>
      <c r="S1276" s="379"/>
      <c r="T1276" s="366"/>
      <c r="U1276" s="366"/>
      <c r="V1276" s="366"/>
      <c r="W1276" s="366"/>
    </row>
    <row r="1277" spans="1:23">
      <c r="A1277" s="1410"/>
      <c r="B1277" s="1413"/>
      <c r="C1277" s="845" t="s">
        <v>995</v>
      </c>
      <c r="D1277" s="875" t="str">
        <f>B1265&amp;C1277</f>
        <v>A52n</v>
      </c>
      <c r="E1277" s="367">
        <v>12</v>
      </c>
      <c r="F1277" s="370"/>
      <c r="G1277" s="368"/>
      <c r="H1277" s="368"/>
      <c r="I1277" s="368"/>
      <c r="J1277" s="368"/>
      <c r="K1277" s="370"/>
      <c r="L1277" s="370"/>
      <c r="M1277" s="370"/>
      <c r="N1277" s="372"/>
      <c r="O1277" s="372"/>
      <c r="P1277" s="380"/>
      <c r="Q1277" s="374"/>
      <c r="R1277" s="381"/>
      <c r="S1277" s="361"/>
      <c r="T1277" s="361"/>
      <c r="U1277" s="361"/>
      <c r="V1277" s="366"/>
      <c r="W1277" s="366"/>
    </row>
    <row r="1278" spans="1:23">
      <c r="A1278" s="1410"/>
      <c r="B1278" s="1413"/>
      <c r="C1278" s="845" t="s">
        <v>471</v>
      </c>
      <c r="D1278" s="875" t="str">
        <f>B1265&amp;C1278</f>
        <v>A52x</v>
      </c>
      <c r="E1278" s="367">
        <v>13</v>
      </c>
      <c r="F1278" s="370"/>
      <c r="G1278" s="368"/>
      <c r="H1278" s="368"/>
      <c r="I1278" s="368"/>
      <c r="J1278" s="368"/>
      <c r="K1278" s="370"/>
      <c r="L1278" s="370"/>
      <c r="M1278" s="370"/>
      <c r="N1278" s="382"/>
      <c r="O1278" s="372"/>
      <c r="P1278" s="380"/>
      <c r="Q1278" s="381"/>
      <c r="R1278" s="381"/>
      <c r="S1278" s="361"/>
      <c r="T1278" s="361"/>
      <c r="U1278" s="361"/>
      <c r="V1278" s="366"/>
      <c r="W1278" s="366"/>
    </row>
    <row r="1279" spans="1:23">
      <c r="A1279" s="1410"/>
      <c r="B1279" s="1413"/>
      <c r="C1279" s="845" t="s">
        <v>732</v>
      </c>
      <c r="D1279" s="875" t="str">
        <f>B1265&amp;C1279</f>
        <v>A52y</v>
      </c>
      <c r="E1279" s="367">
        <v>14</v>
      </c>
      <c r="F1279" s="370"/>
      <c r="G1279" s="368"/>
      <c r="H1279" s="368"/>
      <c r="I1279" s="368"/>
      <c r="J1279" s="368"/>
      <c r="K1279" s="370"/>
      <c r="L1279" s="370"/>
      <c r="M1279" s="370"/>
      <c r="N1279" s="382"/>
      <c r="O1279" s="372"/>
      <c r="P1279" s="380"/>
      <c r="Q1279" s="381"/>
      <c r="R1279" s="381"/>
      <c r="S1279" s="361"/>
      <c r="T1279" s="361"/>
      <c r="U1279" s="362"/>
      <c r="V1279" s="366"/>
      <c r="W1279" s="366"/>
    </row>
    <row r="1280" spans="1:23">
      <c r="A1280" s="1411"/>
      <c r="B1280" s="1414"/>
      <c r="C1280" s="846" t="s">
        <v>996</v>
      </c>
      <c r="D1280" s="876" t="str">
        <f>B1265&amp;C1280</f>
        <v>A52z</v>
      </c>
      <c r="E1280" s="847">
        <v>15</v>
      </c>
      <c r="F1280" s="370"/>
      <c r="G1280" s="368"/>
      <c r="H1280" s="368"/>
      <c r="I1280" s="368"/>
      <c r="J1280" s="368"/>
      <c r="K1280" s="370"/>
      <c r="L1280" s="370"/>
      <c r="M1280" s="370"/>
      <c r="N1280" s="850"/>
      <c r="O1280" s="851"/>
      <c r="P1280" s="380"/>
      <c r="Q1280" s="852"/>
      <c r="R1280" s="383"/>
      <c r="S1280" s="361"/>
      <c r="T1280" s="832"/>
      <c r="U1280" s="830"/>
      <c r="V1280" s="366"/>
      <c r="W1280" s="366"/>
    </row>
    <row r="1281" spans="1:23">
      <c r="A1281" s="1400" t="s">
        <v>939</v>
      </c>
      <c r="B1281" s="1400"/>
      <c r="C1281" s="827"/>
      <c r="D1281" s="871"/>
      <c r="E1281" s="1400" t="s">
        <v>177</v>
      </c>
      <c r="F1281" s="1400" t="s">
        <v>18</v>
      </c>
      <c r="G1281" s="1389" t="s">
        <v>19</v>
      </c>
      <c r="H1281" s="1390"/>
      <c r="I1281" s="1389" t="s">
        <v>22</v>
      </c>
      <c r="J1281" s="1390"/>
      <c r="K1281" s="1393" t="s">
        <v>26</v>
      </c>
      <c r="L1281" s="1390"/>
      <c r="M1281" s="1389" t="s">
        <v>392</v>
      </c>
      <c r="N1281" s="1390"/>
      <c r="O1281" s="1389" t="s">
        <v>28</v>
      </c>
      <c r="P1281" s="1393"/>
      <c r="Q1281" s="1390"/>
      <c r="R1281" s="1400" t="s">
        <v>36</v>
      </c>
      <c r="S1281" s="361"/>
      <c r="T1281" s="361">
        <f>MAX(J1285:J1299)-MIN(I1285:I1299)</f>
        <v>0.95486111111111116</v>
      </c>
      <c r="U1281" s="361"/>
      <c r="V1281" s="853" t="str">
        <f t="shared" ref="V1281" si="136">B1285</f>
        <v>A150</v>
      </c>
      <c r="W1281" s="361">
        <f t="shared" ref="W1281" si="137">COUNTIF(K1286:K1300,"&gt;0")</f>
        <v>4</v>
      </c>
    </row>
    <row r="1282" spans="1:23">
      <c r="A1282" s="1401"/>
      <c r="B1282" s="1401"/>
      <c r="C1282" s="828"/>
      <c r="D1282" s="872"/>
      <c r="E1282" s="1401"/>
      <c r="F1282" s="1401"/>
      <c r="G1282" s="1391"/>
      <c r="H1282" s="1392"/>
      <c r="I1282" s="1391"/>
      <c r="J1282" s="1392"/>
      <c r="K1282" s="1394"/>
      <c r="L1282" s="1392"/>
      <c r="M1282" s="1391"/>
      <c r="N1282" s="1392"/>
      <c r="O1282" s="1391"/>
      <c r="P1282" s="1394"/>
      <c r="Q1282" s="1392"/>
      <c r="R1282" s="1401"/>
      <c r="S1282" s="361"/>
      <c r="T1282" s="361"/>
      <c r="U1282" s="361"/>
      <c r="V1282" s="361"/>
      <c r="W1282" s="361"/>
    </row>
    <row r="1283" spans="1:23">
      <c r="A1283" s="1401"/>
      <c r="B1283" s="1401"/>
      <c r="C1283" s="828"/>
      <c r="D1283" s="872"/>
      <c r="E1283" s="1401"/>
      <c r="F1283" s="1401"/>
      <c r="G1283" s="1400" t="s">
        <v>20</v>
      </c>
      <c r="H1283" s="1400" t="s">
        <v>21</v>
      </c>
      <c r="I1283" s="1400" t="s">
        <v>361</v>
      </c>
      <c r="J1283" s="1400" t="s">
        <v>353</v>
      </c>
      <c r="K1283" s="1400" t="s">
        <v>23</v>
      </c>
      <c r="L1283" s="1400" t="s">
        <v>24</v>
      </c>
      <c r="M1283" s="1400" t="s">
        <v>27</v>
      </c>
      <c r="N1283" s="1400" t="s">
        <v>178</v>
      </c>
      <c r="O1283" s="1400" t="s">
        <v>1</v>
      </c>
      <c r="P1283" s="1400" t="s">
        <v>29</v>
      </c>
      <c r="Q1283" s="1400" t="s">
        <v>33</v>
      </c>
      <c r="R1283" s="1401"/>
      <c r="S1283" s="361"/>
      <c r="T1283" s="361" t="s">
        <v>39</v>
      </c>
      <c r="U1283" s="362">
        <f>VLOOKUP(B1285,'Thong tin'!$A:$M,13,0)</f>
        <v>1200</v>
      </c>
      <c r="V1283" s="361"/>
      <c r="W1283" s="361"/>
    </row>
    <row r="1284" spans="1:23">
      <c r="A1284" s="1402"/>
      <c r="B1284" s="1402"/>
      <c r="C1284" s="829"/>
      <c r="D1284" s="873"/>
      <c r="E1284" s="1402"/>
      <c r="F1284" s="1402"/>
      <c r="G1284" s="1402"/>
      <c r="H1284" s="1402"/>
      <c r="I1284" s="1402"/>
      <c r="J1284" s="1402"/>
      <c r="K1284" s="1402"/>
      <c r="L1284" s="1402"/>
      <c r="M1284" s="1402"/>
      <c r="N1284" s="1402"/>
      <c r="O1284" s="1402"/>
      <c r="P1284" s="1402"/>
      <c r="Q1284" s="1402"/>
      <c r="R1284" s="1402"/>
      <c r="S1284" s="361"/>
      <c r="T1284" s="1399" t="s">
        <v>393</v>
      </c>
      <c r="U1284" s="1397">
        <f>VLOOKUP(B1285,DT.NK!$B:$AZ,45,0)</f>
        <v>31.65</v>
      </c>
      <c r="V1284" s="361"/>
      <c r="W1284" s="361"/>
    </row>
    <row r="1285" spans="1:23">
      <c r="A1285" s="1409">
        <f>A1265+1</f>
        <v>65</v>
      </c>
      <c r="B1285" s="1412" t="s">
        <v>561</v>
      </c>
      <c r="C1285" s="844" t="s">
        <v>983</v>
      </c>
      <c r="D1285" s="874" t="str">
        <f>B1285&amp;C1285</f>
        <v>A150a</v>
      </c>
      <c r="E1285" s="363"/>
      <c r="F1285" s="364"/>
      <c r="G1285" s="364"/>
      <c r="H1285" s="364"/>
      <c r="I1285" s="364"/>
      <c r="J1285" s="364"/>
      <c r="K1285" s="364"/>
      <c r="L1285" s="364"/>
      <c r="M1285" s="674"/>
      <c r="N1285" s="670"/>
      <c r="O1285" s="670">
        <f>U1284</f>
        <v>31.65</v>
      </c>
      <c r="P1285" s="670">
        <f>O1285</f>
        <v>31.65</v>
      </c>
      <c r="Q1285" s="670">
        <v>0</v>
      </c>
      <c r="R1285" s="365"/>
      <c r="S1285" s="366"/>
      <c r="T1285" s="1399"/>
      <c r="U1285" s="1398"/>
      <c r="V1285" s="361"/>
      <c r="W1285" s="361"/>
    </row>
    <row r="1286" spans="1:23">
      <c r="A1286" s="1410"/>
      <c r="B1286" s="1413"/>
      <c r="C1286" s="845" t="s">
        <v>984</v>
      </c>
      <c r="D1286" s="875" t="str">
        <f>B1285&amp;C1286</f>
        <v>A150b</v>
      </c>
      <c r="E1286" s="367">
        <v>1</v>
      </c>
      <c r="F1286" s="669" t="s">
        <v>1007</v>
      </c>
      <c r="G1286" s="369">
        <v>0.90902777777777777</v>
      </c>
      <c r="H1286" s="368">
        <v>0.9375</v>
      </c>
      <c r="I1286" s="369">
        <v>0.95138888888888884</v>
      </c>
      <c r="J1286" s="368">
        <v>0.95833333333333337</v>
      </c>
      <c r="K1286" s="669">
        <v>10</v>
      </c>
      <c r="L1286" s="669">
        <v>19</v>
      </c>
      <c r="M1286" s="675">
        <v>29.65</v>
      </c>
      <c r="N1286" s="671">
        <f>IF(M1286-P1286&gt;0,M1286-P1286,0)</f>
        <v>3.6499999999999986</v>
      </c>
      <c r="O1286" s="671">
        <f>O1285-K1286/(PI()*(U1283/2000)^2)</f>
        <v>22.808058717116925</v>
      </c>
      <c r="P1286" s="672">
        <v>26</v>
      </c>
      <c r="Q1286" s="673">
        <f>ABS(O1286-P1286)</f>
        <v>3.1919412828830751</v>
      </c>
      <c r="R1286" s="375" t="s">
        <v>188</v>
      </c>
      <c r="S1286" s="366"/>
      <c r="T1286" s="376"/>
      <c r="U1286" s="376"/>
      <c r="V1286" s="366"/>
      <c r="W1286" s="366"/>
    </row>
    <row r="1287" spans="1:23">
      <c r="A1287" s="1410"/>
      <c r="B1287" s="1413"/>
      <c r="C1287" s="845" t="s">
        <v>985</v>
      </c>
      <c r="D1287" s="875" t="str">
        <f>B1285&amp;C1287</f>
        <v>A150c</v>
      </c>
      <c r="E1287" s="367">
        <v>2</v>
      </c>
      <c r="F1287" s="669" t="s">
        <v>1008</v>
      </c>
      <c r="G1287" s="369">
        <v>0.91180555555555554</v>
      </c>
      <c r="H1287" s="368">
        <v>0.94791666666666663</v>
      </c>
      <c r="I1287" s="369">
        <v>0.96527777777777779</v>
      </c>
      <c r="J1287" s="368">
        <v>0.97222222222222221</v>
      </c>
      <c r="K1287" s="669">
        <v>10</v>
      </c>
      <c r="L1287" s="669">
        <v>19</v>
      </c>
      <c r="M1287" s="675">
        <v>23.35</v>
      </c>
      <c r="N1287" s="671">
        <f>IF(M1287-P1287&gt;0,M1287-P1287,0)</f>
        <v>5.8500000000000014</v>
      </c>
      <c r="O1287" s="671">
        <f>O1286-K1287/(PI()*(U1283/2000)^2)</f>
        <v>13.966117434233851</v>
      </c>
      <c r="P1287" s="672">
        <v>17.5</v>
      </c>
      <c r="Q1287" s="673">
        <f>ABS(O1287-P1287)</f>
        <v>3.5338825657661488</v>
      </c>
      <c r="R1287" s="375" t="s">
        <v>188</v>
      </c>
      <c r="S1287" s="366"/>
      <c r="T1287" s="376"/>
      <c r="U1287" s="376"/>
      <c r="V1287" s="366"/>
      <c r="W1287" s="366"/>
    </row>
    <row r="1288" spans="1:23">
      <c r="A1288" s="1410"/>
      <c r="B1288" s="1413"/>
      <c r="C1288" s="845" t="s">
        <v>986</v>
      </c>
      <c r="D1288" s="875" t="str">
        <f>B1285&amp;C1288</f>
        <v>A150d</v>
      </c>
      <c r="E1288" s="367">
        <v>3</v>
      </c>
      <c r="F1288" s="669" t="s">
        <v>981</v>
      </c>
      <c r="G1288" s="369">
        <v>0.92361111111111116</v>
      </c>
      <c r="H1288" s="368">
        <v>0.9555555555555556</v>
      </c>
      <c r="I1288" s="369">
        <v>0.97916666666666663</v>
      </c>
      <c r="J1288" s="368">
        <v>0.98611111111111116</v>
      </c>
      <c r="K1288" s="669">
        <v>10</v>
      </c>
      <c r="L1288" s="669">
        <v>20</v>
      </c>
      <c r="M1288" s="675">
        <v>17.05</v>
      </c>
      <c r="N1288" s="671">
        <f>IF(M1288-P1288&gt;0,M1288-P1288,0)</f>
        <v>7.65</v>
      </c>
      <c r="O1288" s="671">
        <f>O1287-K1288/(PI()*(U1283/2000)^2)</f>
        <v>5.1241761513507775</v>
      </c>
      <c r="P1288" s="672">
        <v>9.4</v>
      </c>
      <c r="Q1288" s="673">
        <f>ABS(O1288-P1288)</f>
        <v>4.2758238486492228</v>
      </c>
      <c r="R1288" s="375" t="s">
        <v>188</v>
      </c>
      <c r="S1288" s="366"/>
      <c r="T1288" s="376"/>
      <c r="U1288" s="376"/>
      <c r="V1288" s="366"/>
      <c r="W1288" s="366"/>
    </row>
    <row r="1289" spans="1:23">
      <c r="A1289" s="1410"/>
      <c r="B1289" s="1413"/>
      <c r="C1289" s="845" t="s">
        <v>987</v>
      </c>
      <c r="D1289" s="875" t="str">
        <f>B1285&amp;C1289</f>
        <v>A150e</v>
      </c>
      <c r="E1289" s="367">
        <v>4</v>
      </c>
      <c r="F1289" s="669" t="s">
        <v>1008</v>
      </c>
      <c r="G1289" s="369">
        <v>0.99861111111111101</v>
      </c>
      <c r="H1289" s="368">
        <v>2.7777777777777776E-2</v>
      </c>
      <c r="I1289" s="369">
        <v>3.125E-2</v>
      </c>
      <c r="J1289" s="368">
        <v>3.4722222222222224E-2</v>
      </c>
      <c r="K1289" s="669">
        <v>3.5</v>
      </c>
      <c r="L1289" s="370">
        <v>19</v>
      </c>
      <c r="M1289" s="675">
        <v>17.05</v>
      </c>
      <c r="N1289" s="671">
        <f>IF(M1289-P1289&gt;0,M1289-P1289,0)</f>
        <v>10.050000000000001</v>
      </c>
      <c r="O1289" s="671">
        <f>O1288-K1289/(PI()*(U1283/2000)^2)</f>
        <v>2.0294967023417017</v>
      </c>
      <c r="P1289" s="373">
        <v>7</v>
      </c>
      <c r="Q1289" s="673">
        <f>ABS(O1289-P1289)</f>
        <v>4.9705032976582988</v>
      </c>
      <c r="R1289" s="375"/>
      <c r="S1289" s="366"/>
      <c r="T1289" s="376"/>
      <c r="U1289" s="376"/>
      <c r="V1289" s="366"/>
      <c r="W1289" s="366"/>
    </row>
    <row r="1290" spans="1:23">
      <c r="A1290" s="1410"/>
      <c r="B1290" s="1413"/>
      <c r="C1290" s="845" t="s">
        <v>988</v>
      </c>
      <c r="D1290" s="875" t="str">
        <f>B1285&amp;C1290</f>
        <v>A150f</v>
      </c>
      <c r="E1290" s="367">
        <v>5</v>
      </c>
      <c r="F1290" s="669"/>
      <c r="G1290" s="369"/>
      <c r="H1290" s="368"/>
      <c r="I1290" s="369"/>
      <c r="J1290" s="368"/>
      <c r="K1290" s="669"/>
      <c r="L1290" s="370"/>
      <c r="M1290" s="371"/>
      <c r="N1290" s="671"/>
      <c r="O1290" s="671"/>
      <c r="P1290" s="373"/>
      <c r="Q1290" s="673"/>
      <c r="R1290" s="377"/>
      <c r="S1290" s="366" t="s">
        <v>190</v>
      </c>
      <c r="T1290" s="376"/>
      <c r="U1290" s="376"/>
      <c r="V1290" s="366"/>
      <c r="W1290" s="366"/>
    </row>
    <row r="1291" spans="1:23">
      <c r="A1291" s="1410"/>
      <c r="B1291" s="1413"/>
      <c r="C1291" s="845" t="s">
        <v>989</v>
      </c>
      <c r="D1291" s="875" t="str">
        <f>B1285&amp;C1291</f>
        <v>A150g</v>
      </c>
      <c r="E1291" s="367">
        <v>6</v>
      </c>
      <c r="F1291" s="669"/>
      <c r="G1291" s="369"/>
      <c r="H1291" s="368"/>
      <c r="I1291" s="369"/>
      <c r="J1291" s="368"/>
      <c r="K1291" s="669"/>
      <c r="L1291" s="370"/>
      <c r="M1291" s="371"/>
      <c r="N1291" s="671"/>
      <c r="O1291" s="671"/>
      <c r="P1291" s="373"/>
      <c r="Q1291" s="673"/>
      <c r="R1291" s="375"/>
      <c r="S1291" s="366" t="s">
        <v>190</v>
      </c>
      <c r="T1291" s="366"/>
      <c r="U1291" s="366"/>
      <c r="V1291" s="366"/>
      <c r="W1291" s="366"/>
    </row>
    <row r="1292" spans="1:23">
      <c r="A1292" s="1410"/>
      <c r="B1292" s="1413"/>
      <c r="C1292" s="845" t="s">
        <v>990</v>
      </c>
      <c r="D1292" s="875" t="str">
        <f>B1285&amp;C1292</f>
        <v>A150h</v>
      </c>
      <c r="E1292" s="367">
        <v>7</v>
      </c>
      <c r="F1292" s="669"/>
      <c r="G1292" s="368"/>
      <c r="H1292" s="368"/>
      <c r="I1292" s="368"/>
      <c r="J1292" s="368"/>
      <c r="K1292" s="669"/>
      <c r="L1292" s="370"/>
      <c r="M1292" s="371"/>
      <c r="N1292" s="671"/>
      <c r="O1292" s="671"/>
      <c r="P1292" s="373"/>
      <c r="Q1292" s="673"/>
      <c r="R1292" s="377"/>
      <c r="S1292" s="366" t="s">
        <v>190</v>
      </c>
      <c r="T1292" s="366"/>
      <c r="U1292" s="366"/>
      <c r="V1292" s="366"/>
      <c r="W1292" s="366"/>
    </row>
    <row r="1293" spans="1:23">
      <c r="A1293" s="1410"/>
      <c r="B1293" s="1413"/>
      <c r="C1293" s="845" t="s">
        <v>991</v>
      </c>
      <c r="D1293" s="875" t="str">
        <f>B1285&amp;C1293</f>
        <v>A150i</v>
      </c>
      <c r="E1293" s="367">
        <v>8</v>
      </c>
      <c r="F1293" s="669"/>
      <c r="G1293" s="368"/>
      <c r="H1293" s="368"/>
      <c r="I1293" s="368"/>
      <c r="J1293" s="368"/>
      <c r="K1293" s="370"/>
      <c r="L1293" s="370"/>
      <c r="M1293" s="371"/>
      <c r="N1293" s="671"/>
      <c r="O1293" s="671"/>
      <c r="P1293" s="373"/>
      <c r="Q1293" s="673"/>
      <c r="R1293" s="378"/>
      <c r="S1293" s="366"/>
      <c r="T1293" s="366"/>
      <c r="U1293" s="366"/>
      <c r="V1293" s="366"/>
      <c r="W1293" s="366"/>
    </row>
    <row r="1294" spans="1:23">
      <c r="A1294" s="1410"/>
      <c r="B1294" s="1413"/>
      <c r="C1294" s="845" t="s">
        <v>992</v>
      </c>
      <c r="D1294" s="875" t="str">
        <f>B1285&amp;C1294</f>
        <v>A150k</v>
      </c>
      <c r="E1294" s="367">
        <v>9</v>
      </c>
      <c r="F1294" s="370"/>
      <c r="G1294" s="368"/>
      <c r="H1294" s="368"/>
      <c r="I1294" s="368"/>
      <c r="J1294" s="368"/>
      <c r="K1294" s="370"/>
      <c r="L1294" s="370"/>
      <c r="M1294" s="371"/>
      <c r="N1294" s="372"/>
      <c r="O1294" s="372"/>
      <c r="P1294" s="373"/>
      <c r="Q1294" s="374"/>
      <c r="R1294" s="378"/>
      <c r="S1294" s="379"/>
      <c r="T1294" s="366"/>
      <c r="U1294" s="366"/>
      <c r="V1294" s="366"/>
      <c r="W1294" s="366"/>
    </row>
    <row r="1295" spans="1:23">
      <c r="A1295" s="1410"/>
      <c r="B1295" s="1413"/>
      <c r="C1295" s="845" t="s">
        <v>993</v>
      </c>
      <c r="D1295" s="875" t="str">
        <f>B1285&amp;C1295</f>
        <v>A150l</v>
      </c>
      <c r="E1295" s="367">
        <v>10</v>
      </c>
      <c r="F1295" s="370"/>
      <c r="G1295" s="368"/>
      <c r="H1295" s="368"/>
      <c r="I1295" s="368"/>
      <c r="J1295" s="368"/>
      <c r="K1295" s="370"/>
      <c r="L1295" s="370"/>
      <c r="M1295" s="370"/>
      <c r="N1295" s="372"/>
      <c r="O1295" s="372"/>
      <c r="P1295" s="373"/>
      <c r="Q1295" s="374"/>
      <c r="R1295" s="378"/>
      <c r="S1295" s="379"/>
      <c r="T1295" s="366"/>
      <c r="U1295" s="366"/>
      <c r="V1295" s="366"/>
      <c r="W1295" s="366"/>
    </row>
    <row r="1296" spans="1:23">
      <c r="A1296" s="1410"/>
      <c r="B1296" s="1413"/>
      <c r="C1296" s="845" t="s">
        <v>994</v>
      </c>
      <c r="D1296" s="875" t="str">
        <f>B1285&amp;C1296</f>
        <v>A150m</v>
      </c>
      <c r="E1296" s="367">
        <v>11</v>
      </c>
      <c r="F1296" s="370"/>
      <c r="G1296" s="368"/>
      <c r="H1296" s="368"/>
      <c r="I1296" s="368"/>
      <c r="J1296" s="368"/>
      <c r="K1296" s="370"/>
      <c r="L1296" s="370"/>
      <c r="M1296" s="370"/>
      <c r="N1296" s="372"/>
      <c r="O1296" s="372"/>
      <c r="P1296" s="380"/>
      <c r="Q1296" s="374"/>
      <c r="R1296" s="381"/>
      <c r="S1296" s="379"/>
      <c r="T1296" s="366"/>
      <c r="U1296" s="366"/>
      <c r="V1296" s="366"/>
      <c r="W1296" s="366"/>
    </row>
    <row r="1297" spans="1:23">
      <c r="A1297" s="1410"/>
      <c r="B1297" s="1413"/>
      <c r="C1297" s="845" t="s">
        <v>995</v>
      </c>
      <c r="D1297" s="875" t="str">
        <f>B1285&amp;C1297</f>
        <v>A150n</v>
      </c>
      <c r="E1297" s="367">
        <v>12</v>
      </c>
      <c r="F1297" s="370"/>
      <c r="G1297" s="368"/>
      <c r="H1297" s="368"/>
      <c r="I1297" s="368"/>
      <c r="J1297" s="368"/>
      <c r="K1297" s="370"/>
      <c r="L1297" s="370"/>
      <c r="M1297" s="370"/>
      <c r="N1297" s="372"/>
      <c r="O1297" s="372"/>
      <c r="P1297" s="380"/>
      <c r="Q1297" s="374"/>
      <c r="R1297" s="381"/>
      <c r="S1297" s="361"/>
      <c r="T1297" s="361"/>
      <c r="U1297" s="361"/>
      <c r="V1297" s="366"/>
      <c r="W1297" s="366"/>
    </row>
    <row r="1298" spans="1:23">
      <c r="A1298" s="1410"/>
      <c r="B1298" s="1413"/>
      <c r="C1298" s="845" t="s">
        <v>471</v>
      </c>
      <c r="D1298" s="875" t="str">
        <f>B1285&amp;C1298</f>
        <v>A150x</v>
      </c>
      <c r="E1298" s="367">
        <v>13</v>
      </c>
      <c r="F1298" s="370"/>
      <c r="G1298" s="368"/>
      <c r="H1298" s="368"/>
      <c r="I1298" s="368"/>
      <c r="J1298" s="368"/>
      <c r="K1298" s="370"/>
      <c r="L1298" s="370"/>
      <c r="M1298" s="370"/>
      <c r="N1298" s="382"/>
      <c r="O1298" s="372"/>
      <c r="P1298" s="380"/>
      <c r="Q1298" s="381"/>
      <c r="R1298" s="381"/>
      <c r="S1298" s="361"/>
      <c r="T1298" s="361"/>
      <c r="U1298" s="361"/>
      <c r="V1298" s="366"/>
      <c r="W1298" s="366"/>
    </row>
    <row r="1299" spans="1:23">
      <c r="A1299" s="1410"/>
      <c r="B1299" s="1413"/>
      <c r="C1299" s="845" t="s">
        <v>732</v>
      </c>
      <c r="D1299" s="875" t="str">
        <f>B1285&amp;C1299</f>
        <v>A150y</v>
      </c>
      <c r="E1299" s="367">
        <v>14</v>
      </c>
      <c r="F1299" s="370"/>
      <c r="G1299" s="368"/>
      <c r="H1299" s="368"/>
      <c r="I1299" s="368"/>
      <c r="J1299" s="368"/>
      <c r="K1299" s="370"/>
      <c r="L1299" s="370"/>
      <c r="M1299" s="370"/>
      <c r="N1299" s="382"/>
      <c r="O1299" s="372"/>
      <c r="P1299" s="380"/>
      <c r="Q1299" s="381"/>
      <c r="R1299" s="381"/>
      <c r="S1299" s="361"/>
      <c r="T1299" s="361"/>
      <c r="U1299" s="362"/>
      <c r="V1299" s="366"/>
      <c r="W1299" s="366"/>
    </row>
    <row r="1300" spans="1:23">
      <c r="A1300" s="1411"/>
      <c r="B1300" s="1414"/>
      <c r="C1300" s="846" t="s">
        <v>996</v>
      </c>
      <c r="D1300" s="876" t="str">
        <f>B1285&amp;C1300</f>
        <v>A150z</v>
      </c>
      <c r="E1300" s="847">
        <v>15</v>
      </c>
      <c r="F1300" s="370"/>
      <c r="G1300" s="368"/>
      <c r="H1300" s="368"/>
      <c r="I1300" s="368"/>
      <c r="J1300" s="368"/>
      <c r="K1300" s="370"/>
      <c r="L1300" s="370"/>
      <c r="M1300" s="370"/>
      <c r="N1300" s="850"/>
      <c r="O1300" s="851"/>
      <c r="P1300" s="380"/>
      <c r="Q1300" s="852"/>
      <c r="R1300" s="383"/>
      <c r="S1300" s="361"/>
      <c r="T1300" s="832"/>
      <c r="U1300" s="830"/>
      <c r="V1300" s="366"/>
      <c r="W1300" s="366"/>
    </row>
    <row r="1301" spans="1:23">
      <c r="A1301" s="1400" t="s">
        <v>939</v>
      </c>
      <c r="B1301" s="1400"/>
      <c r="C1301" s="827"/>
      <c r="D1301" s="871"/>
      <c r="E1301" s="1400" t="s">
        <v>177</v>
      </c>
      <c r="F1301" s="1400" t="s">
        <v>18</v>
      </c>
      <c r="G1301" s="1389" t="s">
        <v>19</v>
      </c>
      <c r="H1301" s="1390"/>
      <c r="I1301" s="1389" t="s">
        <v>22</v>
      </c>
      <c r="J1301" s="1390"/>
      <c r="K1301" s="1393" t="s">
        <v>26</v>
      </c>
      <c r="L1301" s="1390"/>
      <c r="M1301" s="1389" t="s">
        <v>392</v>
      </c>
      <c r="N1301" s="1390"/>
      <c r="O1301" s="1389" t="s">
        <v>28</v>
      </c>
      <c r="P1301" s="1393"/>
      <c r="Q1301" s="1390"/>
      <c r="R1301" s="1400" t="s">
        <v>36</v>
      </c>
      <c r="S1301" s="361"/>
      <c r="T1301" s="361">
        <f>MAX(J1305:J1319)-MIN(I1305:I1319)</f>
        <v>2.0833333333333315E-2</v>
      </c>
      <c r="U1301" s="361"/>
      <c r="V1301" s="853" t="str">
        <f t="shared" ref="V1301" si="138">B1305</f>
        <v>A62</v>
      </c>
      <c r="W1301" s="361">
        <f t="shared" ref="W1301" si="139">COUNTIF(K1306:K1320,"&gt;0")</f>
        <v>2</v>
      </c>
    </row>
    <row r="1302" spans="1:23">
      <c r="A1302" s="1401"/>
      <c r="B1302" s="1401"/>
      <c r="C1302" s="828"/>
      <c r="D1302" s="872"/>
      <c r="E1302" s="1401"/>
      <c r="F1302" s="1401"/>
      <c r="G1302" s="1391"/>
      <c r="H1302" s="1392"/>
      <c r="I1302" s="1391"/>
      <c r="J1302" s="1392"/>
      <c r="K1302" s="1394"/>
      <c r="L1302" s="1392"/>
      <c r="M1302" s="1391"/>
      <c r="N1302" s="1392"/>
      <c r="O1302" s="1391"/>
      <c r="P1302" s="1394"/>
      <c r="Q1302" s="1392"/>
      <c r="R1302" s="1401"/>
      <c r="S1302" s="361"/>
      <c r="T1302" s="361"/>
      <c r="U1302" s="361"/>
      <c r="V1302" s="361"/>
      <c r="W1302" s="361"/>
    </row>
    <row r="1303" spans="1:23">
      <c r="A1303" s="1401"/>
      <c r="B1303" s="1401"/>
      <c r="C1303" s="828"/>
      <c r="D1303" s="872"/>
      <c r="E1303" s="1401"/>
      <c r="F1303" s="1401"/>
      <c r="G1303" s="1400" t="s">
        <v>20</v>
      </c>
      <c r="H1303" s="1400" t="s">
        <v>21</v>
      </c>
      <c r="I1303" s="1400" t="s">
        <v>361</v>
      </c>
      <c r="J1303" s="1400" t="s">
        <v>353</v>
      </c>
      <c r="K1303" s="1400" t="s">
        <v>23</v>
      </c>
      <c r="L1303" s="1400" t="s">
        <v>24</v>
      </c>
      <c r="M1303" s="1400" t="s">
        <v>27</v>
      </c>
      <c r="N1303" s="1400" t="s">
        <v>178</v>
      </c>
      <c r="O1303" s="1400" t="s">
        <v>1</v>
      </c>
      <c r="P1303" s="1400" t="s">
        <v>29</v>
      </c>
      <c r="Q1303" s="1400" t="s">
        <v>33</v>
      </c>
      <c r="R1303" s="1401"/>
      <c r="S1303" s="361"/>
      <c r="T1303" s="361" t="s">
        <v>39</v>
      </c>
      <c r="U1303" s="362">
        <f>VLOOKUP(B1305,'Thong tin'!$A:$M,13,0)</f>
        <v>1200</v>
      </c>
      <c r="V1303" s="361"/>
      <c r="W1303" s="361"/>
    </row>
    <row r="1304" spans="1:23">
      <c r="A1304" s="1402"/>
      <c r="B1304" s="1402"/>
      <c r="C1304" s="829"/>
      <c r="D1304" s="873"/>
      <c r="E1304" s="1402"/>
      <c r="F1304" s="1402"/>
      <c r="G1304" s="1402"/>
      <c r="H1304" s="1402"/>
      <c r="I1304" s="1402"/>
      <c r="J1304" s="1402"/>
      <c r="K1304" s="1402"/>
      <c r="L1304" s="1402"/>
      <c r="M1304" s="1402"/>
      <c r="N1304" s="1402"/>
      <c r="O1304" s="1402"/>
      <c r="P1304" s="1402"/>
      <c r="Q1304" s="1402"/>
      <c r="R1304" s="1402"/>
      <c r="S1304" s="361"/>
      <c r="T1304" s="1399" t="s">
        <v>393</v>
      </c>
      <c r="U1304" s="1397">
        <f>VLOOKUP(B1305,DT.NK!$B:$AZ,45,0)</f>
        <v>24.22</v>
      </c>
      <c r="V1304" s="361"/>
      <c r="W1304" s="361"/>
    </row>
    <row r="1305" spans="1:23">
      <c r="A1305" s="1409">
        <f>A1285+1</f>
        <v>66</v>
      </c>
      <c r="B1305" s="1412" t="s">
        <v>569</v>
      </c>
      <c r="C1305" s="844" t="s">
        <v>983</v>
      </c>
      <c r="D1305" s="874" t="str">
        <f>B1305&amp;C1305</f>
        <v>A62a</v>
      </c>
      <c r="E1305" s="363"/>
      <c r="F1305" s="364"/>
      <c r="G1305" s="364"/>
      <c r="H1305" s="364"/>
      <c r="I1305" s="364"/>
      <c r="J1305" s="364"/>
      <c r="K1305" s="364"/>
      <c r="L1305" s="364"/>
      <c r="M1305" s="674"/>
      <c r="N1305" s="670"/>
      <c r="O1305" s="670">
        <f>U1304</f>
        <v>24.22</v>
      </c>
      <c r="P1305" s="670">
        <f>O1305</f>
        <v>24.22</v>
      </c>
      <c r="Q1305" s="670">
        <v>0</v>
      </c>
      <c r="R1305" s="365"/>
      <c r="S1305" s="366"/>
      <c r="T1305" s="1399"/>
      <c r="U1305" s="1398"/>
      <c r="V1305" s="361"/>
      <c r="W1305" s="361"/>
    </row>
    <row r="1306" spans="1:23">
      <c r="A1306" s="1410"/>
      <c r="B1306" s="1413"/>
      <c r="C1306" s="845" t="s">
        <v>984</v>
      </c>
      <c r="D1306" s="875" t="str">
        <f>B1305&amp;C1306</f>
        <v>A62b</v>
      </c>
      <c r="E1306" s="367">
        <v>1</v>
      </c>
      <c r="F1306" s="669" t="s">
        <v>1019</v>
      </c>
      <c r="G1306" s="369">
        <v>9.375E-2</v>
      </c>
      <c r="H1306" s="368">
        <v>0.13194444444444445</v>
      </c>
      <c r="I1306" s="369">
        <v>0.14930555555555555</v>
      </c>
      <c r="J1306" s="368">
        <v>0.15625</v>
      </c>
      <c r="K1306" s="669">
        <v>10</v>
      </c>
      <c r="L1306" s="669">
        <v>19</v>
      </c>
      <c r="M1306" s="675">
        <v>19.07</v>
      </c>
      <c r="N1306" s="671">
        <f>IF(M1306-P1306&gt;0,M1306-P1306,0)</f>
        <v>3.4500000000000011</v>
      </c>
      <c r="O1306" s="671">
        <f>O1305-K1306/(PI()*(U1303/2000)^2)</f>
        <v>15.378058717116925</v>
      </c>
      <c r="P1306" s="672">
        <v>15.62</v>
      </c>
      <c r="Q1306" s="673">
        <f>ABS(O1306-P1306)</f>
        <v>0.24194128288307404</v>
      </c>
      <c r="R1306" s="375" t="s">
        <v>188</v>
      </c>
      <c r="S1306" s="366"/>
      <c r="T1306" s="376"/>
      <c r="U1306" s="376"/>
      <c r="V1306" s="366"/>
      <c r="W1306" s="366"/>
    </row>
    <row r="1307" spans="1:23">
      <c r="A1307" s="1410"/>
      <c r="B1307" s="1413"/>
      <c r="C1307" s="845" t="s">
        <v>985</v>
      </c>
      <c r="D1307" s="875" t="str">
        <f>B1305&amp;C1307</f>
        <v>A62c</v>
      </c>
      <c r="E1307" s="367">
        <v>2</v>
      </c>
      <c r="F1307" s="669" t="s">
        <v>980</v>
      </c>
      <c r="G1307" s="369">
        <v>0.10416666666666667</v>
      </c>
      <c r="H1307" s="368">
        <v>0.14583333333333334</v>
      </c>
      <c r="I1307" s="369">
        <v>0.16388888888888889</v>
      </c>
      <c r="J1307" s="368">
        <v>0.17013888888888887</v>
      </c>
      <c r="K1307" s="669">
        <v>10</v>
      </c>
      <c r="L1307" s="669">
        <v>18</v>
      </c>
      <c r="M1307" s="675">
        <v>19.07</v>
      </c>
      <c r="N1307" s="671">
        <f>IF(M1307-P1307&gt;0,M1307-P1307,0)</f>
        <v>12.47</v>
      </c>
      <c r="O1307" s="671">
        <f>O1306-K1307/(PI()*(U1303/2000)^2)</f>
        <v>6.5361174342338515</v>
      </c>
      <c r="P1307" s="672">
        <v>6.6</v>
      </c>
      <c r="Q1307" s="673">
        <f>ABS(O1307-P1307)</f>
        <v>6.3882565766148147E-2</v>
      </c>
      <c r="R1307" s="375" t="s">
        <v>188</v>
      </c>
      <c r="S1307" s="366"/>
      <c r="T1307" s="376"/>
      <c r="U1307" s="376"/>
      <c r="V1307" s="366"/>
      <c r="W1307" s="366"/>
    </row>
    <row r="1308" spans="1:23">
      <c r="A1308" s="1410"/>
      <c r="B1308" s="1413"/>
      <c r="C1308" s="845" t="s">
        <v>986</v>
      </c>
      <c r="D1308" s="875" t="str">
        <f>B1305&amp;C1308</f>
        <v>A62d</v>
      </c>
      <c r="E1308" s="367">
        <v>3</v>
      </c>
      <c r="F1308" s="669"/>
      <c r="G1308" s="369"/>
      <c r="H1308" s="368"/>
      <c r="I1308" s="369"/>
      <c r="J1308" s="368"/>
      <c r="K1308" s="669"/>
      <c r="L1308" s="669"/>
      <c r="M1308" s="675"/>
      <c r="N1308" s="671"/>
      <c r="O1308" s="671"/>
      <c r="P1308" s="672"/>
      <c r="Q1308" s="673"/>
      <c r="R1308" s="375"/>
      <c r="S1308" s="366"/>
      <c r="T1308" s="376"/>
      <c r="U1308" s="376"/>
      <c r="V1308" s="366"/>
      <c r="W1308" s="366"/>
    </row>
    <row r="1309" spans="1:23">
      <c r="A1309" s="1410"/>
      <c r="B1309" s="1413"/>
      <c r="C1309" s="845" t="s">
        <v>987</v>
      </c>
      <c r="D1309" s="875" t="str">
        <f>B1305&amp;C1309</f>
        <v>A62e</v>
      </c>
      <c r="E1309" s="367">
        <v>4</v>
      </c>
      <c r="F1309" s="669"/>
      <c r="G1309" s="369"/>
      <c r="H1309" s="368"/>
      <c r="I1309" s="369"/>
      <c r="J1309" s="368"/>
      <c r="K1309" s="669"/>
      <c r="L1309" s="370"/>
      <c r="M1309" s="675"/>
      <c r="N1309" s="671"/>
      <c r="O1309" s="671"/>
      <c r="P1309" s="373"/>
      <c r="Q1309" s="673"/>
      <c r="R1309" s="375"/>
      <c r="S1309" s="366"/>
      <c r="T1309" s="376"/>
      <c r="U1309" s="376"/>
      <c r="V1309" s="366"/>
      <c r="W1309" s="366"/>
    </row>
    <row r="1310" spans="1:23">
      <c r="A1310" s="1410"/>
      <c r="B1310" s="1413"/>
      <c r="C1310" s="845" t="s">
        <v>988</v>
      </c>
      <c r="D1310" s="875" t="str">
        <f>B1305&amp;C1310</f>
        <v>A62f</v>
      </c>
      <c r="E1310" s="367">
        <v>5</v>
      </c>
      <c r="F1310" s="669"/>
      <c r="G1310" s="369"/>
      <c r="H1310" s="368"/>
      <c r="I1310" s="369"/>
      <c r="J1310" s="368"/>
      <c r="K1310" s="669"/>
      <c r="L1310" s="370"/>
      <c r="M1310" s="371"/>
      <c r="N1310" s="671"/>
      <c r="O1310" s="671"/>
      <c r="P1310" s="373"/>
      <c r="Q1310" s="673"/>
      <c r="R1310" s="377"/>
      <c r="S1310" s="366" t="s">
        <v>190</v>
      </c>
      <c r="T1310" s="376"/>
      <c r="U1310" s="376"/>
      <c r="V1310" s="366"/>
      <c r="W1310" s="366"/>
    </row>
    <row r="1311" spans="1:23">
      <c r="A1311" s="1410"/>
      <c r="B1311" s="1413"/>
      <c r="C1311" s="845" t="s">
        <v>989</v>
      </c>
      <c r="D1311" s="875" t="str">
        <f>B1305&amp;C1311</f>
        <v>A62g</v>
      </c>
      <c r="E1311" s="367">
        <v>6</v>
      </c>
      <c r="F1311" s="669"/>
      <c r="G1311" s="369"/>
      <c r="H1311" s="368"/>
      <c r="I1311" s="369"/>
      <c r="J1311" s="368"/>
      <c r="K1311" s="669"/>
      <c r="L1311" s="370"/>
      <c r="M1311" s="371"/>
      <c r="N1311" s="671"/>
      <c r="O1311" s="671"/>
      <c r="P1311" s="373"/>
      <c r="Q1311" s="673"/>
      <c r="R1311" s="375"/>
      <c r="S1311" s="366" t="s">
        <v>190</v>
      </c>
      <c r="T1311" s="366"/>
      <c r="U1311" s="366"/>
      <c r="V1311" s="366"/>
      <c r="W1311" s="366"/>
    </row>
    <row r="1312" spans="1:23">
      <c r="A1312" s="1410"/>
      <c r="B1312" s="1413"/>
      <c r="C1312" s="845" t="s">
        <v>990</v>
      </c>
      <c r="D1312" s="875" t="str">
        <f>B1305&amp;C1312</f>
        <v>A62h</v>
      </c>
      <c r="E1312" s="367">
        <v>7</v>
      </c>
      <c r="F1312" s="669"/>
      <c r="G1312" s="368"/>
      <c r="H1312" s="368"/>
      <c r="I1312" s="368"/>
      <c r="J1312" s="368"/>
      <c r="K1312" s="669"/>
      <c r="L1312" s="370"/>
      <c r="M1312" s="371"/>
      <c r="N1312" s="671"/>
      <c r="O1312" s="671"/>
      <c r="P1312" s="373"/>
      <c r="Q1312" s="673"/>
      <c r="R1312" s="377"/>
      <c r="S1312" s="366" t="s">
        <v>190</v>
      </c>
      <c r="T1312" s="366"/>
      <c r="U1312" s="366"/>
      <c r="V1312" s="366"/>
      <c r="W1312" s="366"/>
    </row>
    <row r="1313" spans="1:23">
      <c r="A1313" s="1410"/>
      <c r="B1313" s="1413"/>
      <c r="C1313" s="845" t="s">
        <v>991</v>
      </c>
      <c r="D1313" s="875" t="str">
        <f>B1305&amp;C1313</f>
        <v>A62i</v>
      </c>
      <c r="E1313" s="367">
        <v>8</v>
      </c>
      <c r="F1313" s="669"/>
      <c r="G1313" s="368"/>
      <c r="H1313" s="368"/>
      <c r="I1313" s="368"/>
      <c r="J1313" s="368"/>
      <c r="K1313" s="370"/>
      <c r="L1313" s="370"/>
      <c r="M1313" s="371"/>
      <c r="N1313" s="671"/>
      <c r="O1313" s="671"/>
      <c r="P1313" s="373"/>
      <c r="Q1313" s="673"/>
      <c r="R1313" s="378"/>
      <c r="S1313" s="366"/>
      <c r="T1313" s="366"/>
      <c r="U1313" s="366"/>
      <c r="V1313" s="366"/>
      <c r="W1313" s="366"/>
    </row>
    <row r="1314" spans="1:23">
      <c r="A1314" s="1410"/>
      <c r="B1314" s="1413"/>
      <c r="C1314" s="845" t="s">
        <v>992</v>
      </c>
      <c r="D1314" s="875" t="str">
        <f>B1305&amp;C1314</f>
        <v>A62k</v>
      </c>
      <c r="E1314" s="367">
        <v>9</v>
      </c>
      <c r="F1314" s="370"/>
      <c r="G1314" s="368"/>
      <c r="H1314" s="368"/>
      <c r="I1314" s="368"/>
      <c r="J1314" s="368"/>
      <c r="K1314" s="370"/>
      <c r="L1314" s="370"/>
      <c r="M1314" s="371"/>
      <c r="N1314" s="372"/>
      <c r="O1314" s="372"/>
      <c r="P1314" s="373"/>
      <c r="Q1314" s="374"/>
      <c r="R1314" s="378"/>
      <c r="S1314" s="379"/>
      <c r="T1314" s="366"/>
      <c r="U1314" s="366"/>
      <c r="V1314" s="366"/>
      <c r="W1314" s="366"/>
    </row>
    <row r="1315" spans="1:23">
      <c r="A1315" s="1410"/>
      <c r="B1315" s="1413"/>
      <c r="C1315" s="845" t="s">
        <v>993</v>
      </c>
      <c r="D1315" s="875" t="str">
        <f>B1305&amp;C1315</f>
        <v>A62l</v>
      </c>
      <c r="E1315" s="367">
        <v>10</v>
      </c>
      <c r="F1315" s="370"/>
      <c r="G1315" s="368"/>
      <c r="H1315" s="368"/>
      <c r="I1315" s="368"/>
      <c r="J1315" s="368"/>
      <c r="K1315" s="370"/>
      <c r="L1315" s="370"/>
      <c r="M1315" s="370"/>
      <c r="N1315" s="372"/>
      <c r="O1315" s="372"/>
      <c r="P1315" s="373"/>
      <c r="Q1315" s="374"/>
      <c r="R1315" s="378"/>
      <c r="S1315" s="379"/>
      <c r="T1315" s="366"/>
      <c r="U1315" s="366"/>
      <c r="V1315" s="366"/>
      <c r="W1315" s="366"/>
    </row>
    <row r="1316" spans="1:23">
      <c r="A1316" s="1410"/>
      <c r="B1316" s="1413"/>
      <c r="C1316" s="845" t="s">
        <v>994</v>
      </c>
      <c r="D1316" s="875" t="str">
        <f>B1305&amp;C1316</f>
        <v>A62m</v>
      </c>
      <c r="E1316" s="367">
        <v>11</v>
      </c>
      <c r="F1316" s="370"/>
      <c r="G1316" s="368"/>
      <c r="H1316" s="368"/>
      <c r="I1316" s="368"/>
      <c r="J1316" s="368"/>
      <c r="K1316" s="370"/>
      <c r="L1316" s="370"/>
      <c r="M1316" s="370"/>
      <c r="N1316" s="372"/>
      <c r="O1316" s="372"/>
      <c r="P1316" s="380"/>
      <c r="Q1316" s="374"/>
      <c r="R1316" s="381"/>
      <c r="S1316" s="379"/>
      <c r="T1316" s="366"/>
      <c r="U1316" s="366"/>
      <c r="V1316" s="366"/>
      <c r="W1316" s="366"/>
    </row>
    <row r="1317" spans="1:23">
      <c r="A1317" s="1410"/>
      <c r="B1317" s="1413"/>
      <c r="C1317" s="845" t="s">
        <v>995</v>
      </c>
      <c r="D1317" s="875" t="str">
        <f>B1305&amp;C1317</f>
        <v>A62n</v>
      </c>
      <c r="E1317" s="367">
        <v>12</v>
      </c>
      <c r="F1317" s="370"/>
      <c r="G1317" s="368"/>
      <c r="H1317" s="368"/>
      <c r="I1317" s="368"/>
      <c r="J1317" s="368"/>
      <c r="K1317" s="370"/>
      <c r="L1317" s="370"/>
      <c r="M1317" s="370"/>
      <c r="N1317" s="372"/>
      <c r="O1317" s="372"/>
      <c r="P1317" s="380"/>
      <c r="Q1317" s="374"/>
      <c r="R1317" s="381"/>
      <c r="S1317" s="361"/>
      <c r="T1317" s="361"/>
      <c r="U1317" s="361"/>
      <c r="V1317" s="366"/>
      <c r="W1317" s="366"/>
    </row>
    <row r="1318" spans="1:23">
      <c r="A1318" s="1410"/>
      <c r="B1318" s="1413"/>
      <c r="C1318" s="845" t="s">
        <v>471</v>
      </c>
      <c r="D1318" s="875" t="str">
        <f>B1305&amp;C1318</f>
        <v>A62x</v>
      </c>
      <c r="E1318" s="367">
        <v>13</v>
      </c>
      <c r="F1318" s="370"/>
      <c r="G1318" s="368"/>
      <c r="H1318" s="368"/>
      <c r="I1318" s="368"/>
      <c r="J1318" s="368"/>
      <c r="K1318" s="370"/>
      <c r="L1318" s="370"/>
      <c r="M1318" s="370"/>
      <c r="N1318" s="382"/>
      <c r="O1318" s="372"/>
      <c r="P1318" s="380"/>
      <c r="Q1318" s="381"/>
      <c r="R1318" s="381"/>
      <c r="S1318" s="361"/>
      <c r="T1318" s="361"/>
      <c r="U1318" s="361"/>
      <c r="V1318" s="366"/>
      <c r="W1318" s="366"/>
    </row>
    <row r="1319" spans="1:23">
      <c r="A1319" s="1410"/>
      <c r="B1319" s="1413"/>
      <c r="C1319" s="845" t="s">
        <v>732</v>
      </c>
      <c r="D1319" s="875" t="str">
        <f>B1305&amp;C1319</f>
        <v>A62y</v>
      </c>
      <c r="E1319" s="367">
        <v>14</v>
      </c>
      <c r="F1319" s="370"/>
      <c r="G1319" s="368"/>
      <c r="H1319" s="368"/>
      <c r="I1319" s="368"/>
      <c r="J1319" s="368"/>
      <c r="K1319" s="370"/>
      <c r="L1319" s="370"/>
      <c r="M1319" s="370"/>
      <c r="N1319" s="382"/>
      <c r="O1319" s="372"/>
      <c r="P1319" s="380"/>
      <c r="Q1319" s="381"/>
      <c r="R1319" s="381"/>
      <c r="S1319" s="361"/>
      <c r="T1319" s="361"/>
      <c r="U1319" s="362"/>
      <c r="V1319" s="366"/>
      <c r="W1319" s="366"/>
    </row>
    <row r="1320" spans="1:23">
      <c r="A1320" s="1411"/>
      <c r="B1320" s="1414"/>
      <c r="C1320" s="846" t="s">
        <v>996</v>
      </c>
      <c r="D1320" s="876" t="str">
        <f>B1305&amp;C1320</f>
        <v>A62z</v>
      </c>
      <c r="E1320" s="847">
        <v>15</v>
      </c>
      <c r="F1320" s="370"/>
      <c r="G1320" s="368"/>
      <c r="H1320" s="368"/>
      <c r="I1320" s="368"/>
      <c r="J1320" s="368"/>
      <c r="K1320" s="370"/>
      <c r="L1320" s="370"/>
      <c r="M1320" s="370"/>
      <c r="N1320" s="850"/>
      <c r="O1320" s="851"/>
      <c r="P1320" s="380"/>
      <c r="Q1320" s="852"/>
      <c r="R1320" s="383"/>
      <c r="S1320" s="361"/>
      <c r="T1320" s="832"/>
      <c r="U1320" s="830"/>
      <c r="V1320" s="366"/>
      <c r="W1320" s="366"/>
    </row>
    <row r="1321" spans="1:23">
      <c r="A1321" s="1400" t="s">
        <v>939</v>
      </c>
      <c r="B1321" s="1400"/>
      <c r="C1321" s="827"/>
      <c r="D1321" s="871"/>
      <c r="E1321" s="1400" t="s">
        <v>177</v>
      </c>
      <c r="F1321" s="1400" t="s">
        <v>18</v>
      </c>
      <c r="G1321" s="1389" t="s">
        <v>19</v>
      </c>
      <c r="H1321" s="1390"/>
      <c r="I1321" s="1389" t="s">
        <v>22</v>
      </c>
      <c r="J1321" s="1390"/>
      <c r="K1321" s="1393" t="s">
        <v>26</v>
      </c>
      <c r="L1321" s="1390"/>
      <c r="M1321" s="1389" t="s">
        <v>392</v>
      </c>
      <c r="N1321" s="1390"/>
      <c r="O1321" s="1389" t="s">
        <v>28</v>
      </c>
      <c r="P1321" s="1393"/>
      <c r="Q1321" s="1390"/>
      <c r="R1321" s="1400" t="s">
        <v>36</v>
      </c>
      <c r="S1321" s="361"/>
      <c r="T1321" s="361">
        <f>MAX(J1325:J1339)-MIN(I1325:I1339)</f>
        <v>3.6111111111111094E-2</v>
      </c>
      <c r="U1321" s="361"/>
      <c r="V1321" s="853" t="str">
        <f t="shared" ref="V1321" si="140">B1325</f>
        <v>A41</v>
      </c>
      <c r="W1321" s="361">
        <f t="shared" ref="W1321" si="141">COUNTIF(K1326:K1340,"&gt;0")</f>
        <v>4</v>
      </c>
    </row>
    <row r="1322" spans="1:23">
      <c r="A1322" s="1401"/>
      <c r="B1322" s="1401"/>
      <c r="C1322" s="828"/>
      <c r="D1322" s="872"/>
      <c r="E1322" s="1401"/>
      <c r="F1322" s="1401"/>
      <c r="G1322" s="1391"/>
      <c r="H1322" s="1392"/>
      <c r="I1322" s="1391"/>
      <c r="J1322" s="1392"/>
      <c r="K1322" s="1394"/>
      <c r="L1322" s="1392"/>
      <c r="M1322" s="1391"/>
      <c r="N1322" s="1392"/>
      <c r="O1322" s="1391"/>
      <c r="P1322" s="1394"/>
      <c r="Q1322" s="1392"/>
      <c r="R1322" s="1401"/>
      <c r="S1322" s="361"/>
      <c r="T1322" s="361"/>
      <c r="U1322" s="361"/>
      <c r="V1322" s="361"/>
      <c r="W1322" s="361"/>
    </row>
    <row r="1323" spans="1:23">
      <c r="A1323" s="1401"/>
      <c r="B1323" s="1401"/>
      <c r="C1323" s="828"/>
      <c r="D1323" s="872"/>
      <c r="E1323" s="1401"/>
      <c r="F1323" s="1401"/>
      <c r="G1323" s="1400" t="s">
        <v>20</v>
      </c>
      <c r="H1323" s="1400" t="s">
        <v>21</v>
      </c>
      <c r="I1323" s="1400" t="s">
        <v>361</v>
      </c>
      <c r="J1323" s="1400" t="s">
        <v>353</v>
      </c>
      <c r="K1323" s="1400" t="s">
        <v>23</v>
      </c>
      <c r="L1323" s="1400" t="s">
        <v>24</v>
      </c>
      <c r="M1323" s="1400" t="s">
        <v>27</v>
      </c>
      <c r="N1323" s="1400" t="s">
        <v>178</v>
      </c>
      <c r="O1323" s="1400" t="s">
        <v>1</v>
      </c>
      <c r="P1323" s="1400" t="s">
        <v>29</v>
      </c>
      <c r="Q1323" s="1400" t="s">
        <v>33</v>
      </c>
      <c r="R1323" s="1401"/>
      <c r="S1323" s="361"/>
      <c r="T1323" s="361" t="s">
        <v>39</v>
      </c>
      <c r="U1323" s="362">
        <f>VLOOKUP(B1325,'Thong tin'!$A:$M,13,0)</f>
        <v>1200</v>
      </c>
      <c r="V1323" s="361"/>
      <c r="W1323" s="361"/>
    </row>
    <row r="1324" spans="1:23">
      <c r="A1324" s="1402"/>
      <c r="B1324" s="1402"/>
      <c r="C1324" s="829"/>
      <c r="D1324" s="873"/>
      <c r="E1324" s="1402"/>
      <c r="F1324" s="1402"/>
      <c r="G1324" s="1402"/>
      <c r="H1324" s="1402"/>
      <c r="I1324" s="1402"/>
      <c r="J1324" s="1402"/>
      <c r="K1324" s="1402"/>
      <c r="L1324" s="1402"/>
      <c r="M1324" s="1402"/>
      <c r="N1324" s="1402"/>
      <c r="O1324" s="1402"/>
      <c r="P1324" s="1402"/>
      <c r="Q1324" s="1402"/>
      <c r="R1324" s="1402"/>
      <c r="S1324" s="361"/>
      <c r="T1324" s="1399" t="s">
        <v>393</v>
      </c>
      <c r="U1324" s="1397">
        <f>VLOOKUP(B1325,DT.NK!$B:$AZ,45,0)</f>
        <v>31.8</v>
      </c>
      <c r="V1324" s="361"/>
      <c r="W1324" s="361"/>
    </row>
    <row r="1325" spans="1:23">
      <c r="A1325" s="1409">
        <f>A1305+1</f>
        <v>67</v>
      </c>
      <c r="B1325" s="1412" t="s">
        <v>686</v>
      </c>
      <c r="C1325" s="844" t="s">
        <v>983</v>
      </c>
      <c r="D1325" s="874" t="str">
        <f>B1325&amp;C1325</f>
        <v>A41a</v>
      </c>
      <c r="E1325" s="363"/>
      <c r="F1325" s="364"/>
      <c r="G1325" s="364"/>
      <c r="H1325" s="364"/>
      <c r="I1325" s="364"/>
      <c r="J1325" s="364"/>
      <c r="K1325" s="364"/>
      <c r="L1325" s="364"/>
      <c r="M1325" s="674"/>
      <c r="N1325" s="670"/>
      <c r="O1325" s="670">
        <f>U1324</f>
        <v>31.8</v>
      </c>
      <c r="P1325" s="670">
        <f>O1325</f>
        <v>31.8</v>
      </c>
      <c r="Q1325" s="670">
        <v>0</v>
      </c>
      <c r="R1325" s="365"/>
      <c r="S1325" s="366"/>
      <c r="T1325" s="1399"/>
      <c r="U1325" s="1398"/>
      <c r="V1325" s="361"/>
      <c r="W1325" s="361"/>
    </row>
    <row r="1326" spans="1:23">
      <c r="A1326" s="1410"/>
      <c r="B1326" s="1413"/>
      <c r="C1326" s="845" t="s">
        <v>984</v>
      </c>
      <c r="D1326" s="875" t="str">
        <f>B1325&amp;C1326</f>
        <v>A41b</v>
      </c>
      <c r="E1326" s="367">
        <v>1</v>
      </c>
      <c r="F1326" s="669" t="s">
        <v>980</v>
      </c>
      <c r="G1326" s="369">
        <v>0.55833333333333335</v>
      </c>
      <c r="H1326" s="368">
        <v>0.59027777777777779</v>
      </c>
      <c r="I1326" s="369">
        <v>0.62708333333333333</v>
      </c>
      <c r="J1326" s="368">
        <v>0.63194444444444442</v>
      </c>
      <c r="K1326" s="669">
        <v>10</v>
      </c>
      <c r="L1326" s="669">
        <v>19</v>
      </c>
      <c r="M1326" s="675">
        <v>28.8</v>
      </c>
      <c r="N1326" s="671">
        <f>IF(M1326-P1326&gt;0,M1326-P1326,0)</f>
        <v>4.4000000000000021</v>
      </c>
      <c r="O1326" s="671">
        <f>O1325-K1326/(PI()*(U1323/2000)^2)</f>
        <v>22.958058717116927</v>
      </c>
      <c r="P1326" s="672">
        <v>24.4</v>
      </c>
      <c r="Q1326" s="673">
        <f>ABS(O1326-P1326)</f>
        <v>1.4419412828830716</v>
      </c>
      <c r="R1326" s="375" t="s">
        <v>188</v>
      </c>
      <c r="S1326" s="366"/>
      <c r="T1326" s="376"/>
      <c r="U1326" s="376"/>
      <c r="V1326" s="366"/>
      <c r="W1326" s="366"/>
    </row>
    <row r="1327" spans="1:23">
      <c r="A1327" s="1410"/>
      <c r="B1327" s="1413"/>
      <c r="C1327" s="845" t="s">
        <v>985</v>
      </c>
      <c r="D1327" s="875" t="str">
        <f>B1325&amp;C1327</f>
        <v>A41c</v>
      </c>
      <c r="E1327" s="367">
        <v>2</v>
      </c>
      <c r="F1327" s="669" t="s">
        <v>1007</v>
      </c>
      <c r="G1327" s="369">
        <v>0.57361111111111118</v>
      </c>
      <c r="H1327" s="368">
        <v>0.61458333333333337</v>
      </c>
      <c r="I1327" s="369">
        <v>0.63888888888888895</v>
      </c>
      <c r="J1327" s="368">
        <v>0.64374999999999993</v>
      </c>
      <c r="K1327" s="669">
        <v>10</v>
      </c>
      <c r="L1327" s="669">
        <v>19.5</v>
      </c>
      <c r="M1327" s="675">
        <v>22.5</v>
      </c>
      <c r="N1327" s="671">
        <f>IF(M1327-P1327&gt;0,M1327-P1327,0)</f>
        <v>6.1499999999999986</v>
      </c>
      <c r="O1327" s="671">
        <f>O1326-K1327/(PI()*(U1323/2000)^2)</f>
        <v>14.116117434233853</v>
      </c>
      <c r="P1327" s="672">
        <v>16.350000000000001</v>
      </c>
      <c r="Q1327" s="673">
        <f>ABS(O1327-P1327)</f>
        <v>2.2338825657661481</v>
      </c>
      <c r="R1327" s="375" t="s">
        <v>188</v>
      </c>
      <c r="S1327" s="366"/>
      <c r="T1327" s="376"/>
      <c r="U1327" s="376"/>
      <c r="V1327" s="366"/>
      <c r="W1327" s="366"/>
    </row>
    <row r="1328" spans="1:23">
      <c r="A1328" s="1410"/>
      <c r="B1328" s="1413"/>
      <c r="C1328" s="845" t="s">
        <v>986</v>
      </c>
      <c r="D1328" s="875" t="str">
        <f>B1325&amp;C1328</f>
        <v>A41d</v>
      </c>
      <c r="E1328" s="367">
        <v>3</v>
      </c>
      <c r="F1328" s="669" t="s">
        <v>1010</v>
      </c>
      <c r="G1328" s="369">
        <v>0.59027777777777779</v>
      </c>
      <c r="H1328" s="368">
        <v>0.63194444444444442</v>
      </c>
      <c r="I1328" s="369">
        <v>0.64583333333333337</v>
      </c>
      <c r="J1328" s="368">
        <v>0.65069444444444446</v>
      </c>
      <c r="K1328" s="669">
        <v>10</v>
      </c>
      <c r="L1328" s="669">
        <v>18.5</v>
      </c>
      <c r="M1328" s="675">
        <v>13.05</v>
      </c>
      <c r="N1328" s="671">
        <f>IF(M1328-P1328&gt;0,M1328-P1328,0)</f>
        <v>5.2000000000000011</v>
      </c>
      <c r="O1328" s="671">
        <f>O1327-K1328/(PI()*(U1323/2000)^2)</f>
        <v>5.2741761513507797</v>
      </c>
      <c r="P1328" s="672">
        <v>7.85</v>
      </c>
      <c r="Q1328" s="673">
        <f>ABS(O1328-P1328)</f>
        <v>2.57582384864922</v>
      </c>
      <c r="R1328" s="375" t="s">
        <v>188</v>
      </c>
      <c r="S1328" s="366"/>
      <c r="T1328" s="376"/>
      <c r="U1328" s="376"/>
      <c r="V1328" s="366"/>
      <c r="W1328" s="366"/>
    </row>
    <row r="1329" spans="1:23">
      <c r="A1329" s="1410"/>
      <c r="B1329" s="1413"/>
      <c r="C1329" s="845" t="s">
        <v>987</v>
      </c>
      <c r="D1329" s="875" t="str">
        <f>B1325&amp;C1329</f>
        <v>A41e</v>
      </c>
      <c r="E1329" s="367">
        <v>4</v>
      </c>
      <c r="F1329" s="669" t="s">
        <v>1007</v>
      </c>
      <c r="G1329" s="369">
        <v>0.625</v>
      </c>
      <c r="H1329" s="368">
        <v>0.65972222222222221</v>
      </c>
      <c r="I1329" s="369">
        <v>0.65972222222222221</v>
      </c>
      <c r="J1329" s="368">
        <v>0.66319444444444442</v>
      </c>
      <c r="K1329" s="669">
        <v>2</v>
      </c>
      <c r="L1329" s="370">
        <v>19</v>
      </c>
      <c r="M1329" s="675">
        <v>13.05</v>
      </c>
      <c r="N1329" s="671">
        <f>IF(M1329-P1329&gt;0,M1329-P1329,0)</f>
        <v>6.2500000000000009</v>
      </c>
      <c r="O1329" s="671">
        <f>O1328-K1329/(PI()*(U1323/2000)^2)</f>
        <v>3.5057878947741647</v>
      </c>
      <c r="P1329" s="373">
        <v>6.8</v>
      </c>
      <c r="Q1329" s="673">
        <f>ABS(O1329-P1329)</f>
        <v>3.2942121052258351</v>
      </c>
      <c r="R1329" s="375"/>
      <c r="S1329" s="366"/>
      <c r="T1329" s="376"/>
      <c r="U1329" s="376"/>
      <c r="V1329" s="366"/>
      <c r="W1329" s="366"/>
    </row>
    <row r="1330" spans="1:23">
      <c r="A1330" s="1410"/>
      <c r="B1330" s="1413"/>
      <c r="C1330" s="845" t="s">
        <v>988</v>
      </c>
      <c r="D1330" s="875" t="str">
        <f>B1325&amp;C1330</f>
        <v>A41f</v>
      </c>
      <c r="E1330" s="367">
        <v>5</v>
      </c>
      <c r="F1330" s="669"/>
      <c r="G1330" s="369"/>
      <c r="H1330" s="368"/>
      <c r="I1330" s="369"/>
      <c r="J1330" s="368"/>
      <c r="K1330" s="669"/>
      <c r="L1330" s="370"/>
      <c r="M1330" s="371"/>
      <c r="N1330" s="671"/>
      <c r="O1330" s="671"/>
      <c r="P1330" s="373"/>
      <c r="Q1330" s="673"/>
      <c r="R1330" s="377"/>
      <c r="S1330" s="366" t="s">
        <v>190</v>
      </c>
      <c r="T1330" s="376"/>
      <c r="U1330" s="376"/>
      <c r="V1330" s="366"/>
      <c r="W1330" s="366"/>
    </row>
    <row r="1331" spans="1:23">
      <c r="A1331" s="1410"/>
      <c r="B1331" s="1413"/>
      <c r="C1331" s="845" t="s">
        <v>989</v>
      </c>
      <c r="D1331" s="875" t="str">
        <f>B1325&amp;C1331</f>
        <v>A41g</v>
      </c>
      <c r="E1331" s="367">
        <v>6</v>
      </c>
      <c r="F1331" s="669"/>
      <c r="G1331" s="369"/>
      <c r="H1331" s="368"/>
      <c r="I1331" s="369"/>
      <c r="J1331" s="368"/>
      <c r="K1331" s="669"/>
      <c r="L1331" s="370"/>
      <c r="M1331" s="371"/>
      <c r="N1331" s="671"/>
      <c r="O1331" s="671"/>
      <c r="P1331" s="373"/>
      <c r="Q1331" s="673"/>
      <c r="R1331" s="375"/>
      <c r="S1331" s="366" t="s">
        <v>190</v>
      </c>
      <c r="T1331" s="366"/>
      <c r="U1331" s="366"/>
      <c r="V1331" s="366"/>
      <c r="W1331" s="366"/>
    </row>
    <row r="1332" spans="1:23">
      <c r="A1332" s="1410"/>
      <c r="B1332" s="1413"/>
      <c r="C1332" s="845" t="s">
        <v>990</v>
      </c>
      <c r="D1332" s="875" t="str">
        <f>B1325&amp;C1332</f>
        <v>A41h</v>
      </c>
      <c r="E1332" s="367">
        <v>7</v>
      </c>
      <c r="F1332" s="669"/>
      <c r="G1332" s="368"/>
      <c r="H1332" s="368"/>
      <c r="I1332" s="368"/>
      <c r="J1332" s="368"/>
      <c r="K1332" s="669"/>
      <c r="L1332" s="370"/>
      <c r="M1332" s="371"/>
      <c r="N1332" s="671"/>
      <c r="O1332" s="671"/>
      <c r="P1332" s="373"/>
      <c r="Q1332" s="673"/>
      <c r="R1332" s="377"/>
      <c r="S1332" s="366" t="s">
        <v>190</v>
      </c>
      <c r="T1332" s="366"/>
      <c r="U1332" s="366"/>
      <c r="V1332" s="366"/>
      <c r="W1332" s="366"/>
    </row>
    <row r="1333" spans="1:23">
      <c r="A1333" s="1410"/>
      <c r="B1333" s="1413"/>
      <c r="C1333" s="845" t="s">
        <v>991</v>
      </c>
      <c r="D1333" s="875" t="str">
        <f>B1325&amp;C1333</f>
        <v>A41i</v>
      </c>
      <c r="E1333" s="367">
        <v>8</v>
      </c>
      <c r="F1333" s="669"/>
      <c r="G1333" s="368"/>
      <c r="H1333" s="368"/>
      <c r="I1333" s="368"/>
      <c r="J1333" s="368"/>
      <c r="K1333" s="370"/>
      <c r="L1333" s="370"/>
      <c r="M1333" s="371"/>
      <c r="N1333" s="671"/>
      <c r="O1333" s="671"/>
      <c r="P1333" s="373"/>
      <c r="Q1333" s="673"/>
      <c r="R1333" s="378"/>
      <c r="S1333" s="366"/>
      <c r="T1333" s="366"/>
      <c r="U1333" s="366"/>
      <c r="V1333" s="366"/>
      <c r="W1333" s="366"/>
    </row>
    <row r="1334" spans="1:23">
      <c r="A1334" s="1410"/>
      <c r="B1334" s="1413"/>
      <c r="C1334" s="845" t="s">
        <v>992</v>
      </c>
      <c r="D1334" s="875" t="str">
        <f>B1325&amp;C1334</f>
        <v>A41k</v>
      </c>
      <c r="E1334" s="367">
        <v>9</v>
      </c>
      <c r="F1334" s="370"/>
      <c r="G1334" s="368"/>
      <c r="H1334" s="368"/>
      <c r="I1334" s="368"/>
      <c r="J1334" s="368"/>
      <c r="K1334" s="370"/>
      <c r="L1334" s="370"/>
      <c r="M1334" s="371"/>
      <c r="N1334" s="372"/>
      <c r="O1334" s="372"/>
      <c r="P1334" s="373"/>
      <c r="Q1334" s="374"/>
      <c r="R1334" s="378"/>
      <c r="S1334" s="379"/>
      <c r="T1334" s="366"/>
      <c r="U1334" s="366"/>
      <c r="V1334" s="366"/>
      <c r="W1334" s="366"/>
    </row>
    <row r="1335" spans="1:23">
      <c r="A1335" s="1410"/>
      <c r="B1335" s="1413"/>
      <c r="C1335" s="845" t="s">
        <v>993</v>
      </c>
      <c r="D1335" s="875" t="str">
        <f>B1325&amp;C1335</f>
        <v>A41l</v>
      </c>
      <c r="E1335" s="367">
        <v>10</v>
      </c>
      <c r="F1335" s="370"/>
      <c r="G1335" s="368"/>
      <c r="H1335" s="368"/>
      <c r="I1335" s="368"/>
      <c r="J1335" s="368"/>
      <c r="K1335" s="370"/>
      <c r="L1335" s="370"/>
      <c r="M1335" s="370"/>
      <c r="N1335" s="372"/>
      <c r="O1335" s="372"/>
      <c r="P1335" s="373"/>
      <c r="Q1335" s="374"/>
      <c r="R1335" s="378"/>
      <c r="S1335" s="379"/>
      <c r="T1335" s="366"/>
      <c r="U1335" s="366"/>
      <c r="V1335" s="366"/>
      <c r="W1335" s="366"/>
    </row>
    <row r="1336" spans="1:23">
      <c r="A1336" s="1410"/>
      <c r="B1336" s="1413"/>
      <c r="C1336" s="845" t="s">
        <v>994</v>
      </c>
      <c r="D1336" s="875" t="str">
        <f>B1325&amp;C1336</f>
        <v>A41m</v>
      </c>
      <c r="E1336" s="367">
        <v>11</v>
      </c>
      <c r="F1336" s="370"/>
      <c r="G1336" s="368"/>
      <c r="H1336" s="368"/>
      <c r="I1336" s="368"/>
      <c r="J1336" s="368"/>
      <c r="K1336" s="370"/>
      <c r="L1336" s="370"/>
      <c r="M1336" s="370"/>
      <c r="N1336" s="372"/>
      <c r="O1336" s="372"/>
      <c r="P1336" s="380"/>
      <c r="Q1336" s="374"/>
      <c r="R1336" s="381"/>
      <c r="S1336" s="379"/>
      <c r="T1336" s="366"/>
      <c r="U1336" s="366"/>
      <c r="V1336" s="366"/>
      <c r="W1336" s="366"/>
    </row>
    <row r="1337" spans="1:23">
      <c r="A1337" s="1410"/>
      <c r="B1337" s="1413"/>
      <c r="C1337" s="845" t="s">
        <v>995</v>
      </c>
      <c r="D1337" s="875" t="str">
        <f>B1325&amp;C1337</f>
        <v>A41n</v>
      </c>
      <c r="E1337" s="367">
        <v>12</v>
      </c>
      <c r="F1337" s="370"/>
      <c r="G1337" s="368"/>
      <c r="H1337" s="368"/>
      <c r="I1337" s="368"/>
      <c r="J1337" s="368"/>
      <c r="K1337" s="370"/>
      <c r="L1337" s="370"/>
      <c r="M1337" s="370"/>
      <c r="N1337" s="372"/>
      <c r="O1337" s="372"/>
      <c r="P1337" s="380"/>
      <c r="Q1337" s="374"/>
      <c r="R1337" s="381"/>
      <c r="S1337" s="361"/>
      <c r="T1337" s="361"/>
      <c r="U1337" s="361"/>
      <c r="V1337" s="366"/>
      <c r="W1337" s="366"/>
    </row>
    <row r="1338" spans="1:23">
      <c r="A1338" s="1410"/>
      <c r="B1338" s="1413"/>
      <c r="C1338" s="845" t="s">
        <v>471</v>
      </c>
      <c r="D1338" s="875" t="str">
        <f>B1325&amp;C1338</f>
        <v>A41x</v>
      </c>
      <c r="E1338" s="367">
        <v>13</v>
      </c>
      <c r="F1338" s="370"/>
      <c r="G1338" s="368"/>
      <c r="H1338" s="368"/>
      <c r="I1338" s="368"/>
      <c r="J1338" s="368"/>
      <c r="K1338" s="370"/>
      <c r="L1338" s="370"/>
      <c r="M1338" s="370"/>
      <c r="N1338" s="382"/>
      <c r="O1338" s="372"/>
      <c r="P1338" s="380"/>
      <c r="Q1338" s="381"/>
      <c r="R1338" s="381"/>
      <c r="S1338" s="361"/>
      <c r="T1338" s="361"/>
      <c r="U1338" s="361"/>
      <c r="V1338" s="366"/>
      <c r="W1338" s="366"/>
    </row>
    <row r="1339" spans="1:23">
      <c r="A1339" s="1410"/>
      <c r="B1339" s="1413"/>
      <c r="C1339" s="845" t="s">
        <v>732</v>
      </c>
      <c r="D1339" s="875" t="str">
        <f>B1325&amp;C1339</f>
        <v>A41y</v>
      </c>
      <c r="E1339" s="367">
        <v>14</v>
      </c>
      <c r="F1339" s="370"/>
      <c r="G1339" s="368"/>
      <c r="H1339" s="368"/>
      <c r="I1339" s="368"/>
      <c r="J1339" s="368"/>
      <c r="K1339" s="370"/>
      <c r="L1339" s="370"/>
      <c r="M1339" s="370"/>
      <c r="N1339" s="382"/>
      <c r="O1339" s="372"/>
      <c r="P1339" s="380"/>
      <c r="Q1339" s="381"/>
      <c r="R1339" s="381"/>
      <c r="S1339" s="361"/>
      <c r="T1339" s="361"/>
      <c r="U1339" s="362"/>
      <c r="V1339" s="366"/>
      <c r="W1339" s="366"/>
    </row>
    <row r="1340" spans="1:23">
      <c r="A1340" s="1411"/>
      <c r="B1340" s="1414"/>
      <c r="C1340" s="846" t="s">
        <v>996</v>
      </c>
      <c r="D1340" s="876" t="str">
        <f>B1325&amp;C1340</f>
        <v>A41z</v>
      </c>
      <c r="E1340" s="847">
        <v>15</v>
      </c>
      <c r="F1340" s="370"/>
      <c r="G1340" s="368"/>
      <c r="H1340" s="368"/>
      <c r="I1340" s="368"/>
      <c r="J1340" s="368"/>
      <c r="K1340" s="370"/>
      <c r="L1340" s="370"/>
      <c r="M1340" s="370"/>
      <c r="N1340" s="850"/>
      <c r="O1340" s="851"/>
      <c r="P1340" s="380"/>
      <c r="Q1340" s="852"/>
      <c r="R1340" s="383"/>
      <c r="S1340" s="361"/>
      <c r="T1340" s="832"/>
      <c r="U1340" s="830"/>
      <c r="V1340" s="366"/>
      <c r="W1340" s="366"/>
    </row>
    <row r="1341" spans="1:23">
      <c r="A1341" s="1400" t="s">
        <v>939</v>
      </c>
      <c r="B1341" s="1400"/>
      <c r="C1341" s="827"/>
      <c r="D1341" s="871"/>
      <c r="E1341" s="1400" t="s">
        <v>177</v>
      </c>
      <c r="F1341" s="1400" t="s">
        <v>18</v>
      </c>
      <c r="G1341" s="1389" t="s">
        <v>19</v>
      </c>
      <c r="H1341" s="1390"/>
      <c r="I1341" s="1389" t="s">
        <v>22</v>
      </c>
      <c r="J1341" s="1390"/>
      <c r="K1341" s="1393" t="s">
        <v>26</v>
      </c>
      <c r="L1341" s="1390"/>
      <c r="M1341" s="1389" t="s">
        <v>392</v>
      </c>
      <c r="N1341" s="1390"/>
      <c r="O1341" s="1389" t="s">
        <v>28</v>
      </c>
      <c r="P1341" s="1393"/>
      <c r="Q1341" s="1390"/>
      <c r="R1341" s="1400" t="s">
        <v>36</v>
      </c>
      <c r="S1341" s="361"/>
      <c r="T1341" s="361">
        <f>MAX(J1345:J1359)-MIN(I1345:I1359)</f>
        <v>2.083333333333337E-2</v>
      </c>
      <c r="U1341" s="361"/>
      <c r="V1341" s="853" t="str">
        <f t="shared" ref="V1341" si="142">B1345</f>
        <v>A61</v>
      </c>
      <c r="W1341" s="361">
        <f t="shared" ref="W1341" si="143">COUNTIF(K1346:K1360,"&gt;0")</f>
        <v>2</v>
      </c>
    </row>
    <row r="1342" spans="1:23">
      <c r="A1342" s="1401"/>
      <c r="B1342" s="1401"/>
      <c r="C1342" s="828"/>
      <c r="D1342" s="872"/>
      <c r="E1342" s="1401"/>
      <c r="F1342" s="1401"/>
      <c r="G1342" s="1391"/>
      <c r="H1342" s="1392"/>
      <c r="I1342" s="1391"/>
      <c r="J1342" s="1392"/>
      <c r="K1342" s="1394"/>
      <c r="L1342" s="1392"/>
      <c r="M1342" s="1391"/>
      <c r="N1342" s="1392"/>
      <c r="O1342" s="1391"/>
      <c r="P1342" s="1394"/>
      <c r="Q1342" s="1392"/>
      <c r="R1342" s="1401"/>
      <c r="S1342" s="361"/>
      <c r="T1342" s="361"/>
      <c r="U1342" s="361"/>
      <c r="V1342" s="361"/>
      <c r="W1342" s="361"/>
    </row>
    <row r="1343" spans="1:23">
      <c r="A1343" s="1401"/>
      <c r="B1343" s="1401"/>
      <c r="C1343" s="828"/>
      <c r="D1343" s="872"/>
      <c r="E1343" s="1401"/>
      <c r="F1343" s="1401"/>
      <c r="G1343" s="1400" t="s">
        <v>20</v>
      </c>
      <c r="H1343" s="1400" t="s">
        <v>21</v>
      </c>
      <c r="I1343" s="1400" t="s">
        <v>361</v>
      </c>
      <c r="J1343" s="1400" t="s">
        <v>353</v>
      </c>
      <c r="K1343" s="1400" t="s">
        <v>23</v>
      </c>
      <c r="L1343" s="1400" t="s">
        <v>24</v>
      </c>
      <c r="M1343" s="1400" t="s">
        <v>27</v>
      </c>
      <c r="N1343" s="1400" t="s">
        <v>178</v>
      </c>
      <c r="O1343" s="1400" t="s">
        <v>1</v>
      </c>
      <c r="P1343" s="1400" t="s">
        <v>29</v>
      </c>
      <c r="Q1343" s="1400" t="s">
        <v>33</v>
      </c>
      <c r="R1343" s="1401"/>
      <c r="S1343" s="361"/>
      <c r="T1343" s="361" t="s">
        <v>39</v>
      </c>
      <c r="U1343" s="362">
        <f>VLOOKUP(B1345,'Thong tin'!$A:$M,13,0)</f>
        <v>1200</v>
      </c>
      <c r="V1343" s="361"/>
      <c r="W1343" s="361"/>
    </row>
    <row r="1344" spans="1:23">
      <c r="A1344" s="1402"/>
      <c r="B1344" s="1402"/>
      <c r="C1344" s="829"/>
      <c r="D1344" s="873"/>
      <c r="E1344" s="1402"/>
      <c r="F1344" s="1402"/>
      <c r="G1344" s="1402"/>
      <c r="H1344" s="1402"/>
      <c r="I1344" s="1402"/>
      <c r="J1344" s="1402"/>
      <c r="K1344" s="1402"/>
      <c r="L1344" s="1402"/>
      <c r="M1344" s="1402"/>
      <c r="N1344" s="1402"/>
      <c r="O1344" s="1402"/>
      <c r="P1344" s="1402"/>
      <c r="Q1344" s="1402"/>
      <c r="R1344" s="1402"/>
      <c r="S1344" s="361"/>
      <c r="T1344" s="1399" t="s">
        <v>393</v>
      </c>
      <c r="U1344" s="1397">
        <f>VLOOKUP(B1345,DT.NK!$B:$AZ,45,0)</f>
        <v>24.8</v>
      </c>
      <c r="V1344" s="361"/>
      <c r="W1344" s="361"/>
    </row>
    <row r="1345" spans="1:23">
      <c r="A1345" s="1409">
        <f>A1325+1</f>
        <v>68</v>
      </c>
      <c r="B1345" s="1412" t="s">
        <v>564</v>
      </c>
      <c r="C1345" s="844" t="s">
        <v>983</v>
      </c>
      <c r="D1345" s="874" t="str">
        <f>B1345&amp;C1345</f>
        <v>A61a</v>
      </c>
      <c r="E1345" s="363"/>
      <c r="F1345" s="364"/>
      <c r="G1345" s="364"/>
      <c r="H1345" s="364"/>
      <c r="I1345" s="364"/>
      <c r="J1345" s="364"/>
      <c r="K1345" s="364"/>
      <c r="L1345" s="364"/>
      <c r="M1345" s="674"/>
      <c r="N1345" s="670"/>
      <c r="O1345" s="670">
        <f>U1344</f>
        <v>24.8</v>
      </c>
      <c r="P1345" s="670">
        <f>O1345</f>
        <v>24.8</v>
      </c>
      <c r="Q1345" s="670">
        <v>0</v>
      </c>
      <c r="R1345" s="365"/>
      <c r="S1345" s="366"/>
      <c r="T1345" s="1399"/>
      <c r="U1345" s="1398"/>
      <c r="V1345" s="361"/>
      <c r="W1345" s="361"/>
    </row>
    <row r="1346" spans="1:23">
      <c r="A1346" s="1410"/>
      <c r="B1346" s="1413"/>
      <c r="C1346" s="845" t="s">
        <v>984</v>
      </c>
      <c r="D1346" s="875" t="str">
        <f>B1345&amp;C1346</f>
        <v>A61b</v>
      </c>
      <c r="E1346" s="367">
        <v>1</v>
      </c>
      <c r="F1346" s="669" t="s">
        <v>980</v>
      </c>
      <c r="G1346" s="369">
        <v>0.54583333333333328</v>
      </c>
      <c r="H1346" s="368">
        <v>0.58333333333333337</v>
      </c>
      <c r="I1346" s="369">
        <v>0.59722222222222221</v>
      </c>
      <c r="J1346" s="368">
        <v>0.60416666666666663</v>
      </c>
      <c r="K1346" s="669">
        <v>11</v>
      </c>
      <c r="L1346" s="669">
        <v>19</v>
      </c>
      <c r="M1346" s="675">
        <v>19.649999999999999</v>
      </c>
      <c r="N1346" s="671">
        <f>IF(M1346-P1346&gt;0,M1346-P1346,0)</f>
        <v>3.8499999999999979</v>
      </c>
      <c r="O1346" s="671">
        <f>O1345-K1346/(PI()*(U1343/2000)^2)</f>
        <v>15.073864588828618</v>
      </c>
      <c r="P1346" s="672">
        <v>15.8</v>
      </c>
      <c r="Q1346" s="673">
        <f>ABS(O1346-P1346)</f>
        <v>0.72613541117138247</v>
      </c>
      <c r="R1346" s="375" t="s">
        <v>188</v>
      </c>
      <c r="S1346" s="366"/>
      <c r="T1346" s="376"/>
      <c r="U1346" s="376"/>
      <c r="V1346" s="366"/>
      <c r="W1346" s="366"/>
    </row>
    <row r="1347" spans="1:23">
      <c r="A1347" s="1410"/>
      <c r="B1347" s="1413"/>
      <c r="C1347" s="845" t="s">
        <v>985</v>
      </c>
      <c r="D1347" s="875" t="str">
        <f>B1345&amp;C1347</f>
        <v>A61c</v>
      </c>
      <c r="E1347" s="367">
        <v>2</v>
      </c>
      <c r="F1347" s="669" t="s">
        <v>1019</v>
      </c>
      <c r="G1347" s="369">
        <v>0.55902777777777779</v>
      </c>
      <c r="H1347" s="368">
        <v>0.59375</v>
      </c>
      <c r="I1347" s="369">
        <v>0.61111111111111105</v>
      </c>
      <c r="J1347" s="368">
        <v>0.61805555555555558</v>
      </c>
      <c r="K1347" s="669">
        <v>10.5</v>
      </c>
      <c r="L1347" s="669">
        <v>19</v>
      </c>
      <c r="M1347" s="675">
        <v>13.35</v>
      </c>
      <c r="N1347" s="671">
        <f>IF(M1347-P1347&gt;0,M1347-P1347,0)</f>
        <v>6.35</v>
      </c>
      <c r="O1347" s="671">
        <f>O1346-K1347/(PI()*(U1343/2000)^2)</f>
        <v>5.789826241801391</v>
      </c>
      <c r="P1347" s="672">
        <v>7</v>
      </c>
      <c r="Q1347" s="673">
        <f>ABS(O1347-P1347)</f>
        <v>1.210173758198609</v>
      </c>
      <c r="R1347" s="375" t="s">
        <v>188</v>
      </c>
      <c r="S1347" s="366"/>
      <c r="T1347" s="376"/>
      <c r="U1347" s="376"/>
      <c r="V1347" s="366"/>
      <c r="W1347" s="366"/>
    </row>
    <row r="1348" spans="1:23">
      <c r="A1348" s="1410"/>
      <c r="B1348" s="1413"/>
      <c r="C1348" s="845" t="s">
        <v>986</v>
      </c>
      <c r="D1348" s="875" t="str">
        <f>B1345&amp;C1348</f>
        <v>A61d</v>
      </c>
      <c r="E1348" s="367">
        <v>3</v>
      </c>
      <c r="F1348" s="669"/>
      <c r="G1348" s="369"/>
      <c r="H1348" s="368"/>
      <c r="I1348" s="369"/>
      <c r="J1348" s="368"/>
      <c r="K1348" s="669"/>
      <c r="L1348" s="669"/>
      <c r="M1348" s="675"/>
      <c r="N1348" s="671"/>
      <c r="O1348" s="671"/>
      <c r="P1348" s="672"/>
      <c r="Q1348" s="673"/>
      <c r="R1348" s="375"/>
      <c r="S1348" s="366"/>
      <c r="T1348" s="376"/>
      <c r="U1348" s="376"/>
      <c r="V1348" s="366"/>
      <c r="W1348" s="366"/>
    </row>
    <row r="1349" spans="1:23">
      <c r="A1349" s="1410"/>
      <c r="B1349" s="1413"/>
      <c r="C1349" s="845" t="s">
        <v>987</v>
      </c>
      <c r="D1349" s="875" t="str">
        <f>B1345&amp;C1349</f>
        <v>A61e</v>
      </c>
      <c r="E1349" s="367">
        <v>4</v>
      </c>
      <c r="F1349" s="669"/>
      <c r="G1349" s="369"/>
      <c r="H1349" s="368"/>
      <c r="I1349" s="369"/>
      <c r="J1349" s="368"/>
      <c r="K1349" s="669"/>
      <c r="L1349" s="370"/>
      <c r="M1349" s="675"/>
      <c r="N1349" s="671"/>
      <c r="O1349" s="671"/>
      <c r="P1349" s="373"/>
      <c r="Q1349" s="673"/>
      <c r="R1349" s="375"/>
      <c r="S1349" s="366"/>
      <c r="T1349" s="376"/>
      <c r="U1349" s="376"/>
      <c r="V1349" s="366"/>
      <c r="W1349" s="366"/>
    </row>
    <row r="1350" spans="1:23">
      <c r="A1350" s="1410"/>
      <c r="B1350" s="1413"/>
      <c r="C1350" s="845" t="s">
        <v>988</v>
      </c>
      <c r="D1350" s="875" t="str">
        <f>B1345&amp;C1350</f>
        <v>A61f</v>
      </c>
      <c r="E1350" s="367">
        <v>5</v>
      </c>
      <c r="F1350" s="669"/>
      <c r="G1350" s="369"/>
      <c r="H1350" s="368"/>
      <c r="I1350" s="369"/>
      <c r="J1350" s="368"/>
      <c r="K1350" s="669"/>
      <c r="L1350" s="370"/>
      <c r="M1350" s="371"/>
      <c r="N1350" s="671"/>
      <c r="O1350" s="671"/>
      <c r="P1350" s="373"/>
      <c r="Q1350" s="673"/>
      <c r="R1350" s="377"/>
      <c r="S1350" s="366" t="s">
        <v>190</v>
      </c>
      <c r="T1350" s="376"/>
      <c r="U1350" s="376"/>
      <c r="V1350" s="366"/>
      <c r="W1350" s="366"/>
    </row>
    <row r="1351" spans="1:23">
      <c r="A1351" s="1410"/>
      <c r="B1351" s="1413"/>
      <c r="C1351" s="845" t="s">
        <v>989</v>
      </c>
      <c r="D1351" s="875" t="str">
        <f>B1345&amp;C1351</f>
        <v>A61g</v>
      </c>
      <c r="E1351" s="367">
        <v>6</v>
      </c>
      <c r="F1351" s="669"/>
      <c r="G1351" s="369"/>
      <c r="H1351" s="368"/>
      <c r="I1351" s="369"/>
      <c r="J1351" s="368"/>
      <c r="K1351" s="669"/>
      <c r="L1351" s="370"/>
      <c r="M1351" s="371"/>
      <c r="N1351" s="671"/>
      <c r="O1351" s="671"/>
      <c r="P1351" s="373"/>
      <c r="Q1351" s="673"/>
      <c r="R1351" s="375"/>
      <c r="S1351" s="366" t="s">
        <v>190</v>
      </c>
      <c r="T1351" s="366"/>
      <c r="U1351" s="366"/>
      <c r="V1351" s="366"/>
      <c r="W1351" s="366"/>
    </row>
    <row r="1352" spans="1:23">
      <c r="A1352" s="1410"/>
      <c r="B1352" s="1413"/>
      <c r="C1352" s="845" t="s">
        <v>990</v>
      </c>
      <c r="D1352" s="875" t="str">
        <f>B1345&amp;C1352</f>
        <v>A61h</v>
      </c>
      <c r="E1352" s="367">
        <v>7</v>
      </c>
      <c r="F1352" s="669"/>
      <c r="G1352" s="368"/>
      <c r="H1352" s="368"/>
      <c r="I1352" s="368"/>
      <c r="J1352" s="368"/>
      <c r="K1352" s="669"/>
      <c r="L1352" s="370"/>
      <c r="M1352" s="371"/>
      <c r="N1352" s="671"/>
      <c r="O1352" s="671"/>
      <c r="P1352" s="373"/>
      <c r="Q1352" s="673"/>
      <c r="R1352" s="377"/>
      <c r="S1352" s="366" t="s">
        <v>190</v>
      </c>
      <c r="T1352" s="366"/>
      <c r="U1352" s="366"/>
      <c r="V1352" s="366"/>
      <c r="W1352" s="366"/>
    </row>
    <row r="1353" spans="1:23">
      <c r="A1353" s="1410"/>
      <c r="B1353" s="1413"/>
      <c r="C1353" s="845" t="s">
        <v>991</v>
      </c>
      <c r="D1353" s="875" t="str">
        <f>B1345&amp;C1353</f>
        <v>A61i</v>
      </c>
      <c r="E1353" s="367">
        <v>8</v>
      </c>
      <c r="F1353" s="669"/>
      <c r="G1353" s="368"/>
      <c r="H1353" s="368"/>
      <c r="I1353" s="368"/>
      <c r="J1353" s="368"/>
      <c r="K1353" s="370"/>
      <c r="L1353" s="370"/>
      <c r="M1353" s="371"/>
      <c r="N1353" s="671"/>
      <c r="O1353" s="671"/>
      <c r="P1353" s="373"/>
      <c r="Q1353" s="673"/>
      <c r="R1353" s="378"/>
      <c r="S1353" s="366"/>
      <c r="T1353" s="366"/>
      <c r="U1353" s="366"/>
      <c r="V1353" s="366"/>
      <c r="W1353" s="366"/>
    </row>
    <row r="1354" spans="1:23">
      <c r="A1354" s="1410"/>
      <c r="B1354" s="1413"/>
      <c r="C1354" s="845" t="s">
        <v>992</v>
      </c>
      <c r="D1354" s="875" t="str">
        <f>B1345&amp;C1354</f>
        <v>A61k</v>
      </c>
      <c r="E1354" s="367">
        <v>9</v>
      </c>
      <c r="F1354" s="370"/>
      <c r="G1354" s="368"/>
      <c r="H1354" s="368"/>
      <c r="I1354" s="368"/>
      <c r="J1354" s="368"/>
      <c r="K1354" s="370"/>
      <c r="L1354" s="370"/>
      <c r="M1354" s="371"/>
      <c r="N1354" s="372"/>
      <c r="O1354" s="372"/>
      <c r="P1354" s="373"/>
      <c r="Q1354" s="374"/>
      <c r="R1354" s="378"/>
      <c r="S1354" s="379"/>
      <c r="T1354" s="366"/>
      <c r="U1354" s="366"/>
      <c r="V1354" s="366"/>
      <c r="W1354" s="366"/>
    </row>
    <row r="1355" spans="1:23">
      <c r="A1355" s="1410"/>
      <c r="B1355" s="1413"/>
      <c r="C1355" s="845" t="s">
        <v>993</v>
      </c>
      <c r="D1355" s="875" t="str">
        <f>B1345&amp;C1355</f>
        <v>A61l</v>
      </c>
      <c r="E1355" s="367">
        <v>10</v>
      </c>
      <c r="F1355" s="370"/>
      <c r="G1355" s="368"/>
      <c r="H1355" s="368"/>
      <c r="I1355" s="368"/>
      <c r="J1355" s="368"/>
      <c r="K1355" s="370"/>
      <c r="L1355" s="370"/>
      <c r="M1355" s="370"/>
      <c r="N1355" s="372"/>
      <c r="O1355" s="372"/>
      <c r="P1355" s="373"/>
      <c r="Q1355" s="374"/>
      <c r="R1355" s="378"/>
      <c r="S1355" s="379"/>
      <c r="T1355" s="366"/>
      <c r="U1355" s="366"/>
      <c r="V1355" s="366"/>
      <c r="W1355" s="366"/>
    </row>
    <row r="1356" spans="1:23">
      <c r="A1356" s="1410"/>
      <c r="B1356" s="1413"/>
      <c r="C1356" s="845" t="s">
        <v>994</v>
      </c>
      <c r="D1356" s="875" t="str">
        <f>B1345&amp;C1356</f>
        <v>A61m</v>
      </c>
      <c r="E1356" s="367">
        <v>11</v>
      </c>
      <c r="F1356" s="370"/>
      <c r="G1356" s="368"/>
      <c r="H1356" s="368"/>
      <c r="I1356" s="368"/>
      <c r="J1356" s="368"/>
      <c r="K1356" s="370"/>
      <c r="L1356" s="370"/>
      <c r="M1356" s="370"/>
      <c r="N1356" s="372"/>
      <c r="O1356" s="372"/>
      <c r="P1356" s="380"/>
      <c r="Q1356" s="374"/>
      <c r="R1356" s="381"/>
      <c r="S1356" s="379"/>
      <c r="T1356" s="366"/>
      <c r="U1356" s="366"/>
      <c r="V1356" s="366"/>
      <c r="W1356" s="366"/>
    </row>
    <row r="1357" spans="1:23">
      <c r="A1357" s="1410"/>
      <c r="B1357" s="1413"/>
      <c r="C1357" s="845" t="s">
        <v>995</v>
      </c>
      <c r="D1357" s="875" t="str">
        <f>B1345&amp;C1357</f>
        <v>A61n</v>
      </c>
      <c r="E1357" s="367">
        <v>12</v>
      </c>
      <c r="F1357" s="370"/>
      <c r="G1357" s="368"/>
      <c r="H1357" s="368"/>
      <c r="I1357" s="368"/>
      <c r="J1357" s="368"/>
      <c r="K1357" s="370"/>
      <c r="L1357" s="370"/>
      <c r="M1357" s="370"/>
      <c r="N1357" s="372"/>
      <c r="O1357" s="372"/>
      <c r="P1357" s="380"/>
      <c r="Q1357" s="374"/>
      <c r="R1357" s="381"/>
      <c r="S1357" s="361"/>
      <c r="T1357" s="361"/>
      <c r="U1357" s="361"/>
      <c r="V1357" s="366"/>
      <c r="W1357" s="366"/>
    </row>
    <row r="1358" spans="1:23">
      <c r="A1358" s="1410"/>
      <c r="B1358" s="1413"/>
      <c r="C1358" s="845" t="s">
        <v>471</v>
      </c>
      <c r="D1358" s="875" t="str">
        <f>B1345&amp;C1358</f>
        <v>A61x</v>
      </c>
      <c r="E1358" s="367">
        <v>13</v>
      </c>
      <c r="F1358" s="370"/>
      <c r="G1358" s="368"/>
      <c r="H1358" s="368"/>
      <c r="I1358" s="368"/>
      <c r="J1358" s="368"/>
      <c r="K1358" s="370"/>
      <c r="L1358" s="370"/>
      <c r="M1358" s="370"/>
      <c r="N1358" s="382"/>
      <c r="O1358" s="372"/>
      <c r="P1358" s="380"/>
      <c r="Q1358" s="381"/>
      <c r="R1358" s="381"/>
      <c r="S1358" s="361"/>
      <c r="T1358" s="361"/>
      <c r="U1358" s="361"/>
      <c r="V1358" s="366"/>
      <c r="W1358" s="366"/>
    </row>
    <row r="1359" spans="1:23">
      <c r="A1359" s="1410"/>
      <c r="B1359" s="1413"/>
      <c r="C1359" s="845" t="s">
        <v>732</v>
      </c>
      <c r="D1359" s="875" t="str">
        <f>B1345&amp;C1359</f>
        <v>A61y</v>
      </c>
      <c r="E1359" s="367">
        <v>14</v>
      </c>
      <c r="F1359" s="370"/>
      <c r="G1359" s="368"/>
      <c r="H1359" s="368"/>
      <c r="I1359" s="368"/>
      <c r="J1359" s="368"/>
      <c r="K1359" s="370"/>
      <c r="L1359" s="370"/>
      <c r="M1359" s="370"/>
      <c r="N1359" s="382"/>
      <c r="O1359" s="372"/>
      <c r="P1359" s="380"/>
      <c r="Q1359" s="381"/>
      <c r="R1359" s="381"/>
      <c r="S1359" s="361"/>
      <c r="T1359" s="361"/>
      <c r="U1359" s="362"/>
      <c r="V1359" s="366"/>
      <c r="W1359" s="366"/>
    </row>
    <row r="1360" spans="1:23">
      <c r="A1360" s="1411"/>
      <c r="B1360" s="1414"/>
      <c r="C1360" s="846" t="s">
        <v>996</v>
      </c>
      <c r="D1360" s="876" t="str">
        <f>B1345&amp;C1360</f>
        <v>A61z</v>
      </c>
      <c r="E1360" s="847">
        <v>15</v>
      </c>
      <c r="F1360" s="370"/>
      <c r="G1360" s="368"/>
      <c r="H1360" s="368"/>
      <c r="I1360" s="368"/>
      <c r="J1360" s="368"/>
      <c r="K1360" s="370"/>
      <c r="L1360" s="370"/>
      <c r="M1360" s="370"/>
      <c r="N1360" s="850"/>
      <c r="O1360" s="851"/>
      <c r="P1360" s="380"/>
      <c r="Q1360" s="852"/>
      <c r="R1360" s="383"/>
      <c r="S1360" s="361"/>
      <c r="T1360" s="832"/>
      <c r="U1360" s="830"/>
      <c r="V1360" s="366"/>
      <c r="W1360" s="366"/>
    </row>
    <row r="1361" spans="1:23">
      <c r="A1361" s="1400" t="s">
        <v>939</v>
      </c>
      <c r="B1361" s="1400"/>
      <c r="C1361" s="827"/>
      <c r="D1361" s="871"/>
      <c r="E1361" s="1400" t="s">
        <v>177</v>
      </c>
      <c r="F1361" s="1400" t="s">
        <v>18</v>
      </c>
      <c r="G1361" s="1389" t="s">
        <v>19</v>
      </c>
      <c r="H1361" s="1390"/>
      <c r="I1361" s="1389" t="s">
        <v>22</v>
      </c>
      <c r="J1361" s="1390"/>
      <c r="K1361" s="1393" t="s">
        <v>26</v>
      </c>
      <c r="L1361" s="1390"/>
      <c r="M1361" s="1389" t="s">
        <v>392</v>
      </c>
      <c r="N1361" s="1390"/>
      <c r="O1361" s="1389" t="s">
        <v>28</v>
      </c>
      <c r="P1361" s="1393"/>
      <c r="Q1361" s="1390"/>
      <c r="R1361" s="1400" t="s">
        <v>36</v>
      </c>
      <c r="S1361" s="361"/>
      <c r="T1361" s="361">
        <f>MAX(J1365:J1379)-MIN(I1365:I1379)</f>
        <v>9.722222222222221E-2</v>
      </c>
      <c r="U1361" s="361"/>
      <c r="V1361" s="853" t="str">
        <f t="shared" ref="V1361" si="144">B1365</f>
        <v>A152</v>
      </c>
      <c r="W1361" s="361">
        <f t="shared" ref="W1361" si="145">COUNTIF(K1366:K1380,"&gt;0")</f>
        <v>4</v>
      </c>
    </row>
    <row r="1362" spans="1:23">
      <c r="A1362" s="1401"/>
      <c r="B1362" s="1401"/>
      <c r="C1362" s="828"/>
      <c r="D1362" s="872"/>
      <c r="E1362" s="1401"/>
      <c r="F1362" s="1401"/>
      <c r="G1362" s="1391"/>
      <c r="H1362" s="1392"/>
      <c r="I1362" s="1391"/>
      <c r="J1362" s="1392"/>
      <c r="K1362" s="1394"/>
      <c r="L1362" s="1392"/>
      <c r="M1362" s="1391"/>
      <c r="N1362" s="1392"/>
      <c r="O1362" s="1391"/>
      <c r="P1362" s="1394"/>
      <c r="Q1362" s="1392"/>
      <c r="R1362" s="1401"/>
      <c r="S1362" s="361"/>
      <c r="T1362" s="361"/>
      <c r="U1362" s="361"/>
      <c r="V1362" s="361"/>
      <c r="W1362" s="361"/>
    </row>
    <row r="1363" spans="1:23">
      <c r="A1363" s="1401"/>
      <c r="B1363" s="1401"/>
      <c r="C1363" s="828"/>
      <c r="D1363" s="872"/>
      <c r="E1363" s="1401"/>
      <c r="F1363" s="1401"/>
      <c r="G1363" s="1400" t="s">
        <v>20</v>
      </c>
      <c r="H1363" s="1400" t="s">
        <v>21</v>
      </c>
      <c r="I1363" s="1400" t="s">
        <v>361</v>
      </c>
      <c r="J1363" s="1400" t="s">
        <v>353</v>
      </c>
      <c r="K1363" s="1400" t="s">
        <v>23</v>
      </c>
      <c r="L1363" s="1400" t="s">
        <v>24</v>
      </c>
      <c r="M1363" s="1400" t="s">
        <v>27</v>
      </c>
      <c r="N1363" s="1400" t="s">
        <v>178</v>
      </c>
      <c r="O1363" s="1400" t="s">
        <v>1</v>
      </c>
      <c r="P1363" s="1400" t="s">
        <v>29</v>
      </c>
      <c r="Q1363" s="1400" t="s">
        <v>33</v>
      </c>
      <c r="R1363" s="1401"/>
      <c r="S1363" s="361"/>
      <c r="T1363" s="361" t="s">
        <v>39</v>
      </c>
      <c r="U1363" s="362">
        <f>VLOOKUP(B1365,'Thong tin'!$A:$M,13,0)</f>
        <v>1200</v>
      </c>
      <c r="V1363" s="361"/>
      <c r="W1363" s="361"/>
    </row>
    <row r="1364" spans="1:23">
      <c r="A1364" s="1402"/>
      <c r="B1364" s="1402"/>
      <c r="C1364" s="829"/>
      <c r="D1364" s="873"/>
      <c r="E1364" s="1402"/>
      <c r="F1364" s="1402"/>
      <c r="G1364" s="1402"/>
      <c r="H1364" s="1402"/>
      <c r="I1364" s="1402"/>
      <c r="J1364" s="1402"/>
      <c r="K1364" s="1402"/>
      <c r="L1364" s="1402"/>
      <c r="M1364" s="1402"/>
      <c r="N1364" s="1402"/>
      <c r="O1364" s="1402"/>
      <c r="P1364" s="1402"/>
      <c r="Q1364" s="1402"/>
      <c r="R1364" s="1402"/>
      <c r="S1364" s="361"/>
      <c r="T1364" s="1399" t="s">
        <v>393</v>
      </c>
      <c r="U1364" s="1397">
        <f>VLOOKUP(B1365,DT.NK!$B:$AZ,45,0)</f>
        <v>31.68</v>
      </c>
      <c r="V1364" s="361"/>
      <c r="W1364" s="361"/>
    </row>
    <row r="1365" spans="1:23">
      <c r="A1365" s="1409">
        <f>A1345+1</f>
        <v>69</v>
      </c>
      <c r="B1365" s="1412" t="s">
        <v>571</v>
      </c>
      <c r="C1365" s="844" t="s">
        <v>983</v>
      </c>
      <c r="D1365" s="874" t="str">
        <f>B1365&amp;C1365</f>
        <v>A152a</v>
      </c>
      <c r="E1365" s="363"/>
      <c r="F1365" s="364"/>
      <c r="G1365" s="364"/>
      <c r="H1365" s="364"/>
      <c r="I1365" s="364"/>
      <c r="J1365" s="364"/>
      <c r="K1365" s="364"/>
      <c r="L1365" s="364"/>
      <c r="M1365" s="674"/>
      <c r="N1365" s="670"/>
      <c r="O1365" s="670">
        <f>U1364</f>
        <v>31.68</v>
      </c>
      <c r="P1365" s="670">
        <f>O1365</f>
        <v>31.68</v>
      </c>
      <c r="Q1365" s="670">
        <v>0</v>
      </c>
      <c r="R1365" s="365"/>
      <c r="S1365" s="366"/>
      <c r="T1365" s="1399"/>
      <c r="U1365" s="1398"/>
      <c r="V1365" s="361"/>
      <c r="W1365" s="361"/>
    </row>
    <row r="1366" spans="1:23">
      <c r="A1366" s="1410"/>
      <c r="B1366" s="1413"/>
      <c r="C1366" s="845" t="s">
        <v>984</v>
      </c>
      <c r="D1366" s="875" t="str">
        <f>B1365&amp;C1366</f>
        <v>A152b</v>
      </c>
      <c r="E1366" s="367">
        <v>1</v>
      </c>
      <c r="F1366" s="669" t="s">
        <v>1019</v>
      </c>
      <c r="G1366" s="369">
        <v>0.12152777777777778</v>
      </c>
      <c r="H1366" s="368">
        <v>0.14583333333333334</v>
      </c>
      <c r="I1366" s="369">
        <v>0.1875</v>
      </c>
      <c r="J1366" s="368">
        <v>0.19444444444444445</v>
      </c>
      <c r="K1366" s="669">
        <v>9.5</v>
      </c>
      <c r="L1366" s="669">
        <v>19</v>
      </c>
      <c r="M1366" s="675">
        <v>28.68</v>
      </c>
      <c r="N1366" s="671">
        <f>IF(M1366-P1366&gt;0,M1366-P1366,0)</f>
        <v>5.7800000000000011</v>
      </c>
      <c r="O1366" s="671">
        <f>O1365-K1366/(PI()*(U1363/2000)^2)</f>
        <v>23.28015578126108</v>
      </c>
      <c r="P1366" s="672">
        <v>22.9</v>
      </c>
      <c r="Q1366" s="673">
        <f>ABS(O1366-P1366)</f>
        <v>0.38015578126108096</v>
      </c>
      <c r="R1366" s="375" t="s">
        <v>188</v>
      </c>
      <c r="S1366" s="366"/>
      <c r="T1366" s="376"/>
      <c r="U1366" s="376"/>
      <c r="V1366" s="366"/>
      <c r="W1366" s="366"/>
    </row>
    <row r="1367" spans="1:23">
      <c r="A1367" s="1410"/>
      <c r="B1367" s="1413"/>
      <c r="C1367" s="845" t="s">
        <v>985</v>
      </c>
      <c r="D1367" s="875" t="str">
        <f>B1365&amp;C1367</f>
        <v>A152c</v>
      </c>
      <c r="E1367" s="367">
        <v>2</v>
      </c>
      <c r="F1367" s="669" t="s">
        <v>1008</v>
      </c>
      <c r="G1367" s="369">
        <v>0.16527777777777777</v>
      </c>
      <c r="H1367" s="368">
        <v>0.20138888888888887</v>
      </c>
      <c r="I1367" s="369">
        <v>0.21875</v>
      </c>
      <c r="J1367" s="368">
        <v>0.22569444444444445</v>
      </c>
      <c r="K1367" s="669">
        <v>10.5</v>
      </c>
      <c r="L1367" s="669">
        <v>19.5</v>
      </c>
      <c r="M1367" s="675">
        <v>22.38</v>
      </c>
      <c r="N1367" s="671">
        <f>IF(M1367-P1367&gt;0,M1367-P1367,0)</f>
        <v>6.5799999999999983</v>
      </c>
      <c r="O1367" s="671">
        <f>O1366-K1367/(PI()*(U1363/2000)^2)</f>
        <v>13.996117434233852</v>
      </c>
      <c r="P1367" s="672">
        <v>15.8</v>
      </c>
      <c r="Q1367" s="673">
        <f>ABS(O1367-P1367)</f>
        <v>1.8038825657661484</v>
      </c>
      <c r="R1367" s="375" t="s">
        <v>188</v>
      </c>
      <c r="S1367" s="366"/>
      <c r="T1367" s="376"/>
      <c r="U1367" s="376"/>
      <c r="V1367" s="366"/>
      <c r="W1367" s="366"/>
    </row>
    <row r="1368" spans="1:23">
      <c r="A1368" s="1410"/>
      <c r="B1368" s="1413"/>
      <c r="C1368" s="845" t="s">
        <v>986</v>
      </c>
      <c r="D1368" s="875" t="str">
        <f>B1365&amp;C1368</f>
        <v>A152d</v>
      </c>
      <c r="E1368" s="367">
        <v>3</v>
      </c>
      <c r="F1368" s="669" t="s">
        <v>1007</v>
      </c>
      <c r="G1368" s="369">
        <v>0.18402777777777779</v>
      </c>
      <c r="H1368" s="368">
        <v>0.23958333333333334</v>
      </c>
      <c r="I1368" s="369">
        <v>0.25</v>
      </c>
      <c r="J1368" s="368">
        <v>0.25694444444444448</v>
      </c>
      <c r="K1368" s="669">
        <v>10</v>
      </c>
      <c r="L1368" s="669">
        <v>20</v>
      </c>
      <c r="M1368" s="675">
        <v>16.8</v>
      </c>
      <c r="N1368" s="671">
        <f>IF(M1368-P1368&gt;0,M1368-P1368,0)</f>
        <v>8.9</v>
      </c>
      <c r="O1368" s="671">
        <f>O1367-K1368/(PI()*(U1363/2000)^2)</f>
        <v>5.1541761513507787</v>
      </c>
      <c r="P1368" s="672">
        <v>7.9</v>
      </c>
      <c r="Q1368" s="673">
        <f>ABS(O1368-P1368)</f>
        <v>2.7458238486492217</v>
      </c>
      <c r="R1368" s="375" t="s">
        <v>188</v>
      </c>
      <c r="S1368" s="366"/>
      <c r="T1368" s="376"/>
      <c r="U1368" s="376"/>
      <c r="V1368" s="366"/>
      <c r="W1368" s="366"/>
    </row>
    <row r="1369" spans="1:23">
      <c r="A1369" s="1410"/>
      <c r="B1369" s="1413"/>
      <c r="C1369" s="845" t="s">
        <v>987</v>
      </c>
      <c r="D1369" s="875" t="str">
        <f>B1365&amp;C1369</f>
        <v>A152e</v>
      </c>
      <c r="E1369" s="367">
        <v>4</v>
      </c>
      <c r="F1369" s="669" t="s">
        <v>1010</v>
      </c>
      <c r="G1369" s="369">
        <v>0.26041666666666669</v>
      </c>
      <c r="H1369" s="368">
        <v>0.27777777777777779</v>
      </c>
      <c r="I1369" s="369">
        <v>0.28125</v>
      </c>
      <c r="J1369" s="368">
        <v>0.28472222222222221</v>
      </c>
      <c r="K1369" s="669">
        <v>2</v>
      </c>
      <c r="L1369" s="370">
        <v>18.5</v>
      </c>
      <c r="M1369" s="675">
        <v>16.8</v>
      </c>
      <c r="N1369" s="671">
        <f>IF(M1369-P1369&gt;0,M1369-P1369,0)</f>
        <v>10.100000000000001</v>
      </c>
      <c r="O1369" s="671">
        <f>O1368-K1369/(PI()*(U1363/2000)^2)</f>
        <v>3.3857878947741638</v>
      </c>
      <c r="P1369" s="373">
        <v>6.7</v>
      </c>
      <c r="Q1369" s="673">
        <f>ABS(O1369-P1369)</f>
        <v>3.3142121052258364</v>
      </c>
      <c r="R1369" s="375"/>
      <c r="S1369" s="366"/>
      <c r="T1369" s="376"/>
      <c r="U1369" s="376"/>
      <c r="V1369" s="366"/>
      <c r="W1369" s="366"/>
    </row>
    <row r="1370" spans="1:23">
      <c r="A1370" s="1410"/>
      <c r="B1370" s="1413"/>
      <c r="C1370" s="845" t="s">
        <v>988</v>
      </c>
      <c r="D1370" s="875" t="str">
        <f>B1365&amp;C1370</f>
        <v>A152f</v>
      </c>
      <c r="E1370" s="367">
        <v>5</v>
      </c>
      <c r="F1370" s="669"/>
      <c r="G1370" s="369"/>
      <c r="H1370" s="368"/>
      <c r="I1370" s="369"/>
      <c r="J1370" s="368"/>
      <c r="K1370" s="669"/>
      <c r="L1370" s="370"/>
      <c r="M1370" s="371"/>
      <c r="N1370" s="671"/>
      <c r="O1370" s="671"/>
      <c r="P1370" s="373"/>
      <c r="Q1370" s="673"/>
      <c r="R1370" s="377"/>
      <c r="S1370" s="366" t="s">
        <v>190</v>
      </c>
      <c r="T1370" s="376"/>
      <c r="U1370" s="376"/>
      <c r="V1370" s="366"/>
      <c r="W1370" s="366"/>
    </row>
    <row r="1371" spans="1:23">
      <c r="A1371" s="1410"/>
      <c r="B1371" s="1413"/>
      <c r="C1371" s="845" t="s">
        <v>989</v>
      </c>
      <c r="D1371" s="875" t="str">
        <f>B1365&amp;C1371</f>
        <v>A152g</v>
      </c>
      <c r="E1371" s="367">
        <v>6</v>
      </c>
      <c r="F1371" s="669"/>
      <c r="G1371" s="369"/>
      <c r="H1371" s="368"/>
      <c r="I1371" s="369"/>
      <c r="J1371" s="368"/>
      <c r="K1371" s="669"/>
      <c r="L1371" s="370"/>
      <c r="M1371" s="371"/>
      <c r="N1371" s="671"/>
      <c r="O1371" s="671"/>
      <c r="P1371" s="373"/>
      <c r="Q1371" s="673"/>
      <c r="R1371" s="375"/>
      <c r="S1371" s="366" t="s">
        <v>190</v>
      </c>
      <c r="T1371" s="366"/>
      <c r="U1371" s="366"/>
      <c r="V1371" s="366"/>
      <c r="W1371" s="366"/>
    </row>
    <row r="1372" spans="1:23">
      <c r="A1372" s="1410"/>
      <c r="B1372" s="1413"/>
      <c r="C1372" s="845" t="s">
        <v>990</v>
      </c>
      <c r="D1372" s="875" t="str">
        <f>B1365&amp;C1372</f>
        <v>A152h</v>
      </c>
      <c r="E1372" s="367">
        <v>7</v>
      </c>
      <c r="F1372" s="669"/>
      <c r="G1372" s="368"/>
      <c r="H1372" s="368"/>
      <c r="I1372" s="368"/>
      <c r="J1372" s="368"/>
      <c r="K1372" s="669"/>
      <c r="L1372" s="370"/>
      <c r="M1372" s="371"/>
      <c r="N1372" s="671"/>
      <c r="O1372" s="671"/>
      <c r="P1372" s="373"/>
      <c r="Q1372" s="673"/>
      <c r="R1372" s="377"/>
      <c r="S1372" s="366" t="s">
        <v>190</v>
      </c>
      <c r="T1372" s="366"/>
      <c r="U1372" s="366"/>
      <c r="V1372" s="366"/>
      <c r="W1372" s="366"/>
    </row>
    <row r="1373" spans="1:23">
      <c r="A1373" s="1410"/>
      <c r="B1373" s="1413"/>
      <c r="C1373" s="845" t="s">
        <v>991</v>
      </c>
      <c r="D1373" s="875" t="str">
        <f>B1365&amp;C1373</f>
        <v>A152i</v>
      </c>
      <c r="E1373" s="367">
        <v>8</v>
      </c>
      <c r="F1373" s="669"/>
      <c r="G1373" s="368"/>
      <c r="H1373" s="368"/>
      <c r="I1373" s="368"/>
      <c r="J1373" s="368"/>
      <c r="K1373" s="370"/>
      <c r="L1373" s="370"/>
      <c r="M1373" s="371"/>
      <c r="N1373" s="671"/>
      <c r="O1373" s="671"/>
      <c r="P1373" s="373"/>
      <c r="Q1373" s="673"/>
      <c r="R1373" s="378"/>
      <c r="S1373" s="366"/>
      <c r="T1373" s="366"/>
      <c r="U1373" s="366"/>
      <c r="V1373" s="366"/>
      <c r="W1373" s="366"/>
    </row>
    <row r="1374" spans="1:23">
      <c r="A1374" s="1410"/>
      <c r="B1374" s="1413"/>
      <c r="C1374" s="845" t="s">
        <v>992</v>
      </c>
      <c r="D1374" s="875" t="str">
        <f>B1365&amp;C1374</f>
        <v>A152k</v>
      </c>
      <c r="E1374" s="367">
        <v>9</v>
      </c>
      <c r="F1374" s="370"/>
      <c r="G1374" s="368"/>
      <c r="H1374" s="368"/>
      <c r="I1374" s="368"/>
      <c r="J1374" s="368"/>
      <c r="K1374" s="370"/>
      <c r="L1374" s="370"/>
      <c r="M1374" s="371"/>
      <c r="N1374" s="372"/>
      <c r="O1374" s="372"/>
      <c r="P1374" s="373"/>
      <c r="Q1374" s="374"/>
      <c r="R1374" s="378"/>
      <c r="S1374" s="379"/>
      <c r="T1374" s="366"/>
      <c r="U1374" s="366"/>
      <c r="V1374" s="366"/>
      <c r="W1374" s="366"/>
    </row>
    <row r="1375" spans="1:23">
      <c r="A1375" s="1410"/>
      <c r="B1375" s="1413"/>
      <c r="C1375" s="845" t="s">
        <v>993</v>
      </c>
      <c r="D1375" s="875" t="str">
        <f>B1365&amp;C1375</f>
        <v>A152l</v>
      </c>
      <c r="E1375" s="367">
        <v>10</v>
      </c>
      <c r="F1375" s="370"/>
      <c r="G1375" s="368"/>
      <c r="H1375" s="368"/>
      <c r="I1375" s="368"/>
      <c r="J1375" s="368"/>
      <c r="K1375" s="370"/>
      <c r="L1375" s="370"/>
      <c r="M1375" s="370"/>
      <c r="N1375" s="372"/>
      <c r="O1375" s="372"/>
      <c r="P1375" s="373"/>
      <c r="Q1375" s="374"/>
      <c r="R1375" s="378"/>
      <c r="S1375" s="379"/>
      <c r="T1375" s="366"/>
      <c r="U1375" s="366"/>
      <c r="V1375" s="366"/>
      <c r="W1375" s="366"/>
    </row>
    <row r="1376" spans="1:23">
      <c r="A1376" s="1410"/>
      <c r="B1376" s="1413"/>
      <c r="C1376" s="845" t="s">
        <v>994</v>
      </c>
      <c r="D1376" s="875" t="str">
        <f>B1365&amp;C1376</f>
        <v>A152m</v>
      </c>
      <c r="E1376" s="367">
        <v>11</v>
      </c>
      <c r="F1376" s="370"/>
      <c r="G1376" s="368"/>
      <c r="H1376" s="368"/>
      <c r="I1376" s="368"/>
      <c r="J1376" s="368"/>
      <c r="K1376" s="370"/>
      <c r="L1376" s="370"/>
      <c r="M1376" s="370"/>
      <c r="N1376" s="372"/>
      <c r="O1376" s="372"/>
      <c r="P1376" s="380"/>
      <c r="Q1376" s="374"/>
      <c r="R1376" s="381"/>
      <c r="S1376" s="379"/>
      <c r="T1376" s="366"/>
      <c r="U1376" s="366"/>
      <c r="V1376" s="366"/>
      <c r="W1376" s="366"/>
    </row>
    <row r="1377" spans="1:23">
      <c r="A1377" s="1410"/>
      <c r="B1377" s="1413"/>
      <c r="C1377" s="845" t="s">
        <v>995</v>
      </c>
      <c r="D1377" s="875" t="str">
        <f>B1365&amp;C1377</f>
        <v>A152n</v>
      </c>
      <c r="E1377" s="367">
        <v>12</v>
      </c>
      <c r="F1377" s="370"/>
      <c r="G1377" s="368"/>
      <c r="H1377" s="368"/>
      <c r="I1377" s="368"/>
      <c r="J1377" s="368"/>
      <c r="K1377" s="370"/>
      <c r="L1377" s="370"/>
      <c r="M1377" s="370"/>
      <c r="N1377" s="372"/>
      <c r="O1377" s="372"/>
      <c r="P1377" s="380"/>
      <c r="Q1377" s="374"/>
      <c r="R1377" s="381"/>
      <c r="S1377" s="361"/>
      <c r="T1377" s="361"/>
      <c r="U1377" s="361"/>
      <c r="V1377" s="366"/>
      <c r="W1377" s="366"/>
    </row>
    <row r="1378" spans="1:23">
      <c r="A1378" s="1410"/>
      <c r="B1378" s="1413"/>
      <c r="C1378" s="845" t="s">
        <v>471</v>
      </c>
      <c r="D1378" s="875" t="str">
        <f>B1365&amp;C1378</f>
        <v>A152x</v>
      </c>
      <c r="E1378" s="367">
        <v>13</v>
      </c>
      <c r="F1378" s="370"/>
      <c r="G1378" s="368"/>
      <c r="H1378" s="368"/>
      <c r="I1378" s="368"/>
      <c r="J1378" s="368"/>
      <c r="K1378" s="370"/>
      <c r="L1378" s="370"/>
      <c r="M1378" s="370"/>
      <c r="N1378" s="382"/>
      <c r="O1378" s="372"/>
      <c r="P1378" s="380"/>
      <c r="Q1378" s="381"/>
      <c r="R1378" s="381"/>
      <c r="S1378" s="361"/>
      <c r="T1378" s="361"/>
      <c r="U1378" s="361"/>
      <c r="V1378" s="366"/>
      <c r="W1378" s="366"/>
    </row>
    <row r="1379" spans="1:23">
      <c r="A1379" s="1410"/>
      <c r="B1379" s="1413"/>
      <c r="C1379" s="845" t="s">
        <v>732</v>
      </c>
      <c r="D1379" s="875" t="str">
        <f>B1365&amp;C1379</f>
        <v>A152y</v>
      </c>
      <c r="E1379" s="367">
        <v>14</v>
      </c>
      <c r="F1379" s="370"/>
      <c r="G1379" s="368"/>
      <c r="H1379" s="368"/>
      <c r="I1379" s="368"/>
      <c r="J1379" s="368"/>
      <c r="K1379" s="370"/>
      <c r="L1379" s="370"/>
      <c r="M1379" s="370"/>
      <c r="N1379" s="382"/>
      <c r="O1379" s="372"/>
      <c r="P1379" s="380"/>
      <c r="Q1379" s="381"/>
      <c r="R1379" s="381"/>
      <c r="S1379" s="361"/>
      <c r="T1379" s="361"/>
      <c r="U1379" s="362"/>
      <c r="V1379" s="366"/>
      <c r="W1379" s="366"/>
    </row>
    <row r="1380" spans="1:23">
      <c r="A1380" s="1411"/>
      <c r="B1380" s="1414"/>
      <c r="C1380" s="846" t="s">
        <v>996</v>
      </c>
      <c r="D1380" s="876" t="str">
        <f>B1365&amp;C1380</f>
        <v>A152z</v>
      </c>
      <c r="E1380" s="847">
        <v>15</v>
      </c>
      <c r="F1380" s="370"/>
      <c r="G1380" s="368"/>
      <c r="H1380" s="368"/>
      <c r="I1380" s="368"/>
      <c r="J1380" s="368"/>
      <c r="K1380" s="370"/>
      <c r="L1380" s="370"/>
      <c r="M1380" s="370"/>
      <c r="N1380" s="850"/>
      <c r="O1380" s="851"/>
      <c r="P1380" s="380"/>
      <c r="Q1380" s="852"/>
      <c r="R1380" s="383"/>
      <c r="S1380" s="361"/>
      <c r="T1380" s="832"/>
      <c r="U1380" s="830"/>
      <c r="V1380" s="366"/>
      <c r="W1380" s="366"/>
    </row>
    <row r="1381" spans="1:23">
      <c r="A1381" s="1400" t="s">
        <v>939</v>
      </c>
      <c r="B1381" s="1400"/>
      <c r="C1381" s="827"/>
      <c r="D1381" s="871"/>
      <c r="E1381" s="1400" t="s">
        <v>177</v>
      </c>
      <c r="F1381" s="1400" t="s">
        <v>18</v>
      </c>
      <c r="G1381" s="1389" t="s">
        <v>19</v>
      </c>
      <c r="H1381" s="1390"/>
      <c r="I1381" s="1389" t="s">
        <v>22</v>
      </c>
      <c r="J1381" s="1390"/>
      <c r="K1381" s="1393" t="s">
        <v>26</v>
      </c>
      <c r="L1381" s="1390"/>
      <c r="M1381" s="1389" t="s">
        <v>392</v>
      </c>
      <c r="N1381" s="1390"/>
      <c r="O1381" s="1389" t="s">
        <v>28</v>
      </c>
      <c r="P1381" s="1393"/>
      <c r="Q1381" s="1390"/>
      <c r="R1381" s="1400" t="s">
        <v>36</v>
      </c>
      <c r="S1381" s="361"/>
      <c r="T1381" s="361">
        <f>MAX(J1385:J1399)-MIN(I1385:I1399)</f>
        <v>5.9027777777777679E-2</v>
      </c>
      <c r="U1381" s="361"/>
      <c r="V1381" s="853" t="str">
        <f t="shared" ref="V1381" si="146">B1385</f>
        <v>A53</v>
      </c>
      <c r="W1381" s="361">
        <f t="shared" ref="W1381" si="147">COUNTIF(K1386:K1400,"&gt;0")</f>
        <v>3</v>
      </c>
    </row>
    <row r="1382" spans="1:23">
      <c r="A1382" s="1401"/>
      <c r="B1382" s="1401"/>
      <c r="C1382" s="828"/>
      <c r="D1382" s="872"/>
      <c r="E1382" s="1401"/>
      <c r="F1382" s="1401"/>
      <c r="G1382" s="1391"/>
      <c r="H1382" s="1392"/>
      <c r="I1382" s="1391"/>
      <c r="J1382" s="1392"/>
      <c r="K1382" s="1394"/>
      <c r="L1382" s="1392"/>
      <c r="M1382" s="1391"/>
      <c r="N1382" s="1392"/>
      <c r="O1382" s="1391"/>
      <c r="P1382" s="1394"/>
      <c r="Q1382" s="1392"/>
      <c r="R1382" s="1401"/>
      <c r="S1382" s="361"/>
      <c r="T1382" s="361"/>
      <c r="U1382" s="361"/>
      <c r="V1382" s="361"/>
      <c r="W1382" s="361"/>
    </row>
    <row r="1383" spans="1:23">
      <c r="A1383" s="1401"/>
      <c r="B1383" s="1401"/>
      <c r="C1383" s="828"/>
      <c r="D1383" s="872"/>
      <c r="E1383" s="1401"/>
      <c r="F1383" s="1401"/>
      <c r="G1383" s="1400" t="s">
        <v>20</v>
      </c>
      <c r="H1383" s="1400" t="s">
        <v>21</v>
      </c>
      <c r="I1383" s="1400" t="s">
        <v>361</v>
      </c>
      <c r="J1383" s="1400" t="s">
        <v>353</v>
      </c>
      <c r="K1383" s="1400" t="s">
        <v>23</v>
      </c>
      <c r="L1383" s="1400" t="s">
        <v>24</v>
      </c>
      <c r="M1383" s="1400" t="s">
        <v>27</v>
      </c>
      <c r="N1383" s="1400" t="s">
        <v>178</v>
      </c>
      <c r="O1383" s="1400" t="s">
        <v>1</v>
      </c>
      <c r="P1383" s="1400" t="s">
        <v>29</v>
      </c>
      <c r="Q1383" s="1400" t="s">
        <v>33</v>
      </c>
      <c r="R1383" s="1401"/>
      <c r="S1383" s="361"/>
      <c r="T1383" s="361" t="s">
        <v>39</v>
      </c>
      <c r="U1383" s="362">
        <f>VLOOKUP(B1385,'Thong tin'!$A:$M,13,0)</f>
        <v>1200</v>
      </c>
      <c r="V1383" s="361"/>
      <c r="W1383" s="361"/>
    </row>
    <row r="1384" spans="1:23">
      <c r="A1384" s="1402"/>
      <c r="B1384" s="1402"/>
      <c r="C1384" s="829"/>
      <c r="D1384" s="873"/>
      <c r="E1384" s="1402"/>
      <c r="F1384" s="1402"/>
      <c r="G1384" s="1402"/>
      <c r="H1384" s="1402"/>
      <c r="I1384" s="1402"/>
      <c r="J1384" s="1402"/>
      <c r="K1384" s="1402"/>
      <c r="L1384" s="1402"/>
      <c r="M1384" s="1402"/>
      <c r="N1384" s="1402"/>
      <c r="O1384" s="1402"/>
      <c r="P1384" s="1402"/>
      <c r="Q1384" s="1402"/>
      <c r="R1384" s="1402"/>
      <c r="S1384" s="361"/>
      <c r="T1384" s="1399" t="s">
        <v>393</v>
      </c>
      <c r="U1384" s="1397">
        <f>VLOOKUP(B1385,DT.NK!$B:$AZ,45,0)</f>
        <v>24.5</v>
      </c>
      <c r="V1384" s="361"/>
      <c r="W1384" s="361"/>
    </row>
    <row r="1385" spans="1:23">
      <c r="A1385" s="1409">
        <f>A1365+1</f>
        <v>70</v>
      </c>
      <c r="B1385" s="1412" t="s">
        <v>525</v>
      </c>
      <c r="C1385" s="844" t="s">
        <v>983</v>
      </c>
      <c r="D1385" s="874" t="str">
        <f>B1385&amp;C1385</f>
        <v>A53a</v>
      </c>
      <c r="E1385" s="363"/>
      <c r="F1385" s="364"/>
      <c r="G1385" s="364"/>
      <c r="H1385" s="364"/>
      <c r="I1385" s="364"/>
      <c r="J1385" s="364"/>
      <c r="K1385" s="364"/>
      <c r="L1385" s="364"/>
      <c r="M1385" s="674"/>
      <c r="N1385" s="670"/>
      <c r="O1385" s="670">
        <f>U1384</f>
        <v>24.5</v>
      </c>
      <c r="P1385" s="670">
        <f>O1385</f>
        <v>24.5</v>
      </c>
      <c r="Q1385" s="670">
        <v>0</v>
      </c>
      <c r="R1385" s="365"/>
      <c r="S1385" s="366"/>
      <c r="T1385" s="1399"/>
      <c r="U1385" s="1398"/>
      <c r="V1385" s="361"/>
      <c r="W1385" s="361"/>
    </row>
    <row r="1386" spans="1:23">
      <c r="A1386" s="1410"/>
      <c r="B1386" s="1413"/>
      <c r="C1386" s="845" t="s">
        <v>984</v>
      </c>
      <c r="D1386" s="875" t="str">
        <f>B1385&amp;C1386</f>
        <v>A53b</v>
      </c>
      <c r="E1386" s="367">
        <v>1</v>
      </c>
      <c r="F1386" s="669" t="s">
        <v>1010</v>
      </c>
      <c r="G1386" s="369">
        <v>0.72152777777777777</v>
      </c>
      <c r="H1386" s="368">
        <v>0.76388888888888884</v>
      </c>
      <c r="I1386" s="369">
        <v>0.76736111111111116</v>
      </c>
      <c r="J1386" s="368">
        <v>0.7729166666666667</v>
      </c>
      <c r="K1386" s="669">
        <v>10</v>
      </c>
      <c r="L1386" s="669">
        <v>19</v>
      </c>
      <c r="M1386" s="675">
        <v>22.5</v>
      </c>
      <c r="N1386" s="671">
        <f>IF(M1386-P1386&gt;0,M1386-P1386,0)</f>
        <v>6.1999999999999993</v>
      </c>
      <c r="O1386" s="671">
        <f>O1385-K1386/(PI()*(U1383/2000)^2)</f>
        <v>15.658058717116926</v>
      </c>
      <c r="P1386" s="672">
        <v>16.3</v>
      </c>
      <c r="Q1386" s="673">
        <f>ABS(O1386-P1386)</f>
        <v>0.64194128288307439</v>
      </c>
      <c r="R1386" s="375" t="s">
        <v>188</v>
      </c>
      <c r="S1386" s="366"/>
      <c r="T1386" s="376"/>
      <c r="U1386" s="376"/>
      <c r="V1386" s="366"/>
      <c r="W1386" s="366"/>
    </row>
    <row r="1387" spans="1:23">
      <c r="A1387" s="1410"/>
      <c r="B1387" s="1413"/>
      <c r="C1387" s="845" t="s">
        <v>985</v>
      </c>
      <c r="D1387" s="875" t="str">
        <f>B1385&amp;C1387</f>
        <v>A53c</v>
      </c>
      <c r="E1387" s="367">
        <v>2</v>
      </c>
      <c r="F1387" s="669" t="s">
        <v>1007</v>
      </c>
      <c r="G1387" s="369">
        <v>0.7319444444444444</v>
      </c>
      <c r="H1387" s="368">
        <v>0.77777777777777779</v>
      </c>
      <c r="I1387" s="369">
        <v>0.78125</v>
      </c>
      <c r="J1387" s="368">
        <v>0.78819444444444453</v>
      </c>
      <c r="K1387" s="669">
        <v>10.5</v>
      </c>
      <c r="L1387" s="669">
        <v>19.5</v>
      </c>
      <c r="M1387" s="675">
        <v>13.05</v>
      </c>
      <c r="N1387" s="671">
        <f>IF(M1387-P1387&gt;0,M1387-P1387,0)</f>
        <v>3.5500000000000007</v>
      </c>
      <c r="O1387" s="671">
        <f>O1386-K1387/(PI()*(U1383/2000)^2)</f>
        <v>6.3740203700896991</v>
      </c>
      <c r="P1387" s="672">
        <v>9.5</v>
      </c>
      <c r="Q1387" s="673">
        <f>ABS(O1387-P1387)</f>
        <v>3.1259796299103009</v>
      </c>
      <c r="R1387" s="375" t="s">
        <v>188</v>
      </c>
      <c r="S1387" s="366"/>
      <c r="T1387" s="376"/>
      <c r="U1387" s="376"/>
      <c r="V1387" s="366"/>
      <c r="W1387" s="366"/>
    </row>
    <row r="1388" spans="1:23">
      <c r="A1388" s="1410"/>
      <c r="B1388" s="1413"/>
      <c r="C1388" s="845" t="s">
        <v>986</v>
      </c>
      <c r="D1388" s="875" t="str">
        <f>B1385&amp;C1388</f>
        <v>A53d</v>
      </c>
      <c r="E1388" s="367">
        <v>3</v>
      </c>
      <c r="F1388" s="669" t="s">
        <v>1008</v>
      </c>
      <c r="G1388" s="369">
        <v>0.80555555555555547</v>
      </c>
      <c r="H1388" s="368">
        <v>0.81944444444444453</v>
      </c>
      <c r="I1388" s="369">
        <v>0.82291666666666663</v>
      </c>
      <c r="J1388" s="368">
        <v>0.82638888888888884</v>
      </c>
      <c r="K1388" s="669">
        <v>3</v>
      </c>
      <c r="L1388" s="669">
        <v>18.5</v>
      </c>
      <c r="M1388" s="675">
        <v>13.05</v>
      </c>
      <c r="N1388" s="671">
        <f>IF(M1388-P1388&gt;0,M1388-P1388,0)</f>
        <v>6.2500000000000009</v>
      </c>
      <c r="O1388" s="671">
        <f>O1387-K1388/(PI()*(U1383/2000)^2)</f>
        <v>3.7214379852247768</v>
      </c>
      <c r="P1388" s="672">
        <v>6.8</v>
      </c>
      <c r="Q1388" s="673">
        <f>ABS(O1388-P1388)</f>
        <v>3.0785620147752231</v>
      </c>
      <c r="R1388" s="375" t="s">
        <v>188</v>
      </c>
      <c r="S1388" s="366"/>
      <c r="T1388" s="376"/>
      <c r="U1388" s="376"/>
      <c r="V1388" s="366"/>
      <c r="W1388" s="366"/>
    </row>
    <row r="1389" spans="1:23">
      <c r="A1389" s="1410"/>
      <c r="B1389" s="1413"/>
      <c r="C1389" s="845" t="s">
        <v>987</v>
      </c>
      <c r="D1389" s="875" t="str">
        <f>B1385&amp;C1389</f>
        <v>A53e</v>
      </c>
      <c r="E1389" s="367">
        <v>4</v>
      </c>
      <c r="F1389" s="669"/>
      <c r="G1389" s="369"/>
      <c r="H1389" s="368"/>
      <c r="I1389" s="369"/>
      <c r="J1389" s="368"/>
      <c r="K1389" s="669"/>
      <c r="L1389" s="370"/>
      <c r="M1389" s="675"/>
      <c r="N1389" s="671"/>
      <c r="O1389" s="671"/>
      <c r="P1389" s="373"/>
      <c r="Q1389" s="673"/>
      <c r="R1389" s="375"/>
      <c r="S1389" s="366"/>
      <c r="T1389" s="376"/>
      <c r="U1389" s="376"/>
      <c r="V1389" s="366"/>
      <c r="W1389" s="366"/>
    </row>
    <row r="1390" spans="1:23">
      <c r="A1390" s="1410"/>
      <c r="B1390" s="1413"/>
      <c r="C1390" s="845" t="s">
        <v>988</v>
      </c>
      <c r="D1390" s="875" t="str">
        <f>B1385&amp;C1390</f>
        <v>A53f</v>
      </c>
      <c r="E1390" s="367">
        <v>5</v>
      </c>
      <c r="F1390" s="669"/>
      <c r="G1390" s="369"/>
      <c r="H1390" s="368"/>
      <c r="I1390" s="369"/>
      <c r="J1390" s="368"/>
      <c r="K1390" s="669"/>
      <c r="L1390" s="370"/>
      <c r="M1390" s="371"/>
      <c r="N1390" s="671"/>
      <c r="O1390" s="671"/>
      <c r="P1390" s="373"/>
      <c r="Q1390" s="673"/>
      <c r="R1390" s="377"/>
      <c r="S1390" s="366" t="s">
        <v>190</v>
      </c>
      <c r="T1390" s="376"/>
      <c r="U1390" s="376"/>
      <c r="V1390" s="366"/>
      <c r="W1390" s="366"/>
    </row>
    <row r="1391" spans="1:23">
      <c r="A1391" s="1410"/>
      <c r="B1391" s="1413"/>
      <c r="C1391" s="845" t="s">
        <v>989</v>
      </c>
      <c r="D1391" s="875" t="str">
        <f>B1385&amp;C1391</f>
        <v>A53g</v>
      </c>
      <c r="E1391" s="367">
        <v>6</v>
      </c>
      <c r="F1391" s="669"/>
      <c r="G1391" s="369"/>
      <c r="H1391" s="368"/>
      <c r="I1391" s="369"/>
      <c r="J1391" s="368"/>
      <c r="K1391" s="669"/>
      <c r="L1391" s="370"/>
      <c r="M1391" s="371"/>
      <c r="N1391" s="671"/>
      <c r="O1391" s="671"/>
      <c r="P1391" s="373"/>
      <c r="Q1391" s="673"/>
      <c r="R1391" s="375"/>
      <c r="S1391" s="366" t="s">
        <v>190</v>
      </c>
      <c r="T1391" s="366"/>
      <c r="U1391" s="366"/>
      <c r="V1391" s="366"/>
      <c r="W1391" s="366"/>
    </row>
    <row r="1392" spans="1:23">
      <c r="A1392" s="1410"/>
      <c r="B1392" s="1413"/>
      <c r="C1392" s="845" t="s">
        <v>990</v>
      </c>
      <c r="D1392" s="875" t="str">
        <f>B1385&amp;C1392</f>
        <v>A53h</v>
      </c>
      <c r="E1392" s="367">
        <v>7</v>
      </c>
      <c r="F1392" s="669"/>
      <c r="G1392" s="368"/>
      <c r="H1392" s="368"/>
      <c r="I1392" s="368"/>
      <c r="J1392" s="368"/>
      <c r="K1392" s="669"/>
      <c r="L1392" s="370"/>
      <c r="M1392" s="371"/>
      <c r="N1392" s="671"/>
      <c r="O1392" s="671"/>
      <c r="P1392" s="373"/>
      <c r="Q1392" s="673"/>
      <c r="R1392" s="377"/>
      <c r="S1392" s="366" t="s">
        <v>190</v>
      </c>
      <c r="T1392" s="366"/>
      <c r="U1392" s="366"/>
      <c r="V1392" s="366"/>
      <c r="W1392" s="366"/>
    </row>
    <row r="1393" spans="1:23">
      <c r="A1393" s="1410"/>
      <c r="B1393" s="1413"/>
      <c r="C1393" s="845" t="s">
        <v>991</v>
      </c>
      <c r="D1393" s="875" t="str">
        <f>B1385&amp;C1393</f>
        <v>A53i</v>
      </c>
      <c r="E1393" s="367">
        <v>8</v>
      </c>
      <c r="F1393" s="669"/>
      <c r="G1393" s="368"/>
      <c r="H1393" s="368"/>
      <c r="I1393" s="368"/>
      <c r="J1393" s="368"/>
      <c r="K1393" s="370"/>
      <c r="L1393" s="370"/>
      <c r="M1393" s="371"/>
      <c r="N1393" s="671"/>
      <c r="O1393" s="671"/>
      <c r="P1393" s="373"/>
      <c r="Q1393" s="673"/>
      <c r="R1393" s="378"/>
      <c r="S1393" s="366"/>
      <c r="T1393" s="366"/>
      <c r="U1393" s="366"/>
      <c r="V1393" s="366"/>
      <c r="W1393" s="366"/>
    </row>
    <row r="1394" spans="1:23">
      <c r="A1394" s="1410"/>
      <c r="B1394" s="1413"/>
      <c r="C1394" s="845" t="s">
        <v>992</v>
      </c>
      <c r="D1394" s="875" t="str">
        <f>B1385&amp;C1394</f>
        <v>A53k</v>
      </c>
      <c r="E1394" s="367">
        <v>9</v>
      </c>
      <c r="F1394" s="370"/>
      <c r="G1394" s="368"/>
      <c r="H1394" s="368"/>
      <c r="I1394" s="368"/>
      <c r="J1394" s="368"/>
      <c r="K1394" s="370"/>
      <c r="L1394" s="370"/>
      <c r="M1394" s="371"/>
      <c r="N1394" s="372"/>
      <c r="O1394" s="372"/>
      <c r="P1394" s="373"/>
      <c r="Q1394" s="374"/>
      <c r="R1394" s="378"/>
      <c r="S1394" s="379"/>
      <c r="T1394" s="366"/>
      <c r="U1394" s="366"/>
      <c r="V1394" s="366"/>
      <c r="W1394" s="366"/>
    </row>
    <row r="1395" spans="1:23">
      <c r="A1395" s="1410"/>
      <c r="B1395" s="1413"/>
      <c r="C1395" s="845" t="s">
        <v>993</v>
      </c>
      <c r="D1395" s="875" t="str">
        <f>B1385&amp;C1395</f>
        <v>A53l</v>
      </c>
      <c r="E1395" s="367">
        <v>10</v>
      </c>
      <c r="F1395" s="370"/>
      <c r="G1395" s="368"/>
      <c r="H1395" s="368"/>
      <c r="I1395" s="368"/>
      <c r="J1395" s="368"/>
      <c r="K1395" s="370"/>
      <c r="L1395" s="370"/>
      <c r="M1395" s="370"/>
      <c r="N1395" s="372"/>
      <c r="O1395" s="372"/>
      <c r="P1395" s="373"/>
      <c r="Q1395" s="374"/>
      <c r="R1395" s="378"/>
      <c r="S1395" s="379"/>
      <c r="T1395" s="366"/>
      <c r="U1395" s="366"/>
      <c r="V1395" s="366"/>
      <c r="W1395" s="366"/>
    </row>
    <row r="1396" spans="1:23">
      <c r="A1396" s="1410"/>
      <c r="B1396" s="1413"/>
      <c r="C1396" s="845" t="s">
        <v>994</v>
      </c>
      <c r="D1396" s="875" t="str">
        <f>B1385&amp;C1396</f>
        <v>A53m</v>
      </c>
      <c r="E1396" s="367">
        <v>11</v>
      </c>
      <c r="F1396" s="370"/>
      <c r="G1396" s="368"/>
      <c r="H1396" s="368"/>
      <c r="I1396" s="368"/>
      <c r="J1396" s="368"/>
      <c r="K1396" s="370"/>
      <c r="L1396" s="370"/>
      <c r="M1396" s="370"/>
      <c r="N1396" s="372"/>
      <c r="O1396" s="372"/>
      <c r="P1396" s="380"/>
      <c r="Q1396" s="374"/>
      <c r="R1396" s="381"/>
      <c r="S1396" s="379"/>
      <c r="T1396" s="366"/>
      <c r="U1396" s="366"/>
      <c r="V1396" s="366"/>
      <c r="W1396" s="366"/>
    </row>
    <row r="1397" spans="1:23">
      <c r="A1397" s="1410"/>
      <c r="B1397" s="1413"/>
      <c r="C1397" s="845" t="s">
        <v>995</v>
      </c>
      <c r="D1397" s="875" t="str">
        <f>B1385&amp;C1397</f>
        <v>A53n</v>
      </c>
      <c r="E1397" s="367">
        <v>12</v>
      </c>
      <c r="F1397" s="370"/>
      <c r="G1397" s="368"/>
      <c r="H1397" s="368"/>
      <c r="I1397" s="368"/>
      <c r="J1397" s="368"/>
      <c r="K1397" s="370"/>
      <c r="L1397" s="370"/>
      <c r="M1397" s="370"/>
      <c r="N1397" s="372"/>
      <c r="O1397" s="372"/>
      <c r="P1397" s="380"/>
      <c r="Q1397" s="374"/>
      <c r="R1397" s="381"/>
      <c r="S1397" s="361"/>
      <c r="T1397" s="361"/>
      <c r="U1397" s="361"/>
      <c r="V1397" s="366"/>
      <c r="W1397" s="366"/>
    </row>
    <row r="1398" spans="1:23">
      <c r="A1398" s="1410"/>
      <c r="B1398" s="1413"/>
      <c r="C1398" s="845" t="s">
        <v>471</v>
      </c>
      <c r="D1398" s="875" t="str">
        <f>B1385&amp;C1398</f>
        <v>A53x</v>
      </c>
      <c r="E1398" s="367">
        <v>13</v>
      </c>
      <c r="F1398" s="370"/>
      <c r="G1398" s="368"/>
      <c r="H1398" s="368"/>
      <c r="I1398" s="368"/>
      <c r="J1398" s="368"/>
      <c r="K1398" s="370"/>
      <c r="L1398" s="370"/>
      <c r="M1398" s="370"/>
      <c r="N1398" s="382"/>
      <c r="O1398" s="372"/>
      <c r="P1398" s="380"/>
      <c r="Q1398" s="381"/>
      <c r="R1398" s="381"/>
      <c r="S1398" s="361"/>
      <c r="T1398" s="361"/>
      <c r="U1398" s="361"/>
      <c r="V1398" s="366"/>
      <c r="W1398" s="366"/>
    </row>
    <row r="1399" spans="1:23">
      <c r="A1399" s="1410"/>
      <c r="B1399" s="1413"/>
      <c r="C1399" s="845" t="s">
        <v>732</v>
      </c>
      <c r="D1399" s="875" t="str">
        <f>B1385&amp;C1399</f>
        <v>A53y</v>
      </c>
      <c r="E1399" s="367">
        <v>14</v>
      </c>
      <c r="F1399" s="370"/>
      <c r="G1399" s="368"/>
      <c r="H1399" s="368"/>
      <c r="I1399" s="368"/>
      <c r="J1399" s="368"/>
      <c r="K1399" s="370"/>
      <c r="L1399" s="370"/>
      <c r="M1399" s="370"/>
      <c r="N1399" s="382"/>
      <c r="O1399" s="372"/>
      <c r="P1399" s="380"/>
      <c r="Q1399" s="381"/>
      <c r="R1399" s="381"/>
      <c r="S1399" s="361"/>
      <c r="T1399" s="361"/>
      <c r="U1399" s="362"/>
      <c r="V1399" s="366"/>
      <c r="W1399" s="366"/>
    </row>
    <row r="1400" spans="1:23">
      <c r="A1400" s="1411"/>
      <c r="B1400" s="1414"/>
      <c r="C1400" s="846" t="s">
        <v>996</v>
      </c>
      <c r="D1400" s="876" t="str">
        <f>B1385&amp;C1400</f>
        <v>A53z</v>
      </c>
      <c r="E1400" s="847">
        <v>15</v>
      </c>
      <c r="F1400" s="370"/>
      <c r="G1400" s="368"/>
      <c r="H1400" s="368"/>
      <c r="I1400" s="368"/>
      <c r="J1400" s="368"/>
      <c r="K1400" s="370"/>
      <c r="L1400" s="370"/>
      <c r="M1400" s="370"/>
      <c r="N1400" s="850"/>
      <c r="O1400" s="851"/>
      <c r="P1400" s="380"/>
      <c r="Q1400" s="852"/>
      <c r="R1400" s="383"/>
      <c r="S1400" s="361"/>
      <c r="T1400" s="832"/>
      <c r="U1400" s="830"/>
      <c r="V1400" s="366"/>
      <c r="W1400" s="366"/>
    </row>
    <row r="1401" spans="1:23">
      <c r="A1401" s="1400" t="s">
        <v>939</v>
      </c>
      <c r="B1401" s="1400"/>
      <c r="C1401" s="827"/>
      <c r="D1401" s="871"/>
      <c r="E1401" s="1400" t="s">
        <v>177</v>
      </c>
      <c r="F1401" s="1400" t="s">
        <v>18</v>
      </c>
      <c r="G1401" s="1389" t="s">
        <v>19</v>
      </c>
      <c r="H1401" s="1390"/>
      <c r="I1401" s="1389" t="s">
        <v>22</v>
      </c>
      <c r="J1401" s="1390"/>
      <c r="K1401" s="1393" t="s">
        <v>26</v>
      </c>
      <c r="L1401" s="1390"/>
      <c r="M1401" s="1389" t="s">
        <v>392</v>
      </c>
      <c r="N1401" s="1390"/>
      <c r="O1401" s="1389" t="s">
        <v>28</v>
      </c>
      <c r="P1401" s="1393"/>
      <c r="Q1401" s="1390"/>
      <c r="R1401" s="1400" t="s">
        <v>36</v>
      </c>
      <c r="S1401" s="361"/>
      <c r="T1401" s="361">
        <f>MAX(J1405:J1419)-MIN(I1405:I1419)</f>
        <v>4.513888888888884E-2</v>
      </c>
      <c r="U1401" s="361"/>
      <c r="V1401" s="853" t="str">
        <f t="shared" ref="V1401" si="148">B1405</f>
        <v>A48</v>
      </c>
      <c r="W1401" s="361">
        <f t="shared" ref="W1401" si="149">COUNTIF(K1406:K1420,"&gt;0")</f>
        <v>4</v>
      </c>
    </row>
    <row r="1402" spans="1:23">
      <c r="A1402" s="1401"/>
      <c r="B1402" s="1401"/>
      <c r="C1402" s="828"/>
      <c r="D1402" s="872"/>
      <c r="E1402" s="1401"/>
      <c r="F1402" s="1401"/>
      <c r="G1402" s="1391"/>
      <c r="H1402" s="1392"/>
      <c r="I1402" s="1391"/>
      <c r="J1402" s="1392"/>
      <c r="K1402" s="1394"/>
      <c r="L1402" s="1392"/>
      <c r="M1402" s="1391"/>
      <c r="N1402" s="1392"/>
      <c r="O1402" s="1391"/>
      <c r="P1402" s="1394"/>
      <c r="Q1402" s="1392"/>
      <c r="R1402" s="1401"/>
      <c r="S1402" s="361"/>
      <c r="T1402" s="361"/>
      <c r="U1402" s="361"/>
      <c r="V1402" s="361"/>
      <c r="W1402" s="361"/>
    </row>
    <row r="1403" spans="1:23">
      <c r="A1403" s="1401"/>
      <c r="B1403" s="1401"/>
      <c r="C1403" s="828"/>
      <c r="D1403" s="872"/>
      <c r="E1403" s="1401"/>
      <c r="F1403" s="1401"/>
      <c r="G1403" s="1400" t="s">
        <v>20</v>
      </c>
      <c r="H1403" s="1400" t="s">
        <v>21</v>
      </c>
      <c r="I1403" s="1400" t="s">
        <v>361</v>
      </c>
      <c r="J1403" s="1400" t="s">
        <v>353</v>
      </c>
      <c r="K1403" s="1400" t="s">
        <v>23</v>
      </c>
      <c r="L1403" s="1400" t="s">
        <v>24</v>
      </c>
      <c r="M1403" s="1400" t="s">
        <v>27</v>
      </c>
      <c r="N1403" s="1400" t="s">
        <v>178</v>
      </c>
      <c r="O1403" s="1400" t="s">
        <v>1</v>
      </c>
      <c r="P1403" s="1400" t="s">
        <v>29</v>
      </c>
      <c r="Q1403" s="1400" t="s">
        <v>33</v>
      </c>
      <c r="R1403" s="1401"/>
      <c r="S1403" s="361"/>
      <c r="T1403" s="361" t="s">
        <v>39</v>
      </c>
      <c r="U1403" s="362">
        <f>VLOOKUP(B1405,'Thong tin'!$A:$M,13,0)</f>
        <v>1200</v>
      </c>
      <c r="V1403" s="361"/>
      <c r="W1403" s="361"/>
    </row>
    <row r="1404" spans="1:23">
      <c r="A1404" s="1402"/>
      <c r="B1404" s="1402"/>
      <c r="C1404" s="829"/>
      <c r="D1404" s="873"/>
      <c r="E1404" s="1402"/>
      <c r="F1404" s="1402"/>
      <c r="G1404" s="1402"/>
      <c r="H1404" s="1402"/>
      <c r="I1404" s="1402"/>
      <c r="J1404" s="1402"/>
      <c r="K1404" s="1402"/>
      <c r="L1404" s="1402"/>
      <c r="M1404" s="1402"/>
      <c r="N1404" s="1402"/>
      <c r="O1404" s="1402"/>
      <c r="P1404" s="1402"/>
      <c r="Q1404" s="1402"/>
      <c r="R1404" s="1402"/>
      <c r="S1404" s="361"/>
      <c r="T1404" s="1399" t="s">
        <v>393</v>
      </c>
      <c r="U1404" s="1397">
        <f>VLOOKUP(B1405,DT.NK!$B:$AZ,45,0)</f>
        <v>31.75</v>
      </c>
      <c r="V1404" s="361"/>
      <c r="W1404" s="361"/>
    </row>
    <row r="1405" spans="1:23">
      <c r="A1405" s="1409">
        <f>A1385+1</f>
        <v>71</v>
      </c>
      <c r="B1405" s="1412" t="s">
        <v>500</v>
      </c>
      <c r="C1405" s="844" t="s">
        <v>983</v>
      </c>
      <c r="D1405" s="874" t="str">
        <f>B1405&amp;C1405</f>
        <v>A48a</v>
      </c>
      <c r="E1405" s="363"/>
      <c r="F1405" s="364"/>
      <c r="G1405" s="364"/>
      <c r="H1405" s="364"/>
      <c r="I1405" s="364"/>
      <c r="J1405" s="364"/>
      <c r="K1405" s="364"/>
      <c r="L1405" s="364"/>
      <c r="M1405" s="674"/>
      <c r="N1405" s="670"/>
      <c r="O1405" s="670">
        <f>U1404</f>
        <v>31.75</v>
      </c>
      <c r="P1405" s="670">
        <f>O1405</f>
        <v>31.75</v>
      </c>
      <c r="Q1405" s="670">
        <v>0</v>
      </c>
      <c r="R1405" s="365"/>
      <c r="S1405" s="366"/>
      <c r="T1405" s="1399"/>
      <c r="U1405" s="1398"/>
      <c r="V1405" s="361"/>
      <c r="W1405" s="361"/>
    </row>
    <row r="1406" spans="1:23">
      <c r="A1406" s="1410"/>
      <c r="B1406" s="1413"/>
      <c r="C1406" s="845" t="s">
        <v>984</v>
      </c>
      <c r="D1406" s="875" t="str">
        <f>B1405&amp;C1406</f>
        <v>A48b</v>
      </c>
      <c r="E1406" s="367">
        <v>1</v>
      </c>
      <c r="F1406" s="669" t="s">
        <v>1050</v>
      </c>
      <c r="G1406" s="369">
        <v>0.74444444444444446</v>
      </c>
      <c r="H1406" s="368">
        <v>0.77083333333333337</v>
      </c>
      <c r="I1406" s="369">
        <v>0.79166666666666663</v>
      </c>
      <c r="J1406" s="368">
        <v>0.79513888888888884</v>
      </c>
      <c r="K1406" s="669">
        <v>8</v>
      </c>
      <c r="L1406" s="669">
        <v>19</v>
      </c>
      <c r="M1406" s="675">
        <v>29.3</v>
      </c>
      <c r="N1406" s="671">
        <f>IF(M1406-P1406&gt;0,M1406-P1406,0)</f>
        <v>3.6999999999999993</v>
      </c>
      <c r="O1406" s="671">
        <f>O1405-K1406/(PI()*(U1403/2000)^2)</f>
        <v>24.67644697369354</v>
      </c>
      <c r="P1406" s="672">
        <v>25.6</v>
      </c>
      <c r="Q1406" s="673">
        <f>ABS(O1406-P1406)</f>
        <v>0.92355302630646108</v>
      </c>
      <c r="R1406" s="375" t="s">
        <v>188</v>
      </c>
      <c r="S1406" s="366"/>
      <c r="T1406" s="376"/>
      <c r="U1406" s="376"/>
      <c r="V1406" s="366"/>
      <c r="W1406" s="366"/>
    </row>
    <row r="1407" spans="1:23">
      <c r="A1407" s="1410"/>
      <c r="B1407" s="1413"/>
      <c r="C1407" s="845" t="s">
        <v>985</v>
      </c>
      <c r="D1407" s="875" t="str">
        <f>B1405&amp;C1407</f>
        <v>A48c</v>
      </c>
      <c r="E1407" s="367">
        <v>2</v>
      </c>
      <c r="F1407" s="669" t="s">
        <v>1066</v>
      </c>
      <c r="G1407" s="369">
        <v>0.76180555555555562</v>
      </c>
      <c r="H1407" s="368">
        <v>0.78125</v>
      </c>
      <c r="I1407" s="369">
        <v>0.79861111111111116</v>
      </c>
      <c r="J1407" s="368">
        <v>0.80208333333333337</v>
      </c>
      <c r="K1407" s="669">
        <v>8</v>
      </c>
      <c r="L1407" s="669">
        <v>20</v>
      </c>
      <c r="M1407" s="675">
        <v>26.15</v>
      </c>
      <c r="N1407" s="671">
        <f>IF(M1407-P1407&gt;0,M1407-P1407,0)</f>
        <v>7.1499999999999986</v>
      </c>
      <c r="O1407" s="671">
        <f>O1406-K1407/(PI()*(U1403/2000)^2)</f>
        <v>17.602893947387081</v>
      </c>
      <c r="P1407" s="672">
        <v>19</v>
      </c>
      <c r="Q1407" s="673">
        <f>ABS(O1407-P1407)</f>
        <v>1.3971060526129193</v>
      </c>
      <c r="R1407" s="375" t="s">
        <v>188</v>
      </c>
      <c r="S1407" s="366"/>
      <c r="T1407" s="376"/>
      <c r="U1407" s="376"/>
      <c r="V1407" s="366"/>
      <c r="W1407" s="366"/>
    </row>
    <row r="1408" spans="1:23">
      <c r="A1408" s="1410"/>
      <c r="B1408" s="1413"/>
      <c r="C1408" s="845" t="s">
        <v>986</v>
      </c>
      <c r="D1408" s="875" t="str">
        <f>B1405&amp;C1408</f>
        <v>A48d</v>
      </c>
      <c r="E1408" s="367">
        <v>3</v>
      </c>
      <c r="F1408" s="669" t="s">
        <v>1077</v>
      </c>
      <c r="G1408" s="369">
        <v>0.79652777777777783</v>
      </c>
      <c r="H1408" s="368">
        <v>0.8125</v>
      </c>
      <c r="I1408" s="369">
        <v>0.81597222222222221</v>
      </c>
      <c r="J1408" s="368">
        <v>0.81944444444444453</v>
      </c>
      <c r="K1408" s="669">
        <v>7</v>
      </c>
      <c r="L1408" s="669">
        <v>19.5</v>
      </c>
      <c r="M1408" s="675">
        <v>16.7</v>
      </c>
      <c r="N1408" s="671">
        <f>IF(M1408-P1408&gt;0,M1408-P1408,0)</f>
        <v>4.1999999999999993</v>
      </c>
      <c r="O1408" s="671">
        <f>O1407-K1408/(PI()*(U1403/2000)^2)</f>
        <v>11.413535049368928</v>
      </c>
      <c r="P1408" s="672">
        <v>12.5</v>
      </c>
      <c r="Q1408" s="673">
        <f>ABS(O1408-P1408)</f>
        <v>1.086464950631072</v>
      </c>
      <c r="R1408" s="375" t="s">
        <v>188</v>
      </c>
      <c r="S1408" s="366"/>
      <c r="T1408" s="376"/>
      <c r="U1408" s="376"/>
      <c r="V1408" s="366"/>
      <c r="W1408" s="366"/>
    </row>
    <row r="1409" spans="1:23">
      <c r="A1409" s="1410"/>
      <c r="B1409" s="1413"/>
      <c r="C1409" s="845" t="s">
        <v>987</v>
      </c>
      <c r="D1409" s="875" t="str">
        <f>B1405&amp;C1409</f>
        <v>A48e</v>
      </c>
      <c r="E1409" s="367">
        <v>4</v>
      </c>
      <c r="F1409" s="669" t="s">
        <v>1082</v>
      </c>
      <c r="G1409" s="369">
        <v>0.81388888888888899</v>
      </c>
      <c r="H1409" s="368">
        <v>0.82986111111111116</v>
      </c>
      <c r="I1409" s="369">
        <v>0.83333333333333337</v>
      </c>
      <c r="J1409" s="368">
        <v>0.83680555555555547</v>
      </c>
      <c r="K1409" s="669">
        <v>7</v>
      </c>
      <c r="L1409" s="370">
        <v>20</v>
      </c>
      <c r="M1409" s="675">
        <v>16.7</v>
      </c>
      <c r="N1409" s="671"/>
      <c r="O1409" s="671"/>
      <c r="P1409" s="373">
        <v>7</v>
      </c>
      <c r="Q1409" s="673"/>
      <c r="R1409" s="375"/>
      <c r="S1409" s="366"/>
      <c r="T1409" s="376"/>
      <c r="U1409" s="376"/>
      <c r="V1409" s="366"/>
      <c r="W1409" s="366"/>
    </row>
    <row r="1410" spans="1:23">
      <c r="A1410" s="1410"/>
      <c r="B1410" s="1413"/>
      <c r="C1410" s="845" t="s">
        <v>988</v>
      </c>
      <c r="D1410" s="875" t="str">
        <f>B1405&amp;C1410</f>
        <v>A48f</v>
      </c>
      <c r="E1410" s="367">
        <v>5</v>
      </c>
      <c r="F1410" s="669"/>
      <c r="G1410" s="369"/>
      <c r="H1410" s="368"/>
      <c r="I1410" s="369"/>
      <c r="J1410" s="368"/>
      <c r="K1410" s="669"/>
      <c r="L1410" s="370"/>
      <c r="M1410" s="371"/>
      <c r="N1410" s="671"/>
      <c r="O1410" s="671"/>
      <c r="P1410" s="373"/>
      <c r="Q1410" s="673"/>
      <c r="R1410" s="377"/>
      <c r="S1410" s="366" t="s">
        <v>190</v>
      </c>
      <c r="T1410" s="376"/>
      <c r="U1410" s="376"/>
      <c r="V1410" s="366"/>
      <c r="W1410" s="366"/>
    </row>
    <row r="1411" spans="1:23">
      <c r="A1411" s="1410"/>
      <c r="B1411" s="1413"/>
      <c r="C1411" s="845" t="s">
        <v>989</v>
      </c>
      <c r="D1411" s="875" t="str">
        <f>B1405&amp;C1411</f>
        <v>A48g</v>
      </c>
      <c r="E1411" s="367">
        <v>6</v>
      </c>
      <c r="F1411" s="669"/>
      <c r="G1411" s="369"/>
      <c r="H1411" s="368"/>
      <c r="I1411" s="369"/>
      <c r="J1411" s="368"/>
      <c r="K1411" s="669"/>
      <c r="L1411" s="370"/>
      <c r="M1411" s="371"/>
      <c r="N1411" s="671"/>
      <c r="O1411" s="671"/>
      <c r="P1411" s="373"/>
      <c r="Q1411" s="673"/>
      <c r="R1411" s="375"/>
      <c r="S1411" s="366" t="s">
        <v>190</v>
      </c>
      <c r="T1411" s="366"/>
      <c r="U1411" s="366"/>
      <c r="V1411" s="366"/>
      <c r="W1411" s="366"/>
    </row>
    <row r="1412" spans="1:23">
      <c r="A1412" s="1410"/>
      <c r="B1412" s="1413"/>
      <c r="C1412" s="845" t="s">
        <v>990</v>
      </c>
      <c r="D1412" s="875" t="str">
        <f>B1405&amp;C1412</f>
        <v>A48h</v>
      </c>
      <c r="E1412" s="367">
        <v>7</v>
      </c>
      <c r="F1412" s="669"/>
      <c r="G1412" s="368"/>
      <c r="H1412" s="368"/>
      <c r="I1412" s="368"/>
      <c r="J1412" s="368"/>
      <c r="K1412" s="669"/>
      <c r="L1412" s="370"/>
      <c r="M1412" s="371"/>
      <c r="N1412" s="671"/>
      <c r="O1412" s="671"/>
      <c r="P1412" s="373"/>
      <c r="Q1412" s="673"/>
      <c r="R1412" s="377"/>
      <c r="S1412" s="366" t="s">
        <v>190</v>
      </c>
      <c r="T1412" s="366"/>
      <c r="U1412" s="366"/>
      <c r="V1412" s="366"/>
      <c r="W1412" s="366"/>
    </row>
    <row r="1413" spans="1:23">
      <c r="A1413" s="1410"/>
      <c r="B1413" s="1413"/>
      <c r="C1413" s="845" t="s">
        <v>991</v>
      </c>
      <c r="D1413" s="875" t="str">
        <f>B1405&amp;C1413</f>
        <v>A48i</v>
      </c>
      <c r="E1413" s="367">
        <v>8</v>
      </c>
      <c r="F1413" s="669"/>
      <c r="G1413" s="368"/>
      <c r="H1413" s="368"/>
      <c r="I1413" s="368"/>
      <c r="J1413" s="368"/>
      <c r="K1413" s="370"/>
      <c r="L1413" s="370"/>
      <c r="M1413" s="371"/>
      <c r="N1413" s="671"/>
      <c r="O1413" s="671"/>
      <c r="P1413" s="373"/>
      <c r="Q1413" s="673"/>
      <c r="R1413" s="378"/>
      <c r="S1413" s="366"/>
      <c r="T1413" s="366"/>
      <c r="U1413" s="366"/>
      <c r="V1413" s="366"/>
      <c r="W1413" s="366"/>
    </row>
    <row r="1414" spans="1:23">
      <c r="A1414" s="1410"/>
      <c r="B1414" s="1413"/>
      <c r="C1414" s="845" t="s">
        <v>992</v>
      </c>
      <c r="D1414" s="875" t="str">
        <f>B1405&amp;C1414</f>
        <v>A48k</v>
      </c>
      <c r="E1414" s="367">
        <v>9</v>
      </c>
      <c r="F1414" s="370"/>
      <c r="G1414" s="368"/>
      <c r="H1414" s="368"/>
      <c r="I1414" s="368"/>
      <c r="J1414" s="368"/>
      <c r="K1414" s="370"/>
      <c r="L1414" s="370"/>
      <c r="M1414" s="371"/>
      <c r="N1414" s="372"/>
      <c r="O1414" s="372"/>
      <c r="P1414" s="373"/>
      <c r="Q1414" s="374"/>
      <c r="R1414" s="378"/>
      <c r="S1414" s="379"/>
      <c r="T1414" s="366"/>
      <c r="U1414" s="366"/>
      <c r="V1414" s="366"/>
      <c r="W1414" s="366"/>
    </row>
    <row r="1415" spans="1:23">
      <c r="A1415" s="1410"/>
      <c r="B1415" s="1413"/>
      <c r="C1415" s="845" t="s">
        <v>993</v>
      </c>
      <c r="D1415" s="875" t="str">
        <f>B1405&amp;C1415</f>
        <v>A48l</v>
      </c>
      <c r="E1415" s="367">
        <v>10</v>
      </c>
      <c r="F1415" s="370"/>
      <c r="G1415" s="368"/>
      <c r="H1415" s="368"/>
      <c r="I1415" s="368"/>
      <c r="J1415" s="368"/>
      <c r="K1415" s="370"/>
      <c r="L1415" s="370"/>
      <c r="M1415" s="370"/>
      <c r="N1415" s="372"/>
      <c r="O1415" s="372"/>
      <c r="P1415" s="373"/>
      <c r="Q1415" s="374"/>
      <c r="R1415" s="378"/>
      <c r="S1415" s="379"/>
      <c r="T1415" s="366"/>
      <c r="U1415" s="366"/>
      <c r="V1415" s="366"/>
      <c r="W1415" s="366"/>
    </row>
    <row r="1416" spans="1:23">
      <c r="A1416" s="1410"/>
      <c r="B1416" s="1413"/>
      <c r="C1416" s="845" t="s">
        <v>994</v>
      </c>
      <c r="D1416" s="875" t="str">
        <f>B1405&amp;C1416</f>
        <v>A48m</v>
      </c>
      <c r="E1416" s="367">
        <v>11</v>
      </c>
      <c r="F1416" s="370"/>
      <c r="G1416" s="368"/>
      <c r="H1416" s="368"/>
      <c r="I1416" s="368"/>
      <c r="J1416" s="368"/>
      <c r="K1416" s="370"/>
      <c r="L1416" s="370"/>
      <c r="M1416" s="370"/>
      <c r="N1416" s="372"/>
      <c r="O1416" s="372"/>
      <c r="P1416" s="380"/>
      <c r="Q1416" s="374"/>
      <c r="R1416" s="381"/>
      <c r="S1416" s="379"/>
      <c r="T1416" s="366"/>
      <c r="U1416" s="366"/>
      <c r="V1416" s="366"/>
      <c r="W1416" s="366"/>
    </row>
    <row r="1417" spans="1:23">
      <c r="A1417" s="1410"/>
      <c r="B1417" s="1413"/>
      <c r="C1417" s="845" t="s">
        <v>995</v>
      </c>
      <c r="D1417" s="875" t="str">
        <f>B1405&amp;C1417</f>
        <v>A48n</v>
      </c>
      <c r="E1417" s="367">
        <v>12</v>
      </c>
      <c r="F1417" s="370"/>
      <c r="G1417" s="368"/>
      <c r="H1417" s="368"/>
      <c r="I1417" s="368"/>
      <c r="J1417" s="368"/>
      <c r="K1417" s="370"/>
      <c r="L1417" s="370"/>
      <c r="M1417" s="370"/>
      <c r="N1417" s="372"/>
      <c r="O1417" s="372"/>
      <c r="P1417" s="380"/>
      <c r="Q1417" s="374"/>
      <c r="R1417" s="381"/>
      <c r="S1417" s="361"/>
      <c r="T1417" s="361"/>
      <c r="U1417" s="361"/>
      <c r="V1417" s="366"/>
      <c r="W1417" s="366"/>
    </row>
    <row r="1418" spans="1:23">
      <c r="A1418" s="1410"/>
      <c r="B1418" s="1413"/>
      <c r="C1418" s="845" t="s">
        <v>471</v>
      </c>
      <c r="D1418" s="875" t="str">
        <f>B1405&amp;C1418</f>
        <v>A48x</v>
      </c>
      <c r="E1418" s="367">
        <v>13</v>
      </c>
      <c r="F1418" s="370"/>
      <c r="G1418" s="368"/>
      <c r="H1418" s="368"/>
      <c r="I1418" s="368"/>
      <c r="J1418" s="368"/>
      <c r="K1418" s="370"/>
      <c r="L1418" s="370"/>
      <c r="M1418" s="370"/>
      <c r="N1418" s="382"/>
      <c r="O1418" s="372"/>
      <c r="P1418" s="380"/>
      <c r="Q1418" s="381"/>
      <c r="R1418" s="381"/>
      <c r="S1418" s="361"/>
      <c r="T1418" s="361"/>
      <c r="U1418" s="361"/>
      <c r="V1418" s="366"/>
      <c r="W1418" s="366"/>
    </row>
    <row r="1419" spans="1:23">
      <c r="A1419" s="1410"/>
      <c r="B1419" s="1413"/>
      <c r="C1419" s="845" t="s">
        <v>732</v>
      </c>
      <c r="D1419" s="875" t="str">
        <f>B1405&amp;C1419</f>
        <v>A48y</v>
      </c>
      <c r="E1419" s="367">
        <v>14</v>
      </c>
      <c r="F1419" s="370"/>
      <c r="G1419" s="368"/>
      <c r="H1419" s="368"/>
      <c r="I1419" s="368"/>
      <c r="J1419" s="368"/>
      <c r="K1419" s="370"/>
      <c r="L1419" s="370"/>
      <c r="M1419" s="370"/>
      <c r="N1419" s="382"/>
      <c r="O1419" s="372"/>
      <c r="P1419" s="380"/>
      <c r="Q1419" s="381"/>
      <c r="R1419" s="381"/>
      <c r="S1419" s="361"/>
      <c r="T1419" s="361"/>
      <c r="U1419" s="362"/>
      <c r="V1419" s="366"/>
      <c r="W1419" s="366"/>
    </row>
    <row r="1420" spans="1:23" ht="19.5" customHeight="1">
      <c r="A1420" s="1411"/>
      <c r="B1420" s="1414"/>
      <c r="C1420" s="846" t="s">
        <v>996</v>
      </c>
      <c r="D1420" s="876" t="str">
        <f>B1405&amp;C1420</f>
        <v>A48z</v>
      </c>
      <c r="E1420" s="847">
        <v>15</v>
      </c>
      <c r="F1420" s="370"/>
      <c r="G1420" s="368"/>
      <c r="H1420" s="368"/>
      <c r="I1420" s="368"/>
      <c r="J1420" s="368"/>
      <c r="K1420" s="370"/>
      <c r="L1420" s="370"/>
      <c r="M1420" s="370"/>
      <c r="N1420" s="850"/>
      <c r="O1420" s="851"/>
      <c r="P1420" s="380"/>
      <c r="Q1420" s="852"/>
      <c r="R1420" s="383"/>
      <c r="S1420" s="361"/>
      <c r="T1420" s="832"/>
      <c r="U1420" s="830"/>
      <c r="V1420" s="366"/>
      <c r="W1420" s="366"/>
    </row>
    <row r="1421" spans="1:23">
      <c r="A1421" s="1400" t="s">
        <v>939</v>
      </c>
      <c r="B1421" s="1400"/>
      <c r="C1421" s="827"/>
      <c r="D1421" s="871"/>
      <c r="E1421" s="1400" t="s">
        <v>177</v>
      </c>
      <c r="F1421" s="1400" t="s">
        <v>18</v>
      </c>
      <c r="G1421" s="1389" t="s">
        <v>19</v>
      </c>
      <c r="H1421" s="1390"/>
      <c r="I1421" s="1389" t="s">
        <v>22</v>
      </c>
      <c r="J1421" s="1390"/>
      <c r="K1421" s="1393" t="s">
        <v>26</v>
      </c>
      <c r="L1421" s="1390"/>
      <c r="M1421" s="1389" t="s">
        <v>392</v>
      </c>
      <c r="N1421" s="1390"/>
      <c r="O1421" s="1389" t="s">
        <v>28</v>
      </c>
      <c r="P1421" s="1393"/>
      <c r="Q1421" s="1390"/>
      <c r="R1421" s="1400" t="s">
        <v>36</v>
      </c>
      <c r="S1421" s="361"/>
      <c r="T1421" s="361">
        <f>MAX(J1425:J1439)-MIN(I1425:I1439)</f>
        <v>1.6666666666666656E-2</v>
      </c>
      <c r="U1421" s="361"/>
      <c r="V1421" s="853" t="str">
        <f t="shared" ref="V1421" si="150">B1425</f>
        <v>A9</v>
      </c>
      <c r="W1421" s="361">
        <f t="shared" ref="W1421" si="151">COUNTIF(K1426:K1440,"&gt;0")</f>
        <v>2</v>
      </c>
    </row>
    <row r="1422" spans="1:23">
      <c r="A1422" s="1401"/>
      <c r="B1422" s="1401"/>
      <c r="C1422" s="828"/>
      <c r="D1422" s="872"/>
      <c r="E1422" s="1401"/>
      <c r="F1422" s="1401"/>
      <c r="G1422" s="1391"/>
      <c r="H1422" s="1392"/>
      <c r="I1422" s="1391"/>
      <c r="J1422" s="1392"/>
      <c r="K1422" s="1394"/>
      <c r="L1422" s="1392"/>
      <c r="M1422" s="1391"/>
      <c r="N1422" s="1392"/>
      <c r="O1422" s="1391"/>
      <c r="P1422" s="1394"/>
      <c r="Q1422" s="1392"/>
      <c r="R1422" s="1401"/>
      <c r="S1422" s="361"/>
      <c r="T1422" s="361"/>
      <c r="U1422" s="361"/>
      <c r="V1422" s="361"/>
      <c r="W1422" s="361"/>
    </row>
    <row r="1423" spans="1:23">
      <c r="A1423" s="1401"/>
      <c r="B1423" s="1401"/>
      <c r="C1423" s="828"/>
      <c r="D1423" s="872"/>
      <c r="E1423" s="1401"/>
      <c r="F1423" s="1401"/>
      <c r="G1423" s="1400" t="s">
        <v>20</v>
      </c>
      <c r="H1423" s="1400" t="s">
        <v>21</v>
      </c>
      <c r="I1423" s="1400" t="s">
        <v>361</v>
      </c>
      <c r="J1423" s="1400" t="s">
        <v>353</v>
      </c>
      <c r="K1423" s="1400" t="s">
        <v>23</v>
      </c>
      <c r="L1423" s="1400" t="s">
        <v>24</v>
      </c>
      <c r="M1423" s="1400" t="s">
        <v>27</v>
      </c>
      <c r="N1423" s="1400" t="s">
        <v>178</v>
      </c>
      <c r="O1423" s="1400" t="s">
        <v>1</v>
      </c>
      <c r="P1423" s="1400" t="s">
        <v>29</v>
      </c>
      <c r="Q1423" s="1400" t="s">
        <v>33</v>
      </c>
      <c r="R1423" s="1401"/>
      <c r="S1423" s="361"/>
      <c r="T1423" s="361" t="s">
        <v>39</v>
      </c>
      <c r="U1423" s="362">
        <f>VLOOKUP(B1425,'Thong tin'!$A:$M,13,0)</f>
        <v>1200</v>
      </c>
      <c r="V1423" s="361"/>
      <c r="W1423" s="361"/>
    </row>
    <row r="1424" spans="1:23">
      <c r="A1424" s="1402"/>
      <c r="B1424" s="1402"/>
      <c r="C1424" s="829"/>
      <c r="D1424" s="873"/>
      <c r="E1424" s="1402"/>
      <c r="F1424" s="1402"/>
      <c r="G1424" s="1402"/>
      <c r="H1424" s="1402"/>
      <c r="I1424" s="1402"/>
      <c r="J1424" s="1402"/>
      <c r="K1424" s="1402"/>
      <c r="L1424" s="1402"/>
      <c r="M1424" s="1402"/>
      <c r="N1424" s="1402"/>
      <c r="O1424" s="1402"/>
      <c r="P1424" s="1402"/>
      <c r="Q1424" s="1402"/>
      <c r="R1424" s="1402"/>
      <c r="S1424" s="361"/>
      <c r="T1424" s="1399" t="s">
        <v>393</v>
      </c>
      <c r="U1424" s="1397">
        <f>VLOOKUP(B1425,DT.NK!$B:$AZ,45,0)</f>
        <v>24.8</v>
      </c>
      <c r="V1424" s="361"/>
      <c r="W1424" s="361"/>
    </row>
    <row r="1425" spans="1:23">
      <c r="A1425" s="1409">
        <f>A1405+1</f>
        <v>72</v>
      </c>
      <c r="B1425" s="1412" t="s">
        <v>529</v>
      </c>
      <c r="C1425" s="844" t="s">
        <v>983</v>
      </c>
      <c r="D1425" s="874" t="str">
        <f>B1425&amp;C1425</f>
        <v>A9a</v>
      </c>
      <c r="E1425" s="363"/>
      <c r="F1425" s="364"/>
      <c r="G1425" s="364"/>
      <c r="H1425" s="364"/>
      <c r="I1425" s="364"/>
      <c r="J1425" s="364"/>
      <c r="K1425" s="364"/>
      <c r="L1425" s="364"/>
      <c r="M1425" s="674"/>
      <c r="N1425" s="670"/>
      <c r="O1425" s="670">
        <f>U1424</f>
        <v>24.8</v>
      </c>
      <c r="P1425" s="670">
        <f>O1425</f>
        <v>24.8</v>
      </c>
      <c r="Q1425" s="670">
        <v>0</v>
      </c>
      <c r="R1425" s="365"/>
      <c r="S1425" s="366"/>
      <c r="T1425" s="1399"/>
      <c r="U1425" s="1398"/>
      <c r="V1425" s="361"/>
      <c r="W1425" s="361"/>
    </row>
    <row r="1426" spans="1:23">
      <c r="A1426" s="1410"/>
      <c r="B1426" s="1413"/>
      <c r="C1426" s="845" t="s">
        <v>984</v>
      </c>
      <c r="D1426" s="875" t="str">
        <f>B1425&amp;C1426</f>
        <v>A9b</v>
      </c>
      <c r="E1426" s="367">
        <v>1</v>
      </c>
      <c r="F1426" s="669" t="s">
        <v>1007</v>
      </c>
      <c r="G1426" s="369">
        <v>0.99861111111111101</v>
      </c>
      <c r="H1426" s="368">
        <v>3.125E-2</v>
      </c>
      <c r="I1426" s="369">
        <v>5.2777777777777778E-2</v>
      </c>
      <c r="J1426" s="368">
        <v>5.9027777777777783E-2</v>
      </c>
      <c r="K1426" s="669">
        <v>10</v>
      </c>
      <c r="L1426" s="669">
        <v>19</v>
      </c>
      <c r="M1426" s="675">
        <v>19.149999999999999</v>
      </c>
      <c r="N1426" s="671">
        <f>IF(M1426-P1426&gt;0,M1426-P1426,0)</f>
        <v>2.8499999999999979</v>
      </c>
      <c r="O1426" s="671">
        <f>O1425-K1426/(PI()*(U1423/2000)^2)</f>
        <v>15.958058717116927</v>
      </c>
      <c r="P1426" s="672">
        <v>16.3</v>
      </c>
      <c r="Q1426" s="673">
        <f>ABS(O1426-P1426)</f>
        <v>0.34194128288307368</v>
      </c>
      <c r="R1426" s="375" t="s">
        <v>188</v>
      </c>
      <c r="S1426" s="366"/>
      <c r="T1426" s="376"/>
      <c r="U1426" s="376"/>
      <c r="V1426" s="366"/>
      <c r="W1426" s="366"/>
    </row>
    <row r="1427" spans="1:23">
      <c r="A1427" s="1410"/>
      <c r="B1427" s="1413"/>
      <c r="C1427" s="845" t="s">
        <v>985</v>
      </c>
      <c r="D1427" s="875" t="str">
        <f>B1425&amp;C1427</f>
        <v>A9c</v>
      </c>
      <c r="E1427" s="367">
        <v>2</v>
      </c>
      <c r="F1427" s="669" t="s">
        <v>980</v>
      </c>
      <c r="G1427" s="369">
        <v>1.5277777777777777E-2</v>
      </c>
      <c r="H1427" s="368">
        <v>4.5138888888888888E-2</v>
      </c>
      <c r="I1427" s="369">
        <v>6.25E-2</v>
      </c>
      <c r="J1427" s="368">
        <v>6.9444444444444434E-2</v>
      </c>
      <c r="K1427" s="669">
        <v>11</v>
      </c>
      <c r="L1427" s="669">
        <v>19</v>
      </c>
      <c r="M1427" s="675">
        <v>12.85</v>
      </c>
      <c r="N1427" s="671">
        <f>IF(M1427-P1427&gt;0,M1427-P1427,0)</f>
        <v>5.85</v>
      </c>
      <c r="O1427" s="671">
        <f>O1426-K1427/(PI()*(U1423/2000)^2)</f>
        <v>6.2319233059455446</v>
      </c>
      <c r="P1427" s="672">
        <v>7</v>
      </c>
      <c r="Q1427" s="673">
        <f>ABS(O1427-P1427)</f>
        <v>0.76807669405445544</v>
      </c>
      <c r="R1427" s="375" t="s">
        <v>188</v>
      </c>
      <c r="S1427" s="366"/>
      <c r="T1427" s="376"/>
      <c r="U1427" s="376"/>
      <c r="V1427" s="366"/>
      <c r="W1427" s="366"/>
    </row>
    <row r="1428" spans="1:23">
      <c r="A1428" s="1410"/>
      <c r="B1428" s="1413"/>
      <c r="C1428" s="845" t="s">
        <v>986</v>
      </c>
      <c r="D1428" s="875" t="str">
        <f>B1425&amp;C1428</f>
        <v>A9d</v>
      </c>
      <c r="E1428" s="367">
        <v>3</v>
      </c>
      <c r="F1428" s="669"/>
      <c r="G1428" s="369"/>
      <c r="H1428" s="368"/>
      <c r="I1428" s="369"/>
      <c r="J1428" s="368"/>
      <c r="K1428" s="669"/>
      <c r="L1428" s="669"/>
      <c r="M1428" s="675"/>
      <c r="N1428" s="671"/>
      <c r="O1428" s="671"/>
      <c r="P1428" s="672"/>
      <c r="Q1428" s="673"/>
      <c r="R1428" s="375"/>
      <c r="S1428" s="366"/>
      <c r="T1428" s="376"/>
      <c r="U1428" s="376"/>
      <c r="V1428" s="366"/>
      <c r="W1428" s="366"/>
    </row>
    <row r="1429" spans="1:23">
      <c r="A1429" s="1410"/>
      <c r="B1429" s="1413"/>
      <c r="C1429" s="845" t="s">
        <v>987</v>
      </c>
      <c r="D1429" s="875" t="str">
        <f>B1425&amp;C1429</f>
        <v>A9e</v>
      </c>
      <c r="E1429" s="367">
        <v>4</v>
      </c>
      <c r="F1429" s="669"/>
      <c r="G1429" s="369"/>
      <c r="H1429" s="368"/>
      <c r="I1429" s="369"/>
      <c r="J1429" s="368"/>
      <c r="K1429" s="669"/>
      <c r="L1429" s="370"/>
      <c r="M1429" s="675"/>
      <c r="N1429" s="671"/>
      <c r="O1429" s="671"/>
      <c r="P1429" s="373"/>
      <c r="Q1429" s="673"/>
      <c r="R1429" s="375"/>
      <c r="S1429" s="366"/>
      <c r="T1429" s="376"/>
      <c r="U1429" s="376"/>
      <c r="V1429" s="366"/>
      <c r="W1429" s="366"/>
    </row>
    <row r="1430" spans="1:23">
      <c r="A1430" s="1410"/>
      <c r="B1430" s="1413"/>
      <c r="C1430" s="845" t="s">
        <v>988</v>
      </c>
      <c r="D1430" s="875" t="str">
        <f>B1425&amp;C1430</f>
        <v>A9f</v>
      </c>
      <c r="E1430" s="367">
        <v>5</v>
      </c>
      <c r="F1430" s="669"/>
      <c r="G1430" s="369"/>
      <c r="H1430" s="368"/>
      <c r="I1430" s="369"/>
      <c r="J1430" s="368"/>
      <c r="K1430" s="669"/>
      <c r="L1430" s="370"/>
      <c r="M1430" s="371"/>
      <c r="N1430" s="671"/>
      <c r="O1430" s="671"/>
      <c r="P1430" s="373"/>
      <c r="Q1430" s="673"/>
      <c r="R1430" s="377"/>
      <c r="S1430" s="366" t="s">
        <v>190</v>
      </c>
      <c r="T1430" s="376"/>
      <c r="U1430" s="376"/>
      <c r="V1430" s="366"/>
      <c r="W1430" s="366"/>
    </row>
    <row r="1431" spans="1:23">
      <c r="A1431" s="1410"/>
      <c r="B1431" s="1413"/>
      <c r="C1431" s="845" t="s">
        <v>989</v>
      </c>
      <c r="D1431" s="875" t="str">
        <f>B1425&amp;C1431</f>
        <v>A9g</v>
      </c>
      <c r="E1431" s="367">
        <v>6</v>
      </c>
      <c r="F1431" s="669"/>
      <c r="G1431" s="369"/>
      <c r="H1431" s="368"/>
      <c r="I1431" s="369"/>
      <c r="J1431" s="368"/>
      <c r="K1431" s="669"/>
      <c r="L1431" s="370"/>
      <c r="M1431" s="371"/>
      <c r="N1431" s="671"/>
      <c r="O1431" s="671"/>
      <c r="P1431" s="373"/>
      <c r="Q1431" s="673"/>
      <c r="R1431" s="375"/>
      <c r="S1431" s="366" t="s">
        <v>190</v>
      </c>
      <c r="T1431" s="366"/>
      <c r="U1431" s="366"/>
      <c r="V1431" s="366"/>
      <c r="W1431" s="366"/>
    </row>
    <row r="1432" spans="1:23">
      <c r="A1432" s="1410"/>
      <c r="B1432" s="1413"/>
      <c r="C1432" s="845" t="s">
        <v>990</v>
      </c>
      <c r="D1432" s="875" t="str">
        <f>B1425&amp;C1432</f>
        <v>A9h</v>
      </c>
      <c r="E1432" s="367">
        <v>7</v>
      </c>
      <c r="F1432" s="669"/>
      <c r="G1432" s="368"/>
      <c r="H1432" s="368"/>
      <c r="I1432" s="368"/>
      <c r="J1432" s="368"/>
      <c r="K1432" s="669"/>
      <c r="L1432" s="370"/>
      <c r="M1432" s="371"/>
      <c r="N1432" s="671"/>
      <c r="O1432" s="671"/>
      <c r="P1432" s="373"/>
      <c r="Q1432" s="673"/>
      <c r="R1432" s="377"/>
      <c r="S1432" s="366" t="s">
        <v>190</v>
      </c>
      <c r="T1432" s="366"/>
      <c r="U1432" s="366"/>
      <c r="V1432" s="366"/>
      <c r="W1432" s="366"/>
    </row>
    <row r="1433" spans="1:23">
      <c r="A1433" s="1410"/>
      <c r="B1433" s="1413"/>
      <c r="C1433" s="845" t="s">
        <v>991</v>
      </c>
      <c r="D1433" s="875" t="str">
        <f>B1425&amp;C1433</f>
        <v>A9i</v>
      </c>
      <c r="E1433" s="367">
        <v>8</v>
      </c>
      <c r="F1433" s="669"/>
      <c r="G1433" s="368"/>
      <c r="H1433" s="368"/>
      <c r="I1433" s="368"/>
      <c r="J1433" s="368"/>
      <c r="K1433" s="370"/>
      <c r="L1433" s="370"/>
      <c r="M1433" s="371"/>
      <c r="N1433" s="671"/>
      <c r="O1433" s="671"/>
      <c r="P1433" s="373"/>
      <c r="Q1433" s="673"/>
      <c r="R1433" s="378"/>
      <c r="S1433" s="366"/>
      <c r="T1433" s="366"/>
      <c r="U1433" s="366"/>
      <c r="V1433" s="366"/>
      <c r="W1433" s="366"/>
    </row>
    <row r="1434" spans="1:23">
      <c r="A1434" s="1410"/>
      <c r="B1434" s="1413"/>
      <c r="C1434" s="845" t="s">
        <v>992</v>
      </c>
      <c r="D1434" s="875" t="str">
        <f>B1425&amp;C1434</f>
        <v>A9k</v>
      </c>
      <c r="E1434" s="367">
        <v>9</v>
      </c>
      <c r="F1434" s="370"/>
      <c r="G1434" s="368"/>
      <c r="H1434" s="368"/>
      <c r="I1434" s="368"/>
      <c r="J1434" s="368"/>
      <c r="K1434" s="370"/>
      <c r="L1434" s="370"/>
      <c r="M1434" s="371"/>
      <c r="N1434" s="372"/>
      <c r="O1434" s="372"/>
      <c r="P1434" s="373"/>
      <c r="Q1434" s="374"/>
      <c r="R1434" s="378"/>
      <c r="S1434" s="379"/>
      <c r="T1434" s="366"/>
      <c r="U1434" s="366"/>
      <c r="V1434" s="366"/>
      <c r="W1434" s="366"/>
    </row>
    <row r="1435" spans="1:23">
      <c r="A1435" s="1410"/>
      <c r="B1435" s="1413"/>
      <c r="C1435" s="845" t="s">
        <v>993</v>
      </c>
      <c r="D1435" s="875" t="str">
        <f>B1425&amp;C1435</f>
        <v>A9l</v>
      </c>
      <c r="E1435" s="367">
        <v>10</v>
      </c>
      <c r="F1435" s="370"/>
      <c r="G1435" s="368"/>
      <c r="H1435" s="368"/>
      <c r="I1435" s="368"/>
      <c r="J1435" s="368"/>
      <c r="K1435" s="370"/>
      <c r="L1435" s="370"/>
      <c r="M1435" s="370"/>
      <c r="N1435" s="372"/>
      <c r="O1435" s="372"/>
      <c r="P1435" s="373"/>
      <c r="Q1435" s="374"/>
      <c r="R1435" s="378"/>
      <c r="S1435" s="379"/>
      <c r="T1435" s="366"/>
      <c r="U1435" s="366"/>
      <c r="V1435" s="366"/>
      <c r="W1435" s="366"/>
    </row>
    <row r="1436" spans="1:23">
      <c r="A1436" s="1410"/>
      <c r="B1436" s="1413"/>
      <c r="C1436" s="845" t="s">
        <v>994</v>
      </c>
      <c r="D1436" s="875" t="str">
        <f>B1425&amp;C1436</f>
        <v>A9m</v>
      </c>
      <c r="E1436" s="367">
        <v>11</v>
      </c>
      <c r="F1436" s="370"/>
      <c r="G1436" s="368"/>
      <c r="H1436" s="368"/>
      <c r="I1436" s="368"/>
      <c r="J1436" s="368"/>
      <c r="K1436" s="370"/>
      <c r="L1436" s="370"/>
      <c r="M1436" s="370"/>
      <c r="N1436" s="372"/>
      <c r="O1436" s="372"/>
      <c r="P1436" s="380"/>
      <c r="Q1436" s="374"/>
      <c r="R1436" s="381"/>
      <c r="S1436" s="379"/>
      <c r="T1436" s="366"/>
      <c r="U1436" s="366"/>
      <c r="V1436" s="366"/>
      <c r="W1436" s="366"/>
    </row>
    <row r="1437" spans="1:23">
      <c r="A1437" s="1410"/>
      <c r="B1437" s="1413"/>
      <c r="C1437" s="845" t="s">
        <v>995</v>
      </c>
      <c r="D1437" s="875" t="str">
        <f>B1425&amp;C1437</f>
        <v>A9n</v>
      </c>
      <c r="E1437" s="367">
        <v>12</v>
      </c>
      <c r="F1437" s="370"/>
      <c r="G1437" s="368"/>
      <c r="H1437" s="368"/>
      <c r="I1437" s="368"/>
      <c r="J1437" s="368"/>
      <c r="K1437" s="370"/>
      <c r="L1437" s="370"/>
      <c r="M1437" s="370"/>
      <c r="N1437" s="372"/>
      <c r="O1437" s="372"/>
      <c r="P1437" s="380"/>
      <c r="Q1437" s="374"/>
      <c r="R1437" s="381"/>
      <c r="S1437" s="361"/>
      <c r="T1437" s="361"/>
      <c r="U1437" s="361"/>
      <c r="V1437" s="366"/>
      <c r="W1437" s="366"/>
    </row>
    <row r="1438" spans="1:23">
      <c r="A1438" s="1410"/>
      <c r="B1438" s="1413"/>
      <c r="C1438" s="845" t="s">
        <v>471</v>
      </c>
      <c r="D1438" s="875" t="str">
        <f>B1425&amp;C1438</f>
        <v>A9x</v>
      </c>
      <c r="E1438" s="367">
        <v>13</v>
      </c>
      <c r="F1438" s="370"/>
      <c r="G1438" s="368"/>
      <c r="H1438" s="368"/>
      <c r="I1438" s="368"/>
      <c r="J1438" s="368"/>
      <c r="K1438" s="370"/>
      <c r="L1438" s="370"/>
      <c r="M1438" s="370"/>
      <c r="N1438" s="382"/>
      <c r="O1438" s="372"/>
      <c r="P1438" s="380"/>
      <c r="Q1438" s="381"/>
      <c r="R1438" s="381"/>
      <c r="S1438" s="361"/>
      <c r="T1438" s="361"/>
      <c r="U1438" s="361"/>
      <c r="V1438" s="366"/>
      <c r="W1438" s="366"/>
    </row>
    <row r="1439" spans="1:23">
      <c r="A1439" s="1410"/>
      <c r="B1439" s="1413"/>
      <c r="C1439" s="845" t="s">
        <v>732</v>
      </c>
      <c r="D1439" s="875" t="str">
        <f>B1425&amp;C1439</f>
        <v>A9y</v>
      </c>
      <c r="E1439" s="367">
        <v>14</v>
      </c>
      <c r="F1439" s="370"/>
      <c r="G1439" s="368"/>
      <c r="H1439" s="368"/>
      <c r="I1439" s="368"/>
      <c r="J1439" s="368"/>
      <c r="K1439" s="370"/>
      <c r="L1439" s="370"/>
      <c r="M1439" s="370"/>
      <c r="N1439" s="382"/>
      <c r="O1439" s="372"/>
      <c r="P1439" s="380"/>
      <c r="Q1439" s="381"/>
      <c r="R1439" s="381"/>
      <c r="S1439" s="361"/>
      <c r="T1439" s="361"/>
      <c r="U1439" s="362"/>
      <c r="V1439" s="366"/>
      <c r="W1439" s="366"/>
    </row>
    <row r="1440" spans="1:23">
      <c r="A1440" s="1411"/>
      <c r="B1440" s="1414"/>
      <c r="C1440" s="846" t="s">
        <v>996</v>
      </c>
      <c r="D1440" s="876" t="str">
        <f>B1425&amp;C1440</f>
        <v>A9z</v>
      </c>
      <c r="E1440" s="847">
        <v>15</v>
      </c>
      <c r="F1440" s="370"/>
      <c r="G1440" s="368"/>
      <c r="H1440" s="368"/>
      <c r="I1440" s="368"/>
      <c r="J1440" s="368"/>
      <c r="K1440" s="370"/>
      <c r="L1440" s="370"/>
      <c r="M1440" s="370"/>
      <c r="N1440" s="850"/>
      <c r="O1440" s="851"/>
      <c r="P1440" s="380"/>
      <c r="Q1440" s="852"/>
      <c r="R1440" s="383"/>
      <c r="S1440" s="361"/>
      <c r="T1440" s="832"/>
      <c r="U1440" s="830"/>
      <c r="V1440" s="366"/>
      <c r="W1440" s="366"/>
    </row>
    <row r="1441" spans="1:23">
      <c r="A1441" s="1400" t="s">
        <v>939</v>
      </c>
      <c r="B1441" s="1400"/>
      <c r="C1441" s="827"/>
      <c r="D1441" s="871"/>
      <c r="E1441" s="1400" t="s">
        <v>177</v>
      </c>
      <c r="F1441" s="1400" t="s">
        <v>18</v>
      </c>
      <c r="G1441" s="1389" t="s">
        <v>19</v>
      </c>
      <c r="H1441" s="1390"/>
      <c r="I1441" s="1389" t="s">
        <v>22</v>
      </c>
      <c r="J1441" s="1390"/>
      <c r="K1441" s="1393" t="s">
        <v>26</v>
      </c>
      <c r="L1441" s="1390"/>
      <c r="M1441" s="1389" t="s">
        <v>392</v>
      </c>
      <c r="N1441" s="1390"/>
      <c r="O1441" s="1389" t="s">
        <v>28</v>
      </c>
      <c r="P1441" s="1393"/>
      <c r="Q1441" s="1390"/>
      <c r="R1441" s="1400" t="s">
        <v>36</v>
      </c>
      <c r="S1441" s="361"/>
      <c r="T1441" s="361">
        <f>MAX(J1445:J1459)-MIN(I1445:I1459)</f>
        <v>0.98611111111111105</v>
      </c>
      <c r="U1441" s="361"/>
      <c r="V1441" s="853" t="str">
        <f t="shared" ref="V1441" si="152">B1445</f>
        <v>A131</v>
      </c>
      <c r="W1441" s="361">
        <f t="shared" ref="W1441" si="153">COUNTIF(K1446:K1460,"&gt;0")</f>
        <v>4</v>
      </c>
    </row>
    <row r="1442" spans="1:23">
      <c r="A1442" s="1401"/>
      <c r="B1442" s="1401"/>
      <c r="C1442" s="828"/>
      <c r="D1442" s="872"/>
      <c r="E1442" s="1401"/>
      <c r="F1442" s="1401"/>
      <c r="G1442" s="1391"/>
      <c r="H1442" s="1392"/>
      <c r="I1442" s="1391"/>
      <c r="J1442" s="1392"/>
      <c r="K1442" s="1394"/>
      <c r="L1442" s="1392"/>
      <c r="M1442" s="1391"/>
      <c r="N1442" s="1392"/>
      <c r="O1442" s="1391"/>
      <c r="P1442" s="1394"/>
      <c r="Q1442" s="1392"/>
      <c r="R1442" s="1401"/>
      <c r="S1442" s="361"/>
      <c r="T1442" s="361"/>
      <c r="U1442" s="361"/>
      <c r="V1442" s="361"/>
      <c r="W1442" s="361"/>
    </row>
    <row r="1443" spans="1:23">
      <c r="A1443" s="1401"/>
      <c r="B1443" s="1401"/>
      <c r="C1443" s="828"/>
      <c r="D1443" s="872"/>
      <c r="E1443" s="1401"/>
      <c r="F1443" s="1401"/>
      <c r="G1443" s="1400" t="s">
        <v>20</v>
      </c>
      <c r="H1443" s="1400" t="s">
        <v>21</v>
      </c>
      <c r="I1443" s="1400" t="s">
        <v>361</v>
      </c>
      <c r="J1443" s="1400" t="s">
        <v>353</v>
      </c>
      <c r="K1443" s="1400" t="s">
        <v>23</v>
      </c>
      <c r="L1443" s="1400" t="s">
        <v>24</v>
      </c>
      <c r="M1443" s="1400" t="s">
        <v>27</v>
      </c>
      <c r="N1443" s="1400" t="s">
        <v>178</v>
      </c>
      <c r="O1443" s="1400" t="s">
        <v>1</v>
      </c>
      <c r="P1443" s="1400" t="s">
        <v>29</v>
      </c>
      <c r="Q1443" s="1400" t="s">
        <v>33</v>
      </c>
      <c r="R1443" s="1401"/>
      <c r="S1443" s="361"/>
      <c r="T1443" s="361" t="s">
        <v>39</v>
      </c>
      <c r="U1443" s="362">
        <f>VLOOKUP(B1445,'Thong tin'!$A:$M,13,0)</f>
        <v>1200</v>
      </c>
      <c r="V1443" s="361"/>
      <c r="W1443" s="361"/>
    </row>
    <row r="1444" spans="1:23">
      <c r="A1444" s="1402"/>
      <c r="B1444" s="1402"/>
      <c r="C1444" s="829"/>
      <c r="D1444" s="873"/>
      <c r="E1444" s="1402"/>
      <c r="F1444" s="1402"/>
      <c r="G1444" s="1402"/>
      <c r="H1444" s="1402"/>
      <c r="I1444" s="1402"/>
      <c r="J1444" s="1402"/>
      <c r="K1444" s="1402"/>
      <c r="L1444" s="1402"/>
      <c r="M1444" s="1402"/>
      <c r="N1444" s="1402"/>
      <c r="O1444" s="1402"/>
      <c r="P1444" s="1402"/>
      <c r="Q1444" s="1402"/>
      <c r="R1444" s="1402"/>
      <c r="S1444" s="361"/>
      <c r="T1444" s="1399" t="s">
        <v>393</v>
      </c>
      <c r="U1444" s="1397">
        <f>VLOOKUP(B1445,DT.NK!$B:$AZ,45,0)</f>
        <v>30.75</v>
      </c>
      <c r="V1444" s="361"/>
      <c r="W1444" s="361"/>
    </row>
    <row r="1445" spans="1:23">
      <c r="A1445" s="1409">
        <f>A1425+1</f>
        <v>73</v>
      </c>
      <c r="B1445" s="1412" t="s">
        <v>688</v>
      </c>
      <c r="C1445" s="844" t="s">
        <v>983</v>
      </c>
      <c r="D1445" s="874" t="str">
        <f>B1445&amp;C1445</f>
        <v>A131a</v>
      </c>
      <c r="E1445" s="363"/>
      <c r="F1445" s="364"/>
      <c r="G1445" s="364"/>
      <c r="H1445" s="364"/>
      <c r="I1445" s="364"/>
      <c r="J1445" s="364"/>
      <c r="K1445" s="364"/>
      <c r="L1445" s="364"/>
      <c r="M1445" s="674"/>
      <c r="N1445" s="670"/>
      <c r="O1445" s="670">
        <f>U1444</f>
        <v>30.75</v>
      </c>
      <c r="P1445" s="670">
        <f>O1445</f>
        <v>30.75</v>
      </c>
      <c r="Q1445" s="670">
        <v>0</v>
      </c>
      <c r="R1445" s="365"/>
      <c r="S1445" s="366"/>
      <c r="T1445" s="1399"/>
      <c r="U1445" s="1398"/>
      <c r="V1445" s="361"/>
      <c r="W1445" s="361"/>
    </row>
    <row r="1446" spans="1:23">
      <c r="A1446" s="1410"/>
      <c r="B1446" s="1413"/>
      <c r="C1446" s="845" t="s">
        <v>984</v>
      </c>
      <c r="D1446" s="875" t="str">
        <f>B1445&amp;C1446</f>
        <v>A131b</v>
      </c>
      <c r="E1446" s="367">
        <v>1</v>
      </c>
      <c r="F1446" s="669" t="s">
        <v>1019</v>
      </c>
      <c r="G1446" s="369">
        <v>0.9375</v>
      </c>
      <c r="H1446" s="368">
        <v>0.97222222222222221</v>
      </c>
      <c r="I1446" s="369">
        <v>0.98611111111111116</v>
      </c>
      <c r="J1446" s="368">
        <v>0.99305555555555547</v>
      </c>
      <c r="K1446" s="669">
        <v>10</v>
      </c>
      <c r="L1446" s="669">
        <v>19</v>
      </c>
      <c r="M1446" s="675">
        <v>28.75</v>
      </c>
      <c r="N1446" s="671">
        <f>IF(M1446-P1446&gt;0,M1446-P1446,0)</f>
        <v>5.25</v>
      </c>
      <c r="O1446" s="671">
        <f>O1445-K1446/(PI()*(U1443/2000)^2)</f>
        <v>21.908058717116926</v>
      </c>
      <c r="P1446" s="672">
        <v>23.5</v>
      </c>
      <c r="Q1446" s="673">
        <f>ABS(O1446-P1446)</f>
        <v>1.5919412828830737</v>
      </c>
      <c r="R1446" s="375" t="s">
        <v>188</v>
      </c>
      <c r="S1446" s="366"/>
      <c r="T1446" s="376"/>
      <c r="U1446" s="376"/>
      <c r="V1446" s="366"/>
      <c r="W1446" s="366"/>
    </row>
    <row r="1447" spans="1:23">
      <c r="A1447" s="1410"/>
      <c r="B1447" s="1413"/>
      <c r="C1447" s="845" t="s">
        <v>985</v>
      </c>
      <c r="D1447" s="875" t="str">
        <f>B1445&amp;C1447</f>
        <v>A131c</v>
      </c>
      <c r="E1447" s="367">
        <v>2</v>
      </c>
      <c r="F1447" s="669" t="s">
        <v>1007</v>
      </c>
      <c r="G1447" s="369">
        <v>0.9458333333333333</v>
      </c>
      <c r="H1447" s="368">
        <v>0.98263888888888884</v>
      </c>
      <c r="I1447" s="369">
        <v>0.99652777777777779</v>
      </c>
      <c r="J1447" s="368">
        <v>0</v>
      </c>
      <c r="K1447" s="669">
        <v>8</v>
      </c>
      <c r="L1447" s="669">
        <v>18</v>
      </c>
      <c r="M1447" s="675">
        <v>22.45</v>
      </c>
      <c r="N1447" s="671">
        <f>IF(M1447-P1447&gt;0,M1447-P1447,0)</f>
        <v>3.4499999999999993</v>
      </c>
      <c r="O1447" s="671">
        <f>O1446-K1447/(PI()*(U1443/2000)^2)</f>
        <v>14.834505690810467</v>
      </c>
      <c r="P1447" s="672">
        <v>19</v>
      </c>
      <c r="Q1447" s="673">
        <f>ABS(O1447-P1447)</f>
        <v>4.1654943091895333</v>
      </c>
      <c r="R1447" s="375" t="s">
        <v>188</v>
      </c>
      <c r="S1447" s="366"/>
      <c r="T1447" s="376"/>
      <c r="U1447" s="376"/>
      <c r="V1447" s="366"/>
      <c r="W1447" s="366"/>
    </row>
    <row r="1448" spans="1:23">
      <c r="A1448" s="1410"/>
      <c r="B1448" s="1413"/>
      <c r="C1448" s="845" t="s">
        <v>986</v>
      </c>
      <c r="D1448" s="875" t="str">
        <f>B1445&amp;C1448</f>
        <v>A131d</v>
      </c>
      <c r="E1448" s="367">
        <v>3</v>
      </c>
      <c r="F1448" s="669" t="s">
        <v>980</v>
      </c>
      <c r="G1448" s="369">
        <v>0.95694444444444438</v>
      </c>
      <c r="H1448" s="368">
        <v>0.98749999999999993</v>
      </c>
      <c r="I1448" s="369">
        <v>6.9444444444444441E-3</v>
      </c>
      <c r="J1448" s="368">
        <v>1.3888888888888888E-2</v>
      </c>
      <c r="K1448" s="669">
        <v>10</v>
      </c>
      <c r="L1448" s="669">
        <v>19</v>
      </c>
      <c r="M1448" s="675">
        <v>16.149999999999999</v>
      </c>
      <c r="N1448" s="671">
        <f>IF(M1448-P1448&gt;0,M1448-P1448,0)</f>
        <v>4.8499999999999979</v>
      </c>
      <c r="O1448" s="671">
        <f>O1447-K1448/(PI()*(U1443/2000)^2)</f>
        <v>5.992564407927393</v>
      </c>
      <c r="P1448" s="672">
        <v>11.3</v>
      </c>
      <c r="Q1448" s="673">
        <f>ABS(O1448-P1448)</f>
        <v>5.3074355920726077</v>
      </c>
      <c r="R1448" s="375" t="s">
        <v>188</v>
      </c>
      <c r="S1448" s="366"/>
      <c r="T1448" s="376"/>
      <c r="U1448" s="376"/>
      <c r="V1448" s="366"/>
      <c r="W1448" s="366"/>
    </row>
    <row r="1449" spans="1:23">
      <c r="A1449" s="1410"/>
      <c r="B1449" s="1413"/>
      <c r="C1449" s="845" t="s">
        <v>987</v>
      </c>
      <c r="D1449" s="875" t="str">
        <f>B1445&amp;C1449</f>
        <v>A131e</v>
      </c>
      <c r="E1449" s="367">
        <v>4</v>
      </c>
      <c r="F1449" s="669" t="s">
        <v>1019</v>
      </c>
      <c r="G1449" s="369">
        <v>2.2916666666666669E-2</v>
      </c>
      <c r="H1449" s="368">
        <v>4.1666666666666664E-2</v>
      </c>
      <c r="I1449" s="369">
        <v>4.5138888888888888E-2</v>
      </c>
      <c r="J1449" s="368">
        <v>4.8611111111111112E-2</v>
      </c>
      <c r="K1449" s="669">
        <v>6</v>
      </c>
      <c r="L1449" s="370">
        <v>19</v>
      </c>
      <c r="M1449" s="675">
        <v>13</v>
      </c>
      <c r="N1449" s="671">
        <f>IF(M1449-P1449&gt;0,M1449-P1449,0)</f>
        <v>6.2</v>
      </c>
      <c r="O1449" s="671">
        <f>O1448-K1449/(PI()*(U1443/2000)^2)</f>
        <v>0.68739963819754824</v>
      </c>
      <c r="P1449" s="373">
        <v>6.8</v>
      </c>
      <c r="Q1449" s="673">
        <f>ABS(O1449-P1449)</f>
        <v>6.1126003618024516</v>
      </c>
      <c r="R1449" s="375"/>
      <c r="S1449" s="366"/>
      <c r="T1449" s="376"/>
      <c r="U1449" s="376"/>
      <c r="V1449" s="366"/>
      <c r="W1449" s="366"/>
    </row>
    <row r="1450" spans="1:23">
      <c r="A1450" s="1410"/>
      <c r="B1450" s="1413"/>
      <c r="C1450" s="845" t="s">
        <v>988</v>
      </c>
      <c r="D1450" s="875" t="str">
        <f>B1445&amp;C1450</f>
        <v>A131f</v>
      </c>
      <c r="E1450" s="367">
        <v>5</v>
      </c>
      <c r="F1450" s="669"/>
      <c r="G1450" s="369"/>
      <c r="H1450" s="368"/>
      <c r="I1450" s="369"/>
      <c r="J1450" s="368"/>
      <c r="K1450" s="669"/>
      <c r="L1450" s="370"/>
      <c r="M1450" s="371"/>
      <c r="N1450" s="671"/>
      <c r="O1450" s="671"/>
      <c r="P1450" s="373"/>
      <c r="Q1450" s="673"/>
      <c r="R1450" s="377"/>
      <c r="S1450" s="366" t="s">
        <v>190</v>
      </c>
      <c r="T1450" s="376"/>
      <c r="U1450" s="376"/>
      <c r="V1450" s="366"/>
      <c r="W1450" s="366"/>
    </row>
    <row r="1451" spans="1:23">
      <c r="A1451" s="1410"/>
      <c r="B1451" s="1413"/>
      <c r="C1451" s="845" t="s">
        <v>989</v>
      </c>
      <c r="D1451" s="875" t="str">
        <f>B1445&amp;C1451</f>
        <v>A131g</v>
      </c>
      <c r="E1451" s="367">
        <v>6</v>
      </c>
      <c r="F1451" s="669"/>
      <c r="G1451" s="369"/>
      <c r="H1451" s="368"/>
      <c r="I1451" s="369"/>
      <c r="J1451" s="368"/>
      <c r="K1451" s="669"/>
      <c r="L1451" s="370"/>
      <c r="M1451" s="371"/>
      <c r="N1451" s="671"/>
      <c r="O1451" s="671"/>
      <c r="P1451" s="373"/>
      <c r="Q1451" s="673"/>
      <c r="R1451" s="375"/>
      <c r="S1451" s="366" t="s">
        <v>190</v>
      </c>
      <c r="T1451" s="366"/>
      <c r="U1451" s="366"/>
      <c r="V1451" s="366"/>
      <c r="W1451" s="366"/>
    </row>
    <row r="1452" spans="1:23">
      <c r="A1452" s="1410"/>
      <c r="B1452" s="1413"/>
      <c r="C1452" s="845" t="s">
        <v>990</v>
      </c>
      <c r="D1452" s="875" t="str">
        <f>B1445&amp;C1452</f>
        <v>A131h</v>
      </c>
      <c r="E1452" s="367">
        <v>7</v>
      </c>
      <c r="F1452" s="669"/>
      <c r="G1452" s="368"/>
      <c r="H1452" s="368"/>
      <c r="I1452" s="368"/>
      <c r="J1452" s="368"/>
      <c r="K1452" s="669"/>
      <c r="L1452" s="370"/>
      <c r="M1452" s="371"/>
      <c r="N1452" s="671"/>
      <c r="O1452" s="671"/>
      <c r="P1452" s="373"/>
      <c r="Q1452" s="673"/>
      <c r="R1452" s="377"/>
      <c r="S1452" s="366" t="s">
        <v>190</v>
      </c>
      <c r="T1452" s="366"/>
      <c r="U1452" s="366"/>
      <c r="V1452" s="366"/>
      <c r="W1452" s="366"/>
    </row>
    <row r="1453" spans="1:23">
      <c r="A1453" s="1410"/>
      <c r="B1453" s="1413"/>
      <c r="C1453" s="845" t="s">
        <v>991</v>
      </c>
      <c r="D1453" s="875" t="str">
        <f>B1445&amp;C1453</f>
        <v>A131i</v>
      </c>
      <c r="E1453" s="367">
        <v>8</v>
      </c>
      <c r="F1453" s="669"/>
      <c r="G1453" s="368"/>
      <c r="H1453" s="368"/>
      <c r="I1453" s="368"/>
      <c r="J1453" s="368"/>
      <c r="K1453" s="370"/>
      <c r="L1453" s="370"/>
      <c r="M1453" s="371"/>
      <c r="N1453" s="671"/>
      <c r="O1453" s="671"/>
      <c r="P1453" s="373"/>
      <c r="Q1453" s="673"/>
      <c r="R1453" s="378"/>
      <c r="S1453" s="366"/>
      <c r="T1453" s="366"/>
      <c r="U1453" s="366"/>
      <c r="V1453" s="366"/>
      <c r="W1453" s="366"/>
    </row>
    <row r="1454" spans="1:23">
      <c r="A1454" s="1410"/>
      <c r="B1454" s="1413"/>
      <c r="C1454" s="845" t="s">
        <v>992</v>
      </c>
      <c r="D1454" s="875" t="str">
        <f>B1445&amp;C1454</f>
        <v>A131k</v>
      </c>
      <c r="E1454" s="367">
        <v>9</v>
      </c>
      <c r="F1454" s="370"/>
      <c r="G1454" s="368"/>
      <c r="H1454" s="368"/>
      <c r="I1454" s="368"/>
      <c r="J1454" s="368"/>
      <c r="K1454" s="370"/>
      <c r="L1454" s="370"/>
      <c r="M1454" s="371"/>
      <c r="N1454" s="372"/>
      <c r="O1454" s="372"/>
      <c r="P1454" s="373"/>
      <c r="Q1454" s="374"/>
      <c r="R1454" s="378"/>
      <c r="S1454" s="379"/>
      <c r="T1454" s="366"/>
      <c r="U1454" s="366"/>
      <c r="V1454" s="366"/>
      <c r="W1454" s="366"/>
    </row>
    <row r="1455" spans="1:23">
      <c r="A1455" s="1410"/>
      <c r="B1455" s="1413"/>
      <c r="C1455" s="845" t="s">
        <v>993</v>
      </c>
      <c r="D1455" s="875" t="str">
        <f>B1445&amp;C1455</f>
        <v>A131l</v>
      </c>
      <c r="E1455" s="367">
        <v>10</v>
      </c>
      <c r="F1455" s="370"/>
      <c r="G1455" s="368"/>
      <c r="H1455" s="368"/>
      <c r="I1455" s="368"/>
      <c r="J1455" s="368"/>
      <c r="K1455" s="370"/>
      <c r="L1455" s="370"/>
      <c r="M1455" s="370"/>
      <c r="N1455" s="372"/>
      <c r="O1455" s="372"/>
      <c r="P1455" s="373"/>
      <c r="Q1455" s="374"/>
      <c r="R1455" s="378"/>
      <c r="S1455" s="379"/>
      <c r="T1455" s="366"/>
      <c r="U1455" s="366"/>
      <c r="V1455" s="366"/>
      <c r="W1455" s="366"/>
    </row>
    <row r="1456" spans="1:23">
      <c r="A1456" s="1410"/>
      <c r="B1456" s="1413"/>
      <c r="C1456" s="845" t="s">
        <v>994</v>
      </c>
      <c r="D1456" s="875" t="str">
        <f>B1445&amp;C1456</f>
        <v>A131m</v>
      </c>
      <c r="E1456" s="367">
        <v>11</v>
      </c>
      <c r="F1456" s="370"/>
      <c r="G1456" s="368"/>
      <c r="H1456" s="368"/>
      <c r="I1456" s="368"/>
      <c r="J1456" s="368"/>
      <c r="K1456" s="370"/>
      <c r="L1456" s="370"/>
      <c r="M1456" s="370"/>
      <c r="N1456" s="372"/>
      <c r="O1456" s="372"/>
      <c r="P1456" s="380"/>
      <c r="Q1456" s="374"/>
      <c r="R1456" s="381"/>
      <c r="S1456" s="379"/>
      <c r="T1456" s="366"/>
      <c r="U1456" s="366"/>
      <c r="V1456" s="366"/>
      <c r="W1456" s="366"/>
    </row>
    <row r="1457" spans="1:23">
      <c r="A1457" s="1410"/>
      <c r="B1457" s="1413"/>
      <c r="C1457" s="845" t="s">
        <v>995</v>
      </c>
      <c r="D1457" s="875" t="str">
        <f>B1445&amp;C1457</f>
        <v>A131n</v>
      </c>
      <c r="E1457" s="367">
        <v>12</v>
      </c>
      <c r="F1457" s="370"/>
      <c r="G1457" s="368"/>
      <c r="H1457" s="368"/>
      <c r="I1457" s="368"/>
      <c r="J1457" s="368"/>
      <c r="K1457" s="370"/>
      <c r="L1457" s="370"/>
      <c r="M1457" s="370"/>
      <c r="N1457" s="372"/>
      <c r="O1457" s="372"/>
      <c r="P1457" s="380"/>
      <c r="Q1457" s="374"/>
      <c r="R1457" s="381"/>
      <c r="S1457" s="361"/>
      <c r="T1457" s="361"/>
      <c r="U1457" s="361"/>
      <c r="V1457" s="366"/>
      <c r="W1457" s="366"/>
    </row>
    <row r="1458" spans="1:23">
      <c r="A1458" s="1410"/>
      <c r="B1458" s="1413"/>
      <c r="C1458" s="845" t="s">
        <v>471</v>
      </c>
      <c r="D1458" s="875" t="str">
        <f>B1445&amp;C1458</f>
        <v>A131x</v>
      </c>
      <c r="E1458" s="367">
        <v>13</v>
      </c>
      <c r="F1458" s="370"/>
      <c r="G1458" s="368"/>
      <c r="H1458" s="368"/>
      <c r="I1458" s="368"/>
      <c r="J1458" s="368"/>
      <c r="K1458" s="370"/>
      <c r="L1458" s="370"/>
      <c r="M1458" s="370"/>
      <c r="N1458" s="382"/>
      <c r="O1458" s="372"/>
      <c r="P1458" s="380"/>
      <c r="Q1458" s="381"/>
      <c r="R1458" s="381"/>
      <c r="S1458" s="361"/>
      <c r="T1458" s="361"/>
      <c r="U1458" s="361"/>
      <c r="V1458" s="366"/>
      <c r="W1458" s="366"/>
    </row>
    <row r="1459" spans="1:23">
      <c r="A1459" s="1410"/>
      <c r="B1459" s="1413"/>
      <c r="C1459" s="845" t="s">
        <v>732</v>
      </c>
      <c r="D1459" s="875" t="str">
        <f>B1445&amp;C1459</f>
        <v>A131y</v>
      </c>
      <c r="E1459" s="367">
        <v>14</v>
      </c>
      <c r="F1459" s="370"/>
      <c r="G1459" s="368"/>
      <c r="H1459" s="368"/>
      <c r="I1459" s="368"/>
      <c r="J1459" s="368"/>
      <c r="K1459" s="370"/>
      <c r="L1459" s="370"/>
      <c r="M1459" s="370"/>
      <c r="N1459" s="382"/>
      <c r="O1459" s="372"/>
      <c r="P1459" s="380"/>
      <c r="Q1459" s="381"/>
      <c r="R1459" s="381"/>
      <c r="S1459" s="361"/>
      <c r="T1459" s="361"/>
      <c r="U1459" s="362"/>
      <c r="V1459" s="366"/>
      <c r="W1459" s="366"/>
    </row>
    <row r="1460" spans="1:23">
      <c r="A1460" s="1411"/>
      <c r="B1460" s="1414"/>
      <c r="C1460" s="846" t="s">
        <v>996</v>
      </c>
      <c r="D1460" s="876" t="str">
        <f>B1445&amp;C1460</f>
        <v>A131z</v>
      </c>
      <c r="E1460" s="847">
        <v>15</v>
      </c>
      <c r="F1460" s="370"/>
      <c r="G1460" s="368"/>
      <c r="H1460" s="368"/>
      <c r="I1460" s="368"/>
      <c r="J1460" s="368"/>
      <c r="K1460" s="370"/>
      <c r="L1460" s="370"/>
      <c r="M1460" s="370"/>
      <c r="N1460" s="850"/>
      <c r="O1460" s="851"/>
      <c r="P1460" s="380"/>
      <c r="Q1460" s="852"/>
      <c r="R1460" s="383"/>
      <c r="S1460" s="361"/>
      <c r="T1460" s="832"/>
      <c r="U1460" s="830"/>
      <c r="V1460" s="366"/>
      <c r="W1460" s="366"/>
    </row>
    <row r="1461" spans="1:23">
      <c r="A1461" s="1400" t="s">
        <v>939</v>
      </c>
      <c r="B1461" s="1400"/>
      <c r="C1461" s="827"/>
      <c r="D1461" s="871"/>
      <c r="E1461" s="1400" t="s">
        <v>177</v>
      </c>
      <c r="F1461" s="1400" t="s">
        <v>18</v>
      </c>
      <c r="G1461" s="1389" t="s">
        <v>19</v>
      </c>
      <c r="H1461" s="1390"/>
      <c r="I1461" s="1389" t="s">
        <v>22</v>
      </c>
      <c r="J1461" s="1390"/>
      <c r="K1461" s="1393" t="s">
        <v>26</v>
      </c>
      <c r="L1461" s="1390"/>
      <c r="M1461" s="1389" t="s">
        <v>392</v>
      </c>
      <c r="N1461" s="1390"/>
      <c r="O1461" s="1389" t="s">
        <v>28</v>
      </c>
      <c r="P1461" s="1393"/>
      <c r="Q1461" s="1390"/>
      <c r="R1461" s="1400" t="s">
        <v>36</v>
      </c>
      <c r="S1461" s="361"/>
      <c r="T1461" s="361">
        <f>MAX(J1465:J1479)-MIN(I1465:I1479)</f>
        <v>0.99652777777777779</v>
      </c>
      <c r="U1461" s="361"/>
      <c r="V1461" s="853" t="str">
        <f t="shared" ref="V1461" si="154">B1465</f>
        <v>A39</v>
      </c>
      <c r="W1461" s="361">
        <f t="shared" ref="W1461" si="155">COUNTIF(K1466:K1480,"&gt;0")</f>
        <v>5</v>
      </c>
    </row>
    <row r="1462" spans="1:23">
      <c r="A1462" s="1401"/>
      <c r="B1462" s="1401"/>
      <c r="C1462" s="828"/>
      <c r="D1462" s="872"/>
      <c r="E1462" s="1401"/>
      <c r="F1462" s="1401"/>
      <c r="G1462" s="1391"/>
      <c r="H1462" s="1392"/>
      <c r="I1462" s="1391"/>
      <c r="J1462" s="1392"/>
      <c r="K1462" s="1394"/>
      <c r="L1462" s="1392"/>
      <c r="M1462" s="1391"/>
      <c r="N1462" s="1392"/>
      <c r="O1462" s="1391"/>
      <c r="P1462" s="1394"/>
      <c r="Q1462" s="1392"/>
      <c r="R1462" s="1401"/>
      <c r="S1462" s="361"/>
      <c r="T1462" s="361"/>
      <c r="U1462" s="361"/>
      <c r="V1462" s="361"/>
      <c r="W1462" s="361"/>
    </row>
    <row r="1463" spans="1:23">
      <c r="A1463" s="1401"/>
      <c r="B1463" s="1401"/>
      <c r="C1463" s="828"/>
      <c r="D1463" s="872"/>
      <c r="E1463" s="1401"/>
      <c r="F1463" s="1401"/>
      <c r="G1463" s="1400" t="s">
        <v>20</v>
      </c>
      <c r="H1463" s="1400" t="s">
        <v>21</v>
      </c>
      <c r="I1463" s="1400" t="s">
        <v>361</v>
      </c>
      <c r="J1463" s="1400" t="s">
        <v>353</v>
      </c>
      <c r="K1463" s="1400" t="s">
        <v>23</v>
      </c>
      <c r="L1463" s="1400" t="s">
        <v>24</v>
      </c>
      <c r="M1463" s="1400" t="s">
        <v>27</v>
      </c>
      <c r="N1463" s="1400" t="s">
        <v>178</v>
      </c>
      <c r="O1463" s="1400" t="s">
        <v>1</v>
      </c>
      <c r="P1463" s="1400" t="s">
        <v>29</v>
      </c>
      <c r="Q1463" s="1400" t="s">
        <v>33</v>
      </c>
      <c r="R1463" s="1401"/>
      <c r="S1463" s="361"/>
      <c r="T1463" s="361" t="s">
        <v>39</v>
      </c>
      <c r="U1463" s="362">
        <f>VLOOKUP(B1465,'Thong tin'!$A:$M,13,0)</f>
        <v>1200</v>
      </c>
      <c r="V1463" s="361"/>
      <c r="W1463" s="361"/>
    </row>
    <row r="1464" spans="1:23">
      <c r="A1464" s="1402"/>
      <c r="B1464" s="1402"/>
      <c r="C1464" s="829"/>
      <c r="D1464" s="873"/>
      <c r="E1464" s="1402"/>
      <c r="F1464" s="1402"/>
      <c r="G1464" s="1402"/>
      <c r="H1464" s="1402"/>
      <c r="I1464" s="1402"/>
      <c r="J1464" s="1402"/>
      <c r="K1464" s="1402"/>
      <c r="L1464" s="1402"/>
      <c r="M1464" s="1402"/>
      <c r="N1464" s="1402"/>
      <c r="O1464" s="1402"/>
      <c r="P1464" s="1402"/>
      <c r="Q1464" s="1402"/>
      <c r="R1464" s="1402"/>
      <c r="S1464" s="361"/>
      <c r="T1464" s="1399" t="s">
        <v>393</v>
      </c>
      <c r="U1464" s="1397">
        <f>VLOOKUP(B1465,DT.NK!$B:$AZ,45,0)</f>
        <v>35.65</v>
      </c>
      <c r="V1464" s="361"/>
      <c r="W1464" s="361"/>
    </row>
    <row r="1465" spans="1:23">
      <c r="A1465" s="1409">
        <f>A1445+1</f>
        <v>74</v>
      </c>
      <c r="B1465" s="1412" t="s">
        <v>676</v>
      </c>
      <c r="C1465" s="844" t="s">
        <v>983</v>
      </c>
      <c r="D1465" s="874" t="str">
        <f>B1465&amp;C1465</f>
        <v>A39a</v>
      </c>
      <c r="E1465" s="363"/>
      <c r="F1465" s="364"/>
      <c r="G1465" s="364"/>
      <c r="H1465" s="364"/>
      <c r="I1465" s="364"/>
      <c r="J1465" s="364"/>
      <c r="K1465" s="364"/>
      <c r="L1465" s="364"/>
      <c r="M1465" s="674"/>
      <c r="N1465" s="670"/>
      <c r="O1465" s="670">
        <f>U1464</f>
        <v>35.65</v>
      </c>
      <c r="P1465" s="670">
        <f>O1465</f>
        <v>35.65</v>
      </c>
      <c r="Q1465" s="670">
        <v>0</v>
      </c>
      <c r="R1465" s="365"/>
      <c r="S1465" s="366"/>
      <c r="T1465" s="1399"/>
      <c r="U1465" s="1398"/>
      <c r="V1465" s="361"/>
      <c r="W1465" s="361"/>
    </row>
    <row r="1466" spans="1:23">
      <c r="A1466" s="1410"/>
      <c r="B1466" s="1413"/>
      <c r="C1466" s="845" t="s">
        <v>984</v>
      </c>
      <c r="D1466" s="875" t="str">
        <f>B1465&amp;C1466</f>
        <v>A39b</v>
      </c>
      <c r="E1466" s="367">
        <v>1</v>
      </c>
      <c r="F1466" s="669" t="s">
        <v>1008</v>
      </c>
      <c r="G1466" s="369">
        <v>0.9159722222222223</v>
      </c>
      <c r="H1466" s="368">
        <v>0.94444444444444453</v>
      </c>
      <c r="I1466" s="369">
        <v>0.96875</v>
      </c>
      <c r="J1466" s="368">
        <v>0.97569444444444453</v>
      </c>
      <c r="K1466" s="669">
        <v>11</v>
      </c>
      <c r="L1466" s="669">
        <v>19</v>
      </c>
      <c r="M1466" s="675">
        <v>34.65</v>
      </c>
      <c r="N1466" s="671">
        <f>IF(M1466-P1466&gt;0,M1466-P1466,0)</f>
        <v>4.2099999999999973</v>
      </c>
      <c r="O1466" s="671">
        <f>O1465-K1466/(PI()*(U1463/2000)^2)</f>
        <v>25.923864588828614</v>
      </c>
      <c r="P1466" s="672">
        <v>30.44</v>
      </c>
      <c r="Q1466" s="673">
        <f>ABS(O1466-P1466)</f>
        <v>4.5161354111713869</v>
      </c>
      <c r="R1466" s="375" t="s">
        <v>188</v>
      </c>
      <c r="S1466" s="366"/>
      <c r="T1466" s="376"/>
      <c r="U1466" s="376"/>
      <c r="V1466" s="366"/>
      <c r="W1466" s="366"/>
    </row>
    <row r="1467" spans="1:23">
      <c r="A1467" s="1410"/>
      <c r="B1467" s="1413"/>
      <c r="C1467" s="845" t="s">
        <v>985</v>
      </c>
      <c r="D1467" s="875" t="str">
        <f>B1465&amp;C1467</f>
        <v>A39c</v>
      </c>
      <c r="E1467" s="367">
        <v>2</v>
      </c>
      <c r="F1467" s="669" t="s">
        <v>1014</v>
      </c>
      <c r="G1467" s="369">
        <v>0.94027777777777777</v>
      </c>
      <c r="H1467" s="368">
        <v>0.95833333333333337</v>
      </c>
      <c r="I1467" s="369">
        <v>0.98611111111111116</v>
      </c>
      <c r="J1467" s="368">
        <v>0.99652777777777779</v>
      </c>
      <c r="K1467" s="669">
        <v>10</v>
      </c>
      <c r="L1467" s="669">
        <v>19</v>
      </c>
      <c r="M1467" s="675">
        <v>28.35</v>
      </c>
      <c r="N1467" s="671">
        <f>IF(M1467-P1467&gt;0,M1467-P1467,0)</f>
        <v>2.75</v>
      </c>
      <c r="O1467" s="671">
        <f>O1466-K1467/(PI()*(U1463/2000)^2)</f>
        <v>17.081923305945541</v>
      </c>
      <c r="P1467" s="672">
        <v>25.6</v>
      </c>
      <c r="Q1467" s="673">
        <f>ABS(O1467-P1467)</f>
        <v>8.5180766940544608</v>
      </c>
      <c r="R1467" s="375" t="s">
        <v>188</v>
      </c>
      <c r="S1467" s="366"/>
      <c r="T1467" s="376"/>
      <c r="U1467" s="376"/>
      <c r="V1467" s="366"/>
      <c r="W1467" s="366"/>
    </row>
    <row r="1468" spans="1:23">
      <c r="A1468" s="1410"/>
      <c r="B1468" s="1413"/>
      <c r="C1468" s="845" t="s">
        <v>986</v>
      </c>
      <c r="D1468" s="875" t="str">
        <f>B1465&amp;C1468</f>
        <v>A39d</v>
      </c>
      <c r="E1468" s="367">
        <v>3</v>
      </c>
      <c r="F1468" s="669" t="s">
        <v>1007</v>
      </c>
      <c r="G1468" s="369">
        <v>0.9375</v>
      </c>
      <c r="H1468" s="368">
        <v>0.95138888888888884</v>
      </c>
      <c r="I1468" s="369">
        <v>0</v>
      </c>
      <c r="J1468" s="368">
        <v>1.0416666666666666E-2</v>
      </c>
      <c r="K1468" s="669">
        <v>11</v>
      </c>
      <c r="L1468" s="669">
        <v>20</v>
      </c>
      <c r="M1468" s="675">
        <v>22.05</v>
      </c>
      <c r="N1468" s="671">
        <f>IF(M1468-P1468&gt;0,M1468-P1468,0)</f>
        <v>4.25</v>
      </c>
      <c r="O1468" s="671">
        <f>O1467-K1468/(PI()*(U1463/2000)^2)</f>
        <v>7.3557878947741582</v>
      </c>
      <c r="P1468" s="672">
        <v>17.8</v>
      </c>
      <c r="Q1468" s="673">
        <f>ABS(O1468-P1468)</f>
        <v>10.444212105225843</v>
      </c>
      <c r="R1468" s="375"/>
      <c r="S1468" s="366"/>
      <c r="T1468" s="376"/>
      <c r="U1468" s="376"/>
      <c r="V1468" s="366"/>
      <c r="W1468" s="366"/>
    </row>
    <row r="1469" spans="1:23">
      <c r="A1469" s="1410"/>
      <c r="B1469" s="1413"/>
      <c r="C1469" s="845" t="s">
        <v>987</v>
      </c>
      <c r="D1469" s="875" t="str">
        <f>B1465&amp;C1469</f>
        <v>A39e</v>
      </c>
      <c r="E1469" s="367">
        <v>4</v>
      </c>
      <c r="F1469" s="669" t="s">
        <v>1019</v>
      </c>
      <c r="G1469" s="369">
        <v>1.1111111111111112E-2</v>
      </c>
      <c r="H1469" s="368">
        <v>3.4722222222222224E-2</v>
      </c>
      <c r="I1469" s="369">
        <v>3.6111111111111115E-2</v>
      </c>
      <c r="J1469" s="368">
        <v>5.2083333333333336E-2</v>
      </c>
      <c r="K1469" s="669">
        <v>10</v>
      </c>
      <c r="L1469" s="370">
        <v>19</v>
      </c>
      <c r="M1469" s="675">
        <v>12.6</v>
      </c>
      <c r="N1469" s="671">
        <f>IF(M1469-P1469&gt;0,M1469-P1469,0)</f>
        <v>3.5</v>
      </c>
      <c r="O1469" s="671">
        <f>O1468-K1469/(PI()*(U1463/2000)^2)</f>
        <v>-1.4861533881089155</v>
      </c>
      <c r="P1469" s="373">
        <v>9.1</v>
      </c>
      <c r="Q1469" s="673">
        <f>ABS(O1469-P1469)</f>
        <v>10.586153388108915</v>
      </c>
      <c r="R1469" s="375" t="s">
        <v>188</v>
      </c>
      <c r="S1469" s="366"/>
      <c r="T1469" s="376"/>
      <c r="U1469" s="376"/>
      <c r="V1469" s="366"/>
      <c r="W1469" s="366"/>
    </row>
    <row r="1470" spans="1:23">
      <c r="A1470" s="1410"/>
      <c r="B1470" s="1413"/>
      <c r="C1470" s="845" t="s">
        <v>988</v>
      </c>
      <c r="D1470" s="875" t="str">
        <f>B1465&amp;C1470</f>
        <v>A39f</v>
      </c>
      <c r="E1470" s="367">
        <v>5</v>
      </c>
      <c r="F1470" s="669" t="s">
        <v>1008</v>
      </c>
      <c r="G1470" s="369">
        <v>4.8611111111111112E-2</v>
      </c>
      <c r="H1470" s="368">
        <v>6.3194444444444442E-2</v>
      </c>
      <c r="I1470" s="369">
        <v>6.5972222222222224E-2</v>
      </c>
      <c r="J1470" s="368">
        <v>7.3611111111111113E-2</v>
      </c>
      <c r="K1470" s="669">
        <v>1.5</v>
      </c>
      <c r="L1470" s="370">
        <v>18</v>
      </c>
      <c r="M1470" s="675">
        <v>12.6</v>
      </c>
      <c r="N1470" s="671"/>
      <c r="O1470" s="671"/>
      <c r="P1470" s="373">
        <v>7.9</v>
      </c>
      <c r="Q1470" s="673"/>
      <c r="R1470" s="377"/>
      <c r="S1470" s="366" t="s">
        <v>190</v>
      </c>
      <c r="T1470" s="376"/>
      <c r="U1470" s="376"/>
      <c r="V1470" s="366"/>
      <c r="W1470" s="366"/>
    </row>
    <row r="1471" spans="1:23">
      <c r="A1471" s="1410"/>
      <c r="B1471" s="1413"/>
      <c r="C1471" s="845" t="s">
        <v>989</v>
      </c>
      <c r="D1471" s="875" t="str">
        <f>B1465&amp;C1471</f>
        <v>A39g</v>
      </c>
      <c r="E1471" s="367">
        <v>6</v>
      </c>
      <c r="F1471" s="669"/>
      <c r="G1471" s="369"/>
      <c r="H1471" s="368"/>
      <c r="I1471" s="369"/>
      <c r="J1471" s="368"/>
      <c r="K1471" s="669"/>
      <c r="L1471" s="370"/>
      <c r="M1471" s="371"/>
      <c r="N1471" s="671"/>
      <c r="O1471" s="671"/>
      <c r="P1471" s="373"/>
      <c r="Q1471" s="673"/>
      <c r="R1471" s="375"/>
      <c r="S1471" s="366" t="s">
        <v>190</v>
      </c>
      <c r="T1471" s="366"/>
      <c r="U1471" s="366"/>
      <c r="V1471" s="366"/>
      <c r="W1471" s="366"/>
    </row>
    <row r="1472" spans="1:23">
      <c r="A1472" s="1410"/>
      <c r="B1472" s="1413"/>
      <c r="C1472" s="845" t="s">
        <v>990</v>
      </c>
      <c r="D1472" s="875" t="str">
        <f>B1465&amp;C1472</f>
        <v>A39h</v>
      </c>
      <c r="E1472" s="367">
        <v>7</v>
      </c>
      <c r="F1472" s="669"/>
      <c r="G1472" s="368"/>
      <c r="H1472" s="368"/>
      <c r="I1472" s="368"/>
      <c r="J1472" s="368"/>
      <c r="K1472" s="669"/>
      <c r="L1472" s="370"/>
      <c r="M1472" s="371"/>
      <c r="N1472" s="671"/>
      <c r="O1472" s="671"/>
      <c r="P1472" s="373"/>
      <c r="Q1472" s="673"/>
      <c r="R1472" s="377"/>
      <c r="S1472" s="366" t="s">
        <v>190</v>
      </c>
      <c r="T1472" s="366"/>
      <c r="U1472" s="366"/>
      <c r="V1472" s="366"/>
      <c r="W1472" s="366"/>
    </row>
    <row r="1473" spans="1:23">
      <c r="A1473" s="1410"/>
      <c r="B1473" s="1413"/>
      <c r="C1473" s="845" t="s">
        <v>991</v>
      </c>
      <c r="D1473" s="875" t="str">
        <f>B1465&amp;C1473</f>
        <v>A39i</v>
      </c>
      <c r="E1473" s="367">
        <v>8</v>
      </c>
      <c r="F1473" s="669"/>
      <c r="G1473" s="368"/>
      <c r="H1473" s="368"/>
      <c r="I1473" s="368"/>
      <c r="J1473" s="368"/>
      <c r="K1473" s="370"/>
      <c r="L1473" s="370"/>
      <c r="M1473" s="371"/>
      <c r="N1473" s="671"/>
      <c r="O1473" s="671"/>
      <c r="P1473" s="373"/>
      <c r="Q1473" s="673"/>
      <c r="R1473" s="378"/>
      <c r="S1473" s="366"/>
      <c r="T1473" s="366"/>
      <c r="U1473" s="366"/>
      <c r="V1473" s="366"/>
      <c r="W1473" s="366"/>
    </row>
    <row r="1474" spans="1:23">
      <c r="A1474" s="1410"/>
      <c r="B1474" s="1413"/>
      <c r="C1474" s="845" t="s">
        <v>992</v>
      </c>
      <c r="D1474" s="875" t="str">
        <f>B1465&amp;C1474</f>
        <v>A39k</v>
      </c>
      <c r="E1474" s="367">
        <v>9</v>
      </c>
      <c r="F1474" s="370"/>
      <c r="G1474" s="368"/>
      <c r="H1474" s="368"/>
      <c r="I1474" s="368"/>
      <c r="J1474" s="368"/>
      <c r="K1474" s="370"/>
      <c r="L1474" s="370"/>
      <c r="M1474" s="371"/>
      <c r="N1474" s="372"/>
      <c r="O1474" s="372"/>
      <c r="P1474" s="373"/>
      <c r="Q1474" s="374"/>
      <c r="R1474" s="378"/>
      <c r="S1474" s="379"/>
      <c r="T1474" s="366"/>
      <c r="U1474" s="366"/>
      <c r="V1474" s="366"/>
      <c r="W1474" s="366"/>
    </row>
    <row r="1475" spans="1:23">
      <c r="A1475" s="1410"/>
      <c r="B1475" s="1413"/>
      <c r="C1475" s="845" t="s">
        <v>993</v>
      </c>
      <c r="D1475" s="875" t="str">
        <f>B1465&amp;C1475</f>
        <v>A39l</v>
      </c>
      <c r="E1475" s="367">
        <v>10</v>
      </c>
      <c r="F1475" s="370"/>
      <c r="G1475" s="368"/>
      <c r="H1475" s="368"/>
      <c r="I1475" s="368"/>
      <c r="J1475" s="368"/>
      <c r="K1475" s="370"/>
      <c r="L1475" s="370"/>
      <c r="M1475" s="370"/>
      <c r="N1475" s="372"/>
      <c r="O1475" s="372"/>
      <c r="P1475" s="373"/>
      <c r="Q1475" s="374"/>
      <c r="R1475" s="378"/>
      <c r="S1475" s="379"/>
      <c r="T1475" s="366"/>
      <c r="U1475" s="366"/>
      <c r="V1475" s="366"/>
      <c r="W1475" s="366"/>
    </row>
    <row r="1476" spans="1:23">
      <c r="A1476" s="1410"/>
      <c r="B1476" s="1413"/>
      <c r="C1476" s="845" t="s">
        <v>994</v>
      </c>
      <c r="D1476" s="875" t="str">
        <f>B1465&amp;C1476</f>
        <v>A39m</v>
      </c>
      <c r="E1476" s="367">
        <v>11</v>
      </c>
      <c r="F1476" s="370"/>
      <c r="G1476" s="368"/>
      <c r="H1476" s="368"/>
      <c r="I1476" s="368"/>
      <c r="J1476" s="368"/>
      <c r="K1476" s="370"/>
      <c r="L1476" s="370"/>
      <c r="M1476" s="370"/>
      <c r="N1476" s="372"/>
      <c r="O1476" s="372"/>
      <c r="P1476" s="380"/>
      <c r="Q1476" s="374"/>
      <c r="R1476" s="381"/>
      <c r="S1476" s="379"/>
      <c r="T1476" s="366"/>
      <c r="U1476" s="366"/>
      <c r="V1476" s="366"/>
      <c r="W1476" s="366"/>
    </row>
    <row r="1477" spans="1:23">
      <c r="A1477" s="1410"/>
      <c r="B1477" s="1413"/>
      <c r="C1477" s="845" t="s">
        <v>995</v>
      </c>
      <c r="D1477" s="875" t="str">
        <f>B1465&amp;C1477</f>
        <v>A39n</v>
      </c>
      <c r="E1477" s="367">
        <v>12</v>
      </c>
      <c r="F1477" s="370"/>
      <c r="G1477" s="368"/>
      <c r="H1477" s="368"/>
      <c r="I1477" s="368"/>
      <c r="J1477" s="368"/>
      <c r="K1477" s="370"/>
      <c r="L1477" s="370"/>
      <c r="M1477" s="370"/>
      <c r="N1477" s="372"/>
      <c r="O1477" s="372"/>
      <c r="P1477" s="380"/>
      <c r="Q1477" s="374"/>
      <c r="R1477" s="381"/>
      <c r="S1477" s="361"/>
      <c r="T1477" s="361"/>
      <c r="U1477" s="361"/>
      <c r="V1477" s="366"/>
      <c r="W1477" s="366"/>
    </row>
    <row r="1478" spans="1:23">
      <c r="A1478" s="1410"/>
      <c r="B1478" s="1413"/>
      <c r="C1478" s="845" t="s">
        <v>471</v>
      </c>
      <c r="D1478" s="875" t="str">
        <f>B1465&amp;C1478</f>
        <v>A39x</v>
      </c>
      <c r="E1478" s="367">
        <v>13</v>
      </c>
      <c r="F1478" s="370"/>
      <c r="G1478" s="368"/>
      <c r="H1478" s="368"/>
      <c r="I1478" s="368"/>
      <c r="J1478" s="368"/>
      <c r="K1478" s="370"/>
      <c r="L1478" s="370"/>
      <c r="M1478" s="370"/>
      <c r="N1478" s="382"/>
      <c r="O1478" s="372"/>
      <c r="P1478" s="380"/>
      <c r="Q1478" s="381"/>
      <c r="R1478" s="381"/>
      <c r="S1478" s="361"/>
      <c r="T1478" s="361"/>
      <c r="U1478" s="361"/>
      <c r="V1478" s="366"/>
      <c r="W1478" s="366"/>
    </row>
    <row r="1479" spans="1:23">
      <c r="A1479" s="1410"/>
      <c r="B1479" s="1413"/>
      <c r="C1479" s="845" t="s">
        <v>732</v>
      </c>
      <c r="D1479" s="875" t="str">
        <f>B1465&amp;C1479</f>
        <v>A39y</v>
      </c>
      <c r="E1479" s="367">
        <v>14</v>
      </c>
      <c r="F1479" s="370"/>
      <c r="G1479" s="368"/>
      <c r="H1479" s="368"/>
      <c r="I1479" s="368"/>
      <c r="J1479" s="368"/>
      <c r="K1479" s="370"/>
      <c r="L1479" s="370"/>
      <c r="M1479" s="370"/>
      <c r="N1479" s="382"/>
      <c r="O1479" s="372"/>
      <c r="P1479" s="380"/>
      <c r="Q1479" s="381"/>
      <c r="R1479" s="381"/>
      <c r="S1479" s="361"/>
      <c r="T1479" s="361"/>
      <c r="U1479" s="362"/>
      <c r="V1479" s="366"/>
      <c r="W1479" s="366"/>
    </row>
    <row r="1480" spans="1:23">
      <c r="A1480" s="1411"/>
      <c r="B1480" s="1414"/>
      <c r="C1480" s="846" t="s">
        <v>996</v>
      </c>
      <c r="D1480" s="876" t="str">
        <f>B1465&amp;C1480</f>
        <v>A39z</v>
      </c>
      <c r="E1480" s="847">
        <v>15</v>
      </c>
      <c r="F1480" s="370"/>
      <c r="G1480" s="368"/>
      <c r="H1480" s="368"/>
      <c r="I1480" s="368"/>
      <c r="J1480" s="368"/>
      <c r="K1480" s="370"/>
      <c r="L1480" s="370"/>
      <c r="M1480" s="370"/>
      <c r="N1480" s="850"/>
      <c r="O1480" s="851"/>
      <c r="P1480" s="380"/>
      <c r="Q1480" s="852"/>
      <c r="R1480" s="383"/>
      <c r="S1480" s="361"/>
      <c r="T1480" s="832"/>
      <c r="U1480" s="830"/>
      <c r="V1480" s="366"/>
      <c r="W1480" s="366"/>
    </row>
    <row r="1481" spans="1:23">
      <c r="A1481" s="1400" t="s">
        <v>939</v>
      </c>
      <c r="B1481" s="1400"/>
      <c r="C1481" s="827"/>
      <c r="D1481" s="871"/>
      <c r="E1481" s="1400" t="s">
        <v>177</v>
      </c>
      <c r="F1481" s="1400" t="s">
        <v>18</v>
      </c>
      <c r="G1481" s="1389" t="s">
        <v>19</v>
      </c>
      <c r="H1481" s="1390"/>
      <c r="I1481" s="1389" t="s">
        <v>22</v>
      </c>
      <c r="J1481" s="1390"/>
      <c r="K1481" s="1393" t="s">
        <v>26</v>
      </c>
      <c r="L1481" s="1390"/>
      <c r="M1481" s="1389" t="s">
        <v>392</v>
      </c>
      <c r="N1481" s="1390"/>
      <c r="O1481" s="1389" t="s">
        <v>28</v>
      </c>
      <c r="P1481" s="1393"/>
      <c r="Q1481" s="1390"/>
      <c r="R1481" s="1400" t="s">
        <v>36</v>
      </c>
      <c r="S1481" s="361"/>
      <c r="T1481" s="361">
        <f>MAX(J1485:J1499)-MIN(I1485:I1499)</f>
        <v>0.2326388888888889</v>
      </c>
      <c r="U1481" s="361"/>
      <c r="V1481" s="853" t="str">
        <f t="shared" ref="V1481" si="156">B1485</f>
        <v>A42</v>
      </c>
      <c r="W1481" s="361">
        <f t="shared" ref="W1481" si="157">COUNTIF(K1486:K1500,"&gt;0")</f>
        <v>7</v>
      </c>
    </row>
    <row r="1482" spans="1:23">
      <c r="A1482" s="1401"/>
      <c r="B1482" s="1401"/>
      <c r="C1482" s="828"/>
      <c r="D1482" s="872"/>
      <c r="E1482" s="1401"/>
      <c r="F1482" s="1401"/>
      <c r="G1482" s="1391"/>
      <c r="H1482" s="1392"/>
      <c r="I1482" s="1391"/>
      <c r="J1482" s="1392"/>
      <c r="K1482" s="1394"/>
      <c r="L1482" s="1392"/>
      <c r="M1482" s="1391"/>
      <c r="N1482" s="1392"/>
      <c r="O1482" s="1391"/>
      <c r="P1482" s="1394"/>
      <c r="Q1482" s="1392"/>
      <c r="R1482" s="1401"/>
      <c r="S1482" s="361"/>
      <c r="T1482" s="361"/>
      <c r="U1482" s="361"/>
      <c r="V1482" s="361"/>
      <c r="W1482" s="361"/>
    </row>
    <row r="1483" spans="1:23">
      <c r="A1483" s="1401"/>
      <c r="B1483" s="1401"/>
      <c r="C1483" s="828"/>
      <c r="D1483" s="872"/>
      <c r="E1483" s="1401"/>
      <c r="F1483" s="1401"/>
      <c r="G1483" s="1400" t="s">
        <v>20</v>
      </c>
      <c r="H1483" s="1400" t="s">
        <v>21</v>
      </c>
      <c r="I1483" s="1400" t="s">
        <v>361</v>
      </c>
      <c r="J1483" s="1400" t="s">
        <v>353</v>
      </c>
      <c r="K1483" s="1400" t="s">
        <v>23</v>
      </c>
      <c r="L1483" s="1400" t="s">
        <v>24</v>
      </c>
      <c r="M1483" s="1400" t="s">
        <v>27</v>
      </c>
      <c r="N1483" s="1400" t="s">
        <v>178</v>
      </c>
      <c r="O1483" s="1400" t="s">
        <v>1</v>
      </c>
      <c r="P1483" s="1400" t="s">
        <v>29</v>
      </c>
      <c r="Q1483" s="1400" t="s">
        <v>33</v>
      </c>
      <c r="R1483" s="1401"/>
      <c r="S1483" s="361"/>
      <c r="T1483" s="361" t="s">
        <v>39</v>
      </c>
      <c r="U1483" s="362">
        <f>VLOOKUP(B1485,'Thong tin'!$A:$M,13,0)</f>
        <v>1200</v>
      </c>
      <c r="V1483" s="361"/>
      <c r="W1483" s="361"/>
    </row>
    <row r="1484" spans="1:23">
      <c r="A1484" s="1402"/>
      <c r="B1484" s="1402"/>
      <c r="C1484" s="829"/>
      <c r="D1484" s="873"/>
      <c r="E1484" s="1402"/>
      <c r="F1484" s="1402"/>
      <c r="G1484" s="1402"/>
      <c r="H1484" s="1402"/>
      <c r="I1484" s="1402"/>
      <c r="J1484" s="1402"/>
      <c r="K1484" s="1402"/>
      <c r="L1484" s="1402"/>
      <c r="M1484" s="1402"/>
      <c r="N1484" s="1402"/>
      <c r="O1484" s="1402"/>
      <c r="P1484" s="1402"/>
      <c r="Q1484" s="1402"/>
      <c r="R1484" s="1402"/>
      <c r="S1484" s="361"/>
      <c r="T1484" s="1399" t="s">
        <v>393</v>
      </c>
      <c r="U1484" s="1397">
        <f>VLOOKUP(B1485,DT.NK!$B:$AZ,45,0)</f>
        <v>31.9</v>
      </c>
      <c r="V1484" s="361"/>
      <c r="W1484" s="361"/>
    </row>
    <row r="1485" spans="1:23">
      <c r="A1485" s="1409">
        <f>A1465+1</f>
        <v>75</v>
      </c>
      <c r="B1485" s="1412" t="s">
        <v>691</v>
      </c>
      <c r="C1485" s="844" t="s">
        <v>983</v>
      </c>
      <c r="D1485" s="874" t="str">
        <f>B1485&amp;C1485</f>
        <v>A42a</v>
      </c>
      <c r="E1485" s="363"/>
      <c r="F1485" s="364"/>
      <c r="G1485" s="364"/>
      <c r="H1485" s="364"/>
      <c r="I1485" s="364"/>
      <c r="J1485" s="364"/>
      <c r="K1485" s="364"/>
      <c r="L1485" s="364"/>
      <c r="M1485" s="674"/>
      <c r="N1485" s="670"/>
      <c r="O1485" s="670">
        <f>U1484</f>
        <v>31.9</v>
      </c>
      <c r="P1485" s="670">
        <f>O1485</f>
        <v>31.9</v>
      </c>
      <c r="Q1485" s="670">
        <v>0</v>
      </c>
      <c r="R1485" s="365"/>
      <c r="S1485" s="366"/>
      <c r="T1485" s="1399"/>
      <c r="U1485" s="1398"/>
      <c r="V1485" s="361"/>
      <c r="W1485" s="361"/>
    </row>
    <row r="1486" spans="1:23">
      <c r="A1486" s="1410"/>
      <c r="B1486" s="1413"/>
      <c r="C1486" s="845" t="s">
        <v>984</v>
      </c>
      <c r="D1486" s="875" t="str">
        <f>B1485&amp;C1486</f>
        <v>A42b</v>
      </c>
      <c r="E1486" s="367">
        <v>1</v>
      </c>
      <c r="F1486" s="669" t="s">
        <v>1007</v>
      </c>
      <c r="G1486" s="369">
        <v>0.98611111111111116</v>
      </c>
      <c r="H1486" s="368">
        <v>3.1944444444444449E-2</v>
      </c>
      <c r="I1486" s="369">
        <v>4.5138888888888888E-2</v>
      </c>
      <c r="J1486" s="368">
        <v>5.2083333333333336E-2</v>
      </c>
      <c r="K1486" s="669">
        <v>10</v>
      </c>
      <c r="L1486" s="669">
        <v>19</v>
      </c>
      <c r="M1486" s="675">
        <v>28.75</v>
      </c>
      <c r="N1486" s="671">
        <f t="shared" ref="N1486:N1492" si="158">IF(M1486-P1486&gt;0,M1486-P1486,0)</f>
        <v>4.25</v>
      </c>
      <c r="O1486" s="671">
        <f>O1485-K1486/(PI()*(U1483/2000)^2)</f>
        <v>23.058058717116925</v>
      </c>
      <c r="P1486" s="672">
        <v>24.5</v>
      </c>
      <c r="Q1486" s="673">
        <f t="shared" ref="Q1486:Q1492" si="159">ABS(O1486-P1486)</f>
        <v>1.4419412828830751</v>
      </c>
      <c r="R1486" s="375" t="s">
        <v>188</v>
      </c>
      <c r="S1486" s="366"/>
      <c r="T1486" s="376"/>
      <c r="U1486" s="376"/>
      <c r="V1486" s="366"/>
      <c r="W1486" s="366"/>
    </row>
    <row r="1487" spans="1:23">
      <c r="A1487" s="1410"/>
      <c r="B1487" s="1413"/>
      <c r="C1487" s="845" t="s">
        <v>985</v>
      </c>
      <c r="D1487" s="875" t="str">
        <f>B1485&amp;C1487</f>
        <v>A42c</v>
      </c>
      <c r="E1487" s="367">
        <v>2</v>
      </c>
      <c r="F1487" s="669" t="s">
        <v>980</v>
      </c>
      <c r="G1487" s="369">
        <v>0.99305555555555547</v>
      </c>
      <c r="H1487" s="368">
        <v>3.8194444444444441E-2</v>
      </c>
      <c r="I1487" s="369">
        <v>5.9027777777777783E-2</v>
      </c>
      <c r="J1487" s="368">
        <v>6.5972222222222224E-2</v>
      </c>
      <c r="K1487" s="669">
        <v>10</v>
      </c>
      <c r="L1487" s="669">
        <v>19</v>
      </c>
      <c r="M1487" s="675">
        <v>25.6</v>
      </c>
      <c r="N1487" s="671">
        <f t="shared" si="158"/>
        <v>3.2000000000000028</v>
      </c>
      <c r="O1487" s="671">
        <f>O1486-K1487/(PI()*(U1483/2000)^2)</f>
        <v>14.216117434233851</v>
      </c>
      <c r="P1487" s="672">
        <v>22.4</v>
      </c>
      <c r="Q1487" s="673">
        <f t="shared" si="159"/>
        <v>8.1838825657661474</v>
      </c>
      <c r="R1487" s="375" t="s">
        <v>188</v>
      </c>
      <c r="S1487" s="366"/>
      <c r="T1487" s="376"/>
      <c r="U1487" s="376"/>
      <c r="V1487" s="366"/>
      <c r="W1487" s="366"/>
    </row>
    <row r="1488" spans="1:23">
      <c r="A1488" s="1410"/>
      <c r="B1488" s="1413"/>
      <c r="C1488" s="845" t="s">
        <v>986</v>
      </c>
      <c r="D1488" s="875" t="str">
        <f>B1485&amp;C1488</f>
        <v>A42d</v>
      </c>
      <c r="E1488" s="367">
        <v>3</v>
      </c>
      <c r="F1488" s="669" t="s">
        <v>1008</v>
      </c>
      <c r="G1488" s="369">
        <v>5.2777777777777778E-2</v>
      </c>
      <c r="H1488" s="368">
        <v>7.4305555555555555E-2</v>
      </c>
      <c r="I1488" s="369">
        <v>7.9861111111111105E-2</v>
      </c>
      <c r="J1488" s="368">
        <v>8.6805555555555566E-2</v>
      </c>
      <c r="K1488" s="669">
        <v>10</v>
      </c>
      <c r="L1488" s="669">
        <v>19.5</v>
      </c>
      <c r="M1488" s="675">
        <v>22.45</v>
      </c>
      <c r="N1488" s="671">
        <f t="shared" si="158"/>
        <v>4.4499999999999993</v>
      </c>
      <c r="O1488" s="671">
        <f>O1487-K1488/(PI()*(U1483/2000)^2)</f>
        <v>5.3741761513507775</v>
      </c>
      <c r="P1488" s="672">
        <v>18</v>
      </c>
      <c r="Q1488" s="673">
        <f t="shared" si="159"/>
        <v>12.625823848649222</v>
      </c>
      <c r="R1488" s="375" t="s">
        <v>188</v>
      </c>
      <c r="S1488" s="366"/>
      <c r="T1488" s="376"/>
      <c r="U1488" s="376"/>
      <c r="V1488" s="366"/>
      <c r="W1488" s="366"/>
    </row>
    <row r="1489" spans="1:23">
      <c r="A1489" s="1410"/>
      <c r="B1489" s="1413"/>
      <c r="C1489" s="845" t="s">
        <v>987</v>
      </c>
      <c r="D1489" s="875" t="str">
        <f>B1485&amp;C1489</f>
        <v>A42e</v>
      </c>
      <c r="E1489" s="367">
        <v>4</v>
      </c>
      <c r="F1489" s="669" t="s">
        <v>1007</v>
      </c>
      <c r="G1489" s="369">
        <v>0.10555555555555556</v>
      </c>
      <c r="H1489" s="368">
        <v>0.12916666666666668</v>
      </c>
      <c r="I1489" s="369">
        <v>0.13194444444444445</v>
      </c>
      <c r="J1489" s="368">
        <v>0.1388888888888889</v>
      </c>
      <c r="K1489" s="669">
        <v>12</v>
      </c>
      <c r="L1489" s="370">
        <v>19</v>
      </c>
      <c r="M1489" s="675">
        <v>19.3</v>
      </c>
      <c r="N1489" s="671">
        <f t="shared" si="158"/>
        <v>4.8000000000000007</v>
      </c>
      <c r="O1489" s="671">
        <f>O1488-K1489/(PI()*(U1483/2000)^2)</f>
        <v>-5.236153388108912</v>
      </c>
      <c r="P1489" s="373">
        <v>14.5</v>
      </c>
      <c r="Q1489" s="673">
        <f t="shared" si="159"/>
        <v>19.73615338810891</v>
      </c>
      <c r="R1489" s="375"/>
      <c r="S1489" s="366"/>
      <c r="T1489" s="376"/>
      <c r="U1489" s="376"/>
      <c r="V1489" s="366"/>
      <c r="W1489" s="366"/>
    </row>
    <row r="1490" spans="1:23">
      <c r="A1490" s="1410"/>
      <c r="B1490" s="1413"/>
      <c r="C1490" s="845" t="s">
        <v>988</v>
      </c>
      <c r="D1490" s="875" t="str">
        <f>B1485&amp;C1490</f>
        <v>A42f</v>
      </c>
      <c r="E1490" s="367">
        <v>5</v>
      </c>
      <c r="F1490" s="669" t="s">
        <v>1007</v>
      </c>
      <c r="G1490" s="369">
        <v>0.15277777777777776</v>
      </c>
      <c r="H1490" s="368">
        <v>0.17361111111111113</v>
      </c>
      <c r="I1490" s="369">
        <v>0.17708333333333334</v>
      </c>
      <c r="J1490" s="368">
        <v>0.18402777777777779</v>
      </c>
      <c r="K1490" s="669">
        <v>9</v>
      </c>
      <c r="L1490" s="370">
        <v>19</v>
      </c>
      <c r="M1490" s="675">
        <v>16.149999999999999</v>
      </c>
      <c r="N1490" s="671">
        <f t="shared" si="158"/>
        <v>3.6499999999999986</v>
      </c>
      <c r="O1490" s="671">
        <f>O1489-K1490/(PI()*(U1483/2000)^2)</f>
        <v>-13.193900542703679</v>
      </c>
      <c r="P1490" s="373">
        <v>12.5</v>
      </c>
      <c r="Q1490" s="673">
        <f t="shared" si="159"/>
        <v>25.69390054270368</v>
      </c>
      <c r="R1490" s="377"/>
      <c r="S1490" s="366" t="s">
        <v>190</v>
      </c>
      <c r="T1490" s="376"/>
      <c r="U1490" s="376"/>
      <c r="V1490" s="366"/>
      <c r="W1490" s="366"/>
    </row>
    <row r="1491" spans="1:23">
      <c r="A1491" s="1410"/>
      <c r="B1491" s="1413"/>
      <c r="C1491" s="845" t="s">
        <v>989</v>
      </c>
      <c r="D1491" s="875" t="str">
        <f>B1485&amp;C1491</f>
        <v>A42g</v>
      </c>
      <c r="E1491" s="367">
        <v>6</v>
      </c>
      <c r="F1491" s="669" t="s">
        <v>1085</v>
      </c>
      <c r="G1491" s="369">
        <v>0.20694444444444446</v>
      </c>
      <c r="H1491" s="368">
        <v>0.22222222222222221</v>
      </c>
      <c r="I1491" s="369">
        <v>0.22569444444444445</v>
      </c>
      <c r="J1491" s="368">
        <v>0.22916666666666666</v>
      </c>
      <c r="K1491" s="669">
        <v>7</v>
      </c>
      <c r="L1491" s="370">
        <v>19</v>
      </c>
      <c r="M1491" s="371">
        <v>13</v>
      </c>
      <c r="N1491" s="671">
        <f t="shared" si="158"/>
        <v>3.3000000000000007</v>
      </c>
      <c r="O1491" s="671">
        <f>O1490-K1491/(PI()*(U1483/2000)^2)</f>
        <v>-19.383259440721829</v>
      </c>
      <c r="P1491" s="373">
        <v>9.6999999999999993</v>
      </c>
      <c r="Q1491" s="673">
        <f t="shared" si="159"/>
        <v>29.083259440721829</v>
      </c>
      <c r="R1491" s="375"/>
      <c r="S1491" s="366" t="s">
        <v>190</v>
      </c>
      <c r="T1491" s="366"/>
      <c r="U1491" s="366"/>
      <c r="V1491" s="366"/>
      <c r="W1491" s="366"/>
    </row>
    <row r="1492" spans="1:23">
      <c r="A1492" s="1410"/>
      <c r="B1492" s="1413"/>
      <c r="C1492" s="845" t="s">
        <v>990</v>
      </c>
      <c r="D1492" s="875" t="str">
        <f>B1485&amp;C1492</f>
        <v>A42h</v>
      </c>
      <c r="E1492" s="367">
        <v>7</v>
      </c>
      <c r="F1492" s="669" t="s">
        <v>1007</v>
      </c>
      <c r="G1492" s="368">
        <v>0.25555555555555559</v>
      </c>
      <c r="H1492" s="368">
        <v>0.27083333333333331</v>
      </c>
      <c r="I1492" s="368">
        <v>0.27430555555555552</v>
      </c>
      <c r="J1492" s="368">
        <v>0.27777777777777779</v>
      </c>
      <c r="K1492" s="669">
        <v>4</v>
      </c>
      <c r="L1492" s="370">
        <v>19</v>
      </c>
      <c r="M1492" s="371">
        <v>13</v>
      </c>
      <c r="N1492" s="671">
        <f t="shared" si="158"/>
        <v>5.3</v>
      </c>
      <c r="O1492" s="671">
        <f>O1491-K1492/(PI()*(U1483/2000)^2)</f>
        <v>-22.920035953875058</v>
      </c>
      <c r="P1492" s="373">
        <v>7.7</v>
      </c>
      <c r="Q1492" s="673">
        <f t="shared" si="159"/>
        <v>30.620035953875057</v>
      </c>
      <c r="R1492" s="377"/>
      <c r="S1492" s="366" t="s">
        <v>190</v>
      </c>
      <c r="T1492" s="366"/>
      <c r="U1492" s="366"/>
      <c r="V1492" s="366"/>
      <c r="W1492" s="366"/>
    </row>
    <row r="1493" spans="1:23">
      <c r="A1493" s="1410"/>
      <c r="B1493" s="1413"/>
      <c r="C1493" s="845" t="s">
        <v>991</v>
      </c>
      <c r="D1493" s="875" t="str">
        <f>B1485&amp;C1493</f>
        <v>A42i</v>
      </c>
      <c r="E1493" s="367">
        <v>8</v>
      </c>
      <c r="F1493" s="669"/>
      <c r="G1493" s="368"/>
      <c r="H1493" s="368"/>
      <c r="I1493" s="368"/>
      <c r="J1493" s="368"/>
      <c r="K1493" s="370"/>
      <c r="L1493" s="370"/>
      <c r="M1493" s="371"/>
      <c r="N1493" s="671"/>
      <c r="O1493" s="671"/>
      <c r="P1493" s="373"/>
      <c r="Q1493" s="673"/>
      <c r="R1493" s="378"/>
      <c r="S1493" s="366"/>
      <c r="T1493" s="366"/>
      <c r="U1493" s="366"/>
      <c r="V1493" s="366"/>
      <c r="W1493" s="366"/>
    </row>
    <row r="1494" spans="1:23">
      <c r="A1494" s="1410"/>
      <c r="B1494" s="1413"/>
      <c r="C1494" s="845" t="s">
        <v>992</v>
      </c>
      <c r="D1494" s="875" t="str">
        <f>B1485&amp;C1494</f>
        <v>A42k</v>
      </c>
      <c r="E1494" s="367">
        <v>9</v>
      </c>
      <c r="F1494" s="370"/>
      <c r="G1494" s="368"/>
      <c r="H1494" s="368"/>
      <c r="I1494" s="368"/>
      <c r="J1494" s="368"/>
      <c r="K1494" s="370"/>
      <c r="L1494" s="370"/>
      <c r="M1494" s="371"/>
      <c r="N1494" s="372"/>
      <c r="O1494" s="372"/>
      <c r="P1494" s="373"/>
      <c r="Q1494" s="374"/>
      <c r="R1494" s="378"/>
      <c r="S1494" s="379"/>
      <c r="T1494" s="366"/>
      <c r="U1494" s="366"/>
      <c r="V1494" s="366"/>
      <c r="W1494" s="366"/>
    </row>
    <row r="1495" spans="1:23">
      <c r="A1495" s="1410"/>
      <c r="B1495" s="1413"/>
      <c r="C1495" s="845" t="s">
        <v>993</v>
      </c>
      <c r="D1495" s="875" t="str">
        <f>B1485&amp;C1495</f>
        <v>A42l</v>
      </c>
      <c r="E1495" s="367">
        <v>10</v>
      </c>
      <c r="F1495" s="370"/>
      <c r="G1495" s="368"/>
      <c r="H1495" s="368"/>
      <c r="I1495" s="368"/>
      <c r="J1495" s="368"/>
      <c r="K1495" s="370"/>
      <c r="L1495" s="370"/>
      <c r="M1495" s="370"/>
      <c r="N1495" s="372"/>
      <c r="O1495" s="372"/>
      <c r="P1495" s="373"/>
      <c r="Q1495" s="374"/>
      <c r="R1495" s="378"/>
      <c r="S1495" s="379"/>
      <c r="T1495" s="366"/>
      <c r="U1495" s="366"/>
      <c r="V1495" s="366"/>
      <c r="W1495" s="366"/>
    </row>
    <row r="1496" spans="1:23">
      <c r="A1496" s="1410"/>
      <c r="B1496" s="1413"/>
      <c r="C1496" s="845" t="s">
        <v>994</v>
      </c>
      <c r="D1496" s="875" t="str">
        <f>B1485&amp;C1496</f>
        <v>A42m</v>
      </c>
      <c r="E1496" s="367">
        <v>11</v>
      </c>
      <c r="F1496" s="370"/>
      <c r="G1496" s="368"/>
      <c r="H1496" s="368"/>
      <c r="I1496" s="368"/>
      <c r="J1496" s="368"/>
      <c r="K1496" s="370"/>
      <c r="L1496" s="370"/>
      <c r="M1496" s="370"/>
      <c r="N1496" s="372"/>
      <c r="O1496" s="372"/>
      <c r="P1496" s="380"/>
      <c r="Q1496" s="374"/>
      <c r="R1496" s="381"/>
      <c r="S1496" s="379"/>
      <c r="T1496" s="366"/>
      <c r="U1496" s="366"/>
      <c r="V1496" s="366"/>
      <c r="W1496" s="366"/>
    </row>
    <row r="1497" spans="1:23">
      <c r="A1497" s="1410"/>
      <c r="B1497" s="1413"/>
      <c r="C1497" s="845" t="s">
        <v>995</v>
      </c>
      <c r="D1497" s="875" t="str">
        <f>B1485&amp;C1497</f>
        <v>A42n</v>
      </c>
      <c r="E1497" s="367">
        <v>12</v>
      </c>
      <c r="F1497" s="370"/>
      <c r="G1497" s="368"/>
      <c r="H1497" s="368"/>
      <c r="I1497" s="368"/>
      <c r="J1497" s="368"/>
      <c r="K1497" s="370"/>
      <c r="L1497" s="370"/>
      <c r="M1497" s="370"/>
      <c r="N1497" s="372"/>
      <c r="O1497" s="372"/>
      <c r="P1497" s="380"/>
      <c r="Q1497" s="374"/>
      <c r="R1497" s="381"/>
      <c r="S1497" s="361"/>
      <c r="T1497" s="361"/>
      <c r="U1497" s="361"/>
      <c r="V1497" s="366"/>
      <c r="W1497" s="366"/>
    </row>
    <row r="1498" spans="1:23">
      <c r="A1498" s="1410"/>
      <c r="B1498" s="1413"/>
      <c r="C1498" s="845" t="s">
        <v>471</v>
      </c>
      <c r="D1498" s="875" t="str">
        <f>B1485&amp;C1498</f>
        <v>A42x</v>
      </c>
      <c r="E1498" s="367">
        <v>13</v>
      </c>
      <c r="F1498" s="370"/>
      <c r="G1498" s="368"/>
      <c r="H1498" s="368"/>
      <c r="I1498" s="368"/>
      <c r="J1498" s="368"/>
      <c r="K1498" s="370"/>
      <c r="L1498" s="370"/>
      <c r="M1498" s="370"/>
      <c r="N1498" s="382"/>
      <c r="O1498" s="372"/>
      <c r="P1498" s="380"/>
      <c r="Q1498" s="381"/>
      <c r="R1498" s="381"/>
      <c r="S1498" s="361"/>
      <c r="T1498" s="361"/>
      <c r="U1498" s="361"/>
      <c r="V1498" s="366"/>
      <c r="W1498" s="366"/>
    </row>
    <row r="1499" spans="1:23">
      <c r="A1499" s="1410"/>
      <c r="B1499" s="1413"/>
      <c r="C1499" s="845" t="s">
        <v>732</v>
      </c>
      <c r="D1499" s="875" t="str">
        <f>B1485&amp;C1499</f>
        <v>A42y</v>
      </c>
      <c r="E1499" s="367">
        <v>14</v>
      </c>
      <c r="F1499" s="370"/>
      <c r="G1499" s="368"/>
      <c r="H1499" s="368"/>
      <c r="I1499" s="368"/>
      <c r="J1499" s="368"/>
      <c r="K1499" s="370"/>
      <c r="L1499" s="370"/>
      <c r="M1499" s="370"/>
      <c r="N1499" s="382"/>
      <c r="O1499" s="372"/>
      <c r="P1499" s="380"/>
      <c r="Q1499" s="381"/>
      <c r="R1499" s="381"/>
      <c r="S1499" s="361"/>
      <c r="T1499" s="361"/>
      <c r="U1499" s="362"/>
      <c r="V1499" s="366"/>
      <c r="W1499" s="366"/>
    </row>
    <row r="1500" spans="1:23">
      <c r="A1500" s="1411"/>
      <c r="B1500" s="1414"/>
      <c r="C1500" s="846" t="s">
        <v>996</v>
      </c>
      <c r="D1500" s="876" t="str">
        <f>B1485&amp;C1500</f>
        <v>A42z</v>
      </c>
      <c r="E1500" s="847">
        <v>15</v>
      </c>
      <c r="F1500" s="370"/>
      <c r="G1500" s="368"/>
      <c r="H1500" s="368"/>
      <c r="I1500" s="368"/>
      <c r="J1500" s="368"/>
      <c r="K1500" s="370"/>
      <c r="L1500" s="370"/>
      <c r="M1500" s="370"/>
      <c r="N1500" s="850"/>
      <c r="O1500" s="851"/>
      <c r="P1500" s="380"/>
      <c r="Q1500" s="852"/>
      <c r="R1500" s="383"/>
      <c r="S1500" s="361"/>
      <c r="T1500" s="832"/>
      <c r="U1500" s="830"/>
      <c r="V1500" s="366"/>
      <c r="W1500" s="366"/>
    </row>
    <row r="1501" spans="1:23">
      <c r="A1501" s="1400" t="s">
        <v>939</v>
      </c>
      <c r="B1501" s="1400"/>
      <c r="C1501" s="827"/>
      <c r="D1501" s="871"/>
      <c r="E1501" s="1400" t="s">
        <v>177</v>
      </c>
      <c r="F1501" s="1400" t="s">
        <v>18</v>
      </c>
      <c r="G1501" s="1389" t="s">
        <v>19</v>
      </c>
      <c r="H1501" s="1390"/>
      <c r="I1501" s="1389" t="s">
        <v>22</v>
      </c>
      <c r="J1501" s="1390"/>
      <c r="K1501" s="1393" t="s">
        <v>26</v>
      </c>
      <c r="L1501" s="1390"/>
      <c r="M1501" s="1389" t="s">
        <v>392</v>
      </c>
      <c r="N1501" s="1390"/>
      <c r="O1501" s="1389" t="s">
        <v>28</v>
      </c>
      <c r="P1501" s="1393"/>
      <c r="Q1501" s="1390"/>
      <c r="R1501" s="1400" t="s">
        <v>36</v>
      </c>
      <c r="S1501" s="361"/>
      <c r="T1501" s="361">
        <f>MAX(J1505:J1519)-MIN(I1505:I1519)</f>
        <v>2.0833333333333259E-2</v>
      </c>
      <c r="U1501" s="361"/>
      <c r="V1501" s="853" t="str">
        <f t="shared" ref="V1501" si="160">B1505</f>
        <v>B36</v>
      </c>
      <c r="W1501" s="361">
        <f t="shared" ref="W1501" si="161">COUNTIF(K1506:K1520,"&gt;0")</f>
        <v>2</v>
      </c>
    </row>
    <row r="1502" spans="1:23">
      <c r="A1502" s="1401"/>
      <c r="B1502" s="1401"/>
      <c r="C1502" s="828"/>
      <c r="D1502" s="872"/>
      <c r="E1502" s="1401"/>
      <c r="F1502" s="1401"/>
      <c r="G1502" s="1391"/>
      <c r="H1502" s="1392"/>
      <c r="I1502" s="1391"/>
      <c r="J1502" s="1392"/>
      <c r="K1502" s="1394"/>
      <c r="L1502" s="1392"/>
      <c r="M1502" s="1391"/>
      <c r="N1502" s="1392"/>
      <c r="O1502" s="1391"/>
      <c r="P1502" s="1394"/>
      <c r="Q1502" s="1392"/>
      <c r="R1502" s="1401"/>
      <c r="S1502" s="361"/>
      <c r="T1502" s="361"/>
      <c r="U1502" s="361"/>
      <c r="V1502" s="361"/>
      <c r="W1502" s="361"/>
    </row>
    <row r="1503" spans="1:23">
      <c r="A1503" s="1401"/>
      <c r="B1503" s="1401"/>
      <c r="C1503" s="828"/>
      <c r="D1503" s="872"/>
      <c r="E1503" s="1401"/>
      <c r="F1503" s="1401"/>
      <c r="G1503" s="1400" t="s">
        <v>20</v>
      </c>
      <c r="H1503" s="1400" t="s">
        <v>21</v>
      </c>
      <c r="I1503" s="1400" t="s">
        <v>361</v>
      </c>
      <c r="J1503" s="1400" t="s">
        <v>353</v>
      </c>
      <c r="K1503" s="1400" t="s">
        <v>23</v>
      </c>
      <c r="L1503" s="1400" t="s">
        <v>24</v>
      </c>
      <c r="M1503" s="1400" t="s">
        <v>27</v>
      </c>
      <c r="N1503" s="1400" t="s">
        <v>178</v>
      </c>
      <c r="O1503" s="1400" t="s">
        <v>1</v>
      </c>
      <c r="P1503" s="1400" t="s">
        <v>29</v>
      </c>
      <c r="Q1503" s="1400" t="s">
        <v>33</v>
      </c>
      <c r="R1503" s="1401"/>
      <c r="S1503" s="361"/>
      <c r="T1503" s="361" t="s">
        <v>39</v>
      </c>
      <c r="U1503" s="362">
        <f>VLOOKUP(B1505,'Thong tin'!$A:$M,13,0)</f>
        <v>800</v>
      </c>
      <c r="V1503" s="361"/>
      <c r="W1503" s="361"/>
    </row>
    <row r="1504" spans="1:23">
      <c r="A1504" s="1402"/>
      <c r="B1504" s="1402"/>
      <c r="C1504" s="829"/>
      <c r="D1504" s="873"/>
      <c r="E1504" s="1402"/>
      <c r="F1504" s="1402"/>
      <c r="G1504" s="1402"/>
      <c r="H1504" s="1402"/>
      <c r="I1504" s="1402"/>
      <c r="J1504" s="1402"/>
      <c r="K1504" s="1402"/>
      <c r="L1504" s="1402"/>
      <c r="M1504" s="1402"/>
      <c r="N1504" s="1402"/>
      <c r="O1504" s="1402"/>
      <c r="P1504" s="1402"/>
      <c r="Q1504" s="1402"/>
      <c r="R1504" s="1402"/>
      <c r="S1504" s="361"/>
      <c r="T1504" s="1399" t="s">
        <v>393</v>
      </c>
      <c r="U1504" s="1397">
        <f>VLOOKUP(B1505,DT.NK!$B:$AZ,45,0)</f>
        <v>27.15</v>
      </c>
      <c r="V1504" s="361"/>
      <c r="W1504" s="361"/>
    </row>
    <row r="1505" spans="1:23">
      <c r="A1505" s="1409">
        <f>A1485+1</f>
        <v>76</v>
      </c>
      <c r="B1505" s="1412" t="s">
        <v>587</v>
      </c>
      <c r="C1505" s="844" t="s">
        <v>983</v>
      </c>
      <c r="D1505" s="874" t="str">
        <f>B1505&amp;C1505</f>
        <v>B36a</v>
      </c>
      <c r="E1505" s="363"/>
      <c r="F1505" s="364"/>
      <c r="G1505" s="364"/>
      <c r="H1505" s="364"/>
      <c r="I1505" s="364"/>
      <c r="J1505" s="364"/>
      <c r="K1505" s="364"/>
      <c r="L1505" s="364"/>
      <c r="M1505" s="674"/>
      <c r="N1505" s="670"/>
      <c r="O1505" s="670">
        <f>U1504</f>
        <v>27.15</v>
      </c>
      <c r="P1505" s="670">
        <f>O1505</f>
        <v>27.15</v>
      </c>
      <c r="Q1505" s="670">
        <v>0</v>
      </c>
      <c r="R1505" s="365"/>
      <c r="S1505" s="366"/>
      <c r="T1505" s="1399"/>
      <c r="U1505" s="1398"/>
      <c r="V1505" s="361"/>
      <c r="W1505" s="361"/>
    </row>
    <row r="1506" spans="1:23">
      <c r="A1506" s="1410"/>
      <c r="B1506" s="1413"/>
      <c r="C1506" s="845" t="s">
        <v>984</v>
      </c>
      <c r="D1506" s="875" t="str">
        <f>B1505&amp;C1506</f>
        <v>B36b</v>
      </c>
      <c r="E1506" s="367">
        <v>1</v>
      </c>
      <c r="F1506" s="669" t="s">
        <v>1089</v>
      </c>
      <c r="G1506" s="369">
        <v>0.92569444444444438</v>
      </c>
      <c r="H1506" s="368">
        <v>0.94791666666666663</v>
      </c>
      <c r="I1506" s="369">
        <v>0.95833333333333337</v>
      </c>
      <c r="J1506" s="368">
        <v>0.96180555555555547</v>
      </c>
      <c r="K1506" s="669">
        <v>6</v>
      </c>
      <c r="L1506" s="669">
        <v>19</v>
      </c>
      <c r="M1506" s="675">
        <v>20.85</v>
      </c>
      <c r="N1506" s="671">
        <f>IF(M1506-P1506&gt;0,M1506-P1506,0)</f>
        <v>4.8500000000000014</v>
      </c>
      <c r="O1506" s="671">
        <f>O1505-K1506/(PI()*(U1503/2000)^2)</f>
        <v>15.213379268107849</v>
      </c>
      <c r="P1506" s="672">
        <v>16</v>
      </c>
      <c r="Q1506" s="673">
        <f>ABS(O1506-P1506)</f>
        <v>0.78662073189215143</v>
      </c>
      <c r="R1506" s="375" t="s">
        <v>188</v>
      </c>
      <c r="S1506" s="366"/>
      <c r="T1506" s="376"/>
      <c r="U1506" s="376"/>
      <c r="V1506" s="366"/>
      <c r="W1506" s="366"/>
    </row>
    <row r="1507" spans="1:23">
      <c r="A1507" s="1410"/>
      <c r="B1507" s="1413"/>
      <c r="C1507" s="845" t="s">
        <v>985</v>
      </c>
      <c r="D1507" s="875" t="str">
        <f>B1505&amp;C1507</f>
        <v>B36c</v>
      </c>
      <c r="E1507" s="367">
        <v>2</v>
      </c>
      <c r="F1507" s="669" t="s">
        <v>1085</v>
      </c>
      <c r="G1507" s="369">
        <v>0.93611111111111101</v>
      </c>
      <c r="H1507" s="368">
        <v>0.95138888888888884</v>
      </c>
      <c r="I1507" s="369">
        <v>0.97222222222222221</v>
      </c>
      <c r="J1507" s="368">
        <v>0.97916666666666663</v>
      </c>
      <c r="K1507" s="669">
        <v>6</v>
      </c>
      <c r="L1507" s="669">
        <v>19</v>
      </c>
      <c r="M1507" s="675">
        <v>8.25</v>
      </c>
      <c r="N1507" s="671">
        <f>IF(M1507-P1507&gt;0,M1507-P1507,0)</f>
        <v>3.45</v>
      </c>
      <c r="O1507" s="671">
        <f>O1506-K1507/(PI()*(U1503/2000)^2)</f>
        <v>3.2767585362156986</v>
      </c>
      <c r="P1507" s="672">
        <v>4.8</v>
      </c>
      <c r="Q1507" s="673">
        <f>ABS(O1507-P1507)</f>
        <v>1.5232414637843013</v>
      </c>
      <c r="R1507" s="375" t="s">
        <v>188</v>
      </c>
      <c r="S1507" s="366"/>
      <c r="T1507" s="376"/>
      <c r="U1507" s="376"/>
      <c r="V1507" s="366"/>
      <c r="W1507" s="366"/>
    </row>
    <row r="1508" spans="1:23">
      <c r="A1508" s="1410"/>
      <c r="B1508" s="1413"/>
      <c r="C1508" s="845" t="s">
        <v>986</v>
      </c>
      <c r="D1508" s="875" t="str">
        <f>B1505&amp;C1508</f>
        <v>B36d</v>
      </c>
      <c r="E1508" s="367">
        <v>3</v>
      </c>
      <c r="F1508" s="669"/>
      <c r="G1508" s="368"/>
      <c r="H1508" s="368"/>
      <c r="I1508" s="368"/>
      <c r="J1508" s="368"/>
      <c r="K1508" s="370"/>
      <c r="L1508" s="370"/>
      <c r="M1508" s="371"/>
      <c r="N1508" s="671"/>
      <c r="O1508" s="671"/>
      <c r="P1508" s="672"/>
      <c r="Q1508" s="673"/>
      <c r="R1508" s="375"/>
      <c r="S1508" s="366"/>
      <c r="T1508" s="376"/>
      <c r="U1508" s="376"/>
      <c r="V1508" s="366"/>
      <c r="W1508" s="366"/>
    </row>
    <row r="1509" spans="1:23">
      <c r="A1509" s="1410"/>
      <c r="B1509" s="1413"/>
      <c r="C1509" s="845" t="s">
        <v>987</v>
      </c>
      <c r="D1509" s="875" t="str">
        <f>B1505&amp;C1509</f>
        <v>B36e</v>
      </c>
      <c r="E1509" s="367">
        <v>4</v>
      </c>
      <c r="F1509" s="669"/>
      <c r="G1509" s="368"/>
      <c r="H1509" s="368"/>
      <c r="I1509" s="368"/>
      <c r="J1509" s="368"/>
      <c r="K1509" s="370"/>
      <c r="L1509" s="370"/>
      <c r="M1509" s="371"/>
      <c r="N1509" s="671"/>
      <c r="O1509" s="671"/>
      <c r="P1509" s="373"/>
      <c r="Q1509" s="673"/>
      <c r="R1509" s="375"/>
      <c r="S1509" s="366"/>
      <c r="T1509" s="376"/>
      <c r="U1509" s="376"/>
      <c r="V1509" s="366"/>
      <c r="W1509" s="366"/>
    </row>
    <row r="1510" spans="1:23">
      <c r="A1510" s="1410"/>
      <c r="B1510" s="1413"/>
      <c r="C1510" s="845" t="s">
        <v>988</v>
      </c>
      <c r="D1510" s="875" t="str">
        <f>B1505&amp;C1510</f>
        <v>B36f</v>
      </c>
      <c r="E1510" s="367">
        <v>5</v>
      </c>
      <c r="F1510" s="669"/>
      <c r="G1510" s="368"/>
      <c r="H1510" s="368"/>
      <c r="I1510" s="368"/>
      <c r="J1510" s="368"/>
      <c r="K1510" s="370"/>
      <c r="L1510" s="370"/>
      <c r="M1510" s="371"/>
      <c r="N1510" s="671"/>
      <c r="O1510" s="671"/>
      <c r="P1510" s="373"/>
      <c r="Q1510" s="673"/>
      <c r="R1510" s="377"/>
      <c r="S1510" s="366" t="s">
        <v>190</v>
      </c>
      <c r="T1510" s="376"/>
      <c r="U1510" s="376"/>
      <c r="V1510" s="366"/>
      <c r="W1510" s="366"/>
    </row>
    <row r="1511" spans="1:23">
      <c r="A1511" s="1410"/>
      <c r="B1511" s="1413"/>
      <c r="C1511" s="845" t="s">
        <v>989</v>
      </c>
      <c r="D1511" s="875" t="str">
        <f>B1505&amp;C1511</f>
        <v>B36g</v>
      </c>
      <c r="E1511" s="367">
        <v>6</v>
      </c>
      <c r="F1511" s="669"/>
      <c r="G1511" s="368"/>
      <c r="H1511" s="368"/>
      <c r="I1511" s="368"/>
      <c r="J1511" s="368"/>
      <c r="K1511" s="370"/>
      <c r="L1511" s="370"/>
      <c r="M1511" s="371"/>
      <c r="N1511" s="671"/>
      <c r="O1511" s="671"/>
      <c r="P1511" s="373"/>
      <c r="Q1511" s="673"/>
      <c r="R1511" s="375"/>
      <c r="S1511" s="366" t="s">
        <v>190</v>
      </c>
      <c r="T1511" s="366"/>
      <c r="U1511" s="366"/>
      <c r="V1511" s="366"/>
      <c r="W1511" s="366"/>
    </row>
    <row r="1512" spans="1:23">
      <c r="A1512" s="1410"/>
      <c r="B1512" s="1413"/>
      <c r="C1512" s="845" t="s">
        <v>990</v>
      </c>
      <c r="D1512" s="875" t="str">
        <f>B1505&amp;C1512</f>
        <v>B36h</v>
      </c>
      <c r="E1512" s="367">
        <v>7</v>
      </c>
      <c r="F1512" s="669"/>
      <c r="G1512" s="368"/>
      <c r="H1512" s="368"/>
      <c r="I1512" s="368"/>
      <c r="J1512" s="368"/>
      <c r="K1512" s="370"/>
      <c r="L1512" s="370"/>
      <c r="M1512" s="371"/>
      <c r="N1512" s="671"/>
      <c r="O1512" s="671"/>
      <c r="P1512" s="373"/>
      <c r="Q1512" s="673"/>
      <c r="R1512" s="377"/>
      <c r="S1512" s="366" t="s">
        <v>190</v>
      </c>
      <c r="T1512" s="366"/>
      <c r="U1512" s="366"/>
      <c r="V1512" s="366"/>
      <c r="W1512" s="366"/>
    </row>
    <row r="1513" spans="1:23">
      <c r="A1513" s="1410"/>
      <c r="B1513" s="1413"/>
      <c r="C1513" s="845" t="s">
        <v>991</v>
      </c>
      <c r="D1513" s="875" t="str">
        <f>B1505&amp;C1513</f>
        <v>B36i</v>
      </c>
      <c r="E1513" s="367">
        <v>8</v>
      </c>
      <c r="F1513" s="669"/>
      <c r="G1513" s="368"/>
      <c r="H1513" s="368"/>
      <c r="I1513" s="368"/>
      <c r="J1513" s="368"/>
      <c r="K1513" s="370"/>
      <c r="L1513" s="370"/>
      <c r="M1513" s="371"/>
      <c r="N1513" s="671"/>
      <c r="O1513" s="671"/>
      <c r="P1513" s="373"/>
      <c r="Q1513" s="673"/>
      <c r="R1513" s="378"/>
      <c r="S1513" s="366"/>
      <c r="T1513" s="366"/>
      <c r="U1513" s="366"/>
      <c r="V1513" s="366"/>
      <c r="W1513" s="366"/>
    </row>
    <row r="1514" spans="1:23">
      <c r="A1514" s="1410"/>
      <c r="B1514" s="1413"/>
      <c r="C1514" s="845" t="s">
        <v>992</v>
      </c>
      <c r="D1514" s="875" t="str">
        <f>B1505&amp;C1514</f>
        <v>B36k</v>
      </c>
      <c r="E1514" s="367">
        <v>9</v>
      </c>
      <c r="F1514" s="370"/>
      <c r="G1514" s="368"/>
      <c r="H1514" s="368"/>
      <c r="I1514" s="368"/>
      <c r="J1514" s="368"/>
      <c r="K1514" s="370"/>
      <c r="L1514" s="370"/>
      <c r="M1514" s="371"/>
      <c r="N1514" s="372"/>
      <c r="O1514" s="372"/>
      <c r="P1514" s="373"/>
      <c r="Q1514" s="374"/>
      <c r="R1514" s="378"/>
      <c r="S1514" s="379"/>
      <c r="T1514" s="366"/>
      <c r="U1514" s="366"/>
      <c r="V1514" s="366"/>
      <c r="W1514" s="366"/>
    </row>
    <row r="1515" spans="1:23">
      <c r="A1515" s="1410"/>
      <c r="B1515" s="1413"/>
      <c r="C1515" s="845" t="s">
        <v>993</v>
      </c>
      <c r="D1515" s="875" t="str">
        <f>B1505&amp;C1515</f>
        <v>B36l</v>
      </c>
      <c r="E1515" s="367">
        <v>10</v>
      </c>
      <c r="F1515" s="370"/>
      <c r="G1515" s="368"/>
      <c r="H1515" s="368"/>
      <c r="I1515" s="368"/>
      <c r="J1515" s="368"/>
      <c r="K1515" s="370"/>
      <c r="L1515" s="370"/>
      <c r="M1515" s="370"/>
      <c r="N1515" s="372"/>
      <c r="O1515" s="372"/>
      <c r="P1515" s="373"/>
      <c r="Q1515" s="374"/>
      <c r="R1515" s="378"/>
      <c r="S1515" s="379"/>
      <c r="T1515" s="366"/>
      <c r="U1515" s="366"/>
      <c r="V1515" s="366"/>
      <c r="W1515" s="366"/>
    </row>
    <row r="1516" spans="1:23">
      <c r="A1516" s="1410"/>
      <c r="B1516" s="1413"/>
      <c r="C1516" s="845" t="s">
        <v>994</v>
      </c>
      <c r="D1516" s="875" t="str">
        <f>B1505&amp;C1516</f>
        <v>B36m</v>
      </c>
      <c r="E1516" s="367">
        <v>11</v>
      </c>
      <c r="F1516" s="370"/>
      <c r="G1516" s="368"/>
      <c r="H1516" s="368"/>
      <c r="I1516" s="368"/>
      <c r="J1516" s="368"/>
      <c r="K1516" s="370"/>
      <c r="L1516" s="370"/>
      <c r="M1516" s="370"/>
      <c r="N1516" s="372"/>
      <c r="O1516" s="372"/>
      <c r="P1516" s="380"/>
      <c r="Q1516" s="374"/>
      <c r="R1516" s="381"/>
      <c r="S1516" s="379"/>
      <c r="T1516" s="366"/>
      <c r="U1516" s="366"/>
      <c r="V1516" s="366"/>
      <c r="W1516" s="366"/>
    </row>
    <row r="1517" spans="1:23">
      <c r="A1517" s="1410"/>
      <c r="B1517" s="1413"/>
      <c r="C1517" s="845" t="s">
        <v>995</v>
      </c>
      <c r="D1517" s="875" t="str">
        <f>B1505&amp;C1517</f>
        <v>B36n</v>
      </c>
      <c r="E1517" s="367">
        <v>12</v>
      </c>
      <c r="F1517" s="370"/>
      <c r="G1517" s="368"/>
      <c r="H1517" s="368"/>
      <c r="I1517" s="368"/>
      <c r="J1517" s="368"/>
      <c r="K1517" s="370"/>
      <c r="L1517" s="370"/>
      <c r="M1517" s="370"/>
      <c r="N1517" s="372"/>
      <c r="O1517" s="372"/>
      <c r="P1517" s="380"/>
      <c r="Q1517" s="374"/>
      <c r="R1517" s="381"/>
      <c r="S1517" s="361"/>
      <c r="T1517" s="361"/>
      <c r="U1517" s="361"/>
      <c r="V1517" s="366"/>
      <c r="W1517" s="366"/>
    </row>
    <row r="1518" spans="1:23">
      <c r="A1518" s="1410"/>
      <c r="B1518" s="1413"/>
      <c r="C1518" s="845" t="s">
        <v>471</v>
      </c>
      <c r="D1518" s="875" t="str">
        <f>B1505&amp;C1518</f>
        <v>B36x</v>
      </c>
      <c r="E1518" s="367">
        <v>13</v>
      </c>
      <c r="F1518" s="370"/>
      <c r="G1518" s="368"/>
      <c r="H1518" s="368"/>
      <c r="I1518" s="368"/>
      <c r="J1518" s="368"/>
      <c r="K1518" s="370"/>
      <c r="L1518" s="370"/>
      <c r="M1518" s="370"/>
      <c r="N1518" s="382"/>
      <c r="O1518" s="372"/>
      <c r="P1518" s="380"/>
      <c r="Q1518" s="381"/>
      <c r="R1518" s="381"/>
      <c r="S1518" s="361"/>
      <c r="T1518" s="361"/>
      <c r="U1518" s="361"/>
      <c r="V1518" s="366"/>
      <c r="W1518" s="366"/>
    </row>
    <row r="1519" spans="1:23">
      <c r="A1519" s="1410"/>
      <c r="B1519" s="1413"/>
      <c r="C1519" s="845" t="s">
        <v>732</v>
      </c>
      <c r="D1519" s="875" t="str">
        <f>B1505&amp;C1519</f>
        <v>B36y</v>
      </c>
      <c r="E1519" s="367">
        <v>14</v>
      </c>
      <c r="F1519" s="370"/>
      <c r="G1519" s="368"/>
      <c r="H1519" s="368"/>
      <c r="I1519" s="368"/>
      <c r="J1519" s="368"/>
      <c r="K1519" s="370"/>
      <c r="L1519" s="370"/>
      <c r="M1519" s="370"/>
      <c r="N1519" s="382"/>
      <c r="O1519" s="372"/>
      <c r="P1519" s="380"/>
      <c r="Q1519" s="381"/>
      <c r="R1519" s="381"/>
      <c r="S1519" s="361"/>
      <c r="T1519" s="361"/>
      <c r="U1519" s="362"/>
      <c r="V1519" s="366"/>
      <c r="W1519" s="366"/>
    </row>
    <row r="1520" spans="1:23">
      <c r="A1520" s="1411"/>
      <c r="B1520" s="1414"/>
      <c r="C1520" s="846" t="s">
        <v>996</v>
      </c>
      <c r="D1520" s="876" t="str">
        <f>B1505&amp;C1520</f>
        <v>B36z</v>
      </c>
      <c r="E1520" s="847">
        <v>15</v>
      </c>
      <c r="F1520" s="370"/>
      <c r="G1520" s="368"/>
      <c r="H1520" s="368"/>
      <c r="I1520" s="368"/>
      <c r="J1520" s="368"/>
      <c r="K1520" s="370"/>
      <c r="L1520" s="370"/>
      <c r="M1520" s="370"/>
      <c r="N1520" s="850"/>
      <c r="O1520" s="851"/>
      <c r="P1520" s="380"/>
      <c r="Q1520" s="852"/>
      <c r="R1520" s="383"/>
      <c r="S1520" s="361"/>
      <c r="T1520" s="832"/>
      <c r="U1520" s="830"/>
      <c r="V1520" s="366"/>
      <c r="W1520" s="366"/>
    </row>
    <row r="1521" spans="1:23">
      <c r="A1521" s="1400" t="s">
        <v>939</v>
      </c>
      <c r="B1521" s="1400"/>
      <c r="C1521" s="827"/>
      <c r="D1521" s="871"/>
      <c r="E1521" s="1400" t="s">
        <v>177</v>
      </c>
      <c r="F1521" s="1400" t="s">
        <v>18</v>
      </c>
      <c r="G1521" s="1389" t="s">
        <v>19</v>
      </c>
      <c r="H1521" s="1390"/>
      <c r="I1521" s="1389" t="s">
        <v>22</v>
      </c>
      <c r="J1521" s="1390"/>
      <c r="K1521" s="1393" t="s">
        <v>26</v>
      </c>
      <c r="L1521" s="1390"/>
      <c r="M1521" s="1389" t="s">
        <v>392</v>
      </c>
      <c r="N1521" s="1390"/>
      <c r="O1521" s="1389" t="s">
        <v>28</v>
      </c>
      <c r="P1521" s="1393"/>
      <c r="Q1521" s="1390"/>
      <c r="R1521" s="1400" t="s">
        <v>36</v>
      </c>
      <c r="S1521" s="361"/>
      <c r="T1521" s="361">
        <f>MAX(J1525:J1539)-MIN(I1525:I1539)</f>
        <v>4.861111111111116E-2</v>
      </c>
      <c r="U1521" s="361"/>
      <c r="V1521" s="853" t="str">
        <f t="shared" ref="V1521" si="162">B1525</f>
        <v>B40</v>
      </c>
      <c r="W1521" s="361">
        <f t="shared" ref="W1521" si="163">COUNTIF(K1526:K1540,"&gt;0")</f>
        <v>3</v>
      </c>
    </row>
    <row r="1522" spans="1:23">
      <c r="A1522" s="1401"/>
      <c r="B1522" s="1401"/>
      <c r="C1522" s="828"/>
      <c r="D1522" s="872"/>
      <c r="E1522" s="1401"/>
      <c r="F1522" s="1401"/>
      <c r="G1522" s="1391"/>
      <c r="H1522" s="1392"/>
      <c r="I1522" s="1391"/>
      <c r="J1522" s="1392"/>
      <c r="K1522" s="1394"/>
      <c r="L1522" s="1392"/>
      <c r="M1522" s="1391"/>
      <c r="N1522" s="1392"/>
      <c r="O1522" s="1391"/>
      <c r="P1522" s="1394"/>
      <c r="Q1522" s="1392"/>
      <c r="R1522" s="1401"/>
      <c r="S1522" s="361"/>
      <c r="T1522" s="361"/>
      <c r="U1522" s="361"/>
      <c r="V1522" s="361"/>
      <c r="W1522" s="361"/>
    </row>
    <row r="1523" spans="1:23">
      <c r="A1523" s="1401"/>
      <c r="B1523" s="1401"/>
      <c r="C1523" s="828"/>
      <c r="D1523" s="872"/>
      <c r="E1523" s="1401"/>
      <c r="F1523" s="1401"/>
      <c r="G1523" s="1400" t="s">
        <v>20</v>
      </c>
      <c r="H1523" s="1400" t="s">
        <v>21</v>
      </c>
      <c r="I1523" s="1400" t="s">
        <v>361</v>
      </c>
      <c r="J1523" s="1400" t="s">
        <v>353</v>
      </c>
      <c r="K1523" s="1400" t="s">
        <v>23</v>
      </c>
      <c r="L1523" s="1400" t="s">
        <v>24</v>
      </c>
      <c r="M1523" s="1400" t="s">
        <v>27</v>
      </c>
      <c r="N1523" s="1400" t="s">
        <v>178</v>
      </c>
      <c r="O1523" s="1400" t="s">
        <v>1</v>
      </c>
      <c r="P1523" s="1400" t="s">
        <v>29</v>
      </c>
      <c r="Q1523" s="1400" t="s">
        <v>33</v>
      </c>
      <c r="R1523" s="1401"/>
      <c r="S1523" s="361"/>
      <c r="T1523" s="361" t="s">
        <v>39</v>
      </c>
      <c r="U1523" s="362">
        <f>VLOOKUP(B1525,'Thong tin'!$A:$M,13,0)</f>
        <v>800</v>
      </c>
      <c r="V1523" s="361"/>
      <c r="W1523" s="361"/>
    </row>
    <row r="1524" spans="1:23">
      <c r="A1524" s="1402"/>
      <c r="B1524" s="1402"/>
      <c r="C1524" s="829"/>
      <c r="D1524" s="873"/>
      <c r="E1524" s="1402"/>
      <c r="F1524" s="1402"/>
      <c r="G1524" s="1402"/>
      <c r="H1524" s="1402"/>
      <c r="I1524" s="1402"/>
      <c r="J1524" s="1402"/>
      <c r="K1524" s="1402"/>
      <c r="L1524" s="1402"/>
      <c r="M1524" s="1402"/>
      <c r="N1524" s="1402"/>
      <c r="O1524" s="1402"/>
      <c r="P1524" s="1402"/>
      <c r="Q1524" s="1402"/>
      <c r="R1524" s="1402"/>
      <c r="S1524" s="361"/>
      <c r="T1524" s="1399" t="s">
        <v>393</v>
      </c>
      <c r="U1524" s="1397">
        <f>VLOOKUP(B1525,DT.NK!$B:$AZ,45,0)</f>
        <v>31.7</v>
      </c>
      <c r="V1524" s="361"/>
      <c r="W1524" s="361"/>
    </row>
    <row r="1525" spans="1:23">
      <c r="A1525" s="1409">
        <f>A1505+1</f>
        <v>77</v>
      </c>
      <c r="B1525" s="1412" t="s">
        <v>607</v>
      </c>
      <c r="C1525" s="844" t="s">
        <v>983</v>
      </c>
      <c r="D1525" s="874" t="str">
        <f>B1525&amp;C1525</f>
        <v>B40a</v>
      </c>
      <c r="E1525" s="363"/>
      <c r="F1525" s="364"/>
      <c r="G1525" s="364"/>
      <c r="H1525" s="364"/>
      <c r="I1525" s="364"/>
      <c r="J1525" s="364"/>
      <c r="K1525" s="364"/>
      <c r="L1525" s="364"/>
      <c r="M1525" s="674"/>
      <c r="N1525" s="670"/>
      <c r="O1525" s="670">
        <f>U1524</f>
        <v>31.7</v>
      </c>
      <c r="P1525" s="670">
        <f>O1525</f>
        <v>31.7</v>
      </c>
      <c r="Q1525" s="670">
        <v>0</v>
      </c>
      <c r="R1525" s="365"/>
      <c r="S1525" s="366"/>
      <c r="T1525" s="1399"/>
      <c r="U1525" s="1398"/>
      <c r="V1525" s="361"/>
      <c r="W1525" s="361"/>
    </row>
    <row r="1526" spans="1:23">
      <c r="A1526" s="1410"/>
      <c r="B1526" s="1413"/>
      <c r="C1526" s="845" t="s">
        <v>984</v>
      </c>
      <c r="D1526" s="875" t="str">
        <f>B1525&amp;C1526</f>
        <v>B40b</v>
      </c>
      <c r="E1526" s="367">
        <v>1</v>
      </c>
      <c r="F1526" s="669" t="s">
        <v>982</v>
      </c>
      <c r="G1526" s="369">
        <v>0.45694444444444443</v>
      </c>
      <c r="H1526" s="368">
        <v>0.48958333333333331</v>
      </c>
      <c r="I1526" s="368">
        <v>0.50694444444444442</v>
      </c>
      <c r="J1526" s="368">
        <v>0.51041666666666663</v>
      </c>
      <c r="K1526" s="669">
        <v>7</v>
      </c>
      <c r="L1526" s="669">
        <v>19</v>
      </c>
      <c r="M1526" s="675">
        <v>25.4</v>
      </c>
      <c r="N1526" s="671">
        <f>IF(M1526-P1526&gt;0,M1526-P1526,0)</f>
        <v>4.6999999999999993</v>
      </c>
      <c r="O1526" s="671">
        <f>O1525-K1526/(PI()*(U1523/2000)^2)</f>
        <v>17.773942479459159</v>
      </c>
      <c r="P1526" s="672">
        <v>20.7</v>
      </c>
      <c r="Q1526" s="673">
        <f>ABS(O1526-P1526)</f>
        <v>2.9260575205408408</v>
      </c>
      <c r="R1526" s="375" t="s">
        <v>188</v>
      </c>
      <c r="S1526" s="366"/>
      <c r="T1526" s="376"/>
      <c r="U1526" s="376"/>
      <c r="V1526" s="366"/>
      <c r="W1526" s="366"/>
    </row>
    <row r="1527" spans="1:23">
      <c r="A1527" s="1410"/>
      <c r="B1527" s="1413"/>
      <c r="C1527" s="845" t="s">
        <v>985</v>
      </c>
      <c r="D1527" s="875" t="str">
        <f>B1525&amp;C1527</f>
        <v>B40c</v>
      </c>
      <c r="E1527" s="367">
        <v>2</v>
      </c>
      <c r="F1527" s="669" t="s">
        <v>1019</v>
      </c>
      <c r="G1527" s="369">
        <v>0.4694444444444445</v>
      </c>
      <c r="H1527" s="368">
        <v>0.5</v>
      </c>
      <c r="I1527" s="368">
        <v>0.51736111111111105</v>
      </c>
      <c r="J1527" s="368">
        <v>0.52083333333333337</v>
      </c>
      <c r="K1527" s="669">
        <v>7</v>
      </c>
      <c r="L1527" s="669">
        <v>19</v>
      </c>
      <c r="M1527" s="675">
        <v>12.8</v>
      </c>
      <c r="N1527" s="671">
        <f>IF(M1527-P1527&gt;0,M1527-P1527,0)</f>
        <v>5.6000000000000005</v>
      </c>
      <c r="O1527" s="671">
        <f>O1526-K1527/(PI()*(U1523/2000)^2)</f>
        <v>3.8478849589183177</v>
      </c>
      <c r="P1527" s="672">
        <v>7.2</v>
      </c>
      <c r="Q1527" s="673">
        <f>ABS(O1527-P1527)</f>
        <v>3.3521150410816825</v>
      </c>
      <c r="R1527" s="375" t="s">
        <v>188</v>
      </c>
      <c r="S1527" s="366"/>
      <c r="T1527" s="376"/>
      <c r="U1527" s="376"/>
      <c r="V1527" s="366"/>
      <c r="W1527" s="366"/>
    </row>
    <row r="1528" spans="1:23">
      <c r="A1528" s="1410"/>
      <c r="B1528" s="1413"/>
      <c r="C1528" s="845" t="s">
        <v>986</v>
      </c>
      <c r="D1528" s="875" t="str">
        <f>B1525&amp;C1528</f>
        <v>B40d</v>
      </c>
      <c r="E1528" s="367">
        <v>3</v>
      </c>
      <c r="F1528" s="669" t="s">
        <v>982</v>
      </c>
      <c r="G1528" s="368">
        <v>0.52083333333333337</v>
      </c>
      <c r="H1528" s="368">
        <v>0.54513888888888895</v>
      </c>
      <c r="I1528" s="368">
        <v>0.55208333333333337</v>
      </c>
      <c r="J1528" s="368">
        <v>0.55555555555555558</v>
      </c>
      <c r="K1528" s="370">
        <v>1</v>
      </c>
      <c r="L1528" s="370">
        <v>19</v>
      </c>
      <c r="M1528" s="371">
        <v>12.8</v>
      </c>
      <c r="N1528" s="671">
        <f>IF(M1528-P1528&gt;0,M1528-P1528,0)</f>
        <v>7.6000000000000005</v>
      </c>
      <c r="O1528" s="671">
        <f>O1527-K1528/(PI()*(U1523/2000)^2)</f>
        <v>1.8584481702696261</v>
      </c>
      <c r="P1528" s="672">
        <v>5.2</v>
      </c>
      <c r="Q1528" s="673">
        <f>ABS(O1528-P1528)</f>
        <v>3.3415518297303741</v>
      </c>
      <c r="R1528" s="375"/>
      <c r="S1528" s="366"/>
      <c r="T1528" s="376"/>
      <c r="U1528" s="376"/>
      <c r="V1528" s="366"/>
      <c r="W1528" s="366"/>
    </row>
    <row r="1529" spans="1:23">
      <c r="A1529" s="1410"/>
      <c r="B1529" s="1413"/>
      <c r="C1529" s="845" t="s">
        <v>987</v>
      </c>
      <c r="D1529" s="875" t="str">
        <f>B1525&amp;C1529</f>
        <v>B40e</v>
      </c>
      <c r="E1529" s="367">
        <v>4</v>
      </c>
      <c r="F1529" s="669"/>
      <c r="G1529" s="368"/>
      <c r="H1529" s="368"/>
      <c r="I1529" s="368"/>
      <c r="J1529" s="368"/>
      <c r="K1529" s="370"/>
      <c r="L1529" s="370"/>
      <c r="M1529" s="371"/>
      <c r="N1529" s="671"/>
      <c r="O1529" s="671"/>
      <c r="P1529" s="373"/>
      <c r="Q1529" s="673"/>
      <c r="R1529" s="375"/>
      <c r="S1529" s="366"/>
      <c r="T1529" s="376"/>
      <c r="U1529" s="376"/>
      <c r="V1529" s="366"/>
      <c r="W1529" s="366"/>
    </row>
    <row r="1530" spans="1:23">
      <c r="A1530" s="1410"/>
      <c r="B1530" s="1413"/>
      <c r="C1530" s="845" t="s">
        <v>988</v>
      </c>
      <c r="D1530" s="875" t="str">
        <f>B1525&amp;C1530</f>
        <v>B40f</v>
      </c>
      <c r="E1530" s="367">
        <v>5</v>
      </c>
      <c r="F1530" s="669"/>
      <c r="G1530" s="368"/>
      <c r="H1530" s="368"/>
      <c r="I1530" s="368"/>
      <c r="J1530" s="368"/>
      <c r="K1530" s="370"/>
      <c r="L1530" s="370"/>
      <c r="M1530" s="371"/>
      <c r="N1530" s="671"/>
      <c r="O1530" s="671"/>
      <c r="P1530" s="373"/>
      <c r="Q1530" s="673"/>
      <c r="R1530" s="377"/>
      <c r="S1530" s="366" t="s">
        <v>190</v>
      </c>
      <c r="T1530" s="376"/>
      <c r="U1530" s="376"/>
      <c r="V1530" s="366"/>
      <c r="W1530" s="366"/>
    </row>
    <row r="1531" spans="1:23">
      <c r="A1531" s="1410"/>
      <c r="B1531" s="1413"/>
      <c r="C1531" s="845" t="s">
        <v>989</v>
      </c>
      <c r="D1531" s="875" t="str">
        <f>B1525&amp;C1531</f>
        <v>B40g</v>
      </c>
      <c r="E1531" s="367">
        <v>6</v>
      </c>
      <c r="F1531" s="669"/>
      <c r="G1531" s="368"/>
      <c r="H1531" s="368"/>
      <c r="I1531" s="368"/>
      <c r="J1531" s="368"/>
      <c r="K1531" s="370"/>
      <c r="L1531" s="370"/>
      <c r="M1531" s="371"/>
      <c r="N1531" s="671"/>
      <c r="O1531" s="671"/>
      <c r="P1531" s="373"/>
      <c r="Q1531" s="673"/>
      <c r="R1531" s="375"/>
      <c r="S1531" s="366" t="s">
        <v>190</v>
      </c>
      <c r="T1531" s="366"/>
      <c r="U1531" s="366"/>
      <c r="V1531" s="366"/>
      <c r="W1531" s="366"/>
    </row>
    <row r="1532" spans="1:23">
      <c r="A1532" s="1410"/>
      <c r="B1532" s="1413"/>
      <c r="C1532" s="845" t="s">
        <v>990</v>
      </c>
      <c r="D1532" s="875" t="str">
        <f>B1525&amp;C1532</f>
        <v>B40h</v>
      </c>
      <c r="E1532" s="367">
        <v>7</v>
      </c>
      <c r="F1532" s="669"/>
      <c r="G1532" s="368"/>
      <c r="H1532" s="368"/>
      <c r="I1532" s="368"/>
      <c r="J1532" s="368"/>
      <c r="K1532" s="370"/>
      <c r="L1532" s="370"/>
      <c r="M1532" s="371"/>
      <c r="N1532" s="671"/>
      <c r="O1532" s="671"/>
      <c r="P1532" s="373"/>
      <c r="Q1532" s="673"/>
      <c r="R1532" s="377"/>
      <c r="S1532" s="366" t="s">
        <v>190</v>
      </c>
      <c r="T1532" s="366"/>
      <c r="U1532" s="366"/>
      <c r="V1532" s="366"/>
      <c r="W1532" s="366"/>
    </row>
    <row r="1533" spans="1:23">
      <c r="A1533" s="1410"/>
      <c r="B1533" s="1413"/>
      <c r="C1533" s="845" t="s">
        <v>991</v>
      </c>
      <c r="D1533" s="875" t="str">
        <f>B1525&amp;C1533</f>
        <v>B40i</v>
      </c>
      <c r="E1533" s="367">
        <v>8</v>
      </c>
      <c r="F1533" s="669"/>
      <c r="G1533" s="368"/>
      <c r="H1533" s="368"/>
      <c r="I1533" s="368"/>
      <c r="J1533" s="368"/>
      <c r="K1533" s="370"/>
      <c r="L1533" s="370"/>
      <c r="M1533" s="371"/>
      <c r="N1533" s="671"/>
      <c r="O1533" s="671"/>
      <c r="P1533" s="373"/>
      <c r="Q1533" s="673"/>
      <c r="R1533" s="378"/>
      <c r="S1533" s="366"/>
      <c r="T1533" s="366"/>
      <c r="U1533" s="366"/>
      <c r="V1533" s="366"/>
      <c r="W1533" s="366"/>
    </row>
    <row r="1534" spans="1:23">
      <c r="A1534" s="1410"/>
      <c r="B1534" s="1413"/>
      <c r="C1534" s="845" t="s">
        <v>992</v>
      </c>
      <c r="D1534" s="875" t="str">
        <f>B1525&amp;C1534</f>
        <v>B40k</v>
      </c>
      <c r="E1534" s="367">
        <v>9</v>
      </c>
      <c r="F1534" s="370"/>
      <c r="G1534" s="368"/>
      <c r="H1534" s="368"/>
      <c r="I1534" s="368"/>
      <c r="J1534" s="368"/>
      <c r="K1534" s="370"/>
      <c r="L1534" s="370"/>
      <c r="M1534" s="371"/>
      <c r="N1534" s="372"/>
      <c r="O1534" s="372"/>
      <c r="P1534" s="373"/>
      <c r="Q1534" s="374"/>
      <c r="R1534" s="378"/>
      <c r="S1534" s="379"/>
      <c r="T1534" s="366"/>
      <c r="U1534" s="366"/>
      <c r="V1534" s="366"/>
      <c r="W1534" s="366"/>
    </row>
    <row r="1535" spans="1:23">
      <c r="A1535" s="1410"/>
      <c r="B1535" s="1413"/>
      <c r="C1535" s="845" t="s">
        <v>993</v>
      </c>
      <c r="D1535" s="875" t="str">
        <f>B1525&amp;C1535</f>
        <v>B40l</v>
      </c>
      <c r="E1535" s="367">
        <v>10</v>
      </c>
      <c r="F1535" s="370"/>
      <c r="G1535" s="368"/>
      <c r="H1535" s="368"/>
      <c r="I1535" s="368"/>
      <c r="J1535" s="368"/>
      <c r="K1535" s="370"/>
      <c r="L1535" s="370"/>
      <c r="M1535" s="370"/>
      <c r="N1535" s="372"/>
      <c r="O1535" s="372"/>
      <c r="P1535" s="373"/>
      <c r="Q1535" s="374"/>
      <c r="R1535" s="378"/>
      <c r="S1535" s="379"/>
      <c r="T1535" s="366"/>
      <c r="U1535" s="366"/>
      <c r="V1535" s="366"/>
      <c r="W1535" s="366"/>
    </row>
    <row r="1536" spans="1:23">
      <c r="A1536" s="1410"/>
      <c r="B1536" s="1413"/>
      <c r="C1536" s="845" t="s">
        <v>994</v>
      </c>
      <c r="D1536" s="875" t="str">
        <f>B1525&amp;C1536</f>
        <v>B40m</v>
      </c>
      <c r="E1536" s="367">
        <v>11</v>
      </c>
      <c r="F1536" s="370"/>
      <c r="G1536" s="368"/>
      <c r="H1536" s="368"/>
      <c r="I1536" s="368"/>
      <c r="J1536" s="368"/>
      <c r="K1536" s="370"/>
      <c r="L1536" s="370"/>
      <c r="M1536" s="370"/>
      <c r="N1536" s="372"/>
      <c r="O1536" s="372"/>
      <c r="P1536" s="380"/>
      <c r="Q1536" s="374"/>
      <c r="R1536" s="381"/>
      <c r="S1536" s="379"/>
      <c r="T1536" s="366"/>
      <c r="U1536" s="366"/>
      <c r="V1536" s="366"/>
      <c r="W1536" s="366"/>
    </row>
    <row r="1537" spans="1:23">
      <c r="A1537" s="1410"/>
      <c r="B1537" s="1413"/>
      <c r="C1537" s="845" t="s">
        <v>995</v>
      </c>
      <c r="D1537" s="875" t="str">
        <f>B1525&amp;C1537</f>
        <v>B40n</v>
      </c>
      <c r="E1537" s="367">
        <v>12</v>
      </c>
      <c r="F1537" s="370"/>
      <c r="G1537" s="368"/>
      <c r="H1537" s="368"/>
      <c r="I1537" s="368"/>
      <c r="J1537" s="368"/>
      <c r="K1537" s="370"/>
      <c r="L1537" s="370"/>
      <c r="M1537" s="370"/>
      <c r="N1537" s="372"/>
      <c r="O1537" s="372"/>
      <c r="P1537" s="380"/>
      <c r="Q1537" s="374"/>
      <c r="R1537" s="381"/>
      <c r="S1537" s="361"/>
      <c r="T1537" s="361"/>
      <c r="U1537" s="361"/>
      <c r="V1537" s="366"/>
      <c r="W1537" s="366"/>
    </row>
    <row r="1538" spans="1:23">
      <c r="A1538" s="1410"/>
      <c r="B1538" s="1413"/>
      <c r="C1538" s="845" t="s">
        <v>471</v>
      </c>
      <c r="D1538" s="875" t="str">
        <f>B1525&amp;C1538</f>
        <v>B40x</v>
      </c>
      <c r="E1538" s="367">
        <v>13</v>
      </c>
      <c r="F1538" s="370"/>
      <c r="G1538" s="368"/>
      <c r="H1538" s="368"/>
      <c r="I1538" s="368"/>
      <c r="J1538" s="368"/>
      <c r="K1538" s="370"/>
      <c r="L1538" s="370"/>
      <c r="M1538" s="370"/>
      <c r="N1538" s="382"/>
      <c r="O1538" s="372"/>
      <c r="P1538" s="380"/>
      <c r="Q1538" s="381"/>
      <c r="R1538" s="381"/>
      <c r="S1538" s="361"/>
      <c r="T1538" s="361"/>
      <c r="U1538" s="361"/>
      <c r="V1538" s="366"/>
      <c r="W1538" s="366"/>
    </row>
    <row r="1539" spans="1:23">
      <c r="A1539" s="1410"/>
      <c r="B1539" s="1413"/>
      <c r="C1539" s="845" t="s">
        <v>732</v>
      </c>
      <c r="D1539" s="875" t="str">
        <f>B1525&amp;C1539</f>
        <v>B40y</v>
      </c>
      <c r="E1539" s="367">
        <v>14</v>
      </c>
      <c r="F1539" s="370"/>
      <c r="G1539" s="368"/>
      <c r="H1539" s="368"/>
      <c r="I1539" s="368"/>
      <c r="J1539" s="368"/>
      <c r="K1539" s="370"/>
      <c r="L1539" s="370"/>
      <c r="M1539" s="370"/>
      <c r="N1539" s="382"/>
      <c r="O1539" s="372"/>
      <c r="P1539" s="380"/>
      <c r="Q1539" s="381"/>
      <c r="R1539" s="381"/>
      <c r="S1539" s="361"/>
      <c r="T1539" s="361"/>
      <c r="U1539" s="362"/>
      <c r="V1539" s="366"/>
      <c r="W1539" s="366"/>
    </row>
    <row r="1540" spans="1:23">
      <c r="A1540" s="1411"/>
      <c r="B1540" s="1414"/>
      <c r="C1540" s="846" t="s">
        <v>996</v>
      </c>
      <c r="D1540" s="876" t="str">
        <f>B1525&amp;C1540</f>
        <v>B40z</v>
      </c>
      <c r="E1540" s="847">
        <v>15</v>
      </c>
      <c r="F1540" s="370"/>
      <c r="G1540" s="368"/>
      <c r="H1540" s="368"/>
      <c r="I1540" s="368"/>
      <c r="J1540" s="368"/>
      <c r="K1540" s="370"/>
      <c r="L1540" s="370"/>
      <c r="M1540" s="370"/>
      <c r="N1540" s="850"/>
      <c r="O1540" s="851"/>
      <c r="P1540" s="380"/>
      <c r="Q1540" s="852"/>
      <c r="R1540" s="383"/>
      <c r="S1540" s="361"/>
      <c r="T1540" s="832"/>
      <c r="U1540" s="830"/>
      <c r="V1540" s="366"/>
      <c r="W1540" s="366"/>
    </row>
    <row r="1541" spans="1:23">
      <c r="A1541" s="1400" t="s">
        <v>939</v>
      </c>
      <c r="B1541" s="1400"/>
      <c r="C1541" s="827"/>
      <c r="D1541" s="871"/>
      <c r="E1541" s="1400" t="s">
        <v>177</v>
      </c>
      <c r="F1541" s="1400" t="s">
        <v>18</v>
      </c>
      <c r="G1541" s="1389" t="s">
        <v>19</v>
      </c>
      <c r="H1541" s="1390"/>
      <c r="I1541" s="1389" t="s">
        <v>22</v>
      </c>
      <c r="J1541" s="1390"/>
      <c r="K1541" s="1393" t="s">
        <v>26</v>
      </c>
      <c r="L1541" s="1390"/>
      <c r="M1541" s="1389" t="s">
        <v>392</v>
      </c>
      <c r="N1541" s="1390"/>
      <c r="O1541" s="1389" t="s">
        <v>28</v>
      </c>
      <c r="P1541" s="1393"/>
      <c r="Q1541" s="1390"/>
      <c r="R1541" s="1400" t="s">
        <v>36</v>
      </c>
      <c r="S1541" s="361"/>
      <c r="T1541" s="361">
        <f>MAX(J1545:J1559)-MIN(I1545:I1559)</f>
        <v>3.472222222222221E-2</v>
      </c>
      <c r="U1541" s="361"/>
      <c r="V1541" s="853" t="str">
        <f t="shared" ref="V1541" si="164">B1545</f>
        <v>A47</v>
      </c>
      <c r="W1541" s="361">
        <f t="shared" ref="W1541" si="165">COUNTIF(K1546:K1560,"&gt;0")</f>
        <v>4</v>
      </c>
    </row>
    <row r="1542" spans="1:23">
      <c r="A1542" s="1401"/>
      <c r="B1542" s="1401"/>
      <c r="C1542" s="828"/>
      <c r="D1542" s="872"/>
      <c r="E1542" s="1401"/>
      <c r="F1542" s="1401"/>
      <c r="G1542" s="1391"/>
      <c r="H1542" s="1392"/>
      <c r="I1542" s="1391"/>
      <c r="J1542" s="1392"/>
      <c r="K1542" s="1394"/>
      <c r="L1542" s="1392"/>
      <c r="M1542" s="1391"/>
      <c r="N1542" s="1392"/>
      <c r="O1542" s="1391"/>
      <c r="P1542" s="1394"/>
      <c r="Q1542" s="1392"/>
      <c r="R1542" s="1401"/>
      <c r="S1542" s="361"/>
      <c r="T1542" s="361"/>
      <c r="U1542" s="361"/>
      <c r="V1542" s="361"/>
      <c r="W1542" s="361"/>
    </row>
    <row r="1543" spans="1:23">
      <c r="A1543" s="1401"/>
      <c r="B1543" s="1401"/>
      <c r="C1543" s="828"/>
      <c r="D1543" s="872"/>
      <c r="E1543" s="1401"/>
      <c r="F1543" s="1401"/>
      <c r="G1543" s="1400" t="s">
        <v>20</v>
      </c>
      <c r="H1543" s="1400" t="s">
        <v>21</v>
      </c>
      <c r="I1543" s="1400" t="s">
        <v>361</v>
      </c>
      <c r="J1543" s="1400" t="s">
        <v>353</v>
      </c>
      <c r="K1543" s="1400" t="s">
        <v>23</v>
      </c>
      <c r="L1543" s="1400" t="s">
        <v>24</v>
      </c>
      <c r="M1543" s="1400" t="s">
        <v>27</v>
      </c>
      <c r="N1543" s="1400" t="s">
        <v>178</v>
      </c>
      <c r="O1543" s="1400" t="s">
        <v>1</v>
      </c>
      <c r="P1543" s="1400" t="s">
        <v>29</v>
      </c>
      <c r="Q1543" s="1400" t="s">
        <v>33</v>
      </c>
      <c r="R1543" s="1401"/>
      <c r="S1543" s="361"/>
      <c r="T1543" s="361" t="s">
        <v>39</v>
      </c>
      <c r="U1543" s="362">
        <f>VLOOKUP(B1545,'Thong tin'!$A:$M,13,0)</f>
        <v>1200</v>
      </c>
      <c r="V1543" s="361"/>
      <c r="W1543" s="361"/>
    </row>
    <row r="1544" spans="1:23">
      <c r="A1544" s="1402"/>
      <c r="B1544" s="1402"/>
      <c r="C1544" s="829"/>
      <c r="D1544" s="873"/>
      <c r="E1544" s="1402"/>
      <c r="F1544" s="1402"/>
      <c r="G1544" s="1402"/>
      <c r="H1544" s="1402"/>
      <c r="I1544" s="1402"/>
      <c r="J1544" s="1402"/>
      <c r="K1544" s="1402"/>
      <c r="L1544" s="1402"/>
      <c r="M1544" s="1402"/>
      <c r="N1544" s="1402"/>
      <c r="O1544" s="1402"/>
      <c r="P1544" s="1402"/>
      <c r="Q1544" s="1402"/>
      <c r="R1544" s="1402"/>
      <c r="S1544" s="361"/>
      <c r="T1544" s="1399" t="s">
        <v>393</v>
      </c>
      <c r="U1544" s="1397">
        <f>VLOOKUP(B1545,DT.NK!$B:$AZ,45,0)</f>
        <v>31.5</v>
      </c>
      <c r="V1544" s="361"/>
      <c r="W1544" s="361"/>
    </row>
    <row r="1545" spans="1:23">
      <c r="A1545" s="1409">
        <f>A1525+1</f>
        <v>78</v>
      </c>
      <c r="B1545" s="1412" t="s">
        <v>495</v>
      </c>
      <c r="C1545" s="844" t="s">
        <v>983</v>
      </c>
      <c r="D1545" s="874" t="str">
        <f>B1545&amp;C1545</f>
        <v>A47a</v>
      </c>
      <c r="E1545" s="363"/>
      <c r="F1545" s="364"/>
      <c r="G1545" s="364"/>
      <c r="H1545" s="364"/>
      <c r="I1545" s="364"/>
      <c r="J1545" s="364"/>
      <c r="K1545" s="364"/>
      <c r="L1545" s="364"/>
      <c r="M1545" s="674"/>
      <c r="N1545" s="670"/>
      <c r="O1545" s="670">
        <f>U1544</f>
        <v>31.5</v>
      </c>
      <c r="P1545" s="670">
        <f>O1545</f>
        <v>31.5</v>
      </c>
      <c r="Q1545" s="670">
        <v>0</v>
      </c>
      <c r="R1545" s="365"/>
      <c r="S1545" s="366"/>
      <c r="T1545" s="1399"/>
      <c r="U1545" s="1398"/>
      <c r="V1545" s="361"/>
      <c r="W1545" s="361"/>
    </row>
    <row r="1546" spans="1:23">
      <c r="A1546" s="1410"/>
      <c r="B1546" s="1413"/>
      <c r="C1546" s="845" t="s">
        <v>984</v>
      </c>
      <c r="D1546" s="875" t="str">
        <f>B1545&amp;C1546</f>
        <v>A47b</v>
      </c>
      <c r="E1546" s="367">
        <v>1</v>
      </c>
      <c r="F1546" s="669" t="s">
        <v>1091</v>
      </c>
      <c r="G1546" s="369">
        <v>0.87152777777777779</v>
      </c>
      <c r="H1546" s="368">
        <v>0.91666666666666663</v>
      </c>
      <c r="I1546" s="368">
        <v>0.92361111111111116</v>
      </c>
      <c r="J1546" s="368">
        <v>0.92708333333333337</v>
      </c>
      <c r="K1546" s="669">
        <v>10</v>
      </c>
      <c r="L1546" s="669">
        <v>19</v>
      </c>
      <c r="M1546" s="675">
        <v>27.35</v>
      </c>
      <c r="N1546" s="671">
        <f>IF(M1546-P1546&gt;0,M1546-P1546,0)</f>
        <v>4.4500000000000028</v>
      </c>
      <c r="O1546" s="671">
        <f>O1545-K1546/(PI()*(U1543/2000)^2)</f>
        <v>22.658058717116926</v>
      </c>
      <c r="P1546" s="672">
        <v>22.9</v>
      </c>
      <c r="Q1546" s="673">
        <f>ABS(O1546-P1546)</f>
        <v>0.24194128288307226</v>
      </c>
      <c r="R1546" s="375" t="s">
        <v>188</v>
      </c>
      <c r="S1546" s="366"/>
      <c r="T1546" s="376"/>
      <c r="U1546" s="376"/>
      <c r="V1546" s="366"/>
      <c r="W1546" s="366"/>
    </row>
    <row r="1547" spans="1:23">
      <c r="A1547" s="1410"/>
      <c r="B1547" s="1413"/>
      <c r="C1547" s="845" t="s">
        <v>985</v>
      </c>
      <c r="D1547" s="875" t="str">
        <f>B1545&amp;C1547</f>
        <v>A47c</v>
      </c>
      <c r="E1547" s="367">
        <v>2</v>
      </c>
      <c r="F1547" s="669" t="s">
        <v>1089</v>
      </c>
      <c r="G1547" s="369">
        <v>0.875</v>
      </c>
      <c r="H1547" s="368">
        <v>0.92361111111111116</v>
      </c>
      <c r="I1547" s="368">
        <v>0.93055555555555547</v>
      </c>
      <c r="J1547" s="368">
        <v>0.93402777777777779</v>
      </c>
      <c r="K1547" s="669">
        <v>10</v>
      </c>
      <c r="L1547" s="669">
        <v>20</v>
      </c>
      <c r="M1547" s="675">
        <v>24.2</v>
      </c>
      <c r="N1547" s="671">
        <f>IF(M1547-P1547&gt;0,M1547-P1547,0)</f>
        <v>7.8999999999999986</v>
      </c>
      <c r="O1547" s="671">
        <f>O1546-K1547/(PI()*(U1543/2000)^2)</f>
        <v>13.816117434233853</v>
      </c>
      <c r="P1547" s="672">
        <v>16.3</v>
      </c>
      <c r="Q1547" s="673">
        <f>ABS(O1547-P1547)</f>
        <v>2.4838825657661481</v>
      </c>
      <c r="R1547" s="375" t="s">
        <v>188</v>
      </c>
      <c r="S1547" s="366"/>
      <c r="T1547" s="376"/>
      <c r="U1547" s="376"/>
      <c r="V1547" s="366"/>
      <c r="W1547" s="366"/>
    </row>
    <row r="1548" spans="1:23">
      <c r="A1548" s="1410"/>
      <c r="B1548" s="1413"/>
      <c r="C1548" s="845" t="s">
        <v>986</v>
      </c>
      <c r="D1548" s="875" t="str">
        <f>B1545&amp;C1548</f>
        <v>A47d</v>
      </c>
      <c r="E1548" s="367">
        <v>3</v>
      </c>
      <c r="F1548" s="669" t="s">
        <v>1010</v>
      </c>
      <c r="G1548" s="368">
        <v>0.88194444444444453</v>
      </c>
      <c r="H1548" s="368">
        <v>0.93055555555555547</v>
      </c>
      <c r="I1548" s="368">
        <v>0.94097222222222221</v>
      </c>
      <c r="J1548" s="368">
        <v>0.94444444444444453</v>
      </c>
      <c r="K1548" s="370">
        <v>9</v>
      </c>
      <c r="L1548" s="370">
        <v>20</v>
      </c>
      <c r="M1548" s="371">
        <v>14.75</v>
      </c>
      <c r="N1548" s="671">
        <f>IF(M1548-P1548&gt;0,M1548-P1548,0)</f>
        <v>5.65</v>
      </c>
      <c r="O1548" s="671">
        <f>O1547-K1548/(PI()*(U1543/2000)^2)</f>
        <v>5.858370279639086</v>
      </c>
      <c r="P1548" s="672">
        <v>9.1</v>
      </c>
      <c r="Q1548" s="673">
        <f>ABS(O1548-P1548)</f>
        <v>3.2416297203609137</v>
      </c>
      <c r="R1548" s="375" t="s">
        <v>188</v>
      </c>
      <c r="S1548" s="366"/>
      <c r="T1548" s="376"/>
      <c r="U1548" s="376"/>
      <c r="V1548" s="366"/>
      <c r="W1548" s="366"/>
    </row>
    <row r="1549" spans="1:23">
      <c r="A1549" s="1410"/>
      <c r="B1549" s="1413"/>
      <c r="C1549" s="845" t="s">
        <v>987</v>
      </c>
      <c r="D1549" s="875" t="str">
        <f>B1545&amp;C1549</f>
        <v>A47e</v>
      </c>
      <c r="E1549" s="367">
        <v>4</v>
      </c>
      <c r="F1549" s="669" t="s">
        <v>1091</v>
      </c>
      <c r="G1549" s="368">
        <v>0.93611111111111101</v>
      </c>
      <c r="H1549" s="368">
        <v>0.94930555555555562</v>
      </c>
      <c r="I1549" s="368">
        <v>0.95486111111111116</v>
      </c>
      <c r="J1549" s="368">
        <v>0.95833333333333337</v>
      </c>
      <c r="K1549" s="370">
        <v>1.5</v>
      </c>
      <c r="L1549" s="370">
        <v>19</v>
      </c>
      <c r="M1549" s="371">
        <v>14.75</v>
      </c>
      <c r="N1549" s="671">
        <f>IF(M1549-P1549&gt;0,M1549-P1549,0)</f>
        <v>6.95</v>
      </c>
      <c r="O1549" s="671">
        <f>O1548-K1549/(PI()*(U1543/2000)^2)</f>
        <v>4.5320790872066246</v>
      </c>
      <c r="P1549" s="373">
        <v>7.8</v>
      </c>
      <c r="Q1549" s="673">
        <f>ABS(O1549-P1549)</f>
        <v>3.2679209127933753</v>
      </c>
      <c r="R1549" s="375"/>
      <c r="S1549" s="366"/>
      <c r="T1549" s="376"/>
      <c r="U1549" s="376"/>
      <c r="V1549" s="366"/>
      <c r="W1549" s="366"/>
    </row>
    <row r="1550" spans="1:23">
      <c r="A1550" s="1410"/>
      <c r="B1550" s="1413"/>
      <c r="C1550" s="845" t="s">
        <v>988</v>
      </c>
      <c r="D1550" s="875" t="str">
        <f>B1545&amp;C1550</f>
        <v>A47f</v>
      </c>
      <c r="E1550" s="367">
        <v>5</v>
      </c>
      <c r="F1550" s="669"/>
      <c r="G1550" s="368"/>
      <c r="H1550" s="368"/>
      <c r="I1550" s="368"/>
      <c r="J1550" s="368"/>
      <c r="K1550" s="370"/>
      <c r="L1550" s="370"/>
      <c r="M1550" s="371"/>
      <c r="N1550" s="671"/>
      <c r="O1550" s="671"/>
      <c r="P1550" s="373"/>
      <c r="Q1550" s="673"/>
      <c r="R1550" s="377"/>
      <c r="S1550" s="366" t="s">
        <v>190</v>
      </c>
      <c r="T1550" s="376"/>
      <c r="U1550" s="376"/>
      <c r="V1550" s="366"/>
      <c r="W1550" s="366"/>
    </row>
    <row r="1551" spans="1:23">
      <c r="A1551" s="1410"/>
      <c r="B1551" s="1413"/>
      <c r="C1551" s="845" t="s">
        <v>989</v>
      </c>
      <c r="D1551" s="875" t="str">
        <f>B1545&amp;C1551</f>
        <v>A47g</v>
      </c>
      <c r="E1551" s="367">
        <v>6</v>
      </c>
      <c r="F1551" s="669"/>
      <c r="G1551" s="368"/>
      <c r="H1551" s="368"/>
      <c r="I1551" s="368"/>
      <c r="J1551" s="368"/>
      <c r="K1551" s="370"/>
      <c r="L1551" s="370"/>
      <c r="M1551" s="371"/>
      <c r="N1551" s="671"/>
      <c r="O1551" s="671"/>
      <c r="P1551" s="373"/>
      <c r="Q1551" s="673"/>
      <c r="R1551" s="375"/>
      <c r="S1551" s="366" t="s">
        <v>190</v>
      </c>
      <c r="T1551" s="366"/>
      <c r="U1551" s="366"/>
      <c r="V1551" s="366"/>
      <c r="W1551" s="366"/>
    </row>
    <row r="1552" spans="1:23">
      <c r="A1552" s="1410"/>
      <c r="B1552" s="1413"/>
      <c r="C1552" s="845" t="s">
        <v>990</v>
      </c>
      <c r="D1552" s="875" t="str">
        <f>B1545&amp;C1552</f>
        <v>A47h</v>
      </c>
      <c r="E1552" s="367">
        <v>7</v>
      </c>
      <c r="F1552" s="669"/>
      <c r="G1552" s="368"/>
      <c r="H1552" s="368"/>
      <c r="I1552" s="368"/>
      <c r="J1552" s="368"/>
      <c r="K1552" s="370"/>
      <c r="L1552" s="370"/>
      <c r="M1552" s="371"/>
      <c r="N1552" s="671"/>
      <c r="O1552" s="671"/>
      <c r="P1552" s="373"/>
      <c r="Q1552" s="673"/>
      <c r="R1552" s="377"/>
      <c r="S1552" s="366" t="s">
        <v>190</v>
      </c>
      <c r="T1552" s="366"/>
      <c r="U1552" s="366"/>
      <c r="V1552" s="366"/>
      <c r="W1552" s="366"/>
    </row>
    <row r="1553" spans="1:23">
      <c r="A1553" s="1410"/>
      <c r="B1553" s="1413"/>
      <c r="C1553" s="845" t="s">
        <v>991</v>
      </c>
      <c r="D1553" s="875" t="str">
        <f>B1545&amp;C1553</f>
        <v>A47i</v>
      </c>
      <c r="E1553" s="367">
        <v>8</v>
      </c>
      <c r="F1553" s="669"/>
      <c r="G1553" s="368"/>
      <c r="H1553" s="368"/>
      <c r="I1553" s="368"/>
      <c r="J1553" s="368"/>
      <c r="K1553" s="370"/>
      <c r="L1553" s="370"/>
      <c r="M1553" s="371"/>
      <c r="N1553" s="671"/>
      <c r="O1553" s="671"/>
      <c r="P1553" s="373"/>
      <c r="Q1553" s="673"/>
      <c r="R1553" s="378"/>
      <c r="S1553" s="366"/>
      <c r="T1553" s="366"/>
      <c r="U1553" s="366"/>
      <c r="V1553" s="366"/>
      <c r="W1553" s="366"/>
    </row>
    <row r="1554" spans="1:23">
      <c r="A1554" s="1410"/>
      <c r="B1554" s="1413"/>
      <c r="C1554" s="845" t="s">
        <v>992</v>
      </c>
      <c r="D1554" s="875" t="str">
        <f>B1545&amp;C1554</f>
        <v>A47k</v>
      </c>
      <c r="E1554" s="367">
        <v>9</v>
      </c>
      <c r="F1554" s="370"/>
      <c r="G1554" s="368"/>
      <c r="H1554" s="368"/>
      <c r="I1554" s="368"/>
      <c r="J1554" s="368"/>
      <c r="K1554" s="370"/>
      <c r="L1554" s="370"/>
      <c r="M1554" s="371"/>
      <c r="N1554" s="372"/>
      <c r="O1554" s="372"/>
      <c r="P1554" s="373"/>
      <c r="Q1554" s="374"/>
      <c r="R1554" s="378"/>
      <c r="S1554" s="379"/>
      <c r="T1554" s="366"/>
      <c r="U1554" s="366"/>
      <c r="V1554" s="366"/>
      <c r="W1554" s="366"/>
    </row>
    <row r="1555" spans="1:23">
      <c r="A1555" s="1410"/>
      <c r="B1555" s="1413"/>
      <c r="C1555" s="845" t="s">
        <v>993</v>
      </c>
      <c r="D1555" s="875" t="str">
        <f>B1545&amp;C1555</f>
        <v>A47l</v>
      </c>
      <c r="E1555" s="367">
        <v>10</v>
      </c>
      <c r="F1555" s="370"/>
      <c r="G1555" s="368"/>
      <c r="H1555" s="368"/>
      <c r="I1555" s="368"/>
      <c r="J1555" s="368"/>
      <c r="K1555" s="370"/>
      <c r="L1555" s="370"/>
      <c r="M1555" s="370"/>
      <c r="N1555" s="372"/>
      <c r="O1555" s="372"/>
      <c r="P1555" s="373"/>
      <c r="Q1555" s="374"/>
      <c r="R1555" s="378"/>
      <c r="S1555" s="379"/>
      <c r="T1555" s="366"/>
      <c r="U1555" s="366"/>
      <c r="V1555" s="366"/>
      <c r="W1555" s="366"/>
    </row>
    <row r="1556" spans="1:23">
      <c r="A1556" s="1410"/>
      <c r="B1556" s="1413"/>
      <c r="C1556" s="845" t="s">
        <v>994</v>
      </c>
      <c r="D1556" s="875" t="str">
        <f>B1545&amp;C1556</f>
        <v>A47m</v>
      </c>
      <c r="E1556" s="367">
        <v>11</v>
      </c>
      <c r="F1556" s="370"/>
      <c r="G1556" s="368"/>
      <c r="H1556" s="368"/>
      <c r="I1556" s="368"/>
      <c r="J1556" s="368"/>
      <c r="K1556" s="370"/>
      <c r="L1556" s="370"/>
      <c r="M1556" s="370"/>
      <c r="N1556" s="372"/>
      <c r="O1556" s="372"/>
      <c r="P1556" s="380"/>
      <c r="Q1556" s="374"/>
      <c r="R1556" s="381"/>
      <c r="S1556" s="379"/>
      <c r="T1556" s="366"/>
      <c r="U1556" s="366"/>
      <c r="V1556" s="366"/>
      <c r="W1556" s="366"/>
    </row>
    <row r="1557" spans="1:23">
      <c r="A1557" s="1410"/>
      <c r="B1557" s="1413"/>
      <c r="C1557" s="845" t="s">
        <v>995</v>
      </c>
      <c r="D1557" s="875" t="str">
        <f>B1545&amp;C1557</f>
        <v>A47n</v>
      </c>
      <c r="E1557" s="367">
        <v>12</v>
      </c>
      <c r="F1557" s="370"/>
      <c r="G1557" s="368"/>
      <c r="H1557" s="368"/>
      <c r="I1557" s="368"/>
      <c r="J1557" s="368"/>
      <c r="K1557" s="370"/>
      <c r="L1557" s="370"/>
      <c r="M1557" s="370"/>
      <c r="N1557" s="372"/>
      <c r="O1557" s="372"/>
      <c r="P1557" s="380"/>
      <c r="Q1557" s="374"/>
      <c r="R1557" s="381"/>
      <c r="S1557" s="361"/>
      <c r="T1557" s="361"/>
      <c r="U1557" s="361"/>
      <c r="V1557" s="366"/>
      <c r="W1557" s="366"/>
    </row>
    <row r="1558" spans="1:23">
      <c r="A1558" s="1410"/>
      <c r="B1558" s="1413"/>
      <c r="C1558" s="845" t="s">
        <v>471</v>
      </c>
      <c r="D1558" s="875" t="str">
        <f>B1545&amp;C1558</f>
        <v>A47x</v>
      </c>
      <c r="E1558" s="367">
        <v>13</v>
      </c>
      <c r="F1558" s="370"/>
      <c r="G1558" s="368"/>
      <c r="H1558" s="368"/>
      <c r="I1558" s="368"/>
      <c r="J1558" s="368"/>
      <c r="K1558" s="370"/>
      <c r="L1558" s="370"/>
      <c r="M1558" s="370"/>
      <c r="N1558" s="382"/>
      <c r="O1558" s="372"/>
      <c r="P1558" s="380"/>
      <c r="Q1558" s="381"/>
      <c r="R1558" s="381"/>
      <c r="S1558" s="361"/>
      <c r="T1558" s="361"/>
      <c r="U1558" s="361"/>
      <c r="V1558" s="366"/>
      <c r="W1558" s="366"/>
    </row>
    <row r="1559" spans="1:23">
      <c r="A1559" s="1410"/>
      <c r="B1559" s="1413"/>
      <c r="C1559" s="845" t="s">
        <v>732</v>
      </c>
      <c r="D1559" s="875" t="str">
        <f>B1545&amp;C1559</f>
        <v>A47y</v>
      </c>
      <c r="E1559" s="367">
        <v>14</v>
      </c>
      <c r="F1559" s="370"/>
      <c r="G1559" s="368"/>
      <c r="H1559" s="368"/>
      <c r="I1559" s="368"/>
      <c r="J1559" s="368"/>
      <c r="K1559" s="370"/>
      <c r="L1559" s="370"/>
      <c r="M1559" s="370"/>
      <c r="N1559" s="382"/>
      <c r="O1559" s="372"/>
      <c r="P1559" s="380"/>
      <c r="Q1559" s="381"/>
      <c r="R1559" s="381"/>
      <c r="S1559" s="361"/>
      <c r="T1559" s="361"/>
      <c r="U1559" s="362"/>
      <c r="V1559" s="366"/>
      <c r="W1559" s="366"/>
    </row>
    <row r="1560" spans="1:23">
      <c r="A1560" s="1411"/>
      <c r="B1560" s="1414"/>
      <c r="C1560" s="846" t="s">
        <v>996</v>
      </c>
      <c r="D1560" s="876" t="str">
        <f>B1545&amp;C1560</f>
        <v>A47z</v>
      </c>
      <c r="E1560" s="847">
        <v>15</v>
      </c>
      <c r="F1560" s="370"/>
      <c r="G1560" s="368"/>
      <c r="H1560" s="368"/>
      <c r="I1560" s="368"/>
      <c r="J1560" s="368"/>
      <c r="K1560" s="370"/>
      <c r="L1560" s="370"/>
      <c r="M1560" s="370"/>
      <c r="N1560" s="850"/>
      <c r="O1560" s="851"/>
      <c r="P1560" s="380"/>
      <c r="Q1560" s="852"/>
      <c r="R1560" s="383"/>
      <c r="S1560" s="361"/>
      <c r="T1560" s="832"/>
      <c r="U1560" s="830"/>
      <c r="V1560" s="366"/>
      <c r="W1560" s="366"/>
    </row>
    <row r="1561" spans="1:23">
      <c r="A1561" s="1400" t="s">
        <v>939</v>
      </c>
      <c r="B1561" s="1400"/>
      <c r="C1561" s="827"/>
      <c r="D1561" s="871"/>
      <c r="E1561" s="1400" t="s">
        <v>177</v>
      </c>
      <c r="F1561" s="1400" t="s">
        <v>18</v>
      </c>
      <c r="G1561" s="1389" t="s">
        <v>19</v>
      </c>
      <c r="H1561" s="1390"/>
      <c r="I1561" s="1389" t="s">
        <v>22</v>
      </c>
      <c r="J1561" s="1390"/>
      <c r="K1561" s="1393" t="s">
        <v>26</v>
      </c>
      <c r="L1561" s="1390"/>
      <c r="M1561" s="1389" t="s">
        <v>392</v>
      </c>
      <c r="N1561" s="1390"/>
      <c r="O1561" s="1389" t="s">
        <v>28</v>
      </c>
      <c r="P1561" s="1393"/>
      <c r="Q1561" s="1390"/>
      <c r="R1561" s="1400" t="s">
        <v>36</v>
      </c>
      <c r="S1561" s="361"/>
      <c r="T1561" s="361">
        <f>MAX(J1565:J1579)-MIN(I1565:I1579)</f>
        <v>5.555555555555558E-2</v>
      </c>
      <c r="U1561" s="361"/>
      <c r="V1561" s="853" t="str">
        <f t="shared" ref="V1561" si="166">B1565</f>
        <v>A92</v>
      </c>
      <c r="W1561" s="361">
        <f t="shared" ref="W1561" si="167">COUNTIF(K1566:K1580,"&gt;0")</f>
        <v>4</v>
      </c>
    </row>
    <row r="1562" spans="1:23">
      <c r="A1562" s="1401"/>
      <c r="B1562" s="1401"/>
      <c r="C1562" s="828"/>
      <c r="D1562" s="872"/>
      <c r="E1562" s="1401"/>
      <c r="F1562" s="1401"/>
      <c r="G1562" s="1391"/>
      <c r="H1562" s="1392"/>
      <c r="I1562" s="1391"/>
      <c r="J1562" s="1392"/>
      <c r="K1562" s="1394"/>
      <c r="L1562" s="1392"/>
      <c r="M1562" s="1391"/>
      <c r="N1562" s="1392"/>
      <c r="O1562" s="1391"/>
      <c r="P1562" s="1394"/>
      <c r="Q1562" s="1392"/>
      <c r="R1562" s="1401"/>
      <c r="S1562" s="361"/>
      <c r="T1562" s="361"/>
      <c r="U1562" s="361"/>
      <c r="V1562" s="361"/>
      <c r="W1562" s="361"/>
    </row>
    <row r="1563" spans="1:23">
      <c r="A1563" s="1401"/>
      <c r="B1563" s="1401"/>
      <c r="C1563" s="828"/>
      <c r="D1563" s="872"/>
      <c r="E1563" s="1401"/>
      <c r="F1563" s="1401"/>
      <c r="G1563" s="1400" t="s">
        <v>20</v>
      </c>
      <c r="H1563" s="1400" t="s">
        <v>21</v>
      </c>
      <c r="I1563" s="1400" t="s">
        <v>361</v>
      </c>
      <c r="J1563" s="1400" t="s">
        <v>353</v>
      </c>
      <c r="K1563" s="1400" t="s">
        <v>23</v>
      </c>
      <c r="L1563" s="1400" t="s">
        <v>24</v>
      </c>
      <c r="M1563" s="1400" t="s">
        <v>27</v>
      </c>
      <c r="N1563" s="1400" t="s">
        <v>178</v>
      </c>
      <c r="O1563" s="1400" t="s">
        <v>1</v>
      </c>
      <c r="P1563" s="1400" t="s">
        <v>29</v>
      </c>
      <c r="Q1563" s="1400" t="s">
        <v>33</v>
      </c>
      <c r="R1563" s="1401"/>
      <c r="S1563" s="361"/>
      <c r="T1563" s="361" t="s">
        <v>39</v>
      </c>
      <c r="U1563" s="362">
        <f>VLOOKUP(B1565,'Thong tin'!$A:$M,13,0)</f>
        <v>1200</v>
      </c>
      <c r="V1563" s="361"/>
      <c r="W1563" s="361"/>
    </row>
    <row r="1564" spans="1:23">
      <c r="A1564" s="1402"/>
      <c r="B1564" s="1402"/>
      <c r="C1564" s="829"/>
      <c r="D1564" s="873"/>
      <c r="E1564" s="1402"/>
      <c r="F1564" s="1402"/>
      <c r="G1564" s="1402"/>
      <c r="H1564" s="1402"/>
      <c r="I1564" s="1402"/>
      <c r="J1564" s="1402"/>
      <c r="K1564" s="1402"/>
      <c r="L1564" s="1402"/>
      <c r="M1564" s="1402"/>
      <c r="N1564" s="1402"/>
      <c r="O1564" s="1402"/>
      <c r="P1564" s="1402"/>
      <c r="Q1564" s="1402"/>
      <c r="R1564" s="1402"/>
      <c r="S1564" s="361"/>
      <c r="T1564" s="1399" t="s">
        <v>393</v>
      </c>
      <c r="U1564" s="1397">
        <f>VLOOKUP(B1565,DT.NK!$B:$AZ,45,0)</f>
        <v>26.5</v>
      </c>
      <c r="V1564" s="361"/>
      <c r="W1564" s="361"/>
    </row>
    <row r="1565" spans="1:23">
      <c r="A1565" s="1409">
        <f>A1545+1</f>
        <v>79</v>
      </c>
      <c r="B1565" s="1412" t="s">
        <v>496</v>
      </c>
      <c r="C1565" s="844" t="s">
        <v>983</v>
      </c>
      <c r="D1565" s="874" t="str">
        <f>B1565&amp;C1565</f>
        <v>A92a</v>
      </c>
      <c r="E1565" s="363"/>
      <c r="F1565" s="364"/>
      <c r="G1565" s="364"/>
      <c r="H1565" s="364"/>
      <c r="I1565" s="364"/>
      <c r="J1565" s="364"/>
      <c r="K1565" s="364"/>
      <c r="L1565" s="364"/>
      <c r="M1565" s="674"/>
      <c r="N1565" s="670"/>
      <c r="O1565" s="670">
        <f>U1564</f>
        <v>26.5</v>
      </c>
      <c r="P1565" s="670">
        <f>O1565</f>
        <v>26.5</v>
      </c>
      <c r="Q1565" s="670">
        <v>0</v>
      </c>
      <c r="R1565" s="365"/>
      <c r="S1565" s="366"/>
      <c r="T1565" s="1399"/>
      <c r="U1565" s="1398"/>
      <c r="V1565" s="361"/>
      <c r="W1565" s="361"/>
    </row>
    <row r="1566" spans="1:23">
      <c r="A1566" s="1410"/>
      <c r="B1566" s="1413"/>
      <c r="C1566" s="845" t="s">
        <v>984</v>
      </c>
      <c r="D1566" s="875" t="str">
        <f>B1565&amp;C1566</f>
        <v>A92b</v>
      </c>
      <c r="E1566" s="367">
        <v>1</v>
      </c>
      <c r="F1566" s="669" t="s">
        <v>1091</v>
      </c>
      <c r="G1566" s="369">
        <v>0.50138888888888888</v>
      </c>
      <c r="H1566" s="368">
        <v>0.53194444444444444</v>
      </c>
      <c r="I1566" s="368">
        <v>0.54166666666666663</v>
      </c>
      <c r="J1566" s="368">
        <v>0.54513888888888895</v>
      </c>
      <c r="K1566" s="669">
        <v>8</v>
      </c>
      <c r="L1566" s="669">
        <v>19</v>
      </c>
      <c r="M1566" s="675">
        <v>25.5</v>
      </c>
      <c r="N1566" s="671">
        <f>IF(M1566-P1566&gt;0,M1566-P1566,0)</f>
        <v>3.5</v>
      </c>
      <c r="O1566" s="671">
        <f>O1565-K1566/(PI()*(U1563/2000)^2)</f>
        <v>19.42644697369354</v>
      </c>
      <c r="P1566" s="672">
        <v>22</v>
      </c>
      <c r="Q1566" s="673">
        <f>ABS(O1566-P1566)</f>
        <v>2.5735530263064597</v>
      </c>
      <c r="R1566" s="375" t="s">
        <v>188</v>
      </c>
      <c r="S1566" s="366"/>
      <c r="T1566" s="376"/>
      <c r="U1566" s="376"/>
      <c r="V1566" s="366"/>
      <c r="W1566" s="366"/>
    </row>
    <row r="1567" spans="1:23">
      <c r="A1567" s="1410"/>
      <c r="B1567" s="1413"/>
      <c r="C1567" s="845" t="s">
        <v>985</v>
      </c>
      <c r="D1567" s="875" t="str">
        <f>B1565&amp;C1567</f>
        <v>A92c</v>
      </c>
      <c r="E1567" s="367">
        <v>2</v>
      </c>
      <c r="F1567" s="669" t="s">
        <v>1008</v>
      </c>
      <c r="G1567" s="369">
        <v>0.50763888888888886</v>
      </c>
      <c r="H1567" s="368">
        <v>0.53472222222222221</v>
      </c>
      <c r="I1567" s="368">
        <v>0.55208333333333337</v>
      </c>
      <c r="J1567" s="368">
        <v>0.55555555555555558</v>
      </c>
      <c r="K1567" s="669">
        <v>8</v>
      </c>
      <c r="L1567" s="669">
        <v>19</v>
      </c>
      <c r="M1567" s="675">
        <v>19.2</v>
      </c>
      <c r="N1567" s="671">
        <f>IF(M1567-P1567&gt;0,M1567-P1567,0)</f>
        <v>2.6999999999999993</v>
      </c>
      <c r="O1567" s="671">
        <f>O1566-K1567/(PI()*(U1563/2000)^2)</f>
        <v>12.352893947387081</v>
      </c>
      <c r="P1567" s="672">
        <v>16.5</v>
      </c>
      <c r="Q1567" s="673">
        <f>ABS(O1567-P1567)</f>
        <v>4.1471060526129193</v>
      </c>
      <c r="R1567" s="375" t="s">
        <v>188</v>
      </c>
      <c r="S1567" s="366"/>
      <c r="T1567" s="376"/>
      <c r="U1567" s="376"/>
      <c r="V1567" s="366"/>
      <c r="W1567" s="366"/>
    </row>
    <row r="1568" spans="1:23">
      <c r="A1568" s="1410"/>
      <c r="B1568" s="1413"/>
      <c r="C1568" s="845" t="s">
        <v>986</v>
      </c>
      <c r="D1568" s="875" t="str">
        <f>B1565&amp;C1568</f>
        <v>A92d</v>
      </c>
      <c r="E1568" s="367">
        <v>3</v>
      </c>
      <c r="F1568" s="669" t="s">
        <v>980</v>
      </c>
      <c r="G1568" s="368">
        <v>0.51388888888888895</v>
      </c>
      <c r="H1568" s="368">
        <v>0.54166666666666663</v>
      </c>
      <c r="I1568" s="368">
        <v>0.5625</v>
      </c>
      <c r="J1568" s="368">
        <v>0.56597222222222221</v>
      </c>
      <c r="K1568" s="370">
        <v>8</v>
      </c>
      <c r="L1568" s="370">
        <v>19</v>
      </c>
      <c r="M1568" s="371">
        <v>12.9</v>
      </c>
      <c r="N1568" s="671">
        <f>IF(M1568-P1568&gt;0,M1568-P1568,0)</f>
        <v>2.7000000000000011</v>
      </c>
      <c r="O1568" s="671">
        <f>O1567-K1568/(PI()*(U1563/2000)^2)</f>
        <v>5.279340921080621</v>
      </c>
      <c r="P1568" s="672">
        <v>10.199999999999999</v>
      </c>
      <c r="Q1568" s="673">
        <f>ABS(O1568-P1568)</f>
        <v>4.9206590789193783</v>
      </c>
      <c r="R1568" s="375" t="s">
        <v>188</v>
      </c>
      <c r="S1568" s="366"/>
      <c r="T1568" s="376"/>
      <c r="U1568" s="376"/>
      <c r="V1568" s="366"/>
      <c r="W1568" s="366"/>
    </row>
    <row r="1569" spans="1:23">
      <c r="A1569" s="1410"/>
      <c r="B1569" s="1413"/>
      <c r="C1569" s="845" t="s">
        <v>987</v>
      </c>
      <c r="D1569" s="875" t="str">
        <f>B1565&amp;C1569</f>
        <v>A92e</v>
      </c>
      <c r="E1569" s="367">
        <v>4</v>
      </c>
      <c r="F1569" s="669" t="s">
        <v>1010</v>
      </c>
      <c r="G1569" s="368">
        <v>0.57291666666666663</v>
      </c>
      <c r="H1569" s="368">
        <v>0.59027777777777779</v>
      </c>
      <c r="I1569" s="368">
        <v>0.59375</v>
      </c>
      <c r="J1569" s="368">
        <v>0.59722222222222221</v>
      </c>
      <c r="K1569" s="370">
        <v>5</v>
      </c>
      <c r="L1569" s="370">
        <v>18</v>
      </c>
      <c r="M1569" s="371">
        <v>12.9</v>
      </c>
      <c r="N1569" s="671">
        <f>IF(M1569-P1569&gt;0,M1569-P1569,0)</f>
        <v>6.3000000000000007</v>
      </c>
      <c r="O1569" s="671">
        <f>O1568-K1569/(PI()*(U1563/2000)^2)</f>
        <v>0.85837027963908419</v>
      </c>
      <c r="P1569" s="373">
        <v>6.6</v>
      </c>
      <c r="Q1569" s="673">
        <f>ABS(O1569-P1569)</f>
        <v>5.7416297203609155</v>
      </c>
      <c r="R1569" s="375"/>
      <c r="S1569" s="366"/>
      <c r="T1569" s="376"/>
      <c r="U1569" s="376"/>
      <c r="V1569" s="366"/>
      <c r="W1569" s="366"/>
    </row>
    <row r="1570" spans="1:23">
      <c r="A1570" s="1410"/>
      <c r="B1570" s="1413"/>
      <c r="C1570" s="845" t="s">
        <v>988</v>
      </c>
      <c r="D1570" s="875" t="str">
        <f>B1565&amp;C1570</f>
        <v>A92f</v>
      </c>
      <c r="E1570" s="367">
        <v>5</v>
      </c>
      <c r="F1570" s="669"/>
      <c r="G1570" s="368"/>
      <c r="H1570" s="368"/>
      <c r="I1570" s="368"/>
      <c r="J1570" s="368"/>
      <c r="K1570" s="370"/>
      <c r="L1570" s="370"/>
      <c r="M1570" s="371"/>
      <c r="N1570" s="671"/>
      <c r="O1570" s="671"/>
      <c r="P1570" s="373"/>
      <c r="Q1570" s="673"/>
      <c r="R1570" s="377"/>
      <c r="S1570" s="366" t="s">
        <v>190</v>
      </c>
      <c r="T1570" s="376"/>
      <c r="U1570" s="376"/>
      <c r="V1570" s="366"/>
      <c r="W1570" s="366"/>
    </row>
    <row r="1571" spans="1:23">
      <c r="A1571" s="1410"/>
      <c r="B1571" s="1413"/>
      <c r="C1571" s="845" t="s">
        <v>989</v>
      </c>
      <c r="D1571" s="875" t="str">
        <f>B1565&amp;C1571</f>
        <v>A92g</v>
      </c>
      <c r="E1571" s="367">
        <v>6</v>
      </c>
      <c r="F1571" s="669"/>
      <c r="G1571" s="368"/>
      <c r="H1571" s="368"/>
      <c r="I1571" s="368"/>
      <c r="J1571" s="368"/>
      <c r="K1571" s="370"/>
      <c r="L1571" s="370"/>
      <c r="M1571" s="371"/>
      <c r="N1571" s="671"/>
      <c r="O1571" s="671"/>
      <c r="P1571" s="373"/>
      <c r="Q1571" s="673"/>
      <c r="R1571" s="375"/>
      <c r="S1571" s="366" t="s">
        <v>190</v>
      </c>
      <c r="T1571" s="366"/>
      <c r="U1571" s="366"/>
      <c r="V1571" s="366"/>
      <c r="W1571" s="366"/>
    </row>
    <row r="1572" spans="1:23">
      <c r="A1572" s="1410"/>
      <c r="B1572" s="1413"/>
      <c r="C1572" s="845" t="s">
        <v>990</v>
      </c>
      <c r="D1572" s="875" t="str">
        <f>B1565&amp;C1572</f>
        <v>A92h</v>
      </c>
      <c r="E1572" s="367">
        <v>7</v>
      </c>
      <c r="F1572" s="669"/>
      <c r="G1572" s="368"/>
      <c r="H1572" s="368"/>
      <c r="I1572" s="368"/>
      <c r="J1572" s="368"/>
      <c r="K1572" s="370"/>
      <c r="L1572" s="370"/>
      <c r="M1572" s="371"/>
      <c r="N1572" s="671"/>
      <c r="O1572" s="671"/>
      <c r="P1572" s="373"/>
      <c r="Q1572" s="673"/>
      <c r="R1572" s="377"/>
      <c r="S1572" s="366" t="s">
        <v>190</v>
      </c>
      <c r="T1572" s="366"/>
      <c r="U1572" s="366"/>
      <c r="V1572" s="366"/>
      <c r="W1572" s="366"/>
    </row>
    <row r="1573" spans="1:23">
      <c r="A1573" s="1410"/>
      <c r="B1573" s="1413"/>
      <c r="C1573" s="845" t="s">
        <v>991</v>
      </c>
      <c r="D1573" s="875" t="str">
        <f>B1565&amp;C1573</f>
        <v>A92i</v>
      </c>
      <c r="E1573" s="367">
        <v>8</v>
      </c>
      <c r="F1573" s="669"/>
      <c r="G1573" s="368"/>
      <c r="H1573" s="368"/>
      <c r="I1573" s="368"/>
      <c r="J1573" s="368"/>
      <c r="K1573" s="370"/>
      <c r="L1573" s="370"/>
      <c r="M1573" s="371"/>
      <c r="N1573" s="671"/>
      <c r="O1573" s="671"/>
      <c r="P1573" s="373"/>
      <c r="Q1573" s="673"/>
      <c r="R1573" s="378"/>
      <c r="S1573" s="366"/>
      <c r="T1573" s="366"/>
      <c r="U1573" s="366"/>
      <c r="V1573" s="366"/>
      <c r="W1573" s="366"/>
    </row>
    <row r="1574" spans="1:23">
      <c r="A1574" s="1410"/>
      <c r="B1574" s="1413"/>
      <c r="C1574" s="845" t="s">
        <v>992</v>
      </c>
      <c r="D1574" s="875" t="str">
        <f>B1565&amp;C1574</f>
        <v>A92k</v>
      </c>
      <c r="E1574" s="367">
        <v>9</v>
      </c>
      <c r="F1574" s="370"/>
      <c r="G1574" s="368"/>
      <c r="H1574" s="368"/>
      <c r="I1574" s="368"/>
      <c r="J1574" s="368"/>
      <c r="K1574" s="370"/>
      <c r="L1574" s="370"/>
      <c r="M1574" s="371"/>
      <c r="N1574" s="372"/>
      <c r="O1574" s="372"/>
      <c r="P1574" s="373"/>
      <c r="Q1574" s="374"/>
      <c r="R1574" s="378"/>
      <c r="S1574" s="379"/>
      <c r="T1574" s="366"/>
      <c r="U1574" s="366"/>
      <c r="V1574" s="366"/>
      <c r="W1574" s="366"/>
    </row>
    <row r="1575" spans="1:23">
      <c r="A1575" s="1410"/>
      <c r="B1575" s="1413"/>
      <c r="C1575" s="845" t="s">
        <v>993</v>
      </c>
      <c r="D1575" s="875" t="str">
        <f>B1565&amp;C1575</f>
        <v>A92l</v>
      </c>
      <c r="E1575" s="367">
        <v>10</v>
      </c>
      <c r="F1575" s="370"/>
      <c r="G1575" s="368"/>
      <c r="H1575" s="368"/>
      <c r="I1575" s="368"/>
      <c r="J1575" s="368"/>
      <c r="K1575" s="370"/>
      <c r="L1575" s="370"/>
      <c r="M1575" s="370"/>
      <c r="N1575" s="372"/>
      <c r="O1575" s="372"/>
      <c r="P1575" s="373"/>
      <c r="Q1575" s="374"/>
      <c r="R1575" s="378"/>
      <c r="S1575" s="379"/>
      <c r="T1575" s="366"/>
      <c r="U1575" s="366"/>
      <c r="V1575" s="366"/>
      <c r="W1575" s="366"/>
    </row>
    <row r="1576" spans="1:23">
      <c r="A1576" s="1410"/>
      <c r="B1576" s="1413"/>
      <c r="C1576" s="845" t="s">
        <v>994</v>
      </c>
      <c r="D1576" s="875" t="str">
        <f>B1565&amp;C1576</f>
        <v>A92m</v>
      </c>
      <c r="E1576" s="367">
        <v>11</v>
      </c>
      <c r="F1576" s="370"/>
      <c r="G1576" s="368"/>
      <c r="H1576" s="368"/>
      <c r="I1576" s="368"/>
      <c r="J1576" s="368"/>
      <c r="K1576" s="370"/>
      <c r="L1576" s="370"/>
      <c r="M1576" s="370"/>
      <c r="N1576" s="372"/>
      <c r="O1576" s="372"/>
      <c r="P1576" s="380"/>
      <c r="Q1576" s="374"/>
      <c r="R1576" s="381"/>
      <c r="S1576" s="379"/>
      <c r="T1576" s="366"/>
      <c r="U1576" s="366"/>
      <c r="V1576" s="366"/>
      <c r="W1576" s="366"/>
    </row>
    <row r="1577" spans="1:23">
      <c r="A1577" s="1410"/>
      <c r="B1577" s="1413"/>
      <c r="C1577" s="845" t="s">
        <v>995</v>
      </c>
      <c r="D1577" s="875" t="str">
        <f>B1565&amp;C1577</f>
        <v>A92n</v>
      </c>
      <c r="E1577" s="367">
        <v>12</v>
      </c>
      <c r="F1577" s="370"/>
      <c r="G1577" s="368"/>
      <c r="H1577" s="368"/>
      <c r="I1577" s="368"/>
      <c r="J1577" s="368"/>
      <c r="K1577" s="370"/>
      <c r="L1577" s="370"/>
      <c r="M1577" s="370"/>
      <c r="N1577" s="372"/>
      <c r="O1577" s="372"/>
      <c r="P1577" s="380"/>
      <c r="Q1577" s="374"/>
      <c r="R1577" s="381"/>
      <c r="S1577" s="361"/>
      <c r="T1577" s="361"/>
      <c r="U1577" s="361"/>
      <c r="V1577" s="366"/>
      <c r="W1577" s="366"/>
    </row>
    <row r="1578" spans="1:23">
      <c r="A1578" s="1410"/>
      <c r="B1578" s="1413"/>
      <c r="C1578" s="845" t="s">
        <v>471</v>
      </c>
      <c r="D1578" s="875" t="str">
        <f>B1565&amp;C1578</f>
        <v>A92x</v>
      </c>
      <c r="E1578" s="367">
        <v>13</v>
      </c>
      <c r="F1578" s="370"/>
      <c r="G1578" s="368"/>
      <c r="H1578" s="368"/>
      <c r="I1578" s="368"/>
      <c r="J1578" s="368"/>
      <c r="K1578" s="370"/>
      <c r="L1578" s="370"/>
      <c r="M1578" s="370"/>
      <c r="N1578" s="382"/>
      <c r="O1578" s="372"/>
      <c r="P1578" s="380"/>
      <c r="Q1578" s="381"/>
      <c r="R1578" s="381"/>
      <c r="S1578" s="361"/>
      <c r="T1578" s="361"/>
      <c r="U1578" s="361"/>
      <c r="V1578" s="366"/>
      <c r="W1578" s="366"/>
    </row>
    <row r="1579" spans="1:23">
      <c r="A1579" s="1410"/>
      <c r="B1579" s="1413"/>
      <c r="C1579" s="845" t="s">
        <v>732</v>
      </c>
      <c r="D1579" s="875" t="str">
        <f>B1565&amp;C1579</f>
        <v>A92y</v>
      </c>
      <c r="E1579" s="367">
        <v>14</v>
      </c>
      <c r="F1579" s="370"/>
      <c r="G1579" s="368"/>
      <c r="H1579" s="368"/>
      <c r="I1579" s="368"/>
      <c r="J1579" s="368"/>
      <c r="K1579" s="370"/>
      <c r="L1579" s="370"/>
      <c r="M1579" s="370"/>
      <c r="N1579" s="382"/>
      <c r="O1579" s="372"/>
      <c r="P1579" s="380"/>
      <c r="Q1579" s="381"/>
      <c r="R1579" s="381"/>
      <c r="S1579" s="361"/>
      <c r="T1579" s="361"/>
      <c r="U1579" s="362"/>
      <c r="V1579" s="366"/>
      <c r="W1579" s="366"/>
    </row>
    <row r="1580" spans="1:23">
      <c r="A1580" s="1411"/>
      <c r="B1580" s="1414"/>
      <c r="C1580" s="846" t="s">
        <v>996</v>
      </c>
      <c r="D1580" s="876" t="str">
        <f>B1565&amp;C1580</f>
        <v>A92z</v>
      </c>
      <c r="E1580" s="847">
        <v>15</v>
      </c>
      <c r="F1580" s="370"/>
      <c r="G1580" s="368"/>
      <c r="H1580" s="368"/>
      <c r="I1580" s="368"/>
      <c r="J1580" s="368"/>
      <c r="K1580" s="370"/>
      <c r="L1580" s="370"/>
      <c r="M1580" s="370"/>
      <c r="N1580" s="850"/>
      <c r="O1580" s="851"/>
      <c r="P1580" s="380"/>
      <c r="Q1580" s="852"/>
      <c r="R1580" s="383"/>
      <c r="S1580" s="361"/>
      <c r="T1580" s="832"/>
      <c r="U1580" s="830"/>
      <c r="V1580" s="366"/>
      <c r="W1580" s="366"/>
    </row>
    <row r="1581" spans="1:23">
      <c r="A1581" s="1400" t="s">
        <v>939</v>
      </c>
      <c r="B1581" s="1400"/>
      <c r="C1581" s="827"/>
      <c r="D1581" s="871"/>
      <c r="E1581" s="1400" t="s">
        <v>177</v>
      </c>
      <c r="F1581" s="1400" t="s">
        <v>18</v>
      </c>
      <c r="G1581" s="1389" t="s">
        <v>19</v>
      </c>
      <c r="H1581" s="1390"/>
      <c r="I1581" s="1389" t="s">
        <v>22</v>
      </c>
      <c r="J1581" s="1390"/>
      <c r="K1581" s="1393" t="s">
        <v>26</v>
      </c>
      <c r="L1581" s="1390"/>
      <c r="M1581" s="1389" t="s">
        <v>392</v>
      </c>
      <c r="N1581" s="1390"/>
      <c r="O1581" s="1389" t="s">
        <v>28</v>
      </c>
      <c r="P1581" s="1393"/>
      <c r="Q1581" s="1390"/>
      <c r="R1581" s="1400" t="s">
        <v>36</v>
      </c>
      <c r="S1581" s="361"/>
      <c r="T1581" s="361">
        <f>MAX(J1585:J1599)-MIN(I1585:I1599)</f>
        <v>8.3333333333333315E-2</v>
      </c>
      <c r="U1581" s="361"/>
      <c r="V1581" s="853" t="str">
        <f t="shared" ref="V1581" si="168">B1585</f>
        <v>A51</v>
      </c>
      <c r="W1581" s="361">
        <f t="shared" ref="W1581" si="169">COUNTIF(K1586:K1600,"&gt;0")</f>
        <v>4</v>
      </c>
    </row>
    <row r="1582" spans="1:23">
      <c r="A1582" s="1401"/>
      <c r="B1582" s="1401"/>
      <c r="C1582" s="828"/>
      <c r="D1582" s="872"/>
      <c r="E1582" s="1401"/>
      <c r="F1582" s="1401"/>
      <c r="G1582" s="1391"/>
      <c r="H1582" s="1392"/>
      <c r="I1582" s="1391"/>
      <c r="J1582" s="1392"/>
      <c r="K1582" s="1394"/>
      <c r="L1582" s="1392"/>
      <c r="M1582" s="1391"/>
      <c r="N1582" s="1392"/>
      <c r="O1582" s="1391"/>
      <c r="P1582" s="1394"/>
      <c r="Q1582" s="1392"/>
      <c r="R1582" s="1401"/>
      <c r="S1582" s="361"/>
      <c r="T1582" s="361"/>
      <c r="U1582" s="361"/>
      <c r="V1582" s="361"/>
      <c r="W1582" s="361"/>
    </row>
    <row r="1583" spans="1:23">
      <c r="A1583" s="1401"/>
      <c r="B1583" s="1401"/>
      <c r="C1583" s="828"/>
      <c r="D1583" s="872"/>
      <c r="E1583" s="1401"/>
      <c r="F1583" s="1401"/>
      <c r="G1583" s="1400" t="s">
        <v>20</v>
      </c>
      <c r="H1583" s="1400" t="s">
        <v>21</v>
      </c>
      <c r="I1583" s="1400" t="s">
        <v>361</v>
      </c>
      <c r="J1583" s="1400" t="s">
        <v>353</v>
      </c>
      <c r="K1583" s="1400" t="s">
        <v>23</v>
      </c>
      <c r="L1583" s="1400" t="s">
        <v>24</v>
      </c>
      <c r="M1583" s="1400" t="s">
        <v>27</v>
      </c>
      <c r="N1583" s="1400" t="s">
        <v>178</v>
      </c>
      <c r="O1583" s="1400" t="s">
        <v>1</v>
      </c>
      <c r="P1583" s="1400" t="s">
        <v>29</v>
      </c>
      <c r="Q1583" s="1400" t="s">
        <v>33</v>
      </c>
      <c r="R1583" s="1401"/>
      <c r="S1583" s="361"/>
      <c r="T1583" s="361" t="s">
        <v>39</v>
      </c>
      <c r="U1583" s="362">
        <f>VLOOKUP(B1585,'Thong tin'!$A:$M,13,0)</f>
        <v>1200</v>
      </c>
      <c r="V1583" s="361"/>
      <c r="W1583" s="361"/>
    </row>
    <row r="1584" spans="1:23">
      <c r="A1584" s="1402"/>
      <c r="B1584" s="1402"/>
      <c r="C1584" s="829"/>
      <c r="D1584" s="873"/>
      <c r="E1584" s="1402"/>
      <c r="F1584" s="1402"/>
      <c r="G1584" s="1402"/>
      <c r="H1584" s="1402"/>
      <c r="I1584" s="1402"/>
      <c r="J1584" s="1402"/>
      <c r="K1584" s="1402"/>
      <c r="L1584" s="1402"/>
      <c r="M1584" s="1402"/>
      <c r="N1584" s="1402"/>
      <c r="O1584" s="1402"/>
      <c r="P1584" s="1402"/>
      <c r="Q1584" s="1402"/>
      <c r="R1584" s="1402"/>
      <c r="S1584" s="361"/>
      <c r="T1584" s="1399" t="s">
        <v>393</v>
      </c>
      <c r="U1584" s="1397">
        <f>VLOOKUP(B1585,DT.NK!$B:$AZ,45,0)</f>
        <v>31.5</v>
      </c>
      <c r="V1584" s="361"/>
      <c r="W1584" s="361"/>
    </row>
    <row r="1585" spans="1:23">
      <c r="A1585" s="1409">
        <f>A1565+1</f>
        <v>80</v>
      </c>
      <c r="B1585" s="1412" t="s">
        <v>515</v>
      </c>
      <c r="C1585" s="844" t="s">
        <v>983</v>
      </c>
      <c r="D1585" s="874" t="str">
        <f>B1585&amp;C1585</f>
        <v>A51a</v>
      </c>
      <c r="E1585" s="363"/>
      <c r="F1585" s="364"/>
      <c r="G1585" s="364"/>
      <c r="H1585" s="364"/>
      <c r="I1585" s="364"/>
      <c r="J1585" s="364"/>
      <c r="K1585" s="364"/>
      <c r="L1585" s="364"/>
      <c r="M1585" s="674"/>
      <c r="N1585" s="670"/>
      <c r="O1585" s="670">
        <f>U1584</f>
        <v>31.5</v>
      </c>
      <c r="P1585" s="670">
        <f>O1585</f>
        <v>31.5</v>
      </c>
      <c r="Q1585" s="670">
        <v>0</v>
      </c>
      <c r="R1585" s="365"/>
      <c r="S1585" s="366"/>
      <c r="T1585" s="1399"/>
      <c r="U1585" s="1398"/>
      <c r="V1585" s="361"/>
      <c r="W1585" s="361"/>
    </row>
    <row r="1586" spans="1:23">
      <c r="A1586" s="1410"/>
      <c r="B1586" s="1413"/>
      <c r="C1586" s="845" t="s">
        <v>984</v>
      </c>
      <c r="D1586" s="875" t="str">
        <f>B1585&amp;C1586</f>
        <v>A51b</v>
      </c>
      <c r="E1586" s="367">
        <v>1</v>
      </c>
      <c r="F1586" s="669" t="s">
        <v>1089</v>
      </c>
      <c r="G1586" s="369">
        <v>0.44861111111111113</v>
      </c>
      <c r="H1586" s="368">
        <v>0.47916666666666669</v>
      </c>
      <c r="I1586" s="368">
        <v>0.48958333333333331</v>
      </c>
      <c r="J1586" s="368">
        <v>0.49652777777777773</v>
      </c>
      <c r="K1586" s="669">
        <v>10</v>
      </c>
      <c r="L1586" s="669">
        <v>19</v>
      </c>
      <c r="M1586" s="675">
        <v>31.5</v>
      </c>
      <c r="N1586" s="671">
        <f>IF(M1586-P1586&gt;0,M1586-P1586,0)</f>
        <v>3.5</v>
      </c>
      <c r="O1586" s="671">
        <f>O1585-K1586/(PI()*(U1583/2000)^2)</f>
        <v>22.658058717116926</v>
      </c>
      <c r="P1586" s="672">
        <v>28</v>
      </c>
      <c r="Q1586" s="673">
        <f>ABS(O1586-P1586)</f>
        <v>5.3419412828830737</v>
      </c>
      <c r="R1586" s="375" t="s">
        <v>188</v>
      </c>
      <c r="S1586" s="366"/>
      <c r="T1586" s="376"/>
      <c r="U1586" s="376"/>
      <c r="V1586" s="366"/>
      <c r="W1586" s="366"/>
    </row>
    <row r="1587" spans="1:23">
      <c r="A1587" s="1410"/>
      <c r="B1587" s="1413"/>
      <c r="C1587" s="845" t="s">
        <v>985</v>
      </c>
      <c r="D1587" s="875" t="str">
        <f>B1585&amp;C1587</f>
        <v>A51c</v>
      </c>
      <c r="E1587" s="367">
        <v>2</v>
      </c>
      <c r="F1587" s="669" t="s">
        <v>1091</v>
      </c>
      <c r="G1587" s="369">
        <v>0.45694444444444443</v>
      </c>
      <c r="H1587" s="368">
        <v>0.4826388888888889</v>
      </c>
      <c r="I1587" s="368">
        <v>0.50347222222222221</v>
      </c>
      <c r="J1587" s="368">
        <v>0.51041666666666663</v>
      </c>
      <c r="K1587" s="669">
        <v>10</v>
      </c>
      <c r="L1587" s="669">
        <v>19</v>
      </c>
      <c r="M1587" s="675">
        <v>25.2</v>
      </c>
      <c r="N1587" s="671">
        <f>IF(M1587-P1587&gt;0,M1587-P1587,0)</f>
        <v>6.6999999999999993</v>
      </c>
      <c r="O1587" s="671">
        <f>O1586-K1587/(PI()*(U1583/2000)^2)</f>
        <v>13.816117434233853</v>
      </c>
      <c r="P1587" s="672">
        <v>18.5</v>
      </c>
      <c r="Q1587" s="673">
        <f>ABS(O1587-P1587)</f>
        <v>4.6838825657661474</v>
      </c>
      <c r="R1587" s="375" t="s">
        <v>188</v>
      </c>
      <c r="S1587" s="366"/>
      <c r="T1587" s="376"/>
      <c r="U1587" s="376"/>
      <c r="V1587" s="366"/>
      <c r="W1587" s="366"/>
    </row>
    <row r="1588" spans="1:23">
      <c r="A1588" s="1410"/>
      <c r="B1588" s="1413"/>
      <c r="C1588" s="845" t="s">
        <v>986</v>
      </c>
      <c r="D1588" s="875" t="str">
        <f>B1585&amp;C1588</f>
        <v>A51d</v>
      </c>
      <c r="E1588" s="367">
        <v>3</v>
      </c>
      <c r="F1588" s="669" t="s">
        <v>1008</v>
      </c>
      <c r="G1588" s="368">
        <v>0.46388888888888885</v>
      </c>
      <c r="H1588" s="368">
        <v>0.49305555555555558</v>
      </c>
      <c r="I1588" s="368">
        <v>0.51736111111111105</v>
      </c>
      <c r="J1588" s="368">
        <v>0.52430555555555558</v>
      </c>
      <c r="K1588" s="370">
        <v>10</v>
      </c>
      <c r="L1588" s="370">
        <v>19</v>
      </c>
      <c r="M1588" s="371">
        <v>15.74</v>
      </c>
      <c r="N1588" s="671">
        <f>IF(M1588-P1588&gt;0,M1588-P1588,0)</f>
        <v>4.4399999999999995</v>
      </c>
      <c r="O1588" s="671">
        <f>O1587-K1588/(PI()*(U1583/2000)^2)</f>
        <v>4.974176151350779</v>
      </c>
      <c r="P1588" s="672">
        <v>11.3</v>
      </c>
      <c r="Q1588" s="673">
        <f>ABS(O1588-P1588)</f>
        <v>6.3258238486492218</v>
      </c>
      <c r="R1588" s="375" t="s">
        <v>188</v>
      </c>
      <c r="S1588" s="366"/>
      <c r="T1588" s="376"/>
      <c r="U1588" s="376"/>
      <c r="V1588" s="366"/>
      <c r="W1588" s="366"/>
    </row>
    <row r="1589" spans="1:23">
      <c r="A1589" s="1410"/>
      <c r="B1589" s="1413"/>
      <c r="C1589" s="845" t="s">
        <v>987</v>
      </c>
      <c r="D1589" s="875" t="str">
        <f>B1585&amp;C1589</f>
        <v>A51e</v>
      </c>
      <c r="E1589" s="367">
        <v>4</v>
      </c>
      <c r="F1589" s="669" t="s">
        <v>1007</v>
      </c>
      <c r="G1589" s="368">
        <v>0.54027777777777775</v>
      </c>
      <c r="H1589" s="368">
        <v>0.56666666666666665</v>
      </c>
      <c r="I1589" s="368">
        <v>0.56944444444444442</v>
      </c>
      <c r="J1589" s="368">
        <v>0.57291666666666663</v>
      </c>
      <c r="K1589" s="370">
        <v>6</v>
      </c>
      <c r="L1589" s="370">
        <v>20</v>
      </c>
      <c r="M1589" s="371">
        <v>9.44</v>
      </c>
      <c r="N1589" s="671">
        <f>IF(M1589-P1589&gt;0,M1589-P1589,0)</f>
        <v>2.6399999999999997</v>
      </c>
      <c r="O1589" s="671">
        <f>O1588-K1589/(PI()*(U1583/2000)^2)</f>
        <v>-0.33098861837906579</v>
      </c>
      <c r="P1589" s="373">
        <v>6.8</v>
      </c>
      <c r="Q1589" s="673">
        <f>ABS(O1589-P1589)</f>
        <v>7.1309886183790656</v>
      </c>
      <c r="R1589" s="375"/>
      <c r="S1589" s="366"/>
      <c r="T1589" s="376"/>
      <c r="U1589" s="376"/>
      <c r="V1589" s="366"/>
      <c r="W1589" s="366"/>
    </row>
    <row r="1590" spans="1:23">
      <c r="A1590" s="1410"/>
      <c r="B1590" s="1413"/>
      <c r="C1590" s="845" t="s">
        <v>988</v>
      </c>
      <c r="D1590" s="875" t="str">
        <f>B1585&amp;C1590</f>
        <v>A51f</v>
      </c>
      <c r="E1590" s="367">
        <v>5</v>
      </c>
      <c r="F1590" s="669"/>
      <c r="G1590" s="368"/>
      <c r="H1590" s="368"/>
      <c r="I1590" s="368"/>
      <c r="J1590" s="368"/>
      <c r="K1590" s="370"/>
      <c r="L1590" s="370"/>
      <c r="M1590" s="371"/>
      <c r="N1590" s="671"/>
      <c r="O1590" s="671"/>
      <c r="P1590" s="373"/>
      <c r="Q1590" s="673"/>
      <c r="R1590" s="377"/>
      <c r="S1590" s="366" t="s">
        <v>190</v>
      </c>
      <c r="T1590" s="376"/>
      <c r="U1590" s="376"/>
      <c r="V1590" s="366"/>
      <c r="W1590" s="366"/>
    </row>
    <row r="1591" spans="1:23">
      <c r="A1591" s="1410"/>
      <c r="B1591" s="1413"/>
      <c r="C1591" s="845" t="s">
        <v>989</v>
      </c>
      <c r="D1591" s="875" t="str">
        <f>B1585&amp;C1591</f>
        <v>A51g</v>
      </c>
      <c r="E1591" s="367">
        <v>6</v>
      </c>
      <c r="F1591" s="669"/>
      <c r="G1591" s="368"/>
      <c r="H1591" s="368"/>
      <c r="I1591" s="368"/>
      <c r="J1591" s="368"/>
      <c r="K1591" s="370"/>
      <c r="L1591" s="370"/>
      <c r="M1591" s="371"/>
      <c r="N1591" s="671"/>
      <c r="O1591" s="671"/>
      <c r="P1591" s="373"/>
      <c r="Q1591" s="673"/>
      <c r="R1591" s="375"/>
      <c r="S1591" s="366" t="s">
        <v>190</v>
      </c>
      <c r="T1591" s="366"/>
      <c r="U1591" s="366"/>
      <c r="V1591" s="366"/>
      <c r="W1591" s="366"/>
    </row>
    <row r="1592" spans="1:23">
      <c r="A1592" s="1410"/>
      <c r="B1592" s="1413"/>
      <c r="C1592" s="845" t="s">
        <v>990</v>
      </c>
      <c r="D1592" s="875" t="str">
        <f>B1585&amp;C1592</f>
        <v>A51h</v>
      </c>
      <c r="E1592" s="367">
        <v>7</v>
      </c>
      <c r="F1592" s="669"/>
      <c r="G1592" s="368"/>
      <c r="H1592" s="368"/>
      <c r="I1592" s="368"/>
      <c r="J1592" s="368"/>
      <c r="K1592" s="370"/>
      <c r="L1592" s="370"/>
      <c r="M1592" s="371"/>
      <c r="N1592" s="671"/>
      <c r="O1592" s="671"/>
      <c r="P1592" s="373"/>
      <c r="Q1592" s="673"/>
      <c r="R1592" s="377"/>
      <c r="S1592" s="366" t="s">
        <v>190</v>
      </c>
      <c r="T1592" s="366"/>
      <c r="U1592" s="366"/>
      <c r="V1592" s="366"/>
      <c r="W1592" s="366"/>
    </row>
    <row r="1593" spans="1:23">
      <c r="A1593" s="1410"/>
      <c r="B1593" s="1413"/>
      <c r="C1593" s="845" t="s">
        <v>991</v>
      </c>
      <c r="D1593" s="875" t="str">
        <f>B1585&amp;C1593</f>
        <v>A51i</v>
      </c>
      <c r="E1593" s="367">
        <v>8</v>
      </c>
      <c r="F1593" s="669"/>
      <c r="G1593" s="368"/>
      <c r="H1593" s="368"/>
      <c r="I1593" s="368"/>
      <c r="J1593" s="368"/>
      <c r="K1593" s="370"/>
      <c r="L1593" s="370"/>
      <c r="M1593" s="371"/>
      <c r="N1593" s="671"/>
      <c r="O1593" s="671"/>
      <c r="P1593" s="373"/>
      <c r="Q1593" s="673"/>
      <c r="R1593" s="378"/>
      <c r="S1593" s="366"/>
      <c r="T1593" s="366"/>
      <c r="U1593" s="366"/>
      <c r="V1593" s="366"/>
      <c r="W1593" s="366"/>
    </row>
    <row r="1594" spans="1:23">
      <c r="A1594" s="1410"/>
      <c r="B1594" s="1413"/>
      <c r="C1594" s="845" t="s">
        <v>992</v>
      </c>
      <c r="D1594" s="875" t="str">
        <f>B1585&amp;C1594</f>
        <v>A51k</v>
      </c>
      <c r="E1594" s="367">
        <v>9</v>
      </c>
      <c r="F1594" s="370"/>
      <c r="G1594" s="368"/>
      <c r="H1594" s="368"/>
      <c r="I1594" s="368"/>
      <c r="J1594" s="368"/>
      <c r="K1594" s="370"/>
      <c r="L1594" s="370"/>
      <c r="M1594" s="371"/>
      <c r="N1594" s="372"/>
      <c r="O1594" s="372"/>
      <c r="P1594" s="373"/>
      <c r="Q1594" s="374"/>
      <c r="R1594" s="378"/>
      <c r="S1594" s="379"/>
      <c r="T1594" s="366"/>
      <c r="U1594" s="366"/>
      <c r="V1594" s="366"/>
      <c r="W1594" s="366"/>
    </row>
    <row r="1595" spans="1:23">
      <c r="A1595" s="1410"/>
      <c r="B1595" s="1413"/>
      <c r="C1595" s="845" t="s">
        <v>993</v>
      </c>
      <c r="D1595" s="875" t="str">
        <f>B1585&amp;C1595</f>
        <v>A51l</v>
      </c>
      <c r="E1595" s="367">
        <v>10</v>
      </c>
      <c r="F1595" s="370"/>
      <c r="G1595" s="368"/>
      <c r="H1595" s="368"/>
      <c r="I1595" s="368"/>
      <c r="J1595" s="368"/>
      <c r="K1595" s="370"/>
      <c r="L1595" s="370"/>
      <c r="M1595" s="370"/>
      <c r="N1595" s="372"/>
      <c r="O1595" s="372"/>
      <c r="P1595" s="373"/>
      <c r="Q1595" s="374"/>
      <c r="R1595" s="378"/>
      <c r="S1595" s="379"/>
      <c r="T1595" s="366"/>
      <c r="U1595" s="366"/>
      <c r="V1595" s="366"/>
      <c r="W1595" s="366"/>
    </row>
    <row r="1596" spans="1:23">
      <c r="A1596" s="1410"/>
      <c r="B1596" s="1413"/>
      <c r="C1596" s="845" t="s">
        <v>994</v>
      </c>
      <c r="D1596" s="875" t="str">
        <f>B1585&amp;C1596</f>
        <v>A51m</v>
      </c>
      <c r="E1596" s="367">
        <v>11</v>
      </c>
      <c r="F1596" s="370"/>
      <c r="G1596" s="368"/>
      <c r="H1596" s="368"/>
      <c r="I1596" s="368"/>
      <c r="J1596" s="368"/>
      <c r="K1596" s="370"/>
      <c r="L1596" s="370"/>
      <c r="M1596" s="370"/>
      <c r="N1596" s="372"/>
      <c r="O1596" s="372"/>
      <c r="P1596" s="380"/>
      <c r="Q1596" s="374"/>
      <c r="R1596" s="381"/>
      <c r="S1596" s="379"/>
      <c r="T1596" s="366"/>
      <c r="U1596" s="366"/>
      <c r="V1596" s="366"/>
      <c r="W1596" s="366"/>
    </row>
    <row r="1597" spans="1:23">
      <c r="A1597" s="1410"/>
      <c r="B1597" s="1413"/>
      <c r="C1597" s="845" t="s">
        <v>995</v>
      </c>
      <c r="D1597" s="875" t="str">
        <f>B1585&amp;C1597</f>
        <v>A51n</v>
      </c>
      <c r="E1597" s="367">
        <v>12</v>
      </c>
      <c r="F1597" s="370"/>
      <c r="G1597" s="368"/>
      <c r="H1597" s="368"/>
      <c r="I1597" s="368"/>
      <c r="J1597" s="368"/>
      <c r="K1597" s="370"/>
      <c r="L1597" s="370"/>
      <c r="M1597" s="370"/>
      <c r="N1597" s="372"/>
      <c r="O1597" s="372"/>
      <c r="P1597" s="380"/>
      <c r="Q1597" s="374"/>
      <c r="R1597" s="381"/>
      <c r="S1597" s="361"/>
      <c r="T1597" s="361"/>
      <c r="U1597" s="361"/>
      <c r="V1597" s="366"/>
      <c r="W1597" s="366"/>
    </row>
    <row r="1598" spans="1:23">
      <c r="A1598" s="1410"/>
      <c r="B1598" s="1413"/>
      <c r="C1598" s="845" t="s">
        <v>471</v>
      </c>
      <c r="D1598" s="875" t="str">
        <f>B1585&amp;C1598</f>
        <v>A51x</v>
      </c>
      <c r="E1598" s="367">
        <v>13</v>
      </c>
      <c r="F1598" s="370"/>
      <c r="G1598" s="368"/>
      <c r="H1598" s="368"/>
      <c r="I1598" s="368"/>
      <c r="J1598" s="368"/>
      <c r="K1598" s="370"/>
      <c r="L1598" s="370"/>
      <c r="M1598" s="370"/>
      <c r="N1598" s="382"/>
      <c r="O1598" s="372"/>
      <c r="P1598" s="380"/>
      <c r="Q1598" s="381"/>
      <c r="R1598" s="381"/>
      <c r="S1598" s="361"/>
      <c r="T1598" s="361"/>
      <c r="U1598" s="361"/>
      <c r="V1598" s="366"/>
      <c r="W1598" s="366"/>
    </row>
    <row r="1599" spans="1:23">
      <c r="A1599" s="1410"/>
      <c r="B1599" s="1413"/>
      <c r="C1599" s="845" t="s">
        <v>732</v>
      </c>
      <c r="D1599" s="875" t="str">
        <f>B1585&amp;C1599</f>
        <v>A51y</v>
      </c>
      <c r="E1599" s="367">
        <v>14</v>
      </c>
      <c r="F1599" s="370"/>
      <c r="G1599" s="368"/>
      <c r="H1599" s="368"/>
      <c r="I1599" s="368"/>
      <c r="J1599" s="368"/>
      <c r="K1599" s="370"/>
      <c r="L1599" s="370"/>
      <c r="M1599" s="370"/>
      <c r="N1599" s="382"/>
      <c r="O1599" s="372"/>
      <c r="P1599" s="380"/>
      <c r="Q1599" s="381"/>
      <c r="R1599" s="381"/>
      <c r="S1599" s="361"/>
      <c r="T1599" s="361"/>
      <c r="U1599" s="362"/>
      <c r="V1599" s="366"/>
      <c r="W1599" s="366"/>
    </row>
    <row r="1600" spans="1:23">
      <c r="A1600" s="1411"/>
      <c r="B1600" s="1414"/>
      <c r="C1600" s="846" t="s">
        <v>996</v>
      </c>
      <c r="D1600" s="876" t="str">
        <f>B1585&amp;C1600</f>
        <v>A51z</v>
      </c>
      <c r="E1600" s="847">
        <v>15</v>
      </c>
      <c r="F1600" s="370"/>
      <c r="G1600" s="368"/>
      <c r="H1600" s="368"/>
      <c r="I1600" s="368"/>
      <c r="J1600" s="368"/>
      <c r="K1600" s="370"/>
      <c r="L1600" s="370"/>
      <c r="M1600" s="370"/>
      <c r="N1600" s="850"/>
      <c r="O1600" s="851"/>
      <c r="P1600" s="380"/>
      <c r="Q1600" s="852"/>
      <c r="R1600" s="383"/>
      <c r="S1600" s="361"/>
      <c r="T1600" s="832"/>
      <c r="U1600" s="830"/>
      <c r="V1600" s="366"/>
      <c r="W1600" s="366"/>
    </row>
    <row r="1601" spans="1:23">
      <c r="A1601" s="1400" t="s">
        <v>939</v>
      </c>
      <c r="B1601" s="1400"/>
      <c r="C1601" s="827"/>
      <c r="D1601" s="871"/>
      <c r="E1601" s="1400" t="s">
        <v>177</v>
      </c>
      <c r="F1601" s="1400" t="s">
        <v>18</v>
      </c>
      <c r="G1601" s="1389" t="s">
        <v>19</v>
      </c>
      <c r="H1601" s="1390"/>
      <c r="I1601" s="1389" t="s">
        <v>22</v>
      </c>
      <c r="J1601" s="1390"/>
      <c r="K1601" s="1393" t="s">
        <v>26</v>
      </c>
      <c r="L1601" s="1390"/>
      <c r="M1601" s="1389" t="s">
        <v>392</v>
      </c>
      <c r="N1601" s="1390"/>
      <c r="O1601" s="1389" t="s">
        <v>28</v>
      </c>
      <c r="P1601" s="1393"/>
      <c r="Q1601" s="1390"/>
      <c r="R1601" s="1400" t="s">
        <v>36</v>
      </c>
      <c r="S1601" s="361"/>
      <c r="T1601" s="361">
        <f>MAX(J1605:J1619)-MIN(I1605:I1619)</f>
        <v>3.125E-2</v>
      </c>
      <c r="U1601" s="361"/>
      <c r="V1601" s="853" t="str">
        <f t="shared" ref="V1601" si="170">B1605</f>
        <v>B41</v>
      </c>
      <c r="W1601" s="361">
        <f t="shared" ref="W1601" si="171">COUNTIF(K1606:K1620,"&gt;0")</f>
        <v>2</v>
      </c>
    </row>
    <row r="1602" spans="1:23">
      <c r="A1602" s="1401"/>
      <c r="B1602" s="1401"/>
      <c r="C1602" s="828"/>
      <c r="D1602" s="872"/>
      <c r="E1602" s="1401"/>
      <c r="F1602" s="1401"/>
      <c r="G1602" s="1391"/>
      <c r="H1602" s="1392"/>
      <c r="I1602" s="1391"/>
      <c r="J1602" s="1392"/>
      <c r="K1602" s="1394"/>
      <c r="L1602" s="1392"/>
      <c r="M1602" s="1391"/>
      <c r="N1602" s="1392"/>
      <c r="O1602" s="1391"/>
      <c r="P1602" s="1394"/>
      <c r="Q1602" s="1392"/>
      <c r="R1602" s="1401"/>
      <c r="S1602" s="361"/>
      <c r="T1602" s="361"/>
      <c r="U1602" s="361"/>
      <c r="V1602" s="361"/>
      <c r="W1602" s="361"/>
    </row>
    <row r="1603" spans="1:23">
      <c r="A1603" s="1401"/>
      <c r="B1603" s="1401"/>
      <c r="C1603" s="828"/>
      <c r="D1603" s="872"/>
      <c r="E1603" s="1401"/>
      <c r="F1603" s="1401"/>
      <c r="G1603" s="1400" t="s">
        <v>20</v>
      </c>
      <c r="H1603" s="1400" t="s">
        <v>21</v>
      </c>
      <c r="I1603" s="1400" t="s">
        <v>361</v>
      </c>
      <c r="J1603" s="1400" t="s">
        <v>353</v>
      </c>
      <c r="K1603" s="1400" t="s">
        <v>23</v>
      </c>
      <c r="L1603" s="1400" t="s">
        <v>24</v>
      </c>
      <c r="M1603" s="1400" t="s">
        <v>27</v>
      </c>
      <c r="N1603" s="1400" t="s">
        <v>178</v>
      </c>
      <c r="O1603" s="1400" t="s">
        <v>1</v>
      </c>
      <c r="P1603" s="1400" t="s">
        <v>29</v>
      </c>
      <c r="Q1603" s="1400" t="s">
        <v>33</v>
      </c>
      <c r="R1603" s="1401"/>
      <c r="S1603" s="361"/>
      <c r="T1603" s="361" t="s">
        <v>39</v>
      </c>
      <c r="U1603" s="362">
        <f>VLOOKUP(B1605,'Thong tin'!$A:$M,13,0)</f>
        <v>800</v>
      </c>
      <c r="V1603" s="361"/>
      <c r="W1603" s="361"/>
    </row>
    <row r="1604" spans="1:23">
      <c r="A1604" s="1402"/>
      <c r="B1604" s="1402"/>
      <c r="C1604" s="829"/>
      <c r="D1604" s="873"/>
      <c r="E1604" s="1402"/>
      <c r="F1604" s="1402"/>
      <c r="G1604" s="1402"/>
      <c r="H1604" s="1402"/>
      <c r="I1604" s="1402"/>
      <c r="J1604" s="1402"/>
      <c r="K1604" s="1402"/>
      <c r="L1604" s="1402"/>
      <c r="M1604" s="1402"/>
      <c r="N1604" s="1402"/>
      <c r="O1604" s="1402"/>
      <c r="P1604" s="1402"/>
      <c r="Q1604" s="1402"/>
      <c r="R1604" s="1402"/>
      <c r="S1604" s="361"/>
      <c r="T1604" s="1399" t="s">
        <v>393</v>
      </c>
      <c r="U1604" s="1397">
        <f>VLOOKUP(B1605,DT.NK!$B:$AZ,45,0)</f>
        <v>27.7</v>
      </c>
      <c r="V1604" s="361"/>
      <c r="W1604" s="361"/>
    </row>
    <row r="1605" spans="1:23">
      <c r="A1605" s="1409">
        <f>A1585+1</f>
        <v>81</v>
      </c>
      <c r="B1605" s="1412" t="s">
        <v>612</v>
      </c>
      <c r="C1605" s="844" t="s">
        <v>983</v>
      </c>
      <c r="D1605" s="874" t="str">
        <f>B1605&amp;C1605</f>
        <v>B41a</v>
      </c>
      <c r="E1605" s="363"/>
      <c r="F1605" s="364"/>
      <c r="G1605" s="364"/>
      <c r="H1605" s="364"/>
      <c r="I1605" s="364"/>
      <c r="J1605" s="364"/>
      <c r="K1605" s="364"/>
      <c r="L1605" s="364"/>
      <c r="M1605" s="674"/>
      <c r="N1605" s="670"/>
      <c r="O1605" s="670">
        <f>U1604</f>
        <v>27.7</v>
      </c>
      <c r="P1605" s="670">
        <f>O1605</f>
        <v>27.7</v>
      </c>
      <c r="Q1605" s="670">
        <v>0</v>
      </c>
      <c r="R1605" s="365"/>
      <c r="S1605" s="366"/>
      <c r="T1605" s="1399"/>
      <c r="U1605" s="1398"/>
      <c r="V1605" s="361"/>
      <c r="W1605" s="361"/>
    </row>
    <row r="1606" spans="1:23">
      <c r="A1606" s="1410"/>
      <c r="B1606" s="1413"/>
      <c r="C1606" s="845" t="s">
        <v>984</v>
      </c>
      <c r="D1606" s="875" t="str">
        <f>B1605&amp;C1606</f>
        <v>B41b</v>
      </c>
      <c r="E1606" s="367">
        <v>1</v>
      </c>
      <c r="F1606" s="669" t="s">
        <v>1091</v>
      </c>
      <c r="G1606" s="369">
        <v>0.25069444444444444</v>
      </c>
      <c r="H1606" s="368">
        <v>0.27430555555555552</v>
      </c>
      <c r="I1606" s="368">
        <v>0.28125</v>
      </c>
      <c r="J1606" s="368">
        <v>0.28819444444444448</v>
      </c>
      <c r="K1606" s="669">
        <v>12.5</v>
      </c>
      <c r="L1606" s="669">
        <v>19</v>
      </c>
      <c r="M1606" s="675">
        <v>11.9</v>
      </c>
      <c r="N1606" s="671">
        <f>IF(M1606-P1606&gt;0,M1606-P1606,0)</f>
        <v>5.7</v>
      </c>
      <c r="O1606" s="671">
        <f>O1605-K1606/(PI()*(U1603/2000)^2)</f>
        <v>2.8320401418913548</v>
      </c>
      <c r="P1606" s="672">
        <v>6.2</v>
      </c>
      <c r="Q1606" s="673">
        <f>ABS(O1606-P1606)</f>
        <v>3.3679598581086454</v>
      </c>
      <c r="R1606" s="375" t="s">
        <v>188</v>
      </c>
      <c r="S1606" s="366"/>
      <c r="T1606" s="376"/>
      <c r="U1606" s="376"/>
      <c r="V1606" s="366"/>
      <c r="W1606" s="366"/>
    </row>
    <row r="1607" spans="1:23">
      <c r="A1607" s="1410"/>
      <c r="B1607" s="1413"/>
      <c r="C1607" s="845" t="s">
        <v>985</v>
      </c>
      <c r="D1607" s="875" t="str">
        <f>B1605&amp;C1607</f>
        <v>B41c</v>
      </c>
      <c r="E1607" s="367">
        <v>2</v>
      </c>
      <c r="F1607" s="669" t="s">
        <v>1089</v>
      </c>
      <c r="G1607" s="369">
        <v>0.29236111111111113</v>
      </c>
      <c r="H1607" s="368">
        <v>0.30555555555555552</v>
      </c>
      <c r="I1607" s="368">
        <v>0.30902777777777779</v>
      </c>
      <c r="J1607" s="368">
        <v>0.3125</v>
      </c>
      <c r="K1607" s="669">
        <v>1</v>
      </c>
      <c r="L1607" s="669">
        <v>19</v>
      </c>
      <c r="M1607" s="675">
        <v>11.9</v>
      </c>
      <c r="N1607" s="671">
        <f>IF(M1607-P1607&gt;0,M1607-P1607,0)</f>
        <v>6.5</v>
      </c>
      <c r="O1607" s="671">
        <f>O1606-K1607/(PI()*(U1603/2000)^2)</f>
        <v>0.84260335324266311</v>
      </c>
      <c r="P1607" s="672">
        <v>5.4</v>
      </c>
      <c r="Q1607" s="673">
        <f>ABS(O1607-P1607)</f>
        <v>4.5573966467573372</v>
      </c>
      <c r="R1607" s="375" t="s">
        <v>188</v>
      </c>
      <c r="S1607" s="366"/>
      <c r="T1607" s="376"/>
      <c r="U1607" s="376"/>
      <c r="V1607" s="366"/>
      <c r="W1607" s="366"/>
    </row>
    <row r="1608" spans="1:23">
      <c r="A1608" s="1410"/>
      <c r="B1608" s="1413"/>
      <c r="C1608" s="845" t="s">
        <v>986</v>
      </c>
      <c r="D1608" s="875" t="str">
        <f>B1605&amp;C1608</f>
        <v>B41d</v>
      </c>
      <c r="E1608" s="367">
        <v>3</v>
      </c>
      <c r="F1608" s="669"/>
      <c r="G1608" s="368"/>
      <c r="H1608" s="368"/>
      <c r="I1608" s="368"/>
      <c r="J1608" s="368"/>
      <c r="K1608" s="370"/>
      <c r="L1608" s="370"/>
      <c r="M1608" s="371"/>
      <c r="N1608" s="671"/>
      <c r="O1608" s="671"/>
      <c r="P1608" s="373"/>
      <c r="Q1608" s="673"/>
      <c r="R1608" s="375"/>
      <c r="S1608" s="366"/>
      <c r="T1608" s="376"/>
      <c r="U1608" s="376"/>
      <c r="V1608" s="366"/>
      <c r="W1608" s="366"/>
    </row>
    <row r="1609" spans="1:23">
      <c r="A1609" s="1410"/>
      <c r="B1609" s="1413"/>
      <c r="C1609" s="845" t="s">
        <v>987</v>
      </c>
      <c r="D1609" s="875" t="str">
        <f>B1605&amp;C1609</f>
        <v>B41e</v>
      </c>
      <c r="E1609" s="367">
        <v>4</v>
      </c>
      <c r="F1609" s="669"/>
      <c r="G1609" s="368"/>
      <c r="H1609" s="368"/>
      <c r="I1609" s="368"/>
      <c r="J1609" s="368"/>
      <c r="K1609" s="370"/>
      <c r="L1609" s="370"/>
      <c r="M1609" s="371"/>
      <c r="N1609" s="671"/>
      <c r="O1609" s="671"/>
      <c r="P1609" s="373"/>
      <c r="Q1609" s="673"/>
      <c r="R1609" s="375"/>
      <c r="S1609" s="366"/>
      <c r="T1609" s="376"/>
      <c r="U1609" s="376"/>
      <c r="V1609" s="366"/>
      <c r="W1609" s="366"/>
    </row>
    <row r="1610" spans="1:23">
      <c r="A1610" s="1410"/>
      <c r="B1610" s="1413"/>
      <c r="C1610" s="845" t="s">
        <v>988</v>
      </c>
      <c r="D1610" s="875" t="str">
        <f>B1605&amp;C1610</f>
        <v>B41f</v>
      </c>
      <c r="E1610" s="367">
        <v>5</v>
      </c>
      <c r="F1610" s="669"/>
      <c r="G1610" s="368"/>
      <c r="H1610" s="368"/>
      <c r="I1610" s="368"/>
      <c r="J1610" s="368"/>
      <c r="K1610" s="370"/>
      <c r="L1610" s="370"/>
      <c r="M1610" s="371"/>
      <c r="N1610" s="671"/>
      <c r="O1610" s="671"/>
      <c r="P1610" s="373"/>
      <c r="Q1610" s="673"/>
      <c r="R1610" s="377"/>
      <c r="S1610" s="366" t="s">
        <v>190</v>
      </c>
      <c r="T1610" s="376"/>
      <c r="U1610" s="376"/>
      <c r="V1610" s="366"/>
      <c r="W1610" s="366"/>
    </row>
    <row r="1611" spans="1:23">
      <c r="A1611" s="1410"/>
      <c r="B1611" s="1413"/>
      <c r="C1611" s="845" t="s">
        <v>989</v>
      </c>
      <c r="D1611" s="875" t="str">
        <f>B1605&amp;C1611</f>
        <v>B41g</v>
      </c>
      <c r="E1611" s="367">
        <v>6</v>
      </c>
      <c r="F1611" s="669"/>
      <c r="G1611" s="368"/>
      <c r="H1611" s="368"/>
      <c r="I1611" s="368"/>
      <c r="J1611" s="368"/>
      <c r="K1611" s="370"/>
      <c r="L1611" s="370"/>
      <c r="M1611" s="371"/>
      <c r="N1611" s="671"/>
      <c r="O1611" s="671"/>
      <c r="P1611" s="373"/>
      <c r="Q1611" s="673"/>
      <c r="R1611" s="375"/>
      <c r="S1611" s="366" t="s">
        <v>190</v>
      </c>
      <c r="T1611" s="366"/>
      <c r="U1611" s="366"/>
      <c r="V1611" s="366"/>
      <c r="W1611" s="366"/>
    </row>
    <row r="1612" spans="1:23">
      <c r="A1612" s="1410"/>
      <c r="B1612" s="1413"/>
      <c r="C1612" s="845" t="s">
        <v>990</v>
      </c>
      <c r="D1612" s="875" t="str">
        <f>B1605&amp;C1612</f>
        <v>B41h</v>
      </c>
      <c r="E1612" s="367">
        <v>7</v>
      </c>
      <c r="F1612" s="669"/>
      <c r="G1612" s="368"/>
      <c r="H1612" s="368"/>
      <c r="I1612" s="368"/>
      <c r="J1612" s="368"/>
      <c r="K1612" s="370"/>
      <c r="L1612" s="370"/>
      <c r="M1612" s="371"/>
      <c r="N1612" s="671"/>
      <c r="O1612" s="671"/>
      <c r="P1612" s="373"/>
      <c r="Q1612" s="673"/>
      <c r="R1612" s="377"/>
      <c r="S1612" s="366" t="s">
        <v>190</v>
      </c>
      <c r="T1612" s="366"/>
      <c r="U1612" s="366"/>
      <c r="V1612" s="366"/>
      <c r="W1612" s="366"/>
    </row>
    <row r="1613" spans="1:23">
      <c r="A1613" s="1410"/>
      <c r="B1613" s="1413"/>
      <c r="C1613" s="845" t="s">
        <v>991</v>
      </c>
      <c r="D1613" s="875" t="str">
        <f>B1605&amp;C1613</f>
        <v>B41i</v>
      </c>
      <c r="E1613" s="367">
        <v>8</v>
      </c>
      <c r="F1613" s="669"/>
      <c r="G1613" s="368"/>
      <c r="H1613" s="368"/>
      <c r="I1613" s="368"/>
      <c r="J1613" s="368"/>
      <c r="K1613" s="370"/>
      <c r="L1613" s="370"/>
      <c r="M1613" s="371"/>
      <c r="N1613" s="671"/>
      <c r="O1613" s="671"/>
      <c r="P1613" s="373"/>
      <c r="Q1613" s="673"/>
      <c r="R1613" s="378"/>
      <c r="S1613" s="366"/>
      <c r="T1613" s="366"/>
      <c r="U1613" s="366"/>
      <c r="V1613" s="366"/>
      <c r="W1613" s="366"/>
    </row>
    <row r="1614" spans="1:23">
      <c r="A1614" s="1410"/>
      <c r="B1614" s="1413"/>
      <c r="C1614" s="845" t="s">
        <v>992</v>
      </c>
      <c r="D1614" s="875" t="str">
        <f>B1605&amp;C1614</f>
        <v>B41k</v>
      </c>
      <c r="E1614" s="367">
        <v>9</v>
      </c>
      <c r="F1614" s="370"/>
      <c r="G1614" s="368"/>
      <c r="H1614" s="368"/>
      <c r="I1614" s="368"/>
      <c r="J1614" s="368"/>
      <c r="K1614" s="370"/>
      <c r="L1614" s="370"/>
      <c r="M1614" s="371"/>
      <c r="N1614" s="372"/>
      <c r="O1614" s="372"/>
      <c r="P1614" s="373"/>
      <c r="Q1614" s="374"/>
      <c r="R1614" s="378"/>
      <c r="S1614" s="379"/>
      <c r="T1614" s="366"/>
      <c r="U1614" s="366"/>
      <c r="V1614" s="366"/>
      <c r="W1614" s="366"/>
    </row>
    <row r="1615" spans="1:23">
      <c r="A1615" s="1410"/>
      <c r="B1615" s="1413"/>
      <c r="C1615" s="845" t="s">
        <v>993</v>
      </c>
      <c r="D1615" s="875" t="str">
        <f>B1605&amp;C1615</f>
        <v>B41l</v>
      </c>
      <c r="E1615" s="367">
        <v>10</v>
      </c>
      <c r="F1615" s="370"/>
      <c r="G1615" s="368"/>
      <c r="H1615" s="368"/>
      <c r="I1615" s="368"/>
      <c r="J1615" s="368"/>
      <c r="K1615" s="370"/>
      <c r="L1615" s="370"/>
      <c r="M1615" s="370"/>
      <c r="N1615" s="372"/>
      <c r="O1615" s="372"/>
      <c r="P1615" s="373"/>
      <c r="Q1615" s="374"/>
      <c r="R1615" s="378"/>
      <c r="S1615" s="379"/>
      <c r="T1615" s="366"/>
      <c r="U1615" s="366"/>
      <c r="V1615" s="366"/>
      <c r="W1615" s="366"/>
    </row>
    <row r="1616" spans="1:23">
      <c r="A1616" s="1410"/>
      <c r="B1616" s="1413"/>
      <c r="C1616" s="845" t="s">
        <v>994</v>
      </c>
      <c r="D1616" s="875" t="str">
        <f>B1605&amp;C1616</f>
        <v>B41m</v>
      </c>
      <c r="E1616" s="367">
        <v>11</v>
      </c>
      <c r="F1616" s="370"/>
      <c r="G1616" s="368"/>
      <c r="H1616" s="368"/>
      <c r="I1616" s="368"/>
      <c r="J1616" s="368"/>
      <c r="K1616" s="370"/>
      <c r="L1616" s="370"/>
      <c r="M1616" s="370"/>
      <c r="N1616" s="372"/>
      <c r="O1616" s="372"/>
      <c r="P1616" s="380"/>
      <c r="Q1616" s="374"/>
      <c r="R1616" s="381"/>
      <c r="S1616" s="379"/>
      <c r="T1616" s="366"/>
      <c r="U1616" s="366"/>
      <c r="V1616" s="366"/>
      <c r="W1616" s="366"/>
    </row>
    <row r="1617" spans="1:23">
      <c r="A1617" s="1410"/>
      <c r="B1617" s="1413"/>
      <c r="C1617" s="845" t="s">
        <v>995</v>
      </c>
      <c r="D1617" s="875" t="str">
        <f>B1605&amp;C1617</f>
        <v>B41n</v>
      </c>
      <c r="E1617" s="367">
        <v>12</v>
      </c>
      <c r="F1617" s="370"/>
      <c r="G1617" s="368"/>
      <c r="H1617" s="368"/>
      <c r="I1617" s="368"/>
      <c r="J1617" s="368"/>
      <c r="K1617" s="370"/>
      <c r="L1617" s="370"/>
      <c r="M1617" s="370"/>
      <c r="N1617" s="372"/>
      <c r="O1617" s="372"/>
      <c r="P1617" s="380"/>
      <c r="Q1617" s="374"/>
      <c r="R1617" s="381"/>
      <c r="S1617" s="361"/>
      <c r="T1617" s="361"/>
      <c r="U1617" s="361"/>
      <c r="V1617" s="366"/>
      <c r="W1617" s="366"/>
    </row>
    <row r="1618" spans="1:23">
      <c r="A1618" s="1410"/>
      <c r="B1618" s="1413"/>
      <c r="C1618" s="845" t="s">
        <v>471</v>
      </c>
      <c r="D1618" s="875" t="str">
        <f>B1605&amp;C1618</f>
        <v>B41x</v>
      </c>
      <c r="E1618" s="367">
        <v>13</v>
      </c>
      <c r="F1618" s="370"/>
      <c r="G1618" s="368"/>
      <c r="H1618" s="368"/>
      <c r="I1618" s="368"/>
      <c r="J1618" s="368"/>
      <c r="K1618" s="370"/>
      <c r="L1618" s="370"/>
      <c r="M1618" s="370"/>
      <c r="N1618" s="382"/>
      <c r="O1618" s="372"/>
      <c r="P1618" s="380"/>
      <c r="Q1618" s="381"/>
      <c r="R1618" s="381"/>
      <c r="S1618" s="361"/>
      <c r="T1618" s="361"/>
      <c r="U1618" s="361"/>
      <c r="V1618" s="366"/>
      <c r="W1618" s="366"/>
    </row>
    <row r="1619" spans="1:23">
      <c r="A1619" s="1410"/>
      <c r="B1619" s="1413"/>
      <c r="C1619" s="845" t="s">
        <v>732</v>
      </c>
      <c r="D1619" s="875" t="str">
        <f>B1605&amp;C1619</f>
        <v>B41y</v>
      </c>
      <c r="E1619" s="367">
        <v>14</v>
      </c>
      <c r="F1619" s="370"/>
      <c r="G1619" s="368"/>
      <c r="H1619" s="368"/>
      <c r="I1619" s="368"/>
      <c r="J1619" s="368"/>
      <c r="K1619" s="370"/>
      <c r="L1619" s="370"/>
      <c r="M1619" s="370"/>
      <c r="N1619" s="382"/>
      <c r="O1619" s="372"/>
      <c r="P1619" s="380"/>
      <c r="Q1619" s="381"/>
      <c r="R1619" s="381"/>
      <c r="S1619" s="361"/>
      <c r="T1619" s="361"/>
      <c r="U1619" s="362"/>
      <c r="V1619" s="366"/>
      <c r="W1619" s="366"/>
    </row>
    <row r="1620" spans="1:23">
      <c r="A1620" s="1411"/>
      <c r="B1620" s="1414"/>
      <c r="C1620" s="846" t="s">
        <v>996</v>
      </c>
      <c r="D1620" s="876" t="str">
        <f>B1605&amp;C1620</f>
        <v>B41z</v>
      </c>
      <c r="E1620" s="847">
        <v>15</v>
      </c>
      <c r="F1620" s="370"/>
      <c r="G1620" s="368"/>
      <c r="H1620" s="368"/>
      <c r="I1620" s="368"/>
      <c r="J1620" s="368"/>
      <c r="K1620" s="370"/>
      <c r="L1620" s="370"/>
      <c r="M1620" s="370"/>
      <c r="N1620" s="850"/>
      <c r="O1620" s="851"/>
      <c r="P1620" s="380"/>
      <c r="Q1620" s="852"/>
      <c r="R1620" s="383"/>
      <c r="S1620" s="361"/>
      <c r="T1620" s="832"/>
      <c r="U1620" s="830"/>
      <c r="V1620" s="366"/>
      <c r="W1620" s="366"/>
    </row>
    <row r="1621" spans="1:23">
      <c r="A1621" s="1400" t="s">
        <v>939</v>
      </c>
      <c r="B1621" s="1400"/>
      <c r="C1621" s="827"/>
      <c r="D1621" s="871"/>
      <c r="E1621" s="1400" t="s">
        <v>177</v>
      </c>
      <c r="F1621" s="1400" t="s">
        <v>18</v>
      </c>
      <c r="G1621" s="1389" t="s">
        <v>19</v>
      </c>
      <c r="H1621" s="1390"/>
      <c r="I1621" s="1389" t="s">
        <v>22</v>
      </c>
      <c r="J1621" s="1390"/>
      <c r="K1621" s="1393" t="s">
        <v>26</v>
      </c>
      <c r="L1621" s="1390"/>
      <c r="M1621" s="1389" t="s">
        <v>392</v>
      </c>
      <c r="N1621" s="1390"/>
      <c r="O1621" s="1389" t="s">
        <v>28</v>
      </c>
      <c r="P1621" s="1393"/>
      <c r="Q1621" s="1390"/>
      <c r="R1621" s="1400" t="s">
        <v>36</v>
      </c>
      <c r="S1621" s="361"/>
      <c r="T1621" s="361">
        <f>MAX(J1625:J1639)-MIN(I1625:I1639)</f>
        <v>6.25E-2</v>
      </c>
      <c r="U1621" s="361"/>
      <c r="V1621" s="853" t="str">
        <f t="shared" ref="V1621" si="172">B1625</f>
        <v>A139</v>
      </c>
      <c r="W1621" s="361">
        <f t="shared" ref="W1621" si="173">COUNTIF(K1626:K1640,"&gt;0")</f>
        <v>4</v>
      </c>
    </row>
    <row r="1622" spans="1:23">
      <c r="A1622" s="1401"/>
      <c r="B1622" s="1401"/>
      <c r="C1622" s="828"/>
      <c r="D1622" s="872"/>
      <c r="E1622" s="1401"/>
      <c r="F1622" s="1401"/>
      <c r="G1622" s="1391"/>
      <c r="H1622" s="1392"/>
      <c r="I1622" s="1391"/>
      <c r="J1622" s="1392"/>
      <c r="K1622" s="1394"/>
      <c r="L1622" s="1392"/>
      <c r="M1622" s="1391"/>
      <c r="N1622" s="1392"/>
      <c r="O1622" s="1391"/>
      <c r="P1622" s="1394"/>
      <c r="Q1622" s="1392"/>
      <c r="R1622" s="1401"/>
      <c r="S1622" s="361"/>
      <c r="T1622" s="361"/>
      <c r="U1622" s="361"/>
      <c r="V1622" s="361"/>
      <c r="W1622" s="361"/>
    </row>
    <row r="1623" spans="1:23">
      <c r="A1623" s="1401"/>
      <c r="B1623" s="1401"/>
      <c r="C1623" s="828"/>
      <c r="D1623" s="872"/>
      <c r="E1623" s="1401"/>
      <c r="F1623" s="1401"/>
      <c r="G1623" s="1400" t="s">
        <v>20</v>
      </c>
      <c r="H1623" s="1400" t="s">
        <v>21</v>
      </c>
      <c r="I1623" s="1400" t="s">
        <v>361</v>
      </c>
      <c r="J1623" s="1400" t="s">
        <v>353</v>
      </c>
      <c r="K1623" s="1400" t="s">
        <v>23</v>
      </c>
      <c r="L1623" s="1400" t="s">
        <v>24</v>
      </c>
      <c r="M1623" s="1400" t="s">
        <v>27</v>
      </c>
      <c r="N1623" s="1400" t="s">
        <v>178</v>
      </c>
      <c r="O1623" s="1400" t="s">
        <v>1</v>
      </c>
      <c r="P1623" s="1400" t="s">
        <v>29</v>
      </c>
      <c r="Q1623" s="1400" t="s">
        <v>33</v>
      </c>
      <c r="R1623" s="1401"/>
      <c r="S1623" s="361"/>
      <c r="T1623" s="361" t="s">
        <v>39</v>
      </c>
      <c r="U1623" s="362">
        <f>VLOOKUP(B1625,'Thong tin'!$A:$M,13,0)</f>
        <v>1200</v>
      </c>
      <c r="V1623" s="361"/>
      <c r="W1623" s="361"/>
    </row>
    <row r="1624" spans="1:23">
      <c r="A1624" s="1402"/>
      <c r="B1624" s="1402"/>
      <c r="C1624" s="829"/>
      <c r="D1624" s="873"/>
      <c r="E1624" s="1402"/>
      <c r="F1624" s="1402"/>
      <c r="G1624" s="1402"/>
      <c r="H1624" s="1402"/>
      <c r="I1624" s="1402"/>
      <c r="J1624" s="1402"/>
      <c r="K1624" s="1402"/>
      <c r="L1624" s="1402"/>
      <c r="M1624" s="1402"/>
      <c r="N1624" s="1402"/>
      <c r="O1624" s="1402"/>
      <c r="P1624" s="1402"/>
      <c r="Q1624" s="1402"/>
      <c r="R1624" s="1402"/>
      <c r="S1624" s="361"/>
      <c r="T1624" s="1399" t="s">
        <v>393</v>
      </c>
      <c r="U1624" s="1397">
        <f>VLOOKUP(B1625,DT.NK!$B:$AZ,45,0)</f>
        <v>28.72</v>
      </c>
      <c r="V1624" s="361"/>
      <c r="W1624" s="361"/>
    </row>
    <row r="1625" spans="1:23">
      <c r="A1625" s="1409">
        <f>A1605+1</f>
        <v>82</v>
      </c>
      <c r="B1625" s="1412" t="s">
        <v>507</v>
      </c>
      <c r="C1625" s="844" t="s">
        <v>983</v>
      </c>
      <c r="D1625" s="874" t="str">
        <f>B1625&amp;C1625</f>
        <v>A139a</v>
      </c>
      <c r="E1625" s="363"/>
      <c r="F1625" s="364"/>
      <c r="G1625" s="364"/>
      <c r="H1625" s="364"/>
      <c r="I1625" s="364"/>
      <c r="J1625" s="364"/>
      <c r="K1625" s="364"/>
      <c r="L1625" s="364"/>
      <c r="M1625" s="674"/>
      <c r="N1625" s="670"/>
      <c r="O1625" s="670">
        <f>U1624</f>
        <v>28.72</v>
      </c>
      <c r="P1625" s="670">
        <f>O1625</f>
        <v>28.72</v>
      </c>
      <c r="Q1625" s="670">
        <v>0</v>
      </c>
      <c r="R1625" s="365"/>
      <c r="S1625" s="366"/>
      <c r="T1625" s="1399"/>
      <c r="U1625" s="1398"/>
      <c r="V1625" s="361"/>
      <c r="W1625" s="361"/>
    </row>
    <row r="1626" spans="1:23">
      <c r="A1626" s="1410"/>
      <c r="B1626" s="1413"/>
      <c r="C1626" s="845" t="s">
        <v>984</v>
      </c>
      <c r="D1626" s="875" t="str">
        <f>B1625&amp;C1626</f>
        <v>A139b</v>
      </c>
      <c r="E1626" s="367">
        <v>1</v>
      </c>
      <c r="F1626" s="669" t="s">
        <v>1008</v>
      </c>
      <c r="G1626" s="369">
        <v>8.3333333333333329E-2</v>
      </c>
      <c r="H1626" s="368">
        <v>0.12152777777777778</v>
      </c>
      <c r="I1626" s="368">
        <v>0.125</v>
      </c>
      <c r="J1626" s="368">
        <v>0.12986111111111112</v>
      </c>
      <c r="K1626" s="669">
        <v>9</v>
      </c>
      <c r="L1626" s="669">
        <v>19</v>
      </c>
      <c r="M1626" s="675">
        <v>25.72</v>
      </c>
      <c r="N1626" s="671">
        <f>IF(M1626-P1626&gt;0,M1626-P1626,0)</f>
        <v>3.8200000000000003</v>
      </c>
      <c r="O1626" s="671">
        <f>O1625-K1626/(PI()*(U1623/2000)^2)</f>
        <v>20.762252845405232</v>
      </c>
      <c r="P1626" s="672">
        <v>21.9</v>
      </c>
      <c r="Q1626" s="673">
        <f>ABS(O1626-P1626)</f>
        <v>1.1377471545947664</v>
      </c>
      <c r="R1626" s="375" t="s">
        <v>188</v>
      </c>
      <c r="S1626" s="366"/>
      <c r="T1626" s="376"/>
      <c r="U1626" s="376"/>
      <c r="V1626" s="366"/>
      <c r="W1626" s="366"/>
    </row>
    <row r="1627" spans="1:23">
      <c r="A1627" s="1410"/>
      <c r="B1627" s="1413"/>
      <c r="C1627" s="845" t="s">
        <v>985</v>
      </c>
      <c r="D1627" s="875" t="str">
        <f>B1625&amp;C1627</f>
        <v>A139c</v>
      </c>
      <c r="E1627" s="367">
        <v>2</v>
      </c>
      <c r="F1627" s="669" t="s">
        <v>1091</v>
      </c>
      <c r="G1627" s="369">
        <v>9.0277777777777776E-2</v>
      </c>
      <c r="H1627" s="368">
        <v>0.125</v>
      </c>
      <c r="I1627" s="368">
        <v>0.13541666666666666</v>
      </c>
      <c r="J1627" s="368">
        <v>0.1388888888888889</v>
      </c>
      <c r="K1627" s="669">
        <v>9</v>
      </c>
      <c r="L1627" s="669">
        <v>20</v>
      </c>
      <c r="M1627" s="675">
        <v>19.420000000000002</v>
      </c>
      <c r="N1627" s="671">
        <f>IF(M1627-P1627&gt;0,M1627-P1627,0)</f>
        <v>3.9200000000000017</v>
      </c>
      <c r="O1627" s="671">
        <f>O1626-K1627/(PI()*(U1623/2000)^2)</f>
        <v>12.804505690810466</v>
      </c>
      <c r="P1627" s="672">
        <v>15.5</v>
      </c>
      <c r="Q1627" s="673">
        <f>ABS(O1627-P1627)</f>
        <v>2.6954943091895345</v>
      </c>
      <c r="R1627" s="375" t="s">
        <v>188</v>
      </c>
      <c r="S1627" s="366"/>
      <c r="T1627" s="376"/>
      <c r="U1627" s="376"/>
      <c r="V1627" s="366"/>
      <c r="W1627" s="366"/>
    </row>
    <row r="1628" spans="1:23">
      <c r="A1628" s="1410"/>
      <c r="B1628" s="1413"/>
      <c r="C1628" s="845" t="s">
        <v>986</v>
      </c>
      <c r="D1628" s="875" t="str">
        <f>B1625&amp;C1628</f>
        <v>A139d</v>
      </c>
      <c r="E1628" s="367">
        <v>3</v>
      </c>
      <c r="F1628" s="669" t="s">
        <v>1089</v>
      </c>
      <c r="G1628" s="368">
        <v>0.1013888888888889</v>
      </c>
      <c r="H1628" s="368">
        <v>0.15277777777777776</v>
      </c>
      <c r="I1628" s="368">
        <v>0.15625</v>
      </c>
      <c r="J1628" s="368">
        <v>0.15972222222222224</v>
      </c>
      <c r="K1628" s="370">
        <v>9</v>
      </c>
      <c r="L1628" s="370">
        <v>19.5</v>
      </c>
      <c r="M1628" s="371">
        <v>13.12</v>
      </c>
      <c r="N1628" s="671">
        <f>IF(M1628-P1628&gt;0,M1628-P1628,0)</f>
        <v>3.8199999999999985</v>
      </c>
      <c r="O1628" s="671">
        <f>O1627-K1628/(PI()*(U1623/2000)^2)</f>
        <v>4.8467585362156989</v>
      </c>
      <c r="P1628" s="373">
        <v>9.3000000000000007</v>
      </c>
      <c r="Q1628" s="673">
        <f>ABS(O1628-P1628)</f>
        <v>4.4532414637843019</v>
      </c>
      <c r="R1628" s="375" t="s">
        <v>188</v>
      </c>
      <c r="S1628" s="366"/>
      <c r="T1628" s="376"/>
      <c r="U1628" s="376"/>
      <c r="V1628" s="366"/>
      <c r="W1628" s="366"/>
    </row>
    <row r="1629" spans="1:23">
      <c r="A1629" s="1410"/>
      <c r="B1629" s="1413"/>
      <c r="C1629" s="845" t="s">
        <v>987</v>
      </c>
      <c r="D1629" s="875" t="str">
        <f>B1625&amp;C1629</f>
        <v>A139e</v>
      </c>
      <c r="E1629" s="367">
        <v>4</v>
      </c>
      <c r="F1629" s="669" t="s">
        <v>1008</v>
      </c>
      <c r="G1629" s="368">
        <v>0.16527777777777777</v>
      </c>
      <c r="H1629" s="368">
        <v>0.18055555555555555</v>
      </c>
      <c r="I1629" s="368">
        <v>0.18402777777777779</v>
      </c>
      <c r="J1629" s="368">
        <v>0.1875</v>
      </c>
      <c r="K1629" s="370">
        <v>3.5</v>
      </c>
      <c r="L1629" s="370">
        <v>18.5</v>
      </c>
      <c r="M1629" s="371">
        <v>13.12</v>
      </c>
      <c r="N1629" s="671">
        <f>IF(M1629-P1629&gt;0,M1629-P1629,0)</f>
        <v>6.02</v>
      </c>
      <c r="O1629" s="671">
        <f>O1628-K1629/(PI()*(U1623/2000)^2)</f>
        <v>1.752079087206623</v>
      </c>
      <c r="P1629" s="373">
        <v>7.1</v>
      </c>
      <c r="Q1629" s="673">
        <f>ABS(O1629-P1629)</f>
        <v>5.3479209127933771</v>
      </c>
      <c r="R1629" s="375"/>
      <c r="S1629" s="366"/>
      <c r="T1629" s="376"/>
      <c r="U1629" s="376"/>
      <c r="V1629" s="366"/>
      <c r="W1629" s="366"/>
    </row>
    <row r="1630" spans="1:23">
      <c r="A1630" s="1410"/>
      <c r="B1630" s="1413"/>
      <c r="C1630" s="845" t="s">
        <v>988</v>
      </c>
      <c r="D1630" s="875" t="str">
        <f>B1625&amp;C1630</f>
        <v>A139f</v>
      </c>
      <c r="E1630" s="367">
        <v>5</v>
      </c>
      <c r="F1630" s="669"/>
      <c r="G1630" s="368"/>
      <c r="H1630" s="368"/>
      <c r="I1630" s="368"/>
      <c r="J1630" s="368"/>
      <c r="K1630" s="370"/>
      <c r="L1630" s="370"/>
      <c r="M1630" s="371"/>
      <c r="N1630" s="671"/>
      <c r="O1630" s="671"/>
      <c r="P1630" s="373"/>
      <c r="Q1630" s="673"/>
      <c r="R1630" s="377"/>
      <c r="S1630" s="366" t="s">
        <v>190</v>
      </c>
      <c r="T1630" s="376"/>
      <c r="U1630" s="376"/>
      <c r="V1630" s="366"/>
      <c r="W1630" s="366"/>
    </row>
    <row r="1631" spans="1:23">
      <c r="A1631" s="1410"/>
      <c r="B1631" s="1413"/>
      <c r="C1631" s="845" t="s">
        <v>989</v>
      </c>
      <c r="D1631" s="875" t="str">
        <f>B1625&amp;C1631</f>
        <v>A139g</v>
      </c>
      <c r="E1631" s="367">
        <v>6</v>
      </c>
      <c r="F1631" s="669"/>
      <c r="G1631" s="368"/>
      <c r="H1631" s="368"/>
      <c r="I1631" s="368"/>
      <c r="J1631" s="368"/>
      <c r="K1631" s="370"/>
      <c r="L1631" s="370"/>
      <c r="M1631" s="371"/>
      <c r="N1631" s="671"/>
      <c r="O1631" s="671"/>
      <c r="P1631" s="373"/>
      <c r="Q1631" s="673"/>
      <c r="R1631" s="375"/>
      <c r="S1631" s="366" t="s">
        <v>190</v>
      </c>
      <c r="T1631" s="366"/>
      <c r="U1631" s="366"/>
      <c r="V1631" s="366"/>
      <c r="W1631" s="366"/>
    </row>
    <row r="1632" spans="1:23">
      <c r="A1632" s="1410"/>
      <c r="B1632" s="1413"/>
      <c r="C1632" s="845" t="s">
        <v>990</v>
      </c>
      <c r="D1632" s="875" t="str">
        <f>B1625&amp;C1632</f>
        <v>A139h</v>
      </c>
      <c r="E1632" s="367">
        <v>7</v>
      </c>
      <c r="F1632" s="669"/>
      <c r="G1632" s="368"/>
      <c r="H1632" s="368"/>
      <c r="I1632" s="368"/>
      <c r="J1632" s="368"/>
      <c r="K1632" s="370"/>
      <c r="L1632" s="370"/>
      <c r="M1632" s="371"/>
      <c r="N1632" s="671"/>
      <c r="O1632" s="671"/>
      <c r="P1632" s="373"/>
      <c r="Q1632" s="673"/>
      <c r="R1632" s="377"/>
      <c r="S1632" s="366" t="s">
        <v>190</v>
      </c>
      <c r="T1632" s="366"/>
      <c r="U1632" s="366"/>
      <c r="V1632" s="366"/>
      <c r="W1632" s="366"/>
    </row>
    <row r="1633" spans="1:23">
      <c r="A1633" s="1410"/>
      <c r="B1633" s="1413"/>
      <c r="C1633" s="845" t="s">
        <v>991</v>
      </c>
      <c r="D1633" s="875" t="str">
        <f>B1625&amp;C1633</f>
        <v>A139i</v>
      </c>
      <c r="E1633" s="367">
        <v>8</v>
      </c>
      <c r="F1633" s="669"/>
      <c r="G1633" s="368"/>
      <c r="H1633" s="368"/>
      <c r="I1633" s="368"/>
      <c r="J1633" s="368"/>
      <c r="K1633" s="370"/>
      <c r="L1633" s="370"/>
      <c r="M1633" s="371"/>
      <c r="N1633" s="671"/>
      <c r="O1633" s="671"/>
      <c r="P1633" s="373"/>
      <c r="Q1633" s="673"/>
      <c r="R1633" s="378"/>
      <c r="S1633" s="366"/>
      <c r="T1633" s="366"/>
      <c r="U1633" s="366"/>
      <c r="V1633" s="366"/>
      <c r="W1633" s="366"/>
    </row>
    <row r="1634" spans="1:23">
      <c r="A1634" s="1410"/>
      <c r="B1634" s="1413"/>
      <c r="C1634" s="845" t="s">
        <v>992</v>
      </c>
      <c r="D1634" s="875" t="str">
        <f>B1625&amp;C1634</f>
        <v>A139k</v>
      </c>
      <c r="E1634" s="367">
        <v>9</v>
      </c>
      <c r="F1634" s="370"/>
      <c r="G1634" s="368"/>
      <c r="H1634" s="368"/>
      <c r="I1634" s="368"/>
      <c r="J1634" s="368"/>
      <c r="K1634" s="370"/>
      <c r="L1634" s="370"/>
      <c r="M1634" s="371"/>
      <c r="N1634" s="372"/>
      <c r="O1634" s="372"/>
      <c r="P1634" s="373"/>
      <c r="Q1634" s="374"/>
      <c r="R1634" s="378"/>
      <c r="S1634" s="379"/>
      <c r="T1634" s="366"/>
      <c r="U1634" s="366"/>
      <c r="V1634" s="366"/>
      <c r="W1634" s="366"/>
    </row>
    <row r="1635" spans="1:23">
      <c r="A1635" s="1410"/>
      <c r="B1635" s="1413"/>
      <c r="C1635" s="845" t="s">
        <v>993</v>
      </c>
      <c r="D1635" s="875" t="str">
        <f>B1625&amp;C1635</f>
        <v>A139l</v>
      </c>
      <c r="E1635" s="367">
        <v>10</v>
      </c>
      <c r="F1635" s="370"/>
      <c r="G1635" s="368"/>
      <c r="H1635" s="368"/>
      <c r="I1635" s="368"/>
      <c r="J1635" s="368"/>
      <c r="K1635" s="370"/>
      <c r="L1635" s="370"/>
      <c r="M1635" s="370"/>
      <c r="N1635" s="372"/>
      <c r="O1635" s="372"/>
      <c r="P1635" s="373"/>
      <c r="Q1635" s="374"/>
      <c r="R1635" s="378"/>
      <c r="S1635" s="379"/>
      <c r="T1635" s="366"/>
      <c r="U1635" s="366"/>
      <c r="V1635" s="366"/>
      <c r="W1635" s="366"/>
    </row>
    <row r="1636" spans="1:23">
      <c r="A1636" s="1410"/>
      <c r="B1636" s="1413"/>
      <c r="C1636" s="845" t="s">
        <v>994</v>
      </c>
      <c r="D1636" s="875" t="str">
        <f>B1625&amp;C1636</f>
        <v>A139m</v>
      </c>
      <c r="E1636" s="367">
        <v>11</v>
      </c>
      <c r="F1636" s="370"/>
      <c r="G1636" s="368"/>
      <c r="H1636" s="368"/>
      <c r="I1636" s="368"/>
      <c r="J1636" s="368"/>
      <c r="K1636" s="370"/>
      <c r="L1636" s="370"/>
      <c r="M1636" s="370"/>
      <c r="N1636" s="372"/>
      <c r="O1636" s="372"/>
      <c r="P1636" s="380"/>
      <c r="Q1636" s="374"/>
      <c r="R1636" s="381"/>
      <c r="S1636" s="379"/>
      <c r="T1636" s="366"/>
      <c r="U1636" s="366"/>
      <c r="V1636" s="366"/>
      <c r="W1636" s="366"/>
    </row>
    <row r="1637" spans="1:23">
      <c r="A1637" s="1410"/>
      <c r="B1637" s="1413"/>
      <c r="C1637" s="845" t="s">
        <v>995</v>
      </c>
      <c r="D1637" s="875" t="str">
        <f>B1625&amp;C1637</f>
        <v>A139n</v>
      </c>
      <c r="E1637" s="367">
        <v>12</v>
      </c>
      <c r="F1637" s="370"/>
      <c r="G1637" s="368"/>
      <c r="H1637" s="368"/>
      <c r="I1637" s="368"/>
      <c r="J1637" s="368"/>
      <c r="K1637" s="370"/>
      <c r="L1637" s="370"/>
      <c r="M1637" s="370"/>
      <c r="N1637" s="372"/>
      <c r="O1637" s="372"/>
      <c r="P1637" s="380"/>
      <c r="Q1637" s="374"/>
      <c r="R1637" s="381"/>
      <c r="S1637" s="361"/>
      <c r="T1637" s="361"/>
      <c r="U1637" s="361"/>
      <c r="V1637" s="366"/>
      <c r="W1637" s="366"/>
    </row>
    <row r="1638" spans="1:23">
      <c r="A1638" s="1410"/>
      <c r="B1638" s="1413"/>
      <c r="C1638" s="845" t="s">
        <v>471</v>
      </c>
      <c r="D1638" s="875" t="str">
        <f>B1625&amp;C1638</f>
        <v>A139x</v>
      </c>
      <c r="E1638" s="367">
        <v>13</v>
      </c>
      <c r="F1638" s="370"/>
      <c r="G1638" s="368"/>
      <c r="H1638" s="368"/>
      <c r="I1638" s="368"/>
      <c r="J1638" s="368"/>
      <c r="K1638" s="370"/>
      <c r="L1638" s="370"/>
      <c r="M1638" s="370"/>
      <c r="N1638" s="382"/>
      <c r="O1638" s="372"/>
      <c r="P1638" s="380"/>
      <c r="Q1638" s="381"/>
      <c r="R1638" s="381"/>
      <c r="S1638" s="361"/>
      <c r="T1638" s="361"/>
      <c r="U1638" s="361"/>
      <c r="V1638" s="366"/>
      <c r="W1638" s="366"/>
    </row>
    <row r="1639" spans="1:23">
      <c r="A1639" s="1410"/>
      <c r="B1639" s="1413"/>
      <c r="C1639" s="845" t="s">
        <v>732</v>
      </c>
      <c r="D1639" s="875" t="str">
        <f>B1625&amp;C1639</f>
        <v>A139y</v>
      </c>
      <c r="E1639" s="367">
        <v>14</v>
      </c>
      <c r="F1639" s="370"/>
      <c r="G1639" s="368"/>
      <c r="H1639" s="368"/>
      <c r="I1639" s="368"/>
      <c r="J1639" s="368"/>
      <c r="K1639" s="370"/>
      <c r="L1639" s="370"/>
      <c r="M1639" s="370"/>
      <c r="N1639" s="382"/>
      <c r="O1639" s="372"/>
      <c r="P1639" s="380"/>
      <c r="Q1639" s="381"/>
      <c r="R1639" s="381"/>
      <c r="S1639" s="361"/>
      <c r="T1639" s="361"/>
      <c r="U1639" s="362"/>
      <c r="V1639" s="366"/>
      <c r="W1639" s="366"/>
    </row>
    <row r="1640" spans="1:23">
      <c r="A1640" s="1411"/>
      <c r="B1640" s="1414"/>
      <c r="C1640" s="846" t="s">
        <v>996</v>
      </c>
      <c r="D1640" s="876" t="str">
        <f>B1625&amp;C1640</f>
        <v>A139z</v>
      </c>
      <c r="E1640" s="847">
        <v>15</v>
      </c>
      <c r="F1640" s="370"/>
      <c r="G1640" s="368"/>
      <c r="H1640" s="368"/>
      <c r="I1640" s="368"/>
      <c r="J1640" s="368"/>
      <c r="K1640" s="370"/>
      <c r="L1640" s="370"/>
      <c r="M1640" s="370"/>
      <c r="N1640" s="850"/>
      <c r="O1640" s="851"/>
      <c r="P1640" s="380"/>
      <c r="Q1640" s="852"/>
      <c r="R1640" s="383"/>
      <c r="S1640" s="361"/>
      <c r="T1640" s="832"/>
      <c r="U1640" s="830"/>
      <c r="V1640" s="366"/>
      <c r="W1640" s="366"/>
    </row>
    <row r="1641" spans="1:23">
      <c r="A1641" s="1400" t="s">
        <v>939</v>
      </c>
      <c r="B1641" s="1400"/>
      <c r="C1641" s="827"/>
      <c r="D1641" s="871"/>
      <c r="E1641" s="1400" t="s">
        <v>177</v>
      </c>
      <c r="F1641" s="1400" t="s">
        <v>18</v>
      </c>
      <c r="G1641" s="1389" t="s">
        <v>19</v>
      </c>
      <c r="H1641" s="1390"/>
      <c r="I1641" s="1389" t="s">
        <v>22</v>
      </c>
      <c r="J1641" s="1390"/>
      <c r="K1641" s="1393" t="s">
        <v>26</v>
      </c>
      <c r="L1641" s="1390"/>
      <c r="M1641" s="1389" t="s">
        <v>392</v>
      </c>
      <c r="N1641" s="1390"/>
      <c r="O1641" s="1389" t="s">
        <v>28</v>
      </c>
      <c r="P1641" s="1393"/>
      <c r="Q1641" s="1390"/>
      <c r="R1641" s="1400" t="s">
        <v>36</v>
      </c>
      <c r="S1641" s="361"/>
      <c r="T1641" s="361">
        <f>MAX(J1645:J1659)-MIN(I1645:I1659)</f>
        <v>7.291666666666663E-2</v>
      </c>
      <c r="U1641" s="361"/>
      <c r="V1641" s="853" t="str">
        <f t="shared" ref="V1641" si="174">B1645</f>
        <v>A49</v>
      </c>
      <c r="W1641" s="361">
        <f t="shared" ref="W1641" si="175">COUNTIF(K1646:K1660,"&gt;0")</f>
        <v>4</v>
      </c>
    </row>
    <row r="1642" spans="1:23">
      <c r="A1642" s="1401"/>
      <c r="B1642" s="1401"/>
      <c r="C1642" s="828"/>
      <c r="D1642" s="872"/>
      <c r="E1642" s="1401"/>
      <c r="F1642" s="1401"/>
      <c r="G1642" s="1391"/>
      <c r="H1642" s="1392"/>
      <c r="I1642" s="1391"/>
      <c r="J1642" s="1392"/>
      <c r="K1642" s="1394"/>
      <c r="L1642" s="1392"/>
      <c r="M1642" s="1391"/>
      <c r="N1642" s="1392"/>
      <c r="O1642" s="1391"/>
      <c r="P1642" s="1394"/>
      <c r="Q1642" s="1392"/>
      <c r="R1642" s="1401"/>
      <c r="S1642" s="361"/>
      <c r="T1642" s="361"/>
      <c r="U1642" s="361"/>
      <c r="V1642" s="361"/>
      <c r="W1642" s="361"/>
    </row>
    <row r="1643" spans="1:23">
      <c r="A1643" s="1401"/>
      <c r="B1643" s="1401"/>
      <c r="C1643" s="828"/>
      <c r="D1643" s="872"/>
      <c r="E1643" s="1401"/>
      <c r="F1643" s="1401"/>
      <c r="G1643" s="1400" t="s">
        <v>20</v>
      </c>
      <c r="H1643" s="1400" t="s">
        <v>21</v>
      </c>
      <c r="I1643" s="1400" t="s">
        <v>361</v>
      </c>
      <c r="J1643" s="1400" t="s">
        <v>353</v>
      </c>
      <c r="K1643" s="1400" t="s">
        <v>23</v>
      </c>
      <c r="L1643" s="1400" t="s">
        <v>24</v>
      </c>
      <c r="M1643" s="1400" t="s">
        <v>27</v>
      </c>
      <c r="N1643" s="1400" t="s">
        <v>178</v>
      </c>
      <c r="O1643" s="1400" t="s">
        <v>1</v>
      </c>
      <c r="P1643" s="1400" t="s">
        <v>29</v>
      </c>
      <c r="Q1643" s="1400" t="s">
        <v>33</v>
      </c>
      <c r="R1643" s="1401"/>
      <c r="S1643" s="361"/>
      <c r="T1643" s="361" t="s">
        <v>39</v>
      </c>
      <c r="U1643" s="362">
        <f>VLOOKUP(B1645,'Thong tin'!$A:$M,13,0)</f>
        <v>1200</v>
      </c>
      <c r="V1643" s="361"/>
      <c r="W1643" s="361"/>
    </row>
    <row r="1644" spans="1:23">
      <c r="A1644" s="1402"/>
      <c r="B1644" s="1402"/>
      <c r="C1644" s="829"/>
      <c r="D1644" s="873"/>
      <c r="E1644" s="1402"/>
      <c r="F1644" s="1402"/>
      <c r="G1644" s="1402"/>
      <c r="H1644" s="1402"/>
      <c r="I1644" s="1402"/>
      <c r="J1644" s="1402"/>
      <c r="K1644" s="1402"/>
      <c r="L1644" s="1402"/>
      <c r="M1644" s="1402"/>
      <c r="N1644" s="1402"/>
      <c r="O1644" s="1402"/>
      <c r="P1644" s="1402"/>
      <c r="Q1644" s="1402"/>
      <c r="R1644" s="1402"/>
      <c r="S1644" s="361"/>
      <c r="T1644" s="1399" t="s">
        <v>393</v>
      </c>
      <c r="U1644" s="1397">
        <f>VLOOKUP(B1645,DT.NK!$B:$AZ,45,0)</f>
        <v>32.17</v>
      </c>
      <c r="V1644" s="361"/>
      <c r="W1644" s="361"/>
    </row>
    <row r="1645" spans="1:23">
      <c r="A1645" s="1409">
        <f>A1625+1</f>
        <v>83</v>
      </c>
      <c r="B1645" s="1412" t="s">
        <v>505</v>
      </c>
      <c r="C1645" s="844" t="s">
        <v>983</v>
      </c>
      <c r="D1645" s="874" t="str">
        <f>B1645&amp;C1645</f>
        <v>A49a</v>
      </c>
      <c r="E1645" s="363"/>
      <c r="F1645" s="364"/>
      <c r="G1645" s="364"/>
      <c r="H1645" s="364"/>
      <c r="I1645" s="364"/>
      <c r="J1645" s="364"/>
      <c r="K1645" s="364"/>
      <c r="L1645" s="364"/>
      <c r="M1645" s="674"/>
      <c r="N1645" s="670"/>
      <c r="O1645" s="670">
        <f>U1644</f>
        <v>32.17</v>
      </c>
      <c r="P1645" s="670">
        <f>O1645</f>
        <v>32.17</v>
      </c>
      <c r="Q1645" s="670">
        <v>0</v>
      </c>
      <c r="R1645" s="365"/>
      <c r="S1645" s="366"/>
      <c r="T1645" s="1399"/>
      <c r="U1645" s="1398"/>
      <c r="V1645" s="361"/>
      <c r="W1645" s="361"/>
    </row>
    <row r="1646" spans="1:23">
      <c r="A1646" s="1410"/>
      <c r="B1646" s="1413"/>
      <c r="C1646" s="845" t="s">
        <v>984</v>
      </c>
      <c r="D1646" s="875" t="str">
        <f>B1645&amp;C1646</f>
        <v>A49b</v>
      </c>
      <c r="E1646" s="367">
        <v>1</v>
      </c>
      <c r="F1646" s="669" t="s">
        <v>1085</v>
      </c>
      <c r="G1646" s="369">
        <v>0.55763888888888891</v>
      </c>
      <c r="H1646" s="368">
        <v>0.58333333333333337</v>
      </c>
      <c r="I1646" s="368">
        <v>0.59375</v>
      </c>
      <c r="J1646" s="368">
        <v>0.60069444444444442</v>
      </c>
      <c r="K1646" s="669">
        <v>10</v>
      </c>
      <c r="L1646" s="669">
        <v>19</v>
      </c>
      <c r="M1646" s="675">
        <v>29.17</v>
      </c>
      <c r="N1646" s="671">
        <f>IF(M1646-P1646&gt;0,M1646-P1646,0)</f>
        <v>4.07</v>
      </c>
      <c r="O1646" s="671">
        <f>O1645-K1646/(PI()*(U1643/2000)^2)</f>
        <v>23.328058717116928</v>
      </c>
      <c r="P1646" s="672">
        <v>25.1</v>
      </c>
      <c r="Q1646" s="673">
        <f>ABS(O1646-P1646)</f>
        <v>1.7719412828830734</v>
      </c>
      <c r="R1646" s="375" t="s">
        <v>188</v>
      </c>
      <c r="S1646" s="366"/>
      <c r="T1646" s="376"/>
      <c r="U1646" s="376"/>
      <c r="V1646" s="366"/>
      <c r="W1646" s="366"/>
    </row>
    <row r="1647" spans="1:23">
      <c r="A1647" s="1410"/>
      <c r="B1647" s="1413"/>
      <c r="C1647" s="845" t="s">
        <v>985</v>
      </c>
      <c r="D1647" s="875" t="str">
        <f>B1645&amp;C1647</f>
        <v>A49c</v>
      </c>
      <c r="E1647" s="367">
        <v>2</v>
      </c>
      <c r="F1647" s="669" t="s">
        <v>1096</v>
      </c>
      <c r="G1647" s="369">
        <v>0.56458333333333333</v>
      </c>
      <c r="H1647" s="368">
        <v>0.58680555555555558</v>
      </c>
      <c r="I1647" s="368">
        <v>0.60763888888888895</v>
      </c>
      <c r="J1647" s="368">
        <v>0.61111111111111105</v>
      </c>
      <c r="K1647" s="669">
        <v>10</v>
      </c>
      <c r="L1647" s="669">
        <v>19.5</v>
      </c>
      <c r="M1647" s="675">
        <v>22.87</v>
      </c>
      <c r="N1647" s="671">
        <f>IF(M1647-P1647&gt;0,M1647-P1647,0)</f>
        <v>3.870000000000001</v>
      </c>
      <c r="O1647" s="671">
        <f>O1646-K1647/(PI()*(U1643/2000)^2)</f>
        <v>14.486117434233854</v>
      </c>
      <c r="P1647" s="672">
        <v>19</v>
      </c>
      <c r="Q1647" s="673">
        <f>ABS(O1647-P1647)</f>
        <v>4.5138825657661457</v>
      </c>
      <c r="R1647" s="375" t="s">
        <v>188</v>
      </c>
      <c r="S1647" s="366"/>
      <c r="T1647" s="376"/>
      <c r="U1647" s="376"/>
      <c r="V1647" s="366"/>
      <c r="W1647" s="366"/>
    </row>
    <row r="1648" spans="1:23">
      <c r="A1648" s="1410"/>
      <c r="B1648" s="1413"/>
      <c r="C1648" s="845" t="s">
        <v>986</v>
      </c>
      <c r="D1648" s="875" t="str">
        <f>B1645&amp;C1648</f>
        <v>A49d</v>
      </c>
      <c r="E1648" s="367">
        <v>3</v>
      </c>
      <c r="F1648" s="669" t="s">
        <v>1089</v>
      </c>
      <c r="G1648" s="368">
        <v>0.57222222222222219</v>
      </c>
      <c r="H1648" s="368">
        <v>0.59444444444444444</v>
      </c>
      <c r="I1648" s="368">
        <v>0.61805555555555558</v>
      </c>
      <c r="J1648" s="368">
        <v>0.625</v>
      </c>
      <c r="K1648" s="370">
        <v>10</v>
      </c>
      <c r="L1648" s="370">
        <v>19</v>
      </c>
      <c r="M1648" s="371">
        <v>16.57</v>
      </c>
      <c r="N1648" s="671">
        <f>IF(M1648-P1648&gt;0,M1648-P1648,0)</f>
        <v>5.27</v>
      </c>
      <c r="O1648" s="671">
        <f>O1647-K1648/(PI()*(U1643/2000)^2)</f>
        <v>5.6441761513507807</v>
      </c>
      <c r="P1648" s="373">
        <v>11.3</v>
      </c>
      <c r="Q1648" s="673">
        <f>ABS(O1648-P1648)</f>
        <v>5.6558238486492201</v>
      </c>
      <c r="R1648" s="375" t="s">
        <v>188</v>
      </c>
      <c r="S1648" s="366"/>
      <c r="T1648" s="376"/>
      <c r="U1648" s="376"/>
      <c r="V1648" s="366"/>
      <c r="W1648" s="366"/>
    </row>
    <row r="1649" spans="1:23">
      <c r="A1649" s="1410"/>
      <c r="B1649" s="1413"/>
      <c r="C1649" s="845" t="s">
        <v>987</v>
      </c>
      <c r="D1649" s="875" t="str">
        <f>B1645&amp;C1649</f>
        <v>A49e</v>
      </c>
      <c r="E1649" s="367">
        <v>4</v>
      </c>
      <c r="F1649" s="669" t="s">
        <v>1007</v>
      </c>
      <c r="G1649" s="368">
        <v>0.65069444444444446</v>
      </c>
      <c r="H1649" s="368">
        <v>0.65833333333333333</v>
      </c>
      <c r="I1649" s="368">
        <v>0.66319444444444442</v>
      </c>
      <c r="J1649" s="368">
        <v>0.66666666666666663</v>
      </c>
      <c r="K1649" s="370">
        <v>7</v>
      </c>
      <c r="L1649" s="370">
        <v>19</v>
      </c>
      <c r="M1649" s="371">
        <v>10.27</v>
      </c>
      <c r="N1649" s="671">
        <f>IF(M1649-P1649&gt;0,M1649-P1649,0)</f>
        <v>3.5699999999999994</v>
      </c>
      <c r="O1649" s="671">
        <f>O1648-K1649/(PI()*(U1643/2000)^2)</f>
        <v>-0.5451827466673711</v>
      </c>
      <c r="P1649" s="373">
        <v>6.7</v>
      </c>
      <c r="Q1649" s="673">
        <f>ABS(O1649-P1649)</f>
        <v>7.2451827466673713</v>
      </c>
      <c r="R1649" s="375"/>
      <c r="S1649" s="366"/>
      <c r="T1649" s="376"/>
      <c r="U1649" s="376"/>
      <c r="V1649" s="366"/>
      <c r="W1649" s="366"/>
    </row>
    <row r="1650" spans="1:23">
      <c r="A1650" s="1410"/>
      <c r="B1650" s="1413"/>
      <c r="C1650" s="845" t="s">
        <v>988</v>
      </c>
      <c r="D1650" s="875" t="str">
        <f>B1645&amp;C1650</f>
        <v>A49f</v>
      </c>
      <c r="E1650" s="367">
        <v>5</v>
      </c>
      <c r="F1650" s="669"/>
      <c r="G1650" s="368"/>
      <c r="H1650" s="368"/>
      <c r="I1650" s="368"/>
      <c r="J1650" s="368"/>
      <c r="K1650" s="370"/>
      <c r="L1650" s="370"/>
      <c r="M1650" s="371"/>
      <c r="N1650" s="671"/>
      <c r="O1650" s="671"/>
      <c r="P1650" s="373"/>
      <c r="Q1650" s="673"/>
      <c r="R1650" s="377"/>
      <c r="S1650" s="366" t="s">
        <v>190</v>
      </c>
      <c r="T1650" s="376"/>
      <c r="U1650" s="376"/>
      <c r="V1650" s="366"/>
      <c r="W1650" s="366"/>
    </row>
    <row r="1651" spans="1:23">
      <c r="A1651" s="1410"/>
      <c r="B1651" s="1413"/>
      <c r="C1651" s="845" t="s">
        <v>989</v>
      </c>
      <c r="D1651" s="875" t="str">
        <f>B1645&amp;C1651</f>
        <v>A49g</v>
      </c>
      <c r="E1651" s="367">
        <v>6</v>
      </c>
      <c r="F1651" s="669"/>
      <c r="G1651" s="368"/>
      <c r="H1651" s="368"/>
      <c r="I1651" s="368"/>
      <c r="J1651" s="368"/>
      <c r="K1651" s="370"/>
      <c r="L1651" s="370"/>
      <c r="M1651" s="371"/>
      <c r="N1651" s="671"/>
      <c r="O1651" s="671"/>
      <c r="P1651" s="373"/>
      <c r="Q1651" s="673"/>
      <c r="R1651" s="375"/>
      <c r="S1651" s="366" t="s">
        <v>190</v>
      </c>
      <c r="T1651" s="366"/>
      <c r="U1651" s="366"/>
      <c r="V1651" s="366"/>
      <c r="W1651" s="366"/>
    </row>
    <row r="1652" spans="1:23">
      <c r="A1652" s="1410"/>
      <c r="B1652" s="1413"/>
      <c r="C1652" s="845" t="s">
        <v>990</v>
      </c>
      <c r="D1652" s="875" t="str">
        <f>B1645&amp;C1652</f>
        <v>A49h</v>
      </c>
      <c r="E1652" s="367">
        <v>7</v>
      </c>
      <c r="F1652" s="669"/>
      <c r="G1652" s="368"/>
      <c r="H1652" s="368"/>
      <c r="I1652" s="368"/>
      <c r="J1652" s="368"/>
      <c r="K1652" s="370"/>
      <c r="L1652" s="370"/>
      <c r="M1652" s="371"/>
      <c r="N1652" s="671"/>
      <c r="O1652" s="671"/>
      <c r="P1652" s="373"/>
      <c r="Q1652" s="673"/>
      <c r="R1652" s="377"/>
      <c r="S1652" s="366" t="s">
        <v>190</v>
      </c>
      <c r="T1652" s="366"/>
      <c r="U1652" s="366"/>
      <c r="V1652" s="366"/>
      <c r="W1652" s="366"/>
    </row>
    <row r="1653" spans="1:23">
      <c r="A1653" s="1410"/>
      <c r="B1653" s="1413"/>
      <c r="C1653" s="845" t="s">
        <v>991</v>
      </c>
      <c r="D1653" s="875" t="str">
        <f>B1645&amp;C1653</f>
        <v>A49i</v>
      </c>
      <c r="E1653" s="367">
        <v>8</v>
      </c>
      <c r="F1653" s="669"/>
      <c r="G1653" s="368"/>
      <c r="H1653" s="368"/>
      <c r="I1653" s="368"/>
      <c r="J1653" s="368"/>
      <c r="K1653" s="370"/>
      <c r="L1653" s="370"/>
      <c r="M1653" s="371"/>
      <c r="N1653" s="671"/>
      <c r="O1653" s="671"/>
      <c r="P1653" s="373"/>
      <c r="Q1653" s="673"/>
      <c r="R1653" s="378"/>
      <c r="S1653" s="366"/>
      <c r="T1653" s="366"/>
      <c r="U1653" s="366"/>
      <c r="V1653" s="366"/>
      <c r="W1653" s="366"/>
    </row>
    <row r="1654" spans="1:23">
      <c r="A1654" s="1410"/>
      <c r="B1654" s="1413"/>
      <c r="C1654" s="845" t="s">
        <v>992</v>
      </c>
      <c r="D1654" s="875" t="str">
        <f>B1645&amp;C1654</f>
        <v>A49k</v>
      </c>
      <c r="E1654" s="367">
        <v>9</v>
      </c>
      <c r="F1654" s="370"/>
      <c r="G1654" s="368"/>
      <c r="H1654" s="368"/>
      <c r="I1654" s="368"/>
      <c r="J1654" s="368"/>
      <c r="K1654" s="370"/>
      <c r="L1654" s="370"/>
      <c r="M1654" s="371"/>
      <c r="N1654" s="372"/>
      <c r="O1654" s="372"/>
      <c r="P1654" s="373"/>
      <c r="Q1654" s="374"/>
      <c r="R1654" s="378"/>
      <c r="S1654" s="379"/>
      <c r="T1654" s="366"/>
      <c r="U1654" s="366"/>
      <c r="V1654" s="366"/>
      <c r="W1654" s="366"/>
    </row>
    <row r="1655" spans="1:23">
      <c r="A1655" s="1410"/>
      <c r="B1655" s="1413"/>
      <c r="C1655" s="845" t="s">
        <v>993</v>
      </c>
      <c r="D1655" s="875" t="str">
        <f>B1645&amp;C1655</f>
        <v>A49l</v>
      </c>
      <c r="E1655" s="367">
        <v>10</v>
      </c>
      <c r="F1655" s="370"/>
      <c r="G1655" s="368"/>
      <c r="H1655" s="368"/>
      <c r="I1655" s="368"/>
      <c r="J1655" s="368"/>
      <c r="K1655" s="370"/>
      <c r="L1655" s="370"/>
      <c r="M1655" s="370"/>
      <c r="N1655" s="372"/>
      <c r="O1655" s="372"/>
      <c r="P1655" s="373"/>
      <c r="Q1655" s="374"/>
      <c r="R1655" s="378"/>
      <c r="S1655" s="379"/>
      <c r="T1655" s="366"/>
      <c r="U1655" s="366"/>
      <c r="V1655" s="366"/>
      <c r="W1655" s="366"/>
    </row>
    <row r="1656" spans="1:23">
      <c r="A1656" s="1410"/>
      <c r="B1656" s="1413"/>
      <c r="C1656" s="845" t="s">
        <v>994</v>
      </c>
      <c r="D1656" s="875" t="str">
        <f>B1645&amp;C1656</f>
        <v>A49m</v>
      </c>
      <c r="E1656" s="367">
        <v>11</v>
      </c>
      <c r="F1656" s="370"/>
      <c r="G1656" s="368"/>
      <c r="H1656" s="368"/>
      <c r="I1656" s="368"/>
      <c r="J1656" s="368"/>
      <c r="K1656" s="370"/>
      <c r="L1656" s="370"/>
      <c r="M1656" s="370"/>
      <c r="N1656" s="372"/>
      <c r="O1656" s="372"/>
      <c r="P1656" s="380"/>
      <c r="Q1656" s="374"/>
      <c r="R1656" s="381"/>
      <c r="S1656" s="379"/>
      <c r="T1656" s="366"/>
      <c r="U1656" s="366"/>
      <c r="V1656" s="366"/>
      <c r="W1656" s="366"/>
    </row>
    <row r="1657" spans="1:23">
      <c r="A1657" s="1410"/>
      <c r="B1657" s="1413"/>
      <c r="C1657" s="845" t="s">
        <v>995</v>
      </c>
      <c r="D1657" s="875" t="str">
        <f>B1645&amp;C1657</f>
        <v>A49n</v>
      </c>
      <c r="E1657" s="367">
        <v>12</v>
      </c>
      <c r="F1657" s="370"/>
      <c r="G1657" s="368"/>
      <c r="H1657" s="368"/>
      <c r="I1657" s="368"/>
      <c r="J1657" s="368"/>
      <c r="K1657" s="370"/>
      <c r="L1657" s="370"/>
      <c r="M1657" s="370"/>
      <c r="N1657" s="372"/>
      <c r="O1657" s="372"/>
      <c r="P1657" s="380"/>
      <c r="Q1657" s="374"/>
      <c r="R1657" s="381"/>
      <c r="S1657" s="361"/>
      <c r="T1657" s="361"/>
      <c r="U1657" s="361"/>
      <c r="V1657" s="366"/>
      <c r="W1657" s="366"/>
    </row>
    <row r="1658" spans="1:23">
      <c r="A1658" s="1410"/>
      <c r="B1658" s="1413"/>
      <c r="C1658" s="845" t="s">
        <v>471</v>
      </c>
      <c r="D1658" s="875" t="str">
        <f>B1645&amp;C1658</f>
        <v>A49x</v>
      </c>
      <c r="E1658" s="367">
        <v>13</v>
      </c>
      <c r="F1658" s="370"/>
      <c r="G1658" s="368"/>
      <c r="H1658" s="368"/>
      <c r="I1658" s="368"/>
      <c r="J1658" s="368"/>
      <c r="K1658" s="370"/>
      <c r="L1658" s="370"/>
      <c r="M1658" s="370"/>
      <c r="N1658" s="382"/>
      <c r="O1658" s="372"/>
      <c r="P1658" s="380"/>
      <c r="Q1658" s="381"/>
      <c r="R1658" s="381"/>
      <c r="S1658" s="361"/>
      <c r="T1658" s="361"/>
      <c r="U1658" s="361"/>
      <c r="V1658" s="366"/>
      <c r="W1658" s="366"/>
    </row>
    <row r="1659" spans="1:23">
      <c r="A1659" s="1410"/>
      <c r="B1659" s="1413"/>
      <c r="C1659" s="845" t="s">
        <v>732</v>
      </c>
      <c r="D1659" s="875" t="str">
        <f>B1645&amp;C1659</f>
        <v>A49y</v>
      </c>
      <c r="E1659" s="367">
        <v>14</v>
      </c>
      <c r="F1659" s="370"/>
      <c r="G1659" s="368"/>
      <c r="H1659" s="368"/>
      <c r="I1659" s="368"/>
      <c r="J1659" s="368"/>
      <c r="K1659" s="370"/>
      <c r="L1659" s="370"/>
      <c r="M1659" s="370"/>
      <c r="N1659" s="382"/>
      <c r="O1659" s="372"/>
      <c r="P1659" s="380"/>
      <c r="Q1659" s="381"/>
      <c r="R1659" s="381"/>
      <c r="S1659" s="361"/>
      <c r="T1659" s="361"/>
      <c r="U1659" s="362"/>
      <c r="V1659" s="366"/>
      <c r="W1659" s="366"/>
    </row>
    <row r="1660" spans="1:23">
      <c r="A1660" s="1411"/>
      <c r="B1660" s="1414"/>
      <c r="C1660" s="846" t="s">
        <v>996</v>
      </c>
      <c r="D1660" s="876" t="str">
        <f>B1645&amp;C1660</f>
        <v>A49z</v>
      </c>
      <c r="E1660" s="847">
        <v>15</v>
      </c>
      <c r="F1660" s="370"/>
      <c r="G1660" s="368"/>
      <c r="H1660" s="368"/>
      <c r="I1660" s="368"/>
      <c r="J1660" s="368"/>
      <c r="K1660" s="370"/>
      <c r="L1660" s="370"/>
      <c r="M1660" s="370"/>
      <c r="N1660" s="850"/>
      <c r="O1660" s="851"/>
      <c r="P1660" s="380"/>
      <c r="Q1660" s="852"/>
      <c r="R1660" s="383"/>
      <c r="S1660" s="361"/>
      <c r="T1660" s="832"/>
      <c r="U1660" s="830"/>
      <c r="V1660" s="366"/>
      <c r="W1660" s="366"/>
    </row>
    <row r="1661" spans="1:23">
      <c r="A1661" s="1400" t="s">
        <v>939</v>
      </c>
      <c r="B1661" s="1400"/>
      <c r="C1661" s="827"/>
      <c r="D1661" s="871"/>
      <c r="E1661" s="1400" t="s">
        <v>177</v>
      </c>
      <c r="F1661" s="1400" t="s">
        <v>18</v>
      </c>
      <c r="G1661" s="1389" t="s">
        <v>19</v>
      </c>
      <c r="H1661" s="1390"/>
      <c r="I1661" s="1389" t="s">
        <v>22</v>
      </c>
      <c r="J1661" s="1390"/>
      <c r="K1661" s="1393" t="s">
        <v>26</v>
      </c>
      <c r="L1661" s="1390"/>
      <c r="M1661" s="1389" t="s">
        <v>392</v>
      </c>
      <c r="N1661" s="1390"/>
      <c r="O1661" s="1389" t="s">
        <v>28</v>
      </c>
      <c r="P1661" s="1393"/>
      <c r="Q1661" s="1390"/>
      <c r="R1661" s="1400" t="s">
        <v>36</v>
      </c>
      <c r="S1661" s="361"/>
      <c r="T1661" s="361">
        <f>MAX(J1665:J1679)-MIN(I1665:I1679)</f>
        <v>9.0277777777777679E-2</v>
      </c>
      <c r="U1661" s="361"/>
      <c r="V1661" s="853" t="str">
        <f t="shared" ref="V1661" si="176">B1665</f>
        <v>B26</v>
      </c>
      <c r="W1661" s="361">
        <f t="shared" ref="W1661" si="177">COUNTIF(K1666:K1680,"&gt;0")</f>
        <v>4</v>
      </c>
    </row>
    <row r="1662" spans="1:23">
      <c r="A1662" s="1401"/>
      <c r="B1662" s="1401"/>
      <c r="C1662" s="828"/>
      <c r="D1662" s="872"/>
      <c r="E1662" s="1401"/>
      <c r="F1662" s="1401"/>
      <c r="G1662" s="1391"/>
      <c r="H1662" s="1392"/>
      <c r="I1662" s="1391"/>
      <c r="J1662" s="1392"/>
      <c r="K1662" s="1394"/>
      <c r="L1662" s="1392"/>
      <c r="M1662" s="1391"/>
      <c r="N1662" s="1392"/>
      <c r="O1662" s="1391"/>
      <c r="P1662" s="1394"/>
      <c r="Q1662" s="1392"/>
      <c r="R1662" s="1401"/>
      <c r="S1662" s="361"/>
      <c r="T1662" s="361"/>
      <c r="U1662" s="361"/>
      <c r="V1662" s="361"/>
      <c r="W1662" s="361"/>
    </row>
    <row r="1663" spans="1:23">
      <c r="A1663" s="1401"/>
      <c r="B1663" s="1401"/>
      <c r="C1663" s="828"/>
      <c r="D1663" s="872"/>
      <c r="E1663" s="1401"/>
      <c r="F1663" s="1401"/>
      <c r="G1663" s="1400" t="s">
        <v>20</v>
      </c>
      <c r="H1663" s="1400" t="s">
        <v>21</v>
      </c>
      <c r="I1663" s="1400" t="s">
        <v>361</v>
      </c>
      <c r="J1663" s="1400" t="s">
        <v>353</v>
      </c>
      <c r="K1663" s="1400" t="s">
        <v>23</v>
      </c>
      <c r="L1663" s="1400" t="s">
        <v>24</v>
      </c>
      <c r="M1663" s="1400" t="s">
        <v>27</v>
      </c>
      <c r="N1663" s="1400" t="s">
        <v>178</v>
      </c>
      <c r="O1663" s="1400" t="s">
        <v>1</v>
      </c>
      <c r="P1663" s="1400" t="s">
        <v>29</v>
      </c>
      <c r="Q1663" s="1400" t="s">
        <v>33</v>
      </c>
      <c r="R1663" s="1401"/>
      <c r="S1663" s="361"/>
      <c r="T1663" s="361" t="s">
        <v>39</v>
      </c>
      <c r="U1663" s="362">
        <f>VLOOKUP(B1665,'Thong tin'!$A:$M,13,0)</f>
        <v>800</v>
      </c>
      <c r="V1663" s="361"/>
      <c r="W1663" s="361"/>
    </row>
    <row r="1664" spans="1:23">
      <c r="A1664" s="1402"/>
      <c r="B1664" s="1402"/>
      <c r="C1664" s="829"/>
      <c r="D1664" s="873"/>
      <c r="E1664" s="1402"/>
      <c r="F1664" s="1402"/>
      <c r="G1664" s="1402"/>
      <c r="H1664" s="1402"/>
      <c r="I1664" s="1402"/>
      <c r="J1664" s="1402"/>
      <c r="K1664" s="1402"/>
      <c r="L1664" s="1402"/>
      <c r="M1664" s="1402"/>
      <c r="N1664" s="1402"/>
      <c r="O1664" s="1402"/>
      <c r="P1664" s="1402"/>
      <c r="Q1664" s="1402"/>
      <c r="R1664" s="1402"/>
      <c r="S1664" s="361"/>
      <c r="T1664" s="1399" t="s">
        <v>393</v>
      </c>
      <c r="U1664" s="1397">
        <f>VLOOKUP(B1665,DT.NK!$B:$AZ,45,0)</f>
        <v>31.32</v>
      </c>
      <c r="V1664" s="361"/>
      <c r="W1664" s="361"/>
    </row>
    <row r="1665" spans="1:23">
      <c r="A1665" s="1409">
        <f>A1645+1</f>
        <v>84</v>
      </c>
      <c r="B1665" s="1412" t="s">
        <v>537</v>
      </c>
      <c r="C1665" s="844" t="s">
        <v>983</v>
      </c>
      <c r="D1665" s="874" t="str">
        <f>B1665&amp;C1665</f>
        <v>B26a</v>
      </c>
      <c r="E1665" s="363"/>
      <c r="F1665" s="364"/>
      <c r="G1665" s="364"/>
      <c r="H1665" s="364"/>
      <c r="I1665" s="364"/>
      <c r="J1665" s="364"/>
      <c r="K1665" s="364"/>
      <c r="L1665" s="364"/>
      <c r="M1665" s="674"/>
      <c r="N1665" s="670"/>
      <c r="O1665" s="670">
        <f>U1664</f>
        <v>31.32</v>
      </c>
      <c r="P1665" s="670">
        <f>O1665</f>
        <v>31.32</v>
      </c>
      <c r="Q1665" s="670">
        <v>0</v>
      </c>
      <c r="R1665" s="365"/>
      <c r="S1665" s="366"/>
      <c r="T1665" s="1399"/>
      <c r="U1665" s="1398"/>
      <c r="V1665" s="361"/>
      <c r="W1665" s="361"/>
    </row>
    <row r="1666" spans="1:23">
      <c r="A1666" s="1410"/>
      <c r="B1666" s="1413"/>
      <c r="C1666" s="845" t="s">
        <v>984</v>
      </c>
      <c r="D1666" s="875" t="str">
        <f>B1665&amp;C1666</f>
        <v>B26b</v>
      </c>
      <c r="E1666" s="367">
        <v>1</v>
      </c>
      <c r="F1666" s="669" t="s">
        <v>1085</v>
      </c>
      <c r="G1666" s="369">
        <v>0.79027777777777775</v>
      </c>
      <c r="H1666" s="368">
        <v>0.8652777777777777</v>
      </c>
      <c r="I1666" s="368">
        <v>0.88194444444444453</v>
      </c>
      <c r="J1666" s="368">
        <v>0.8930555555555556</v>
      </c>
      <c r="K1666" s="669">
        <v>7.5</v>
      </c>
      <c r="L1666" s="669">
        <v>19</v>
      </c>
      <c r="M1666" s="675">
        <v>25.02</v>
      </c>
      <c r="N1666" s="671">
        <f>IF(M1666-P1666&gt;0,M1666-P1666,0)</f>
        <v>3.7199999999999989</v>
      </c>
      <c r="O1666" s="671">
        <f>O1665-K1666/(PI()*(U1663/2000)^2)</f>
        <v>16.399224085134811</v>
      </c>
      <c r="P1666" s="672">
        <v>21.3</v>
      </c>
      <c r="Q1666" s="673">
        <f>ABS(O1666-P1666)</f>
        <v>4.9007759148651893</v>
      </c>
      <c r="R1666" s="375" t="s">
        <v>188</v>
      </c>
      <c r="S1666" s="366"/>
      <c r="T1666" s="376"/>
      <c r="U1666" s="376"/>
      <c r="V1666" s="366"/>
      <c r="W1666" s="366"/>
    </row>
    <row r="1667" spans="1:23">
      <c r="A1667" s="1410"/>
      <c r="B1667" s="1413"/>
      <c r="C1667" s="845" t="s">
        <v>985</v>
      </c>
      <c r="D1667" s="875" t="str">
        <f>B1665&amp;C1667</f>
        <v>B26c</v>
      </c>
      <c r="E1667" s="367">
        <v>2</v>
      </c>
      <c r="F1667" s="669" t="s">
        <v>1096</v>
      </c>
      <c r="G1667" s="369">
        <v>0.84097222222222223</v>
      </c>
      <c r="H1667" s="368">
        <v>0.87361111111111101</v>
      </c>
      <c r="I1667" s="368">
        <v>0.89583333333333337</v>
      </c>
      <c r="J1667" s="368">
        <v>0.89583333333333337</v>
      </c>
      <c r="K1667" s="669">
        <v>7.5</v>
      </c>
      <c r="L1667" s="669">
        <v>19</v>
      </c>
      <c r="M1667" s="675">
        <v>22.05</v>
      </c>
      <c r="N1667" s="671">
        <f>IF(M1667-P1667&gt;0,M1667-P1667,0)</f>
        <v>2.9499999999999993</v>
      </c>
      <c r="O1667" s="671">
        <f>O1666-K1667/(PI()*(U1663/2000)^2)</f>
        <v>1.4784481702696244</v>
      </c>
      <c r="P1667" s="672">
        <v>19.100000000000001</v>
      </c>
      <c r="Q1667" s="673">
        <f>ABS(O1667-P1667)</f>
        <v>17.621551829730379</v>
      </c>
      <c r="R1667" s="375" t="s">
        <v>188</v>
      </c>
      <c r="S1667" s="366"/>
      <c r="T1667" s="376"/>
      <c r="U1667" s="376"/>
      <c r="V1667" s="366"/>
      <c r="W1667" s="366"/>
    </row>
    <row r="1668" spans="1:23">
      <c r="A1668" s="1410"/>
      <c r="B1668" s="1413"/>
      <c r="C1668" s="845" t="s">
        <v>986</v>
      </c>
      <c r="D1668" s="875" t="str">
        <f>B1665&amp;C1668</f>
        <v>B26d</v>
      </c>
      <c r="E1668" s="367">
        <v>3</v>
      </c>
      <c r="F1668" s="669" t="s">
        <v>1007</v>
      </c>
      <c r="G1668" s="368">
        <v>0.91875000000000007</v>
      </c>
      <c r="H1668" s="368">
        <v>0.94097222222222221</v>
      </c>
      <c r="I1668" s="368">
        <v>0.94652777777777775</v>
      </c>
      <c r="J1668" s="368">
        <v>0.94652777777777775</v>
      </c>
      <c r="K1668" s="370">
        <v>2</v>
      </c>
      <c r="L1668" s="370">
        <v>19</v>
      </c>
      <c r="M1668" s="371">
        <v>12.59</v>
      </c>
      <c r="N1668" s="671">
        <f>IF(M1668-P1668&gt;0,M1668-P1668,0)</f>
        <v>4.99</v>
      </c>
      <c r="O1668" s="671">
        <f>O1667-K1668/(PI()*(U1663/2000)^2)</f>
        <v>-2.500425407027759</v>
      </c>
      <c r="P1668" s="373">
        <v>7.6</v>
      </c>
      <c r="Q1668" s="673">
        <f>ABS(O1668-P1668)</f>
        <v>10.100425407027759</v>
      </c>
      <c r="R1668" s="375"/>
      <c r="S1668" s="366"/>
      <c r="T1668" s="376"/>
      <c r="U1668" s="376"/>
      <c r="V1668" s="366"/>
      <c r="W1668" s="366"/>
    </row>
    <row r="1669" spans="1:23">
      <c r="A1669" s="1410"/>
      <c r="B1669" s="1413"/>
      <c r="C1669" s="845" t="s">
        <v>987</v>
      </c>
      <c r="D1669" s="875" t="str">
        <f>B1665&amp;C1669</f>
        <v>B26e</v>
      </c>
      <c r="E1669" s="367">
        <v>4</v>
      </c>
      <c r="F1669" s="669" t="s">
        <v>1096</v>
      </c>
      <c r="G1669" s="368">
        <v>0.95138888888888884</v>
      </c>
      <c r="H1669" s="368">
        <v>0.96875</v>
      </c>
      <c r="I1669" s="368">
        <v>0.97222222222222221</v>
      </c>
      <c r="J1669" s="368">
        <v>0.97222222222222221</v>
      </c>
      <c r="K1669" s="370">
        <v>2</v>
      </c>
      <c r="L1669" s="370">
        <v>19</v>
      </c>
      <c r="M1669" s="371">
        <v>12.59</v>
      </c>
      <c r="N1669" s="671">
        <f>IF(M1669-P1669&gt;0,M1669-P1669,0)</f>
        <v>7.29</v>
      </c>
      <c r="O1669" s="671">
        <f>O1668-K1669/(PI()*(U1663/2000)^2)</f>
        <v>-6.4792989843251423</v>
      </c>
      <c r="P1669" s="373">
        <v>5.3</v>
      </c>
      <c r="Q1669" s="673">
        <f>ABS(O1669-P1669)</f>
        <v>11.779298984325141</v>
      </c>
      <c r="R1669" s="375"/>
      <c r="S1669" s="366"/>
      <c r="T1669" s="376"/>
      <c r="U1669" s="376"/>
      <c r="V1669" s="366"/>
      <c r="W1669" s="366"/>
    </row>
    <row r="1670" spans="1:23">
      <c r="A1670" s="1410"/>
      <c r="B1670" s="1413"/>
      <c r="C1670" s="845" t="s">
        <v>988</v>
      </c>
      <c r="D1670" s="875" t="str">
        <f>B1665&amp;C1670</f>
        <v>B26f</v>
      </c>
      <c r="E1670" s="367">
        <v>5</v>
      </c>
      <c r="F1670" s="669"/>
      <c r="G1670" s="368"/>
      <c r="H1670" s="368"/>
      <c r="I1670" s="368"/>
      <c r="J1670" s="368"/>
      <c r="K1670" s="370"/>
      <c r="L1670" s="370"/>
      <c r="M1670" s="371"/>
      <c r="N1670" s="671"/>
      <c r="O1670" s="671"/>
      <c r="P1670" s="373"/>
      <c r="Q1670" s="673"/>
      <c r="R1670" s="377"/>
      <c r="S1670" s="366" t="s">
        <v>190</v>
      </c>
      <c r="T1670" s="376"/>
      <c r="U1670" s="376"/>
      <c r="V1670" s="366"/>
      <c r="W1670" s="366"/>
    </row>
    <row r="1671" spans="1:23">
      <c r="A1671" s="1410"/>
      <c r="B1671" s="1413"/>
      <c r="C1671" s="845" t="s">
        <v>989</v>
      </c>
      <c r="D1671" s="875" t="str">
        <f>B1665&amp;C1671</f>
        <v>B26g</v>
      </c>
      <c r="E1671" s="367">
        <v>6</v>
      </c>
      <c r="F1671" s="669"/>
      <c r="G1671" s="368"/>
      <c r="H1671" s="368"/>
      <c r="I1671" s="368"/>
      <c r="J1671" s="368"/>
      <c r="K1671" s="370"/>
      <c r="L1671" s="370"/>
      <c r="M1671" s="371"/>
      <c r="N1671" s="671"/>
      <c r="O1671" s="671"/>
      <c r="P1671" s="373"/>
      <c r="Q1671" s="673"/>
      <c r="R1671" s="375"/>
      <c r="S1671" s="366" t="s">
        <v>190</v>
      </c>
      <c r="T1671" s="366"/>
      <c r="U1671" s="366"/>
      <c r="V1671" s="366"/>
      <c r="W1671" s="366"/>
    </row>
    <row r="1672" spans="1:23">
      <c r="A1672" s="1410"/>
      <c r="B1672" s="1413"/>
      <c r="C1672" s="845" t="s">
        <v>990</v>
      </c>
      <c r="D1672" s="875" t="str">
        <f>B1665&amp;C1672</f>
        <v>B26h</v>
      </c>
      <c r="E1672" s="367">
        <v>7</v>
      </c>
      <c r="F1672" s="669"/>
      <c r="G1672" s="368"/>
      <c r="H1672" s="368"/>
      <c r="I1672" s="368"/>
      <c r="J1672" s="368"/>
      <c r="K1672" s="370"/>
      <c r="L1672" s="370"/>
      <c r="M1672" s="371"/>
      <c r="N1672" s="671"/>
      <c r="O1672" s="671"/>
      <c r="P1672" s="373"/>
      <c r="Q1672" s="673"/>
      <c r="R1672" s="377"/>
      <c r="S1672" s="366" t="s">
        <v>190</v>
      </c>
      <c r="T1672" s="366"/>
      <c r="U1672" s="366"/>
      <c r="V1672" s="366"/>
      <c r="W1672" s="366"/>
    </row>
    <row r="1673" spans="1:23">
      <c r="A1673" s="1410"/>
      <c r="B1673" s="1413"/>
      <c r="C1673" s="845" t="s">
        <v>991</v>
      </c>
      <c r="D1673" s="875" t="str">
        <f>B1665&amp;C1673</f>
        <v>B26i</v>
      </c>
      <c r="E1673" s="367">
        <v>8</v>
      </c>
      <c r="F1673" s="669"/>
      <c r="G1673" s="368"/>
      <c r="H1673" s="368"/>
      <c r="I1673" s="368"/>
      <c r="J1673" s="368"/>
      <c r="K1673" s="370"/>
      <c r="L1673" s="370"/>
      <c r="M1673" s="371"/>
      <c r="N1673" s="671"/>
      <c r="O1673" s="671"/>
      <c r="P1673" s="373"/>
      <c r="Q1673" s="673"/>
      <c r="R1673" s="378"/>
      <c r="S1673" s="366"/>
      <c r="T1673" s="366"/>
      <c r="U1673" s="366"/>
      <c r="V1673" s="366"/>
      <c r="W1673" s="366"/>
    </row>
    <row r="1674" spans="1:23">
      <c r="A1674" s="1410"/>
      <c r="B1674" s="1413"/>
      <c r="C1674" s="845" t="s">
        <v>992</v>
      </c>
      <c r="D1674" s="875" t="str">
        <f>B1665&amp;C1674</f>
        <v>B26k</v>
      </c>
      <c r="E1674" s="367">
        <v>9</v>
      </c>
      <c r="F1674" s="370"/>
      <c r="G1674" s="368"/>
      <c r="H1674" s="368"/>
      <c r="I1674" s="368"/>
      <c r="J1674" s="368"/>
      <c r="K1674" s="370"/>
      <c r="L1674" s="370"/>
      <c r="M1674" s="371"/>
      <c r="N1674" s="372"/>
      <c r="O1674" s="372"/>
      <c r="P1674" s="373"/>
      <c r="Q1674" s="374"/>
      <c r="R1674" s="378"/>
      <c r="S1674" s="379"/>
      <c r="T1674" s="366"/>
      <c r="U1674" s="366"/>
      <c r="V1674" s="366"/>
      <c r="W1674" s="366"/>
    </row>
    <row r="1675" spans="1:23">
      <c r="A1675" s="1410"/>
      <c r="B1675" s="1413"/>
      <c r="C1675" s="845" t="s">
        <v>993</v>
      </c>
      <c r="D1675" s="875" t="str">
        <f>B1665&amp;C1675</f>
        <v>B26l</v>
      </c>
      <c r="E1675" s="367">
        <v>10</v>
      </c>
      <c r="F1675" s="370"/>
      <c r="G1675" s="368"/>
      <c r="H1675" s="368"/>
      <c r="I1675" s="368"/>
      <c r="J1675" s="368"/>
      <c r="K1675" s="370"/>
      <c r="L1675" s="370"/>
      <c r="M1675" s="370"/>
      <c r="N1675" s="372"/>
      <c r="O1675" s="372"/>
      <c r="P1675" s="373"/>
      <c r="Q1675" s="374"/>
      <c r="R1675" s="378"/>
      <c r="S1675" s="379"/>
      <c r="T1675" s="366"/>
      <c r="U1675" s="366"/>
      <c r="V1675" s="366"/>
      <c r="W1675" s="366"/>
    </row>
    <row r="1676" spans="1:23">
      <c r="A1676" s="1410"/>
      <c r="B1676" s="1413"/>
      <c r="C1676" s="845" t="s">
        <v>994</v>
      </c>
      <c r="D1676" s="875" t="str">
        <f>B1665&amp;C1676</f>
        <v>B26m</v>
      </c>
      <c r="E1676" s="367">
        <v>11</v>
      </c>
      <c r="F1676" s="370"/>
      <c r="G1676" s="368"/>
      <c r="H1676" s="368"/>
      <c r="I1676" s="368"/>
      <c r="J1676" s="368"/>
      <c r="K1676" s="370"/>
      <c r="L1676" s="370"/>
      <c r="M1676" s="370"/>
      <c r="N1676" s="372"/>
      <c r="O1676" s="372"/>
      <c r="P1676" s="380"/>
      <c r="Q1676" s="374"/>
      <c r="R1676" s="381"/>
      <c r="S1676" s="379"/>
      <c r="T1676" s="366"/>
      <c r="U1676" s="366"/>
      <c r="V1676" s="366"/>
      <c r="W1676" s="366"/>
    </row>
    <row r="1677" spans="1:23">
      <c r="A1677" s="1410"/>
      <c r="B1677" s="1413"/>
      <c r="C1677" s="845" t="s">
        <v>995</v>
      </c>
      <c r="D1677" s="875" t="str">
        <f>B1665&amp;C1677</f>
        <v>B26n</v>
      </c>
      <c r="E1677" s="367">
        <v>12</v>
      </c>
      <c r="F1677" s="370"/>
      <c r="G1677" s="368"/>
      <c r="H1677" s="368"/>
      <c r="I1677" s="368"/>
      <c r="J1677" s="368"/>
      <c r="K1677" s="370"/>
      <c r="L1677" s="370"/>
      <c r="M1677" s="370"/>
      <c r="N1677" s="372"/>
      <c r="O1677" s="372"/>
      <c r="P1677" s="380"/>
      <c r="Q1677" s="374"/>
      <c r="R1677" s="381"/>
      <c r="S1677" s="361"/>
      <c r="T1677" s="361"/>
      <c r="U1677" s="361"/>
      <c r="V1677" s="366"/>
      <c r="W1677" s="366"/>
    </row>
    <row r="1678" spans="1:23">
      <c r="A1678" s="1410"/>
      <c r="B1678" s="1413"/>
      <c r="C1678" s="845" t="s">
        <v>471</v>
      </c>
      <c r="D1678" s="875" t="str">
        <f>B1665&amp;C1678</f>
        <v>B26x</v>
      </c>
      <c r="E1678" s="367">
        <v>13</v>
      </c>
      <c r="F1678" s="370"/>
      <c r="G1678" s="368"/>
      <c r="H1678" s="368"/>
      <c r="I1678" s="368"/>
      <c r="J1678" s="368"/>
      <c r="K1678" s="370"/>
      <c r="L1678" s="370"/>
      <c r="M1678" s="370"/>
      <c r="N1678" s="382"/>
      <c r="O1678" s="372"/>
      <c r="P1678" s="380"/>
      <c r="Q1678" s="381"/>
      <c r="R1678" s="381"/>
      <c r="S1678" s="361"/>
      <c r="T1678" s="361"/>
      <c r="U1678" s="361"/>
      <c r="V1678" s="366"/>
      <c r="W1678" s="366"/>
    </row>
    <row r="1679" spans="1:23">
      <c r="A1679" s="1410"/>
      <c r="B1679" s="1413"/>
      <c r="C1679" s="845" t="s">
        <v>732</v>
      </c>
      <c r="D1679" s="875" t="str">
        <f>B1665&amp;C1679</f>
        <v>B26y</v>
      </c>
      <c r="E1679" s="367">
        <v>14</v>
      </c>
      <c r="F1679" s="370"/>
      <c r="G1679" s="368"/>
      <c r="H1679" s="368"/>
      <c r="I1679" s="368"/>
      <c r="J1679" s="368"/>
      <c r="K1679" s="370"/>
      <c r="L1679" s="370"/>
      <c r="M1679" s="370"/>
      <c r="N1679" s="382"/>
      <c r="O1679" s="372"/>
      <c r="P1679" s="380"/>
      <c r="Q1679" s="381"/>
      <c r="R1679" s="381"/>
      <c r="S1679" s="361"/>
      <c r="T1679" s="361"/>
      <c r="U1679" s="362"/>
      <c r="V1679" s="366"/>
      <c r="W1679" s="366"/>
    </row>
    <row r="1680" spans="1:23">
      <c r="A1680" s="1411"/>
      <c r="B1680" s="1414"/>
      <c r="C1680" s="846" t="s">
        <v>996</v>
      </c>
      <c r="D1680" s="876" t="str">
        <f>B1665&amp;C1680</f>
        <v>B26z</v>
      </c>
      <c r="E1680" s="847">
        <v>15</v>
      </c>
      <c r="F1680" s="370"/>
      <c r="G1680" s="368"/>
      <c r="H1680" s="368"/>
      <c r="I1680" s="368"/>
      <c r="J1680" s="368"/>
      <c r="K1680" s="370"/>
      <c r="L1680" s="370"/>
      <c r="M1680" s="370"/>
      <c r="N1680" s="850"/>
      <c r="O1680" s="851"/>
      <c r="P1680" s="380"/>
      <c r="Q1680" s="852"/>
      <c r="R1680" s="383"/>
      <c r="S1680" s="361"/>
      <c r="T1680" s="832"/>
      <c r="U1680" s="830"/>
      <c r="V1680" s="366"/>
      <c r="W1680" s="366"/>
    </row>
    <row r="1681" spans="1:23">
      <c r="A1681" s="1400" t="s">
        <v>939</v>
      </c>
      <c r="B1681" s="1400"/>
      <c r="C1681" s="827"/>
      <c r="D1681" s="871"/>
      <c r="E1681" s="1400" t="s">
        <v>177</v>
      </c>
      <c r="F1681" s="1400" t="s">
        <v>18</v>
      </c>
      <c r="G1681" s="1389" t="s">
        <v>19</v>
      </c>
      <c r="H1681" s="1390"/>
      <c r="I1681" s="1389" t="s">
        <v>22</v>
      </c>
      <c r="J1681" s="1390"/>
      <c r="K1681" s="1393" t="s">
        <v>26</v>
      </c>
      <c r="L1681" s="1390"/>
      <c r="M1681" s="1389" t="s">
        <v>392</v>
      </c>
      <c r="N1681" s="1390"/>
      <c r="O1681" s="1389" t="s">
        <v>28</v>
      </c>
      <c r="P1681" s="1393"/>
      <c r="Q1681" s="1390"/>
      <c r="R1681" s="1400" t="s">
        <v>36</v>
      </c>
      <c r="S1681" s="361"/>
      <c r="T1681" s="361">
        <f>MAX(J1685:J1699)-MIN(I1685:I1699)</f>
        <v>6.9444444444444434E-2</v>
      </c>
      <c r="U1681" s="361"/>
      <c r="V1681" s="853" t="str">
        <f t="shared" ref="V1681" si="178">B1685</f>
        <v>A83</v>
      </c>
      <c r="W1681" s="361">
        <f t="shared" ref="W1681" si="179">COUNTIF(K1686:K1700,"&gt;0")</f>
        <v>4</v>
      </c>
    </row>
    <row r="1682" spans="1:23">
      <c r="A1682" s="1401"/>
      <c r="B1682" s="1401"/>
      <c r="C1682" s="828"/>
      <c r="D1682" s="872"/>
      <c r="E1682" s="1401"/>
      <c r="F1682" s="1401"/>
      <c r="G1682" s="1391"/>
      <c r="H1682" s="1392"/>
      <c r="I1682" s="1391"/>
      <c r="J1682" s="1392"/>
      <c r="K1682" s="1394"/>
      <c r="L1682" s="1392"/>
      <c r="M1682" s="1391"/>
      <c r="N1682" s="1392"/>
      <c r="O1682" s="1391"/>
      <c r="P1682" s="1394"/>
      <c r="Q1682" s="1392"/>
      <c r="R1682" s="1401"/>
      <c r="S1682" s="361"/>
      <c r="T1682" s="361"/>
      <c r="U1682" s="361"/>
      <c r="V1682" s="361"/>
      <c r="W1682" s="361"/>
    </row>
    <row r="1683" spans="1:23">
      <c r="A1683" s="1401"/>
      <c r="B1683" s="1401"/>
      <c r="C1683" s="828"/>
      <c r="D1683" s="872"/>
      <c r="E1683" s="1401"/>
      <c r="F1683" s="1401"/>
      <c r="G1683" s="1400" t="s">
        <v>20</v>
      </c>
      <c r="H1683" s="1400" t="s">
        <v>21</v>
      </c>
      <c r="I1683" s="1400" t="s">
        <v>361</v>
      </c>
      <c r="J1683" s="1400" t="s">
        <v>353</v>
      </c>
      <c r="K1683" s="1400" t="s">
        <v>23</v>
      </c>
      <c r="L1683" s="1400" t="s">
        <v>24</v>
      </c>
      <c r="M1683" s="1400" t="s">
        <v>27</v>
      </c>
      <c r="N1683" s="1400" t="s">
        <v>178</v>
      </c>
      <c r="O1683" s="1400" t="s">
        <v>1</v>
      </c>
      <c r="P1683" s="1400" t="s">
        <v>29</v>
      </c>
      <c r="Q1683" s="1400" t="s">
        <v>33</v>
      </c>
      <c r="R1683" s="1401"/>
      <c r="S1683" s="361"/>
      <c r="T1683" s="361" t="s">
        <v>39</v>
      </c>
      <c r="U1683" s="362">
        <f>VLOOKUP(B1685,'Thong tin'!$A:$M,13,0)</f>
        <v>1200</v>
      </c>
      <c r="V1683" s="361"/>
      <c r="W1683" s="361"/>
    </row>
    <row r="1684" spans="1:23">
      <c r="A1684" s="1402"/>
      <c r="B1684" s="1402"/>
      <c r="C1684" s="829"/>
      <c r="D1684" s="873"/>
      <c r="E1684" s="1402"/>
      <c r="F1684" s="1402"/>
      <c r="G1684" s="1402"/>
      <c r="H1684" s="1402"/>
      <c r="I1684" s="1402"/>
      <c r="J1684" s="1402"/>
      <c r="K1684" s="1402"/>
      <c r="L1684" s="1402"/>
      <c r="M1684" s="1402"/>
      <c r="N1684" s="1402"/>
      <c r="O1684" s="1402"/>
      <c r="P1684" s="1402"/>
      <c r="Q1684" s="1402"/>
      <c r="R1684" s="1402"/>
      <c r="S1684" s="361"/>
      <c r="T1684" s="1399" t="s">
        <v>393</v>
      </c>
      <c r="U1684" s="1397">
        <f>VLOOKUP(B1685,DT.NK!$B:$AZ,45,0)</f>
        <v>28.5</v>
      </c>
      <c r="V1684" s="361"/>
      <c r="W1684" s="361"/>
    </row>
    <row r="1685" spans="1:23">
      <c r="A1685" s="1409">
        <f>A1665+1</f>
        <v>85</v>
      </c>
      <c r="B1685" s="1412" t="s">
        <v>670</v>
      </c>
      <c r="C1685" s="844" t="s">
        <v>983</v>
      </c>
      <c r="D1685" s="874" t="str">
        <f>B1685&amp;C1685</f>
        <v>A83a</v>
      </c>
      <c r="E1685" s="363"/>
      <c r="F1685" s="364"/>
      <c r="G1685" s="364"/>
      <c r="H1685" s="364"/>
      <c r="I1685" s="364"/>
      <c r="J1685" s="364"/>
      <c r="K1685" s="364"/>
      <c r="L1685" s="364"/>
      <c r="M1685" s="674"/>
      <c r="N1685" s="670"/>
      <c r="O1685" s="670">
        <f>U1684</f>
        <v>28.5</v>
      </c>
      <c r="P1685" s="670">
        <f>O1685</f>
        <v>28.5</v>
      </c>
      <c r="Q1685" s="670">
        <v>0</v>
      </c>
      <c r="R1685" s="365"/>
      <c r="S1685" s="366"/>
      <c r="T1685" s="1399"/>
      <c r="U1685" s="1398"/>
      <c r="V1685" s="361"/>
      <c r="W1685" s="361"/>
    </row>
    <row r="1686" spans="1:23">
      <c r="A1686" s="1410"/>
      <c r="B1686" s="1413"/>
      <c r="C1686" s="845" t="s">
        <v>984</v>
      </c>
      <c r="D1686" s="875" t="str">
        <f>B1685&amp;C1686</f>
        <v>A83b</v>
      </c>
      <c r="E1686" s="367">
        <v>1</v>
      </c>
      <c r="F1686" s="669" t="s">
        <v>1010</v>
      </c>
      <c r="G1686" s="369">
        <v>6.458333333333334E-2</v>
      </c>
      <c r="H1686" s="368">
        <v>8.6805555555555566E-2</v>
      </c>
      <c r="I1686" s="368">
        <v>9.7222222222222224E-2</v>
      </c>
      <c r="J1686" s="368">
        <v>0.10416666666666667</v>
      </c>
      <c r="K1686" s="669">
        <v>9</v>
      </c>
      <c r="L1686" s="669">
        <v>19</v>
      </c>
      <c r="M1686" s="675">
        <v>28.5</v>
      </c>
      <c r="N1686" s="671">
        <f>IF(M1686-P1686&gt;0,M1686-P1686,0)</f>
        <v>3</v>
      </c>
      <c r="O1686" s="671">
        <f>O1685-K1686/(PI()*(U1683/2000)^2)</f>
        <v>20.542252845405233</v>
      </c>
      <c r="P1686" s="672">
        <v>25.5</v>
      </c>
      <c r="Q1686" s="673">
        <f>ABS(O1686-P1686)</f>
        <v>4.9577471545947667</v>
      </c>
      <c r="R1686" s="375" t="s">
        <v>188</v>
      </c>
      <c r="S1686" s="366"/>
      <c r="T1686" s="376"/>
      <c r="U1686" s="376"/>
      <c r="V1686" s="366"/>
      <c r="W1686" s="366"/>
    </row>
    <row r="1687" spans="1:23">
      <c r="A1687" s="1410"/>
      <c r="B1687" s="1413"/>
      <c r="C1687" s="845" t="s">
        <v>985</v>
      </c>
      <c r="D1687" s="875" t="str">
        <f>B1685&amp;C1687</f>
        <v>A83c</v>
      </c>
      <c r="E1687" s="367">
        <v>2</v>
      </c>
      <c r="F1687" s="669" t="s">
        <v>1007</v>
      </c>
      <c r="G1687" s="369">
        <v>6.9444444444444434E-2</v>
      </c>
      <c r="H1687" s="368">
        <v>9.1666666666666674E-2</v>
      </c>
      <c r="I1687" s="368">
        <v>0.1111111111111111</v>
      </c>
      <c r="J1687" s="368">
        <v>0.11666666666666665</v>
      </c>
      <c r="K1687" s="669">
        <v>9</v>
      </c>
      <c r="L1687" s="669">
        <v>19</v>
      </c>
      <c r="M1687" s="675">
        <v>22.2</v>
      </c>
      <c r="N1687" s="671">
        <f>IF(M1687-P1687&gt;0,M1687-P1687,0)</f>
        <v>3.9499999999999993</v>
      </c>
      <c r="O1687" s="671">
        <f>O1686-K1687/(PI()*(U1683/2000)^2)</f>
        <v>12.584505690810467</v>
      </c>
      <c r="P1687" s="672">
        <v>18.25</v>
      </c>
      <c r="Q1687" s="673">
        <f>ABS(O1687-P1687)</f>
        <v>5.6654943091895333</v>
      </c>
      <c r="R1687" s="375" t="s">
        <v>188</v>
      </c>
      <c r="S1687" s="366"/>
      <c r="T1687" s="376"/>
      <c r="U1687" s="376"/>
      <c r="V1687" s="366"/>
      <c r="W1687" s="366"/>
    </row>
    <row r="1688" spans="1:23">
      <c r="A1688" s="1410"/>
      <c r="B1688" s="1413"/>
      <c r="C1688" s="845" t="s">
        <v>986</v>
      </c>
      <c r="D1688" s="875" t="str">
        <f>B1685&amp;C1688</f>
        <v>A83d</v>
      </c>
      <c r="E1688" s="367">
        <v>3</v>
      </c>
      <c r="F1688" s="669" t="s">
        <v>1089</v>
      </c>
      <c r="G1688" s="368">
        <v>7.6388888888888895E-2</v>
      </c>
      <c r="H1688" s="368">
        <v>0.1111111111111111</v>
      </c>
      <c r="I1688" s="368">
        <v>0.12152777777777778</v>
      </c>
      <c r="J1688" s="368">
        <v>0.12638888888888888</v>
      </c>
      <c r="K1688" s="370">
        <v>8</v>
      </c>
      <c r="L1688" s="370">
        <v>19.5</v>
      </c>
      <c r="M1688" s="371">
        <v>15.9</v>
      </c>
      <c r="N1688" s="671">
        <f>IF(M1688-P1688&gt;0,M1688-P1688,0)</f>
        <v>3.8000000000000007</v>
      </c>
      <c r="O1688" s="671">
        <f>O1687-K1688/(PI()*(U1683/2000)^2)</f>
        <v>5.510952664504007</v>
      </c>
      <c r="P1688" s="373">
        <v>12.1</v>
      </c>
      <c r="Q1688" s="673">
        <f>ABS(O1688-P1688)</f>
        <v>6.5890473354959926</v>
      </c>
      <c r="R1688" s="375" t="s">
        <v>188</v>
      </c>
      <c r="S1688" s="366"/>
      <c r="T1688" s="376"/>
      <c r="U1688" s="376"/>
      <c r="V1688" s="366"/>
      <c r="W1688" s="366"/>
    </row>
    <row r="1689" spans="1:23">
      <c r="A1689" s="1410"/>
      <c r="B1689" s="1413"/>
      <c r="C1689" s="845" t="s">
        <v>987</v>
      </c>
      <c r="D1689" s="875" t="str">
        <f>B1685&amp;C1689</f>
        <v>A83e</v>
      </c>
      <c r="E1689" s="367">
        <v>4</v>
      </c>
      <c r="F1689" s="669" t="s">
        <v>1085</v>
      </c>
      <c r="G1689" s="368">
        <v>0.14305555555555557</v>
      </c>
      <c r="H1689" s="368">
        <v>0.15972222222222224</v>
      </c>
      <c r="I1689" s="368">
        <v>0.16319444444444445</v>
      </c>
      <c r="J1689" s="368">
        <v>0.16666666666666666</v>
      </c>
      <c r="K1689" s="370">
        <v>6</v>
      </c>
      <c r="L1689" s="370">
        <v>19</v>
      </c>
      <c r="M1689" s="371">
        <v>12.75</v>
      </c>
      <c r="N1689" s="671">
        <f>IF(M1689-P1689&gt;0,M1689-P1689,0)</f>
        <v>5.35</v>
      </c>
      <c r="O1689" s="671">
        <f>O1688-K1689/(PI()*(U1683/2000)^2)</f>
        <v>0.20578789477416226</v>
      </c>
      <c r="P1689" s="373">
        <v>7.4</v>
      </c>
      <c r="Q1689" s="673">
        <f>ABS(O1689-P1689)</f>
        <v>7.1942121052258381</v>
      </c>
      <c r="R1689" s="375"/>
      <c r="S1689" s="366"/>
      <c r="T1689" s="376"/>
      <c r="U1689" s="376"/>
      <c r="V1689" s="366"/>
      <c r="W1689" s="366"/>
    </row>
    <row r="1690" spans="1:23">
      <c r="A1690" s="1410"/>
      <c r="B1690" s="1413"/>
      <c r="C1690" s="845" t="s">
        <v>988</v>
      </c>
      <c r="D1690" s="875" t="str">
        <f>B1685&amp;C1690</f>
        <v>A83f</v>
      </c>
      <c r="E1690" s="367">
        <v>5</v>
      </c>
      <c r="F1690" s="669"/>
      <c r="G1690" s="368"/>
      <c r="H1690" s="368"/>
      <c r="I1690" s="368"/>
      <c r="J1690" s="368"/>
      <c r="K1690" s="370"/>
      <c r="L1690" s="370"/>
      <c r="M1690" s="371"/>
      <c r="N1690" s="671"/>
      <c r="O1690" s="671"/>
      <c r="P1690" s="373"/>
      <c r="Q1690" s="673"/>
      <c r="R1690" s="377"/>
      <c r="S1690" s="366" t="s">
        <v>190</v>
      </c>
      <c r="T1690" s="376"/>
      <c r="U1690" s="376"/>
      <c r="V1690" s="366"/>
      <c r="W1690" s="366"/>
    </row>
    <row r="1691" spans="1:23">
      <c r="A1691" s="1410"/>
      <c r="B1691" s="1413"/>
      <c r="C1691" s="845" t="s">
        <v>989</v>
      </c>
      <c r="D1691" s="875" t="str">
        <f>B1685&amp;C1691</f>
        <v>A83g</v>
      </c>
      <c r="E1691" s="367">
        <v>6</v>
      </c>
      <c r="F1691" s="669"/>
      <c r="G1691" s="368"/>
      <c r="H1691" s="368"/>
      <c r="I1691" s="368"/>
      <c r="J1691" s="368"/>
      <c r="K1691" s="370"/>
      <c r="L1691" s="370"/>
      <c r="M1691" s="371"/>
      <c r="N1691" s="671"/>
      <c r="O1691" s="671"/>
      <c r="P1691" s="373"/>
      <c r="Q1691" s="673"/>
      <c r="R1691" s="375"/>
      <c r="S1691" s="366" t="s">
        <v>190</v>
      </c>
      <c r="T1691" s="366"/>
      <c r="U1691" s="366"/>
      <c r="V1691" s="366"/>
      <c r="W1691" s="366"/>
    </row>
    <row r="1692" spans="1:23">
      <c r="A1692" s="1410"/>
      <c r="B1692" s="1413"/>
      <c r="C1692" s="845" t="s">
        <v>990</v>
      </c>
      <c r="D1692" s="875" t="str">
        <f>B1685&amp;C1692</f>
        <v>A83h</v>
      </c>
      <c r="E1692" s="367">
        <v>7</v>
      </c>
      <c r="F1692" s="669"/>
      <c r="G1692" s="368"/>
      <c r="H1692" s="368"/>
      <c r="I1692" s="368"/>
      <c r="J1692" s="368"/>
      <c r="K1692" s="370"/>
      <c r="L1692" s="370"/>
      <c r="M1692" s="371"/>
      <c r="N1692" s="671"/>
      <c r="O1692" s="671"/>
      <c r="P1692" s="373"/>
      <c r="Q1692" s="673"/>
      <c r="R1692" s="377"/>
      <c r="S1692" s="366" t="s">
        <v>190</v>
      </c>
      <c r="T1692" s="366"/>
      <c r="U1692" s="366"/>
      <c r="V1692" s="366"/>
      <c r="W1692" s="366"/>
    </row>
    <row r="1693" spans="1:23">
      <c r="A1693" s="1410"/>
      <c r="B1693" s="1413"/>
      <c r="C1693" s="845" t="s">
        <v>991</v>
      </c>
      <c r="D1693" s="875" t="str">
        <f>B1685&amp;C1693</f>
        <v>A83i</v>
      </c>
      <c r="E1693" s="367">
        <v>8</v>
      </c>
      <c r="F1693" s="669"/>
      <c r="G1693" s="368"/>
      <c r="H1693" s="368"/>
      <c r="I1693" s="368"/>
      <c r="J1693" s="368"/>
      <c r="K1693" s="370"/>
      <c r="L1693" s="370"/>
      <c r="M1693" s="371"/>
      <c r="N1693" s="671"/>
      <c r="O1693" s="671"/>
      <c r="P1693" s="373"/>
      <c r="Q1693" s="673"/>
      <c r="R1693" s="378"/>
      <c r="S1693" s="366"/>
      <c r="T1693" s="366"/>
      <c r="U1693" s="366"/>
      <c r="V1693" s="366"/>
      <c r="W1693" s="366"/>
    </row>
    <row r="1694" spans="1:23">
      <c r="A1694" s="1410"/>
      <c r="B1694" s="1413"/>
      <c r="C1694" s="845" t="s">
        <v>992</v>
      </c>
      <c r="D1694" s="875" t="str">
        <f>B1685&amp;C1694</f>
        <v>A83k</v>
      </c>
      <c r="E1694" s="367">
        <v>9</v>
      </c>
      <c r="F1694" s="370"/>
      <c r="G1694" s="368"/>
      <c r="H1694" s="368"/>
      <c r="I1694" s="368"/>
      <c r="J1694" s="368"/>
      <c r="K1694" s="370"/>
      <c r="L1694" s="370"/>
      <c r="M1694" s="371"/>
      <c r="N1694" s="372"/>
      <c r="O1694" s="372"/>
      <c r="P1694" s="373"/>
      <c r="Q1694" s="374"/>
      <c r="R1694" s="378"/>
      <c r="S1694" s="379"/>
      <c r="T1694" s="366"/>
      <c r="U1694" s="366"/>
      <c r="V1694" s="366"/>
      <c r="W1694" s="366"/>
    </row>
    <row r="1695" spans="1:23">
      <c r="A1695" s="1410"/>
      <c r="B1695" s="1413"/>
      <c r="C1695" s="845" t="s">
        <v>993</v>
      </c>
      <c r="D1695" s="875" t="str">
        <f>B1685&amp;C1695</f>
        <v>A83l</v>
      </c>
      <c r="E1695" s="367">
        <v>10</v>
      </c>
      <c r="F1695" s="370"/>
      <c r="G1695" s="368"/>
      <c r="H1695" s="368"/>
      <c r="I1695" s="368"/>
      <c r="J1695" s="368"/>
      <c r="K1695" s="370"/>
      <c r="L1695" s="370"/>
      <c r="M1695" s="370"/>
      <c r="N1695" s="372"/>
      <c r="O1695" s="372"/>
      <c r="P1695" s="373"/>
      <c r="Q1695" s="374"/>
      <c r="R1695" s="378"/>
      <c r="S1695" s="379"/>
      <c r="T1695" s="366"/>
      <c r="U1695" s="366"/>
      <c r="V1695" s="366"/>
      <c r="W1695" s="366"/>
    </row>
    <row r="1696" spans="1:23">
      <c r="A1696" s="1410"/>
      <c r="B1696" s="1413"/>
      <c r="C1696" s="845" t="s">
        <v>994</v>
      </c>
      <c r="D1696" s="875" t="str">
        <f>B1685&amp;C1696</f>
        <v>A83m</v>
      </c>
      <c r="E1696" s="367">
        <v>11</v>
      </c>
      <c r="F1696" s="370"/>
      <c r="G1696" s="368"/>
      <c r="H1696" s="368"/>
      <c r="I1696" s="368"/>
      <c r="J1696" s="368"/>
      <c r="K1696" s="370"/>
      <c r="L1696" s="370"/>
      <c r="M1696" s="370"/>
      <c r="N1696" s="372"/>
      <c r="O1696" s="372"/>
      <c r="P1696" s="380"/>
      <c r="Q1696" s="374"/>
      <c r="R1696" s="381"/>
      <c r="S1696" s="379"/>
      <c r="T1696" s="366"/>
      <c r="U1696" s="366"/>
      <c r="V1696" s="366"/>
      <c r="W1696" s="366"/>
    </row>
    <row r="1697" spans="1:23">
      <c r="A1697" s="1410"/>
      <c r="B1697" s="1413"/>
      <c r="C1697" s="845" t="s">
        <v>995</v>
      </c>
      <c r="D1697" s="875" t="str">
        <f>B1685&amp;C1697</f>
        <v>A83n</v>
      </c>
      <c r="E1697" s="367">
        <v>12</v>
      </c>
      <c r="F1697" s="370"/>
      <c r="G1697" s="368"/>
      <c r="H1697" s="368"/>
      <c r="I1697" s="368"/>
      <c r="J1697" s="368"/>
      <c r="K1697" s="370"/>
      <c r="L1697" s="370"/>
      <c r="M1697" s="370"/>
      <c r="N1697" s="372"/>
      <c r="O1697" s="372"/>
      <c r="P1697" s="380"/>
      <c r="Q1697" s="374"/>
      <c r="R1697" s="381"/>
      <c r="S1697" s="361"/>
      <c r="T1697" s="361"/>
      <c r="U1697" s="361"/>
      <c r="V1697" s="366"/>
      <c r="W1697" s="366"/>
    </row>
    <row r="1698" spans="1:23">
      <c r="A1698" s="1410"/>
      <c r="B1698" s="1413"/>
      <c r="C1698" s="845" t="s">
        <v>471</v>
      </c>
      <c r="D1698" s="875" t="str">
        <f>B1685&amp;C1698</f>
        <v>A83x</v>
      </c>
      <c r="E1698" s="367">
        <v>13</v>
      </c>
      <c r="F1698" s="370"/>
      <c r="G1698" s="368"/>
      <c r="H1698" s="368"/>
      <c r="I1698" s="368"/>
      <c r="J1698" s="368"/>
      <c r="K1698" s="370"/>
      <c r="L1698" s="370"/>
      <c r="M1698" s="370"/>
      <c r="N1698" s="382"/>
      <c r="O1698" s="372"/>
      <c r="P1698" s="380"/>
      <c r="Q1698" s="381"/>
      <c r="R1698" s="381"/>
      <c r="S1698" s="361"/>
      <c r="T1698" s="361"/>
      <c r="U1698" s="361"/>
      <c r="V1698" s="366"/>
      <c r="W1698" s="366"/>
    </row>
    <row r="1699" spans="1:23">
      <c r="A1699" s="1410"/>
      <c r="B1699" s="1413"/>
      <c r="C1699" s="845" t="s">
        <v>732</v>
      </c>
      <c r="D1699" s="875" t="str">
        <f>B1685&amp;C1699</f>
        <v>A83y</v>
      </c>
      <c r="E1699" s="367">
        <v>14</v>
      </c>
      <c r="F1699" s="370"/>
      <c r="G1699" s="368"/>
      <c r="H1699" s="368"/>
      <c r="I1699" s="368"/>
      <c r="J1699" s="368"/>
      <c r="K1699" s="370"/>
      <c r="L1699" s="370"/>
      <c r="M1699" s="370"/>
      <c r="N1699" s="382"/>
      <c r="O1699" s="372"/>
      <c r="P1699" s="380"/>
      <c r="Q1699" s="381"/>
      <c r="R1699" s="381"/>
      <c r="S1699" s="361"/>
      <c r="T1699" s="361"/>
      <c r="U1699" s="362"/>
      <c r="V1699" s="366"/>
      <c r="W1699" s="366"/>
    </row>
    <row r="1700" spans="1:23">
      <c r="A1700" s="1411"/>
      <c r="B1700" s="1414"/>
      <c r="C1700" s="846" t="s">
        <v>996</v>
      </c>
      <c r="D1700" s="876" t="str">
        <f>B1685&amp;C1700</f>
        <v>A83z</v>
      </c>
      <c r="E1700" s="847">
        <v>15</v>
      </c>
      <c r="F1700" s="370"/>
      <c r="G1700" s="368"/>
      <c r="H1700" s="368"/>
      <c r="I1700" s="368"/>
      <c r="J1700" s="368"/>
      <c r="K1700" s="370"/>
      <c r="L1700" s="370"/>
      <c r="M1700" s="370"/>
      <c r="N1700" s="850"/>
      <c r="O1700" s="851"/>
      <c r="P1700" s="380"/>
      <c r="Q1700" s="852"/>
      <c r="R1700" s="383"/>
      <c r="S1700" s="361"/>
      <c r="T1700" s="832"/>
      <c r="U1700" s="830"/>
      <c r="V1700" s="366"/>
      <c r="W1700" s="366"/>
    </row>
    <row r="1701" spans="1:23">
      <c r="A1701" s="1400" t="s">
        <v>939</v>
      </c>
      <c r="B1701" s="1400"/>
      <c r="C1701" s="827"/>
      <c r="D1701" s="871"/>
      <c r="E1701" s="1400" t="s">
        <v>177</v>
      </c>
      <c r="F1701" s="1400" t="s">
        <v>18</v>
      </c>
      <c r="G1701" s="1389" t="s">
        <v>19</v>
      </c>
      <c r="H1701" s="1390"/>
      <c r="I1701" s="1389" t="s">
        <v>22</v>
      </c>
      <c r="J1701" s="1390"/>
      <c r="K1701" s="1393" t="s">
        <v>26</v>
      </c>
      <c r="L1701" s="1390"/>
      <c r="M1701" s="1389" t="s">
        <v>392</v>
      </c>
      <c r="N1701" s="1390"/>
      <c r="O1701" s="1389" t="s">
        <v>28</v>
      </c>
      <c r="P1701" s="1393"/>
      <c r="Q1701" s="1390"/>
      <c r="R1701" s="1400" t="s">
        <v>36</v>
      </c>
      <c r="S1701" s="361"/>
      <c r="T1701" s="361">
        <f>MAX(J1705:J1719)-MIN(I1705:I1719)</f>
        <v>3.4722222222222099E-3</v>
      </c>
      <c r="U1701" s="361"/>
      <c r="V1701" s="853" t="str">
        <f t="shared" ref="V1701" si="180">B1705</f>
        <v>B42</v>
      </c>
      <c r="W1701" s="361">
        <f t="shared" ref="W1701" si="181">COUNTIF(K1706:K1720,"&gt;0")</f>
        <v>1</v>
      </c>
    </row>
    <row r="1702" spans="1:23">
      <c r="A1702" s="1401"/>
      <c r="B1702" s="1401"/>
      <c r="C1702" s="828"/>
      <c r="D1702" s="872"/>
      <c r="E1702" s="1401"/>
      <c r="F1702" s="1401"/>
      <c r="G1702" s="1391"/>
      <c r="H1702" s="1392"/>
      <c r="I1702" s="1391"/>
      <c r="J1702" s="1392"/>
      <c r="K1702" s="1394"/>
      <c r="L1702" s="1392"/>
      <c r="M1702" s="1391"/>
      <c r="N1702" s="1392"/>
      <c r="O1702" s="1391"/>
      <c r="P1702" s="1394"/>
      <c r="Q1702" s="1392"/>
      <c r="R1702" s="1401"/>
      <c r="S1702" s="361"/>
      <c r="T1702" s="361"/>
      <c r="U1702" s="361"/>
      <c r="V1702" s="361"/>
      <c r="W1702" s="361"/>
    </row>
    <row r="1703" spans="1:23">
      <c r="A1703" s="1401"/>
      <c r="B1703" s="1401"/>
      <c r="C1703" s="828"/>
      <c r="D1703" s="872"/>
      <c r="E1703" s="1401"/>
      <c r="F1703" s="1401"/>
      <c r="G1703" s="1400" t="s">
        <v>20</v>
      </c>
      <c r="H1703" s="1400" t="s">
        <v>21</v>
      </c>
      <c r="I1703" s="1400" t="s">
        <v>361</v>
      </c>
      <c r="J1703" s="1400" t="s">
        <v>353</v>
      </c>
      <c r="K1703" s="1400" t="s">
        <v>23</v>
      </c>
      <c r="L1703" s="1400" t="s">
        <v>24</v>
      </c>
      <c r="M1703" s="1400" t="s">
        <v>27</v>
      </c>
      <c r="N1703" s="1400" t="s">
        <v>178</v>
      </c>
      <c r="O1703" s="1400" t="s">
        <v>1</v>
      </c>
      <c r="P1703" s="1400" t="s">
        <v>29</v>
      </c>
      <c r="Q1703" s="1400" t="s">
        <v>33</v>
      </c>
      <c r="R1703" s="1401"/>
      <c r="S1703" s="361"/>
      <c r="T1703" s="361" t="s">
        <v>39</v>
      </c>
      <c r="U1703" s="362">
        <f>VLOOKUP(B1705,'Thong tin'!$A:$M,13,0)</f>
        <v>800</v>
      </c>
      <c r="V1703" s="361"/>
      <c r="W1703" s="361"/>
    </row>
    <row r="1704" spans="1:23">
      <c r="A1704" s="1402"/>
      <c r="B1704" s="1402"/>
      <c r="C1704" s="829"/>
      <c r="D1704" s="873"/>
      <c r="E1704" s="1402"/>
      <c r="F1704" s="1402"/>
      <c r="G1704" s="1402"/>
      <c r="H1704" s="1402"/>
      <c r="I1704" s="1402"/>
      <c r="J1704" s="1402"/>
      <c r="K1704" s="1402"/>
      <c r="L1704" s="1402"/>
      <c r="M1704" s="1402"/>
      <c r="N1704" s="1402"/>
      <c r="O1704" s="1402"/>
      <c r="P1704" s="1402"/>
      <c r="Q1704" s="1402"/>
      <c r="R1704" s="1402"/>
      <c r="S1704" s="361"/>
      <c r="T1704" s="1399" t="s">
        <v>393</v>
      </c>
      <c r="U1704" s="1397">
        <f>VLOOKUP(B1705,DT.NK!$B:$AZ,45,0)</f>
        <v>24.55</v>
      </c>
      <c r="V1704" s="361"/>
      <c r="W1704" s="361"/>
    </row>
    <row r="1705" spans="1:23">
      <c r="A1705" s="1409">
        <f>A1685+1</f>
        <v>86</v>
      </c>
      <c r="B1705" s="1412" t="s">
        <v>617</v>
      </c>
      <c r="C1705" s="844" t="s">
        <v>983</v>
      </c>
      <c r="D1705" s="874" t="str">
        <f>B1705&amp;C1705</f>
        <v>B42a</v>
      </c>
      <c r="E1705" s="363"/>
      <c r="F1705" s="364"/>
      <c r="G1705" s="364"/>
      <c r="H1705" s="364"/>
      <c r="I1705" s="364"/>
      <c r="J1705" s="364"/>
      <c r="K1705" s="364"/>
      <c r="L1705" s="364"/>
      <c r="M1705" s="674"/>
      <c r="N1705" s="670"/>
      <c r="O1705" s="670">
        <f>U1704</f>
        <v>24.55</v>
      </c>
      <c r="P1705" s="670">
        <f>O1705</f>
        <v>24.55</v>
      </c>
      <c r="Q1705" s="670">
        <v>0</v>
      </c>
      <c r="R1705" s="365"/>
      <c r="S1705" s="366"/>
      <c r="T1705" s="1399"/>
      <c r="U1705" s="1398"/>
      <c r="V1705" s="361"/>
      <c r="W1705" s="361"/>
    </row>
    <row r="1706" spans="1:23">
      <c r="A1706" s="1410"/>
      <c r="B1706" s="1413"/>
      <c r="C1706" s="845" t="s">
        <v>984</v>
      </c>
      <c r="D1706" s="875" t="str">
        <f>B1705&amp;C1706</f>
        <v>B42b</v>
      </c>
      <c r="E1706" s="367">
        <v>1</v>
      </c>
      <c r="F1706" s="669" t="s">
        <v>1109</v>
      </c>
      <c r="G1706" s="369">
        <v>0.55972222222222223</v>
      </c>
      <c r="H1706" s="368">
        <v>0.59027777777777779</v>
      </c>
      <c r="I1706" s="368">
        <v>0.59722222222222221</v>
      </c>
      <c r="J1706" s="368">
        <v>0.60069444444444442</v>
      </c>
      <c r="K1706" s="669">
        <v>10</v>
      </c>
      <c r="L1706" s="669">
        <v>19</v>
      </c>
      <c r="M1706" s="675">
        <v>19.399999999999999</v>
      </c>
      <c r="N1706" s="671">
        <f>IF(M1706-P1706&gt;0,M1706-P1706,0)</f>
        <v>13.799999999999999</v>
      </c>
      <c r="O1706" s="671">
        <f>O1705-K1706/(PI()*(U1703/2000)^2)</f>
        <v>4.6556321135130858</v>
      </c>
      <c r="P1706" s="672">
        <v>5.6</v>
      </c>
      <c r="Q1706" s="673">
        <f>ABS(O1706-P1706)</f>
        <v>0.94436788648691383</v>
      </c>
      <c r="R1706" s="375" t="s">
        <v>188</v>
      </c>
      <c r="S1706" s="366"/>
      <c r="T1706" s="376"/>
      <c r="U1706" s="376"/>
      <c r="V1706" s="366"/>
      <c r="W1706" s="366"/>
    </row>
    <row r="1707" spans="1:23">
      <c r="A1707" s="1410"/>
      <c r="B1707" s="1413"/>
      <c r="C1707" s="845" t="s">
        <v>985</v>
      </c>
      <c r="D1707" s="875" t="str">
        <f>B1705&amp;C1707</f>
        <v>B42c</v>
      </c>
      <c r="E1707" s="367">
        <v>2</v>
      </c>
      <c r="F1707" s="669"/>
      <c r="G1707" s="368"/>
      <c r="H1707" s="368"/>
      <c r="I1707" s="368"/>
      <c r="J1707" s="368"/>
      <c r="K1707" s="370"/>
      <c r="L1707" s="370"/>
      <c r="M1707" s="371"/>
      <c r="N1707" s="671"/>
      <c r="O1707" s="671"/>
      <c r="P1707" s="373"/>
      <c r="Q1707" s="673"/>
      <c r="R1707" s="377"/>
      <c r="S1707" s="366"/>
      <c r="T1707" s="376"/>
      <c r="U1707" s="376"/>
      <c r="V1707" s="366"/>
      <c r="W1707" s="366"/>
    </row>
    <row r="1708" spans="1:23">
      <c r="A1708" s="1410"/>
      <c r="B1708" s="1413"/>
      <c r="C1708" s="845" t="s">
        <v>986</v>
      </c>
      <c r="D1708" s="875" t="str">
        <f>B1705&amp;C1708</f>
        <v>B42d</v>
      </c>
      <c r="E1708" s="367">
        <v>3</v>
      </c>
      <c r="F1708" s="669"/>
      <c r="G1708" s="368"/>
      <c r="H1708" s="368"/>
      <c r="I1708" s="368"/>
      <c r="J1708" s="368"/>
      <c r="K1708" s="370"/>
      <c r="L1708" s="370"/>
      <c r="M1708" s="371"/>
      <c r="N1708" s="671"/>
      <c r="O1708" s="671"/>
      <c r="P1708" s="373"/>
      <c r="Q1708" s="673"/>
      <c r="R1708" s="377"/>
      <c r="S1708" s="366"/>
      <c r="T1708" s="376"/>
      <c r="U1708" s="376"/>
      <c r="V1708" s="366"/>
      <c r="W1708" s="366"/>
    </row>
    <row r="1709" spans="1:23">
      <c r="A1709" s="1410"/>
      <c r="B1709" s="1413"/>
      <c r="C1709" s="845" t="s">
        <v>987</v>
      </c>
      <c r="D1709" s="875" t="str">
        <f>B1705&amp;C1709</f>
        <v>B42e</v>
      </c>
      <c r="E1709" s="367">
        <v>4</v>
      </c>
      <c r="F1709" s="669"/>
      <c r="G1709" s="368"/>
      <c r="H1709" s="368"/>
      <c r="I1709" s="368"/>
      <c r="J1709" s="368"/>
      <c r="K1709" s="370"/>
      <c r="L1709" s="370"/>
      <c r="M1709" s="371"/>
      <c r="N1709" s="671"/>
      <c r="O1709" s="671"/>
      <c r="P1709" s="373"/>
      <c r="Q1709" s="673"/>
      <c r="R1709" s="377"/>
      <c r="S1709" s="366"/>
      <c r="T1709" s="376"/>
      <c r="U1709" s="376"/>
      <c r="V1709" s="366"/>
      <c r="W1709" s="366"/>
    </row>
    <row r="1710" spans="1:23">
      <c r="A1710" s="1410"/>
      <c r="B1710" s="1413"/>
      <c r="C1710" s="845" t="s">
        <v>988</v>
      </c>
      <c r="D1710" s="875" t="str">
        <f>B1705&amp;C1710</f>
        <v>B42f</v>
      </c>
      <c r="E1710" s="367">
        <v>5</v>
      </c>
      <c r="F1710" s="669"/>
      <c r="G1710" s="368"/>
      <c r="H1710" s="368"/>
      <c r="I1710" s="368"/>
      <c r="J1710" s="368"/>
      <c r="K1710" s="370"/>
      <c r="L1710" s="370"/>
      <c r="M1710" s="371"/>
      <c r="N1710" s="671"/>
      <c r="O1710" s="671"/>
      <c r="P1710" s="373"/>
      <c r="Q1710" s="673"/>
      <c r="R1710" s="377"/>
      <c r="S1710" s="366" t="s">
        <v>190</v>
      </c>
      <c r="T1710" s="376"/>
      <c r="U1710" s="376"/>
      <c r="V1710" s="366"/>
      <c r="W1710" s="366"/>
    </row>
    <row r="1711" spans="1:23">
      <c r="A1711" s="1410"/>
      <c r="B1711" s="1413"/>
      <c r="C1711" s="845" t="s">
        <v>989</v>
      </c>
      <c r="D1711" s="875" t="str">
        <f>B1705&amp;C1711</f>
        <v>B42g</v>
      </c>
      <c r="E1711" s="367">
        <v>6</v>
      </c>
      <c r="F1711" s="669"/>
      <c r="G1711" s="368"/>
      <c r="H1711" s="368"/>
      <c r="I1711" s="368"/>
      <c r="J1711" s="368"/>
      <c r="K1711" s="370"/>
      <c r="L1711" s="370"/>
      <c r="M1711" s="371"/>
      <c r="N1711" s="671"/>
      <c r="O1711" s="671"/>
      <c r="P1711" s="373"/>
      <c r="Q1711" s="673"/>
      <c r="R1711" s="375"/>
      <c r="S1711" s="366" t="s">
        <v>190</v>
      </c>
      <c r="T1711" s="366"/>
      <c r="U1711" s="366"/>
      <c r="V1711" s="366"/>
      <c r="W1711" s="366"/>
    </row>
    <row r="1712" spans="1:23">
      <c r="A1712" s="1410"/>
      <c r="B1712" s="1413"/>
      <c r="C1712" s="845" t="s">
        <v>990</v>
      </c>
      <c r="D1712" s="875" t="str">
        <f>B1705&amp;C1712</f>
        <v>B42h</v>
      </c>
      <c r="E1712" s="367">
        <v>7</v>
      </c>
      <c r="F1712" s="669"/>
      <c r="G1712" s="368"/>
      <c r="H1712" s="368"/>
      <c r="I1712" s="368"/>
      <c r="J1712" s="368"/>
      <c r="K1712" s="370"/>
      <c r="L1712" s="370"/>
      <c r="M1712" s="371"/>
      <c r="N1712" s="671"/>
      <c r="O1712" s="671"/>
      <c r="P1712" s="373"/>
      <c r="Q1712" s="673"/>
      <c r="R1712" s="377"/>
      <c r="S1712" s="366" t="s">
        <v>190</v>
      </c>
      <c r="T1712" s="366"/>
      <c r="U1712" s="366"/>
      <c r="V1712" s="366"/>
      <c r="W1712" s="366"/>
    </row>
    <row r="1713" spans="1:23">
      <c r="A1713" s="1410"/>
      <c r="B1713" s="1413"/>
      <c r="C1713" s="845" t="s">
        <v>991</v>
      </c>
      <c r="D1713" s="875" t="str">
        <f>B1705&amp;C1713</f>
        <v>B42i</v>
      </c>
      <c r="E1713" s="367">
        <v>8</v>
      </c>
      <c r="F1713" s="669"/>
      <c r="G1713" s="368"/>
      <c r="H1713" s="368"/>
      <c r="I1713" s="368"/>
      <c r="J1713" s="368"/>
      <c r="K1713" s="370"/>
      <c r="L1713" s="370"/>
      <c r="M1713" s="371"/>
      <c r="N1713" s="671"/>
      <c r="O1713" s="671"/>
      <c r="P1713" s="373"/>
      <c r="Q1713" s="673"/>
      <c r="R1713" s="378"/>
      <c r="S1713" s="366"/>
      <c r="T1713" s="366"/>
      <c r="U1713" s="366"/>
      <c r="V1713" s="366"/>
      <c r="W1713" s="366"/>
    </row>
    <row r="1714" spans="1:23">
      <c r="A1714" s="1410"/>
      <c r="B1714" s="1413"/>
      <c r="C1714" s="845" t="s">
        <v>992</v>
      </c>
      <c r="D1714" s="875" t="str">
        <f>B1705&amp;C1714</f>
        <v>B42k</v>
      </c>
      <c r="E1714" s="367">
        <v>9</v>
      </c>
      <c r="F1714" s="370"/>
      <c r="G1714" s="368"/>
      <c r="H1714" s="368"/>
      <c r="I1714" s="368"/>
      <c r="J1714" s="368"/>
      <c r="K1714" s="370"/>
      <c r="L1714" s="370"/>
      <c r="M1714" s="371"/>
      <c r="N1714" s="372"/>
      <c r="O1714" s="372"/>
      <c r="P1714" s="373"/>
      <c r="Q1714" s="374"/>
      <c r="R1714" s="378"/>
      <c r="S1714" s="379"/>
      <c r="T1714" s="366"/>
      <c r="U1714" s="366"/>
      <c r="V1714" s="366"/>
      <c r="W1714" s="366"/>
    </row>
    <row r="1715" spans="1:23">
      <c r="A1715" s="1410"/>
      <c r="B1715" s="1413"/>
      <c r="C1715" s="845" t="s">
        <v>993</v>
      </c>
      <c r="D1715" s="875" t="str">
        <f>B1705&amp;C1715</f>
        <v>B42l</v>
      </c>
      <c r="E1715" s="367">
        <v>10</v>
      </c>
      <c r="F1715" s="370"/>
      <c r="G1715" s="368"/>
      <c r="H1715" s="368"/>
      <c r="I1715" s="368"/>
      <c r="J1715" s="368"/>
      <c r="K1715" s="370"/>
      <c r="L1715" s="370"/>
      <c r="M1715" s="370"/>
      <c r="N1715" s="372"/>
      <c r="O1715" s="372"/>
      <c r="P1715" s="373"/>
      <c r="Q1715" s="374"/>
      <c r="R1715" s="378"/>
      <c r="S1715" s="379"/>
      <c r="T1715" s="366"/>
      <c r="U1715" s="366"/>
      <c r="V1715" s="366"/>
      <c r="W1715" s="366"/>
    </row>
    <row r="1716" spans="1:23">
      <c r="A1716" s="1410"/>
      <c r="B1716" s="1413"/>
      <c r="C1716" s="845" t="s">
        <v>994</v>
      </c>
      <c r="D1716" s="875" t="str">
        <f>B1705&amp;C1716</f>
        <v>B42m</v>
      </c>
      <c r="E1716" s="367">
        <v>11</v>
      </c>
      <c r="F1716" s="370"/>
      <c r="G1716" s="368"/>
      <c r="H1716" s="368"/>
      <c r="I1716" s="368"/>
      <c r="J1716" s="368"/>
      <c r="K1716" s="370"/>
      <c r="L1716" s="370"/>
      <c r="M1716" s="370"/>
      <c r="N1716" s="372"/>
      <c r="O1716" s="372"/>
      <c r="P1716" s="380"/>
      <c r="Q1716" s="374"/>
      <c r="R1716" s="381"/>
      <c r="S1716" s="379"/>
      <c r="T1716" s="366"/>
      <c r="U1716" s="366"/>
      <c r="V1716" s="366"/>
      <c r="W1716" s="366"/>
    </row>
    <row r="1717" spans="1:23">
      <c r="A1717" s="1410"/>
      <c r="B1717" s="1413"/>
      <c r="C1717" s="845" t="s">
        <v>995</v>
      </c>
      <c r="D1717" s="875" t="str">
        <f>B1705&amp;C1717</f>
        <v>B42n</v>
      </c>
      <c r="E1717" s="367">
        <v>12</v>
      </c>
      <c r="F1717" s="370"/>
      <c r="G1717" s="368"/>
      <c r="H1717" s="368"/>
      <c r="I1717" s="368"/>
      <c r="J1717" s="368"/>
      <c r="K1717" s="370"/>
      <c r="L1717" s="370"/>
      <c r="M1717" s="370"/>
      <c r="N1717" s="372"/>
      <c r="O1717" s="372"/>
      <c r="P1717" s="380"/>
      <c r="Q1717" s="374"/>
      <c r="R1717" s="381"/>
      <c r="S1717" s="361"/>
      <c r="T1717" s="361"/>
      <c r="U1717" s="361"/>
      <c r="V1717" s="366"/>
      <c r="W1717" s="366"/>
    </row>
    <row r="1718" spans="1:23">
      <c r="A1718" s="1410"/>
      <c r="B1718" s="1413"/>
      <c r="C1718" s="845" t="s">
        <v>471</v>
      </c>
      <c r="D1718" s="875" t="str">
        <f>B1705&amp;C1718</f>
        <v>B42x</v>
      </c>
      <c r="E1718" s="367">
        <v>13</v>
      </c>
      <c r="F1718" s="370"/>
      <c r="G1718" s="368"/>
      <c r="H1718" s="368"/>
      <c r="I1718" s="368"/>
      <c r="J1718" s="368"/>
      <c r="K1718" s="370"/>
      <c r="L1718" s="370"/>
      <c r="M1718" s="370"/>
      <c r="N1718" s="382"/>
      <c r="O1718" s="372"/>
      <c r="P1718" s="380"/>
      <c r="Q1718" s="381"/>
      <c r="R1718" s="381"/>
      <c r="S1718" s="361"/>
      <c r="T1718" s="361"/>
      <c r="U1718" s="361"/>
      <c r="V1718" s="366"/>
      <c r="W1718" s="366"/>
    </row>
    <row r="1719" spans="1:23">
      <c r="A1719" s="1410"/>
      <c r="B1719" s="1413"/>
      <c r="C1719" s="845" t="s">
        <v>732</v>
      </c>
      <c r="D1719" s="875" t="str">
        <f>B1705&amp;C1719</f>
        <v>B42y</v>
      </c>
      <c r="E1719" s="367">
        <v>14</v>
      </c>
      <c r="F1719" s="370"/>
      <c r="G1719" s="368"/>
      <c r="H1719" s="368"/>
      <c r="I1719" s="368"/>
      <c r="J1719" s="368"/>
      <c r="K1719" s="370"/>
      <c r="L1719" s="370"/>
      <c r="M1719" s="370"/>
      <c r="N1719" s="382"/>
      <c r="O1719" s="372"/>
      <c r="P1719" s="380"/>
      <c r="Q1719" s="381"/>
      <c r="R1719" s="381"/>
      <c r="S1719" s="361"/>
      <c r="T1719" s="361"/>
      <c r="U1719" s="362"/>
      <c r="V1719" s="366"/>
      <c r="W1719" s="366"/>
    </row>
    <row r="1720" spans="1:23">
      <c r="A1720" s="1411"/>
      <c r="B1720" s="1414"/>
      <c r="C1720" s="846" t="s">
        <v>996</v>
      </c>
      <c r="D1720" s="876" t="str">
        <f>B1705&amp;C1720</f>
        <v>B42z</v>
      </c>
      <c r="E1720" s="847">
        <v>15</v>
      </c>
      <c r="F1720" s="370"/>
      <c r="G1720" s="368"/>
      <c r="H1720" s="368"/>
      <c r="I1720" s="368"/>
      <c r="J1720" s="368"/>
      <c r="K1720" s="370"/>
      <c r="L1720" s="370"/>
      <c r="M1720" s="370"/>
      <c r="N1720" s="850"/>
      <c r="O1720" s="851"/>
      <c r="P1720" s="380"/>
      <c r="Q1720" s="852"/>
      <c r="R1720" s="383"/>
      <c r="S1720" s="361"/>
      <c r="T1720" s="832"/>
      <c r="U1720" s="830"/>
      <c r="V1720" s="366"/>
      <c r="W1720" s="366"/>
    </row>
    <row r="1721" spans="1:23">
      <c r="A1721" s="1400" t="s">
        <v>939</v>
      </c>
      <c r="B1721" s="1400"/>
      <c r="C1721" s="827"/>
      <c r="D1721" s="871"/>
      <c r="E1721" s="1400" t="s">
        <v>177</v>
      </c>
      <c r="F1721" s="1400" t="s">
        <v>18</v>
      </c>
      <c r="G1721" s="1389" t="s">
        <v>19</v>
      </c>
      <c r="H1721" s="1390"/>
      <c r="I1721" s="1389" t="s">
        <v>22</v>
      </c>
      <c r="J1721" s="1390"/>
      <c r="K1721" s="1393" t="s">
        <v>26</v>
      </c>
      <c r="L1721" s="1390"/>
      <c r="M1721" s="1389" t="s">
        <v>392</v>
      </c>
      <c r="N1721" s="1390"/>
      <c r="O1721" s="1389" t="s">
        <v>28</v>
      </c>
      <c r="P1721" s="1393"/>
      <c r="Q1721" s="1390"/>
      <c r="R1721" s="1400" t="s">
        <v>36</v>
      </c>
      <c r="S1721" s="361"/>
      <c r="T1721" s="361">
        <f>MAX(J1725:J1739)-MIN(I1725:I1739)</f>
        <v>5.208333333333337E-2</v>
      </c>
      <c r="U1721" s="361"/>
      <c r="V1721" s="853" t="str">
        <f t="shared" ref="V1721" si="182">B1725</f>
        <v>BP1</v>
      </c>
      <c r="W1721" s="361">
        <f t="shared" ref="W1721" si="183">COUNTIF(K1726:K1740,"&gt;0")</f>
        <v>4</v>
      </c>
    </row>
    <row r="1722" spans="1:23">
      <c r="A1722" s="1401"/>
      <c r="B1722" s="1401"/>
      <c r="C1722" s="828"/>
      <c r="D1722" s="872"/>
      <c r="E1722" s="1401"/>
      <c r="F1722" s="1401"/>
      <c r="G1722" s="1391"/>
      <c r="H1722" s="1392"/>
      <c r="I1722" s="1391"/>
      <c r="J1722" s="1392"/>
      <c r="K1722" s="1394"/>
      <c r="L1722" s="1392"/>
      <c r="M1722" s="1391"/>
      <c r="N1722" s="1392"/>
      <c r="O1722" s="1391"/>
      <c r="P1722" s="1394"/>
      <c r="Q1722" s="1392"/>
      <c r="R1722" s="1401"/>
      <c r="S1722" s="361"/>
      <c r="T1722" s="361"/>
      <c r="U1722" s="361"/>
      <c r="V1722" s="361"/>
      <c r="W1722" s="361"/>
    </row>
    <row r="1723" spans="1:23">
      <c r="A1723" s="1401"/>
      <c r="B1723" s="1401"/>
      <c r="C1723" s="828"/>
      <c r="D1723" s="872"/>
      <c r="E1723" s="1401"/>
      <c r="F1723" s="1401"/>
      <c r="G1723" s="1400" t="s">
        <v>20</v>
      </c>
      <c r="H1723" s="1400" t="s">
        <v>21</v>
      </c>
      <c r="I1723" s="1400" t="s">
        <v>361</v>
      </c>
      <c r="J1723" s="1400" t="s">
        <v>353</v>
      </c>
      <c r="K1723" s="1400" t="s">
        <v>23</v>
      </c>
      <c r="L1723" s="1400" t="s">
        <v>24</v>
      </c>
      <c r="M1723" s="1400" t="s">
        <v>27</v>
      </c>
      <c r="N1723" s="1400" t="s">
        <v>178</v>
      </c>
      <c r="O1723" s="1400" t="s">
        <v>1</v>
      </c>
      <c r="P1723" s="1400" t="s">
        <v>29</v>
      </c>
      <c r="Q1723" s="1400" t="s">
        <v>33</v>
      </c>
      <c r="R1723" s="1401"/>
      <c r="S1723" s="361"/>
      <c r="T1723" s="361" t="s">
        <v>39</v>
      </c>
      <c r="U1723" s="362">
        <f>VLOOKUP(B1725,'Thong tin'!$A:$M,13,0)</f>
        <v>1200</v>
      </c>
      <c r="V1723" s="361"/>
      <c r="W1723" s="361"/>
    </row>
    <row r="1724" spans="1:23">
      <c r="A1724" s="1402"/>
      <c r="B1724" s="1402"/>
      <c r="C1724" s="829"/>
      <c r="D1724" s="873"/>
      <c r="E1724" s="1402"/>
      <c r="F1724" s="1402"/>
      <c r="G1724" s="1402"/>
      <c r="H1724" s="1402"/>
      <c r="I1724" s="1402"/>
      <c r="J1724" s="1402"/>
      <c r="K1724" s="1402"/>
      <c r="L1724" s="1402"/>
      <c r="M1724" s="1402"/>
      <c r="N1724" s="1402"/>
      <c r="O1724" s="1402"/>
      <c r="P1724" s="1402"/>
      <c r="Q1724" s="1402"/>
      <c r="R1724" s="1402"/>
      <c r="S1724" s="361"/>
      <c r="T1724" s="1399" t="s">
        <v>393</v>
      </c>
      <c r="U1724" s="1397">
        <f>VLOOKUP(B1725,DT.NK!$B:$AZ,45,0)</f>
        <v>27.95</v>
      </c>
      <c r="V1724" s="361"/>
      <c r="W1724" s="361"/>
    </row>
    <row r="1725" spans="1:23">
      <c r="A1725" s="1409">
        <f>A1705+1</f>
        <v>87</v>
      </c>
      <c r="B1725" s="1412" t="s">
        <v>1112</v>
      </c>
      <c r="C1725" s="844" t="s">
        <v>983</v>
      </c>
      <c r="D1725" s="874" t="str">
        <f>B1725&amp;C1725</f>
        <v>BP1a</v>
      </c>
      <c r="E1725" s="363"/>
      <c r="F1725" s="364"/>
      <c r="G1725" s="364"/>
      <c r="H1725" s="364"/>
      <c r="I1725" s="364"/>
      <c r="J1725" s="364"/>
      <c r="K1725" s="364"/>
      <c r="L1725" s="364"/>
      <c r="M1725" s="674"/>
      <c r="N1725" s="670"/>
      <c r="O1725" s="670">
        <f>U1724</f>
        <v>27.95</v>
      </c>
      <c r="P1725" s="670">
        <f>O1725</f>
        <v>27.95</v>
      </c>
      <c r="Q1725" s="670">
        <v>0</v>
      </c>
      <c r="R1725" s="365"/>
      <c r="S1725" s="366"/>
      <c r="T1725" s="1399"/>
      <c r="U1725" s="1398"/>
      <c r="V1725" s="361"/>
      <c r="W1725" s="361"/>
    </row>
    <row r="1726" spans="1:23">
      <c r="A1726" s="1410"/>
      <c r="B1726" s="1413"/>
      <c r="C1726" s="845" t="s">
        <v>984</v>
      </c>
      <c r="D1726" s="875" t="str">
        <f>B1725&amp;C1726</f>
        <v>BP1b</v>
      </c>
      <c r="E1726" s="367">
        <v>1</v>
      </c>
      <c r="F1726" s="669" t="s">
        <v>1010</v>
      </c>
      <c r="G1726" s="369">
        <v>0.82152777777777775</v>
      </c>
      <c r="H1726" s="368">
        <v>0.86111111111111116</v>
      </c>
      <c r="I1726" s="368">
        <v>0.87152777777777779</v>
      </c>
      <c r="J1726" s="368">
        <v>0.87638888888888899</v>
      </c>
      <c r="K1726" s="669">
        <v>9</v>
      </c>
      <c r="L1726" s="669">
        <v>19</v>
      </c>
      <c r="M1726" s="675">
        <v>25.95</v>
      </c>
      <c r="N1726" s="671">
        <f>IF(M1726-P1726&gt;0,M1726-P1726,0)</f>
        <v>4.4499999999999993</v>
      </c>
      <c r="O1726" s="671">
        <f>O1725-K1726/(PI()*(U1723/2000)^2)</f>
        <v>19.992252845405233</v>
      </c>
      <c r="P1726" s="672">
        <v>21.5</v>
      </c>
      <c r="Q1726" s="673">
        <f>ABS(O1726-P1726)</f>
        <v>1.5077471545947674</v>
      </c>
      <c r="R1726" s="375" t="s">
        <v>188</v>
      </c>
      <c r="S1726" s="366"/>
      <c r="T1726" s="376"/>
      <c r="U1726" s="376"/>
      <c r="V1726" s="366"/>
      <c r="W1726" s="366"/>
    </row>
    <row r="1727" spans="1:23">
      <c r="A1727" s="1410"/>
      <c r="B1727" s="1413"/>
      <c r="C1727" s="845" t="s">
        <v>985</v>
      </c>
      <c r="D1727" s="875" t="str">
        <f>B1725&amp;C1727</f>
        <v>BP1c</v>
      </c>
      <c r="E1727" s="367">
        <v>2</v>
      </c>
      <c r="F1727" s="669" t="s">
        <v>1007</v>
      </c>
      <c r="G1727" s="369">
        <v>0.82777777777777783</v>
      </c>
      <c r="H1727" s="368">
        <v>0.8652777777777777</v>
      </c>
      <c r="I1727" s="368">
        <v>0.88541666666666663</v>
      </c>
      <c r="J1727" s="368">
        <v>0.89097222222222217</v>
      </c>
      <c r="K1727" s="669">
        <v>9</v>
      </c>
      <c r="L1727" s="669">
        <v>19</v>
      </c>
      <c r="M1727" s="675">
        <v>19.649999999999999</v>
      </c>
      <c r="N1727" s="671">
        <f>IF(M1727-P1727&gt;0,M1727-P1727,0)</f>
        <v>5.3499999999999979</v>
      </c>
      <c r="O1727" s="671">
        <f>O1726-K1727/(PI()*(U1723/2000)^2)</f>
        <v>12.034505690810466</v>
      </c>
      <c r="P1727" s="672">
        <v>14.3</v>
      </c>
      <c r="Q1727" s="673">
        <f>ABS(O1727-P1727)</f>
        <v>2.2654943091895348</v>
      </c>
      <c r="R1727" s="375" t="s">
        <v>188</v>
      </c>
      <c r="S1727" s="366"/>
      <c r="T1727" s="376"/>
      <c r="U1727" s="376"/>
      <c r="V1727" s="366"/>
      <c r="W1727" s="366"/>
    </row>
    <row r="1728" spans="1:23">
      <c r="A1728" s="1410"/>
      <c r="B1728" s="1413"/>
      <c r="C1728" s="845" t="s">
        <v>986</v>
      </c>
      <c r="D1728" s="875" t="str">
        <f>B1725&amp;C1728</f>
        <v>BP1d</v>
      </c>
      <c r="E1728" s="367">
        <v>3</v>
      </c>
      <c r="F1728" s="669" t="s">
        <v>1111</v>
      </c>
      <c r="G1728" s="368">
        <v>0.83472222222222225</v>
      </c>
      <c r="H1728" s="368">
        <v>0.86875000000000002</v>
      </c>
      <c r="I1728" s="368">
        <v>0.89930555555555547</v>
      </c>
      <c r="J1728" s="368">
        <v>0.90416666666666667</v>
      </c>
      <c r="K1728" s="370">
        <v>9</v>
      </c>
      <c r="L1728" s="370">
        <v>19</v>
      </c>
      <c r="M1728" s="371">
        <v>13.35</v>
      </c>
      <c r="N1728" s="671">
        <f>IF(M1728-P1728&gt;0,M1728-P1728,0)</f>
        <v>4.25</v>
      </c>
      <c r="O1728" s="671">
        <f>O1727-K1728/(PI()*(U1723/2000)^2)</f>
        <v>4.0767585362156993</v>
      </c>
      <c r="P1728" s="373">
        <v>9.1</v>
      </c>
      <c r="Q1728" s="673">
        <f>ABS(O1728-P1728)</f>
        <v>5.0232414637843004</v>
      </c>
      <c r="R1728" s="375" t="s">
        <v>188</v>
      </c>
      <c r="S1728" s="366"/>
      <c r="T1728" s="376"/>
      <c r="U1728" s="376"/>
      <c r="V1728" s="366"/>
      <c r="W1728" s="366"/>
    </row>
    <row r="1729" spans="1:23">
      <c r="A1729" s="1410"/>
      <c r="B1729" s="1413"/>
      <c r="C1729" s="845" t="s">
        <v>987</v>
      </c>
      <c r="D1729" s="875" t="str">
        <f>B1725&amp;C1729</f>
        <v>BP1e</v>
      </c>
      <c r="E1729" s="367">
        <v>4</v>
      </c>
      <c r="F1729" s="669" t="s">
        <v>980</v>
      </c>
      <c r="G1729" s="368">
        <v>0.89930555555555547</v>
      </c>
      <c r="H1729" s="368">
        <v>0.91666666666666663</v>
      </c>
      <c r="I1729" s="368">
        <v>0.92013888888888884</v>
      </c>
      <c r="J1729" s="368">
        <v>0.92361111111111116</v>
      </c>
      <c r="K1729" s="370">
        <v>5</v>
      </c>
      <c r="L1729" s="370">
        <v>19</v>
      </c>
      <c r="M1729" s="371">
        <v>13.35</v>
      </c>
      <c r="N1729" s="671">
        <f>IF(M1729-P1729&gt;0,M1729-P1729,0)</f>
        <v>7.9499999999999993</v>
      </c>
      <c r="O1729" s="671">
        <f>O1728-K1729/(PI()*(U1723/2000)^2)</f>
        <v>-0.34421210522583756</v>
      </c>
      <c r="P1729" s="373">
        <v>5.4</v>
      </c>
      <c r="Q1729" s="673">
        <f>ABS(O1729-P1729)</f>
        <v>5.7442121052258379</v>
      </c>
      <c r="R1729" s="375"/>
      <c r="S1729" s="366"/>
      <c r="T1729" s="376"/>
      <c r="U1729" s="376"/>
      <c r="V1729" s="366"/>
      <c r="W1729" s="366"/>
    </row>
    <row r="1730" spans="1:23">
      <c r="A1730" s="1410"/>
      <c r="B1730" s="1413"/>
      <c r="C1730" s="845" t="s">
        <v>988</v>
      </c>
      <c r="D1730" s="875" t="str">
        <f>B1725&amp;C1730</f>
        <v>BP1f</v>
      </c>
      <c r="E1730" s="367">
        <v>5</v>
      </c>
      <c r="F1730" s="669"/>
      <c r="G1730" s="368"/>
      <c r="H1730" s="368"/>
      <c r="I1730" s="368"/>
      <c r="J1730" s="368"/>
      <c r="K1730" s="370"/>
      <c r="L1730" s="370"/>
      <c r="M1730" s="371"/>
      <c r="N1730" s="671"/>
      <c r="O1730" s="671"/>
      <c r="P1730" s="373"/>
      <c r="Q1730" s="673"/>
      <c r="R1730" s="377"/>
      <c r="S1730" s="366" t="s">
        <v>190</v>
      </c>
      <c r="T1730" s="376"/>
      <c r="U1730" s="376"/>
      <c r="V1730" s="366"/>
      <c r="W1730" s="366"/>
    </row>
    <row r="1731" spans="1:23">
      <c r="A1731" s="1410"/>
      <c r="B1731" s="1413"/>
      <c r="C1731" s="845" t="s">
        <v>989</v>
      </c>
      <c r="D1731" s="875" t="str">
        <f>B1725&amp;C1731</f>
        <v>BP1g</v>
      </c>
      <c r="E1731" s="367">
        <v>6</v>
      </c>
      <c r="F1731" s="669"/>
      <c r="G1731" s="368"/>
      <c r="H1731" s="368"/>
      <c r="I1731" s="368"/>
      <c r="J1731" s="368"/>
      <c r="K1731" s="370"/>
      <c r="L1731" s="370"/>
      <c r="M1731" s="371"/>
      <c r="N1731" s="671"/>
      <c r="O1731" s="671"/>
      <c r="P1731" s="373"/>
      <c r="Q1731" s="673"/>
      <c r="R1731" s="375"/>
      <c r="S1731" s="366" t="s">
        <v>190</v>
      </c>
      <c r="T1731" s="366"/>
      <c r="U1731" s="366"/>
      <c r="V1731" s="366"/>
      <c r="W1731" s="366"/>
    </row>
    <row r="1732" spans="1:23">
      <c r="A1732" s="1410"/>
      <c r="B1732" s="1413"/>
      <c r="C1732" s="845" t="s">
        <v>990</v>
      </c>
      <c r="D1732" s="875" t="str">
        <f>B1725&amp;C1732</f>
        <v>BP1h</v>
      </c>
      <c r="E1732" s="367">
        <v>7</v>
      </c>
      <c r="F1732" s="669"/>
      <c r="G1732" s="368"/>
      <c r="H1732" s="368"/>
      <c r="I1732" s="368"/>
      <c r="J1732" s="368"/>
      <c r="K1732" s="370"/>
      <c r="L1732" s="370"/>
      <c r="M1732" s="371"/>
      <c r="N1732" s="671"/>
      <c r="O1732" s="671"/>
      <c r="P1732" s="373"/>
      <c r="Q1732" s="673"/>
      <c r="R1732" s="377"/>
      <c r="S1732" s="366" t="s">
        <v>190</v>
      </c>
      <c r="T1732" s="366"/>
      <c r="U1732" s="366"/>
      <c r="V1732" s="366"/>
      <c r="W1732" s="366"/>
    </row>
    <row r="1733" spans="1:23">
      <c r="A1733" s="1410"/>
      <c r="B1733" s="1413"/>
      <c r="C1733" s="845" t="s">
        <v>991</v>
      </c>
      <c r="D1733" s="875" t="str">
        <f>B1725&amp;C1733</f>
        <v>BP1i</v>
      </c>
      <c r="E1733" s="367">
        <v>8</v>
      </c>
      <c r="F1733" s="669"/>
      <c r="G1733" s="368"/>
      <c r="H1733" s="368"/>
      <c r="I1733" s="368"/>
      <c r="J1733" s="368"/>
      <c r="K1733" s="370"/>
      <c r="L1733" s="370"/>
      <c r="M1733" s="371"/>
      <c r="N1733" s="671"/>
      <c r="O1733" s="671"/>
      <c r="P1733" s="373"/>
      <c r="Q1733" s="673"/>
      <c r="R1733" s="378"/>
      <c r="S1733" s="366"/>
      <c r="T1733" s="366"/>
      <c r="U1733" s="366"/>
      <c r="V1733" s="366"/>
      <c r="W1733" s="366"/>
    </row>
    <row r="1734" spans="1:23">
      <c r="A1734" s="1410"/>
      <c r="B1734" s="1413"/>
      <c r="C1734" s="845" t="s">
        <v>992</v>
      </c>
      <c r="D1734" s="875" t="str">
        <f>B1725&amp;C1734</f>
        <v>BP1k</v>
      </c>
      <c r="E1734" s="367">
        <v>9</v>
      </c>
      <c r="F1734" s="370"/>
      <c r="G1734" s="368"/>
      <c r="H1734" s="368"/>
      <c r="I1734" s="368"/>
      <c r="J1734" s="368"/>
      <c r="K1734" s="370"/>
      <c r="L1734" s="370"/>
      <c r="M1734" s="371"/>
      <c r="N1734" s="372"/>
      <c r="O1734" s="372"/>
      <c r="P1734" s="373"/>
      <c r="Q1734" s="374"/>
      <c r="R1734" s="378"/>
      <c r="S1734" s="379"/>
      <c r="T1734" s="366"/>
      <c r="U1734" s="366"/>
      <c r="V1734" s="366"/>
      <c r="W1734" s="366"/>
    </row>
    <row r="1735" spans="1:23">
      <c r="A1735" s="1410"/>
      <c r="B1735" s="1413"/>
      <c r="C1735" s="845" t="s">
        <v>993</v>
      </c>
      <c r="D1735" s="875" t="str">
        <f>B1725&amp;C1735</f>
        <v>BP1l</v>
      </c>
      <c r="E1735" s="367">
        <v>10</v>
      </c>
      <c r="F1735" s="370"/>
      <c r="G1735" s="368"/>
      <c r="H1735" s="368"/>
      <c r="I1735" s="368"/>
      <c r="J1735" s="368"/>
      <c r="K1735" s="370"/>
      <c r="L1735" s="370"/>
      <c r="M1735" s="370"/>
      <c r="N1735" s="372"/>
      <c r="O1735" s="372"/>
      <c r="P1735" s="373"/>
      <c r="Q1735" s="374"/>
      <c r="R1735" s="378"/>
      <c r="S1735" s="379"/>
      <c r="T1735" s="366"/>
      <c r="U1735" s="366"/>
      <c r="V1735" s="366"/>
      <c r="W1735" s="366"/>
    </row>
    <row r="1736" spans="1:23">
      <c r="A1736" s="1410"/>
      <c r="B1736" s="1413"/>
      <c r="C1736" s="845" t="s">
        <v>994</v>
      </c>
      <c r="D1736" s="875" t="str">
        <f>B1725&amp;C1736</f>
        <v>BP1m</v>
      </c>
      <c r="E1736" s="367">
        <v>11</v>
      </c>
      <c r="F1736" s="370"/>
      <c r="G1736" s="368"/>
      <c r="H1736" s="368"/>
      <c r="I1736" s="368"/>
      <c r="J1736" s="368"/>
      <c r="K1736" s="370"/>
      <c r="L1736" s="370"/>
      <c r="M1736" s="370"/>
      <c r="N1736" s="372"/>
      <c r="O1736" s="372"/>
      <c r="P1736" s="380"/>
      <c r="Q1736" s="374"/>
      <c r="R1736" s="381"/>
      <c r="S1736" s="379"/>
      <c r="T1736" s="366"/>
      <c r="U1736" s="366"/>
      <c r="V1736" s="366"/>
      <c r="W1736" s="366"/>
    </row>
    <row r="1737" spans="1:23">
      <c r="A1737" s="1410"/>
      <c r="B1737" s="1413"/>
      <c r="C1737" s="845" t="s">
        <v>995</v>
      </c>
      <c r="D1737" s="875" t="str">
        <f>B1725&amp;C1737</f>
        <v>BP1n</v>
      </c>
      <c r="E1737" s="367">
        <v>12</v>
      </c>
      <c r="F1737" s="370"/>
      <c r="G1737" s="368"/>
      <c r="H1737" s="368"/>
      <c r="I1737" s="368"/>
      <c r="J1737" s="368"/>
      <c r="K1737" s="370"/>
      <c r="L1737" s="370"/>
      <c r="M1737" s="370"/>
      <c r="N1737" s="372"/>
      <c r="O1737" s="372"/>
      <c r="P1737" s="380"/>
      <c r="Q1737" s="374"/>
      <c r="R1737" s="381"/>
      <c r="S1737" s="361"/>
      <c r="T1737" s="361"/>
      <c r="U1737" s="361"/>
      <c r="V1737" s="366"/>
      <c r="W1737" s="366"/>
    </row>
    <row r="1738" spans="1:23">
      <c r="A1738" s="1410"/>
      <c r="B1738" s="1413"/>
      <c r="C1738" s="845" t="s">
        <v>471</v>
      </c>
      <c r="D1738" s="875" t="str">
        <f>B1725&amp;C1738</f>
        <v>BP1x</v>
      </c>
      <c r="E1738" s="367">
        <v>13</v>
      </c>
      <c r="F1738" s="370"/>
      <c r="G1738" s="368"/>
      <c r="H1738" s="368"/>
      <c r="I1738" s="368"/>
      <c r="J1738" s="368"/>
      <c r="K1738" s="370"/>
      <c r="L1738" s="370"/>
      <c r="M1738" s="370"/>
      <c r="N1738" s="382"/>
      <c r="O1738" s="372"/>
      <c r="P1738" s="380"/>
      <c r="Q1738" s="381"/>
      <c r="R1738" s="381"/>
      <c r="S1738" s="361"/>
      <c r="T1738" s="361"/>
      <c r="U1738" s="361"/>
      <c r="V1738" s="366"/>
      <c r="W1738" s="366"/>
    </row>
    <row r="1739" spans="1:23">
      <c r="A1739" s="1410"/>
      <c r="B1739" s="1413"/>
      <c r="C1739" s="845" t="s">
        <v>732</v>
      </c>
      <c r="D1739" s="875" t="str">
        <f>B1725&amp;C1739</f>
        <v>BP1y</v>
      </c>
      <c r="E1739" s="367">
        <v>14</v>
      </c>
      <c r="F1739" s="370"/>
      <c r="G1739" s="368"/>
      <c r="H1739" s="368"/>
      <c r="I1739" s="368"/>
      <c r="J1739" s="368"/>
      <c r="K1739" s="370"/>
      <c r="L1739" s="370"/>
      <c r="M1739" s="370"/>
      <c r="N1739" s="382"/>
      <c r="O1739" s="372"/>
      <c r="P1739" s="380"/>
      <c r="Q1739" s="381"/>
      <c r="R1739" s="381"/>
      <c r="S1739" s="361"/>
      <c r="T1739" s="361"/>
      <c r="U1739" s="362"/>
      <c r="V1739" s="366"/>
      <c r="W1739" s="366"/>
    </row>
    <row r="1740" spans="1:23">
      <c r="A1740" s="1411"/>
      <c r="B1740" s="1414"/>
      <c r="C1740" s="846" t="s">
        <v>996</v>
      </c>
      <c r="D1740" s="876" t="str">
        <f>B1725&amp;C1740</f>
        <v>BP1z</v>
      </c>
      <c r="E1740" s="847">
        <v>15</v>
      </c>
      <c r="F1740" s="370"/>
      <c r="G1740" s="368"/>
      <c r="H1740" s="368"/>
      <c r="I1740" s="368"/>
      <c r="J1740" s="368"/>
      <c r="K1740" s="370"/>
      <c r="L1740" s="370"/>
      <c r="M1740" s="370"/>
      <c r="N1740" s="850"/>
      <c r="O1740" s="851"/>
      <c r="P1740" s="380"/>
      <c r="Q1740" s="852"/>
      <c r="R1740" s="383"/>
      <c r="S1740" s="361"/>
      <c r="T1740" s="832"/>
      <c r="U1740" s="830"/>
      <c r="V1740" s="366"/>
      <c r="W1740" s="366"/>
    </row>
    <row r="1741" spans="1:23">
      <c r="A1741" s="1400" t="s">
        <v>939</v>
      </c>
      <c r="B1741" s="1400"/>
      <c r="C1741" s="827"/>
      <c r="D1741" s="871"/>
      <c r="E1741" s="1400" t="s">
        <v>177</v>
      </c>
      <c r="F1741" s="1400" t="s">
        <v>18</v>
      </c>
      <c r="G1741" s="1389" t="s">
        <v>19</v>
      </c>
      <c r="H1741" s="1390"/>
      <c r="I1741" s="1389" t="s">
        <v>22</v>
      </c>
      <c r="J1741" s="1390"/>
      <c r="K1741" s="1393" t="s">
        <v>26</v>
      </c>
      <c r="L1741" s="1390"/>
      <c r="M1741" s="1389" t="s">
        <v>392</v>
      </c>
      <c r="N1741" s="1390"/>
      <c r="O1741" s="1389" t="s">
        <v>28</v>
      </c>
      <c r="P1741" s="1393"/>
      <c r="Q1741" s="1390"/>
      <c r="R1741" s="1400" t="s">
        <v>36</v>
      </c>
      <c r="S1741" s="361"/>
      <c r="T1741" s="361">
        <f>MAX(J1745:J1759)-MIN(I1745:I1759)</f>
        <v>0.12152777777777778</v>
      </c>
      <c r="U1741" s="361"/>
      <c r="V1741" s="853" t="str">
        <f t="shared" ref="V1741" si="184">B1745</f>
        <v>A130</v>
      </c>
      <c r="W1741" s="361">
        <f t="shared" ref="W1741" si="185">COUNTIF(K1746:K1760,"&gt;0")</f>
        <v>5</v>
      </c>
    </row>
    <row r="1742" spans="1:23">
      <c r="A1742" s="1401"/>
      <c r="B1742" s="1401"/>
      <c r="C1742" s="828"/>
      <c r="D1742" s="872"/>
      <c r="E1742" s="1401"/>
      <c r="F1742" s="1401"/>
      <c r="G1742" s="1391"/>
      <c r="H1742" s="1392"/>
      <c r="I1742" s="1391"/>
      <c r="J1742" s="1392"/>
      <c r="K1742" s="1394"/>
      <c r="L1742" s="1392"/>
      <c r="M1742" s="1391"/>
      <c r="N1742" s="1392"/>
      <c r="O1742" s="1391"/>
      <c r="P1742" s="1394"/>
      <c r="Q1742" s="1392"/>
      <c r="R1742" s="1401"/>
      <c r="S1742" s="361"/>
      <c r="T1742" s="361"/>
      <c r="U1742" s="361"/>
      <c r="V1742" s="361"/>
      <c r="W1742" s="361"/>
    </row>
    <row r="1743" spans="1:23">
      <c r="A1743" s="1401"/>
      <c r="B1743" s="1401"/>
      <c r="C1743" s="828"/>
      <c r="D1743" s="872"/>
      <c r="E1743" s="1401"/>
      <c r="F1743" s="1401"/>
      <c r="G1743" s="1400" t="s">
        <v>20</v>
      </c>
      <c r="H1743" s="1400" t="s">
        <v>21</v>
      </c>
      <c r="I1743" s="1400" t="s">
        <v>361</v>
      </c>
      <c r="J1743" s="1400" t="s">
        <v>353</v>
      </c>
      <c r="K1743" s="1400" t="s">
        <v>23</v>
      </c>
      <c r="L1743" s="1400" t="s">
        <v>24</v>
      </c>
      <c r="M1743" s="1400" t="s">
        <v>27</v>
      </c>
      <c r="N1743" s="1400" t="s">
        <v>178</v>
      </c>
      <c r="O1743" s="1400" t="s">
        <v>1</v>
      </c>
      <c r="P1743" s="1400" t="s">
        <v>29</v>
      </c>
      <c r="Q1743" s="1400" t="s">
        <v>33</v>
      </c>
      <c r="R1743" s="1401"/>
      <c r="S1743" s="361"/>
      <c r="T1743" s="361" t="s">
        <v>39</v>
      </c>
      <c r="U1743" s="362">
        <f>VLOOKUP(B1745,'Thong tin'!$A:$M,13,0)</f>
        <v>1200</v>
      </c>
      <c r="V1743" s="361"/>
      <c r="W1743" s="361"/>
    </row>
    <row r="1744" spans="1:23">
      <c r="A1744" s="1402"/>
      <c r="B1744" s="1402"/>
      <c r="C1744" s="829"/>
      <c r="D1744" s="873"/>
      <c r="E1744" s="1402"/>
      <c r="F1744" s="1402"/>
      <c r="G1744" s="1402"/>
      <c r="H1744" s="1402"/>
      <c r="I1744" s="1402"/>
      <c r="J1744" s="1402"/>
      <c r="K1744" s="1402"/>
      <c r="L1744" s="1402"/>
      <c r="M1744" s="1402"/>
      <c r="N1744" s="1402"/>
      <c r="O1744" s="1402"/>
      <c r="P1744" s="1402"/>
      <c r="Q1744" s="1402"/>
      <c r="R1744" s="1402"/>
      <c r="S1744" s="361"/>
      <c r="T1744" s="1399" t="s">
        <v>393</v>
      </c>
      <c r="U1744" s="1397">
        <f>VLOOKUP(B1745,DT.NK!$B:$AZ,45,0)</f>
        <v>30.45</v>
      </c>
      <c r="V1744" s="361"/>
      <c r="W1744" s="361"/>
    </row>
    <row r="1745" spans="1:23">
      <c r="A1745" s="1409">
        <f>A1725+1</f>
        <v>88</v>
      </c>
      <c r="B1745" s="1412" t="s">
        <v>683</v>
      </c>
      <c r="C1745" s="844" t="s">
        <v>983</v>
      </c>
      <c r="D1745" s="874" t="str">
        <f>B1745&amp;C1745</f>
        <v>A130a</v>
      </c>
      <c r="E1745" s="363"/>
      <c r="F1745" s="364"/>
      <c r="G1745" s="364"/>
      <c r="H1745" s="364"/>
      <c r="I1745" s="364"/>
      <c r="J1745" s="364"/>
      <c r="K1745" s="364"/>
      <c r="L1745" s="364"/>
      <c r="M1745" s="674"/>
      <c r="N1745" s="670"/>
      <c r="O1745" s="670">
        <f>U1744</f>
        <v>30.45</v>
      </c>
      <c r="P1745" s="670">
        <f>O1745</f>
        <v>30.45</v>
      </c>
      <c r="Q1745" s="670">
        <v>0</v>
      </c>
      <c r="R1745" s="365"/>
      <c r="S1745" s="366"/>
      <c r="T1745" s="1399"/>
      <c r="U1745" s="1398"/>
      <c r="V1745" s="361"/>
      <c r="W1745" s="361"/>
    </row>
    <row r="1746" spans="1:23">
      <c r="A1746" s="1410"/>
      <c r="B1746" s="1413"/>
      <c r="C1746" s="845" t="s">
        <v>984</v>
      </c>
      <c r="D1746" s="875" t="str">
        <f>B1745&amp;C1746</f>
        <v>A130b</v>
      </c>
      <c r="E1746" s="367">
        <v>1</v>
      </c>
      <c r="F1746" s="669" t="s">
        <v>1089</v>
      </c>
      <c r="G1746" s="369">
        <v>6.25E-2</v>
      </c>
      <c r="H1746" s="368">
        <v>0.1076388888888889</v>
      </c>
      <c r="I1746" s="368">
        <v>0.11805555555555557</v>
      </c>
      <c r="J1746" s="368">
        <v>0.125</v>
      </c>
      <c r="K1746" s="669">
        <v>9</v>
      </c>
      <c r="L1746" s="669">
        <v>19</v>
      </c>
      <c r="M1746" s="675">
        <v>28.45</v>
      </c>
      <c r="N1746" s="671">
        <f>IF(M1746-P1746&gt;0,M1746-P1746,0)</f>
        <v>3.4499999999999993</v>
      </c>
      <c r="O1746" s="671">
        <f>O1745-K1746/(PI()*(U1743/2000)^2)</f>
        <v>22.492252845405233</v>
      </c>
      <c r="P1746" s="672">
        <v>25</v>
      </c>
      <c r="Q1746" s="673">
        <f>ABS(O1746-P1746)</f>
        <v>2.5077471545947674</v>
      </c>
      <c r="R1746" s="375" t="s">
        <v>188</v>
      </c>
      <c r="S1746" s="366"/>
      <c r="T1746" s="376"/>
      <c r="U1746" s="376"/>
      <c r="V1746" s="366"/>
      <c r="W1746" s="366"/>
    </row>
    <row r="1747" spans="1:23">
      <c r="A1747" s="1410"/>
      <c r="B1747" s="1413"/>
      <c r="C1747" s="845" t="s">
        <v>985</v>
      </c>
      <c r="D1747" s="875" t="str">
        <f>B1745&amp;C1747</f>
        <v>A130c</v>
      </c>
      <c r="E1747" s="367">
        <v>2</v>
      </c>
      <c r="F1747" s="669" t="s">
        <v>980</v>
      </c>
      <c r="G1747" s="369">
        <v>6.805555555555555E-2</v>
      </c>
      <c r="H1747" s="368">
        <v>0.1111111111111111</v>
      </c>
      <c r="I1747" s="368">
        <v>0.13194444444444445</v>
      </c>
      <c r="J1747" s="368">
        <v>0.1388888888888889</v>
      </c>
      <c r="K1747" s="669">
        <v>9</v>
      </c>
      <c r="L1747" s="669">
        <v>19</v>
      </c>
      <c r="M1747" s="675">
        <v>22.15</v>
      </c>
      <c r="N1747" s="671">
        <f>IF(M1747-P1747&gt;0,M1747-P1747,0)</f>
        <v>4.75</v>
      </c>
      <c r="O1747" s="671">
        <f>O1746-K1747/(PI()*(U1743/2000)^2)</f>
        <v>14.534505690810466</v>
      </c>
      <c r="P1747" s="672">
        <v>17.399999999999999</v>
      </c>
      <c r="Q1747" s="673">
        <f>ABS(O1747-P1747)</f>
        <v>2.8654943091895326</v>
      </c>
      <c r="R1747" s="375" t="s">
        <v>188</v>
      </c>
      <c r="S1747" s="366"/>
      <c r="T1747" s="376"/>
      <c r="U1747" s="376"/>
      <c r="V1747" s="366"/>
      <c r="W1747" s="366"/>
    </row>
    <row r="1748" spans="1:23">
      <c r="A1748" s="1410"/>
      <c r="B1748" s="1413"/>
      <c r="C1748" s="845" t="s">
        <v>986</v>
      </c>
      <c r="D1748" s="875" t="str">
        <f>B1745&amp;C1748</f>
        <v>A130d</v>
      </c>
      <c r="E1748" s="367">
        <v>3</v>
      </c>
      <c r="F1748" s="669" t="s">
        <v>1096</v>
      </c>
      <c r="G1748" s="368">
        <v>7.6388888888888895E-2</v>
      </c>
      <c r="H1748" s="368">
        <v>0.12152777777777778</v>
      </c>
      <c r="I1748" s="368">
        <v>0.14583333333333334</v>
      </c>
      <c r="J1748" s="368">
        <v>0.15277777777777776</v>
      </c>
      <c r="K1748" s="370">
        <v>9</v>
      </c>
      <c r="L1748" s="370">
        <v>19</v>
      </c>
      <c r="M1748" s="371">
        <v>15.85</v>
      </c>
      <c r="N1748" s="671">
        <f>IF(M1748-P1748&gt;0,M1748-P1748,0)</f>
        <v>3.3499999999999996</v>
      </c>
      <c r="O1748" s="671">
        <f>O1747-K1748/(PI()*(U1743/2000)^2)</f>
        <v>6.5767585362156993</v>
      </c>
      <c r="P1748" s="373">
        <v>12.5</v>
      </c>
      <c r="Q1748" s="673">
        <f>ABS(O1748-P1748)</f>
        <v>5.9232414637843007</v>
      </c>
      <c r="R1748" s="375" t="s">
        <v>188</v>
      </c>
      <c r="S1748" s="366"/>
      <c r="T1748" s="376"/>
      <c r="U1748" s="376"/>
      <c r="V1748" s="366"/>
      <c r="W1748" s="366"/>
    </row>
    <row r="1749" spans="1:23">
      <c r="A1749" s="1410"/>
      <c r="B1749" s="1413"/>
      <c r="C1749" s="845" t="s">
        <v>987</v>
      </c>
      <c r="D1749" s="875" t="str">
        <f>B1745&amp;C1749</f>
        <v>A130e</v>
      </c>
      <c r="E1749" s="367">
        <v>4</v>
      </c>
      <c r="F1749" s="669" t="s">
        <v>1085</v>
      </c>
      <c r="G1749" s="368">
        <v>0.15069444444444444</v>
      </c>
      <c r="H1749" s="368">
        <v>0.17361111111111113</v>
      </c>
      <c r="I1749" s="368">
        <v>0.17708333333333334</v>
      </c>
      <c r="J1749" s="368">
        <v>0.18402777777777779</v>
      </c>
      <c r="K1749" s="370">
        <v>9</v>
      </c>
      <c r="L1749" s="370">
        <v>19</v>
      </c>
      <c r="M1749" s="371">
        <v>15.85</v>
      </c>
      <c r="N1749" s="671">
        <f>IF(M1749-P1749&gt;0,M1749-P1749,0)</f>
        <v>5.85</v>
      </c>
      <c r="O1749" s="671">
        <f>O1748-K1749/(PI()*(U1743/2000)^2)</f>
        <v>-1.3809886183790674</v>
      </c>
      <c r="P1749" s="373">
        <v>10</v>
      </c>
      <c r="Q1749" s="673">
        <f>ABS(O1749-P1749)</f>
        <v>11.380988618379067</v>
      </c>
      <c r="R1749" s="375"/>
      <c r="S1749" s="366"/>
      <c r="T1749" s="376"/>
      <c r="U1749" s="376"/>
      <c r="V1749" s="366"/>
      <c r="W1749" s="366"/>
    </row>
    <row r="1750" spans="1:23">
      <c r="A1750" s="1410"/>
      <c r="B1750" s="1413"/>
      <c r="C1750" s="845" t="s">
        <v>988</v>
      </c>
      <c r="D1750" s="875" t="str">
        <f>B1745&amp;C1750</f>
        <v>A130f</v>
      </c>
      <c r="E1750" s="367">
        <v>5</v>
      </c>
      <c r="F1750" s="669" t="s">
        <v>1111</v>
      </c>
      <c r="G1750" s="368">
        <v>0.19236111111111112</v>
      </c>
      <c r="H1750" s="368">
        <v>0.22916666666666666</v>
      </c>
      <c r="I1750" s="368">
        <v>0.23263888888888887</v>
      </c>
      <c r="J1750" s="368">
        <v>0.23958333333333334</v>
      </c>
      <c r="K1750" s="370">
        <v>9</v>
      </c>
      <c r="L1750" s="370">
        <v>19</v>
      </c>
      <c r="M1750" s="371">
        <v>12.7</v>
      </c>
      <c r="N1750" s="671">
        <f>IF(M1750-P1750&gt;0,M1750-P1750,0)</f>
        <v>6.1999999999999993</v>
      </c>
      <c r="O1750" s="671">
        <f>O1749-K1750/(PI()*(U1743/2000)^2)</f>
        <v>-9.3387357729738341</v>
      </c>
      <c r="P1750" s="373">
        <v>6.5</v>
      </c>
      <c r="Q1750" s="673">
        <f>ABS(O1750-P1750)</f>
        <v>15.838735772973834</v>
      </c>
      <c r="R1750" s="377"/>
      <c r="S1750" s="366" t="s">
        <v>190</v>
      </c>
      <c r="T1750" s="376"/>
      <c r="U1750" s="376"/>
      <c r="V1750" s="366"/>
      <c r="W1750" s="366"/>
    </row>
    <row r="1751" spans="1:23">
      <c r="A1751" s="1410"/>
      <c r="B1751" s="1413"/>
      <c r="C1751" s="845" t="s">
        <v>989</v>
      </c>
      <c r="D1751" s="875" t="str">
        <f>B1745&amp;C1751</f>
        <v>A130g</v>
      </c>
      <c r="E1751" s="367">
        <v>6</v>
      </c>
      <c r="F1751" s="669"/>
      <c r="G1751" s="368"/>
      <c r="H1751" s="368"/>
      <c r="I1751" s="368"/>
      <c r="J1751" s="368"/>
      <c r="K1751" s="370"/>
      <c r="L1751" s="370"/>
      <c r="M1751" s="371"/>
      <c r="N1751" s="671"/>
      <c r="O1751" s="671"/>
      <c r="P1751" s="373"/>
      <c r="Q1751" s="673"/>
      <c r="R1751" s="375"/>
      <c r="S1751" s="366" t="s">
        <v>190</v>
      </c>
      <c r="T1751" s="366"/>
      <c r="U1751" s="366"/>
      <c r="V1751" s="366"/>
      <c r="W1751" s="366"/>
    </row>
    <row r="1752" spans="1:23">
      <c r="A1752" s="1410"/>
      <c r="B1752" s="1413"/>
      <c r="C1752" s="845" t="s">
        <v>990</v>
      </c>
      <c r="D1752" s="875" t="str">
        <f>B1745&amp;C1752</f>
        <v>A130h</v>
      </c>
      <c r="E1752" s="367">
        <v>7</v>
      </c>
      <c r="F1752" s="669"/>
      <c r="G1752" s="368"/>
      <c r="H1752" s="368"/>
      <c r="I1752" s="368"/>
      <c r="J1752" s="368"/>
      <c r="K1752" s="370"/>
      <c r="L1752" s="370"/>
      <c r="M1752" s="371"/>
      <c r="N1752" s="671"/>
      <c r="O1752" s="671"/>
      <c r="P1752" s="373"/>
      <c r="Q1752" s="673"/>
      <c r="R1752" s="377"/>
      <c r="S1752" s="366" t="s">
        <v>190</v>
      </c>
      <c r="T1752" s="366"/>
      <c r="U1752" s="366"/>
      <c r="V1752" s="366"/>
      <c r="W1752" s="366"/>
    </row>
    <row r="1753" spans="1:23">
      <c r="A1753" s="1410"/>
      <c r="B1753" s="1413"/>
      <c r="C1753" s="845" t="s">
        <v>991</v>
      </c>
      <c r="D1753" s="875" t="str">
        <f>B1745&amp;C1753</f>
        <v>A130i</v>
      </c>
      <c r="E1753" s="367">
        <v>8</v>
      </c>
      <c r="F1753" s="669"/>
      <c r="G1753" s="368"/>
      <c r="H1753" s="368"/>
      <c r="I1753" s="368"/>
      <c r="J1753" s="368"/>
      <c r="K1753" s="370"/>
      <c r="L1753" s="370"/>
      <c r="M1753" s="371"/>
      <c r="N1753" s="671"/>
      <c r="O1753" s="671"/>
      <c r="P1753" s="373"/>
      <c r="Q1753" s="673"/>
      <c r="R1753" s="378"/>
      <c r="S1753" s="366"/>
      <c r="T1753" s="366"/>
      <c r="U1753" s="366"/>
      <c r="V1753" s="366"/>
      <c r="W1753" s="366"/>
    </row>
    <row r="1754" spans="1:23">
      <c r="A1754" s="1410"/>
      <c r="B1754" s="1413"/>
      <c r="C1754" s="845" t="s">
        <v>992</v>
      </c>
      <c r="D1754" s="875" t="str">
        <f>B1745&amp;C1754</f>
        <v>A130k</v>
      </c>
      <c r="E1754" s="367">
        <v>9</v>
      </c>
      <c r="F1754" s="370"/>
      <c r="G1754" s="368"/>
      <c r="H1754" s="368"/>
      <c r="I1754" s="368"/>
      <c r="J1754" s="368"/>
      <c r="K1754" s="370"/>
      <c r="L1754" s="370"/>
      <c r="M1754" s="371"/>
      <c r="N1754" s="372"/>
      <c r="O1754" s="372"/>
      <c r="P1754" s="373"/>
      <c r="Q1754" s="374"/>
      <c r="R1754" s="378"/>
      <c r="S1754" s="379"/>
      <c r="T1754" s="366"/>
      <c r="U1754" s="366"/>
      <c r="V1754" s="366"/>
      <c r="W1754" s="366"/>
    </row>
    <row r="1755" spans="1:23">
      <c r="A1755" s="1410"/>
      <c r="B1755" s="1413"/>
      <c r="C1755" s="845" t="s">
        <v>993</v>
      </c>
      <c r="D1755" s="875" t="str">
        <f>B1745&amp;C1755</f>
        <v>A130l</v>
      </c>
      <c r="E1755" s="367">
        <v>10</v>
      </c>
      <c r="F1755" s="370"/>
      <c r="G1755" s="368"/>
      <c r="H1755" s="368"/>
      <c r="I1755" s="368"/>
      <c r="J1755" s="368"/>
      <c r="K1755" s="370"/>
      <c r="L1755" s="370"/>
      <c r="M1755" s="370"/>
      <c r="N1755" s="372"/>
      <c r="O1755" s="372"/>
      <c r="P1755" s="373"/>
      <c r="Q1755" s="374"/>
      <c r="R1755" s="378"/>
      <c r="S1755" s="379"/>
      <c r="T1755" s="366"/>
      <c r="U1755" s="366"/>
      <c r="V1755" s="366"/>
      <c r="W1755" s="366"/>
    </row>
    <row r="1756" spans="1:23">
      <c r="A1756" s="1410"/>
      <c r="B1756" s="1413"/>
      <c r="C1756" s="845" t="s">
        <v>994</v>
      </c>
      <c r="D1756" s="875" t="str">
        <f>B1745&amp;C1756</f>
        <v>A130m</v>
      </c>
      <c r="E1756" s="367">
        <v>11</v>
      </c>
      <c r="F1756" s="370"/>
      <c r="G1756" s="368"/>
      <c r="H1756" s="368"/>
      <c r="I1756" s="368"/>
      <c r="J1756" s="368"/>
      <c r="K1756" s="370"/>
      <c r="L1756" s="370"/>
      <c r="M1756" s="370"/>
      <c r="N1756" s="372"/>
      <c r="O1756" s="372"/>
      <c r="P1756" s="380"/>
      <c r="Q1756" s="374"/>
      <c r="R1756" s="381"/>
      <c r="S1756" s="379"/>
      <c r="T1756" s="366"/>
      <c r="U1756" s="366"/>
      <c r="V1756" s="366"/>
      <c r="W1756" s="366"/>
    </row>
    <row r="1757" spans="1:23">
      <c r="A1757" s="1410"/>
      <c r="B1757" s="1413"/>
      <c r="C1757" s="845" t="s">
        <v>995</v>
      </c>
      <c r="D1757" s="875" t="str">
        <f>B1745&amp;C1757</f>
        <v>A130n</v>
      </c>
      <c r="E1757" s="367">
        <v>12</v>
      </c>
      <c r="F1757" s="370"/>
      <c r="G1757" s="368"/>
      <c r="H1757" s="368"/>
      <c r="I1757" s="368"/>
      <c r="J1757" s="368"/>
      <c r="K1757" s="370"/>
      <c r="L1757" s="370"/>
      <c r="M1757" s="370"/>
      <c r="N1757" s="372"/>
      <c r="O1757" s="372"/>
      <c r="P1757" s="380"/>
      <c r="Q1757" s="374"/>
      <c r="R1757" s="381"/>
      <c r="S1757" s="361"/>
      <c r="T1757" s="361"/>
      <c r="U1757" s="361"/>
      <c r="V1757" s="366"/>
      <c r="W1757" s="366"/>
    </row>
    <row r="1758" spans="1:23">
      <c r="A1758" s="1410"/>
      <c r="B1758" s="1413"/>
      <c r="C1758" s="845" t="s">
        <v>471</v>
      </c>
      <c r="D1758" s="875" t="str">
        <f>B1745&amp;C1758</f>
        <v>A130x</v>
      </c>
      <c r="E1758" s="367">
        <v>13</v>
      </c>
      <c r="F1758" s="370"/>
      <c r="G1758" s="368"/>
      <c r="H1758" s="368"/>
      <c r="I1758" s="368"/>
      <c r="J1758" s="368"/>
      <c r="K1758" s="370"/>
      <c r="L1758" s="370"/>
      <c r="M1758" s="370"/>
      <c r="N1758" s="382"/>
      <c r="O1758" s="372"/>
      <c r="P1758" s="380"/>
      <c r="Q1758" s="381"/>
      <c r="R1758" s="381"/>
      <c r="S1758" s="361"/>
      <c r="T1758" s="361"/>
      <c r="U1758" s="361"/>
      <c r="V1758" s="366"/>
      <c r="W1758" s="366"/>
    </row>
    <row r="1759" spans="1:23">
      <c r="A1759" s="1410"/>
      <c r="B1759" s="1413"/>
      <c r="C1759" s="845" t="s">
        <v>732</v>
      </c>
      <c r="D1759" s="875" t="str">
        <f>B1745&amp;C1759</f>
        <v>A130y</v>
      </c>
      <c r="E1759" s="367">
        <v>14</v>
      </c>
      <c r="F1759" s="370"/>
      <c r="G1759" s="368"/>
      <c r="H1759" s="368"/>
      <c r="I1759" s="368"/>
      <c r="J1759" s="368"/>
      <c r="K1759" s="370"/>
      <c r="L1759" s="370"/>
      <c r="M1759" s="370"/>
      <c r="N1759" s="382"/>
      <c r="O1759" s="372"/>
      <c r="P1759" s="380"/>
      <c r="Q1759" s="381"/>
      <c r="R1759" s="381"/>
      <c r="S1759" s="361"/>
      <c r="T1759" s="361"/>
      <c r="U1759" s="362"/>
      <c r="V1759" s="366"/>
      <c r="W1759" s="366"/>
    </row>
    <row r="1760" spans="1:23">
      <c r="A1760" s="1411"/>
      <c r="B1760" s="1414"/>
      <c r="C1760" s="846" t="s">
        <v>996</v>
      </c>
      <c r="D1760" s="876" t="str">
        <f>B1745&amp;C1760</f>
        <v>A130z</v>
      </c>
      <c r="E1760" s="847">
        <v>15</v>
      </c>
      <c r="F1760" s="370"/>
      <c r="G1760" s="368"/>
      <c r="H1760" s="368"/>
      <c r="I1760" s="368"/>
      <c r="J1760" s="368"/>
      <c r="K1760" s="370"/>
      <c r="L1760" s="370"/>
      <c r="M1760" s="370"/>
      <c r="N1760" s="850"/>
      <c r="O1760" s="851"/>
      <c r="P1760" s="380"/>
      <c r="Q1760" s="852"/>
      <c r="R1760" s="383"/>
      <c r="S1760" s="361"/>
      <c r="T1760" s="832"/>
      <c r="U1760" s="830"/>
      <c r="V1760" s="366"/>
      <c r="W1760" s="366"/>
    </row>
    <row r="1761" spans="1:23">
      <c r="A1761" s="1400" t="s">
        <v>939</v>
      </c>
      <c r="B1761" s="1400"/>
      <c r="C1761" s="827"/>
      <c r="D1761" s="871"/>
      <c r="E1761" s="1400" t="s">
        <v>177</v>
      </c>
      <c r="F1761" s="1400" t="s">
        <v>18</v>
      </c>
      <c r="G1761" s="1389" t="s">
        <v>19</v>
      </c>
      <c r="H1761" s="1390"/>
      <c r="I1761" s="1389" t="s">
        <v>22</v>
      </c>
      <c r="J1761" s="1390"/>
      <c r="K1761" s="1393" t="s">
        <v>26</v>
      </c>
      <c r="L1761" s="1390"/>
      <c r="M1761" s="1389" t="s">
        <v>392</v>
      </c>
      <c r="N1761" s="1390"/>
      <c r="O1761" s="1389" t="s">
        <v>28</v>
      </c>
      <c r="P1761" s="1393"/>
      <c r="Q1761" s="1390"/>
      <c r="R1761" s="1400" t="s">
        <v>36</v>
      </c>
      <c r="S1761" s="361"/>
      <c r="T1761" s="361">
        <f>MAX(J1765:J1779)-MIN(I1765:I1779)</f>
        <v>4.166666666666663E-2</v>
      </c>
      <c r="U1761" s="361"/>
      <c r="V1761" s="853" t="str">
        <f t="shared" ref="V1761" si="186">B1765</f>
        <v>A85</v>
      </c>
      <c r="W1761" s="361">
        <f t="shared" ref="W1761" si="187">COUNTIF(K1766:K1780,"&gt;0")</f>
        <v>4</v>
      </c>
    </row>
    <row r="1762" spans="1:23">
      <c r="A1762" s="1401"/>
      <c r="B1762" s="1401"/>
      <c r="C1762" s="828"/>
      <c r="D1762" s="872"/>
      <c r="E1762" s="1401"/>
      <c r="F1762" s="1401"/>
      <c r="G1762" s="1391"/>
      <c r="H1762" s="1392"/>
      <c r="I1762" s="1391"/>
      <c r="J1762" s="1392"/>
      <c r="K1762" s="1394"/>
      <c r="L1762" s="1392"/>
      <c r="M1762" s="1391"/>
      <c r="N1762" s="1392"/>
      <c r="O1762" s="1391"/>
      <c r="P1762" s="1394"/>
      <c r="Q1762" s="1392"/>
      <c r="R1762" s="1401"/>
      <c r="S1762" s="361"/>
      <c r="T1762" s="361"/>
      <c r="U1762" s="361"/>
      <c r="V1762" s="361"/>
      <c r="W1762" s="361"/>
    </row>
    <row r="1763" spans="1:23">
      <c r="A1763" s="1401"/>
      <c r="B1763" s="1401"/>
      <c r="C1763" s="828"/>
      <c r="D1763" s="872"/>
      <c r="E1763" s="1401"/>
      <c r="F1763" s="1401"/>
      <c r="G1763" s="1400" t="s">
        <v>20</v>
      </c>
      <c r="H1763" s="1400" t="s">
        <v>21</v>
      </c>
      <c r="I1763" s="1400" t="s">
        <v>361</v>
      </c>
      <c r="J1763" s="1400" t="s">
        <v>353</v>
      </c>
      <c r="K1763" s="1400" t="s">
        <v>23</v>
      </c>
      <c r="L1763" s="1400" t="s">
        <v>24</v>
      </c>
      <c r="M1763" s="1400" t="s">
        <v>27</v>
      </c>
      <c r="N1763" s="1400" t="s">
        <v>178</v>
      </c>
      <c r="O1763" s="1400" t="s">
        <v>1</v>
      </c>
      <c r="P1763" s="1400" t="s">
        <v>29</v>
      </c>
      <c r="Q1763" s="1400" t="s">
        <v>33</v>
      </c>
      <c r="R1763" s="1401"/>
      <c r="S1763" s="361"/>
      <c r="T1763" s="361" t="s">
        <v>39</v>
      </c>
      <c r="U1763" s="362">
        <f>VLOOKUP(B1765,'Thong tin'!$A:$M,13,0)</f>
        <v>1200</v>
      </c>
      <c r="V1763" s="361"/>
      <c r="W1763" s="361"/>
    </row>
    <row r="1764" spans="1:23">
      <c r="A1764" s="1402"/>
      <c r="B1764" s="1402"/>
      <c r="C1764" s="829"/>
      <c r="D1764" s="873"/>
      <c r="E1764" s="1402"/>
      <c r="F1764" s="1402"/>
      <c r="G1764" s="1402"/>
      <c r="H1764" s="1402"/>
      <c r="I1764" s="1402"/>
      <c r="J1764" s="1402"/>
      <c r="K1764" s="1402"/>
      <c r="L1764" s="1402"/>
      <c r="M1764" s="1402"/>
      <c r="N1764" s="1402"/>
      <c r="O1764" s="1402"/>
      <c r="P1764" s="1402"/>
      <c r="Q1764" s="1402"/>
      <c r="R1764" s="1402"/>
      <c r="S1764" s="361"/>
      <c r="T1764" s="1399" t="s">
        <v>393</v>
      </c>
      <c r="U1764" s="1397">
        <f>VLOOKUP(B1765,DT.NK!$B:$AZ,45,0)</f>
        <v>28.33</v>
      </c>
      <c r="V1764" s="361"/>
      <c r="W1764" s="361"/>
    </row>
    <row r="1765" spans="1:23">
      <c r="A1765" s="1409">
        <f>A1745+1</f>
        <v>89</v>
      </c>
      <c r="B1765" s="1412" t="s">
        <v>682</v>
      </c>
      <c r="C1765" s="844" t="s">
        <v>983</v>
      </c>
      <c r="D1765" s="874" t="str">
        <f>B1765&amp;C1765</f>
        <v>A85a</v>
      </c>
      <c r="E1765" s="363"/>
      <c r="F1765" s="364"/>
      <c r="G1765" s="364"/>
      <c r="H1765" s="364"/>
      <c r="I1765" s="364"/>
      <c r="J1765" s="364"/>
      <c r="K1765" s="364"/>
      <c r="L1765" s="364"/>
      <c r="M1765" s="674"/>
      <c r="N1765" s="670"/>
      <c r="O1765" s="670">
        <f>U1764</f>
        <v>28.33</v>
      </c>
      <c r="P1765" s="670">
        <f>O1765</f>
        <v>28.33</v>
      </c>
      <c r="Q1765" s="670">
        <v>0</v>
      </c>
      <c r="R1765" s="365"/>
      <c r="S1765" s="366"/>
      <c r="T1765" s="1399"/>
      <c r="U1765" s="1398"/>
      <c r="V1765" s="361"/>
      <c r="W1765" s="361"/>
    </row>
    <row r="1766" spans="1:23">
      <c r="A1766" s="1410"/>
      <c r="B1766" s="1413"/>
      <c r="C1766" s="845" t="s">
        <v>984</v>
      </c>
      <c r="D1766" s="875" t="str">
        <f>B1765&amp;C1766</f>
        <v>A85b</v>
      </c>
      <c r="E1766" s="367">
        <v>1</v>
      </c>
      <c r="F1766" s="669" t="s">
        <v>1007</v>
      </c>
      <c r="G1766" s="369">
        <v>0.54999999999999993</v>
      </c>
      <c r="H1766" s="368">
        <v>0.58333333333333337</v>
      </c>
      <c r="I1766" s="368">
        <v>0.59375</v>
      </c>
      <c r="J1766" s="368">
        <v>0.59722222222222221</v>
      </c>
      <c r="K1766" s="669">
        <v>9</v>
      </c>
      <c r="L1766" s="669">
        <v>19.5</v>
      </c>
      <c r="M1766" s="675">
        <v>25.33</v>
      </c>
      <c r="N1766" s="671">
        <f>IF(M1766-P1766&gt;0,M1766-P1766,0)</f>
        <v>2.0299999999999976</v>
      </c>
      <c r="O1766" s="671">
        <f>O1765-K1766/(PI()*(U1763/2000)^2)</f>
        <v>20.372252845405232</v>
      </c>
      <c r="P1766" s="672">
        <v>23.3</v>
      </c>
      <c r="Q1766" s="673">
        <f>ABS(O1766-P1766)</f>
        <v>2.9277471545947691</v>
      </c>
      <c r="R1766" s="375" t="s">
        <v>188</v>
      </c>
      <c r="S1766" s="366"/>
      <c r="T1766" s="376"/>
      <c r="U1766" s="376"/>
      <c r="V1766" s="366"/>
      <c r="W1766" s="366"/>
    </row>
    <row r="1767" spans="1:23">
      <c r="A1767" s="1410"/>
      <c r="B1767" s="1413"/>
      <c r="C1767" s="845" t="s">
        <v>985</v>
      </c>
      <c r="D1767" s="875" t="str">
        <f>B1765&amp;C1767</f>
        <v>A85c</v>
      </c>
      <c r="E1767" s="367">
        <v>2</v>
      </c>
      <c r="F1767" s="669" t="s">
        <v>1010</v>
      </c>
      <c r="G1767" s="369">
        <v>0.55763888888888891</v>
      </c>
      <c r="H1767" s="368">
        <v>0.59375</v>
      </c>
      <c r="I1767" s="368">
        <v>0.60069444444444442</v>
      </c>
      <c r="J1767" s="368">
        <v>0.60416666666666663</v>
      </c>
      <c r="K1767" s="669">
        <v>9</v>
      </c>
      <c r="L1767" s="669">
        <v>19</v>
      </c>
      <c r="M1767" s="675">
        <v>19.18</v>
      </c>
      <c r="N1767" s="671">
        <f>IF(M1767-P1767&gt;0,M1767-P1767,0)</f>
        <v>2.4800000000000004</v>
      </c>
      <c r="O1767" s="671">
        <f>O1766-K1767/(PI()*(U1763/2000)^2)</f>
        <v>12.414505690810465</v>
      </c>
      <c r="P1767" s="672">
        <v>16.7</v>
      </c>
      <c r="Q1767" s="673">
        <f>ABS(O1767-P1767)</f>
        <v>4.2854943091895343</v>
      </c>
      <c r="R1767" s="375" t="s">
        <v>188</v>
      </c>
      <c r="S1767" s="366"/>
      <c r="T1767" s="376"/>
      <c r="U1767" s="376"/>
      <c r="V1767" s="366"/>
      <c r="W1767" s="366"/>
    </row>
    <row r="1768" spans="1:23">
      <c r="A1768" s="1410"/>
      <c r="B1768" s="1413"/>
      <c r="C1768" s="845" t="s">
        <v>986</v>
      </c>
      <c r="D1768" s="875" t="str">
        <f>B1765&amp;C1768</f>
        <v>A85d</v>
      </c>
      <c r="E1768" s="367">
        <v>3</v>
      </c>
      <c r="F1768" s="669" t="s">
        <v>1085</v>
      </c>
      <c r="G1768" s="368">
        <v>0.56458333333333333</v>
      </c>
      <c r="H1768" s="368">
        <v>0.60416666666666663</v>
      </c>
      <c r="I1768" s="368">
        <v>0.60763888888888895</v>
      </c>
      <c r="J1768" s="368">
        <v>0.61111111111111105</v>
      </c>
      <c r="K1768" s="370">
        <v>9</v>
      </c>
      <c r="L1768" s="370">
        <v>20</v>
      </c>
      <c r="M1768" s="371">
        <v>13.03</v>
      </c>
      <c r="N1768" s="671">
        <f>IF(M1768-P1768&gt;0,M1768-P1768,0)</f>
        <v>2.7299999999999986</v>
      </c>
      <c r="O1768" s="671">
        <f>O1767-K1768/(PI()*(U1763/2000)^2)</f>
        <v>4.4567585362156983</v>
      </c>
      <c r="P1768" s="373">
        <v>10.3</v>
      </c>
      <c r="Q1768" s="673">
        <f>ABS(O1768-P1768)</f>
        <v>5.8432414637843024</v>
      </c>
      <c r="R1768" s="375" t="s">
        <v>188</v>
      </c>
      <c r="S1768" s="366"/>
      <c r="T1768" s="376"/>
      <c r="U1768" s="376"/>
      <c r="V1768" s="366"/>
      <c r="W1768" s="366"/>
    </row>
    <row r="1769" spans="1:23">
      <c r="A1769" s="1410"/>
      <c r="B1769" s="1413"/>
      <c r="C1769" s="845" t="s">
        <v>987</v>
      </c>
      <c r="D1769" s="875" t="str">
        <f>B1765&amp;C1769</f>
        <v>A85e</v>
      </c>
      <c r="E1769" s="367">
        <v>4</v>
      </c>
      <c r="F1769" s="669" t="s">
        <v>980</v>
      </c>
      <c r="G1769" s="368">
        <v>0.61249999999999993</v>
      </c>
      <c r="H1769" s="368">
        <v>0.62152777777777779</v>
      </c>
      <c r="I1769" s="368">
        <v>0.63194444444444442</v>
      </c>
      <c r="J1769" s="368">
        <v>0.63541666666666663</v>
      </c>
      <c r="K1769" s="370">
        <v>2</v>
      </c>
      <c r="L1769" s="370">
        <v>19</v>
      </c>
      <c r="M1769" s="371">
        <v>13.03</v>
      </c>
      <c r="N1769" s="671">
        <f>IF(M1769-P1769&gt;0,M1769-P1769,0)</f>
        <v>4.43</v>
      </c>
      <c r="O1769" s="671">
        <f>O1768-K1769/(PI()*(U1763/2000)^2)</f>
        <v>2.6883702796390834</v>
      </c>
      <c r="P1769" s="373">
        <v>8.6</v>
      </c>
      <c r="Q1769" s="673">
        <f>ABS(O1769-P1769)</f>
        <v>5.9116297203609163</v>
      </c>
      <c r="R1769" s="375"/>
      <c r="S1769" s="366"/>
      <c r="T1769" s="376"/>
      <c r="U1769" s="376"/>
      <c r="V1769" s="366"/>
      <c r="W1769" s="366"/>
    </row>
    <row r="1770" spans="1:23">
      <c r="A1770" s="1410"/>
      <c r="B1770" s="1413"/>
      <c r="C1770" s="845" t="s">
        <v>988</v>
      </c>
      <c r="D1770" s="875" t="str">
        <f>B1765&amp;C1770</f>
        <v>A85f</v>
      </c>
      <c r="E1770" s="367">
        <v>5</v>
      </c>
      <c r="F1770" s="669"/>
      <c r="G1770" s="368"/>
      <c r="H1770" s="368"/>
      <c r="I1770" s="368"/>
      <c r="J1770" s="368"/>
      <c r="K1770" s="370"/>
      <c r="L1770" s="370"/>
      <c r="M1770" s="371"/>
      <c r="N1770" s="671"/>
      <c r="O1770" s="671"/>
      <c r="P1770" s="373"/>
      <c r="Q1770" s="673"/>
      <c r="R1770" s="377"/>
      <c r="S1770" s="366" t="s">
        <v>190</v>
      </c>
      <c r="T1770" s="376"/>
      <c r="U1770" s="376"/>
      <c r="V1770" s="366"/>
      <c r="W1770" s="366"/>
    </row>
    <row r="1771" spans="1:23">
      <c r="A1771" s="1410"/>
      <c r="B1771" s="1413"/>
      <c r="C1771" s="845" t="s">
        <v>989</v>
      </c>
      <c r="D1771" s="875" t="str">
        <f>B1765&amp;C1771</f>
        <v>A85g</v>
      </c>
      <c r="E1771" s="367">
        <v>6</v>
      </c>
      <c r="F1771" s="669"/>
      <c r="G1771" s="368"/>
      <c r="H1771" s="368"/>
      <c r="I1771" s="368"/>
      <c r="J1771" s="368"/>
      <c r="K1771" s="370"/>
      <c r="L1771" s="370"/>
      <c r="M1771" s="371"/>
      <c r="N1771" s="671"/>
      <c r="O1771" s="671"/>
      <c r="P1771" s="373"/>
      <c r="Q1771" s="673"/>
      <c r="R1771" s="375"/>
      <c r="S1771" s="366" t="s">
        <v>190</v>
      </c>
      <c r="T1771" s="366"/>
      <c r="U1771" s="366"/>
      <c r="V1771" s="366"/>
      <c r="W1771" s="366"/>
    </row>
    <row r="1772" spans="1:23">
      <c r="A1772" s="1410"/>
      <c r="B1772" s="1413"/>
      <c r="C1772" s="845" t="s">
        <v>990</v>
      </c>
      <c r="D1772" s="875" t="str">
        <f>B1765&amp;C1772</f>
        <v>A85h</v>
      </c>
      <c r="E1772" s="367">
        <v>7</v>
      </c>
      <c r="F1772" s="669"/>
      <c r="G1772" s="368"/>
      <c r="H1772" s="368"/>
      <c r="I1772" s="368"/>
      <c r="J1772" s="368"/>
      <c r="K1772" s="370"/>
      <c r="L1772" s="370"/>
      <c r="M1772" s="371"/>
      <c r="N1772" s="671"/>
      <c r="O1772" s="671"/>
      <c r="P1772" s="373"/>
      <c r="Q1772" s="673"/>
      <c r="R1772" s="377"/>
      <c r="S1772" s="366" t="s">
        <v>190</v>
      </c>
      <c r="T1772" s="366"/>
      <c r="U1772" s="366"/>
      <c r="V1772" s="366"/>
      <c r="W1772" s="366"/>
    </row>
    <row r="1773" spans="1:23">
      <c r="A1773" s="1410"/>
      <c r="B1773" s="1413"/>
      <c r="C1773" s="845" t="s">
        <v>991</v>
      </c>
      <c r="D1773" s="875" t="str">
        <f>B1765&amp;C1773</f>
        <v>A85i</v>
      </c>
      <c r="E1773" s="367">
        <v>8</v>
      </c>
      <c r="F1773" s="669"/>
      <c r="G1773" s="368"/>
      <c r="H1773" s="368"/>
      <c r="I1773" s="368"/>
      <c r="J1773" s="368"/>
      <c r="K1773" s="370"/>
      <c r="L1773" s="370"/>
      <c r="M1773" s="371"/>
      <c r="N1773" s="671"/>
      <c r="O1773" s="671"/>
      <c r="P1773" s="373"/>
      <c r="Q1773" s="673"/>
      <c r="R1773" s="378"/>
      <c r="S1773" s="366"/>
      <c r="T1773" s="366"/>
      <c r="U1773" s="366"/>
      <c r="V1773" s="366"/>
      <c r="W1773" s="366"/>
    </row>
    <row r="1774" spans="1:23">
      <c r="A1774" s="1410"/>
      <c r="B1774" s="1413"/>
      <c r="C1774" s="845" t="s">
        <v>992</v>
      </c>
      <c r="D1774" s="875" t="str">
        <f>B1765&amp;C1774</f>
        <v>A85k</v>
      </c>
      <c r="E1774" s="367">
        <v>9</v>
      </c>
      <c r="F1774" s="370"/>
      <c r="G1774" s="368"/>
      <c r="H1774" s="368"/>
      <c r="I1774" s="368"/>
      <c r="J1774" s="368"/>
      <c r="K1774" s="370"/>
      <c r="L1774" s="370"/>
      <c r="M1774" s="371"/>
      <c r="N1774" s="372"/>
      <c r="O1774" s="372"/>
      <c r="P1774" s="373"/>
      <c r="Q1774" s="374"/>
      <c r="R1774" s="378"/>
      <c r="S1774" s="379"/>
      <c r="T1774" s="366"/>
      <c r="U1774" s="366"/>
      <c r="V1774" s="366"/>
      <c r="W1774" s="366"/>
    </row>
    <row r="1775" spans="1:23">
      <c r="A1775" s="1410"/>
      <c r="B1775" s="1413"/>
      <c r="C1775" s="845" t="s">
        <v>993</v>
      </c>
      <c r="D1775" s="875" t="str">
        <f>B1765&amp;C1775</f>
        <v>A85l</v>
      </c>
      <c r="E1775" s="367">
        <v>10</v>
      </c>
      <c r="F1775" s="370"/>
      <c r="G1775" s="368"/>
      <c r="H1775" s="368"/>
      <c r="I1775" s="368"/>
      <c r="J1775" s="368"/>
      <c r="K1775" s="370"/>
      <c r="L1775" s="370"/>
      <c r="M1775" s="370"/>
      <c r="N1775" s="372"/>
      <c r="O1775" s="372"/>
      <c r="P1775" s="373"/>
      <c r="Q1775" s="374"/>
      <c r="R1775" s="378"/>
      <c r="S1775" s="379"/>
      <c r="T1775" s="366"/>
      <c r="U1775" s="366"/>
      <c r="V1775" s="366"/>
      <c r="W1775" s="366"/>
    </row>
    <row r="1776" spans="1:23">
      <c r="A1776" s="1410"/>
      <c r="B1776" s="1413"/>
      <c r="C1776" s="845" t="s">
        <v>994</v>
      </c>
      <c r="D1776" s="875" t="str">
        <f>B1765&amp;C1776</f>
        <v>A85m</v>
      </c>
      <c r="E1776" s="367">
        <v>11</v>
      </c>
      <c r="F1776" s="370"/>
      <c r="G1776" s="368"/>
      <c r="H1776" s="368"/>
      <c r="I1776" s="368"/>
      <c r="J1776" s="368"/>
      <c r="K1776" s="370"/>
      <c r="L1776" s="370"/>
      <c r="M1776" s="370"/>
      <c r="N1776" s="372"/>
      <c r="O1776" s="372"/>
      <c r="P1776" s="380"/>
      <c r="Q1776" s="374"/>
      <c r="R1776" s="381"/>
      <c r="S1776" s="379"/>
      <c r="T1776" s="366"/>
      <c r="U1776" s="366"/>
      <c r="V1776" s="366"/>
      <c r="W1776" s="366"/>
    </row>
    <row r="1777" spans="1:23">
      <c r="A1777" s="1410"/>
      <c r="B1777" s="1413"/>
      <c r="C1777" s="845" t="s">
        <v>995</v>
      </c>
      <c r="D1777" s="875" t="str">
        <f>B1765&amp;C1777</f>
        <v>A85n</v>
      </c>
      <c r="E1777" s="367">
        <v>12</v>
      </c>
      <c r="F1777" s="370"/>
      <c r="G1777" s="368"/>
      <c r="H1777" s="368"/>
      <c r="I1777" s="368"/>
      <c r="J1777" s="368"/>
      <c r="K1777" s="370"/>
      <c r="L1777" s="370"/>
      <c r="M1777" s="370"/>
      <c r="N1777" s="372"/>
      <c r="O1777" s="372"/>
      <c r="P1777" s="380"/>
      <c r="Q1777" s="374"/>
      <c r="R1777" s="381"/>
      <c r="S1777" s="361"/>
      <c r="T1777" s="361"/>
      <c r="U1777" s="361"/>
      <c r="V1777" s="366"/>
      <c r="W1777" s="366"/>
    </row>
    <row r="1778" spans="1:23">
      <c r="A1778" s="1410"/>
      <c r="B1778" s="1413"/>
      <c r="C1778" s="845" t="s">
        <v>471</v>
      </c>
      <c r="D1778" s="875" t="str">
        <f>B1765&amp;C1778</f>
        <v>A85x</v>
      </c>
      <c r="E1778" s="367">
        <v>13</v>
      </c>
      <c r="F1778" s="370"/>
      <c r="G1778" s="368"/>
      <c r="H1778" s="368"/>
      <c r="I1778" s="368"/>
      <c r="J1778" s="368"/>
      <c r="K1778" s="370"/>
      <c r="L1778" s="370"/>
      <c r="M1778" s="370"/>
      <c r="N1778" s="382"/>
      <c r="O1778" s="372"/>
      <c r="P1778" s="380"/>
      <c r="Q1778" s="381"/>
      <c r="R1778" s="381"/>
      <c r="S1778" s="361"/>
      <c r="T1778" s="361"/>
      <c r="U1778" s="361"/>
      <c r="V1778" s="366"/>
      <c r="W1778" s="366"/>
    </row>
    <row r="1779" spans="1:23">
      <c r="A1779" s="1410"/>
      <c r="B1779" s="1413"/>
      <c r="C1779" s="845" t="s">
        <v>732</v>
      </c>
      <c r="D1779" s="875" t="str">
        <f>B1765&amp;C1779</f>
        <v>A85y</v>
      </c>
      <c r="E1779" s="367">
        <v>14</v>
      </c>
      <c r="F1779" s="370"/>
      <c r="G1779" s="368"/>
      <c r="H1779" s="368"/>
      <c r="I1779" s="368"/>
      <c r="J1779" s="368"/>
      <c r="K1779" s="370"/>
      <c r="L1779" s="370"/>
      <c r="M1779" s="370"/>
      <c r="N1779" s="382"/>
      <c r="O1779" s="372"/>
      <c r="P1779" s="380"/>
      <c r="Q1779" s="381"/>
      <c r="R1779" s="381"/>
      <c r="S1779" s="361"/>
      <c r="T1779" s="361"/>
      <c r="U1779" s="362"/>
      <c r="V1779" s="366"/>
      <c r="W1779" s="366"/>
    </row>
    <row r="1780" spans="1:23">
      <c r="A1780" s="1411"/>
      <c r="B1780" s="1414"/>
      <c r="C1780" s="846" t="s">
        <v>996</v>
      </c>
      <c r="D1780" s="876" t="str">
        <f>B1765&amp;C1780</f>
        <v>A85z</v>
      </c>
      <c r="E1780" s="847">
        <v>15</v>
      </c>
      <c r="F1780" s="370"/>
      <c r="G1780" s="368"/>
      <c r="H1780" s="368"/>
      <c r="I1780" s="368"/>
      <c r="J1780" s="368"/>
      <c r="K1780" s="370"/>
      <c r="L1780" s="370"/>
      <c r="M1780" s="370"/>
      <c r="N1780" s="850"/>
      <c r="O1780" s="851"/>
      <c r="P1780" s="380"/>
      <c r="Q1780" s="852"/>
      <c r="R1780" s="383"/>
      <c r="S1780" s="361"/>
      <c r="T1780" s="832"/>
      <c r="U1780" s="830"/>
      <c r="V1780" s="366"/>
      <c r="W1780" s="366"/>
    </row>
    <row r="1781" spans="1:23">
      <c r="A1781" s="1400" t="s">
        <v>939</v>
      </c>
      <c r="B1781" s="1400"/>
      <c r="C1781" s="827"/>
      <c r="D1781" s="871"/>
      <c r="E1781" s="1400" t="s">
        <v>177</v>
      </c>
      <c r="F1781" s="1400" t="s">
        <v>18</v>
      </c>
      <c r="G1781" s="1389" t="s">
        <v>19</v>
      </c>
      <c r="H1781" s="1390"/>
      <c r="I1781" s="1389" t="s">
        <v>22</v>
      </c>
      <c r="J1781" s="1390"/>
      <c r="K1781" s="1393" t="s">
        <v>26</v>
      </c>
      <c r="L1781" s="1390"/>
      <c r="M1781" s="1389" t="s">
        <v>392</v>
      </c>
      <c r="N1781" s="1390"/>
      <c r="O1781" s="1389" t="s">
        <v>28</v>
      </c>
      <c r="P1781" s="1393"/>
      <c r="Q1781" s="1390"/>
      <c r="R1781" s="1400" t="s">
        <v>36</v>
      </c>
      <c r="S1781" s="361"/>
      <c r="T1781" s="361">
        <f>MAX(J1785:J1799)-MIN(I1785:I1799)</f>
        <v>9.0277777777777679E-2</v>
      </c>
      <c r="U1781" s="361"/>
      <c r="V1781" s="853" t="str">
        <f t="shared" ref="V1781" si="188">B1785</f>
        <v>A50</v>
      </c>
      <c r="W1781" s="361">
        <f t="shared" ref="W1781" si="189">COUNTIF(K1786:K1800,"&gt;0")</f>
        <v>5</v>
      </c>
    </row>
    <row r="1782" spans="1:23">
      <c r="A1782" s="1401"/>
      <c r="B1782" s="1401"/>
      <c r="C1782" s="828"/>
      <c r="D1782" s="872"/>
      <c r="E1782" s="1401"/>
      <c r="F1782" s="1401"/>
      <c r="G1782" s="1391"/>
      <c r="H1782" s="1392"/>
      <c r="I1782" s="1391"/>
      <c r="J1782" s="1392"/>
      <c r="K1782" s="1394"/>
      <c r="L1782" s="1392"/>
      <c r="M1782" s="1391"/>
      <c r="N1782" s="1392"/>
      <c r="O1782" s="1391"/>
      <c r="P1782" s="1394"/>
      <c r="Q1782" s="1392"/>
      <c r="R1782" s="1401"/>
      <c r="S1782" s="361"/>
      <c r="T1782" s="361"/>
      <c r="U1782" s="361"/>
      <c r="V1782" s="361"/>
      <c r="W1782" s="361"/>
    </row>
    <row r="1783" spans="1:23">
      <c r="A1783" s="1401"/>
      <c r="B1783" s="1401"/>
      <c r="C1783" s="828"/>
      <c r="D1783" s="872"/>
      <c r="E1783" s="1401"/>
      <c r="F1783" s="1401"/>
      <c r="G1783" s="1400" t="s">
        <v>20</v>
      </c>
      <c r="H1783" s="1400" t="s">
        <v>21</v>
      </c>
      <c r="I1783" s="1400" t="s">
        <v>361</v>
      </c>
      <c r="J1783" s="1400" t="s">
        <v>353</v>
      </c>
      <c r="K1783" s="1400" t="s">
        <v>23</v>
      </c>
      <c r="L1783" s="1400" t="s">
        <v>24</v>
      </c>
      <c r="M1783" s="1400" t="s">
        <v>27</v>
      </c>
      <c r="N1783" s="1400" t="s">
        <v>178</v>
      </c>
      <c r="O1783" s="1400" t="s">
        <v>1</v>
      </c>
      <c r="P1783" s="1400" t="s">
        <v>29</v>
      </c>
      <c r="Q1783" s="1400" t="s">
        <v>33</v>
      </c>
      <c r="R1783" s="1401"/>
      <c r="S1783" s="361"/>
      <c r="T1783" s="361" t="s">
        <v>39</v>
      </c>
      <c r="U1783" s="362">
        <f>VLOOKUP(B1785,'Thong tin'!$A:$M,13,0)</f>
        <v>1200</v>
      </c>
      <c r="V1783" s="361"/>
      <c r="W1783" s="361"/>
    </row>
    <row r="1784" spans="1:23">
      <c r="A1784" s="1402"/>
      <c r="B1784" s="1402"/>
      <c r="C1784" s="829"/>
      <c r="D1784" s="873"/>
      <c r="E1784" s="1402"/>
      <c r="F1784" s="1402"/>
      <c r="G1784" s="1402"/>
      <c r="H1784" s="1402"/>
      <c r="I1784" s="1402"/>
      <c r="J1784" s="1402"/>
      <c r="K1784" s="1402"/>
      <c r="L1784" s="1402"/>
      <c r="M1784" s="1402"/>
      <c r="N1784" s="1402"/>
      <c r="O1784" s="1402"/>
      <c r="P1784" s="1402"/>
      <c r="Q1784" s="1402"/>
      <c r="R1784" s="1402"/>
      <c r="S1784" s="361"/>
      <c r="T1784" s="1399" t="s">
        <v>393</v>
      </c>
      <c r="U1784" s="1397">
        <f>VLOOKUP(B1785,DT.NK!$B:$AZ,45,0)</f>
        <v>30.93</v>
      </c>
      <c r="V1784" s="361"/>
      <c r="W1784" s="361"/>
    </row>
    <row r="1785" spans="1:23">
      <c r="A1785" s="1409">
        <f>A1765+1</f>
        <v>90</v>
      </c>
      <c r="B1785" s="1412" t="s">
        <v>510</v>
      </c>
      <c r="C1785" s="844" t="s">
        <v>983</v>
      </c>
      <c r="D1785" s="874" t="str">
        <f>B1785&amp;C1785</f>
        <v>A50a</v>
      </c>
      <c r="E1785" s="363"/>
      <c r="F1785" s="364"/>
      <c r="G1785" s="364"/>
      <c r="H1785" s="364"/>
      <c r="I1785" s="364"/>
      <c r="J1785" s="364"/>
      <c r="K1785" s="364"/>
      <c r="L1785" s="364"/>
      <c r="M1785" s="674"/>
      <c r="N1785" s="670"/>
      <c r="O1785" s="670">
        <f>U1784</f>
        <v>30.93</v>
      </c>
      <c r="P1785" s="670">
        <f>O1785</f>
        <v>30.93</v>
      </c>
      <c r="Q1785" s="670">
        <v>0</v>
      </c>
      <c r="R1785" s="365"/>
      <c r="S1785" s="366"/>
      <c r="T1785" s="1399"/>
      <c r="U1785" s="1398"/>
      <c r="V1785" s="361"/>
      <c r="W1785" s="361"/>
    </row>
    <row r="1786" spans="1:23">
      <c r="A1786" s="1410"/>
      <c r="B1786" s="1413"/>
      <c r="C1786" s="845" t="s">
        <v>984</v>
      </c>
      <c r="D1786" s="875" t="str">
        <f>B1785&amp;C1786</f>
        <v>A50b</v>
      </c>
      <c r="E1786" s="367">
        <v>1</v>
      </c>
      <c r="F1786" s="669" t="s">
        <v>1007</v>
      </c>
      <c r="G1786" s="369">
        <v>0.74305555555555547</v>
      </c>
      <c r="H1786" s="368">
        <v>0.77083333333333337</v>
      </c>
      <c r="I1786" s="368">
        <v>0.77777777777777779</v>
      </c>
      <c r="J1786" s="368">
        <v>0.78194444444444444</v>
      </c>
      <c r="K1786" s="669">
        <v>9</v>
      </c>
      <c r="L1786" s="669">
        <v>19</v>
      </c>
      <c r="M1786" s="675">
        <v>30.93</v>
      </c>
      <c r="N1786" s="671">
        <f>IF(M1786-P1786&gt;0,M1786-P1786,0)</f>
        <v>2.8299999999999983</v>
      </c>
      <c r="O1786" s="671">
        <f>O1785-K1786/(PI()*(U1783/2000)^2)</f>
        <v>22.972252845405233</v>
      </c>
      <c r="P1786" s="672">
        <v>28.1</v>
      </c>
      <c r="Q1786" s="673">
        <f>ABS(O1786-P1786)</f>
        <v>5.1277471545947684</v>
      </c>
      <c r="R1786" s="375" t="s">
        <v>188</v>
      </c>
      <c r="S1786" s="366"/>
      <c r="T1786" s="376"/>
      <c r="U1786" s="376"/>
      <c r="V1786" s="366"/>
      <c r="W1786" s="366"/>
    </row>
    <row r="1787" spans="1:23">
      <c r="A1787" s="1410"/>
      <c r="B1787" s="1413"/>
      <c r="C1787" s="845" t="s">
        <v>985</v>
      </c>
      <c r="D1787" s="875" t="str">
        <f>B1785&amp;C1787</f>
        <v>A50c</v>
      </c>
      <c r="E1787" s="367">
        <v>2</v>
      </c>
      <c r="F1787" s="669" t="s">
        <v>1010</v>
      </c>
      <c r="G1787" s="369">
        <v>0.75208333333333333</v>
      </c>
      <c r="H1787" s="368">
        <v>0.77430555555555547</v>
      </c>
      <c r="I1787" s="368">
        <v>0.78819444444444453</v>
      </c>
      <c r="J1787" s="368">
        <v>0.79513888888888884</v>
      </c>
      <c r="K1787" s="669">
        <v>10</v>
      </c>
      <c r="L1787" s="669">
        <v>19</v>
      </c>
      <c r="M1787" s="675">
        <v>30.93</v>
      </c>
      <c r="N1787" s="671">
        <f>IF(M1787-P1787&gt;0,M1787-P1787,0)</f>
        <v>3.9299999999999997</v>
      </c>
      <c r="O1787" s="671">
        <f>O1786-K1787/(PI()*(U1783/2000)^2)</f>
        <v>14.130311562522159</v>
      </c>
      <c r="P1787" s="672">
        <v>27</v>
      </c>
      <c r="Q1787" s="673">
        <f>ABS(O1787-P1787)</f>
        <v>12.869688437477841</v>
      </c>
      <c r="R1787" s="375" t="s">
        <v>188</v>
      </c>
      <c r="S1787" s="366"/>
      <c r="T1787" s="376"/>
      <c r="U1787" s="376"/>
      <c r="V1787" s="366"/>
      <c r="W1787" s="366"/>
    </row>
    <row r="1788" spans="1:23">
      <c r="A1788" s="1410"/>
      <c r="B1788" s="1413"/>
      <c r="C1788" s="845" t="s">
        <v>986</v>
      </c>
      <c r="D1788" s="875" t="str">
        <f>B1785&amp;C1788</f>
        <v>A50d</v>
      </c>
      <c r="E1788" s="367">
        <v>3</v>
      </c>
      <c r="F1788" s="669" t="s">
        <v>1096</v>
      </c>
      <c r="G1788" s="368">
        <v>0.76458333333333339</v>
      </c>
      <c r="H1788" s="368">
        <v>0.79861111111111116</v>
      </c>
      <c r="I1788" s="368">
        <v>0.80208333333333337</v>
      </c>
      <c r="J1788" s="368">
        <v>0.80902777777777779</v>
      </c>
      <c r="K1788" s="370">
        <v>10</v>
      </c>
      <c r="L1788" s="370">
        <v>19</v>
      </c>
      <c r="M1788" s="371">
        <v>27.78</v>
      </c>
      <c r="N1788" s="671">
        <f>IF(M1788-P1788&gt;0,M1788-P1788,0)</f>
        <v>4.2800000000000011</v>
      </c>
      <c r="O1788" s="671">
        <f>O1787-K1788/(PI()*(U1783/2000)^2)</f>
        <v>5.2883702796390857</v>
      </c>
      <c r="P1788" s="373">
        <v>23.5</v>
      </c>
      <c r="Q1788" s="673">
        <f>ABS(O1788-P1788)</f>
        <v>18.211629720360914</v>
      </c>
      <c r="R1788" s="375" t="s">
        <v>188</v>
      </c>
      <c r="S1788" s="366"/>
      <c r="T1788" s="376"/>
      <c r="U1788" s="376"/>
      <c r="V1788" s="366"/>
      <c r="W1788" s="366"/>
    </row>
    <row r="1789" spans="1:23">
      <c r="A1789" s="1410"/>
      <c r="B1789" s="1413"/>
      <c r="C1789" s="845" t="s">
        <v>987</v>
      </c>
      <c r="D1789" s="875" t="str">
        <f>B1785&amp;C1789</f>
        <v>A50e</v>
      </c>
      <c r="E1789" s="367">
        <v>4</v>
      </c>
      <c r="F1789" s="669" t="s">
        <v>1089</v>
      </c>
      <c r="G1789" s="368">
        <v>0.80625000000000002</v>
      </c>
      <c r="H1789" s="368">
        <v>0.83680555555555547</v>
      </c>
      <c r="I1789" s="368">
        <v>0.84027777777777779</v>
      </c>
      <c r="J1789" s="368">
        <v>0.84166666666666667</v>
      </c>
      <c r="K1789" s="370">
        <v>9</v>
      </c>
      <c r="L1789" s="370">
        <v>18.5</v>
      </c>
      <c r="M1789" s="371">
        <v>21.48</v>
      </c>
      <c r="N1789" s="671">
        <f>IF(M1789-P1789&gt;0,M1789-P1789,0)</f>
        <v>5.58</v>
      </c>
      <c r="O1789" s="671">
        <f>O1788-K1789/(PI()*(U1783/2000)^2)</f>
        <v>-2.669376874955681</v>
      </c>
      <c r="P1789" s="373">
        <v>15.9</v>
      </c>
      <c r="Q1789" s="673">
        <f>ABS(O1789-P1789)</f>
        <v>18.56937687495568</v>
      </c>
      <c r="R1789" s="375"/>
      <c r="S1789" s="366"/>
      <c r="T1789" s="376"/>
      <c r="U1789" s="376"/>
      <c r="V1789" s="366"/>
      <c r="W1789" s="366"/>
    </row>
    <row r="1790" spans="1:23">
      <c r="A1790" s="1410"/>
      <c r="B1790" s="1413"/>
      <c r="C1790" s="845" t="s">
        <v>988</v>
      </c>
      <c r="D1790" s="875" t="str">
        <f>B1785&amp;C1790</f>
        <v>A50f</v>
      </c>
      <c r="E1790" s="367">
        <v>5</v>
      </c>
      <c r="F1790" s="669" t="s">
        <v>1007</v>
      </c>
      <c r="G1790" s="368">
        <v>0.83680555555555547</v>
      </c>
      <c r="H1790" s="368">
        <v>0.86111111111111116</v>
      </c>
      <c r="I1790" s="368">
        <v>0.86249999999999993</v>
      </c>
      <c r="J1790" s="368">
        <v>0.86805555555555547</v>
      </c>
      <c r="K1790" s="370">
        <v>10</v>
      </c>
      <c r="L1790" s="370">
        <v>19</v>
      </c>
      <c r="M1790" s="371">
        <v>12.02</v>
      </c>
      <c r="N1790" s="671">
        <f>IF(M1790-P1790&gt;0,M1790-P1790,0)</f>
        <v>4.6199999999999992</v>
      </c>
      <c r="O1790" s="671">
        <f>O1789-K1790/(PI()*(U1783/2000)^2)</f>
        <v>-11.511318157838755</v>
      </c>
      <c r="P1790" s="373">
        <v>7.4</v>
      </c>
      <c r="Q1790" s="673">
        <f>ABS(O1790-P1790)</f>
        <v>18.911318157838757</v>
      </c>
      <c r="R1790" s="377"/>
      <c r="S1790" s="366" t="s">
        <v>190</v>
      </c>
      <c r="T1790" s="376"/>
      <c r="U1790" s="376"/>
      <c r="V1790" s="366"/>
      <c r="W1790" s="366"/>
    </row>
    <row r="1791" spans="1:23">
      <c r="A1791" s="1410"/>
      <c r="B1791" s="1413"/>
      <c r="C1791" s="845" t="s">
        <v>989</v>
      </c>
      <c r="D1791" s="875" t="str">
        <f>B1785&amp;C1791</f>
        <v>A50g</v>
      </c>
      <c r="E1791" s="367">
        <v>6</v>
      </c>
      <c r="F1791" s="669"/>
      <c r="G1791" s="368"/>
      <c r="H1791" s="368"/>
      <c r="I1791" s="368"/>
      <c r="J1791" s="368"/>
      <c r="K1791" s="370"/>
      <c r="L1791" s="370"/>
      <c r="M1791" s="371"/>
      <c r="N1791" s="671"/>
      <c r="O1791" s="671"/>
      <c r="P1791" s="373"/>
      <c r="Q1791" s="673"/>
      <c r="R1791" s="375"/>
      <c r="S1791" s="366" t="s">
        <v>190</v>
      </c>
      <c r="T1791" s="366"/>
      <c r="U1791" s="366"/>
      <c r="V1791" s="366"/>
      <c r="W1791" s="366"/>
    </row>
    <row r="1792" spans="1:23">
      <c r="A1792" s="1410"/>
      <c r="B1792" s="1413"/>
      <c r="C1792" s="845" t="s">
        <v>990</v>
      </c>
      <c r="D1792" s="875" t="str">
        <f>B1785&amp;C1792</f>
        <v>A50h</v>
      </c>
      <c r="E1792" s="367">
        <v>7</v>
      </c>
      <c r="F1792" s="669"/>
      <c r="G1792" s="368"/>
      <c r="H1792" s="368"/>
      <c r="I1792" s="368"/>
      <c r="J1792" s="368"/>
      <c r="K1792" s="370"/>
      <c r="L1792" s="370"/>
      <c r="M1792" s="371"/>
      <c r="N1792" s="671"/>
      <c r="O1792" s="671"/>
      <c r="P1792" s="373"/>
      <c r="Q1792" s="673"/>
      <c r="R1792" s="377"/>
      <c r="S1792" s="366" t="s">
        <v>190</v>
      </c>
      <c r="T1792" s="366"/>
      <c r="U1792" s="366"/>
      <c r="V1792" s="366"/>
      <c r="W1792" s="366"/>
    </row>
    <row r="1793" spans="1:23">
      <c r="A1793" s="1410"/>
      <c r="B1793" s="1413"/>
      <c r="C1793" s="845" t="s">
        <v>991</v>
      </c>
      <c r="D1793" s="875" t="str">
        <f>B1785&amp;C1793</f>
        <v>A50i</v>
      </c>
      <c r="E1793" s="367">
        <v>8</v>
      </c>
      <c r="F1793" s="669"/>
      <c r="G1793" s="368"/>
      <c r="H1793" s="368"/>
      <c r="I1793" s="368"/>
      <c r="J1793" s="368"/>
      <c r="K1793" s="370"/>
      <c r="L1793" s="370"/>
      <c r="M1793" s="371"/>
      <c r="N1793" s="671"/>
      <c r="O1793" s="671"/>
      <c r="P1793" s="373"/>
      <c r="Q1793" s="673"/>
      <c r="R1793" s="378"/>
      <c r="S1793" s="366"/>
      <c r="T1793" s="366"/>
      <c r="U1793" s="366"/>
      <c r="V1793" s="366"/>
      <c r="W1793" s="366"/>
    </row>
    <row r="1794" spans="1:23">
      <c r="A1794" s="1410"/>
      <c r="B1794" s="1413"/>
      <c r="C1794" s="845" t="s">
        <v>992</v>
      </c>
      <c r="D1794" s="875" t="str">
        <f>B1785&amp;C1794</f>
        <v>A50k</v>
      </c>
      <c r="E1794" s="367">
        <v>9</v>
      </c>
      <c r="F1794" s="370"/>
      <c r="G1794" s="368"/>
      <c r="H1794" s="368"/>
      <c r="I1794" s="368"/>
      <c r="J1794" s="368"/>
      <c r="K1794" s="370"/>
      <c r="L1794" s="370"/>
      <c r="M1794" s="371"/>
      <c r="N1794" s="372"/>
      <c r="O1794" s="372"/>
      <c r="P1794" s="373"/>
      <c r="Q1794" s="374"/>
      <c r="R1794" s="378"/>
      <c r="S1794" s="379"/>
      <c r="T1794" s="366"/>
      <c r="U1794" s="366"/>
      <c r="V1794" s="366"/>
      <c r="W1794" s="366"/>
    </row>
    <row r="1795" spans="1:23">
      <c r="A1795" s="1410"/>
      <c r="B1795" s="1413"/>
      <c r="C1795" s="845" t="s">
        <v>993</v>
      </c>
      <c r="D1795" s="875" t="str">
        <f>B1785&amp;C1795</f>
        <v>A50l</v>
      </c>
      <c r="E1795" s="367">
        <v>10</v>
      </c>
      <c r="F1795" s="370"/>
      <c r="G1795" s="368"/>
      <c r="H1795" s="368"/>
      <c r="I1795" s="368"/>
      <c r="J1795" s="368"/>
      <c r="K1795" s="370"/>
      <c r="L1795" s="370"/>
      <c r="M1795" s="370"/>
      <c r="N1795" s="372"/>
      <c r="O1795" s="372"/>
      <c r="P1795" s="373"/>
      <c r="Q1795" s="374"/>
      <c r="R1795" s="378"/>
      <c r="S1795" s="379"/>
      <c r="T1795" s="366"/>
      <c r="U1795" s="366"/>
      <c r="V1795" s="366"/>
      <c r="W1795" s="366"/>
    </row>
    <row r="1796" spans="1:23">
      <c r="A1796" s="1410"/>
      <c r="B1796" s="1413"/>
      <c r="C1796" s="845" t="s">
        <v>994</v>
      </c>
      <c r="D1796" s="875" t="str">
        <f>B1785&amp;C1796</f>
        <v>A50m</v>
      </c>
      <c r="E1796" s="367">
        <v>11</v>
      </c>
      <c r="F1796" s="370"/>
      <c r="G1796" s="368"/>
      <c r="H1796" s="368"/>
      <c r="I1796" s="368"/>
      <c r="J1796" s="368"/>
      <c r="K1796" s="370"/>
      <c r="L1796" s="370"/>
      <c r="M1796" s="370"/>
      <c r="N1796" s="372"/>
      <c r="O1796" s="372"/>
      <c r="P1796" s="380"/>
      <c r="Q1796" s="374"/>
      <c r="R1796" s="381"/>
      <c r="S1796" s="379"/>
      <c r="T1796" s="366"/>
      <c r="U1796" s="366"/>
      <c r="V1796" s="366"/>
      <c r="W1796" s="366"/>
    </row>
    <row r="1797" spans="1:23">
      <c r="A1797" s="1410"/>
      <c r="B1797" s="1413"/>
      <c r="C1797" s="845" t="s">
        <v>995</v>
      </c>
      <c r="D1797" s="875" t="str">
        <f>B1785&amp;C1797</f>
        <v>A50n</v>
      </c>
      <c r="E1797" s="367">
        <v>12</v>
      </c>
      <c r="F1797" s="370"/>
      <c r="G1797" s="368"/>
      <c r="H1797" s="368"/>
      <c r="I1797" s="368"/>
      <c r="J1797" s="368"/>
      <c r="K1797" s="370"/>
      <c r="L1797" s="370"/>
      <c r="M1797" s="370"/>
      <c r="N1797" s="372"/>
      <c r="O1797" s="372"/>
      <c r="P1797" s="380"/>
      <c r="Q1797" s="374"/>
      <c r="R1797" s="381"/>
      <c r="S1797" s="361"/>
      <c r="T1797" s="361"/>
      <c r="U1797" s="361"/>
      <c r="V1797" s="366"/>
      <c r="W1797" s="366"/>
    </row>
    <row r="1798" spans="1:23">
      <c r="A1798" s="1410"/>
      <c r="B1798" s="1413"/>
      <c r="C1798" s="845" t="s">
        <v>471</v>
      </c>
      <c r="D1798" s="875" t="str">
        <f>B1785&amp;C1798</f>
        <v>A50x</v>
      </c>
      <c r="E1798" s="367">
        <v>13</v>
      </c>
      <c r="F1798" s="370"/>
      <c r="G1798" s="368"/>
      <c r="H1798" s="368"/>
      <c r="I1798" s="368"/>
      <c r="J1798" s="368"/>
      <c r="K1798" s="370"/>
      <c r="L1798" s="370"/>
      <c r="M1798" s="370"/>
      <c r="N1798" s="382"/>
      <c r="O1798" s="372"/>
      <c r="P1798" s="380"/>
      <c r="Q1798" s="381"/>
      <c r="R1798" s="381"/>
      <c r="S1798" s="361"/>
      <c r="T1798" s="361"/>
      <c r="U1798" s="361"/>
      <c r="V1798" s="366"/>
      <c r="W1798" s="366"/>
    </row>
    <row r="1799" spans="1:23">
      <c r="A1799" s="1410"/>
      <c r="B1799" s="1413"/>
      <c r="C1799" s="845" t="s">
        <v>732</v>
      </c>
      <c r="D1799" s="875" t="str">
        <f>B1785&amp;C1799</f>
        <v>A50y</v>
      </c>
      <c r="E1799" s="367">
        <v>14</v>
      </c>
      <c r="F1799" s="370"/>
      <c r="G1799" s="368"/>
      <c r="H1799" s="368"/>
      <c r="I1799" s="368"/>
      <c r="J1799" s="368"/>
      <c r="K1799" s="370"/>
      <c r="L1799" s="370"/>
      <c r="M1799" s="370"/>
      <c r="N1799" s="382"/>
      <c r="O1799" s="372"/>
      <c r="P1799" s="380"/>
      <c r="Q1799" s="381"/>
      <c r="R1799" s="381"/>
      <c r="S1799" s="361"/>
      <c r="T1799" s="361"/>
      <c r="U1799" s="362"/>
      <c r="V1799" s="366"/>
      <c r="W1799" s="366"/>
    </row>
    <row r="1800" spans="1:23">
      <c r="A1800" s="1411"/>
      <c r="B1800" s="1414"/>
      <c r="C1800" s="846" t="s">
        <v>996</v>
      </c>
      <c r="D1800" s="876" t="str">
        <f>B1785&amp;C1800</f>
        <v>A50z</v>
      </c>
      <c r="E1800" s="847">
        <v>15</v>
      </c>
      <c r="F1800" s="370"/>
      <c r="G1800" s="368"/>
      <c r="H1800" s="368"/>
      <c r="I1800" s="368"/>
      <c r="J1800" s="368"/>
      <c r="K1800" s="370"/>
      <c r="L1800" s="370"/>
      <c r="M1800" s="370"/>
      <c r="N1800" s="850"/>
      <c r="O1800" s="851"/>
      <c r="P1800" s="380"/>
      <c r="Q1800" s="852"/>
      <c r="R1800" s="383"/>
      <c r="S1800" s="361"/>
      <c r="T1800" s="832"/>
      <c r="U1800" s="830"/>
      <c r="V1800" s="366"/>
      <c r="W1800" s="366"/>
    </row>
    <row r="1801" spans="1:23">
      <c r="A1801" s="1400" t="s">
        <v>939</v>
      </c>
      <c r="B1801" s="1400"/>
      <c r="C1801" s="827"/>
      <c r="D1801" s="871"/>
      <c r="E1801" s="1400" t="s">
        <v>177</v>
      </c>
      <c r="F1801" s="1400" t="s">
        <v>18</v>
      </c>
      <c r="G1801" s="1389" t="s">
        <v>19</v>
      </c>
      <c r="H1801" s="1390"/>
      <c r="I1801" s="1389" t="s">
        <v>22</v>
      </c>
      <c r="J1801" s="1390"/>
      <c r="K1801" s="1393" t="s">
        <v>26</v>
      </c>
      <c r="L1801" s="1390"/>
      <c r="M1801" s="1389" t="s">
        <v>392</v>
      </c>
      <c r="N1801" s="1390"/>
      <c r="O1801" s="1389" t="s">
        <v>28</v>
      </c>
      <c r="P1801" s="1393"/>
      <c r="Q1801" s="1390"/>
      <c r="R1801" s="1400" t="s">
        <v>36</v>
      </c>
      <c r="S1801" s="361"/>
      <c r="T1801" s="361">
        <f>MAX(J1805:J1819)-MIN(I1805:I1819)</f>
        <v>1.5972222222222221E-2</v>
      </c>
      <c r="U1801" s="361"/>
      <c r="V1801" s="853" t="str">
        <f t="shared" ref="V1801" si="190">B1805</f>
        <v>A54</v>
      </c>
      <c r="W1801" s="361">
        <f t="shared" ref="W1801" si="191">COUNTIF(K1806:K1820,"&gt;0")</f>
        <v>2</v>
      </c>
    </row>
    <row r="1802" spans="1:23">
      <c r="A1802" s="1401"/>
      <c r="B1802" s="1401"/>
      <c r="C1802" s="828"/>
      <c r="D1802" s="872"/>
      <c r="E1802" s="1401"/>
      <c r="F1802" s="1401"/>
      <c r="G1802" s="1391"/>
      <c r="H1802" s="1392"/>
      <c r="I1802" s="1391"/>
      <c r="J1802" s="1392"/>
      <c r="K1802" s="1394"/>
      <c r="L1802" s="1392"/>
      <c r="M1802" s="1391"/>
      <c r="N1802" s="1392"/>
      <c r="O1802" s="1391"/>
      <c r="P1802" s="1394"/>
      <c r="Q1802" s="1392"/>
      <c r="R1802" s="1401"/>
      <c r="S1802" s="361"/>
      <c r="T1802" s="361"/>
      <c r="U1802" s="361"/>
      <c r="V1802" s="361"/>
      <c r="W1802" s="361"/>
    </row>
    <row r="1803" spans="1:23">
      <c r="A1803" s="1401"/>
      <c r="B1803" s="1401"/>
      <c r="C1803" s="828"/>
      <c r="D1803" s="872"/>
      <c r="E1803" s="1401"/>
      <c r="F1803" s="1401"/>
      <c r="G1803" s="1400" t="s">
        <v>20</v>
      </c>
      <c r="H1803" s="1400" t="s">
        <v>21</v>
      </c>
      <c r="I1803" s="1400" t="s">
        <v>361</v>
      </c>
      <c r="J1803" s="1400" t="s">
        <v>353</v>
      </c>
      <c r="K1803" s="1400" t="s">
        <v>23</v>
      </c>
      <c r="L1803" s="1400" t="s">
        <v>24</v>
      </c>
      <c r="M1803" s="1400" t="s">
        <v>27</v>
      </c>
      <c r="N1803" s="1400" t="s">
        <v>178</v>
      </c>
      <c r="O1803" s="1400" t="s">
        <v>1</v>
      </c>
      <c r="P1803" s="1400" t="s">
        <v>29</v>
      </c>
      <c r="Q1803" s="1400" t="s">
        <v>33</v>
      </c>
      <c r="R1803" s="1401"/>
      <c r="S1803" s="361"/>
      <c r="T1803" s="361" t="s">
        <v>39</v>
      </c>
      <c r="U1803" s="362">
        <f>VLOOKUP(B1805,'Thong tin'!$A:$M,13,0)</f>
        <v>1200</v>
      </c>
      <c r="V1803" s="361"/>
      <c r="W1803" s="361"/>
    </row>
    <row r="1804" spans="1:23">
      <c r="A1804" s="1402"/>
      <c r="B1804" s="1402"/>
      <c r="C1804" s="829"/>
      <c r="D1804" s="873"/>
      <c r="E1804" s="1402"/>
      <c r="F1804" s="1402"/>
      <c r="G1804" s="1402"/>
      <c r="H1804" s="1402"/>
      <c r="I1804" s="1402"/>
      <c r="J1804" s="1402"/>
      <c r="K1804" s="1402"/>
      <c r="L1804" s="1402"/>
      <c r="M1804" s="1402"/>
      <c r="N1804" s="1402"/>
      <c r="O1804" s="1402"/>
      <c r="P1804" s="1402"/>
      <c r="Q1804" s="1402"/>
      <c r="R1804" s="1402"/>
      <c r="S1804" s="361"/>
      <c r="T1804" s="1399" t="s">
        <v>393</v>
      </c>
      <c r="U1804" s="1397">
        <f>VLOOKUP(B1805,DT.NK!$B:$AZ,45,0)</f>
        <v>21</v>
      </c>
      <c r="V1804" s="361"/>
      <c r="W1804" s="361"/>
    </row>
    <row r="1805" spans="1:23">
      <c r="A1805" s="1409">
        <f>A1785+1</f>
        <v>91</v>
      </c>
      <c r="B1805" s="1412" t="s">
        <v>530</v>
      </c>
      <c r="C1805" s="844" t="s">
        <v>983</v>
      </c>
      <c r="D1805" s="874" t="str">
        <f>B1805&amp;C1805</f>
        <v>A54a</v>
      </c>
      <c r="E1805" s="363"/>
      <c r="F1805" s="364"/>
      <c r="G1805" s="364"/>
      <c r="H1805" s="364"/>
      <c r="I1805" s="364"/>
      <c r="J1805" s="364"/>
      <c r="K1805" s="364"/>
      <c r="L1805" s="364"/>
      <c r="M1805" s="674"/>
      <c r="N1805" s="670"/>
      <c r="O1805" s="670">
        <f>U1804</f>
        <v>21</v>
      </c>
      <c r="P1805" s="670">
        <f>O1805</f>
        <v>21</v>
      </c>
      <c r="Q1805" s="670">
        <v>0</v>
      </c>
      <c r="R1805" s="365"/>
      <c r="S1805" s="366"/>
      <c r="T1805" s="1399"/>
      <c r="U1805" s="1398"/>
      <c r="V1805" s="361"/>
      <c r="W1805" s="361"/>
    </row>
    <row r="1806" spans="1:23">
      <c r="A1806" s="1410"/>
      <c r="B1806" s="1413"/>
      <c r="C1806" s="845" t="s">
        <v>984</v>
      </c>
      <c r="D1806" s="875" t="str">
        <f>B1805&amp;C1806</f>
        <v>A54b</v>
      </c>
      <c r="E1806" s="367">
        <v>1</v>
      </c>
      <c r="F1806" s="669" t="s">
        <v>1085</v>
      </c>
      <c r="G1806" s="369">
        <v>1.4583333333333332E-2</v>
      </c>
      <c r="H1806" s="368">
        <v>4.5138888888888888E-2</v>
      </c>
      <c r="I1806" s="368">
        <v>6.9444444444444434E-2</v>
      </c>
      <c r="J1806" s="368">
        <v>6.7361111111111108E-2</v>
      </c>
      <c r="K1806" s="669">
        <v>9.5</v>
      </c>
      <c r="L1806" s="669">
        <v>19</v>
      </c>
      <c r="M1806" s="675">
        <v>19</v>
      </c>
      <c r="N1806" s="671">
        <f>IF(M1806-P1806&gt;0,M1806-P1806,0)</f>
        <v>5.1999999999999993</v>
      </c>
      <c r="O1806" s="671">
        <f>O1805-K1806/(PI()*(U1803/2000)^2)</f>
        <v>12.60015578126108</v>
      </c>
      <c r="P1806" s="672">
        <v>13.8</v>
      </c>
      <c r="Q1806" s="673">
        <f>ABS(O1806-P1806)</f>
        <v>1.1998442187389209</v>
      </c>
      <c r="R1806" s="375" t="s">
        <v>188</v>
      </c>
      <c r="S1806" s="366"/>
      <c r="T1806" s="376"/>
      <c r="U1806" s="376"/>
      <c r="V1806" s="366"/>
      <c r="W1806" s="366"/>
    </row>
    <row r="1807" spans="1:23">
      <c r="A1807" s="1410"/>
      <c r="B1807" s="1413"/>
      <c r="C1807" s="845" t="s">
        <v>985</v>
      </c>
      <c r="D1807" s="875" t="str">
        <f>B1805&amp;C1807</f>
        <v>A54c</v>
      </c>
      <c r="E1807" s="367">
        <v>2</v>
      </c>
      <c r="F1807" s="669" t="s">
        <v>1010</v>
      </c>
      <c r="G1807" s="369">
        <v>2.361111111111111E-2</v>
      </c>
      <c r="H1807" s="368">
        <v>5.2083333333333336E-2</v>
      </c>
      <c r="I1807" s="368">
        <v>7.9861111111111105E-2</v>
      </c>
      <c r="J1807" s="368">
        <v>8.5416666666666655E-2</v>
      </c>
      <c r="K1807" s="669">
        <v>9.5</v>
      </c>
      <c r="L1807" s="669">
        <v>19</v>
      </c>
      <c r="M1807" s="675">
        <v>12.7</v>
      </c>
      <c r="N1807" s="671">
        <f>IF(M1807-P1807&gt;0,M1807-P1807,0)</f>
        <v>5.6999999999999993</v>
      </c>
      <c r="O1807" s="671">
        <f>O1806-K1807/(PI()*(U1803/2000)^2)</f>
        <v>4.2003115625221596</v>
      </c>
      <c r="P1807" s="672">
        <v>7</v>
      </c>
      <c r="Q1807" s="673">
        <f>ABS(O1807-P1807)</f>
        <v>2.7996884374778404</v>
      </c>
      <c r="R1807" s="375" t="s">
        <v>188</v>
      </c>
      <c r="S1807" s="366"/>
      <c r="T1807" s="376"/>
      <c r="U1807" s="376"/>
      <c r="V1807" s="366"/>
      <c r="W1807" s="366"/>
    </row>
    <row r="1808" spans="1:23">
      <c r="A1808" s="1410"/>
      <c r="B1808" s="1413"/>
      <c r="C1808" s="845" t="s">
        <v>986</v>
      </c>
      <c r="D1808" s="875" t="str">
        <f>B1805&amp;C1808</f>
        <v>A54d</v>
      </c>
      <c r="E1808" s="367">
        <v>3</v>
      </c>
      <c r="F1808" s="669"/>
      <c r="G1808" s="368"/>
      <c r="H1808" s="368"/>
      <c r="I1808" s="368"/>
      <c r="J1808" s="368"/>
      <c r="K1808" s="370"/>
      <c r="L1808" s="370"/>
      <c r="M1808" s="371"/>
      <c r="N1808" s="671"/>
      <c r="O1808" s="671"/>
      <c r="P1808" s="373"/>
      <c r="Q1808" s="673"/>
      <c r="R1808" s="375"/>
      <c r="S1808" s="366"/>
      <c r="T1808" s="376"/>
      <c r="U1808" s="376"/>
      <c r="V1808" s="366"/>
      <c r="W1808" s="366"/>
    </row>
    <row r="1809" spans="1:23">
      <c r="A1809" s="1410"/>
      <c r="B1809" s="1413"/>
      <c r="C1809" s="845" t="s">
        <v>987</v>
      </c>
      <c r="D1809" s="875" t="str">
        <f>B1805&amp;C1809</f>
        <v>A54e</v>
      </c>
      <c r="E1809" s="367">
        <v>4</v>
      </c>
      <c r="F1809" s="669"/>
      <c r="G1809" s="368"/>
      <c r="H1809" s="368"/>
      <c r="I1809" s="368"/>
      <c r="J1809" s="368"/>
      <c r="K1809" s="370"/>
      <c r="L1809" s="370"/>
      <c r="M1809" s="371"/>
      <c r="N1809" s="671"/>
      <c r="O1809" s="671"/>
      <c r="P1809" s="373"/>
      <c r="Q1809" s="673"/>
      <c r="R1809" s="375"/>
      <c r="S1809" s="366"/>
      <c r="T1809" s="376"/>
      <c r="U1809" s="376"/>
      <c r="V1809" s="366"/>
      <c r="W1809" s="366"/>
    </row>
    <row r="1810" spans="1:23">
      <c r="A1810" s="1410"/>
      <c r="B1810" s="1413"/>
      <c r="C1810" s="845" t="s">
        <v>988</v>
      </c>
      <c r="D1810" s="875" t="str">
        <f>B1805&amp;C1810</f>
        <v>A54f</v>
      </c>
      <c r="E1810" s="367">
        <v>5</v>
      </c>
      <c r="F1810" s="669"/>
      <c r="G1810" s="368"/>
      <c r="H1810" s="368"/>
      <c r="I1810" s="368"/>
      <c r="J1810" s="368"/>
      <c r="K1810" s="370"/>
      <c r="L1810" s="370"/>
      <c r="M1810" s="371"/>
      <c r="N1810" s="671"/>
      <c r="O1810" s="671"/>
      <c r="P1810" s="373"/>
      <c r="Q1810" s="673"/>
      <c r="R1810" s="375"/>
      <c r="S1810" s="366" t="s">
        <v>190</v>
      </c>
      <c r="T1810" s="376"/>
      <c r="U1810" s="376"/>
      <c r="V1810" s="366"/>
      <c r="W1810" s="366"/>
    </row>
    <row r="1811" spans="1:23">
      <c r="A1811" s="1410"/>
      <c r="B1811" s="1413"/>
      <c r="C1811" s="845" t="s">
        <v>989</v>
      </c>
      <c r="D1811" s="875" t="str">
        <f>B1805&amp;C1811</f>
        <v>A54g</v>
      </c>
      <c r="E1811" s="367">
        <v>6</v>
      </c>
      <c r="F1811" s="669"/>
      <c r="G1811" s="368"/>
      <c r="H1811" s="368"/>
      <c r="I1811" s="368"/>
      <c r="J1811" s="368"/>
      <c r="K1811" s="370"/>
      <c r="L1811" s="370"/>
      <c r="M1811" s="371"/>
      <c r="N1811" s="671"/>
      <c r="O1811" s="671"/>
      <c r="P1811" s="373"/>
      <c r="Q1811" s="673"/>
      <c r="R1811" s="375"/>
      <c r="S1811" s="366" t="s">
        <v>190</v>
      </c>
      <c r="T1811" s="366"/>
      <c r="U1811" s="366"/>
      <c r="V1811" s="366"/>
      <c r="W1811" s="366"/>
    </row>
    <row r="1812" spans="1:23">
      <c r="A1812" s="1410"/>
      <c r="B1812" s="1413"/>
      <c r="C1812" s="845" t="s">
        <v>990</v>
      </c>
      <c r="D1812" s="875" t="str">
        <f>B1805&amp;C1812</f>
        <v>A54h</v>
      </c>
      <c r="E1812" s="367">
        <v>7</v>
      </c>
      <c r="F1812" s="669"/>
      <c r="G1812" s="368"/>
      <c r="H1812" s="368"/>
      <c r="I1812" s="368"/>
      <c r="J1812" s="368"/>
      <c r="K1812" s="370"/>
      <c r="L1812" s="370"/>
      <c r="M1812" s="371"/>
      <c r="N1812" s="671"/>
      <c r="O1812" s="671"/>
      <c r="P1812" s="373"/>
      <c r="Q1812" s="673"/>
      <c r="R1812" s="377"/>
      <c r="S1812" s="366" t="s">
        <v>190</v>
      </c>
      <c r="T1812" s="366"/>
      <c r="U1812" s="366"/>
      <c r="V1812" s="366"/>
      <c r="W1812" s="366"/>
    </row>
    <row r="1813" spans="1:23">
      <c r="A1813" s="1410"/>
      <c r="B1813" s="1413"/>
      <c r="C1813" s="845" t="s">
        <v>991</v>
      </c>
      <c r="D1813" s="875" t="str">
        <f>B1805&amp;C1813</f>
        <v>A54i</v>
      </c>
      <c r="E1813" s="367">
        <v>8</v>
      </c>
      <c r="F1813" s="669"/>
      <c r="G1813" s="368"/>
      <c r="H1813" s="368"/>
      <c r="I1813" s="368"/>
      <c r="J1813" s="368"/>
      <c r="K1813" s="370"/>
      <c r="L1813" s="370"/>
      <c r="M1813" s="371"/>
      <c r="N1813" s="671"/>
      <c r="O1813" s="671"/>
      <c r="P1813" s="373"/>
      <c r="Q1813" s="673"/>
      <c r="R1813" s="378"/>
      <c r="S1813" s="366"/>
      <c r="T1813" s="366"/>
      <c r="U1813" s="366"/>
      <c r="V1813" s="366"/>
      <c r="W1813" s="366"/>
    </row>
    <row r="1814" spans="1:23">
      <c r="A1814" s="1410"/>
      <c r="B1814" s="1413"/>
      <c r="C1814" s="845" t="s">
        <v>992</v>
      </c>
      <c r="D1814" s="875" t="str">
        <f>B1805&amp;C1814</f>
        <v>A54k</v>
      </c>
      <c r="E1814" s="367">
        <v>9</v>
      </c>
      <c r="F1814" s="370"/>
      <c r="G1814" s="368"/>
      <c r="H1814" s="368"/>
      <c r="I1814" s="368"/>
      <c r="J1814" s="368"/>
      <c r="K1814" s="370"/>
      <c r="L1814" s="370"/>
      <c r="M1814" s="371"/>
      <c r="N1814" s="372"/>
      <c r="O1814" s="372"/>
      <c r="P1814" s="373"/>
      <c r="Q1814" s="374"/>
      <c r="R1814" s="378"/>
      <c r="S1814" s="379"/>
      <c r="T1814" s="366"/>
      <c r="U1814" s="366"/>
      <c r="V1814" s="366"/>
      <c r="W1814" s="366"/>
    </row>
    <row r="1815" spans="1:23">
      <c r="A1815" s="1410"/>
      <c r="B1815" s="1413"/>
      <c r="C1815" s="845" t="s">
        <v>993</v>
      </c>
      <c r="D1815" s="875" t="str">
        <f>B1805&amp;C1815</f>
        <v>A54l</v>
      </c>
      <c r="E1815" s="367">
        <v>10</v>
      </c>
      <c r="F1815" s="370"/>
      <c r="G1815" s="368"/>
      <c r="H1815" s="368"/>
      <c r="I1815" s="368"/>
      <c r="J1815" s="368"/>
      <c r="K1815" s="370"/>
      <c r="L1815" s="370"/>
      <c r="M1815" s="370"/>
      <c r="N1815" s="372"/>
      <c r="O1815" s="372"/>
      <c r="P1815" s="373"/>
      <c r="Q1815" s="374"/>
      <c r="R1815" s="378"/>
      <c r="S1815" s="379"/>
      <c r="T1815" s="366"/>
      <c r="U1815" s="366"/>
      <c r="V1815" s="366"/>
      <c r="W1815" s="366"/>
    </row>
    <row r="1816" spans="1:23">
      <c r="A1816" s="1410"/>
      <c r="B1816" s="1413"/>
      <c r="C1816" s="845" t="s">
        <v>994</v>
      </c>
      <c r="D1816" s="875" t="str">
        <f>B1805&amp;C1816</f>
        <v>A54m</v>
      </c>
      <c r="E1816" s="367">
        <v>11</v>
      </c>
      <c r="F1816" s="370"/>
      <c r="G1816" s="368"/>
      <c r="H1816" s="368"/>
      <c r="I1816" s="368"/>
      <c r="J1816" s="368"/>
      <c r="K1816" s="370"/>
      <c r="L1816" s="370"/>
      <c r="M1816" s="370"/>
      <c r="N1816" s="372"/>
      <c r="O1816" s="372"/>
      <c r="P1816" s="380"/>
      <c r="Q1816" s="374"/>
      <c r="R1816" s="381"/>
      <c r="S1816" s="379"/>
      <c r="T1816" s="366"/>
      <c r="U1816" s="366"/>
      <c r="V1816" s="366"/>
      <c r="W1816" s="366"/>
    </row>
    <row r="1817" spans="1:23">
      <c r="A1817" s="1410"/>
      <c r="B1817" s="1413"/>
      <c r="C1817" s="845" t="s">
        <v>995</v>
      </c>
      <c r="D1817" s="875" t="str">
        <f>B1805&amp;C1817</f>
        <v>A54n</v>
      </c>
      <c r="E1817" s="367">
        <v>12</v>
      </c>
      <c r="F1817" s="370"/>
      <c r="G1817" s="368"/>
      <c r="H1817" s="368"/>
      <c r="I1817" s="368"/>
      <c r="J1817" s="368"/>
      <c r="K1817" s="370"/>
      <c r="L1817" s="370"/>
      <c r="M1817" s="370"/>
      <c r="N1817" s="372"/>
      <c r="O1817" s="372"/>
      <c r="P1817" s="380"/>
      <c r="Q1817" s="374"/>
      <c r="R1817" s="381"/>
      <c r="S1817" s="361"/>
      <c r="T1817" s="361"/>
      <c r="U1817" s="361"/>
      <c r="V1817" s="366"/>
      <c r="W1817" s="366"/>
    </row>
    <row r="1818" spans="1:23">
      <c r="A1818" s="1410"/>
      <c r="B1818" s="1413"/>
      <c r="C1818" s="845" t="s">
        <v>471</v>
      </c>
      <c r="D1818" s="875" t="str">
        <f>B1805&amp;C1818</f>
        <v>A54x</v>
      </c>
      <c r="E1818" s="367">
        <v>13</v>
      </c>
      <c r="F1818" s="370"/>
      <c r="G1818" s="368"/>
      <c r="H1818" s="368"/>
      <c r="I1818" s="368"/>
      <c r="J1818" s="368"/>
      <c r="K1818" s="370"/>
      <c r="L1818" s="370"/>
      <c r="M1818" s="370"/>
      <c r="N1818" s="382"/>
      <c r="O1818" s="372"/>
      <c r="P1818" s="380"/>
      <c r="Q1818" s="381"/>
      <c r="R1818" s="381"/>
      <c r="S1818" s="361"/>
      <c r="T1818" s="361"/>
      <c r="U1818" s="361"/>
      <c r="V1818" s="366"/>
      <c r="W1818" s="366"/>
    </row>
    <row r="1819" spans="1:23">
      <c r="A1819" s="1410"/>
      <c r="B1819" s="1413"/>
      <c r="C1819" s="845" t="s">
        <v>732</v>
      </c>
      <c r="D1819" s="875" t="str">
        <f>B1805&amp;C1819</f>
        <v>A54y</v>
      </c>
      <c r="E1819" s="367">
        <v>14</v>
      </c>
      <c r="F1819" s="370"/>
      <c r="G1819" s="368"/>
      <c r="H1819" s="368"/>
      <c r="I1819" s="368"/>
      <c r="J1819" s="368"/>
      <c r="K1819" s="370"/>
      <c r="L1819" s="370"/>
      <c r="M1819" s="370"/>
      <c r="N1819" s="382"/>
      <c r="O1819" s="372"/>
      <c r="P1819" s="380"/>
      <c r="Q1819" s="381"/>
      <c r="R1819" s="381"/>
      <c r="S1819" s="361"/>
      <c r="T1819" s="361"/>
      <c r="U1819" s="362"/>
      <c r="V1819" s="366"/>
      <c r="W1819" s="366"/>
    </row>
    <row r="1820" spans="1:23">
      <c r="A1820" s="1411"/>
      <c r="B1820" s="1414"/>
      <c r="C1820" s="846" t="s">
        <v>996</v>
      </c>
      <c r="D1820" s="876" t="str">
        <f>B1805&amp;C1820</f>
        <v>A54z</v>
      </c>
      <c r="E1820" s="847">
        <v>15</v>
      </c>
      <c r="F1820" s="370"/>
      <c r="G1820" s="368"/>
      <c r="H1820" s="368"/>
      <c r="I1820" s="368"/>
      <c r="J1820" s="368"/>
      <c r="K1820" s="370"/>
      <c r="L1820" s="370"/>
      <c r="M1820" s="370"/>
      <c r="N1820" s="850"/>
      <c r="O1820" s="851"/>
      <c r="P1820" s="380"/>
      <c r="Q1820" s="852"/>
      <c r="R1820" s="383"/>
      <c r="S1820" s="361"/>
      <c r="T1820" s="832"/>
      <c r="U1820" s="830"/>
      <c r="V1820" s="366"/>
      <c r="W1820" s="366"/>
    </row>
    <row r="1821" spans="1:23">
      <c r="A1821" s="1400" t="s">
        <v>939</v>
      </c>
      <c r="B1821" s="1400"/>
      <c r="C1821" s="827"/>
      <c r="D1821" s="871"/>
      <c r="E1821" s="1400" t="s">
        <v>177</v>
      </c>
      <c r="F1821" s="1400" t="s">
        <v>18</v>
      </c>
      <c r="G1821" s="1389" t="s">
        <v>19</v>
      </c>
      <c r="H1821" s="1390"/>
      <c r="I1821" s="1389" t="s">
        <v>22</v>
      </c>
      <c r="J1821" s="1390"/>
      <c r="K1821" s="1393" t="s">
        <v>26</v>
      </c>
      <c r="L1821" s="1390"/>
      <c r="M1821" s="1389" t="s">
        <v>392</v>
      </c>
      <c r="N1821" s="1390"/>
      <c r="O1821" s="1389" t="s">
        <v>28</v>
      </c>
      <c r="P1821" s="1393"/>
      <c r="Q1821" s="1390"/>
      <c r="R1821" s="1400" t="s">
        <v>36</v>
      </c>
      <c r="S1821" s="361"/>
      <c r="T1821" s="361">
        <f>MAX(J1825:J1839)-MIN(I1825:I1839)</f>
        <v>5.555555555555558E-2</v>
      </c>
      <c r="U1821" s="361"/>
      <c r="V1821" s="853" t="str">
        <f t="shared" ref="V1821" si="192">B1825</f>
        <v>A140</v>
      </c>
      <c r="W1821" s="361">
        <f t="shared" ref="W1821" si="193">COUNTIF(K1826:K1840,"&gt;0")</f>
        <v>4</v>
      </c>
    </row>
    <row r="1822" spans="1:23">
      <c r="A1822" s="1401"/>
      <c r="B1822" s="1401"/>
      <c r="C1822" s="828"/>
      <c r="D1822" s="872"/>
      <c r="E1822" s="1401"/>
      <c r="F1822" s="1401"/>
      <c r="G1822" s="1391"/>
      <c r="H1822" s="1392"/>
      <c r="I1822" s="1391"/>
      <c r="J1822" s="1392"/>
      <c r="K1822" s="1394"/>
      <c r="L1822" s="1392"/>
      <c r="M1822" s="1391"/>
      <c r="N1822" s="1392"/>
      <c r="O1822" s="1391"/>
      <c r="P1822" s="1394"/>
      <c r="Q1822" s="1392"/>
      <c r="R1822" s="1401"/>
      <c r="S1822" s="361"/>
      <c r="T1822" s="361"/>
      <c r="U1822" s="361"/>
      <c r="V1822" s="361"/>
      <c r="W1822" s="361"/>
    </row>
    <row r="1823" spans="1:23">
      <c r="A1823" s="1401"/>
      <c r="B1823" s="1401"/>
      <c r="C1823" s="828"/>
      <c r="D1823" s="872"/>
      <c r="E1823" s="1401"/>
      <c r="F1823" s="1401"/>
      <c r="G1823" s="1400" t="s">
        <v>20</v>
      </c>
      <c r="H1823" s="1400" t="s">
        <v>21</v>
      </c>
      <c r="I1823" s="1400" t="s">
        <v>361</v>
      </c>
      <c r="J1823" s="1400" t="s">
        <v>353</v>
      </c>
      <c r="K1823" s="1400" t="s">
        <v>23</v>
      </c>
      <c r="L1823" s="1400" t="s">
        <v>24</v>
      </c>
      <c r="M1823" s="1400" t="s">
        <v>27</v>
      </c>
      <c r="N1823" s="1400" t="s">
        <v>178</v>
      </c>
      <c r="O1823" s="1400" t="s">
        <v>1</v>
      </c>
      <c r="P1823" s="1400" t="s">
        <v>29</v>
      </c>
      <c r="Q1823" s="1400" t="s">
        <v>33</v>
      </c>
      <c r="R1823" s="1401"/>
      <c r="S1823" s="361"/>
      <c r="T1823" s="361" t="s">
        <v>39</v>
      </c>
      <c r="U1823" s="362">
        <f>VLOOKUP(B1825,'Thong tin'!$A:$M,13,0)</f>
        <v>1200</v>
      </c>
      <c r="V1823" s="361"/>
      <c r="W1823" s="361"/>
    </row>
    <row r="1824" spans="1:23">
      <c r="A1824" s="1402"/>
      <c r="B1824" s="1402"/>
      <c r="C1824" s="829"/>
      <c r="D1824" s="873"/>
      <c r="E1824" s="1402"/>
      <c r="F1824" s="1402"/>
      <c r="G1824" s="1402"/>
      <c r="H1824" s="1402"/>
      <c r="I1824" s="1402"/>
      <c r="J1824" s="1402"/>
      <c r="K1824" s="1402"/>
      <c r="L1824" s="1402"/>
      <c r="M1824" s="1402"/>
      <c r="N1824" s="1402"/>
      <c r="O1824" s="1402"/>
      <c r="P1824" s="1402"/>
      <c r="Q1824" s="1402"/>
      <c r="R1824" s="1402"/>
      <c r="S1824" s="361"/>
      <c r="T1824" s="1399" t="s">
        <v>393</v>
      </c>
      <c r="U1824" s="1397">
        <f>VLOOKUP(B1825,DT.NK!$B:$AZ,45,0)</f>
        <v>28.75</v>
      </c>
      <c r="V1824" s="361"/>
      <c r="W1824" s="361"/>
    </row>
    <row r="1825" spans="1:23">
      <c r="A1825" s="1409">
        <f>A1805+1</f>
        <v>92</v>
      </c>
      <c r="B1825" s="1412" t="s">
        <v>512</v>
      </c>
      <c r="C1825" s="844" t="s">
        <v>983</v>
      </c>
      <c r="D1825" s="874" t="str">
        <f>B1825&amp;C1825</f>
        <v>A140a</v>
      </c>
      <c r="E1825" s="363"/>
      <c r="F1825" s="364"/>
      <c r="G1825" s="364"/>
      <c r="H1825" s="364"/>
      <c r="I1825" s="364"/>
      <c r="J1825" s="364"/>
      <c r="K1825" s="364"/>
      <c r="L1825" s="364"/>
      <c r="M1825" s="674"/>
      <c r="N1825" s="670"/>
      <c r="O1825" s="670">
        <f>U1824</f>
        <v>28.75</v>
      </c>
      <c r="P1825" s="670">
        <f>O1825</f>
        <v>28.75</v>
      </c>
      <c r="Q1825" s="670">
        <v>0</v>
      </c>
      <c r="R1825" s="365"/>
      <c r="S1825" s="366"/>
      <c r="T1825" s="1399"/>
      <c r="U1825" s="1398"/>
      <c r="V1825" s="361"/>
      <c r="W1825" s="361"/>
    </row>
    <row r="1826" spans="1:23">
      <c r="A1826" s="1410"/>
      <c r="B1826" s="1413"/>
      <c r="C1826" s="845" t="s">
        <v>984</v>
      </c>
      <c r="D1826" s="875" t="str">
        <f>B1825&amp;C1826</f>
        <v>A140b</v>
      </c>
      <c r="E1826" s="367">
        <v>1</v>
      </c>
      <c r="F1826" s="669" t="s">
        <v>1091</v>
      </c>
      <c r="G1826" s="369">
        <v>0.89444444444444438</v>
      </c>
      <c r="H1826" s="368">
        <v>0.92361111111111116</v>
      </c>
      <c r="I1826" s="368">
        <v>0.93402777777777779</v>
      </c>
      <c r="J1826" s="368">
        <v>0.94097222222222221</v>
      </c>
      <c r="K1826" s="669">
        <v>9</v>
      </c>
      <c r="L1826" s="669">
        <v>19</v>
      </c>
      <c r="M1826" s="675">
        <v>26.75</v>
      </c>
      <c r="N1826" s="671">
        <f>IF(M1826-P1826&gt;0,M1826-P1826,0)</f>
        <v>4.25</v>
      </c>
      <c r="O1826" s="671">
        <f>O1825-K1826/(PI()*(U1823/2000)^2)</f>
        <v>20.792252845405233</v>
      </c>
      <c r="P1826" s="672">
        <v>22.5</v>
      </c>
      <c r="Q1826" s="673">
        <f>ABS(O1826-P1826)</f>
        <v>1.7077471545947667</v>
      </c>
      <c r="R1826" s="375" t="s">
        <v>188</v>
      </c>
      <c r="S1826" s="366"/>
      <c r="T1826" s="376"/>
      <c r="U1826" s="376"/>
      <c r="V1826" s="366"/>
      <c r="W1826" s="366"/>
    </row>
    <row r="1827" spans="1:23">
      <c r="A1827" s="1410"/>
      <c r="B1827" s="1413"/>
      <c r="C1827" s="845" t="s">
        <v>985</v>
      </c>
      <c r="D1827" s="875" t="str">
        <f>B1825&amp;C1827</f>
        <v>A140c</v>
      </c>
      <c r="E1827" s="367">
        <v>2</v>
      </c>
      <c r="F1827" s="669" t="s">
        <v>1008</v>
      </c>
      <c r="G1827" s="369">
        <v>0.90277777777777779</v>
      </c>
      <c r="H1827" s="368">
        <v>0.93055555555555547</v>
      </c>
      <c r="I1827" s="368">
        <v>0.94791666666666663</v>
      </c>
      <c r="J1827" s="368">
        <v>0.95486111111111116</v>
      </c>
      <c r="K1827" s="669">
        <v>9</v>
      </c>
      <c r="L1827" s="669">
        <v>19</v>
      </c>
      <c r="M1827" s="675">
        <v>20.45</v>
      </c>
      <c r="N1827" s="671">
        <f>IF(M1827-P1827&gt;0,M1827-P1827,0)</f>
        <v>5.4499999999999993</v>
      </c>
      <c r="O1827" s="671">
        <f>O1826-K1827/(PI()*(U1823/2000)^2)</f>
        <v>12.834505690810467</v>
      </c>
      <c r="P1827" s="672">
        <v>15</v>
      </c>
      <c r="Q1827" s="673">
        <f>ABS(O1827-P1827)</f>
        <v>2.1654943091895333</v>
      </c>
      <c r="R1827" s="375" t="s">
        <v>188</v>
      </c>
      <c r="S1827" s="366"/>
      <c r="T1827" s="376"/>
      <c r="U1827" s="376"/>
      <c r="V1827" s="366"/>
      <c r="W1827" s="366"/>
    </row>
    <row r="1828" spans="1:23">
      <c r="A1828" s="1410"/>
      <c r="B1828" s="1413"/>
      <c r="C1828" s="845" t="s">
        <v>986</v>
      </c>
      <c r="D1828" s="875" t="str">
        <f>B1825&amp;C1828</f>
        <v>A140d</v>
      </c>
      <c r="E1828" s="367">
        <v>3</v>
      </c>
      <c r="F1828" s="669" t="s">
        <v>1007</v>
      </c>
      <c r="G1828" s="368">
        <v>0.91041666666666676</v>
      </c>
      <c r="H1828" s="368">
        <v>0.94097222222222221</v>
      </c>
      <c r="I1828" s="368">
        <v>0.96180555555555547</v>
      </c>
      <c r="J1828" s="368">
        <v>0.96875</v>
      </c>
      <c r="K1828" s="370">
        <v>8</v>
      </c>
      <c r="L1828" s="370">
        <v>19</v>
      </c>
      <c r="M1828" s="371">
        <v>14.15</v>
      </c>
      <c r="N1828" s="671">
        <f>IF(M1828-P1828&gt;0,M1828-P1828,0)</f>
        <v>5.65</v>
      </c>
      <c r="O1828" s="671">
        <f>O1827-K1828/(PI()*(U1823/2000)^2)</f>
        <v>5.760952664504007</v>
      </c>
      <c r="P1828" s="373">
        <v>8.5</v>
      </c>
      <c r="Q1828" s="673">
        <f>ABS(O1828-P1828)</f>
        <v>2.739047335495993</v>
      </c>
      <c r="R1828" s="375" t="s">
        <v>188</v>
      </c>
      <c r="S1828" s="366"/>
      <c r="T1828" s="376"/>
      <c r="U1828" s="376"/>
      <c r="V1828" s="366"/>
      <c r="W1828" s="366"/>
    </row>
    <row r="1829" spans="1:23">
      <c r="A1829" s="1410"/>
      <c r="B1829" s="1413"/>
      <c r="C1829" s="845" t="s">
        <v>987</v>
      </c>
      <c r="D1829" s="875" t="str">
        <f>B1825&amp;C1829</f>
        <v>A140e</v>
      </c>
      <c r="E1829" s="367">
        <v>4</v>
      </c>
      <c r="F1829" s="669" t="s">
        <v>1089</v>
      </c>
      <c r="G1829" s="368">
        <v>0.96250000000000002</v>
      </c>
      <c r="H1829" s="368">
        <v>0.98402777777777783</v>
      </c>
      <c r="I1829" s="368">
        <v>0.98749999999999993</v>
      </c>
      <c r="J1829" s="368">
        <v>0.98958333333333337</v>
      </c>
      <c r="K1829" s="370">
        <v>4</v>
      </c>
      <c r="L1829" s="370">
        <v>19</v>
      </c>
      <c r="M1829" s="371">
        <v>14.15</v>
      </c>
      <c r="N1829" s="671">
        <f>IF(M1829-P1829&gt;0,M1829-P1829,0)</f>
        <v>6.5500000000000007</v>
      </c>
      <c r="O1829" s="671">
        <f>O1828-K1829/(PI()*(U1823/2000)^2)</f>
        <v>2.2241761513507772</v>
      </c>
      <c r="P1829" s="373">
        <v>7.6</v>
      </c>
      <c r="Q1829" s="673">
        <f>ABS(O1829-P1829)</f>
        <v>5.3758238486492225</v>
      </c>
      <c r="R1829" s="375"/>
      <c r="S1829" s="366"/>
      <c r="T1829" s="376"/>
      <c r="U1829" s="376"/>
      <c r="V1829" s="366"/>
      <c r="W1829" s="366"/>
    </row>
    <row r="1830" spans="1:23">
      <c r="A1830" s="1410"/>
      <c r="B1830" s="1413"/>
      <c r="C1830" s="845" t="s">
        <v>988</v>
      </c>
      <c r="D1830" s="875" t="str">
        <f>B1825&amp;C1830</f>
        <v>A140f</v>
      </c>
      <c r="E1830" s="367">
        <v>5</v>
      </c>
      <c r="F1830" s="669"/>
      <c r="G1830" s="368"/>
      <c r="H1830" s="368"/>
      <c r="I1830" s="368"/>
      <c r="J1830" s="368"/>
      <c r="K1830" s="370"/>
      <c r="L1830" s="370"/>
      <c r="M1830" s="371"/>
      <c r="N1830" s="671"/>
      <c r="O1830" s="671"/>
      <c r="P1830" s="373"/>
      <c r="Q1830" s="673"/>
      <c r="R1830" s="375"/>
      <c r="S1830" s="366" t="s">
        <v>190</v>
      </c>
      <c r="T1830" s="376"/>
      <c r="U1830" s="376"/>
      <c r="V1830" s="366"/>
      <c r="W1830" s="366"/>
    </row>
    <row r="1831" spans="1:23">
      <c r="A1831" s="1410"/>
      <c r="B1831" s="1413"/>
      <c r="C1831" s="845" t="s">
        <v>989</v>
      </c>
      <c r="D1831" s="875" t="str">
        <f>B1825&amp;C1831</f>
        <v>A140g</v>
      </c>
      <c r="E1831" s="367">
        <v>6</v>
      </c>
      <c r="F1831" s="669"/>
      <c r="G1831" s="368"/>
      <c r="H1831" s="368"/>
      <c r="I1831" s="368"/>
      <c r="J1831" s="368"/>
      <c r="K1831" s="370"/>
      <c r="L1831" s="370"/>
      <c r="M1831" s="371"/>
      <c r="N1831" s="671"/>
      <c r="O1831" s="671"/>
      <c r="P1831" s="373"/>
      <c r="Q1831" s="673"/>
      <c r="R1831" s="375"/>
      <c r="S1831" s="366" t="s">
        <v>190</v>
      </c>
      <c r="T1831" s="366"/>
      <c r="U1831" s="366"/>
      <c r="V1831" s="366"/>
      <c r="W1831" s="366"/>
    </row>
    <row r="1832" spans="1:23">
      <c r="A1832" s="1410"/>
      <c r="B1832" s="1413"/>
      <c r="C1832" s="845" t="s">
        <v>990</v>
      </c>
      <c r="D1832" s="875" t="str">
        <f>B1825&amp;C1832</f>
        <v>A140h</v>
      </c>
      <c r="E1832" s="367">
        <v>7</v>
      </c>
      <c r="F1832" s="669"/>
      <c r="G1832" s="368"/>
      <c r="H1832" s="368"/>
      <c r="I1832" s="368"/>
      <c r="J1832" s="368"/>
      <c r="K1832" s="370"/>
      <c r="L1832" s="370"/>
      <c r="M1832" s="371"/>
      <c r="N1832" s="671"/>
      <c r="O1832" s="671"/>
      <c r="P1832" s="373"/>
      <c r="Q1832" s="673"/>
      <c r="R1832" s="377"/>
      <c r="S1832" s="366" t="s">
        <v>190</v>
      </c>
      <c r="T1832" s="366"/>
      <c r="U1832" s="366"/>
      <c r="V1832" s="366"/>
      <c r="W1832" s="366"/>
    </row>
    <row r="1833" spans="1:23">
      <c r="A1833" s="1410"/>
      <c r="B1833" s="1413"/>
      <c r="C1833" s="845" t="s">
        <v>991</v>
      </c>
      <c r="D1833" s="875" t="str">
        <f>B1825&amp;C1833</f>
        <v>A140i</v>
      </c>
      <c r="E1833" s="367">
        <v>8</v>
      </c>
      <c r="F1833" s="669"/>
      <c r="G1833" s="368"/>
      <c r="H1833" s="368"/>
      <c r="I1833" s="368"/>
      <c r="J1833" s="368"/>
      <c r="K1833" s="370"/>
      <c r="L1833" s="370"/>
      <c r="M1833" s="371"/>
      <c r="N1833" s="671"/>
      <c r="O1833" s="671"/>
      <c r="P1833" s="373"/>
      <c r="Q1833" s="673"/>
      <c r="R1833" s="378"/>
      <c r="S1833" s="366"/>
      <c r="T1833" s="366"/>
      <c r="U1833" s="366"/>
      <c r="V1833" s="366"/>
      <c r="W1833" s="366"/>
    </row>
    <row r="1834" spans="1:23">
      <c r="A1834" s="1410"/>
      <c r="B1834" s="1413"/>
      <c r="C1834" s="845" t="s">
        <v>992</v>
      </c>
      <c r="D1834" s="875" t="str">
        <f>B1825&amp;C1834</f>
        <v>A140k</v>
      </c>
      <c r="E1834" s="367">
        <v>9</v>
      </c>
      <c r="F1834" s="370"/>
      <c r="G1834" s="368"/>
      <c r="H1834" s="368"/>
      <c r="I1834" s="368"/>
      <c r="J1834" s="368"/>
      <c r="K1834" s="370"/>
      <c r="L1834" s="370"/>
      <c r="M1834" s="371"/>
      <c r="N1834" s="372"/>
      <c r="O1834" s="372"/>
      <c r="P1834" s="373"/>
      <c r="Q1834" s="374"/>
      <c r="R1834" s="378"/>
      <c r="S1834" s="379"/>
      <c r="T1834" s="366"/>
      <c r="U1834" s="366"/>
      <c r="V1834" s="366"/>
      <c r="W1834" s="366"/>
    </row>
    <row r="1835" spans="1:23">
      <c r="A1835" s="1410"/>
      <c r="B1835" s="1413"/>
      <c r="C1835" s="845" t="s">
        <v>993</v>
      </c>
      <c r="D1835" s="875" t="str">
        <f>B1825&amp;C1835</f>
        <v>A140l</v>
      </c>
      <c r="E1835" s="367">
        <v>10</v>
      </c>
      <c r="F1835" s="370"/>
      <c r="G1835" s="368"/>
      <c r="H1835" s="368"/>
      <c r="I1835" s="368"/>
      <c r="J1835" s="368"/>
      <c r="K1835" s="370"/>
      <c r="L1835" s="370"/>
      <c r="M1835" s="370"/>
      <c r="N1835" s="372"/>
      <c r="O1835" s="372"/>
      <c r="P1835" s="373"/>
      <c r="Q1835" s="374"/>
      <c r="R1835" s="378"/>
      <c r="S1835" s="379"/>
      <c r="T1835" s="366"/>
      <c r="U1835" s="366"/>
      <c r="V1835" s="366"/>
      <c r="W1835" s="366"/>
    </row>
    <row r="1836" spans="1:23">
      <c r="A1836" s="1410"/>
      <c r="B1836" s="1413"/>
      <c r="C1836" s="845" t="s">
        <v>994</v>
      </c>
      <c r="D1836" s="875" t="str">
        <f>B1825&amp;C1836</f>
        <v>A140m</v>
      </c>
      <c r="E1836" s="367">
        <v>11</v>
      </c>
      <c r="F1836" s="370"/>
      <c r="G1836" s="368"/>
      <c r="H1836" s="368"/>
      <c r="I1836" s="368"/>
      <c r="J1836" s="368"/>
      <c r="K1836" s="370"/>
      <c r="L1836" s="370"/>
      <c r="M1836" s="370"/>
      <c r="N1836" s="372"/>
      <c r="O1836" s="372"/>
      <c r="P1836" s="380"/>
      <c r="Q1836" s="374"/>
      <c r="R1836" s="381"/>
      <c r="S1836" s="379"/>
      <c r="T1836" s="366"/>
      <c r="U1836" s="366"/>
      <c r="V1836" s="366"/>
      <c r="W1836" s="366"/>
    </row>
    <row r="1837" spans="1:23">
      <c r="A1837" s="1410"/>
      <c r="B1837" s="1413"/>
      <c r="C1837" s="845" t="s">
        <v>995</v>
      </c>
      <c r="D1837" s="875" t="str">
        <f>B1825&amp;C1837</f>
        <v>A140n</v>
      </c>
      <c r="E1837" s="367">
        <v>12</v>
      </c>
      <c r="F1837" s="370"/>
      <c r="G1837" s="368"/>
      <c r="H1837" s="368"/>
      <c r="I1837" s="368"/>
      <c r="J1837" s="368"/>
      <c r="K1837" s="370"/>
      <c r="L1837" s="370"/>
      <c r="M1837" s="370"/>
      <c r="N1837" s="372"/>
      <c r="O1837" s="372"/>
      <c r="P1837" s="380"/>
      <c r="Q1837" s="374"/>
      <c r="R1837" s="381"/>
      <c r="S1837" s="361"/>
      <c r="T1837" s="361"/>
      <c r="U1837" s="361"/>
      <c r="V1837" s="366"/>
      <c r="W1837" s="366"/>
    </row>
    <row r="1838" spans="1:23">
      <c r="A1838" s="1410"/>
      <c r="B1838" s="1413"/>
      <c r="C1838" s="845" t="s">
        <v>471</v>
      </c>
      <c r="D1838" s="875" t="str">
        <f>B1825&amp;C1838</f>
        <v>A140x</v>
      </c>
      <c r="E1838" s="367">
        <v>13</v>
      </c>
      <c r="F1838" s="370"/>
      <c r="G1838" s="368"/>
      <c r="H1838" s="368"/>
      <c r="I1838" s="368"/>
      <c r="J1838" s="368"/>
      <c r="K1838" s="370"/>
      <c r="L1838" s="370"/>
      <c r="M1838" s="370"/>
      <c r="N1838" s="382"/>
      <c r="O1838" s="372"/>
      <c r="P1838" s="380"/>
      <c r="Q1838" s="381"/>
      <c r="R1838" s="381"/>
      <c r="S1838" s="361"/>
      <c r="T1838" s="361"/>
      <c r="U1838" s="361"/>
      <c r="V1838" s="366"/>
      <c r="W1838" s="366"/>
    </row>
    <row r="1839" spans="1:23">
      <c r="A1839" s="1410"/>
      <c r="B1839" s="1413"/>
      <c r="C1839" s="845" t="s">
        <v>732</v>
      </c>
      <c r="D1839" s="875" t="str">
        <f>B1825&amp;C1839</f>
        <v>A140y</v>
      </c>
      <c r="E1839" s="367">
        <v>14</v>
      </c>
      <c r="F1839" s="370"/>
      <c r="G1839" s="368"/>
      <c r="H1839" s="368"/>
      <c r="I1839" s="368"/>
      <c r="J1839" s="368"/>
      <c r="K1839" s="370"/>
      <c r="L1839" s="370"/>
      <c r="M1839" s="370"/>
      <c r="N1839" s="382"/>
      <c r="O1839" s="372"/>
      <c r="P1839" s="380"/>
      <c r="Q1839" s="381"/>
      <c r="R1839" s="381"/>
      <c r="S1839" s="361"/>
      <c r="T1839" s="361"/>
      <c r="U1839" s="362"/>
      <c r="V1839" s="366"/>
      <c r="W1839" s="366"/>
    </row>
    <row r="1840" spans="1:23">
      <c r="A1840" s="1411"/>
      <c r="B1840" s="1414"/>
      <c r="C1840" s="846" t="s">
        <v>996</v>
      </c>
      <c r="D1840" s="876" t="str">
        <f>B1825&amp;C1840</f>
        <v>A140z</v>
      </c>
      <c r="E1840" s="847">
        <v>15</v>
      </c>
      <c r="F1840" s="370"/>
      <c r="G1840" s="368"/>
      <c r="H1840" s="368"/>
      <c r="I1840" s="368"/>
      <c r="J1840" s="368"/>
      <c r="K1840" s="370"/>
      <c r="L1840" s="370"/>
      <c r="M1840" s="370"/>
      <c r="N1840" s="850"/>
      <c r="O1840" s="851"/>
      <c r="P1840" s="380"/>
      <c r="Q1840" s="852"/>
      <c r="R1840" s="383"/>
      <c r="S1840" s="361"/>
      <c r="T1840" s="832"/>
      <c r="U1840" s="830"/>
      <c r="V1840" s="366"/>
      <c r="W1840" s="366"/>
    </row>
    <row r="1841" spans="1:23">
      <c r="A1841" s="1400" t="s">
        <v>939</v>
      </c>
      <c r="B1841" s="1400"/>
      <c r="C1841" s="827"/>
      <c r="D1841" s="871"/>
      <c r="E1841" s="1400" t="s">
        <v>177</v>
      </c>
      <c r="F1841" s="1400" t="s">
        <v>18</v>
      </c>
      <c r="G1841" s="1389" t="s">
        <v>19</v>
      </c>
      <c r="H1841" s="1390"/>
      <c r="I1841" s="1389" t="s">
        <v>22</v>
      </c>
      <c r="J1841" s="1390"/>
      <c r="K1841" s="1393" t="s">
        <v>26</v>
      </c>
      <c r="L1841" s="1390"/>
      <c r="M1841" s="1389" t="s">
        <v>392</v>
      </c>
      <c r="N1841" s="1390"/>
      <c r="O1841" s="1389" t="s">
        <v>28</v>
      </c>
      <c r="P1841" s="1393"/>
      <c r="Q1841" s="1390"/>
      <c r="R1841" s="1400" t="s">
        <v>36</v>
      </c>
      <c r="S1841" s="361"/>
      <c r="T1841" s="361">
        <f>MAX(J1845:J1859)-MIN(I1845:I1859)</f>
        <v>2.5694444444444436E-2</v>
      </c>
      <c r="U1841" s="361"/>
      <c r="V1841" s="853" t="str">
        <f t="shared" ref="V1841" si="194">B1845</f>
        <v>A82</v>
      </c>
      <c r="W1841" s="361">
        <f t="shared" ref="W1841" si="195">COUNTIF(K1846:K1860,"&gt;0")</f>
        <v>3</v>
      </c>
    </row>
    <row r="1842" spans="1:23">
      <c r="A1842" s="1401"/>
      <c r="B1842" s="1401"/>
      <c r="C1842" s="828"/>
      <c r="D1842" s="872"/>
      <c r="E1842" s="1401"/>
      <c r="F1842" s="1401"/>
      <c r="G1842" s="1391"/>
      <c r="H1842" s="1392"/>
      <c r="I1842" s="1391"/>
      <c r="J1842" s="1392"/>
      <c r="K1842" s="1394"/>
      <c r="L1842" s="1392"/>
      <c r="M1842" s="1391"/>
      <c r="N1842" s="1392"/>
      <c r="O1842" s="1391"/>
      <c r="P1842" s="1394"/>
      <c r="Q1842" s="1392"/>
      <c r="R1842" s="1401"/>
      <c r="S1842" s="361"/>
      <c r="T1842" s="361"/>
      <c r="U1842" s="361"/>
      <c r="V1842" s="361"/>
      <c r="W1842" s="361"/>
    </row>
    <row r="1843" spans="1:23">
      <c r="A1843" s="1401"/>
      <c r="B1843" s="1401"/>
      <c r="C1843" s="828"/>
      <c r="D1843" s="872"/>
      <c r="E1843" s="1401"/>
      <c r="F1843" s="1401"/>
      <c r="G1843" s="1400" t="s">
        <v>20</v>
      </c>
      <c r="H1843" s="1400" t="s">
        <v>21</v>
      </c>
      <c r="I1843" s="1400" t="s">
        <v>361</v>
      </c>
      <c r="J1843" s="1400" t="s">
        <v>353</v>
      </c>
      <c r="K1843" s="1400" t="s">
        <v>23</v>
      </c>
      <c r="L1843" s="1400" t="s">
        <v>24</v>
      </c>
      <c r="M1843" s="1400" t="s">
        <v>27</v>
      </c>
      <c r="N1843" s="1400" t="s">
        <v>178</v>
      </c>
      <c r="O1843" s="1400" t="s">
        <v>1</v>
      </c>
      <c r="P1843" s="1400" t="s">
        <v>29</v>
      </c>
      <c r="Q1843" s="1400" t="s">
        <v>33</v>
      </c>
      <c r="R1843" s="1401"/>
      <c r="S1843" s="361"/>
      <c r="T1843" s="361" t="s">
        <v>39</v>
      </c>
      <c r="U1843" s="362">
        <f>VLOOKUP(B1845,'Thong tin'!$A:$M,13,0)</f>
        <v>1200</v>
      </c>
      <c r="V1843" s="361"/>
      <c r="W1843" s="361"/>
    </row>
    <row r="1844" spans="1:23">
      <c r="A1844" s="1402"/>
      <c r="B1844" s="1402"/>
      <c r="C1844" s="829"/>
      <c r="D1844" s="873"/>
      <c r="E1844" s="1402"/>
      <c r="F1844" s="1402"/>
      <c r="G1844" s="1402"/>
      <c r="H1844" s="1402"/>
      <c r="I1844" s="1402"/>
      <c r="J1844" s="1402"/>
      <c r="K1844" s="1402"/>
      <c r="L1844" s="1402"/>
      <c r="M1844" s="1402"/>
      <c r="N1844" s="1402"/>
      <c r="O1844" s="1402"/>
      <c r="P1844" s="1402"/>
      <c r="Q1844" s="1402"/>
      <c r="R1844" s="1402"/>
      <c r="S1844" s="361"/>
      <c r="T1844" s="1399" t="s">
        <v>393</v>
      </c>
      <c r="U1844" s="1397">
        <f>VLOOKUP(B1845,DT.NK!$B:$AZ,45,0)</f>
        <v>28.4</v>
      </c>
      <c r="V1844" s="361"/>
      <c r="W1844" s="361"/>
    </row>
    <row r="1845" spans="1:23">
      <c r="A1845" s="1409">
        <f>A1825+1</f>
        <v>93</v>
      </c>
      <c r="B1845" s="1412" t="s">
        <v>665</v>
      </c>
      <c r="C1845" s="844" t="s">
        <v>983</v>
      </c>
      <c r="D1845" s="874" t="str">
        <f>B1845&amp;C1845</f>
        <v>A82a</v>
      </c>
      <c r="E1845" s="363"/>
      <c r="F1845" s="364"/>
      <c r="G1845" s="364"/>
      <c r="H1845" s="364"/>
      <c r="I1845" s="364"/>
      <c r="J1845" s="364"/>
      <c r="K1845" s="364"/>
      <c r="L1845" s="364"/>
      <c r="M1845" s="674"/>
      <c r="N1845" s="670"/>
      <c r="O1845" s="670">
        <f>U1844</f>
        <v>28.4</v>
      </c>
      <c r="P1845" s="670">
        <f>O1845</f>
        <v>28.4</v>
      </c>
      <c r="Q1845" s="670">
        <v>0</v>
      </c>
      <c r="R1845" s="365"/>
      <c r="S1845" s="366"/>
      <c r="T1845" s="1399"/>
      <c r="U1845" s="1398"/>
      <c r="V1845" s="361"/>
      <c r="W1845" s="361"/>
    </row>
    <row r="1846" spans="1:23">
      <c r="A1846" s="1410"/>
      <c r="B1846" s="1413"/>
      <c r="C1846" s="845" t="s">
        <v>984</v>
      </c>
      <c r="D1846" s="875" t="str">
        <f>B1845&amp;C1846</f>
        <v>A82b</v>
      </c>
      <c r="E1846" s="367">
        <v>1</v>
      </c>
      <c r="F1846" s="669" t="s">
        <v>1091</v>
      </c>
      <c r="G1846" s="369">
        <v>0.12916666666666668</v>
      </c>
      <c r="H1846" s="368">
        <v>0.15625</v>
      </c>
      <c r="I1846" s="368">
        <v>0.16319444444444445</v>
      </c>
      <c r="J1846" s="368">
        <v>0.16805555555555554</v>
      </c>
      <c r="K1846" s="669">
        <v>9</v>
      </c>
      <c r="L1846" s="669">
        <v>19</v>
      </c>
      <c r="M1846" s="675">
        <v>26.4</v>
      </c>
      <c r="N1846" s="671">
        <f>IF(M1846-P1846&gt;0,M1846-P1846,0)</f>
        <v>4.5</v>
      </c>
      <c r="O1846" s="671">
        <f>O1845-K1846/(PI()*(U1843/2000)^2)</f>
        <v>20.442252845405232</v>
      </c>
      <c r="P1846" s="672">
        <v>21.9</v>
      </c>
      <c r="Q1846" s="673">
        <f>ABS(O1846-P1846)</f>
        <v>1.4577471545947667</v>
      </c>
      <c r="R1846" s="375" t="s">
        <v>188</v>
      </c>
      <c r="S1846" s="366"/>
      <c r="T1846" s="376"/>
      <c r="U1846" s="376"/>
      <c r="V1846" s="366"/>
      <c r="W1846" s="366"/>
    </row>
    <row r="1847" spans="1:23">
      <c r="A1847" s="1410"/>
      <c r="B1847" s="1413"/>
      <c r="C1847" s="845" t="s">
        <v>985</v>
      </c>
      <c r="D1847" s="875" t="str">
        <f>B1845&amp;C1847</f>
        <v>A82c</v>
      </c>
      <c r="E1847" s="367">
        <v>2</v>
      </c>
      <c r="F1847" s="669" t="s">
        <v>1089</v>
      </c>
      <c r="G1847" s="369">
        <v>0.1388888888888889</v>
      </c>
      <c r="H1847" s="368">
        <v>0.15972222222222224</v>
      </c>
      <c r="I1847" s="368">
        <v>0.17361111111111113</v>
      </c>
      <c r="J1847" s="368">
        <v>0.17777777777777778</v>
      </c>
      <c r="K1847" s="669">
        <v>9</v>
      </c>
      <c r="L1847" s="669">
        <v>19</v>
      </c>
      <c r="M1847" s="675">
        <v>20.100000000000001</v>
      </c>
      <c r="N1847" s="671">
        <f>IF(M1847-P1847&gt;0,M1847-P1847,0)</f>
        <v>5.7000000000000011</v>
      </c>
      <c r="O1847" s="671">
        <f>O1846-K1847/(PI()*(U1843/2000)^2)</f>
        <v>12.484505690810465</v>
      </c>
      <c r="P1847" s="672">
        <v>14.4</v>
      </c>
      <c r="Q1847" s="673">
        <f>ABS(O1847-P1847)</f>
        <v>1.9154943091895351</v>
      </c>
      <c r="R1847" s="375" t="s">
        <v>188</v>
      </c>
      <c r="S1847" s="366"/>
      <c r="T1847" s="376"/>
      <c r="U1847" s="376"/>
      <c r="V1847" s="366"/>
      <c r="W1847" s="366"/>
    </row>
    <row r="1848" spans="1:23">
      <c r="A1848" s="1410"/>
      <c r="B1848" s="1413"/>
      <c r="C1848" s="845" t="s">
        <v>986</v>
      </c>
      <c r="D1848" s="875" t="str">
        <f>B1845&amp;C1848</f>
        <v>A82d</v>
      </c>
      <c r="E1848" s="367">
        <v>3</v>
      </c>
      <c r="F1848" s="669" t="s">
        <v>1010</v>
      </c>
      <c r="G1848" s="368">
        <v>0.14652777777777778</v>
      </c>
      <c r="H1848" s="368">
        <v>0.17013888888888887</v>
      </c>
      <c r="I1848" s="368">
        <v>0.18402777777777779</v>
      </c>
      <c r="J1848" s="368">
        <v>0.18888888888888888</v>
      </c>
      <c r="K1848" s="370">
        <v>9</v>
      </c>
      <c r="L1848" s="370">
        <v>19</v>
      </c>
      <c r="M1848" s="371">
        <v>10.64</v>
      </c>
      <c r="N1848" s="671">
        <f>IF(M1848-P1848&gt;0,M1848-P1848,0)</f>
        <v>3.1400000000000006</v>
      </c>
      <c r="O1848" s="671">
        <f>O1847-K1848/(PI()*(U1843/2000)^2)</f>
        <v>4.5267585362156986</v>
      </c>
      <c r="P1848" s="373">
        <v>7.5</v>
      </c>
      <c r="Q1848" s="673">
        <f>ABS(O1848-P1848)</f>
        <v>2.9732414637843014</v>
      </c>
      <c r="R1848" s="375" t="s">
        <v>188</v>
      </c>
      <c r="S1848" s="366"/>
      <c r="T1848" s="376"/>
      <c r="U1848" s="376"/>
      <c r="V1848" s="366"/>
      <c r="W1848" s="366"/>
    </row>
    <row r="1849" spans="1:23">
      <c r="A1849" s="1410"/>
      <c r="B1849" s="1413"/>
      <c r="C1849" s="845" t="s">
        <v>987</v>
      </c>
      <c r="D1849" s="875" t="str">
        <f>B1845&amp;C1849</f>
        <v>A82e</v>
      </c>
      <c r="E1849" s="367">
        <v>4</v>
      </c>
      <c r="F1849" s="669"/>
      <c r="G1849" s="368"/>
      <c r="H1849" s="368"/>
      <c r="I1849" s="368"/>
      <c r="J1849" s="368"/>
      <c r="K1849" s="370"/>
      <c r="L1849" s="370"/>
      <c r="M1849" s="371"/>
      <c r="N1849" s="671"/>
      <c r="O1849" s="671"/>
      <c r="P1849" s="373"/>
      <c r="Q1849" s="673"/>
      <c r="R1849" s="375"/>
      <c r="S1849" s="366"/>
      <c r="T1849" s="376"/>
      <c r="U1849" s="376"/>
      <c r="V1849" s="366"/>
      <c r="W1849" s="366"/>
    </row>
    <row r="1850" spans="1:23">
      <c r="A1850" s="1410"/>
      <c r="B1850" s="1413"/>
      <c r="C1850" s="845" t="s">
        <v>988</v>
      </c>
      <c r="D1850" s="875" t="str">
        <f>B1845&amp;C1850</f>
        <v>A82f</v>
      </c>
      <c r="E1850" s="367">
        <v>5</v>
      </c>
      <c r="F1850" s="669"/>
      <c r="G1850" s="368"/>
      <c r="H1850" s="368"/>
      <c r="I1850" s="368"/>
      <c r="J1850" s="368"/>
      <c r="K1850" s="370"/>
      <c r="L1850" s="370"/>
      <c r="M1850" s="371"/>
      <c r="N1850" s="671"/>
      <c r="O1850" s="671"/>
      <c r="P1850" s="373"/>
      <c r="Q1850" s="673"/>
      <c r="R1850" s="375"/>
      <c r="S1850" s="366" t="s">
        <v>190</v>
      </c>
      <c r="T1850" s="376"/>
      <c r="U1850" s="376"/>
      <c r="V1850" s="366"/>
      <c r="W1850" s="366"/>
    </row>
    <row r="1851" spans="1:23">
      <c r="A1851" s="1410"/>
      <c r="B1851" s="1413"/>
      <c r="C1851" s="845" t="s">
        <v>989</v>
      </c>
      <c r="D1851" s="875" t="str">
        <f>B1845&amp;C1851</f>
        <v>A82g</v>
      </c>
      <c r="E1851" s="367">
        <v>6</v>
      </c>
      <c r="F1851" s="669"/>
      <c r="G1851" s="368"/>
      <c r="H1851" s="368"/>
      <c r="I1851" s="368"/>
      <c r="J1851" s="368"/>
      <c r="K1851" s="370"/>
      <c r="L1851" s="370"/>
      <c r="M1851" s="371"/>
      <c r="N1851" s="671"/>
      <c r="O1851" s="671"/>
      <c r="P1851" s="373"/>
      <c r="Q1851" s="673"/>
      <c r="R1851" s="375"/>
      <c r="S1851" s="366" t="s">
        <v>190</v>
      </c>
      <c r="T1851" s="366"/>
      <c r="U1851" s="366"/>
      <c r="V1851" s="366"/>
      <c r="W1851" s="366"/>
    </row>
    <row r="1852" spans="1:23">
      <c r="A1852" s="1410"/>
      <c r="B1852" s="1413"/>
      <c r="C1852" s="845" t="s">
        <v>990</v>
      </c>
      <c r="D1852" s="875" t="str">
        <f>B1845&amp;C1852</f>
        <v>A82h</v>
      </c>
      <c r="E1852" s="367">
        <v>7</v>
      </c>
      <c r="F1852" s="669"/>
      <c r="G1852" s="368"/>
      <c r="H1852" s="368"/>
      <c r="I1852" s="368"/>
      <c r="J1852" s="368"/>
      <c r="K1852" s="370"/>
      <c r="L1852" s="370"/>
      <c r="M1852" s="371"/>
      <c r="N1852" s="671"/>
      <c r="O1852" s="671"/>
      <c r="P1852" s="373"/>
      <c r="Q1852" s="673"/>
      <c r="R1852" s="377"/>
      <c r="S1852" s="366" t="s">
        <v>190</v>
      </c>
      <c r="T1852" s="366"/>
      <c r="U1852" s="366"/>
      <c r="V1852" s="366"/>
      <c r="W1852" s="366"/>
    </row>
    <row r="1853" spans="1:23">
      <c r="A1853" s="1410"/>
      <c r="B1853" s="1413"/>
      <c r="C1853" s="845" t="s">
        <v>991</v>
      </c>
      <c r="D1853" s="875" t="str">
        <f>B1845&amp;C1853</f>
        <v>A82i</v>
      </c>
      <c r="E1853" s="367">
        <v>8</v>
      </c>
      <c r="F1853" s="669"/>
      <c r="G1853" s="368"/>
      <c r="H1853" s="368"/>
      <c r="I1853" s="368"/>
      <c r="J1853" s="368"/>
      <c r="K1853" s="370"/>
      <c r="L1853" s="370"/>
      <c r="M1853" s="371"/>
      <c r="N1853" s="671"/>
      <c r="O1853" s="671"/>
      <c r="P1853" s="373"/>
      <c r="Q1853" s="673"/>
      <c r="R1853" s="378"/>
      <c r="S1853" s="366"/>
      <c r="T1853" s="366"/>
      <c r="U1853" s="366"/>
      <c r="V1853" s="366"/>
      <c r="W1853" s="366"/>
    </row>
    <row r="1854" spans="1:23">
      <c r="A1854" s="1410"/>
      <c r="B1854" s="1413"/>
      <c r="C1854" s="845" t="s">
        <v>992</v>
      </c>
      <c r="D1854" s="875" t="str">
        <f>B1845&amp;C1854</f>
        <v>A82k</v>
      </c>
      <c r="E1854" s="367">
        <v>9</v>
      </c>
      <c r="F1854" s="370"/>
      <c r="G1854" s="368"/>
      <c r="H1854" s="368"/>
      <c r="I1854" s="368"/>
      <c r="J1854" s="368"/>
      <c r="K1854" s="370"/>
      <c r="L1854" s="370"/>
      <c r="M1854" s="371"/>
      <c r="N1854" s="372"/>
      <c r="O1854" s="372"/>
      <c r="P1854" s="373"/>
      <c r="Q1854" s="374"/>
      <c r="R1854" s="378"/>
      <c r="S1854" s="379"/>
      <c r="T1854" s="366"/>
      <c r="U1854" s="366"/>
      <c r="V1854" s="366"/>
      <c r="W1854" s="366"/>
    </row>
    <row r="1855" spans="1:23">
      <c r="A1855" s="1410"/>
      <c r="B1855" s="1413"/>
      <c r="C1855" s="845" t="s">
        <v>993</v>
      </c>
      <c r="D1855" s="875" t="str">
        <f>B1845&amp;C1855</f>
        <v>A82l</v>
      </c>
      <c r="E1855" s="367">
        <v>10</v>
      </c>
      <c r="F1855" s="370"/>
      <c r="G1855" s="368"/>
      <c r="H1855" s="368"/>
      <c r="I1855" s="368"/>
      <c r="J1855" s="368"/>
      <c r="K1855" s="370"/>
      <c r="L1855" s="370"/>
      <c r="M1855" s="370"/>
      <c r="N1855" s="372"/>
      <c r="O1855" s="372"/>
      <c r="P1855" s="373"/>
      <c r="Q1855" s="374"/>
      <c r="R1855" s="378"/>
      <c r="S1855" s="379"/>
      <c r="T1855" s="366"/>
      <c r="U1855" s="366"/>
      <c r="V1855" s="366"/>
      <c r="W1855" s="366"/>
    </row>
    <row r="1856" spans="1:23">
      <c r="A1856" s="1410"/>
      <c r="B1856" s="1413"/>
      <c r="C1856" s="845" t="s">
        <v>994</v>
      </c>
      <c r="D1856" s="875" t="str">
        <f>B1845&amp;C1856</f>
        <v>A82m</v>
      </c>
      <c r="E1856" s="367">
        <v>11</v>
      </c>
      <c r="F1856" s="370"/>
      <c r="G1856" s="368"/>
      <c r="H1856" s="368"/>
      <c r="I1856" s="368"/>
      <c r="J1856" s="368"/>
      <c r="K1856" s="370"/>
      <c r="L1856" s="370"/>
      <c r="M1856" s="370"/>
      <c r="N1856" s="372"/>
      <c r="O1856" s="372"/>
      <c r="P1856" s="380"/>
      <c r="Q1856" s="374"/>
      <c r="R1856" s="381"/>
      <c r="S1856" s="379"/>
      <c r="T1856" s="366"/>
      <c r="U1856" s="366"/>
      <c r="V1856" s="366"/>
      <c r="W1856" s="366"/>
    </row>
    <row r="1857" spans="1:23">
      <c r="A1857" s="1410"/>
      <c r="B1857" s="1413"/>
      <c r="C1857" s="845" t="s">
        <v>995</v>
      </c>
      <c r="D1857" s="875" t="str">
        <f>B1845&amp;C1857</f>
        <v>A82n</v>
      </c>
      <c r="E1857" s="367">
        <v>12</v>
      </c>
      <c r="F1857" s="370"/>
      <c r="G1857" s="368"/>
      <c r="H1857" s="368"/>
      <c r="I1857" s="368"/>
      <c r="J1857" s="368"/>
      <c r="K1857" s="370"/>
      <c r="L1857" s="370"/>
      <c r="M1857" s="370"/>
      <c r="N1857" s="372"/>
      <c r="O1857" s="372"/>
      <c r="P1857" s="380"/>
      <c r="Q1857" s="374"/>
      <c r="R1857" s="381"/>
      <c r="S1857" s="361"/>
      <c r="T1857" s="361"/>
      <c r="U1857" s="361"/>
      <c r="V1857" s="366"/>
      <c r="W1857" s="366"/>
    </row>
    <row r="1858" spans="1:23">
      <c r="A1858" s="1410"/>
      <c r="B1858" s="1413"/>
      <c r="C1858" s="845" t="s">
        <v>471</v>
      </c>
      <c r="D1858" s="875" t="str">
        <f>B1845&amp;C1858</f>
        <v>A82x</v>
      </c>
      <c r="E1858" s="367">
        <v>13</v>
      </c>
      <c r="F1858" s="370"/>
      <c r="G1858" s="368"/>
      <c r="H1858" s="368"/>
      <c r="I1858" s="368"/>
      <c r="J1858" s="368"/>
      <c r="K1858" s="370"/>
      <c r="L1858" s="370"/>
      <c r="M1858" s="370"/>
      <c r="N1858" s="382"/>
      <c r="O1858" s="372"/>
      <c r="P1858" s="380"/>
      <c r="Q1858" s="381"/>
      <c r="R1858" s="381"/>
      <c r="S1858" s="361"/>
      <c r="T1858" s="361"/>
      <c r="U1858" s="361"/>
      <c r="V1858" s="366"/>
      <c r="W1858" s="366"/>
    </row>
    <row r="1859" spans="1:23">
      <c r="A1859" s="1410"/>
      <c r="B1859" s="1413"/>
      <c r="C1859" s="845" t="s">
        <v>732</v>
      </c>
      <c r="D1859" s="875" t="str">
        <f>B1845&amp;C1859</f>
        <v>A82y</v>
      </c>
      <c r="E1859" s="367">
        <v>14</v>
      </c>
      <c r="F1859" s="370"/>
      <c r="G1859" s="368"/>
      <c r="H1859" s="368"/>
      <c r="I1859" s="368"/>
      <c r="J1859" s="368"/>
      <c r="K1859" s="370"/>
      <c r="L1859" s="370"/>
      <c r="M1859" s="370"/>
      <c r="N1859" s="382"/>
      <c r="O1859" s="372"/>
      <c r="P1859" s="380"/>
      <c r="Q1859" s="381"/>
      <c r="R1859" s="381"/>
      <c r="S1859" s="361"/>
      <c r="T1859" s="361"/>
      <c r="U1859" s="362"/>
      <c r="V1859" s="366"/>
      <c r="W1859" s="366"/>
    </row>
    <row r="1860" spans="1:23">
      <c r="A1860" s="1411"/>
      <c r="B1860" s="1414"/>
      <c r="C1860" s="846" t="s">
        <v>996</v>
      </c>
      <c r="D1860" s="876" t="str">
        <f>B1845&amp;C1860</f>
        <v>A82z</v>
      </c>
      <c r="E1860" s="847">
        <v>15</v>
      </c>
      <c r="F1860" s="370"/>
      <c r="G1860" s="368"/>
      <c r="H1860" s="368"/>
      <c r="I1860" s="368"/>
      <c r="J1860" s="368"/>
      <c r="K1860" s="370"/>
      <c r="L1860" s="370"/>
      <c r="M1860" s="370"/>
      <c r="N1860" s="850"/>
      <c r="O1860" s="851"/>
      <c r="P1860" s="380"/>
      <c r="Q1860" s="852"/>
      <c r="R1860" s="383"/>
      <c r="S1860" s="361"/>
      <c r="T1860" s="832"/>
      <c r="U1860" s="830"/>
      <c r="V1860" s="366"/>
      <c r="W1860" s="366"/>
    </row>
    <row r="1861" spans="1:23">
      <c r="A1861" s="1400" t="s">
        <v>939</v>
      </c>
      <c r="B1861" s="1400"/>
      <c r="C1861" s="827"/>
      <c r="D1861" s="871"/>
      <c r="E1861" s="1400" t="s">
        <v>177</v>
      </c>
      <c r="F1861" s="1400" t="s">
        <v>18</v>
      </c>
      <c r="G1861" s="1389" t="s">
        <v>19</v>
      </c>
      <c r="H1861" s="1390"/>
      <c r="I1861" s="1389" t="s">
        <v>22</v>
      </c>
      <c r="J1861" s="1390"/>
      <c r="K1861" s="1393" t="s">
        <v>26</v>
      </c>
      <c r="L1861" s="1390"/>
      <c r="M1861" s="1389" t="s">
        <v>392</v>
      </c>
      <c r="N1861" s="1390"/>
      <c r="O1861" s="1389" t="s">
        <v>28</v>
      </c>
      <c r="P1861" s="1393"/>
      <c r="Q1861" s="1390"/>
      <c r="R1861" s="1400" t="s">
        <v>36</v>
      </c>
      <c r="S1861" s="361"/>
      <c r="T1861" s="361">
        <f>MAX(J1865:J1879)-MIN(I1865:I1879)</f>
        <v>5.2083333333333322E-2</v>
      </c>
      <c r="U1861" s="361"/>
      <c r="V1861" s="853" t="str">
        <f t="shared" ref="V1861" si="196">B1865</f>
        <v>A59</v>
      </c>
      <c r="W1861" s="361">
        <f t="shared" ref="W1861" si="197">COUNTIF(K1866:K1880,"&gt;0")</f>
        <v>3</v>
      </c>
    </row>
    <row r="1862" spans="1:23">
      <c r="A1862" s="1401"/>
      <c r="B1862" s="1401"/>
      <c r="C1862" s="828"/>
      <c r="D1862" s="872"/>
      <c r="E1862" s="1401"/>
      <c r="F1862" s="1401"/>
      <c r="G1862" s="1391"/>
      <c r="H1862" s="1392"/>
      <c r="I1862" s="1391"/>
      <c r="J1862" s="1392"/>
      <c r="K1862" s="1394"/>
      <c r="L1862" s="1392"/>
      <c r="M1862" s="1391"/>
      <c r="N1862" s="1392"/>
      <c r="O1862" s="1391"/>
      <c r="P1862" s="1394"/>
      <c r="Q1862" s="1392"/>
      <c r="R1862" s="1401"/>
      <c r="S1862" s="361"/>
      <c r="T1862" s="361"/>
      <c r="U1862" s="361"/>
      <c r="V1862" s="361"/>
      <c r="W1862" s="361"/>
    </row>
    <row r="1863" spans="1:23">
      <c r="A1863" s="1401"/>
      <c r="B1863" s="1401"/>
      <c r="C1863" s="828"/>
      <c r="D1863" s="872"/>
      <c r="E1863" s="1401"/>
      <c r="F1863" s="1401"/>
      <c r="G1863" s="1400" t="s">
        <v>20</v>
      </c>
      <c r="H1863" s="1400" t="s">
        <v>21</v>
      </c>
      <c r="I1863" s="1400" t="s">
        <v>361</v>
      </c>
      <c r="J1863" s="1400" t="s">
        <v>353</v>
      </c>
      <c r="K1863" s="1400" t="s">
        <v>23</v>
      </c>
      <c r="L1863" s="1400" t="s">
        <v>24</v>
      </c>
      <c r="M1863" s="1400" t="s">
        <v>27</v>
      </c>
      <c r="N1863" s="1400" t="s">
        <v>178</v>
      </c>
      <c r="O1863" s="1400" t="s">
        <v>1</v>
      </c>
      <c r="P1863" s="1400" t="s">
        <v>29</v>
      </c>
      <c r="Q1863" s="1400" t="s">
        <v>33</v>
      </c>
      <c r="R1863" s="1401"/>
      <c r="S1863" s="361"/>
      <c r="T1863" s="361" t="s">
        <v>39</v>
      </c>
      <c r="U1863" s="362">
        <f>VLOOKUP(B1865,'Thong tin'!$A:$M,13,0)</f>
        <v>1200</v>
      </c>
      <c r="V1863" s="361"/>
      <c r="W1863" s="361"/>
    </row>
    <row r="1864" spans="1:23">
      <c r="A1864" s="1402"/>
      <c r="B1864" s="1402"/>
      <c r="C1864" s="829"/>
      <c r="D1864" s="873"/>
      <c r="E1864" s="1402"/>
      <c r="F1864" s="1402"/>
      <c r="G1864" s="1402"/>
      <c r="H1864" s="1402"/>
      <c r="I1864" s="1402"/>
      <c r="J1864" s="1402"/>
      <c r="K1864" s="1402"/>
      <c r="L1864" s="1402"/>
      <c r="M1864" s="1402"/>
      <c r="N1864" s="1402"/>
      <c r="O1864" s="1402"/>
      <c r="P1864" s="1402"/>
      <c r="Q1864" s="1402"/>
      <c r="R1864" s="1402"/>
      <c r="S1864" s="361"/>
      <c r="T1864" s="1399" t="s">
        <v>393</v>
      </c>
      <c r="U1864" s="1397">
        <f>VLOOKUP(B1865,DT.NK!$B:$AZ,45,0)</f>
        <v>21.15</v>
      </c>
      <c r="V1864" s="361"/>
      <c r="W1864" s="361"/>
    </row>
    <row r="1865" spans="1:23">
      <c r="A1865" s="1409">
        <f>A1845+1</f>
        <v>94</v>
      </c>
      <c r="B1865" s="1412" t="s">
        <v>554</v>
      </c>
      <c r="C1865" s="844" t="s">
        <v>983</v>
      </c>
      <c r="D1865" s="874" t="str">
        <f>B1865&amp;C1865</f>
        <v>A59a</v>
      </c>
      <c r="E1865" s="363"/>
      <c r="F1865" s="364"/>
      <c r="G1865" s="364"/>
      <c r="H1865" s="364"/>
      <c r="I1865" s="364"/>
      <c r="J1865" s="364"/>
      <c r="K1865" s="364"/>
      <c r="L1865" s="364"/>
      <c r="M1865" s="674"/>
      <c r="N1865" s="670"/>
      <c r="O1865" s="670">
        <f>U1864</f>
        <v>21.15</v>
      </c>
      <c r="P1865" s="670">
        <f>O1865</f>
        <v>21.15</v>
      </c>
      <c r="Q1865" s="670">
        <v>0</v>
      </c>
      <c r="R1865" s="365"/>
      <c r="S1865" s="366"/>
      <c r="T1865" s="1399"/>
      <c r="U1865" s="1398"/>
      <c r="V1865" s="361"/>
      <c r="W1865" s="361"/>
    </row>
    <row r="1866" spans="1:23">
      <c r="A1866" s="1410"/>
      <c r="B1866" s="1413"/>
      <c r="C1866" s="845" t="s">
        <v>984</v>
      </c>
      <c r="D1866" s="875" t="str">
        <f>B1865&amp;C1866</f>
        <v>A59b</v>
      </c>
      <c r="E1866" s="367">
        <v>1</v>
      </c>
      <c r="F1866" s="669" t="s">
        <v>1008</v>
      </c>
      <c r="G1866" s="369">
        <v>2.0833333333333332E-2</v>
      </c>
      <c r="H1866" s="368">
        <v>4.8611111111111112E-2</v>
      </c>
      <c r="I1866" s="368">
        <v>5.9027777777777783E-2</v>
      </c>
      <c r="J1866" s="368">
        <v>6.3194444444444442E-2</v>
      </c>
      <c r="K1866" s="669">
        <v>8.5</v>
      </c>
      <c r="L1866" s="669">
        <v>19</v>
      </c>
      <c r="M1866" s="675">
        <v>19.149999999999999</v>
      </c>
      <c r="N1866" s="671">
        <f>IF(M1866-P1866&gt;0,M1866-P1866,0)</f>
        <v>4.9499999999999993</v>
      </c>
      <c r="O1866" s="671">
        <f>O1865-K1866/(PI()*(U1863/2000)^2)</f>
        <v>13.634349909549385</v>
      </c>
      <c r="P1866" s="672">
        <v>14.2</v>
      </c>
      <c r="Q1866" s="673">
        <f>ABS(O1866-P1866)</f>
        <v>0.56565009045061387</v>
      </c>
      <c r="R1866" s="375" t="s">
        <v>188</v>
      </c>
      <c r="S1866" s="366"/>
      <c r="T1866" s="376"/>
      <c r="U1866" s="376"/>
      <c r="V1866" s="366"/>
      <c r="W1866" s="366"/>
    </row>
    <row r="1867" spans="1:23">
      <c r="A1867" s="1410"/>
      <c r="B1867" s="1413"/>
      <c r="C1867" s="845" t="s">
        <v>985</v>
      </c>
      <c r="D1867" s="875" t="str">
        <f>B1865&amp;C1867</f>
        <v>A59c</v>
      </c>
      <c r="E1867" s="367">
        <v>2</v>
      </c>
      <c r="F1867" s="669" t="s">
        <v>1091</v>
      </c>
      <c r="G1867" s="369">
        <v>2.7777777777777776E-2</v>
      </c>
      <c r="H1867" s="368">
        <v>5.5555555555555552E-2</v>
      </c>
      <c r="I1867" s="368">
        <v>7.1527777777777787E-2</v>
      </c>
      <c r="J1867" s="368">
        <v>7.9861111111111105E-2</v>
      </c>
      <c r="K1867" s="669">
        <v>8.5</v>
      </c>
      <c r="L1867" s="669">
        <v>19</v>
      </c>
      <c r="M1867" s="675">
        <v>12.85</v>
      </c>
      <c r="N1867" s="671">
        <f>IF(M1867-P1867&gt;0,M1867-P1867,0)</f>
        <v>4.5499999999999989</v>
      </c>
      <c r="O1867" s="671">
        <f>O1866-K1867/(PI()*(U1863/2000)^2)</f>
        <v>6.1186998190987723</v>
      </c>
      <c r="P1867" s="672">
        <v>8.3000000000000007</v>
      </c>
      <c r="Q1867" s="673">
        <f>ABS(O1867-P1867)</f>
        <v>2.1813001809012285</v>
      </c>
      <c r="R1867" s="375" t="s">
        <v>188</v>
      </c>
      <c r="S1867" s="366"/>
      <c r="T1867" s="376"/>
      <c r="U1867" s="376"/>
      <c r="V1867" s="366"/>
      <c r="W1867" s="366"/>
    </row>
    <row r="1868" spans="1:23">
      <c r="A1868" s="1410"/>
      <c r="B1868" s="1413"/>
      <c r="C1868" s="845" t="s">
        <v>986</v>
      </c>
      <c r="D1868" s="875" t="str">
        <f>B1865&amp;C1868</f>
        <v>A59d</v>
      </c>
      <c r="E1868" s="367">
        <v>3</v>
      </c>
      <c r="F1868" s="669" t="s">
        <v>1007</v>
      </c>
      <c r="G1868" s="368">
        <v>9.0972222222222218E-2</v>
      </c>
      <c r="H1868" s="368">
        <v>0.10416666666666667</v>
      </c>
      <c r="I1868" s="368">
        <v>0.1076388888888889</v>
      </c>
      <c r="J1868" s="368">
        <v>0.1111111111111111</v>
      </c>
      <c r="K1868" s="370">
        <v>4</v>
      </c>
      <c r="L1868" s="370">
        <v>19</v>
      </c>
      <c r="M1868" s="371">
        <v>12.85</v>
      </c>
      <c r="N1868" s="671">
        <f>IF(M1868-P1868&gt;0,M1868-P1868,0)</f>
        <v>5.75</v>
      </c>
      <c r="O1868" s="671">
        <f>O1867-K1868/(PI()*(U1863/2000)^2)</f>
        <v>2.5819233059455424</v>
      </c>
      <c r="P1868" s="373">
        <v>7.1</v>
      </c>
      <c r="Q1868" s="673">
        <f>ABS(O1868-P1868)</f>
        <v>4.5180766940544572</v>
      </c>
      <c r="R1868" s="375"/>
      <c r="S1868" s="366"/>
      <c r="T1868" s="376"/>
      <c r="U1868" s="376"/>
      <c r="V1868" s="366"/>
      <c r="W1868" s="366"/>
    </row>
    <row r="1869" spans="1:23">
      <c r="A1869" s="1410"/>
      <c r="B1869" s="1413"/>
      <c r="C1869" s="845" t="s">
        <v>987</v>
      </c>
      <c r="D1869" s="875" t="str">
        <f>B1865&amp;C1869</f>
        <v>A59e</v>
      </c>
      <c r="E1869" s="367">
        <v>4</v>
      </c>
      <c r="F1869" s="669"/>
      <c r="G1869" s="368"/>
      <c r="H1869" s="368"/>
      <c r="I1869" s="368"/>
      <c r="J1869" s="368"/>
      <c r="K1869" s="370"/>
      <c r="L1869" s="370"/>
      <c r="M1869" s="371"/>
      <c r="N1869" s="671"/>
      <c r="O1869" s="671"/>
      <c r="P1869" s="373"/>
      <c r="Q1869" s="673"/>
      <c r="R1869" s="375"/>
      <c r="S1869" s="366"/>
      <c r="T1869" s="376"/>
      <c r="U1869" s="376"/>
      <c r="V1869" s="366"/>
      <c r="W1869" s="366"/>
    </row>
    <row r="1870" spans="1:23">
      <c r="A1870" s="1410"/>
      <c r="B1870" s="1413"/>
      <c r="C1870" s="845" t="s">
        <v>988</v>
      </c>
      <c r="D1870" s="875" t="str">
        <f>B1865&amp;C1870</f>
        <v>A59f</v>
      </c>
      <c r="E1870" s="367">
        <v>5</v>
      </c>
      <c r="F1870" s="669"/>
      <c r="G1870" s="368"/>
      <c r="H1870" s="368"/>
      <c r="I1870" s="368"/>
      <c r="J1870" s="368"/>
      <c r="K1870" s="370"/>
      <c r="L1870" s="370"/>
      <c r="M1870" s="371"/>
      <c r="N1870" s="671"/>
      <c r="O1870" s="671"/>
      <c r="P1870" s="373"/>
      <c r="Q1870" s="673"/>
      <c r="R1870" s="375"/>
      <c r="S1870" s="366" t="s">
        <v>190</v>
      </c>
      <c r="T1870" s="376"/>
      <c r="U1870" s="376"/>
      <c r="V1870" s="366"/>
      <c r="W1870" s="366"/>
    </row>
    <row r="1871" spans="1:23">
      <c r="A1871" s="1410"/>
      <c r="B1871" s="1413"/>
      <c r="C1871" s="845" t="s">
        <v>989</v>
      </c>
      <c r="D1871" s="875" t="str">
        <f>B1865&amp;C1871</f>
        <v>A59g</v>
      </c>
      <c r="E1871" s="367">
        <v>6</v>
      </c>
      <c r="F1871" s="669"/>
      <c r="G1871" s="368"/>
      <c r="H1871" s="368"/>
      <c r="I1871" s="368"/>
      <c r="J1871" s="368"/>
      <c r="K1871" s="370"/>
      <c r="L1871" s="370"/>
      <c r="M1871" s="371"/>
      <c r="N1871" s="671"/>
      <c r="O1871" s="671"/>
      <c r="P1871" s="373"/>
      <c r="Q1871" s="673"/>
      <c r="R1871" s="375"/>
      <c r="S1871" s="366" t="s">
        <v>190</v>
      </c>
      <c r="T1871" s="366"/>
      <c r="U1871" s="366"/>
      <c r="V1871" s="366"/>
      <c r="W1871" s="366"/>
    </row>
    <row r="1872" spans="1:23">
      <c r="A1872" s="1410"/>
      <c r="B1872" s="1413"/>
      <c r="C1872" s="845" t="s">
        <v>990</v>
      </c>
      <c r="D1872" s="875" t="str">
        <f>B1865&amp;C1872</f>
        <v>A59h</v>
      </c>
      <c r="E1872" s="367">
        <v>7</v>
      </c>
      <c r="F1872" s="669"/>
      <c r="G1872" s="368"/>
      <c r="H1872" s="368"/>
      <c r="I1872" s="368"/>
      <c r="J1872" s="368"/>
      <c r="K1872" s="370"/>
      <c r="L1872" s="370"/>
      <c r="M1872" s="371"/>
      <c r="N1872" s="671"/>
      <c r="O1872" s="671"/>
      <c r="P1872" s="373"/>
      <c r="Q1872" s="673"/>
      <c r="R1872" s="377"/>
      <c r="S1872" s="366" t="s">
        <v>190</v>
      </c>
      <c r="T1872" s="366"/>
      <c r="U1872" s="366"/>
      <c r="V1872" s="366"/>
      <c r="W1872" s="366"/>
    </row>
    <row r="1873" spans="1:23">
      <c r="A1873" s="1410"/>
      <c r="B1873" s="1413"/>
      <c r="C1873" s="845" t="s">
        <v>991</v>
      </c>
      <c r="D1873" s="875" t="str">
        <f>B1865&amp;C1873</f>
        <v>A59i</v>
      </c>
      <c r="E1873" s="367">
        <v>8</v>
      </c>
      <c r="F1873" s="669"/>
      <c r="G1873" s="368"/>
      <c r="H1873" s="368"/>
      <c r="I1873" s="368"/>
      <c r="J1873" s="368"/>
      <c r="K1873" s="370"/>
      <c r="L1873" s="370"/>
      <c r="M1873" s="371"/>
      <c r="N1873" s="671"/>
      <c r="O1873" s="671"/>
      <c r="P1873" s="373"/>
      <c r="Q1873" s="673"/>
      <c r="R1873" s="378"/>
      <c r="S1873" s="366"/>
      <c r="T1873" s="366"/>
      <c r="U1873" s="366"/>
      <c r="V1873" s="366"/>
      <c r="W1873" s="366"/>
    </row>
    <row r="1874" spans="1:23">
      <c r="A1874" s="1410"/>
      <c r="B1874" s="1413"/>
      <c r="C1874" s="845" t="s">
        <v>992</v>
      </c>
      <c r="D1874" s="875" t="str">
        <f>B1865&amp;C1874</f>
        <v>A59k</v>
      </c>
      <c r="E1874" s="367">
        <v>9</v>
      </c>
      <c r="F1874" s="370"/>
      <c r="G1874" s="368"/>
      <c r="H1874" s="368"/>
      <c r="I1874" s="368"/>
      <c r="J1874" s="368"/>
      <c r="K1874" s="370"/>
      <c r="L1874" s="370"/>
      <c r="M1874" s="371"/>
      <c r="N1874" s="372"/>
      <c r="O1874" s="372"/>
      <c r="P1874" s="373"/>
      <c r="Q1874" s="374"/>
      <c r="R1874" s="378"/>
      <c r="S1874" s="379"/>
      <c r="T1874" s="366"/>
      <c r="U1874" s="366"/>
      <c r="V1874" s="366"/>
      <c r="W1874" s="366"/>
    </row>
    <row r="1875" spans="1:23">
      <c r="A1875" s="1410"/>
      <c r="B1875" s="1413"/>
      <c r="C1875" s="845" t="s">
        <v>993</v>
      </c>
      <c r="D1875" s="875" t="str">
        <f>B1865&amp;C1875</f>
        <v>A59l</v>
      </c>
      <c r="E1875" s="367">
        <v>10</v>
      </c>
      <c r="F1875" s="370"/>
      <c r="G1875" s="368"/>
      <c r="H1875" s="368"/>
      <c r="I1875" s="368"/>
      <c r="J1875" s="368"/>
      <c r="K1875" s="370"/>
      <c r="L1875" s="370"/>
      <c r="M1875" s="370"/>
      <c r="N1875" s="372"/>
      <c r="O1875" s="372"/>
      <c r="P1875" s="373"/>
      <c r="Q1875" s="374"/>
      <c r="R1875" s="378"/>
      <c r="S1875" s="379"/>
      <c r="T1875" s="366"/>
      <c r="U1875" s="366"/>
      <c r="V1875" s="366"/>
      <c r="W1875" s="366"/>
    </row>
    <row r="1876" spans="1:23">
      <c r="A1876" s="1410"/>
      <c r="B1876" s="1413"/>
      <c r="C1876" s="845" t="s">
        <v>994</v>
      </c>
      <c r="D1876" s="875" t="str">
        <f>B1865&amp;C1876</f>
        <v>A59m</v>
      </c>
      <c r="E1876" s="367">
        <v>11</v>
      </c>
      <c r="F1876" s="370"/>
      <c r="G1876" s="368"/>
      <c r="H1876" s="368"/>
      <c r="I1876" s="368"/>
      <c r="J1876" s="368"/>
      <c r="K1876" s="370"/>
      <c r="L1876" s="370"/>
      <c r="M1876" s="370"/>
      <c r="N1876" s="372"/>
      <c r="O1876" s="372"/>
      <c r="P1876" s="380"/>
      <c r="Q1876" s="374"/>
      <c r="R1876" s="381"/>
      <c r="S1876" s="379"/>
      <c r="T1876" s="366"/>
      <c r="U1876" s="366"/>
      <c r="V1876" s="366"/>
      <c r="W1876" s="366"/>
    </row>
    <row r="1877" spans="1:23">
      <c r="A1877" s="1410"/>
      <c r="B1877" s="1413"/>
      <c r="C1877" s="845" t="s">
        <v>995</v>
      </c>
      <c r="D1877" s="875" t="str">
        <f>B1865&amp;C1877</f>
        <v>A59n</v>
      </c>
      <c r="E1877" s="367">
        <v>12</v>
      </c>
      <c r="F1877" s="370"/>
      <c r="G1877" s="368"/>
      <c r="H1877" s="368"/>
      <c r="I1877" s="368"/>
      <c r="J1877" s="368"/>
      <c r="K1877" s="370"/>
      <c r="L1877" s="370"/>
      <c r="M1877" s="370"/>
      <c r="N1877" s="372"/>
      <c r="O1877" s="372"/>
      <c r="P1877" s="380"/>
      <c r="Q1877" s="374"/>
      <c r="R1877" s="381"/>
      <c r="S1877" s="361"/>
      <c r="T1877" s="361"/>
      <c r="U1877" s="361"/>
      <c r="V1877" s="366"/>
      <c r="W1877" s="366"/>
    </row>
    <row r="1878" spans="1:23">
      <c r="A1878" s="1410"/>
      <c r="B1878" s="1413"/>
      <c r="C1878" s="845" t="s">
        <v>471</v>
      </c>
      <c r="D1878" s="875" t="str">
        <f>B1865&amp;C1878</f>
        <v>A59x</v>
      </c>
      <c r="E1878" s="367">
        <v>13</v>
      </c>
      <c r="F1878" s="370"/>
      <c r="G1878" s="368"/>
      <c r="H1878" s="368"/>
      <c r="I1878" s="368"/>
      <c r="J1878" s="368"/>
      <c r="K1878" s="370"/>
      <c r="L1878" s="370"/>
      <c r="M1878" s="370"/>
      <c r="N1878" s="382"/>
      <c r="O1878" s="372"/>
      <c r="P1878" s="380"/>
      <c r="Q1878" s="381"/>
      <c r="R1878" s="381"/>
      <c r="S1878" s="361"/>
      <c r="T1878" s="361"/>
      <c r="U1878" s="361"/>
      <c r="V1878" s="366"/>
      <c r="W1878" s="366"/>
    </row>
    <row r="1879" spans="1:23">
      <c r="A1879" s="1410"/>
      <c r="B1879" s="1413"/>
      <c r="C1879" s="845" t="s">
        <v>732</v>
      </c>
      <c r="D1879" s="875" t="str">
        <f>B1865&amp;C1879</f>
        <v>A59y</v>
      </c>
      <c r="E1879" s="367">
        <v>14</v>
      </c>
      <c r="F1879" s="370"/>
      <c r="G1879" s="368"/>
      <c r="H1879" s="368"/>
      <c r="I1879" s="368"/>
      <c r="J1879" s="368"/>
      <c r="K1879" s="370"/>
      <c r="L1879" s="370"/>
      <c r="M1879" s="370"/>
      <c r="N1879" s="382"/>
      <c r="O1879" s="372"/>
      <c r="P1879" s="380"/>
      <c r="Q1879" s="381"/>
      <c r="R1879" s="381"/>
      <c r="S1879" s="361"/>
      <c r="T1879" s="361"/>
      <c r="U1879" s="362"/>
      <c r="V1879" s="366"/>
      <c r="W1879" s="366"/>
    </row>
    <row r="1880" spans="1:23">
      <c r="A1880" s="1411"/>
      <c r="B1880" s="1414"/>
      <c r="C1880" s="846" t="s">
        <v>996</v>
      </c>
      <c r="D1880" s="876" t="str">
        <f>B1865&amp;C1880</f>
        <v>A59z</v>
      </c>
      <c r="E1880" s="847">
        <v>15</v>
      </c>
      <c r="F1880" s="370"/>
      <c r="G1880" s="368"/>
      <c r="H1880" s="368"/>
      <c r="I1880" s="368"/>
      <c r="J1880" s="368"/>
      <c r="K1880" s="370"/>
      <c r="L1880" s="370"/>
      <c r="M1880" s="370"/>
      <c r="N1880" s="850"/>
      <c r="O1880" s="851"/>
      <c r="P1880" s="380"/>
      <c r="Q1880" s="852"/>
      <c r="R1880" s="383"/>
      <c r="S1880" s="361"/>
      <c r="T1880" s="832"/>
      <c r="U1880" s="830"/>
      <c r="V1880" s="366"/>
      <c r="W1880" s="366"/>
    </row>
    <row r="1881" spans="1:23">
      <c r="A1881" s="1400" t="s">
        <v>939</v>
      </c>
      <c r="B1881" s="1400"/>
      <c r="C1881" s="827"/>
      <c r="D1881" s="871"/>
      <c r="E1881" s="1400" t="s">
        <v>177</v>
      </c>
      <c r="F1881" s="1400" t="s">
        <v>18</v>
      </c>
      <c r="G1881" s="1389" t="s">
        <v>19</v>
      </c>
      <c r="H1881" s="1390"/>
      <c r="I1881" s="1389" t="s">
        <v>22</v>
      </c>
      <c r="J1881" s="1390"/>
      <c r="K1881" s="1393" t="s">
        <v>26</v>
      </c>
      <c r="L1881" s="1390"/>
      <c r="M1881" s="1389" t="s">
        <v>392</v>
      </c>
      <c r="N1881" s="1390"/>
      <c r="O1881" s="1389" t="s">
        <v>28</v>
      </c>
      <c r="P1881" s="1393"/>
      <c r="Q1881" s="1390"/>
      <c r="R1881" s="1400" t="s">
        <v>36</v>
      </c>
      <c r="S1881" s="361"/>
      <c r="T1881" s="361">
        <f>MAX(J1885:J1899)-MIN(I1885:I1899)</f>
        <v>4.5138888888888951E-2</v>
      </c>
      <c r="U1881" s="361"/>
      <c r="V1881" s="853" t="str">
        <f t="shared" ref="V1881" si="198">B1885</f>
        <v>A55</v>
      </c>
      <c r="W1881" s="361">
        <f t="shared" ref="W1881" si="199">COUNTIF(K1886:K1900,"&gt;0")</f>
        <v>3</v>
      </c>
    </row>
    <row r="1882" spans="1:23">
      <c r="A1882" s="1401"/>
      <c r="B1882" s="1401"/>
      <c r="C1882" s="828"/>
      <c r="D1882" s="872"/>
      <c r="E1882" s="1401"/>
      <c r="F1882" s="1401"/>
      <c r="G1882" s="1391"/>
      <c r="H1882" s="1392"/>
      <c r="I1882" s="1391"/>
      <c r="J1882" s="1392"/>
      <c r="K1882" s="1394"/>
      <c r="L1882" s="1392"/>
      <c r="M1882" s="1391"/>
      <c r="N1882" s="1392"/>
      <c r="O1882" s="1391"/>
      <c r="P1882" s="1394"/>
      <c r="Q1882" s="1392"/>
      <c r="R1882" s="1401"/>
      <c r="S1882" s="361"/>
      <c r="T1882" s="361"/>
      <c r="U1882" s="361"/>
      <c r="V1882" s="361"/>
      <c r="W1882" s="361"/>
    </row>
    <row r="1883" spans="1:23">
      <c r="A1883" s="1401"/>
      <c r="B1883" s="1401"/>
      <c r="C1883" s="828"/>
      <c r="D1883" s="872"/>
      <c r="E1883" s="1401"/>
      <c r="F1883" s="1401"/>
      <c r="G1883" s="1400" t="s">
        <v>20</v>
      </c>
      <c r="H1883" s="1400" t="s">
        <v>21</v>
      </c>
      <c r="I1883" s="1400" t="s">
        <v>361</v>
      </c>
      <c r="J1883" s="1400" t="s">
        <v>353</v>
      </c>
      <c r="K1883" s="1400" t="s">
        <v>23</v>
      </c>
      <c r="L1883" s="1400" t="s">
        <v>24</v>
      </c>
      <c r="M1883" s="1400" t="s">
        <v>27</v>
      </c>
      <c r="N1883" s="1400" t="s">
        <v>178</v>
      </c>
      <c r="O1883" s="1400" t="s">
        <v>1</v>
      </c>
      <c r="P1883" s="1400" t="s">
        <v>29</v>
      </c>
      <c r="Q1883" s="1400" t="s">
        <v>33</v>
      </c>
      <c r="R1883" s="1401"/>
      <c r="S1883" s="361"/>
      <c r="T1883" s="361" t="s">
        <v>39</v>
      </c>
      <c r="U1883" s="362">
        <f>VLOOKUP(B1885,'Thong tin'!$A:$M,13,0)</f>
        <v>1200</v>
      </c>
      <c r="V1883" s="361"/>
      <c r="W1883" s="361"/>
    </row>
    <row r="1884" spans="1:23">
      <c r="A1884" s="1402"/>
      <c r="B1884" s="1402"/>
      <c r="C1884" s="829"/>
      <c r="D1884" s="873"/>
      <c r="E1884" s="1402"/>
      <c r="F1884" s="1402"/>
      <c r="G1884" s="1402"/>
      <c r="H1884" s="1402"/>
      <c r="I1884" s="1402"/>
      <c r="J1884" s="1402"/>
      <c r="K1884" s="1402"/>
      <c r="L1884" s="1402"/>
      <c r="M1884" s="1402"/>
      <c r="N1884" s="1402"/>
      <c r="O1884" s="1402"/>
      <c r="P1884" s="1402"/>
      <c r="Q1884" s="1402"/>
      <c r="R1884" s="1402"/>
      <c r="S1884" s="361"/>
      <c r="T1884" s="1399" t="s">
        <v>393</v>
      </c>
      <c r="U1884" s="1397">
        <f>VLOOKUP(B1885,DT.NK!$B:$AZ,45,0)</f>
        <v>27.05</v>
      </c>
      <c r="V1884" s="361"/>
      <c r="W1884" s="361"/>
    </row>
    <row r="1885" spans="1:23">
      <c r="A1885" s="1409">
        <f>A1865+1</f>
        <v>95</v>
      </c>
      <c r="B1885" s="1412" t="s">
        <v>534</v>
      </c>
      <c r="C1885" s="844" t="s">
        <v>983</v>
      </c>
      <c r="D1885" s="874" t="str">
        <f>B1885&amp;C1885</f>
        <v>A55a</v>
      </c>
      <c r="E1885" s="363"/>
      <c r="F1885" s="364"/>
      <c r="G1885" s="364"/>
      <c r="H1885" s="364"/>
      <c r="I1885" s="364"/>
      <c r="J1885" s="364"/>
      <c r="K1885" s="364"/>
      <c r="L1885" s="364"/>
      <c r="M1885" s="674"/>
      <c r="N1885" s="670"/>
      <c r="O1885" s="670">
        <f>U1884</f>
        <v>27.05</v>
      </c>
      <c r="P1885" s="670">
        <f>O1885</f>
        <v>27.05</v>
      </c>
      <c r="Q1885" s="670">
        <v>0</v>
      </c>
      <c r="R1885" s="365"/>
      <c r="S1885" s="366"/>
      <c r="T1885" s="1399"/>
      <c r="U1885" s="1398"/>
      <c r="V1885" s="361"/>
      <c r="W1885" s="361"/>
    </row>
    <row r="1886" spans="1:23">
      <c r="A1886" s="1410"/>
      <c r="B1886" s="1413"/>
      <c r="C1886" s="845" t="s">
        <v>984</v>
      </c>
      <c r="D1886" s="875" t="str">
        <f>B1885&amp;C1886</f>
        <v>A55b</v>
      </c>
      <c r="E1886" s="367">
        <v>1</v>
      </c>
      <c r="F1886" s="669" t="s">
        <v>1116</v>
      </c>
      <c r="G1886" s="369">
        <v>0.55833333333333335</v>
      </c>
      <c r="H1886" s="368">
        <v>0.59027777777777779</v>
      </c>
      <c r="I1886" s="368">
        <v>0.60416666666666663</v>
      </c>
      <c r="J1886" s="368">
        <v>0.60902777777777783</v>
      </c>
      <c r="K1886" s="669">
        <v>8.5</v>
      </c>
      <c r="L1886" s="669">
        <v>19</v>
      </c>
      <c r="M1886" s="675">
        <v>25.05</v>
      </c>
      <c r="N1886" s="671">
        <f>IF(M1886-P1886&gt;0,M1886-P1886,0)</f>
        <v>3.75</v>
      </c>
      <c r="O1886" s="671">
        <f>O1885-K1886/(PI()*(U1883/2000)^2)</f>
        <v>19.534349909549388</v>
      </c>
      <c r="P1886" s="672">
        <v>21.3</v>
      </c>
      <c r="Q1886" s="673">
        <f>ABS(O1886-P1886)</f>
        <v>1.7656500904506132</v>
      </c>
      <c r="R1886" s="375" t="s">
        <v>188</v>
      </c>
      <c r="S1886" s="366"/>
      <c r="T1886" s="376"/>
      <c r="U1886" s="376"/>
      <c r="V1886" s="366"/>
      <c r="W1886" s="366"/>
    </row>
    <row r="1887" spans="1:23">
      <c r="A1887" s="1410"/>
      <c r="B1887" s="1413"/>
      <c r="C1887" s="845" t="s">
        <v>985</v>
      </c>
      <c r="D1887" s="875" t="str">
        <f>B1885&amp;C1887</f>
        <v>A55c</v>
      </c>
      <c r="E1887" s="367">
        <v>2</v>
      </c>
      <c r="F1887" s="669" t="s">
        <v>1089</v>
      </c>
      <c r="G1887" s="369">
        <v>0.57638888888888895</v>
      </c>
      <c r="H1887" s="368">
        <v>0.60416666666666663</v>
      </c>
      <c r="I1887" s="368">
        <v>0.61458333333333337</v>
      </c>
      <c r="J1887" s="368">
        <v>0.61805555555555558</v>
      </c>
      <c r="K1887" s="669">
        <v>8.5</v>
      </c>
      <c r="L1887" s="669">
        <v>19.5</v>
      </c>
      <c r="M1887" s="675">
        <v>18.75</v>
      </c>
      <c r="N1887" s="671">
        <f>IF(M1887-P1887&gt;0,M1887-P1887,0)</f>
        <v>3.75</v>
      </c>
      <c r="O1887" s="671">
        <f>O1886-K1887/(PI()*(U1883/2000)^2)</f>
        <v>12.018699819098774</v>
      </c>
      <c r="P1887" s="672">
        <v>15</v>
      </c>
      <c r="Q1887" s="673">
        <f>ABS(O1887-P1887)</f>
        <v>2.9813001809012256</v>
      </c>
      <c r="R1887" s="375" t="s">
        <v>188</v>
      </c>
      <c r="S1887" s="366"/>
      <c r="T1887" s="376"/>
      <c r="U1887" s="376"/>
      <c r="V1887" s="366"/>
      <c r="W1887" s="366"/>
    </row>
    <row r="1888" spans="1:23">
      <c r="A1888" s="1410"/>
      <c r="B1888" s="1413"/>
      <c r="C1888" s="845" t="s">
        <v>986</v>
      </c>
      <c r="D1888" s="875" t="str">
        <f>B1885&amp;C1888</f>
        <v>A55d</v>
      </c>
      <c r="E1888" s="367">
        <v>3</v>
      </c>
      <c r="F1888" s="669" t="s">
        <v>1091</v>
      </c>
      <c r="G1888" s="368">
        <v>0.58194444444444449</v>
      </c>
      <c r="H1888" s="368">
        <v>0.62152777777777779</v>
      </c>
      <c r="I1888" s="368">
        <v>0.64583333333333337</v>
      </c>
      <c r="J1888" s="368">
        <v>0.64930555555555558</v>
      </c>
      <c r="K1888" s="370">
        <v>8</v>
      </c>
      <c r="L1888" s="370">
        <v>18.5</v>
      </c>
      <c r="M1888" s="371">
        <v>18.75</v>
      </c>
      <c r="N1888" s="671">
        <f>IF(M1888-P1888&gt;0,M1888-P1888,0)</f>
        <v>11.35</v>
      </c>
      <c r="O1888" s="671">
        <f>O1887-K1888/(PI()*(U1883/2000)^2)</f>
        <v>4.9451467927923147</v>
      </c>
      <c r="P1888" s="373">
        <v>7.4</v>
      </c>
      <c r="Q1888" s="673">
        <f>ABS(O1888-P1888)</f>
        <v>2.4548532072076856</v>
      </c>
      <c r="R1888" s="375" t="s">
        <v>188</v>
      </c>
      <c r="S1888" s="366"/>
      <c r="T1888" s="376"/>
      <c r="U1888" s="376"/>
      <c r="V1888" s="366"/>
      <c r="W1888" s="366"/>
    </row>
    <row r="1889" spans="1:23">
      <c r="A1889" s="1410"/>
      <c r="B1889" s="1413"/>
      <c r="C1889" s="845" t="s">
        <v>987</v>
      </c>
      <c r="D1889" s="875" t="str">
        <f>B1885&amp;C1889</f>
        <v>A55e</v>
      </c>
      <c r="E1889" s="367">
        <v>4</v>
      </c>
      <c r="F1889" s="669"/>
      <c r="G1889" s="368"/>
      <c r="H1889" s="368"/>
      <c r="I1889" s="368"/>
      <c r="J1889" s="368"/>
      <c r="K1889" s="370"/>
      <c r="L1889" s="370"/>
      <c r="M1889" s="371"/>
      <c r="N1889" s="671"/>
      <c r="O1889" s="671"/>
      <c r="P1889" s="373"/>
      <c r="Q1889" s="673"/>
      <c r="R1889" s="375"/>
      <c r="S1889" s="366"/>
      <c r="T1889" s="376"/>
      <c r="U1889" s="376"/>
      <c r="V1889" s="366"/>
      <c r="W1889" s="366"/>
    </row>
    <row r="1890" spans="1:23">
      <c r="A1890" s="1410"/>
      <c r="B1890" s="1413"/>
      <c r="C1890" s="845" t="s">
        <v>988</v>
      </c>
      <c r="D1890" s="875" t="str">
        <f>B1885&amp;C1890</f>
        <v>A55f</v>
      </c>
      <c r="E1890" s="367">
        <v>5</v>
      </c>
      <c r="F1890" s="669"/>
      <c r="G1890" s="368"/>
      <c r="H1890" s="368"/>
      <c r="I1890" s="368"/>
      <c r="J1890" s="368"/>
      <c r="K1890" s="370"/>
      <c r="L1890" s="370"/>
      <c r="M1890" s="371"/>
      <c r="N1890" s="671"/>
      <c r="O1890" s="671"/>
      <c r="P1890" s="373"/>
      <c r="Q1890" s="673"/>
      <c r="R1890" s="375"/>
      <c r="S1890" s="366" t="s">
        <v>190</v>
      </c>
      <c r="T1890" s="376"/>
      <c r="U1890" s="376"/>
      <c r="V1890" s="366"/>
      <c r="W1890" s="366"/>
    </row>
    <row r="1891" spans="1:23">
      <c r="A1891" s="1410"/>
      <c r="B1891" s="1413"/>
      <c r="C1891" s="845" t="s">
        <v>989</v>
      </c>
      <c r="D1891" s="875" t="str">
        <f>B1885&amp;C1891</f>
        <v>A55g</v>
      </c>
      <c r="E1891" s="367">
        <v>6</v>
      </c>
      <c r="F1891" s="669"/>
      <c r="G1891" s="368"/>
      <c r="H1891" s="368"/>
      <c r="I1891" s="368"/>
      <c r="J1891" s="368"/>
      <c r="K1891" s="370"/>
      <c r="L1891" s="370"/>
      <c r="M1891" s="371"/>
      <c r="N1891" s="671"/>
      <c r="O1891" s="671"/>
      <c r="P1891" s="373"/>
      <c r="Q1891" s="673"/>
      <c r="R1891" s="375"/>
      <c r="S1891" s="366" t="s">
        <v>190</v>
      </c>
      <c r="T1891" s="366"/>
      <c r="U1891" s="366"/>
      <c r="V1891" s="366"/>
      <c r="W1891" s="366"/>
    </row>
    <row r="1892" spans="1:23">
      <c r="A1892" s="1410"/>
      <c r="B1892" s="1413"/>
      <c r="C1892" s="845" t="s">
        <v>990</v>
      </c>
      <c r="D1892" s="875" t="str">
        <f>B1885&amp;C1892</f>
        <v>A55h</v>
      </c>
      <c r="E1892" s="367">
        <v>7</v>
      </c>
      <c r="F1892" s="669"/>
      <c r="G1892" s="368"/>
      <c r="H1892" s="368"/>
      <c r="I1892" s="368"/>
      <c r="J1892" s="368"/>
      <c r="K1892" s="370"/>
      <c r="L1892" s="370"/>
      <c r="M1892" s="371"/>
      <c r="N1892" s="671"/>
      <c r="O1892" s="671"/>
      <c r="P1892" s="373"/>
      <c r="Q1892" s="673"/>
      <c r="R1892" s="377"/>
      <c r="S1892" s="366" t="s">
        <v>190</v>
      </c>
      <c r="T1892" s="366"/>
      <c r="U1892" s="366"/>
      <c r="V1892" s="366"/>
      <c r="W1892" s="366"/>
    </row>
    <row r="1893" spans="1:23">
      <c r="A1893" s="1410"/>
      <c r="B1893" s="1413"/>
      <c r="C1893" s="845" t="s">
        <v>991</v>
      </c>
      <c r="D1893" s="875" t="str">
        <f>B1885&amp;C1893</f>
        <v>A55i</v>
      </c>
      <c r="E1893" s="367">
        <v>8</v>
      </c>
      <c r="F1893" s="669"/>
      <c r="G1893" s="368"/>
      <c r="H1893" s="368"/>
      <c r="I1893" s="368"/>
      <c r="J1893" s="368"/>
      <c r="K1893" s="370"/>
      <c r="L1893" s="370"/>
      <c r="M1893" s="371"/>
      <c r="N1893" s="671"/>
      <c r="O1893" s="671"/>
      <c r="P1893" s="373"/>
      <c r="Q1893" s="673"/>
      <c r="R1893" s="378"/>
      <c r="S1893" s="366"/>
      <c r="T1893" s="366"/>
      <c r="U1893" s="366"/>
      <c r="V1893" s="366"/>
      <c r="W1893" s="366"/>
    </row>
    <row r="1894" spans="1:23">
      <c r="A1894" s="1410"/>
      <c r="B1894" s="1413"/>
      <c r="C1894" s="845" t="s">
        <v>992</v>
      </c>
      <c r="D1894" s="875" t="str">
        <f>B1885&amp;C1894</f>
        <v>A55k</v>
      </c>
      <c r="E1894" s="367">
        <v>9</v>
      </c>
      <c r="F1894" s="370"/>
      <c r="G1894" s="368"/>
      <c r="H1894" s="368"/>
      <c r="I1894" s="368"/>
      <c r="J1894" s="368"/>
      <c r="K1894" s="370"/>
      <c r="L1894" s="370"/>
      <c r="M1894" s="371"/>
      <c r="N1894" s="372"/>
      <c r="O1894" s="372"/>
      <c r="P1894" s="373"/>
      <c r="Q1894" s="374"/>
      <c r="R1894" s="378"/>
      <c r="S1894" s="379"/>
      <c r="T1894" s="366"/>
      <c r="U1894" s="366"/>
      <c r="V1894" s="366"/>
      <c r="W1894" s="366"/>
    </row>
    <row r="1895" spans="1:23">
      <c r="A1895" s="1410"/>
      <c r="B1895" s="1413"/>
      <c r="C1895" s="845" t="s">
        <v>993</v>
      </c>
      <c r="D1895" s="875" t="str">
        <f>B1885&amp;C1895</f>
        <v>A55l</v>
      </c>
      <c r="E1895" s="367">
        <v>10</v>
      </c>
      <c r="F1895" s="370"/>
      <c r="G1895" s="368"/>
      <c r="H1895" s="368"/>
      <c r="I1895" s="368"/>
      <c r="J1895" s="368"/>
      <c r="K1895" s="370"/>
      <c r="L1895" s="370"/>
      <c r="M1895" s="370"/>
      <c r="N1895" s="372"/>
      <c r="O1895" s="372"/>
      <c r="P1895" s="373"/>
      <c r="Q1895" s="374"/>
      <c r="R1895" s="378"/>
      <c r="S1895" s="379"/>
      <c r="T1895" s="366"/>
      <c r="U1895" s="366"/>
      <c r="V1895" s="366"/>
      <c r="W1895" s="366"/>
    </row>
    <row r="1896" spans="1:23">
      <c r="A1896" s="1410"/>
      <c r="B1896" s="1413"/>
      <c r="C1896" s="845" t="s">
        <v>994</v>
      </c>
      <c r="D1896" s="875" t="str">
        <f>B1885&amp;C1896</f>
        <v>A55m</v>
      </c>
      <c r="E1896" s="367">
        <v>11</v>
      </c>
      <c r="F1896" s="370"/>
      <c r="G1896" s="368"/>
      <c r="H1896" s="368"/>
      <c r="I1896" s="368"/>
      <c r="J1896" s="368"/>
      <c r="K1896" s="370"/>
      <c r="L1896" s="370"/>
      <c r="M1896" s="370"/>
      <c r="N1896" s="372"/>
      <c r="O1896" s="372"/>
      <c r="P1896" s="380"/>
      <c r="Q1896" s="374"/>
      <c r="R1896" s="381"/>
      <c r="S1896" s="379"/>
      <c r="T1896" s="366"/>
      <c r="U1896" s="366"/>
      <c r="V1896" s="366"/>
      <c r="W1896" s="366"/>
    </row>
    <row r="1897" spans="1:23">
      <c r="A1897" s="1410"/>
      <c r="B1897" s="1413"/>
      <c r="C1897" s="845" t="s">
        <v>995</v>
      </c>
      <c r="D1897" s="875" t="str">
        <f>B1885&amp;C1897</f>
        <v>A55n</v>
      </c>
      <c r="E1897" s="367">
        <v>12</v>
      </c>
      <c r="F1897" s="370"/>
      <c r="G1897" s="368"/>
      <c r="H1897" s="368"/>
      <c r="I1897" s="368"/>
      <c r="J1897" s="368"/>
      <c r="K1897" s="370"/>
      <c r="L1897" s="370"/>
      <c r="M1897" s="370"/>
      <c r="N1897" s="372"/>
      <c r="O1897" s="372"/>
      <c r="P1897" s="380"/>
      <c r="Q1897" s="374"/>
      <c r="R1897" s="381"/>
      <c r="S1897" s="361"/>
      <c r="T1897" s="361"/>
      <c r="U1897" s="361"/>
      <c r="V1897" s="366"/>
      <c r="W1897" s="366"/>
    </row>
    <row r="1898" spans="1:23">
      <c r="A1898" s="1410"/>
      <c r="B1898" s="1413"/>
      <c r="C1898" s="845" t="s">
        <v>471</v>
      </c>
      <c r="D1898" s="875" t="str">
        <f>B1885&amp;C1898</f>
        <v>A55x</v>
      </c>
      <c r="E1898" s="367">
        <v>13</v>
      </c>
      <c r="F1898" s="370"/>
      <c r="G1898" s="368"/>
      <c r="H1898" s="368"/>
      <c r="I1898" s="368"/>
      <c r="J1898" s="368"/>
      <c r="K1898" s="370"/>
      <c r="L1898" s="370"/>
      <c r="M1898" s="370"/>
      <c r="N1898" s="382"/>
      <c r="O1898" s="372"/>
      <c r="P1898" s="380"/>
      <c r="Q1898" s="381"/>
      <c r="R1898" s="381"/>
      <c r="S1898" s="361"/>
      <c r="T1898" s="361"/>
      <c r="U1898" s="361"/>
      <c r="V1898" s="366"/>
      <c r="W1898" s="366"/>
    </row>
    <row r="1899" spans="1:23">
      <c r="A1899" s="1410"/>
      <c r="B1899" s="1413"/>
      <c r="C1899" s="845" t="s">
        <v>732</v>
      </c>
      <c r="D1899" s="875" t="str">
        <f>B1885&amp;C1899</f>
        <v>A55y</v>
      </c>
      <c r="E1899" s="367">
        <v>14</v>
      </c>
      <c r="F1899" s="370"/>
      <c r="G1899" s="368"/>
      <c r="H1899" s="368"/>
      <c r="I1899" s="368"/>
      <c r="J1899" s="368"/>
      <c r="K1899" s="370"/>
      <c r="L1899" s="370"/>
      <c r="M1899" s="370"/>
      <c r="N1899" s="382"/>
      <c r="O1899" s="372"/>
      <c r="P1899" s="380"/>
      <c r="Q1899" s="381"/>
      <c r="R1899" s="381"/>
      <c r="S1899" s="361"/>
      <c r="T1899" s="361"/>
      <c r="U1899" s="362"/>
      <c r="V1899" s="366"/>
      <c r="W1899" s="366"/>
    </row>
    <row r="1900" spans="1:23">
      <c r="A1900" s="1411"/>
      <c r="B1900" s="1414"/>
      <c r="C1900" s="846" t="s">
        <v>996</v>
      </c>
      <c r="D1900" s="876" t="str">
        <f>B1885&amp;C1900</f>
        <v>A55z</v>
      </c>
      <c r="E1900" s="847">
        <v>15</v>
      </c>
      <c r="F1900" s="370"/>
      <c r="G1900" s="368"/>
      <c r="H1900" s="368"/>
      <c r="I1900" s="368"/>
      <c r="J1900" s="368"/>
      <c r="K1900" s="370"/>
      <c r="L1900" s="370"/>
      <c r="M1900" s="370"/>
      <c r="N1900" s="850"/>
      <c r="O1900" s="851"/>
      <c r="P1900" s="380"/>
      <c r="Q1900" s="852"/>
      <c r="R1900" s="383"/>
      <c r="S1900" s="361"/>
      <c r="T1900" s="832"/>
      <c r="U1900" s="830"/>
      <c r="V1900" s="366"/>
      <c r="W1900" s="366"/>
    </row>
    <row r="1901" spans="1:23">
      <c r="A1901" s="1400" t="s">
        <v>939</v>
      </c>
      <c r="B1901" s="1400"/>
      <c r="C1901" s="827"/>
      <c r="D1901" s="871"/>
      <c r="E1901" s="1400" t="s">
        <v>177</v>
      </c>
      <c r="F1901" s="1400" t="s">
        <v>18</v>
      </c>
      <c r="G1901" s="1389" t="s">
        <v>19</v>
      </c>
      <c r="H1901" s="1390"/>
      <c r="I1901" s="1389" t="s">
        <v>22</v>
      </c>
      <c r="J1901" s="1390"/>
      <c r="K1901" s="1393" t="s">
        <v>26</v>
      </c>
      <c r="L1901" s="1390"/>
      <c r="M1901" s="1389" t="s">
        <v>392</v>
      </c>
      <c r="N1901" s="1390"/>
      <c r="O1901" s="1389" t="s">
        <v>28</v>
      </c>
      <c r="P1901" s="1393"/>
      <c r="Q1901" s="1390"/>
      <c r="R1901" s="1400" t="s">
        <v>36</v>
      </c>
      <c r="S1901" s="361"/>
      <c r="T1901" s="361">
        <f>MAX(J1905:J1919)-MIN(I1905:I1919)</f>
        <v>0.99097222222222225</v>
      </c>
      <c r="U1901" s="361"/>
      <c r="V1901" s="853" t="str">
        <f t="shared" ref="V1901" si="200">B1905</f>
        <v>A137</v>
      </c>
      <c r="W1901" s="361">
        <f t="shared" ref="W1901" si="201">COUNTIF(K1906:K1920,"&gt;0")</f>
        <v>4</v>
      </c>
    </row>
    <row r="1902" spans="1:23">
      <c r="A1902" s="1401"/>
      <c r="B1902" s="1401"/>
      <c r="C1902" s="828"/>
      <c r="D1902" s="872"/>
      <c r="E1902" s="1401"/>
      <c r="F1902" s="1401"/>
      <c r="G1902" s="1391"/>
      <c r="H1902" s="1392"/>
      <c r="I1902" s="1391"/>
      <c r="J1902" s="1392"/>
      <c r="K1902" s="1394"/>
      <c r="L1902" s="1392"/>
      <c r="M1902" s="1391"/>
      <c r="N1902" s="1392"/>
      <c r="O1902" s="1391"/>
      <c r="P1902" s="1394"/>
      <c r="Q1902" s="1392"/>
      <c r="R1902" s="1401"/>
      <c r="S1902" s="361"/>
      <c r="T1902" s="361"/>
      <c r="U1902" s="361"/>
      <c r="V1902" s="361"/>
      <c r="W1902" s="361"/>
    </row>
    <row r="1903" spans="1:23">
      <c r="A1903" s="1401"/>
      <c r="B1903" s="1401"/>
      <c r="C1903" s="828"/>
      <c r="D1903" s="872"/>
      <c r="E1903" s="1401"/>
      <c r="F1903" s="1401"/>
      <c r="G1903" s="1400" t="s">
        <v>20</v>
      </c>
      <c r="H1903" s="1400" t="s">
        <v>21</v>
      </c>
      <c r="I1903" s="1400" t="s">
        <v>361</v>
      </c>
      <c r="J1903" s="1400" t="s">
        <v>353</v>
      </c>
      <c r="K1903" s="1400" t="s">
        <v>23</v>
      </c>
      <c r="L1903" s="1400" t="s">
        <v>24</v>
      </c>
      <c r="M1903" s="1400" t="s">
        <v>27</v>
      </c>
      <c r="N1903" s="1400" t="s">
        <v>178</v>
      </c>
      <c r="O1903" s="1400" t="s">
        <v>1</v>
      </c>
      <c r="P1903" s="1400" t="s">
        <v>29</v>
      </c>
      <c r="Q1903" s="1400" t="s">
        <v>33</v>
      </c>
      <c r="R1903" s="1401"/>
      <c r="S1903" s="361"/>
      <c r="T1903" s="361" t="s">
        <v>39</v>
      </c>
      <c r="U1903" s="362">
        <f>VLOOKUP(B1905,'Thong tin'!$A:$M,13,0)</f>
        <v>1200</v>
      </c>
      <c r="V1903" s="361"/>
      <c r="W1903" s="361"/>
    </row>
    <row r="1904" spans="1:23">
      <c r="A1904" s="1402"/>
      <c r="B1904" s="1402"/>
      <c r="C1904" s="829"/>
      <c r="D1904" s="873"/>
      <c r="E1904" s="1402"/>
      <c r="F1904" s="1402"/>
      <c r="G1904" s="1402"/>
      <c r="H1904" s="1402"/>
      <c r="I1904" s="1402"/>
      <c r="J1904" s="1402"/>
      <c r="K1904" s="1402"/>
      <c r="L1904" s="1402"/>
      <c r="M1904" s="1402"/>
      <c r="N1904" s="1402"/>
      <c r="O1904" s="1402"/>
      <c r="P1904" s="1402"/>
      <c r="Q1904" s="1402"/>
      <c r="R1904" s="1402"/>
      <c r="S1904" s="361"/>
      <c r="T1904" s="1399" t="s">
        <v>393</v>
      </c>
      <c r="U1904" s="1397">
        <f>VLOOKUP(B1905,DT.NK!$B:$AZ,45,0)</f>
        <v>28.65</v>
      </c>
      <c r="V1904" s="361"/>
      <c r="W1904" s="361"/>
    </row>
    <row r="1905" spans="1:23">
      <c r="A1905" s="1409">
        <f>A1885+1</f>
        <v>96</v>
      </c>
      <c r="B1905" s="1412" t="s">
        <v>497</v>
      </c>
      <c r="C1905" s="844" t="s">
        <v>983</v>
      </c>
      <c r="D1905" s="874" t="str">
        <f>B1905&amp;C1905</f>
        <v>A137a</v>
      </c>
      <c r="E1905" s="363"/>
      <c r="F1905" s="364"/>
      <c r="G1905" s="364"/>
      <c r="H1905" s="364"/>
      <c r="I1905" s="364"/>
      <c r="J1905" s="364"/>
      <c r="K1905" s="364"/>
      <c r="L1905" s="364"/>
      <c r="M1905" s="674"/>
      <c r="N1905" s="670"/>
      <c r="O1905" s="670">
        <f>U1904</f>
        <v>28.65</v>
      </c>
      <c r="P1905" s="670">
        <f>O1905</f>
        <v>28.65</v>
      </c>
      <c r="Q1905" s="670">
        <v>0</v>
      </c>
      <c r="R1905" s="365"/>
      <c r="S1905" s="366"/>
      <c r="T1905" s="1399"/>
      <c r="U1905" s="1398"/>
      <c r="V1905" s="361"/>
      <c r="W1905" s="361"/>
    </row>
    <row r="1906" spans="1:23">
      <c r="A1906" s="1410"/>
      <c r="B1906" s="1413"/>
      <c r="C1906" s="845" t="s">
        <v>984</v>
      </c>
      <c r="D1906" s="875" t="str">
        <f>B1905&amp;C1906</f>
        <v>A137b</v>
      </c>
      <c r="E1906" s="367">
        <v>1</v>
      </c>
      <c r="F1906" s="669" t="s">
        <v>1085</v>
      </c>
      <c r="G1906" s="369">
        <v>0.94166666666666676</v>
      </c>
      <c r="H1906" s="368">
        <v>0.96527777777777779</v>
      </c>
      <c r="I1906" s="368">
        <v>0.97916666666666663</v>
      </c>
      <c r="J1906" s="368">
        <v>0.98333333333333339</v>
      </c>
      <c r="K1906" s="669">
        <v>9</v>
      </c>
      <c r="L1906" s="669">
        <v>19</v>
      </c>
      <c r="M1906" s="675">
        <v>26.65</v>
      </c>
      <c r="N1906" s="671">
        <f>IF(M1906-P1906&gt;0,M1906-P1906,0)</f>
        <v>4.25</v>
      </c>
      <c r="O1906" s="671">
        <f>O1905-K1906/(PI()*(U1903/2000)^2)</f>
        <v>20.692252845405232</v>
      </c>
      <c r="P1906" s="672">
        <v>22.4</v>
      </c>
      <c r="Q1906" s="673">
        <f>ABS(O1906-P1906)</f>
        <v>1.7077471545947667</v>
      </c>
      <c r="R1906" s="375" t="s">
        <v>188</v>
      </c>
      <c r="S1906" s="366"/>
      <c r="T1906" s="376"/>
      <c r="U1906" s="376"/>
      <c r="V1906" s="366"/>
      <c r="W1906" s="366"/>
    </row>
    <row r="1907" spans="1:23">
      <c r="A1907" s="1410"/>
      <c r="B1907" s="1413"/>
      <c r="C1907" s="845" t="s">
        <v>985</v>
      </c>
      <c r="D1907" s="875" t="str">
        <f>B1905&amp;C1907</f>
        <v>A137c</v>
      </c>
      <c r="E1907" s="367">
        <v>2</v>
      </c>
      <c r="F1907" s="669" t="s">
        <v>980</v>
      </c>
      <c r="G1907" s="369">
        <v>0.94791666666666663</v>
      </c>
      <c r="H1907" s="368">
        <v>0.97222222222222221</v>
      </c>
      <c r="I1907" s="368">
        <v>0.98958333333333337</v>
      </c>
      <c r="J1907" s="368">
        <v>0.99444444444444446</v>
      </c>
      <c r="K1907" s="669">
        <v>9</v>
      </c>
      <c r="L1907" s="669">
        <v>19</v>
      </c>
      <c r="M1907" s="675">
        <v>20.350000000000001</v>
      </c>
      <c r="N1907" s="671">
        <f>IF(M1907-P1907&gt;0,M1907-P1907,0)</f>
        <v>3.8500000000000014</v>
      </c>
      <c r="O1907" s="671">
        <f>O1906-K1907/(PI()*(U1903/2000)^2)</f>
        <v>12.734505690810465</v>
      </c>
      <c r="P1907" s="672">
        <v>16.5</v>
      </c>
      <c r="Q1907" s="673">
        <f>ABS(O1907-P1907)</f>
        <v>3.7654943091895348</v>
      </c>
      <c r="R1907" s="375" t="s">
        <v>188</v>
      </c>
      <c r="S1907" s="366"/>
      <c r="T1907" s="376"/>
      <c r="U1907" s="376"/>
      <c r="V1907" s="366"/>
      <c r="W1907" s="366"/>
    </row>
    <row r="1908" spans="1:23">
      <c r="A1908" s="1410"/>
      <c r="B1908" s="1413"/>
      <c r="C1908" s="845" t="s">
        <v>986</v>
      </c>
      <c r="D1908" s="875" t="str">
        <f>B1905&amp;C1908</f>
        <v>A137d</v>
      </c>
      <c r="E1908" s="367">
        <v>3</v>
      </c>
      <c r="F1908" s="669" t="s">
        <v>1096</v>
      </c>
      <c r="G1908" s="368">
        <v>0.95416666666666661</v>
      </c>
      <c r="H1908" s="368">
        <v>0.98263888888888884</v>
      </c>
      <c r="I1908" s="368">
        <v>3.472222222222222E-3</v>
      </c>
      <c r="J1908" s="368">
        <v>8.3333333333333332E-3</v>
      </c>
      <c r="K1908" s="370">
        <v>9</v>
      </c>
      <c r="L1908" s="370">
        <v>19</v>
      </c>
      <c r="M1908" s="371">
        <v>14.05</v>
      </c>
      <c r="N1908" s="671">
        <f>IF(M1908-P1908&gt;0,M1908-P1908,0)</f>
        <v>4.25</v>
      </c>
      <c r="O1908" s="671">
        <f>O1907-K1908/(PI()*(U1903/2000)^2)</f>
        <v>4.7767585362156986</v>
      </c>
      <c r="P1908" s="373">
        <v>9.8000000000000007</v>
      </c>
      <c r="Q1908" s="673">
        <f>ABS(O1908-P1908)</f>
        <v>5.0232414637843021</v>
      </c>
      <c r="R1908" s="375" t="s">
        <v>188</v>
      </c>
      <c r="S1908" s="366"/>
      <c r="T1908" s="376"/>
      <c r="U1908" s="376"/>
      <c r="V1908" s="366"/>
      <c r="W1908" s="366"/>
    </row>
    <row r="1909" spans="1:23">
      <c r="A1909" s="1410"/>
      <c r="B1909" s="1413"/>
      <c r="C1909" s="845" t="s">
        <v>987</v>
      </c>
      <c r="D1909" s="875" t="str">
        <f>B1905&amp;C1909</f>
        <v>A137e</v>
      </c>
      <c r="E1909" s="367">
        <v>4</v>
      </c>
      <c r="F1909" s="669" t="s">
        <v>1085</v>
      </c>
      <c r="G1909" s="368">
        <v>2.2222222222222223E-2</v>
      </c>
      <c r="H1909" s="368">
        <v>4.1666666666666664E-2</v>
      </c>
      <c r="I1909" s="368">
        <v>5.9027777777777783E-2</v>
      </c>
      <c r="J1909" s="368">
        <v>6.25E-2</v>
      </c>
      <c r="K1909" s="370">
        <v>5</v>
      </c>
      <c r="L1909" s="370">
        <v>19</v>
      </c>
      <c r="M1909" s="371">
        <v>14.05</v>
      </c>
      <c r="N1909" s="671">
        <f>IF(M1909-P1909&gt;0,M1909-P1909,0)</f>
        <v>7.3500000000000005</v>
      </c>
      <c r="O1909" s="671">
        <f>O1908-K1909/(PI()*(U1903/2000)^2)</f>
        <v>0.35578789477416173</v>
      </c>
      <c r="P1909" s="373">
        <v>6.7</v>
      </c>
      <c r="Q1909" s="673">
        <f>ABS(O1909-P1909)</f>
        <v>6.3442121052258384</v>
      </c>
      <c r="R1909" s="375"/>
      <c r="S1909" s="366"/>
      <c r="T1909" s="376"/>
      <c r="U1909" s="376"/>
      <c r="V1909" s="366"/>
      <c r="W1909" s="366"/>
    </row>
    <row r="1910" spans="1:23">
      <c r="A1910" s="1410"/>
      <c r="B1910" s="1413"/>
      <c r="C1910" s="845" t="s">
        <v>988</v>
      </c>
      <c r="D1910" s="875" t="str">
        <f>B1905&amp;C1910</f>
        <v>A137f</v>
      </c>
      <c r="E1910" s="367">
        <v>5</v>
      </c>
      <c r="F1910" s="669"/>
      <c r="G1910" s="368"/>
      <c r="H1910" s="368"/>
      <c r="I1910" s="368"/>
      <c r="J1910" s="368"/>
      <c r="K1910" s="370"/>
      <c r="L1910" s="370"/>
      <c r="M1910" s="371"/>
      <c r="N1910" s="671"/>
      <c r="O1910" s="671"/>
      <c r="P1910" s="373"/>
      <c r="Q1910" s="673"/>
      <c r="R1910" s="375"/>
      <c r="S1910" s="366" t="s">
        <v>190</v>
      </c>
      <c r="T1910" s="376"/>
      <c r="U1910" s="376"/>
      <c r="V1910" s="366"/>
      <c r="W1910" s="366"/>
    </row>
    <row r="1911" spans="1:23">
      <c r="A1911" s="1410"/>
      <c r="B1911" s="1413"/>
      <c r="C1911" s="845" t="s">
        <v>989</v>
      </c>
      <c r="D1911" s="875" t="str">
        <f>B1905&amp;C1911</f>
        <v>A137g</v>
      </c>
      <c r="E1911" s="367">
        <v>6</v>
      </c>
      <c r="F1911" s="669"/>
      <c r="G1911" s="368"/>
      <c r="H1911" s="368"/>
      <c r="I1911" s="368"/>
      <c r="J1911" s="368"/>
      <c r="K1911" s="370"/>
      <c r="L1911" s="370"/>
      <c r="M1911" s="371"/>
      <c r="N1911" s="671"/>
      <c r="O1911" s="671"/>
      <c r="P1911" s="373"/>
      <c r="Q1911" s="673"/>
      <c r="R1911" s="375"/>
      <c r="S1911" s="366" t="s">
        <v>190</v>
      </c>
      <c r="T1911" s="366"/>
      <c r="U1911" s="366"/>
      <c r="V1911" s="366"/>
      <c r="W1911" s="366"/>
    </row>
    <row r="1912" spans="1:23">
      <c r="A1912" s="1410"/>
      <c r="B1912" s="1413"/>
      <c r="C1912" s="845" t="s">
        <v>990</v>
      </c>
      <c r="D1912" s="875" t="str">
        <f>B1905&amp;C1912</f>
        <v>A137h</v>
      </c>
      <c r="E1912" s="367">
        <v>7</v>
      </c>
      <c r="F1912" s="669"/>
      <c r="G1912" s="368"/>
      <c r="H1912" s="368"/>
      <c r="I1912" s="368"/>
      <c r="J1912" s="368"/>
      <c r="K1912" s="370"/>
      <c r="L1912" s="370"/>
      <c r="M1912" s="371"/>
      <c r="N1912" s="671"/>
      <c r="O1912" s="671"/>
      <c r="P1912" s="373"/>
      <c r="Q1912" s="673"/>
      <c r="R1912" s="377"/>
      <c r="S1912" s="366" t="s">
        <v>190</v>
      </c>
      <c r="T1912" s="366"/>
      <c r="U1912" s="366"/>
      <c r="V1912" s="366"/>
      <c r="W1912" s="366"/>
    </row>
    <row r="1913" spans="1:23">
      <c r="A1913" s="1410"/>
      <c r="B1913" s="1413"/>
      <c r="C1913" s="845" t="s">
        <v>991</v>
      </c>
      <c r="D1913" s="875" t="str">
        <f>B1905&amp;C1913</f>
        <v>A137i</v>
      </c>
      <c r="E1913" s="367">
        <v>8</v>
      </c>
      <c r="F1913" s="669"/>
      <c r="G1913" s="368"/>
      <c r="H1913" s="368"/>
      <c r="I1913" s="368"/>
      <c r="J1913" s="368"/>
      <c r="K1913" s="370"/>
      <c r="L1913" s="370"/>
      <c r="M1913" s="371"/>
      <c r="N1913" s="671"/>
      <c r="O1913" s="671"/>
      <c r="P1913" s="373"/>
      <c r="Q1913" s="673"/>
      <c r="R1913" s="378"/>
      <c r="S1913" s="366"/>
      <c r="T1913" s="366"/>
      <c r="U1913" s="366"/>
      <c r="V1913" s="366"/>
      <c r="W1913" s="366"/>
    </row>
    <row r="1914" spans="1:23">
      <c r="A1914" s="1410"/>
      <c r="B1914" s="1413"/>
      <c r="C1914" s="845" t="s">
        <v>992</v>
      </c>
      <c r="D1914" s="875" t="str">
        <f>B1905&amp;C1914</f>
        <v>A137k</v>
      </c>
      <c r="E1914" s="367">
        <v>9</v>
      </c>
      <c r="F1914" s="370"/>
      <c r="G1914" s="368"/>
      <c r="H1914" s="368"/>
      <c r="I1914" s="368"/>
      <c r="J1914" s="368"/>
      <c r="K1914" s="370"/>
      <c r="L1914" s="370"/>
      <c r="M1914" s="371"/>
      <c r="N1914" s="372"/>
      <c r="O1914" s="372"/>
      <c r="P1914" s="373"/>
      <c r="Q1914" s="374"/>
      <c r="R1914" s="378"/>
      <c r="S1914" s="379"/>
      <c r="T1914" s="366"/>
      <c r="U1914" s="366"/>
      <c r="V1914" s="366"/>
      <c r="W1914" s="366"/>
    </row>
    <row r="1915" spans="1:23">
      <c r="A1915" s="1410"/>
      <c r="B1915" s="1413"/>
      <c r="C1915" s="845" t="s">
        <v>993</v>
      </c>
      <c r="D1915" s="875" t="str">
        <f>B1905&amp;C1915</f>
        <v>A137l</v>
      </c>
      <c r="E1915" s="367">
        <v>10</v>
      </c>
      <c r="F1915" s="370"/>
      <c r="G1915" s="368"/>
      <c r="H1915" s="368"/>
      <c r="I1915" s="368"/>
      <c r="J1915" s="368"/>
      <c r="K1915" s="370"/>
      <c r="L1915" s="370"/>
      <c r="M1915" s="370"/>
      <c r="N1915" s="372"/>
      <c r="O1915" s="372"/>
      <c r="P1915" s="373"/>
      <c r="Q1915" s="374"/>
      <c r="R1915" s="378"/>
      <c r="S1915" s="379"/>
      <c r="T1915" s="366"/>
      <c r="U1915" s="366"/>
      <c r="V1915" s="366"/>
      <c r="W1915" s="366"/>
    </row>
    <row r="1916" spans="1:23">
      <c r="A1916" s="1410"/>
      <c r="B1916" s="1413"/>
      <c r="C1916" s="845" t="s">
        <v>994</v>
      </c>
      <c r="D1916" s="875" t="str">
        <f>B1905&amp;C1916</f>
        <v>A137m</v>
      </c>
      <c r="E1916" s="367">
        <v>11</v>
      </c>
      <c r="F1916" s="370"/>
      <c r="G1916" s="368"/>
      <c r="H1916" s="368"/>
      <c r="I1916" s="368"/>
      <c r="J1916" s="368"/>
      <c r="K1916" s="370"/>
      <c r="L1916" s="370"/>
      <c r="M1916" s="370"/>
      <c r="N1916" s="372"/>
      <c r="O1916" s="372"/>
      <c r="P1916" s="380"/>
      <c r="Q1916" s="374"/>
      <c r="R1916" s="381"/>
      <c r="S1916" s="379"/>
      <c r="T1916" s="366"/>
      <c r="U1916" s="366"/>
      <c r="V1916" s="366"/>
      <c r="W1916" s="366"/>
    </row>
    <row r="1917" spans="1:23">
      <c r="A1917" s="1410"/>
      <c r="B1917" s="1413"/>
      <c r="C1917" s="845" t="s">
        <v>995</v>
      </c>
      <c r="D1917" s="875" t="str">
        <f>B1905&amp;C1917</f>
        <v>A137n</v>
      </c>
      <c r="E1917" s="367">
        <v>12</v>
      </c>
      <c r="F1917" s="370"/>
      <c r="G1917" s="368"/>
      <c r="H1917" s="368"/>
      <c r="I1917" s="368"/>
      <c r="J1917" s="368"/>
      <c r="K1917" s="370"/>
      <c r="L1917" s="370"/>
      <c r="M1917" s="370"/>
      <c r="N1917" s="372"/>
      <c r="O1917" s="372"/>
      <c r="P1917" s="380"/>
      <c r="Q1917" s="374"/>
      <c r="R1917" s="381"/>
      <c r="S1917" s="361"/>
      <c r="T1917" s="361"/>
      <c r="U1917" s="361"/>
      <c r="V1917" s="366"/>
      <c r="W1917" s="366"/>
    </row>
    <row r="1918" spans="1:23">
      <c r="A1918" s="1410"/>
      <c r="B1918" s="1413"/>
      <c r="C1918" s="845" t="s">
        <v>471</v>
      </c>
      <c r="D1918" s="875" t="str">
        <f>B1905&amp;C1918</f>
        <v>A137x</v>
      </c>
      <c r="E1918" s="367">
        <v>13</v>
      </c>
      <c r="F1918" s="370"/>
      <c r="G1918" s="368"/>
      <c r="H1918" s="368"/>
      <c r="I1918" s="368"/>
      <c r="J1918" s="368"/>
      <c r="K1918" s="370"/>
      <c r="L1918" s="370"/>
      <c r="M1918" s="370"/>
      <c r="N1918" s="382"/>
      <c r="O1918" s="372"/>
      <c r="P1918" s="380"/>
      <c r="Q1918" s="381"/>
      <c r="R1918" s="381"/>
      <c r="S1918" s="361"/>
      <c r="T1918" s="361"/>
      <c r="U1918" s="361"/>
      <c r="V1918" s="366"/>
      <c r="W1918" s="366"/>
    </row>
    <row r="1919" spans="1:23">
      <c r="A1919" s="1410"/>
      <c r="B1919" s="1413"/>
      <c r="C1919" s="845" t="s">
        <v>732</v>
      </c>
      <c r="D1919" s="875" t="str">
        <f>B1905&amp;C1919</f>
        <v>A137y</v>
      </c>
      <c r="E1919" s="367">
        <v>14</v>
      </c>
      <c r="F1919" s="370"/>
      <c r="G1919" s="368"/>
      <c r="H1919" s="368"/>
      <c r="I1919" s="368"/>
      <c r="J1919" s="368"/>
      <c r="K1919" s="370"/>
      <c r="L1919" s="370"/>
      <c r="M1919" s="370"/>
      <c r="N1919" s="382"/>
      <c r="O1919" s="372"/>
      <c r="P1919" s="380"/>
      <c r="Q1919" s="381"/>
      <c r="R1919" s="381"/>
      <c r="S1919" s="361"/>
      <c r="T1919" s="361"/>
      <c r="U1919" s="362"/>
      <c r="V1919" s="366"/>
      <c r="W1919" s="366"/>
    </row>
    <row r="1920" spans="1:23">
      <c r="A1920" s="1411"/>
      <c r="B1920" s="1414"/>
      <c r="C1920" s="846" t="s">
        <v>996</v>
      </c>
      <c r="D1920" s="876" t="str">
        <f>B1905&amp;C1920</f>
        <v>A137z</v>
      </c>
      <c r="E1920" s="847">
        <v>15</v>
      </c>
      <c r="F1920" s="370"/>
      <c r="G1920" s="368"/>
      <c r="H1920" s="368"/>
      <c r="I1920" s="368"/>
      <c r="J1920" s="368"/>
      <c r="K1920" s="370"/>
      <c r="L1920" s="370"/>
      <c r="M1920" s="370"/>
      <c r="N1920" s="850"/>
      <c r="O1920" s="851"/>
      <c r="P1920" s="380"/>
      <c r="Q1920" s="852"/>
      <c r="R1920" s="383"/>
      <c r="S1920" s="361"/>
      <c r="T1920" s="832"/>
      <c r="U1920" s="830"/>
      <c r="V1920" s="366"/>
      <c r="W1920" s="366"/>
    </row>
    <row r="1921" spans="1:23">
      <c r="A1921" s="1400" t="s">
        <v>939</v>
      </c>
      <c r="B1921" s="1400"/>
      <c r="C1921" s="827"/>
      <c r="D1921" s="871"/>
      <c r="E1921" s="1400" t="s">
        <v>177</v>
      </c>
      <c r="F1921" s="1400" t="s">
        <v>18</v>
      </c>
      <c r="G1921" s="1389" t="s">
        <v>19</v>
      </c>
      <c r="H1921" s="1390"/>
      <c r="I1921" s="1389" t="s">
        <v>22</v>
      </c>
      <c r="J1921" s="1390"/>
      <c r="K1921" s="1393" t="s">
        <v>26</v>
      </c>
      <c r="L1921" s="1390"/>
      <c r="M1921" s="1389" t="s">
        <v>392</v>
      </c>
      <c r="N1921" s="1390"/>
      <c r="O1921" s="1389" t="s">
        <v>28</v>
      </c>
      <c r="P1921" s="1393"/>
      <c r="Q1921" s="1390"/>
      <c r="R1921" s="1400" t="s">
        <v>36</v>
      </c>
      <c r="S1921" s="361"/>
      <c r="T1921" s="361">
        <f>MAX(J1925:J1939)-MIN(I1925:I1939)</f>
        <v>2.777777777777779E-2</v>
      </c>
      <c r="U1921" s="361"/>
      <c r="V1921" s="853" t="str">
        <f t="shared" ref="V1921" si="202">B1925</f>
        <v>A68</v>
      </c>
      <c r="W1921" s="361">
        <f t="shared" ref="W1921" si="203">COUNTIF(K1926:K1940,"&gt;0")</f>
        <v>3</v>
      </c>
    </row>
    <row r="1922" spans="1:23">
      <c r="A1922" s="1401"/>
      <c r="B1922" s="1401"/>
      <c r="C1922" s="828"/>
      <c r="D1922" s="872"/>
      <c r="E1922" s="1401"/>
      <c r="F1922" s="1401"/>
      <c r="G1922" s="1391"/>
      <c r="H1922" s="1392"/>
      <c r="I1922" s="1391"/>
      <c r="J1922" s="1392"/>
      <c r="K1922" s="1394"/>
      <c r="L1922" s="1392"/>
      <c r="M1922" s="1391"/>
      <c r="N1922" s="1392"/>
      <c r="O1922" s="1391"/>
      <c r="P1922" s="1394"/>
      <c r="Q1922" s="1392"/>
      <c r="R1922" s="1401"/>
      <c r="S1922" s="361"/>
      <c r="T1922" s="361"/>
      <c r="U1922" s="361"/>
      <c r="V1922" s="361"/>
      <c r="W1922" s="361"/>
    </row>
    <row r="1923" spans="1:23">
      <c r="A1923" s="1401"/>
      <c r="B1923" s="1401"/>
      <c r="C1923" s="828"/>
      <c r="D1923" s="872"/>
      <c r="E1923" s="1401"/>
      <c r="F1923" s="1401"/>
      <c r="G1923" s="1400" t="s">
        <v>20</v>
      </c>
      <c r="H1923" s="1400" t="s">
        <v>21</v>
      </c>
      <c r="I1923" s="1400" t="s">
        <v>361</v>
      </c>
      <c r="J1923" s="1400" t="s">
        <v>353</v>
      </c>
      <c r="K1923" s="1400" t="s">
        <v>23</v>
      </c>
      <c r="L1923" s="1400" t="s">
        <v>24</v>
      </c>
      <c r="M1923" s="1400" t="s">
        <v>27</v>
      </c>
      <c r="N1923" s="1400" t="s">
        <v>178</v>
      </c>
      <c r="O1923" s="1400" t="s">
        <v>1</v>
      </c>
      <c r="P1923" s="1400" t="s">
        <v>29</v>
      </c>
      <c r="Q1923" s="1400" t="s">
        <v>33</v>
      </c>
      <c r="R1923" s="1401"/>
      <c r="S1923" s="361"/>
      <c r="T1923" s="361" t="s">
        <v>39</v>
      </c>
      <c r="U1923" s="362">
        <f>VLOOKUP(B1925,'Thong tin'!$A:$M,13,0)</f>
        <v>1200</v>
      </c>
      <c r="V1923" s="361"/>
      <c r="W1923" s="361"/>
    </row>
    <row r="1924" spans="1:23">
      <c r="A1924" s="1402"/>
      <c r="B1924" s="1402"/>
      <c r="C1924" s="829"/>
      <c r="D1924" s="873"/>
      <c r="E1924" s="1402"/>
      <c r="F1924" s="1402"/>
      <c r="G1924" s="1402"/>
      <c r="H1924" s="1402"/>
      <c r="I1924" s="1402"/>
      <c r="J1924" s="1402"/>
      <c r="K1924" s="1402"/>
      <c r="L1924" s="1402"/>
      <c r="M1924" s="1402"/>
      <c r="N1924" s="1402"/>
      <c r="O1924" s="1402"/>
      <c r="P1924" s="1402"/>
      <c r="Q1924" s="1402"/>
      <c r="R1924" s="1402"/>
      <c r="S1924" s="361"/>
      <c r="T1924" s="1399" t="s">
        <v>393</v>
      </c>
      <c r="U1924" s="1397">
        <f>VLOOKUP(B1925,DT.NK!$B:$AZ,45,0)</f>
        <v>27.01</v>
      </c>
      <c r="V1924" s="361"/>
      <c r="W1924" s="361"/>
    </row>
    <row r="1925" spans="1:23">
      <c r="A1925" s="1409">
        <f>A1905+1</f>
        <v>97</v>
      </c>
      <c r="B1925" s="1412" t="s">
        <v>599</v>
      </c>
      <c r="C1925" s="844" t="s">
        <v>983</v>
      </c>
      <c r="D1925" s="874" t="str">
        <f>B1925&amp;C1925</f>
        <v>A68a</v>
      </c>
      <c r="E1925" s="363"/>
      <c r="F1925" s="364"/>
      <c r="G1925" s="364"/>
      <c r="H1925" s="364"/>
      <c r="I1925" s="364"/>
      <c r="J1925" s="364"/>
      <c r="K1925" s="364"/>
      <c r="L1925" s="364"/>
      <c r="M1925" s="674"/>
      <c r="N1925" s="670"/>
      <c r="O1925" s="670">
        <f>U1924</f>
        <v>27.01</v>
      </c>
      <c r="P1925" s="670">
        <f>O1925</f>
        <v>27.01</v>
      </c>
      <c r="Q1925" s="670">
        <v>0</v>
      </c>
      <c r="R1925" s="365"/>
      <c r="S1925" s="366"/>
      <c r="T1925" s="1399"/>
      <c r="U1925" s="1398"/>
      <c r="V1925" s="361"/>
      <c r="W1925" s="361"/>
    </row>
    <row r="1926" spans="1:23">
      <c r="A1926" s="1410"/>
      <c r="B1926" s="1413"/>
      <c r="C1926" s="845" t="s">
        <v>984</v>
      </c>
      <c r="D1926" s="875" t="str">
        <f>B1925&amp;C1926</f>
        <v>A68b</v>
      </c>
      <c r="E1926" s="367">
        <v>1</v>
      </c>
      <c r="F1926" s="669" t="s">
        <v>1085</v>
      </c>
      <c r="G1926" s="369">
        <v>0.77916666666666667</v>
      </c>
      <c r="H1926" s="368">
        <v>0.8125</v>
      </c>
      <c r="I1926" s="368">
        <v>0.82638888888888884</v>
      </c>
      <c r="J1926" s="368">
        <v>0.82986111111111116</v>
      </c>
      <c r="K1926" s="669">
        <v>8</v>
      </c>
      <c r="L1926" s="669">
        <v>19</v>
      </c>
      <c r="M1926" s="675">
        <v>25.01</v>
      </c>
      <c r="N1926" s="671">
        <f>IF(M1926-P1926&gt;0,M1926-P1926,0)</f>
        <v>4.8000000000000007</v>
      </c>
      <c r="O1926" s="671">
        <f>O1925-K1926/(PI()*(U1923/2000)^2)</f>
        <v>19.936446973693542</v>
      </c>
      <c r="P1926" s="672">
        <v>20.21</v>
      </c>
      <c r="Q1926" s="673">
        <f>ABS(O1926-P1926)</f>
        <v>0.27355302630645895</v>
      </c>
      <c r="R1926" s="375" t="s">
        <v>188</v>
      </c>
      <c r="S1926" s="366"/>
      <c r="T1926" s="376"/>
      <c r="U1926" s="376"/>
      <c r="V1926" s="366"/>
      <c r="W1926" s="366"/>
    </row>
    <row r="1927" spans="1:23">
      <c r="A1927" s="1410"/>
      <c r="B1927" s="1413"/>
      <c r="C1927" s="845" t="s">
        <v>985</v>
      </c>
      <c r="D1927" s="875" t="str">
        <f>B1925&amp;C1927</f>
        <v>A68c</v>
      </c>
      <c r="E1927" s="367">
        <v>2</v>
      </c>
      <c r="F1927" s="669" t="s">
        <v>1008</v>
      </c>
      <c r="G1927" s="369">
        <v>0.78541666666666676</v>
      </c>
      <c r="H1927" s="368">
        <v>0.8208333333333333</v>
      </c>
      <c r="I1927" s="368">
        <v>0.83680555555555547</v>
      </c>
      <c r="J1927" s="368">
        <v>0.84027777777777779</v>
      </c>
      <c r="K1927" s="669">
        <v>8</v>
      </c>
      <c r="L1927" s="669">
        <v>19</v>
      </c>
      <c r="M1927" s="675">
        <v>18.71</v>
      </c>
      <c r="N1927" s="671">
        <f>IF(M1927-P1927&gt;0,M1927-P1927,0)</f>
        <v>5.3100000000000005</v>
      </c>
      <c r="O1927" s="671">
        <f>O1926-K1927/(PI()*(U1923/2000)^2)</f>
        <v>12.862893947387082</v>
      </c>
      <c r="P1927" s="672">
        <v>13.4</v>
      </c>
      <c r="Q1927" s="673">
        <f>ABS(O1927-P1927)</f>
        <v>0.53710605261291811</v>
      </c>
      <c r="R1927" s="375" t="s">
        <v>188</v>
      </c>
      <c r="S1927" s="366"/>
      <c r="T1927" s="376"/>
      <c r="U1927" s="376"/>
      <c r="V1927" s="366"/>
      <c r="W1927" s="366"/>
    </row>
    <row r="1928" spans="1:23">
      <c r="A1928" s="1410"/>
      <c r="B1928" s="1413"/>
      <c r="C1928" s="845" t="s">
        <v>986</v>
      </c>
      <c r="D1928" s="875" t="str">
        <f>B1925&amp;C1928</f>
        <v>A68d</v>
      </c>
      <c r="E1928" s="367">
        <v>3</v>
      </c>
      <c r="F1928" s="669" t="s">
        <v>1089</v>
      </c>
      <c r="G1928" s="368">
        <v>0.79166666666666663</v>
      </c>
      <c r="H1928" s="368">
        <v>0.82361111111111107</v>
      </c>
      <c r="I1928" s="368">
        <v>0.85069444444444453</v>
      </c>
      <c r="J1928" s="368">
        <v>0.85416666666666663</v>
      </c>
      <c r="K1928" s="370">
        <v>7</v>
      </c>
      <c r="L1928" s="370">
        <v>19</v>
      </c>
      <c r="M1928" s="371">
        <v>12.41</v>
      </c>
      <c r="N1928" s="671">
        <f>IF(M1928-P1928&gt;0,M1928-P1928,0)</f>
        <v>4.51</v>
      </c>
      <c r="O1928" s="671">
        <f>O1927-K1928/(PI()*(U1923/2000)^2)</f>
        <v>6.6735350493689305</v>
      </c>
      <c r="P1928" s="373">
        <v>7.9</v>
      </c>
      <c r="Q1928" s="673">
        <f>ABS(O1928-P1928)</f>
        <v>1.2264649506310699</v>
      </c>
      <c r="R1928" s="375" t="s">
        <v>188</v>
      </c>
      <c r="S1928" s="366"/>
      <c r="T1928" s="376"/>
      <c r="U1928" s="376"/>
      <c r="V1928" s="366"/>
      <c r="W1928" s="366"/>
    </row>
    <row r="1929" spans="1:23">
      <c r="A1929" s="1410"/>
      <c r="B1929" s="1413"/>
      <c r="C1929" s="845" t="s">
        <v>987</v>
      </c>
      <c r="D1929" s="875" t="str">
        <f>B1925&amp;C1929</f>
        <v>A68e</v>
      </c>
      <c r="E1929" s="367">
        <v>4</v>
      </c>
      <c r="F1929" s="669"/>
      <c r="G1929" s="368"/>
      <c r="H1929" s="368"/>
      <c r="I1929" s="368"/>
      <c r="J1929" s="368"/>
      <c r="K1929" s="370"/>
      <c r="L1929" s="370"/>
      <c r="M1929" s="371"/>
      <c r="N1929" s="671"/>
      <c r="O1929" s="671"/>
      <c r="P1929" s="373"/>
      <c r="Q1929" s="673"/>
      <c r="R1929" s="375"/>
      <c r="S1929" s="366"/>
      <c r="T1929" s="376"/>
      <c r="U1929" s="376"/>
      <c r="V1929" s="366"/>
      <c r="W1929" s="366"/>
    </row>
    <row r="1930" spans="1:23">
      <c r="A1930" s="1410"/>
      <c r="B1930" s="1413"/>
      <c r="C1930" s="845" t="s">
        <v>988</v>
      </c>
      <c r="D1930" s="875" t="str">
        <f>B1925&amp;C1930</f>
        <v>A68f</v>
      </c>
      <c r="E1930" s="367">
        <v>5</v>
      </c>
      <c r="F1930" s="669"/>
      <c r="G1930" s="368"/>
      <c r="H1930" s="368"/>
      <c r="I1930" s="368"/>
      <c r="J1930" s="368"/>
      <c r="K1930" s="370"/>
      <c r="L1930" s="370"/>
      <c r="M1930" s="371"/>
      <c r="N1930" s="671"/>
      <c r="O1930" s="671"/>
      <c r="P1930" s="373"/>
      <c r="Q1930" s="673"/>
      <c r="R1930" s="375"/>
      <c r="S1930" s="366" t="s">
        <v>190</v>
      </c>
      <c r="T1930" s="376"/>
      <c r="U1930" s="376"/>
      <c r="V1930" s="366"/>
      <c r="W1930" s="366"/>
    </row>
    <row r="1931" spans="1:23">
      <c r="A1931" s="1410"/>
      <c r="B1931" s="1413"/>
      <c r="C1931" s="845" t="s">
        <v>989</v>
      </c>
      <c r="D1931" s="875" t="str">
        <f>B1925&amp;C1931</f>
        <v>A68g</v>
      </c>
      <c r="E1931" s="367">
        <v>6</v>
      </c>
      <c r="F1931" s="669"/>
      <c r="G1931" s="368"/>
      <c r="H1931" s="368"/>
      <c r="I1931" s="368"/>
      <c r="J1931" s="368"/>
      <c r="K1931" s="370"/>
      <c r="L1931" s="370"/>
      <c r="M1931" s="371"/>
      <c r="N1931" s="671"/>
      <c r="O1931" s="671"/>
      <c r="P1931" s="373"/>
      <c r="Q1931" s="673"/>
      <c r="R1931" s="375"/>
      <c r="S1931" s="366" t="s">
        <v>190</v>
      </c>
      <c r="T1931" s="366"/>
      <c r="U1931" s="366"/>
      <c r="V1931" s="366"/>
      <c r="W1931" s="366"/>
    </row>
    <row r="1932" spans="1:23">
      <c r="A1932" s="1410"/>
      <c r="B1932" s="1413"/>
      <c r="C1932" s="845" t="s">
        <v>990</v>
      </c>
      <c r="D1932" s="875" t="str">
        <f>B1925&amp;C1932</f>
        <v>A68h</v>
      </c>
      <c r="E1932" s="367">
        <v>7</v>
      </c>
      <c r="F1932" s="669"/>
      <c r="G1932" s="368"/>
      <c r="H1932" s="368"/>
      <c r="I1932" s="368"/>
      <c r="J1932" s="368"/>
      <c r="K1932" s="370"/>
      <c r="L1932" s="370"/>
      <c r="M1932" s="371"/>
      <c r="N1932" s="671"/>
      <c r="O1932" s="671"/>
      <c r="P1932" s="373"/>
      <c r="Q1932" s="673"/>
      <c r="R1932" s="377"/>
      <c r="S1932" s="366" t="s">
        <v>190</v>
      </c>
      <c r="T1932" s="366"/>
      <c r="U1932" s="366"/>
      <c r="V1932" s="366"/>
      <c r="W1932" s="366"/>
    </row>
    <row r="1933" spans="1:23">
      <c r="A1933" s="1410"/>
      <c r="B1933" s="1413"/>
      <c r="C1933" s="845" t="s">
        <v>991</v>
      </c>
      <c r="D1933" s="875" t="str">
        <f>B1925&amp;C1933</f>
        <v>A68i</v>
      </c>
      <c r="E1933" s="367">
        <v>8</v>
      </c>
      <c r="F1933" s="669"/>
      <c r="G1933" s="368"/>
      <c r="H1933" s="368"/>
      <c r="I1933" s="368"/>
      <c r="J1933" s="368"/>
      <c r="K1933" s="370"/>
      <c r="L1933" s="370"/>
      <c r="M1933" s="371"/>
      <c r="N1933" s="671"/>
      <c r="O1933" s="671"/>
      <c r="P1933" s="373"/>
      <c r="Q1933" s="673"/>
      <c r="R1933" s="378"/>
      <c r="S1933" s="366"/>
      <c r="T1933" s="366"/>
      <c r="U1933" s="366"/>
      <c r="V1933" s="366"/>
      <c r="W1933" s="366"/>
    </row>
    <row r="1934" spans="1:23">
      <c r="A1934" s="1410"/>
      <c r="B1934" s="1413"/>
      <c r="C1934" s="845" t="s">
        <v>992</v>
      </c>
      <c r="D1934" s="875" t="str">
        <f>B1925&amp;C1934</f>
        <v>A68k</v>
      </c>
      <c r="E1934" s="367">
        <v>9</v>
      </c>
      <c r="F1934" s="370"/>
      <c r="G1934" s="368"/>
      <c r="H1934" s="368"/>
      <c r="I1934" s="368"/>
      <c r="J1934" s="368"/>
      <c r="K1934" s="370"/>
      <c r="L1934" s="370"/>
      <c r="M1934" s="371"/>
      <c r="N1934" s="372"/>
      <c r="O1934" s="372"/>
      <c r="P1934" s="373"/>
      <c r="Q1934" s="374"/>
      <c r="R1934" s="378"/>
      <c r="S1934" s="379"/>
      <c r="T1934" s="366"/>
      <c r="U1934" s="366"/>
      <c r="V1934" s="366"/>
      <c r="W1934" s="366"/>
    </row>
    <row r="1935" spans="1:23">
      <c r="A1935" s="1410"/>
      <c r="B1935" s="1413"/>
      <c r="C1935" s="845" t="s">
        <v>993</v>
      </c>
      <c r="D1935" s="875" t="str">
        <f>B1925&amp;C1935</f>
        <v>A68l</v>
      </c>
      <c r="E1935" s="367">
        <v>10</v>
      </c>
      <c r="F1935" s="370"/>
      <c r="G1935" s="368"/>
      <c r="H1935" s="368"/>
      <c r="I1935" s="368"/>
      <c r="J1935" s="368"/>
      <c r="K1935" s="370"/>
      <c r="L1935" s="370"/>
      <c r="M1935" s="370"/>
      <c r="N1935" s="372"/>
      <c r="O1935" s="372"/>
      <c r="P1935" s="373"/>
      <c r="Q1935" s="374"/>
      <c r="R1935" s="378"/>
      <c r="S1935" s="379"/>
      <c r="T1935" s="366"/>
      <c r="U1935" s="366"/>
      <c r="V1935" s="366"/>
      <c r="W1935" s="366"/>
    </row>
    <row r="1936" spans="1:23">
      <c r="A1936" s="1410"/>
      <c r="B1936" s="1413"/>
      <c r="C1936" s="845" t="s">
        <v>994</v>
      </c>
      <c r="D1936" s="875" t="str">
        <f>B1925&amp;C1936</f>
        <v>A68m</v>
      </c>
      <c r="E1936" s="367">
        <v>11</v>
      </c>
      <c r="F1936" s="370"/>
      <c r="G1936" s="368"/>
      <c r="H1936" s="368"/>
      <c r="I1936" s="368"/>
      <c r="J1936" s="368"/>
      <c r="K1936" s="370"/>
      <c r="L1936" s="370"/>
      <c r="M1936" s="370"/>
      <c r="N1936" s="372"/>
      <c r="O1936" s="372"/>
      <c r="P1936" s="380"/>
      <c r="Q1936" s="374"/>
      <c r="R1936" s="381"/>
      <c r="S1936" s="379"/>
      <c r="T1936" s="366"/>
      <c r="U1936" s="366"/>
      <c r="V1936" s="366"/>
      <c r="W1936" s="366"/>
    </row>
    <row r="1937" spans="1:23">
      <c r="A1937" s="1410"/>
      <c r="B1937" s="1413"/>
      <c r="C1937" s="845" t="s">
        <v>995</v>
      </c>
      <c r="D1937" s="875" t="str">
        <f>B1925&amp;C1937</f>
        <v>A68n</v>
      </c>
      <c r="E1937" s="367">
        <v>12</v>
      </c>
      <c r="F1937" s="370"/>
      <c r="G1937" s="368"/>
      <c r="H1937" s="368"/>
      <c r="I1937" s="368"/>
      <c r="J1937" s="368"/>
      <c r="K1937" s="370"/>
      <c r="L1937" s="370"/>
      <c r="M1937" s="370"/>
      <c r="N1937" s="372"/>
      <c r="O1937" s="372"/>
      <c r="P1937" s="380"/>
      <c r="Q1937" s="374"/>
      <c r="R1937" s="381"/>
      <c r="S1937" s="361"/>
      <c r="T1937" s="361"/>
      <c r="U1937" s="361"/>
      <c r="V1937" s="366"/>
      <c r="W1937" s="366"/>
    </row>
    <row r="1938" spans="1:23">
      <c r="A1938" s="1410"/>
      <c r="B1938" s="1413"/>
      <c r="C1938" s="845" t="s">
        <v>471</v>
      </c>
      <c r="D1938" s="875" t="str">
        <f>B1925&amp;C1938</f>
        <v>A68x</v>
      </c>
      <c r="E1938" s="367">
        <v>13</v>
      </c>
      <c r="F1938" s="370"/>
      <c r="G1938" s="368"/>
      <c r="H1938" s="368"/>
      <c r="I1938" s="368"/>
      <c r="J1938" s="368"/>
      <c r="K1938" s="370"/>
      <c r="L1938" s="370"/>
      <c r="M1938" s="370"/>
      <c r="N1938" s="382"/>
      <c r="O1938" s="372"/>
      <c r="P1938" s="380"/>
      <c r="Q1938" s="381"/>
      <c r="R1938" s="381"/>
      <c r="S1938" s="361"/>
      <c r="T1938" s="361"/>
      <c r="U1938" s="361"/>
      <c r="V1938" s="366"/>
      <c r="W1938" s="366"/>
    </row>
    <row r="1939" spans="1:23">
      <c r="A1939" s="1410"/>
      <c r="B1939" s="1413"/>
      <c r="C1939" s="845" t="s">
        <v>732</v>
      </c>
      <c r="D1939" s="875" t="str">
        <f>B1925&amp;C1939</f>
        <v>A68y</v>
      </c>
      <c r="E1939" s="367">
        <v>14</v>
      </c>
      <c r="F1939" s="370"/>
      <c r="G1939" s="368"/>
      <c r="H1939" s="368"/>
      <c r="I1939" s="368"/>
      <c r="J1939" s="368"/>
      <c r="K1939" s="370"/>
      <c r="L1939" s="370"/>
      <c r="M1939" s="370"/>
      <c r="N1939" s="382"/>
      <c r="O1939" s="372"/>
      <c r="P1939" s="380"/>
      <c r="Q1939" s="381"/>
      <c r="R1939" s="381"/>
      <c r="S1939" s="361"/>
      <c r="T1939" s="361"/>
      <c r="U1939" s="362"/>
      <c r="V1939" s="366"/>
      <c r="W1939" s="366"/>
    </row>
    <row r="1940" spans="1:23">
      <c r="A1940" s="1411"/>
      <c r="B1940" s="1414"/>
      <c r="C1940" s="846" t="s">
        <v>996</v>
      </c>
      <c r="D1940" s="876" t="str">
        <f>B1925&amp;C1940</f>
        <v>A68z</v>
      </c>
      <c r="E1940" s="847">
        <v>15</v>
      </c>
      <c r="F1940" s="370"/>
      <c r="G1940" s="368"/>
      <c r="H1940" s="368"/>
      <c r="I1940" s="368"/>
      <c r="J1940" s="368"/>
      <c r="K1940" s="370"/>
      <c r="L1940" s="370"/>
      <c r="M1940" s="370"/>
      <c r="N1940" s="850"/>
      <c r="O1940" s="851"/>
      <c r="P1940" s="380"/>
      <c r="Q1940" s="852"/>
      <c r="R1940" s="383"/>
      <c r="S1940" s="361"/>
      <c r="T1940" s="832"/>
      <c r="U1940" s="830"/>
      <c r="V1940" s="366"/>
      <c r="W1940" s="366"/>
    </row>
    <row r="1941" spans="1:23">
      <c r="A1941" s="1400" t="s">
        <v>939</v>
      </c>
      <c r="B1941" s="1400"/>
      <c r="C1941" s="827"/>
      <c r="D1941" s="871"/>
      <c r="E1941" s="1400" t="s">
        <v>177</v>
      </c>
      <c r="F1941" s="1400" t="s">
        <v>18</v>
      </c>
      <c r="G1941" s="1389" t="s">
        <v>19</v>
      </c>
      <c r="H1941" s="1390"/>
      <c r="I1941" s="1389" t="s">
        <v>22</v>
      </c>
      <c r="J1941" s="1390"/>
      <c r="K1941" s="1393" t="s">
        <v>26</v>
      </c>
      <c r="L1941" s="1390"/>
      <c r="M1941" s="1389" t="s">
        <v>392</v>
      </c>
      <c r="N1941" s="1390"/>
      <c r="O1941" s="1389" t="s">
        <v>28</v>
      </c>
      <c r="P1941" s="1393"/>
      <c r="Q1941" s="1390"/>
      <c r="R1941" s="1400" t="s">
        <v>36</v>
      </c>
      <c r="S1941" s="361"/>
      <c r="T1941" s="361">
        <f>MAX(J1945:J1959)-MIN(I1945:I1959)</f>
        <v>6.25E-2</v>
      </c>
      <c r="U1941" s="361"/>
      <c r="V1941" s="853" t="str">
        <f t="shared" ref="V1941" si="204">B1945</f>
        <v>A56</v>
      </c>
      <c r="W1941" s="361">
        <f t="shared" ref="W1941" si="205">COUNTIF(K1946:K1960,"&gt;0")</f>
        <v>4</v>
      </c>
    </row>
    <row r="1942" spans="1:23">
      <c r="A1942" s="1401"/>
      <c r="B1942" s="1401"/>
      <c r="C1942" s="828"/>
      <c r="D1942" s="872"/>
      <c r="E1942" s="1401"/>
      <c r="F1942" s="1401"/>
      <c r="G1942" s="1391"/>
      <c r="H1942" s="1392"/>
      <c r="I1942" s="1391"/>
      <c r="J1942" s="1392"/>
      <c r="K1942" s="1394"/>
      <c r="L1942" s="1392"/>
      <c r="M1942" s="1391"/>
      <c r="N1942" s="1392"/>
      <c r="O1942" s="1391"/>
      <c r="P1942" s="1394"/>
      <c r="Q1942" s="1392"/>
      <c r="R1942" s="1401"/>
      <c r="S1942" s="361"/>
      <c r="T1942" s="361"/>
      <c r="U1942" s="361"/>
      <c r="V1942" s="361"/>
      <c r="W1942" s="361"/>
    </row>
    <row r="1943" spans="1:23">
      <c r="A1943" s="1401"/>
      <c r="B1943" s="1401"/>
      <c r="C1943" s="828"/>
      <c r="D1943" s="872"/>
      <c r="E1943" s="1401"/>
      <c r="F1943" s="1401"/>
      <c r="G1943" s="1400" t="s">
        <v>20</v>
      </c>
      <c r="H1943" s="1400" t="s">
        <v>21</v>
      </c>
      <c r="I1943" s="1400" t="s">
        <v>361</v>
      </c>
      <c r="J1943" s="1400" t="s">
        <v>353</v>
      </c>
      <c r="K1943" s="1400" t="s">
        <v>23</v>
      </c>
      <c r="L1943" s="1400" t="s">
        <v>24</v>
      </c>
      <c r="M1943" s="1400" t="s">
        <v>27</v>
      </c>
      <c r="N1943" s="1400" t="s">
        <v>178</v>
      </c>
      <c r="O1943" s="1400" t="s">
        <v>1</v>
      </c>
      <c r="P1943" s="1400" t="s">
        <v>29</v>
      </c>
      <c r="Q1943" s="1400" t="s">
        <v>33</v>
      </c>
      <c r="R1943" s="1401"/>
      <c r="S1943" s="361"/>
      <c r="T1943" s="361" t="s">
        <v>39</v>
      </c>
      <c r="U1943" s="362">
        <f>VLOOKUP(B1945,'Thong tin'!$A:$M,13,0)</f>
        <v>1200</v>
      </c>
      <c r="V1943" s="361"/>
      <c r="W1943" s="361"/>
    </row>
    <row r="1944" spans="1:23">
      <c r="A1944" s="1402"/>
      <c r="B1944" s="1402"/>
      <c r="C1944" s="829"/>
      <c r="D1944" s="873"/>
      <c r="E1944" s="1402"/>
      <c r="F1944" s="1402"/>
      <c r="G1944" s="1402"/>
      <c r="H1944" s="1402"/>
      <c r="I1944" s="1402"/>
      <c r="J1944" s="1402"/>
      <c r="K1944" s="1402"/>
      <c r="L1944" s="1402"/>
      <c r="M1944" s="1402"/>
      <c r="N1944" s="1402"/>
      <c r="O1944" s="1402"/>
      <c r="P1944" s="1402"/>
      <c r="Q1944" s="1402"/>
      <c r="R1944" s="1402"/>
      <c r="S1944" s="361"/>
      <c r="T1944" s="1399" t="s">
        <v>393</v>
      </c>
      <c r="U1944" s="1397">
        <f>VLOOKUP(B1945,DT.NK!$B:$AZ,45,0)</f>
        <v>27.03</v>
      </c>
      <c r="V1944" s="361"/>
      <c r="W1944" s="361"/>
    </row>
    <row r="1945" spans="1:23">
      <c r="A1945" s="1409">
        <f>A1925+1</f>
        <v>98</v>
      </c>
      <c r="B1945" s="1412" t="s">
        <v>539</v>
      </c>
      <c r="C1945" s="844" t="s">
        <v>983</v>
      </c>
      <c r="D1945" s="874" t="str">
        <f>B1945&amp;C1945</f>
        <v>A56a</v>
      </c>
      <c r="E1945" s="363"/>
      <c r="F1945" s="364"/>
      <c r="G1945" s="364"/>
      <c r="H1945" s="364"/>
      <c r="I1945" s="364"/>
      <c r="J1945" s="364"/>
      <c r="K1945" s="364"/>
      <c r="L1945" s="364"/>
      <c r="M1945" s="674"/>
      <c r="N1945" s="670"/>
      <c r="O1945" s="670">
        <f>U1944</f>
        <v>27.03</v>
      </c>
      <c r="P1945" s="670">
        <f>O1945</f>
        <v>27.03</v>
      </c>
      <c r="Q1945" s="670">
        <v>0</v>
      </c>
      <c r="R1945" s="365"/>
      <c r="S1945" s="366"/>
      <c r="T1945" s="1399"/>
      <c r="U1945" s="1398"/>
      <c r="V1945" s="361"/>
      <c r="W1945" s="361"/>
    </row>
    <row r="1946" spans="1:23">
      <c r="A1946" s="1410"/>
      <c r="B1946" s="1413"/>
      <c r="C1946" s="845" t="s">
        <v>984</v>
      </c>
      <c r="D1946" s="875" t="str">
        <f>B1945&amp;C1946</f>
        <v>A56b</v>
      </c>
      <c r="E1946" s="367">
        <v>1</v>
      </c>
      <c r="F1946" s="669" t="s">
        <v>1008</v>
      </c>
      <c r="G1946" s="369">
        <v>0.9819444444444444</v>
      </c>
      <c r="H1946" s="368">
        <v>6.9444444444444441E-3</v>
      </c>
      <c r="I1946" s="368">
        <v>2.0833333333333332E-2</v>
      </c>
      <c r="J1946" s="368">
        <v>2.5694444444444447E-2</v>
      </c>
      <c r="K1946" s="669">
        <v>8</v>
      </c>
      <c r="L1946" s="669">
        <v>19</v>
      </c>
      <c r="M1946" s="675">
        <v>25.03</v>
      </c>
      <c r="N1946" s="671">
        <f>IF(M1946-P1946&gt;0,M1946-P1946,0)</f>
        <v>3.4299999999999997</v>
      </c>
      <c r="O1946" s="671">
        <f>O1945-K1946/(PI()*(U1943/2000)^2)</f>
        <v>19.956446973693541</v>
      </c>
      <c r="P1946" s="672">
        <v>21.6</v>
      </c>
      <c r="Q1946" s="673">
        <f>ABS(O1946-P1946)</f>
        <v>1.6435530263064599</v>
      </c>
      <c r="R1946" s="375" t="s">
        <v>188</v>
      </c>
      <c r="S1946" s="366"/>
      <c r="T1946" s="376"/>
      <c r="U1946" s="376"/>
      <c r="V1946" s="366"/>
      <c r="W1946" s="366"/>
    </row>
    <row r="1947" spans="1:23">
      <c r="A1947" s="1410"/>
      <c r="B1947" s="1413"/>
      <c r="C1947" s="845" t="s">
        <v>985</v>
      </c>
      <c r="D1947" s="875" t="str">
        <f>B1945&amp;C1947</f>
        <v>A56c</v>
      </c>
      <c r="E1947" s="367">
        <v>2</v>
      </c>
      <c r="F1947" s="669" t="s">
        <v>1091</v>
      </c>
      <c r="G1947" s="369">
        <v>0.98819444444444438</v>
      </c>
      <c r="H1947" s="368">
        <v>1.5277777777777777E-2</v>
      </c>
      <c r="I1947" s="368">
        <v>3.125E-2</v>
      </c>
      <c r="J1947" s="368">
        <v>3.4722222222222224E-2</v>
      </c>
      <c r="K1947" s="669">
        <v>8</v>
      </c>
      <c r="L1947" s="669">
        <v>19</v>
      </c>
      <c r="M1947" s="675">
        <v>21.88</v>
      </c>
      <c r="N1947" s="671">
        <f>IF(M1947-P1947&gt;0,M1947-P1947,0)</f>
        <v>4.68</v>
      </c>
      <c r="O1947" s="671">
        <f>O1946-K1947/(PI()*(U1943/2000)^2)</f>
        <v>12.882893947387082</v>
      </c>
      <c r="P1947" s="672">
        <v>17.2</v>
      </c>
      <c r="Q1947" s="673">
        <f>ABS(O1947-P1947)</f>
        <v>4.3171060526129175</v>
      </c>
      <c r="R1947" s="375" t="s">
        <v>188</v>
      </c>
      <c r="S1947" s="366"/>
      <c r="T1947" s="376"/>
      <c r="U1947" s="376"/>
      <c r="V1947" s="366"/>
      <c r="W1947" s="366"/>
    </row>
    <row r="1948" spans="1:23">
      <c r="A1948" s="1410"/>
      <c r="B1948" s="1413"/>
      <c r="C1948" s="845" t="s">
        <v>986</v>
      </c>
      <c r="D1948" s="875" t="str">
        <f>B1945&amp;C1948</f>
        <v>A56d</v>
      </c>
      <c r="E1948" s="367">
        <v>3</v>
      </c>
      <c r="F1948" s="669" t="s">
        <v>1089</v>
      </c>
      <c r="G1948" s="368">
        <v>0.99375000000000002</v>
      </c>
      <c r="H1948" s="368">
        <v>2.4305555555555556E-2</v>
      </c>
      <c r="I1948" s="368">
        <v>4.1666666666666664E-2</v>
      </c>
      <c r="J1948" s="368">
        <v>4.5833333333333337E-2</v>
      </c>
      <c r="K1948" s="370">
        <v>8</v>
      </c>
      <c r="L1948" s="370">
        <v>19</v>
      </c>
      <c r="M1948" s="371">
        <v>18.73</v>
      </c>
      <c r="N1948" s="671">
        <f>IF(M1948-P1948&gt;0,M1948-P1948,0)</f>
        <v>3.2300000000000004</v>
      </c>
      <c r="O1948" s="671">
        <f>O1947-K1948/(PI()*(U1943/2000)^2)</f>
        <v>5.8093409210806222</v>
      </c>
      <c r="P1948" s="373">
        <v>15.5</v>
      </c>
      <c r="Q1948" s="673">
        <f>ABS(O1948-P1948)</f>
        <v>9.6906590789193778</v>
      </c>
      <c r="R1948" s="375" t="s">
        <v>188</v>
      </c>
      <c r="S1948" s="366"/>
      <c r="T1948" s="376"/>
      <c r="U1948" s="376"/>
      <c r="V1948" s="366"/>
      <c r="W1948" s="366"/>
    </row>
    <row r="1949" spans="1:23">
      <c r="A1949" s="1410"/>
      <c r="B1949" s="1413"/>
      <c r="C1949" s="845" t="s">
        <v>987</v>
      </c>
      <c r="D1949" s="875" t="str">
        <f>B1945&amp;C1949</f>
        <v>A56e</v>
      </c>
      <c r="E1949" s="367">
        <v>4</v>
      </c>
      <c r="F1949" s="669" t="s">
        <v>1008</v>
      </c>
      <c r="G1949" s="368">
        <v>5.486111111111111E-2</v>
      </c>
      <c r="H1949" s="368">
        <v>7.2916666666666671E-2</v>
      </c>
      <c r="I1949" s="368">
        <v>7.6388888888888895E-2</v>
      </c>
      <c r="J1949" s="368">
        <v>8.3333333333333329E-2</v>
      </c>
      <c r="K1949" s="370">
        <v>10</v>
      </c>
      <c r="L1949" s="370">
        <v>19</v>
      </c>
      <c r="M1949" s="371">
        <v>12.43</v>
      </c>
      <c r="N1949" s="671">
        <f>IF(M1949-P1949&gt;0,M1949-P1949,0)</f>
        <v>5.13</v>
      </c>
      <c r="O1949" s="671">
        <f>O1948-K1949/(PI()*(U1943/2000)^2)</f>
        <v>-3.0326003618024515</v>
      </c>
      <c r="P1949" s="373">
        <v>7.3</v>
      </c>
      <c r="Q1949" s="673">
        <f>ABS(O1949-P1949)</f>
        <v>10.332600361802452</v>
      </c>
      <c r="R1949" s="375"/>
      <c r="S1949" s="366"/>
      <c r="T1949" s="376"/>
      <c r="U1949" s="376"/>
      <c r="V1949" s="366"/>
      <c r="W1949" s="366"/>
    </row>
    <row r="1950" spans="1:23">
      <c r="A1950" s="1410"/>
      <c r="B1950" s="1413"/>
      <c r="C1950" s="845" t="s">
        <v>988</v>
      </c>
      <c r="D1950" s="875" t="str">
        <f>B1945&amp;C1950</f>
        <v>A56f</v>
      </c>
      <c r="E1950" s="367">
        <v>5</v>
      </c>
      <c r="F1950" s="669"/>
      <c r="G1950" s="368"/>
      <c r="H1950" s="368"/>
      <c r="I1950" s="368"/>
      <c r="J1950" s="368"/>
      <c r="K1950" s="370"/>
      <c r="L1950" s="370"/>
      <c r="M1950" s="371"/>
      <c r="N1950" s="671"/>
      <c r="O1950" s="671"/>
      <c r="P1950" s="373"/>
      <c r="Q1950" s="673"/>
      <c r="R1950" s="375"/>
      <c r="S1950" s="366" t="s">
        <v>190</v>
      </c>
      <c r="T1950" s="376"/>
      <c r="U1950" s="376"/>
      <c r="V1950" s="366"/>
      <c r="W1950" s="366"/>
    </row>
    <row r="1951" spans="1:23">
      <c r="A1951" s="1410"/>
      <c r="B1951" s="1413"/>
      <c r="C1951" s="845" t="s">
        <v>989</v>
      </c>
      <c r="D1951" s="875" t="str">
        <f>B1945&amp;C1951</f>
        <v>A56g</v>
      </c>
      <c r="E1951" s="367">
        <v>6</v>
      </c>
      <c r="F1951" s="669"/>
      <c r="G1951" s="368"/>
      <c r="H1951" s="368"/>
      <c r="I1951" s="368"/>
      <c r="J1951" s="368"/>
      <c r="K1951" s="370"/>
      <c r="L1951" s="370"/>
      <c r="M1951" s="371"/>
      <c r="N1951" s="671"/>
      <c r="O1951" s="671"/>
      <c r="P1951" s="373"/>
      <c r="Q1951" s="673"/>
      <c r="R1951" s="375"/>
      <c r="S1951" s="366" t="s">
        <v>190</v>
      </c>
      <c r="T1951" s="366"/>
      <c r="U1951" s="366"/>
      <c r="V1951" s="366"/>
      <c r="W1951" s="366"/>
    </row>
    <row r="1952" spans="1:23">
      <c r="A1952" s="1410"/>
      <c r="B1952" s="1413"/>
      <c r="C1952" s="845" t="s">
        <v>990</v>
      </c>
      <c r="D1952" s="875" t="str">
        <f>B1945&amp;C1952</f>
        <v>A56h</v>
      </c>
      <c r="E1952" s="367">
        <v>7</v>
      </c>
      <c r="F1952" s="669"/>
      <c r="G1952" s="368"/>
      <c r="H1952" s="368"/>
      <c r="I1952" s="368"/>
      <c r="J1952" s="368"/>
      <c r="K1952" s="370"/>
      <c r="L1952" s="370"/>
      <c r="M1952" s="371"/>
      <c r="N1952" s="671"/>
      <c r="O1952" s="671"/>
      <c r="P1952" s="373"/>
      <c r="Q1952" s="673"/>
      <c r="R1952" s="377"/>
      <c r="S1952" s="366" t="s">
        <v>190</v>
      </c>
      <c r="T1952" s="366"/>
      <c r="U1952" s="366"/>
      <c r="V1952" s="366"/>
      <c r="W1952" s="366"/>
    </row>
    <row r="1953" spans="1:23">
      <c r="A1953" s="1410"/>
      <c r="B1953" s="1413"/>
      <c r="C1953" s="845" t="s">
        <v>991</v>
      </c>
      <c r="D1953" s="875" t="str">
        <f>B1945&amp;C1953</f>
        <v>A56i</v>
      </c>
      <c r="E1953" s="367">
        <v>8</v>
      </c>
      <c r="F1953" s="669"/>
      <c r="G1953" s="368"/>
      <c r="H1953" s="368"/>
      <c r="I1953" s="368"/>
      <c r="J1953" s="368"/>
      <c r="K1953" s="370"/>
      <c r="L1953" s="370"/>
      <c r="M1953" s="371"/>
      <c r="N1953" s="671"/>
      <c r="O1953" s="671"/>
      <c r="P1953" s="373"/>
      <c r="Q1953" s="673"/>
      <c r="R1953" s="378"/>
      <c r="S1953" s="366"/>
      <c r="T1953" s="366"/>
      <c r="U1953" s="366"/>
      <c r="V1953" s="366"/>
      <c r="W1953" s="366"/>
    </row>
    <row r="1954" spans="1:23">
      <c r="A1954" s="1410"/>
      <c r="B1954" s="1413"/>
      <c r="C1954" s="845" t="s">
        <v>992</v>
      </c>
      <c r="D1954" s="875" t="str">
        <f>B1945&amp;C1954</f>
        <v>A56k</v>
      </c>
      <c r="E1954" s="367">
        <v>9</v>
      </c>
      <c r="F1954" s="370"/>
      <c r="G1954" s="368"/>
      <c r="H1954" s="368"/>
      <c r="I1954" s="368"/>
      <c r="J1954" s="368"/>
      <c r="K1954" s="370"/>
      <c r="L1954" s="370"/>
      <c r="M1954" s="371"/>
      <c r="N1954" s="372"/>
      <c r="O1954" s="372"/>
      <c r="P1954" s="373"/>
      <c r="Q1954" s="374"/>
      <c r="R1954" s="378"/>
      <c r="S1954" s="379"/>
      <c r="T1954" s="366"/>
      <c r="U1954" s="366"/>
      <c r="V1954" s="366"/>
      <c r="W1954" s="366"/>
    </row>
    <row r="1955" spans="1:23">
      <c r="A1955" s="1410"/>
      <c r="B1955" s="1413"/>
      <c r="C1955" s="845" t="s">
        <v>993</v>
      </c>
      <c r="D1955" s="875" t="str">
        <f>B1945&amp;C1955</f>
        <v>A56l</v>
      </c>
      <c r="E1955" s="367">
        <v>10</v>
      </c>
      <c r="F1955" s="370"/>
      <c r="G1955" s="368"/>
      <c r="H1955" s="368"/>
      <c r="I1955" s="368"/>
      <c r="J1955" s="368"/>
      <c r="K1955" s="370"/>
      <c r="L1955" s="370"/>
      <c r="M1955" s="370"/>
      <c r="N1955" s="372"/>
      <c r="O1955" s="372"/>
      <c r="P1955" s="373"/>
      <c r="Q1955" s="374"/>
      <c r="R1955" s="378"/>
      <c r="S1955" s="379"/>
      <c r="T1955" s="366"/>
      <c r="U1955" s="366"/>
      <c r="V1955" s="366"/>
      <c r="W1955" s="366"/>
    </row>
    <row r="1956" spans="1:23">
      <c r="A1956" s="1410"/>
      <c r="B1956" s="1413"/>
      <c r="C1956" s="845" t="s">
        <v>994</v>
      </c>
      <c r="D1956" s="875" t="str">
        <f>B1945&amp;C1956</f>
        <v>A56m</v>
      </c>
      <c r="E1956" s="367">
        <v>11</v>
      </c>
      <c r="F1956" s="370"/>
      <c r="G1956" s="368"/>
      <c r="H1956" s="368"/>
      <c r="I1956" s="368"/>
      <c r="J1956" s="368"/>
      <c r="K1956" s="370"/>
      <c r="L1956" s="370"/>
      <c r="M1956" s="370"/>
      <c r="N1956" s="372"/>
      <c r="O1956" s="372"/>
      <c r="P1956" s="380"/>
      <c r="Q1956" s="374"/>
      <c r="R1956" s="381"/>
      <c r="S1956" s="379"/>
      <c r="T1956" s="366"/>
      <c r="U1956" s="366"/>
      <c r="V1956" s="366"/>
      <c r="W1956" s="366"/>
    </row>
    <row r="1957" spans="1:23">
      <c r="A1957" s="1410"/>
      <c r="B1957" s="1413"/>
      <c r="C1957" s="845" t="s">
        <v>995</v>
      </c>
      <c r="D1957" s="875" t="str">
        <f>B1945&amp;C1957</f>
        <v>A56n</v>
      </c>
      <c r="E1957" s="367">
        <v>12</v>
      </c>
      <c r="F1957" s="370"/>
      <c r="G1957" s="368"/>
      <c r="H1957" s="368"/>
      <c r="I1957" s="368"/>
      <c r="J1957" s="368"/>
      <c r="K1957" s="370"/>
      <c r="L1957" s="370"/>
      <c r="M1957" s="370"/>
      <c r="N1957" s="372"/>
      <c r="O1957" s="372"/>
      <c r="P1957" s="380"/>
      <c r="Q1957" s="374"/>
      <c r="R1957" s="381"/>
      <c r="S1957" s="361"/>
      <c r="T1957" s="361"/>
      <c r="U1957" s="361"/>
      <c r="V1957" s="366"/>
      <c r="W1957" s="366"/>
    </row>
    <row r="1958" spans="1:23">
      <c r="A1958" s="1410"/>
      <c r="B1958" s="1413"/>
      <c r="C1958" s="845" t="s">
        <v>471</v>
      </c>
      <c r="D1958" s="875" t="str">
        <f>B1945&amp;C1958</f>
        <v>A56x</v>
      </c>
      <c r="E1958" s="367">
        <v>13</v>
      </c>
      <c r="F1958" s="370"/>
      <c r="G1958" s="368"/>
      <c r="H1958" s="368"/>
      <c r="I1958" s="368"/>
      <c r="J1958" s="368"/>
      <c r="K1958" s="370"/>
      <c r="L1958" s="370"/>
      <c r="M1958" s="370"/>
      <c r="N1958" s="382"/>
      <c r="O1958" s="372"/>
      <c r="P1958" s="380"/>
      <c r="Q1958" s="381"/>
      <c r="R1958" s="381"/>
      <c r="S1958" s="361"/>
      <c r="T1958" s="361"/>
      <c r="U1958" s="361"/>
      <c r="V1958" s="366"/>
      <c r="W1958" s="366"/>
    </row>
    <row r="1959" spans="1:23">
      <c r="A1959" s="1410"/>
      <c r="B1959" s="1413"/>
      <c r="C1959" s="845" t="s">
        <v>732</v>
      </c>
      <c r="D1959" s="875" t="str">
        <f>B1945&amp;C1959</f>
        <v>A56y</v>
      </c>
      <c r="E1959" s="367">
        <v>14</v>
      </c>
      <c r="F1959" s="370"/>
      <c r="G1959" s="368"/>
      <c r="H1959" s="368"/>
      <c r="I1959" s="368"/>
      <c r="J1959" s="368"/>
      <c r="K1959" s="370"/>
      <c r="L1959" s="370"/>
      <c r="M1959" s="370"/>
      <c r="N1959" s="382"/>
      <c r="O1959" s="372"/>
      <c r="P1959" s="380"/>
      <c r="Q1959" s="381"/>
      <c r="R1959" s="381"/>
      <c r="S1959" s="361"/>
      <c r="T1959" s="361"/>
      <c r="U1959" s="362"/>
      <c r="V1959" s="366"/>
      <c r="W1959" s="366"/>
    </row>
    <row r="1960" spans="1:23">
      <c r="A1960" s="1411"/>
      <c r="B1960" s="1414"/>
      <c r="C1960" s="846" t="s">
        <v>996</v>
      </c>
      <c r="D1960" s="876" t="str">
        <f>B1945&amp;C1960</f>
        <v>A56z</v>
      </c>
      <c r="E1960" s="847">
        <v>15</v>
      </c>
      <c r="F1960" s="370"/>
      <c r="G1960" s="368"/>
      <c r="H1960" s="368"/>
      <c r="I1960" s="368"/>
      <c r="J1960" s="368"/>
      <c r="K1960" s="370"/>
      <c r="L1960" s="370"/>
      <c r="M1960" s="370"/>
      <c r="N1960" s="850"/>
      <c r="O1960" s="851"/>
      <c r="P1960" s="380"/>
      <c r="Q1960" s="852"/>
      <c r="R1960" s="383"/>
      <c r="S1960" s="361"/>
      <c r="T1960" s="832"/>
      <c r="U1960" s="830"/>
      <c r="V1960" s="366"/>
      <c r="W1960" s="366"/>
    </row>
    <row r="1961" spans="1:23">
      <c r="A1961" s="1400" t="s">
        <v>939</v>
      </c>
      <c r="B1961" s="1400"/>
      <c r="C1961" s="827"/>
      <c r="D1961" s="871"/>
      <c r="E1961" s="1400" t="s">
        <v>177</v>
      </c>
      <c r="F1961" s="1400" t="s">
        <v>18</v>
      </c>
      <c r="G1961" s="1389" t="s">
        <v>19</v>
      </c>
      <c r="H1961" s="1390"/>
      <c r="I1961" s="1389" t="s">
        <v>22</v>
      </c>
      <c r="J1961" s="1390"/>
      <c r="K1961" s="1393" t="s">
        <v>26</v>
      </c>
      <c r="L1961" s="1390"/>
      <c r="M1961" s="1389" t="s">
        <v>392</v>
      </c>
      <c r="N1961" s="1390"/>
      <c r="O1961" s="1389" t="s">
        <v>28</v>
      </c>
      <c r="P1961" s="1393"/>
      <c r="Q1961" s="1390"/>
      <c r="R1961" s="1400" t="s">
        <v>36</v>
      </c>
      <c r="S1961" s="361"/>
      <c r="T1961" s="361">
        <f>MAX(J1965:J1979)-MIN(I1965:I1979)</f>
        <v>5.2083333333333343E-2</v>
      </c>
      <c r="U1961" s="361"/>
      <c r="V1961" s="853" t="str">
        <f t="shared" ref="V1961" si="206">B1965</f>
        <v>A58</v>
      </c>
      <c r="W1961" s="361">
        <f t="shared" ref="W1961" si="207">COUNTIF(K1966:K1980,"&gt;0")</f>
        <v>5</v>
      </c>
    </row>
    <row r="1962" spans="1:23">
      <c r="A1962" s="1401"/>
      <c r="B1962" s="1401"/>
      <c r="C1962" s="828"/>
      <c r="D1962" s="872"/>
      <c r="E1962" s="1401"/>
      <c r="F1962" s="1401"/>
      <c r="G1962" s="1391"/>
      <c r="H1962" s="1392"/>
      <c r="I1962" s="1391"/>
      <c r="J1962" s="1392"/>
      <c r="K1962" s="1394"/>
      <c r="L1962" s="1392"/>
      <c r="M1962" s="1391"/>
      <c r="N1962" s="1392"/>
      <c r="O1962" s="1391"/>
      <c r="P1962" s="1394"/>
      <c r="Q1962" s="1392"/>
      <c r="R1962" s="1401"/>
      <c r="S1962" s="361"/>
      <c r="T1962" s="361"/>
      <c r="U1962" s="361"/>
      <c r="V1962" s="361"/>
      <c r="W1962" s="361"/>
    </row>
    <row r="1963" spans="1:23">
      <c r="A1963" s="1401"/>
      <c r="B1963" s="1401"/>
      <c r="C1963" s="828"/>
      <c r="D1963" s="872"/>
      <c r="E1963" s="1401"/>
      <c r="F1963" s="1401"/>
      <c r="G1963" s="1400" t="s">
        <v>20</v>
      </c>
      <c r="H1963" s="1400" t="s">
        <v>21</v>
      </c>
      <c r="I1963" s="1400" t="s">
        <v>361</v>
      </c>
      <c r="J1963" s="1400" t="s">
        <v>353</v>
      </c>
      <c r="K1963" s="1400" t="s">
        <v>23</v>
      </c>
      <c r="L1963" s="1400" t="s">
        <v>24</v>
      </c>
      <c r="M1963" s="1400" t="s">
        <v>27</v>
      </c>
      <c r="N1963" s="1400" t="s">
        <v>178</v>
      </c>
      <c r="O1963" s="1400" t="s">
        <v>1</v>
      </c>
      <c r="P1963" s="1400" t="s">
        <v>29</v>
      </c>
      <c r="Q1963" s="1400" t="s">
        <v>33</v>
      </c>
      <c r="R1963" s="1401"/>
      <c r="S1963" s="361"/>
      <c r="T1963" s="361" t="s">
        <v>39</v>
      </c>
      <c r="U1963" s="362">
        <f>VLOOKUP(B1965,'Thong tin'!$A:$M,13,0)</f>
        <v>1200</v>
      </c>
      <c r="V1963" s="361"/>
      <c r="W1963" s="361"/>
    </row>
    <row r="1964" spans="1:23">
      <c r="A1964" s="1402"/>
      <c r="B1964" s="1402"/>
      <c r="C1964" s="829"/>
      <c r="D1964" s="873"/>
      <c r="E1964" s="1402"/>
      <c r="F1964" s="1402"/>
      <c r="G1964" s="1402"/>
      <c r="H1964" s="1402"/>
      <c r="I1964" s="1402"/>
      <c r="J1964" s="1402"/>
      <c r="K1964" s="1402"/>
      <c r="L1964" s="1402"/>
      <c r="M1964" s="1402"/>
      <c r="N1964" s="1402"/>
      <c r="O1964" s="1402"/>
      <c r="P1964" s="1402"/>
      <c r="Q1964" s="1402"/>
      <c r="R1964" s="1402"/>
      <c r="S1964" s="361"/>
      <c r="T1964" s="1399" t="s">
        <v>393</v>
      </c>
      <c r="U1964" s="1397">
        <f>VLOOKUP(B1965,DT.NK!$B:$AZ,45,0)</f>
        <v>27.34</v>
      </c>
      <c r="V1964" s="361"/>
      <c r="W1964" s="361"/>
    </row>
    <row r="1965" spans="1:23">
      <c r="A1965" s="1409">
        <f>A1945+1</f>
        <v>99</v>
      </c>
      <c r="B1965" s="1412" t="s">
        <v>549</v>
      </c>
      <c r="C1965" s="844" t="s">
        <v>983</v>
      </c>
      <c r="D1965" s="874" t="str">
        <f>B1965&amp;C1965</f>
        <v>A58a</v>
      </c>
      <c r="E1965" s="363"/>
      <c r="F1965" s="364"/>
      <c r="G1965" s="364"/>
      <c r="H1965" s="364"/>
      <c r="I1965" s="364"/>
      <c r="J1965" s="364"/>
      <c r="K1965" s="364"/>
      <c r="L1965" s="364"/>
      <c r="M1965" s="674"/>
      <c r="N1965" s="670"/>
      <c r="O1965" s="670">
        <f>U1964</f>
        <v>27.34</v>
      </c>
      <c r="P1965" s="670">
        <f>O1965</f>
        <v>27.34</v>
      </c>
      <c r="Q1965" s="670">
        <v>0</v>
      </c>
      <c r="R1965" s="365"/>
      <c r="S1965" s="366"/>
      <c r="T1965" s="1399"/>
      <c r="U1965" s="1398"/>
      <c r="V1965" s="361"/>
      <c r="W1965" s="361"/>
    </row>
    <row r="1966" spans="1:23">
      <c r="A1966" s="1410"/>
      <c r="B1966" s="1413"/>
      <c r="C1966" s="845" t="s">
        <v>984</v>
      </c>
      <c r="D1966" s="875" t="str">
        <f>B1965&amp;C1966</f>
        <v>A58b</v>
      </c>
      <c r="E1966" s="367">
        <v>1</v>
      </c>
      <c r="F1966" s="669" t="s">
        <v>1091</v>
      </c>
      <c r="G1966" s="369">
        <v>7.6388888888888895E-2</v>
      </c>
      <c r="H1966" s="368">
        <v>9.7222222222222224E-2</v>
      </c>
      <c r="I1966" s="368">
        <v>0.1076388888888889</v>
      </c>
      <c r="J1966" s="368">
        <v>0.1111111111111111</v>
      </c>
      <c r="K1966" s="669">
        <v>8</v>
      </c>
      <c r="L1966" s="669">
        <v>19</v>
      </c>
      <c r="M1966" s="675">
        <v>25.34</v>
      </c>
      <c r="N1966" s="671">
        <f>IF(M1966-P1966&gt;0,M1966-P1966,0)</f>
        <v>4.0399999999999991</v>
      </c>
      <c r="O1966" s="671">
        <f>O1965-K1966/(PI()*(U1963/2000)^2)</f>
        <v>20.26644697369354</v>
      </c>
      <c r="P1966" s="672">
        <v>21.3</v>
      </c>
      <c r="Q1966" s="673">
        <f>ABS(O1966-P1966)</f>
        <v>1.0335530263064605</v>
      </c>
      <c r="R1966" s="375" t="s">
        <v>188</v>
      </c>
      <c r="S1966" s="366"/>
      <c r="T1966" s="376"/>
      <c r="U1966" s="376"/>
      <c r="V1966" s="366"/>
      <c r="W1966" s="366"/>
    </row>
    <row r="1967" spans="1:23">
      <c r="A1967" s="1410"/>
      <c r="B1967" s="1413"/>
      <c r="C1967" s="845" t="s">
        <v>985</v>
      </c>
      <c r="D1967" s="875" t="str">
        <f>B1965&amp;C1967</f>
        <v>A58c</v>
      </c>
      <c r="E1967" s="367">
        <v>2</v>
      </c>
      <c r="F1967" s="669" t="s">
        <v>1089</v>
      </c>
      <c r="G1967" s="369">
        <v>8.1944444444444445E-2</v>
      </c>
      <c r="H1967" s="368">
        <v>0.10416666666666667</v>
      </c>
      <c r="I1967" s="368">
        <v>0.11805555555555557</v>
      </c>
      <c r="J1967" s="368">
        <v>0.12152777777777778</v>
      </c>
      <c r="K1967" s="669">
        <v>8</v>
      </c>
      <c r="L1967" s="669">
        <v>19</v>
      </c>
      <c r="M1967" s="675">
        <v>19.04</v>
      </c>
      <c r="N1967" s="671">
        <f>IF(M1967-P1967&gt;0,M1967-P1967,0)</f>
        <v>3.0399999999999991</v>
      </c>
      <c r="O1967" s="671">
        <f>O1966-K1967/(PI()*(U1963/2000)^2)</f>
        <v>13.192893947387081</v>
      </c>
      <c r="P1967" s="672">
        <v>16</v>
      </c>
      <c r="Q1967" s="673">
        <f>ABS(O1967-P1967)</f>
        <v>2.8071060526129195</v>
      </c>
      <c r="R1967" s="375" t="s">
        <v>188</v>
      </c>
      <c r="S1967" s="366"/>
      <c r="T1967" s="376"/>
      <c r="U1967" s="376"/>
      <c r="V1967" s="366"/>
      <c r="W1967" s="366"/>
    </row>
    <row r="1968" spans="1:23">
      <c r="A1968" s="1410"/>
      <c r="B1968" s="1413"/>
      <c r="C1968" s="845" t="s">
        <v>986</v>
      </c>
      <c r="D1968" s="875" t="str">
        <f>B1965&amp;C1968</f>
        <v>A58d</v>
      </c>
      <c r="E1968" s="367">
        <v>3</v>
      </c>
      <c r="F1968" s="669" t="s">
        <v>1008</v>
      </c>
      <c r="G1968" s="368">
        <v>9.0972222222222218E-2</v>
      </c>
      <c r="H1968" s="368">
        <v>0.11319444444444444</v>
      </c>
      <c r="I1968" s="368">
        <v>0.12847222222222224</v>
      </c>
      <c r="J1968" s="368">
        <v>0.13194444444444445</v>
      </c>
      <c r="K1968" s="370">
        <v>8</v>
      </c>
      <c r="L1968" s="370">
        <v>19</v>
      </c>
      <c r="M1968" s="371">
        <v>15.89</v>
      </c>
      <c r="N1968" s="671">
        <f>IF(M1968-P1968&gt;0,M1968-P1968,0)</f>
        <v>3.59</v>
      </c>
      <c r="O1968" s="671">
        <f>O1967-K1968/(PI()*(U1963/2000)^2)</f>
        <v>6.1193409210806209</v>
      </c>
      <c r="P1968" s="373">
        <v>12.3</v>
      </c>
      <c r="Q1968" s="673">
        <f>ABS(O1968-P1968)</f>
        <v>6.1806590789193798</v>
      </c>
      <c r="R1968" s="375" t="s">
        <v>188</v>
      </c>
      <c r="S1968" s="366"/>
      <c r="T1968" s="376"/>
      <c r="U1968" s="376"/>
      <c r="V1968" s="366"/>
      <c r="W1968" s="366"/>
    </row>
    <row r="1969" spans="1:23">
      <c r="A1969" s="1410"/>
      <c r="B1969" s="1413"/>
      <c r="C1969" s="845" t="s">
        <v>987</v>
      </c>
      <c r="D1969" s="875" t="str">
        <f>B1965&amp;C1969</f>
        <v>A58e</v>
      </c>
      <c r="E1969" s="367">
        <v>4</v>
      </c>
      <c r="F1969" s="669" t="s">
        <v>1096</v>
      </c>
      <c r="G1969" s="368">
        <v>0.12222222222222223</v>
      </c>
      <c r="H1969" s="368">
        <v>0.1388888888888889</v>
      </c>
      <c r="I1969" s="368">
        <v>0.14583333333333334</v>
      </c>
      <c r="J1969" s="368">
        <v>0.14930555555555555</v>
      </c>
      <c r="K1969" s="370">
        <v>3</v>
      </c>
      <c r="L1969" s="370">
        <v>19.5</v>
      </c>
      <c r="M1969" s="371">
        <v>15.89</v>
      </c>
      <c r="N1969" s="671">
        <f>IF(M1969-P1969&gt;0,M1969-P1969,0)</f>
        <v>6.6900000000000013</v>
      </c>
      <c r="O1969" s="671">
        <f>O1968-K1969/(PI()*(U1963/2000)^2)</f>
        <v>3.4667585362156985</v>
      </c>
      <c r="P1969" s="373">
        <v>9.1999999999999993</v>
      </c>
      <c r="Q1969" s="673">
        <f>ABS(O1969-P1969)</f>
        <v>5.7332414637843012</v>
      </c>
      <c r="R1969" s="375"/>
      <c r="S1969" s="366"/>
      <c r="T1969" s="376"/>
      <c r="U1969" s="376"/>
      <c r="V1969" s="366"/>
      <c r="W1969" s="366"/>
    </row>
    <row r="1970" spans="1:23">
      <c r="A1970" s="1410"/>
      <c r="B1970" s="1413"/>
      <c r="C1970" s="845" t="s">
        <v>988</v>
      </c>
      <c r="D1970" s="875" t="str">
        <f>B1965&amp;C1970</f>
        <v>A58f</v>
      </c>
      <c r="E1970" s="367">
        <v>5</v>
      </c>
      <c r="F1970" s="669" t="s">
        <v>1091</v>
      </c>
      <c r="G1970" s="368">
        <v>0.13472222222222222</v>
      </c>
      <c r="H1970" s="368">
        <v>0.14583333333333334</v>
      </c>
      <c r="I1970" s="368">
        <v>0.15277777777777776</v>
      </c>
      <c r="J1970" s="368">
        <v>0.15972222222222224</v>
      </c>
      <c r="K1970" s="370">
        <v>3</v>
      </c>
      <c r="L1970" s="370">
        <v>19</v>
      </c>
      <c r="M1970" s="371">
        <v>15.89</v>
      </c>
      <c r="N1970" s="671">
        <f>IF(M1970-P1970&gt;0,M1970-P1970,0)</f>
        <v>8.59</v>
      </c>
      <c r="O1970" s="671">
        <f>O1969-K1970/(PI()*(U1963/2000)^2)</f>
        <v>0.81417615135077614</v>
      </c>
      <c r="P1970" s="373">
        <v>7.3</v>
      </c>
      <c r="Q1970" s="673">
        <f>ABS(O1970-P1970)</f>
        <v>6.4858238486492237</v>
      </c>
      <c r="R1970" s="375"/>
      <c r="S1970" s="366" t="s">
        <v>190</v>
      </c>
      <c r="T1970" s="376"/>
      <c r="U1970" s="376"/>
      <c r="V1970" s="366"/>
      <c r="W1970" s="366"/>
    </row>
    <row r="1971" spans="1:23">
      <c r="A1971" s="1410"/>
      <c r="B1971" s="1413"/>
      <c r="C1971" s="845" t="s">
        <v>989</v>
      </c>
      <c r="D1971" s="875" t="str">
        <f>B1965&amp;C1971</f>
        <v>A58g</v>
      </c>
      <c r="E1971" s="367">
        <v>6</v>
      </c>
      <c r="F1971" s="669"/>
      <c r="G1971" s="368"/>
      <c r="H1971" s="368"/>
      <c r="I1971" s="368"/>
      <c r="J1971" s="368"/>
      <c r="K1971" s="370"/>
      <c r="L1971" s="370"/>
      <c r="M1971" s="371"/>
      <c r="N1971" s="671"/>
      <c r="O1971" s="671"/>
      <c r="P1971" s="373"/>
      <c r="Q1971" s="673"/>
      <c r="R1971" s="375"/>
      <c r="S1971" s="366" t="s">
        <v>190</v>
      </c>
      <c r="T1971" s="366"/>
      <c r="U1971" s="366"/>
      <c r="V1971" s="366"/>
      <c r="W1971" s="366"/>
    </row>
    <row r="1972" spans="1:23">
      <c r="A1972" s="1410"/>
      <c r="B1972" s="1413"/>
      <c r="C1972" s="845" t="s">
        <v>990</v>
      </c>
      <c r="D1972" s="875" t="str">
        <f>B1965&amp;C1972</f>
        <v>A58h</v>
      </c>
      <c r="E1972" s="367">
        <v>7</v>
      </c>
      <c r="F1972" s="669"/>
      <c r="G1972" s="368"/>
      <c r="H1972" s="368"/>
      <c r="I1972" s="368"/>
      <c r="J1972" s="368"/>
      <c r="K1972" s="370"/>
      <c r="L1972" s="370"/>
      <c r="M1972" s="371"/>
      <c r="N1972" s="671"/>
      <c r="O1972" s="671"/>
      <c r="P1972" s="373"/>
      <c r="Q1972" s="673"/>
      <c r="R1972" s="377"/>
      <c r="S1972" s="366" t="s">
        <v>190</v>
      </c>
      <c r="T1972" s="366"/>
      <c r="U1972" s="366"/>
      <c r="V1972" s="366"/>
      <c r="W1972" s="366"/>
    </row>
    <row r="1973" spans="1:23">
      <c r="A1973" s="1410"/>
      <c r="B1973" s="1413"/>
      <c r="C1973" s="845" t="s">
        <v>991</v>
      </c>
      <c r="D1973" s="875" t="str">
        <f>B1965&amp;C1973</f>
        <v>A58i</v>
      </c>
      <c r="E1973" s="367">
        <v>8</v>
      </c>
      <c r="F1973" s="669"/>
      <c r="G1973" s="368"/>
      <c r="H1973" s="368"/>
      <c r="I1973" s="368"/>
      <c r="J1973" s="368"/>
      <c r="K1973" s="370"/>
      <c r="L1973" s="370"/>
      <c r="M1973" s="371"/>
      <c r="N1973" s="671"/>
      <c r="O1973" s="671"/>
      <c r="P1973" s="373"/>
      <c r="Q1973" s="673"/>
      <c r="R1973" s="378"/>
      <c r="S1973" s="366"/>
      <c r="T1973" s="366"/>
      <c r="U1973" s="366"/>
      <c r="V1973" s="366"/>
      <c r="W1973" s="366"/>
    </row>
    <row r="1974" spans="1:23">
      <c r="A1974" s="1410"/>
      <c r="B1974" s="1413"/>
      <c r="C1974" s="845" t="s">
        <v>992</v>
      </c>
      <c r="D1974" s="875" t="str">
        <f>B1965&amp;C1974</f>
        <v>A58k</v>
      </c>
      <c r="E1974" s="367">
        <v>9</v>
      </c>
      <c r="F1974" s="370"/>
      <c r="G1974" s="368"/>
      <c r="H1974" s="368"/>
      <c r="I1974" s="368"/>
      <c r="J1974" s="368"/>
      <c r="K1974" s="370"/>
      <c r="L1974" s="370"/>
      <c r="M1974" s="371"/>
      <c r="N1974" s="372"/>
      <c r="O1974" s="372"/>
      <c r="P1974" s="373"/>
      <c r="Q1974" s="374"/>
      <c r="R1974" s="378"/>
      <c r="S1974" s="379"/>
      <c r="T1974" s="366"/>
      <c r="U1974" s="366"/>
      <c r="V1974" s="366"/>
      <c r="W1974" s="366"/>
    </row>
    <row r="1975" spans="1:23">
      <c r="A1975" s="1410"/>
      <c r="B1975" s="1413"/>
      <c r="C1975" s="845" t="s">
        <v>993</v>
      </c>
      <c r="D1975" s="875" t="str">
        <f>B1965&amp;C1975</f>
        <v>A58l</v>
      </c>
      <c r="E1975" s="367">
        <v>10</v>
      </c>
      <c r="F1975" s="370"/>
      <c r="G1975" s="368"/>
      <c r="H1975" s="368"/>
      <c r="I1975" s="368"/>
      <c r="J1975" s="368"/>
      <c r="K1975" s="370"/>
      <c r="L1975" s="370"/>
      <c r="M1975" s="370"/>
      <c r="N1975" s="372"/>
      <c r="O1975" s="372"/>
      <c r="P1975" s="373"/>
      <c r="Q1975" s="374"/>
      <c r="R1975" s="378"/>
      <c r="S1975" s="379"/>
      <c r="T1975" s="366"/>
      <c r="U1975" s="366"/>
      <c r="V1975" s="366"/>
      <c r="W1975" s="366"/>
    </row>
    <row r="1976" spans="1:23">
      <c r="A1976" s="1410"/>
      <c r="B1976" s="1413"/>
      <c r="C1976" s="845" t="s">
        <v>994</v>
      </c>
      <c r="D1976" s="875" t="str">
        <f>B1965&amp;C1976</f>
        <v>A58m</v>
      </c>
      <c r="E1976" s="367">
        <v>11</v>
      </c>
      <c r="F1976" s="370"/>
      <c r="G1976" s="368"/>
      <c r="H1976" s="368"/>
      <c r="I1976" s="368"/>
      <c r="J1976" s="368"/>
      <c r="K1976" s="370"/>
      <c r="L1976" s="370"/>
      <c r="M1976" s="370"/>
      <c r="N1976" s="372"/>
      <c r="O1976" s="372"/>
      <c r="P1976" s="380"/>
      <c r="Q1976" s="374"/>
      <c r="R1976" s="381"/>
      <c r="S1976" s="379"/>
      <c r="T1976" s="366"/>
      <c r="U1976" s="366"/>
      <c r="V1976" s="366"/>
      <c r="W1976" s="366"/>
    </row>
    <row r="1977" spans="1:23">
      <c r="A1977" s="1410"/>
      <c r="B1977" s="1413"/>
      <c r="C1977" s="845" t="s">
        <v>995</v>
      </c>
      <c r="D1977" s="875" t="str">
        <f>B1965&amp;C1977</f>
        <v>A58n</v>
      </c>
      <c r="E1977" s="367">
        <v>12</v>
      </c>
      <c r="F1977" s="370"/>
      <c r="G1977" s="368"/>
      <c r="H1977" s="368"/>
      <c r="I1977" s="368"/>
      <c r="J1977" s="368"/>
      <c r="K1977" s="370"/>
      <c r="L1977" s="370"/>
      <c r="M1977" s="370"/>
      <c r="N1977" s="372"/>
      <c r="O1977" s="372"/>
      <c r="P1977" s="380"/>
      <c r="Q1977" s="374"/>
      <c r="R1977" s="381"/>
      <c r="S1977" s="361"/>
      <c r="T1977" s="361"/>
      <c r="U1977" s="361"/>
      <c r="V1977" s="366"/>
      <c r="W1977" s="366"/>
    </row>
    <row r="1978" spans="1:23">
      <c r="A1978" s="1410"/>
      <c r="B1978" s="1413"/>
      <c r="C1978" s="845" t="s">
        <v>471</v>
      </c>
      <c r="D1978" s="875" t="str">
        <f>B1965&amp;C1978</f>
        <v>A58x</v>
      </c>
      <c r="E1978" s="367">
        <v>13</v>
      </c>
      <c r="F1978" s="370"/>
      <c r="G1978" s="368"/>
      <c r="H1978" s="368"/>
      <c r="I1978" s="368"/>
      <c r="J1978" s="368"/>
      <c r="K1978" s="370"/>
      <c r="L1978" s="370"/>
      <c r="M1978" s="370"/>
      <c r="N1978" s="382"/>
      <c r="O1978" s="372"/>
      <c r="P1978" s="380"/>
      <c r="Q1978" s="381"/>
      <c r="R1978" s="381"/>
      <c r="S1978" s="361"/>
      <c r="T1978" s="361"/>
      <c r="U1978" s="361"/>
      <c r="V1978" s="366"/>
      <c r="W1978" s="366"/>
    </row>
    <row r="1979" spans="1:23">
      <c r="A1979" s="1410"/>
      <c r="B1979" s="1413"/>
      <c r="C1979" s="845" t="s">
        <v>732</v>
      </c>
      <c r="D1979" s="875" t="str">
        <f>B1965&amp;C1979</f>
        <v>A58y</v>
      </c>
      <c r="E1979" s="367">
        <v>14</v>
      </c>
      <c r="F1979" s="370"/>
      <c r="G1979" s="368"/>
      <c r="H1979" s="368"/>
      <c r="I1979" s="368"/>
      <c r="J1979" s="368"/>
      <c r="K1979" s="370"/>
      <c r="L1979" s="370"/>
      <c r="M1979" s="370"/>
      <c r="N1979" s="382"/>
      <c r="O1979" s="372"/>
      <c r="P1979" s="380"/>
      <c r="Q1979" s="381"/>
      <c r="R1979" s="381"/>
      <c r="S1979" s="361"/>
      <c r="T1979" s="361"/>
      <c r="U1979" s="362"/>
      <c r="V1979" s="366"/>
      <c r="W1979" s="366"/>
    </row>
    <row r="1980" spans="1:23">
      <c r="A1980" s="1411"/>
      <c r="B1980" s="1414"/>
      <c r="C1980" s="846" t="s">
        <v>996</v>
      </c>
      <c r="D1980" s="876" t="str">
        <f>B1965&amp;C1980</f>
        <v>A58z</v>
      </c>
      <c r="E1980" s="847">
        <v>15</v>
      </c>
      <c r="F1980" s="370"/>
      <c r="G1980" s="368"/>
      <c r="H1980" s="368"/>
      <c r="I1980" s="368"/>
      <c r="J1980" s="368"/>
      <c r="K1980" s="370"/>
      <c r="L1980" s="370"/>
      <c r="M1980" s="370"/>
      <c r="N1980" s="850"/>
      <c r="O1980" s="851"/>
      <c r="P1980" s="380"/>
      <c r="Q1980" s="852"/>
      <c r="R1980" s="383"/>
      <c r="S1980" s="361"/>
      <c r="T1980" s="832"/>
      <c r="U1980" s="830"/>
      <c r="V1980" s="366"/>
      <c r="W1980" s="366"/>
    </row>
    <row r="1981" spans="1:23">
      <c r="A1981" s="1400" t="s">
        <v>939</v>
      </c>
      <c r="B1981" s="1400"/>
      <c r="C1981" s="827"/>
      <c r="D1981" s="871"/>
      <c r="E1981" s="1400" t="s">
        <v>177</v>
      </c>
      <c r="F1981" s="1400" t="s">
        <v>18</v>
      </c>
      <c r="G1981" s="1389" t="s">
        <v>19</v>
      </c>
      <c r="H1981" s="1390"/>
      <c r="I1981" s="1389" t="s">
        <v>22</v>
      </c>
      <c r="J1981" s="1390"/>
      <c r="K1981" s="1393" t="s">
        <v>26</v>
      </c>
      <c r="L1981" s="1390"/>
      <c r="M1981" s="1389" t="s">
        <v>392</v>
      </c>
      <c r="N1981" s="1390"/>
      <c r="O1981" s="1389" t="s">
        <v>28</v>
      </c>
      <c r="P1981" s="1393"/>
      <c r="Q1981" s="1390"/>
      <c r="R1981" s="1400" t="s">
        <v>36</v>
      </c>
      <c r="S1981" s="361"/>
      <c r="T1981" s="361">
        <f>MAX(J1985:J1999)-MIN(I1985:I1999)</f>
        <v>3.819444444444442E-2</v>
      </c>
      <c r="U1981" s="361"/>
      <c r="V1981" s="853" t="str">
        <f t="shared" ref="V1981" si="208">B1985</f>
        <v>A138</v>
      </c>
      <c r="W1981" s="361">
        <f t="shared" ref="W1981" si="209">COUNTIF(K1986:K2000,"&gt;0")</f>
        <v>4</v>
      </c>
    </row>
    <row r="1982" spans="1:23">
      <c r="A1982" s="1401"/>
      <c r="B1982" s="1401"/>
      <c r="C1982" s="828"/>
      <c r="D1982" s="872"/>
      <c r="E1982" s="1401"/>
      <c r="F1982" s="1401"/>
      <c r="G1982" s="1391"/>
      <c r="H1982" s="1392"/>
      <c r="I1982" s="1391"/>
      <c r="J1982" s="1392"/>
      <c r="K1982" s="1394"/>
      <c r="L1982" s="1392"/>
      <c r="M1982" s="1391"/>
      <c r="N1982" s="1392"/>
      <c r="O1982" s="1391"/>
      <c r="P1982" s="1394"/>
      <c r="Q1982" s="1392"/>
      <c r="R1982" s="1401"/>
      <c r="S1982" s="361"/>
      <c r="T1982" s="361"/>
      <c r="U1982" s="361"/>
      <c r="V1982" s="361"/>
      <c r="W1982" s="361"/>
    </row>
    <row r="1983" spans="1:23">
      <c r="A1983" s="1401"/>
      <c r="B1983" s="1401"/>
      <c r="C1983" s="828"/>
      <c r="D1983" s="872"/>
      <c r="E1983" s="1401"/>
      <c r="F1983" s="1401"/>
      <c r="G1983" s="1400" t="s">
        <v>20</v>
      </c>
      <c r="H1983" s="1400" t="s">
        <v>21</v>
      </c>
      <c r="I1983" s="1400" t="s">
        <v>361</v>
      </c>
      <c r="J1983" s="1400" t="s">
        <v>353</v>
      </c>
      <c r="K1983" s="1400" t="s">
        <v>23</v>
      </c>
      <c r="L1983" s="1400" t="s">
        <v>24</v>
      </c>
      <c r="M1983" s="1400" t="s">
        <v>27</v>
      </c>
      <c r="N1983" s="1400" t="s">
        <v>178</v>
      </c>
      <c r="O1983" s="1400" t="s">
        <v>1</v>
      </c>
      <c r="P1983" s="1400" t="s">
        <v>29</v>
      </c>
      <c r="Q1983" s="1400" t="s">
        <v>33</v>
      </c>
      <c r="R1983" s="1401"/>
      <c r="S1983" s="361"/>
      <c r="T1983" s="361" t="s">
        <v>39</v>
      </c>
      <c r="U1983" s="362">
        <f>VLOOKUP(B1985,'Thong tin'!$A:$M,13,0)</f>
        <v>1200</v>
      </c>
      <c r="V1983" s="361"/>
      <c r="W1983" s="361"/>
    </row>
    <row r="1984" spans="1:23">
      <c r="A1984" s="1402"/>
      <c r="B1984" s="1402"/>
      <c r="C1984" s="829"/>
      <c r="D1984" s="873"/>
      <c r="E1984" s="1402"/>
      <c r="F1984" s="1402"/>
      <c r="G1984" s="1402"/>
      <c r="H1984" s="1402"/>
      <c r="I1984" s="1402"/>
      <c r="J1984" s="1402"/>
      <c r="K1984" s="1402"/>
      <c r="L1984" s="1402"/>
      <c r="M1984" s="1402"/>
      <c r="N1984" s="1402"/>
      <c r="O1984" s="1402"/>
      <c r="P1984" s="1402"/>
      <c r="Q1984" s="1402"/>
      <c r="R1984" s="1402"/>
      <c r="S1984" s="361"/>
      <c r="T1984" s="1399" t="s">
        <v>393</v>
      </c>
      <c r="U1984" s="1397">
        <f>VLOOKUP(B1985,DT.NK!$B:$AZ,45,0)</f>
        <v>29.2</v>
      </c>
      <c r="V1984" s="361"/>
      <c r="W1984" s="361"/>
    </row>
    <row r="1985" spans="1:23">
      <c r="A1985" s="1409">
        <f>A1965+1</f>
        <v>100</v>
      </c>
      <c r="B1985" s="1412" t="s">
        <v>502</v>
      </c>
      <c r="C1985" s="844" t="s">
        <v>983</v>
      </c>
      <c r="D1985" s="874" t="str">
        <f>B1985&amp;C1985</f>
        <v>A138a</v>
      </c>
      <c r="E1985" s="363"/>
      <c r="F1985" s="364"/>
      <c r="G1985" s="364"/>
      <c r="H1985" s="364"/>
      <c r="I1985" s="364"/>
      <c r="J1985" s="364"/>
      <c r="K1985" s="364"/>
      <c r="L1985" s="364"/>
      <c r="M1985" s="674"/>
      <c r="N1985" s="670"/>
      <c r="O1985" s="670">
        <f>U1984</f>
        <v>29.2</v>
      </c>
      <c r="P1985" s="670">
        <f>O1985</f>
        <v>29.2</v>
      </c>
      <c r="Q1985" s="670">
        <v>0</v>
      </c>
      <c r="R1985" s="365"/>
      <c r="S1985" s="366"/>
      <c r="T1985" s="1399"/>
      <c r="U1985" s="1398"/>
      <c r="V1985" s="361"/>
      <c r="W1985" s="361"/>
    </row>
    <row r="1986" spans="1:23">
      <c r="A1986" s="1410"/>
      <c r="B1986" s="1413"/>
      <c r="C1986" s="845" t="s">
        <v>984</v>
      </c>
      <c r="D1986" s="875" t="str">
        <f>B1985&amp;C1986</f>
        <v>A138b</v>
      </c>
      <c r="E1986" s="367">
        <v>1</v>
      </c>
      <c r="F1986" s="669" t="s">
        <v>1085</v>
      </c>
      <c r="G1986" s="369">
        <v>0.40069444444444446</v>
      </c>
      <c r="H1986" s="368">
        <v>0.43055555555555558</v>
      </c>
      <c r="I1986" s="368">
        <v>0.44097222222222227</v>
      </c>
      <c r="J1986" s="368">
        <v>0.44791666666666669</v>
      </c>
      <c r="K1986" s="669">
        <v>9</v>
      </c>
      <c r="L1986" s="669">
        <v>19</v>
      </c>
      <c r="M1986" s="675">
        <v>29.2</v>
      </c>
      <c r="N1986" s="671">
        <f>IF(M1986-P1986&gt;0,M1986-P1986,0)</f>
        <v>3.5999999999999979</v>
      </c>
      <c r="O1986" s="671">
        <f>O1985-K1986/(PI()*(U1983/2000)^2)</f>
        <v>21.242252845405233</v>
      </c>
      <c r="P1986" s="672">
        <v>25.6</v>
      </c>
      <c r="Q1986" s="673">
        <f>ABS(O1986-P1986)</f>
        <v>4.3577471545947688</v>
      </c>
      <c r="R1986" s="375" t="s">
        <v>188</v>
      </c>
      <c r="S1986" s="366"/>
      <c r="T1986" s="376"/>
      <c r="U1986" s="376"/>
      <c r="V1986" s="366"/>
      <c r="W1986" s="366"/>
    </row>
    <row r="1987" spans="1:23">
      <c r="A1987" s="1410"/>
      <c r="B1987" s="1413"/>
      <c r="C1987" s="845" t="s">
        <v>985</v>
      </c>
      <c r="D1987" s="875" t="str">
        <f>B1985&amp;C1987</f>
        <v>A138c</v>
      </c>
      <c r="E1987" s="367">
        <v>2</v>
      </c>
      <c r="F1987" s="669" t="s">
        <v>1096</v>
      </c>
      <c r="G1987" s="369">
        <v>0.40625</v>
      </c>
      <c r="H1987" s="368">
        <v>0.4375</v>
      </c>
      <c r="I1987" s="368">
        <v>0.4513888888888889</v>
      </c>
      <c r="J1987" s="368">
        <v>0.45833333333333331</v>
      </c>
      <c r="K1987" s="669">
        <v>9</v>
      </c>
      <c r="L1987" s="669">
        <v>19</v>
      </c>
      <c r="M1987" s="675">
        <v>22.9</v>
      </c>
      <c r="N1987" s="671">
        <f>IF(M1987-P1987&gt;0,M1987-P1987,0)</f>
        <v>3.8999999999999986</v>
      </c>
      <c r="O1987" s="671">
        <f>O1986-K1987/(PI()*(U1983/2000)^2)</f>
        <v>13.284505690810466</v>
      </c>
      <c r="P1987" s="672">
        <v>19</v>
      </c>
      <c r="Q1987" s="673">
        <f>ABS(O1987-P1987)</f>
        <v>5.7154943091895341</v>
      </c>
      <c r="R1987" s="375" t="s">
        <v>188</v>
      </c>
      <c r="S1987" s="366"/>
      <c r="T1987" s="376"/>
      <c r="U1987" s="376"/>
      <c r="V1987" s="366"/>
      <c r="W1987" s="366"/>
    </row>
    <row r="1988" spans="1:23">
      <c r="A1988" s="1410"/>
      <c r="B1988" s="1413"/>
      <c r="C1988" s="845" t="s">
        <v>986</v>
      </c>
      <c r="D1988" s="875" t="str">
        <f>B1985&amp;C1988</f>
        <v>A138d</v>
      </c>
      <c r="E1988" s="367">
        <v>3</v>
      </c>
      <c r="F1988" s="669" t="s">
        <v>1008</v>
      </c>
      <c r="G1988" s="368">
        <v>0.40972222222222227</v>
      </c>
      <c r="H1988" s="368">
        <v>0.4513888888888889</v>
      </c>
      <c r="I1988" s="368">
        <v>0.47222222222222227</v>
      </c>
      <c r="J1988" s="368">
        <v>0.47916666666666669</v>
      </c>
      <c r="K1988" s="370">
        <v>9</v>
      </c>
      <c r="L1988" s="370">
        <v>19</v>
      </c>
      <c r="M1988" s="371">
        <v>16.600000000000001</v>
      </c>
      <c r="N1988" s="671">
        <f>IF(M1988-P1988&gt;0,M1988-P1988,0)</f>
        <v>5.4000000000000021</v>
      </c>
      <c r="O1988" s="671">
        <f>O1987-K1988/(PI()*(U1983/2000)^2)</f>
        <v>5.3267585362156993</v>
      </c>
      <c r="P1988" s="373">
        <v>11.2</v>
      </c>
      <c r="Q1988" s="673">
        <f>ABS(O1988-P1988)</f>
        <v>5.8732414637843</v>
      </c>
      <c r="R1988" s="375" t="s">
        <v>188</v>
      </c>
      <c r="S1988" s="366"/>
      <c r="T1988" s="376"/>
      <c r="U1988" s="376"/>
      <c r="V1988" s="366"/>
      <c r="W1988" s="366"/>
    </row>
    <row r="1989" spans="1:23">
      <c r="A1989" s="1410"/>
      <c r="B1989" s="1413"/>
      <c r="C1989" s="845" t="s">
        <v>987</v>
      </c>
      <c r="D1989" s="875" t="str">
        <f>B1985&amp;C1989</f>
        <v>A138e</v>
      </c>
      <c r="E1989" s="367">
        <v>4</v>
      </c>
      <c r="F1989" s="669" t="s">
        <v>1008</v>
      </c>
      <c r="G1989" s="368">
        <v>0.43055555555555558</v>
      </c>
      <c r="H1989" s="368">
        <v>0.47222222222222227</v>
      </c>
      <c r="I1989" s="368">
        <v>0.4861111111111111</v>
      </c>
      <c r="J1989" s="368">
        <v>0.14930555555555555</v>
      </c>
      <c r="K1989" s="370">
        <v>5</v>
      </c>
      <c r="L1989" s="370">
        <v>19</v>
      </c>
      <c r="M1989" s="371">
        <v>10.3</v>
      </c>
      <c r="N1989" s="671">
        <f>IF(M1989-P1989&gt;0,M1989-P1989,0)</f>
        <v>3.3000000000000007</v>
      </c>
      <c r="O1989" s="671">
        <f>O1988-K1989/(PI()*(U1983/2000)^2)</f>
        <v>0.90578789477416244</v>
      </c>
      <c r="P1989" s="373">
        <v>7</v>
      </c>
      <c r="Q1989" s="673">
        <f>ABS(O1989-P1989)</f>
        <v>6.0942121052258376</v>
      </c>
      <c r="R1989" s="375"/>
      <c r="S1989" s="366"/>
      <c r="T1989" s="376"/>
      <c r="U1989" s="376"/>
      <c r="V1989" s="366"/>
      <c r="W1989" s="366"/>
    </row>
    <row r="1990" spans="1:23">
      <c r="A1990" s="1410"/>
      <c r="B1990" s="1413"/>
      <c r="C1990" s="845" t="s">
        <v>988</v>
      </c>
      <c r="D1990" s="875" t="str">
        <f>B1985&amp;C1990</f>
        <v>A138f</v>
      </c>
      <c r="E1990" s="367">
        <v>5</v>
      </c>
      <c r="F1990" s="669"/>
      <c r="G1990" s="368"/>
      <c r="H1990" s="368"/>
      <c r="I1990" s="368"/>
      <c r="J1990" s="368"/>
      <c r="K1990" s="370"/>
      <c r="L1990" s="370"/>
      <c r="M1990" s="371"/>
      <c r="N1990" s="671"/>
      <c r="O1990" s="671"/>
      <c r="P1990" s="373"/>
      <c r="Q1990" s="673"/>
      <c r="R1990" s="375"/>
      <c r="S1990" s="366" t="s">
        <v>190</v>
      </c>
      <c r="T1990" s="376"/>
      <c r="U1990" s="376"/>
      <c r="V1990" s="366"/>
      <c r="W1990" s="366"/>
    </row>
    <row r="1991" spans="1:23">
      <c r="A1991" s="1410"/>
      <c r="B1991" s="1413"/>
      <c r="C1991" s="845" t="s">
        <v>989</v>
      </c>
      <c r="D1991" s="875" t="str">
        <f>B1985&amp;C1991</f>
        <v>A138g</v>
      </c>
      <c r="E1991" s="367">
        <v>6</v>
      </c>
      <c r="F1991" s="669"/>
      <c r="G1991" s="368"/>
      <c r="H1991" s="368"/>
      <c r="I1991" s="368"/>
      <c r="J1991" s="368"/>
      <c r="K1991" s="370"/>
      <c r="L1991" s="370"/>
      <c r="M1991" s="371"/>
      <c r="N1991" s="671"/>
      <c r="O1991" s="671"/>
      <c r="P1991" s="373"/>
      <c r="Q1991" s="673"/>
      <c r="R1991" s="375"/>
      <c r="S1991" s="366" t="s">
        <v>190</v>
      </c>
      <c r="T1991" s="366"/>
      <c r="U1991" s="366"/>
      <c r="V1991" s="366"/>
      <c r="W1991" s="366"/>
    </row>
    <row r="1992" spans="1:23">
      <c r="A1992" s="1410"/>
      <c r="B1992" s="1413"/>
      <c r="C1992" s="845" t="s">
        <v>990</v>
      </c>
      <c r="D1992" s="875" t="str">
        <f>B1985&amp;C1992</f>
        <v>A138h</v>
      </c>
      <c r="E1992" s="367">
        <v>7</v>
      </c>
      <c r="F1992" s="669"/>
      <c r="G1992" s="368"/>
      <c r="H1992" s="368"/>
      <c r="I1992" s="368"/>
      <c r="J1992" s="368"/>
      <c r="K1992" s="370"/>
      <c r="L1992" s="370"/>
      <c r="M1992" s="371"/>
      <c r="N1992" s="671"/>
      <c r="O1992" s="671"/>
      <c r="P1992" s="373"/>
      <c r="Q1992" s="673"/>
      <c r="R1992" s="377"/>
      <c r="S1992" s="366" t="s">
        <v>190</v>
      </c>
      <c r="T1992" s="366"/>
      <c r="U1992" s="366"/>
      <c r="V1992" s="366"/>
      <c r="W1992" s="366"/>
    </row>
    <row r="1993" spans="1:23">
      <c r="A1993" s="1410"/>
      <c r="B1993" s="1413"/>
      <c r="C1993" s="845" t="s">
        <v>991</v>
      </c>
      <c r="D1993" s="875" t="str">
        <f>B1985&amp;C1993</f>
        <v>A138i</v>
      </c>
      <c r="E1993" s="367">
        <v>8</v>
      </c>
      <c r="F1993" s="669"/>
      <c r="G1993" s="368"/>
      <c r="H1993" s="368"/>
      <c r="I1993" s="368"/>
      <c r="J1993" s="368"/>
      <c r="K1993" s="370"/>
      <c r="L1993" s="370"/>
      <c r="M1993" s="371"/>
      <c r="N1993" s="671"/>
      <c r="O1993" s="671"/>
      <c r="P1993" s="373"/>
      <c r="Q1993" s="673"/>
      <c r="R1993" s="378"/>
      <c r="S1993" s="366"/>
      <c r="T1993" s="366"/>
      <c r="U1993" s="366"/>
      <c r="V1993" s="366"/>
      <c r="W1993" s="366"/>
    </row>
    <row r="1994" spans="1:23">
      <c r="A1994" s="1410"/>
      <c r="B1994" s="1413"/>
      <c r="C1994" s="845" t="s">
        <v>992</v>
      </c>
      <c r="D1994" s="875" t="str">
        <f>B1985&amp;C1994</f>
        <v>A138k</v>
      </c>
      <c r="E1994" s="367">
        <v>9</v>
      </c>
      <c r="F1994" s="370"/>
      <c r="G1994" s="368"/>
      <c r="H1994" s="368"/>
      <c r="I1994" s="368"/>
      <c r="J1994" s="368"/>
      <c r="K1994" s="370"/>
      <c r="L1994" s="370"/>
      <c r="M1994" s="371"/>
      <c r="N1994" s="372"/>
      <c r="O1994" s="372"/>
      <c r="P1994" s="373"/>
      <c r="Q1994" s="374"/>
      <c r="R1994" s="378"/>
      <c r="S1994" s="379"/>
      <c r="T1994" s="366"/>
      <c r="U1994" s="366"/>
      <c r="V1994" s="366"/>
      <c r="W1994" s="366"/>
    </row>
    <row r="1995" spans="1:23">
      <c r="A1995" s="1410"/>
      <c r="B1995" s="1413"/>
      <c r="C1995" s="845" t="s">
        <v>993</v>
      </c>
      <c r="D1995" s="875" t="str">
        <f>B1985&amp;C1995</f>
        <v>A138l</v>
      </c>
      <c r="E1995" s="367">
        <v>10</v>
      </c>
      <c r="F1995" s="370"/>
      <c r="G1995" s="368"/>
      <c r="H1995" s="368"/>
      <c r="I1995" s="368"/>
      <c r="J1995" s="368"/>
      <c r="K1995" s="370"/>
      <c r="L1995" s="370"/>
      <c r="M1995" s="370"/>
      <c r="N1995" s="372"/>
      <c r="O1995" s="372"/>
      <c r="P1995" s="373"/>
      <c r="Q1995" s="374"/>
      <c r="R1995" s="378"/>
      <c r="S1995" s="379"/>
      <c r="T1995" s="366"/>
      <c r="U1995" s="366"/>
      <c r="V1995" s="366"/>
      <c r="W1995" s="366"/>
    </row>
    <row r="1996" spans="1:23">
      <c r="A1996" s="1410"/>
      <c r="B1996" s="1413"/>
      <c r="C1996" s="845" t="s">
        <v>994</v>
      </c>
      <c r="D1996" s="875" t="str">
        <f>B1985&amp;C1996</f>
        <v>A138m</v>
      </c>
      <c r="E1996" s="367">
        <v>11</v>
      </c>
      <c r="F1996" s="370"/>
      <c r="G1996" s="368"/>
      <c r="H1996" s="368"/>
      <c r="I1996" s="368"/>
      <c r="J1996" s="368"/>
      <c r="K1996" s="370"/>
      <c r="L1996" s="370"/>
      <c r="M1996" s="370"/>
      <c r="N1996" s="372"/>
      <c r="O1996" s="372"/>
      <c r="P1996" s="380"/>
      <c r="Q1996" s="374"/>
      <c r="R1996" s="381"/>
      <c r="S1996" s="379"/>
      <c r="T1996" s="366"/>
      <c r="U1996" s="366"/>
      <c r="V1996" s="366"/>
      <c r="W1996" s="366"/>
    </row>
    <row r="1997" spans="1:23">
      <c r="A1997" s="1410"/>
      <c r="B1997" s="1413"/>
      <c r="C1997" s="845" t="s">
        <v>995</v>
      </c>
      <c r="D1997" s="875" t="str">
        <f>B1985&amp;C1997</f>
        <v>A138n</v>
      </c>
      <c r="E1997" s="367">
        <v>12</v>
      </c>
      <c r="F1997" s="370"/>
      <c r="G1997" s="368"/>
      <c r="H1997" s="368"/>
      <c r="I1997" s="368"/>
      <c r="J1997" s="368"/>
      <c r="K1997" s="370"/>
      <c r="L1997" s="370"/>
      <c r="M1997" s="370"/>
      <c r="N1997" s="372"/>
      <c r="O1997" s="372"/>
      <c r="P1997" s="380"/>
      <c r="Q1997" s="374"/>
      <c r="R1997" s="381"/>
      <c r="S1997" s="361"/>
      <c r="T1997" s="361"/>
      <c r="U1997" s="361"/>
      <c r="V1997" s="366"/>
      <c r="W1997" s="366"/>
    </row>
    <row r="1998" spans="1:23">
      <c r="A1998" s="1410"/>
      <c r="B1998" s="1413"/>
      <c r="C1998" s="845" t="s">
        <v>471</v>
      </c>
      <c r="D1998" s="875" t="str">
        <f>B1985&amp;C1998</f>
        <v>A138x</v>
      </c>
      <c r="E1998" s="367">
        <v>13</v>
      </c>
      <c r="F1998" s="370"/>
      <c r="G1998" s="368"/>
      <c r="H1998" s="368"/>
      <c r="I1998" s="368"/>
      <c r="J1998" s="368"/>
      <c r="K1998" s="370"/>
      <c r="L1998" s="370"/>
      <c r="M1998" s="370"/>
      <c r="N1998" s="382"/>
      <c r="O1998" s="372"/>
      <c r="P1998" s="380"/>
      <c r="Q1998" s="381"/>
      <c r="R1998" s="381"/>
      <c r="S1998" s="361"/>
      <c r="T1998" s="361"/>
      <c r="U1998" s="361"/>
      <c r="V1998" s="366"/>
      <c r="W1998" s="366"/>
    </row>
    <row r="1999" spans="1:23">
      <c r="A1999" s="1410"/>
      <c r="B1999" s="1413"/>
      <c r="C1999" s="845" t="s">
        <v>732</v>
      </c>
      <c r="D1999" s="875" t="str">
        <f>B1985&amp;C1999</f>
        <v>A138y</v>
      </c>
      <c r="E1999" s="367">
        <v>14</v>
      </c>
      <c r="F1999" s="370"/>
      <c r="G1999" s="368"/>
      <c r="H1999" s="368"/>
      <c r="I1999" s="368"/>
      <c r="J1999" s="368"/>
      <c r="K1999" s="370"/>
      <c r="L1999" s="370"/>
      <c r="M1999" s="370"/>
      <c r="N1999" s="382"/>
      <c r="O1999" s="372"/>
      <c r="P1999" s="380"/>
      <c r="Q1999" s="381"/>
      <c r="R1999" s="381"/>
      <c r="S1999" s="361"/>
      <c r="T1999" s="361"/>
      <c r="U1999" s="362"/>
      <c r="V1999" s="366"/>
      <c r="W1999" s="366"/>
    </row>
    <row r="2000" spans="1:23">
      <c r="A2000" s="1411"/>
      <c r="B2000" s="1414"/>
      <c r="C2000" s="846" t="s">
        <v>996</v>
      </c>
      <c r="D2000" s="876" t="str">
        <f>B1985&amp;C2000</f>
        <v>A138z</v>
      </c>
      <c r="E2000" s="847">
        <v>15</v>
      </c>
      <c r="F2000" s="370"/>
      <c r="G2000" s="368"/>
      <c r="H2000" s="368"/>
      <c r="I2000" s="368"/>
      <c r="J2000" s="368"/>
      <c r="K2000" s="370"/>
      <c r="L2000" s="370"/>
      <c r="M2000" s="370"/>
      <c r="N2000" s="850"/>
      <c r="O2000" s="851"/>
      <c r="P2000" s="380"/>
      <c r="Q2000" s="852"/>
      <c r="R2000" s="383"/>
      <c r="S2000" s="361"/>
      <c r="T2000" s="832"/>
      <c r="U2000" s="830"/>
      <c r="V2000" s="366"/>
      <c r="W2000" s="366"/>
    </row>
    <row r="2001" spans="1:23">
      <c r="A2001" s="1400" t="s">
        <v>939</v>
      </c>
      <c r="B2001" s="1400"/>
      <c r="C2001" s="827"/>
      <c r="D2001" s="871"/>
      <c r="E2001" s="1400" t="s">
        <v>177</v>
      </c>
      <c r="F2001" s="1400" t="s">
        <v>18</v>
      </c>
      <c r="G2001" s="1389" t="s">
        <v>19</v>
      </c>
      <c r="H2001" s="1390"/>
      <c r="I2001" s="1389" t="s">
        <v>22</v>
      </c>
      <c r="J2001" s="1390"/>
      <c r="K2001" s="1393" t="s">
        <v>26</v>
      </c>
      <c r="L2001" s="1390"/>
      <c r="M2001" s="1389" t="s">
        <v>392</v>
      </c>
      <c r="N2001" s="1390"/>
      <c r="O2001" s="1389" t="s">
        <v>28</v>
      </c>
      <c r="P2001" s="1393"/>
      <c r="Q2001" s="1390"/>
      <c r="R2001" s="1400" t="s">
        <v>36</v>
      </c>
      <c r="S2001" s="361"/>
      <c r="T2001" s="361">
        <f>MAX(J2005:J2019)-MIN(I2005:I2019)</f>
        <v>4.3055555555555625E-2</v>
      </c>
      <c r="U2001" s="361"/>
      <c r="V2001" s="853" t="str">
        <f t="shared" ref="V2001" si="210">B2005</f>
        <v>A11</v>
      </c>
      <c r="W2001" s="361">
        <f t="shared" ref="W2001" si="211">COUNTIF(K2006:K2020,"&gt;0")</f>
        <v>3</v>
      </c>
    </row>
    <row r="2002" spans="1:23">
      <c r="A2002" s="1401"/>
      <c r="B2002" s="1401"/>
      <c r="C2002" s="828"/>
      <c r="D2002" s="872"/>
      <c r="E2002" s="1401"/>
      <c r="F2002" s="1401"/>
      <c r="G2002" s="1391"/>
      <c r="H2002" s="1392"/>
      <c r="I2002" s="1391"/>
      <c r="J2002" s="1392"/>
      <c r="K2002" s="1394"/>
      <c r="L2002" s="1392"/>
      <c r="M2002" s="1391"/>
      <c r="N2002" s="1392"/>
      <c r="O2002" s="1391"/>
      <c r="P2002" s="1394"/>
      <c r="Q2002" s="1392"/>
      <c r="R2002" s="1401"/>
      <c r="S2002" s="361"/>
      <c r="T2002" s="361"/>
      <c r="U2002" s="361"/>
      <c r="V2002" s="361"/>
      <c r="W2002" s="361"/>
    </row>
    <row r="2003" spans="1:23">
      <c r="A2003" s="1401"/>
      <c r="B2003" s="1401"/>
      <c r="C2003" s="828"/>
      <c r="D2003" s="872"/>
      <c r="E2003" s="1401"/>
      <c r="F2003" s="1401"/>
      <c r="G2003" s="1400" t="s">
        <v>20</v>
      </c>
      <c r="H2003" s="1400" t="s">
        <v>21</v>
      </c>
      <c r="I2003" s="1400" t="s">
        <v>361</v>
      </c>
      <c r="J2003" s="1400" t="s">
        <v>353</v>
      </c>
      <c r="K2003" s="1400" t="s">
        <v>23</v>
      </c>
      <c r="L2003" s="1400" t="s">
        <v>24</v>
      </c>
      <c r="M2003" s="1400" t="s">
        <v>27</v>
      </c>
      <c r="N2003" s="1400" t="s">
        <v>178</v>
      </c>
      <c r="O2003" s="1400" t="s">
        <v>1</v>
      </c>
      <c r="P2003" s="1400" t="s">
        <v>29</v>
      </c>
      <c r="Q2003" s="1400" t="s">
        <v>33</v>
      </c>
      <c r="R2003" s="1401"/>
      <c r="S2003" s="361"/>
      <c r="T2003" s="361" t="s">
        <v>39</v>
      </c>
      <c r="U2003" s="362">
        <f>VLOOKUP(B2005,'Thong tin'!$A:$M,13,0)</f>
        <v>1200</v>
      </c>
      <c r="V2003" s="361"/>
      <c r="W2003" s="361"/>
    </row>
    <row r="2004" spans="1:23">
      <c r="A2004" s="1402"/>
      <c r="B2004" s="1402"/>
      <c r="C2004" s="829"/>
      <c r="D2004" s="873"/>
      <c r="E2004" s="1402"/>
      <c r="F2004" s="1402"/>
      <c r="G2004" s="1402"/>
      <c r="H2004" s="1402"/>
      <c r="I2004" s="1402"/>
      <c r="J2004" s="1402"/>
      <c r="K2004" s="1402"/>
      <c r="L2004" s="1402"/>
      <c r="M2004" s="1402"/>
      <c r="N2004" s="1402"/>
      <c r="O2004" s="1402"/>
      <c r="P2004" s="1402"/>
      <c r="Q2004" s="1402"/>
      <c r="R2004" s="1402"/>
      <c r="S2004" s="361"/>
      <c r="T2004" s="1399" t="s">
        <v>393</v>
      </c>
      <c r="U2004" s="1397">
        <f>VLOOKUP(B2005,DT.NK!$B:$AZ,45,0)</f>
        <v>24.15</v>
      </c>
      <c r="V2004" s="361"/>
      <c r="W2004" s="361"/>
    </row>
    <row r="2005" spans="1:23">
      <c r="A2005" s="1409">
        <f>A1985+1</f>
        <v>101</v>
      </c>
      <c r="B2005" s="1412" t="s">
        <v>538</v>
      </c>
      <c r="C2005" s="844" t="s">
        <v>983</v>
      </c>
      <c r="D2005" s="874" t="str">
        <f>B2005&amp;C2005</f>
        <v>A11a</v>
      </c>
      <c r="E2005" s="363"/>
      <c r="F2005" s="364"/>
      <c r="G2005" s="364"/>
      <c r="H2005" s="364"/>
      <c r="I2005" s="364"/>
      <c r="J2005" s="364"/>
      <c r="K2005" s="364"/>
      <c r="L2005" s="364"/>
      <c r="M2005" s="674"/>
      <c r="N2005" s="670"/>
      <c r="O2005" s="670">
        <f>U2004</f>
        <v>24.15</v>
      </c>
      <c r="P2005" s="670">
        <f>O2005</f>
        <v>24.15</v>
      </c>
      <c r="Q2005" s="670">
        <v>0</v>
      </c>
      <c r="R2005" s="365"/>
      <c r="S2005" s="366"/>
      <c r="T2005" s="1399"/>
      <c r="U2005" s="1398"/>
      <c r="V2005" s="361"/>
      <c r="W2005" s="361"/>
    </row>
    <row r="2006" spans="1:23">
      <c r="A2006" s="1410"/>
      <c r="B2006" s="1413"/>
      <c r="C2006" s="845" t="s">
        <v>984</v>
      </c>
      <c r="D2006" s="875" t="str">
        <f>B2005&amp;C2006</f>
        <v>A11b</v>
      </c>
      <c r="E2006" s="367">
        <v>1</v>
      </c>
      <c r="F2006" s="669" t="s">
        <v>1008</v>
      </c>
      <c r="G2006" s="369">
        <v>0.65902777777777777</v>
      </c>
      <c r="H2006" s="368">
        <v>0.6875</v>
      </c>
      <c r="I2006" s="368">
        <v>0.70694444444444438</v>
      </c>
      <c r="J2006" s="368">
        <v>0.71180555555555547</v>
      </c>
      <c r="K2006" s="669">
        <v>10.5</v>
      </c>
      <c r="L2006" s="669">
        <v>19</v>
      </c>
      <c r="M2006" s="675">
        <v>22.15</v>
      </c>
      <c r="N2006" s="671">
        <f>IF(M2006-P2006&gt;0,M2006-P2006,0)</f>
        <v>5.1499999999999986</v>
      </c>
      <c r="O2006" s="671">
        <f>O2005-K2006/(PI()*(U2003/2000)^2)</f>
        <v>14.865961652972771</v>
      </c>
      <c r="P2006" s="672">
        <v>17</v>
      </c>
      <c r="Q2006" s="673">
        <f>ABS(O2006-P2006)</f>
        <v>2.1340383470272286</v>
      </c>
      <c r="R2006" s="375" t="s">
        <v>188</v>
      </c>
      <c r="S2006" s="366"/>
      <c r="T2006" s="376"/>
      <c r="U2006" s="376"/>
      <c r="V2006" s="366"/>
      <c r="W2006" s="366"/>
    </row>
    <row r="2007" spans="1:23">
      <c r="A2007" s="1410"/>
      <c r="B2007" s="1413"/>
      <c r="C2007" s="845" t="s">
        <v>985</v>
      </c>
      <c r="D2007" s="875" t="str">
        <f>B2005&amp;C2007</f>
        <v>A11c</v>
      </c>
      <c r="E2007" s="367">
        <v>2</v>
      </c>
      <c r="F2007" s="669" t="s">
        <v>1096</v>
      </c>
      <c r="G2007" s="369">
        <v>0.6694444444444444</v>
      </c>
      <c r="H2007" s="368">
        <v>0.69791666666666663</v>
      </c>
      <c r="I2007" s="368">
        <v>0.72222222222222221</v>
      </c>
      <c r="J2007" s="368">
        <v>0.72916666666666663</v>
      </c>
      <c r="K2007" s="669">
        <v>10.5</v>
      </c>
      <c r="L2007" s="669">
        <v>19</v>
      </c>
      <c r="M2007" s="675">
        <v>12.7</v>
      </c>
      <c r="N2007" s="671">
        <f>IF(M2007-P2007&gt;0,M2007-P2007,0)</f>
        <v>4</v>
      </c>
      <c r="O2007" s="671">
        <f>O2006-K2007/(PI()*(U2003/2000)^2)</f>
        <v>5.5819233059455442</v>
      </c>
      <c r="P2007" s="672">
        <v>8.6999999999999993</v>
      </c>
      <c r="Q2007" s="673">
        <f>ABS(O2007-P2007)</f>
        <v>3.1180766940544551</v>
      </c>
      <c r="R2007" s="375" t="s">
        <v>188</v>
      </c>
      <c r="S2007" s="366"/>
      <c r="T2007" s="376"/>
      <c r="U2007" s="376"/>
      <c r="V2007" s="366"/>
      <c r="W2007" s="366"/>
    </row>
    <row r="2008" spans="1:23">
      <c r="A2008" s="1410"/>
      <c r="B2008" s="1413"/>
      <c r="C2008" s="845" t="s">
        <v>986</v>
      </c>
      <c r="D2008" s="875" t="str">
        <f>B2005&amp;C2008</f>
        <v>A11d</v>
      </c>
      <c r="E2008" s="367">
        <v>3</v>
      </c>
      <c r="F2008" s="669" t="s">
        <v>1091</v>
      </c>
      <c r="G2008" s="368">
        <v>0.72361111111111109</v>
      </c>
      <c r="H2008" s="368">
        <v>0.74305555555555547</v>
      </c>
      <c r="I2008" s="368">
        <v>0.74652777777777779</v>
      </c>
      <c r="J2008" s="368">
        <v>0.75</v>
      </c>
      <c r="K2008" s="370">
        <v>2</v>
      </c>
      <c r="L2008" s="370">
        <v>19</v>
      </c>
      <c r="M2008" s="371">
        <v>12.7</v>
      </c>
      <c r="N2008" s="671">
        <f>IF(M2008-P2008&gt;0,M2008-P2008,0)</f>
        <v>5.4999999999999991</v>
      </c>
      <c r="O2008" s="671">
        <f>O2007-K2008/(PI()*(U2003/2000)^2)</f>
        <v>3.8135350493689293</v>
      </c>
      <c r="P2008" s="373">
        <v>7.2</v>
      </c>
      <c r="Q2008" s="673">
        <f>ABS(O2008-P2008)</f>
        <v>3.3864649506310709</v>
      </c>
      <c r="R2008" s="375" t="s">
        <v>188</v>
      </c>
      <c r="S2008" s="366"/>
      <c r="T2008" s="376"/>
      <c r="U2008" s="376"/>
      <c r="V2008" s="366"/>
      <c r="W2008" s="366"/>
    </row>
    <row r="2009" spans="1:23">
      <c r="A2009" s="1410"/>
      <c r="B2009" s="1413"/>
      <c r="C2009" s="845" t="s">
        <v>987</v>
      </c>
      <c r="D2009" s="875" t="str">
        <f>B2005&amp;C2009</f>
        <v>A11e</v>
      </c>
      <c r="E2009" s="367">
        <v>4</v>
      </c>
      <c r="F2009" s="669"/>
      <c r="G2009" s="368"/>
      <c r="H2009" s="368"/>
      <c r="I2009" s="368"/>
      <c r="J2009" s="368"/>
      <c r="K2009" s="370"/>
      <c r="L2009" s="370"/>
      <c r="M2009" s="371"/>
      <c r="N2009" s="671"/>
      <c r="O2009" s="671"/>
      <c r="P2009" s="373"/>
      <c r="Q2009" s="673"/>
      <c r="R2009" s="375"/>
      <c r="S2009" s="366"/>
      <c r="T2009" s="376"/>
      <c r="U2009" s="376"/>
      <c r="V2009" s="366"/>
      <c r="W2009" s="366"/>
    </row>
    <row r="2010" spans="1:23">
      <c r="A2010" s="1410"/>
      <c r="B2010" s="1413"/>
      <c r="C2010" s="845" t="s">
        <v>988</v>
      </c>
      <c r="D2010" s="875" t="str">
        <f>B2005&amp;C2010</f>
        <v>A11f</v>
      </c>
      <c r="E2010" s="367">
        <v>5</v>
      </c>
      <c r="F2010" s="669"/>
      <c r="G2010" s="368"/>
      <c r="H2010" s="368"/>
      <c r="I2010" s="368"/>
      <c r="J2010" s="368"/>
      <c r="K2010" s="370"/>
      <c r="L2010" s="370"/>
      <c r="M2010" s="371"/>
      <c r="N2010" s="671"/>
      <c r="O2010" s="671"/>
      <c r="P2010" s="373"/>
      <c r="Q2010" s="673"/>
      <c r="R2010" s="375"/>
      <c r="S2010" s="366" t="s">
        <v>190</v>
      </c>
      <c r="T2010" s="376"/>
      <c r="U2010" s="376"/>
      <c r="V2010" s="366"/>
      <c r="W2010" s="366"/>
    </row>
    <row r="2011" spans="1:23">
      <c r="A2011" s="1410"/>
      <c r="B2011" s="1413"/>
      <c r="C2011" s="845" t="s">
        <v>989</v>
      </c>
      <c r="D2011" s="875" t="str">
        <f>B2005&amp;C2011</f>
        <v>A11g</v>
      </c>
      <c r="E2011" s="367">
        <v>6</v>
      </c>
      <c r="F2011" s="669"/>
      <c r="G2011" s="368"/>
      <c r="H2011" s="368"/>
      <c r="I2011" s="368"/>
      <c r="J2011" s="368"/>
      <c r="K2011" s="370"/>
      <c r="L2011" s="370"/>
      <c r="M2011" s="371"/>
      <c r="N2011" s="671"/>
      <c r="O2011" s="671"/>
      <c r="P2011" s="373"/>
      <c r="Q2011" s="673"/>
      <c r="R2011" s="375"/>
      <c r="S2011" s="366" t="s">
        <v>190</v>
      </c>
      <c r="T2011" s="366"/>
      <c r="U2011" s="366"/>
      <c r="V2011" s="366"/>
      <c r="W2011" s="366"/>
    </row>
    <row r="2012" spans="1:23">
      <c r="A2012" s="1410"/>
      <c r="B2012" s="1413"/>
      <c r="C2012" s="845" t="s">
        <v>990</v>
      </c>
      <c r="D2012" s="875" t="str">
        <f>B2005&amp;C2012</f>
        <v>A11h</v>
      </c>
      <c r="E2012" s="367">
        <v>7</v>
      </c>
      <c r="F2012" s="669"/>
      <c r="G2012" s="368"/>
      <c r="H2012" s="368"/>
      <c r="I2012" s="368"/>
      <c r="J2012" s="368"/>
      <c r="K2012" s="370"/>
      <c r="L2012" s="370"/>
      <c r="M2012" s="371"/>
      <c r="N2012" s="671"/>
      <c r="O2012" s="671"/>
      <c r="P2012" s="373"/>
      <c r="Q2012" s="673"/>
      <c r="R2012" s="377"/>
      <c r="S2012" s="366" t="s">
        <v>190</v>
      </c>
      <c r="T2012" s="366"/>
      <c r="U2012" s="366"/>
      <c r="V2012" s="366"/>
      <c r="W2012" s="366"/>
    </row>
    <row r="2013" spans="1:23">
      <c r="A2013" s="1410"/>
      <c r="B2013" s="1413"/>
      <c r="C2013" s="845" t="s">
        <v>991</v>
      </c>
      <c r="D2013" s="875" t="str">
        <f>B2005&amp;C2013</f>
        <v>A11i</v>
      </c>
      <c r="E2013" s="367">
        <v>8</v>
      </c>
      <c r="F2013" s="669"/>
      <c r="G2013" s="368"/>
      <c r="H2013" s="368"/>
      <c r="I2013" s="368"/>
      <c r="J2013" s="368"/>
      <c r="K2013" s="370"/>
      <c r="L2013" s="370"/>
      <c r="M2013" s="371"/>
      <c r="N2013" s="671"/>
      <c r="O2013" s="671"/>
      <c r="P2013" s="373"/>
      <c r="Q2013" s="673"/>
      <c r="R2013" s="378"/>
      <c r="S2013" s="366"/>
      <c r="T2013" s="366"/>
      <c r="U2013" s="366"/>
      <c r="V2013" s="366"/>
      <c r="W2013" s="366"/>
    </row>
    <row r="2014" spans="1:23">
      <c r="A2014" s="1410"/>
      <c r="B2014" s="1413"/>
      <c r="C2014" s="845" t="s">
        <v>992</v>
      </c>
      <c r="D2014" s="875" t="str">
        <f>B2005&amp;C2014</f>
        <v>A11k</v>
      </c>
      <c r="E2014" s="367">
        <v>9</v>
      </c>
      <c r="F2014" s="370"/>
      <c r="G2014" s="368"/>
      <c r="H2014" s="368"/>
      <c r="I2014" s="368"/>
      <c r="J2014" s="368"/>
      <c r="K2014" s="370"/>
      <c r="L2014" s="370"/>
      <c r="M2014" s="371"/>
      <c r="N2014" s="372"/>
      <c r="O2014" s="372"/>
      <c r="P2014" s="373"/>
      <c r="Q2014" s="374"/>
      <c r="R2014" s="378"/>
      <c r="S2014" s="379"/>
      <c r="T2014" s="366"/>
      <c r="U2014" s="366"/>
      <c r="V2014" s="366"/>
      <c r="W2014" s="366"/>
    </row>
    <row r="2015" spans="1:23">
      <c r="A2015" s="1410"/>
      <c r="B2015" s="1413"/>
      <c r="C2015" s="845" t="s">
        <v>993</v>
      </c>
      <c r="D2015" s="875" t="str">
        <f>B2005&amp;C2015</f>
        <v>A11l</v>
      </c>
      <c r="E2015" s="367">
        <v>10</v>
      </c>
      <c r="F2015" s="370"/>
      <c r="G2015" s="368"/>
      <c r="H2015" s="368"/>
      <c r="I2015" s="368"/>
      <c r="J2015" s="368"/>
      <c r="K2015" s="370"/>
      <c r="L2015" s="370"/>
      <c r="M2015" s="370"/>
      <c r="N2015" s="372"/>
      <c r="O2015" s="372"/>
      <c r="P2015" s="373"/>
      <c r="Q2015" s="374"/>
      <c r="R2015" s="378"/>
      <c r="S2015" s="379"/>
      <c r="T2015" s="366"/>
      <c r="U2015" s="366"/>
      <c r="V2015" s="366"/>
      <c r="W2015" s="366"/>
    </row>
    <row r="2016" spans="1:23">
      <c r="A2016" s="1410"/>
      <c r="B2016" s="1413"/>
      <c r="C2016" s="845" t="s">
        <v>994</v>
      </c>
      <c r="D2016" s="875" t="str">
        <f>B2005&amp;C2016</f>
        <v>A11m</v>
      </c>
      <c r="E2016" s="367">
        <v>11</v>
      </c>
      <c r="F2016" s="370"/>
      <c r="G2016" s="368"/>
      <c r="H2016" s="368"/>
      <c r="I2016" s="368"/>
      <c r="J2016" s="368"/>
      <c r="K2016" s="370"/>
      <c r="L2016" s="370"/>
      <c r="M2016" s="370"/>
      <c r="N2016" s="372"/>
      <c r="O2016" s="372"/>
      <c r="P2016" s="380"/>
      <c r="Q2016" s="374"/>
      <c r="R2016" s="381"/>
      <c r="S2016" s="379"/>
      <c r="T2016" s="366"/>
      <c r="U2016" s="366"/>
      <c r="V2016" s="366"/>
      <c r="W2016" s="366"/>
    </row>
    <row r="2017" spans="1:23">
      <c r="A2017" s="1410"/>
      <c r="B2017" s="1413"/>
      <c r="C2017" s="845" t="s">
        <v>995</v>
      </c>
      <c r="D2017" s="875" t="str">
        <f>B2005&amp;C2017</f>
        <v>A11n</v>
      </c>
      <c r="E2017" s="367">
        <v>12</v>
      </c>
      <c r="F2017" s="370"/>
      <c r="G2017" s="368"/>
      <c r="H2017" s="368"/>
      <c r="I2017" s="368"/>
      <c r="J2017" s="368"/>
      <c r="K2017" s="370"/>
      <c r="L2017" s="370"/>
      <c r="M2017" s="370"/>
      <c r="N2017" s="372"/>
      <c r="O2017" s="372"/>
      <c r="P2017" s="380"/>
      <c r="Q2017" s="374"/>
      <c r="R2017" s="381"/>
      <c r="S2017" s="361"/>
      <c r="T2017" s="361"/>
      <c r="U2017" s="361"/>
      <c r="V2017" s="366"/>
      <c r="W2017" s="366"/>
    </row>
    <row r="2018" spans="1:23">
      <c r="A2018" s="1410"/>
      <c r="B2018" s="1413"/>
      <c r="C2018" s="845" t="s">
        <v>471</v>
      </c>
      <c r="D2018" s="875" t="str">
        <f>B2005&amp;C2018</f>
        <v>A11x</v>
      </c>
      <c r="E2018" s="367">
        <v>13</v>
      </c>
      <c r="F2018" s="370"/>
      <c r="G2018" s="368"/>
      <c r="H2018" s="368"/>
      <c r="I2018" s="368"/>
      <c r="J2018" s="368"/>
      <c r="K2018" s="370"/>
      <c r="L2018" s="370"/>
      <c r="M2018" s="370"/>
      <c r="N2018" s="382"/>
      <c r="O2018" s="372"/>
      <c r="P2018" s="380"/>
      <c r="Q2018" s="381"/>
      <c r="R2018" s="381"/>
      <c r="S2018" s="361"/>
      <c r="T2018" s="361"/>
      <c r="U2018" s="361"/>
      <c r="V2018" s="366"/>
      <c r="W2018" s="366"/>
    </row>
    <row r="2019" spans="1:23">
      <c r="A2019" s="1410"/>
      <c r="B2019" s="1413"/>
      <c r="C2019" s="845" t="s">
        <v>732</v>
      </c>
      <c r="D2019" s="875" t="str">
        <f>B2005&amp;C2019</f>
        <v>A11y</v>
      </c>
      <c r="E2019" s="367">
        <v>14</v>
      </c>
      <c r="F2019" s="370"/>
      <c r="G2019" s="368"/>
      <c r="H2019" s="368"/>
      <c r="I2019" s="368"/>
      <c r="J2019" s="368"/>
      <c r="K2019" s="370"/>
      <c r="L2019" s="370"/>
      <c r="M2019" s="370"/>
      <c r="N2019" s="382"/>
      <c r="O2019" s="372"/>
      <c r="P2019" s="380"/>
      <c r="Q2019" s="381"/>
      <c r="R2019" s="381"/>
      <c r="S2019" s="361"/>
      <c r="T2019" s="361"/>
      <c r="U2019" s="362"/>
      <c r="V2019" s="366"/>
      <c r="W2019" s="366"/>
    </row>
    <row r="2020" spans="1:23">
      <c r="A2020" s="1411"/>
      <c r="B2020" s="1414"/>
      <c r="C2020" s="846" t="s">
        <v>996</v>
      </c>
      <c r="D2020" s="876" t="str">
        <f>B2005&amp;C2020</f>
        <v>A11z</v>
      </c>
      <c r="E2020" s="847">
        <v>15</v>
      </c>
      <c r="F2020" s="370"/>
      <c r="G2020" s="368"/>
      <c r="H2020" s="368"/>
      <c r="I2020" s="368"/>
      <c r="J2020" s="368"/>
      <c r="K2020" s="370"/>
      <c r="L2020" s="370"/>
      <c r="M2020" s="370"/>
      <c r="N2020" s="850"/>
      <c r="O2020" s="851"/>
      <c r="P2020" s="380"/>
      <c r="Q2020" s="852"/>
      <c r="R2020" s="383"/>
      <c r="S2020" s="361"/>
      <c r="T2020" s="832"/>
      <c r="U2020" s="830"/>
      <c r="V2020" s="366"/>
      <c r="W2020" s="366"/>
    </row>
    <row r="2021" spans="1:23">
      <c r="A2021" s="1400" t="s">
        <v>939</v>
      </c>
      <c r="B2021" s="1400"/>
      <c r="C2021" s="827"/>
      <c r="D2021" s="871"/>
      <c r="E2021" s="1400" t="s">
        <v>177</v>
      </c>
      <c r="F2021" s="1400" t="s">
        <v>18</v>
      </c>
      <c r="G2021" s="1389" t="s">
        <v>19</v>
      </c>
      <c r="H2021" s="1390"/>
      <c r="I2021" s="1389" t="s">
        <v>22</v>
      </c>
      <c r="J2021" s="1390"/>
      <c r="K2021" s="1393" t="s">
        <v>26</v>
      </c>
      <c r="L2021" s="1390"/>
      <c r="M2021" s="1389" t="s">
        <v>392</v>
      </c>
      <c r="N2021" s="1390"/>
      <c r="O2021" s="1389" t="s">
        <v>28</v>
      </c>
      <c r="P2021" s="1393"/>
      <c r="Q2021" s="1390"/>
      <c r="R2021" s="1400" t="s">
        <v>36</v>
      </c>
      <c r="S2021" s="361"/>
      <c r="T2021" s="361">
        <f>MAX(J2025:J2039)-MIN(I2025:I2039)</f>
        <v>7.6388888888888951E-2</v>
      </c>
      <c r="U2021" s="361"/>
      <c r="V2021" s="853" t="str">
        <f t="shared" ref="V2021" si="212">B2025</f>
        <v>A57</v>
      </c>
      <c r="W2021" s="361">
        <f t="shared" ref="W2021" si="213">COUNTIF(K2026:K2040,"&gt;0")</f>
        <v>3</v>
      </c>
    </row>
    <row r="2022" spans="1:23">
      <c r="A2022" s="1401"/>
      <c r="B2022" s="1401"/>
      <c r="C2022" s="828"/>
      <c r="D2022" s="872"/>
      <c r="E2022" s="1401"/>
      <c r="F2022" s="1401"/>
      <c r="G2022" s="1391"/>
      <c r="H2022" s="1392"/>
      <c r="I2022" s="1391"/>
      <c r="J2022" s="1392"/>
      <c r="K2022" s="1394"/>
      <c r="L2022" s="1392"/>
      <c r="M2022" s="1391"/>
      <c r="N2022" s="1392"/>
      <c r="O2022" s="1391"/>
      <c r="P2022" s="1394"/>
      <c r="Q2022" s="1392"/>
      <c r="R2022" s="1401"/>
      <c r="S2022" s="361"/>
      <c r="T2022" s="361"/>
      <c r="U2022" s="361"/>
      <c r="V2022" s="361"/>
      <c r="W2022" s="361"/>
    </row>
    <row r="2023" spans="1:23">
      <c r="A2023" s="1401"/>
      <c r="B2023" s="1401"/>
      <c r="C2023" s="828"/>
      <c r="D2023" s="872"/>
      <c r="E2023" s="1401"/>
      <c r="F2023" s="1401"/>
      <c r="G2023" s="1400" t="s">
        <v>20</v>
      </c>
      <c r="H2023" s="1400" t="s">
        <v>21</v>
      </c>
      <c r="I2023" s="1400" t="s">
        <v>361</v>
      </c>
      <c r="J2023" s="1400" t="s">
        <v>353</v>
      </c>
      <c r="K2023" s="1400" t="s">
        <v>23</v>
      </c>
      <c r="L2023" s="1400" t="s">
        <v>24</v>
      </c>
      <c r="M2023" s="1400" t="s">
        <v>27</v>
      </c>
      <c r="N2023" s="1400" t="s">
        <v>178</v>
      </c>
      <c r="O2023" s="1400" t="s">
        <v>1</v>
      </c>
      <c r="P2023" s="1400" t="s">
        <v>29</v>
      </c>
      <c r="Q2023" s="1400" t="s">
        <v>33</v>
      </c>
      <c r="R2023" s="1401"/>
      <c r="S2023" s="361"/>
      <c r="T2023" s="361" t="s">
        <v>39</v>
      </c>
      <c r="U2023" s="362">
        <f>VLOOKUP(B2025,'Thong tin'!$A:$M,13,0)</f>
        <v>1200</v>
      </c>
      <c r="V2023" s="361"/>
      <c r="W2023" s="361"/>
    </row>
    <row r="2024" spans="1:23">
      <c r="A2024" s="1402"/>
      <c r="B2024" s="1402"/>
      <c r="C2024" s="829"/>
      <c r="D2024" s="873"/>
      <c r="E2024" s="1402"/>
      <c r="F2024" s="1402"/>
      <c r="G2024" s="1402"/>
      <c r="H2024" s="1402"/>
      <c r="I2024" s="1402"/>
      <c r="J2024" s="1402"/>
      <c r="K2024" s="1402"/>
      <c r="L2024" s="1402"/>
      <c r="M2024" s="1402"/>
      <c r="N2024" s="1402"/>
      <c r="O2024" s="1402"/>
      <c r="P2024" s="1402"/>
      <c r="Q2024" s="1402"/>
      <c r="R2024" s="1402"/>
      <c r="S2024" s="361"/>
      <c r="T2024" s="1399" t="s">
        <v>393</v>
      </c>
      <c r="U2024" s="1397">
        <f>VLOOKUP(B2025,DT.NK!$B:$AZ,45,0)</f>
        <v>27.5</v>
      </c>
      <c r="V2024" s="361"/>
      <c r="W2024" s="361"/>
    </row>
    <row r="2025" spans="1:23">
      <c r="A2025" s="1409">
        <f>A2005+1</f>
        <v>102</v>
      </c>
      <c r="B2025" s="1412" t="s">
        <v>544</v>
      </c>
      <c r="C2025" s="844" t="s">
        <v>983</v>
      </c>
      <c r="D2025" s="874" t="str">
        <f>B2025&amp;C2025</f>
        <v>A57a</v>
      </c>
      <c r="E2025" s="363"/>
      <c r="F2025" s="364"/>
      <c r="G2025" s="364"/>
      <c r="H2025" s="364"/>
      <c r="I2025" s="364"/>
      <c r="J2025" s="364"/>
      <c r="K2025" s="364"/>
      <c r="L2025" s="364"/>
      <c r="M2025" s="674"/>
      <c r="N2025" s="670"/>
      <c r="O2025" s="670">
        <f>U2024</f>
        <v>27.5</v>
      </c>
      <c r="P2025" s="670">
        <f>O2025</f>
        <v>27.5</v>
      </c>
      <c r="Q2025" s="670">
        <v>0</v>
      </c>
      <c r="R2025" s="365"/>
      <c r="S2025" s="366"/>
      <c r="T2025" s="1399"/>
      <c r="U2025" s="1398"/>
      <c r="V2025" s="361"/>
      <c r="W2025" s="361"/>
    </row>
    <row r="2026" spans="1:23">
      <c r="A2026" s="1410"/>
      <c r="B2026" s="1413"/>
      <c r="C2026" s="845" t="s">
        <v>984</v>
      </c>
      <c r="D2026" s="875" t="str">
        <f>B2025&amp;C2026</f>
        <v>A57b</v>
      </c>
      <c r="E2026" s="367">
        <v>1</v>
      </c>
      <c r="F2026" s="669" t="s">
        <v>1096</v>
      </c>
      <c r="G2026" s="369">
        <v>0.72638888888888886</v>
      </c>
      <c r="H2026" s="368">
        <v>0.75694444444444453</v>
      </c>
      <c r="I2026" s="368">
        <v>0.76388888888888884</v>
      </c>
      <c r="J2026" s="368">
        <v>0.76736111111111116</v>
      </c>
      <c r="K2026" s="669">
        <v>12</v>
      </c>
      <c r="L2026" s="669">
        <v>19</v>
      </c>
      <c r="M2026" s="675">
        <v>22.35</v>
      </c>
      <c r="N2026" s="671">
        <f>IF(M2026-P2026&gt;0,M2026-P2026,0)</f>
        <v>3.25</v>
      </c>
      <c r="O2026" s="671">
        <f>O2025-K2026/(PI()*(U2023/2000)^2)</f>
        <v>16.889670460540309</v>
      </c>
      <c r="P2026" s="672">
        <v>19.100000000000001</v>
      </c>
      <c r="Q2026" s="673">
        <f>ABS(O2026-P2026)</f>
        <v>2.2103295394596927</v>
      </c>
      <c r="R2026" s="375" t="s">
        <v>188</v>
      </c>
      <c r="S2026" s="366"/>
      <c r="T2026" s="376"/>
      <c r="U2026" s="376"/>
      <c r="V2026" s="366"/>
      <c r="W2026" s="366"/>
    </row>
    <row r="2027" spans="1:23">
      <c r="A2027" s="1410"/>
      <c r="B2027" s="1413"/>
      <c r="C2027" s="845" t="s">
        <v>985</v>
      </c>
      <c r="D2027" s="875" t="str">
        <f>B2025&amp;C2027</f>
        <v>A57c</v>
      </c>
      <c r="E2027" s="367">
        <v>2</v>
      </c>
      <c r="F2027" s="669" t="s">
        <v>1085</v>
      </c>
      <c r="G2027" s="369">
        <v>0.73541666666666661</v>
      </c>
      <c r="H2027" s="368">
        <v>0.76388888888888884</v>
      </c>
      <c r="I2027" s="368">
        <v>0.77083333333333337</v>
      </c>
      <c r="J2027" s="368">
        <v>0.77430555555555547</v>
      </c>
      <c r="K2027" s="669">
        <v>12</v>
      </c>
      <c r="L2027" s="669">
        <v>20</v>
      </c>
      <c r="M2027" s="675">
        <v>16.05</v>
      </c>
      <c r="N2027" s="671">
        <f>IF(M2027-P2027&gt;0,M2027-P2027,0)</f>
        <v>3.6500000000000004</v>
      </c>
      <c r="O2027" s="671">
        <f>O2026-K2027/(PI()*(U2023/2000)^2)</f>
        <v>6.2793409210806193</v>
      </c>
      <c r="P2027" s="672">
        <v>12.4</v>
      </c>
      <c r="Q2027" s="673">
        <f>ABS(O2027-P2027)</f>
        <v>6.1206590789193811</v>
      </c>
      <c r="R2027" s="375" t="s">
        <v>188</v>
      </c>
      <c r="S2027" s="366"/>
      <c r="T2027" s="376"/>
      <c r="U2027" s="376"/>
      <c r="V2027" s="366"/>
      <c r="W2027" s="366"/>
    </row>
    <row r="2028" spans="1:23">
      <c r="A2028" s="1410"/>
      <c r="B2028" s="1413"/>
      <c r="C2028" s="845" t="s">
        <v>986</v>
      </c>
      <c r="D2028" s="875" t="str">
        <f>B2025&amp;C2028</f>
        <v>A57d</v>
      </c>
      <c r="E2028" s="367">
        <v>3</v>
      </c>
      <c r="F2028" s="669" t="s">
        <v>1091</v>
      </c>
      <c r="G2028" s="368">
        <v>0.81736111111111109</v>
      </c>
      <c r="H2028" s="368">
        <v>0.83333333333333337</v>
      </c>
      <c r="I2028" s="368">
        <v>0.83680555555555547</v>
      </c>
      <c r="J2028" s="368">
        <v>0.84027777777777779</v>
      </c>
      <c r="K2028" s="370">
        <v>6.5</v>
      </c>
      <c r="L2028" s="370">
        <v>19.5</v>
      </c>
      <c r="M2028" s="371">
        <v>16.05</v>
      </c>
      <c r="N2028" s="671">
        <f>IF(M2028-P2028&gt;0,M2028-P2028,0)</f>
        <v>8.9500000000000011</v>
      </c>
      <c r="O2028" s="671">
        <f>O2027-K2028/(PI()*(U2023/2000)^2)</f>
        <v>0.532079087206621</v>
      </c>
      <c r="P2028" s="373">
        <v>7.1</v>
      </c>
      <c r="Q2028" s="673">
        <f>ABS(O2028-P2028)</f>
        <v>6.5679209127933786</v>
      </c>
      <c r="R2028" s="375" t="s">
        <v>188</v>
      </c>
      <c r="S2028" s="366"/>
      <c r="T2028" s="376"/>
      <c r="U2028" s="376"/>
      <c r="V2028" s="366"/>
      <c r="W2028" s="366"/>
    </row>
    <row r="2029" spans="1:23">
      <c r="A2029" s="1410"/>
      <c r="B2029" s="1413"/>
      <c r="C2029" s="845" t="s">
        <v>987</v>
      </c>
      <c r="D2029" s="875" t="str">
        <f>B2025&amp;C2029</f>
        <v>A57e</v>
      </c>
      <c r="E2029" s="367">
        <v>4</v>
      </c>
      <c r="F2029" s="669"/>
      <c r="G2029" s="368"/>
      <c r="H2029" s="368"/>
      <c r="I2029" s="368"/>
      <c r="J2029" s="368"/>
      <c r="K2029" s="370"/>
      <c r="L2029" s="370"/>
      <c r="M2029" s="371"/>
      <c r="N2029" s="671"/>
      <c r="O2029" s="671"/>
      <c r="P2029" s="373"/>
      <c r="Q2029" s="673"/>
      <c r="R2029" s="375"/>
      <c r="S2029" s="366"/>
      <c r="T2029" s="376"/>
      <c r="U2029" s="376"/>
      <c r="V2029" s="366"/>
      <c r="W2029" s="366"/>
    </row>
    <row r="2030" spans="1:23">
      <c r="A2030" s="1410"/>
      <c r="B2030" s="1413"/>
      <c r="C2030" s="845" t="s">
        <v>988</v>
      </c>
      <c r="D2030" s="875" t="str">
        <f>B2025&amp;C2030</f>
        <v>A57f</v>
      </c>
      <c r="E2030" s="367">
        <v>5</v>
      </c>
      <c r="F2030" s="669"/>
      <c r="G2030" s="368"/>
      <c r="H2030" s="368"/>
      <c r="I2030" s="368"/>
      <c r="J2030" s="368"/>
      <c r="K2030" s="370"/>
      <c r="L2030" s="370"/>
      <c r="M2030" s="371"/>
      <c r="N2030" s="671"/>
      <c r="O2030" s="671"/>
      <c r="P2030" s="373"/>
      <c r="Q2030" s="673"/>
      <c r="R2030" s="375"/>
      <c r="S2030" s="366" t="s">
        <v>190</v>
      </c>
      <c r="T2030" s="376"/>
      <c r="U2030" s="376"/>
      <c r="V2030" s="366"/>
      <c r="W2030" s="366"/>
    </row>
    <row r="2031" spans="1:23">
      <c r="A2031" s="1410"/>
      <c r="B2031" s="1413"/>
      <c r="C2031" s="845" t="s">
        <v>989</v>
      </c>
      <c r="D2031" s="875" t="str">
        <f>B2025&amp;C2031</f>
        <v>A57g</v>
      </c>
      <c r="E2031" s="367">
        <v>6</v>
      </c>
      <c r="F2031" s="669"/>
      <c r="G2031" s="368"/>
      <c r="H2031" s="368"/>
      <c r="I2031" s="368"/>
      <c r="J2031" s="368"/>
      <c r="K2031" s="370"/>
      <c r="L2031" s="370"/>
      <c r="M2031" s="371"/>
      <c r="N2031" s="671"/>
      <c r="O2031" s="671"/>
      <c r="P2031" s="373"/>
      <c r="Q2031" s="673"/>
      <c r="R2031" s="375"/>
      <c r="S2031" s="366" t="s">
        <v>190</v>
      </c>
      <c r="T2031" s="366"/>
      <c r="U2031" s="366"/>
      <c r="V2031" s="366"/>
      <c r="W2031" s="366"/>
    </row>
    <row r="2032" spans="1:23">
      <c r="A2032" s="1410"/>
      <c r="B2032" s="1413"/>
      <c r="C2032" s="845" t="s">
        <v>990</v>
      </c>
      <c r="D2032" s="875" t="str">
        <f>B2025&amp;C2032</f>
        <v>A57h</v>
      </c>
      <c r="E2032" s="367">
        <v>7</v>
      </c>
      <c r="F2032" s="669"/>
      <c r="G2032" s="368"/>
      <c r="H2032" s="368"/>
      <c r="I2032" s="368"/>
      <c r="J2032" s="368"/>
      <c r="K2032" s="370"/>
      <c r="L2032" s="370"/>
      <c r="M2032" s="371"/>
      <c r="N2032" s="671"/>
      <c r="O2032" s="671"/>
      <c r="P2032" s="373"/>
      <c r="Q2032" s="673"/>
      <c r="R2032" s="377"/>
      <c r="S2032" s="366" t="s">
        <v>190</v>
      </c>
      <c r="T2032" s="366"/>
      <c r="U2032" s="366"/>
      <c r="V2032" s="366"/>
      <c r="W2032" s="366"/>
    </row>
    <row r="2033" spans="1:23">
      <c r="A2033" s="1410"/>
      <c r="B2033" s="1413"/>
      <c r="C2033" s="845" t="s">
        <v>991</v>
      </c>
      <c r="D2033" s="875" t="str">
        <f>B2025&amp;C2033</f>
        <v>A57i</v>
      </c>
      <c r="E2033" s="367">
        <v>8</v>
      </c>
      <c r="F2033" s="669"/>
      <c r="G2033" s="368"/>
      <c r="H2033" s="368"/>
      <c r="I2033" s="368"/>
      <c r="J2033" s="368"/>
      <c r="K2033" s="370"/>
      <c r="L2033" s="370"/>
      <c r="M2033" s="371"/>
      <c r="N2033" s="671"/>
      <c r="O2033" s="671"/>
      <c r="P2033" s="373"/>
      <c r="Q2033" s="673"/>
      <c r="R2033" s="378"/>
      <c r="S2033" s="366"/>
      <c r="T2033" s="366"/>
      <c r="U2033" s="366"/>
      <c r="V2033" s="366"/>
      <c r="W2033" s="366"/>
    </row>
    <row r="2034" spans="1:23">
      <c r="A2034" s="1410"/>
      <c r="B2034" s="1413"/>
      <c r="C2034" s="845" t="s">
        <v>992</v>
      </c>
      <c r="D2034" s="875" t="str">
        <f>B2025&amp;C2034</f>
        <v>A57k</v>
      </c>
      <c r="E2034" s="367">
        <v>9</v>
      </c>
      <c r="F2034" s="370"/>
      <c r="G2034" s="368"/>
      <c r="H2034" s="368"/>
      <c r="I2034" s="368"/>
      <c r="J2034" s="368"/>
      <c r="K2034" s="370"/>
      <c r="L2034" s="370"/>
      <c r="M2034" s="371"/>
      <c r="N2034" s="372"/>
      <c r="O2034" s="372"/>
      <c r="P2034" s="373"/>
      <c r="Q2034" s="374"/>
      <c r="R2034" s="378"/>
      <c r="S2034" s="379"/>
      <c r="T2034" s="366"/>
      <c r="U2034" s="366"/>
      <c r="V2034" s="366"/>
      <c r="W2034" s="366"/>
    </row>
    <row r="2035" spans="1:23">
      <c r="A2035" s="1410"/>
      <c r="B2035" s="1413"/>
      <c r="C2035" s="845" t="s">
        <v>993</v>
      </c>
      <c r="D2035" s="875" t="str">
        <f>B2025&amp;C2035</f>
        <v>A57l</v>
      </c>
      <c r="E2035" s="367">
        <v>10</v>
      </c>
      <c r="F2035" s="370"/>
      <c r="G2035" s="368"/>
      <c r="H2035" s="368"/>
      <c r="I2035" s="368"/>
      <c r="J2035" s="368"/>
      <c r="K2035" s="370"/>
      <c r="L2035" s="370"/>
      <c r="M2035" s="370"/>
      <c r="N2035" s="372"/>
      <c r="O2035" s="372"/>
      <c r="P2035" s="373"/>
      <c r="Q2035" s="374"/>
      <c r="R2035" s="378"/>
      <c r="S2035" s="379"/>
      <c r="T2035" s="366"/>
      <c r="U2035" s="366"/>
      <c r="V2035" s="366"/>
      <c r="W2035" s="366"/>
    </row>
    <row r="2036" spans="1:23">
      <c r="A2036" s="1410"/>
      <c r="B2036" s="1413"/>
      <c r="C2036" s="845" t="s">
        <v>994</v>
      </c>
      <c r="D2036" s="875" t="str">
        <f>B2025&amp;C2036</f>
        <v>A57m</v>
      </c>
      <c r="E2036" s="367">
        <v>11</v>
      </c>
      <c r="F2036" s="370"/>
      <c r="G2036" s="368"/>
      <c r="H2036" s="368"/>
      <c r="I2036" s="368"/>
      <c r="J2036" s="368"/>
      <c r="K2036" s="370"/>
      <c r="L2036" s="370"/>
      <c r="M2036" s="370"/>
      <c r="N2036" s="372"/>
      <c r="O2036" s="372"/>
      <c r="P2036" s="380"/>
      <c r="Q2036" s="374"/>
      <c r="R2036" s="381"/>
      <c r="S2036" s="379"/>
      <c r="T2036" s="366"/>
      <c r="U2036" s="366"/>
      <c r="V2036" s="366"/>
      <c r="W2036" s="366"/>
    </row>
    <row r="2037" spans="1:23">
      <c r="A2037" s="1410"/>
      <c r="B2037" s="1413"/>
      <c r="C2037" s="845" t="s">
        <v>995</v>
      </c>
      <c r="D2037" s="875" t="str">
        <f>B2025&amp;C2037</f>
        <v>A57n</v>
      </c>
      <c r="E2037" s="367">
        <v>12</v>
      </c>
      <c r="F2037" s="370"/>
      <c r="G2037" s="368"/>
      <c r="H2037" s="368"/>
      <c r="I2037" s="368"/>
      <c r="J2037" s="368"/>
      <c r="K2037" s="370"/>
      <c r="L2037" s="370"/>
      <c r="M2037" s="370"/>
      <c r="N2037" s="372"/>
      <c r="O2037" s="372"/>
      <c r="P2037" s="380"/>
      <c r="Q2037" s="374"/>
      <c r="R2037" s="381"/>
      <c r="S2037" s="361"/>
      <c r="T2037" s="361"/>
      <c r="U2037" s="361"/>
      <c r="V2037" s="366"/>
      <c r="W2037" s="366"/>
    </row>
    <row r="2038" spans="1:23">
      <c r="A2038" s="1410"/>
      <c r="B2038" s="1413"/>
      <c r="C2038" s="845" t="s">
        <v>471</v>
      </c>
      <c r="D2038" s="875" t="str">
        <f>B2025&amp;C2038</f>
        <v>A57x</v>
      </c>
      <c r="E2038" s="367">
        <v>13</v>
      </c>
      <c r="F2038" s="370"/>
      <c r="G2038" s="368"/>
      <c r="H2038" s="368"/>
      <c r="I2038" s="368"/>
      <c r="J2038" s="368"/>
      <c r="K2038" s="370"/>
      <c r="L2038" s="370"/>
      <c r="M2038" s="370"/>
      <c r="N2038" s="382"/>
      <c r="O2038" s="372"/>
      <c r="P2038" s="380"/>
      <c r="Q2038" s="381"/>
      <c r="R2038" s="381"/>
      <c r="S2038" s="361"/>
      <c r="T2038" s="361"/>
      <c r="U2038" s="361"/>
      <c r="V2038" s="366"/>
      <c r="W2038" s="366"/>
    </row>
    <row r="2039" spans="1:23">
      <c r="A2039" s="1410"/>
      <c r="B2039" s="1413"/>
      <c r="C2039" s="845" t="s">
        <v>732</v>
      </c>
      <c r="D2039" s="875" t="str">
        <f>B2025&amp;C2039</f>
        <v>A57y</v>
      </c>
      <c r="E2039" s="367">
        <v>14</v>
      </c>
      <c r="F2039" s="370"/>
      <c r="G2039" s="368"/>
      <c r="H2039" s="368"/>
      <c r="I2039" s="368"/>
      <c r="J2039" s="368"/>
      <c r="K2039" s="370"/>
      <c r="L2039" s="370"/>
      <c r="M2039" s="370"/>
      <c r="N2039" s="382"/>
      <c r="O2039" s="372"/>
      <c r="P2039" s="380"/>
      <c r="Q2039" s="381"/>
      <c r="R2039" s="381"/>
      <c r="S2039" s="361"/>
      <c r="T2039" s="361"/>
      <c r="U2039" s="362"/>
      <c r="V2039" s="366"/>
      <c r="W2039" s="366"/>
    </row>
    <row r="2040" spans="1:23">
      <c r="A2040" s="1411"/>
      <c r="B2040" s="1414"/>
      <c r="C2040" s="846" t="s">
        <v>996</v>
      </c>
      <c r="D2040" s="876" t="str">
        <f>B2025&amp;C2040</f>
        <v>A57z</v>
      </c>
      <c r="E2040" s="847">
        <v>15</v>
      </c>
      <c r="F2040" s="370"/>
      <c r="G2040" s="368"/>
      <c r="H2040" s="368"/>
      <c r="I2040" s="368"/>
      <c r="J2040" s="368"/>
      <c r="K2040" s="370"/>
      <c r="L2040" s="370"/>
      <c r="M2040" s="370"/>
      <c r="N2040" s="850"/>
      <c r="O2040" s="851"/>
      <c r="P2040" s="380"/>
      <c r="Q2040" s="852"/>
      <c r="R2040" s="383"/>
      <c r="S2040" s="361"/>
      <c r="T2040" s="832"/>
      <c r="U2040" s="830"/>
      <c r="V2040" s="366"/>
      <c r="W2040" s="366"/>
    </row>
    <row r="2041" spans="1:23">
      <c r="A2041" s="1400" t="s">
        <v>939</v>
      </c>
      <c r="B2041" s="1400"/>
      <c r="C2041" s="827"/>
      <c r="D2041" s="871"/>
      <c r="E2041" s="1400" t="s">
        <v>177</v>
      </c>
      <c r="F2041" s="1400" t="s">
        <v>18</v>
      </c>
      <c r="G2041" s="1389" t="s">
        <v>19</v>
      </c>
      <c r="H2041" s="1390"/>
      <c r="I2041" s="1389" t="s">
        <v>22</v>
      </c>
      <c r="J2041" s="1390"/>
      <c r="K2041" s="1393" t="s">
        <v>26</v>
      </c>
      <c r="L2041" s="1390"/>
      <c r="M2041" s="1389" t="s">
        <v>392</v>
      </c>
      <c r="N2041" s="1390"/>
      <c r="O2041" s="1389" t="s">
        <v>28</v>
      </c>
      <c r="P2041" s="1393"/>
      <c r="Q2041" s="1390"/>
      <c r="R2041" s="1400" t="s">
        <v>36</v>
      </c>
      <c r="S2041" s="361"/>
      <c r="T2041" s="361">
        <f>MAX(J2045:J2059)-MIN(I2045:I2059)</f>
        <v>5.2083333333333329E-2</v>
      </c>
      <c r="U2041" s="361"/>
      <c r="V2041" s="853" t="str">
        <f t="shared" ref="V2041" si="214">B2045</f>
        <v>A12</v>
      </c>
      <c r="W2041" s="361">
        <f t="shared" ref="W2041" si="215">COUNTIF(K2046:K2060,"&gt;0")</f>
        <v>4</v>
      </c>
    </row>
    <row r="2042" spans="1:23">
      <c r="A2042" s="1401"/>
      <c r="B2042" s="1401"/>
      <c r="C2042" s="828"/>
      <c r="D2042" s="872"/>
      <c r="E2042" s="1401"/>
      <c r="F2042" s="1401"/>
      <c r="G2042" s="1391"/>
      <c r="H2042" s="1392"/>
      <c r="I2042" s="1391"/>
      <c r="J2042" s="1392"/>
      <c r="K2042" s="1394"/>
      <c r="L2042" s="1392"/>
      <c r="M2042" s="1391"/>
      <c r="N2042" s="1392"/>
      <c r="O2042" s="1391"/>
      <c r="P2042" s="1394"/>
      <c r="Q2042" s="1392"/>
      <c r="R2042" s="1401"/>
      <c r="S2042" s="361"/>
      <c r="T2042" s="361"/>
      <c r="U2042" s="361"/>
      <c r="V2042" s="361"/>
      <c r="W2042" s="361"/>
    </row>
    <row r="2043" spans="1:23">
      <c r="A2043" s="1401"/>
      <c r="B2043" s="1401"/>
      <c r="C2043" s="828"/>
      <c r="D2043" s="872"/>
      <c r="E2043" s="1401"/>
      <c r="F2043" s="1401"/>
      <c r="G2043" s="1400" t="s">
        <v>20</v>
      </c>
      <c r="H2043" s="1400" t="s">
        <v>21</v>
      </c>
      <c r="I2043" s="1400" t="s">
        <v>361</v>
      </c>
      <c r="J2043" s="1400" t="s">
        <v>353</v>
      </c>
      <c r="K2043" s="1400" t="s">
        <v>23</v>
      </c>
      <c r="L2043" s="1400" t="s">
        <v>24</v>
      </c>
      <c r="M2043" s="1400" t="s">
        <v>27</v>
      </c>
      <c r="N2043" s="1400" t="s">
        <v>178</v>
      </c>
      <c r="O2043" s="1400" t="s">
        <v>1</v>
      </c>
      <c r="P2043" s="1400" t="s">
        <v>29</v>
      </c>
      <c r="Q2043" s="1400" t="s">
        <v>33</v>
      </c>
      <c r="R2043" s="1401"/>
      <c r="S2043" s="361"/>
      <c r="T2043" s="361" t="s">
        <v>39</v>
      </c>
      <c r="U2043" s="362">
        <f>VLOOKUP(B2045,'Thong tin'!$A:$M,13,0)</f>
        <v>1200</v>
      </c>
      <c r="V2043" s="361"/>
      <c r="W2043" s="361"/>
    </row>
    <row r="2044" spans="1:23">
      <c r="A2044" s="1402"/>
      <c r="B2044" s="1402"/>
      <c r="C2044" s="829"/>
      <c r="D2044" s="873"/>
      <c r="E2044" s="1402"/>
      <c r="F2044" s="1402"/>
      <c r="G2044" s="1402"/>
      <c r="H2044" s="1402"/>
      <c r="I2044" s="1402"/>
      <c r="J2044" s="1402"/>
      <c r="K2044" s="1402"/>
      <c r="L2044" s="1402"/>
      <c r="M2044" s="1402"/>
      <c r="N2044" s="1402"/>
      <c r="O2044" s="1402"/>
      <c r="P2044" s="1402"/>
      <c r="Q2044" s="1402"/>
      <c r="R2044" s="1402"/>
      <c r="S2044" s="361"/>
      <c r="T2044" s="1399" t="s">
        <v>393</v>
      </c>
      <c r="U2044" s="1397">
        <f>VLOOKUP(B2045,DT.NK!$B:$AZ,45,0)</f>
        <v>24.15</v>
      </c>
      <c r="V2044" s="361"/>
      <c r="W2044" s="361"/>
    </row>
    <row r="2045" spans="1:23">
      <c r="A2045" s="1409">
        <f>A2025+1</f>
        <v>103</v>
      </c>
      <c r="B2045" s="1412" t="s">
        <v>543</v>
      </c>
      <c r="C2045" s="844" t="s">
        <v>983</v>
      </c>
      <c r="D2045" s="874" t="str">
        <f>B2045&amp;C2045</f>
        <v>A12a</v>
      </c>
      <c r="E2045" s="363"/>
      <c r="F2045" s="364"/>
      <c r="G2045" s="364"/>
      <c r="H2045" s="364"/>
      <c r="I2045" s="364"/>
      <c r="J2045" s="364"/>
      <c r="K2045" s="364"/>
      <c r="L2045" s="364"/>
      <c r="M2045" s="674"/>
      <c r="N2045" s="670"/>
      <c r="O2045" s="670">
        <f>U2044</f>
        <v>24.15</v>
      </c>
      <c r="P2045" s="670">
        <f>O2045</f>
        <v>24.15</v>
      </c>
      <c r="Q2045" s="670">
        <v>0</v>
      </c>
      <c r="R2045" s="365"/>
      <c r="S2045" s="366"/>
      <c r="T2045" s="1399"/>
      <c r="U2045" s="1398"/>
      <c r="V2045" s="361"/>
      <c r="W2045" s="361"/>
    </row>
    <row r="2046" spans="1:23">
      <c r="A2046" s="1410"/>
      <c r="B2046" s="1413"/>
      <c r="C2046" s="845" t="s">
        <v>984</v>
      </c>
      <c r="D2046" s="875" t="str">
        <f>B2045&amp;C2046</f>
        <v>A12b</v>
      </c>
      <c r="E2046" s="367">
        <v>1</v>
      </c>
      <c r="F2046" s="669" t="s">
        <v>1096</v>
      </c>
      <c r="G2046" s="369">
        <v>6.5972222222222224E-2</v>
      </c>
      <c r="H2046" s="368">
        <v>9.375E-2</v>
      </c>
      <c r="I2046" s="368">
        <v>9.7222222222222224E-2</v>
      </c>
      <c r="J2046" s="368">
        <v>0.10069444444444443</v>
      </c>
      <c r="K2046" s="669">
        <v>6.5</v>
      </c>
      <c r="L2046" s="669">
        <v>19</v>
      </c>
      <c r="M2046" s="675">
        <v>22.15</v>
      </c>
      <c r="N2046" s="671">
        <f>IF(M2046-P2046&gt;0,M2046-P2046,0)</f>
        <v>3.0499999999999972</v>
      </c>
      <c r="O2046" s="671">
        <f>O2045-K2046/(PI()*(U2043/2000)^2)</f>
        <v>18.402738166125999</v>
      </c>
      <c r="P2046" s="672">
        <v>19.100000000000001</v>
      </c>
      <c r="Q2046" s="673">
        <f>ABS(O2046-P2046)</f>
        <v>0.69726183387400198</v>
      </c>
      <c r="R2046" s="375" t="s">
        <v>188</v>
      </c>
      <c r="S2046" s="366"/>
      <c r="T2046" s="376"/>
      <c r="U2046" s="376"/>
      <c r="V2046" s="366"/>
      <c r="W2046" s="366"/>
    </row>
    <row r="2047" spans="1:23">
      <c r="A2047" s="1410"/>
      <c r="B2047" s="1413"/>
      <c r="C2047" s="845" t="s">
        <v>985</v>
      </c>
      <c r="D2047" s="875" t="str">
        <f>B2045&amp;C2047</f>
        <v>A12c</v>
      </c>
      <c r="E2047" s="367">
        <v>2</v>
      </c>
      <c r="F2047" s="669" t="s">
        <v>1091</v>
      </c>
      <c r="G2047" s="369">
        <v>7.2916666666666671E-2</v>
      </c>
      <c r="H2047" s="368">
        <v>0.10416666666666667</v>
      </c>
      <c r="I2047" s="368">
        <v>0.1076388888888889</v>
      </c>
      <c r="J2047" s="368">
        <v>0.1111111111111111</v>
      </c>
      <c r="K2047" s="669">
        <v>6.5</v>
      </c>
      <c r="L2047" s="669">
        <v>20</v>
      </c>
      <c r="M2047" s="675">
        <v>19</v>
      </c>
      <c r="N2047" s="671">
        <f>IF(M2047-P2047&gt;0,M2047-P2047,0)</f>
        <v>5</v>
      </c>
      <c r="O2047" s="671">
        <f>O2046-K2047/(PI()*(U2043/2000)^2)</f>
        <v>12.655476332252</v>
      </c>
      <c r="P2047" s="672">
        <v>14</v>
      </c>
      <c r="Q2047" s="673">
        <f>ABS(O2047-P2047)</f>
        <v>1.3445236677479997</v>
      </c>
      <c r="R2047" s="375" t="s">
        <v>188</v>
      </c>
      <c r="S2047" s="366"/>
      <c r="T2047" s="376"/>
      <c r="U2047" s="376"/>
      <c r="V2047" s="366"/>
      <c r="W2047" s="366"/>
    </row>
    <row r="2048" spans="1:23">
      <c r="A2048" s="1410"/>
      <c r="B2048" s="1413"/>
      <c r="C2048" s="845" t="s">
        <v>986</v>
      </c>
      <c r="D2048" s="875" t="str">
        <f>B2045&amp;C2048</f>
        <v>A12d</v>
      </c>
      <c r="E2048" s="367">
        <v>3</v>
      </c>
      <c r="F2048" s="669" t="s">
        <v>1085</v>
      </c>
      <c r="G2048" s="368">
        <v>7.8472222222222221E-2</v>
      </c>
      <c r="H2048" s="368">
        <v>0.1111111111111111</v>
      </c>
      <c r="I2048" s="368">
        <v>0.11805555555555557</v>
      </c>
      <c r="J2048" s="368">
        <v>0.12152777777777778</v>
      </c>
      <c r="K2048" s="370">
        <v>6</v>
      </c>
      <c r="L2048" s="370">
        <v>19</v>
      </c>
      <c r="M2048" s="371">
        <v>12.7</v>
      </c>
      <c r="N2048" s="671">
        <f>IF(M2048-P2048&gt;0,M2048-P2048,0)</f>
        <v>3.7999999999999989</v>
      </c>
      <c r="O2048" s="671">
        <f>O2047-K2048/(PI()*(U2043/2000)^2)</f>
        <v>7.3503115625221556</v>
      </c>
      <c r="P2048" s="373">
        <v>8.9</v>
      </c>
      <c r="Q2048" s="673">
        <f>ABS(O2048-P2048)</f>
        <v>1.5496884374778448</v>
      </c>
      <c r="R2048" s="375" t="s">
        <v>188</v>
      </c>
      <c r="S2048" s="366"/>
      <c r="T2048" s="376"/>
      <c r="U2048" s="376"/>
      <c r="V2048" s="366"/>
      <c r="W2048" s="366"/>
    </row>
    <row r="2049" spans="1:23">
      <c r="A2049" s="1410"/>
      <c r="B2049" s="1413"/>
      <c r="C2049" s="845" t="s">
        <v>987</v>
      </c>
      <c r="D2049" s="875" t="str">
        <f>B2045&amp;C2049</f>
        <v>A12e</v>
      </c>
      <c r="E2049" s="367">
        <v>4</v>
      </c>
      <c r="F2049" s="669" t="s">
        <v>1096</v>
      </c>
      <c r="G2049" s="368">
        <v>0.13055555555555556</v>
      </c>
      <c r="H2049" s="368">
        <v>0.1423611111111111</v>
      </c>
      <c r="I2049" s="368">
        <v>0.14583333333333334</v>
      </c>
      <c r="J2049" s="368">
        <v>0.14930555555555555</v>
      </c>
      <c r="K2049" s="370">
        <v>1.6</v>
      </c>
      <c r="L2049" s="370">
        <v>19.5</v>
      </c>
      <c r="M2049" s="371">
        <v>12.7</v>
      </c>
      <c r="N2049" s="671">
        <f>IF(M2049-P2049&gt;0,M2049-P2049,0)</f>
        <v>5.3999999999999995</v>
      </c>
      <c r="O2049" s="671">
        <f>O2048-K2049/(PI()*(U2043/2000)^2)</f>
        <v>5.9356009572608635</v>
      </c>
      <c r="P2049" s="373">
        <v>7.3</v>
      </c>
      <c r="Q2049" s="673">
        <f>ABS(O2049-P2049)</f>
        <v>1.3643990427391364</v>
      </c>
      <c r="R2049" s="375"/>
      <c r="S2049" s="366"/>
      <c r="T2049" s="376"/>
      <c r="U2049" s="376"/>
      <c r="V2049" s="366"/>
      <c r="W2049" s="366"/>
    </row>
    <row r="2050" spans="1:23">
      <c r="A2050" s="1410"/>
      <c r="B2050" s="1413"/>
      <c r="C2050" s="845" t="s">
        <v>988</v>
      </c>
      <c r="D2050" s="875" t="str">
        <f>B2045&amp;C2050</f>
        <v>A12f</v>
      </c>
      <c r="E2050" s="367">
        <v>5</v>
      </c>
      <c r="F2050" s="669"/>
      <c r="G2050" s="368"/>
      <c r="H2050" s="368"/>
      <c r="I2050" s="368"/>
      <c r="J2050" s="368"/>
      <c r="K2050" s="370"/>
      <c r="L2050" s="370"/>
      <c r="M2050" s="371"/>
      <c r="N2050" s="671"/>
      <c r="O2050" s="671"/>
      <c r="P2050" s="373"/>
      <c r="Q2050" s="673"/>
      <c r="R2050" s="375"/>
      <c r="S2050" s="366" t="s">
        <v>190</v>
      </c>
      <c r="T2050" s="376"/>
      <c r="U2050" s="376"/>
      <c r="V2050" s="366"/>
      <c r="W2050" s="366"/>
    </row>
    <row r="2051" spans="1:23">
      <c r="A2051" s="1410"/>
      <c r="B2051" s="1413"/>
      <c r="C2051" s="845" t="s">
        <v>989</v>
      </c>
      <c r="D2051" s="875" t="str">
        <f>B2045&amp;C2051</f>
        <v>A12g</v>
      </c>
      <c r="E2051" s="367">
        <v>6</v>
      </c>
      <c r="F2051" s="669"/>
      <c r="G2051" s="368"/>
      <c r="H2051" s="368"/>
      <c r="I2051" s="368"/>
      <c r="J2051" s="368"/>
      <c r="K2051" s="370"/>
      <c r="L2051" s="370"/>
      <c r="M2051" s="371"/>
      <c r="N2051" s="671"/>
      <c r="O2051" s="671"/>
      <c r="P2051" s="373"/>
      <c r="Q2051" s="673"/>
      <c r="R2051" s="375"/>
      <c r="S2051" s="366" t="s">
        <v>190</v>
      </c>
      <c r="T2051" s="366"/>
      <c r="U2051" s="366"/>
      <c r="V2051" s="366"/>
      <c r="W2051" s="366"/>
    </row>
    <row r="2052" spans="1:23">
      <c r="A2052" s="1410"/>
      <c r="B2052" s="1413"/>
      <c r="C2052" s="845" t="s">
        <v>990</v>
      </c>
      <c r="D2052" s="875" t="str">
        <f>B2045&amp;C2052</f>
        <v>A12h</v>
      </c>
      <c r="E2052" s="367">
        <v>7</v>
      </c>
      <c r="F2052" s="669"/>
      <c r="G2052" s="368"/>
      <c r="H2052" s="368"/>
      <c r="I2052" s="368"/>
      <c r="J2052" s="368"/>
      <c r="K2052" s="370"/>
      <c r="L2052" s="370"/>
      <c r="M2052" s="371"/>
      <c r="N2052" s="671"/>
      <c r="O2052" s="671"/>
      <c r="P2052" s="373"/>
      <c r="Q2052" s="673"/>
      <c r="R2052" s="377"/>
      <c r="S2052" s="366" t="s">
        <v>190</v>
      </c>
      <c r="T2052" s="366"/>
      <c r="U2052" s="366"/>
      <c r="V2052" s="366"/>
      <c r="W2052" s="366"/>
    </row>
    <row r="2053" spans="1:23">
      <c r="A2053" s="1410"/>
      <c r="B2053" s="1413"/>
      <c r="C2053" s="845" t="s">
        <v>991</v>
      </c>
      <c r="D2053" s="875" t="str">
        <f>B2045&amp;C2053</f>
        <v>A12i</v>
      </c>
      <c r="E2053" s="367">
        <v>8</v>
      </c>
      <c r="F2053" s="669"/>
      <c r="G2053" s="368"/>
      <c r="H2053" s="368"/>
      <c r="I2053" s="368"/>
      <c r="J2053" s="368"/>
      <c r="K2053" s="370"/>
      <c r="L2053" s="370"/>
      <c r="M2053" s="371"/>
      <c r="N2053" s="671"/>
      <c r="O2053" s="671"/>
      <c r="P2053" s="373"/>
      <c r="Q2053" s="673"/>
      <c r="R2053" s="378"/>
      <c r="S2053" s="366"/>
      <c r="T2053" s="366"/>
      <c r="U2053" s="366"/>
      <c r="V2053" s="366"/>
      <c r="W2053" s="366"/>
    </row>
    <row r="2054" spans="1:23">
      <c r="A2054" s="1410"/>
      <c r="B2054" s="1413"/>
      <c r="C2054" s="845" t="s">
        <v>992</v>
      </c>
      <c r="D2054" s="875" t="str">
        <f>B2045&amp;C2054</f>
        <v>A12k</v>
      </c>
      <c r="E2054" s="367">
        <v>9</v>
      </c>
      <c r="F2054" s="370"/>
      <c r="G2054" s="368"/>
      <c r="H2054" s="368"/>
      <c r="I2054" s="368"/>
      <c r="J2054" s="368"/>
      <c r="K2054" s="370"/>
      <c r="L2054" s="370"/>
      <c r="M2054" s="371"/>
      <c r="N2054" s="372"/>
      <c r="O2054" s="372"/>
      <c r="P2054" s="373"/>
      <c r="Q2054" s="374"/>
      <c r="R2054" s="378"/>
      <c r="S2054" s="379"/>
      <c r="T2054" s="366"/>
      <c r="U2054" s="366"/>
      <c r="V2054" s="366"/>
      <c r="W2054" s="366"/>
    </row>
    <row r="2055" spans="1:23">
      <c r="A2055" s="1410"/>
      <c r="B2055" s="1413"/>
      <c r="C2055" s="845" t="s">
        <v>993</v>
      </c>
      <c r="D2055" s="875" t="str">
        <f>B2045&amp;C2055</f>
        <v>A12l</v>
      </c>
      <c r="E2055" s="367">
        <v>10</v>
      </c>
      <c r="F2055" s="370"/>
      <c r="G2055" s="368"/>
      <c r="H2055" s="368"/>
      <c r="I2055" s="368"/>
      <c r="J2055" s="368"/>
      <c r="K2055" s="370"/>
      <c r="L2055" s="370"/>
      <c r="M2055" s="370"/>
      <c r="N2055" s="372"/>
      <c r="O2055" s="372"/>
      <c r="P2055" s="373"/>
      <c r="Q2055" s="374"/>
      <c r="R2055" s="378"/>
      <c r="S2055" s="379"/>
      <c r="T2055" s="366"/>
      <c r="U2055" s="366"/>
      <c r="V2055" s="366"/>
      <c r="W2055" s="366"/>
    </row>
    <row r="2056" spans="1:23">
      <c r="A2056" s="1410"/>
      <c r="B2056" s="1413"/>
      <c r="C2056" s="845" t="s">
        <v>994</v>
      </c>
      <c r="D2056" s="875" t="str">
        <f>B2045&amp;C2056</f>
        <v>A12m</v>
      </c>
      <c r="E2056" s="367">
        <v>11</v>
      </c>
      <c r="F2056" s="370"/>
      <c r="G2056" s="368"/>
      <c r="H2056" s="368"/>
      <c r="I2056" s="368"/>
      <c r="J2056" s="368"/>
      <c r="K2056" s="370"/>
      <c r="L2056" s="370"/>
      <c r="M2056" s="370"/>
      <c r="N2056" s="372"/>
      <c r="O2056" s="372"/>
      <c r="P2056" s="380"/>
      <c r="Q2056" s="374"/>
      <c r="R2056" s="381"/>
      <c r="S2056" s="379"/>
      <c r="T2056" s="366"/>
      <c r="U2056" s="366"/>
      <c r="V2056" s="366"/>
      <c r="W2056" s="366"/>
    </row>
    <row r="2057" spans="1:23">
      <c r="A2057" s="1410"/>
      <c r="B2057" s="1413"/>
      <c r="C2057" s="845" t="s">
        <v>995</v>
      </c>
      <c r="D2057" s="875" t="str">
        <f>B2045&amp;C2057</f>
        <v>A12n</v>
      </c>
      <c r="E2057" s="367">
        <v>12</v>
      </c>
      <c r="F2057" s="370"/>
      <c r="G2057" s="368"/>
      <c r="H2057" s="368"/>
      <c r="I2057" s="368"/>
      <c r="J2057" s="368"/>
      <c r="K2057" s="370"/>
      <c r="L2057" s="370"/>
      <c r="M2057" s="370"/>
      <c r="N2057" s="372"/>
      <c r="O2057" s="372"/>
      <c r="P2057" s="380"/>
      <c r="Q2057" s="374"/>
      <c r="R2057" s="381"/>
      <c r="S2057" s="361"/>
      <c r="T2057" s="361"/>
      <c r="U2057" s="361"/>
      <c r="V2057" s="366"/>
      <c r="W2057" s="366"/>
    </row>
    <row r="2058" spans="1:23">
      <c r="A2058" s="1410"/>
      <c r="B2058" s="1413"/>
      <c r="C2058" s="845" t="s">
        <v>471</v>
      </c>
      <c r="D2058" s="875" t="str">
        <f>B2045&amp;C2058</f>
        <v>A12x</v>
      </c>
      <c r="E2058" s="367">
        <v>13</v>
      </c>
      <c r="F2058" s="370"/>
      <c r="G2058" s="368"/>
      <c r="H2058" s="368"/>
      <c r="I2058" s="368"/>
      <c r="J2058" s="368"/>
      <c r="K2058" s="370"/>
      <c r="L2058" s="370"/>
      <c r="M2058" s="370"/>
      <c r="N2058" s="382"/>
      <c r="O2058" s="372"/>
      <c r="P2058" s="380"/>
      <c r="Q2058" s="381"/>
      <c r="R2058" s="381"/>
      <c r="S2058" s="361"/>
      <c r="T2058" s="361"/>
      <c r="U2058" s="361"/>
      <c r="V2058" s="366"/>
      <c r="W2058" s="366"/>
    </row>
    <row r="2059" spans="1:23">
      <c r="A2059" s="1410"/>
      <c r="B2059" s="1413"/>
      <c r="C2059" s="845" t="s">
        <v>732</v>
      </c>
      <c r="D2059" s="875" t="str">
        <f>B2045&amp;C2059</f>
        <v>A12y</v>
      </c>
      <c r="E2059" s="367">
        <v>14</v>
      </c>
      <c r="F2059" s="370"/>
      <c r="G2059" s="368"/>
      <c r="H2059" s="368"/>
      <c r="I2059" s="368"/>
      <c r="J2059" s="368"/>
      <c r="K2059" s="370"/>
      <c r="L2059" s="370"/>
      <c r="M2059" s="370"/>
      <c r="N2059" s="382"/>
      <c r="O2059" s="372"/>
      <c r="P2059" s="380"/>
      <c r="Q2059" s="381"/>
      <c r="R2059" s="381"/>
      <c r="S2059" s="361"/>
      <c r="T2059" s="361"/>
      <c r="U2059" s="362"/>
      <c r="V2059" s="366"/>
      <c r="W2059" s="366"/>
    </row>
    <row r="2060" spans="1:23">
      <c r="A2060" s="1411"/>
      <c r="B2060" s="1414"/>
      <c r="C2060" s="846" t="s">
        <v>996</v>
      </c>
      <c r="D2060" s="876" t="str">
        <f>B2045&amp;C2060</f>
        <v>A12z</v>
      </c>
      <c r="E2060" s="847">
        <v>15</v>
      </c>
      <c r="F2060" s="370"/>
      <c r="G2060" s="368"/>
      <c r="H2060" s="368"/>
      <c r="I2060" s="368"/>
      <c r="J2060" s="368"/>
      <c r="K2060" s="370"/>
      <c r="L2060" s="370"/>
      <c r="M2060" s="370"/>
      <c r="N2060" s="850"/>
      <c r="O2060" s="851"/>
      <c r="P2060" s="380"/>
      <c r="Q2060" s="852"/>
      <c r="R2060" s="383"/>
      <c r="S2060" s="361"/>
      <c r="T2060" s="832"/>
      <c r="U2060" s="830"/>
      <c r="V2060" s="366"/>
      <c r="W2060" s="366"/>
    </row>
    <row r="2061" spans="1:23">
      <c r="A2061" s="1400" t="s">
        <v>939</v>
      </c>
      <c r="B2061" s="1400"/>
      <c r="C2061" s="827"/>
      <c r="D2061" s="871"/>
      <c r="E2061" s="1400" t="s">
        <v>177</v>
      </c>
      <c r="F2061" s="1400" t="s">
        <v>18</v>
      </c>
      <c r="G2061" s="1389" t="s">
        <v>19</v>
      </c>
      <c r="H2061" s="1390"/>
      <c r="I2061" s="1389" t="s">
        <v>22</v>
      </c>
      <c r="J2061" s="1390"/>
      <c r="K2061" s="1393" t="s">
        <v>26</v>
      </c>
      <c r="L2061" s="1390"/>
      <c r="M2061" s="1389" t="s">
        <v>392</v>
      </c>
      <c r="N2061" s="1390"/>
      <c r="O2061" s="1389" t="s">
        <v>28</v>
      </c>
      <c r="P2061" s="1393"/>
      <c r="Q2061" s="1390"/>
      <c r="R2061" s="1400" t="s">
        <v>36</v>
      </c>
      <c r="S2061" s="361"/>
      <c r="T2061" s="361">
        <f>MAX(J2065:J2079)-MIN(I2065:I2079)</f>
        <v>5.902777777777779E-2</v>
      </c>
      <c r="U2061" s="361"/>
      <c r="V2061" s="853" t="str">
        <f t="shared" ref="V2061" si="216">B2065</f>
        <v>A93</v>
      </c>
      <c r="W2061" s="361">
        <f t="shared" ref="W2061" si="217">COUNTIF(K2066:K2080,"&gt;0")</f>
        <v>3</v>
      </c>
    </row>
    <row r="2062" spans="1:23">
      <c r="A2062" s="1401"/>
      <c r="B2062" s="1401"/>
      <c r="C2062" s="828"/>
      <c r="D2062" s="872"/>
      <c r="E2062" s="1401"/>
      <c r="F2062" s="1401"/>
      <c r="G2062" s="1391"/>
      <c r="H2062" s="1392"/>
      <c r="I2062" s="1391"/>
      <c r="J2062" s="1392"/>
      <c r="K2062" s="1394"/>
      <c r="L2062" s="1392"/>
      <c r="M2062" s="1391"/>
      <c r="N2062" s="1392"/>
      <c r="O2062" s="1391"/>
      <c r="P2062" s="1394"/>
      <c r="Q2062" s="1392"/>
      <c r="R2062" s="1401"/>
      <c r="S2062" s="361"/>
      <c r="T2062" s="361"/>
      <c r="U2062" s="361"/>
      <c r="V2062" s="361"/>
      <c r="W2062" s="361"/>
    </row>
    <row r="2063" spans="1:23">
      <c r="A2063" s="1401"/>
      <c r="B2063" s="1401"/>
      <c r="C2063" s="828"/>
      <c r="D2063" s="872"/>
      <c r="E2063" s="1401"/>
      <c r="F2063" s="1401"/>
      <c r="G2063" s="1400" t="s">
        <v>20</v>
      </c>
      <c r="H2063" s="1400" t="s">
        <v>21</v>
      </c>
      <c r="I2063" s="1400" t="s">
        <v>361</v>
      </c>
      <c r="J2063" s="1400" t="s">
        <v>353</v>
      </c>
      <c r="K2063" s="1400" t="s">
        <v>23</v>
      </c>
      <c r="L2063" s="1400" t="s">
        <v>24</v>
      </c>
      <c r="M2063" s="1400" t="s">
        <v>27</v>
      </c>
      <c r="N2063" s="1400" t="s">
        <v>178</v>
      </c>
      <c r="O2063" s="1400" t="s">
        <v>1</v>
      </c>
      <c r="P2063" s="1400" t="s">
        <v>29</v>
      </c>
      <c r="Q2063" s="1400" t="s">
        <v>33</v>
      </c>
      <c r="R2063" s="1401"/>
      <c r="S2063" s="361"/>
      <c r="T2063" s="361" t="s">
        <v>39</v>
      </c>
      <c r="U2063" s="362">
        <f>VLOOKUP(B2065,'Thong tin'!$A:$M,13,0)</f>
        <v>1200</v>
      </c>
      <c r="V2063" s="361"/>
      <c r="W2063" s="361"/>
    </row>
    <row r="2064" spans="1:23">
      <c r="A2064" s="1402"/>
      <c r="B2064" s="1402"/>
      <c r="C2064" s="829"/>
      <c r="D2064" s="873"/>
      <c r="E2064" s="1402"/>
      <c r="F2064" s="1402"/>
      <c r="G2064" s="1402"/>
      <c r="H2064" s="1402"/>
      <c r="I2064" s="1402"/>
      <c r="J2064" s="1402"/>
      <c r="K2064" s="1402"/>
      <c r="L2064" s="1402"/>
      <c r="M2064" s="1402"/>
      <c r="N2064" s="1402"/>
      <c r="O2064" s="1402"/>
      <c r="P2064" s="1402"/>
      <c r="Q2064" s="1402"/>
      <c r="R2064" s="1402"/>
      <c r="S2064" s="361"/>
      <c r="T2064" s="1399" t="s">
        <v>393</v>
      </c>
      <c r="U2064" s="1397">
        <f>VLOOKUP(B2065,DT.NK!$B:$AZ,45,0)</f>
        <v>26.4</v>
      </c>
      <c r="V2064" s="361"/>
      <c r="W2064" s="361"/>
    </row>
    <row r="2065" spans="1:23">
      <c r="A2065" s="1409">
        <f>A2045+1</f>
        <v>104</v>
      </c>
      <c r="B2065" s="1412" t="s">
        <v>501</v>
      </c>
      <c r="C2065" s="844" t="s">
        <v>983</v>
      </c>
      <c r="D2065" s="874" t="str">
        <f>B2065&amp;C2065</f>
        <v>A93a</v>
      </c>
      <c r="E2065" s="363"/>
      <c r="F2065" s="364"/>
      <c r="G2065" s="364"/>
      <c r="H2065" s="364"/>
      <c r="I2065" s="364"/>
      <c r="J2065" s="364"/>
      <c r="K2065" s="364"/>
      <c r="L2065" s="364"/>
      <c r="M2065" s="674"/>
      <c r="N2065" s="670"/>
      <c r="O2065" s="670">
        <f>U2064</f>
        <v>26.4</v>
      </c>
      <c r="P2065" s="670">
        <f>O2065</f>
        <v>26.4</v>
      </c>
      <c r="Q2065" s="670">
        <v>0</v>
      </c>
      <c r="R2065" s="365"/>
      <c r="S2065" s="366"/>
      <c r="T2065" s="1399"/>
      <c r="U2065" s="1398"/>
      <c r="V2065" s="361"/>
      <c r="W2065" s="361"/>
    </row>
    <row r="2066" spans="1:23">
      <c r="A2066" s="1410"/>
      <c r="B2066" s="1413"/>
      <c r="C2066" s="845" t="s">
        <v>984</v>
      </c>
      <c r="D2066" s="875" t="str">
        <f>B2065&amp;C2066</f>
        <v>A93b</v>
      </c>
      <c r="E2066" s="367">
        <v>1</v>
      </c>
      <c r="F2066" s="669" t="s">
        <v>1089</v>
      </c>
      <c r="G2066" s="369">
        <v>0.1423611111111111</v>
      </c>
      <c r="H2066" s="368">
        <v>0.16666666666666666</v>
      </c>
      <c r="I2066" s="368">
        <v>0.17013888888888887</v>
      </c>
      <c r="J2066" s="368">
        <v>0.17569444444444446</v>
      </c>
      <c r="K2066" s="669">
        <v>12</v>
      </c>
      <c r="L2066" s="669">
        <v>19</v>
      </c>
      <c r="M2066" s="675">
        <v>21.25</v>
      </c>
      <c r="N2066" s="671">
        <f>IF(M2066-P2066&gt;0,M2066-P2066,0)</f>
        <v>2.0500000000000007</v>
      </c>
      <c r="O2066" s="671">
        <f>O2065-K2066/(PI()*(U2063/2000)^2)</f>
        <v>15.789670460540309</v>
      </c>
      <c r="P2066" s="672">
        <v>19.2</v>
      </c>
      <c r="Q2066" s="673">
        <f>ABS(O2066-P2066)</f>
        <v>3.4103295394596902</v>
      </c>
      <c r="R2066" s="375" t="s">
        <v>188</v>
      </c>
      <c r="S2066" s="366"/>
      <c r="T2066" s="376"/>
      <c r="U2066" s="376"/>
      <c r="V2066" s="366"/>
      <c r="W2066" s="366"/>
    </row>
    <row r="2067" spans="1:23">
      <c r="A2067" s="1410"/>
      <c r="B2067" s="1413"/>
      <c r="C2067" s="845" t="s">
        <v>985</v>
      </c>
      <c r="D2067" s="875" t="str">
        <f>B2065&amp;C2067</f>
        <v>A93c</v>
      </c>
      <c r="E2067" s="367">
        <v>2</v>
      </c>
      <c r="F2067" s="669" t="s">
        <v>1091</v>
      </c>
      <c r="G2067" s="369">
        <v>0.15277777777777776</v>
      </c>
      <c r="H2067" s="368">
        <v>0.17708333333333334</v>
      </c>
      <c r="I2067" s="368">
        <v>0.18055555555555555</v>
      </c>
      <c r="J2067" s="368">
        <v>0.18263888888888891</v>
      </c>
      <c r="K2067" s="669">
        <v>12</v>
      </c>
      <c r="L2067" s="669">
        <v>20</v>
      </c>
      <c r="M2067" s="675">
        <v>11.8</v>
      </c>
      <c r="N2067" s="671">
        <f>IF(M2067-P2067&gt;0,M2067-P2067,0)</f>
        <v>2.4000000000000004</v>
      </c>
      <c r="O2067" s="671">
        <f>O2066-K2067/(PI()*(U2063/2000)^2)</f>
        <v>5.1793409210806196</v>
      </c>
      <c r="P2067" s="672">
        <v>9.4</v>
      </c>
      <c r="Q2067" s="673">
        <f>ABS(O2067-P2067)</f>
        <v>4.2206590789193807</v>
      </c>
      <c r="R2067" s="375" t="s">
        <v>188</v>
      </c>
      <c r="S2067" s="366"/>
      <c r="T2067" s="376"/>
      <c r="U2067" s="376"/>
      <c r="V2067" s="366"/>
      <c r="W2067" s="366"/>
    </row>
    <row r="2068" spans="1:23">
      <c r="A2068" s="1410"/>
      <c r="B2068" s="1413"/>
      <c r="C2068" s="845" t="s">
        <v>986</v>
      </c>
      <c r="D2068" s="875" t="str">
        <f>B2065&amp;C2068</f>
        <v>A93d</v>
      </c>
      <c r="E2068" s="367">
        <v>3</v>
      </c>
      <c r="F2068" s="669" t="s">
        <v>1085</v>
      </c>
      <c r="G2068" s="368">
        <v>0.20416666666666669</v>
      </c>
      <c r="H2068" s="368">
        <v>0.22222222222222221</v>
      </c>
      <c r="I2068" s="368">
        <v>0.22569444444444445</v>
      </c>
      <c r="J2068" s="368">
        <v>0.22916666666666666</v>
      </c>
      <c r="K2068" s="370">
        <v>3</v>
      </c>
      <c r="L2068" s="370">
        <v>19</v>
      </c>
      <c r="M2068" s="371">
        <v>11.8</v>
      </c>
      <c r="N2068" s="671">
        <f>IF(M2068-P2068&gt;0,M2068-P2068,0)</f>
        <v>4.3000000000000007</v>
      </c>
      <c r="O2068" s="671">
        <f>O2067-K2068/(PI()*(U2063/2000)^2)</f>
        <v>2.5267585362156972</v>
      </c>
      <c r="P2068" s="373">
        <v>7.5</v>
      </c>
      <c r="Q2068" s="673">
        <f>ABS(O2068-P2068)</f>
        <v>4.9732414637843032</v>
      </c>
      <c r="R2068" s="375" t="s">
        <v>188</v>
      </c>
      <c r="S2068" s="366"/>
      <c r="T2068" s="376"/>
      <c r="U2068" s="376"/>
      <c r="V2068" s="366"/>
      <c r="W2068" s="366"/>
    </row>
    <row r="2069" spans="1:23">
      <c r="A2069" s="1410"/>
      <c r="B2069" s="1413"/>
      <c r="C2069" s="845" t="s">
        <v>987</v>
      </c>
      <c r="D2069" s="875" t="str">
        <f>B2065&amp;C2069</f>
        <v>A93e</v>
      </c>
      <c r="E2069" s="367">
        <v>4</v>
      </c>
      <c r="F2069" s="669"/>
      <c r="G2069" s="368"/>
      <c r="H2069" s="368"/>
      <c r="I2069" s="368"/>
      <c r="J2069" s="368"/>
      <c r="K2069" s="370"/>
      <c r="L2069" s="370"/>
      <c r="M2069" s="371"/>
      <c r="N2069" s="671"/>
      <c r="O2069" s="671"/>
      <c r="P2069" s="373"/>
      <c r="Q2069" s="673"/>
      <c r="R2069" s="375"/>
      <c r="S2069" s="366"/>
      <c r="T2069" s="376"/>
      <c r="U2069" s="376"/>
      <c r="V2069" s="366"/>
      <c r="W2069" s="366"/>
    </row>
    <row r="2070" spans="1:23">
      <c r="A2070" s="1410"/>
      <c r="B2070" s="1413"/>
      <c r="C2070" s="845" t="s">
        <v>988</v>
      </c>
      <c r="D2070" s="875" t="str">
        <f>B2065&amp;C2070</f>
        <v>A93f</v>
      </c>
      <c r="E2070" s="367">
        <v>5</v>
      </c>
      <c r="F2070" s="669"/>
      <c r="G2070" s="368"/>
      <c r="H2070" s="368"/>
      <c r="I2070" s="368"/>
      <c r="J2070" s="368"/>
      <c r="K2070" s="370"/>
      <c r="L2070" s="370"/>
      <c r="M2070" s="371"/>
      <c r="N2070" s="671"/>
      <c r="O2070" s="671"/>
      <c r="P2070" s="373"/>
      <c r="Q2070" s="673"/>
      <c r="R2070" s="375"/>
      <c r="S2070" s="366" t="s">
        <v>190</v>
      </c>
      <c r="T2070" s="376"/>
      <c r="U2070" s="376"/>
      <c r="V2070" s="366"/>
      <c r="W2070" s="366"/>
    </row>
    <row r="2071" spans="1:23">
      <c r="A2071" s="1410"/>
      <c r="B2071" s="1413"/>
      <c r="C2071" s="845" t="s">
        <v>989</v>
      </c>
      <c r="D2071" s="875" t="str">
        <f>B2065&amp;C2071</f>
        <v>A93g</v>
      </c>
      <c r="E2071" s="367">
        <v>6</v>
      </c>
      <c r="F2071" s="669"/>
      <c r="G2071" s="368"/>
      <c r="H2071" s="368"/>
      <c r="I2071" s="368"/>
      <c r="J2071" s="368"/>
      <c r="K2071" s="370"/>
      <c r="L2071" s="370"/>
      <c r="M2071" s="371"/>
      <c r="N2071" s="671"/>
      <c r="O2071" s="671"/>
      <c r="P2071" s="373"/>
      <c r="Q2071" s="673"/>
      <c r="R2071" s="375"/>
      <c r="S2071" s="366" t="s">
        <v>190</v>
      </c>
      <c r="T2071" s="366"/>
      <c r="U2071" s="366"/>
      <c r="V2071" s="366"/>
      <c r="W2071" s="366"/>
    </row>
    <row r="2072" spans="1:23">
      <c r="A2072" s="1410"/>
      <c r="B2072" s="1413"/>
      <c r="C2072" s="845" t="s">
        <v>990</v>
      </c>
      <c r="D2072" s="875" t="str">
        <f>B2065&amp;C2072</f>
        <v>A93h</v>
      </c>
      <c r="E2072" s="367">
        <v>7</v>
      </c>
      <c r="F2072" s="669"/>
      <c r="G2072" s="368"/>
      <c r="H2072" s="368"/>
      <c r="I2072" s="368"/>
      <c r="J2072" s="368"/>
      <c r="K2072" s="370"/>
      <c r="L2072" s="370"/>
      <c r="M2072" s="371"/>
      <c r="N2072" s="671"/>
      <c r="O2072" s="671"/>
      <c r="P2072" s="373"/>
      <c r="Q2072" s="673"/>
      <c r="R2072" s="377"/>
      <c r="S2072" s="366" t="s">
        <v>190</v>
      </c>
      <c r="T2072" s="366"/>
      <c r="U2072" s="366"/>
      <c r="V2072" s="366"/>
      <c r="W2072" s="366"/>
    </row>
    <row r="2073" spans="1:23">
      <c r="A2073" s="1410"/>
      <c r="B2073" s="1413"/>
      <c r="C2073" s="845" t="s">
        <v>991</v>
      </c>
      <c r="D2073" s="875" t="str">
        <f>B2065&amp;C2073</f>
        <v>A93i</v>
      </c>
      <c r="E2073" s="367">
        <v>8</v>
      </c>
      <c r="F2073" s="669"/>
      <c r="G2073" s="368"/>
      <c r="H2073" s="368"/>
      <c r="I2073" s="368"/>
      <c r="J2073" s="368"/>
      <c r="K2073" s="370"/>
      <c r="L2073" s="370"/>
      <c r="M2073" s="371"/>
      <c r="N2073" s="671"/>
      <c r="O2073" s="671"/>
      <c r="P2073" s="373"/>
      <c r="Q2073" s="673"/>
      <c r="R2073" s="378"/>
      <c r="S2073" s="366"/>
      <c r="T2073" s="366"/>
      <c r="U2073" s="366"/>
      <c r="V2073" s="366"/>
      <c r="W2073" s="366"/>
    </row>
    <row r="2074" spans="1:23">
      <c r="A2074" s="1410"/>
      <c r="B2074" s="1413"/>
      <c r="C2074" s="845" t="s">
        <v>992</v>
      </c>
      <c r="D2074" s="875" t="str">
        <f>B2065&amp;C2074</f>
        <v>A93k</v>
      </c>
      <c r="E2074" s="367">
        <v>9</v>
      </c>
      <c r="F2074" s="370"/>
      <c r="G2074" s="368"/>
      <c r="H2074" s="368"/>
      <c r="I2074" s="368"/>
      <c r="J2074" s="368"/>
      <c r="K2074" s="370"/>
      <c r="L2074" s="370"/>
      <c r="M2074" s="371"/>
      <c r="N2074" s="372"/>
      <c r="O2074" s="372"/>
      <c r="P2074" s="373"/>
      <c r="Q2074" s="374"/>
      <c r="R2074" s="378"/>
      <c r="S2074" s="379"/>
      <c r="T2074" s="366"/>
      <c r="U2074" s="366"/>
      <c r="V2074" s="366"/>
      <c r="W2074" s="366"/>
    </row>
    <row r="2075" spans="1:23">
      <c r="A2075" s="1410"/>
      <c r="B2075" s="1413"/>
      <c r="C2075" s="845" t="s">
        <v>993</v>
      </c>
      <c r="D2075" s="875" t="str">
        <f>B2065&amp;C2075</f>
        <v>A93l</v>
      </c>
      <c r="E2075" s="367">
        <v>10</v>
      </c>
      <c r="F2075" s="370"/>
      <c r="G2075" s="368"/>
      <c r="H2075" s="368"/>
      <c r="I2075" s="368"/>
      <c r="J2075" s="368"/>
      <c r="K2075" s="370"/>
      <c r="L2075" s="370"/>
      <c r="M2075" s="370"/>
      <c r="N2075" s="372"/>
      <c r="O2075" s="372"/>
      <c r="P2075" s="373"/>
      <c r="Q2075" s="374"/>
      <c r="R2075" s="378"/>
      <c r="S2075" s="379"/>
      <c r="T2075" s="366"/>
      <c r="U2075" s="366"/>
      <c r="V2075" s="366"/>
      <c r="W2075" s="366"/>
    </row>
    <row r="2076" spans="1:23">
      <c r="A2076" s="1410"/>
      <c r="B2076" s="1413"/>
      <c r="C2076" s="845" t="s">
        <v>994</v>
      </c>
      <c r="D2076" s="875" t="str">
        <f>B2065&amp;C2076</f>
        <v>A93m</v>
      </c>
      <c r="E2076" s="367">
        <v>11</v>
      </c>
      <c r="F2076" s="370"/>
      <c r="G2076" s="368"/>
      <c r="H2076" s="368"/>
      <c r="I2076" s="368"/>
      <c r="J2076" s="368"/>
      <c r="K2076" s="370"/>
      <c r="L2076" s="370"/>
      <c r="M2076" s="370"/>
      <c r="N2076" s="372"/>
      <c r="O2076" s="372"/>
      <c r="P2076" s="380"/>
      <c r="Q2076" s="374"/>
      <c r="R2076" s="381"/>
      <c r="S2076" s="379"/>
      <c r="T2076" s="366"/>
      <c r="U2076" s="366"/>
      <c r="V2076" s="366"/>
      <c r="W2076" s="366"/>
    </row>
    <row r="2077" spans="1:23">
      <c r="A2077" s="1410"/>
      <c r="B2077" s="1413"/>
      <c r="C2077" s="845" t="s">
        <v>995</v>
      </c>
      <c r="D2077" s="875" t="str">
        <f>B2065&amp;C2077</f>
        <v>A93n</v>
      </c>
      <c r="E2077" s="367">
        <v>12</v>
      </c>
      <c r="F2077" s="370"/>
      <c r="G2077" s="368"/>
      <c r="H2077" s="368"/>
      <c r="I2077" s="368"/>
      <c r="J2077" s="368"/>
      <c r="K2077" s="370"/>
      <c r="L2077" s="370"/>
      <c r="M2077" s="370"/>
      <c r="N2077" s="372"/>
      <c r="O2077" s="372"/>
      <c r="P2077" s="380"/>
      <c r="Q2077" s="374"/>
      <c r="R2077" s="381"/>
      <c r="S2077" s="361"/>
      <c r="T2077" s="361"/>
      <c r="U2077" s="361"/>
      <c r="V2077" s="366"/>
      <c r="W2077" s="366"/>
    </row>
    <row r="2078" spans="1:23">
      <c r="A2078" s="1410"/>
      <c r="B2078" s="1413"/>
      <c r="C2078" s="845" t="s">
        <v>471</v>
      </c>
      <c r="D2078" s="875" t="str">
        <f>B2065&amp;C2078</f>
        <v>A93x</v>
      </c>
      <c r="E2078" s="367">
        <v>13</v>
      </c>
      <c r="F2078" s="370"/>
      <c r="G2078" s="368"/>
      <c r="H2078" s="368"/>
      <c r="I2078" s="368"/>
      <c r="J2078" s="368"/>
      <c r="K2078" s="370"/>
      <c r="L2078" s="370"/>
      <c r="M2078" s="370"/>
      <c r="N2078" s="382"/>
      <c r="O2078" s="372"/>
      <c r="P2078" s="380"/>
      <c r="Q2078" s="381"/>
      <c r="R2078" s="381"/>
      <c r="S2078" s="361"/>
      <c r="T2078" s="361"/>
      <c r="U2078" s="361"/>
      <c r="V2078" s="366"/>
      <c r="W2078" s="366"/>
    </row>
    <row r="2079" spans="1:23">
      <c r="A2079" s="1410"/>
      <c r="B2079" s="1413"/>
      <c r="C2079" s="845" t="s">
        <v>732</v>
      </c>
      <c r="D2079" s="875" t="str">
        <f>B2065&amp;C2079</f>
        <v>A93y</v>
      </c>
      <c r="E2079" s="367">
        <v>14</v>
      </c>
      <c r="F2079" s="370"/>
      <c r="G2079" s="368"/>
      <c r="H2079" s="368"/>
      <c r="I2079" s="368"/>
      <c r="J2079" s="368"/>
      <c r="K2079" s="370"/>
      <c r="L2079" s="370"/>
      <c r="M2079" s="370"/>
      <c r="N2079" s="382"/>
      <c r="O2079" s="372"/>
      <c r="P2079" s="380"/>
      <c r="Q2079" s="381"/>
      <c r="R2079" s="381"/>
      <c r="S2079" s="361"/>
      <c r="T2079" s="361"/>
      <c r="U2079" s="362"/>
      <c r="V2079" s="366"/>
      <c r="W2079" s="366"/>
    </row>
    <row r="2080" spans="1:23">
      <c r="A2080" s="1411"/>
      <c r="B2080" s="1414"/>
      <c r="C2080" s="846" t="s">
        <v>996</v>
      </c>
      <c r="D2080" s="876" t="str">
        <f>B2065&amp;C2080</f>
        <v>A93z</v>
      </c>
      <c r="E2080" s="847">
        <v>15</v>
      </c>
      <c r="F2080" s="370"/>
      <c r="G2080" s="368"/>
      <c r="H2080" s="368"/>
      <c r="I2080" s="368"/>
      <c r="J2080" s="368"/>
      <c r="K2080" s="370"/>
      <c r="L2080" s="370"/>
      <c r="M2080" s="370"/>
      <c r="N2080" s="850"/>
      <c r="O2080" s="851"/>
      <c r="P2080" s="380"/>
      <c r="Q2080" s="852"/>
      <c r="R2080" s="383"/>
      <c r="S2080" s="361"/>
      <c r="T2080" s="832"/>
      <c r="U2080" s="830"/>
      <c r="V2080" s="366"/>
      <c r="W2080" s="366"/>
    </row>
    <row r="2081" spans="1:23">
      <c r="A2081" s="1400" t="s">
        <v>939</v>
      </c>
      <c r="B2081" s="1400"/>
      <c r="C2081" s="827"/>
      <c r="D2081" s="871"/>
      <c r="E2081" s="1400" t="s">
        <v>177</v>
      </c>
      <c r="F2081" s="1400" t="s">
        <v>18</v>
      </c>
      <c r="G2081" s="1389" t="s">
        <v>19</v>
      </c>
      <c r="H2081" s="1390"/>
      <c r="I2081" s="1389" t="s">
        <v>22</v>
      </c>
      <c r="J2081" s="1390"/>
      <c r="K2081" s="1393" t="s">
        <v>26</v>
      </c>
      <c r="L2081" s="1390"/>
      <c r="M2081" s="1389" t="s">
        <v>392</v>
      </c>
      <c r="N2081" s="1390"/>
      <c r="O2081" s="1389" t="s">
        <v>28</v>
      </c>
      <c r="P2081" s="1393"/>
      <c r="Q2081" s="1390"/>
      <c r="R2081" s="1400" t="s">
        <v>36</v>
      </c>
      <c r="S2081" s="361"/>
      <c r="T2081" s="361">
        <f>MAX(J2085:J2099)-MIN(I2085:I2099)</f>
        <v>4.1666666666666685E-2</v>
      </c>
      <c r="U2081" s="361"/>
      <c r="V2081" s="853" t="str">
        <f t="shared" ref="V2081" si="218">B2085</f>
        <v>A77</v>
      </c>
      <c r="W2081" s="361">
        <f t="shared" ref="W2081" si="219">COUNTIF(K2086:K2100,"&gt;0")</f>
        <v>3</v>
      </c>
    </row>
    <row r="2082" spans="1:23">
      <c r="A2082" s="1401"/>
      <c r="B2082" s="1401"/>
      <c r="C2082" s="828"/>
      <c r="D2082" s="872"/>
      <c r="E2082" s="1401"/>
      <c r="F2082" s="1401"/>
      <c r="G2082" s="1391"/>
      <c r="H2082" s="1392"/>
      <c r="I2082" s="1391"/>
      <c r="J2082" s="1392"/>
      <c r="K2082" s="1394"/>
      <c r="L2082" s="1392"/>
      <c r="M2082" s="1391"/>
      <c r="N2082" s="1392"/>
      <c r="O2082" s="1391"/>
      <c r="P2082" s="1394"/>
      <c r="Q2082" s="1392"/>
      <c r="R2082" s="1401"/>
      <c r="S2082" s="361"/>
      <c r="T2082" s="361"/>
      <c r="U2082" s="361"/>
      <c r="V2082" s="361"/>
      <c r="W2082" s="361"/>
    </row>
    <row r="2083" spans="1:23">
      <c r="A2083" s="1401"/>
      <c r="B2083" s="1401"/>
      <c r="C2083" s="828"/>
      <c r="D2083" s="872"/>
      <c r="E2083" s="1401"/>
      <c r="F2083" s="1401"/>
      <c r="G2083" s="1400" t="s">
        <v>20</v>
      </c>
      <c r="H2083" s="1400" t="s">
        <v>21</v>
      </c>
      <c r="I2083" s="1400" t="s">
        <v>361</v>
      </c>
      <c r="J2083" s="1400" t="s">
        <v>353</v>
      </c>
      <c r="K2083" s="1400" t="s">
        <v>23</v>
      </c>
      <c r="L2083" s="1400" t="s">
        <v>24</v>
      </c>
      <c r="M2083" s="1400" t="s">
        <v>27</v>
      </c>
      <c r="N2083" s="1400" t="s">
        <v>178</v>
      </c>
      <c r="O2083" s="1400" t="s">
        <v>1</v>
      </c>
      <c r="P2083" s="1400" t="s">
        <v>29</v>
      </c>
      <c r="Q2083" s="1400" t="s">
        <v>33</v>
      </c>
      <c r="R2083" s="1401"/>
      <c r="S2083" s="361"/>
      <c r="T2083" s="361" t="s">
        <v>39</v>
      </c>
      <c r="U2083" s="362">
        <f>VLOOKUP(B2085,'Thong tin'!$A:$M,13,0)</f>
        <v>1200</v>
      </c>
      <c r="V2083" s="361"/>
      <c r="W2083" s="361"/>
    </row>
    <row r="2084" spans="1:23">
      <c r="A2084" s="1402"/>
      <c r="B2084" s="1402"/>
      <c r="C2084" s="829"/>
      <c r="D2084" s="873"/>
      <c r="E2084" s="1402"/>
      <c r="F2084" s="1402"/>
      <c r="G2084" s="1402"/>
      <c r="H2084" s="1402"/>
      <c r="I2084" s="1402"/>
      <c r="J2084" s="1402"/>
      <c r="K2084" s="1402"/>
      <c r="L2084" s="1402"/>
      <c r="M2084" s="1402"/>
      <c r="N2084" s="1402"/>
      <c r="O2084" s="1402"/>
      <c r="P2084" s="1402"/>
      <c r="Q2084" s="1402"/>
      <c r="R2084" s="1402"/>
      <c r="S2084" s="361"/>
      <c r="T2084" s="1399" t="s">
        <v>393</v>
      </c>
      <c r="U2084" s="1397">
        <f>VLOOKUP(B2085,DT.NK!$B:$AZ,45,0)</f>
        <v>27.3</v>
      </c>
      <c r="V2084" s="361"/>
      <c r="W2084" s="361"/>
    </row>
    <row r="2085" spans="1:23">
      <c r="A2085" s="1409">
        <f>A2065+1</f>
        <v>105</v>
      </c>
      <c r="B2085" s="1412" t="s">
        <v>643</v>
      </c>
      <c r="C2085" s="844" t="s">
        <v>983</v>
      </c>
      <c r="D2085" s="874" t="str">
        <f>B2085&amp;C2085</f>
        <v>A77a</v>
      </c>
      <c r="E2085" s="363"/>
      <c r="F2085" s="364"/>
      <c r="G2085" s="364"/>
      <c r="H2085" s="364"/>
      <c r="I2085" s="364"/>
      <c r="J2085" s="364"/>
      <c r="K2085" s="364"/>
      <c r="L2085" s="364"/>
      <c r="M2085" s="674"/>
      <c r="N2085" s="670"/>
      <c r="O2085" s="670">
        <f>U2084</f>
        <v>27.3</v>
      </c>
      <c r="P2085" s="670">
        <f>O2085</f>
        <v>27.3</v>
      </c>
      <c r="Q2085" s="670">
        <v>0</v>
      </c>
      <c r="R2085" s="365"/>
      <c r="S2085" s="366"/>
      <c r="T2085" s="1399"/>
      <c r="U2085" s="1398"/>
      <c r="V2085" s="361"/>
      <c r="W2085" s="361"/>
    </row>
    <row r="2086" spans="1:23">
      <c r="A2086" s="1410"/>
      <c r="B2086" s="1413"/>
      <c r="C2086" s="845" t="s">
        <v>984</v>
      </c>
      <c r="D2086" s="875" t="str">
        <f>B2085&amp;C2086</f>
        <v>A77b</v>
      </c>
      <c r="E2086" s="367">
        <v>1</v>
      </c>
      <c r="F2086" s="669" t="s">
        <v>1091</v>
      </c>
      <c r="G2086" s="369">
        <v>8.4027777777777771E-2</v>
      </c>
      <c r="H2086" s="368">
        <v>0.11458333333333333</v>
      </c>
      <c r="I2086" s="368">
        <v>0.13194444444444445</v>
      </c>
      <c r="J2086" s="368">
        <v>0.13680555555555554</v>
      </c>
      <c r="K2086" s="669">
        <v>12</v>
      </c>
      <c r="L2086" s="669">
        <v>19</v>
      </c>
      <c r="M2086" s="675">
        <v>22.15</v>
      </c>
      <c r="N2086" s="671">
        <f>IF(M2086-P2086&gt;0,M2086-P2086,0)</f>
        <v>2.3499999999999979</v>
      </c>
      <c r="O2086" s="671">
        <f>O2085-K2086/(PI()*(U2083/2000)^2)</f>
        <v>16.689670460540313</v>
      </c>
      <c r="P2086" s="672">
        <v>19.8</v>
      </c>
      <c r="Q2086" s="673">
        <f>ABS(O2086-P2086)</f>
        <v>3.1103295394596877</v>
      </c>
      <c r="R2086" s="375" t="s">
        <v>188</v>
      </c>
      <c r="S2086" s="366"/>
      <c r="T2086" s="376"/>
      <c r="U2086" s="376"/>
      <c r="V2086" s="366"/>
      <c r="W2086" s="366"/>
    </row>
    <row r="2087" spans="1:23">
      <c r="A2087" s="1410"/>
      <c r="B2087" s="1413"/>
      <c r="C2087" s="845" t="s">
        <v>985</v>
      </c>
      <c r="D2087" s="875" t="str">
        <f>B2085&amp;C2087</f>
        <v>A77c</v>
      </c>
      <c r="E2087" s="367">
        <v>2</v>
      </c>
      <c r="F2087" s="669" t="s">
        <v>1096</v>
      </c>
      <c r="G2087" s="369">
        <v>9.1666666666666674E-2</v>
      </c>
      <c r="H2087" s="368">
        <v>0.125</v>
      </c>
      <c r="I2087" s="368">
        <v>0.1423611111111111</v>
      </c>
      <c r="J2087" s="368">
        <v>0.15</v>
      </c>
      <c r="K2087" s="669">
        <v>12</v>
      </c>
      <c r="L2087" s="669">
        <v>20</v>
      </c>
      <c r="M2087" s="675">
        <v>12.7</v>
      </c>
      <c r="N2087" s="671">
        <f>IF(M2087-P2087&gt;0,M2087-P2087,0)</f>
        <v>3.5</v>
      </c>
      <c r="O2087" s="671">
        <f>O2086-K2087/(PI()*(U2083/2000)^2)</f>
        <v>6.0793409210806235</v>
      </c>
      <c r="P2087" s="672">
        <v>9.1999999999999993</v>
      </c>
      <c r="Q2087" s="673">
        <f>ABS(O2087-P2087)</f>
        <v>3.1206590789193758</v>
      </c>
      <c r="R2087" s="375" t="s">
        <v>188</v>
      </c>
      <c r="S2087" s="366"/>
      <c r="T2087" s="376"/>
      <c r="U2087" s="376"/>
      <c r="V2087" s="366"/>
      <c r="W2087" s="366"/>
    </row>
    <row r="2088" spans="1:23">
      <c r="A2088" s="1410"/>
      <c r="B2088" s="1413"/>
      <c r="C2088" s="845" t="s">
        <v>986</v>
      </c>
      <c r="D2088" s="875" t="str">
        <f>B2085&amp;C2088</f>
        <v>A77d</v>
      </c>
      <c r="E2088" s="367">
        <v>3</v>
      </c>
      <c r="F2088" s="669" t="s">
        <v>1089</v>
      </c>
      <c r="G2088" s="368">
        <v>0.15138888888888888</v>
      </c>
      <c r="H2088" s="368">
        <v>0.16666666666666666</v>
      </c>
      <c r="I2088" s="368">
        <v>0.17013888888888887</v>
      </c>
      <c r="J2088" s="368">
        <v>0.17361111111111113</v>
      </c>
      <c r="K2088" s="370">
        <v>1</v>
      </c>
      <c r="L2088" s="370">
        <v>19</v>
      </c>
      <c r="M2088" s="371">
        <v>12.7</v>
      </c>
      <c r="N2088" s="671">
        <f>IF(M2088-P2088&gt;0,M2088-P2088,0)</f>
        <v>4</v>
      </c>
      <c r="O2088" s="671">
        <f>O2087-K2088/(PI()*(U2083/2000)^2)</f>
        <v>5.1951467927923165</v>
      </c>
      <c r="P2088" s="373">
        <v>8.6999999999999993</v>
      </c>
      <c r="Q2088" s="673">
        <f>ABS(O2088-P2088)</f>
        <v>3.5048532072076828</v>
      </c>
      <c r="R2088" s="375" t="s">
        <v>188</v>
      </c>
      <c r="S2088" s="366"/>
      <c r="T2088" s="376"/>
      <c r="U2088" s="376"/>
      <c r="V2088" s="366"/>
      <c r="W2088" s="366"/>
    </row>
    <row r="2089" spans="1:23">
      <c r="A2089" s="1410"/>
      <c r="B2089" s="1413"/>
      <c r="C2089" s="845" t="s">
        <v>987</v>
      </c>
      <c r="D2089" s="875" t="str">
        <f>B2085&amp;C2089</f>
        <v>A77e</v>
      </c>
      <c r="E2089" s="367">
        <v>4</v>
      </c>
      <c r="F2089" s="669"/>
      <c r="G2089" s="368"/>
      <c r="H2089" s="368"/>
      <c r="I2089" s="368"/>
      <c r="J2089" s="368"/>
      <c r="K2089" s="370"/>
      <c r="L2089" s="370"/>
      <c r="M2089" s="371"/>
      <c r="N2089" s="671"/>
      <c r="O2089" s="671"/>
      <c r="P2089" s="373"/>
      <c r="Q2089" s="673"/>
      <c r="R2089" s="375"/>
      <c r="S2089" s="366"/>
      <c r="T2089" s="376"/>
      <c r="U2089" s="376"/>
      <c r="V2089" s="366"/>
      <c r="W2089" s="366"/>
    </row>
    <row r="2090" spans="1:23">
      <c r="A2090" s="1410"/>
      <c r="B2090" s="1413"/>
      <c r="C2090" s="845" t="s">
        <v>988</v>
      </c>
      <c r="D2090" s="875" t="str">
        <f>B2085&amp;C2090</f>
        <v>A77f</v>
      </c>
      <c r="E2090" s="367">
        <v>5</v>
      </c>
      <c r="F2090" s="669"/>
      <c r="G2090" s="368"/>
      <c r="H2090" s="368"/>
      <c r="I2090" s="368"/>
      <c r="J2090" s="368"/>
      <c r="K2090" s="370"/>
      <c r="L2090" s="370"/>
      <c r="M2090" s="371"/>
      <c r="N2090" s="671"/>
      <c r="O2090" s="671"/>
      <c r="P2090" s="373"/>
      <c r="Q2090" s="673"/>
      <c r="R2090" s="375"/>
      <c r="S2090" s="366" t="s">
        <v>190</v>
      </c>
      <c r="T2090" s="376"/>
      <c r="U2090" s="376"/>
      <c r="V2090" s="366"/>
      <c r="W2090" s="366"/>
    </row>
    <row r="2091" spans="1:23">
      <c r="A2091" s="1410"/>
      <c r="B2091" s="1413"/>
      <c r="C2091" s="845" t="s">
        <v>989</v>
      </c>
      <c r="D2091" s="875" t="str">
        <f>B2085&amp;C2091</f>
        <v>A77g</v>
      </c>
      <c r="E2091" s="367">
        <v>6</v>
      </c>
      <c r="F2091" s="669"/>
      <c r="G2091" s="368"/>
      <c r="H2091" s="368"/>
      <c r="I2091" s="368"/>
      <c r="J2091" s="368"/>
      <c r="K2091" s="370"/>
      <c r="L2091" s="370"/>
      <c r="M2091" s="371"/>
      <c r="N2091" s="671"/>
      <c r="O2091" s="671"/>
      <c r="P2091" s="373"/>
      <c r="Q2091" s="673"/>
      <c r="R2091" s="375"/>
      <c r="S2091" s="366" t="s">
        <v>190</v>
      </c>
      <c r="T2091" s="366"/>
      <c r="U2091" s="366"/>
      <c r="V2091" s="366"/>
      <c r="W2091" s="366"/>
    </row>
    <row r="2092" spans="1:23">
      <c r="A2092" s="1410"/>
      <c r="B2092" s="1413"/>
      <c r="C2092" s="845" t="s">
        <v>990</v>
      </c>
      <c r="D2092" s="875" t="str">
        <f>B2085&amp;C2092</f>
        <v>A77h</v>
      </c>
      <c r="E2092" s="367">
        <v>7</v>
      </c>
      <c r="F2092" s="669"/>
      <c r="G2092" s="368"/>
      <c r="H2092" s="368"/>
      <c r="I2092" s="368"/>
      <c r="J2092" s="368"/>
      <c r="K2092" s="370"/>
      <c r="L2092" s="370"/>
      <c r="M2092" s="371"/>
      <c r="N2092" s="671"/>
      <c r="O2092" s="671"/>
      <c r="P2092" s="373"/>
      <c r="Q2092" s="673"/>
      <c r="R2092" s="377"/>
      <c r="S2092" s="366" t="s">
        <v>190</v>
      </c>
      <c r="T2092" s="366"/>
      <c r="U2092" s="366"/>
      <c r="V2092" s="366"/>
      <c r="W2092" s="366"/>
    </row>
    <row r="2093" spans="1:23">
      <c r="A2093" s="1410"/>
      <c r="B2093" s="1413"/>
      <c r="C2093" s="845" t="s">
        <v>991</v>
      </c>
      <c r="D2093" s="875" t="str">
        <f>B2085&amp;C2093</f>
        <v>A77i</v>
      </c>
      <c r="E2093" s="367">
        <v>8</v>
      </c>
      <c r="F2093" s="669"/>
      <c r="G2093" s="368"/>
      <c r="H2093" s="368"/>
      <c r="I2093" s="368"/>
      <c r="J2093" s="368"/>
      <c r="K2093" s="370"/>
      <c r="L2093" s="370"/>
      <c r="M2093" s="371"/>
      <c r="N2093" s="671"/>
      <c r="O2093" s="671"/>
      <c r="P2093" s="373"/>
      <c r="Q2093" s="673"/>
      <c r="R2093" s="378"/>
      <c r="S2093" s="366"/>
      <c r="T2093" s="366"/>
      <c r="U2093" s="366"/>
      <c r="V2093" s="366"/>
      <c r="W2093" s="366"/>
    </row>
    <row r="2094" spans="1:23">
      <c r="A2094" s="1410"/>
      <c r="B2094" s="1413"/>
      <c r="C2094" s="845" t="s">
        <v>992</v>
      </c>
      <c r="D2094" s="875" t="str">
        <f>B2085&amp;C2094</f>
        <v>A77k</v>
      </c>
      <c r="E2094" s="367">
        <v>9</v>
      </c>
      <c r="F2094" s="370"/>
      <c r="G2094" s="368"/>
      <c r="H2094" s="368"/>
      <c r="I2094" s="368"/>
      <c r="J2094" s="368"/>
      <c r="K2094" s="370"/>
      <c r="L2094" s="370"/>
      <c r="M2094" s="371"/>
      <c r="N2094" s="372"/>
      <c r="O2094" s="372"/>
      <c r="P2094" s="373"/>
      <c r="Q2094" s="374"/>
      <c r="R2094" s="378"/>
      <c r="S2094" s="379"/>
      <c r="T2094" s="366"/>
      <c r="U2094" s="366"/>
      <c r="V2094" s="366"/>
      <c r="W2094" s="366"/>
    </row>
    <row r="2095" spans="1:23">
      <c r="A2095" s="1410"/>
      <c r="B2095" s="1413"/>
      <c r="C2095" s="845" t="s">
        <v>993</v>
      </c>
      <c r="D2095" s="875" t="str">
        <f>B2085&amp;C2095</f>
        <v>A77l</v>
      </c>
      <c r="E2095" s="367">
        <v>10</v>
      </c>
      <c r="F2095" s="370"/>
      <c r="G2095" s="368"/>
      <c r="H2095" s="368"/>
      <c r="I2095" s="368"/>
      <c r="J2095" s="368"/>
      <c r="K2095" s="370"/>
      <c r="L2095" s="370"/>
      <c r="M2095" s="370"/>
      <c r="N2095" s="372"/>
      <c r="O2095" s="372"/>
      <c r="P2095" s="373"/>
      <c r="Q2095" s="374"/>
      <c r="R2095" s="378"/>
      <c r="S2095" s="379"/>
      <c r="T2095" s="366"/>
      <c r="U2095" s="366"/>
      <c r="V2095" s="366"/>
      <c r="W2095" s="366"/>
    </row>
    <row r="2096" spans="1:23">
      <c r="A2096" s="1410"/>
      <c r="B2096" s="1413"/>
      <c r="C2096" s="845" t="s">
        <v>994</v>
      </c>
      <c r="D2096" s="875" t="str">
        <f>B2085&amp;C2096</f>
        <v>A77m</v>
      </c>
      <c r="E2096" s="367">
        <v>11</v>
      </c>
      <c r="F2096" s="370"/>
      <c r="G2096" s="368"/>
      <c r="H2096" s="368"/>
      <c r="I2096" s="368"/>
      <c r="J2096" s="368"/>
      <c r="K2096" s="370"/>
      <c r="L2096" s="370"/>
      <c r="M2096" s="370"/>
      <c r="N2096" s="372"/>
      <c r="O2096" s="372"/>
      <c r="P2096" s="380"/>
      <c r="Q2096" s="374"/>
      <c r="R2096" s="381"/>
      <c r="S2096" s="379"/>
      <c r="T2096" s="366"/>
      <c r="U2096" s="366"/>
      <c r="V2096" s="366"/>
      <c r="W2096" s="366"/>
    </row>
    <row r="2097" spans="1:23">
      <c r="A2097" s="1410"/>
      <c r="B2097" s="1413"/>
      <c r="C2097" s="845" t="s">
        <v>995</v>
      </c>
      <c r="D2097" s="875" t="str">
        <f>B2085&amp;C2097</f>
        <v>A77n</v>
      </c>
      <c r="E2097" s="367">
        <v>12</v>
      </c>
      <c r="F2097" s="370"/>
      <c r="G2097" s="368"/>
      <c r="H2097" s="368"/>
      <c r="I2097" s="368"/>
      <c r="J2097" s="368"/>
      <c r="K2097" s="370"/>
      <c r="L2097" s="370"/>
      <c r="M2097" s="370"/>
      <c r="N2097" s="372"/>
      <c r="O2097" s="372"/>
      <c r="P2097" s="380"/>
      <c r="Q2097" s="374"/>
      <c r="R2097" s="381"/>
      <c r="S2097" s="361"/>
      <c r="T2097" s="361"/>
      <c r="U2097" s="361"/>
      <c r="V2097" s="366"/>
      <c r="W2097" s="366"/>
    </row>
    <row r="2098" spans="1:23">
      <c r="A2098" s="1410"/>
      <c r="B2098" s="1413"/>
      <c r="C2098" s="845" t="s">
        <v>471</v>
      </c>
      <c r="D2098" s="875" t="str">
        <f>B2085&amp;C2098</f>
        <v>A77x</v>
      </c>
      <c r="E2098" s="367">
        <v>13</v>
      </c>
      <c r="F2098" s="370"/>
      <c r="G2098" s="368"/>
      <c r="H2098" s="368"/>
      <c r="I2098" s="368"/>
      <c r="J2098" s="368"/>
      <c r="K2098" s="370"/>
      <c r="L2098" s="370"/>
      <c r="M2098" s="370"/>
      <c r="N2098" s="382"/>
      <c r="O2098" s="372"/>
      <c r="P2098" s="380"/>
      <c r="Q2098" s="381"/>
      <c r="R2098" s="381"/>
      <c r="S2098" s="361"/>
      <c r="T2098" s="361"/>
      <c r="U2098" s="361"/>
      <c r="V2098" s="366"/>
      <c r="W2098" s="366"/>
    </row>
    <row r="2099" spans="1:23">
      <c r="A2099" s="1410"/>
      <c r="B2099" s="1413"/>
      <c r="C2099" s="845" t="s">
        <v>732</v>
      </c>
      <c r="D2099" s="875" t="str">
        <f>B2085&amp;C2099</f>
        <v>A77y</v>
      </c>
      <c r="E2099" s="367">
        <v>14</v>
      </c>
      <c r="F2099" s="370"/>
      <c r="G2099" s="368"/>
      <c r="H2099" s="368"/>
      <c r="I2099" s="368"/>
      <c r="J2099" s="368"/>
      <c r="K2099" s="370"/>
      <c r="L2099" s="370"/>
      <c r="M2099" s="370"/>
      <c r="N2099" s="382"/>
      <c r="O2099" s="372"/>
      <c r="P2099" s="380"/>
      <c r="Q2099" s="381"/>
      <c r="R2099" s="381"/>
      <c r="S2099" s="361"/>
      <c r="T2099" s="361"/>
      <c r="U2099" s="362"/>
      <c r="V2099" s="366"/>
      <c r="W2099" s="366"/>
    </row>
    <row r="2100" spans="1:23">
      <c r="A2100" s="1411"/>
      <c r="B2100" s="1414"/>
      <c r="C2100" s="846" t="s">
        <v>996</v>
      </c>
      <c r="D2100" s="876" t="str">
        <f>B2085&amp;C2100</f>
        <v>A77z</v>
      </c>
      <c r="E2100" s="847">
        <v>15</v>
      </c>
      <c r="F2100" s="370"/>
      <c r="G2100" s="368"/>
      <c r="H2100" s="368"/>
      <c r="I2100" s="368"/>
      <c r="J2100" s="368"/>
      <c r="K2100" s="370"/>
      <c r="L2100" s="370"/>
      <c r="M2100" s="370"/>
      <c r="N2100" s="850"/>
      <c r="O2100" s="851"/>
      <c r="P2100" s="380"/>
      <c r="Q2100" s="852"/>
      <c r="R2100" s="383"/>
      <c r="S2100" s="361"/>
      <c r="T2100" s="832"/>
      <c r="U2100" s="830"/>
      <c r="V2100" s="366"/>
      <c r="W2100" s="366"/>
    </row>
    <row r="2101" spans="1:23">
      <c r="A2101" s="1400" t="s">
        <v>939</v>
      </c>
      <c r="B2101" s="1400"/>
      <c r="C2101" s="827"/>
      <c r="D2101" s="871"/>
      <c r="E2101" s="1400" t="s">
        <v>177</v>
      </c>
      <c r="F2101" s="1400" t="s">
        <v>18</v>
      </c>
      <c r="G2101" s="1389" t="s">
        <v>19</v>
      </c>
      <c r="H2101" s="1390"/>
      <c r="I2101" s="1389" t="s">
        <v>22</v>
      </c>
      <c r="J2101" s="1390"/>
      <c r="K2101" s="1393" t="s">
        <v>26</v>
      </c>
      <c r="L2101" s="1390"/>
      <c r="M2101" s="1389" t="s">
        <v>392</v>
      </c>
      <c r="N2101" s="1390"/>
      <c r="O2101" s="1389" t="s">
        <v>28</v>
      </c>
      <c r="P2101" s="1393"/>
      <c r="Q2101" s="1390"/>
      <c r="R2101" s="1400" t="s">
        <v>36</v>
      </c>
      <c r="S2101" s="361"/>
      <c r="T2101" s="361">
        <f>MAX(J2105:J2119)-MIN(I2105:I2119)</f>
        <v>4.5138888888888895E-2</v>
      </c>
      <c r="U2101" s="361"/>
      <c r="V2101" s="853" t="str">
        <f t="shared" ref="V2101" si="220">B2105</f>
        <v>A136</v>
      </c>
      <c r="W2101" s="361">
        <f t="shared" ref="W2101" si="221">COUNTIF(K2106:K2120,"&gt;0")</f>
        <v>4</v>
      </c>
    </row>
    <row r="2102" spans="1:23">
      <c r="A2102" s="1401"/>
      <c r="B2102" s="1401"/>
      <c r="C2102" s="828"/>
      <c r="D2102" s="872"/>
      <c r="E2102" s="1401"/>
      <c r="F2102" s="1401"/>
      <c r="G2102" s="1391"/>
      <c r="H2102" s="1392"/>
      <c r="I2102" s="1391"/>
      <c r="J2102" s="1392"/>
      <c r="K2102" s="1394"/>
      <c r="L2102" s="1392"/>
      <c r="M2102" s="1391"/>
      <c r="N2102" s="1392"/>
      <c r="O2102" s="1391"/>
      <c r="P2102" s="1394"/>
      <c r="Q2102" s="1392"/>
      <c r="R2102" s="1401"/>
      <c r="S2102" s="361"/>
      <c r="T2102" s="361"/>
      <c r="U2102" s="361"/>
      <c r="V2102" s="361"/>
      <c r="W2102" s="361"/>
    </row>
    <row r="2103" spans="1:23">
      <c r="A2103" s="1401"/>
      <c r="B2103" s="1401"/>
      <c r="C2103" s="828"/>
      <c r="D2103" s="872"/>
      <c r="E2103" s="1401"/>
      <c r="F2103" s="1401"/>
      <c r="G2103" s="1400" t="s">
        <v>20</v>
      </c>
      <c r="H2103" s="1400" t="s">
        <v>21</v>
      </c>
      <c r="I2103" s="1400" t="s">
        <v>361</v>
      </c>
      <c r="J2103" s="1400" t="s">
        <v>353</v>
      </c>
      <c r="K2103" s="1400" t="s">
        <v>23</v>
      </c>
      <c r="L2103" s="1400" t="s">
        <v>24</v>
      </c>
      <c r="M2103" s="1400" t="s">
        <v>27</v>
      </c>
      <c r="N2103" s="1400" t="s">
        <v>178</v>
      </c>
      <c r="O2103" s="1400" t="s">
        <v>1</v>
      </c>
      <c r="P2103" s="1400" t="s">
        <v>29</v>
      </c>
      <c r="Q2103" s="1400" t="s">
        <v>33</v>
      </c>
      <c r="R2103" s="1401"/>
      <c r="S2103" s="361"/>
      <c r="T2103" s="361" t="s">
        <v>39</v>
      </c>
      <c r="U2103" s="362">
        <f>VLOOKUP(B2105,'Thong tin'!$A:$M,13,0)</f>
        <v>1200</v>
      </c>
      <c r="V2103" s="361"/>
      <c r="W2103" s="361"/>
    </row>
    <row r="2104" spans="1:23">
      <c r="A2104" s="1402"/>
      <c r="B2104" s="1402"/>
      <c r="C2104" s="829"/>
      <c r="D2104" s="873"/>
      <c r="E2104" s="1402"/>
      <c r="F2104" s="1402"/>
      <c r="G2104" s="1402"/>
      <c r="H2104" s="1402"/>
      <c r="I2104" s="1402"/>
      <c r="J2104" s="1402"/>
      <c r="K2104" s="1402"/>
      <c r="L2104" s="1402"/>
      <c r="M2104" s="1402"/>
      <c r="N2104" s="1402"/>
      <c r="O2104" s="1402"/>
      <c r="P2104" s="1402"/>
      <c r="Q2104" s="1402"/>
      <c r="R2104" s="1402"/>
      <c r="S2104" s="361"/>
      <c r="T2104" s="1399" t="s">
        <v>393</v>
      </c>
      <c r="U2104" s="1397">
        <f>VLOOKUP(B2105,DT.NK!$B:$AZ,45,0)</f>
        <v>28.52</v>
      </c>
      <c r="V2104" s="361"/>
      <c r="W2104" s="361"/>
    </row>
    <row r="2105" spans="1:23">
      <c r="A2105" s="1409">
        <f>A2085+1</f>
        <v>106</v>
      </c>
      <c r="B2105" s="1412" t="s">
        <v>492</v>
      </c>
      <c r="C2105" s="844" t="s">
        <v>983</v>
      </c>
      <c r="D2105" s="874" t="str">
        <f>B2105&amp;C2105</f>
        <v>A136a</v>
      </c>
      <c r="E2105" s="363"/>
      <c r="F2105" s="364"/>
      <c r="G2105" s="364"/>
      <c r="H2105" s="364"/>
      <c r="I2105" s="364"/>
      <c r="J2105" s="364"/>
      <c r="K2105" s="364"/>
      <c r="L2105" s="364"/>
      <c r="M2105" s="674"/>
      <c r="N2105" s="670"/>
      <c r="O2105" s="670">
        <f>U2104</f>
        <v>28.52</v>
      </c>
      <c r="P2105" s="670">
        <f>O2105</f>
        <v>28.52</v>
      </c>
      <c r="Q2105" s="670">
        <v>0</v>
      </c>
      <c r="R2105" s="365"/>
      <c r="S2105" s="366"/>
      <c r="T2105" s="1399"/>
      <c r="U2105" s="1398"/>
      <c r="V2105" s="361"/>
      <c r="W2105" s="361"/>
    </row>
    <row r="2106" spans="1:23">
      <c r="A2106" s="1410"/>
      <c r="B2106" s="1413"/>
      <c r="C2106" s="845" t="s">
        <v>984</v>
      </c>
      <c r="D2106" s="875" t="str">
        <f>B2105&amp;C2106</f>
        <v>A136b</v>
      </c>
      <c r="E2106" s="367">
        <v>1</v>
      </c>
      <c r="F2106" s="669" t="s">
        <v>1096</v>
      </c>
      <c r="G2106" s="369">
        <v>4.8611111111111112E-3</v>
      </c>
      <c r="H2106" s="368">
        <v>6.25E-2</v>
      </c>
      <c r="I2106" s="368">
        <v>7.2916666666666671E-2</v>
      </c>
      <c r="J2106" s="368">
        <v>7.6388888888888895E-2</v>
      </c>
      <c r="K2106" s="669">
        <v>9</v>
      </c>
      <c r="L2106" s="669">
        <v>19</v>
      </c>
      <c r="M2106" s="675">
        <v>25.52</v>
      </c>
      <c r="N2106" s="671">
        <f>IF(M2106-P2106&gt;0,M2106-P2106,0)</f>
        <v>1.7199999999999989</v>
      </c>
      <c r="O2106" s="671">
        <f>O2105-K2106/(PI()*(U2103/2000)^2)</f>
        <v>20.562252845405233</v>
      </c>
      <c r="P2106" s="672">
        <v>23.8</v>
      </c>
      <c r="Q2106" s="673">
        <f>ABS(O2106-P2106)</f>
        <v>3.2377471545947678</v>
      </c>
      <c r="R2106" s="375" t="s">
        <v>188</v>
      </c>
      <c r="S2106" s="366"/>
      <c r="T2106" s="376"/>
      <c r="U2106" s="376"/>
      <c r="V2106" s="366"/>
      <c r="W2106" s="366"/>
    </row>
    <row r="2107" spans="1:23">
      <c r="A2107" s="1410"/>
      <c r="B2107" s="1413"/>
      <c r="C2107" s="845" t="s">
        <v>985</v>
      </c>
      <c r="D2107" s="875" t="str">
        <f>B2105&amp;C2107</f>
        <v>A136c</v>
      </c>
      <c r="E2107" s="367">
        <v>2</v>
      </c>
      <c r="F2107" s="669" t="s">
        <v>1091</v>
      </c>
      <c r="G2107" s="369">
        <v>1.3194444444444444E-2</v>
      </c>
      <c r="H2107" s="368">
        <v>6.9444444444444434E-2</v>
      </c>
      <c r="I2107" s="368">
        <v>7.9861111111111105E-2</v>
      </c>
      <c r="J2107" s="368">
        <v>8.3333333333333329E-2</v>
      </c>
      <c r="K2107" s="669">
        <v>9</v>
      </c>
      <c r="L2107" s="669">
        <v>20</v>
      </c>
      <c r="M2107" s="675">
        <v>22.37</v>
      </c>
      <c r="N2107" s="671">
        <f>IF(M2107-P2107&gt;0,M2107-P2107,0)</f>
        <v>3.870000000000001</v>
      </c>
      <c r="O2107" s="671">
        <f>O2106-K2107/(PI()*(U2103/2000)^2)</f>
        <v>12.604505690810466</v>
      </c>
      <c r="P2107" s="672">
        <v>18.5</v>
      </c>
      <c r="Q2107" s="673">
        <f>ABS(O2107-P2107)</f>
        <v>5.8954943091895338</v>
      </c>
      <c r="R2107" s="375" t="s">
        <v>188</v>
      </c>
      <c r="S2107" s="366"/>
      <c r="T2107" s="376"/>
      <c r="U2107" s="376"/>
      <c r="V2107" s="366"/>
      <c r="W2107" s="366"/>
    </row>
    <row r="2108" spans="1:23">
      <c r="A2108" s="1410"/>
      <c r="B2108" s="1413"/>
      <c r="C2108" s="845" t="s">
        <v>986</v>
      </c>
      <c r="D2108" s="875" t="str">
        <f>B2105&amp;C2108</f>
        <v>A136d</v>
      </c>
      <c r="E2108" s="367">
        <v>3</v>
      </c>
      <c r="F2108" s="669" t="s">
        <v>1089</v>
      </c>
      <c r="G2108" s="368">
        <v>1.9444444444444445E-2</v>
      </c>
      <c r="H2108" s="368">
        <v>7.9861111111111105E-2</v>
      </c>
      <c r="I2108" s="368">
        <v>8.6805555555555566E-2</v>
      </c>
      <c r="J2108" s="368">
        <v>9.0277777777777776E-2</v>
      </c>
      <c r="K2108" s="370">
        <v>9</v>
      </c>
      <c r="L2108" s="370">
        <v>19.5</v>
      </c>
      <c r="M2108" s="371">
        <v>16.07</v>
      </c>
      <c r="N2108" s="671">
        <f>IF(M2108-P2108&gt;0,M2108-P2108,0)</f>
        <v>4.07</v>
      </c>
      <c r="O2108" s="671">
        <f>O2107-K2108/(PI()*(U2103/2000)^2)</f>
        <v>4.6467585362156996</v>
      </c>
      <c r="P2108" s="373">
        <v>12</v>
      </c>
      <c r="Q2108" s="673">
        <f>ABS(O2108-P2108)</f>
        <v>7.3532414637843004</v>
      </c>
      <c r="R2108" s="375" t="s">
        <v>188</v>
      </c>
      <c r="S2108" s="366"/>
      <c r="T2108" s="376"/>
      <c r="U2108" s="376"/>
      <c r="V2108" s="366"/>
      <c r="W2108" s="366"/>
    </row>
    <row r="2109" spans="1:23">
      <c r="A2109" s="1410"/>
      <c r="B2109" s="1413"/>
      <c r="C2109" s="845" t="s">
        <v>987</v>
      </c>
      <c r="D2109" s="875" t="str">
        <f>B2105&amp;C2109</f>
        <v>A136e</v>
      </c>
      <c r="E2109" s="367">
        <v>4</v>
      </c>
      <c r="F2109" s="669" t="s">
        <v>1085</v>
      </c>
      <c r="G2109" s="368">
        <v>8.8888888888888892E-2</v>
      </c>
      <c r="H2109" s="368">
        <v>0.1111111111111111</v>
      </c>
      <c r="I2109" s="368">
        <v>0.11597222222222221</v>
      </c>
      <c r="J2109" s="368">
        <v>0.11805555555555557</v>
      </c>
      <c r="K2109" s="370">
        <v>6.5</v>
      </c>
      <c r="L2109" s="370">
        <v>18.5</v>
      </c>
      <c r="M2109" s="371">
        <v>16.07</v>
      </c>
      <c r="N2109" s="671">
        <f>IF(M2109-P2109&gt;0,M2109-P2109,0)</f>
        <v>8.870000000000001</v>
      </c>
      <c r="O2109" s="671">
        <f>O2108-K2109/(PI()*(U2103/2000)^2)</f>
        <v>-1.1005032976582987</v>
      </c>
      <c r="P2109" s="373">
        <v>7.2</v>
      </c>
      <c r="Q2109" s="673"/>
      <c r="R2109" s="375"/>
      <c r="S2109" s="366"/>
      <c r="T2109" s="376"/>
      <c r="U2109" s="376"/>
      <c r="V2109" s="366"/>
      <c r="W2109" s="366"/>
    </row>
    <row r="2110" spans="1:23">
      <c r="A2110" s="1410"/>
      <c r="B2110" s="1413"/>
      <c r="C2110" s="845" t="s">
        <v>988</v>
      </c>
      <c r="D2110" s="875" t="str">
        <f>B2105&amp;C2110</f>
        <v>A136f</v>
      </c>
      <c r="E2110" s="367">
        <v>5</v>
      </c>
      <c r="F2110" s="669"/>
      <c r="G2110" s="368"/>
      <c r="H2110" s="368"/>
      <c r="I2110" s="368"/>
      <c r="J2110" s="368"/>
      <c r="K2110" s="370"/>
      <c r="L2110" s="370"/>
      <c r="M2110" s="371"/>
      <c r="N2110" s="671"/>
      <c r="O2110" s="671"/>
      <c r="P2110" s="373"/>
      <c r="Q2110" s="673"/>
      <c r="R2110" s="375"/>
      <c r="S2110" s="366" t="s">
        <v>190</v>
      </c>
      <c r="T2110" s="376"/>
      <c r="U2110" s="376"/>
      <c r="V2110" s="366"/>
      <c r="W2110" s="366"/>
    </row>
    <row r="2111" spans="1:23">
      <c r="A2111" s="1410"/>
      <c r="B2111" s="1413"/>
      <c r="C2111" s="845" t="s">
        <v>989</v>
      </c>
      <c r="D2111" s="875" t="str">
        <f>B2105&amp;C2111</f>
        <v>A136g</v>
      </c>
      <c r="E2111" s="367">
        <v>6</v>
      </c>
      <c r="F2111" s="669"/>
      <c r="G2111" s="368"/>
      <c r="H2111" s="368"/>
      <c r="I2111" s="368"/>
      <c r="J2111" s="368"/>
      <c r="K2111" s="370"/>
      <c r="L2111" s="370"/>
      <c r="M2111" s="371"/>
      <c r="N2111" s="671"/>
      <c r="O2111" s="671"/>
      <c r="P2111" s="373"/>
      <c r="Q2111" s="673"/>
      <c r="R2111" s="375"/>
      <c r="S2111" s="366" t="s">
        <v>190</v>
      </c>
      <c r="T2111" s="366"/>
      <c r="U2111" s="366"/>
      <c r="V2111" s="366"/>
      <c r="W2111" s="366"/>
    </row>
    <row r="2112" spans="1:23">
      <c r="A2112" s="1410"/>
      <c r="B2112" s="1413"/>
      <c r="C2112" s="845" t="s">
        <v>990</v>
      </c>
      <c r="D2112" s="875" t="str">
        <f>B2105&amp;C2112</f>
        <v>A136h</v>
      </c>
      <c r="E2112" s="367">
        <v>7</v>
      </c>
      <c r="F2112" s="669"/>
      <c r="G2112" s="368"/>
      <c r="H2112" s="368"/>
      <c r="I2112" s="368"/>
      <c r="J2112" s="368"/>
      <c r="K2112" s="370"/>
      <c r="L2112" s="370"/>
      <c r="M2112" s="371"/>
      <c r="N2112" s="671"/>
      <c r="O2112" s="671"/>
      <c r="P2112" s="373"/>
      <c r="Q2112" s="673"/>
      <c r="R2112" s="377"/>
      <c r="S2112" s="366" t="s">
        <v>190</v>
      </c>
      <c r="T2112" s="366"/>
      <c r="U2112" s="366"/>
      <c r="V2112" s="366"/>
      <c r="W2112" s="366"/>
    </row>
    <row r="2113" spans="1:23">
      <c r="A2113" s="1410"/>
      <c r="B2113" s="1413"/>
      <c r="C2113" s="845" t="s">
        <v>991</v>
      </c>
      <c r="D2113" s="875" t="str">
        <f>B2105&amp;C2113</f>
        <v>A136i</v>
      </c>
      <c r="E2113" s="367">
        <v>8</v>
      </c>
      <c r="F2113" s="669"/>
      <c r="G2113" s="368"/>
      <c r="H2113" s="368"/>
      <c r="I2113" s="368"/>
      <c r="J2113" s="368"/>
      <c r="K2113" s="370"/>
      <c r="L2113" s="370"/>
      <c r="M2113" s="371"/>
      <c r="N2113" s="671"/>
      <c r="O2113" s="671"/>
      <c r="P2113" s="373"/>
      <c r="Q2113" s="673"/>
      <c r="R2113" s="378"/>
      <c r="S2113" s="366"/>
      <c r="T2113" s="366"/>
      <c r="U2113" s="366"/>
      <c r="V2113" s="366"/>
      <c r="W2113" s="366"/>
    </row>
    <row r="2114" spans="1:23">
      <c r="A2114" s="1410"/>
      <c r="B2114" s="1413"/>
      <c r="C2114" s="845" t="s">
        <v>992</v>
      </c>
      <c r="D2114" s="875" t="str">
        <f>B2105&amp;C2114</f>
        <v>A136k</v>
      </c>
      <c r="E2114" s="367">
        <v>9</v>
      </c>
      <c r="F2114" s="370"/>
      <c r="G2114" s="368"/>
      <c r="H2114" s="368"/>
      <c r="I2114" s="368"/>
      <c r="J2114" s="368"/>
      <c r="K2114" s="370"/>
      <c r="L2114" s="370"/>
      <c r="M2114" s="371"/>
      <c r="N2114" s="372"/>
      <c r="O2114" s="372"/>
      <c r="P2114" s="373"/>
      <c r="Q2114" s="374"/>
      <c r="R2114" s="378"/>
      <c r="S2114" s="379"/>
      <c r="T2114" s="366"/>
      <c r="U2114" s="366"/>
      <c r="V2114" s="366"/>
      <c r="W2114" s="366"/>
    </row>
    <row r="2115" spans="1:23">
      <c r="A2115" s="1410"/>
      <c r="B2115" s="1413"/>
      <c r="C2115" s="845" t="s">
        <v>993</v>
      </c>
      <c r="D2115" s="875" t="str">
        <f>B2105&amp;C2115</f>
        <v>A136l</v>
      </c>
      <c r="E2115" s="367">
        <v>10</v>
      </c>
      <c r="F2115" s="370"/>
      <c r="G2115" s="368"/>
      <c r="H2115" s="368"/>
      <c r="I2115" s="368"/>
      <c r="J2115" s="368"/>
      <c r="K2115" s="370"/>
      <c r="L2115" s="370"/>
      <c r="M2115" s="370"/>
      <c r="N2115" s="372"/>
      <c r="O2115" s="372"/>
      <c r="P2115" s="373"/>
      <c r="Q2115" s="374"/>
      <c r="R2115" s="378"/>
      <c r="S2115" s="379"/>
      <c r="T2115" s="366"/>
      <c r="U2115" s="366"/>
      <c r="V2115" s="366"/>
      <c r="W2115" s="366"/>
    </row>
    <row r="2116" spans="1:23">
      <c r="A2116" s="1410"/>
      <c r="B2116" s="1413"/>
      <c r="C2116" s="845" t="s">
        <v>994</v>
      </c>
      <c r="D2116" s="875" t="str">
        <f>B2105&amp;C2116</f>
        <v>A136m</v>
      </c>
      <c r="E2116" s="367">
        <v>11</v>
      </c>
      <c r="F2116" s="370"/>
      <c r="G2116" s="368"/>
      <c r="H2116" s="368"/>
      <c r="I2116" s="368"/>
      <c r="J2116" s="368"/>
      <c r="K2116" s="370"/>
      <c r="L2116" s="370"/>
      <c r="M2116" s="370"/>
      <c r="N2116" s="372"/>
      <c r="O2116" s="372"/>
      <c r="P2116" s="380"/>
      <c r="Q2116" s="374"/>
      <c r="R2116" s="381"/>
      <c r="S2116" s="379"/>
      <c r="T2116" s="366"/>
      <c r="U2116" s="366"/>
      <c r="V2116" s="366"/>
      <c r="W2116" s="366"/>
    </row>
    <row r="2117" spans="1:23">
      <c r="A2117" s="1410"/>
      <c r="B2117" s="1413"/>
      <c r="C2117" s="845" t="s">
        <v>995</v>
      </c>
      <c r="D2117" s="875" t="str">
        <f>B2105&amp;C2117</f>
        <v>A136n</v>
      </c>
      <c r="E2117" s="367">
        <v>12</v>
      </c>
      <c r="F2117" s="370"/>
      <c r="G2117" s="368"/>
      <c r="H2117" s="368"/>
      <c r="I2117" s="368"/>
      <c r="J2117" s="368"/>
      <c r="K2117" s="370"/>
      <c r="L2117" s="370"/>
      <c r="M2117" s="370"/>
      <c r="N2117" s="372"/>
      <c r="O2117" s="372"/>
      <c r="P2117" s="380"/>
      <c r="Q2117" s="374"/>
      <c r="R2117" s="381"/>
      <c r="S2117" s="361"/>
      <c r="T2117" s="361"/>
      <c r="U2117" s="361"/>
      <c r="V2117" s="366"/>
      <c r="W2117" s="366"/>
    </row>
    <row r="2118" spans="1:23">
      <c r="A2118" s="1410"/>
      <c r="B2118" s="1413"/>
      <c r="C2118" s="845" t="s">
        <v>471</v>
      </c>
      <c r="D2118" s="875" t="str">
        <f>B2105&amp;C2118</f>
        <v>A136x</v>
      </c>
      <c r="E2118" s="367">
        <v>13</v>
      </c>
      <c r="F2118" s="370"/>
      <c r="G2118" s="368"/>
      <c r="H2118" s="368"/>
      <c r="I2118" s="368"/>
      <c r="J2118" s="368"/>
      <c r="K2118" s="370"/>
      <c r="L2118" s="370"/>
      <c r="M2118" s="370"/>
      <c r="N2118" s="382"/>
      <c r="O2118" s="372"/>
      <c r="P2118" s="380"/>
      <c r="Q2118" s="381"/>
      <c r="R2118" s="381"/>
      <c r="S2118" s="361"/>
      <c r="T2118" s="361"/>
      <c r="U2118" s="361"/>
      <c r="V2118" s="366"/>
      <c r="W2118" s="366"/>
    </row>
    <row r="2119" spans="1:23">
      <c r="A2119" s="1410"/>
      <c r="B2119" s="1413"/>
      <c r="C2119" s="845" t="s">
        <v>732</v>
      </c>
      <c r="D2119" s="875" t="str">
        <f>B2105&amp;C2119</f>
        <v>A136y</v>
      </c>
      <c r="E2119" s="367">
        <v>14</v>
      </c>
      <c r="F2119" s="370"/>
      <c r="G2119" s="368"/>
      <c r="H2119" s="368"/>
      <c r="I2119" s="368"/>
      <c r="J2119" s="368"/>
      <c r="K2119" s="370"/>
      <c r="L2119" s="370"/>
      <c r="M2119" s="370"/>
      <c r="N2119" s="382"/>
      <c r="O2119" s="372"/>
      <c r="P2119" s="380"/>
      <c r="Q2119" s="381"/>
      <c r="R2119" s="381"/>
      <c r="S2119" s="361"/>
      <c r="T2119" s="361"/>
      <c r="U2119" s="362"/>
      <c r="V2119" s="366"/>
      <c r="W2119" s="366"/>
    </row>
    <row r="2120" spans="1:23">
      <c r="A2120" s="1411"/>
      <c r="B2120" s="1414"/>
      <c r="C2120" s="846" t="s">
        <v>996</v>
      </c>
      <c r="D2120" s="876" t="str">
        <f>B2105&amp;C2120</f>
        <v>A136z</v>
      </c>
      <c r="E2120" s="847">
        <v>15</v>
      </c>
      <c r="F2120" s="370"/>
      <c r="G2120" s="368"/>
      <c r="H2120" s="368"/>
      <c r="I2120" s="368"/>
      <c r="J2120" s="368"/>
      <c r="K2120" s="370"/>
      <c r="L2120" s="370"/>
      <c r="M2120" s="370"/>
      <c r="N2120" s="850"/>
      <c r="O2120" s="851"/>
      <c r="P2120" s="380"/>
      <c r="Q2120" s="852"/>
      <c r="R2120" s="383"/>
      <c r="S2120" s="361"/>
      <c r="T2120" s="832"/>
      <c r="U2120" s="830"/>
      <c r="V2120" s="366"/>
      <c r="W2120" s="366"/>
    </row>
    <row r="2121" spans="1:23">
      <c r="A2121" s="1400" t="s">
        <v>939</v>
      </c>
      <c r="B2121" s="1400"/>
      <c r="C2121" s="827"/>
      <c r="D2121" s="871"/>
      <c r="E2121" s="1400" t="s">
        <v>177</v>
      </c>
      <c r="F2121" s="1400" t="s">
        <v>18</v>
      </c>
      <c r="G2121" s="1389" t="s">
        <v>19</v>
      </c>
      <c r="H2121" s="1390"/>
      <c r="I2121" s="1389" t="s">
        <v>22</v>
      </c>
      <c r="J2121" s="1390"/>
      <c r="K2121" s="1393" t="s">
        <v>26</v>
      </c>
      <c r="L2121" s="1390"/>
      <c r="M2121" s="1389" t="s">
        <v>392</v>
      </c>
      <c r="N2121" s="1390"/>
      <c r="O2121" s="1389" t="s">
        <v>28</v>
      </c>
      <c r="P2121" s="1393"/>
      <c r="Q2121" s="1390"/>
      <c r="R2121" s="1400" t="s">
        <v>36</v>
      </c>
      <c r="S2121" s="361"/>
      <c r="T2121" s="361">
        <f>MAX(J2125:J2139)-MIN(I2125:I2139)</f>
        <v>6.25E-2</v>
      </c>
      <c r="U2121" s="361"/>
      <c r="V2121" s="853" t="str">
        <f t="shared" ref="V2121" si="222">B2125</f>
        <v>A81</v>
      </c>
      <c r="W2121" s="361">
        <f t="shared" ref="W2121" si="223">COUNTIF(K2126:K2140,"&gt;0")</f>
        <v>4</v>
      </c>
    </row>
    <row r="2122" spans="1:23">
      <c r="A2122" s="1401"/>
      <c r="B2122" s="1401"/>
      <c r="C2122" s="828"/>
      <c r="D2122" s="872"/>
      <c r="E2122" s="1401"/>
      <c r="F2122" s="1401"/>
      <c r="G2122" s="1391"/>
      <c r="H2122" s="1392"/>
      <c r="I2122" s="1391"/>
      <c r="J2122" s="1392"/>
      <c r="K2122" s="1394"/>
      <c r="L2122" s="1392"/>
      <c r="M2122" s="1391"/>
      <c r="N2122" s="1392"/>
      <c r="O2122" s="1391"/>
      <c r="P2122" s="1394"/>
      <c r="Q2122" s="1392"/>
      <c r="R2122" s="1401"/>
      <c r="S2122" s="361"/>
      <c r="T2122" s="361"/>
      <c r="U2122" s="361"/>
      <c r="V2122" s="361"/>
      <c r="W2122" s="361"/>
    </row>
    <row r="2123" spans="1:23">
      <c r="A2123" s="1401"/>
      <c r="B2123" s="1401"/>
      <c r="C2123" s="828"/>
      <c r="D2123" s="872"/>
      <c r="E2123" s="1401"/>
      <c r="F2123" s="1401"/>
      <c r="G2123" s="1400" t="s">
        <v>20</v>
      </c>
      <c r="H2123" s="1400" t="s">
        <v>21</v>
      </c>
      <c r="I2123" s="1400" t="s">
        <v>361</v>
      </c>
      <c r="J2123" s="1400" t="s">
        <v>353</v>
      </c>
      <c r="K2123" s="1400" t="s">
        <v>23</v>
      </c>
      <c r="L2123" s="1400" t="s">
        <v>24</v>
      </c>
      <c r="M2123" s="1400" t="s">
        <v>27</v>
      </c>
      <c r="N2123" s="1400" t="s">
        <v>178</v>
      </c>
      <c r="O2123" s="1400" t="s">
        <v>1</v>
      </c>
      <c r="P2123" s="1400" t="s">
        <v>29</v>
      </c>
      <c r="Q2123" s="1400" t="s">
        <v>33</v>
      </c>
      <c r="R2123" s="1401"/>
      <c r="S2123" s="361"/>
      <c r="T2123" s="361" t="s">
        <v>39</v>
      </c>
      <c r="U2123" s="362">
        <f>VLOOKUP(B2125,'Thong tin'!$A:$M,13,0)</f>
        <v>1200</v>
      </c>
      <c r="V2123" s="361"/>
      <c r="W2123" s="361"/>
    </row>
    <row r="2124" spans="1:23">
      <c r="A2124" s="1402"/>
      <c r="B2124" s="1402"/>
      <c r="C2124" s="829"/>
      <c r="D2124" s="873"/>
      <c r="E2124" s="1402"/>
      <c r="F2124" s="1402"/>
      <c r="G2124" s="1402"/>
      <c r="H2124" s="1402"/>
      <c r="I2124" s="1402"/>
      <c r="J2124" s="1402"/>
      <c r="K2124" s="1402"/>
      <c r="L2124" s="1402"/>
      <c r="M2124" s="1402"/>
      <c r="N2124" s="1402"/>
      <c r="O2124" s="1402"/>
      <c r="P2124" s="1402"/>
      <c r="Q2124" s="1402"/>
      <c r="R2124" s="1402"/>
      <c r="S2124" s="361"/>
      <c r="T2124" s="1399" t="s">
        <v>393</v>
      </c>
      <c r="U2124" s="1397">
        <f>VLOOKUP(B2125,DT.NK!$B:$AZ,45,0)</f>
        <v>28.32</v>
      </c>
      <c r="V2124" s="361"/>
      <c r="W2124" s="361"/>
    </row>
    <row r="2125" spans="1:23">
      <c r="A2125" s="1409">
        <f>A2105+1</f>
        <v>107</v>
      </c>
      <c r="B2125" s="1412" t="s">
        <v>661</v>
      </c>
      <c r="C2125" s="844" t="s">
        <v>983</v>
      </c>
      <c r="D2125" s="874" t="str">
        <f>B2125&amp;C2125</f>
        <v>A81a</v>
      </c>
      <c r="E2125" s="363"/>
      <c r="F2125" s="364"/>
      <c r="G2125" s="364"/>
      <c r="H2125" s="364"/>
      <c r="I2125" s="364"/>
      <c r="J2125" s="364"/>
      <c r="K2125" s="364"/>
      <c r="L2125" s="364"/>
      <c r="M2125" s="674"/>
      <c r="N2125" s="670"/>
      <c r="O2125" s="670">
        <f>U2124</f>
        <v>28.32</v>
      </c>
      <c r="P2125" s="670">
        <f>O2125</f>
        <v>28.32</v>
      </c>
      <c r="Q2125" s="670">
        <v>0</v>
      </c>
      <c r="R2125" s="365"/>
      <c r="S2125" s="366"/>
      <c r="T2125" s="1399"/>
      <c r="U2125" s="1398"/>
      <c r="V2125" s="361"/>
      <c r="W2125" s="361"/>
    </row>
    <row r="2126" spans="1:23">
      <c r="A2126" s="1410"/>
      <c r="B2126" s="1413"/>
      <c r="C2126" s="845" t="s">
        <v>984</v>
      </c>
      <c r="D2126" s="875" t="str">
        <f>B2125&amp;C2126</f>
        <v>A81b</v>
      </c>
      <c r="E2126" s="367">
        <v>1</v>
      </c>
      <c r="F2126" s="669" t="s">
        <v>1091</v>
      </c>
      <c r="G2126" s="369">
        <v>0.1423611111111111</v>
      </c>
      <c r="H2126" s="368">
        <v>0.16319444444444445</v>
      </c>
      <c r="I2126" s="368">
        <v>0.16666666666666666</v>
      </c>
      <c r="J2126" s="368">
        <v>0.17013888888888887</v>
      </c>
      <c r="K2126" s="669">
        <v>9</v>
      </c>
      <c r="L2126" s="669">
        <v>19</v>
      </c>
      <c r="M2126" s="675">
        <v>26.32</v>
      </c>
      <c r="N2126" s="671">
        <f>IF(M2126-P2126&gt;0,M2126-P2126,0)</f>
        <v>2.3200000000000003</v>
      </c>
      <c r="O2126" s="671">
        <f>O2125-K2126/(PI()*(U2123/2000)^2)</f>
        <v>20.362252845405234</v>
      </c>
      <c r="P2126" s="672">
        <v>24</v>
      </c>
      <c r="Q2126" s="673">
        <f>ABS(O2126-P2126)</f>
        <v>3.6377471545947664</v>
      </c>
      <c r="R2126" s="375" t="s">
        <v>188</v>
      </c>
      <c r="S2126" s="366"/>
      <c r="T2126" s="376"/>
      <c r="U2126" s="376"/>
      <c r="V2126" s="366"/>
      <c r="W2126" s="366"/>
    </row>
    <row r="2127" spans="1:23">
      <c r="A2127" s="1410"/>
      <c r="B2127" s="1413"/>
      <c r="C2127" s="845" t="s">
        <v>985</v>
      </c>
      <c r="D2127" s="875" t="str">
        <f>B2125&amp;C2127</f>
        <v>A81c</v>
      </c>
      <c r="E2127" s="367">
        <v>2</v>
      </c>
      <c r="F2127" s="669" t="s">
        <v>1096</v>
      </c>
      <c r="G2127" s="369">
        <v>0.14930555555555555</v>
      </c>
      <c r="H2127" s="368">
        <v>0.16666666666666666</v>
      </c>
      <c r="I2127" s="368">
        <v>0.17361111111111113</v>
      </c>
      <c r="J2127" s="368">
        <v>0.17708333333333334</v>
      </c>
      <c r="K2127" s="669">
        <v>9</v>
      </c>
      <c r="L2127" s="669">
        <v>20</v>
      </c>
      <c r="M2127" s="675">
        <v>20.02</v>
      </c>
      <c r="N2127" s="671">
        <f>IF(M2127-P2127&gt;0,M2127-P2127,0)</f>
        <v>3.7199999999999989</v>
      </c>
      <c r="O2127" s="671">
        <f>O2126-K2127/(PI()*(U2123/2000)^2)</f>
        <v>12.404505690810467</v>
      </c>
      <c r="P2127" s="672">
        <v>16.3</v>
      </c>
      <c r="Q2127" s="673">
        <f>ABS(O2127-P2127)</f>
        <v>3.8954943091895338</v>
      </c>
      <c r="R2127" s="375" t="s">
        <v>188</v>
      </c>
      <c r="S2127" s="366"/>
      <c r="T2127" s="376"/>
      <c r="U2127" s="376"/>
      <c r="V2127" s="366"/>
      <c r="W2127" s="366"/>
    </row>
    <row r="2128" spans="1:23">
      <c r="A2128" s="1410"/>
      <c r="B2128" s="1413"/>
      <c r="C2128" s="845" t="s">
        <v>986</v>
      </c>
      <c r="D2128" s="875" t="str">
        <f>B2125&amp;C2128</f>
        <v>A81d</v>
      </c>
      <c r="E2128" s="367">
        <v>3</v>
      </c>
      <c r="F2128" s="669" t="s">
        <v>1089</v>
      </c>
      <c r="G2128" s="368">
        <v>0.15625</v>
      </c>
      <c r="H2128" s="368">
        <v>0.17361111111111113</v>
      </c>
      <c r="I2128" s="368">
        <v>0.18055555555555555</v>
      </c>
      <c r="J2128" s="368">
        <v>0.18402777777777779</v>
      </c>
      <c r="K2128" s="370">
        <v>9</v>
      </c>
      <c r="L2128" s="370">
        <v>19.5</v>
      </c>
      <c r="M2128" s="371">
        <v>16.670000000000002</v>
      </c>
      <c r="N2128" s="671">
        <f>IF(M2128-P2128&gt;0,M2128-P2128,0)</f>
        <v>4.4700000000000024</v>
      </c>
      <c r="O2128" s="671">
        <f>O2127-K2128/(PI()*(U2123/2000)^2)</f>
        <v>4.4467585362157003</v>
      </c>
      <c r="P2128" s="373">
        <v>12.2</v>
      </c>
      <c r="Q2128" s="673">
        <f>ABS(O2128-P2128)</f>
        <v>7.753241463784299</v>
      </c>
      <c r="R2128" s="375" t="s">
        <v>188</v>
      </c>
      <c r="S2128" s="366"/>
      <c r="T2128" s="376"/>
      <c r="U2128" s="376"/>
      <c r="V2128" s="366"/>
      <c r="W2128" s="366"/>
    </row>
    <row r="2129" spans="1:23">
      <c r="A2129" s="1410"/>
      <c r="B2129" s="1413"/>
      <c r="C2129" s="845" t="s">
        <v>987</v>
      </c>
      <c r="D2129" s="875" t="str">
        <f>B2125&amp;C2129</f>
        <v>A81e</v>
      </c>
      <c r="E2129" s="367">
        <v>4</v>
      </c>
      <c r="F2129" s="669" t="s">
        <v>1085</v>
      </c>
      <c r="G2129" s="368">
        <v>0.20347222222222219</v>
      </c>
      <c r="H2129" s="368">
        <v>0.21875</v>
      </c>
      <c r="I2129" s="368">
        <v>0.22569444444444445</v>
      </c>
      <c r="J2129" s="368">
        <v>0.22916666666666666</v>
      </c>
      <c r="K2129" s="370">
        <v>6</v>
      </c>
      <c r="L2129" s="370">
        <v>20</v>
      </c>
      <c r="M2129" s="371">
        <v>16.87</v>
      </c>
      <c r="N2129" s="671">
        <f>IF(M2129-P2129&gt;0,M2129-P2129,0)</f>
        <v>9.57</v>
      </c>
      <c r="O2129" s="671">
        <f>O2128-K2129/(PI()*(U2123/2000)^2)</f>
        <v>-0.85840623351414447</v>
      </c>
      <c r="P2129" s="373">
        <v>7.3</v>
      </c>
      <c r="Q2129" s="673"/>
      <c r="R2129" s="375"/>
      <c r="S2129" s="366"/>
      <c r="T2129" s="376"/>
      <c r="U2129" s="376"/>
      <c r="V2129" s="366"/>
      <c r="W2129" s="366"/>
    </row>
    <row r="2130" spans="1:23">
      <c r="A2130" s="1410"/>
      <c r="B2130" s="1413"/>
      <c r="C2130" s="845" t="s">
        <v>988</v>
      </c>
      <c r="D2130" s="875" t="str">
        <f>B2125&amp;C2130</f>
        <v>A81f</v>
      </c>
      <c r="E2130" s="367">
        <v>5</v>
      </c>
      <c r="F2130" s="669"/>
      <c r="G2130" s="368"/>
      <c r="H2130" s="368"/>
      <c r="I2130" s="368"/>
      <c r="J2130" s="368"/>
      <c r="K2130" s="370"/>
      <c r="L2130" s="370"/>
      <c r="M2130" s="371"/>
      <c r="N2130" s="671"/>
      <c r="O2130" s="671"/>
      <c r="P2130" s="373"/>
      <c r="Q2130" s="673"/>
      <c r="R2130" s="375"/>
      <c r="S2130" s="366" t="s">
        <v>190</v>
      </c>
      <c r="T2130" s="376"/>
      <c r="U2130" s="376"/>
      <c r="V2130" s="366"/>
      <c r="W2130" s="366"/>
    </row>
    <row r="2131" spans="1:23">
      <c r="A2131" s="1410"/>
      <c r="B2131" s="1413"/>
      <c r="C2131" s="845" t="s">
        <v>989</v>
      </c>
      <c r="D2131" s="875" t="str">
        <f>B2125&amp;C2131</f>
        <v>A81g</v>
      </c>
      <c r="E2131" s="367">
        <v>6</v>
      </c>
      <c r="F2131" s="669"/>
      <c r="G2131" s="368"/>
      <c r="H2131" s="368"/>
      <c r="I2131" s="368"/>
      <c r="J2131" s="368"/>
      <c r="K2131" s="370"/>
      <c r="L2131" s="370"/>
      <c r="M2131" s="371"/>
      <c r="N2131" s="671"/>
      <c r="O2131" s="671"/>
      <c r="P2131" s="373"/>
      <c r="Q2131" s="673"/>
      <c r="R2131" s="375"/>
      <c r="S2131" s="366" t="s">
        <v>190</v>
      </c>
      <c r="T2131" s="366"/>
      <c r="U2131" s="366"/>
      <c r="V2131" s="366"/>
      <c r="W2131" s="366"/>
    </row>
    <row r="2132" spans="1:23">
      <c r="A2132" s="1410"/>
      <c r="B2132" s="1413"/>
      <c r="C2132" s="845" t="s">
        <v>990</v>
      </c>
      <c r="D2132" s="875" t="str">
        <f>B2125&amp;C2132</f>
        <v>A81h</v>
      </c>
      <c r="E2132" s="367">
        <v>7</v>
      </c>
      <c r="F2132" s="669"/>
      <c r="G2132" s="368"/>
      <c r="H2132" s="368"/>
      <c r="I2132" s="368"/>
      <c r="J2132" s="368"/>
      <c r="K2132" s="370"/>
      <c r="L2132" s="370"/>
      <c r="M2132" s="371"/>
      <c r="N2132" s="671"/>
      <c r="O2132" s="671"/>
      <c r="P2132" s="373"/>
      <c r="Q2132" s="673"/>
      <c r="R2132" s="377"/>
      <c r="S2132" s="366" t="s">
        <v>190</v>
      </c>
      <c r="T2132" s="366"/>
      <c r="U2132" s="366"/>
      <c r="V2132" s="366"/>
      <c r="W2132" s="366"/>
    </row>
    <row r="2133" spans="1:23">
      <c r="A2133" s="1410"/>
      <c r="B2133" s="1413"/>
      <c r="C2133" s="845" t="s">
        <v>991</v>
      </c>
      <c r="D2133" s="875" t="str">
        <f>B2125&amp;C2133</f>
        <v>A81i</v>
      </c>
      <c r="E2133" s="367">
        <v>8</v>
      </c>
      <c r="F2133" s="669"/>
      <c r="G2133" s="368"/>
      <c r="H2133" s="368"/>
      <c r="I2133" s="368"/>
      <c r="J2133" s="368"/>
      <c r="K2133" s="370"/>
      <c r="L2133" s="370"/>
      <c r="M2133" s="371"/>
      <c r="N2133" s="671"/>
      <c r="O2133" s="671"/>
      <c r="P2133" s="373"/>
      <c r="Q2133" s="673"/>
      <c r="R2133" s="378"/>
      <c r="S2133" s="366"/>
      <c r="T2133" s="366"/>
      <c r="U2133" s="366"/>
      <c r="V2133" s="366"/>
      <c r="W2133" s="366"/>
    </row>
    <row r="2134" spans="1:23">
      <c r="A2134" s="1410"/>
      <c r="B2134" s="1413"/>
      <c r="C2134" s="845" t="s">
        <v>992</v>
      </c>
      <c r="D2134" s="875" t="str">
        <f>B2125&amp;C2134</f>
        <v>A81k</v>
      </c>
      <c r="E2134" s="367">
        <v>9</v>
      </c>
      <c r="F2134" s="370"/>
      <c r="G2134" s="368"/>
      <c r="H2134" s="368"/>
      <c r="I2134" s="368"/>
      <c r="J2134" s="368"/>
      <c r="K2134" s="370"/>
      <c r="L2134" s="370"/>
      <c r="M2134" s="371"/>
      <c r="N2134" s="372"/>
      <c r="O2134" s="372"/>
      <c r="P2134" s="373"/>
      <c r="Q2134" s="374"/>
      <c r="R2134" s="378"/>
      <c r="S2134" s="379"/>
      <c r="T2134" s="366"/>
      <c r="U2134" s="366"/>
      <c r="V2134" s="366"/>
      <c r="W2134" s="366"/>
    </row>
    <row r="2135" spans="1:23">
      <c r="A2135" s="1410"/>
      <c r="B2135" s="1413"/>
      <c r="C2135" s="845" t="s">
        <v>993</v>
      </c>
      <c r="D2135" s="875" t="str">
        <f>B2125&amp;C2135</f>
        <v>A81l</v>
      </c>
      <c r="E2135" s="367">
        <v>10</v>
      </c>
      <c r="F2135" s="370"/>
      <c r="G2135" s="368"/>
      <c r="H2135" s="368"/>
      <c r="I2135" s="368"/>
      <c r="J2135" s="368"/>
      <c r="K2135" s="370"/>
      <c r="L2135" s="370"/>
      <c r="M2135" s="370"/>
      <c r="N2135" s="372"/>
      <c r="O2135" s="372"/>
      <c r="P2135" s="373"/>
      <c r="Q2135" s="374"/>
      <c r="R2135" s="378"/>
      <c r="S2135" s="379"/>
      <c r="T2135" s="366"/>
      <c r="U2135" s="366"/>
      <c r="V2135" s="366"/>
      <c r="W2135" s="366"/>
    </row>
    <row r="2136" spans="1:23">
      <c r="A2136" s="1410"/>
      <c r="B2136" s="1413"/>
      <c r="C2136" s="845" t="s">
        <v>994</v>
      </c>
      <c r="D2136" s="875" t="str">
        <f>B2125&amp;C2136</f>
        <v>A81m</v>
      </c>
      <c r="E2136" s="367">
        <v>11</v>
      </c>
      <c r="F2136" s="370"/>
      <c r="G2136" s="368"/>
      <c r="H2136" s="368"/>
      <c r="I2136" s="368"/>
      <c r="J2136" s="368"/>
      <c r="K2136" s="370"/>
      <c r="L2136" s="370"/>
      <c r="M2136" s="370"/>
      <c r="N2136" s="372"/>
      <c r="O2136" s="372"/>
      <c r="P2136" s="380"/>
      <c r="Q2136" s="374"/>
      <c r="R2136" s="381"/>
      <c r="S2136" s="379"/>
      <c r="T2136" s="366"/>
      <c r="U2136" s="366"/>
      <c r="V2136" s="366"/>
      <c r="W2136" s="366"/>
    </row>
    <row r="2137" spans="1:23">
      <c r="A2137" s="1410"/>
      <c r="B2137" s="1413"/>
      <c r="C2137" s="845" t="s">
        <v>995</v>
      </c>
      <c r="D2137" s="875" t="str">
        <f>B2125&amp;C2137</f>
        <v>A81n</v>
      </c>
      <c r="E2137" s="367">
        <v>12</v>
      </c>
      <c r="F2137" s="370"/>
      <c r="G2137" s="368"/>
      <c r="H2137" s="368"/>
      <c r="I2137" s="368"/>
      <c r="J2137" s="368"/>
      <c r="K2137" s="370"/>
      <c r="L2137" s="370"/>
      <c r="M2137" s="370"/>
      <c r="N2137" s="372"/>
      <c r="O2137" s="372"/>
      <c r="P2137" s="380"/>
      <c r="Q2137" s="374"/>
      <c r="R2137" s="381"/>
      <c r="S2137" s="361"/>
      <c r="T2137" s="361"/>
      <c r="U2137" s="361"/>
      <c r="V2137" s="366"/>
      <c r="W2137" s="366"/>
    </row>
    <row r="2138" spans="1:23">
      <c r="A2138" s="1410"/>
      <c r="B2138" s="1413"/>
      <c r="C2138" s="845" t="s">
        <v>471</v>
      </c>
      <c r="D2138" s="875" t="str">
        <f>B2125&amp;C2138</f>
        <v>A81x</v>
      </c>
      <c r="E2138" s="367">
        <v>13</v>
      </c>
      <c r="F2138" s="370"/>
      <c r="G2138" s="368"/>
      <c r="H2138" s="368"/>
      <c r="I2138" s="368"/>
      <c r="J2138" s="368"/>
      <c r="K2138" s="370"/>
      <c r="L2138" s="370"/>
      <c r="M2138" s="370"/>
      <c r="N2138" s="382"/>
      <c r="O2138" s="372"/>
      <c r="P2138" s="380"/>
      <c r="Q2138" s="381"/>
      <c r="R2138" s="381"/>
      <c r="S2138" s="361"/>
      <c r="T2138" s="361"/>
      <c r="U2138" s="361"/>
      <c r="V2138" s="366"/>
      <c r="W2138" s="366"/>
    </row>
    <row r="2139" spans="1:23">
      <c r="A2139" s="1410"/>
      <c r="B2139" s="1413"/>
      <c r="C2139" s="845" t="s">
        <v>732</v>
      </c>
      <c r="D2139" s="875" t="str">
        <f>B2125&amp;C2139</f>
        <v>A81y</v>
      </c>
      <c r="E2139" s="367">
        <v>14</v>
      </c>
      <c r="F2139" s="370"/>
      <c r="G2139" s="368"/>
      <c r="H2139" s="368"/>
      <c r="I2139" s="368"/>
      <c r="J2139" s="368"/>
      <c r="K2139" s="370"/>
      <c r="L2139" s="370"/>
      <c r="M2139" s="370"/>
      <c r="N2139" s="382"/>
      <c r="O2139" s="372"/>
      <c r="P2139" s="380"/>
      <c r="Q2139" s="381"/>
      <c r="R2139" s="381"/>
      <c r="S2139" s="361"/>
      <c r="T2139" s="361"/>
      <c r="U2139" s="362"/>
      <c r="V2139" s="366"/>
      <c r="W2139" s="366"/>
    </row>
    <row r="2140" spans="1:23">
      <c r="A2140" s="1411"/>
      <c r="B2140" s="1414"/>
      <c r="C2140" s="846" t="s">
        <v>996</v>
      </c>
      <c r="D2140" s="876" t="str">
        <f>B2125&amp;C2140</f>
        <v>A81z</v>
      </c>
      <c r="E2140" s="847">
        <v>15</v>
      </c>
      <c r="F2140" s="370"/>
      <c r="G2140" s="368"/>
      <c r="H2140" s="368"/>
      <c r="I2140" s="368"/>
      <c r="J2140" s="368"/>
      <c r="K2140" s="370"/>
      <c r="L2140" s="370"/>
      <c r="M2140" s="370"/>
      <c r="N2140" s="850"/>
      <c r="O2140" s="851"/>
      <c r="P2140" s="380"/>
      <c r="Q2140" s="852"/>
      <c r="R2140" s="383"/>
      <c r="S2140" s="361"/>
      <c r="T2140" s="832"/>
      <c r="U2140" s="830"/>
      <c r="V2140" s="366"/>
      <c r="W2140" s="366"/>
    </row>
    <row r="2141" spans="1:23">
      <c r="A2141" s="1400" t="s">
        <v>939</v>
      </c>
      <c r="B2141" s="1400"/>
      <c r="C2141" s="827"/>
      <c r="D2141" s="871"/>
      <c r="E2141" s="1400" t="s">
        <v>177</v>
      </c>
      <c r="F2141" s="1400" t="s">
        <v>18</v>
      </c>
      <c r="G2141" s="1389" t="s">
        <v>19</v>
      </c>
      <c r="H2141" s="1390"/>
      <c r="I2141" s="1389" t="s">
        <v>22</v>
      </c>
      <c r="J2141" s="1390"/>
      <c r="K2141" s="1393" t="s">
        <v>26</v>
      </c>
      <c r="L2141" s="1390"/>
      <c r="M2141" s="1389" t="s">
        <v>392</v>
      </c>
      <c r="N2141" s="1390"/>
      <c r="O2141" s="1389" t="s">
        <v>28</v>
      </c>
      <c r="P2141" s="1393"/>
      <c r="Q2141" s="1390"/>
      <c r="R2141" s="1400" t="s">
        <v>36</v>
      </c>
      <c r="S2141" s="361"/>
      <c r="T2141" s="361">
        <f>MAX(J2145:J2159)-MIN(I2145:I2159)</f>
        <v>2.430555555555558E-2</v>
      </c>
      <c r="U2141" s="361"/>
      <c r="V2141" s="853" t="str">
        <f t="shared" ref="V2141" si="224">B2145</f>
        <v>A66</v>
      </c>
      <c r="W2141" s="361">
        <f t="shared" ref="W2141" si="225">COUNTIF(K2146:K2160,"&gt;0")</f>
        <v>3</v>
      </c>
    </row>
    <row r="2142" spans="1:23">
      <c r="A2142" s="1401"/>
      <c r="B2142" s="1401"/>
      <c r="C2142" s="828"/>
      <c r="D2142" s="872"/>
      <c r="E2142" s="1401"/>
      <c r="F2142" s="1401"/>
      <c r="G2142" s="1391"/>
      <c r="H2142" s="1392"/>
      <c r="I2142" s="1391"/>
      <c r="J2142" s="1392"/>
      <c r="K2142" s="1394"/>
      <c r="L2142" s="1392"/>
      <c r="M2142" s="1391"/>
      <c r="N2142" s="1392"/>
      <c r="O2142" s="1391"/>
      <c r="P2142" s="1394"/>
      <c r="Q2142" s="1392"/>
      <c r="R2142" s="1401"/>
      <c r="S2142" s="361"/>
      <c r="T2142" s="361"/>
      <c r="U2142" s="361"/>
      <c r="V2142" s="361"/>
      <c r="W2142" s="361"/>
    </row>
    <row r="2143" spans="1:23">
      <c r="A2143" s="1401"/>
      <c r="B2143" s="1401"/>
      <c r="C2143" s="828"/>
      <c r="D2143" s="872"/>
      <c r="E2143" s="1401"/>
      <c r="F2143" s="1401"/>
      <c r="G2143" s="1400" t="s">
        <v>20</v>
      </c>
      <c r="H2143" s="1400" t="s">
        <v>21</v>
      </c>
      <c r="I2143" s="1400" t="s">
        <v>361</v>
      </c>
      <c r="J2143" s="1400" t="s">
        <v>353</v>
      </c>
      <c r="K2143" s="1400" t="s">
        <v>23</v>
      </c>
      <c r="L2143" s="1400" t="s">
        <v>24</v>
      </c>
      <c r="M2143" s="1400" t="s">
        <v>27</v>
      </c>
      <c r="N2143" s="1400" t="s">
        <v>178</v>
      </c>
      <c r="O2143" s="1400" t="s">
        <v>1</v>
      </c>
      <c r="P2143" s="1400" t="s">
        <v>29</v>
      </c>
      <c r="Q2143" s="1400" t="s">
        <v>33</v>
      </c>
      <c r="R2143" s="1401"/>
      <c r="S2143" s="361"/>
      <c r="T2143" s="361" t="s">
        <v>39</v>
      </c>
      <c r="U2143" s="362">
        <f>VLOOKUP(B2145,'Thong tin'!$A:$M,13,0)</f>
        <v>1200</v>
      </c>
      <c r="V2143" s="361"/>
      <c r="W2143" s="361"/>
    </row>
    <row r="2144" spans="1:23">
      <c r="A2144" s="1402"/>
      <c r="B2144" s="1402"/>
      <c r="C2144" s="829"/>
      <c r="D2144" s="873"/>
      <c r="E2144" s="1402"/>
      <c r="F2144" s="1402"/>
      <c r="G2144" s="1402"/>
      <c r="H2144" s="1402"/>
      <c r="I2144" s="1402"/>
      <c r="J2144" s="1402"/>
      <c r="K2144" s="1402"/>
      <c r="L2144" s="1402"/>
      <c r="M2144" s="1402"/>
      <c r="N2144" s="1402"/>
      <c r="O2144" s="1402"/>
      <c r="P2144" s="1402"/>
      <c r="Q2144" s="1402"/>
      <c r="R2144" s="1402"/>
      <c r="S2144" s="361"/>
      <c r="T2144" s="1399" t="s">
        <v>393</v>
      </c>
      <c r="U2144" s="1397">
        <f>VLOOKUP(B2145,DT.NK!$B:$AZ,45,0)</f>
        <v>27.05</v>
      </c>
      <c r="V2144" s="361"/>
      <c r="W2144" s="361"/>
    </row>
    <row r="2145" spans="1:23">
      <c r="A2145" s="1409">
        <f>A2125+1</f>
        <v>108</v>
      </c>
      <c r="B2145" s="1412" t="s">
        <v>589</v>
      </c>
      <c r="C2145" s="844" t="s">
        <v>983</v>
      </c>
      <c r="D2145" s="874" t="str">
        <f>B2145&amp;C2145</f>
        <v>A66a</v>
      </c>
      <c r="E2145" s="363"/>
      <c r="F2145" s="364"/>
      <c r="G2145" s="364"/>
      <c r="H2145" s="364"/>
      <c r="I2145" s="364"/>
      <c r="J2145" s="364"/>
      <c r="K2145" s="364"/>
      <c r="L2145" s="364"/>
      <c r="M2145" s="674"/>
      <c r="N2145" s="670"/>
      <c r="O2145" s="670">
        <f>U2144</f>
        <v>27.05</v>
      </c>
      <c r="P2145" s="670">
        <f>O2145</f>
        <v>27.05</v>
      </c>
      <c r="Q2145" s="670">
        <v>0</v>
      </c>
      <c r="R2145" s="365"/>
      <c r="S2145" s="366"/>
      <c r="T2145" s="1399"/>
      <c r="U2145" s="1398"/>
      <c r="V2145" s="361"/>
      <c r="W2145" s="361"/>
    </row>
    <row r="2146" spans="1:23">
      <c r="A2146" s="1410"/>
      <c r="B2146" s="1413"/>
      <c r="C2146" s="845" t="s">
        <v>984</v>
      </c>
      <c r="D2146" s="875" t="str">
        <f>B2145&amp;C2146</f>
        <v>A66b</v>
      </c>
      <c r="E2146" s="367">
        <v>1</v>
      </c>
      <c r="F2146" s="669" t="s">
        <v>1091</v>
      </c>
      <c r="G2146" s="369">
        <v>0.25416666666666665</v>
      </c>
      <c r="H2146" s="368">
        <v>0.26458333333333334</v>
      </c>
      <c r="I2146" s="368">
        <v>0.27430555555555552</v>
      </c>
      <c r="J2146" s="368">
        <v>0.27777777777777779</v>
      </c>
      <c r="K2146" s="669">
        <v>8</v>
      </c>
      <c r="L2146" s="669">
        <v>19</v>
      </c>
      <c r="M2146" s="675">
        <v>25.05</v>
      </c>
      <c r="N2146" s="671">
        <f>IF(M2146-P2146&gt;0,M2146-P2146,0)</f>
        <v>3.0500000000000007</v>
      </c>
      <c r="O2146" s="671">
        <f>O2145-K2146/(PI()*(U2143/2000)^2)</f>
        <v>19.976446973693541</v>
      </c>
      <c r="P2146" s="672">
        <v>22</v>
      </c>
      <c r="Q2146" s="673">
        <f>ABS(O2146-P2146)</f>
        <v>2.0235530263064589</v>
      </c>
      <c r="R2146" s="375" t="s">
        <v>188</v>
      </c>
      <c r="S2146" s="366"/>
      <c r="T2146" s="376"/>
      <c r="U2146" s="376"/>
      <c r="V2146" s="366"/>
      <c r="W2146" s="366"/>
    </row>
    <row r="2147" spans="1:23">
      <c r="A2147" s="1410"/>
      <c r="B2147" s="1413"/>
      <c r="C2147" s="845" t="s">
        <v>985</v>
      </c>
      <c r="D2147" s="875" t="str">
        <f>B2145&amp;C2147</f>
        <v>A66c</v>
      </c>
      <c r="E2147" s="367">
        <v>2</v>
      </c>
      <c r="F2147" s="669" t="s">
        <v>1096</v>
      </c>
      <c r="G2147" s="369">
        <v>0.25972222222222224</v>
      </c>
      <c r="H2147" s="368">
        <v>0.2673611111111111</v>
      </c>
      <c r="I2147" s="368">
        <v>0.28125</v>
      </c>
      <c r="J2147" s="368">
        <v>0.28472222222222221</v>
      </c>
      <c r="K2147" s="669">
        <v>8</v>
      </c>
      <c r="L2147" s="669">
        <v>19</v>
      </c>
      <c r="M2147" s="675">
        <v>18.75</v>
      </c>
      <c r="N2147" s="671">
        <f>IF(M2147-P2147&gt;0,M2147-P2147,0)</f>
        <v>5.25</v>
      </c>
      <c r="O2147" s="671">
        <f>O2146-K2147/(PI()*(U2143/2000)^2)</f>
        <v>12.902893947387081</v>
      </c>
      <c r="P2147" s="672">
        <v>13.5</v>
      </c>
      <c r="Q2147" s="673">
        <f>ABS(O2147-P2147)</f>
        <v>0.5971060526129186</v>
      </c>
      <c r="R2147" s="375" t="s">
        <v>188</v>
      </c>
      <c r="S2147" s="366"/>
      <c r="T2147" s="376"/>
      <c r="U2147" s="376"/>
      <c r="V2147" s="366"/>
      <c r="W2147" s="366"/>
    </row>
    <row r="2148" spans="1:23">
      <c r="A2148" s="1410"/>
      <c r="B2148" s="1413"/>
      <c r="C2148" s="845" t="s">
        <v>986</v>
      </c>
      <c r="D2148" s="875" t="str">
        <f>B2145&amp;C2148</f>
        <v>A66d</v>
      </c>
      <c r="E2148" s="367">
        <v>3</v>
      </c>
      <c r="F2148" s="669" t="s">
        <v>1089</v>
      </c>
      <c r="G2148" s="368">
        <v>0.2673611111111111</v>
      </c>
      <c r="H2148" s="368">
        <v>0.27083333333333331</v>
      </c>
      <c r="I2148" s="368">
        <v>0.28819444444444448</v>
      </c>
      <c r="J2148" s="368">
        <v>0.2986111111111111</v>
      </c>
      <c r="K2148" s="370">
        <v>8</v>
      </c>
      <c r="L2148" s="370">
        <v>19</v>
      </c>
      <c r="M2148" s="371">
        <v>18.75</v>
      </c>
      <c r="N2148" s="671">
        <f>IF(M2148-P2148&gt;0,M2148-P2148,0)</f>
        <v>10.25</v>
      </c>
      <c r="O2148" s="671">
        <f>O2147-K2148/(PI()*(U2143/2000)^2)</f>
        <v>5.8293409210806217</v>
      </c>
      <c r="P2148" s="373">
        <v>8.5</v>
      </c>
      <c r="Q2148" s="673">
        <f>ABS(O2148-P2148)</f>
        <v>2.6706590789193783</v>
      </c>
      <c r="R2148" s="375" t="s">
        <v>188</v>
      </c>
      <c r="S2148" s="366"/>
      <c r="T2148" s="376"/>
      <c r="U2148" s="376"/>
      <c r="V2148" s="366"/>
      <c r="W2148" s="366"/>
    </row>
    <row r="2149" spans="1:23">
      <c r="A2149" s="1410"/>
      <c r="B2149" s="1413"/>
      <c r="C2149" s="845" t="s">
        <v>987</v>
      </c>
      <c r="D2149" s="875" t="str">
        <f>B2145&amp;C2149</f>
        <v>A66e</v>
      </c>
      <c r="E2149" s="367">
        <v>4</v>
      </c>
      <c r="F2149" s="669"/>
      <c r="G2149" s="368"/>
      <c r="H2149" s="368"/>
      <c r="I2149" s="368"/>
      <c r="J2149" s="368"/>
      <c r="K2149" s="370"/>
      <c r="L2149" s="370"/>
      <c r="M2149" s="371"/>
      <c r="N2149" s="671"/>
      <c r="O2149" s="671"/>
      <c r="P2149" s="373"/>
      <c r="Q2149" s="673"/>
      <c r="R2149" s="375"/>
      <c r="S2149" s="366"/>
      <c r="T2149" s="376"/>
      <c r="U2149" s="376"/>
      <c r="V2149" s="366"/>
      <c r="W2149" s="366"/>
    </row>
    <row r="2150" spans="1:23">
      <c r="A2150" s="1410"/>
      <c r="B2150" s="1413"/>
      <c r="C2150" s="845" t="s">
        <v>988</v>
      </c>
      <c r="D2150" s="875" t="str">
        <f>B2145&amp;C2150</f>
        <v>A66f</v>
      </c>
      <c r="E2150" s="367">
        <v>5</v>
      </c>
      <c r="F2150" s="669"/>
      <c r="G2150" s="368"/>
      <c r="H2150" s="368"/>
      <c r="I2150" s="368"/>
      <c r="J2150" s="368"/>
      <c r="K2150" s="370"/>
      <c r="L2150" s="370"/>
      <c r="M2150" s="371"/>
      <c r="N2150" s="671"/>
      <c r="O2150" s="671"/>
      <c r="P2150" s="373"/>
      <c r="Q2150" s="673"/>
      <c r="R2150" s="375"/>
      <c r="S2150" s="366" t="s">
        <v>190</v>
      </c>
      <c r="T2150" s="376"/>
      <c r="U2150" s="376"/>
      <c r="V2150" s="366"/>
      <c r="W2150" s="366"/>
    </row>
    <row r="2151" spans="1:23">
      <c r="A2151" s="1410"/>
      <c r="B2151" s="1413"/>
      <c r="C2151" s="845" t="s">
        <v>989</v>
      </c>
      <c r="D2151" s="875" t="str">
        <f>B2145&amp;C2151</f>
        <v>A66g</v>
      </c>
      <c r="E2151" s="367">
        <v>6</v>
      </c>
      <c r="F2151" s="669"/>
      <c r="G2151" s="368"/>
      <c r="H2151" s="368"/>
      <c r="I2151" s="368"/>
      <c r="J2151" s="368"/>
      <c r="K2151" s="370"/>
      <c r="L2151" s="370"/>
      <c r="M2151" s="371"/>
      <c r="N2151" s="671"/>
      <c r="O2151" s="671"/>
      <c r="P2151" s="373"/>
      <c r="Q2151" s="673"/>
      <c r="R2151" s="375"/>
      <c r="S2151" s="366" t="s">
        <v>190</v>
      </c>
      <c r="T2151" s="366"/>
      <c r="U2151" s="366"/>
      <c r="V2151" s="366"/>
      <c r="W2151" s="366"/>
    </row>
    <row r="2152" spans="1:23">
      <c r="A2152" s="1410"/>
      <c r="B2152" s="1413"/>
      <c r="C2152" s="845" t="s">
        <v>990</v>
      </c>
      <c r="D2152" s="875" t="str">
        <f>B2145&amp;C2152</f>
        <v>A66h</v>
      </c>
      <c r="E2152" s="367">
        <v>7</v>
      </c>
      <c r="F2152" s="669"/>
      <c r="G2152" s="368"/>
      <c r="H2152" s="368"/>
      <c r="I2152" s="368"/>
      <c r="J2152" s="368"/>
      <c r="K2152" s="370"/>
      <c r="L2152" s="370"/>
      <c r="M2152" s="371"/>
      <c r="N2152" s="671"/>
      <c r="O2152" s="671"/>
      <c r="P2152" s="373"/>
      <c r="Q2152" s="673"/>
      <c r="R2152" s="377"/>
      <c r="S2152" s="366" t="s">
        <v>190</v>
      </c>
      <c r="T2152" s="366"/>
      <c r="U2152" s="366"/>
      <c r="V2152" s="366"/>
      <c r="W2152" s="366"/>
    </row>
    <row r="2153" spans="1:23">
      <c r="A2153" s="1410"/>
      <c r="B2153" s="1413"/>
      <c r="C2153" s="845" t="s">
        <v>991</v>
      </c>
      <c r="D2153" s="875" t="str">
        <f>B2145&amp;C2153</f>
        <v>A66i</v>
      </c>
      <c r="E2153" s="367">
        <v>8</v>
      </c>
      <c r="F2153" s="669"/>
      <c r="G2153" s="368"/>
      <c r="H2153" s="368"/>
      <c r="I2153" s="368"/>
      <c r="J2153" s="368"/>
      <c r="K2153" s="370"/>
      <c r="L2153" s="370"/>
      <c r="M2153" s="371"/>
      <c r="N2153" s="671"/>
      <c r="O2153" s="671"/>
      <c r="P2153" s="373"/>
      <c r="Q2153" s="673"/>
      <c r="R2153" s="378"/>
      <c r="S2153" s="366"/>
      <c r="T2153" s="366"/>
      <c r="U2153" s="366"/>
      <c r="V2153" s="366"/>
      <c r="W2153" s="366"/>
    </row>
    <row r="2154" spans="1:23">
      <c r="A2154" s="1410"/>
      <c r="B2154" s="1413"/>
      <c r="C2154" s="845" t="s">
        <v>992</v>
      </c>
      <c r="D2154" s="875" t="str">
        <f>B2145&amp;C2154</f>
        <v>A66k</v>
      </c>
      <c r="E2154" s="367">
        <v>9</v>
      </c>
      <c r="F2154" s="370"/>
      <c r="G2154" s="368"/>
      <c r="H2154" s="368"/>
      <c r="I2154" s="368"/>
      <c r="J2154" s="368"/>
      <c r="K2154" s="370"/>
      <c r="L2154" s="370"/>
      <c r="M2154" s="371"/>
      <c r="N2154" s="372"/>
      <c r="O2154" s="372"/>
      <c r="P2154" s="373"/>
      <c r="Q2154" s="374"/>
      <c r="R2154" s="378"/>
      <c r="S2154" s="379"/>
      <c r="T2154" s="366"/>
      <c r="U2154" s="366"/>
      <c r="V2154" s="366"/>
      <c r="W2154" s="366"/>
    </row>
    <row r="2155" spans="1:23">
      <c r="A2155" s="1410"/>
      <c r="B2155" s="1413"/>
      <c r="C2155" s="845" t="s">
        <v>993</v>
      </c>
      <c r="D2155" s="875" t="str">
        <f>B2145&amp;C2155</f>
        <v>A66l</v>
      </c>
      <c r="E2155" s="367">
        <v>10</v>
      </c>
      <c r="F2155" s="370"/>
      <c r="G2155" s="368"/>
      <c r="H2155" s="368"/>
      <c r="I2155" s="368"/>
      <c r="J2155" s="368"/>
      <c r="K2155" s="370"/>
      <c r="L2155" s="370"/>
      <c r="M2155" s="370"/>
      <c r="N2155" s="372"/>
      <c r="O2155" s="372"/>
      <c r="P2155" s="373"/>
      <c r="Q2155" s="374"/>
      <c r="R2155" s="378"/>
      <c r="S2155" s="379"/>
      <c r="T2155" s="366"/>
      <c r="U2155" s="366"/>
      <c r="V2155" s="366"/>
      <c r="W2155" s="366"/>
    </row>
    <row r="2156" spans="1:23">
      <c r="A2156" s="1410"/>
      <c r="B2156" s="1413"/>
      <c r="C2156" s="845" t="s">
        <v>994</v>
      </c>
      <c r="D2156" s="875" t="str">
        <f>B2145&amp;C2156</f>
        <v>A66m</v>
      </c>
      <c r="E2156" s="367">
        <v>11</v>
      </c>
      <c r="F2156" s="370"/>
      <c r="G2156" s="368"/>
      <c r="H2156" s="368"/>
      <c r="I2156" s="368"/>
      <c r="J2156" s="368"/>
      <c r="K2156" s="370"/>
      <c r="L2156" s="370"/>
      <c r="M2156" s="370"/>
      <c r="N2156" s="372"/>
      <c r="O2156" s="372"/>
      <c r="P2156" s="380"/>
      <c r="Q2156" s="374"/>
      <c r="R2156" s="381"/>
      <c r="S2156" s="379"/>
      <c r="T2156" s="366"/>
      <c r="U2156" s="366"/>
      <c r="V2156" s="366"/>
      <c r="W2156" s="366"/>
    </row>
    <row r="2157" spans="1:23">
      <c r="A2157" s="1410"/>
      <c r="B2157" s="1413"/>
      <c r="C2157" s="845" t="s">
        <v>995</v>
      </c>
      <c r="D2157" s="875" t="str">
        <f>B2145&amp;C2157</f>
        <v>A66n</v>
      </c>
      <c r="E2157" s="367">
        <v>12</v>
      </c>
      <c r="F2157" s="370"/>
      <c r="G2157" s="368"/>
      <c r="H2157" s="368"/>
      <c r="I2157" s="368"/>
      <c r="J2157" s="368"/>
      <c r="K2157" s="370"/>
      <c r="L2157" s="370"/>
      <c r="M2157" s="370"/>
      <c r="N2157" s="372"/>
      <c r="O2157" s="372"/>
      <c r="P2157" s="380"/>
      <c r="Q2157" s="374"/>
      <c r="R2157" s="381"/>
      <c r="S2157" s="361"/>
      <c r="T2157" s="361"/>
      <c r="U2157" s="361"/>
      <c r="V2157" s="366"/>
      <c r="W2157" s="366"/>
    </row>
    <row r="2158" spans="1:23">
      <c r="A2158" s="1410"/>
      <c r="B2158" s="1413"/>
      <c r="C2158" s="845" t="s">
        <v>471</v>
      </c>
      <c r="D2158" s="875" t="str">
        <f>B2145&amp;C2158</f>
        <v>A66x</v>
      </c>
      <c r="E2158" s="367">
        <v>13</v>
      </c>
      <c r="F2158" s="370"/>
      <c r="G2158" s="368"/>
      <c r="H2158" s="368"/>
      <c r="I2158" s="368"/>
      <c r="J2158" s="368"/>
      <c r="K2158" s="370"/>
      <c r="L2158" s="370"/>
      <c r="M2158" s="370"/>
      <c r="N2158" s="382"/>
      <c r="O2158" s="372"/>
      <c r="P2158" s="380"/>
      <c r="Q2158" s="381"/>
      <c r="R2158" s="381"/>
      <c r="S2158" s="361"/>
      <c r="T2158" s="361"/>
      <c r="U2158" s="361"/>
      <c r="V2158" s="366"/>
      <c r="W2158" s="366"/>
    </row>
    <row r="2159" spans="1:23">
      <c r="A2159" s="1410"/>
      <c r="B2159" s="1413"/>
      <c r="C2159" s="845" t="s">
        <v>732</v>
      </c>
      <c r="D2159" s="875" t="str">
        <f>B2145&amp;C2159</f>
        <v>A66y</v>
      </c>
      <c r="E2159" s="367">
        <v>14</v>
      </c>
      <c r="F2159" s="370"/>
      <c r="G2159" s="368"/>
      <c r="H2159" s="368"/>
      <c r="I2159" s="368"/>
      <c r="J2159" s="368"/>
      <c r="K2159" s="370"/>
      <c r="L2159" s="370"/>
      <c r="M2159" s="370"/>
      <c r="N2159" s="382"/>
      <c r="O2159" s="372"/>
      <c r="P2159" s="380"/>
      <c r="Q2159" s="381"/>
      <c r="R2159" s="381"/>
      <c r="S2159" s="361"/>
      <c r="T2159" s="361"/>
      <c r="U2159" s="362"/>
      <c r="V2159" s="366"/>
      <c r="W2159" s="366"/>
    </row>
    <row r="2160" spans="1:23">
      <c r="A2160" s="1411"/>
      <c r="B2160" s="1414"/>
      <c r="C2160" s="846" t="s">
        <v>996</v>
      </c>
      <c r="D2160" s="876" t="str">
        <f>B2145&amp;C2160</f>
        <v>A66z</v>
      </c>
      <c r="E2160" s="847">
        <v>15</v>
      </c>
      <c r="F2160" s="370"/>
      <c r="G2160" s="368"/>
      <c r="H2160" s="368"/>
      <c r="I2160" s="368"/>
      <c r="J2160" s="368"/>
      <c r="K2160" s="370"/>
      <c r="L2160" s="370"/>
      <c r="M2160" s="370"/>
      <c r="N2160" s="850"/>
      <c r="O2160" s="851"/>
      <c r="P2160" s="380"/>
      <c r="Q2160" s="852"/>
      <c r="R2160" s="383"/>
      <c r="S2160" s="361"/>
      <c r="T2160" s="832"/>
      <c r="U2160" s="830"/>
      <c r="V2160" s="366"/>
      <c r="W2160" s="366"/>
    </row>
    <row r="2161" spans="1:23">
      <c r="A2161" s="1400" t="s">
        <v>939</v>
      </c>
      <c r="B2161" s="1400"/>
      <c r="C2161" s="827"/>
      <c r="D2161" s="871"/>
      <c r="E2161" s="1400" t="s">
        <v>177</v>
      </c>
      <c r="F2161" s="1400" t="s">
        <v>18</v>
      </c>
      <c r="G2161" s="1389" t="s">
        <v>19</v>
      </c>
      <c r="H2161" s="1390"/>
      <c r="I2161" s="1389" t="s">
        <v>22</v>
      </c>
      <c r="J2161" s="1390"/>
      <c r="K2161" s="1393" t="s">
        <v>26</v>
      </c>
      <c r="L2161" s="1390"/>
      <c r="M2161" s="1389" t="s">
        <v>392</v>
      </c>
      <c r="N2161" s="1390"/>
      <c r="O2161" s="1389" t="s">
        <v>28</v>
      </c>
      <c r="P2161" s="1393"/>
      <c r="Q2161" s="1390"/>
      <c r="R2161" s="1400" t="s">
        <v>36</v>
      </c>
      <c r="S2161" s="361"/>
      <c r="T2161" s="361">
        <f>MAX(J2165:J2179)-MIN(I2165:I2179)</f>
        <v>1.388888888888884E-2</v>
      </c>
      <c r="U2161" s="361"/>
      <c r="V2161" s="853" t="str">
        <f t="shared" ref="V2161" si="226">B2165</f>
        <v>B25</v>
      </c>
      <c r="W2161" s="361">
        <f t="shared" ref="W2161" si="227">COUNTIF(K2166:K2180,"&gt;0")</f>
        <v>2</v>
      </c>
    </row>
    <row r="2162" spans="1:23">
      <c r="A2162" s="1401"/>
      <c r="B2162" s="1401"/>
      <c r="C2162" s="828"/>
      <c r="D2162" s="872"/>
      <c r="E2162" s="1401"/>
      <c r="F2162" s="1401"/>
      <c r="G2162" s="1391"/>
      <c r="H2162" s="1392"/>
      <c r="I2162" s="1391"/>
      <c r="J2162" s="1392"/>
      <c r="K2162" s="1394"/>
      <c r="L2162" s="1392"/>
      <c r="M2162" s="1391"/>
      <c r="N2162" s="1392"/>
      <c r="O2162" s="1391"/>
      <c r="P2162" s="1394"/>
      <c r="Q2162" s="1392"/>
      <c r="R2162" s="1401"/>
      <c r="S2162" s="361"/>
      <c r="T2162" s="361"/>
      <c r="U2162" s="361"/>
      <c r="V2162" s="361"/>
      <c r="W2162" s="361"/>
    </row>
    <row r="2163" spans="1:23">
      <c r="A2163" s="1401"/>
      <c r="B2163" s="1401"/>
      <c r="C2163" s="828"/>
      <c r="D2163" s="872"/>
      <c r="E2163" s="1401"/>
      <c r="F2163" s="1401"/>
      <c r="G2163" s="1400" t="s">
        <v>20</v>
      </c>
      <c r="H2163" s="1400" t="s">
        <v>21</v>
      </c>
      <c r="I2163" s="1400" t="s">
        <v>361</v>
      </c>
      <c r="J2163" s="1400" t="s">
        <v>353</v>
      </c>
      <c r="K2163" s="1400" t="s">
        <v>23</v>
      </c>
      <c r="L2163" s="1400" t="s">
        <v>24</v>
      </c>
      <c r="M2163" s="1400" t="s">
        <v>27</v>
      </c>
      <c r="N2163" s="1400" t="s">
        <v>178</v>
      </c>
      <c r="O2163" s="1400" t="s">
        <v>1</v>
      </c>
      <c r="P2163" s="1400" t="s">
        <v>29</v>
      </c>
      <c r="Q2163" s="1400" t="s">
        <v>33</v>
      </c>
      <c r="R2163" s="1401"/>
      <c r="S2163" s="361"/>
      <c r="T2163" s="361" t="s">
        <v>39</v>
      </c>
      <c r="U2163" s="362">
        <f>VLOOKUP(B2165,'Thong tin'!$A:$M,13,0)</f>
        <v>800</v>
      </c>
      <c r="V2163" s="361"/>
      <c r="W2163" s="361"/>
    </row>
    <row r="2164" spans="1:23">
      <c r="A2164" s="1402"/>
      <c r="B2164" s="1402"/>
      <c r="C2164" s="829"/>
      <c r="D2164" s="873"/>
      <c r="E2164" s="1402"/>
      <c r="F2164" s="1402"/>
      <c r="G2164" s="1402"/>
      <c r="H2164" s="1402"/>
      <c r="I2164" s="1402"/>
      <c r="J2164" s="1402"/>
      <c r="K2164" s="1402"/>
      <c r="L2164" s="1402"/>
      <c r="M2164" s="1402"/>
      <c r="N2164" s="1402"/>
      <c r="O2164" s="1402"/>
      <c r="P2164" s="1402"/>
      <c r="Q2164" s="1402"/>
      <c r="R2164" s="1402"/>
      <c r="S2164" s="361"/>
      <c r="T2164" s="1399" t="s">
        <v>393</v>
      </c>
      <c r="U2164" s="1397">
        <f>VLOOKUP(B2165,DT.NK!$B:$AZ,45,0)</f>
        <v>30.81</v>
      </c>
      <c r="V2164" s="361"/>
      <c r="W2164" s="361"/>
    </row>
    <row r="2165" spans="1:23">
      <c r="A2165" s="1409">
        <f>A2145+1</f>
        <v>109</v>
      </c>
      <c r="B2165" s="1412" t="s">
        <v>464</v>
      </c>
      <c r="C2165" s="844" t="s">
        <v>983</v>
      </c>
      <c r="D2165" s="874" t="str">
        <f>B2165&amp;C2165</f>
        <v>B25a</v>
      </c>
      <c r="E2165" s="363"/>
      <c r="F2165" s="364"/>
      <c r="G2165" s="364"/>
      <c r="H2165" s="364"/>
      <c r="I2165" s="364"/>
      <c r="J2165" s="364"/>
      <c r="K2165" s="364"/>
      <c r="L2165" s="364"/>
      <c r="M2165" s="674"/>
      <c r="N2165" s="670"/>
      <c r="O2165" s="670">
        <f>U2164</f>
        <v>30.81</v>
      </c>
      <c r="P2165" s="670">
        <f>O2165</f>
        <v>30.81</v>
      </c>
      <c r="Q2165" s="670">
        <v>0</v>
      </c>
      <c r="R2165" s="365"/>
      <c r="S2165" s="366"/>
      <c r="T2165" s="1399"/>
      <c r="U2165" s="1398"/>
      <c r="V2165" s="361"/>
      <c r="W2165" s="361"/>
    </row>
    <row r="2166" spans="1:23">
      <c r="A2166" s="1410"/>
      <c r="B2166" s="1413"/>
      <c r="C2166" s="845" t="s">
        <v>984</v>
      </c>
      <c r="D2166" s="875" t="str">
        <f>B2165&amp;C2166</f>
        <v>B25b</v>
      </c>
      <c r="E2166" s="367">
        <v>1</v>
      </c>
      <c r="F2166" s="669" t="s">
        <v>1091</v>
      </c>
      <c r="G2166" s="369">
        <v>0.53472222222222221</v>
      </c>
      <c r="H2166" s="368">
        <v>0.55555555555555558</v>
      </c>
      <c r="I2166" s="368">
        <v>0.56597222222222221</v>
      </c>
      <c r="J2166" s="368">
        <v>0.56944444444444442</v>
      </c>
      <c r="K2166" s="669">
        <v>7.5</v>
      </c>
      <c r="L2166" s="669">
        <v>19</v>
      </c>
      <c r="M2166" s="675">
        <v>24.51</v>
      </c>
      <c r="N2166" s="671">
        <f>IF(M2166-P2166&gt;0,M2166-P2166,0)</f>
        <v>5.7000000000000028</v>
      </c>
      <c r="O2166" s="671">
        <f>O2165-K2166/(PI()*(U2163/2000)^2)</f>
        <v>15.889224085134812</v>
      </c>
      <c r="P2166" s="672">
        <v>18.809999999999999</v>
      </c>
      <c r="Q2166" s="673">
        <f>ABS(O2166-P2166)</f>
        <v>2.9207759148651871</v>
      </c>
      <c r="R2166" s="375" t="s">
        <v>188</v>
      </c>
      <c r="S2166" s="366"/>
      <c r="T2166" s="376"/>
      <c r="U2166" s="376"/>
      <c r="V2166" s="366"/>
      <c r="W2166" s="366"/>
    </row>
    <row r="2167" spans="1:23">
      <c r="A2167" s="1410"/>
      <c r="B2167" s="1413"/>
      <c r="C2167" s="845" t="s">
        <v>985</v>
      </c>
      <c r="D2167" s="875" t="str">
        <f>B2165&amp;C2167</f>
        <v>B25c</v>
      </c>
      <c r="E2167" s="367">
        <v>2</v>
      </c>
      <c r="F2167" s="669" t="s">
        <v>1089</v>
      </c>
      <c r="G2167" s="369">
        <v>0.54027777777777775</v>
      </c>
      <c r="H2167" s="368">
        <v>0.56319444444444444</v>
      </c>
      <c r="I2167" s="368">
        <v>0.57638888888888895</v>
      </c>
      <c r="J2167" s="368">
        <v>0.57986111111111105</v>
      </c>
      <c r="K2167" s="669">
        <v>7.5</v>
      </c>
      <c r="L2167" s="669">
        <v>19</v>
      </c>
      <c r="M2167" s="675">
        <v>11.91</v>
      </c>
      <c r="N2167" s="671">
        <f>IF(M2167-P2167&gt;0,M2167-P2167,0)</f>
        <v>5.8100000000000005</v>
      </c>
      <c r="O2167" s="671">
        <f>O2166-K2167/(PI()*(U2163/2000)^2)</f>
        <v>0.9684481702696246</v>
      </c>
      <c r="P2167" s="672">
        <v>6.1</v>
      </c>
      <c r="Q2167" s="673">
        <f>ABS(O2167-P2167)</f>
        <v>5.131551829730375</v>
      </c>
      <c r="R2167" s="375" t="s">
        <v>188</v>
      </c>
      <c r="S2167" s="366"/>
      <c r="T2167" s="376"/>
      <c r="U2167" s="376"/>
      <c r="V2167" s="366"/>
      <c r="W2167" s="366"/>
    </row>
    <row r="2168" spans="1:23">
      <c r="A2168" s="1410"/>
      <c r="B2168" s="1413"/>
      <c r="C2168" s="845" t="s">
        <v>986</v>
      </c>
      <c r="D2168" s="875" t="str">
        <f>B2165&amp;C2168</f>
        <v>B25d</v>
      </c>
      <c r="E2168" s="367">
        <v>3</v>
      </c>
      <c r="F2168" s="669"/>
      <c r="G2168" s="368"/>
      <c r="H2168" s="368"/>
      <c r="I2168" s="368"/>
      <c r="J2168" s="368"/>
      <c r="K2168" s="370"/>
      <c r="L2168" s="370"/>
      <c r="M2168" s="371"/>
      <c r="N2168" s="671"/>
      <c r="O2168" s="671"/>
      <c r="P2168" s="373"/>
      <c r="Q2168" s="673"/>
      <c r="R2168" s="375"/>
      <c r="S2168" s="366"/>
      <c r="T2168" s="376"/>
      <c r="U2168" s="376"/>
      <c r="V2168" s="366"/>
      <c r="W2168" s="366"/>
    </row>
    <row r="2169" spans="1:23">
      <c r="A2169" s="1410"/>
      <c r="B2169" s="1413"/>
      <c r="C2169" s="845" t="s">
        <v>987</v>
      </c>
      <c r="D2169" s="875" t="str">
        <f>B2165&amp;C2169</f>
        <v>B25e</v>
      </c>
      <c r="E2169" s="367">
        <v>4</v>
      </c>
      <c r="F2169" s="669"/>
      <c r="G2169" s="368"/>
      <c r="H2169" s="368"/>
      <c r="I2169" s="368"/>
      <c r="J2169" s="368"/>
      <c r="K2169" s="370"/>
      <c r="L2169" s="370"/>
      <c r="M2169" s="371"/>
      <c r="N2169" s="671"/>
      <c r="O2169" s="671"/>
      <c r="P2169" s="373"/>
      <c r="Q2169" s="673"/>
      <c r="R2169" s="375"/>
      <c r="S2169" s="366"/>
      <c r="T2169" s="376"/>
      <c r="U2169" s="376"/>
      <c r="V2169" s="366"/>
      <c r="W2169" s="366"/>
    </row>
    <row r="2170" spans="1:23">
      <c r="A2170" s="1410"/>
      <c r="B2170" s="1413"/>
      <c r="C2170" s="845" t="s">
        <v>988</v>
      </c>
      <c r="D2170" s="875" t="str">
        <f>B2165&amp;C2170</f>
        <v>B25f</v>
      </c>
      <c r="E2170" s="367">
        <v>5</v>
      </c>
      <c r="F2170" s="669"/>
      <c r="G2170" s="368"/>
      <c r="H2170" s="368"/>
      <c r="I2170" s="368"/>
      <c r="J2170" s="368"/>
      <c r="K2170" s="370"/>
      <c r="L2170" s="370"/>
      <c r="M2170" s="371"/>
      <c r="N2170" s="671"/>
      <c r="O2170" s="671"/>
      <c r="P2170" s="373"/>
      <c r="Q2170" s="673"/>
      <c r="R2170" s="375"/>
      <c r="S2170" s="366" t="s">
        <v>190</v>
      </c>
      <c r="T2170" s="376"/>
      <c r="U2170" s="376"/>
      <c r="V2170" s="366"/>
      <c r="W2170" s="366"/>
    </row>
    <row r="2171" spans="1:23">
      <c r="A2171" s="1410"/>
      <c r="B2171" s="1413"/>
      <c r="C2171" s="845" t="s">
        <v>989</v>
      </c>
      <c r="D2171" s="875" t="str">
        <f>B2165&amp;C2171</f>
        <v>B25g</v>
      </c>
      <c r="E2171" s="367">
        <v>6</v>
      </c>
      <c r="F2171" s="669"/>
      <c r="G2171" s="368"/>
      <c r="H2171" s="368"/>
      <c r="I2171" s="368"/>
      <c r="J2171" s="368"/>
      <c r="K2171" s="370"/>
      <c r="L2171" s="370"/>
      <c r="M2171" s="371"/>
      <c r="N2171" s="671"/>
      <c r="O2171" s="671"/>
      <c r="P2171" s="373"/>
      <c r="Q2171" s="673"/>
      <c r="R2171" s="375"/>
      <c r="S2171" s="366" t="s">
        <v>190</v>
      </c>
      <c r="T2171" s="366"/>
      <c r="U2171" s="366"/>
      <c r="V2171" s="366"/>
      <c r="W2171" s="366"/>
    </row>
    <row r="2172" spans="1:23">
      <c r="A2172" s="1410"/>
      <c r="B2172" s="1413"/>
      <c r="C2172" s="845" t="s">
        <v>990</v>
      </c>
      <c r="D2172" s="875" t="str">
        <f>B2165&amp;C2172</f>
        <v>B25h</v>
      </c>
      <c r="E2172" s="367">
        <v>7</v>
      </c>
      <c r="F2172" s="669"/>
      <c r="G2172" s="368"/>
      <c r="H2172" s="368"/>
      <c r="I2172" s="368"/>
      <c r="J2172" s="368"/>
      <c r="K2172" s="370"/>
      <c r="L2172" s="370"/>
      <c r="M2172" s="371"/>
      <c r="N2172" s="671"/>
      <c r="O2172" s="671"/>
      <c r="P2172" s="373"/>
      <c r="Q2172" s="673"/>
      <c r="R2172" s="377"/>
      <c r="S2172" s="366" t="s">
        <v>190</v>
      </c>
      <c r="T2172" s="366"/>
      <c r="U2172" s="366"/>
      <c r="V2172" s="366"/>
      <c r="W2172" s="366"/>
    </row>
    <row r="2173" spans="1:23">
      <c r="A2173" s="1410"/>
      <c r="B2173" s="1413"/>
      <c r="C2173" s="845" t="s">
        <v>991</v>
      </c>
      <c r="D2173" s="875" t="str">
        <f>B2165&amp;C2173</f>
        <v>B25i</v>
      </c>
      <c r="E2173" s="367">
        <v>8</v>
      </c>
      <c r="F2173" s="669"/>
      <c r="G2173" s="368"/>
      <c r="H2173" s="368"/>
      <c r="I2173" s="368"/>
      <c r="J2173" s="368"/>
      <c r="K2173" s="370"/>
      <c r="L2173" s="370"/>
      <c r="M2173" s="371"/>
      <c r="N2173" s="671"/>
      <c r="O2173" s="671"/>
      <c r="P2173" s="373"/>
      <c r="Q2173" s="673"/>
      <c r="R2173" s="378"/>
      <c r="S2173" s="366"/>
      <c r="T2173" s="366"/>
      <c r="U2173" s="366"/>
      <c r="V2173" s="366"/>
      <c r="W2173" s="366"/>
    </row>
    <row r="2174" spans="1:23">
      <c r="A2174" s="1410"/>
      <c r="B2174" s="1413"/>
      <c r="C2174" s="845" t="s">
        <v>992</v>
      </c>
      <c r="D2174" s="875" t="str">
        <f>B2165&amp;C2174</f>
        <v>B25k</v>
      </c>
      <c r="E2174" s="367">
        <v>9</v>
      </c>
      <c r="F2174" s="370"/>
      <c r="G2174" s="368"/>
      <c r="H2174" s="368"/>
      <c r="I2174" s="368"/>
      <c r="J2174" s="368"/>
      <c r="K2174" s="370"/>
      <c r="L2174" s="370"/>
      <c r="M2174" s="371"/>
      <c r="N2174" s="372"/>
      <c r="O2174" s="372"/>
      <c r="P2174" s="373"/>
      <c r="Q2174" s="374"/>
      <c r="R2174" s="378"/>
      <c r="S2174" s="379"/>
      <c r="T2174" s="366"/>
      <c r="U2174" s="366"/>
      <c r="V2174" s="366"/>
      <c r="W2174" s="366"/>
    </row>
    <row r="2175" spans="1:23">
      <c r="A2175" s="1410"/>
      <c r="B2175" s="1413"/>
      <c r="C2175" s="845" t="s">
        <v>993</v>
      </c>
      <c r="D2175" s="875" t="str">
        <f>B2165&amp;C2175</f>
        <v>B25l</v>
      </c>
      <c r="E2175" s="367">
        <v>10</v>
      </c>
      <c r="F2175" s="370"/>
      <c r="G2175" s="368"/>
      <c r="H2175" s="368"/>
      <c r="I2175" s="368"/>
      <c r="J2175" s="368"/>
      <c r="K2175" s="370"/>
      <c r="L2175" s="370"/>
      <c r="M2175" s="370"/>
      <c r="N2175" s="372"/>
      <c r="O2175" s="372"/>
      <c r="P2175" s="373"/>
      <c r="Q2175" s="374"/>
      <c r="R2175" s="378"/>
      <c r="S2175" s="379"/>
      <c r="T2175" s="366"/>
      <c r="U2175" s="366"/>
      <c r="V2175" s="366"/>
      <c r="W2175" s="366"/>
    </row>
    <row r="2176" spans="1:23">
      <c r="A2176" s="1410"/>
      <c r="B2176" s="1413"/>
      <c r="C2176" s="845" t="s">
        <v>994</v>
      </c>
      <c r="D2176" s="875" t="str">
        <f>B2165&amp;C2176</f>
        <v>B25m</v>
      </c>
      <c r="E2176" s="367">
        <v>11</v>
      </c>
      <c r="F2176" s="370"/>
      <c r="G2176" s="368"/>
      <c r="H2176" s="368"/>
      <c r="I2176" s="368"/>
      <c r="J2176" s="368"/>
      <c r="K2176" s="370"/>
      <c r="L2176" s="370"/>
      <c r="M2176" s="370"/>
      <c r="N2176" s="372"/>
      <c r="O2176" s="372"/>
      <c r="P2176" s="380"/>
      <c r="Q2176" s="374"/>
      <c r="R2176" s="381"/>
      <c r="S2176" s="379"/>
      <c r="T2176" s="366"/>
      <c r="U2176" s="366"/>
      <c r="V2176" s="366"/>
      <c r="W2176" s="366"/>
    </row>
    <row r="2177" spans="1:23">
      <c r="A2177" s="1410"/>
      <c r="B2177" s="1413"/>
      <c r="C2177" s="845" t="s">
        <v>995</v>
      </c>
      <c r="D2177" s="875" t="str">
        <f>B2165&amp;C2177</f>
        <v>B25n</v>
      </c>
      <c r="E2177" s="367">
        <v>12</v>
      </c>
      <c r="F2177" s="370"/>
      <c r="G2177" s="368"/>
      <c r="H2177" s="368"/>
      <c r="I2177" s="368"/>
      <c r="J2177" s="368"/>
      <c r="K2177" s="370"/>
      <c r="L2177" s="370"/>
      <c r="M2177" s="370"/>
      <c r="N2177" s="372"/>
      <c r="O2177" s="372"/>
      <c r="P2177" s="380"/>
      <c r="Q2177" s="374"/>
      <c r="R2177" s="381"/>
      <c r="S2177" s="361"/>
      <c r="T2177" s="361"/>
      <c r="U2177" s="361"/>
      <c r="V2177" s="366"/>
      <c r="W2177" s="366"/>
    </row>
    <row r="2178" spans="1:23">
      <c r="A2178" s="1410"/>
      <c r="B2178" s="1413"/>
      <c r="C2178" s="845" t="s">
        <v>471</v>
      </c>
      <c r="D2178" s="875" t="str">
        <f>B2165&amp;C2178</f>
        <v>B25x</v>
      </c>
      <c r="E2178" s="367">
        <v>13</v>
      </c>
      <c r="F2178" s="370"/>
      <c r="G2178" s="368"/>
      <c r="H2178" s="368"/>
      <c r="I2178" s="368"/>
      <c r="J2178" s="368"/>
      <c r="K2178" s="370"/>
      <c r="L2178" s="370"/>
      <c r="M2178" s="370"/>
      <c r="N2178" s="382"/>
      <c r="O2178" s="372"/>
      <c r="P2178" s="380"/>
      <c r="Q2178" s="381"/>
      <c r="R2178" s="381"/>
      <c r="S2178" s="361"/>
      <c r="T2178" s="361"/>
      <c r="U2178" s="361"/>
      <c r="V2178" s="366"/>
      <c r="W2178" s="366"/>
    </row>
    <row r="2179" spans="1:23">
      <c r="A2179" s="1410"/>
      <c r="B2179" s="1413"/>
      <c r="C2179" s="845" t="s">
        <v>732</v>
      </c>
      <c r="D2179" s="875" t="str">
        <f>B2165&amp;C2179</f>
        <v>B25y</v>
      </c>
      <c r="E2179" s="367">
        <v>14</v>
      </c>
      <c r="F2179" s="370"/>
      <c r="G2179" s="368"/>
      <c r="H2179" s="368"/>
      <c r="I2179" s="368"/>
      <c r="J2179" s="368"/>
      <c r="K2179" s="370"/>
      <c r="L2179" s="370"/>
      <c r="M2179" s="370"/>
      <c r="N2179" s="382"/>
      <c r="O2179" s="372"/>
      <c r="P2179" s="380"/>
      <c r="Q2179" s="381"/>
      <c r="R2179" s="381"/>
      <c r="S2179" s="361"/>
      <c r="T2179" s="361"/>
      <c r="U2179" s="362"/>
      <c r="V2179" s="366"/>
      <c r="W2179" s="366"/>
    </row>
    <row r="2180" spans="1:23">
      <c r="A2180" s="1411"/>
      <c r="B2180" s="1414"/>
      <c r="C2180" s="846" t="s">
        <v>996</v>
      </c>
      <c r="D2180" s="876" t="str">
        <f>B2165&amp;C2180</f>
        <v>B25z</v>
      </c>
      <c r="E2180" s="847">
        <v>15</v>
      </c>
      <c r="F2180" s="370"/>
      <c r="G2180" s="368"/>
      <c r="H2180" s="368"/>
      <c r="I2180" s="368"/>
      <c r="J2180" s="368"/>
      <c r="K2180" s="370"/>
      <c r="L2180" s="370"/>
      <c r="M2180" s="370"/>
      <c r="N2180" s="850"/>
      <c r="O2180" s="851"/>
      <c r="P2180" s="380"/>
      <c r="Q2180" s="852"/>
      <c r="R2180" s="383"/>
      <c r="S2180" s="361"/>
      <c r="T2180" s="832"/>
      <c r="U2180" s="830"/>
      <c r="V2180" s="366"/>
      <c r="W2180" s="366"/>
    </row>
    <row r="2181" spans="1:23">
      <c r="A2181" s="1400" t="s">
        <v>939</v>
      </c>
      <c r="B2181" s="1400"/>
      <c r="C2181" s="827"/>
      <c r="D2181" s="871"/>
      <c r="E2181" s="1400" t="s">
        <v>177</v>
      </c>
      <c r="F2181" s="1400" t="s">
        <v>18</v>
      </c>
      <c r="G2181" s="1389" t="s">
        <v>19</v>
      </c>
      <c r="H2181" s="1390"/>
      <c r="I2181" s="1389" t="s">
        <v>22</v>
      </c>
      <c r="J2181" s="1390"/>
      <c r="K2181" s="1393" t="s">
        <v>26</v>
      </c>
      <c r="L2181" s="1390"/>
      <c r="M2181" s="1389" t="s">
        <v>392</v>
      </c>
      <c r="N2181" s="1390"/>
      <c r="O2181" s="1389" t="s">
        <v>28</v>
      </c>
      <c r="P2181" s="1393"/>
      <c r="Q2181" s="1390"/>
      <c r="R2181" s="1400" t="s">
        <v>36</v>
      </c>
      <c r="S2181" s="361"/>
      <c r="T2181" s="361">
        <f>MAX(J2185:J2199)-MIN(I2185:I2199)</f>
        <v>4.1666666666666741E-2</v>
      </c>
      <c r="U2181" s="361"/>
      <c r="V2181" s="853" t="str">
        <f t="shared" ref="V2181" si="228">B2185</f>
        <v>A13</v>
      </c>
      <c r="W2181" s="361">
        <f t="shared" ref="W2181" si="229">COUNTIF(K2186:K2200,"&gt;0")</f>
        <v>3</v>
      </c>
    </row>
    <row r="2182" spans="1:23">
      <c r="A2182" s="1401"/>
      <c r="B2182" s="1401"/>
      <c r="C2182" s="828"/>
      <c r="D2182" s="872"/>
      <c r="E2182" s="1401"/>
      <c r="F2182" s="1401"/>
      <c r="G2182" s="1391"/>
      <c r="H2182" s="1392"/>
      <c r="I2182" s="1391"/>
      <c r="J2182" s="1392"/>
      <c r="K2182" s="1394"/>
      <c r="L2182" s="1392"/>
      <c r="M2182" s="1391"/>
      <c r="N2182" s="1392"/>
      <c r="O2182" s="1391"/>
      <c r="P2182" s="1394"/>
      <c r="Q2182" s="1392"/>
      <c r="R2182" s="1401"/>
      <c r="S2182" s="361"/>
      <c r="T2182" s="361"/>
      <c r="U2182" s="361"/>
      <c r="V2182" s="361"/>
      <c r="W2182" s="361"/>
    </row>
    <row r="2183" spans="1:23">
      <c r="A2183" s="1401"/>
      <c r="B2183" s="1401"/>
      <c r="C2183" s="828"/>
      <c r="D2183" s="872"/>
      <c r="E2183" s="1401"/>
      <c r="F2183" s="1401"/>
      <c r="G2183" s="1400" t="s">
        <v>20</v>
      </c>
      <c r="H2183" s="1400" t="s">
        <v>21</v>
      </c>
      <c r="I2183" s="1400" t="s">
        <v>361</v>
      </c>
      <c r="J2183" s="1400" t="s">
        <v>353</v>
      </c>
      <c r="K2183" s="1400" t="s">
        <v>23</v>
      </c>
      <c r="L2183" s="1400" t="s">
        <v>24</v>
      </c>
      <c r="M2183" s="1400" t="s">
        <v>27</v>
      </c>
      <c r="N2183" s="1400" t="s">
        <v>178</v>
      </c>
      <c r="O2183" s="1400" t="s">
        <v>1</v>
      </c>
      <c r="P2183" s="1400" t="s">
        <v>29</v>
      </c>
      <c r="Q2183" s="1400" t="s">
        <v>33</v>
      </c>
      <c r="R2183" s="1401"/>
      <c r="S2183" s="361"/>
      <c r="T2183" s="361" t="s">
        <v>39</v>
      </c>
      <c r="U2183" s="362">
        <f>VLOOKUP(B2185,'Thong tin'!$A:$M,13,0)</f>
        <v>1200</v>
      </c>
      <c r="V2183" s="361"/>
      <c r="W2183" s="361"/>
    </row>
    <row r="2184" spans="1:23">
      <c r="A2184" s="1402"/>
      <c r="B2184" s="1402"/>
      <c r="C2184" s="829"/>
      <c r="D2184" s="873"/>
      <c r="E2184" s="1402"/>
      <c r="F2184" s="1402"/>
      <c r="G2184" s="1402"/>
      <c r="H2184" s="1402"/>
      <c r="I2184" s="1402"/>
      <c r="J2184" s="1402"/>
      <c r="K2184" s="1402"/>
      <c r="L2184" s="1402"/>
      <c r="M2184" s="1402"/>
      <c r="N2184" s="1402"/>
      <c r="O2184" s="1402"/>
      <c r="P2184" s="1402"/>
      <c r="Q2184" s="1402"/>
      <c r="R2184" s="1402"/>
      <c r="S2184" s="361"/>
      <c r="T2184" s="1399" t="s">
        <v>393</v>
      </c>
      <c r="U2184" s="1397">
        <f>VLOOKUP(B2185,DT.NK!$B:$AZ,45,0)</f>
        <v>24.85</v>
      </c>
      <c r="V2184" s="361"/>
      <c r="W2184" s="361"/>
    </row>
    <row r="2185" spans="1:23">
      <c r="A2185" s="1409">
        <f>A2165+1</f>
        <v>110</v>
      </c>
      <c r="B2185" s="1412" t="s">
        <v>548</v>
      </c>
      <c r="C2185" s="844" t="s">
        <v>983</v>
      </c>
      <c r="D2185" s="874" t="str">
        <f>B2185&amp;C2185</f>
        <v>A13a</v>
      </c>
      <c r="E2185" s="363"/>
      <c r="F2185" s="364"/>
      <c r="G2185" s="364"/>
      <c r="H2185" s="364"/>
      <c r="I2185" s="364"/>
      <c r="J2185" s="364"/>
      <c r="K2185" s="364"/>
      <c r="L2185" s="364"/>
      <c r="M2185" s="674"/>
      <c r="N2185" s="670"/>
      <c r="O2185" s="670">
        <f>U2184</f>
        <v>24.85</v>
      </c>
      <c r="P2185" s="670">
        <f>O2185</f>
        <v>24.85</v>
      </c>
      <c r="Q2185" s="670">
        <v>0</v>
      </c>
      <c r="R2185" s="365"/>
      <c r="S2185" s="366"/>
      <c r="T2185" s="1399"/>
      <c r="U2185" s="1398"/>
      <c r="V2185" s="361"/>
      <c r="W2185" s="361"/>
    </row>
    <row r="2186" spans="1:23">
      <c r="A2186" s="1410"/>
      <c r="B2186" s="1413"/>
      <c r="C2186" s="845" t="s">
        <v>984</v>
      </c>
      <c r="D2186" s="875" t="str">
        <f>B2185&amp;C2186</f>
        <v>A13b</v>
      </c>
      <c r="E2186" s="367">
        <v>1</v>
      </c>
      <c r="F2186" s="669" t="s">
        <v>1096</v>
      </c>
      <c r="G2186" s="369">
        <v>0.73541666666666661</v>
      </c>
      <c r="H2186" s="368">
        <v>0.78125</v>
      </c>
      <c r="I2186" s="368">
        <v>0.79166666666666663</v>
      </c>
      <c r="J2186" s="368">
        <v>0.79513888888888884</v>
      </c>
      <c r="K2186" s="669">
        <v>8</v>
      </c>
      <c r="L2186" s="669">
        <v>19</v>
      </c>
      <c r="M2186" s="675">
        <v>23.85</v>
      </c>
      <c r="N2186" s="671">
        <f>IF(M2186-P2186&gt;0,M2186-P2186,0)</f>
        <v>4.5500000000000007</v>
      </c>
      <c r="O2186" s="671">
        <f>O2185-K2186/(PI()*(U2183/2000)^2)</f>
        <v>17.776446973693542</v>
      </c>
      <c r="P2186" s="672">
        <v>19.3</v>
      </c>
      <c r="Q2186" s="673">
        <f>ABS(O2186-P2186)</f>
        <v>1.5235530263064589</v>
      </c>
      <c r="R2186" s="375" t="s">
        <v>188</v>
      </c>
      <c r="S2186" s="366"/>
      <c r="T2186" s="376"/>
      <c r="U2186" s="376"/>
      <c r="V2186" s="366"/>
      <c r="W2186" s="366"/>
    </row>
    <row r="2187" spans="1:23">
      <c r="A2187" s="1410"/>
      <c r="B2187" s="1413"/>
      <c r="C2187" s="845" t="s">
        <v>985</v>
      </c>
      <c r="D2187" s="875" t="str">
        <f>B2185&amp;C2187</f>
        <v>A13c</v>
      </c>
      <c r="E2187" s="367">
        <v>2</v>
      </c>
      <c r="F2187" s="669" t="s">
        <v>1085</v>
      </c>
      <c r="G2187" s="369">
        <v>0.7416666666666667</v>
      </c>
      <c r="H2187" s="368">
        <v>0.78819444444444453</v>
      </c>
      <c r="I2187" s="368">
        <v>0.80208333333333337</v>
      </c>
      <c r="J2187" s="368">
        <v>0.80555555555555547</v>
      </c>
      <c r="K2187" s="669">
        <v>8</v>
      </c>
      <c r="L2187" s="669">
        <v>20</v>
      </c>
      <c r="M2187" s="675">
        <v>17.55</v>
      </c>
      <c r="N2187" s="671">
        <f>IF(M2187-P2187&gt;0,M2187-P2187,0)</f>
        <v>3.6500000000000004</v>
      </c>
      <c r="O2187" s="671">
        <f>O2186-K2187/(PI()*(U2183/2000)^2)</f>
        <v>10.702893947387082</v>
      </c>
      <c r="P2187" s="672">
        <v>13.9</v>
      </c>
      <c r="Q2187" s="673">
        <f>ABS(O2187-P2187)</f>
        <v>3.1971060526129182</v>
      </c>
      <c r="R2187" s="375" t="s">
        <v>188</v>
      </c>
      <c r="S2187" s="366"/>
      <c r="T2187" s="376"/>
      <c r="U2187" s="376"/>
      <c r="V2187" s="366"/>
      <c r="W2187" s="366"/>
    </row>
    <row r="2188" spans="1:23">
      <c r="A2188" s="1410"/>
      <c r="B2188" s="1413"/>
      <c r="C2188" s="845" t="s">
        <v>986</v>
      </c>
      <c r="D2188" s="875" t="str">
        <f>B2185&amp;C2188</f>
        <v>A13d</v>
      </c>
      <c r="E2188" s="367">
        <v>3</v>
      </c>
      <c r="F2188" s="669" t="s">
        <v>1091</v>
      </c>
      <c r="G2188" s="368">
        <v>0.74375000000000002</v>
      </c>
      <c r="H2188" s="368">
        <v>0.80555555555555547</v>
      </c>
      <c r="I2188" s="368">
        <v>0.82986111111111116</v>
      </c>
      <c r="J2188" s="368">
        <v>0.83333333333333337</v>
      </c>
      <c r="K2188" s="370">
        <v>8</v>
      </c>
      <c r="L2188" s="370">
        <v>19.5</v>
      </c>
      <c r="M2188" s="371">
        <v>17.55</v>
      </c>
      <c r="N2188" s="671">
        <f>IF(M2188-P2188&gt;0,M2188-P2188,0)</f>
        <v>9.8500000000000014</v>
      </c>
      <c r="O2188" s="671">
        <f>O2187-K2188/(PI()*(U2183/2000)^2)</f>
        <v>3.6293409210806225</v>
      </c>
      <c r="P2188" s="373">
        <v>7.7</v>
      </c>
      <c r="Q2188" s="673">
        <f>ABS(O2188-P2188)</f>
        <v>4.0706590789193777</v>
      </c>
      <c r="R2188" s="375" t="s">
        <v>188</v>
      </c>
      <c r="S2188" s="366"/>
      <c r="T2188" s="376"/>
      <c r="U2188" s="376"/>
      <c r="V2188" s="366"/>
      <c r="W2188" s="366"/>
    </row>
    <row r="2189" spans="1:23">
      <c r="A2189" s="1410"/>
      <c r="B2189" s="1413"/>
      <c r="C2189" s="845" t="s">
        <v>987</v>
      </c>
      <c r="D2189" s="875" t="str">
        <f>B2185&amp;C2189</f>
        <v>A13e</v>
      </c>
      <c r="E2189" s="367">
        <v>4</v>
      </c>
      <c r="F2189" s="669"/>
      <c r="G2189" s="368"/>
      <c r="H2189" s="368"/>
      <c r="I2189" s="368"/>
      <c r="J2189" s="368"/>
      <c r="K2189" s="370"/>
      <c r="L2189" s="370"/>
      <c r="M2189" s="371"/>
      <c r="N2189" s="671"/>
      <c r="O2189" s="671"/>
      <c r="P2189" s="373"/>
      <c r="Q2189" s="673"/>
      <c r="R2189" s="375"/>
      <c r="S2189" s="366"/>
      <c r="T2189" s="376"/>
      <c r="U2189" s="376"/>
      <c r="V2189" s="366"/>
      <c r="W2189" s="366"/>
    </row>
    <row r="2190" spans="1:23">
      <c r="A2190" s="1410"/>
      <c r="B2190" s="1413"/>
      <c r="C2190" s="845" t="s">
        <v>988</v>
      </c>
      <c r="D2190" s="875" t="str">
        <f>B2185&amp;C2190</f>
        <v>A13f</v>
      </c>
      <c r="E2190" s="367">
        <v>5</v>
      </c>
      <c r="F2190" s="669"/>
      <c r="G2190" s="368"/>
      <c r="H2190" s="368"/>
      <c r="I2190" s="368"/>
      <c r="J2190" s="368"/>
      <c r="K2190" s="370"/>
      <c r="L2190" s="370"/>
      <c r="M2190" s="371"/>
      <c r="N2190" s="671"/>
      <c r="O2190" s="671"/>
      <c r="P2190" s="373"/>
      <c r="Q2190" s="673"/>
      <c r="R2190" s="375"/>
      <c r="S2190" s="366" t="s">
        <v>190</v>
      </c>
      <c r="T2190" s="376"/>
      <c r="U2190" s="376"/>
      <c r="V2190" s="366"/>
      <c r="W2190" s="366"/>
    </row>
    <row r="2191" spans="1:23">
      <c r="A2191" s="1410"/>
      <c r="B2191" s="1413"/>
      <c r="C2191" s="845" t="s">
        <v>989</v>
      </c>
      <c r="D2191" s="875" t="str">
        <f>B2185&amp;C2191</f>
        <v>A13g</v>
      </c>
      <c r="E2191" s="367">
        <v>6</v>
      </c>
      <c r="F2191" s="669"/>
      <c r="G2191" s="368"/>
      <c r="H2191" s="368"/>
      <c r="I2191" s="368"/>
      <c r="J2191" s="368"/>
      <c r="K2191" s="370"/>
      <c r="L2191" s="370"/>
      <c r="M2191" s="371"/>
      <c r="N2191" s="671"/>
      <c r="O2191" s="671"/>
      <c r="P2191" s="373"/>
      <c r="Q2191" s="673"/>
      <c r="R2191" s="375"/>
      <c r="S2191" s="366" t="s">
        <v>190</v>
      </c>
      <c r="T2191" s="366"/>
      <c r="U2191" s="366"/>
      <c r="V2191" s="366"/>
      <c r="W2191" s="366"/>
    </row>
    <row r="2192" spans="1:23">
      <c r="A2192" s="1410"/>
      <c r="B2192" s="1413"/>
      <c r="C2192" s="845" t="s">
        <v>990</v>
      </c>
      <c r="D2192" s="875" t="str">
        <f>B2185&amp;C2192</f>
        <v>A13h</v>
      </c>
      <c r="E2192" s="367">
        <v>7</v>
      </c>
      <c r="F2192" s="669"/>
      <c r="G2192" s="368"/>
      <c r="H2192" s="368"/>
      <c r="I2192" s="368"/>
      <c r="J2192" s="368"/>
      <c r="K2192" s="370"/>
      <c r="L2192" s="370"/>
      <c r="M2192" s="371"/>
      <c r="N2192" s="671"/>
      <c r="O2192" s="671"/>
      <c r="P2192" s="373"/>
      <c r="Q2192" s="673"/>
      <c r="R2192" s="377"/>
      <c r="S2192" s="366" t="s">
        <v>190</v>
      </c>
      <c r="T2192" s="366"/>
      <c r="U2192" s="366"/>
      <c r="V2192" s="366"/>
      <c r="W2192" s="366"/>
    </row>
    <row r="2193" spans="1:23">
      <c r="A2193" s="1410"/>
      <c r="B2193" s="1413"/>
      <c r="C2193" s="845" t="s">
        <v>991</v>
      </c>
      <c r="D2193" s="875" t="str">
        <f>B2185&amp;C2193</f>
        <v>A13i</v>
      </c>
      <c r="E2193" s="367">
        <v>8</v>
      </c>
      <c r="F2193" s="669"/>
      <c r="G2193" s="368"/>
      <c r="H2193" s="368"/>
      <c r="I2193" s="368"/>
      <c r="J2193" s="368"/>
      <c r="K2193" s="370"/>
      <c r="L2193" s="370"/>
      <c r="M2193" s="371"/>
      <c r="N2193" s="671"/>
      <c r="O2193" s="671"/>
      <c r="P2193" s="373"/>
      <c r="Q2193" s="673"/>
      <c r="R2193" s="378"/>
      <c r="S2193" s="366"/>
      <c r="T2193" s="366"/>
      <c r="U2193" s="366"/>
      <c r="V2193" s="366"/>
      <c r="W2193" s="366"/>
    </row>
    <row r="2194" spans="1:23">
      <c r="A2194" s="1410"/>
      <c r="B2194" s="1413"/>
      <c r="C2194" s="845" t="s">
        <v>992</v>
      </c>
      <c r="D2194" s="875" t="str">
        <f>B2185&amp;C2194</f>
        <v>A13k</v>
      </c>
      <c r="E2194" s="367">
        <v>9</v>
      </c>
      <c r="F2194" s="370"/>
      <c r="G2194" s="368"/>
      <c r="H2194" s="368"/>
      <c r="I2194" s="368"/>
      <c r="J2194" s="368"/>
      <c r="K2194" s="370"/>
      <c r="L2194" s="370"/>
      <c r="M2194" s="371"/>
      <c r="N2194" s="372"/>
      <c r="O2194" s="372"/>
      <c r="P2194" s="373"/>
      <c r="Q2194" s="374"/>
      <c r="R2194" s="378"/>
      <c r="S2194" s="379"/>
      <c r="T2194" s="366"/>
      <c r="U2194" s="366"/>
      <c r="V2194" s="366"/>
      <c r="W2194" s="366"/>
    </row>
    <row r="2195" spans="1:23">
      <c r="A2195" s="1410"/>
      <c r="B2195" s="1413"/>
      <c r="C2195" s="845" t="s">
        <v>993</v>
      </c>
      <c r="D2195" s="875" t="str">
        <f>B2185&amp;C2195</f>
        <v>A13l</v>
      </c>
      <c r="E2195" s="367">
        <v>10</v>
      </c>
      <c r="F2195" s="370"/>
      <c r="G2195" s="368"/>
      <c r="H2195" s="368"/>
      <c r="I2195" s="368"/>
      <c r="J2195" s="368"/>
      <c r="K2195" s="370"/>
      <c r="L2195" s="370"/>
      <c r="M2195" s="370"/>
      <c r="N2195" s="372"/>
      <c r="O2195" s="372"/>
      <c r="P2195" s="373"/>
      <c r="Q2195" s="374"/>
      <c r="R2195" s="378"/>
      <c r="S2195" s="379"/>
      <c r="T2195" s="366"/>
      <c r="U2195" s="366"/>
      <c r="V2195" s="366"/>
      <c r="W2195" s="366"/>
    </row>
    <row r="2196" spans="1:23">
      <c r="A2196" s="1410"/>
      <c r="B2196" s="1413"/>
      <c r="C2196" s="845" t="s">
        <v>994</v>
      </c>
      <c r="D2196" s="875" t="str">
        <f>B2185&amp;C2196</f>
        <v>A13m</v>
      </c>
      <c r="E2196" s="367">
        <v>11</v>
      </c>
      <c r="F2196" s="370"/>
      <c r="G2196" s="368"/>
      <c r="H2196" s="368"/>
      <c r="I2196" s="368"/>
      <c r="J2196" s="368"/>
      <c r="K2196" s="370"/>
      <c r="L2196" s="370"/>
      <c r="M2196" s="370"/>
      <c r="N2196" s="372"/>
      <c r="O2196" s="372"/>
      <c r="P2196" s="380"/>
      <c r="Q2196" s="374"/>
      <c r="R2196" s="381"/>
      <c r="S2196" s="379"/>
      <c r="T2196" s="366"/>
      <c r="U2196" s="366"/>
      <c r="V2196" s="366"/>
      <c r="W2196" s="366"/>
    </row>
    <row r="2197" spans="1:23">
      <c r="A2197" s="1410"/>
      <c r="B2197" s="1413"/>
      <c r="C2197" s="845" t="s">
        <v>995</v>
      </c>
      <c r="D2197" s="875" t="str">
        <f>B2185&amp;C2197</f>
        <v>A13n</v>
      </c>
      <c r="E2197" s="367">
        <v>12</v>
      </c>
      <c r="F2197" s="370"/>
      <c r="G2197" s="368"/>
      <c r="H2197" s="368"/>
      <c r="I2197" s="368"/>
      <c r="J2197" s="368"/>
      <c r="K2197" s="370"/>
      <c r="L2197" s="370"/>
      <c r="M2197" s="370"/>
      <c r="N2197" s="372"/>
      <c r="O2197" s="372"/>
      <c r="P2197" s="380"/>
      <c r="Q2197" s="374"/>
      <c r="R2197" s="381"/>
      <c r="S2197" s="361"/>
      <c r="T2197" s="361"/>
      <c r="U2197" s="361"/>
      <c r="V2197" s="366"/>
      <c r="W2197" s="366"/>
    </row>
    <row r="2198" spans="1:23">
      <c r="A2198" s="1410"/>
      <c r="B2198" s="1413"/>
      <c r="C2198" s="845" t="s">
        <v>471</v>
      </c>
      <c r="D2198" s="875" t="str">
        <f>B2185&amp;C2198</f>
        <v>A13x</v>
      </c>
      <c r="E2198" s="367">
        <v>13</v>
      </c>
      <c r="F2198" s="370"/>
      <c r="G2198" s="368"/>
      <c r="H2198" s="368"/>
      <c r="I2198" s="368"/>
      <c r="J2198" s="368"/>
      <c r="K2198" s="370"/>
      <c r="L2198" s="370"/>
      <c r="M2198" s="370"/>
      <c r="N2198" s="382"/>
      <c r="O2198" s="372"/>
      <c r="P2198" s="380"/>
      <c r="Q2198" s="381"/>
      <c r="R2198" s="381"/>
      <c r="S2198" s="361"/>
      <c r="T2198" s="361"/>
      <c r="U2198" s="361"/>
      <c r="V2198" s="366"/>
      <c r="W2198" s="366"/>
    </row>
    <row r="2199" spans="1:23">
      <c r="A2199" s="1410"/>
      <c r="B2199" s="1413"/>
      <c r="C2199" s="845" t="s">
        <v>732</v>
      </c>
      <c r="D2199" s="875" t="str">
        <f>B2185&amp;C2199</f>
        <v>A13y</v>
      </c>
      <c r="E2199" s="367">
        <v>14</v>
      </c>
      <c r="F2199" s="370"/>
      <c r="G2199" s="368"/>
      <c r="H2199" s="368"/>
      <c r="I2199" s="368"/>
      <c r="J2199" s="368"/>
      <c r="K2199" s="370"/>
      <c r="L2199" s="370"/>
      <c r="M2199" s="370"/>
      <c r="N2199" s="382"/>
      <c r="O2199" s="372"/>
      <c r="P2199" s="380"/>
      <c r="Q2199" s="381"/>
      <c r="R2199" s="381"/>
      <c r="S2199" s="361"/>
      <c r="T2199" s="361"/>
      <c r="U2199" s="362"/>
      <c r="V2199" s="366"/>
      <c r="W2199" s="366"/>
    </row>
    <row r="2200" spans="1:23">
      <c r="A2200" s="1411"/>
      <c r="B2200" s="1414"/>
      <c r="C2200" s="846" t="s">
        <v>996</v>
      </c>
      <c r="D2200" s="876" t="str">
        <f>B2185&amp;C2200</f>
        <v>A13z</v>
      </c>
      <c r="E2200" s="847">
        <v>15</v>
      </c>
      <c r="F2200" s="370"/>
      <c r="G2200" s="368"/>
      <c r="H2200" s="368"/>
      <c r="I2200" s="368"/>
      <c r="J2200" s="368"/>
      <c r="K2200" s="370"/>
      <c r="L2200" s="370"/>
      <c r="M2200" s="370"/>
      <c r="N2200" s="850"/>
      <c r="O2200" s="851"/>
      <c r="P2200" s="380"/>
      <c r="Q2200" s="852"/>
      <c r="R2200" s="383"/>
      <c r="S2200" s="361"/>
      <c r="T2200" s="832"/>
      <c r="U2200" s="830"/>
      <c r="V2200" s="366"/>
      <c r="W2200" s="366"/>
    </row>
    <row r="2201" spans="1:23">
      <c r="A2201" s="1400" t="s">
        <v>939</v>
      </c>
      <c r="B2201" s="1400"/>
      <c r="C2201" s="827"/>
      <c r="D2201" s="871"/>
      <c r="E2201" s="1400" t="s">
        <v>177</v>
      </c>
      <c r="F2201" s="1400" t="s">
        <v>18</v>
      </c>
      <c r="G2201" s="1389" t="s">
        <v>19</v>
      </c>
      <c r="H2201" s="1390"/>
      <c r="I2201" s="1389" t="s">
        <v>22</v>
      </c>
      <c r="J2201" s="1390"/>
      <c r="K2201" s="1393" t="s">
        <v>26</v>
      </c>
      <c r="L2201" s="1390"/>
      <c r="M2201" s="1389" t="s">
        <v>392</v>
      </c>
      <c r="N2201" s="1390"/>
      <c r="O2201" s="1389" t="s">
        <v>28</v>
      </c>
      <c r="P2201" s="1393"/>
      <c r="Q2201" s="1390"/>
      <c r="R2201" s="1400" t="s">
        <v>36</v>
      </c>
      <c r="S2201" s="361"/>
      <c r="T2201" s="361">
        <f>MAX(J2205:J2219)-MIN(I2205:I2219)</f>
        <v>0.11458333333333333</v>
      </c>
      <c r="U2201" s="361"/>
      <c r="V2201" s="853" t="str">
        <f t="shared" ref="V2201" si="230">B2205</f>
        <v>A155</v>
      </c>
      <c r="W2201" s="361">
        <f t="shared" ref="W2201" si="231">COUNTIF(K2206:K2220,"&gt;0")</f>
        <v>5</v>
      </c>
    </row>
    <row r="2202" spans="1:23">
      <c r="A2202" s="1401"/>
      <c r="B2202" s="1401"/>
      <c r="C2202" s="828"/>
      <c r="D2202" s="872"/>
      <c r="E2202" s="1401"/>
      <c r="F2202" s="1401"/>
      <c r="G2202" s="1391"/>
      <c r="H2202" s="1392"/>
      <c r="I2202" s="1391"/>
      <c r="J2202" s="1392"/>
      <c r="K2202" s="1394"/>
      <c r="L2202" s="1392"/>
      <c r="M2202" s="1391"/>
      <c r="N2202" s="1392"/>
      <c r="O2202" s="1391"/>
      <c r="P2202" s="1394"/>
      <c r="Q2202" s="1392"/>
      <c r="R2202" s="1401"/>
      <c r="S2202" s="361"/>
      <c r="T2202" s="361"/>
      <c r="U2202" s="361"/>
      <c r="V2202" s="361"/>
      <c r="W2202" s="361"/>
    </row>
    <row r="2203" spans="1:23">
      <c r="A2203" s="1401"/>
      <c r="B2203" s="1401"/>
      <c r="C2203" s="828"/>
      <c r="D2203" s="872"/>
      <c r="E2203" s="1401"/>
      <c r="F2203" s="1401"/>
      <c r="G2203" s="1400" t="s">
        <v>20</v>
      </c>
      <c r="H2203" s="1400" t="s">
        <v>21</v>
      </c>
      <c r="I2203" s="1400" t="s">
        <v>361</v>
      </c>
      <c r="J2203" s="1400" t="s">
        <v>353</v>
      </c>
      <c r="K2203" s="1400" t="s">
        <v>23</v>
      </c>
      <c r="L2203" s="1400" t="s">
        <v>24</v>
      </c>
      <c r="M2203" s="1400" t="s">
        <v>27</v>
      </c>
      <c r="N2203" s="1400" t="s">
        <v>178</v>
      </c>
      <c r="O2203" s="1400" t="s">
        <v>1</v>
      </c>
      <c r="P2203" s="1400" t="s">
        <v>29</v>
      </c>
      <c r="Q2203" s="1400" t="s">
        <v>33</v>
      </c>
      <c r="R2203" s="1401"/>
      <c r="S2203" s="361"/>
      <c r="T2203" s="361" t="s">
        <v>39</v>
      </c>
      <c r="U2203" s="362">
        <f>VLOOKUP(B2205,'Thong tin'!$A:$M,13,0)</f>
        <v>1200</v>
      </c>
      <c r="V2203" s="361"/>
      <c r="W2203" s="361"/>
    </row>
    <row r="2204" spans="1:23">
      <c r="A2204" s="1402"/>
      <c r="B2204" s="1402"/>
      <c r="C2204" s="829"/>
      <c r="D2204" s="873"/>
      <c r="E2204" s="1402"/>
      <c r="F2204" s="1402"/>
      <c r="G2204" s="1402"/>
      <c r="H2204" s="1402"/>
      <c r="I2204" s="1402"/>
      <c r="J2204" s="1402"/>
      <c r="K2204" s="1402"/>
      <c r="L2204" s="1402"/>
      <c r="M2204" s="1402"/>
      <c r="N2204" s="1402"/>
      <c r="O2204" s="1402"/>
      <c r="P2204" s="1402"/>
      <c r="Q2204" s="1402"/>
      <c r="R2204" s="1402"/>
      <c r="S2204" s="361"/>
      <c r="T2204" s="1399" t="s">
        <v>393</v>
      </c>
      <c r="U2204" s="1397">
        <f>VLOOKUP(B2205,DT.NK!$B:$AZ,45,0)</f>
        <v>26.97</v>
      </c>
      <c r="V2204" s="361"/>
      <c r="W2204" s="361"/>
    </row>
    <row r="2205" spans="1:23">
      <c r="A2205" s="1409">
        <f>A2185+1</f>
        <v>111</v>
      </c>
      <c r="B2205" s="1412" t="s">
        <v>586</v>
      </c>
      <c r="C2205" s="844" t="s">
        <v>983</v>
      </c>
      <c r="D2205" s="874" t="str">
        <f>B2205&amp;C2205</f>
        <v>A155a</v>
      </c>
      <c r="E2205" s="363"/>
      <c r="F2205" s="364"/>
      <c r="G2205" s="364"/>
      <c r="H2205" s="364"/>
      <c r="I2205" s="364"/>
      <c r="J2205" s="364"/>
      <c r="K2205" s="364"/>
      <c r="L2205" s="364"/>
      <c r="M2205" s="674"/>
      <c r="N2205" s="670"/>
      <c r="O2205" s="670">
        <f>U2204</f>
        <v>26.97</v>
      </c>
      <c r="P2205" s="670">
        <f>O2205</f>
        <v>26.97</v>
      </c>
      <c r="Q2205" s="670">
        <v>0</v>
      </c>
      <c r="R2205" s="365"/>
      <c r="S2205" s="366"/>
      <c r="T2205" s="1399"/>
      <c r="U2205" s="1398"/>
      <c r="V2205" s="361"/>
      <c r="W2205" s="361"/>
    </row>
    <row r="2206" spans="1:23">
      <c r="A2206" s="1410"/>
      <c r="B2206" s="1413"/>
      <c r="C2206" s="845" t="s">
        <v>984</v>
      </c>
      <c r="D2206" s="875" t="str">
        <f>B2205&amp;C2206</f>
        <v>A155b</v>
      </c>
      <c r="E2206" s="367">
        <v>1</v>
      </c>
      <c r="F2206" s="669" t="s">
        <v>1091</v>
      </c>
      <c r="G2206" s="369">
        <v>1.0416666666666666E-2</v>
      </c>
      <c r="H2206" s="368">
        <v>6.25E-2</v>
      </c>
      <c r="I2206" s="368">
        <v>7.2916666666666671E-2</v>
      </c>
      <c r="J2206" s="368">
        <v>7.6388888888888895E-2</v>
      </c>
      <c r="K2206" s="669">
        <v>8.5</v>
      </c>
      <c r="L2206" s="669">
        <v>19</v>
      </c>
      <c r="M2206" s="675">
        <v>24.97</v>
      </c>
      <c r="N2206" s="671">
        <f>IF(M2206-P2206&gt;0,M2206-P2206,0)</f>
        <v>2.9699999999999989</v>
      </c>
      <c r="O2206" s="671">
        <f>O2205-K2206/(PI()*(U2203/2000)^2)</f>
        <v>19.454349909549386</v>
      </c>
      <c r="P2206" s="672">
        <v>22</v>
      </c>
      <c r="Q2206" s="673">
        <f>ABS(O2206-P2206)</f>
        <v>2.5456500904506143</v>
      </c>
      <c r="R2206" s="375" t="s">
        <v>188</v>
      </c>
      <c r="S2206" s="366"/>
      <c r="T2206" s="376"/>
      <c r="U2206" s="376"/>
      <c r="V2206" s="366"/>
      <c r="W2206" s="366"/>
    </row>
    <row r="2207" spans="1:23">
      <c r="A2207" s="1410"/>
      <c r="B2207" s="1413"/>
      <c r="C2207" s="845" t="s">
        <v>985</v>
      </c>
      <c r="D2207" s="875" t="str">
        <f>B2205&amp;C2207</f>
        <v>A155c</v>
      </c>
      <c r="E2207" s="367">
        <v>2</v>
      </c>
      <c r="F2207" s="669" t="s">
        <v>1096</v>
      </c>
      <c r="G2207" s="369">
        <v>1.6666666666666666E-2</v>
      </c>
      <c r="H2207" s="368">
        <v>7.2916666666666671E-2</v>
      </c>
      <c r="I2207" s="368">
        <v>8.3333333333333329E-2</v>
      </c>
      <c r="J2207" s="368">
        <v>8.6805555555555566E-2</v>
      </c>
      <c r="K2207" s="669">
        <v>8.5</v>
      </c>
      <c r="L2207" s="669">
        <v>20</v>
      </c>
      <c r="M2207" s="675">
        <v>21.82</v>
      </c>
      <c r="N2207" s="671">
        <f>IF(M2207-P2207&gt;0,M2207-P2207,0)</f>
        <v>2.5199999999999996</v>
      </c>
      <c r="O2207" s="671">
        <f>O2206-K2207/(PI()*(U2203/2000)^2)</f>
        <v>11.938699819098773</v>
      </c>
      <c r="P2207" s="672">
        <v>19.3</v>
      </c>
      <c r="Q2207" s="673">
        <f>ABS(O2207-P2207)</f>
        <v>7.3613001809012282</v>
      </c>
      <c r="R2207" s="375" t="s">
        <v>188</v>
      </c>
      <c r="S2207" s="366"/>
      <c r="T2207" s="376"/>
      <c r="U2207" s="376"/>
      <c r="V2207" s="366"/>
      <c r="W2207" s="366"/>
    </row>
    <row r="2208" spans="1:23">
      <c r="A2208" s="1410"/>
      <c r="B2208" s="1413"/>
      <c r="C2208" s="845" t="s">
        <v>986</v>
      </c>
      <c r="D2208" s="875" t="str">
        <f>B2205&amp;C2208</f>
        <v>A155d</v>
      </c>
      <c r="E2208" s="367">
        <v>3</v>
      </c>
      <c r="F2208" s="669" t="s">
        <v>1091</v>
      </c>
      <c r="G2208" s="368">
        <v>3.125E-2</v>
      </c>
      <c r="H2208" s="368">
        <v>8.3333333333333329E-2</v>
      </c>
      <c r="I2208" s="368">
        <v>9.375E-2</v>
      </c>
      <c r="J2208" s="368">
        <v>9.7222222222222224E-2</v>
      </c>
      <c r="K2208" s="370">
        <v>8</v>
      </c>
      <c r="L2208" s="370">
        <v>19.5</v>
      </c>
      <c r="M2208" s="371">
        <v>18.670000000000002</v>
      </c>
      <c r="N2208" s="671">
        <f>IF(M2208-P2208&gt;0,M2208-P2208,0)</f>
        <v>4.7700000000000014</v>
      </c>
      <c r="O2208" s="671">
        <f>O2207-K2208/(PI()*(U2203/2000)^2)</f>
        <v>4.8651467927923129</v>
      </c>
      <c r="P2208" s="373">
        <v>13.9</v>
      </c>
      <c r="Q2208" s="673">
        <f>ABS(O2208-P2208)</f>
        <v>9.0348532072076875</v>
      </c>
      <c r="R2208" s="375" t="s">
        <v>188</v>
      </c>
      <c r="S2208" s="366"/>
      <c r="T2208" s="376"/>
      <c r="U2208" s="376"/>
      <c r="V2208" s="366"/>
      <c r="W2208" s="366"/>
    </row>
    <row r="2209" spans="1:23">
      <c r="A2209" s="1410"/>
      <c r="B2209" s="1413"/>
      <c r="C2209" s="845" t="s">
        <v>987</v>
      </c>
      <c r="D2209" s="875" t="str">
        <f>B2205&amp;C2209</f>
        <v>A155e</v>
      </c>
      <c r="E2209" s="367">
        <v>4</v>
      </c>
      <c r="F2209" s="669" t="s">
        <v>1085</v>
      </c>
      <c r="G2209" s="368">
        <v>0.15277777777777776</v>
      </c>
      <c r="H2209" s="368">
        <v>0.17361111111111113</v>
      </c>
      <c r="I2209" s="368">
        <v>0.17708333333333334</v>
      </c>
      <c r="J2209" s="368">
        <v>0.18055555555555555</v>
      </c>
      <c r="K2209" s="370">
        <v>5.5</v>
      </c>
      <c r="L2209" s="370">
        <v>18</v>
      </c>
      <c r="M2209" s="371">
        <v>15.52</v>
      </c>
      <c r="N2209" s="671">
        <f>IF(M2209-P2209&gt;0,M2209-P2209,0)</f>
        <v>6.2199999999999989</v>
      </c>
      <c r="O2209" s="671">
        <f>O2208-K2209/(PI()*(U2203/2000)^2)</f>
        <v>2.0790872066216437E-3</v>
      </c>
      <c r="P2209" s="373">
        <v>9.3000000000000007</v>
      </c>
      <c r="Q2209" s="673"/>
      <c r="R2209" s="375"/>
      <c r="S2209" s="366"/>
      <c r="T2209" s="376"/>
      <c r="U2209" s="376"/>
      <c r="V2209" s="366"/>
      <c r="W2209" s="366"/>
    </row>
    <row r="2210" spans="1:23">
      <c r="A2210" s="1410"/>
      <c r="B2210" s="1413"/>
      <c r="C2210" s="845" t="s">
        <v>988</v>
      </c>
      <c r="D2210" s="875" t="str">
        <f>B2205&amp;C2210</f>
        <v>A155f</v>
      </c>
      <c r="E2210" s="367">
        <v>5</v>
      </c>
      <c r="F2210" s="669" t="s">
        <v>1091</v>
      </c>
      <c r="G2210" s="368">
        <v>0.17013888888888887</v>
      </c>
      <c r="H2210" s="368">
        <v>0.18055555555555555</v>
      </c>
      <c r="I2210" s="368">
        <v>0.18402777777777779</v>
      </c>
      <c r="J2210" s="368">
        <v>0.1875</v>
      </c>
      <c r="K2210" s="370">
        <v>1</v>
      </c>
      <c r="L2210" s="370">
        <v>19</v>
      </c>
      <c r="M2210" s="371">
        <v>15.52</v>
      </c>
      <c r="N2210" s="671">
        <f>IF(M2210-P2210&gt;0,M2210-P2210,0)</f>
        <v>8.42</v>
      </c>
      <c r="O2210" s="671">
        <f>O2209-K2210/(PI()*(U2203/2000)^2)</f>
        <v>-0.88211504108168581</v>
      </c>
      <c r="P2210" s="373">
        <v>7.1</v>
      </c>
      <c r="Q2210" s="673"/>
      <c r="R2210" s="375"/>
      <c r="S2210" s="366" t="s">
        <v>190</v>
      </c>
      <c r="T2210" s="376"/>
      <c r="U2210" s="376"/>
      <c r="V2210" s="366"/>
      <c r="W2210" s="366"/>
    </row>
    <row r="2211" spans="1:23">
      <c r="A2211" s="1410"/>
      <c r="B2211" s="1413"/>
      <c r="C2211" s="845" t="s">
        <v>989</v>
      </c>
      <c r="D2211" s="875" t="str">
        <f>B2205&amp;C2211</f>
        <v>A155g</v>
      </c>
      <c r="E2211" s="367">
        <v>6</v>
      </c>
      <c r="F2211" s="669"/>
      <c r="G2211" s="368"/>
      <c r="H2211" s="368"/>
      <c r="I2211" s="368"/>
      <c r="J2211" s="368"/>
      <c r="K2211" s="370"/>
      <c r="L2211" s="370"/>
      <c r="M2211" s="371"/>
      <c r="N2211" s="671"/>
      <c r="O2211" s="671"/>
      <c r="P2211" s="373"/>
      <c r="Q2211" s="673"/>
      <c r="R2211" s="375"/>
      <c r="S2211" s="366" t="s">
        <v>190</v>
      </c>
      <c r="T2211" s="366"/>
      <c r="U2211" s="366"/>
      <c r="V2211" s="366"/>
      <c r="W2211" s="366"/>
    </row>
    <row r="2212" spans="1:23">
      <c r="A2212" s="1410"/>
      <c r="B2212" s="1413"/>
      <c r="C2212" s="845" t="s">
        <v>990</v>
      </c>
      <c r="D2212" s="875" t="str">
        <f>B2205&amp;C2212</f>
        <v>A155h</v>
      </c>
      <c r="E2212" s="367">
        <v>7</v>
      </c>
      <c r="F2212" s="669"/>
      <c r="G2212" s="368"/>
      <c r="H2212" s="368"/>
      <c r="I2212" s="368"/>
      <c r="J2212" s="368"/>
      <c r="K2212" s="370"/>
      <c r="L2212" s="370"/>
      <c r="M2212" s="371"/>
      <c r="N2212" s="671"/>
      <c r="O2212" s="671"/>
      <c r="P2212" s="373"/>
      <c r="Q2212" s="673"/>
      <c r="R2212" s="377"/>
      <c r="S2212" s="366" t="s">
        <v>190</v>
      </c>
      <c r="T2212" s="366"/>
      <c r="U2212" s="366"/>
      <c r="V2212" s="366"/>
      <c r="W2212" s="366"/>
    </row>
    <row r="2213" spans="1:23">
      <c r="A2213" s="1410"/>
      <c r="B2213" s="1413"/>
      <c r="C2213" s="845" t="s">
        <v>991</v>
      </c>
      <c r="D2213" s="875" t="str">
        <f>B2205&amp;C2213</f>
        <v>A155i</v>
      </c>
      <c r="E2213" s="367">
        <v>8</v>
      </c>
      <c r="F2213" s="669"/>
      <c r="G2213" s="368"/>
      <c r="H2213" s="368"/>
      <c r="I2213" s="368"/>
      <c r="J2213" s="368"/>
      <c r="K2213" s="370"/>
      <c r="L2213" s="370"/>
      <c r="M2213" s="371"/>
      <c r="N2213" s="671"/>
      <c r="O2213" s="671"/>
      <c r="P2213" s="373"/>
      <c r="Q2213" s="673"/>
      <c r="R2213" s="378"/>
      <c r="S2213" s="366"/>
      <c r="T2213" s="366"/>
      <c r="U2213" s="366"/>
      <c r="V2213" s="366"/>
      <c r="W2213" s="366"/>
    </row>
    <row r="2214" spans="1:23">
      <c r="A2214" s="1410"/>
      <c r="B2214" s="1413"/>
      <c r="C2214" s="845" t="s">
        <v>992</v>
      </c>
      <c r="D2214" s="875" t="str">
        <f>B2205&amp;C2214</f>
        <v>A155k</v>
      </c>
      <c r="E2214" s="367">
        <v>9</v>
      </c>
      <c r="F2214" s="370"/>
      <c r="G2214" s="368"/>
      <c r="H2214" s="368"/>
      <c r="I2214" s="368"/>
      <c r="J2214" s="368"/>
      <c r="K2214" s="370"/>
      <c r="L2214" s="370"/>
      <c r="M2214" s="371"/>
      <c r="N2214" s="372"/>
      <c r="O2214" s="372"/>
      <c r="P2214" s="373"/>
      <c r="Q2214" s="374"/>
      <c r="R2214" s="378"/>
      <c r="S2214" s="379"/>
      <c r="T2214" s="366"/>
      <c r="U2214" s="366"/>
      <c r="V2214" s="366"/>
      <c r="W2214" s="366"/>
    </row>
    <row r="2215" spans="1:23">
      <c r="A2215" s="1410"/>
      <c r="B2215" s="1413"/>
      <c r="C2215" s="845" t="s">
        <v>993</v>
      </c>
      <c r="D2215" s="875" t="str">
        <f>B2205&amp;C2215</f>
        <v>A155l</v>
      </c>
      <c r="E2215" s="367">
        <v>10</v>
      </c>
      <c r="F2215" s="370"/>
      <c r="G2215" s="368"/>
      <c r="H2215" s="368"/>
      <c r="I2215" s="368"/>
      <c r="J2215" s="368"/>
      <c r="K2215" s="370"/>
      <c r="L2215" s="370"/>
      <c r="M2215" s="370"/>
      <c r="N2215" s="372"/>
      <c r="O2215" s="372"/>
      <c r="P2215" s="373"/>
      <c r="Q2215" s="374"/>
      <c r="R2215" s="378"/>
      <c r="S2215" s="379"/>
      <c r="T2215" s="366"/>
      <c r="U2215" s="366"/>
      <c r="V2215" s="366"/>
      <c r="W2215" s="366"/>
    </row>
    <row r="2216" spans="1:23">
      <c r="A2216" s="1410"/>
      <c r="B2216" s="1413"/>
      <c r="C2216" s="845" t="s">
        <v>994</v>
      </c>
      <c r="D2216" s="875" t="str">
        <f>B2205&amp;C2216</f>
        <v>A155m</v>
      </c>
      <c r="E2216" s="367">
        <v>11</v>
      </c>
      <c r="F2216" s="370"/>
      <c r="G2216" s="368"/>
      <c r="H2216" s="368"/>
      <c r="I2216" s="368"/>
      <c r="J2216" s="368"/>
      <c r="K2216" s="370"/>
      <c r="L2216" s="370"/>
      <c r="M2216" s="370"/>
      <c r="N2216" s="372"/>
      <c r="O2216" s="372"/>
      <c r="P2216" s="380"/>
      <c r="Q2216" s="374"/>
      <c r="R2216" s="381"/>
      <c r="S2216" s="379"/>
      <c r="T2216" s="366"/>
      <c r="U2216" s="366"/>
      <c r="V2216" s="366"/>
      <c r="W2216" s="366"/>
    </row>
    <row r="2217" spans="1:23">
      <c r="A2217" s="1410"/>
      <c r="B2217" s="1413"/>
      <c r="C2217" s="845" t="s">
        <v>995</v>
      </c>
      <c r="D2217" s="875" t="str">
        <f>B2205&amp;C2217</f>
        <v>A155n</v>
      </c>
      <c r="E2217" s="367">
        <v>12</v>
      </c>
      <c r="F2217" s="370"/>
      <c r="G2217" s="368"/>
      <c r="H2217" s="368"/>
      <c r="I2217" s="368"/>
      <c r="J2217" s="368"/>
      <c r="K2217" s="370"/>
      <c r="L2217" s="370"/>
      <c r="M2217" s="370"/>
      <c r="N2217" s="372"/>
      <c r="O2217" s="372"/>
      <c r="P2217" s="380"/>
      <c r="Q2217" s="374"/>
      <c r="R2217" s="381"/>
      <c r="S2217" s="361"/>
      <c r="T2217" s="361"/>
      <c r="U2217" s="361"/>
      <c r="V2217" s="366"/>
      <c r="W2217" s="366"/>
    </row>
    <row r="2218" spans="1:23">
      <c r="A2218" s="1410"/>
      <c r="B2218" s="1413"/>
      <c r="C2218" s="845" t="s">
        <v>471</v>
      </c>
      <c r="D2218" s="875" t="str">
        <f>B2205&amp;C2218</f>
        <v>A155x</v>
      </c>
      <c r="E2218" s="367">
        <v>13</v>
      </c>
      <c r="F2218" s="370"/>
      <c r="G2218" s="368"/>
      <c r="H2218" s="368"/>
      <c r="I2218" s="368"/>
      <c r="J2218" s="368"/>
      <c r="K2218" s="370"/>
      <c r="L2218" s="370"/>
      <c r="M2218" s="370"/>
      <c r="N2218" s="382"/>
      <c r="O2218" s="372"/>
      <c r="P2218" s="380"/>
      <c r="Q2218" s="381"/>
      <c r="R2218" s="381"/>
      <c r="S2218" s="361"/>
      <c r="T2218" s="361"/>
      <c r="U2218" s="361"/>
      <c r="V2218" s="366"/>
      <c r="W2218" s="366"/>
    </row>
    <row r="2219" spans="1:23">
      <c r="A2219" s="1410"/>
      <c r="B2219" s="1413"/>
      <c r="C2219" s="845" t="s">
        <v>732</v>
      </c>
      <c r="D2219" s="875" t="str">
        <f>B2205&amp;C2219</f>
        <v>A155y</v>
      </c>
      <c r="E2219" s="367">
        <v>14</v>
      </c>
      <c r="F2219" s="370"/>
      <c r="G2219" s="368"/>
      <c r="H2219" s="368"/>
      <c r="I2219" s="368"/>
      <c r="J2219" s="368"/>
      <c r="K2219" s="370"/>
      <c r="L2219" s="370"/>
      <c r="M2219" s="370"/>
      <c r="N2219" s="382"/>
      <c r="O2219" s="372"/>
      <c r="P2219" s="380"/>
      <c r="Q2219" s="381"/>
      <c r="R2219" s="381"/>
      <c r="S2219" s="361"/>
      <c r="T2219" s="361"/>
      <c r="U2219" s="362"/>
      <c r="V2219" s="366"/>
      <c r="W2219" s="366"/>
    </row>
    <row r="2220" spans="1:23">
      <c r="A2220" s="1411"/>
      <c r="B2220" s="1414"/>
      <c r="C2220" s="846" t="s">
        <v>996</v>
      </c>
      <c r="D2220" s="876" t="str">
        <f>B2205&amp;C2220</f>
        <v>A155z</v>
      </c>
      <c r="E2220" s="847">
        <v>15</v>
      </c>
      <c r="F2220" s="370"/>
      <c r="G2220" s="368"/>
      <c r="H2220" s="368"/>
      <c r="I2220" s="368"/>
      <c r="J2220" s="368"/>
      <c r="K2220" s="370"/>
      <c r="L2220" s="370"/>
      <c r="M2220" s="370"/>
      <c r="N2220" s="850"/>
      <c r="O2220" s="851"/>
      <c r="P2220" s="380"/>
      <c r="Q2220" s="852"/>
      <c r="R2220" s="383"/>
      <c r="S2220" s="361"/>
      <c r="T2220" s="832"/>
      <c r="U2220" s="830"/>
      <c r="V2220" s="366"/>
      <c r="W2220" s="366"/>
    </row>
    <row r="2221" spans="1:23">
      <c r="A2221" s="1400" t="s">
        <v>939</v>
      </c>
      <c r="B2221" s="1400"/>
      <c r="C2221" s="827"/>
      <c r="D2221" s="871"/>
      <c r="E2221" s="1400" t="s">
        <v>177</v>
      </c>
      <c r="F2221" s="1400" t="s">
        <v>18</v>
      </c>
      <c r="G2221" s="1389" t="s">
        <v>19</v>
      </c>
      <c r="H2221" s="1390"/>
      <c r="I2221" s="1389" t="s">
        <v>22</v>
      </c>
      <c r="J2221" s="1390"/>
      <c r="K2221" s="1393" t="s">
        <v>26</v>
      </c>
      <c r="L2221" s="1390"/>
      <c r="M2221" s="1389" t="s">
        <v>392</v>
      </c>
      <c r="N2221" s="1390"/>
      <c r="O2221" s="1389" t="s">
        <v>28</v>
      </c>
      <c r="P2221" s="1393"/>
      <c r="Q2221" s="1390"/>
      <c r="R2221" s="1400" t="s">
        <v>36</v>
      </c>
      <c r="S2221" s="361"/>
      <c r="T2221" s="361">
        <f>MAX(J2225:J2239)-MIN(I2225:I2239)</f>
        <v>6.9444444444444198E-3</v>
      </c>
      <c r="U2221" s="361"/>
      <c r="V2221" s="853" t="str">
        <f t="shared" ref="V2221" si="232">B2225</f>
        <v>B43</v>
      </c>
      <c r="W2221" s="361">
        <f t="shared" ref="W2221" si="233">COUNTIF(K2226:K2240,"&gt;0")</f>
        <v>1</v>
      </c>
    </row>
    <row r="2222" spans="1:23">
      <c r="A2222" s="1401"/>
      <c r="B2222" s="1401"/>
      <c r="C2222" s="828"/>
      <c r="D2222" s="872"/>
      <c r="E2222" s="1401"/>
      <c r="F2222" s="1401"/>
      <c r="G2222" s="1391"/>
      <c r="H2222" s="1392"/>
      <c r="I2222" s="1391"/>
      <c r="J2222" s="1392"/>
      <c r="K2222" s="1394"/>
      <c r="L2222" s="1392"/>
      <c r="M2222" s="1391"/>
      <c r="N2222" s="1392"/>
      <c r="O2222" s="1391"/>
      <c r="P2222" s="1394"/>
      <c r="Q2222" s="1392"/>
      <c r="R2222" s="1401"/>
      <c r="S2222" s="361"/>
      <c r="T2222" s="361"/>
      <c r="U2222" s="361"/>
      <c r="V2222" s="361"/>
      <c r="W2222" s="361"/>
    </row>
    <row r="2223" spans="1:23">
      <c r="A2223" s="1401"/>
      <c r="B2223" s="1401"/>
      <c r="C2223" s="828"/>
      <c r="D2223" s="872"/>
      <c r="E2223" s="1401"/>
      <c r="F2223" s="1401"/>
      <c r="G2223" s="1400" t="s">
        <v>20</v>
      </c>
      <c r="H2223" s="1400" t="s">
        <v>21</v>
      </c>
      <c r="I2223" s="1400" t="s">
        <v>361</v>
      </c>
      <c r="J2223" s="1400" t="s">
        <v>353</v>
      </c>
      <c r="K2223" s="1400" t="s">
        <v>23</v>
      </c>
      <c r="L2223" s="1400" t="s">
        <v>24</v>
      </c>
      <c r="M2223" s="1400" t="s">
        <v>27</v>
      </c>
      <c r="N2223" s="1400" t="s">
        <v>178</v>
      </c>
      <c r="O2223" s="1400" t="s">
        <v>1</v>
      </c>
      <c r="P2223" s="1400" t="s">
        <v>29</v>
      </c>
      <c r="Q2223" s="1400" t="s">
        <v>33</v>
      </c>
      <c r="R2223" s="1401"/>
      <c r="S2223" s="361"/>
      <c r="T2223" s="361" t="s">
        <v>39</v>
      </c>
      <c r="U2223" s="362">
        <f>VLOOKUP(B2225,'Thong tin'!$A:$M,13,0)</f>
        <v>800</v>
      </c>
      <c r="V2223" s="361"/>
      <c r="W2223" s="361"/>
    </row>
    <row r="2224" spans="1:23">
      <c r="A2224" s="1402"/>
      <c r="B2224" s="1402"/>
      <c r="C2224" s="829"/>
      <c r="D2224" s="873"/>
      <c r="E2224" s="1402"/>
      <c r="F2224" s="1402"/>
      <c r="G2224" s="1402"/>
      <c r="H2224" s="1402"/>
      <c r="I2224" s="1402"/>
      <c r="J2224" s="1402"/>
      <c r="K2224" s="1402"/>
      <c r="L2224" s="1402"/>
      <c r="M2224" s="1402"/>
      <c r="N2224" s="1402"/>
      <c r="O2224" s="1402"/>
      <c r="P2224" s="1402"/>
      <c r="Q2224" s="1402"/>
      <c r="R2224" s="1402"/>
      <c r="S2224" s="361"/>
      <c r="T2224" s="1399" t="s">
        <v>393</v>
      </c>
      <c r="U2224" s="1397">
        <f>VLOOKUP(B2225,DT.NK!$B:$AZ,45,0)</f>
        <v>24.97</v>
      </c>
      <c r="V2224" s="361"/>
      <c r="W2224" s="361"/>
    </row>
    <row r="2225" spans="1:23">
      <c r="A2225" s="1409">
        <f>A2205+1</f>
        <v>112</v>
      </c>
      <c r="B2225" s="1412" t="s">
        <v>622</v>
      </c>
      <c r="C2225" s="844" t="s">
        <v>983</v>
      </c>
      <c r="D2225" s="874" t="str">
        <f>B2225&amp;C2225</f>
        <v>B43a</v>
      </c>
      <c r="E2225" s="363"/>
      <c r="F2225" s="364"/>
      <c r="G2225" s="364"/>
      <c r="H2225" s="364"/>
      <c r="I2225" s="364"/>
      <c r="J2225" s="364"/>
      <c r="K2225" s="364"/>
      <c r="L2225" s="364"/>
      <c r="M2225" s="674"/>
      <c r="N2225" s="670"/>
      <c r="O2225" s="670">
        <f>U2224</f>
        <v>24.97</v>
      </c>
      <c r="P2225" s="670">
        <f>O2225</f>
        <v>24.97</v>
      </c>
      <c r="Q2225" s="670">
        <v>0</v>
      </c>
      <c r="R2225" s="365"/>
      <c r="S2225" s="366"/>
      <c r="T2225" s="1399"/>
      <c r="U2225" s="1398"/>
      <c r="V2225" s="361"/>
      <c r="W2225" s="361"/>
    </row>
    <row r="2226" spans="1:23">
      <c r="A2226" s="1410"/>
      <c r="B2226" s="1413"/>
      <c r="C2226" s="845" t="s">
        <v>984</v>
      </c>
      <c r="D2226" s="875" t="str">
        <f>B2225&amp;C2226</f>
        <v>B43b</v>
      </c>
      <c r="E2226" s="367">
        <v>1</v>
      </c>
      <c r="F2226" s="669" t="s">
        <v>1091</v>
      </c>
      <c r="G2226" s="369">
        <v>0.54166666666666663</v>
      </c>
      <c r="H2226" s="368">
        <v>0.55902777777777779</v>
      </c>
      <c r="I2226" s="368">
        <v>0.57291666666666663</v>
      </c>
      <c r="J2226" s="368">
        <v>0.57986111111111105</v>
      </c>
      <c r="K2226" s="669">
        <v>11</v>
      </c>
      <c r="L2226" s="669">
        <v>19</v>
      </c>
      <c r="M2226" s="675">
        <v>24.97</v>
      </c>
      <c r="N2226" s="671">
        <f>IF(M2226-P2226&gt;0,M2226-P2226,0)</f>
        <v>18.97</v>
      </c>
      <c r="O2226" s="671">
        <f>O2225-K2226/(PI()*(U2223/2000)^2)</f>
        <v>3.0861953248643914</v>
      </c>
      <c r="P2226" s="672">
        <v>6</v>
      </c>
      <c r="Q2226" s="673">
        <f>ABS(O2226-P2226)</f>
        <v>2.9138046751356086</v>
      </c>
      <c r="R2226" s="375" t="s">
        <v>188</v>
      </c>
      <c r="S2226" s="366"/>
      <c r="T2226" s="376"/>
      <c r="U2226" s="376"/>
      <c r="V2226" s="366"/>
      <c r="W2226" s="366"/>
    </row>
    <row r="2227" spans="1:23">
      <c r="A2227" s="1410"/>
      <c r="B2227" s="1413"/>
      <c r="C2227" s="845" t="s">
        <v>985</v>
      </c>
      <c r="D2227" s="875" t="str">
        <f>B2225&amp;C2227</f>
        <v>B43c</v>
      </c>
      <c r="E2227" s="367">
        <v>2</v>
      </c>
      <c r="F2227" s="669"/>
      <c r="G2227" s="368"/>
      <c r="H2227" s="368"/>
      <c r="I2227" s="368"/>
      <c r="J2227" s="368"/>
      <c r="K2227" s="370"/>
      <c r="L2227" s="370"/>
      <c r="M2227" s="371"/>
      <c r="N2227" s="671"/>
      <c r="O2227" s="671"/>
      <c r="P2227" s="373"/>
      <c r="Q2227" s="673"/>
      <c r="R2227" s="375"/>
      <c r="S2227" s="366"/>
      <c r="T2227" s="376"/>
      <c r="U2227" s="376"/>
      <c r="V2227" s="366"/>
      <c r="W2227" s="366"/>
    </row>
    <row r="2228" spans="1:23">
      <c r="A2228" s="1410"/>
      <c r="B2228" s="1413"/>
      <c r="C2228" s="845" t="s">
        <v>986</v>
      </c>
      <c r="D2228" s="875" t="str">
        <f>B2225&amp;C2228</f>
        <v>B43d</v>
      </c>
      <c r="E2228" s="367">
        <v>3</v>
      </c>
      <c r="F2228" s="669"/>
      <c r="G2228" s="368"/>
      <c r="H2228" s="368"/>
      <c r="I2228" s="368"/>
      <c r="J2228" s="368"/>
      <c r="K2228" s="370"/>
      <c r="L2228" s="370"/>
      <c r="M2228" s="371"/>
      <c r="N2228" s="671"/>
      <c r="O2228" s="671"/>
      <c r="P2228" s="373"/>
      <c r="Q2228" s="673"/>
      <c r="R2228" s="375"/>
      <c r="S2228" s="366"/>
      <c r="T2228" s="376"/>
      <c r="U2228" s="376"/>
      <c r="V2228" s="366"/>
      <c r="W2228" s="366"/>
    </row>
    <row r="2229" spans="1:23">
      <c r="A2229" s="1410"/>
      <c r="B2229" s="1413"/>
      <c r="C2229" s="845" t="s">
        <v>987</v>
      </c>
      <c r="D2229" s="875" t="str">
        <f>B2225&amp;C2229</f>
        <v>B43e</v>
      </c>
      <c r="E2229" s="367">
        <v>4</v>
      </c>
      <c r="F2229" s="669"/>
      <c r="G2229" s="368"/>
      <c r="H2229" s="368"/>
      <c r="I2229" s="368"/>
      <c r="J2229" s="368"/>
      <c r="K2229" s="370"/>
      <c r="L2229" s="370"/>
      <c r="M2229" s="371"/>
      <c r="N2229" s="671"/>
      <c r="O2229" s="671"/>
      <c r="P2229" s="373"/>
      <c r="Q2229" s="673"/>
      <c r="R2229" s="375"/>
      <c r="S2229" s="366"/>
      <c r="T2229" s="376"/>
      <c r="U2229" s="376"/>
      <c r="V2229" s="366"/>
      <c r="W2229" s="366"/>
    </row>
    <row r="2230" spans="1:23">
      <c r="A2230" s="1410"/>
      <c r="B2230" s="1413"/>
      <c r="C2230" s="845" t="s">
        <v>988</v>
      </c>
      <c r="D2230" s="875" t="str">
        <f>B2225&amp;C2230</f>
        <v>B43f</v>
      </c>
      <c r="E2230" s="367">
        <v>5</v>
      </c>
      <c r="F2230" s="669"/>
      <c r="G2230" s="368"/>
      <c r="H2230" s="368"/>
      <c r="I2230" s="368"/>
      <c r="J2230" s="368"/>
      <c r="K2230" s="370"/>
      <c r="L2230" s="370"/>
      <c r="M2230" s="371"/>
      <c r="N2230" s="671"/>
      <c r="O2230" s="671"/>
      <c r="P2230" s="373"/>
      <c r="Q2230" s="673"/>
      <c r="R2230" s="375"/>
      <c r="S2230" s="366" t="s">
        <v>190</v>
      </c>
      <c r="T2230" s="376"/>
      <c r="U2230" s="376"/>
      <c r="V2230" s="366"/>
      <c r="W2230" s="366"/>
    </row>
    <row r="2231" spans="1:23">
      <c r="A2231" s="1410"/>
      <c r="B2231" s="1413"/>
      <c r="C2231" s="845" t="s">
        <v>989</v>
      </c>
      <c r="D2231" s="875" t="str">
        <f>B2225&amp;C2231</f>
        <v>B43g</v>
      </c>
      <c r="E2231" s="367">
        <v>6</v>
      </c>
      <c r="F2231" s="669"/>
      <c r="G2231" s="368"/>
      <c r="H2231" s="368"/>
      <c r="I2231" s="368"/>
      <c r="J2231" s="368"/>
      <c r="K2231" s="370"/>
      <c r="L2231" s="370"/>
      <c r="M2231" s="371"/>
      <c r="N2231" s="671"/>
      <c r="O2231" s="671"/>
      <c r="P2231" s="373"/>
      <c r="Q2231" s="673"/>
      <c r="R2231" s="375"/>
      <c r="S2231" s="366" t="s">
        <v>190</v>
      </c>
      <c r="T2231" s="366"/>
      <c r="U2231" s="366"/>
      <c r="V2231" s="366"/>
      <c r="W2231" s="366"/>
    </row>
    <row r="2232" spans="1:23">
      <c r="A2232" s="1410"/>
      <c r="B2232" s="1413"/>
      <c r="C2232" s="845" t="s">
        <v>990</v>
      </c>
      <c r="D2232" s="875" t="str">
        <f>B2225&amp;C2232</f>
        <v>B43h</v>
      </c>
      <c r="E2232" s="367">
        <v>7</v>
      </c>
      <c r="F2232" s="669"/>
      <c r="G2232" s="368"/>
      <c r="H2232" s="368"/>
      <c r="I2232" s="368"/>
      <c r="J2232" s="368"/>
      <c r="K2232" s="370"/>
      <c r="L2232" s="370"/>
      <c r="M2232" s="371"/>
      <c r="N2232" s="671"/>
      <c r="O2232" s="671"/>
      <c r="P2232" s="373"/>
      <c r="Q2232" s="673"/>
      <c r="R2232" s="377"/>
      <c r="S2232" s="366" t="s">
        <v>190</v>
      </c>
      <c r="T2232" s="366"/>
      <c r="U2232" s="366"/>
      <c r="V2232" s="366"/>
      <c r="W2232" s="366"/>
    </row>
    <row r="2233" spans="1:23">
      <c r="A2233" s="1410"/>
      <c r="B2233" s="1413"/>
      <c r="C2233" s="845" t="s">
        <v>991</v>
      </c>
      <c r="D2233" s="875" t="str">
        <f>B2225&amp;C2233</f>
        <v>B43i</v>
      </c>
      <c r="E2233" s="367">
        <v>8</v>
      </c>
      <c r="F2233" s="669"/>
      <c r="G2233" s="368"/>
      <c r="H2233" s="368"/>
      <c r="I2233" s="368"/>
      <c r="J2233" s="368"/>
      <c r="K2233" s="370"/>
      <c r="L2233" s="370"/>
      <c r="M2233" s="371"/>
      <c r="N2233" s="671"/>
      <c r="O2233" s="671"/>
      <c r="P2233" s="373"/>
      <c r="Q2233" s="673"/>
      <c r="R2233" s="378"/>
      <c r="S2233" s="366"/>
      <c r="T2233" s="366"/>
      <c r="U2233" s="366"/>
      <c r="V2233" s="366"/>
      <c r="W2233" s="366"/>
    </row>
    <row r="2234" spans="1:23">
      <c r="A2234" s="1410"/>
      <c r="B2234" s="1413"/>
      <c r="C2234" s="845" t="s">
        <v>992</v>
      </c>
      <c r="D2234" s="875" t="str">
        <f>B2225&amp;C2234</f>
        <v>B43k</v>
      </c>
      <c r="E2234" s="367">
        <v>9</v>
      </c>
      <c r="F2234" s="370"/>
      <c r="G2234" s="368"/>
      <c r="H2234" s="368"/>
      <c r="I2234" s="368"/>
      <c r="J2234" s="368"/>
      <c r="K2234" s="370"/>
      <c r="L2234" s="370"/>
      <c r="M2234" s="371"/>
      <c r="N2234" s="372"/>
      <c r="O2234" s="372"/>
      <c r="P2234" s="373"/>
      <c r="Q2234" s="374"/>
      <c r="R2234" s="378"/>
      <c r="S2234" s="379"/>
      <c r="T2234" s="366"/>
      <c r="U2234" s="366"/>
      <c r="V2234" s="366"/>
      <c r="W2234" s="366"/>
    </row>
    <row r="2235" spans="1:23">
      <c r="A2235" s="1410"/>
      <c r="B2235" s="1413"/>
      <c r="C2235" s="845" t="s">
        <v>993</v>
      </c>
      <c r="D2235" s="875" t="str">
        <f>B2225&amp;C2235</f>
        <v>B43l</v>
      </c>
      <c r="E2235" s="367">
        <v>10</v>
      </c>
      <c r="F2235" s="370"/>
      <c r="G2235" s="368"/>
      <c r="H2235" s="368"/>
      <c r="I2235" s="368"/>
      <c r="J2235" s="368"/>
      <c r="K2235" s="370"/>
      <c r="L2235" s="370"/>
      <c r="M2235" s="370"/>
      <c r="N2235" s="372"/>
      <c r="O2235" s="372"/>
      <c r="P2235" s="373"/>
      <c r="Q2235" s="374"/>
      <c r="R2235" s="378"/>
      <c r="S2235" s="379"/>
      <c r="T2235" s="366"/>
      <c r="U2235" s="366"/>
      <c r="V2235" s="366"/>
      <c r="W2235" s="366"/>
    </row>
    <row r="2236" spans="1:23">
      <c r="A2236" s="1410"/>
      <c r="B2236" s="1413"/>
      <c r="C2236" s="845" t="s">
        <v>994</v>
      </c>
      <c r="D2236" s="875" t="str">
        <f>B2225&amp;C2236</f>
        <v>B43m</v>
      </c>
      <c r="E2236" s="367">
        <v>11</v>
      </c>
      <c r="F2236" s="370"/>
      <c r="G2236" s="368"/>
      <c r="H2236" s="368"/>
      <c r="I2236" s="368"/>
      <c r="J2236" s="368"/>
      <c r="K2236" s="370"/>
      <c r="L2236" s="370"/>
      <c r="M2236" s="370"/>
      <c r="N2236" s="372"/>
      <c r="O2236" s="372"/>
      <c r="P2236" s="380"/>
      <c r="Q2236" s="374"/>
      <c r="R2236" s="381"/>
      <c r="S2236" s="379"/>
      <c r="T2236" s="366"/>
      <c r="U2236" s="366"/>
      <c r="V2236" s="366"/>
      <c r="W2236" s="366"/>
    </row>
    <row r="2237" spans="1:23">
      <c r="A2237" s="1410"/>
      <c r="B2237" s="1413"/>
      <c r="C2237" s="845" t="s">
        <v>995</v>
      </c>
      <c r="D2237" s="875" t="str">
        <f>B2225&amp;C2237</f>
        <v>B43n</v>
      </c>
      <c r="E2237" s="367">
        <v>12</v>
      </c>
      <c r="F2237" s="370"/>
      <c r="G2237" s="368"/>
      <c r="H2237" s="368"/>
      <c r="I2237" s="368"/>
      <c r="J2237" s="368"/>
      <c r="K2237" s="370"/>
      <c r="L2237" s="370"/>
      <c r="M2237" s="370"/>
      <c r="N2237" s="372"/>
      <c r="O2237" s="372"/>
      <c r="P2237" s="380"/>
      <c r="Q2237" s="374"/>
      <c r="R2237" s="381"/>
      <c r="S2237" s="361"/>
      <c r="T2237" s="361"/>
      <c r="U2237" s="361"/>
      <c r="V2237" s="366"/>
      <c r="W2237" s="366"/>
    </row>
    <row r="2238" spans="1:23">
      <c r="A2238" s="1410"/>
      <c r="B2238" s="1413"/>
      <c r="C2238" s="845" t="s">
        <v>471</v>
      </c>
      <c r="D2238" s="875" t="str">
        <f>B2225&amp;C2238</f>
        <v>B43x</v>
      </c>
      <c r="E2238" s="367">
        <v>13</v>
      </c>
      <c r="F2238" s="370"/>
      <c r="G2238" s="368"/>
      <c r="H2238" s="368"/>
      <c r="I2238" s="368"/>
      <c r="J2238" s="368"/>
      <c r="K2238" s="370"/>
      <c r="L2238" s="370"/>
      <c r="M2238" s="370"/>
      <c r="N2238" s="382"/>
      <c r="O2238" s="372"/>
      <c r="P2238" s="380"/>
      <c r="Q2238" s="381"/>
      <c r="R2238" s="381"/>
      <c r="S2238" s="361"/>
      <c r="T2238" s="361"/>
      <c r="U2238" s="361"/>
      <c r="V2238" s="366"/>
      <c r="W2238" s="366"/>
    </row>
    <row r="2239" spans="1:23">
      <c r="A2239" s="1410"/>
      <c r="B2239" s="1413"/>
      <c r="C2239" s="845" t="s">
        <v>732</v>
      </c>
      <c r="D2239" s="875" t="str">
        <f>B2225&amp;C2239</f>
        <v>B43y</v>
      </c>
      <c r="E2239" s="367">
        <v>14</v>
      </c>
      <c r="F2239" s="370"/>
      <c r="G2239" s="368"/>
      <c r="H2239" s="368"/>
      <c r="I2239" s="368"/>
      <c r="J2239" s="368"/>
      <c r="K2239" s="370"/>
      <c r="L2239" s="370"/>
      <c r="M2239" s="370"/>
      <c r="N2239" s="382"/>
      <c r="O2239" s="372"/>
      <c r="P2239" s="380"/>
      <c r="Q2239" s="381"/>
      <c r="R2239" s="381"/>
      <c r="S2239" s="361"/>
      <c r="T2239" s="361"/>
      <c r="U2239" s="362"/>
      <c r="V2239" s="366"/>
      <c r="W2239" s="366"/>
    </row>
    <row r="2240" spans="1:23">
      <c r="A2240" s="1411"/>
      <c r="B2240" s="1414"/>
      <c r="C2240" s="846" t="s">
        <v>996</v>
      </c>
      <c r="D2240" s="876" t="str">
        <f>B2225&amp;C2240</f>
        <v>B43z</v>
      </c>
      <c r="E2240" s="847">
        <v>15</v>
      </c>
      <c r="F2240" s="370"/>
      <c r="G2240" s="368"/>
      <c r="H2240" s="368"/>
      <c r="I2240" s="368"/>
      <c r="J2240" s="368"/>
      <c r="K2240" s="370"/>
      <c r="L2240" s="370"/>
      <c r="M2240" s="370"/>
      <c r="N2240" s="850"/>
      <c r="O2240" s="851"/>
      <c r="P2240" s="380"/>
      <c r="Q2240" s="852"/>
      <c r="R2240" s="383"/>
      <c r="S2240" s="361"/>
      <c r="T2240" s="832"/>
      <c r="U2240" s="830"/>
      <c r="V2240" s="366"/>
      <c r="W2240" s="366"/>
    </row>
    <row r="2241" spans="1:23">
      <c r="A2241" s="1400" t="s">
        <v>939</v>
      </c>
      <c r="B2241" s="1400"/>
      <c r="C2241" s="827"/>
      <c r="D2241" s="871"/>
      <c r="E2241" s="1400" t="s">
        <v>177</v>
      </c>
      <c r="F2241" s="1400" t="s">
        <v>18</v>
      </c>
      <c r="G2241" s="1389" t="s">
        <v>19</v>
      </c>
      <c r="H2241" s="1390"/>
      <c r="I2241" s="1389" t="s">
        <v>22</v>
      </c>
      <c r="J2241" s="1390"/>
      <c r="K2241" s="1393" t="s">
        <v>26</v>
      </c>
      <c r="L2241" s="1390"/>
      <c r="M2241" s="1389" t="s">
        <v>392</v>
      </c>
      <c r="N2241" s="1390"/>
      <c r="O2241" s="1389" t="s">
        <v>28</v>
      </c>
      <c r="P2241" s="1393"/>
      <c r="Q2241" s="1390"/>
      <c r="R2241" s="1400" t="s">
        <v>36</v>
      </c>
      <c r="S2241" s="361"/>
      <c r="T2241" s="361">
        <f>MAX(J2245:J2259)-MIN(I2245:I2259)</f>
        <v>5.2083333333333343E-2</v>
      </c>
      <c r="U2241" s="361"/>
      <c r="V2241" s="853" t="str">
        <f t="shared" ref="V2241" si="234">B2245</f>
        <v>A135</v>
      </c>
      <c r="W2241" s="361">
        <f t="shared" ref="W2241" si="235">COUNTIF(K2246:K2260,"&gt;0")</f>
        <v>4</v>
      </c>
    </row>
    <row r="2242" spans="1:23">
      <c r="A2242" s="1401"/>
      <c r="B2242" s="1401"/>
      <c r="C2242" s="828"/>
      <c r="D2242" s="872"/>
      <c r="E2242" s="1401"/>
      <c r="F2242" s="1401"/>
      <c r="G2242" s="1391"/>
      <c r="H2242" s="1392"/>
      <c r="I2242" s="1391"/>
      <c r="J2242" s="1392"/>
      <c r="K2242" s="1394"/>
      <c r="L2242" s="1392"/>
      <c r="M2242" s="1391"/>
      <c r="N2242" s="1392"/>
      <c r="O2242" s="1391"/>
      <c r="P2242" s="1394"/>
      <c r="Q2242" s="1392"/>
      <c r="R2242" s="1401"/>
      <c r="S2242" s="361"/>
      <c r="T2242" s="361"/>
      <c r="U2242" s="361"/>
      <c r="V2242" s="361"/>
      <c r="W2242" s="361"/>
    </row>
    <row r="2243" spans="1:23">
      <c r="A2243" s="1401"/>
      <c r="B2243" s="1401"/>
      <c r="C2243" s="828"/>
      <c r="D2243" s="872"/>
      <c r="E2243" s="1401"/>
      <c r="F2243" s="1401"/>
      <c r="G2243" s="1400" t="s">
        <v>20</v>
      </c>
      <c r="H2243" s="1400" t="s">
        <v>21</v>
      </c>
      <c r="I2243" s="1400" t="s">
        <v>361</v>
      </c>
      <c r="J2243" s="1400" t="s">
        <v>353</v>
      </c>
      <c r="K2243" s="1400" t="s">
        <v>23</v>
      </c>
      <c r="L2243" s="1400" t="s">
        <v>24</v>
      </c>
      <c r="M2243" s="1400" t="s">
        <v>27</v>
      </c>
      <c r="N2243" s="1400" t="s">
        <v>178</v>
      </c>
      <c r="O2243" s="1400" t="s">
        <v>1</v>
      </c>
      <c r="P2243" s="1400" t="s">
        <v>29</v>
      </c>
      <c r="Q2243" s="1400" t="s">
        <v>33</v>
      </c>
      <c r="R2243" s="1401"/>
      <c r="S2243" s="361"/>
      <c r="T2243" s="361" t="s">
        <v>39</v>
      </c>
      <c r="U2243" s="362">
        <f>VLOOKUP(B2245,'Thong tin'!$A:$M,13,0)</f>
        <v>1200</v>
      </c>
      <c r="V2243" s="361"/>
      <c r="W2243" s="361"/>
    </row>
    <row r="2244" spans="1:23">
      <c r="A2244" s="1402"/>
      <c r="B2244" s="1402"/>
      <c r="C2244" s="829"/>
      <c r="D2244" s="873"/>
      <c r="E2244" s="1402"/>
      <c r="F2244" s="1402"/>
      <c r="G2244" s="1402"/>
      <c r="H2244" s="1402"/>
      <c r="I2244" s="1402"/>
      <c r="J2244" s="1402"/>
      <c r="K2244" s="1402"/>
      <c r="L2244" s="1402"/>
      <c r="M2244" s="1402"/>
      <c r="N2244" s="1402"/>
      <c r="O2244" s="1402"/>
      <c r="P2244" s="1402"/>
      <c r="Q2244" s="1402"/>
      <c r="R2244" s="1402"/>
      <c r="S2244" s="361"/>
      <c r="T2244" s="1399" t="s">
        <v>393</v>
      </c>
      <c r="U2244" s="1397">
        <f>VLOOKUP(B2245,DT.NK!$B:$AZ,45,0)</f>
        <v>28.75</v>
      </c>
      <c r="V2244" s="361"/>
      <c r="W2244" s="361"/>
    </row>
    <row r="2245" spans="1:23">
      <c r="A2245" s="1409">
        <f>A2225+1</f>
        <v>113</v>
      </c>
      <c r="B2245" s="1412" t="s">
        <v>704</v>
      </c>
      <c r="C2245" s="844" t="s">
        <v>983</v>
      </c>
      <c r="D2245" s="874" t="str">
        <f>B2245&amp;C2245</f>
        <v>A135a</v>
      </c>
      <c r="E2245" s="363"/>
      <c r="F2245" s="364"/>
      <c r="G2245" s="364"/>
      <c r="H2245" s="364"/>
      <c r="I2245" s="364"/>
      <c r="J2245" s="364"/>
      <c r="K2245" s="364"/>
      <c r="L2245" s="364"/>
      <c r="M2245" s="674"/>
      <c r="N2245" s="670"/>
      <c r="O2245" s="670">
        <f>U2244</f>
        <v>28.75</v>
      </c>
      <c r="P2245" s="670">
        <f>O2245</f>
        <v>28.75</v>
      </c>
      <c r="Q2245" s="670">
        <v>0</v>
      </c>
      <c r="R2245" s="365"/>
      <c r="S2245" s="366"/>
      <c r="T2245" s="1399"/>
      <c r="U2245" s="1398"/>
      <c r="V2245" s="361"/>
      <c r="W2245" s="361"/>
    </row>
    <row r="2246" spans="1:23">
      <c r="A2246" s="1410"/>
      <c r="B2246" s="1413"/>
      <c r="C2246" s="845" t="s">
        <v>984</v>
      </c>
      <c r="D2246" s="875" t="str">
        <f>B2245&amp;C2246</f>
        <v>A135b</v>
      </c>
      <c r="E2246" s="367">
        <v>1</v>
      </c>
      <c r="F2246" s="669" t="s">
        <v>1085</v>
      </c>
      <c r="G2246" s="369">
        <v>7.0833333333333331E-2</v>
      </c>
      <c r="H2246" s="368">
        <v>9.375E-2</v>
      </c>
      <c r="I2246" s="368">
        <v>0.1111111111111111</v>
      </c>
      <c r="J2246" s="368">
        <v>0.11458333333333333</v>
      </c>
      <c r="K2246" s="669">
        <v>8.5</v>
      </c>
      <c r="L2246" s="669">
        <v>19</v>
      </c>
      <c r="M2246" s="675">
        <v>26.75</v>
      </c>
      <c r="N2246" s="671">
        <f>IF(M2246-P2246&gt;0,M2246-P2246,0)</f>
        <v>5.0500000000000007</v>
      </c>
      <c r="O2246" s="671">
        <f>O2245-K2246/(PI()*(U2243/2000)^2)</f>
        <v>21.234349909549387</v>
      </c>
      <c r="P2246" s="672">
        <v>21.7</v>
      </c>
      <c r="Q2246" s="673">
        <f>ABS(O2246-P2246)</f>
        <v>0.46565009045061245</v>
      </c>
      <c r="R2246" s="375" t="s">
        <v>188</v>
      </c>
      <c r="S2246" s="366"/>
      <c r="T2246" s="376"/>
      <c r="U2246" s="376"/>
      <c r="V2246" s="366"/>
      <c r="W2246" s="366"/>
    </row>
    <row r="2247" spans="1:23">
      <c r="A2247" s="1410"/>
      <c r="B2247" s="1413"/>
      <c r="C2247" s="845" t="s">
        <v>985</v>
      </c>
      <c r="D2247" s="875" t="str">
        <f>B2245&amp;C2247</f>
        <v>A135c</v>
      </c>
      <c r="E2247" s="367">
        <v>2</v>
      </c>
      <c r="F2247" s="669" t="s">
        <v>1089</v>
      </c>
      <c r="G2247" s="369">
        <v>7.6388888888888895E-2</v>
      </c>
      <c r="H2247" s="368">
        <v>0.10416666666666667</v>
      </c>
      <c r="I2247" s="368">
        <v>0.12152777777777778</v>
      </c>
      <c r="J2247" s="368">
        <v>0.125</v>
      </c>
      <c r="K2247" s="669">
        <v>8.5</v>
      </c>
      <c r="L2247" s="669">
        <v>19</v>
      </c>
      <c r="M2247" s="675">
        <v>20.45</v>
      </c>
      <c r="N2247" s="671">
        <f>IF(M2247-P2247&gt;0,M2247-P2247,0)</f>
        <v>5.7999999999999989</v>
      </c>
      <c r="O2247" s="671">
        <f>O2246-K2247/(PI()*(U2243/2000)^2)</f>
        <v>13.718699819098774</v>
      </c>
      <c r="P2247" s="373">
        <v>14.65</v>
      </c>
      <c r="Q2247" s="673">
        <f>ABS(O2247-P2247)</f>
        <v>0.93130018090122668</v>
      </c>
      <c r="R2247" s="375" t="s">
        <v>188</v>
      </c>
      <c r="S2247" s="366"/>
      <c r="T2247" s="376"/>
      <c r="U2247" s="376"/>
      <c r="V2247" s="366"/>
      <c r="W2247" s="366"/>
    </row>
    <row r="2248" spans="1:23">
      <c r="A2248" s="1410"/>
      <c r="B2248" s="1413"/>
      <c r="C2248" s="845" t="s">
        <v>986</v>
      </c>
      <c r="D2248" s="875" t="str">
        <f>B2245&amp;C2248</f>
        <v>A135d</v>
      </c>
      <c r="E2248" s="367">
        <v>3</v>
      </c>
      <c r="F2248" s="669" t="s">
        <v>1091</v>
      </c>
      <c r="G2248" s="369">
        <v>8.3333333333333329E-2</v>
      </c>
      <c r="H2248" s="368">
        <v>0.1111111111111111</v>
      </c>
      <c r="I2248" s="368">
        <v>0.13194444444444445</v>
      </c>
      <c r="J2248" s="368">
        <v>0.13541666666666666</v>
      </c>
      <c r="K2248" s="669">
        <v>9</v>
      </c>
      <c r="L2248" s="669">
        <v>19</v>
      </c>
      <c r="M2248" s="675">
        <v>14.15</v>
      </c>
      <c r="N2248" s="671">
        <f>IF(M2248-P2248&gt;0,M2248-P2248,0)</f>
        <v>4.6500000000000004</v>
      </c>
      <c r="O2248" s="671">
        <f>O2247-K2248/(PI()*(U2243/2000)^2)</f>
        <v>5.760952664504007</v>
      </c>
      <c r="P2248" s="373">
        <v>9.5</v>
      </c>
      <c r="Q2248" s="673">
        <f>ABS(O2248-P2248)</f>
        <v>3.739047335495993</v>
      </c>
      <c r="R2248" s="375" t="s">
        <v>188</v>
      </c>
      <c r="S2248" s="366"/>
      <c r="T2248" s="376"/>
      <c r="U2248" s="376"/>
      <c r="V2248" s="366"/>
      <c r="W2248" s="366"/>
    </row>
    <row r="2249" spans="1:23">
      <c r="A2249" s="1410"/>
      <c r="B2249" s="1413"/>
      <c r="C2249" s="845" t="s">
        <v>987</v>
      </c>
      <c r="D2249" s="875" t="str">
        <f>B2245&amp;C2249</f>
        <v>A135e</v>
      </c>
      <c r="E2249" s="367">
        <v>4</v>
      </c>
      <c r="F2249" s="669" t="s">
        <v>1096</v>
      </c>
      <c r="G2249" s="369">
        <v>0.13958333333333334</v>
      </c>
      <c r="H2249" s="368">
        <v>0.15625</v>
      </c>
      <c r="I2249" s="368">
        <v>0.15972222222222224</v>
      </c>
      <c r="J2249" s="368">
        <v>0.16319444444444445</v>
      </c>
      <c r="K2249" s="669">
        <v>2.5</v>
      </c>
      <c r="L2249" s="669">
        <v>19</v>
      </c>
      <c r="M2249" s="675">
        <v>14.15</v>
      </c>
      <c r="N2249" s="671">
        <f>IF(M2249-P2249&gt;0,M2249-P2249,0)</f>
        <v>7.0500000000000007</v>
      </c>
      <c r="O2249" s="671">
        <f>O2248-K2249/(PI()*(U2243/2000)^2)</f>
        <v>3.5504673437832386</v>
      </c>
      <c r="P2249" s="373">
        <v>7.1</v>
      </c>
      <c r="Q2249" s="673">
        <f>ABS(O2249-P2249)</f>
        <v>3.5495326562167611</v>
      </c>
      <c r="R2249" s="375"/>
      <c r="S2249" s="366"/>
      <c r="T2249" s="376"/>
      <c r="U2249" s="376"/>
      <c r="V2249" s="366"/>
      <c r="W2249" s="366"/>
    </row>
    <row r="2250" spans="1:23">
      <c r="A2250" s="1410"/>
      <c r="B2250" s="1413"/>
      <c r="C2250" s="845" t="s">
        <v>988</v>
      </c>
      <c r="D2250" s="875" t="str">
        <f>B2245&amp;C2250</f>
        <v>A135f</v>
      </c>
      <c r="E2250" s="367">
        <v>5</v>
      </c>
      <c r="F2250" s="669"/>
      <c r="G2250" s="368"/>
      <c r="H2250" s="368"/>
      <c r="I2250" s="368"/>
      <c r="J2250" s="368"/>
      <c r="K2250" s="370"/>
      <c r="L2250" s="370"/>
      <c r="M2250" s="371"/>
      <c r="N2250" s="671"/>
      <c r="O2250" s="671"/>
      <c r="P2250" s="373"/>
      <c r="Q2250" s="673"/>
      <c r="R2250" s="375"/>
      <c r="S2250" s="366" t="s">
        <v>190</v>
      </c>
      <c r="T2250" s="376"/>
      <c r="U2250" s="376"/>
      <c r="V2250" s="366"/>
      <c r="W2250" s="366"/>
    </row>
    <row r="2251" spans="1:23">
      <c r="A2251" s="1410"/>
      <c r="B2251" s="1413"/>
      <c r="C2251" s="845" t="s">
        <v>989</v>
      </c>
      <c r="D2251" s="875" t="str">
        <f>B2245&amp;C2251</f>
        <v>A135g</v>
      </c>
      <c r="E2251" s="367">
        <v>6</v>
      </c>
      <c r="F2251" s="669"/>
      <c r="G2251" s="368"/>
      <c r="H2251" s="368"/>
      <c r="I2251" s="368"/>
      <c r="J2251" s="368"/>
      <c r="K2251" s="370"/>
      <c r="L2251" s="370"/>
      <c r="M2251" s="371"/>
      <c r="N2251" s="671"/>
      <c r="O2251" s="671"/>
      <c r="P2251" s="373"/>
      <c r="Q2251" s="673"/>
      <c r="R2251" s="375"/>
      <c r="S2251" s="366" t="s">
        <v>190</v>
      </c>
      <c r="T2251" s="366"/>
      <c r="U2251" s="366"/>
      <c r="V2251" s="366"/>
      <c r="W2251" s="366"/>
    </row>
    <row r="2252" spans="1:23">
      <c r="A2252" s="1410"/>
      <c r="B2252" s="1413"/>
      <c r="C2252" s="845" t="s">
        <v>990</v>
      </c>
      <c r="D2252" s="875" t="str">
        <f>B2245&amp;C2252</f>
        <v>A135h</v>
      </c>
      <c r="E2252" s="367">
        <v>7</v>
      </c>
      <c r="F2252" s="669"/>
      <c r="G2252" s="368"/>
      <c r="H2252" s="368"/>
      <c r="I2252" s="368"/>
      <c r="J2252" s="368"/>
      <c r="K2252" s="370"/>
      <c r="L2252" s="370"/>
      <c r="M2252" s="371"/>
      <c r="N2252" s="671"/>
      <c r="O2252" s="671"/>
      <c r="P2252" s="373"/>
      <c r="Q2252" s="673"/>
      <c r="R2252" s="377"/>
      <c r="S2252" s="366" t="s">
        <v>190</v>
      </c>
      <c r="T2252" s="366"/>
      <c r="U2252" s="366"/>
      <c r="V2252" s="366"/>
      <c r="W2252" s="366"/>
    </row>
    <row r="2253" spans="1:23">
      <c r="A2253" s="1410"/>
      <c r="B2253" s="1413"/>
      <c r="C2253" s="845" t="s">
        <v>991</v>
      </c>
      <c r="D2253" s="875" t="str">
        <f>B2245&amp;C2253</f>
        <v>A135i</v>
      </c>
      <c r="E2253" s="367">
        <v>8</v>
      </c>
      <c r="F2253" s="669"/>
      <c r="G2253" s="368"/>
      <c r="H2253" s="368"/>
      <c r="I2253" s="368"/>
      <c r="J2253" s="368"/>
      <c r="K2253" s="370"/>
      <c r="L2253" s="370"/>
      <c r="M2253" s="371"/>
      <c r="N2253" s="671"/>
      <c r="O2253" s="671"/>
      <c r="P2253" s="373"/>
      <c r="Q2253" s="673"/>
      <c r="R2253" s="378"/>
      <c r="S2253" s="366"/>
      <c r="T2253" s="366"/>
      <c r="U2253" s="366"/>
      <c r="V2253" s="366"/>
      <c r="W2253" s="366"/>
    </row>
    <row r="2254" spans="1:23">
      <c r="A2254" s="1410"/>
      <c r="B2254" s="1413"/>
      <c r="C2254" s="845" t="s">
        <v>992</v>
      </c>
      <c r="D2254" s="875" t="str">
        <f>B2245&amp;C2254</f>
        <v>A135k</v>
      </c>
      <c r="E2254" s="367">
        <v>9</v>
      </c>
      <c r="F2254" s="370"/>
      <c r="G2254" s="368"/>
      <c r="H2254" s="368"/>
      <c r="I2254" s="368"/>
      <c r="J2254" s="368"/>
      <c r="K2254" s="370"/>
      <c r="L2254" s="370"/>
      <c r="M2254" s="371"/>
      <c r="N2254" s="372"/>
      <c r="O2254" s="372"/>
      <c r="P2254" s="373"/>
      <c r="Q2254" s="374"/>
      <c r="R2254" s="378"/>
      <c r="S2254" s="379"/>
      <c r="T2254" s="366"/>
      <c r="U2254" s="366"/>
      <c r="V2254" s="366"/>
      <c r="W2254" s="366"/>
    </row>
    <row r="2255" spans="1:23">
      <c r="A2255" s="1410"/>
      <c r="B2255" s="1413"/>
      <c r="C2255" s="845" t="s">
        <v>993</v>
      </c>
      <c r="D2255" s="875" t="str">
        <f>B2245&amp;C2255</f>
        <v>A135l</v>
      </c>
      <c r="E2255" s="367">
        <v>10</v>
      </c>
      <c r="F2255" s="370"/>
      <c r="G2255" s="368"/>
      <c r="H2255" s="368"/>
      <c r="I2255" s="368"/>
      <c r="J2255" s="368"/>
      <c r="K2255" s="370"/>
      <c r="L2255" s="370"/>
      <c r="M2255" s="370"/>
      <c r="N2255" s="372"/>
      <c r="O2255" s="372"/>
      <c r="P2255" s="373"/>
      <c r="Q2255" s="374"/>
      <c r="R2255" s="378"/>
      <c r="S2255" s="379"/>
      <c r="T2255" s="366"/>
      <c r="U2255" s="366"/>
      <c r="V2255" s="366"/>
      <c r="W2255" s="366"/>
    </row>
    <row r="2256" spans="1:23">
      <c r="A2256" s="1410"/>
      <c r="B2256" s="1413"/>
      <c r="C2256" s="845" t="s">
        <v>994</v>
      </c>
      <c r="D2256" s="875" t="str">
        <f>B2245&amp;C2256</f>
        <v>A135m</v>
      </c>
      <c r="E2256" s="367">
        <v>11</v>
      </c>
      <c r="F2256" s="370"/>
      <c r="G2256" s="368"/>
      <c r="H2256" s="368"/>
      <c r="I2256" s="368"/>
      <c r="J2256" s="368"/>
      <c r="K2256" s="370"/>
      <c r="L2256" s="370"/>
      <c r="M2256" s="370"/>
      <c r="N2256" s="372"/>
      <c r="O2256" s="372"/>
      <c r="P2256" s="380"/>
      <c r="Q2256" s="374"/>
      <c r="R2256" s="381"/>
      <c r="S2256" s="379"/>
      <c r="T2256" s="366"/>
      <c r="U2256" s="366"/>
      <c r="V2256" s="366"/>
      <c r="W2256" s="366"/>
    </row>
    <row r="2257" spans="1:23">
      <c r="A2257" s="1410"/>
      <c r="B2257" s="1413"/>
      <c r="C2257" s="845" t="s">
        <v>995</v>
      </c>
      <c r="D2257" s="875" t="str">
        <f>B2245&amp;C2257</f>
        <v>A135n</v>
      </c>
      <c r="E2257" s="367">
        <v>12</v>
      </c>
      <c r="F2257" s="370"/>
      <c r="G2257" s="368"/>
      <c r="H2257" s="368"/>
      <c r="I2257" s="368"/>
      <c r="J2257" s="368"/>
      <c r="K2257" s="370"/>
      <c r="L2257" s="370"/>
      <c r="M2257" s="370"/>
      <c r="N2257" s="372"/>
      <c r="O2257" s="372"/>
      <c r="P2257" s="380"/>
      <c r="Q2257" s="374"/>
      <c r="R2257" s="381"/>
      <c r="S2257" s="361"/>
      <c r="T2257" s="361"/>
      <c r="U2257" s="361"/>
      <c r="V2257" s="366"/>
      <c r="W2257" s="366"/>
    </row>
    <row r="2258" spans="1:23">
      <c r="A2258" s="1410"/>
      <c r="B2258" s="1413"/>
      <c r="C2258" s="845" t="s">
        <v>471</v>
      </c>
      <c r="D2258" s="875" t="str">
        <f>B2245&amp;C2258</f>
        <v>A135x</v>
      </c>
      <c r="E2258" s="367">
        <v>13</v>
      </c>
      <c r="F2258" s="370"/>
      <c r="G2258" s="368"/>
      <c r="H2258" s="368"/>
      <c r="I2258" s="368"/>
      <c r="J2258" s="368"/>
      <c r="K2258" s="370"/>
      <c r="L2258" s="370"/>
      <c r="M2258" s="370"/>
      <c r="N2258" s="382"/>
      <c r="O2258" s="372"/>
      <c r="P2258" s="380"/>
      <c r="Q2258" s="381"/>
      <c r="R2258" s="381"/>
      <c r="S2258" s="361"/>
      <c r="T2258" s="361"/>
      <c r="U2258" s="361"/>
      <c r="V2258" s="366"/>
      <c r="W2258" s="366"/>
    </row>
    <row r="2259" spans="1:23">
      <c r="A2259" s="1410"/>
      <c r="B2259" s="1413"/>
      <c r="C2259" s="845" t="s">
        <v>732</v>
      </c>
      <c r="D2259" s="875" t="str">
        <f>B2245&amp;C2259</f>
        <v>A135y</v>
      </c>
      <c r="E2259" s="367">
        <v>14</v>
      </c>
      <c r="F2259" s="370"/>
      <c r="G2259" s="368"/>
      <c r="H2259" s="368"/>
      <c r="I2259" s="368"/>
      <c r="J2259" s="368"/>
      <c r="K2259" s="370"/>
      <c r="L2259" s="370"/>
      <c r="M2259" s="370"/>
      <c r="N2259" s="382"/>
      <c r="O2259" s="372"/>
      <c r="P2259" s="380"/>
      <c r="Q2259" s="381"/>
      <c r="R2259" s="381"/>
      <c r="S2259" s="361"/>
      <c r="T2259" s="361"/>
      <c r="U2259" s="362"/>
      <c r="V2259" s="366"/>
      <c r="W2259" s="366"/>
    </row>
    <row r="2260" spans="1:23">
      <c r="A2260" s="1411"/>
      <c r="B2260" s="1414"/>
      <c r="C2260" s="846" t="s">
        <v>996</v>
      </c>
      <c r="D2260" s="876" t="str">
        <f>B2245&amp;C2260</f>
        <v>A135z</v>
      </c>
      <c r="E2260" s="847">
        <v>15</v>
      </c>
      <c r="F2260" s="370"/>
      <c r="G2260" s="368"/>
      <c r="H2260" s="368"/>
      <c r="I2260" s="368"/>
      <c r="J2260" s="368"/>
      <c r="K2260" s="370"/>
      <c r="L2260" s="370"/>
      <c r="M2260" s="370"/>
      <c r="N2260" s="850"/>
      <c r="O2260" s="851"/>
      <c r="P2260" s="380"/>
      <c r="Q2260" s="852"/>
      <c r="R2260" s="383"/>
      <c r="S2260" s="361"/>
      <c r="T2260" s="832"/>
      <c r="U2260" s="830"/>
      <c r="V2260" s="366"/>
      <c r="W2260" s="366"/>
    </row>
    <row r="2261" spans="1:23">
      <c r="A2261" s="1400" t="s">
        <v>939</v>
      </c>
      <c r="B2261" s="1400"/>
      <c r="C2261" s="827"/>
      <c r="D2261" s="871"/>
      <c r="E2261" s="1400" t="s">
        <v>177</v>
      </c>
      <c r="F2261" s="1400" t="s">
        <v>18</v>
      </c>
      <c r="G2261" s="1389" t="s">
        <v>19</v>
      </c>
      <c r="H2261" s="1390"/>
      <c r="I2261" s="1389" t="s">
        <v>22</v>
      </c>
      <c r="J2261" s="1390"/>
      <c r="K2261" s="1393" t="s">
        <v>26</v>
      </c>
      <c r="L2261" s="1390"/>
      <c r="M2261" s="1389" t="s">
        <v>392</v>
      </c>
      <c r="N2261" s="1390"/>
      <c r="O2261" s="1389" t="s">
        <v>28</v>
      </c>
      <c r="P2261" s="1393"/>
      <c r="Q2261" s="1390"/>
      <c r="R2261" s="1400" t="s">
        <v>36</v>
      </c>
      <c r="S2261" s="361"/>
      <c r="T2261" s="361">
        <f>MAX(J2265:J2279)-MIN(I2265:I2279)</f>
        <v>3.8194444444444448E-2</v>
      </c>
      <c r="U2261" s="361"/>
      <c r="V2261" s="853" t="str">
        <f t="shared" ref="V2261" si="236">B2265</f>
        <v>B24</v>
      </c>
      <c r="W2261" s="361">
        <f t="shared" ref="W2261" si="237">COUNTIF(K2266:K2280,"&gt;0")</f>
        <v>3</v>
      </c>
    </row>
    <row r="2262" spans="1:23">
      <c r="A2262" s="1401"/>
      <c r="B2262" s="1401"/>
      <c r="C2262" s="828"/>
      <c r="D2262" s="872"/>
      <c r="E2262" s="1401"/>
      <c r="F2262" s="1401"/>
      <c r="G2262" s="1391"/>
      <c r="H2262" s="1392"/>
      <c r="I2262" s="1391"/>
      <c r="J2262" s="1392"/>
      <c r="K2262" s="1394"/>
      <c r="L2262" s="1392"/>
      <c r="M2262" s="1391"/>
      <c r="N2262" s="1392"/>
      <c r="O2262" s="1391"/>
      <c r="P2262" s="1394"/>
      <c r="Q2262" s="1392"/>
      <c r="R2262" s="1401"/>
      <c r="S2262" s="361"/>
      <c r="T2262" s="361"/>
      <c r="U2262" s="361"/>
      <c r="V2262" s="361"/>
      <c r="W2262" s="361"/>
    </row>
    <row r="2263" spans="1:23">
      <c r="A2263" s="1401"/>
      <c r="B2263" s="1401"/>
      <c r="C2263" s="828"/>
      <c r="D2263" s="872"/>
      <c r="E2263" s="1401"/>
      <c r="F2263" s="1401"/>
      <c r="G2263" s="1400" t="s">
        <v>20</v>
      </c>
      <c r="H2263" s="1400" t="s">
        <v>21</v>
      </c>
      <c r="I2263" s="1400" t="s">
        <v>361</v>
      </c>
      <c r="J2263" s="1400" t="s">
        <v>353</v>
      </c>
      <c r="K2263" s="1400" t="s">
        <v>23</v>
      </c>
      <c r="L2263" s="1400" t="s">
        <v>24</v>
      </c>
      <c r="M2263" s="1400" t="s">
        <v>27</v>
      </c>
      <c r="N2263" s="1400" t="s">
        <v>178</v>
      </c>
      <c r="O2263" s="1400" t="s">
        <v>1</v>
      </c>
      <c r="P2263" s="1400" t="s">
        <v>29</v>
      </c>
      <c r="Q2263" s="1400" t="s">
        <v>33</v>
      </c>
      <c r="R2263" s="1401"/>
      <c r="S2263" s="361"/>
      <c r="T2263" s="361" t="s">
        <v>39</v>
      </c>
      <c r="U2263" s="362">
        <f>VLOOKUP(B2265,'Thong tin'!$A:$M,13,0)</f>
        <v>800</v>
      </c>
      <c r="V2263" s="361"/>
      <c r="W2263" s="361"/>
    </row>
    <row r="2264" spans="1:23">
      <c r="A2264" s="1402"/>
      <c r="B2264" s="1402"/>
      <c r="C2264" s="829"/>
      <c r="D2264" s="873"/>
      <c r="E2264" s="1402"/>
      <c r="F2264" s="1402"/>
      <c r="G2264" s="1402"/>
      <c r="H2264" s="1402"/>
      <c r="I2264" s="1402"/>
      <c r="J2264" s="1402"/>
      <c r="K2264" s="1402"/>
      <c r="L2264" s="1402"/>
      <c r="M2264" s="1402"/>
      <c r="N2264" s="1402"/>
      <c r="O2264" s="1402"/>
      <c r="P2264" s="1402"/>
      <c r="Q2264" s="1402"/>
      <c r="R2264" s="1402"/>
      <c r="S2264" s="361"/>
      <c r="T2264" s="1399" t="s">
        <v>393</v>
      </c>
      <c r="U2264" s="1397">
        <f>VLOOKUP(B2265,DT.NK!$B:$AZ,45,0)</f>
        <v>30.7</v>
      </c>
      <c r="V2264" s="361"/>
      <c r="W2264" s="361"/>
    </row>
    <row r="2265" spans="1:23">
      <c r="A2265" s="1409">
        <f>A2245+1</f>
        <v>114</v>
      </c>
      <c r="B2265" s="1412" t="s">
        <v>528</v>
      </c>
      <c r="C2265" s="844" t="s">
        <v>983</v>
      </c>
      <c r="D2265" s="874" t="str">
        <f>B2265&amp;C2265</f>
        <v>B24a</v>
      </c>
      <c r="E2265" s="363"/>
      <c r="F2265" s="364"/>
      <c r="G2265" s="364"/>
      <c r="H2265" s="364"/>
      <c r="I2265" s="364"/>
      <c r="J2265" s="364"/>
      <c r="K2265" s="364"/>
      <c r="L2265" s="364"/>
      <c r="M2265" s="674"/>
      <c r="N2265" s="670"/>
      <c r="O2265" s="670">
        <f>U2264</f>
        <v>30.7</v>
      </c>
      <c r="P2265" s="670">
        <f>O2265</f>
        <v>30.7</v>
      </c>
      <c r="Q2265" s="670">
        <v>0</v>
      </c>
      <c r="R2265" s="365"/>
      <c r="S2265" s="366"/>
      <c r="T2265" s="1399"/>
      <c r="U2265" s="1398"/>
      <c r="V2265" s="361"/>
      <c r="W2265" s="361"/>
    </row>
    <row r="2266" spans="1:23">
      <c r="A2266" s="1410"/>
      <c r="B2266" s="1413"/>
      <c r="C2266" s="845" t="s">
        <v>984</v>
      </c>
      <c r="D2266" s="875" t="str">
        <f>B2265&amp;C2266</f>
        <v>B24b</v>
      </c>
      <c r="E2266" s="367">
        <v>1</v>
      </c>
      <c r="F2266" s="669" t="s">
        <v>1091</v>
      </c>
      <c r="G2266" s="369">
        <v>7.2222222222222229E-2</v>
      </c>
      <c r="H2266" s="368">
        <v>0.10069444444444443</v>
      </c>
      <c r="I2266" s="368">
        <v>0.1076388888888889</v>
      </c>
      <c r="J2266" s="368">
        <v>0.1111111111111111</v>
      </c>
      <c r="K2266" s="669">
        <v>7.5</v>
      </c>
      <c r="L2266" s="669">
        <v>19</v>
      </c>
      <c r="M2266" s="675">
        <v>21.25</v>
      </c>
      <c r="N2266" s="671">
        <f>IF(M2266-P2266&gt;0,M2266-P2266,0)</f>
        <v>4.5500000000000007</v>
      </c>
      <c r="O2266" s="671">
        <f>O2265-K2266/(PI()*(U2263/2000)^2)</f>
        <v>15.779224085134812</v>
      </c>
      <c r="P2266" s="672">
        <v>16.7</v>
      </c>
      <c r="Q2266" s="673">
        <f>ABS(O2266-P2266)</f>
        <v>0.92077591486518706</v>
      </c>
      <c r="R2266" s="375" t="s">
        <v>188</v>
      </c>
      <c r="S2266" s="366"/>
      <c r="T2266" s="376"/>
      <c r="U2266" s="376"/>
      <c r="V2266" s="366"/>
      <c r="W2266" s="366"/>
    </row>
    <row r="2267" spans="1:23">
      <c r="A2267" s="1410"/>
      <c r="B2267" s="1413"/>
      <c r="C2267" s="845" t="s">
        <v>985</v>
      </c>
      <c r="D2267" s="875" t="str">
        <f>B2265&amp;C2267</f>
        <v>B24c</v>
      </c>
      <c r="E2267" s="367">
        <v>2</v>
      </c>
      <c r="F2267" s="669" t="s">
        <v>1085</v>
      </c>
      <c r="G2267" s="369">
        <v>7.7083333333333337E-2</v>
      </c>
      <c r="H2267" s="368">
        <v>0.10416666666666667</v>
      </c>
      <c r="I2267" s="368">
        <v>0.11805555555555557</v>
      </c>
      <c r="J2267" s="368">
        <v>0.12152777777777778</v>
      </c>
      <c r="K2267" s="669">
        <v>7.5</v>
      </c>
      <c r="L2267" s="669">
        <v>19</v>
      </c>
      <c r="M2267" s="675">
        <v>11.8</v>
      </c>
      <c r="N2267" s="671">
        <f>IF(M2267-P2267&gt;0,M2267-P2267,0)</f>
        <v>4.7000000000000011</v>
      </c>
      <c r="O2267" s="671">
        <f>O2266-K2267/(PI()*(U2263/2000)^2)</f>
        <v>0.85844817026962517</v>
      </c>
      <c r="P2267" s="373">
        <v>7.1</v>
      </c>
      <c r="Q2267" s="673">
        <f>ABS(O2267-P2267)</f>
        <v>6.2415518297303745</v>
      </c>
      <c r="R2267" s="375" t="s">
        <v>188</v>
      </c>
      <c r="S2267" s="366"/>
      <c r="T2267" s="376"/>
      <c r="U2267" s="376"/>
      <c r="V2267" s="366"/>
      <c r="W2267" s="366"/>
    </row>
    <row r="2268" spans="1:23">
      <c r="A2268" s="1410"/>
      <c r="B2268" s="1413"/>
      <c r="C2268" s="845" t="s">
        <v>986</v>
      </c>
      <c r="D2268" s="875" t="str">
        <f>B2265&amp;C2268</f>
        <v>B24d</v>
      </c>
      <c r="E2268" s="367">
        <v>3</v>
      </c>
      <c r="F2268" s="669" t="s">
        <v>1091</v>
      </c>
      <c r="G2268" s="369">
        <v>0.12222222222222223</v>
      </c>
      <c r="H2268" s="368">
        <v>0.1388888888888889</v>
      </c>
      <c r="I2268" s="368">
        <v>0.1423611111111111</v>
      </c>
      <c r="J2268" s="368">
        <v>0.14583333333333334</v>
      </c>
      <c r="K2268" s="669">
        <v>2</v>
      </c>
      <c r="L2268" s="669">
        <v>19</v>
      </c>
      <c r="M2268" s="675">
        <v>11.8</v>
      </c>
      <c r="N2268" s="671">
        <f>IF(M2268-P2268&gt;0,M2268-P2268,0)</f>
        <v>5.8000000000000007</v>
      </c>
      <c r="O2268" s="671">
        <f>O2267-K2268/(PI()*(U2263/2000)^2)</f>
        <v>-3.1204254070277582</v>
      </c>
      <c r="P2268" s="373">
        <v>6</v>
      </c>
      <c r="Q2268" s="673">
        <f>ABS(O2268-P2268)</f>
        <v>9.1204254070277582</v>
      </c>
      <c r="R2268" s="375"/>
      <c r="S2268" s="366"/>
      <c r="T2268" s="376"/>
      <c r="U2268" s="376"/>
      <c r="V2268" s="366"/>
      <c r="W2268" s="366"/>
    </row>
    <row r="2269" spans="1:23">
      <c r="A2269" s="1410"/>
      <c r="B2269" s="1413"/>
      <c r="C2269" s="845" t="s">
        <v>987</v>
      </c>
      <c r="D2269" s="875" t="str">
        <f>B2265&amp;C2269</f>
        <v>B24e</v>
      </c>
      <c r="E2269" s="367">
        <v>4</v>
      </c>
      <c r="F2269" s="669"/>
      <c r="G2269" s="368"/>
      <c r="H2269" s="368"/>
      <c r="I2269" s="368"/>
      <c r="J2269" s="368"/>
      <c r="K2269" s="370"/>
      <c r="L2269" s="370"/>
      <c r="M2269" s="371"/>
      <c r="N2269" s="671"/>
      <c r="O2269" s="671"/>
      <c r="P2269" s="373"/>
      <c r="Q2269" s="673"/>
      <c r="R2269" s="375"/>
      <c r="S2269" s="366"/>
      <c r="T2269" s="376"/>
      <c r="U2269" s="376"/>
      <c r="V2269" s="366"/>
      <c r="W2269" s="366"/>
    </row>
    <row r="2270" spans="1:23">
      <c r="A2270" s="1410"/>
      <c r="B2270" s="1413"/>
      <c r="C2270" s="845" t="s">
        <v>988</v>
      </c>
      <c r="D2270" s="875" t="str">
        <f>B2265&amp;C2270</f>
        <v>B24f</v>
      </c>
      <c r="E2270" s="367">
        <v>5</v>
      </c>
      <c r="F2270" s="669"/>
      <c r="G2270" s="368"/>
      <c r="H2270" s="368"/>
      <c r="I2270" s="368"/>
      <c r="J2270" s="368"/>
      <c r="K2270" s="370"/>
      <c r="L2270" s="370"/>
      <c r="M2270" s="371"/>
      <c r="N2270" s="671"/>
      <c r="O2270" s="671"/>
      <c r="P2270" s="373"/>
      <c r="Q2270" s="673"/>
      <c r="R2270" s="375"/>
      <c r="S2270" s="366" t="s">
        <v>190</v>
      </c>
      <c r="T2270" s="376"/>
      <c r="U2270" s="376"/>
      <c r="V2270" s="366"/>
      <c r="W2270" s="366"/>
    </row>
    <row r="2271" spans="1:23">
      <c r="A2271" s="1410"/>
      <c r="B2271" s="1413"/>
      <c r="C2271" s="845" t="s">
        <v>989</v>
      </c>
      <c r="D2271" s="875" t="str">
        <f>B2265&amp;C2271</f>
        <v>B24g</v>
      </c>
      <c r="E2271" s="367">
        <v>6</v>
      </c>
      <c r="F2271" s="669"/>
      <c r="G2271" s="368"/>
      <c r="H2271" s="368"/>
      <c r="I2271" s="368"/>
      <c r="J2271" s="368"/>
      <c r="K2271" s="370"/>
      <c r="L2271" s="370"/>
      <c r="M2271" s="371"/>
      <c r="N2271" s="671"/>
      <c r="O2271" s="671"/>
      <c r="P2271" s="373"/>
      <c r="Q2271" s="673"/>
      <c r="R2271" s="375"/>
      <c r="S2271" s="366" t="s">
        <v>190</v>
      </c>
      <c r="T2271" s="366"/>
      <c r="U2271" s="366"/>
      <c r="V2271" s="366"/>
      <c r="W2271" s="366"/>
    </row>
    <row r="2272" spans="1:23">
      <c r="A2272" s="1410"/>
      <c r="B2272" s="1413"/>
      <c r="C2272" s="845" t="s">
        <v>990</v>
      </c>
      <c r="D2272" s="875" t="str">
        <f>B2265&amp;C2272</f>
        <v>B24h</v>
      </c>
      <c r="E2272" s="367">
        <v>7</v>
      </c>
      <c r="F2272" s="669"/>
      <c r="G2272" s="368"/>
      <c r="H2272" s="368"/>
      <c r="I2272" s="368"/>
      <c r="J2272" s="368"/>
      <c r="K2272" s="370"/>
      <c r="L2272" s="370"/>
      <c r="M2272" s="371"/>
      <c r="N2272" s="671"/>
      <c r="O2272" s="671"/>
      <c r="P2272" s="373"/>
      <c r="Q2272" s="673"/>
      <c r="R2272" s="377"/>
      <c r="S2272" s="366" t="s">
        <v>190</v>
      </c>
      <c r="T2272" s="366"/>
      <c r="U2272" s="366"/>
      <c r="V2272" s="366"/>
      <c r="W2272" s="366"/>
    </row>
    <row r="2273" spans="1:23">
      <c r="A2273" s="1410"/>
      <c r="B2273" s="1413"/>
      <c r="C2273" s="845" t="s">
        <v>991</v>
      </c>
      <c r="D2273" s="875" t="str">
        <f>B2265&amp;C2273</f>
        <v>B24i</v>
      </c>
      <c r="E2273" s="367">
        <v>8</v>
      </c>
      <c r="F2273" s="669"/>
      <c r="G2273" s="368"/>
      <c r="H2273" s="368"/>
      <c r="I2273" s="368"/>
      <c r="J2273" s="368"/>
      <c r="K2273" s="370"/>
      <c r="L2273" s="370"/>
      <c r="M2273" s="371"/>
      <c r="N2273" s="671"/>
      <c r="O2273" s="671"/>
      <c r="P2273" s="373"/>
      <c r="Q2273" s="673"/>
      <c r="R2273" s="378"/>
      <c r="S2273" s="366"/>
      <c r="T2273" s="366"/>
      <c r="U2273" s="366"/>
      <c r="V2273" s="366"/>
      <c r="W2273" s="366"/>
    </row>
    <row r="2274" spans="1:23">
      <c r="A2274" s="1410"/>
      <c r="B2274" s="1413"/>
      <c r="C2274" s="845" t="s">
        <v>992</v>
      </c>
      <c r="D2274" s="875" t="str">
        <f>B2265&amp;C2274</f>
        <v>B24k</v>
      </c>
      <c r="E2274" s="367">
        <v>9</v>
      </c>
      <c r="F2274" s="370"/>
      <c r="G2274" s="368"/>
      <c r="H2274" s="368"/>
      <c r="I2274" s="368"/>
      <c r="J2274" s="368"/>
      <c r="K2274" s="370"/>
      <c r="L2274" s="370"/>
      <c r="M2274" s="371"/>
      <c r="N2274" s="372"/>
      <c r="O2274" s="372"/>
      <c r="P2274" s="373"/>
      <c r="Q2274" s="374"/>
      <c r="R2274" s="378"/>
      <c r="S2274" s="379"/>
      <c r="T2274" s="366"/>
      <c r="U2274" s="366"/>
      <c r="V2274" s="366"/>
      <c r="W2274" s="366"/>
    </row>
    <row r="2275" spans="1:23">
      <c r="A2275" s="1410"/>
      <c r="B2275" s="1413"/>
      <c r="C2275" s="845" t="s">
        <v>993</v>
      </c>
      <c r="D2275" s="875" t="str">
        <f>B2265&amp;C2275</f>
        <v>B24l</v>
      </c>
      <c r="E2275" s="367">
        <v>10</v>
      </c>
      <c r="F2275" s="370"/>
      <c r="G2275" s="368"/>
      <c r="H2275" s="368"/>
      <c r="I2275" s="368"/>
      <c r="J2275" s="368"/>
      <c r="K2275" s="370"/>
      <c r="L2275" s="370"/>
      <c r="M2275" s="370"/>
      <c r="N2275" s="372"/>
      <c r="O2275" s="372"/>
      <c r="P2275" s="373"/>
      <c r="Q2275" s="374"/>
      <c r="R2275" s="378"/>
      <c r="S2275" s="379"/>
      <c r="T2275" s="366"/>
      <c r="U2275" s="366"/>
      <c r="V2275" s="366"/>
      <c r="W2275" s="366"/>
    </row>
    <row r="2276" spans="1:23">
      <c r="A2276" s="1410"/>
      <c r="B2276" s="1413"/>
      <c r="C2276" s="845" t="s">
        <v>994</v>
      </c>
      <c r="D2276" s="875" t="str">
        <f>B2265&amp;C2276</f>
        <v>B24m</v>
      </c>
      <c r="E2276" s="367">
        <v>11</v>
      </c>
      <c r="F2276" s="370"/>
      <c r="G2276" s="368"/>
      <c r="H2276" s="368"/>
      <c r="I2276" s="368"/>
      <c r="J2276" s="368"/>
      <c r="K2276" s="370"/>
      <c r="L2276" s="370"/>
      <c r="M2276" s="370"/>
      <c r="N2276" s="372"/>
      <c r="O2276" s="372"/>
      <c r="P2276" s="380"/>
      <c r="Q2276" s="374"/>
      <c r="R2276" s="381"/>
      <c r="S2276" s="379"/>
      <c r="T2276" s="366"/>
      <c r="U2276" s="366"/>
      <c r="V2276" s="366"/>
      <c r="W2276" s="366"/>
    </row>
    <row r="2277" spans="1:23">
      <c r="A2277" s="1410"/>
      <c r="B2277" s="1413"/>
      <c r="C2277" s="845" t="s">
        <v>995</v>
      </c>
      <c r="D2277" s="875" t="str">
        <f>B2265&amp;C2277</f>
        <v>B24n</v>
      </c>
      <c r="E2277" s="367">
        <v>12</v>
      </c>
      <c r="F2277" s="370"/>
      <c r="G2277" s="368"/>
      <c r="H2277" s="368"/>
      <c r="I2277" s="368"/>
      <c r="J2277" s="368"/>
      <c r="K2277" s="370"/>
      <c r="L2277" s="370"/>
      <c r="M2277" s="370"/>
      <c r="N2277" s="372"/>
      <c r="O2277" s="372"/>
      <c r="P2277" s="380"/>
      <c r="Q2277" s="374"/>
      <c r="R2277" s="381"/>
      <c r="S2277" s="361"/>
      <c r="T2277" s="361"/>
      <c r="U2277" s="361"/>
      <c r="V2277" s="366"/>
      <c r="W2277" s="366"/>
    </row>
    <row r="2278" spans="1:23">
      <c r="A2278" s="1410"/>
      <c r="B2278" s="1413"/>
      <c r="C2278" s="845" t="s">
        <v>471</v>
      </c>
      <c r="D2278" s="875" t="str">
        <f>B2265&amp;C2278</f>
        <v>B24x</v>
      </c>
      <c r="E2278" s="367">
        <v>13</v>
      </c>
      <c r="F2278" s="370"/>
      <c r="G2278" s="368"/>
      <c r="H2278" s="368"/>
      <c r="I2278" s="368"/>
      <c r="J2278" s="368"/>
      <c r="K2278" s="370"/>
      <c r="L2278" s="370"/>
      <c r="M2278" s="370"/>
      <c r="N2278" s="382"/>
      <c r="O2278" s="372"/>
      <c r="P2278" s="380"/>
      <c r="Q2278" s="381"/>
      <c r="R2278" s="381"/>
      <c r="S2278" s="361"/>
      <c r="T2278" s="361"/>
      <c r="U2278" s="361"/>
      <c r="V2278" s="366"/>
      <c r="W2278" s="366"/>
    </row>
    <row r="2279" spans="1:23">
      <c r="A2279" s="1410"/>
      <c r="B2279" s="1413"/>
      <c r="C2279" s="845" t="s">
        <v>732</v>
      </c>
      <c r="D2279" s="875" t="str">
        <f>B2265&amp;C2279</f>
        <v>B24y</v>
      </c>
      <c r="E2279" s="367">
        <v>14</v>
      </c>
      <c r="F2279" s="370"/>
      <c r="G2279" s="368"/>
      <c r="H2279" s="368"/>
      <c r="I2279" s="368"/>
      <c r="J2279" s="368"/>
      <c r="K2279" s="370"/>
      <c r="L2279" s="370"/>
      <c r="M2279" s="370"/>
      <c r="N2279" s="382"/>
      <c r="O2279" s="372"/>
      <c r="P2279" s="380"/>
      <c r="Q2279" s="381"/>
      <c r="R2279" s="381"/>
      <c r="S2279" s="361"/>
      <c r="T2279" s="361"/>
      <c r="U2279" s="362"/>
      <c r="V2279" s="366"/>
      <c r="W2279" s="366"/>
    </row>
    <row r="2280" spans="1:23">
      <c r="A2280" s="1411"/>
      <c r="B2280" s="1414"/>
      <c r="C2280" s="846" t="s">
        <v>996</v>
      </c>
      <c r="D2280" s="876" t="str">
        <f>B2265&amp;C2280</f>
        <v>B24z</v>
      </c>
      <c r="E2280" s="847">
        <v>15</v>
      </c>
      <c r="F2280" s="370"/>
      <c r="G2280" s="368"/>
      <c r="H2280" s="368"/>
      <c r="I2280" s="368"/>
      <c r="J2280" s="368"/>
      <c r="K2280" s="370"/>
      <c r="L2280" s="370"/>
      <c r="M2280" s="370"/>
      <c r="N2280" s="850"/>
      <c r="O2280" s="851"/>
      <c r="P2280" s="380"/>
      <c r="Q2280" s="852"/>
      <c r="R2280" s="383"/>
      <c r="S2280" s="361"/>
      <c r="T2280" s="832"/>
      <c r="U2280" s="830"/>
      <c r="V2280" s="366"/>
      <c r="W2280" s="366"/>
    </row>
    <row r="2281" spans="1:23">
      <c r="A2281" s="1400" t="s">
        <v>939</v>
      </c>
      <c r="B2281" s="1400"/>
      <c r="C2281" s="827"/>
      <c r="D2281" s="871"/>
      <c r="E2281" s="1400" t="s">
        <v>177</v>
      </c>
      <c r="F2281" s="1400" t="s">
        <v>18</v>
      </c>
      <c r="G2281" s="1389" t="s">
        <v>19</v>
      </c>
      <c r="H2281" s="1390"/>
      <c r="I2281" s="1389" t="s">
        <v>22</v>
      </c>
      <c r="J2281" s="1390"/>
      <c r="K2281" s="1393" t="s">
        <v>26</v>
      </c>
      <c r="L2281" s="1390"/>
      <c r="M2281" s="1389" t="s">
        <v>392</v>
      </c>
      <c r="N2281" s="1390"/>
      <c r="O2281" s="1389" t="s">
        <v>28</v>
      </c>
      <c r="P2281" s="1393"/>
      <c r="Q2281" s="1390"/>
      <c r="R2281" s="1400" t="s">
        <v>36</v>
      </c>
      <c r="S2281" s="361"/>
      <c r="T2281" s="361">
        <f>MAX(J2285:J2299)-MIN(I2285:I2299)</f>
        <v>0.15625</v>
      </c>
      <c r="U2281" s="361"/>
      <c r="V2281" s="853" t="str">
        <f t="shared" ref="V2281" si="238">B2285</f>
        <v>A154</v>
      </c>
      <c r="W2281" s="361">
        <f t="shared" ref="W2281" si="239">COUNTIF(K2286:K2300,"&gt;0")</f>
        <v>7</v>
      </c>
    </row>
    <row r="2282" spans="1:23">
      <c r="A2282" s="1401"/>
      <c r="B2282" s="1401"/>
      <c r="C2282" s="828"/>
      <c r="D2282" s="872"/>
      <c r="E2282" s="1401"/>
      <c r="F2282" s="1401"/>
      <c r="G2282" s="1391"/>
      <c r="H2282" s="1392"/>
      <c r="I2282" s="1391"/>
      <c r="J2282" s="1392"/>
      <c r="K2282" s="1394"/>
      <c r="L2282" s="1392"/>
      <c r="M2282" s="1391"/>
      <c r="N2282" s="1392"/>
      <c r="O2282" s="1391"/>
      <c r="P2282" s="1394"/>
      <c r="Q2282" s="1392"/>
      <c r="R2282" s="1401"/>
      <c r="S2282" s="361"/>
      <c r="T2282" s="361"/>
      <c r="U2282" s="361"/>
      <c r="V2282" s="361"/>
      <c r="W2282" s="361"/>
    </row>
    <row r="2283" spans="1:23">
      <c r="A2283" s="1401"/>
      <c r="B2283" s="1401"/>
      <c r="C2283" s="828"/>
      <c r="D2283" s="872"/>
      <c r="E2283" s="1401"/>
      <c r="F2283" s="1401"/>
      <c r="G2283" s="1400" t="s">
        <v>20</v>
      </c>
      <c r="H2283" s="1400" t="s">
        <v>21</v>
      </c>
      <c r="I2283" s="1400" t="s">
        <v>361</v>
      </c>
      <c r="J2283" s="1400" t="s">
        <v>353</v>
      </c>
      <c r="K2283" s="1400" t="s">
        <v>23</v>
      </c>
      <c r="L2283" s="1400" t="s">
        <v>24</v>
      </c>
      <c r="M2283" s="1400" t="s">
        <v>27</v>
      </c>
      <c r="N2283" s="1400" t="s">
        <v>178</v>
      </c>
      <c r="O2283" s="1400" t="s">
        <v>1</v>
      </c>
      <c r="P2283" s="1400" t="s">
        <v>29</v>
      </c>
      <c r="Q2283" s="1400" t="s">
        <v>33</v>
      </c>
      <c r="R2283" s="1401"/>
      <c r="S2283" s="361"/>
      <c r="T2283" s="361" t="s">
        <v>39</v>
      </c>
      <c r="U2283" s="362">
        <f>VLOOKUP(B2285,'Thong tin'!$A:$M,13,0)</f>
        <v>1200</v>
      </c>
      <c r="V2283" s="361"/>
      <c r="W2283" s="361"/>
    </row>
    <row r="2284" spans="1:23">
      <c r="A2284" s="1402"/>
      <c r="B2284" s="1402"/>
      <c r="C2284" s="829"/>
      <c r="D2284" s="873"/>
      <c r="E2284" s="1402"/>
      <c r="F2284" s="1402"/>
      <c r="G2284" s="1402"/>
      <c r="H2284" s="1402"/>
      <c r="I2284" s="1402"/>
      <c r="J2284" s="1402"/>
      <c r="K2284" s="1402"/>
      <c r="L2284" s="1402"/>
      <c r="M2284" s="1402"/>
      <c r="N2284" s="1402"/>
      <c r="O2284" s="1402"/>
      <c r="P2284" s="1402"/>
      <c r="Q2284" s="1402"/>
      <c r="R2284" s="1402"/>
      <c r="S2284" s="361"/>
      <c r="T2284" s="1399" t="s">
        <v>393</v>
      </c>
      <c r="U2284" s="1397">
        <f>VLOOKUP(B2285,DT.NK!$B:$AZ,45,0)</f>
        <v>27.2</v>
      </c>
      <c r="V2284" s="361"/>
      <c r="W2284" s="361"/>
    </row>
    <row r="2285" spans="1:23">
      <c r="A2285" s="1409">
        <f>A2265+1</f>
        <v>115</v>
      </c>
      <c r="B2285" s="1412" t="s">
        <v>581</v>
      </c>
      <c r="C2285" s="844" t="s">
        <v>983</v>
      </c>
      <c r="D2285" s="874" t="str">
        <f>B2285&amp;C2285</f>
        <v>A154a</v>
      </c>
      <c r="E2285" s="363"/>
      <c r="F2285" s="364"/>
      <c r="G2285" s="364"/>
      <c r="H2285" s="364"/>
      <c r="I2285" s="364"/>
      <c r="J2285" s="364"/>
      <c r="K2285" s="364"/>
      <c r="L2285" s="364"/>
      <c r="M2285" s="674"/>
      <c r="N2285" s="670"/>
      <c r="O2285" s="670">
        <f>U2284</f>
        <v>27.2</v>
      </c>
      <c r="P2285" s="670">
        <f>O2285</f>
        <v>27.2</v>
      </c>
      <c r="Q2285" s="670">
        <v>0</v>
      </c>
      <c r="R2285" s="365"/>
      <c r="S2285" s="366"/>
      <c r="T2285" s="1399"/>
      <c r="U2285" s="1398"/>
      <c r="V2285" s="361"/>
      <c r="W2285" s="361"/>
    </row>
    <row r="2286" spans="1:23">
      <c r="A2286" s="1410"/>
      <c r="B2286" s="1413"/>
      <c r="C2286" s="845" t="s">
        <v>984</v>
      </c>
      <c r="D2286" s="875" t="str">
        <f>B2285&amp;C2286</f>
        <v>A154b</v>
      </c>
      <c r="E2286" s="367">
        <v>1</v>
      </c>
      <c r="F2286" s="669" t="s">
        <v>1085</v>
      </c>
      <c r="G2286" s="369">
        <v>0.80902777777777779</v>
      </c>
      <c r="H2286" s="368">
        <v>0.82291666666666663</v>
      </c>
      <c r="I2286" s="368">
        <v>0.84027777777777779</v>
      </c>
      <c r="J2286" s="368">
        <v>0.84375</v>
      </c>
      <c r="K2286" s="669">
        <v>8.5</v>
      </c>
      <c r="L2286" s="669">
        <v>19</v>
      </c>
      <c r="M2286" s="675">
        <v>27.2</v>
      </c>
      <c r="N2286" s="671">
        <f t="shared" ref="N2286:N2292" si="240">IF(M2286-P2286&gt;0,M2286-P2286,0)</f>
        <v>0.39999999999999858</v>
      </c>
      <c r="O2286" s="671">
        <f>O2285-K2286/(PI()*(U2283/2000)^2)</f>
        <v>19.684349909549386</v>
      </c>
      <c r="P2286" s="672">
        <v>26.8</v>
      </c>
      <c r="Q2286" s="673">
        <f t="shared" ref="Q2286:Q2292" si="241">ABS(O2286-P2286)</f>
        <v>7.1156500904506146</v>
      </c>
      <c r="R2286" s="375" t="s">
        <v>188</v>
      </c>
      <c r="S2286" s="366"/>
      <c r="T2286" s="376"/>
      <c r="U2286" s="376"/>
      <c r="V2286" s="366"/>
      <c r="W2286" s="366"/>
    </row>
    <row r="2287" spans="1:23">
      <c r="A2287" s="1410"/>
      <c r="B2287" s="1413"/>
      <c r="C2287" s="845" t="s">
        <v>985</v>
      </c>
      <c r="D2287" s="875" t="str">
        <f>B2285&amp;C2287</f>
        <v>A154c</v>
      </c>
      <c r="E2287" s="367">
        <v>2</v>
      </c>
      <c r="F2287" s="669" t="s">
        <v>1091</v>
      </c>
      <c r="G2287" s="369">
        <v>0.81736111111111109</v>
      </c>
      <c r="H2287" s="368">
        <v>0.83680555555555547</v>
      </c>
      <c r="I2287" s="368">
        <v>0.85069444444444453</v>
      </c>
      <c r="J2287" s="368">
        <v>0.85416666666666663</v>
      </c>
      <c r="K2287" s="669">
        <v>8.5</v>
      </c>
      <c r="L2287" s="669">
        <v>19</v>
      </c>
      <c r="M2287" s="675">
        <v>27.2</v>
      </c>
      <c r="N2287" s="671">
        <f t="shared" si="240"/>
        <v>1.0500000000000007</v>
      </c>
      <c r="O2287" s="671">
        <f>O2286-K2287/(PI()*(U2283/2000)^2)</f>
        <v>12.168699819098773</v>
      </c>
      <c r="P2287" s="373">
        <v>26.15</v>
      </c>
      <c r="Q2287" s="673">
        <f t="shared" si="241"/>
        <v>13.981300180901226</v>
      </c>
      <c r="R2287" s="375" t="s">
        <v>188</v>
      </c>
      <c r="S2287" s="366"/>
      <c r="T2287" s="376"/>
      <c r="U2287" s="376"/>
      <c r="V2287" s="366"/>
      <c r="W2287" s="366"/>
    </row>
    <row r="2288" spans="1:23">
      <c r="A2288" s="1410"/>
      <c r="B2288" s="1413"/>
      <c r="C2288" s="845" t="s">
        <v>986</v>
      </c>
      <c r="D2288" s="875" t="str">
        <f>B2285&amp;C2288</f>
        <v>A154d</v>
      </c>
      <c r="E2288" s="367">
        <v>3</v>
      </c>
      <c r="F2288" s="669" t="s">
        <v>1096</v>
      </c>
      <c r="G2288" s="369">
        <v>0.82361111111111107</v>
      </c>
      <c r="H2288" s="368">
        <v>0.84027777777777779</v>
      </c>
      <c r="I2288" s="368">
        <v>0.86111111111111116</v>
      </c>
      <c r="J2288" s="368">
        <v>0.86458333333333337</v>
      </c>
      <c r="K2288" s="669">
        <v>9</v>
      </c>
      <c r="L2288" s="669">
        <v>19</v>
      </c>
      <c r="M2288" s="675">
        <v>27.2</v>
      </c>
      <c r="N2288" s="671">
        <f t="shared" si="240"/>
        <v>1.5199999999999996</v>
      </c>
      <c r="O2288" s="671">
        <f>O2287-K2288/(PI()*(U2283/2000)^2)</f>
        <v>4.2109526645040063</v>
      </c>
      <c r="P2288" s="373">
        <v>25.68</v>
      </c>
      <c r="Q2288" s="673">
        <f t="shared" si="241"/>
        <v>21.469047335495993</v>
      </c>
      <c r="R2288" s="375" t="s">
        <v>188</v>
      </c>
      <c r="S2288" s="366"/>
      <c r="T2288" s="376"/>
      <c r="U2288" s="376"/>
      <c r="V2288" s="366"/>
      <c r="W2288" s="366"/>
    </row>
    <row r="2289" spans="1:23">
      <c r="A2289" s="1410"/>
      <c r="B2289" s="1413"/>
      <c r="C2289" s="845" t="s">
        <v>987</v>
      </c>
      <c r="D2289" s="875" t="str">
        <f>B2285&amp;C2289</f>
        <v>A154e</v>
      </c>
      <c r="E2289" s="367">
        <v>4</v>
      </c>
      <c r="F2289" s="669" t="s">
        <v>1089</v>
      </c>
      <c r="G2289" s="368">
        <v>0.87083333333333324</v>
      </c>
      <c r="H2289" s="368">
        <v>0.89236111111111116</v>
      </c>
      <c r="I2289" s="368">
        <v>0.87152777777777779</v>
      </c>
      <c r="J2289" s="368">
        <v>0.87638888888888899</v>
      </c>
      <c r="K2289" s="370">
        <v>10</v>
      </c>
      <c r="L2289" s="370">
        <v>18.5</v>
      </c>
      <c r="M2289" s="371">
        <v>27.2</v>
      </c>
      <c r="N2289" s="671">
        <f t="shared" si="240"/>
        <v>2.4499999999999993</v>
      </c>
      <c r="O2289" s="671">
        <f>O2288-K2289/(PI()*(U2283/2000)^2)</f>
        <v>-4.6309886183790674</v>
      </c>
      <c r="P2289" s="373">
        <v>24.75</v>
      </c>
      <c r="Q2289" s="673">
        <f t="shared" si="241"/>
        <v>29.380988618379067</v>
      </c>
      <c r="R2289" s="375"/>
      <c r="S2289" s="366"/>
      <c r="T2289" s="376"/>
      <c r="U2289" s="376"/>
      <c r="V2289" s="366"/>
      <c r="W2289" s="366"/>
    </row>
    <row r="2290" spans="1:23">
      <c r="A2290" s="1410"/>
      <c r="B2290" s="1413"/>
      <c r="C2290" s="845" t="s">
        <v>988</v>
      </c>
      <c r="D2290" s="875" t="str">
        <f>B2285&amp;C2290</f>
        <v>A154f</v>
      </c>
      <c r="E2290" s="367">
        <v>5</v>
      </c>
      <c r="F2290" s="669" t="s">
        <v>1085</v>
      </c>
      <c r="G2290" s="368">
        <v>0.90069444444444446</v>
      </c>
      <c r="H2290" s="368">
        <v>0.91875000000000007</v>
      </c>
      <c r="I2290" s="368">
        <v>0.92361111111111116</v>
      </c>
      <c r="J2290" s="368">
        <v>0.93055555555555547</v>
      </c>
      <c r="K2290" s="370">
        <v>12</v>
      </c>
      <c r="L2290" s="370">
        <v>19</v>
      </c>
      <c r="M2290" s="371">
        <v>25.2</v>
      </c>
      <c r="N2290" s="671">
        <f t="shared" si="240"/>
        <v>4.6999999999999993</v>
      </c>
      <c r="O2290" s="671">
        <f>O2289-K2290/(PI()*(U2283/2000)^2)</f>
        <v>-15.241318157838757</v>
      </c>
      <c r="P2290" s="373">
        <v>20.5</v>
      </c>
      <c r="Q2290" s="673">
        <f t="shared" si="241"/>
        <v>35.741318157838755</v>
      </c>
      <c r="R2290" s="375"/>
      <c r="S2290" s="366" t="s">
        <v>190</v>
      </c>
      <c r="T2290" s="376"/>
      <c r="U2290" s="376"/>
      <c r="V2290" s="366"/>
      <c r="W2290" s="366"/>
    </row>
    <row r="2291" spans="1:23">
      <c r="A2291" s="1410"/>
      <c r="B2291" s="1413"/>
      <c r="C2291" s="845" t="s">
        <v>989</v>
      </c>
      <c r="D2291" s="875" t="str">
        <f>B2285&amp;C2291</f>
        <v>A154g</v>
      </c>
      <c r="E2291" s="367">
        <v>6</v>
      </c>
      <c r="F2291" s="669" t="s">
        <v>1091</v>
      </c>
      <c r="G2291" s="368">
        <v>0.93402777777777779</v>
      </c>
      <c r="H2291" s="368">
        <v>0.96527777777777779</v>
      </c>
      <c r="I2291" s="368">
        <v>0.96875</v>
      </c>
      <c r="J2291" s="368">
        <v>0.97569444444444453</v>
      </c>
      <c r="K2291" s="370">
        <v>12</v>
      </c>
      <c r="L2291" s="370">
        <v>18</v>
      </c>
      <c r="M2291" s="371">
        <v>22.05</v>
      </c>
      <c r="N2291" s="671">
        <f t="shared" si="240"/>
        <v>5.25</v>
      </c>
      <c r="O2291" s="671">
        <f>O2290-K2291/(PI()*(U2283/2000)^2)</f>
        <v>-25.851647697298446</v>
      </c>
      <c r="P2291" s="373">
        <v>16.8</v>
      </c>
      <c r="Q2291" s="673">
        <f t="shared" si="241"/>
        <v>42.651647697298444</v>
      </c>
      <c r="R2291" s="375"/>
      <c r="S2291" s="366" t="s">
        <v>190</v>
      </c>
      <c r="T2291" s="366"/>
      <c r="U2291" s="366"/>
      <c r="V2291" s="366"/>
      <c r="W2291" s="366"/>
    </row>
    <row r="2292" spans="1:23">
      <c r="A2292" s="1410"/>
      <c r="B2292" s="1413"/>
      <c r="C2292" s="845" t="s">
        <v>990</v>
      </c>
      <c r="D2292" s="875" t="str">
        <f>B2285&amp;C2292</f>
        <v>A154h</v>
      </c>
      <c r="E2292" s="367">
        <v>7</v>
      </c>
      <c r="F2292" s="669" t="s">
        <v>1096</v>
      </c>
      <c r="G2292" s="368">
        <v>0.96319444444444446</v>
      </c>
      <c r="H2292" s="368">
        <v>0.98611111111111116</v>
      </c>
      <c r="I2292" s="368">
        <v>0.98958333333333337</v>
      </c>
      <c r="J2292" s="368">
        <v>0.99652777777777779</v>
      </c>
      <c r="K2292" s="370">
        <v>12</v>
      </c>
      <c r="L2292" s="370">
        <v>19</v>
      </c>
      <c r="M2292" s="371">
        <v>12.6</v>
      </c>
      <c r="N2292" s="671">
        <f t="shared" si="240"/>
        <v>5.3999999999999995</v>
      </c>
      <c r="O2292" s="671">
        <f>O2291-K2292/(PI()*(U2283/2000)^2)</f>
        <v>-36.461977236758138</v>
      </c>
      <c r="P2292" s="373">
        <v>7.2</v>
      </c>
      <c r="Q2292" s="673">
        <f t="shared" si="241"/>
        <v>43.66197723675814</v>
      </c>
      <c r="R2292" s="377"/>
      <c r="S2292" s="366" t="s">
        <v>190</v>
      </c>
      <c r="T2292" s="366"/>
      <c r="U2292" s="366"/>
      <c r="V2292" s="366"/>
      <c r="W2292" s="366"/>
    </row>
    <row r="2293" spans="1:23">
      <c r="A2293" s="1410"/>
      <c r="B2293" s="1413"/>
      <c r="C2293" s="845" t="s">
        <v>991</v>
      </c>
      <c r="D2293" s="875" t="str">
        <f>B2285&amp;C2293</f>
        <v>A154i</v>
      </c>
      <c r="E2293" s="367">
        <v>8</v>
      </c>
      <c r="F2293" s="669"/>
      <c r="G2293" s="368"/>
      <c r="H2293" s="368"/>
      <c r="I2293" s="368"/>
      <c r="J2293" s="368"/>
      <c r="K2293" s="370"/>
      <c r="L2293" s="370"/>
      <c r="M2293" s="371"/>
      <c r="N2293" s="671"/>
      <c r="O2293" s="671"/>
      <c r="P2293" s="373"/>
      <c r="Q2293" s="673"/>
      <c r="R2293" s="378"/>
      <c r="S2293" s="366"/>
      <c r="T2293" s="366"/>
      <c r="U2293" s="366"/>
      <c r="V2293" s="366"/>
      <c r="W2293" s="366"/>
    </row>
    <row r="2294" spans="1:23">
      <c r="A2294" s="1410"/>
      <c r="B2294" s="1413"/>
      <c r="C2294" s="845" t="s">
        <v>992</v>
      </c>
      <c r="D2294" s="875" t="str">
        <f>B2285&amp;C2294</f>
        <v>A154k</v>
      </c>
      <c r="E2294" s="367">
        <v>9</v>
      </c>
      <c r="F2294" s="370"/>
      <c r="G2294" s="368"/>
      <c r="H2294" s="368"/>
      <c r="I2294" s="368"/>
      <c r="J2294" s="368"/>
      <c r="K2294" s="370"/>
      <c r="L2294" s="370"/>
      <c r="M2294" s="371"/>
      <c r="N2294" s="372"/>
      <c r="O2294" s="372"/>
      <c r="P2294" s="373"/>
      <c r="Q2294" s="374"/>
      <c r="R2294" s="378"/>
      <c r="S2294" s="379"/>
      <c r="T2294" s="366"/>
      <c r="U2294" s="366"/>
      <c r="V2294" s="366"/>
      <c r="W2294" s="366"/>
    </row>
    <row r="2295" spans="1:23">
      <c r="A2295" s="1410"/>
      <c r="B2295" s="1413"/>
      <c r="C2295" s="845" t="s">
        <v>993</v>
      </c>
      <c r="D2295" s="875" t="str">
        <f>B2285&amp;C2295</f>
        <v>A154l</v>
      </c>
      <c r="E2295" s="367">
        <v>10</v>
      </c>
      <c r="F2295" s="370"/>
      <c r="G2295" s="368"/>
      <c r="H2295" s="368"/>
      <c r="I2295" s="368"/>
      <c r="J2295" s="368"/>
      <c r="K2295" s="370"/>
      <c r="L2295" s="370"/>
      <c r="M2295" s="370"/>
      <c r="N2295" s="372"/>
      <c r="O2295" s="372"/>
      <c r="P2295" s="373"/>
      <c r="Q2295" s="374"/>
      <c r="R2295" s="378"/>
      <c r="S2295" s="379"/>
      <c r="T2295" s="366"/>
      <c r="U2295" s="366"/>
      <c r="V2295" s="366"/>
      <c r="W2295" s="366"/>
    </row>
    <row r="2296" spans="1:23">
      <c r="A2296" s="1410"/>
      <c r="B2296" s="1413"/>
      <c r="C2296" s="845" t="s">
        <v>994</v>
      </c>
      <c r="D2296" s="875" t="str">
        <f>B2285&amp;C2296</f>
        <v>A154m</v>
      </c>
      <c r="E2296" s="367">
        <v>11</v>
      </c>
      <c r="F2296" s="370"/>
      <c r="G2296" s="368"/>
      <c r="H2296" s="368"/>
      <c r="I2296" s="368"/>
      <c r="J2296" s="368"/>
      <c r="K2296" s="370"/>
      <c r="L2296" s="370"/>
      <c r="M2296" s="370"/>
      <c r="N2296" s="372"/>
      <c r="O2296" s="372"/>
      <c r="P2296" s="380"/>
      <c r="Q2296" s="374"/>
      <c r="R2296" s="381"/>
      <c r="S2296" s="379"/>
      <c r="T2296" s="366"/>
      <c r="U2296" s="366"/>
      <c r="V2296" s="366"/>
      <c r="W2296" s="366"/>
    </row>
    <row r="2297" spans="1:23">
      <c r="A2297" s="1410"/>
      <c r="B2297" s="1413"/>
      <c r="C2297" s="845" t="s">
        <v>995</v>
      </c>
      <c r="D2297" s="875" t="str">
        <f>B2285&amp;C2297</f>
        <v>A154n</v>
      </c>
      <c r="E2297" s="367">
        <v>12</v>
      </c>
      <c r="F2297" s="370"/>
      <c r="G2297" s="368"/>
      <c r="H2297" s="368"/>
      <c r="I2297" s="368"/>
      <c r="J2297" s="368"/>
      <c r="K2297" s="370"/>
      <c r="L2297" s="370"/>
      <c r="M2297" s="370"/>
      <c r="N2297" s="372"/>
      <c r="O2297" s="372"/>
      <c r="P2297" s="380"/>
      <c r="Q2297" s="374"/>
      <c r="R2297" s="381"/>
      <c r="S2297" s="361"/>
      <c r="T2297" s="361"/>
      <c r="U2297" s="361"/>
      <c r="V2297" s="366"/>
      <c r="W2297" s="366"/>
    </row>
    <row r="2298" spans="1:23">
      <c r="A2298" s="1410"/>
      <c r="B2298" s="1413"/>
      <c r="C2298" s="845" t="s">
        <v>471</v>
      </c>
      <c r="D2298" s="875" t="str">
        <f>B2285&amp;C2298</f>
        <v>A154x</v>
      </c>
      <c r="E2298" s="367">
        <v>13</v>
      </c>
      <c r="F2298" s="370"/>
      <c r="G2298" s="368"/>
      <c r="H2298" s="368"/>
      <c r="I2298" s="368"/>
      <c r="J2298" s="368"/>
      <c r="K2298" s="370"/>
      <c r="L2298" s="370"/>
      <c r="M2298" s="370"/>
      <c r="N2298" s="382"/>
      <c r="O2298" s="372"/>
      <c r="P2298" s="380"/>
      <c r="Q2298" s="381"/>
      <c r="R2298" s="381"/>
      <c r="S2298" s="361"/>
      <c r="T2298" s="361"/>
      <c r="U2298" s="361"/>
      <c r="V2298" s="366"/>
      <c r="W2298" s="366"/>
    </row>
    <row r="2299" spans="1:23">
      <c r="A2299" s="1410"/>
      <c r="B2299" s="1413"/>
      <c r="C2299" s="845" t="s">
        <v>732</v>
      </c>
      <c r="D2299" s="875" t="str">
        <f>B2285&amp;C2299</f>
        <v>A154y</v>
      </c>
      <c r="E2299" s="367">
        <v>14</v>
      </c>
      <c r="F2299" s="370"/>
      <c r="G2299" s="368"/>
      <c r="H2299" s="368"/>
      <c r="I2299" s="368"/>
      <c r="J2299" s="368"/>
      <c r="K2299" s="370"/>
      <c r="L2299" s="370"/>
      <c r="M2299" s="370"/>
      <c r="N2299" s="382"/>
      <c r="O2299" s="372"/>
      <c r="P2299" s="380"/>
      <c r="Q2299" s="381"/>
      <c r="R2299" s="381"/>
      <c r="S2299" s="361"/>
      <c r="T2299" s="361"/>
      <c r="U2299" s="362"/>
      <c r="V2299" s="366"/>
      <c r="W2299" s="366"/>
    </row>
    <row r="2300" spans="1:23">
      <c r="A2300" s="1411"/>
      <c r="B2300" s="1414"/>
      <c r="C2300" s="846" t="s">
        <v>996</v>
      </c>
      <c r="D2300" s="876" t="str">
        <f>B2285&amp;C2300</f>
        <v>A154z</v>
      </c>
      <c r="E2300" s="847">
        <v>15</v>
      </c>
      <c r="F2300" s="370"/>
      <c r="G2300" s="368"/>
      <c r="H2300" s="368"/>
      <c r="I2300" s="368"/>
      <c r="J2300" s="368"/>
      <c r="K2300" s="370"/>
      <c r="L2300" s="370"/>
      <c r="M2300" s="370"/>
      <c r="N2300" s="850"/>
      <c r="O2300" s="851"/>
      <c r="P2300" s="380"/>
      <c r="Q2300" s="852"/>
      <c r="R2300" s="383"/>
      <c r="S2300" s="361"/>
      <c r="T2300" s="832"/>
      <c r="U2300" s="830"/>
      <c r="V2300" s="366"/>
      <c r="W2300" s="366"/>
    </row>
    <row r="2301" spans="1:23">
      <c r="A2301" s="1400" t="s">
        <v>939</v>
      </c>
      <c r="B2301" s="1400"/>
      <c r="C2301" s="827"/>
      <c r="D2301" s="871"/>
      <c r="E2301" s="1400" t="s">
        <v>177</v>
      </c>
      <c r="F2301" s="1400" t="s">
        <v>18</v>
      </c>
      <c r="G2301" s="1389" t="s">
        <v>19</v>
      </c>
      <c r="H2301" s="1390"/>
      <c r="I2301" s="1389" t="s">
        <v>22</v>
      </c>
      <c r="J2301" s="1390"/>
      <c r="K2301" s="1393" t="s">
        <v>26</v>
      </c>
      <c r="L2301" s="1390"/>
      <c r="M2301" s="1389" t="s">
        <v>392</v>
      </c>
      <c r="N2301" s="1390"/>
      <c r="O2301" s="1389" t="s">
        <v>28</v>
      </c>
      <c r="P2301" s="1393"/>
      <c r="Q2301" s="1390"/>
      <c r="R2301" s="1400" t="s">
        <v>36</v>
      </c>
      <c r="S2301" s="361"/>
      <c r="T2301" s="361">
        <f>MAX(J2305:J2319)-MIN(I2305:I2319)</f>
        <v>1.3888888888888895E-2</v>
      </c>
      <c r="U2301" s="361"/>
      <c r="V2301" s="853" t="str">
        <f t="shared" ref="V2301" si="242">B2305</f>
        <v>BP4</v>
      </c>
      <c r="W2301" s="361">
        <f t="shared" ref="W2301" si="243">COUNTIF(K2306:K2320,"&gt;0")</f>
        <v>2</v>
      </c>
    </row>
    <row r="2302" spans="1:23">
      <c r="A2302" s="1401"/>
      <c r="B2302" s="1401"/>
      <c r="C2302" s="828"/>
      <c r="D2302" s="872"/>
      <c r="E2302" s="1401"/>
      <c r="F2302" s="1401"/>
      <c r="G2302" s="1391"/>
      <c r="H2302" s="1392"/>
      <c r="I2302" s="1391"/>
      <c r="J2302" s="1392"/>
      <c r="K2302" s="1394"/>
      <c r="L2302" s="1392"/>
      <c r="M2302" s="1391"/>
      <c r="N2302" s="1392"/>
      <c r="O2302" s="1391"/>
      <c r="P2302" s="1394"/>
      <c r="Q2302" s="1392"/>
      <c r="R2302" s="1401"/>
      <c r="S2302" s="361"/>
      <c r="T2302" s="361"/>
      <c r="U2302" s="361"/>
      <c r="V2302" s="361"/>
      <c r="W2302" s="361"/>
    </row>
    <row r="2303" spans="1:23">
      <c r="A2303" s="1401"/>
      <c r="B2303" s="1401"/>
      <c r="C2303" s="828"/>
      <c r="D2303" s="872"/>
      <c r="E2303" s="1401"/>
      <c r="F2303" s="1401"/>
      <c r="G2303" s="1400" t="s">
        <v>20</v>
      </c>
      <c r="H2303" s="1400" t="s">
        <v>21</v>
      </c>
      <c r="I2303" s="1400" t="s">
        <v>361</v>
      </c>
      <c r="J2303" s="1400" t="s">
        <v>353</v>
      </c>
      <c r="K2303" s="1400" t="s">
        <v>23</v>
      </c>
      <c r="L2303" s="1400" t="s">
        <v>24</v>
      </c>
      <c r="M2303" s="1400" t="s">
        <v>27</v>
      </c>
      <c r="N2303" s="1400" t="s">
        <v>178</v>
      </c>
      <c r="O2303" s="1400" t="s">
        <v>1</v>
      </c>
      <c r="P2303" s="1400" t="s">
        <v>29</v>
      </c>
      <c r="Q2303" s="1400" t="s">
        <v>33</v>
      </c>
      <c r="R2303" s="1401"/>
      <c r="S2303" s="361"/>
      <c r="T2303" s="361" t="s">
        <v>39</v>
      </c>
      <c r="U2303" s="362">
        <f>VLOOKUP(B2305,'Thong tin'!$A:$M,13,0)</f>
        <v>800</v>
      </c>
      <c r="V2303" s="361"/>
      <c r="W2303" s="361"/>
    </row>
    <row r="2304" spans="1:23">
      <c r="A2304" s="1402"/>
      <c r="B2304" s="1402"/>
      <c r="C2304" s="829"/>
      <c r="D2304" s="873"/>
      <c r="E2304" s="1402"/>
      <c r="F2304" s="1402"/>
      <c r="G2304" s="1402"/>
      <c r="H2304" s="1402"/>
      <c r="I2304" s="1402"/>
      <c r="J2304" s="1402"/>
      <c r="K2304" s="1402"/>
      <c r="L2304" s="1402"/>
      <c r="M2304" s="1402"/>
      <c r="N2304" s="1402"/>
      <c r="O2304" s="1402"/>
      <c r="P2304" s="1402"/>
      <c r="Q2304" s="1402"/>
      <c r="R2304" s="1402"/>
      <c r="S2304" s="361"/>
      <c r="T2304" s="1399" t="s">
        <v>393</v>
      </c>
      <c r="U2304" s="1397">
        <f>VLOOKUP(B2305,DT.NK!$B:$AZ,45,0)</f>
        <v>27.45</v>
      </c>
      <c r="V2304" s="361"/>
      <c r="W2304" s="361"/>
    </row>
    <row r="2305" spans="1:23">
      <c r="A2305" s="1409">
        <f>A2285+1</f>
        <v>116</v>
      </c>
      <c r="B2305" s="1412" t="s">
        <v>1129</v>
      </c>
      <c r="C2305" s="844" t="s">
        <v>983</v>
      </c>
      <c r="D2305" s="874" t="str">
        <f>B2305&amp;C2305</f>
        <v>BP4a</v>
      </c>
      <c r="E2305" s="363"/>
      <c r="F2305" s="364"/>
      <c r="G2305" s="364"/>
      <c r="H2305" s="364"/>
      <c r="I2305" s="364"/>
      <c r="J2305" s="364"/>
      <c r="K2305" s="364"/>
      <c r="L2305" s="364"/>
      <c r="M2305" s="674"/>
      <c r="N2305" s="670"/>
      <c r="O2305" s="670">
        <f>U2304</f>
        <v>27.45</v>
      </c>
      <c r="P2305" s="670">
        <f>O2305</f>
        <v>27.45</v>
      </c>
      <c r="Q2305" s="670">
        <v>0</v>
      </c>
      <c r="R2305" s="365"/>
      <c r="S2305" s="366"/>
      <c r="T2305" s="1399"/>
      <c r="U2305" s="1398"/>
      <c r="V2305" s="361"/>
      <c r="W2305" s="361"/>
    </row>
    <row r="2306" spans="1:23">
      <c r="A2306" s="1410"/>
      <c r="B2306" s="1413"/>
      <c r="C2306" s="845" t="s">
        <v>984</v>
      </c>
      <c r="D2306" s="875" t="str">
        <f>B2305&amp;C2306</f>
        <v>BP4b</v>
      </c>
      <c r="E2306" s="367">
        <v>1</v>
      </c>
      <c r="F2306" s="669" t="s">
        <v>1085</v>
      </c>
      <c r="G2306" s="369">
        <v>5.8333333333333327E-2</v>
      </c>
      <c r="H2306" s="368">
        <v>8.6805555555555566E-2</v>
      </c>
      <c r="I2306" s="368">
        <v>0.10069444444444443</v>
      </c>
      <c r="J2306" s="368">
        <v>0.10416666666666667</v>
      </c>
      <c r="K2306" s="669">
        <v>6.5</v>
      </c>
      <c r="L2306" s="669">
        <v>19</v>
      </c>
      <c r="M2306" s="675">
        <v>21.15</v>
      </c>
      <c r="N2306" s="671">
        <f>IF(M2306-P2306&gt;0,M2306-P2306,0)</f>
        <v>6.1999999999999993</v>
      </c>
      <c r="O2306" s="671">
        <f>O2305-K2306/(PI()*(U2303/2000)^2)</f>
        <v>14.518660873783505</v>
      </c>
      <c r="P2306" s="672">
        <v>14.95</v>
      </c>
      <c r="Q2306" s="673">
        <f>ABS(O2306-P2306)</f>
        <v>0.43133912621649451</v>
      </c>
      <c r="R2306" s="375" t="s">
        <v>188</v>
      </c>
      <c r="S2306" s="366"/>
      <c r="T2306" s="376"/>
      <c r="U2306" s="376"/>
      <c r="V2306" s="366"/>
      <c r="W2306" s="366"/>
    </row>
    <row r="2307" spans="1:23">
      <c r="A2307" s="1410"/>
      <c r="B2307" s="1413"/>
      <c r="C2307" s="845" t="s">
        <v>985</v>
      </c>
      <c r="D2307" s="875" t="str">
        <f>B2305&amp;C2307</f>
        <v>BP4c</v>
      </c>
      <c r="E2307" s="367">
        <v>2</v>
      </c>
      <c r="F2307" s="669" t="s">
        <v>1091</v>
      </c>
      <c r="G2307" s="369">
        <v>6.3888888888888884E-2</v>
      </c>
      <c r="H2307" s="368">
        <v>9.375E-2</v>
      </c>
      <c r="I2307" s="368">
        <v>0.1111111111111111</v>
      </c>
      <c r="J2307" s="368">
        <v>0.11458333333333333</v>
      </c>
      <c r="K2307" s="669">
        <v>6.5</v>
      </c>
      <c r="L2307" s="669">
        <v>19</v>
      </c>
      <c r="M2307" s="675">
        <v>11.7</v>
      </c>
      <c r="N2307" s="671">
        <f>IF(M2307-P2307&gt;0,M2307-P2307,0)</f>
        <v>5.6</v>
      </c>
      <c r="O2307" s="671">
        <f>O2306-K2307/(PI()*(U2303/2000)^2)</f>
        <v>1.5873217475670103</v>
      </c>
      <c r="P2307" s="373">
        <v>6.1</v>
      </c>
      <c r="Q2307" s="673">
        <f>ABS(O2307-P2307)</f>
        <v>4.5126782524329894</v>
      </c>
      <c r="R2307" s="375" t="s">
        <v>188</v>
      </c>
      <c r="S2307" s="366"/>
      <c r="T2307" s="376"/>
      <c r="U2307" s="376"/>
      <c r="V2307" s="366"/>
      <c r="W2307" s="366"/>
    </row>
    <row r="2308" spans="1:23">
      <c r="A2308" s="1410"/>
      <c r="B2308" s="1413"/>
      <c r="C2308" s="845" t="s">
        <v>986</v>
      </c>
      <c r="D2308" s="875" t="str">
        <f>B2305&amp;C2308</f>
        <v>BP4d</v>
      </c>
      <c r="E2308" s="367">
        <v>3</v>
      </c>
      <c r="F2308" s="669"/>
      <c r="G2308" s="368"/>
      <c r="H2308" s="368"/>
      <c r="I2308" s="368"/>
      <c r="J2308" s="368"/>
      <c r="K2308" s="370"/>
      <c r="L2308" s="370"/>
      <c r="M2308" s="371"/>
      <c r="N2308" s="671"/>
      <c r="O2308" s="671"/>
      <c r="P2308" s="373"/>
      <c r="Q2308" s="673"/>
      <c r="R2308" s="378"/>
      <c r="S2308" s="366"/>
      <c r="T2308" s="376"/>
      <c r="U2308" s="376"/>
      <c r="V2308" s="366"/>
      <c r="W2308" s="366"/>
    </row>
    <row r="2309" spans="1:23">
      <c r="A2309" s="1410"/>
      <c r="B2309" s="1413"/>
      <c r="C2309" s="845" t="s">
        <v>987</v>
      </c>
      <c r="D2309" s="875" t="str">
        <f>B2305&amp;C2309</f>
        <v>BP4e</v>
      </c>
      <c r="E2309" s="367">
        <v>4</v>
      </c>
      <c r="F2309" s="669"/>
      <c r="G2309" s="368"/>
      <c r="H2309" s="368"/>
      <c r="I2309" s="368"/>
      <c r="J2309" s="368"/>
      <c r="K2309" s="370"/>
      <c r="L2309" s="370"/>
      <c r="M2309" s="371"/>
      <c r="N2309" s="671"/>
      <c r="O2309" s="671"/>
      <c r="P2309" s="373"/>
      <c r="Q2309" s="673"/>
      <c r="R2309" s="378"/>
      <c r="S2309" s="366"/>
      <c r="T2309" s="376"/>
      <c r="U2309" s="376"/>
      <c r="V2309" s="366"/>
      <c r="W2309" s="366"/>
    </row>
    <row r="2310" spans="1:23">
      <c r="A2310" s="1410"/>
      <c r="B2310" s="1413"/>
      <c r="C2310" s="845" t="s">
        <v>988</v>
      </c>
      <c r="D2310" s="875" t="str">
        <f>B2305&amp;C2310</f>
        <v>BP4f</v>
      </c>
      <c r="E2310" s="367">
        <v>5</v>
      </c>
      <c r="F2310" s="669"/>
      <c r="G2310" s="368"/>
      <c r="H2310" s="368"/>
      <c r="I2310" s="368"/>
      <c r="J2310" s="368"/>
      <c r="K2310" s="370"/>
      <c r="L2310" s="370"/>
      <c r="M2310" s="371"/>
      <c r="N2310" s="671"/>
      <c r="O2310" s="671"/>
      <c r="P2310" s="373"/>
      <c r="Q2310" s="673"/>
      <c r="R2310" s="378"/>
      <c r="S2310" s="366" t="s">
        <v>190</v>
      </c>
      <c r="T2310" s="376"/>
      <c r="U2310" s="376"/>
      <c r="V2310" s="366"/>
      <c r="W2310" s="366"/>
    </row>
    <row r="2311" spans="1:23">
      <c r="A2311" s="1410"/>
      <c r="B2311" s="1413"/>
      <c r="C2311" s="845" t="s">
        <v>989</v>
      </c>
      <c r="D2311" s="875" t="str">
        <f>B2305&amp;C2311</f>
        <v>BP4g</v>
      </c>
      <c r="E2311" s="367">
        <v>6</v>
      </c>
      <c r="F2311" s="669"/>
      <c r="G2311" s="368"/>
      <c r="H2311" s="368"/>
      <c r="I2311" s="368"/>
      <c r="J2311" s="368"/>
      <c r="K2311" s="370"/>
      <c r="L2311" s="370"/>
      <c r="M2311" s="371"/>
      <c r="N2311" s="671"/>
      <c r="O2311" s="671"/>
      <c r="P2311" s="373"/>
      <c r="Q2311" s="673"/>
      <c r="R2311" s="378"/>
      <c r="S2311" s="366" t="s">
        <v>190</v>
      </c>
      <c r="T2311" s="366"/>
      <c r="U2311" s="366"/>
      <c r="V2311" s="366"/>
      <c r="W2311" s="366"/>
    </row>
    <row r="2312" spans="1:23">
      <c r="A2312" s="1410"/>
      <c r="B2312" s="1413"/>
      <c r="C2312" s="845" t="s">
        <v>990</v>
      </c>
      <c r="D2312" s="875" t="str">
        <f>B2305&amp;C2312</f>
        <v>BP4h</v>
      </c>
      <c r="E2312" s="367">
        <v>7</v>
      </c>
      <c r="F2312" s="669"/>
      <c r="G2312" s="368"/>
      <c r="H2312" s="368"/>
      <c r="I2312" s="368"/>
      <c r="J2312" s="368"/>
      <c r="K2312" s="370"/>
      <c r="L2312" s="370"/>
      <c r="M2312" s="371"/>
      <c r="N2312" s="671"/>
      <c r="O2312" s="671"/>
      <c r="P2312" s="373"/>
      <c r="Q2312" s="673"/>
      <c r="R2312" s="378"/>
      <c r="S2312" s="366" t="s">
        <v>190</v>
      </c>
      <c r="T2312" s="366"/>
      <c r="U2312" s="366"/>
      <c r="V2312" s="366"/>
      <c r="W2312" s="366"/>
    </row>
    <row r="2313" spans="1:23">
      <c r="A2313" s="1410"/>
      <c r="B2313" s="1413"/>
      <c r="C2313" s="845" t="s">
        <v>991</v>
      </c>
      <c r="D2313" s="875" t="str">
        <f>B2305&amp;C2313</f>
        <v>BP4i</v>
      </c>
      <c r="E2313" s="367">
        <v>8</v>
      </c>
      <c r="F2313" s="669"/>
      <c r="G2313" s="368"/>
      <c r="H2313" s="368"/>
      <c r="I2313" s="368"/>
      <c r="J2313" s="368"/>
      <c r="K2313" s="370"/>
      <c r="L2313" s="370"/>
      <c r="M2313" s="371"/>
      <c r="N2313" s="671"/>
      <c r="O2313" s="671"/>
      <c r="P2313" s="373"/>
      <c r="Q2313" s="673"/>
      <c r="R2313" s="378"/>
      <c r="S2313" s="366"/>
      <c r="T2313" s="366"/>
      <c r="U2313" s="366"/>
      <c r="V2313" s="366"/>
      <c r="W2313" s="366"/>
    </row>
    <row r="2314" spans="1:23">
      <c r="A2314" s="1410"/>
      <c r="B2314" s="1413"/>
      <c r="C2314" s="845" t="s">
        <v>992</v>
      </c>
      <c r="D2314" s="875" t="str">
        <f>B2305&amp;C2314</f>
        <v>BP4k</v>
      </c>
      <c r="E2314" s="367">
        <v>9</v>
      </c>
      <c r="F2314" s="370"/>
      <c r="G2314" s="368"/>
      <c r="H2314" s="368"/>
      <c r="I2314" s="368"/>
      <c r="J2314" s="368"/>
      <c r="K2314" s="370"/>
      <c r="L2314" s="370"/>
      <c r="M2314" s="371"/>
      <c r="N2314" s="372"/>
      <c r="O2314" s="372"/>
      <c r="P2314" s="373"/>
      <c r="Q2314" s="374"/>
      <c r="R2314" s="378"/>
      <c r="S2314" s="379"/>
      <c r="T2314" s="366"/>
      <c r="U2314" s="366"/>
      <c r="V2314" s="366"/>
      <c r="W2314" s="366"/>
    </row>
    <row r="2315" spans="1:23">
      <c r="A2315" s="1410"/>
      <c r="B2315" s="1413"/>
      <c r="C2315" s="845" t="s">
        <v>993</v>
      </c>
      <c r="D2315" s="875" t="str">
        <f>B2305&amp;C2315</f>
        <v>BP4l</v>
      </c>
      <c r="E2315" s="367">
        <v>10</v>
      </c>
      <c r="F2315" s="370"/>
      <c r="G2315" s="368"/>
      <c r="H2315" s="368"/>
      <c r="I2315" s="368"/>
      <c r="J2315" s="368"/>
      <c r="K2315" s="370"/>
      <c r="L2315" s="370"/>
      <c r="M2315" s="370"/>
      <c r="N2315" s="372"/>
      <c r="O2315" s="372"/>
      <c r="P2315" s="373"/>
      <c r="Q2315" s="374"/>
      <c r="R2315" s="378"/>
      <c r="S2315" s="379"/>
      <c r="T2315" s="366"/>
      <c r="U2315" s="366"/>
      <c r="V2315" s="366"/>
      <c r="W2315" s="366"/>
    </row>
    <row r="2316" spans="1:23">
      <c r="A2316" s="1410"/>
      <c r="B2316" s="1413"/>
      <c r="C2316" s="845" t="s">
        <v>994</v>
      </c>
      <c r="D2316" s="875" t="str">
        <f>B2305&amp;C2316</f>
        <v>BP4m</v>
      </c>
      <c r="E2316" s="367">
        <v>11</v>
      </c>
      <c r="F2316" s="370"/>
      <c r="G2316" s="368"/>
      <c r="H2316" s="368"/>
      <c r="I2316" s="368"/>
      <c r="J2316" s="368"/>
      <c r="K2316" s="370"/>
      <c r="L2316" s="370"/>
      <c r="M2316" s="370"/>
      <c r="N2316" s="372"/>
      <c r="O2316" s="372"/>
      <c r="P2316" s="380"/>
      <c r="Q2316" s="374"/>
      <c r="R2316" s="381"/>
      <c r="S2316" s="379"/>
      <c r="T2316" s="366"/>
      <c r="U2316" s="366"/>
      <c r="V2316" s="366"/>
      <c r="W2316" s="366"/>
    </row>
    <row r="2317" spans="1:23">
      <c r="A2317" s="1410"/>
      <c r="B2317" s="1413"/>
      <c r="C2317" s="845" t="s">
        <v>995</v>
      </c>
      <c r="D2317" s="875" t="str">
        <f>B2305&amp;C2317</f>
        <v>BP4n</v>
      </c>
      <c r="E2317" s="367">
        <v>12</v>
      </c>
      <c r="F2317" s="370"/>
      <c r="G2317" s="368"/>
      <c r="H2317" s="368"/>
      <c r="I2317" s="368"/>
      <c r="J2317" s="368"/>
      <c r="K2317" s="370"/>
      <c r="L2317" s="370"/>
      <c r="M2317" s="370"/>
      <c r="N2317" s="372"/>
      <c r="O2317" s="372"/>
      <c r="P2317" s="380"/>
      <c r="Q2317" s="374"/>
      <c r="R2317" s="381"/>
      <c r="S2317" s="361"/>
      <c r="T2317" s="361"/>
      <c r="U2317" s="361"/>
      <c r="V2317" s="366"/>
      <c r="W2317" s="366"/>
    </row>
    <row r="2318" spans="1:23">
      <c r="A2318" s="1410"/>
      <c r="B2318" s="1413"/>
      <c r="C2318" s="845" t="s">
        <v>471</v>
      </c>
      <c r="D2318" s="875" t="str">
        <f>B2305&amp;C2318</f>
        <v>BP4x</v>
      </c>
      <c r="E2318" s="367">
        <v>13</v>
      </c>
      <c r="F2318" s="370"/>
      <c r="G2318" s="368"/>
      <c r="H2318" s="368"/>
      <c r="I2318" s="368"/>
      <c r="J2318" s="368"/>
      <c r="K2318" s="370"/>
      <c r="L2318" s="370"/>
      <c r="M2318" s="370"/>
      <c r="N2318" s="382"/>
      <c r="O2318" s="372"/>
      <c r="P2318" s="380"/>
      <c r="Q2318" s="381"/>
      <c r="R2318" s="381"/>
      <c r="S2318" s="361"/>
      <c r="T2318" s="361"/>
      <c r="U2318" s="361"/>
      <c r="V2318" s="366"/>
      <c r="W2318" s="366"/>
    </row>
    <row r="2319" spans="1:23">
      <c r="A2319" s="1410"/>
      <c r="B2319" s="1413"/>
      <c r="C2319" s="845" t="s">
        <v>732</v>
      </c>
      <c r="D2319" s="875" t="str">
        <f>B2305&amp;C2319</f>
        <v>BP4y</v>
      </c>
      <c r="E2319" s="367">
        <v>14</v>
      </c>
      <c r="F2319" s="370"/>
      <c r="G2319" s="368"/>
      <c r="H2319" s="368"/>
      <c r="I2319" s="368"/>
      <c r="J2319" s="368"/>
      <c r="K2319" s="370"/>
      <c r="L2319" s="370"/>
      <c r="M2319" s="370"/>
      <c r="N2319" s="382"/>
      <c r="O2319" s="372"/>
      <c r="P2319" s="380"/>
      <c r="Q2319" s="381"/>
      <c r="R2319" s="381"/>
      <c r="S2319" s="361"/>
      <c r="T2319" s="361"/>
      <c r="U2319" s="362"/>
      <c r="V2319" s="366"/>
      <c r="W2319" s="366"/>
    </row>
    <row r="2320" spans="1:23">
      <c r="A2320" s="1411"/>
      <c r="B2320" s="1414"/>
      <c r="C2320" s="846" t="s">
        <v>996</v>
      </c>
      <c r="D2320" s="876" t="str">
        <f>B2305&amp;C2320</f>
        <v>BP4z</v>
      </c>
      <c r="E2320" s="847">
        <v>15</v>
      </c>
      <c r="F2320" s="370"/>
      <c r="G2320" s="368"/>
      <c r="H2320" s="368"/>
      <c r="I2320" s="368"/>
      <c r="J2320" s="368"/>
      <c r="K2320" s="370"/>
      <c r="L2320" s="370"/>
      <c r="M2320" s="370"/>
      <c r="N2320" s="850"/>
      <c r="O2320" s="851"/>
      <c r="P2320" s="380"/>
      <c r="Q2320" s="852"/>
      <c r="R2320" s="383"/>
      <c r="S2320" s="361"/>
      <c r="T2320" s="832"/>
      <c r="U2320" s="830"/>
      <c r="V2320" s="366"/>
      <c r="W2320" s="366"/>
    </row>
    <row r="2321" spans="1:23">
      <c r="A2321" s="1400" t="s">
        <v>939</v>
      </c>
      <c r="B2321" s="1400"/>
      <c r="C2321" s="827"/>
      <c r="D2321" s="871"/>
      <c r="E2321" s="1400" t="s">
        <v>177</v>
      </c>
      <c r="F2321" s="1400" t="s">
        <v>18</v>
      </c>
      <c r="G2321" s="1389" t="s">
        <v>19</v>
      </c>
      <c r="H2321" s="1390"/>
      <c r="I2321" s="1389" t="s">
        <v>22</v>
      </c>
      <c r="J2321" s="1390"/>
      <c r="K2321" s="1393" t="s">
        <v>26</v>
      </c>
      <c r="L2321" s="1390"/>
      <c r="M2321" s="1389" t="s">
        <v>392</v>
      </c>
      <c r="N2321" s="1390"/>
      <c r="O2321" s="1389" t="s">
        <v>28</v>
      </c>
      <c r="P2321" s="1393"/>
      <c r="Q2321" s="1390"/>
      <c r="R2321" s="1400" t="s">
        <v>36</v>
      </c>
      <c r="S2321" s="361"/>
      <c r="T2321" s="361">
        <f>MAX(J2325:J2339)-MIN(I2325:I2339)</f>
        <v>0.12499999999999997</v>
      </c>
      <c r="U2321" s="361"/>
      <c r="V2321" s="853" t="str">
        <f t="shared" ref="V2321" si="244">B2325</f>
        <v>A65</v>
      </c>
      <c r="W2321" s="361">
        <f t="shared" ref="W2321" si="245">COUNTIF(K2326:K2340,"&gt;0")</f>
        <v>6</v>
      </c>
    </row>
    <row r="2322" spans="1:23">
      <c r="A2322" s="1401"/>
      <c r="B2322" s="1401"/>
      <c r="C2322" s="828"/>
      <c r="D2322" s="872"/>
      <c r="E2322" s="1401"/>
      <c r="F2322" s="1401"/>
      <c r="G2322" s="1391"/>
      <c r="H2322" s="1392"/>
      <c r="I2322" s="1391"/>
      <c r="J2322" s="1392"/>
      <c r="K2322" s="1394"/>
      <c r="L2322" s="1392"/>
      <c r="M2322" s="1391"/>
      <c r="N2322" s="1392"/>
      <c r="O2322" s="1391"/>
      <c r="P2322" s="1394"/>
      <c r="Q2322" s="1392"/>
      <c r="R2322" s="1401"/>
      <c r="S2322" s="361"/>
      <c r="T2322" s="361"/>
      <c r="U2322" s="361"/>
      <c r="V2322" s="361"/>
      <c r="W2322" s="361"/>
    </row>
    <row r="2323" spans="1:23">
      <c r="A2323" s="1401"/>
      <c r="B2323" s="1401"/>
      <c r="C2323" s="828"/>
      <c r="D2323" s="872"/>
      <c r="E2323" s="1401"/>
      <c r="F2323" s="1401"/>
      <c r="G2323" s="1400" t="s">
        <v>20</v>
      </c>
      <c r="H2323" s="1400" t="s">
        <v>21</v>
      </c>
      <c r="I2323" s="1400" t="s">
        <v>361</v>
      </c>
      <c r="J2323" s="1400" t="s">
        <v>353</v>
      </c>
      <c r="K2323" s="1400" t="s">
        <v>23</v>
      </c>
      <c r="L2323" s="1400" t="s">
        <v>24</v>
      </c>
      <c r="M2323" s="1400" t="s">
        <v>27</v>
      </c>
      <c r="N2323" s="1400" t="s">
        <v>178</v>
      </c>
      <c r="O2323" s="1400" t="s">
        <v>1</v>
      </c>
      <c r="P2323" s="1400" t="s">
        <v>29</v>
      </c>
      <c r="Q2323" s="1400" t="s">
        <v>33</v>
      </c>
      <c r="R2323" s="1401"/>
      <c r="S2323" s="361"/>
      <c r="T2323" s="361" t="s">
        <v>39</v>
      </c>
      <c r="U2323" s="362">
        <f>VLOOKUP(B2325,'Thong tin'!$A:$M,13,0)</f>
        <v>1200</v>
      </c>
      <c r="V2323" s="361"/>
      <c r="W2323" s="361"/>
    </row>
    <row r="2324" spans="1:23">
      <c r="A2324" s="1402"/>
      <c r="B2324" s="1402"/>
      <c r="C2324" s="829"/>
      <c r="D2324" s="873"/>
      <c r="E2324" s="1402"/>
      <c r="F2324" s="1402"/>
      <c r="G2324" s="1402"/>
      <c r="H2324" s="1402"/>
      <c r="I2324" s="1402"/>
      <c r="J2324" s="1402"/>
      <c r="K2324" s="1402"/>
      <c r="L2324" s="1402"/>
      <c r="M2324" s="1402"/>
      <c r="N2324" s="1402"/>
      <c r="O2324" s="1402"/>
      <c r="P2324" s="1402"/>
      <c r="Q2324" s="1402"/>
      <c r="R2324" s="1402"/>
      <c r="S2324" s="361"/>
      <c r="T2324" s="1399" t="s">
        <v>393</v>
      </c>
      <c r="U2324" s="1397">
        <f>VLOOKUP(B2325,DT.NK!$B:$AZ,45,0)</f>
        <v>37.549999999999997</v>
      </c>
      <c r="V2324" s="361"/>
      <c r="W2324" s="361"/>
    </row>
    <row r="2325" spans="1:23">
      <c r="A2325" s="1409">
        <f>A2305+1</f>
        <v>117</v>
      </c>
      <c r="B2325" s="1412" t="s">
        <v>584</v>
      </c>
      <c r="C2325" s="844" t="s">
        <v>983</v>
      </c>
      <c r="D2325" s="874" t="str">
        <f>B2325&amp;C2325</f>
        <v>A65a</v>
      </c>
      <c r="E2325" s="363"/>
      <c r="F2325" s="364"/>
      <c r="G2325" s="364"/>
      <c r="H2325" s="364"/>
      <c r="I2325" s="364"/>
      <c r="J2325" s="364"/>
      <c r="K2325" s="364"/>
      <c r="L2325" s="364"/>
      <c r="M2325" s="674"/>
      <c r="N2325" s="670"/>
      <c r="O2325" s="670">
        <f>U2324</f>
        <v>37.549999999999997</v>
      </c>
      <c r="P2325" s="670">
        <f>O2325</f>
        <v>37.549999999999997</v>
      </c>
      <c r="Q2325" s="670">
        <v>0</v>
      </c>
      <c r="R2325" s="365"/>
      <c r="S2325" s="366"/>
      <c r="T2325" s="1399"/>
      <c r="U2325" s="1398"/>
      <c r="V2325" s="361"/>
      <c r="W2325" s="361"/>
    </row>
    <row r="2326" spans="1:23">
      <c r="A2326" s="1410"/>
      <c r="B2326" s="1413"/>
      <c r="C2326" s="845" t="s">
        <v>984</v>
      </c>
      <c r="D2326" s="875" t="str">
        <f>B2325&amp;C2326</f>
        <v>A65b</v>
      </c>
      <c r="E2326" s="367">
        <v>1</v>
      </c>
      <c r="F2326" s="669" t="s">
        <v>1085</v>
      </c>
      <c r="G2326" s="369">
        <v>0.19305555555555554</v>
      </c>
      <c r="H2326" s="368">
        <v>0.22916666666666666</v>
      </c>
      <c r="I2326" s="368">
        <v>0.23958333333333334</v>
      </c>
      <c r="J2326" s="368">
        <v>0.24305555555555555</v>
      </c>
      <c r="K2326" s="669">
        <v>11</v>
      </c>
      <c r="L2326" s="669">
        <v>19</v>
      </c>
      <c r="M2326" s="675">
        <v>36.549999999999997</v>
      </c>
      <c r="N2326" s="671">
        <f t="shared" ref="N2326:N2331" si="246">IF(M2326-P2326&gt;0,M2326-P2326,0)</f>
        <v>4.0499999999999972</v>
      </c>
      <c r="O2326" s="671">
        <f>O2325-K2326/(PI()*(U2323/2000)^2)</f>
        <v>27.823864588828613</v>
      </c>
      <c r="P2326" s="672">
        <v>32.5</v>
      </c>
      <c r="Q2326" s="673">
        <f t="shared" ref="Q2326:Q2331" si="247">ABS(O2326-P2326)</f>
        <v>4.6761354111713871</v>
      </c>
      <c r="R2326" s="375" t="s">
        <v>188</v>
      </c>
      <c r="S2326" s="366"/>
      <c r="T2326" s="376"/>
      <c r="U2326" s="376"/>
      <c r="V2326" s="366"/>
      <c r="W2326" s="366"/>
    </row>
    <row r="2327" spans="1:23">
      <c r="A2327" s="1410"/>
      <c r="B2327" s="1413"/>
      <c r="C2327" s="845" t="s">
        <v>985</v>
      </c>
      <c r="D2327" s="875" t="str">
        <f>B2325&amp;C2327</f>
        <v>A65c</v>
      </c>
      <c r="E2327" s="367">
        <v>2</v>
      </c>
      <c r="F2327" s="669" t="s">
        <v>1091</v>
      </c>
      <c r="G2327" s="369">
        <v>0.19999999999999998</v>
      </c>
      <c r="H2327" s="368">
        <v>0.23958333333333334</v>
      </c>
      <c r="I2327" s="368">
        <v>0.24652777777777779</v>
      </c>
      <c r="J2327" s="368">
        <v>0.25</v>
      </c>
      <c r="K2327" s="669">
        <v>11</v>
      </c>
      <c r="L2327" s="669">
        <v>20</v>
      </c>
      <c r="M2327" s="675">
        <v>33.4</v>
      </c>
      <c r="N2327" s="671">
        <f t="shared" si="246"/>
        <v>2.8999999999999986</v>
      </c>
      <c r="O2327" s="671">
        <f>O2326-K2327/(PI()*(U2323/2000)^2)</f>
        <v>18.097729177657229</v>
      </c>
      <c r="P2327" s="373">
        <v>30.5</v>
      </c>
      <c r="Q2327" s="673">
        <f t="shared" si="247"/>
        <v>12.402270822342771</v>
      </c>
      <c r="R2327" s="375" t="s">
        <v>188</v>
      </c>
      <c r="S2327" s="366"/>
      <c r="T2327" s="376"/>
      <c r="U2327" s="376"/>
      <c r="V2327" s="366"/>
      <c r="W2327" s="366"/>
    </row>
    <row r="2328" spans="1:23">
      <c r="A2328" s="1410"/>
      <c r="B2328" s="1413"/>
      <c r="C2328" s="845" t="s">
        <v>986</v>
      </c>
      <c r="D2328" s="875" t="str">
        <f>B2325&amp;C2328</f>
        <v>A65d</v>
      </c>
      <c r="E2328" s="367">
        <v>3</v>
      </c>
      <c r="F2328" s="669" t="s">
        <v>1096</v>
      </c>
      <c r="G2328" s="369">
        <v>0.20833333333333334</v>
      </c>
      <c r="H2328" s="368">
        <v>0.26041666666666669</v>
      </c>
      <c r="I2328" s="368">
        <v>0.2673611111111111</v>
      </c>
      <c r="J2328" s="368">
        <v>0.27083333333333331</v>
      </c>
      <c r="K2328" s="669">
        <v>11</v>
      </c>
      <c r="L2328" s="669">
        <v>19.5</v>
      </c>
      <c r="M2328" s="675">
        <v>30.25</v>
      </c>
      <c r="N2328" s="671">
        <f t="shared" si="246"/>
        <v>4.25</v>
      </c>
      <c r="O2328" s="671">
        <f>O2327-K2328/(PI()*(U2323/2000)^2)</f>
        <v>8.3715937664858462</v>
      </c>
      <c r="P2328" s="373">
        <v>26</v>
      </c>
      <c r="Q2328" s="673">
        <f t="shared" si="247"/>
        <v>17.628406233514156</v>
      </c>
      <c r="R2328" s="958" t="s">
        <v>188</v>
      </c>
      <c r="S2328" s="366"/>
      <c r="T2328" s="376"/>
      <c r="U2328" s="376"/>
      <c r="V2328" s="366"/>
      <c r="W2328" s="366"/>
    </row>
    <row r="2329" spans="1:23">
      <c r="A2329" s="1410"/>
      <c r="B2329" s="1413"/>
      <c r="C2329" s="845" t="s">
        <v>987</v>
      </c>
      <c r="D2329" s="875" t="str">
        <f>B2325&amp;C2329</f>
        <v>A65e</v>
      </c>
      <c r="E2329" s="367">
        <v>4</v>
      </c>
      <c r="F2329" s="669" t="s">
        <v>1085</v>
      </c>
      <c r="G2329" s="369">
        <v>0.27499999999999997</v>
      </c>
      <c r="H2329" s="368">
        <v>0.30208333333333331</v>
      </c>
      <c r="I2329" s="368">
        <v>0.30902777777777779</v>
      </c>
      <c r="J2329" s="368">
        <v>0.3125</v>
      </c>
      <c r="K2329" s="669">
        <v>10</v>
      </c>
      <c r="L2329" s="669">
        <v>19</v>
      </c>
      <c r="M2329" s="675">
        <v>27.1</v>
      </c>
      <c r="N2329" s="671">
        <f t="shared" si="246"/>
        <v>5.9000000000000021</v>
      </c>
      <c r="O2329" s="671">
        <f>O2328-K2329/(PI()*(U2323/2000)^2)</f>
        <v>-0.47034751639722749</v>
      </c>
      <c r="P2329" s="373">
        <v>21.2</v>
      </c>
      <c r="Q2329" s="673">
        <f t="shared" si="247"/>
        <v>21.670347516397229</v>
      </c>
      <c r="R2329" s="378"/>
      <c r="S2329" s="366"/>
      <c r="T2329" s="376"/>
      <c r="U2329" s="376"/>
      <c r="V2329" s="366"/>
      <c r="W2329" s="366"/>
    </row>
    <row r="2330" spans="1:23">
      <c r="A2330" s="1410"/>
      <c r="B2330" s="1413"/>
      <c r="C2330" s="845" t="s">
        <v>988</v>
      </c>
      <c r="D2330" s="875" t="str">
        <f>B2325&amp;C2330</f>
        <v>A65f</v>
      </c>
      <c r="E2330" s="367">
        <v>5</v>
      </c>
      <c r="F2330" s="669" t="s">
        <v>1091</v>
      </c>
      <c r="G2330" s="369">
        <v>0.30624999999999997</v>
      </c>
      <c r="H2330" s="368">
        <v>0.33333333333333331</v>
      </c>
      <c r="I2330" s="368">
        <v>0.34027777777777773</v>
      </c>
      <c r="J2330" s="368">
        <v>0.34375</v>
      </c>
      <c r="K2330" s="669">
        <v>12</v>
      </c>
      <c r="L2330" s="669">
        <v>18.5</v>
      </c>
      <c r="M2330" s="675">
        <v>27.1</v>
      </c>
      <c r="N2330" s="671">
        <f t="shared" si="246"/>
        <v>15.000000000000002</v>
      </c>
      <c r="O2330" s="671">
        <f>O2329-K2330/(PI()*(U2323/2000)^2)</f>
        <v>-11.080677055856917</v>
      </c>
      <c r="P2330" s="373">
        <v>12.1</v>
      </c>
      <c r="Q2330" s="673">
        <f t="shared" si="247"/>
        <v>23.180677055856918</v>
      </c>
      <c r="R2330" s="378"/>
      <c r="S2330" s="366" t="s">
        <v>190</v>
      </c>
      <c r="T2330" s="376"/>
      <c r="U2330" s="376"/>
      <c r="V2330" s="366"/>
      <c r="W2330" s="366"/>
    </row>
    <row r="2331" spans="1:23">
      <c r="A2331" s="1410"/>
      <c r="B2331" s="1413"/>
      <c r="C2331" s="845" t="s">
        <v>989</v>
      </c>
      <c r="D2331" s="875" t="str">
        <f>B2325&amp;C2331</f>
        <v>A65g</v>
      </c>
      <c r="E2331" s="367">
        <v>6</v>
      </c>
      <c r="F2331" s="669" t="s">
        <v>1096</v>
      </c>
      <c r="G2331" s="369">
        <v>0.34097222222222223</v>
      </c>
      <c r="H2331" s="368">
        <v>0.3576388888888889</v>
      </c>
      <c r="I2331" s="368">
        <v>0.3611111111111111</v>
      </c>
      <c r="J2331" s="368">
        <v>0.36458333333333331</v>
      </c>
      <c r="K2331" s="669">
        <v>6</v>
      </c>
      <c r="L2331" s="669">
        <v>20</v>
      </c>
      <c r="M2331" s="675">
        <v>27.1</v>
      </c>
      <c r="N2331" s="671">
        <f t="shared" si="246"/>
        <v>19.100000000000001</v>
      </c>
      <c r="O2331" s="671">
        <f>O2330-K2331/(PI()*(U2323/2000)^2)</f>
        <v>-16.385841825586763</v>
      </c>
      <c r="P2331" s="373">
        <v>8</v>
      </c>
      <c r="Q2331" s="673">
        <f t="shared" si="247"/>
        <v>24.385841825586763</v>
      </c>
      <c r="R2331" s="378"/>
      <c r="S2331" s="366" t="s">
        <v>190</v>
      </c>
      <c r="T2331" s="366"/>
      <c r="U2331" s="366"/>
      <c r="V2331" s="366"/>
      <c r="W2331" s="366"/>
    </row>
    <row r="2332" spans="1:23">
      <c r="A2332" s="1410"/>
      <c r="B2332" s="1413"/>
      <c r="C2332" s="845" t="s">
        <v>990</v>
      </c>
      <c r="D2332" s="875" t="str">
        <f>B2325&amp;C2332</f>
        <v>A65h</v>
      </c>
      <c r="E2332" s="367">
        <v>7</v>
      </c>
      <c r="F2332" s="669"/>
      <c r="G2332" s="368"/>
      <c r="H2332" s="368"/>
      <c r="I2332" s="368"/>
      <c r="J2332" s="368"/>
      <c r="K2332" s="370"/>
      <c r="L2332" s="370"/>
      <c r="M2332" s="371"/>
      <c r="N2332" s="671"/>
      <c r="O2332" s="671"/>
      <c r="P2332" s="373"/>
      <c r="Q2332" s="673"/>
      <c r="R2332" s="378"/>
      <c r="S2332" s="366" t="s">
        <v>190</v>
      </c>
      <c r="T2332" s="366"/>
      <c r="U2332" s="366"/>
      <c r="V2332" s="366"/>
      <c r="W2332" s="366"/>
    </row>
    <row r="2333" spans="1:23">
      <c r="A2333" s="1410"/>
      <c r="B2333" s="1413"/>
      <c r="C2333" s="845" t="s">
        <v>991</v>
      </c>
      <c r="D2333" s="875" t="str">
        <f>B2325&amp;C2333</f>
        <v>A65i</v>
      </c>
      <c r="E2333" s="367">
        <v>8</v>
      </c>
      <c r="F2333" s="669"/>
      <c r="G2333" s="368"/>
      <c r="H2333" s="368"/>
      <c r="I2333" s="368"/>
      <c r="J2333" s="368"/>
      <c r="K2333" s="370"/>
      <c r="L2333" s="370"/>
      <c r="M2333" s="371"/>
      <c r="N2333" s="671"/>
      <c r="O2333" s="671"/>
      <c r="P2333" s="373"/>
      <c r="Q2333" s="673"/>
      <c r="R2333" s="378"/>
      <c r="S2333" s="366"/>
      <c r="T2333" s="366"/>
      <c r="U2333" s="366"/>
      <c r="V2333" s="366"/>
      <c r="W2333" s="366"/>
    </row>
    <row r="2334" spans="1:23">
      <c r="A2334" s="1410"/>
      <c r="B2334" s="1413"/>
      <c r="C2334" s="845" t="s">
        <v>992</v>
      </c>
      <c r="D2334" s="875" t="str">
        <f>B2325&amp;C2334</f>
        <v>A65k</v>
      </c>
      <c r="E2334" s="367">
        <v>9</v>
      </c>
      <c r="F2334" s="370"/>
      <c r="G2334" s="368"/>
      <c r="H2334" s="368"/>
      <c r="I2334" s="368"/>
      <c r="J2334" s="368"/>
      <c r="K2334" s="370"/>
      <c r="L2334" s="370"/>
      <c r="M2334" s="371"/>
      <c r="N2334" s="372"/>
      <c r="O2334" s="372"/>
      <c r="P2334" s="373"/>
      <c r="Q2334" s="374"/>
      <c r="R2334" s="378"/>
      <c r="S2334" s="379"/>
      <c r="T2334" s="366"/>
      <c r="U2334" s="366"/>
      <c r="V2334" s="366"/>
      <c r="W2334" s="366"/>
    </row>
    <row r="2335" spans="1:23">
      <c r="A2335" s="1410"/>
      <c r="B2335" s="1413"/>
      <c r="C2335" s="845" t="s">
        <v>993</v>
      </c>
      <c r="D2335" s="875" t="str">
        <f>B2325&amp;C2335</f>
        <v>A65l</v>
      </c>
      <c r="E2335" s="367">
        <v>10</v>
      </c>
      <c r="F2335" s="370"/>
      <c r="G2335" s="368"/>
      <c r="H2335" s="368"/>
      <c r="I2335" s="368"/>
      <c r="J2335" s="368"/>
      <c r="K2335" s="370"/>
      <c r="L2335" s="370"/>
      <c r="M2335" s="370"/>
      <c r="N2335" s="372"/>
      <c r="O2335" s="372"/>
      <c r="P2335" s="373"/>
      <c r="Q2335" s="374"/>
      <c r="R2335" s="378"/>
      <c r="S2335" s="379"/>
      <c r="T2335" s="366"/>
      <c r="U2335" s="366"/>
      <c r="V2335" s="366"/>
      <c r="W2335" s="366"/>
    </row>
    <row r="2336" spans="1:23">
      <c r="A2336" s="1410"/>
      <c r="B2336" s="1413"/>
      <c r="C2336" s="845" t="s">
        <v>994</v>
      </c>
      <c r="D2336" s="875" t="str">
        <f>B2325&amp;C2336</f>
        <v>A65m</v>
      </c>
      <c r="E2336" s="367">
        <v>11</v>
      </c>
      <c r="F2336" s="370"/>
      <c r="G2336" s="368"/>
      <c r="H2336" s="368"/>
      <c r="I2336" s="368"/>
      <c r="J2336" s="368"/>
      <c r="K2336" s="370"/>
      <c r="L2336" s="370"/>
      <c r="M2336" s="370"/>
      <c r="N2336" s="372"/>
      <c r="O2336" s="372"/>
      <c r="P2336" s="380"/>
      <c r="Q2336" s="374"/>
      <c r="R2336" s="381"/>
      <c r="S2336" s="379"/>
      <c r="T2336" s="366"/>
      <c r="U2336" s="366"/>
      <c r="V2336" s="366"/>
      <c r="W2336" s="366"/>
    </row>
    <row r="2337" spans="1:23">
      <c r="A2337" s="1410"/>
      <c r="B2337" s="1413"/>
      <c r="C2337" s="845" t="s">
        <v>995</v>
      </c>
      <c r="D2337" s="875" t="str">
        <f>B2325&amp;C2337</f>
        <v>A65n</v>
      </c>
      <c r="E2337" s="367">
        <v>12</v>
      </c>
      <c r="F2337" s="370"/>
      <c r="G2337" s="368"/>
      <c r="H2337" s="368"/>
      <c r="I2337" s="368"/>
      <c r="J2337" s="368"/>
      <c r="K2337" s="370"/>
      <c r="L2337" s="370"/>
      <c r="M2337" s="370"/>
      <c r="N2337" s="372"/>
      <c r="O2337" s="372"/>
      <c r="P2337" s="380"/>
      <c r="Q2337" s="374"/>
      <c r="R2337" s="381"/>
      <c r="S2337" s="361"/>
      <c r="T2337" s="361"/>
      <c r="U2337" s="361"/>
      <c r="V2337" s="366"/>
      <c r="W2337" s="366"/>
    </row>
    <row r="2338" spans="1:23">
      <c r="A2338" s="1410"/>
      <c r="B2338" s="1413"/>
      <c r="C2338" s="845" t="s">
        <v>471</v>
      </c>
      <c r="D2338" s="875" t="str">
        <f>B2325&amp;C2338</f>
        <v>A65x</v>
      </c>
      <c r="E2338" s="367">
        <v>13</v>
      </c>
      <c r="F2338" s="370"/>
      <c r="G2338" s="368"/>
      <c r="H2338" s="368"/>
      <c r="I2338" s="368"/>
      <c r="J2338" s="368"/>
      <c r="K2338" s="370"/>
      <c r="L2338" s="370"/>
      <c r="M2338" s="370"/>
      <c r="N2338" s="382"/>
      <c r="O2338" s="372"/>
      <c r="P2338" s="380"/>
      <c r="Q2338" s="381"/>
      <c r="R2338" s="381"/>
      <c r="S2338" s="361"/>
      <c r="T2338" s="361"/>
      <c r="U2338" s="361"/>
      <c r="V2338" s="366"/>
      <c r="W2338" s="366"/>
    </row>
    <row r="2339" spans="1:23">
      <c r="A2339" s="1410"/>
      <c r="B2339" s="1413"/>
      <c r="C2339" s="845" t="s">
        <v>732</v>
      </c>
      <c r="D2339" s="875" t="str">
        <f>B2325&amp;C2339</f>
        <v>A65y</v>
      </c>
      <c r="E2339" s="367">
        <v>14</v>
      </c>
      <c r="F2339" s="370"/>
      <c r="G2339" s="368"/>
      <c r="H2339" s="368"/>
      <c r="I2339" s="368"/>
      <c r="J2339" s="368"/>
      <c r="K2339" s="370"/>
      <c r="L2339" s="370"/>
      <c r="M2339" s="370"/>
      <c r="N2339" s="382"/>
      <c r="O2339" s="372"/>
      <c r="P2339" s="380"/>
      <c r="Q2339" s="381"/>
      <c r="R2339" s="381"/>
      <c r="S2339" s="361"/>
      <c r="T2339" s="361"/>
      <c r="U2339" s="362"/>
      <c r="V2339" s="366"/>
      <c r="W2339" s="366"/>
    </row>
    <row r="2340" spans="1:23">
      <c r="A2340" s="1411"/>
      <c r="B2340" s="1414"/>
      <c r="C2340" s="846" t="s">
        <v>996</v>
      </c>
      <c r="D2340" s="876" t="str">
        <f>B2325&amp;C2340</f>
        <v>A65z</v>
      </c>
      <c r="E2340" s="847">
        <v>15</v>
      </c>
      <c r="F2340" s="370"/>
      <c r="G2340" s="368"/>
      <c r="H2340" s="368"/>
      <c r="I2340" s="368"/>
      <c r="J2340" s="368"/>
      <c r="K2340" s="370"/>
      <c r="L2340" s="370"/>
      <c r="M2340" s="370"/>
      <c r="N2340" s="850"/>
      <c r="O2340" s="851"/>
      <c r="P2340" s="380"/>
      <c r="Q2340" s="852"/>
      <c r="R2340" s="383"/>
      <c r="S2340" s="361"/>
      <c r="T2340" s="832"/>
      <c r="U2340" s="830"/>
      <c r="V2340" s="366"/>
      <c r="W2340" s="366"/>
    </row>
    <row r="2341" spans="1:23">
      <c r="A2341" s="1400" t="s">
        <v>939</v>
      </c>
      <c r="B2341" s="1400"/>
      <c r="C2341" s="827"/>
      <c r="D2341" s="871"/>
      <c r="E2341" s="1400" t="s">
        <v>177</v>
      </c>
      <c r="F2341" s="1400" t="s">
        <v>18</v>
      </c>
      <c r="G2341" s="1389" t="s">
        <v>19</v>
      </c>
      <c r="H2341" s="1390"/>
      <c r="I2341" s="1389" t="s">
        <v>22</v>
      </c>
      <c r="J2341" s="1390"/>
      <c r="K2341" s="1393" t="s">
        <v>26</v>
      </c>
      <c r="L2341" s="1390"/>
      <c r="M2341" s="1389" t="s">
        <v>392</v>
      </c>
      <c r="N2341" s="1390"/>
      <c r="O2341" s="1389" t="s">
        <v>28</v>
      </c>
      <c r="P2341" s="1393"/>
      <c r="Q2341" s="1390"/>
      <c r="R2341" s="1400" t="s">
        <v>36</v>
      </c>
      <c r="S2341" s="361"/>
      <c r="T2341" s="361">
        <f>MAX(J2345:J2359)-MIN(I2345:I2359)</f>
        <v>9.027777777777779E-2</v>
      </c>
      <c r="U2341" s="361"/>
      <c r="V2341" s="853" t="str">
        <f t="shared" ref="V2341" si="248">B2345</f>
        <v>A69</v>
      </c>
      <c r="W2341" s="361">
        <f t="shared" ref="W2341" si="249">COUNTIF(K2346:K2360,"&gt;0")</f>
        <v>3</v>
      </c>
    </row>
    <row r="2342" spans="1:23">
      <c r="A2342" s="1401"/>
      <c r="B2342" s="1401"/>
      <c r="C2342" s="828"/>
      <c r="D2342" s="872"/>
      <c r="E2342" s="1401"/>
      <c r="F2342" s="1401"/>
      <c r="G2342" s="1391"/>
      <c r="H2342" s="1392"/>
      <c r="I2342" s="1391"/>
      <c r="J2342" s="1392"/>
      <c r="K2342" s="1394"/>
      <c r="L2342" s="1392"/>
      <c r="M2342" s="1391"/>
      <c r="N2342" s="1392"/>
      <c r="O2342" s="1391"/>
      <c r="P2342" s="1394"/>
      <c r="Q2342" s="1392"/>
      <c r="R2342" s="1401"/>
      <c r="S2342" s="361"/>
      <c r="T2342" s="361"/>
      <c r="U2342" s="361"/>
      <c r="V2342" s="361"/>
      <c r="W2342" s="361"/>
    </row>
    <row r="2343" spans="1:23">
      <c r="A2343" s="1401"/>
      <c r="B2343" s="1401"/>
      <c r="C2343" s="828"/>
      <c r="D2343" s="872"/>
      <c r="E2343" s="1401"/>
      <c r="F2343" s="1401"/>
      <c r="G2343" s="1400" t="s">
        <v>20</v>
      </c>
      <c r="H2343" s="1400" t="s">
        <v>21</v>
      </c>
      <c r="I2343" s="1400" t="s">
        <v>361</v>
      </c>
      <c r="J2343" s="1400" t="s">
        <v>353</v>
      </c>
      <c r="K2343" s="1400" t="s">
        <v>23</v>
      </c>
      <c r="L2343" s="1400" t="s">
        <v>24</v>
      </c>
      <c r="M2343" s="1400" t="s">
        <v>27</v>
      </c>
      <c r="N2343" s="1400" t="s">
        <v>178</v>
      </c>
      <c r="O2343" s="1400" t="s">
        <v>1</v>
      </c>
      <c r="P2343" s="1400" t="s">
        <v>29</v>
      </c>
      <c r="Q2343" s="1400" t="s">
        <v>33</v>
      </c>
      <c r="R2343" s="1401"/>
      <c r="S2343" s="361"/>
      <c r="T2343" s="361" t="s">
        <v>39</v>
      </c>
      <c r="U2343" s="362">
        <f>VLOOKUP(B2345,'Thong tin'!$A:$M,13,0)</f>
        <v>1200</v>
      </c>
      <c r="V2343" s="361"/>
      <c r="W2343" s="361"/>
    </row>
    <row r="2344" spans="1:23">
      <c r="A2344" s="1402"/>
      <c r="B2344" s="1402"/>
      <c r="C2344" s="829"/>
      <c r="D2344" s="873"/>
      <c r="E2344" s="1402"/>
      <c r="F2344" s="1402"/>
      <c r="G2344" s="1402"/>
      <c r="H2344" s="1402"/>
      <c r="I2344" s="1402"/>
      <c r="J2344" s="1402"/>
      <c r="K2344" s="1402"/>
      <c r="L2344" s="1402"/>
      <c r="M2344" s="1402"/>
      <c r="N2344" s="1402"/>
      <c r="O2344" s="1402"/>
      <c r="P2344" s="1402"/>
      <c r="Q2344" s="1402"/>
      <c r="R2344" s="1402"/>
      <c r="S2344" s="361"/>
      <c r="T2344" s="1399" t="s">
        <v>393</v>
      </c>
      <c r="U2344" s="1397">
        <f>VLOOKUP(B2345,DT.NK!$B:$AZ,45,0)</f>
        <v>26.96</v>
      </c>
      <c r="V2344" s="361"/>
      <c r="W2344" s="361"/>
    </row>
    <row r="2345" spans="1:23">
      <c r="A2345" s="1409">
        <f>A2325+1</f>
        <v>118</v>
      </c>
      <c r="B2345" s="1412" t="s">
        <v>604</v>
      </c>
      <c r="C2345" s="844" t="s">
        <v>983</v>
      </c>
      <c r="D2345" s="874" t="str">
        <f>B2345&amp;C2345</f>
        <v>A69a</v>
      </c>
      <c r="E2345" s="363"/>
      <c r="F2345" s="364"/>
      <c r="G2345" s="364"/>
      <c r="H2345" s="364"/>
      <c r="I2345" s="364"/>
      <c r="J2345" s="364"/>
      <c r="K2345" s="364"/>
      <c r="L2345" s="364"/>
      <c r="M2345" s="674"/>
      <c r="N2345" s="670"/>
      <c r="O2345" s="670">
        <f>U2344</f>
        <v>26.96</v>
      </c>
      <c r="P2345" s="670">
        <f>O2345</f>
        <v>26.96</v>
      </c>
      <c r="Q2345" s="670">
        <v>0</v>
      </c>
      <c r="R2345" s="365"/>
      <c r="S2345" s="366"/>
      <c r="T2345" s="1399"/>
      <c r="U2345" s="1398"/>
      <c r="V2345" s="361"/>
      <c r="W2345" s="361"/>
    </row>
    <row r="2346" spans="1:23">
      <c r="A2346" s="1410"/>
      <c r="B2346" s="1413"/>
      <c r="C2346" s="845" t="s">
        <v>984</v>
      </c>
      <c r="D2346" s="875" t="str">
        <f>B2345&amp;C2346</f>
        <v>A69b</v>
      </c>
      <c r="E2346" s="367">
        <v>1</v>
      </c>
      <c r="F2346" s="669" t="s">
        <v>1085</v>
      </c>
      <c r="G2346" s="369">
        <v>0.56597222222222221</v>
      </c>
      <c r="H2346" s="368">
        <v>0.60416666666666663</v>
      </c>
      <c r="I2346" s="368">
        <v>0.61458333333333337</v>
      </c>
      <c r="J2346" s="368">
        <v>0.61805555555555558</v>
      </c>
      <c r="K2346" s="669">
        <v>12</v>
      </c>
      <c r="L2346" s="669">
        <v>19</v>
      </c>
      <c r="M2346" s="675">
        <v>21.81</v>
      </c>
      <c r="N2346" s="671">
        <f>IF(M2346-P2346&gt;0,M2346-P2346,0)</f>
        <v>3.009999999999998</v>
      </c>
      <c r="O2346" s="671">
        <f>O2345-K2346/(PI()*(U2343/2000)^2)</f>
        <v>16.34967046054031</v>
      </c>
      <c r="P2346" s="672">
        <v>18.8</v>
      </c>
      <c r="Q2346" s="673">
        <f>ABS(O2346-P2346)</f>
        <v>2.4503295394596911</v>
      </c>
      <c r="R2346" s="375" t="s">
        <v>188</v>
      </c>
      <c r="S2346" s="366"/>
      <c r="T2346" s="376"/>
      <c r="U2346" s="376"/>
      <c r="V2346" s="366"/>
      <c r="W2346" s="366"/>
    </row>
    <row r="2347" spans="1:23">
      <c r="A2347" s="1410"/>
      <c r="B2347" s="1413"/>
      <c r="C2347" s="845" t="s">
        <v>985</v>
      </c>
      <c r="D2347" s="875" t="str">
        <f>B2345&amp;C2347</f>
        <v>A69c</v>
      </c>
      <c r="E2347" s="367">
        <v>2</v>
      </c>
      <c r="F2347" s="669" t="s">
        <v>1091</v>
      </c>
      <c r="G2347" s="369">
        <v>0.59722222222222221</v>
      </c>
      <c r="H2347" s="368">
        <v>0.63888888888888895</v>
      </c>
      <c r="I2347" s="368">
        <v>0.65277777777777779</v>
      </c>
      <c r="J2347" s="368">
        <v>0.65625</v>
      </c>
      <c r="K2347" s="669">
        <v>12</v>
      </c>
      <c r="L2347" s="669">
        <v>20</v>
      </c>
      <c r="M2347" s="675">
        <v>15.51</v>
      </c>
      <c r="N2347" s="671">
        <f>IF(M2347-P2347&gt;0,M2347-P2347,0)</f>
        <v>5.7099999999999991</v>
      </c>
      <c r="O2347" s="671">
        <f>O2346-K2347/(PI()*(U2343/2000)^2)</f>
        <v>5.7393409210806201</v>
      </c>
      <c r="P2347" s="373">
        <v>9.8000000000000007</v>
      </c>
      <c r="Q2347" s="673">
        <f>ABS(O2347-P2347)</f>
        <v>4.0606590789193806</v>
      </c>
      <c r="R2347" s="375" t="s">
        <v>188</v>
      </c>
      <c r="S2347" s="366"/>
      <c r="T2347" s="376"/>
      <c r="U2347" s="376"/>
      <c r="V2347" s="366"/>
      <c r="W2347" s="366"/>
    </row>
    <row r="2348" spans="1:23">
      <c r="A2348" s="1410"/>
      <c r="B2348" s="1413"/>
      <c r="C2348" s="845" t="s">
        <v>986</v>
      </c>
      <c r="D2348" s="875" t="str">
        <f>B2345&amp;C2348</f>
        <v>A69d</v>
      </c>
      <c r="E2348" s="367">
        <v>3</v>
      </c>
      <c r="F2348" s="669" t="s">
        <v>1096</v>
      </c>
      <c r="G2348" s="369">
        <v>0.63888888888888895</v>
      </c>
      <c r="H2348" s="368">
        <v>0.6875</v>
      </c>
      <c r="I2348" s="368">
        <v>0.70138888888888884</v>
      </c>
      <c r="J2348" s="368">
        <v>0.70486111111111116</v>
      </c>
      <c r="K2348" s="669">
        <v>1.5</v>
      </c>
      <c r="L2348" s="669">
        <v>20</v>
      </c>
      <c r="M2348" s="675">
        <v>15.51</v>
      </c>
      <c r="N2348" s="671">
        <f>IF(M2348-P2348&gt;0,M2348-P2348,0)</f>
        <v>6.91</v>
      </c>
      <c r="O2348" s="671">
        <f>O2347-K2348/(PI()*(U2343/2000)^2)</f>
        <v>4.4130497286481587</v>
      </c>
      <c r="P2348" s="373">
        <v>8.6</v>
      </c>
      <c r="Q2348" s="673">
        <f>ABS(O2348-P2348)</f>
        <v>4.1869502713518409</v>
      </c>
      <c r="R2348" s="958"/>
      <c r="S2348" s="366"/>
      <c r="T2348" s="376"/>
      <c r="U2348" s="376"/>
      <c r="V2348" s="366"/>
      <c r="W2348" s="366"/>
    </row>
    <row r="2349" spans="1:23">
      <c r="A2349" s="1410"/>
      <c r="B2349" s="1413"/>
      <c r="C2349" s="845" t="s">
        <v>987</v>
      </c>
      <c r="D2349" s="875" t="str">
        <f>B2345&amp;C2349</f>
        <v>A69e</v>
      </c>
      <c r="E2349" s="367">
        <v>4</v>
      </c>
      <c r="F2349" s="669"/>
      <c r="G2349" s="368"/>
      <c r="H2349" s="368"/>
      <c r="I2349" s="368"/>
      <c r="J2349" s="368"/>
      <c r="K2349" s="370"/>
      <c r="L2349" s="370"/>
      <c r="M2349" s="371"/>
      <c r="N2349" s="671"/>
      <c r="O2349" s="671"/>
      <c r="P2349" s="373"/>
      <c r="Q2349" s="673"/>
      <c r="R2349" s="378"/>
      <c r="S2349" s="366"/>
      <c r="T2349" s="376"/>
      <c r="U2349" s="376"/>
      <c r="V2349" s="366"/>
      <c r="W2349" s="366"/>
    </row>
    <row r="2350" spans="1:23">
      <c r="A2350" s="1410"/>
      <c r="B2350" s="1413"/>
      <c r="C2350" s="845" t="s">
        <v>988</v>
      </c>
      <c r="D2350" s="875" t="str">
        <f>B2345&amp;C2350</f>
        <v>A69f</v>
      </c>
      <c r="E2350" s="367">
        <v>5</v>
      </c>
      <c r="F2350" s="669"/>
      <c r="G2350" s="368"/>
      <c r="H2350" s="368"/>
      <c r="I2350" s="368"/>
      <c r="J2350" s="368"/>
      <c r="K2350" s="370"/>
      <c r="L2350" s="370"/>
      <c r="M2350" s="371"/>
      <c r="N2350" s="671"/>
      <c r="O2350" s="671"/>
      <c r="P2350" s="373"/>
      <c r="Q2350" s="673"/>
      <c r="R2350" s="378"/>
      <c r="S2350" s="366" t="s">
        <v>190</v>
      </c>
      <c r="T2350" s="376"/>
      <c r="U2350" s="376"/>
      <c r="V2350" s="366"/>
      <c r="W2350" s="366"/>
    </row>
    <row r="2351" spans="1:23">
      <c r="A2351" s="1410"/>
      <c r="B2351" s="1413"/>
      <c r="C2351" s="845" t="s">
        <v>989</v>
      </c>
      <c r="D2351" s="875" t="str">
        <f>B2345&amp;C2351</f>
        <v>A69g</v>
      </c>
      <c r="E2351" s="367">
        <v>6</v>
      </c>
      <c r="F2351" s="669"/>
      <c r="G2351" s="368"/>
      <c r="H2351" s="368"/>
      <c r="I2351" s="368"/>
      <c r="J2351" s="368"/>
      <c r="K2351" s="370"/>
      <c r="L2351" s="370"/>
      <c r="M2351" s="371"/>
      <c r="N2351" s="671"/>
      <c r="O2351" s="671"/>
      <c r="P2351" s="373"/>
      <c r="Q2351" s="673"/>
      <c r="R2351" s="378"/>
      <c r="S2351" s="366" t="s">
        <v>190</v>
      </c>
      <c r="T2351" s="366"/>
      <c r="U2351" s="366"/>
      <c r="V2351" s="366"/>
      <c r="W2351" s="366"/>
    </row>
    <row r="2352" spans="1:23">
      <c r="A2352" s="1410"/>
      <c r="B2352" s="1413"/>
      <c r="C2352" s="845" t="s">
        <v>990</v>
      </c>
      <c r="D2352" s="875" t="str">
        <f>B2345&amp;C2352</f>
        <v>A69h</v>
      </c>
      <c r="E2352" s="367">
        <v>7</v>
      </c>
      <c r="F2352" s="669"/>
      <c r="G2352" s="368"/>
      <c r="H2352" s="368"/>
      <c r="I2352" s="368"/>
      <c r="J2352" s="368"/>
      <c r="K2352" s="370"/>
      <c r="L2352" s="370"/>
      <c r="M2352" s="371"/>
      <c r="N2352" s="671"/>
      <c r="O2352" s="671"/>
      <c r="P2352" s="373"/>
      <c r="Q2352" s="673"/>
      <c r="R2352" s="378"/>
      <c r="S2352" s="366" t="s">
        <v>190</v>
      </c>
      <c r="T2352" s="366"/>
      <c r="U2352" s="366"/>
      <c r="V2352" s="366"/>
      <c r="W2352" s="366"/>
    </row>
    <row r="2353" spans="1:23">
      <c r="A2353" s="1410"/>
      <c r="B2353" s="1413"/>
      <c r="C2353" s="845" t="s">
        <v>991</v>
      </c>
      <c r="D2353" s="875" t="str">
        <f>B2345&amp;C2353</f>
        <v>A69i</v>
      </c>
      <c r="E2353" s="367">
        <v>8</v>
      </c>
      <c r="F2353" s="669"/>
      <c r="G2353" s="368"/>
      <c r="H2353" s="368"/>
      <c r="I2353" s="368"/>
      <c r="J2353" s="368"/>
      <c r="K2353" s="370"/>
      <c r="L2353" s="370"/>
      <c r="M2353" s="371"/>
      <c r="N2353" s="671"/>
      <c r="O2353" s="671"/>
      <c r="P2353" s="373"/>
      <c r="Q2353" s="673"/>
      <c r="R2353" s="378"/>
      <c r="S2353" s="366"/>
      <c r="T2353" s="366"/>
      <c r="U2353" s="366"/>
      <c r="V2353" s="366"/>
      <c r="W2353" s="366"/>
    </row>
    <row r="2354" spans="1:23">
      <c r="A2354" s="1410"/>
      <c r="B2354" s="1413"/>
      <c r="C2354" s="845" t="s">
        <v>992</v>
      </c>
      <c r="D2354" s="875" t="str">
        <f>B2345&amp;C2354</f>
        <v>A69k</v>
      </c>
      <c r="E2354" s="367">
        <v>9</v>
      </c>
      <c r="F2354" s="370"/>
      <c r="G2354" s="368"/>
      <c r="H2354" s="368"/>
      <c r="I2354" s="368"/>
      <c r="J2354" s="368"/>
      <c r="K2354" s="370"/>
      <c r="L2354" s="370"/>
      <c r="M2354" s="371"/>
      <c r="N2354" s="372"/>
      <c r="O2354" s="372"/>
      <c r="P2354" s="373"/>
      <c r="Q2354" s="374"/>
      <c r="R2354" s="378"/>
      <c r="S2354" s="379"/>
      <c r="T2354" s="366"/>
      <c r="U2354" s="366"/>
      <c r="V2354" s="366"/>
      <c r="W2354" s="366"/>
    </row>
    <row r="2355" spans="1:23">
      <c r="A2355" s="1410"/>
      <c r="B2355" s="1413"/>
      <c r="C2355" s="845" t="s">
        <v>993</v>
      </c>
      <c r="D2355" s="875" t="str">
        <f>B2345&amp;C2355</f>
        <v>A69l</v>
      </c>
      <c r="E2355" s="367">
        <v>10</v>
      </c>
      <c r="F2355" s="370"/>
      <c r="G2355" s="368"/>
      <c r="H2355" s="368"/>
      <c r="I2355" s="368"/>
      <c r="J2355" s="368"/>
      <c r="K2355" s="370"/>
      <c r="L2355" s="370"/>
      <c r="M2355" s="370"/>
      <c r="N2355" s="372"/>
      <c r="O2355" s="372"/>
      <c r="P2355" s="373"/>
      <c r="Q2355" s="374"/>
      <c r="R2355" s="378"/>
      <c r="S2355" s="379"/>
      <c r="T2355" s="366"/>
      <c r="U2355" s="366"/>
      <c r="V2355" s="366"/>
      <c r="W2355" s="366"/>
    </row>
    <row r="2356" spans="1:23">
      <c r="A2356" s="1410"/>
      <c r="B2356" s="1413"/>
      <c r="C2356" s="845" t="s">
        <v>994</v>
      </c>
      <c r="D2356" s="875" t="str">
        <f>B2345&amp;C2356</f>
        <v>A69m</v>
      </c>
      <c r="E2356" s="367">
        <v>11</v>
      </c>
      <c r="F2356" s="370"/>
      <c r="G2356" s="368"/>
      <c r="H2356" s="368"/>
      <c r="I2356" s="368"/>
      <c r="J2356" s="368"/>
      <c r="K2356" s="370"/>
      <c r="L2356" s="370"/>
      <c r="M2356" s="370"/>
      <c r="N2356" s="372"/>
      <c r="O2356" s="372"/>
      <c r="P2356" s="380"/>
      <c r="Q2356" s="374"/>
      <c r="R2356" s="381"/>
      <c r="S2356" s="379"/>
      <c r="T2356" s="366"/>
      <c r="U2356" s="366"/>
      <c r="V2356" s="366"/>
      <c r="W2356" s="366"/>
    </row>
    <row r="2357" spans="1:23">
      <c r="A2357" s="1410"/>
      <c r="B2357" s="1413"/>
      <c r="C2357" s="845" t="s">
        <v>995</v>
      </c>
      <c r="D2357" s="875" t="str">
        <f>B2345&amp;C2357</f>
        <v>A69n</v>
      </c>
      <c r="E2357" s="367">
        <v>12</v>
      </c>
      <c r="F2357" s="370"/>
      <c r="G2357" s="368"/>
      <c r="H2357" s="368"/>
      <c r="I2357" s="368"/>
      <c r="J2357" s="368"/>
      <c r="K2357" s="370"/>
      <c r="L2357" s="370"/>
      <c r="M2357" s="370"/>
      <c r="N2357" s="372"/>
      <c r="O2357" s="372"/>
      <c r="P2357" s="380"/>
      <c r="Q2357" s="374"/>
      <c r="R2357" s="381"/>
      <c r="S2357" s="361"/>
      <c r="T2357" s="361"/>
      <c r="U2357" s="361"/>
      <c r="V2357" s="366"/>
      <c r="W2357" s="366"/>
    </row>
    <row r="2358" spans="1:23">
      <c r="A2358" s="1410"/>
      <c r="B2358" s="1413"/>
      <c r="C2358" s="845" t="s">
        <v>471</v>
      </c>
      <c r="D2358" s="875" t="str">
        <f>B2345&amp;C2358</f>
        <v>A69x</v>
      </c>
      <c r="E2358" s="367">
        <v>13</v>
      </c>
      <c r="F2358" s="370"/>
      <c r="G2358" s="368"/>
      <c r="H2358" s="368"/>
      <c r="I2358" s="368"/>
      <c r="J2358" s="368"/>
      <c r="K2358" s="370"/>
      <c r="L2358" s="370"/>
      <c r="M2358" s="370"/>
      <c r="N2358" s="382"/>
      <c r="O2358" s="372"/>
      <c r="P2358" s="380"/>
      <c r="Q2358" s="381"/>
      <c r="R2358" s="381"/>
      <c r="S2358" s="361"/>
      <c r="T2358" s="361"/>
      <c r="U2358" s="361"/>
      <c r="V2358" s="366"/>
      <c r="W2358" s="366"/>
    </row>
    <row r="2359" spans="1:23">
      <c r="A2359" s="1410"/>
      <c r="B2359" s="1413"/>
      <c r="C2359" s="845" t="s">
        <v>732</v>
      </c>
      <c r="D2359" s="875" t="str">
        <f>B2345&amp;C2359</f>
        <v>A69y</v>
      </c>
      <c r="E2359" s="367">
        <v>14</v>
      </c>
      <c r="F2359" s="370"/>
      <c r="G2359" s="368"/>
      <c r="H2359" s="368"/>
      <c r="I2359" s="368"/>
      <c r="J2359" s="368"/>
      <c r="K2359" s="370"/>
      <c r="L2359" s="370"/>
      <c r="M2359" s="370"/>
      <c r="N2359" s="382"/>
      <c r="O2359" s="372"/>
      <c r="P2359" s="380"/>
      <c r="Q2359" s="381"/>
      <c r="R2359" s="381"/>
      <c r="S2359" s="361"/>
      <c r="T2359" s="361"/>
      <c r="U2359" s="362"/>
      <c r="V2359" s="366"/>
      <c r="W2359" s="366"/>
    </row>
    <row r="2360" spans="1:23">
      <c r="A2360" s="1411"/>
      <c r="B2360" s="1414"/>
      <c r="C2360" s="846" t="s">
        <v>996</v>
      </c>
      <c r="D2360" s="876" t="str">
        <f>B2345&amp;C2360</f>
        <v>A69z</v>
      </c>
      <c r="E2360" s="847">
        <v>15</v>
      </c>
      <c r="F2360" s="370"/>
      <c r="G2360" s="368"/>
      <c r="H2360" s="368"/>
      <c r="I2360" s="368"/>
      <c r="J2360" s="368"/>
      <c r="K2360" s="370"/>
      <c r="L2360" s="370"/>
      <c r="M2360" s="370"/>
      <c r="N2360" s="850"/>
      <c r="O2360" s="851"/>
      <c r="P2360" s="380"/>
      <c r="Q2360" s="852"/>
      <c r="R2360" s="383"/>
      <c r="S2360" s="361"/>
      <c r="T2360" s="832"/>
      <c r="U2360" s="830"/>
      <c r="V2360" s="366"/>
      <c r="W2360" s="366"/>
    </row>
    <row r="2361" spans="1:23">
      <c r="A2361" s="1400" t="s">
        <v>939</v>
      </c>
      <c r="B2361" s="1400"/>
      <c r="C2361" s="827"/>
      <c r="D2361" s="871"/>
      <c r="E2361" s="1400" t="s">
        <v>177</v>
      </c>
      <c r="F2361" s="1400" t="s">
        <v>18</v>
      </c>
      <c r="G2361" s="1389" t="s">
        <v>19</v>
      </c>
      <c r="H2361" s="1390"/>
      <c r="I2361" s="1389" t="s">
        <v>22</v>
      </c>
      <c r="J2361" s="1390"/>
      <c r="K2361" s="1393" t="s">
        <v>26</v>
      </c>
      <c r="L2361" s="1390"/>
      <c r="M2361" s="1389" t="s">
        <v>392</v>
      </c>
      <c r="N2361" s="1390"/>
      <c r="O2361" s="1389" t="s">
        <v>28</v>
      </c>
      <c r="P2361" s="1393"/>
      <c r="Q2361" s="1390"/>
      <c r="R2361" s="1400" t="s">
        <v>36</v>
      </c>
      <c r="S2361" s="361"/>
      <c r="T2361" s="361">
        <f>MAX(J2365:J2379)-MIN(I2365:I2379)</f>
        <v>6.9444444444445308E-3</v>
      </c>
      <c r="U2361" s="361"/>
      <c r="V2361" s="853" t="str">
        <f t="shared" ref="V2361" si="250">B2365</f>
        <v>A158</v>
      </c>
      <c r="W2361" s="361">
        <f t="shared" ref="W2361" si="251">COUNTIF(K2366:K2380,"&gt;0")</f>
        <v>2</v>
      </c>
    </row>
    <row r="2362" spans="1:23">
      <c r="A2362" s="1401"/>
      <c r="B2362" s="1401"/>
      <c r="C2362" s="828"/>
      <c r="D2362" s="872"/>
      <c r="E2362" s="1401"/>
      <c r="F2362" s="1401"/>
      <c r="G2362" s="1391"/>
      <c r="H2362" s="1392"/>
      <c r="I2362" s="1391"/>
      <c r="J2362" s="1392"/>
      <c r="K2362" s="1394"/>
      <c r="L2362" s="1392"/>
      <c r="M2362" s="1391"/>
      <c r="N2362" s="1392"/>
      <c r="O2362" s="1391"/>
      <c r="P2362" s="1394"/>
      <c r="Q2362" s="1392"/>
      <c r="R2362" s="1401"/>
      <c r="S2362" s="361"/>
      <c r="T2362" s="361"/>
      <c r="U2362" s="361"/>
      <c r="V2362" s="361"/>
      <c r="W2362" s="361"/>
    </row>
    <row r="2363" spans="1:23">
      <c r="A2363" s="1401"/>
      <c r="B2363" s="1401"/>
      <c r="C2363" s="828"/>
      <c r="D2363" s="872"/>
      <c r="E2363" s="1401"/>
      <c r="F2363" s="1401"/>
      <c r="G2363" s="1400" t="s">
        <v>20</v>
      </c>
      <c r="H2363" s="1400" t="s">
        <v>21</v>
      </c>
      <c r="I2363" s="1400" t="s">
        <v>361</v>
      </c>
      <c r="J2363" s="1400" t="s">
        <v>353</v>
      </c>
      <c r="K2363" s="1400" t="s">
        <v>23</v>
      </c>
      <c r="L2363" s="1400" t="s">
        <v>24</v>
      </c>
      <c r="M2363" s="1400" t="s">
        <v>27</v>
      </c>
      <c r="N2363" s="1400" t="s">
        <v>178</v>
      </c>
      <c r="O2363" s="1400" t="s">
        <v>1</v>
      </c>
      <c r="P2363" s="1400" t="s">
        <v>29</v>
      </c>
      <c r="Q2363" s="1400" t="s">
        <v>33</v>
      </c>
      <c r="R2363" s="1401"/>
      <c r="S2363" s="361"/>
      <c r="T2363" s="361" t="s">
        <v>39</v>
      </c>
      <c r="U2363" s="362">
        <f>VLOOKUP(B2365,'Thong tin'!$A:$M,13,0)</f>
        <v>1200</v>
      </c>
      <c r="V2363" s="361"/>
      <c r="W2363" s="361"/>
    </row>
    <row r="2364" spans="1:23">
      <c r="A2364" s="1402"/>
      <c r="B2364" s="1402"/>
      <c r="C2364" s="829"/>
      <c r="D2364" s="873"/>
      <c r="E2364" s="1402"/>
      <c r="F2364" s="1402"/>
      <c r="G2364" s="1402"/>
      <c r="H2364" s="1402"/>
      <c r="I2364" s="1402"/>
      <c r="J2364" s="1402"/>
      <c r="K2364" s="1402"/>
      <c r="L2364" s="1402"/>
      <c r="M2364" s="1402"/>
      <c r="N2364" s="1402"/>
      <c r="O2364" s="1402"/>
      <c r="P2364" s="1402"/>
      <c r="Q2364" s="1402"/>
      <c r="R2364" s="1402"/>
      <c r="S2364" s="361"/>
      <c r="T2364" s="1399" t="s">
        <v>393</v>
      </c>
      <c r="U2364" s="1397">
        <f>VLOOKUP(B2365,DT.NK!$B:$AZ,45,0)</f>
        <v>24.55</v>
      </c>
      <c r="V2364" s="361"/>
      <c r="W2364" s="361"/>
    </row>
    <row r="2365" spans="1:23">
      <c r="A2365" s="1409">
        <f>A2345+1</f>
        <v>119</v>
      </c>
      <c r="B2365" s="1412" t="s">
        <v>601</v>
      </c>
      <c r="C2365" s="844" t="s">
        <v>983</v>
      </c>
      <c r="D2365" s="874" t="str">
        <f>B2365&amp;C2365</f>
        <v>A158a</v>
      </c>
      <c r="E2365" s="363"/>
      <c r="F2365" s="364"/>
      <c r="G2365" s="364"/>
      <c r="H2365" s="364"/>
      <c r="I2365" s="364"/>
      <c r="J2365" s="364"/>
      <c r="K2365" s="364"/>
      <c r="L2365" s="364"/>
      <c r="M2365" s="674"/>
      <c r="N2365" s="670"/>
      <c r="O2365" s="670">
        <f>U2364</f>
        <v>24.55</v>
      </c>
      <c r="P2365" s="670">
        <f>O2365</f>
        <v>24.55</v>
      </c>
      <c r="Q2365" s="670">
        <v>0</v>
      </c>
      <c r="R2365" s="365"/>
      <c r="S2365" s="366"/>
      <c r="T2365" s="1399"/>
      <c r="U2365" s="1398"/>
      <c r="V2365" s="361"/>
      <c r="W2365" s="361"/>
    </row>
    <row r="2366" spans="1:23">
      <c r="A2366" s="1410"/>
      <c r="B2366" s="1413"/>
      <c r="C2366" s="845" t="s">
        <v>984</v>
      </c>
      <c r="D2366" s="875" t="str">
        <f>B2365&amp;C2366</f>
        <v>A158b</v>
      </c>
      <c r="E2366" s="367">
        <v>1</v>
      </c>
      <c r="F2366" s="669" t="s">
        <v>1091</v>
      </c>
      <c r="G2366" s="369">
        <v>0.94444444444444453</v>
      </c>
      <c r="H2366" s="368">
        <v>0.96875</v>
      </c>
      <c r="I2366" s="368">
        <v>0.97916666666666663</v>
      </c>
      <c r="J2366" s="368">
        <v>0.98611111111111116</v>
      </c>
      <c r="K2366" s="669">
        <v>10.5</v>
      </c>
      <c r="L2366" s="669">
        <v>19</v>
      </c>
      <c r="M2366" s="675">
        <v>18.25</v>
      </c>
      <c r="N2366" s="671">
        <f>IF(M2366-P2366&gt;0,M2366-P2366,0)</f>
        <v>2.75</v>
      </c>
      <c r="O2366" s="671">
        <f>O2365-K2366/(PI()*(U2363/2000)^2)</f>
        <v>15.265961652972774</v>
      </c>
      <c r="P2366" s="672">
        <v>15.5</v>
      </c>
      <c r="Q2366" s="673">
        <f>ABS(O2366-P2366)</f>
        <v>0.23403834702722648</v>
      </c>
      <c r="R2366" s="375" t="s">
        <v>188</v>
      </c>
      <c r="S2366" s="366"/>
      <c r="T2366" s="376"/>
      <c r="U2366" s="376"/>
      <c r="V2366" s="366"/>
      <c r="W2366" s="366"/>
    </row>
    <row r="2367" spans="1:23">
      <c r="A2367" s="1410"/>
      <c r="B2367" s="1413"/>
      <c r="C2367" s="845" t="s">
        <v>985</v>
      </c>
      <c r="D2367" s="875" t="str">
        <f>B2365&amp;C2367</f>
        <v>A158c</v>
      </c>
      <c r="E2367" s="367">
        <v>2</v>
      </c>
      <c r="F2367" s="669" t="s">
        <v>1096</v>
      </c>
      <c r="G2367" s="369">
        <v>0.95208333333333339</v>
      </c>
      <c r="H2367" s="368">
        <v>0.97222222222222221</v>
      </c>
      <c r="I2367" s="368">
        <v>0.99305555555555547</v>
      </c>
      <c r="J2367" s="368">
        <v>0</v>
      </c>
      <c r="K2367" s="669">
        <v>10.5</v>
      </c>
      <c r="L2367" s="669">
        <v>19</v>
      </c>
      <c r="M2367" s="675">
        <v>11.95</v>
      </c>
      <c r="N2367" s="671">
        <f>IF(M2367-P2367&gt;0,M2367-P2367,0)</f>
        <v>4.5499999999999989</v>
      </c>
      <c r="O2367" s="671">
        <f>O2366-K2367/(PI()*(U2363/2000)^2)</f>
        <v>5.9819233059455463</v>
      </c>
      <c r="P2367" s="373">
        <v>7.4</v>
      </c>
      <c r="Q2367" s="673">
        <f>ABS(O2367-P2367)</f>
        <v>1.418076694054454</v>
      </c>
      <c r="R2367" s="375" t="s">
        <v>188</v>
      </c>
      <c r="S2367" s="366"/>
      <c r="T2367" s="376"/>
      <c r="U2367" s="376"/>
      <c r="V2367" s="366"/>
      <c r="W2367" s="366"/>
    </row>
    <row r="2368" spans="1:23">
      <c r="A2368" s="1410"/>
      <c r="B2368" s="1413"/>
      <c r="C2368" s="845" t="s">
        <v>986</v>
      </c>
      <c r="D2368" s="875" t="str">
        <f>B2365&amp;C2368</f>
        <v>A158d</v>
      </c>
      <c r="E2368" s="367">
        <v>3</v>
      </c>
      <c r="F2368" s="669"/>
      <c r="G2368" s="368"/>
      <c r="H2368" s="368"/>
      <c r="I2368" s="368"/>
      <c r="J2368" s="368"/>
      <c r="K2368" s="370"/>
      <c r="L2368" s="370"/>
      <c r="M2368" s="371"/>
      <c r="N2368" s="671"/>
      <c r="O2368" s="671"/>
      <c r="P2368" s="373"/>
      <c r="Q2368" s="673"/>
      <c r="R2368" s="378"/>
      <c r="S2368" s="366"/>
      <c r="T2368" s="376"/>
      <c r="U2368" s="376"/>
      <c r="V2368" s="366"/>
      <c r="W2368" s="366"/>
    </row>
    <row r="2369" spans="1:23">
      <c r="A2369" s="1410"/>
      <c r="B2369" s="1413"/>
      <c r="C2369" s="845" t="s">
        <v>987</v>
      </c>
      <c r="D2369" s="875" t="str">
        <f>B2365&amp;C2369</f>
        <v>A158e</v>
      </c>
      <c r="E2369" s="367">
        <v>4</v>
      </c>
      <c r="F2369" s="669"/>
      <c r="G2369" s="368"/>
      <c r="H2369" s="368"/>
      <c r="I2369" s="368"/>
      <c r="J2369" s="368"/>
      <c r="K2369" s="370"/>
      <c r="L2369" s="370"/>
      <c r="M2369" s="371"/>
      <c r="N2369" s="671"/>
      <c r="O2369" s="671"/>
      <c r="P2369" s="373"/>
      <c r="Q2369" s="673"/>
      <c r="R2369" s="378"/>
      <c r="S2369" s="366"/>
      <c r="T2369" s="376"/>
      <c r="U2369" s="376"/>
      <c r="V2369" s="366"/>
      <c r="W2369" s="366"/>
    </row>
    <row r="2370" spans="1:23">
      <c r="A2370" s="1410"/>
      <c r="B2370" s="1413"/>
      <c r="C2370" s="845" t="s">
        <v>988</v>
      </c>
      <c r="D2370" s="875" t="str">
        <f>B2365&amp;C2370</f>
        <v>A158f</v>
      </c>
      <c r="E2370" s="367">
        <v>5</v>
      </c>
      <c r="F2370" s="669"/>
      <c r="G2370" s="368"/>
      <c r="H2370" s="368"/>
      <c r="I2370" s="368"/>
      <c r="J2370" s="368"/>
      <c r="K2370" s="370"/>
      <c r="L2370" s="370"/>
      <c r="M2370" s="371"/>
      <c r="N2370" s="671"/>
      <c r="O2370" s="671"/>
      <c r="P2370" s="373"/>
      <c r="Q2370" s="673"/>
      <c r="R2370" s="378"/>
      <c r="S2370" s="366" t="s">
        <v>190</v>
      </c>
      <c r="T2370" s="376"/>
      <c r="U2370" s="376"/>
      <c r="V2370" s="366"/>
      <c r="W2370" s="366"/>
    </row>
    <row r="2371" spans="1:23">
      <c r="A2371" s="1410"/>
      <c r="B2371" s="1413"/>
      <c r="C2371" s="845" t="s">
        <v>989</v>
      </c>
      <c r="D2371" s="875" t="str">
        <f>B2365&amp;C2371</f>
        <v>A158g</v>
      </c>
      <c r="E2371" s="367">
        <v>6</v>
      </c>
      <c r="F2371" s="669"/>
      <c r="G2371" s="368"/>
      <c r="H2371" s="368"/>
      <c r="I2371" s="368"/>
      <c r="J2371" s="368"/>
      <c r="K2371" s="370"/>
      <c r="L2371" s="370"/>
      <c r="M2371" s="371"/>
      <c r="N2371" s="671"/>
      <c r="O2371" s="671"/>
      <c r="P2371" s="373"/>
      <c r="Q2371" s="673"/>
      <c r="R2371" s="378"/>
      <c r="S2371" s="366" t="s">
        <v>190</v>
      </c>
      <c r="T2371" s="366"/>
      <c r="U2371" s="366"/>
      <c r="V2371" s="366"/>
      <c r="W2371" s="366"/>
    </row>
    <row r="2372" spans="1:23">
      <c r="A2372" s="1410"/>
      <c r="B2372" s="1413"/>
      <c r="C2372" s="845" t="s">
        <v>990</v>
      </c>
      <c r="D2372" s="875" t="str">
        <f>B2365&amp;C2372</f>
        <v>A158h</v>
      </c>
      <c r="E2372" s="367">
        <v>7</v>
      </c>
      <c r="F2372" s="669"/>
      <c r="G2372" s="368"/>
      <c r="H2372" s="368"/>
      <c r="I2372" s="368"/>
      <c r="J2372" s="368"/>
      <c r="K2372" s="370"/>
      <c r="L2372" s="370"/>
      <c r="M2372" s="371"/>
      <c r="N2372" s="671"/>
      <c r="O2372" s="671"/>
      <c r="P2372" s="373"/>
      <c r="Q2372" s="673"/>
      <c r="R2372" s="378"/>
      <c r="S2372" s="366" t="s">
        <v>190</v>
      </c>
      <c r="T2372" s="366"/>
      <c r="U2372" s="366"/>
      <c r="V2372" s="366"/>
      <c r="W2372" s="366"/>
    </row>
    <row r="2373" spans="1:23">
      <c r="A2373" s="1410"/>
      <c r="B2373" s="1413"/>
      <c r="C2373" s="845" t="s">
        <v>991</v>
      </c>
      <c r="D2373" s="875" t="str">
        <f>B2365&amp;C2373</f>
        <v>A158i</v>
      </c>
      <c r="E2373" s="367">
        <v>8</v>
      </c>
      <c r="F2373" s="669"/>
      <c r="G2373" s="368"/>
      <c r="H2373" s="368"/>
      <c r="I2373" s="368"/>
      <c r="J2373" s="368"/>
      <c r="K2373" s="370"/>
      <c r="L2373" s="370"/>
      <c r="M2373" s="371"/>
      <c r="N2373" s="671"/>
      <c r="O2373" s="671"/>
      <c r="P2373" s="373"/>
      <c r="Q2373" s="673"/>
      <c r="R2373" s="378"/>
      <c r="S2373" s="366"/>
      <c r="T2373" s="366"/>
      <c r="U2373" s="366"/>
      <c r="V2373" s="366"/>
      <c r="W2373" s="366"/>
    </row>
    <row r="2374" spans="1:23">
      <c r="A2374" s="1410"/>
      <c r="B2374" s="1413"/>
      <c r="C2374" s="845" t="s">
        <v>992</v>
      </c>
      <c r="D2374" s="875" t="str">
        <f>B2365&amp;C2374</f>
        <v>A158k</v>
      </c>
      <c r="E2374" s="367">
        <v>9</v>
      </c>
      <c r="F2374" s="370"/>
      <c r="G2374" s="368"/>
      <c r="H2374" s="368"/>
      <c r="I2374" s="368"/>
      <c r="J2374" s="368"/>
      <c r="K2374" s="370"/>
      <c r="L2374" s="370"/>
      <c r="M2374" s="371"/>
      <c r="N2374" s="372"/>
      <c r="O2374" s="372"/>
      <c r="P2374" s="373"/>
      <c r="Q2374" s="374"/>
      <c r="R2374" s="378"/>
      <c r="S2374" s="379"/>
      <c r="T2374" s="366"/>
      <c r="U2374" s="366"/>
      <c r="V2374" s="366"/>
      <c r="W2374" s="366"/>
    </row>
    <row r="2375" spans="1:23">
      <c r="A2375" s="1410"/>
      <c r="B2375" s="1413"/>
      <c r="C2375" s="845" t="s">
        <v>993</v>
      </c>
      <c r="D2375" s="875" t="str">
        <f>B2365&amp;C2375</f>
        <v>A158l</v>
      </c>
      <c r="E2375" s="367">
        <v>10</v>
      </c>
      <c r="F2375" s="370"/>
      <c r="G2375" s="368"/>
      <c r="H2375" s="368"/>
      <c r="I2375" s="368"/>
      <c r="J2375" s="368"/>
      <c r="K2375" s="370"/>
      <c r="L2375" s="370"/>
      <c r="M2375" s="370"/>
      <c r="N2375" s="372"/>
      <c r="O2375" s="372"/>
      <c r="P2375" s="373"/>
      <c r="Q2375" s="374"/>
      <c r="R2375" s="378"/>
      <c r="S2375" s="379"/>
      <c r="T2375" s="366"/>
      <c r="U2375" s="366"/>
      <c r="V2375" s="366"/>
      <c r="W2375" s="366"/>
    </row>
    <row r="2376" spans="1:23">
      <c r="A2376" s="1410"/>
      <c r="B2376" s="1413"/>
      <c r="C2376" s="845" t="s">
        <v>994</v>
      </c>
      <c r="D2376" s="875" t="str">
        <f>B2365&amp;C2376</f>
        <v>A158m</v>
      </c>
      <c r="E2376" s="367">
        <v>11</v>
      </c>
      <c r="F2376" s="370"/>
      <c r="G2376" s="368"/>
      <c r="H2376" s="368"/>
      <c r="I2376" s="368"/>
      <c r="J2376" s="368"/>
      <c r="K2376" s="370"/>
      <c r="L2376" s="370"/>
      <c r="M2376" s="370"/>
      <c r="N2376" s="372"/>
      <c r="O2376" s="372"/>
      <c r="P2376" s="380"/>
      <c r="Q2376" s="374"/>
      <c r="R2376" s="381"/>
      <c r="S2376" s="379"/>
      <c r="T2376" s="366"/>
      <c r="U2376" s="366"/>
      <c r="V2376" s="366"/>
      <c r="W2376" s="366"/>
    </row>
    <row r="2377" spans="1:23">
      <c r="A2377" s="1410"/>
      <c r="B2377" s="1413"/>
      <c r="C2377" s="845" t="s">
        <v>995</v>
      </c>
      <c r="D2377" s="875" t="str">
        <f>B2365&amp;C2377</f>
        <v>A158n</v>
      </c>
      <c r="E2377" s="367">
        <v>12</v>
      </c>
      <c r="F2377" s="370"/>
      <c r="G2377" s="368"/>
      <c r="H2377" s="368"/>
      <c r="I2377" s="368"/>
      <c r="J2377" s="368"/>
      <c r="K2377" s="370"/>
      <c r="L2377" s="370"/>
      <c r="M2377" s="370"/>
      <c r="N2377" s="372"/>
      <c r="O2377" s="372"/>
      <c r="P2377" s="380"/>
      <c r="Q2377" s="374"/>
      <c r="R2377" s="381"/>
      <c r="S2377" s="361"/>
      <c r="T2377" s="361"/>
      <c r="U2377" s="361"/>
      <c r="V2377" s="366"/>
      <c r="W2377" s="366"/>
    </row>
    <row r="2378" spans="1:23">
      <c r="A2378" s="1410"/>
      <c r="B2378" s="1413"/>
      <c r="C2378" s="845" t="s">
        <v>471</v>
      </c>
      <c r="D2378" s="875" t="str">
        <f>B2365&amp;C2378</f>
        <v>A158x</v>
      </c>
      <c r="E2378" s="367">
        <v>13</v>
      </c>
      <c r="F2378" s="370"/>
      <c r="G2378" s="368"/>
      <c r="H2378" s="368"/>
      <c r="I2378" s="368"/>
      <c r="J2378" s="368"/>
      <c r="K2378" s="370"/>
      <c r="L2378" s="370"/>
      <c r="M2378" s="370"/>
      <c r="N2378" s="382"/>
      <c r="O2378" s="372"/>
      <c r="P2378" s="380"/>
      <c r="Q2378" s="381"/>
      <c r="R2378" s="381"/>
      <c r="S2378" s="361"/>
      <c r="T2378" s="361"/>
      <c r="U2378" s="361"/>
      <c r="V2378" s="366"/>
      <c r="W2378" s="366"/>
    </row>
    <row r="2379" spans="1:23">
      <c r="A2379" s="1410"/>
      <c r="B2379" s="1413"/>
      <c r="C2379" s="845" t="s">
        <v>732</v>
      </c>
      <c r="D2379" s="875" t="str">
        <f>B2365&amp;C2379</f>
        <v>A158y</v>
      </c>
      <c r="E2379" s="367">
        <v>14</v>
      </c>
      <c r="F2379" s="370"/>
      <c r="G2379" s="368"/>
      <c r="H2379" s="368"/>
      <c r="I2379" s="368"/>
      <c r="J2379" s="368"/>
      <c r="K2379" s="370"/>
      <c r="L2379" s="370"/>
      <c r="M2379" s="370"/>
      <c r="N2379" s="382"/>
      <c r="O2379" s="372"/>
      <c r="P2379" s="380"/>
      <c r="Q2379" s="381"/>
      <c r="R2379" s="381"/>
      <c r="S2379" s="361"/>
      <c r="T2379" s="361"/>
      <c r="U2379" s="362"/>
      <c r="V2379" s="366"/>
      <c r="W2379" s="366"/>
    </row>
    <row r="2380" spans="1:23">
      <c r="A2380" s="1411"/>
      <c r="B2380" s="1414"/>
      <c r="C2380" s="846" t="s">
        <v>996</v>
      </c>
      <c r="D2380" s="876" t="str">
        <f>B2365&amp;C2380</f>
        <v>A158z</v>
      </c>
      <c r="E2380" s="847">
        <v>15</v>
      </c>
      <c r="F2380" s="370"/>
      <c r="G2380" s="368"/>
      <c r="H2380" s="368"/>
      <c r="I2380" s="368"/>
      <c r="J2380" s="368"/>
      <c r="K2380" s="370"/>
      <c r="L2380" s="370"/>
      <c r="M2380" s="370"/>
      <c r="N2380" s="850"/>
      <c r="O2380" s="851"/>
      <c r="P2380" s="380"/>
      <c r="Q2380" s="852"/>
      <c r="R2380" s="383"/>
      <c r="S2380" s="361"/>
      <c r="T2380" s="832"/>
      <c r="U2380" s="830"/>
      <c r="V2380" s="366"/>
      <c r="W2380" s="366"/>
    </row>
    <row r="2381" spans="1:23">
      <c r="A2381" s="1400" t="s">
        <v>939</v>
      </c>
      <c r="B2381" s="1400"/>
      <c r="C2381" s="827"/>
      <c r="D2381" s="871"/>
      <c r="E2381" s="1400" t="s">
        <v>177</v>
      </c>
      <c r="F2381" s="1400" t="s">
        <v>18</v>
      </c>
      <c r="G2381" s="1389" t="s">
        <v>19</v>
      </c>
      <c r="H2381" s="1390"/>
      <c r="I2381" s="1389" t="s">
        <v>22</v>
      </c>
      <c r="J2381" s="1390"/>
      <c r="K2381" s="1393" t="s">
        <v>26</v>
      </c>
      <c r="L2381" s="1390"/>
      <c r="M2381" s="1389" t="s">
        <v>392</v>
      </c>
      <c r="N2381" s="1390"/>
      <c r="O2381" s="1389" t="s">
        <v>28</v>
      </c>
      <c r="P2381" s="1393"/>
      <c r="Q2381" s="1390"/>
      <c r="R2381" s="1400" t="s">
        <v>36</v>
      </c>
      <c r="S2381" s="361"/>
      <c r="T2381" s="361">
        <f>MAX(J2385:J2399)-MIN(I2385:I2399)</f>
        <v>6.9444444444444475E-3</v>
      </c>
      <c r="U2381" s="361"/>
      <c r="V2381" s="853" t="str">
        <f t="shared" ref="V2381" si="252">B2385</f>
        <v>B44</v>
      </c>
      <c r="W2381" s="361">
        <f t="shared" ref="W2381" si="253">COUNTIF(K2386:K2400,"&gt;0")</f>
        <v>1</v>
      </c>
    </row>
    <row r="2382" spans="1:23">
      <c r="A2382" s="1401"/>
      <c r="B2382" s="1401"/>
      <c r="C2382" s="828"/>
      <c r="D2382" s="872"/>
      <c r="E2382" s="1401"/>
      <c r="F2382" s="1401"/>
      <c r="G2382" s="1391"/>
      <c r="H2382" s="1392"/>
      <c r="I2382" s="1391"/>
      <c r="J2382" s="1392"/>
      <c r="K2382" s="1394"/>
      <c r="L2382" s="1392"/>
      <c r="M2382" s="1391"/>
      <c r="N2382" s="1392"/>
      <c r="O2382" s="1391"/>
      <c r="P2382" s="1394"/>
      <c r="Q2382" s="1392"/>
      <c r="R2382" s="1401"/>
      <c r="S2382" s="361"/>
      <c r="T2382" s="361"/>
      <c r="U2382" s="361"/>
      <c r="V2382" s="361"/>
      <c r="W2382" s="361"/>
    </row>
    <row r="2383" spans="1:23">
      <c r="A2383" s="1401"/>
      <c r="B2383" s="1401"/>
      <c r="C2383" s="828"/>
      <c r="D2383" s="872"/>
      <c r="E2383" s="1401"/>
      <c r="F2383" s="1401"/>
      <c r="G2383" s="1400" t="s">
        <v>20</v>
      </c>
      <c r="H2383" s="1400" t="s">
        <v>21</v>
      </c>
      <c r="I2383" s="1400" t="s">
        <v>361</v>
      </c>
      <c r="J2383" s="1400" t="s">
        <v>353</v>
      </c>
      <c r="K2383" s="1400" t="s">
        <v>23</v>
      </c>
      <c r="L2383" s="1400" t="s">
        <v>24</v>
      </c>
      <c r="M2383" s="1400" t="s">
        <v>27</v>
      </c>
      <c r="N2383" s="1400" t="s">
        <v>178</v>
      </c>
      <c r="O2383" s="1400" t="s">
        <v>1</v>
      </c>
      <c r="P2383" s="1400" t="s">
        <v>29</v>
      </c>
      <c r="Q2383" s="1400" t="s">
        <v>33</v>
      </c>
      <c r="R2383" s="1401"/>
      <c r="S2383" s="361"/>
      <c r="T2383" s="361" t="s">
        <v>39</v>
      </c>
      <c r="U2383" s="362">
        <f>VLOOKUP(B2385,'Thong tin'!$A:$M,13,0)</f>
        <v>800</v>
      </c>
      <c r="V2383" s="361"/>
      <c r="W2383" s="361"/>
    </row>
    <row r="2384" spans="1:23">
      <c r="A2384" s="1402"/>
      <c r="B2384" s="1402"/>
      <c r="C2384" s="829"/>
      <c r="D2384" s="873"/>
      <c r="E2384" s="1402"/>
      <c r="F2384" s="1402"/>
      <c r="G2384" s="1402"/>
      <c r="H2384" s="1402"/>
      <c r="I2384" s="1402"/>
      <c r="J2384" s="1402"/>
      <c r="K2384" s="1402"/>
      <c r="L2384" s="1402"/>
      <c r="M2384" s="1402"/>
      <c r="N2384" s="1402"/>
      <c r="O2384" s="1402"/>
      <c r="P2384" s="1402"/>
      <c r="Q2384" s="1402"/>
      <c r="R2384" s="1402"/>
      <c r="S2384" s="361"/>
      <c r="T2384" s="1399" t="s">
        <v>393</v>
      </c>
      <c r="U2384" s="1397">
        <f>VLOOKUP(B2385,DT.NK!$B:$AZ,45,0)</f>
        <v>27.45</v>
      </c>
      <c r="V2384" s="361"/>
      <c r="W2384" s="361"/>
    </row>
    <row r="2385" spans="1:23">
      <c r="A2385" s="1409">
        <f>A2365+1</f>
        <v>120</v>
      </c>
      <c r="B2385" s="1412" t="s">
        <v>627</v>
      </c>
      <c r="C2385" s="844" t="s">
        <v>983</v>
      </c>
      <c r="D2385" s="874" t="str">
        <f>B2385&amp;C2385</f>
        <v>B44a</v>
      </c>
      <c r="E2385" s="363"/>
      <c r="F2385" s="364"/>
      <c r="G2385" s="364"/>
      <c r="H2385" s="364"/>
      <c r="I2385" s="364"/>
      <c r="J2385" s="364"/>
      <c r="K2385" s="364"/>
      <c r="L2385" s="364"/>
      <c r="M2385" s="674"/>
      <c r="N2385" s="670"/>
      <c r="O2385" s="670">
        <f>U2384</f>
        <v>27.45</v>
      </c>
      <c r="P2385" s="670">
        <f>O2385</f>
        <v>27.45</v>
      </c>
      <c r="Q2385" s="670">
        <v>0</v>
      </c>
      <c r="R2385" s="365"/>
      <c r="S2385" s="366"/>
      <c r="T2385" s="1399"/>
      <c r="U2385" s="1398"/>
      <c r="V2385" s="361"/>
      <c r="W2385" s="361"/>
    </row>
    <row r="2386" spans="1:23">
      <c r="A2386" s="1410"/>
      <c r="B2386" s="1413"/>
      <c r="C2386" s="845" t="s">
        <v>984</v>
      </c>
      <c r="D2386" s="875" t="str">
        <f>B2385&amp;C2386</f>
        <v>B44b</v>
      </c>
      <c r="E2386" s="367">
        <v>1</v>
      </c>
      <c r="F2386" s="669" t="s">
        <v>1085</v>
      </c>
      <c r="G2386" s="369">
        <v>2.0833333333333332E-2</v>
      </c>
      <c r="H2386" s="368">
        <v>4.5138888888888888E-2</v>
      </c>
      <c r="I2386" s="368">
        <v>5.5555555555555552E-2</v>
      </c>
      <c r="J2386" s="368">
        <v>6.25E-2</v>
      </c>
      <c r="K2386" s="669">
        <v>12</v>
      </c>
      <c r="L2386" s="669">
        <v>19</v>
      </c>
      <c r="M2386" s="675">
        <v>27.45</v>
      </c>
      <c r="N2386" s="671">
        <f>IF(M2386-P2386&gt;0,M2386-P2386,0)</f>
        <v>21.549999999999997</v>
      </c>
      <c r="O2386" s="671">
        <f>O2385-K2386/(PI()*(U2383/2000)^2)</f>
        <v>3.5767585362156993</v>
      </c>
      <c r="P2386" s="672">
        <v>5.9</v>
      </c>
      <c r="Q2386" s="673">
        <f>ABS(O2386-P2386)</f>
        <v>2.3232414637843011</v>
      </c>
      <c r="R2386" s="375" t="s">
        <v>188</v>
      </c>
      <c r="S2386" s="366"/>
      <c r="T2386" s="376"/>
      <c r="U2386" s="376"/>
      <c r="V2386" s="366"/>
      <c r="W2386" s="366"/>
    </row>
    <row r="2387" spans="1:23">
      <c r="A2387" s="1410"/>
      <c r="B2387" s="1413"/>
      <c r="C2387" s="845" t="s">
        <v>985</v>
      </c>
      <c r="D2387" s="875" t="str">
        <f>B2385&amp;C2387</f>
        <v>B44c</v>
      </c>
      <c r="E2387" s="367">
        <v>2</v>
      </c>
      <c r="F2387" s="669"/>
      <c r="G2387" s="368"/>
      <c r="H2387" s="368"/>
      <c r="I2387" s="368"/>
      <c r="J2387" s="368"/>
      <c r="K2387" s="370"/>
      <c r="L2387" s="370"/>
      <c r="M2387" s="371"/>
      <c r="N2387" s="671"/>
      <c r="O2387" s="671"/>
      <c r="P2387" s="373"/>
      <c r="Q2387" s="673"/>
      <c r="R2387" s="378"/>
      <c r="S2387" s="366"/>
      <c r="T2387" s="376"/>
      <c r="U2387" s="376"/>
      <c r="V2387" s="366"/>
      <c r="W2387" s="366"/>
    </row>
    <row r="2388" spans="1:23">
      <c r="A2388" s="1410"/>
      <c r="B2388" s="1413"/>
      <c r="C2388" s="845" t="s">
        <v>986</v>
      </c>
      <c r="D2388" s="875" t="str">
        <f>B2385&amp;C2388</f>
        <v>B44d</v>
      </c>
      <c r="E2388" s="367">
        <v>3</v>
      </c>
      <c r="F2388" s="669"/>
      <c r="G2388" s="368"/>
      <c r="H2388" s="368"/>
      <c r="I2388" s="368"/>
      <c r="J2388" s="368"/>
      <c r="K2388" s="370"/>
      <c r="L2388" s="370"/>
      <c r="M2388" s="371"/>
      <c r="N2388" s="671"/>
      <c r="O2388" s="671"/>
      <c r="P2388" s="373"/>
      <c r="Q2388" s="673"/>
      <c r="R2388" s="378"/>
      <c r="S2388" s="366"/>
      <c r="T2388" s="376"/>
      <c r="U2388" s="376"/>
      <c r="V2388" s="366"/>
      <c r="W2388" s="366"/>
    </row>
    <row r="2389" spans="1:23">
      <c r="A2389" s="1410"/>
      <c r="B2389" s="1413"/>
      <c r="C2389" s="845" t="s">
        <v>987</v>
      </c>
      <c r="D2389" s="875" t="str">
        <f>B2385&amp;C2389</f>
        <v>B44e</v>
      </c>
      <c r="E2389" s="367">
        <v>4</v>
      </c>
      <c r="F2389" s="669"/>
      <c r="G2389" s="368"/>
      <c r="H2389" s="368"/>
      <c r="I2389" s="368"/>
      <c r="J2389" s="368"/>
      <c r="K2389" s="370"/>
      <c r="L2389" s="370"/>
      <c r="M2389" s="371"/>
      <c r="N2389" s="671"/>
      <c r="O2389" s="671"/>
      <c r="P2389" s="373"/>
      <c r="Q2389" s="673"/>
      <c r="R2389" s="378"/>
      <c r="S2389" s="366"/>
      <c r="T2389" s="376"/>
      <c r="U2389" s="376"/>
      <c r="V2389" s="366"/>
      <c r="W2389" s="366"/>
    </row>
    <row r="2390" spans="1:23">
      <c r="A2390" s="1410"/>
      <c r="B2390" s="1413"/>
      <c r="C2390" s="845" t="s">
        <v>988</v>
      </c>
      <c r="D2390" s="875" t="str">
        <f>B2385&amp;C2390</f>
        <v>B44f</v>
      </c>
      <c r="E2390" s="367">
        <v>5</v>
      </c>
      <c r="F2390" s="669"/>
      <c r="G2390" s="368"/>
      <c r="H2390" s="368"/>
      <c r="I2390" s="368"/>
      <c r="J2390" s="368"/>
      <c r="K2390" s="370"/>
      <c r="L2390" s="370"/>
      <c r="M2390" s="371"/>
      <c r="N2390" s="671"/>
      <c r="O2390" s="671"/>
      <c r="P2390" s="373"/>
      <c r="Q2390" s="673"/>
      <c r="R2390" s="378"/>
      <c r="S2390" s="366" t="s">
        <v>190</v>
      </c>
      <c r="T2390" s="376"/>
      <c r="U2390" s="376"/>
      <c r="V2390" s="366"/>
      <c r="W2390" s="366"/>
    </row>
    <row r="2391" spans="1:23">
      <c r="A2391" s="1410"/>
      <c r="B2391" s="1413"/>
      <c r="C2391" s="845" t="s">
        <v>989</v>
      </c>
      <c r="D2391" s="875" t="str">
        <f>B2385&amp;C2391</f>
        <v>B44g</v>
      </c>
      <c r="E2391" s="367">
        <v>6</v>
      </c>
      <c r="F2391" s="669"/>
      <c r="G2391" s="368"/>
      <c r="H2391" s="368"/>
      <c r="I2391" s="368"/>
      <c r="J2391" s="368"/>
      <c r="K2391" s="370"/>
      <c r="L2391" s="370"/>
      <c r="M2391" s="371"/>
      <c r="N2391" s="671"/>
      <c r="O2391" s="671"/>
      <c r="P2391" s="373"/>
      <c r="Q2391" s="673"/>
      <c r="R2391" s="378"/>
      <c r="S2391" s="366" t="s">
        <v>190</v>
      </c>
      <c r="T2391" s="366"/>
      <c r="U2391" s="366"/>
      <c r="V2391" s="366"/>
      <c r="W2391" s="366"/>
    </row>
    <row r="2392" spans="1:23">
      <c r="A2392" s="1410"/>
      <c r="B2392" s="1413"/>
      <c r="C2392" s="845" t="s">
        <v>990</v>
      </c>
      <c r="D2392" s="875" t="str">
        <f>B2385&amp;C2392</f>
        <v>B44h</v>
      </c>
      <c r="E2392" s="367">
        <v>7</v>
      </c>
      <c r="F2392" s="669"/>
      <c r="G2392" s="368"/>
      <c r="H2392" s="368"/>
      <c r="I2392" s="368"/>
      <c r="J2392" s="368"/>
      <c r="K2392" s="370"/>
      <c r="L2392" s="370"/>
      <c r="M2392" s="371"/>
      <c r="N2392" s="671"/>
      <c r="O2392" s="671"/>
      <c r="P2392" s="373"/>
      <c r="Q2392" s="673"/>
      <c r="R2392" s="378"/>
      <c r="S2392" s="366" t="s">
        <v>190</v>
      </c>
      <c r="T2392" s="366"/>
      <c r="U2392" s="366"/>
      <c r="V2392" s="366"/>
      <c r="W2392" s="366"/>
    </row>
    <row r="2393" spans="1:23">
      <c r="A2393" s="1410"/>
      <c r="B2393" s="1413"/>
      <c r="C2393" s="845" t="s">
        <v>991</v>
      </c>
      <c r="D2393" s="875" t="str">
        <f>B2385&amp;C2393</f>
        <v>B44i</v>
      </c>
      <c r="E2393" s="367">
        <v>8</v>
      </c>
      <c r="F2393" s="669"/>
      <c r="G2393" s="368"/>
      <c r="H2393" s="368"/>
      <c r="I2393" s="368"/>
      <c r="J2393" s="368"/>
      <c r="K2393" s="370"/>
      <c r="L2393" s="370"/>
      <c r="M2393" s="371"/>
      <c r="N2393" s="671"/>
      <c r="O2393" s="671"/>
      <c r="P2393" s="373"/>
      <c r="Q2393" s="673"/>
      <c r="R2393" s="378"/>
      <c r="S2393" s="366"/>
      <c r="T2393" s="366"/>
      <c r="U2393" s="366"/>
      <c r="V2393" s="366"/>
      <c r="W2393" s="366"/>
    </row>
    <row r="2394" spans="1:23">
      <c r="A2394" s="1410"/>
      <c r="B2394" s="1413"/>
      <c r="C2394" s="845" t="s">
        <v>992</v>
      </c>
      <c r="D2394" s="875" t="str">
        <f>B2385&amp;C2394</f>
        <v>B44k</v>
      </c>
      <c r="E2394" s="367">
        <v>9</v>
      </c>
      <c r="F2394" s="370"/>
      <c r="G2394" s="368"/>
      <c r="H2394" s="368"/>
      <c r="I2394" s="368"/>
      <c r="J2394" s="368"/>
      <c r="K2394" s="370"/>
      <c r="L2394" s="370"/>
      <c r="M2394" s="371"/>
      <c r="N2394" s="372"/>
      <c r="O2394" s="372"/>
      <c r="P2394" s="373"/>
      <c r="Q2394" s="374"/>
      <c r="R2394" s="378"/>
      <c r="S2394" s="379"/>
      <c r="T2394" s="366"/>
      <c r="U2394" s="366"/>
      <c r="V2394" s="366"/>
      <c r="W2394" s="366"/>
    </row>
    <row r="2395" spans="1:23">
      <c r="A2395" s="1410"/>
      <c r="B2395" s="1413"/>
      <c r="C2395" s="845" t="s">
        <v>993</v>
      </c>
      <c r="D2395" s="875" t="str">
        <f>B2385&amp;C2395</f>
        <v>B44l</v>
      </c>
      <c r="E2395" s="367">
        <v>10</v>
      </c>
      <c r="F2395" s="370"/>
      <c r="G2395" s="368"/>
      <c r="H2395" s="368"/>
      <c r="I2395" s="368"/>
      <c r="J2395" s="368"/>
      <c r="K2395" s="370"/>
      <c r="L2395" s="370"/>
      <c r="M2395" s="370"/>
      <c r="N2395" s="372"/>
      <c r="O2395" s="372"/>
      <c r="P2395" s="373"/>
      <c r="Q2395" s="374"/>
      <c r="R2395" s="378"/>
      <c r="S2395" s="379"/>
      <c r="T2395" s="366"/>
      <c r="U2395" s="366"/>
      <c r="V2395" s="366"/>
      <c r="W2395" s="366"/>
    </row>
    <row r="2396" spans="1:23">
      <c r="A2396" s="1410"/>
      <c r="B2396" s="1413"/>
      <c r="C2396" s="845" t="s">
        <v>994</v>
      </c>
      <c r="D2396" s="875" t="str">
        <f>B2385&amp;C2396</f>
        <v>B44m</v>
      </c>
      <c r="E2396" s="367">
        <v>11</v>
      </c>
      <c r="F2396" s="370"/>
      <c r="G2396" s="368"/>
      <c r="H2396" s="368"/>
      <c r="I2396" s="368"/>
      <c r="J2396" s="368"/>
      <c r="K2396" s="370"/>
      <c r="L2396" s="370"/>
      <c r="M2396" s="370"/>
      <c r="N2396" s="372"/>
      <c r="O2396" s="372"/>
      <c r="P2396" s="380"/>
      <c r="Q2396" s="374"/>
      <c r="R2396" s="381"/>
      <c r="S2396" s="379"/>
      <c r="T2396" s="366"/>
      <c r="U2396" s="366"/>
      <c r="V2396" s="366"/>
      <c r="W2396" s="366"/>
    </row>
    <row r="2397" spans="1:23">
      <c r="A2397" s="1410"/>
      <c r="B2397" s="1413"/>
      <c r="C2397" s="845" t="s">
        <v>995</v>
      </c>
      <c r="D2397" s="875" t="str">
        <f>B2385&amp;C2397</f>
        <v>B44n</v>
      </c>
      <c r="E2397" s="367">
        <v>12</v>
      </c>
      <c r="F2397" s="370"/>
      <c r="G2397" s="368"/>
      <c r="H2397" s="368"/>
      <c r="I2397" s="368"/>
      <c r="J2397" s="368"/>
      <c r="K2397" s="370"/>
      <c r="L2397" s="370"/>
      <c r="M2397" s="370"/>
      <c r="N2397" s="372"/>
      <c r="O2397" s="372"/>
      <c r="P2397" s="380"/>
      <c r="Q2397" s="374"/>
      <c r="R2397" s="381"/>
      <c r="S2397" s="361"/>
      <c r="T2397" s="361"/>
      <c r="U2397" s="361"/>
      <c r="V2397" s="366"/>
      <c r="W2397" s="366"/>
    </row>
    <row r="2398" spans="1:23">
      <c r="A2398" s="1410"/>
      <c r="B2398" s="1413"/>
      <c r="C2398" s="845" t="s">
        <v>471</v>
      </c>
      <c r="D2398" s="875" t="str">
        <f>B2385&amp;C2398</f>
        <v>B44x</v>
      </c>
      <c r="E2398" s="367">
        <v>13</v>
      </c>
      <c r="F2398" s="370"/>
      <c r="G2398" s="368"/>
      <c r="H2398" s="368"/>
      <c r="I2398" s="368"/>
      <c r="J2398" s="368"/>
      <c r="K2398" s="370"/>
      <c r="L2398" s="370"/>
      <c r="M2398" s="370"/>
      <c r="N2398" s="382"/>
      <c r="O2398" s="372"/>
      <c r="P2398" s="380"/>
      <c r="Q2398" s="381"/>
      <c r="R2398" s="381"/>
      <c r="S2398" s="361"/>
      <c r="T2398" s="361"/>
      <c r="U2398" s="361"/>
      <c r="V2398" s="366"/>
      <c r="W2398" s="366"/>
    </row>
    <row r="2399" spans="1:23">
      <c r="A2399" s="1410"/>
      <c r="B2399" s="1413"/>
      <c r="C2399" s="845" t="s">
        <v>732</v>
      </c>
      <c r="D2399" s="875" t="str">
        <f>B2385&amp;C2399</f>
        <v>B44y</v>
      </c>
      <c r="E2399" s="367">
        <v>14</v>
      </c>
      <c r="F2399" s="370"/>
      <c r="G2399" s="368"/>
      <c r="H2399" s="368"/>
      <c r="I2399" s="368"/>
      <c r="J2399" s="368"/>
      <c r="K2399" s="370"/>
      <c r="L2399" s="370"/>
      <c r="M2399" s="370"/>
      <c r="N2399" s="382"/>
      <c r="O2399" s="372"/>
      <c r="P2399" s="380"/>
      <c r="Q2399" s="381"/>
      <c r="R2399" s="381"/>
      <c r="S2399" s="361"/>
      <c r="T2399" s="361"/>
      <c r="U2399" s="362"/>
      <c r="V2399" s="366"/>
      <c r="W2399" s="366"/>
    </row>
    <row r="2400" spans="1:23">
      <c r="A2400" s="1411"/>
      <c r="B2400" s="1414"/>
      <c r="C2400" s="846" t="s">
        <v>996</v>
      </c>
      <c r="D2400" s="876" t="str">
        <f>B2385&amp;C2400</f>
        <v>B44z</v>
      </c>
      <c r="E2400" s="847">
        <v>15</v>
      </c>
      <c r="F2400" s="370"/>
      <c r="G2400" s="368"/>
      <c r="H2400" s="368"/>
      <c r="I2400" s="368"/>
      <c r="J2400" s="368"/>
      <c r="K2400" s="370"/>
      <c r="L2400" s="370"/>
      <c r="M2400" s="370"/>
      <c r="N2400" s="850"/>
      <c r="O2400" s="851"/>
      <c r="P2400" s="380"/>
      <c r="Q2400" s="852"/>
      <c r="R2400" s="383"/>
      <c r="S2400" s="361"/>
      <c r="T2400" s="832"/>
      <c r="U2400" s="830"/>
      <c r="V2400" s="366"/>
      <c r="W2400" s="366"/>
    </row>
    <row r="2401" spans="1:23">
      <c r="A2401" s="1400" t="s">
        <v>939</v>
      </c>
      <c r="B2401" s="1400"/>
      <c r="C2401" s="827"/>
      <c r="D2401" s="871"/>
      <c r="E2401" s="1400" t="s">
        <v>177</v>
      </c>
      <c r="F2401" s="1400" t="s">
        <v>18</v>
      </c>
      <c r="G2401" s="1389" t="s">
        <v>19</v>
      </c>
      <c r="H2401" s="1390"/>
      <c r="I2401" s="1389" t="s">
        <v>22</v>
      </c>
      <c r="J2401" s="1390"/>
      <c r="K2401" s="1393" t="s">
        <v>26</v>
      </c>
      <c r="L2401" s="1390"/>
      <c r="M2401" s="1389" t="s">
        <v>392</v>
      </c>
      <c r="N2401" s="1390"/>
      <c r="O2401" s="1389" t="s">
        <v>28</v>
      </c>
      <c r="P2401" s="1393"/>
      <c r="Q2401" s="1390"/>
      <c r="R2401" s="1400" t="s">
        <v>36</v>
      </c>
      <c r="S2401" s="361"/>
      <c r="T2401" s="361">
        <f>MAX(J2405:J2419)-MIN(I2405:I2419)</f>
        <v>7.638888888888884E-2</v>
      </c>
      <c r="U2401" s="361"/>
      <c r="V2401" s="853" t="str">
        <f t="shared" ref="V2401" si="254">B2405</f>
        <v>A73</v>
      </c>
      <c r="W2401" s="361">
        <f t="shared" ref="W2401" si="255">COUNTIF(K2406:K2420,"&gt;0")</f>
        <v>4</v>
      </c>
    </row>
    <row r="2402" spans="1:23">
      <c r="A2402" s="1401"/>
      <c r="B2402" s="1401"/>
      <c r="C2402" s="828"/>
      <c r="D2402" s="872"/>
      <c r="E2402" s="1401"/>
      <c r="F2402" s="1401"/>
      <c r="G2402" s="1391"/>
      <c r="H2402" s="1392"/>
      <c r="I2402" s="1391"/>
      <c r="J2402" s="1392"/>
      <c r="K2402" s="1394"/>
      <c r="L2402" s="1392"/>
      <c r="M2402" s="1391"/>
      <c r="N2402" s="1392"/>
      <c r="O2402" s="1391"/>
      <c r="P2402" s="1394"/>
      <c r="Q2402" s="1392"/>
      <c r="R2402" s="1401"/>
      <c r="S2402" s="361"/>
      <c r="T2402" s="361"/>
      <c r="U2402" s="361"/>
      <c r="V2402" s="361"/>
      <c r="W2402" s="361"/>
    </row>
    <row r="2403" spans="1:23">
      <c r="A2403" s="1401"/>
      <c r="B2403" s="1401"/>
      <c r="C2403" s="828"/>
      <c r="D2403" s="872"/>
      <c r="E2403" s="1401"/>
      <c r="F2403" s="1401"/>
      <c r="G2403" s="1400" t="s">
        <v>20</v>
      </c>
      <c r="H2403" s="1400" t="s">
        <v>21</v>
      </c>
      <c r="I2403" s="1400" t="s">
        <v>361</v>
      </c>
      <c r="J2403" s="1400" t="s">
        <v>353</v>
      </c>
      <c r="K2403" s="1400" t="s">
        <v>23</v>
      </c>
      <c r="L2403" s="1400" t="s">
        <v>24</v>
      </c>
      <c r="M2403" s="1400" t="s">
        <v>27</v>
      </c>
      <c r="N2403" s="1400" t="s">
        <v>178</v>
      </c>
      <c r="O2403" s="1400" t="s">
        <v>1</v>
      </c>
      <c r="P2403" s="1400" t="s">
        <v>29</v>
      </c>
      <c r="Q2403" s="1400" t="s">
        <v>33</v>
      </c>
      <c r="R2403" s="1401"/>
      <c r="S2403" s="361"/>
      <c r="T2403" s="361" t="s">
        <v>39</v>
      </c>
      <c r="U2403" s="362">
        <f>VLOOKUP(B2405,'Thong tin'!$A:$M,13,0)</f>
        <v>1200</v>
      </c>
      <c r="V2403" s="361"/>
      <c r="W2403" s="361"/>
    </row>
    <row r="2404" spans="1:23">
      <c r="A2404" s="1402"/>
      <c r="B2404" s="1402"/>
      <c r="C2404" s="829"/>
      <c r="D2404" s="873"/>
      <c r="E2404" s="1402"/>
      <c r="F2404" s="1402"/>
      <c r="G2404" s="1402"/>
      <c r="H2404" s="1402"/>
      <c r="I2404" s="1402"/>
      <c r="J2404" s="1402"/>
      <c r="K2404" s="1402"/>
      <c r="L2404" s="1402"/>
      <c r="M2404" s="1402"/>
      <c r="N2404" s="1402"/>
      <c r="O2404" s="1402"/>
      <c r="P2404" s="1402"/>
      <c r="Q2404" s="1402"/>
      <c r="R2404" s="1402"/>
      <c r="S2404" s="361"/>
      <c r="T2404" s="1399" t="s">
        <v>393</v>
      </c>
      <c r="U2404" s="1397">
        <f>VLOOKUP(B2405,DT.NK!$B:$AZ,45,0)</f>
        <v>28.6</v>
      </c>
      <c r="V2404" s="361"/>
      <c r="W2404" s="361"/>
    </row>
    <row r="2405" spans="1:23">
      <c r="A2405" s="1409">
        <f>A2385+1</f>
        <v>121</v>
      </c>
      <c r="B2405" s="1412" t="s">
        <v>624</v>
      </c>
      <c r="C2405" s="844" t="s">
        <v>983</v>
      </c>
      <c r="D2405" s="874" t="str">
        <f>B2405&amp;C2405</f>
        <v>A73a</v>
      </c>
      <c r="E2405" s="363"/>
      <c r="F2405" s="364"/>
      <c r="G2405" s="364"/>
      <c r="H2405" s="364"/>
      <c r="I2405" s="364"/>
      <c r="J2405" s="364"/>
      <c r="K2405" s="364"/>
      <c r="L2405" s="364"/>
      <c r="M2405" s="674"/>
      <c r="N2405" s="670"/>
      <c r="O2405" s="670">
        <f>U2404</f>
        <v>28.6</v>
      </c>
      <c r="P2405" s="670">
        <f>O2405</f>
        <v>28.6</v>
      </c>
      <c r="Q2405" s="670">
        <v>0</v>
      </c>
      <c r="R2405" s="365"/>
      <c r="S2405" s="366"/>
      <c r="T2405" s="1399"/>
      <c r="U2405" s="1398"/>
      <c r="V2405" s="361"/>
      <c r="W2405" s="361"/>
    </row>
    <row r="2406" spans="1:23">
      <c r="A2406" s="1410"/>
      <c r="B2406" s="1413"/>
      <c r="C2406" s="845" t="s">
        <v>984</v>
      </c>
      <c r="D2406" s="875" t="str">
        <f>B2405&amp;C2406</f>
        <v>A73b</v>
      </c>
      <c r="E2406" s="367">
        <v>1</v>
      </c>
      <c r="F2406" s="669" t="s">
        <v>1096</v>
      </c>
      <c r="G2406" s="369">
        <v>0.62986111111111109</v>
      </c>
      <c r="H2406" s="368">
        <v>0.63888888888888895</v>
      </c>
      <c r="I2406" s="368">
        <v>0.65277777777777779</v>
      </c>
      <c r="J2406" s="368">
        <v>0.65625</v>
      </c>
      <c r="K2406" s="669">
        <v>8.5</v>
      </c>
      <c r="L2406" s="669">
        <v>19</v>
      </c>
      <c r="M2406" s="675">
        <v>28.6</v>
      </c>
      <c r="N2406" s="671">
        <f>IF(M2406-P2406&gt;0,M2406-P2406,0)</f>
        <v>4.5</v>
      </c>
      <c r="O2406" s="671">
        <f>O2405-K2406/(PI()*(U2403/2000)^2)</f>
        <v>21.084349909549388</v>
      </c>
      <c r="P2406" s="672">
        <v>24.1</v>
      </c>
      <c r="Q2406" s="673">
        <f>ABS(O2406-P2406)</f>
        <v>3.0156500904506132</v>
      </c>
      <c r="R2406" s="375" t="s">
        <v>188</v>
      </c>
      <c r="S2406" s="366"/>
      <c r="T2406" s="376"/>
      <c r="U2406" s="376"/>
      <c r="V2406" s="366"/>
      <c r="W2406" s="366"/>
    </row>
    <row r="2407" spans="1:23">
      <c r="A2407" s="1410"/>
      <c r="B2407" s="1413"/>
      <c r="C2407" s="845" t="s">
        <v>985</v>
      </c>
      <c r="D2407" s="875" t="str">
        <f>B2405&amp;C2407</f>
        <v>A73c</v>
      </c>
      <c r="E2407" s="367">
        <v>2</v>
      </c>
      <c r="F2407" s="669" t="s">
        <v>1085</v>
      </c>
      <c r="G2407" s="369">
        <v>0.63541666666666663</v>
      </c>
      <c r="H2407" s="368">
        <v>0.65277777777777779</v>
      </c>
      <c r="I2407" s="368">
        <v>0.65972222222222221</v>
      </c>
      <c r="J2407" s="368">
        <v>0.66319444444444442</v>
      </c>
      <c r="K2407" s="669">
        <v>8.5</v>
      </c>
      <c r="L2407" s="669">
        <v>20</v>
      </c>
      <c r="M2407" s="675">
        <v>27.6</v>
      </c>
      <c r="N2407" s="671">
        <f>IF(M2407-P2407&gt;0,M2407-P2407,0)</f>
        <v>10.8</v>
      </c>
      <c r="O2407" s="671">
        <f>O2406-K2407/(PI()*(U2403/2000)^2)</f>
        <v>13.568699819098775</v>
      </c>
      <c r="P2407" s="672">
        <v>16.8</v>
      </c>
      <c r="Q2407" s="673">
        <f>ABS(O2407-P2407)</f>
        <v>3.2313001809012256</v>
      </c>
      <c r="R2407" s="375" t="s">
        <v>188</v>
      </c>
      <c r="S2407" s="366"/>
      <c r="T2407" s="376"/>
      <c r="U2407" s="376"/>
      <c r="V2407" s="366"/>
      <c r="W2407" s="366"/>
    </row>
    <row r="2408" spans="1:23">
      <c r="A2408" s="1410"/>
      <c r="B2408" s="1413"/>
      <c r="C2408" s="845" t="s">
        <v>986</v>
      </c>
      <c r="D2408" s="875" t="str">
        <f>B2405&amp;C2408</f>
        <v>A73d</v>
      </c>
      <c r="E2408" s="367">
        <v>3</v>
      </c>
      <c r="F2408" s="669" t="s">
        <v>1089</v>
      </c>
      <c r="G2408" s="369">
        <v>0.64444444444444449</v>
      </c>
      <c r="H2408" s="368">
        <v>0.67361111111111116</v>
      </c>
      <c r="I2408" s="368">
        <v>0.67708333333333337</v>
      </c>
      <c r="J2408" s="368">
        <v>0.68055555555555547</v>
      </c>
      <c r="K2408" s="669">
        <v>8</v>
      </c>
      <c r="L2408" s="669">
        <v>19.5</v>
      </c>
      <c r="M2408" s="675">
        <v>22.45</v>
      </c>
      <c r="N2408" s="671">
        <f>IF(M2408-P2408&gt;0,M2408-P2408,0)</f>
        <v>9.0499999999999989</v>
      </c>
      <c r="O2408" s="671">
        <f>O2407-K2408/(PI()*(U2403/2000)^2)</f>
        <v>6.4951467927923154</v>
      </c>
      <c r="P2408" s="672">
        <v>13.4</v>
      </c>
      <c r="Q2408" s="673">
        <f>ABS(O2408-P2408)</f>
        <v>6.9048532072076849</v>
      </c>
      <c r="R2408" s="375" t="s">
        <v>188</v>
      </c>
      <c r="S2408" s="366"/>
      <c r="T2408" s="376"/>
      <c r="U2408" s="376"/>
      <c r="V2408" s="366"/>
      <c r="W2408" s="366"/>
    </row>
    <row r="2409" spans="1:23">
      <c r="A2409" s="1410"/>
      <c r="B2409" s="1413"/>
      <c r="C2409" s="845" t="s">
        <v>987</v>
      </c>
      <c r="D2409" s="875" t="str">
        <f>B2405&amp;C2409</f>
        <v>A73e</v>
      </c>
      <c r="E2409" s="367">
        <v>4</v>
      </c>
      <c r="F2409" s="669" t="s">
        <v>1091</v>
      </c>
      <c r="G2409" s="369">
        <v>0.70416666666666661</v>
      </c>
      <c r="H2409" s="368">
        <v>0.72222222222222221</v>
      </c>
      <c r="I2409" s="368">
        <v>0.72569444444444453</v>
      </c>
      <c r="J2409" s="368">
        <v>0.72916666666666663</v>
      </c>
      <c r="K2409" s="669">
        <v>8</v>
      </c>
      <c r="L2409" s="669">
        <v>19</v>
      </c>
      <c r="M2409" s="675">
        <v>16.149999999999999</v>
      </c>
      <c r="N2409" s="671">
        <f>IF(M2409-P2409&gt;0,M2409-P2409,0)</f>
        <v>8.5499999999999989</v>
      </c>
      <c r="O2409" s="671">
        <f>O2408-K2409/(PI()*(U2403/2000)^2)</f>
        <v>-0.57840623351414422</v>
      </c>
      <c r="P2409" s="672">
        <v>7.6</v>
      </c>
      <c r="Q2409" s="673">
        <f>ABS(O2409-P2409)</f>
        <v>8.1784062335141439</v>
      </c>
      <c r="R2409" s="375"/>
      <c r="S2409" s="366"/>
      <c r="T2409" s="376"/>
      <c r="U2409" s="376"/>
      <c r="V2409" s="366"/>
      <c r="W2409" s="366"/>
    </row>
    <row r="2410" spans="1:23">
      <c r="A2410" s="1410"/>
      <c r="B2410" s="1413"/>
      <c r="C2410" s="845" t="s">
        <v>988</v>
      </c>
      <c r="D2410" s="875" t="str">
        <f>B2405&amp;C2410</f>
        <v>A73f</v>
      </c>
      <c r="E2410" s="367">
        <v>5</v>
      </c>
      <c r="F2410" s="669"/>
      <c r="G2410" s="368"/>
      <c r="H2410" s="368"/>
      <c r="I2410" s="368"/>
      <c r="J2410" s="368"/>
      <c r="K2410" s="370"/>
      <c r="L2410" s="370"/>
      <c r="M2410" s="371"/>
      <c r="N2410" s="671"/>
      <c r="O2410" s="671"/>
      <c r="P2410" s="373"/>
      <c r="Q2410" s="673"/>
      <c r="R2410" s="378"/>
      <c r="S2410" s="366" t="s">
        <v>190</v>
      </c>
      <c r="T2410" s="376"/>
      <c r="U2410" s="376"/>
      <c r="V2410" s="366"/>
      <c r="W2410" s="366"/>
    </row>
    <row r="2411" spans="1:23">
      <c r="A2411" s="1410"/>
      <c r="B2411" s="1413"/>
      <c r="C2411" s="845" t="s">
        <v>989</v>
      </c>
      <c r="D2411" s="875" t="str">
        <f>B2405&amp;C2411</f>
        <v>A73g</v>
      </c>
      <c r="E2411" s="367">
        <v>6</v>
      </c>
      <c r="F2411" s="669"/>
      <c r="G2411" s="368"/>
      <c r="H2411" s="368"/>
      <c r="I2411" s="368"/>
      <c r="J2411" s="368"/>
      <c r="K2411" s="370"/>
      <c r="L2411" s="370"/>
      <c r="M2411" s="371"/>
      <c r="N2411" s="671"/>
      <c r="O2411" s="671"/>
      <c r="P2411" s="373"/>
      <c r="Q2411" s="673"/>
      <c r="R2411" s="378"/>
      <c r="S2411" s="366" t="s">
        <v>190</v>
      </c>
      <c r="T2411" s="366"/>
      <c r="U2411" s="366"/>
      <c r="V2411" s="366"/>
      <c r="W2411" s="366"/>
    </row>
    <row r="2412" spans="1:23">
      <c r="A2412" s="1410"/>
      <c r="B2412" s="1413"/>
      <c r="C2412" s="845" t="s">
        <v>990</v>
      </c>
      <c r="D2412" s="875" t="str">
        <f>B2405&amp;C2412</f>
        <v>A73h</v>
      </c>
      <c r="E2412" s="367">
        <v>7</v>
      </c>
      <c r="F2412" s="669"/>
      <c r="G2412" s="368"/>
      <c r="H2412" s="368"/>
      <c r="I2412" s="368"/>
      <c r="J2412" s="368"/>
      <c r="K2412" s="370"/>
      <c r="L2412" s="370"/>
      <c r="M2412" s="371"/>
      <c r="N2412" s="671"/>
      <c r="O2412" s="671"/>
      <c r="P2412" s="373"/>
      <c r="Q2412" s="673"/>
      <c r="R2412" s="378"/>
      <c r="S2412" s="366" t="s">
        <v>190</v>
      </c>
      <c r="T2412" s="366"/>
      <c r="U2412" s="366"/>
      <c r="V2412" s="366"/>
      <c r="W2412" s="366"/>
    </row>
    <row r="2413" spans="1:23">
      <c r="A2413" s="1410"/>
      <c r="B2413" s="1413"/>
      <c r="C2413" s="845" t="s">
        <v>991</v>
      </c>
      <c r="D2413" s="875" t="str">
        <f>B2405&amp;C2413</f>
        <v>A73i</v>
      </c>
      <c r="E2413" s="367">
        <v>8</v>
      </c>
      <c r="F2413" s="669"/>
      <c r="G2413" s="368"/>
      <c r="H2413" s="368"/>
      <c r="I2413" s="368"/>
      <c r="J2413" s="368"/>
      <c r="K2413" s="370"/>
      <c r="L2413" s="370"/>
      <c r="M2413" s="371"/>
      <c r="N2413" s="671"/>
      <c r="O2413" s="671"/>
      <c r="P2413" s="373"/>
      <c r="Q2413" s="673"/>
      <c r="R2413" s="378"/>
      <c r="S2413" s="366"/>
      <c r="T2413" s="366"/>
      <c r="U2413" s="366"/>
      <c r="V2413" s="366"/>
      <c r="W2413" s="366"/>
    </row>
    <row r="2414" spans="1:23">
      <c r="A2414" s="1410"/>
      <c r="B2414" s="1413"/>
      <c r="C2414" s="845" t="s">
        <v>992</v>
      </c>
      <c r="D2414" s="875" t="str">
        <f>B2405&amp;C2414</f>
        <v>A73k</v>
      </c>
      <c r="E2414" s="367">
        <v>9</v>
      </c>
      <c r="F2414" s="370"/>
      <c r="G2414" s="368"/>
      <c r="H2414" s="368"/>
      <c r="I2414" s="368"/>
      <c r="J2414" s="368"/>
      <c r="K2414" s="370"/>
      <c r="L2414" s="370"/>
      <c r="M2414" s="371"/>
      <c r="N2414" s="372"/>
      <c r="O2414" s="372"/>
      <c r="P2414" s="373"/>
      <c r="Q2414" s="374"/>
      <c r="R2414" s="378"/>
      <c r="S2414" s="379"/>
      <c r="T2414" s="366"/>
      <c r="U2414" s="366"/>
      <c r="V2414" s="366"/>
      <c r="W2414" s="366"/>
    </row>
    <row r="2415" spans="1:23">
      <c r="A2415" s="1410"/>
      <c r="B2415" s="1413"/>
      <c r="C2415" s="845" t="s">
        <v>993</v>
      </c>
      <c r="D2415" s="875" t="str">
        <f>B2405&amp;C2415</f>
        <v>A73l</v>
      </c>
      <c r="E2415" s="367">
        <v>10</v>
      </c>
      <c r="F2415" s="370"/>
      <c r="G2415" s="368"/>
      <c r="H2415" s="368"/>
      <c r="I2415" s="368"/>
      <c r="J2415" s="368"/>
      <c r="K2415" s="370"/>
      <c r="L2415" s="370"/>
      <c r="M2415" s="370"/>
      <c r="N2415" s="372"/>
      <c r="O2415" s="372"/>
      <c r="P2415" s="373"/>
      <c r="Q2415" s="374"/>
      <c r="R2415" s="378"/>
      <c r="S2415" s="379"/>
      <c r="T2415" s="366"/>
      <c r="U2415" s="366"/>
      <c r="V2415" s="366"/>
      <c r="W2415" s="366"/>
    </row>
    <row r="2416" spans="1:23">
      <c r="A2416" s="1410"/>
      <c r="B2416" s="1413"/>
      <c r="C2416" s="845" t="s">
        <v>994</v>
      </c>
      <c r="D2416" s="875" t="str">
        <f>B2405&amp;C2416</f>
        <v>A73m</v>
      </c>
      <c r="E2416" s="367">
        <v>11</v>
      </c>
      <c r="F2416" s="370"/>
      <c r="G2416" s="368"/>
      <c r="H2416" s="368"/>
      <c r="I2416" s="368"/>
      <c r="J2416" s="368"/>
      <c r="K2416" s="370"/>
      <c r="L2416" s="370"/>
      <c r="M2416" s="370"/>
      <c r="N2416" s="372"/>
      <c r="O2416" s="372"/>
      <c r="P2416" s="380"/>
      <c r="Q2416" s="374"/>
      <c r="R2416" s="381"/>
      <c r="S2416" s="379"/>
      <c r="T2416" s="366"/>
      <c r="U2416" s="366"/>
      <c r="V2416" s="366"/>
      <c r="W2416" s="366"/>
    </row>
    <row r="2417" spans="1:23">
      <c r="A2417" s="1410"/>
      <c r="B2417" s="1413"/>
      <c r="C2417" s="845" t="s">
        <v>995</v>
      </c>
      <c r="D2417" s="875" t="str">
        <f>B2405&amp;C2417</f>
        <v>A73n</v>
      </c>
      <c r="E2417" s="367">
        <v>12</v>
      </c>
      <c r="F2417" s="370"/>
      <c r="G2417" s="368"/>
      <c r="H2417" s="368"/>
      <c r="I2417" s="368"/>
      <c r="J2417" s="368"/>
      <c r="K2417" s="370"/>
      <c r="L2417" s="370"/>
      <c r="M2417" s="370"/>
      <c r="N2417" s="372"/>
      <c r="O2417" s="372"/>
      <c r="P2417" s="380"/>
      <c r="Q2417" s="374"/>
      <c r="R2417" s="381"/>
      <c r="S2417" s="361"/>
      <c r="T2417" s="361"/>
      <c r="U2417" s="361"/>
      <c r="V2417" s="366"/>
      <c r="W2417" s="366"/>
    </row>
    <row r="2418" spans="1:23">
      <c r="A2418" s="1410"/>
      <c r="B2418" s="1413"/>
      <c r="C2418" s="845" t="s">
        <v>471</v>
      </c>
      <c r="D2418" s="875" t="str">
        <f>B2405&amp;C2418</f>
        <v>A73x</v>
      </c>
      <c r="E2418" s="367">
        <v>13</v>
      </c>
      <c r="F2418" s="370"/>
      <c r="G2418" s="368"/>
      <c r="H2418" s="368"/>
      <c r="I2418" s="368"/>
      <c r="J2418" s="368"/>
      <c r="K2418" s="370"/>
      <c r="L2418" s="370"/>
      <c r="M2418" s="370"/>
      <c r="N2418" s="382"/>
      <c r="O2418" s="372"/>
      <c r="P2418" s="380"/>
      <c r="Q2418" s="381"/>
      <c r="R2418" s="381"/>
      <c r="S2418" s="361"/>
      <c r="T2418" s="361"/>
      <c r="U2418" s="361"/>
      <c r="V2418" s="366"/>
      <c r="W2418" s="366"/>
    </row>
    <row r="2419" spans="1:23">
      <c r="A2419" s="1410"/>
      <c r="B2419" s="1413"/>
      <c r="C2419" s="845" t="s">
        <v>732</v>
      </c>
      <c r="D2419" s="875" t="str">
        <f>B2405&amp;C2419</f>
        <v>A73y</v>
      </c>
      <c r="E2419" s="367">
        <v>14</v>
      </c>
      <c r="F2419" s="370"/>
      <c r="G2419" s="368"/>
      <c r="H2419" s="368"/>
      <c r="I2419" s="368"/>
      <c r="J2419" s="368"/>
      <c r="K2419" s="370"/>
      <c r="L2419" s="370"/>
      <c r="M2419" s="370"/>
      <c r="N2419" s="382"/>
      <c r="O2419" s="372"/>
      <c r="P2419" s="380"/>
      <c r="Q2419" s="381"/>
      <c r="R2419" s="381"/>
      <c r="S2419" s="361"/>
      <c r="T2419" s="361"/>
      <c r="U2419" s="362"/>
      <c r="V2419" s="366"/>
      <c r="W2419" s="366"/>
    </row>
    <row r="2420" spans="1:23">
      <c r="A2420" s="1411"/>
      <c r="B2420" s="1414"/>
      <c r="C2420" s="846" t="s">
        <v>996</v>
      </c>
      <c r="D2420" s="876" t="str">
        <f>B2405&amp;C2420</f>
        <v>A73z</v>
      </c>
      <c r="E2420" s="847">
        <v>15</v>
      </c>
      <c r="F2420" s="370"/>
      <c r="G2420" s="368"/>
      <c r="H2420" s="368"/>
      <c r="I2420" s="368"/>
      <c r="J2420" s="368"/>
      <c r="K2420" s="370"/>
      <c r="L2420" s="370"/>
      <c r="M2420" s="370"/>
      <c r="N2420" s="850"/>
      <c r="O2420" s="851"/>
      <c r="P2420" s="380"/>
      <c r="Q2420" s="852"/>
      <c r="R2420" s="383"/>
      <c r="S2420" s="361"/>
      <c r="T2420" s="832"/>
      <c r="U2420" s="830"/>
      <c r="V2420" s="366"/>
      <c r="W2420" s="366"/>
    </row>
    <row r="2421" spans="1:23">
      <c r="A2421" s="1400" t="s">
        <v>939</v>
      </c>
      <c r="B2421" s="1400"/>
      <c r="C2421" s="827"/>
      <c r="D2421" s="871"/>
      <c r="E2421" s="1400" t="s">
        <v>177</v>
      </c>
      <c r="F2421" s="1400" t="s">
        <v>18</v>
      </c>
      <c r="G2421" s="1389" t="s">
        <v>19</v>
      </c>
      <c r="H2421" s="1390"/>
      <c r="I2421" s="1389" t="s">
        <v>22</v>
      </c>
      <c r="J2421" s="1390"/>
      <c r="K2421" s="1393" t="s">
        <v>26</v>
      </c>
      <c r="L2421" s="1390"/>
      <c r="M2421" s="1389" t="s">
        <v>392</v>
      </c>
      <c r="N2421" s="1390"/>
      <c r="O2421" s="1389" t="s">
        <v>28</v>
      </c>
      <c r="P2421" s="1393"/>
      <c r="Q2421" s="1390"/>
      <c r="R2421" s="1400" t="s">
        <v>36</v>
      </c>
      <c r="S2421" s="361"/>
      <c r="T2421" s="361">
        <f>MAX(J2425:J2439)-MIN(I2425:I2439)</f>
        <v>9.7222222222222224E-2</v>
      </c>
      <c r="U2421" s="361"/>
      <c r="V2421" s="853" t="str">
        <f t="shared" ref="V2421" si="256">B2425</f>
        <v>A14</v>
      </c>
      <c r="W2421" s="361">
        <f t="shared" ref="W2421" si="257">COUNTIF(K2426:K2440,"&gt;0")</f>
        <v>4</v>
      </c>
    </row>
    <row r="2422" spans="1:23">
      <c r="A2422" s="1401"/>
      <c r="B2422" s="1401"/>
      <c r="C2422" s="828"/>
      <c r="D2422" s="872"/>
      <c r="E2422" s="1401"/>
      <c r="F2422" s="1401"/>
      <c r="G2422" s="1391"/>
      <c r="H2422" s="1392"/>
      <c r="I2422" s="1391"/>
      <c r="J2422" s="1392"/>
      <c r="K2422" s="1394"/>
      <c r="L2422" s="1392"/>
      <c r="M2422" s="1391"/>
      <c r="N2422" s="1392"/>
      <c r="O2422" s="1391"/>
      <c r="P2422" s="1394"/>
      <c r="Q2422" s="1392"/>
      <c r="R2422" s="1401"/>
      <c r="S2422" s="361"/>
      <c r="T2422" s="361"/>
      <c r="U2422" s="361"/>
      <c r="V2422" s="361"/>
      <c r="W2422" s="361"/>
    </row>
    <row r="2423" spans="1:23">
      <c r="A2423" s="1401"/>
      <c r="B2423" s="1401"/>
      <c r="C2423" s="828"/>
      <c r="D2423" s="872"/>
      <c r="E2423" s="1401"/>
      <c r="F2423" s="1401"/>
      <c r="G2423" s="1400" t="s">
        <v>20</v>
      </c>
      <c r="H2423" s="1400" t="s">
        <v>21</v>
      </c>
      <c r="I2423" s="1400" t="s">
        <v>361</v>
      </c>
      <c r="J2423" s="1400" t="s">
        <v>353</v>
      </c>
      <c r="K2423" s="1400" t="s">
        <v>23</v>
      </c>
      <c r="L2423" s="1400" t="s">
        <v>24</v>
      </c>
      <c r="M2423" s="1400" t="s">
        <v>27</v>
      </c>
      <c r="N2423" s="1400" t="s">
        <v>178</v>
      </c>
      <c r="O2423" s="1400" t="s">
        <v>1</v>
      </c>
      <c r="P2423" s="1400" t="s">
        <v>29</v>
      </c>
      <c r="Q2423" s="1400" t="s">
        <v>33</v>
      </c>
      <c r="R2423" s="1401"/>
      <c r="S2423" s="361"/>
      <c r="T2423" s="361" t="s">
        <v>39</v>
      </c>
      <c r="U2423" s="362">
        <f>VLOOKUP(B2425,'Thong tin'!$A:$M,13,0)</f>
        <v>1200</v>
      </c>
      <c r="V2423" s="361"/>
      <c r="W2423" s="361"/>
    </row>
    <row r="2424" spans="1:23">
      <c r="A2424" s="1402"/>
      <c r="B2424" s="1402"/>
      <c r="C2424" s="829"/>
      <c r="D2424" s="873"/>
      <c r="E2424" s="1402"/>
      <c r="F2424" s="1402"/>
      <c r="G2424" s="1402"/>
      <c r="H2424" s="1402"/>
      <c r="I2424" s="1402"/>
      <c r="J2424" s="1402"/>
      <c r="K2424" s="1402"/>
      <c r="L2424" s="1402"/>
      <c r="M2424" s="1402"/>
      <c r="N2424" s="1402"/>
      <c r="O2424" s="1402"/>
      <c r="P2424" s="1402"/>
      <c r="Q2424" s="1402"/>
      <c r="R2424" s="1402"/>
      <c r="S2424" s="361"/>
      <c r="T2424" s="1399" t="s">
        <v>393</v>
      </c>
      <c r="U2424" s="1397">
        <f>VLOOKUP(B2425,DT.NK!$B:$AZ,45,0)</f>
        <v>24.85</v>
      </c>
      <c r="V2424" s="361"/>
      <c r="W2424" s="361"/>
    </row>
    <row r="2425" spans="1:23">
      <c r="A2425" s="1409">
        <f>A2405+1</f>
        <v>122</v>
      </c>
      <c r="B2425" s="1412" t="s">
        <v>553</v>
      </c>
      <c r="C2425" s="844" t="s">
        <v>983</v>
      </c>
      <c r="D2425" s="874" t="str">
        <f>B2425&amp;C2425</f>
        <v>A14a</v>
      </c>
      <c r="E2425" s="363"/>
      <c r="F2425" s="364"/>
      <c r="G2425" s="364"/>
      <c r="H2425" s="364"/>
      <c r="I2425" s="364"/>
      <c r="J2425" s="364"/>
      <c r="K2425" s="364"/>
      <c r="L2425" s="364"/>
      <c r="M2425" s="674"/>
      <c r="N2425" s="670"/>
      <c r="O2425" s="670">
        <f>U2424</f>
        <v>24.85</v>
      </c>
      <c r="P2425" s="670">
        <f>O2425</f>
        <v>24.85</v>
      </c>
      <c r="Q2425" s="670">
        <v>0</v>
      </c>
      <c r="R2425" s="365"/>
      <c r="S2425" s="366"/>
      <c r="T2425" s="1399"/>
      <c r="U2425" s="1398"/>
      <c r="V2425" s="361"/>
      <c r="W2425" s="361"/>
    </row>
    <row r="2426" spans="1:23">
      <c r="A2426" s="1410"/>
      <c r="B2426" s="1413"/>
      <c r="C2426" s="845" t="s">
        <v>984</v>
      </c>
      <c r="D2426" s="875" t="str">
        <f>B2425&amp;C2426</f>
        <v>A14b</v>
      </c>
      <c r="E2426" s="367">
        <v>1</v>
      </c>
      <c r="F2426" s="669" t="s">
        <v>1096</v>
      </c>
      <c r="G2426" s="369">
        <v>0.95624999999999993</v>
      </c>
      <c r="H2426" s="368">
        <v>0.98263888888888884</v>
      </c>
      <c r="I2426" s="368">
        <v>0</v>
      </c>
      <c r="J2426" s="368">
        <v>6.9444444444444441E-3</v>
      </c>
      <c r="K2426" s="669">
        <v>10.5</v>
      </c>
      <c r="L2426" s="669">
        <v>19</v>
      </c>
      <c r="M2426" s="675">
        <v>22.05</v>
      </c>
      <c r="N2426" s="671">
        <f>IF(M2426-P2426&gt;0,M2426-P2426,0)</f>
        <v>5.0500000000000007</v>
      </c>
      <c r="O2426" s="671">
        <f>O2425-K2426/(PI()*(U2423/2000)^2)</f>
        <v>15.565961652972774</v>
      </c>
      <c r="P2426" s="672">
        <v>17</v>
      </c>
      <c r="Q2426" s="673">
        <f>ABS(O2426-P2426)</f>
        <v>1.4340383470272258</v>
      </c>
      <c r="R2426" s="375" t="s">
        <v>188</v>
      </c>
      <c r="S2426" s="366"/>
      <c r="T2426" s="376"/>
      <c r="U2426" s="376"/>
      <c r="V2426" s="366"/>
      <c r="W2426" s="366"/>
    </row>
    <row r="2427" spans="1:23">
      <c r="A2427" s="1410"/>
      <c r="B2427" s="1413"/>
      <c r="C2427" s="845" t="s">
        <v>985</v>
      </c>
      <c r="D2427" s="875" t="str">
        <f>B2425&amp;C2427</f>
        <v>A14c</v>
      </c>
      <c r="E2427" s="367">
        <v>2</v>
      </c>
      <c r="F2427" s="669" t="s">
        <v>1085</v>
      </c>
      <c r="G2427" s="369">
        <v>0.96388888888888891</v>
      </c>
      <c r="H2427" s="368">
        <v>0.99305555555555547</v>
      </c>
      <c r="I2427" s="368">
        <v>1.3888888888888888E-2</v>
      </c>
      <c r="J2427" s="368">
        <v>2.0833333333333332E-2</v>
      </c>
      <c r="K2427" s="669">
        <v>10.5</v>
      </c>
      <c r="L2427" s="669">
        <v>19</v>
      </c>
      <c r="M2427" s="675">
        <v>12.6</v>
      </c>
      <c r="N2427" s="671">
        <f>IF(M2427-P2427&gt;0,M2427-P2427,0)</f>
        <v>3.5</v>
      </c>
      <c r="O2427" s="671">
        <f>O2426-K2427/(PI()*(U2423/2000)^2)</f>
        <v>6.281923305945547</v>
      </c>
      <c r="P2427" s="672">
        <v>9.1</v>
      </c>
      <c r="Q2427" s="673">
        <f>ABS(O2427-P2427)</f>
        <v>2.8180766940544526</v>
      </c>
      <c r="R2427" s="375" t="s">
        <v>188</v>
      </c>
      <c r="S2427" s="366"/>
      <c r="T2427" s="376"/>
      <c r="U2427" s="376"/>
      <c r="V2427" s="366"/>
      <c r="W2427" s="366"/>
    </row>
    <row r="2428" spans="1:23">
      <c r="A2428" s="1410"/>
      <c r="B2428" s="1413"/>
      <c r="C2428" s="845" t="s">
        <v>986</v>
      </c>
      <c r="D2428" s="875" t="str">
        <f>B2425&amp;C2428</f>
        <v>A14d</v>
      </c>
      <c r="E2428" s="367">
        <v>3</v>
      </c>
      <c r="F2428" s="669" t="s">
        <v>1089</v>
      </c>
      <c r="G2428" s="369">
        <v>2.9166666666666664E-2</v>
      </c>
      <c r="H2428" s="368">
        <v>5.2083333333333336E-2</v>
      </c>
      <c r="I2428" s="368">
        <v>5.9027777777777783E-2</v>
      </c>
      <c r="J2428" s="368">
        <v>6.25E-2</v>
      </c>
      <c r="K2428" s="669">
        <v>2</v>
      </c>
      <c r="L2428" s="669">
        <v>19</v>
      </c>
      <c r="M2428" s="675">
        <v>12.6</v>
      </c>
      <c r="N2428" s="671">
        <f>IF(M2428-P2428&gt;0,M2428-P2428,0)</f>
        <v>4.4000000000000004</v>
      </c>
      <c r="O2428" s="671">
        <f>O2427-K2428/(PI()*(U2423/2000)^2)</f>
        <v>4.5135350493689321</v>
      </c>
      <c r="P2428" s="672">
        <v>8.1999999999999993</v>
      </c>
      <c r="Q2428" s="673">
        <f>ABS(O2428-P2428)</f>
        <v>3.6864649506310672</v>
      </c>
      <c r="R2428" s="375"/>
      <c r="S2428" s="366"/>
      <c r="T2428" s="376"/>
      <c r="U2428" s="376"/>
      <c r="V2428" s="366"/>
      <c r="W2428" s="366"/>
    </row>
    <row r="2429" spans="1:23">
      <c r="A2429" s="1410"/>
      <c r="B2429" s="1413"/>
      <c r="C2429" s="845" t="s">
        <v>987</v>
      </c>
      <c r="D2429" s="875" t="str">
        <f>B2425&amp;C2429</f>
        <v>A14e</v>
      </c>
      <c r="E2429" s="367">
        <v>4</v>
      </c>
      <c r="F2429" s="669" t="s">
        <v>1091</v>
      </c>
      <c r="G2429" s="369">
        <v>5.5555555555555552E-2</v>
      </c>
      <c r="H2429" s="368">
        <v>9.0277777777777776E-2</v>
      </c>
      <c r="I2429" s="368">
        <v>9.375E-2</v>
      </c>
      <c r="J2429" s="368">
        <v>9.7222222222222224E-2</v>
      </c>
      <c r="K2429" s="669">
        <v>1</v>
      </c>
      <c r="L2429" s="669">
        <v>19</v>
      </c>
      <c r="M2429" s="675">
        <v>12.6</v>
      </c>
      <c r="N2429" s="671">
        <f>IF(M2429-P2429&gt;0,M2429-P2429,0)</f>
        <v>5</v>
      </c>
      <c r="O2429" s="671">
        <f>O2428-K2429/(PI()*(U2423/2000)^2)</f>
        <v>3.6293409210806247</v>
      </c>
      <c r="P2429" s="672">
        <v>7.6</v>
      </c>
      <c r="Q2429" s="673">
        <f>ABS(O2429-P2429)</f>
        <v>3.970659078919375</v>
      </c>
      <c r="R2429" s="375"/>
      <c r="S2429" s="366"/>
      <c r="T2429" s="376"/>
      <c r="U2429" s="376"/>
      <c r="V2429" s="366"/>
      <c r="W2429" s="366"/>
    </row>
    <row r="2430" spans="1:23">
      <c r="A2430" s="1410"/>
      <c r="B2430" s="1413"/>
      <c r="C2430" s="845" t="s">
        <v>988</v>
      </c>
      <c r="D2430" s="875" t="str">
        <f>B2425&amp;C2430</f>
        <v>A14f</v>
      </c>
      <c r="E2430" s="367">
        <v>5</v>
      </c>
      <c r="F2430" s="669"/>
      <c r="G2430" s="368"/>
      <c r="H2430" s="368"/>
      <c r="I2430" s="368"/>
      <c r="J2430" s="368"/>
      <c r="K2430" s="370"/>
      <c r="L2430" s="370"/>
      <c r="M2430" s="371"/>
      <c r="N2430" s="671"/>
      <c r="O2430" s="671"/>
      <c r="P2430" s="373"/>
      <c r="Q2430" s="673"/>
      <c r="R2430" s="378"/>
      <c r="S2430" s="366" t="s">
        <v>190</v>
      </c>
      <c r="T2430" s="376"/>
      <c r="U2430" s="376"/>
      <c r="V2430" s="366"/>
      <c r="W2430" s="366"/>
    </row>
    <row r="2431" spans="1:23">
      <c r="A2431" s="1410"/>
      <c r="B2431" s="1413"/>
      <c r="C2431" s="845" t="s">
        <v>989</v>
      </c>
      <c r="D2431" s="875" t="str">
        <f>B2425&amp;C2431</f>
        <v>A14g</v>
      </c>
      <c r="E2431" s="367">
        <v>6</v>
      </c>
      <c r="F2431" s="669"/>
      <c r="G2431" s="368"/>
      <c r="H2431" s="368"/>
      <c r="I2431" s="368"/>
      <c r="J2431" s="368"/>
      <c r="K2431" s="370"/>
      <c r="L2431" s="370"/>
      <c r="M2431" s="371"/>
      <c r="N2431" s="671"/>
      <c r="O2431" s="671"/>
      <c r="P2431" s="373"/>
      <c r="Q2431" s="673"/>
      <c r="R2431" s="378"/>
      <c r="S2431" s="366" t="s">
        <v>190</v>
      </c>
      <c r="T2431" s="366"/>
      <c r="U2431" s="366"/>
      <c r="V2431" s="366"/>
      <c r="W2431" s="366"/>
    </row>
    <row r="2432" spans="1:23">
      <c r="A2432" s="1410"/>
      <c r="B2432" s="1413"/>
      <c r="C2432" s="845" t="s">
        <v>990</v>
      </c>
      <c r="D2432" s="875" t="str">
        <f>B2425&amp;C2432</f>
        <v>A14h</v>
      </c>
      <c r="E2432" s="367">
        <v>7</v>
      </c>
      <c r="F2432" s="669"/>
      <c r="G2432" s="368"/>
      <c r="H2432" s="368"/>
      <c r="I2432" s="368"/>
      <c r="J2432" s="368"/>
      <c r="K2432" s="370"/>
      <c r="L2432" s="370"/>
      <c r="M2432" s="371"/>
      <c r="N2432" s="671"/>
      <c r="O2432" s="671"/>
      <c r="P2432" s="373"/>
      <c r="Q2432" s="673"/>
      <c r="R2432" s="378"/>
      <c r="S2432" s="366" t="s">
        <v>190</v>
      </c>
      <c r="T2432" s="366"/>
      <c r="U2432" s="366"/>
      <c r="V2432" s="366"/>
      <c r="W2432" s="366"/>
    </row>
    <row r="2433" spans="1:23">
      <c r="A2433" s="1410"/>
      <c r="B2433" s="1413"/>
      <c r="C2433" s="845" t="s">
        <v>991</v>
      </c>
      <c r="D2433" s="875" t="str">
        <f>B2425&amp;C2433</f>
        <v>A14i</v>
      </c>
      <c r="E2433" s="367">
        <v>8</v>
      </c>
      <c r="F2433" s="669"/>
      <c r="G2433" s="368"/>
      <c r="H2433" s="368"/>
      <c r="I2433" s="368"/>
      <c r="J2433" s="368"/>
      <c r="K2433" s="370"/>
      <c r="L2433" s="370"/>
      <c r="M2433" s="371"/>
      <c r="N2433" s="671"/>
      <c r="O2433" s="671"/>
      <c r="P2433" s="373"/>
      <c r="Q2433" s="673"/>
      <c r="R2433" s="378"/>
      <c r="S2433" s="366"/>
      <c r="T2433" s="366"/>
      <c r="U2433" s="366"/>
      <c r="V2433" s="366"/>
      <c r="W2433" s="366"/>
    </row>
    <row r="2434" spans="1:23">
      <c r="A2434" s="1410"/>
      <c r="B2434" s="1413"/>
      <c r="C2434" s="845" t="s">
        <v>992</v>
      </c>
      <c r="D2434" s="875" t="str">
        <f>B2425&amp;C2434</f>
        <v>A14k</v>
      </c>
      <c r="E2434" s="367">
        <v>9</v>
      </c>
      <c r="F2434" s="370"/>
      <c r="G2434" s="368"/>
      <c r="H2434" s="368"/>
      <c r="I2434" s="368"/>
      <c r="J2434" s="368"/>
      <c r="K2434" s="370"/>
      <c r="L2434" s="370"/>
      <c r="M2434" s="371"/>
      <c r="N2434" s="372"/>
      <c r="O2434" s="372"/>
      <c r="P2434" s="373"/>
      <c r="Q2434" s="374"/>
      <c r="R2434" s="378"/>
      <c r="S2434" s="379"/>
      <c r="T2434" s="366"/>
      <c r="U2434" s="366"/>
      <c r="V2434" s="366"/>
      <c r="W2434" s="366"/>
    </row>
    <row r="2435" spans="1:23">
      <c r="A2435" s="1410"/>
      <c r="B2435" s="1413"/>
      <c r="C2435" s="845" t="s">
        <v>993</v>
      </c>
      <c r="D2435" s="875" t="str">
        <f>B2425&amp;C2435</f>
        <v>A14l</v>
      </c>
      <c r="E2435" s="367">
        <v>10</v>
      </c>
      <c r="F2435" s="370"/>
      <c r="G2435" s="368"/>
      <c r="H2435" s="368"/>
      <c r="I2435" s="368"/>
      <c r="J2435" s="368"/>
      <c r="K2435" s="370"/>
      <c r="L2435" s="370"/>
      <c r="M2435" s="370"/>
      <c r="N2435" s="372"/>
      <c r="O2435" s="372"/>
      <c r="P2435" s="373"/>
      <c r="Q2435" s="374"/>
      <c r="R2435" s="378"/>
      <c r="S2435" s="379"/>
      <c r="T2435" s="366"/>
      <c r="U2435" s="366"/>
      <c r="V2435" s="366"/>
      <c r="W2435" s="366"/>
    </row>
    <row r="2436" spans="1:23">
      <c r="A2436" s="1410"/>
      <c r="B2436" s="1413"/>
      <c r="C2436" s="845" t="s">
        <v>994</v>
      </c>
      <c r="D2436" s="875" t="str">
        <f>B2425&amp;C2436</f>
        <v>A14m</v>
      </c>
      <c r="E2436" s="367">
        <v>11</v>
      </c>
      <c r="F2436" s="370"/>
      <c r="G2436" s="368"/>
      <c r="H2436" s="368"/>
      <c r="I2436" s="368"/>
      <c r="J2436" s="368"/>
      <c r="K2436" s="370"/>
      <c r="L2436" s="370"/>
      <c r="M2436" s="370"/>
      <c r="N2436" s="372"/>
      <c r="O2436" s="372"/>
      <c r="P2436" s="380"/>
      <c r="Q2436" s="374"/>
      <c r="R2436" s="381"/>
      <c r="S2436" s="379"/>
      <c r="T2436" s="366"/>
      <c r="U2436" s="366"/>
      <c r="V2436" s="366"/>
      <c r="W2436" s="366"/>
    </row>
    <row r="2437" spans="1:23">
      <c r="A2437" s="1410"/>
      <c r="B2437" s="1413"/>
      <c r="C2437" s="845" t="s">
        <v>995</v>
      </c>
      <c r="D2437" s="875" t="str">
        <f>B2425&amp;C2437</f>
        <v>A14n</v>
      </c>
      <c r="E2437" s="367">
        <v>12</v>
      </c>
      <c r="F2437" s="370"/>
      <c r="G2437" s="368"/>
      <c r="H2437" s="368"/>
      <c r="I2437" s="368"/>
      <c r="J2437" s="368"/>
      <c r="K2437" s="370"/>
      <c r="L2437" s="370"/>
      <c r="M2437" s="370"/>
      <c r="N2437" s="372"/>
      <c r="O2437" s="372"/>
      <c r="P2437" s="380"/>
      <c r="Q2437" s="374"/>
      <c r="R2437" s="381"/>
      <c r="S2437" s="361"/>
      <c r="T2437" s="361"/>
      <c r="U2437" s="361"/>
      <c r="V2437" s="366"/>
      <c r="W2437" s="366"/>
    </row>
    <row r="2438" spans="1:23">
      <c r="A2438" s="1410"/>
      <c r="B2438" s="1413"/>
      <c r="C2438" s="845" t="s">
        <v>471</v>
      </c>
      <c r="D2438" s="875" t="str">
        <f>B2425&amp;C2438</f>
        <v>A14x</v>
      </c>
      <c r="E2438" s="367">
        <v>13</v>
      </c>
      <c r="F2438" s="370"/>
      <c r="G2438" s="368"/>
      <c r="H2438" s="368"/>
      <c r="I2438" s="368"/>
      <c r="J2438" s="368"/>
      <c r="K2438" s="370"/>
      <c r="L2438" s="370"/>
      <c r="M2438" s="370"/>
      <c r="N2438" s="382"/>
      <c r="O2438" s="372"/>
      <c r="P2438" s="380"/>
      <c r="Q2438" s="381"/>
      <c r="R2438" s="381"/>
      <c r="S2438" s="361"/>
      <c r="T2438" s="361"/>
      <c r="U2438" s="361"/>
      <c r="V2438" s="366"/>
      <c r="W2438" s="366"/>
    </row>
    <row r="2439" spans="1:23">
      <c r="A2439" s="1410"/>
      <c r="B2439" s="1413"/>
      <c r="C2439" s="845" t="s">
        <v>732</v>
      </c>
      <c r="D2439" s="875" t="str">
        <f>B2425&amp;C2439</f>
        <v>A14y</v>
      </c>
      <c r="E2439" s="367">
        <v>14</v>
      </c>
      <c r="F2439" s="370"/>
      <c r="G2439" s="368"/>
      <c r="H2439" s="368"/>
      <c r="I2439" s="368"/>
      <c r="J2439" s="368"/>
      <c r="K2439" s="370"/>
      <c r="L2439" s="370"/>
      <c r="M2439" s="370"/>
      <c r="N2439" s="382"/>
      <c r="O2439" s="372"/>
      <c r="P2439" s="380"/>
      <c r="Q2439" s="381"/>
      <c r="R2439" s="381"/>
      <c r="S2439" s="361"/>
      <c r="T2439" s="361"/>
      <c r="U2439" s="362"/>
      <c r="V2439" s="366"/>
      <c r="W2439" s="366"/>
    </row>
    <row r="2440" spans="1:23">
      <c r="A2440" s="1411"/>
      <c r="B2440" s="1414"/>
      <c r="C2440" s="846" t="s">
        <v>996</v>
      </c>
      <c r="D2440" s="876" t="str">
        <f>B2425&amp;C2440</f>
        <v>A14z</v>
      </c>
      <c r="E2440" s="847">
        <v>15</v>
      </c>
      <c r="F2440" s="370"/>
      <c r="G2440" s="368"/>
      <c r="H2440" s="368"/>
      <c r="I2440" s="368"/>
      <c r="J2440" s="368"/>
      <c r="K2440" s="370"/>
      <c r="L2440" s="370"/>
      <c r="M2440" s="370"/>
      <c r="N2440" s="850"/>
      <c r="O2440" s="851"/>
      <c r="P2440" s="380"/>
      <c r="Q2440" s="852"/>
      <c r="R2440" s="383"/>
      <c r="S2440" s="361"/>
      <c r="T2440" s="832"/>
      <c r="U2440" s="830"/>
      <c r="V2440" s="366"/>
      <c r="W2440" s="366"/>
    </row>
    <row r="2441" spans="1:23">
      <c r="A2441" s="1400" t="s">
        <v>939</v>
      </c>
      <c r="B2441" s="1400"/>
      <c r="C2441" s="827"/>
      <c r="D2441" s="871"/>
      <c r="E2441" s="1400" t="s">
        <v>177</v>
      </c>
      <c r="F2441" s="1400" t="s">
        <v>18</v>
      </c>
      <c r="G2441" s="1389" t="s">
        <v>19</v>
      </c>
      <c r="H2441" s="1390"/>
      <c r="I2441" s="1389" t="s">
        <v>22</v>
      </c>
      <c r="J2441" s="1390"/>
      <c r="K2441" s="1393" t="s">
        <v>26</v>
      </c>
      <c r="L2441" s="1390"/>
      <c r="M2441" s="1389" t="s">
        <v>392</v>
      </c>
      <c r="N2441" s="1390"/>
      <c r="O2441" s="1389" t="s">
        <v>28</v>
      </c>
      <c r="P2441" s="1393"/>
      <c r="Q2441" s="1390"/>
      <c r="R2441" s="1400" t="s">
        <v>36</v>
      </c>
      <c r="S2441" s="361"/>
      <c r="T2441" s="361">
        <f>MAX(J2445:J2459)-MIN(I2445:I2459)</f>
        <v>1.3888888888888867E-2</v>
      </c>
      <c r="U2441" s="361"/>
      <c r="V2441" s="853" t="str">
        <f t="shared" ref="V2441" si="258">B2445</f>
        <v>BP3</v>
      </c>
      <c r="W2441" s="361">
        <f t="shared" ref="W2441" si="259">COUNTIF(K2446:K2460,"&gt;0")</f>
        <v>2</v>
      </c>
    </row>
    <row r="2442" spans="1:23">
      <c r="A2442" s="1401"/>
      <c r="B2442" s="1401"/>
      <c r="C2442" s="828"/>
      <c r="D2442" s="872"/>
      <c r="E2442" s="1401"/>
      <c r="F2442" s="1401"/>
      <c r="G2442" s="1391"/>
      <c r="H2442" s="1392"/>
      <c r="I2442" s="1391"/>
      <c r="J2442" s="1392"/>
      <c r="K2442" s="1394"/>
      <c r="L2442" s="1392"/>
      <c r="M2442" s="1391"/>
      <c r="N2442" s="1392"/>
      <c r="O2442" s="1391"/>
      <c r="P2442" s="1394"/>
      <c r="Q2442" s="1392"/>
      <c r="R2442" s="1401"/>
      <c r="S2442" s="361"/>
      <c r="T2442" s="361"/>
      <c r="U2442" s="361"/>
      <c r="V2442" s="361"/>
      <c r="W2442" s="361"/>
    </row>
    <row r="2443" spans="1:23">
      <c r="A2443" s="1401"/>
      <c r="B2443" s="1401"/>
      <c r="C2443" s="828"/>
      <c r="D2443" s="872"/>
      <c r="E2443" s="1401"/>
      <c r="F2443" s="1401"/>
      <c r="G2443" s="1400" t="s">
        <v>20</v>
      </c>
      <c r="H2443" s="1400" t="s">
        <v>21</v>
      </c>
      <c r="I2443" s="1400" t="s">
        <v>361</v>
      </c>
      <c r="J2443" s="1400" t="s">
        <v>353</v>
      </c>
      <c r="K2443" s="1400" t="s">
        <v>23</v>
      </c>
      <c r="L2443" s="1400" t="s">
        <v>24</v>
      </c>
      <c r="M2443" s="1400" t="s">
        <v>27</v>
      </c>
      <c r="N2443" s="1400" t="s">
        <v>178</v>
      </c>
      <c r="O2443" s="1400" t="s">
        <v>1</v>
      </c>
      <c r="P2443" s="1400" t="s">
        <v>29</v>
      </c>
      <c r="Q2443" s="1400" t="s">
        <v>33</v>
      </c>
      <c r="R2443" s="1401"/>
      <c r="S2443" s="361"/>
      <c r="T2443" s="361" t="s">
        <v>39</v>
      </c>
      <c r="U2443" s="362">
        <f>VLOOKUP(B2445,'Thong tin'!$A:$M,13,0)</f>
        <v>800</v>
      </c>
      <c r="V2443" s="361"/>
      <c r="W2443" s="361"/>
    </row>
    <row r="2444" spans="1:23">
      <c r="A2444" s="1402"/>
      <c r="B2444" s="1402"/>
      <c r="C2444" s="829"/>
      <c r="D2444" s="873"/>
      <c r="E2444" s="1402"/>
      <c r="F2444" s="1402"/>
      <c r="G2444" s="1402"/>
      <c r="H2444" s="1402"/>
      <c r="I2444" s="1402"/>
      <c r="J2444" s="1402"/>
      <c r="K2444" s="1402"/>
      <c r="L2444" s="1402"/>
      <c r="M2444" s="1402"/>
      <c r="N2444" s="1402"/>
      <c r="O2444" s="1402"/>
      <c r="P2444" s="1402"/>
      <c r="Q2444" s="1402"/>
      <c r="R2444" s="1402"/>
      <c r="S2444" s="361"/>
      <c r="T2444" s="1399" t="s">
        <v>393</v>
      </c>
      <c r="U2444" s="1397">
        <f>VLOOKUP(B2445,DT.NK!$B:$AZ,45,0)</f>
        <v>30.8</v>
      </c>
      <c r="V2444" s="361"/>
      <c r="W2444" s="361"/>
    </row>
    <row r="2445" spans="1:23">
      <c r="A2445" s="1409">
        <f>A2425+1</f>
        <v>123</v>
      </c>
      <c r="B2445" s="1412" t="s">
        <v>1131</v>
      </c>
      <c r="C2445" s="844" t="s">
        <v>983</v>
      </c>
      <c r="D2445" s="874" t="str">
        <f>B2445&amp;C2445</f>
        <v>BP3a</v>
      </c>
      <c r="E2445" s="363"/>
      <c r="F2445" s="364"/>
      <c r="G2445" s="364"/>
      <c r="H2445" s="364"/>
      <c r="I2445" s="364"/>
      <c r="J2445" s="364"/>
      <c r="K2445" s="364"/>
      <c r="L2445" s="364"/>
      <c r="M2445" s="674"/>
      <c r="N2445" s="670"/>
      <c r="O2445" s="670">
        <f>U2444</f>
        <v>30.8</v>
      </c>
      <c r="P2445" s="670">
        <f>O2445</f>
        <v>30.8</v>
      </c>
      <c r="Q2445" s="670">
        <v>0</v>
      </c>
      <c r="R2445" s="365"/>
      <c r="S2445" s="366"/>
      <c r="T2445" s="1399"/>
      <c r="U2445" s="1398"/>
      <c r="V2445" s="361"/>
      <c r="W2445" s="361"/>
    </row>
    <row r="2446" spans="1:23">
      <c r="A2446" s="1410"/>
      <c r="B2446" s="1413"/>
      <c r="C2446" s="845" t="s">
        <v>984</v>
      </c>
      <c r="D2446" s="875" t="str">
        <f>B2445&amp;C2446</f>
        <v>BP3b</v>
      </c>
      <c r="E2446" s="367">
        <v>1</v>
      </c>
      <c r="F2446" s="669" t="s">
        <v>1096</v>
      </c>
      <c r="G2446" s="369">
        <v>0.19930555555555554</v>
      </c>
      <c r="H2446" s="368">
        <v>0.22916666666666666</v>
      </c>
      <c r="I2446" s="368">
        <v>0.23958333333333334</v>
      </c>
      <c r="J2446" s="368">
        <v>0.24305555555555555</v>
      </c>
      <c r="K2446" s="669">
        <v>8</v>
      </c>
      <c r="L2446" s="669">
        <v>19</v>
      </c>
      <c r="M2446" s="675">
        <v>22.05</v>
      </c>
      <c r="N2446" s="671">
        <f>IF(M2446-P2446&gt;0,M2446-P2446,0)</f>
        <v>5.1000000000000014</v>
      </c>
      <c r="O2446" s="671">
        <f>O2445-K2446/(PI()*(U2443/2000)^2)</f>
        <v>14.884505690810467</v>
      </c>
      <c r="P2446" s="672">
        <v>16.95</v>
      </c>
      <c r="Q2446" s="673">
        <f>ABS(O2446-P2446)</f>
        <v>2.0654943091895319</v>
      </c>
      <c r="R2446" s="375" t="s">
        <v>188</v>
      </c>
      <c r="S2446" s="366"/>
      <c r="T2446" s="376"/>
      <c r="U2446" s="376"/>
      <c r="V2446" s="366"/>
      <c r="W2446" s="366"/>
    </row>
    <row r="2447" spans="1:23">
      <c r="A2447" s="1410"/>
      <c r="B2447" s="1413"/>
      <c r="C2447" s="845" t="s">
        <v>985</v>
      </c>
      <c r="D2447" s="875" t="str">
        <f>B2445&amp;C2447</f>
        <v>BP3c</v>
      </c>
      <c r="E2447" s="367">
        <v>2</v>
      </c>
      <c r="F2447" s="669" t="s">
        <v>1089</v>
      </c>
      <c r="G2447" s="369">
        <v>0.20833333333333334</v>
      </c>
      <c r="H2447" s="368">
        <v>0.23611111111111113</v>
      </c>
      <c r="I2447" s="368">
        <v>0.25</v>
      </c>
      <c r="J2447" s="368">
        <v>0.25347222222222221</v>
      </c>
      <c r="K2447" s="669">
        <v>8</v>
      </c>
      <c r="L2447" s="669">
        <v>19</v>
      </c>
      <c r="M2447" s="675">
        <v>12.6</v>
      </c>
      <c r="N2447" s="671">
        <f>IF(M2447-P2447&gt;0,M2447-P2447,0)</f>
        <v>6.5</v>
      </c>
      <c r="O2447" s="671">
        <f>O2446-K2447/(PI()*(U2443/2000)^2)</f>
        <v>-1.030988618379066</v>
      </c>
      <c r="P2447" s="672">
        <v>6.1</v>
      </c>
      <c r="Q2447" s="673">
        <f>ABS(O2447-P2447)</f>
        <v>7.1309886183790656</v>
      </c>
      <c r="R2447" s="375" t="s">
        <v>188</v>
      </c>
      <c r="S2447" s="366"/>
      <c r="T2447" s="376"/>
      <c r="U2447" s="376"/>
      <c r="V2447" s="366"/>
      <c r="W2447" s="366"/>
    </row>
    <row r="2448" spans="1:23">
      <c r="A2448" s="1410"/>
      <c r="B2448" s="1413"/>
      <c r="C2448" s="845" t="s">
        <v>986</v>
      </c>
      <c r="D2448" s="875" t="str">
        <f>B2445&amp;C2448</f>
        <v>BP3d</v>
      </c>
      <c r="E2448" s="367">
        <v>3</v>
      </c>
      <c r="F2448" s="669"/>
      <c r="G2448" s="368"/>
      <c r="H2448" s="368"/>
      <c r="I2448" s="368"/>
      <c r="J2448" s="368"/>
      <c r="K2448" s="370"/>
      <c r="L2448" s="370"/>
      <c r="M2448" s="371"/>
      <c r="N2448" s="671"/>
      <c r="O2448" s="671"/>
      <c r="P2448" s="373"/>
      <c r="Q2448" s="673"/>
      <c r="R2448" s="378"/>
      <c r="S2448" s="366"/>
      <c r="T2448" s="376"/>
      <c r="U2448" s="376"/>
      <c r="V2448" s="366"/>
      <c r="W2448" s="366"/>
    </row>
    <row r="2449" spans="1:23">
      <c r="A2449" s="1410"/>
      <c r="B2449" s="1413"/>
      <c r="C2449" s="845" t="s">
        <v>987</v>
      </c>
      <c r="D2449" s="875" t="str">
        <f>B2445&amp;C2449</f>
        <v>BP3e</v>
      </c>
      <c r="E2449" s="367">
        <v>4</v>
      </c>
      <c r="F2449" s="669"/>
      <c r="G2449" s="368"/>
      <c r="H2449" s="368"/>
      <c r="I2449" s="368"/>
      <c r="J2449" s="368"/>
      <c r="K2449" s="370"/>
      <c r="L2449" s="370"/>
      <c r="M2449" s="371"/>
      <c r="N2449" s="671"/>
      <c r="O2449" s="671"/>
      <c r="P2449" s="373"/>
      <c r="Q2449" s="673"/>
      <c r="R2449" s="378"/>
      <c r="S2449" s="366"/>
      <c r="T2449" s="376"/>
      <c r="U2449" s="376"/>
      <c r="V2449" s="366"/>
      <c r="W2449" s="366"/>
    </row>
    <row r="2450" spans="1:23">
      <c r="A2450" s="1410"/>
      <c r="B2450" s="1413"/>
      <c r="C2450" s="845" t="s">
        <v>988</v>
      </c>
      <c r="D2450" s="875" t="str">
        <f>B2445&amp;C2450</f>
        <v>BP3f</v>
      </c>
      <c r="E2450" s="367">
        <v>5</v>
      </c>
      <c r="F2450" s="669"/>
      <c r="G2450" s="368"/>
      <c r="H2450" s="368"/>
      <c r="I2450" s="368"/>
      <c r="J2450" s="368"/>
      <c r="K2450" s="370"/>
      <c r="L2450" s="370"/>
      <c r="M2450" s="371"/>
      <c r="N2450" s="671"/>
      <c r="O2450" s="671"/>
      <c r="P2450" s="373"/>
      <c r="Q2450" s="673"/>
      <c r="R2450" s="378"/>
      <c r="S2450" s="366" t="s">
        <v>190</v>
      </c>
      <c r="T2450" s="376"/>
      <c r="U2450" s="376"/>
      <c r="V2450" s="366"/>
      <c r="W2450" s="366"/>
    </row>
    <row r="2451" spans="1:23">
      <c r="A2451" s="1410"/>
      <c r="B2451" s="1413"/>
      <c r="C2451" s="845" t="s">
        <v>989</v>
      </c>
      <c r="D2451" s="875" t="str">
        <f>B2445&amp;C2451</f>
        <v>BP3g</v>
      </c>
      <c r="E2451" s="367">
        <v>6</v>
      </c>
      <c r="F2451" s="669"/>
      <c r="G2451" s="368"/>
      <c r="H2451" s="368"/>
      <c r="I2451" s="368"/>
      <c r="J2451" s="368"/>
      <c r="K2451" s="370"/>
      <c r="L2451" s="370"/>
      <c r="M2451" s="371"/>
      <c r="N2451" s="671"/>
      <c r="O2451" s="671"/>
      <c r="P2451" s="373"/>
      <c r="Q2451" s="673"/>
      <c r="R2451" s="378"/>
      <c r="S2451" s="366" t="s">
        <v>190</v>
      </c>
      <c r="T2451" s="366"/>
      <c r="U2451" s="366"/>
      <c r="V2451" s="366"/>
      <c r="W2451" s="366"/>
    </row>
    <row r="2452" spans="1:23">
      <c r="A2452" s="1410"/>
      <c r="B2452" s="1413"/>
      <c r="C2452" s="845" t="s">
        <v>990</v>
      </c>
      <c r="D2452" s="875" t="str">
        <f>B2445&amp;C2452</f>
        <v>BP3h</v>
      </c>
      <c r="E2452" s="367">
        <v>7</v>
      </c>
      <c r="F2452" s="669"/>
      <c r="G2452" s="368"/>
      <c r="H2452" s="368"/>
      <c r="I2452" s="368"/>
      <c r="J2452" s="368"/>
      <c r="K2452" s="370"/>
      <c r="L2452" s="370"/>
      <c r="M2452" s="371"/>
      <c r="N2452" s="671"/>
      <c r="O2452" s="671"/>
      <c r="P2452" s="373"/>
      <c r="Q2452" s="673"/>
      <c r="R2452" s="378"/>
      <c r="S2452" s="366" t="s">
        <v>190</v>
      </c>
      <c r="T2452" s="366"/>
      <c r="U2452" s="366"/>
      <c r="V2452" s="366"/>
      <c r="W2452" s="366"/>
    </row>
    <row r="2453" spans="1:23">
      <c r="A2453" s="1410"/>
      <c r="B2453" s="1413"/>
      <c r="C2453" s="845" t="s">
        <v>991</v>
      </c>
      <c r="D2453" s="875" t="str">
        <f>B2445&amp;C2453</f>
        <v>BP3i</v>
      </c>
      <c r="E2453" s="367">
        <v>8</v>
      </c>
      <c r="F2453" s="669"/>
      <c r="G2453" s="368"/>
      <c r="H2453" s="368"/>
      <c r="I2453" s="368"/>
      <c r="J2453" s="368"/>
      <c r="K2453" s="370"/>
      <c r="L2453" s="370"/>
      <c r="M2453" s="371"/>
      <c r="N2453" s="671"/>
      <c r="O2453" s="671"/>
      <c r="P2453" s="373"/>
      <c r="Q2453" s="673"/>
      <c r="R2453" s="378"/>
      <c r="S2453" s="366"/>
      <c r="T2453" s="366"/>
      <c r="U2453" s="366"/>
      <c r="V2453" s="366"/>
      <c r="W2453" s="366"/>
    </row>
    <row r="2454" spans="1:23">
      <c r="A2454" s="1410"/>
      <c r="B2454" s="1413"/>
      <c r="C2454" s="845" t="s">
        <v>992</v>
      </c>
      <c r="D2454" s="875" t="str">
        <f>B2445&amp;C2454</f>
        <v>BP3k</v>
      </c>
      <c r="E2454" s="367">
        <v>9</v>
      </c>
      <c r="F2454" s="370"/>
      <c r="G2454" s="368"/>
      <c r="H2454" s="368"/>
      <c r="I2454" s="368"/>
      <c r="J2454" s="368"/>
      <c r="K2454" s="370"/>
      <c r="L2454" s="370"/>
      <c r="M2454" s="371"/>
      <c r="N2454" s="372"/>
      <c r="O2454" s="372"/>
      <c r="P2454" s="373"/>
      <c r="Q2454" s="374"/>
      <c r="R2454" s="378"/>
      <c r="S2454" s="379"/>
      <c r="T2454" s="366"/>
      <c r="U2454" s="366"/>
      <c r="V2454" s="366"/>
      <c r="W2454" s="366"/>
    </row>
    <row r="2455" spans="1:23">
      <c r="A2455" s="1410"/>
      <c r="B2455" s="1413"/>
      <c r="C2455" s="845" t="s">
        <v>993</v>
      </c>
      <c r="D2455" s="875" t="str">
        <f>B2445&amp;C2455</f>
        <v>BP3l</v>
      </c>
      <c r="E2455" s="367">
        <v>10</v>
      </c>
      <c r="F2455" s="370"/>
      <c r="G2455" s="368"/>
      <c r="H2455" s="368"/>
      <c r="I2455" s="368"/>
      <c r="J2455" s="368"/>
      <c r="K2455" s="370"/>
      <c r="L2455" s="370"/>
      <c r="M2455" s="370"/>
      <c r="N2455" s="372"/>
      <c r="O2455" s="372"/>
      <c r="P2455" s="373"/>
      <c r="Q2455" s="374"/>
      <c r="R2455" s="378"/>
      <c r="S2455" s="379"/>
      <c r="T2455" s="366"/>
      <c r="U2455" s="366"/>
      <c r="V2455" s="366"/>
      <c r="W2455" s="366"/>
    </row>
    <row r="2456" spans="1:23">
      <c r="A2456" s="1410"/>
      <c r="B2456" s="1413"/>
      <c r="C2456" s="845" t="s">
        <v>994</v>
      </c>
      <c r="D2456" s="875" t="str">
        <f>B2445&amp;C2456</f>
        <v>BP3m</v>
      </c>
      <c r="E2456" s="367">
        <v>11</v>
      </c>
      <c r="F2456" s="370"/>
      <c r="G2456" s="368"/>
      <c r="H2456" s="368"/>
      <c r="I2456" s="368"/>
      <c r="J2456" s="368"/>
      <c r="K2456" s="370"/>
      <c r="L2456" s="370"/>
      <c r="M2456" s="370"/>
      <c r="N2456" s="372"/>
      <c r="O2456" s="372"/>
      <c r="P2456" s="380"/>
      <c r="Q2456" s="374"/>
      <c r="R2456" s="381"/>
      <c r="S2456" s="379"/>
      <c r="T2456" s="366"/>
      <c r="U2456" s="366"/>
      <c r="V2456" s="366"/>
      <c r="W2456" s="366"/>
    </row>
    <row r="2457" spans="1:23">
      <c r="A2457" s="1410"/>
      <c r="B2457" s="1413"/>
      <c r="C2457" s="845" t="s">
        <v>995</v>
      </c>
      <c r="D2457" s="875" t="str">
        <f>B2445&amp;C2457</f>
        <v>BP3n</v>
      </c>
      <c r="E2457" s="367">
        <v>12</v>
      </c>
      <c r="F2457" s="370"/>
      <c r="G2457" s="368"/>
      <c r="H2457" s="368"/>
      <c r="I2457" s="368"/>
      <c r="J2457" s="368"/>
      <c r="K2457" s="370"/>
      <c r="L2457" s="370"/>
      <c r="M2457" s="370"/>
      <c r="N2457" s="372"/>
      <c r="O2457" s="372"/>
      <c r="P2457" s="380"/>
      <c r="Q2457" s="374"/>
      <c r="R2457" s="381"/>
      <c r="S2457" s="361"/>
      <c r="T2457" s="361"/>
      <c r="U2457" s="361"/>
      <c r="V2457" s="366"/>
      <c r="W2457" s="366"/>
    </row>
    <row r="2458" spans="1:23">
      <c r="A2458" s="1410"/>
      <c r="B2458" s="1413"/>
      <c r="C2458" s="845" t="s">
        <v>471</v>
      </c>
      <c r="D2458" s="875" t="str">
        <f>B2445&amp;C2458</f>
        <v>BP3x</v>
      </c>
      <c r="E2458" s="367">
        <v>13</v>
      </c>
      <c r="F2458" s="370"/>
      <c r="G2458" s="368"/>
      <c r="H2458" s="368"/>
      <c r="I2458" s="368"/>
      <c r="J2458" s="368"/>
      <c r="K2458" s="370"/>
      <c r="L2458" s="370"/>
      <c r="M2458" s="370"/>
      <c r="N2458" s="382"/>
      <c r="O2458" s="372"/>
      <c r="P2458" s="380"/>
      <c r="Q2458" s="381"/>
      <c r="R2458" s="381"/>
      <c r="S2458" s="361"/>
      <c r="T2458" s="361"/>
      <c r="U2458" s="361"/>
      <c r="V2458" s="366"/>
      <c r="W2458" s="366"/>
    </row>
    <row r="2459" spans="1:23">
      <c r="A2459" s="1410"/>
      <c r="B2459" s="1413"/>
      <c r="C2459" s="845" t="s">
        <v>732</v>
      </c>
      <c r="D2459" s="875" t="str">
        <f>B2445&amp;C2459</f>
        <v>BP3y</v>
      </c>
      <c r="E2459" s="367">
        <v>14</v>
      </c>
      <c r="F2459" s="370"/>
      <c r="G2459" s="368"/>
      <c r="H2459" s="368"/>
      <c r="I2459" s="368"/>
      <c r="J2459" s="368"/>
      <c r="K2459" s="370"/>
      <c r="L2459" s="370"/>
      <c r="M2459" s="370"/>
      <c r="N2459" s="382"/>
      <c r="O2459" s="372"/>
      <c r="P2459" s="380"/>
      <c r="Q2459" s="381"/>
      <c r="R2459" s="381"/>
      <c r="S2459" s="361"/>
      <c r="T2459" s="361"/>
      <c r="U2459" s="362"/>
      <c r="V2459" s="366"/>
      <c r="W2459" s="366"/>
    </row>
    <row r="2460" spans="1:23">
      <c r="A2460" s="1411"/>
      <c r="B2460" s="1414"/>
      <c r="C2460" s="846" t="s">
        <v>996</v>
      </c>
      <c r="D2460" s="876" t="str">
        <f>B2445&amp;C2460</f>
        <v>BP3z</v>
      </c>
      <c r="E2460" s="847">
        <v>15</v>
      </c>
      <c r="F2460" s="370"/>
      <c r="G2460" s="368"/>
      <c r="H2460" s="368"/>
      <c r="I2460" s="368"/>
      <c r="J2460" s="368"/>
      <c r="K2460" s="370"/>
      <c r="L2460" s="370"/>
      <c r="M2460" s="370"/>
      <c r="N2460" s="850"/>
      <c r="O2460" s="851"/>
      <c r="P2460" s="380"/>
      <c r="Q2460" s="852"/>
      <c r="R2460" s="383"/>
      <c r="S2460" s="361"/>
      <c r="T2460" s="832"/>
      <c r="U2460" s="830"/>
      <c r="V2460" s="366"/>
      <c r="W2460" s="366"/>
    </row>
    <row r="2461" spans="1:23">
      <c r="A2461" s="1400" t="s">
        <v>939</v>
      </c>
      <c r="B2461" s="1400"/>
      <c r="C2461" s="827"/>
      <c r="D2461" s="871"/>
      <c r="E2461" s="1400" t="s">
        <v>177</v>
      </c>
      <c r="F2461" s="1400" t="s">
        <v>18</v>
      </c>
      <c r="G2461" s="1389" t="s">
        <v>19</v>
      </c>
      <c r="H2461" s="1390"/>
      <c r="I2461" s="1389" t="s">
        <v>22</v>
      </c>
      <c r="J2461" s="1390"/>
      <c r="K2461" s="1393" t="s">
        <v>26</v>
      </c>
      <c r="L2461" s="1390"/>
      <c r="M2461" s="1389" t="s">
        <v>392</v>
      </c>
      <c r="N2461" s="1390"/>
      <c r="O2461" s="1389" t="s">
        <v>28</v>
      </c>
      <c r="P2461" s="1393"/>
      <c r="Q2461" s="1390"/>
      <c r="R2461" s="1400" t="s">
        <v>36</v>
      </c>
      <c r="S2461" s="361"/>
      <c r="T2461" s="361">
        <f>MAX(J2465:J2479)-MIN(I2465:I2479)</f>
        <v>2.4305555555555566E-2</v>
      </c>
      <c r="U2461" s="361"/>
      <c r="V2461" s="853" t="str">
        <f t="shared" ref="V2461" si="260">B2465</f>
        <v>A74</v>
      </c>
      <c r="W2461" s="361">
        <f t="shared" ref="W2461" si="261">COUNTIF(K2466:K2480,"&gt;0")</f>
        <v>3</v>
      </c>
    </row>
    <row r="2462" spans="1:23">
      <c r="A2462" s="1401"/>
      <c r="B2462" s="1401"/>
      <c r="C2462" s="828"/>
      <c r="D2462" s="872"/>
      <c r="E2462" s="1401"/>
      <c r="F2462" s="1401"/>
      <c r="G2462" s="1391"/>
      <c r="H2462" s="1392"/>
      <c r="I2462" s="1391"/>
      <c r="J2462" s="1392"/>
      <c r="K2462" s="1394"/>
      <c r="L2462" s="1392"/>
      <c r="M2462" s="1391"/>
      <c r="N2462" s="1392"/>
      <c r="O2462" s="1391"/>
      <c r="P2462" s="1394"/>
      <c r="Q2462" s="1392"/>
      <c r="R2462" s="1401"/>
      <c r="S2462" s="361"/>
      <c r="T2462" s="361"/>
      <c r="U2462" s="361"/>
      <c r="V2462" s="361"/>
      <c r="W2462" s="361"/>
    </row>
    <row r="2463" spans="1:23">
      <c r="A2463" s="1401"/>
      <c r="B2463" s="1401"/>
      <c r="C2463" s="828"/>
      <c r="D2463" s="872"/>
      <c r="E2463" s="1401"/>
      <c r="F2463" s="1401"/>
      <c r="G2463" s="1400" t="s">
        <v>20</v>
      </c>
      <c r="H2463" s="1400" t="s">
        <v>21</v>
      </c>
      <c r="I2463" s="1400" t="s">
        <v>361</v>
      </c>
      <c r="J2463" s="1400" t="s">
        <v>353</v>
      </c>
      <c r="K2463" s="1400" t="s">
        <v>23</v>
      </c>
      <c r="L2463" s="1400" t="s">
        <v>24</v>
      </c>
      <c r="M2463" s="1400" t="s">
        <v>27</v>
      </c>
      <c r="N2463" s="1400" t="s">
        <v>178</v>
      </c>
      <c r="O2463" s="1400" t="s">
        <v>1</v>
      </c>
      <c r="P2463" s="1400" t="s">
        <v>29</v>
      </c>
      <c r="Q2463" s="1400" t="s">
        <v>33</v>
      </c>
      <c r="R2463" s="1401"/>
      <c r="S2463" s="361"/>
      <c r="T2463" s="361" t="s">
        <v>39</v>
      </c>
      <c r="U2463" s="362">
        <f>VLOOKUP(B2465,'Thong tin'!$A:$M,13,0)</f>
        <v>1200</v>
      </c>
      <c r="V2463" s="361"/>
      <c r="W2463" s="361"/>
    </row>
    <row r="2464" spans="1:23">
      <c r="A2464" s="1402"/>
      <c r="B2464" s="1402"/>
      <c r="C2464" s="829"/>
      <c r="D2464" s="873"/>
      <c r="E2464" s="1402"/>
      <c r="F2464" s="1402"/>
      <c r="G2464" s="1402"/>
      <c r="H2464" s="1402"/>
      <c r="I2464" s="1402"/>
      <c r="J2464" s="1402"/>
      <c r="K2464" s="1402"/>
      <c r="L2464" s="1402"/>
      <c r="M2464" s="1402"/>
      <c r="N2464" s="1402"/>
      <c r="O2464" s="1402"/>
      <c r="P2464" s="1402"/>
      <c r="Q2464" s="1402"/>
      <c r="R2464" s="1402"/>
      <c r="S2464" s="361"/>
      <c r="T2464" s="1399" t="s">
        <v>393</v>
      </c>
      <c r="U2464" s="1397">
        <f>VLOOKUP(B2465,DT.NK!$B:$AZ,45,0)</f>
        <v>28.3</v>
      </c>
      <c r="V2464" s="361"/>
      <c r="W2464" s="361"/>
    </row>
    <row r="2465" spans="1:23">
      <c r="A2465" s="1409">
        <f>A2445+1</f>
        <v>124</v>
      </c>
      <c r="B2465" s="1412" t="s">
        <v>629</v>
      </c>
      <c r="C2465" s="844" t="s">
        <v>983</v>
      </c>
      <c r="D2465" s="874" t="str">
        <f>B2465&amp;C2465</f>
        <v>A74a</v>
      </c>
      <c r="E2465" s="363"/>
      <c r="F2465" s="364"/>
      <c r="G2465" s="364"/>
      <c r="H2465" s="364"/>
      <c r="I2465" s="364"/>
      <c r="J2465" s="364"/>
      <c r="K2465" s="364"/>
      <c r="L2465" s="364"/>
      <c r="M2465" s="674"/>
      <c r="N2465" s="670"/>
      <c r="O2465" s="670">
        <f>U2464</f>
        <v>28.3</v>
      </c>
      <c r="P2465" s="670">
        <f>O2465</f>
        <v>28.3</v>
      </c>
      <c r="Q2465" s="670">
        <v>0</v>
      </c>
      <c r="R2465" s="365"/>
      <c r="S2465" s="366"/>
      <c r="T2465" s="1399"/>
      <c r="U2465" s="1398"/>
      <c r="V2465" s="361"/>
      <c r="W2465" s="361"/>
    </row>
    <row r="2466" spans="1:23">
      <c r="A2466" s="1410"/>
      <c r="B2466" s="1413"/>
      <c r="C2466" s="845" t="s">
        <v>984</v>
      </c>
      <c r="D2466" s="875" t="str">
        <f>B2465&amp;C2466</f>
        <v>A74b</v>
      </c>
      <c r="E2466" s="367">
        <v>1</v>
      </c>
      <c r="F2466" s="669" t="s">
        <v>1089</v>
      </c>
      <c r="G2466" s="369">
        <v>7.6388888888888895E-2</v>
      </c>
      <c r="H2466" s="368">
        <v>0.10416666666666667</v>
      </c>
      <c r="I2466" s="368">
        <v>0.11458333333333333</v>
      </c>
      <c r="J2466" s="368">
        <v>0.11805555555555557</v>
      </c>
      <c r="K2466" s="669">
        <v>9</v>
      </c>
      <c r="L2466" s="669">
        <v>19</v>
      </c>
      <c r="M2466" s="675">
        <v>26.2</v>
      </c>
      <c r="N2466" s="671">
        <f>IF(M2466-P2466&gt;0,M2466-P2466,0)</f>
        <v>4.1999999999999993</v>
      </c>
      <c r="O2466" s="671">
        <f>O2465-K2466/(PI()*(U2463/2000)^2)</f>
        <v>20.342252845405234</v>
      </c>
      <c r="P2466" s="672">
        <v>22</v>
      </c>
      <c r="Q2466" s="673">
        <f>ABS(O2466-P2466)</f>
        <v>1.657747154594766</v>
      </c>
      <c r="R2466" s="375" t="s">
        <v>188</v>
      </c>
      <c r="S2466" s="366"/>
      <c r="T2466" s="376"/>
      <c r="U2466" s="376"/>
      <c r="V2466" s="366"/>
      <c r="W2466" s="366"/>
    </row>
    <row r="2467" spans="1:23">
      <c r="A2467" s="1410"/>
      <c r="B2467" s="1413"/>
      <c r="C2467" s="845" t="s">
        <v>985</v>
      </c>
      <c r="D2467" s="875" t="str">
        <f>B2465&amp;C2467</f>
        <v>A74c</v>
      </c>
      <c r="E2467" s="367">
        <v>2</v>
      </c>
      <c r="F2467" s="669" t="s">
        <v>1096</v>
      </c>
      <c r="G2467" s="369">
        <v>8.7500000000000008E-2</v>
      </c>
      <c r="H2467" s="368">
        <v>0.1111111111111111</v>
      </c>
      <c r="I2467" s="368">
        <v>0.125</v>
      </c>
      <c r="J2467" s="368">
        <v>0.12847222222222224</v>
      </c>
      <c r="K2467" s="669">
        <v>9</v>
      </c>
      <c r="L2467" s="669">
        <v>19</v>
      </c>
      <c r="M2467" s="675">
        <v>19.899999999999999</v>
      </c>
      <c r="N2467" s="671">
        <f>IF(M2467-P2467&gt;0,M2467-P2467,0)</f>
        <v>5.3999999999999986</v>
      </c>
      <c r="O2467" s="671">
        <f>O2466-K2467/(PI()*(U2463/2000)^2)</f>
        <v>12.384505690810467</v>
      </c>
      <c r="P2467" s="672">
        <v>14.5</v>
      </c>
      <c r="Q2467" s="673">
        <f>ABS(O2467-P2467)</f>
        <v>2.1154943091895326</v>
      </c>
      <c r="R2467" s="375" t="s">
        <v>188</v>
      </c>
      <c r="S2467" s="366"/>
      <c r="T2467" s="376"/>
      <c r="U2467" s="376"/>
      <c r="V2467" s="366"/>
      <c r="W2467" s="366"/>
    </row>
    <row r="2468" spans="1:23">
      <c r="A2468" s="1410"/>
      <c r="B2468" s="1413"/>
      <c r="C2468" s="845" t="s">
        <v>986</v>
      </c>
      <c r="D2468" s="875" t="str">
        <f>B2465&amp;C2468</f>
        <v>A74d</v>
      </c>
      <c r="E2468" s="367">
        <v>3</v>
      </c>
      <c r="F2468" s="669" t="s">
        <v>1085</v>
      </c>
      <c r="G2468" s="369">
        <v>0.10069444444444443</v>
      </c>
      <c r="H2468" s="368">
        <v>0.12847222222222224</v>
      </c>
      <c r="I2468" s="368">
        <v>0.13541666666666666</v>
      </c>
      <c r="J2468" s="368">
        <v>0.1388888888888889</v>
      </c>
      <c r="K2468" s="669">
        <v>9</v>
      </c>
      <c r="L2468" s="669">
        <v>19</v>
      </c>
      <c r="M2468" s="675">
        <v>10.45</v>
      </c>
      <c r="N2468" s="671">
        <f>IF(M2468-P2468&gt;0,M2468-P2468,0)</f>
        <v>2.8499999999999996</v>
      </c>
      <c r="O2468" s="671">
        <f>O2467-K2468/(PI()*(U2463/2000)^2)</f>
        <v>4.4267585362157007</v>
      </c>
      <c r="P2468" s="672">
        <v>7.6</v>
      </c>
      <c r="Q2468" s="673">
        <f>ABS(O2468-P2468)</f>
        <v>3.1732414637842989</v>
      </c>
      <c r="R2468" s="375" t="s">
        <v>188</v>
      </c>
      <c r="S2468" s="366"/>
      <c r="T2468" s="376"/>
      <c r="U2468" s="376"/>
      <c r="V2468" s="366"/>
      <c r="W2468" s="366"/>
    </row>
    <row r="2469" spans="1:23">
      <c r="A2469" s="1410"/>
      <c r="B2469" s="1413"/>
      <c r="C2469" s="845" t="s">
        <v>987</v>
      </c>
      <c r="D2469" s="875" t="str">
        <f>B2465&amp;C2469</f>
        <v>A74e</v>
      </c>
      <c r="E2469" s="367">
        <v>4</v>
      </c>
      <c r="F2469" s="669"/>
      <c r="G2469" s="368"/>
      <c r="H2469" s="368"/>
      <c r="I2469" s="368"/>
      <c r="J2469" s="368"/>
      <c r="K2469" s="370"/>
      <c r="L2469" s="370"/>
      <c r="M2469" s="371"/>
      <c r="N2469" s="671"/>
      <c r="O2469" s="671"/>
      <c r="P2469" s="373"/>
      <c r="Q2469" s="673"/>
      <c r="R2469" s="378"/>
      <c r="S2469" s="366"/>
      <c r="T2469" s="376"/>
      <c r="U2469" s="376"/>
      <c r="V2469" s="366"/>
      <c r="W2469" s="366"/>
    </row>
    <row r="2470" spans="1:23">
      <c r="A2470" s="1410"/>
      <c r="B2470" s="1413"/>
      <c r="C2470" s="845" t="s">
        <v>988</v>
      </c>
      <c r="D2470" s="875" t="str">
        <f>B2465&amp;C2470</f>
        <v>A74f</v>
      </c>
      <c r="E2470" s="367">
        <v>5</v>
      </c>
      <c r="F2470" s="669"/>
      <c r="G2470" s="368"/>
      <c r="H2470" s="368"/>
      <c r="I2470" s="368"/>
      <c r="J2470" s="368"/>
      <c r="K2470" s="370"/>
      <c r="L2470" s="370"/>
      <c r="M2470" s="371"/>
      <c r="N2470" s="671"/>
      <c r="O2470" s="671"/>
      <c r="P2470" s="373"/>
      <c r="Q2470" s="673"/>
      <c r="R2470" s="378"/>
      <c r="S2470" s="366" t="s">
        <v>190</v>
      </c>
      <c r="T2470" s="376"/>
      <c r="U2470" s="376"/>
      <c r="V2470" s="366"/>
      <c r="W2470" s="366"/>
    </row>
    <row r="2471" spans="1:23">
      <c r="A2471" s="1410"/>
      <c r="B2471" s="1413"/>
      <c r="C2471" s="845" t="s">
        <v>989</v>
      </c>
      <c r="D2471" s="875" t="str">
        <f>B2465&amp;C2471</f>
        <v>A74g</v>
      </c>
      <c r="E2471" s="367">
        <v>6</v>
      </c>
      <c r="F2471" s="669"/>
      <c r="G2471" s="368"/>
      <c r="H2471" s="368"/>
      <c r="I2471" s="368"/>
      <c r="J2471" s="368"/>
      <c r="K2471" s="370"/>
      <c r="L2471" s="370"/>
      <c r="M2471" s="371"/>
      <c r="N2471" s="671"/>
      <c r="O2471" s="671"/>
      <c r="P2471" s="373"/>
      <c r="Q2471" s="673"/>
      <c r="R2471" s="378"/>
      <c r="S2471" s="366" t="s">
        <v>190</v>
      </c>
      <c r="T2471" s="366"/>
      <c r="U2471" s="366"/>
      <c r="V2471" s="366"/>
      <c r="W2471" s="366"/>
    </row>
    <row r="2472" spans="1:23">
      <c r="A2472" s="1410"/>
      <c r="B2472" s="1413"/>
      <c r="C2472" s="845" t="s">
        <v>990</v>
      </c>
      <c r="D2472" s="875" t="str">
        <f>B2465&amp;C2472</f>
        <v>A74h</v>
      </c>
      <c r="E2472" s="367">
        <v>7</v>
      </c>
      <c r="F2472" s="669"/>
      <c r="G2472" s="368"/>
      <c r="H2472" s="368"/>
      <c r="I2472" s="368"/>
      <c r="J2472" s="368"/>
      <c r="K2472" s="370"/>
      <c r="L2472" s="370"/>
      <c r="M2472" s="371"/>
      <c r="N2472" s="671"/>
      <c r="O2472" s="671"/>
      <c r="P2472" s="373"/>
      <c r="Q2472" s="673"/>
      <c r="R2472" s="378"/>
      <c r="S2472" s="366" t="s">
        <v>190</v>
      </c>
      <c r="T2472" s="366"/>
      <c r="U2472" s="366"/>
      <c r="V2472" s="366"/>
      <c r="W2472" s="366"/>
    </row>
    <row r="2473" spans="1:23">
      <c r="A2473" s="1410"/>
      <c r="B2473" s="1413"/>
      <c r="C2473" s="845" t="s">
        <v>991</v>
      </c>
      <c r="D2473" s="875" t="str">
        <f>B2465&amp;C2473</f>
        <v>A74i</v>
      </c>
      <c r="E2473" s="367">
        <v>8</v>
      </c>
      <c r="F2473" s="669"/>
      <c r="G2473" s="368"/>
      <c r="H2473" s="368"/>
      <c r="I2473" s="368"/>
      <c r="J2473" s="368"/>
      <c r="K2473" s="370"/>
      <c r="L2473" s="370"/>
      <c r="M2473" s="371"/>
      <c r="N2473" s="671"/>
      <c r="O2473" s="671"/>
      <c r="P2473" s="373"/>
      <c r="Q2473" s="673"/>
      <c r="R2473" s="378"/>
      <c r="S2473" s="366"/>
      <c r="T2473" s="366"/>
      <c r="U2473" s="366"/>
      <c r="V2473" s="366"/>
      <c r="W2473" s="366"/>
    </row>
    <row r="2474" spans="1:23">
      <c r="A2474" s="1410"/>
      <c r="B2474" s="1413"/>
      <c r="C2474" s="845" t="s">
        <v>992</v>
      </c>
      <c r="D2474" s="875" t="str">
        <f>B2465&amp;C2474</f>
        <v>A74k</v>
      </c>
      <c r="E2474" s="367">
        <v>9</v>
      </c>
      <c r="F2474" s="370"/>
      <c r="G2474" s="368"/>
      <c r="H2474" s="368"/>
      <c r="I2474" s="368"/>
      <c r="J2474" s="368"/>
      <c r="K2474" s="370"/>
      <c r="L2474" s="370"/>
      <c r="M2474" s="371"/>
      <c r="N2474" s="372"/>
      <c r="O2474" s="372"/>
      <c r="P2474" s="373"/>
      <c r="Q2474" s="374"/>
      <c r="R2474" s="378"/>
      <c r="S2474" s="379"/>
      <c r="T2474" s="366"/>
      <c r="U2474" s="366"/>
      <c r="V2474" s="366"/>
      <c r="W2474" s="366"/>
    </row>
    <row r="2475" spans="1:23">
      <c r="A2475" s="1410"/>
      <c r="B2475" s="1413"/>
      <c r="C2475" s="845" t="s">
        <v>993</v>
      </c>
      <c r="D2475" s="875" t="str">
        <f>B2465&amp;C2475</f>
        <v>A74l</v>
      </c>
      <c r="E2475" s="367">
        <v>10</v>
      </c>
      <c r="F2475" s="370"/>
      <c r="G2475" s="368"/>
      <c r="H2475" s="368"/>
      <c r="I2475" s="368"/>
      <c r="J2475" s="368"/>
      <c r="K2475" s="370"/>
      <c r="L2475" s="370"/>
      <c r="M2475" s="370"/>
      <c r="N2475" s="372"/>
      <c r="O2475" s="372"/>
      <c r="P2475" s="373"/>
      <c r="Q2475" s="374"/>
      <c r="R2475" s="378"/>
      <c r="S2475" s="379"/>
      <c r="T2475" s="366"/>
      <c r="U2475" s="366"/>
      <c r="V2475" s="366"/>
      <c r="W2475" s="366"/>
    </row>
    <row r="2476" spans="1:23">
      <c r="A2476" s="1410"/>
      <c r="B2476" s="1413"/>
      <c r="C2476" s="845" t="s">
        <v>994</v>
      </c>
      <c r="D2476" s="875" t="str">
        <f>B2465&amp;C2476</f>
        <v>A74m</v>
      </c>
      <c r="E2476" s="367">
        <v>11</v>
      </c>
      <c r="F2476" s="370"/>
      <c r="G2476" s="368"/>
      <c r="H2476" s="368"/>
      <c r="I2476" s="368"/>
      <c r="J2476" s="368"/>
      <c r="K2476" s="370"/>
      <c r="L2476" s="370"/>
      <c r="M2476" s="370"/>
      <c r="N2476" s="372"/>
      <c r="O2476" s="372"/>
      <c r="P2476" s="380"/>
      <c r="Q2476" s="374"/>
      <c r="R2476" s="381"/>
      <c r="S2476" s="379"/>
      <c r="T2476" s="366"/>
      <c r="U2476" s="366"/>
      <c r="V2476" s="366"/>
      <c r="W2476" s="366"/>
    </row>
    <row r="2477" spans="1:23">
      <c r="A2477" s="1410"/>
      <c r="B2477" s="1413"/>
      <c r="C2477" s="845" t="s">
        <v>995</v>
      </c>
      <c r="D2477" s="875" t="str">
        <f>B2465&amp;C2477</f>
        <v>A74n</v>
      </c>
      <c r="E2477" s="367">
        <v>12</v>
      </c>
      <c r="F2477" s="370"/>
      <c r="G2477" s="368"/>
      <c r="H2477" s="368"/>
      <c r="I2477" s="368"/>
      <c r="J2477" s="368"/>
      <c r="K2477" s="370"/>
      <c r="L2477" s="370"/>
      <c r="M2477" s="370"/>
      <c r="N2477" s="372"/>
      <c r="O2477" s="372"/>
      <c r="P2477" s="380"/>
      <c r="Q2477" s="374"/>
      <c r="R2477" s="381"/>
      <c r="S2477" s="361"/>
      <c r="T2477" s="361"/>
      <c r="U2477" s="361"/>
      <c r="V2477" s="366"/>
      <c r="W2477" s="366"/>
    </row>
    <row r="2478" spans="1:23">
      <c r="A2478" s="1410"/>
      <c r="B2478" s="1413"/>
      <c r="C2478" s="845" t="s">
        <v>471</v>
      </c>
      <c r="D2478" s="875" t="str">
        <f>B2465&amp;C2478</f>
        <v>A74x</v>
      </c>
      <c r="E2478" s="367">
        <v>13</v>
      </c>
      <c r="F2478" s="370"/>
      <c r="G2478" s="368"/>
      <c r="H2478" s="368"/>
      <c r="I2478" s="368"/>
      <c r="J2478" s="368"/>
      <c r="K2478" s="370"/>
      <c r="L2478" s="370"/>
      <c r="M2478" s="370"/>
      <c r="N2478" s="382"/>
      <c r="O2478" s="372"/>
      <c r="P2478" s="380"/>
      <c r="Q2478" s="381"/>
      <c r="R2478" s="381"/>
      <c r="S2478" s="361"/>
      <c r="T2478" s="361"/>
      <c r="U2478" s="361"/>
      <c r="V2478" s="366"/>
      <c r="W2478" s="366"/>
    </row>
    <row r="2479" spans="1:23">
      <c r="A2479" s="1410"/>
      <c r="B2479" s="1413"/>
      <c r="C2479" s="845" t="s">
        <v>732</v>
      </c>
      <c r="D2479" s="875" t="str">
        <f>B2465&amp;C2479</f>
        <v>A74y</v>
      </c>
      <c r="E2479" s="367">
        <v>14</v>
      </c>
      <c r="F2479" s="370"/>
      <c r="G2479" s="368"/>
      <c r="H2479" s="368"/>
      <c r="I2479" s="368"/>
      <c r="J2479" s="368"/>
      <c r="K2479" s="370"/>
      <c r="L2479" s="370"/>
      <c r="M2479" s="370"/>
      <c r="N2479" s="382"/>
      <c r="O2479" s="372"/>
      <c r="P2479" s="380"/>
      <c r="Q2479" s="381"/>
      <c r="R2479" s="381"/>
      <c r="S2479" s="361"/>
      <c r="T2479" s="361"/>
      <c r="U2479" s="362"/>
      <c r="V2479" s="366"/>
      <c r="W2479" s="366"/>
    </row>
    <row r="2480" spans="1:23">
      <c r="A2480" s="1411"/>
      <c r="B2480" s="1414"/>
      <c r="C2480" s="846" t="s">
        <v>996</v>
      </c>
      <c r="D2480" s="876" t="str">
        <f>B2465&amp;C2480</f>
        <v>A74z</v>
      </c>
      <c r="E2480" s="847">
        <v>15</v>
      </c>
      <c r="F2480" s="370"/>
      <c r="G2480" s="368"/>
      <c r="H2480" s="368"/>
      <c r="I2480" s="368"/>
      <c r="J2480" s="368"/>
      <c r="K2480" s="370"/>
      <c r="L2480" s="370"/>
      <c r="M2480" s="370"/>
      <c r="N2480" s="850"/>
      <c r="O2480" s="851"/>
      <c r="P2480" s="380"/>
      <c r="Q2480" s="852"/>
      <c r="R2480" s="383"/>
      <c r="S2480" s="361"/>
      <c r="T2480" s="832"/>
      <c r="U2480" s="830"/>
      <c r="V2480" s="366"/>
      <c r="W2480" s="366"/>
    </row>
    <row r="2481" spans="1:23">
      <c r="A2481" s="1400" t="s">
        <v>939</v>
      </c>
      <c r="B2481" s="1400"/>
      <c r="C2481" s="827"/>
      <c r="D2481" s="871"/>
      <c r="E2481" s="1400" t="s">
        <v>177</v>
      </c>
      <c r="F2481" s="1400" t="s">
        <v>18</v>
      </c>
      <c r="G2481" s="1389" t="s">
        <v>19</v>
      </c>
      <c r="H2481" s="1390"/>
      <c r="I2481" s="1389" t="s">
        <v>22</v>
      </c>
      <c r="J2481" s="1390"/>
      <c r="K2481" s="1393" t="s">
        <v>26</v>
      </c>
      <c r="L2481" s="1390"/>
      <c r="M2481" s="1389" t="s">
        <v>392</v>
      </c>
      <c r="N2481" s="1390"/>
      <c r="O2481" s="1389" t="s">
        <v>28</v>
      </c>
      <c r="P2481" s="1393"/>
      <c r="Q2481" s="1390"/>
      <c r="R2481" s="1400" t="s">
        <v>36</v>
      </c>
      <c r="S2481" s="361"/>
      <c r="T2481" s="361">
        <f>MAX(J2485:J2499)-MIN(I2485:I2499)</f>
        <v>6.25E-2</v>
      </c>
      <c r="U2481" s="361"/>
      <c r="V2481" s="853" t="str">
        <f t="shared" ref="V2481" si="262">B2485</f>
        <v>A76</v>
      </c>
      <c r="W2481" s="361">
        <f t="shared" ref="W2481" si="263">COUNTIF(K2486:K2500,"&gt;0")</f>
        <v>3</v>
      </c>
    </row>
    <row r="2482" spans="1:23">
      <c r="A2482" s="1401"/>
      <c r="B2482" s="1401"/>
      <c r="C2482" s="828"/>
      <c r="D2482" s="872"/>
      <c r="E2482" s="1401"/>
      <c r="F2482" s="1401"/>
      <c r="G2482" s="1391"/>
      <c r="H2482" s="1392"/>
      <c r="I2482" s="1391"/>
      <c r="J2482" s="1392"/>
      <c r="K2482" s="1394"/>
      <c r="L2482" s="1392"/>
      <c r="M2482" s="1391"/>
      <c r="N2482" s="1392"/>
      <c r="O2482" s="1391"/>
      <c r="P2482" s="1394"/>
      <c r="Q2482" s="1392"/>
      <c r="R2482" s="1401"/>
      <c r="S2482" s="361"/>
      <c r="T2482" s="361"/>
      <c r="U2482" s="361"/>
      <c r="V2482" s="361"/>
      <c r="W2482" s="361"/>
    </row>
    <row r="2483" spans="1:23">
      <c r="A2483" s="1401"/>
      <c r="B2483" s="1401"/>
      <c r="C2483" s="828"/>
      <c r="D2483" s="872"/>
      <c r="E2483" s="1401"/>
      <c r="F2483" s="1401"/>
      <c r="G2483" s="1400" t="s">
        <v>20</v>
      </c>
      <c r="H2483" s="1400" t="s">
        <v>21</v>
      </c>
      <c r="I2483" s="1400" t="s">
        <v>361</v>
      </c>
      <c r="J2483" s="1400" t="s">
        <v>353</v>
      </c>
      <c r="K2483" s="1400" t="s">
        <v>23</v>
      </c>
      <c r="L2483" s="1400" t="s">
        <v>24</v>
      </c>
      <c r="M2483" s="1400" t="s">
        <v>27</v>
      </c>
      <c r="N2483" s="1400" t="s">
        <v>178</v>
      </c>
      <c r="O2483" s="1400" t="s">
        <v>1</v>
      </c>
      <c r="P2483" s="1400" t="s">
        <v>29</v>
      </c>
      <c r="Q2483" s="1400" t="s">
        <v>33</v>
      </c>
      <c r="R2483" s="1401"/>
      <c r="S2483" s="361"/>
      <c r="T2483" s="361" t="s">
        <v>39</v>
      </c>
      <c r="U2483" s="362">
        <f>VLOOKUP(B2485,'Thong tin'!$A:$M,13,0)</f>
        <v>1200</v>
      </c>
      <c r="V2483" s="361"/>
      <c r="W2483" s="361"/>
    </row>
    <row r="2484" spans="1:23">
      <c r="A2484" s="1402"/>
      <c r="B2484" s="1402"/>
      <c r="C2484" s="829"/>
      <c r="D2484" s="873"/>
      <c r="E2484" s="1402"/>
      <c r="F2484" s="1402"/>
      <c r="G2484" s="1402"/>
      <c r="H2484" s="1402"/>
      <c r="I2484" s="1402"/>
      <c r="J2484" s="1402"/>
      <c r="K2484" s="1402"/>
      <c r="L2484" s="1402"/>
      <c r="M2484" s="1402"/>
      <c r="N2484" s="1402"/>
      <c r="O2484" s="1402"/>
      <c r="P2484" s="1402"/>
      <c r="Q2484" s="1402"/>
      <c r="R2484" s="1402"/>
      <c r="S2484" s="361"/>
      <c r="T2484" s="1399" t="s">
        <v>393</v>
      </c>
      <c r="U2484" s="1397">
        <f>VLOOKUP(B2485,DT.NK!$B:$AZ,45,0)</f>
        <v>26.8</v>
      </c>
      <c r="V2484" s="361"/>
      <c r="W2484" s="361"/>
    </row>
    <row r="2485" spans="1:23">
      <c r="A2485" s="1409">
        <f>A2465+1</f>
        <v>125</v>
      </c>
      <c r="B2485" s="1412" t="s">
        <v>638</v>
      </c>
      <c r="C2485" s="844" t="s">
        <v>983</v>
      </c>
      <c r="D2485" s="874" t="str">
        <f>B2485&amp;C2485</f>
        <v>A76a</v>
      </c>
      <c r="E2485" s="363"/>
      <c r="F2485" s="364"/>
      <c r="G2485" s="364"/>
      <c r="H2485" s="364"/>
      <c r="I2485" s="364"/>
      <c r="J2485" s="364"/>
      <c r="K2485" s="364"/>
      <c r="L2485" s="364"/>
      <c r="M2485" s="674"/>
      <c r="N2485" s="670"/>
      <c r="O2485" s="670">
        <f>U2484</f>
        <v>26.8</v>
      </c>
      <c r="P2485" s="670">
        <f>O2485</f>
        <v>26.8</v>
      </c>
      <c r="Q2485" s="670">
        <v>0</v>
      </c>
      <c r="R2485" s="365"/>
      <c r="S2485" s="366"/>
      <c r="T2485" s="1399"/>
      <c r="U2485" s="1398"/>
      <c r="V2485" s="361"/>
      <c r="W2485" s="361"/>
    </row>
    <row r="2486" spans="1:23">
      <c r="A2486" s="1410"/>
      <c r="B2486" s="1413"/>
      <c r="C2486" s="845" t="s">
        <v>984</v>
      </c>
      <c r="D2486" s="875" t="str">
        <f>B2485&amp;C2486</f>
        <v>A76b</v>
      </c>
      <c r="E2486" s="367">
        <v>1</v>
      </c>
      <c r="F2486" s="669" t="s">
        <v>1089</v>
      </c>
      <c r="G2486" s="369">
        <v>0.58194444444444449</v>
      </c>
      <c r="H2486" s="368">
        <v>0.62152777777777779</v>
      </c>
      <c r="I2486" s="368">
        <v>0.625</v>
      </c>
      <c r="J2486" s="368">
        <v>0.62847222222222221</v>
      </c>
      <c r="K2486" s="669">
        <v>12</v>
      </c>
      <c r="L2486" s="669">
        <v>19</v>
      </c>
      <c r="M2486" s="675">
        <v>27.6</v>
      </c>
      <c r="N2486" s="671">
        <f>IF(M2486-P2486&gt;0,M2486-P2486,0)</f>
        <v>5.8000000000000007</v>
      </c>
      <c r="O2486" s="671">
        <f>O2485-K2486/(PI()*(U2483/2000)^2)</f>
        <v>16.189670460540313</v>
      </c>
      <c r="P2486" s="672">
        <v>21.8</v>
      </c>
      <c r="Q2486" s="673">
        <f>ABS(O2486-P2486)</f>
        <v>5.6103295394596877</v>
      </c>
      <c r="R2486" s="375" t="s">
        <v>188</v>
      </c>
      <c r="S2486" s="366"/>
      <c r="T2486" s="376"/>
      <c r="U2486" s="376"/>
      <c r="V2486" s="366"/>
      <c r="W2486" s="366"/>
    </row>
    <row r="2487" spans="1:23">
      <c r="A2487" s="1410"/>
      <c r="B2487" s="1413"/>
      <c r="C2487" s="845" t="s">
        <v>985</v>
      </c>
      <c r="D2487" s="875" t="str">
        <f>B2485&amp;C2487</f>
        <v>A76c</v>
      </c>
      <c r="E2487" s="367">
        <v>2</v>
      </c>
      <c r="F2487" s="669" t="s">
        <v>1091</v>
      </c>
      <c r="G2487" s="369">
        <v>0.63194444444444442</v>
      </c>
      <c r="H2487" s="368">
        <v>0.63194444444444442</v>
      </c>
      <c r="I2487" s="368">
        <v>0.63541666666666663</v>
      </c>
      <c r="J2487" s="368">
        <v>0.64236111111111105</v>
      </c>
      <c r="K2487" s="669">
        <v>12</v>
      </c>
      <c r="L2487" s="669">
        <v>19</v>
      </c>
      <c r="M2487" s="675">
        <v>15</v>
      </c>
      <c r="N2487" s="671">
        <f>IF(M2487-P2487&gt;0,M2487-P2487,0)</f>
        <v>3.8000000000000007</v>
      </c>
      <c r="O2487" s="671">
        <f>O2486-K2487/(PI()*(U2483/2000)^2)</f>
        <v>5.5793409210806235</v>
      </c>
      <c r="P2487" s="672">
        <v>11.2</v>
      </c>
      <c r="Q2487" s="673">
        <f>ABS(O2487-P2487)</f>
        <v>5.6206590789193758</v>
      </c>
      <c r="R2487" s="375" t="s">
        <v>188</v>
      </c>
      <c r="S2487" s="366"/>
      <c r="T2487" s="376"/>
      <c r="U2487" s="376"/>
      <c r="V2487" s="366"/>
      <c r="W2487" s="366"/>
    </row>
    <row r="2488" spans="1:23">
      <c r="A2488" s="1410"/>
      <c r="B2488" s="1413"/>
      <c r="C2488" s="845" t="s">
        <v>986</v>
      </c>
      <c r="D2488" s="875" t="str">
        <f>B2485&amp;C2488</f>
        <v>A76d</v>
      </c>
      <c r="E2488" s="367">
        <v>3</v>
      </c>
      <c r="F2488" s="669" t="s">
        <v>1096</v>
      </c>
      <c r="G2488" s="369">
        <v>0.68055555555555547</v>
      </c>
      <c r="H2488" s="368">
        <v>0.68055555555555547</v>
      </c>
      <c r="I2488" s="368">
        <v>0.68402777777777779</v>
      </c>
      <c r="J2488" s="368">
        <v>0.6875</v>
      </c>
      <c r="K2488" s="669">
        <v>3</v>
      </c>
      <c r="L2488" s="669">
        <v>19</v>
      </c>
      <c r="M2488" s="675">
        <v>15</v>
      </c>
      <c r="N2488" s="671">
        <f>IF(M2488-P2488&gt;0,M2488-P2488,0)</f>
        <v>6.4</v>
      </c>
      <c r="O2488" s="671">
        <f>O2487-K2488/(PI()*(U2483/2000)^2)</f>
        <v>2.9267585362157011</v>
      </c>
      <c r="P2488" s="672">
        <v>8.6</v>
      </c>
      <c r="Q2488" s="673">
        <f>ABS(O2488-P2488)</f>
        <v>5.6732414637842989</v>
      </c>
      <c r="R2488" s="375" t="s">
        <v>188</v>
      </c>
      <c r="S2488" s="366"/>
      <c r="T2488" s="376"/>
      <c r="U2488" s="376"/>
      <c r="V2488" s="366"/>
      <c r="W2488" s="366"/>
    </row>
    <row r="2489" spans="1:23">
      <c r="A2489" s="1410"/>
      <c r="B2489" s="1413"/>
      <c r="C2489" s="845" t="s">
        <v>987</v>
      </c>
      <c r="D2489" s="875" t="str">
        <f>B2485&amp;C2489</f>
        <v>A76e</v>
      </c>
      <c r="E2489" s="367">
        <v>4</v>
      </c>
      <c r="F2489" s="669"/>
      <c r="G2489" s="368"/>
      <c r="H2489" s="368"/>
      <c r="I2489" s="368"/>
      <c r="J2489" s="368"/>
      <c r="K2489" s="370"/>
      <c r="L2489" s="370"/>
      <c r="M2489" s="371"/>
      <c r="N2489" s="671"/>
      <c r="O2489" s="671"/>
      <c r="P2489" s="373"/>
      <c r="Q2489" s="673"/>
      <c r="R2489" s="378"/>
      <c r="S2489" s="366"/>
      <c r="T2489" s="376"/>
      <c r="U2489" s="376"/>
      <c r="V2489" s="366"/>
      <c r="W2489" s="366"/>
    </row>
    <row r="2490" spans="1:23">
      <c r="A2490" s="1410"/>
      <c r="B2490" s="1413"/>
      <c r="C2490" s="845" t="s">
        <v>988</v>
      </c>
      <c r="D2490" s="875" t="str">
        <f>B2485&amp;C2490</f>
        <v>A76f</v>
      </c>
      <c r="E2490" s="367">
        <v>5</v>
      </c>
      <c r="F2490" s="669"/>
      <c r="G2490" s="368"/>
      <c r="H2490" s="368"/>
      <c r="I2490" s="368"/>
      <c r="J2490" s="368"/>
      <c r="K2490" s="370"/>
      <c r="L2490" s="370"/>
      <c r="M2490" s="371"/>
      <c r="N2490" s="671"/>
      <c r="O2490" s="671"/>
      <c r="P2490" s="373"/>
      <c r="Q2490" s="673"/>
      <c r="R2490" s="378"/>
      <c r="S2490" s="366" t="s">
        <v>190</v>
      </c>
      <c r="T2490" s="376"/>
      <c r="U2490" s="376"/>
      <c r="V2490" s="366"/>
      <c r="W2490" s="366"/>
    </row>
    <row r="2491" spans="1:23">
      <c r="A2491" s="1410"/>
      <c r="B2491" s="1413"/>
      <c r="C2491" s="845" t="s">
        <v>989</v>
      </c>
      <c r="D2491" s="875" t="str">
        <f>B2485&amp;C2491</f>
        <v>A76g</v>
      </c>
      <c r="E2491" s="367">
        <v>6</v>
      </c>
      <c r="F2491" s="669"/>
      <c r="G2491" s="368"/>
      <c r="H2491" s="368"/>
      <c r="I2491" s="368"/>
      <c r="J2491" s="368"/>
      <c r="K2491" s="370"/>
      <c r="L2491" s="370"/>
      <c r="M2491" s="371"/>
      <c r="N2491" s="671"/>
      <c r="O2491" s="671"/>
      <c r="P2491" s="373"/>
      <c r="Q2491" s="673"/>
      <c r="R2491" s="378"/>
      <c r="S2491" s="366" t="s">
        <v>190</v>
      </c>
      <c r="T2491" s="366"/>
      <c r="U2491" s="366"/>
      <c r="V2491" s="366"/>
      <c r="W2491" s="366"/>
    </row>
    <row r="2492" spans="1:23">
      <c r="A2492" s="1410"/>
      <c r="B2492" s="1413"/>
      <c r="C2492" s="845" t="s">
        <v>990</v>
      </c>
      <c r="D2492" s="875" t="str">
        <f>B2485&amp;C2492</f>
        <v>A76h</v>
      </c>
      <c r="E2492" s="367">
        <v>7</v>
      </c>
      <c r="F2492" s="669"/>
      <c r="G2492" s="368"/>
      <c r="H2492" s="368"/>
      <c r="I2492" s="368"/>
      <c r="J2492" s="368"/>
      <c r="K2492" s="370"/>
      <c r="L2492" s="370"/>
      <c r="M2492" s="371"/>
      <c r="N2492" s="671"/>
      <c r="O2492" s="671"/>
      <c r="P2492" s="373"/>
      <c r="Q2492" s="673"/>
      <c r="R2492" s="378"/>
      <c r="S2492" s="366" t="s">
        <v>190</v>
      </c>
      <c r="T2492" s="366"/>
      <c r="U2492" s="366"/>
      <c r="V2492" s="366"/>
      <c r="W2492" s="366"/>
    </row>
    <row r="2493" spans="1:23">
      <c r="A2493" s="1410"/>
      <c r="B2493" s="1413"/>
      <c r="C2493" s="845" t="s">
        <v>991</v>
      </c>
      <c r="D2493" s="875" t="str">
        <f>B2485&amp;C2493</f>
        <v>A76i</v>
      </c>
      <c r="E2493" s="367">
        <v>8</v>
      </c>
      <c r="F2493" s="669"/>
      <c r="G2493" s="368"/>
      <c r="H2493" s="368"/>
      <c r="I2493" s="368"/>
      <c r="J2493" s="368"/>
      <c r="K2493" s="370"/>
      <c r="L2493" s="370"/>
      <c r="M2493" s="371"/>
      <c r="N2493" s="671"/>
      <c r="O2493" s="671"/>
      <c r="P2493" s="373"/>
      <c r="Q2493" s="673"/>
      <c r="R2493" s="378"/>
      <c r="S2493" s="366"/>
      <c r="T2493" s="366"/>
      <c r="U2493" s="366"/>
      <c r="V2493" s="366"/>
      <c r="W2493" s="366"/>
    </row>
    <row r="2494" spans="1:23">
      <c r="A2494" s="1410"/>
      <c r="B2494" s="1413"/>
      <c r="C2494" s="845" t="s">
        <v>992</v>
      </c>
      <c r="D2494" s="875" t="str">
        <f>B2485&amp;C2494</f>
        <v>A76k</v>
      </c>
      <c r="E2494" s="367">
        <v>9</v>
      </c>
      <c r="F2494" s="370"/>
      <c r="G2494" s="368"/>
      <c r="H2494" s="368"/>
      <c r="I2494" s="368"/>
      <c r="J2494" s="368"/>
      <c r="K2494" s="370"/>
      <c r="L2494" s="370"/>
      <c r="M2494" s="371"/>
      <c r="N2494" s="372"/>
      <c r="O2494" s="372"/>
      <c r="P2494" s="373"/>
      <c r="Q2494" s="374"/>
      <c r="R2494" s="378"/>
      <c r="S2494" s="379"/>
      <c r="T2494" s="366"/>
      <c r="U2494" s="366"/>
      <c r="V2494" s="366"/>
      <c r="W2494" s="366"/>
    </row>
    <row r="2495" spans="1:23">
      <c r="A2495" s="1410"/>
      <c r="B2495" s="1413"/>
      <c r="C2495" s="845" t="s">
        <v>993</v>
      </c>
      <c r="D2495" s="875" t="str">
        <f>B2485&amp;C2495</f>
        <v>A76l</v>
      </c>
      <c r="E2495" s="367">
        <v>10</v>
      </c>
      <c r="F2495" s="370"/>
      <c r="G2495" s="368"/>
      <c r="H2495" s="368"/>
      <c r="I2495" s="368"/>
      <c r="J2495" s="368"/>
      <c r="K2495" s="370"/>
      <c r="L2495" s="370"/>
      <c r="M2495" s="370"/>
      <c r="N2495" s="372"/>
      <c r="O2495" s="372"/>
      <c r="P2495" s="373"/>
      <c r="Q2495" s="374"/>
      <c r="R2495" s="378"/>
      <c r="S2495" s="379"/>
      <c r="T2495" s="366"/>
      <c r="U2495" s="366"/>
      <c r="V2495" s="366"/>
      <c r="W2495" s="366"/>
    </row>
    <row r="2496" spans="1:23">
      <c r="A2496" s="1410"/>
      <c r="B2496" s="1413"/>
      <c r="C2496" s="845" t="s">
        <v>994</v>
      </c>
      <c r="D2496" s="875" t="str">
        <f>B2485&amp;C2496</f>
        <v>A76m</v>
      </c>
      <c r="E2496" s="367">
        <v>11</v>
      </c>
      <c r="F2496" s="370"/>
      <c r="G2496" s="368"/>
      <c r="H2496" s="368"/>
      <c r="I2496" s="368"/>
      <c r="J2496" s="368"/>
      <c r="K2496" s="370"/>
      <c r="L2496" s="370"/>
      <c r="M2496" s="370"/>
      <c r="N2496" s="372"/>
      <c r="O2496" s="372"/>
      <c r="P2496" s="380"/>
      <c r="Q2496" s="374"/>
      <c r="R2496" s="381"/>
      <c r="S2496" s="379"/>
      <c r="T2496" s="366"/>
      <c r="U2496" s="366"/>
      <c r="V2496" s="366"/>
      <c r="W2496" s="366"/>
    </row>
    <row r="2497" spans="1:23">
      <c r="A2497" s="1410"/>
      <c r="B2497" s="1413"/>
      <c r="C2497" s="845" t="s">
        <v>995</v>
      </c>
      <c r="D2497" s="875" t="str">
        <f>B2485&amp;C2497</f>
        <v>A76n</v>
      </c>
      <c r="E2497" s="367">
        <v>12</v>
      </c>
      <c r="F2497" s="370"/>
      <c r="G2497" s="368"/>
      <c r="H2497" s="368"/>
      <c r="I2497" s="368"/>
      <c r="J2497" s="368"/>
      <c r="K2497" s="370"/>
      <c r="L2497" s="370"/>
      <c r="M2497" s="370"/>
      <c r="N2497" s="372"/>
      <c r="O2497" s="372"/>
      <c r="P2497" s="380"/>
      <c r="Q2497" s="374"/>
      <c r="R2497" s="381"/>
      <c r="S2497" s="361"/>
      <c r="T2497" s="361"/>
      <c r="U2497" s="361"/>
      <c r="V2497" s="366"/>
      <c r="W2497" s="366"/>
    </row>
    <row r="2498" spans="1:23">
      <c r="A2498" s="1410"/>
      <c r="B2498" s="1413"/>
      <c r="C2498" s="845" t="s">
        <v>471</v>
      </c>
      <c r="D2498" s="875" t="str">
        <f>B2485&amp;C2498</f>
        <v>A76x</v>
      </c>
      <c r="E2498" s="367">
        <v>13</v>
      </c>
      <c r="F2498" s="370"/>
      <c r="G2498" s="368"/>
      <c r="H2498" s="368"/>
      <c r="I2498" s="368"/>
      <c r="J2498" s="368"/>
      <c r="K2498" s="370"/>
      <c r="L2498" s="370"/>
      <c r="M2498" s="370"/>
      <c r="N2498" s="382"/>
      <c r="O2498" s="372"/>
      <c r="P2498" s="380"/>
      <c r="Q2498" s="381"/>
      <c r="R2498" s="381"/>
      <c r="S2498" s="361"/>
      <c r="T2498" s="361"/>
      <c r="U2498" s="361"/>
      <c r="V2498" s="366"/>
      <c r="W2498" s="366"/>
    </row>
    <row r="2499" spans="1:23">
      <c r="A2499" s="1410"/>
      <c r="B2499" s="1413"/>
      <c r="C2499" s="845" t="s">
        <v>732</v>
      </c>
      <c r="D2499" s="875" t="str">
        <f>B2485&amp;C2499</f>
        <v>A76y</v>
      </c>
      <c r="E2499" s="367">
        <v>14</v>
      </c>
      <c r="F2499" s="370"/>
      <c r="G2499" s="368"/>
      <c r="H2499" s="368"/>
      <c r="I2499" s="368"/>
      <c r="J2499" s="368"/>
      <c r="K2499" s="370"/>
      <c r="L2499" s="370"/>
      <c r="M2499" s="370"/>
      <c r="N2499" s="382"/>
      <c r="O2499" s="372"/>
      <c r="P2499" s="380"/>
      <c r="Q2499" s="381"/>
      <c r="R2499" s="381"/>
      <c r="S2499" s="361"/>
      <c r="T2499" s="361"/>
      <c r="U2499" s="362"/>
      <c r="V2499" s="366"/>
      <c r="W2499" s="366"/>
    </row>
    <row r="2500" spans="1:23">
      <c r="A2500" s="1411"/>
      <c r="B2500" s="1414"/>
      <c r="C2500" s="846" t="s">
        <v>996</v>
      </c>
      <c r="D2500" s="876" t="str">
        <f>B2485&amp;C2500</f>
        <v>A76z</v>
      </c>
      <c r="E2500" s="847">
        <v>15</v>
      </c>
      <c r="F2500" s="370"/>
      <c r="G2500" s="368"/>
      <c r="H2500" s="368"/>
      <c r="I2500" s="368"/>
      <c r="J2500" s="368"/>
      <c r="K2500" s="370"/>
      <c r="L2500" s="370"/>
      <c r="M2500" s="370"/>
      <c r="N2500" s="850"/>
      <c r="O2500" s="851"/>
      <c r="P2500" s="380"/>
      <c r="Q2500" s="852"/>
      <c r="R2500" s="383"/>
      <c r="S2500" s="361"/>
      <c r="T2500" s="832"/>
      <c r="U2500" s="830"/>
      <c r="V2500" s="366"/>
      <c r="W2500" s="366"/>
    </row>
    <row r="2501" spans="1:23">
      <c r="A2501" s="1400" t="s">
        <v>939</v>
      </c>
      <c r="B2501" s="1400"/>
      <c r="C2501" s="986"/>
      <c r="D2501" s="871"/>
      <c r="E2501" s="1400" t="s">
        <v>177</v>
      </c>
      <c r="F2501" s="1400" t="s">
        <v>18</v>
      </c>
      <c r="G2501" s="1389" t="s">
        <v>19</v>
      </c>
      <c r="H2501" s="1390"/>
      <c r="I2501" s="1389" t="s">
        <v>22</v>
      </c>
      <c r="J2501" s="1390"/>
      <c r="K2501" s="1393" t="s">
        <v>26</v>
      </c>
      <c r="L2501" s="1390"/>
      <c r="M2501" s="1389" t="s">
        <v>392</v>
      </c>
      <c r="N2501" s="1390"/>
      <c r="O2501" s="1389" t="s">
        <v>28</v>
      </c>
      <c r="P2501" s="1393"/>
      <c r="Q2501" s="1390"/>
      <c r="R2501" s="1400" t="s">
        <v>36</v>
      </c>
      <c r="S2501" s="361"/>
      <c r="T2501" s="361">
        <f>MAX(J2505:J2519)-MIN(I2505:I2519)</f>
        <v>5.555555555555558E-2</v>
      </c>
      <c r="U2501" s="361"/>
      <c r="V2501" s="853" t="str">
        <f t="shared" ref="V2501" si="264">B2505</f>
        <v>A157</v>
      </c>
      <c r="W2501" s="361">
        <f t="shared" ref="W2501" si="265">COUNTIF(K2506:K2520,"&gt;0")</f>
        <v>4</v>
      </c>
    </row>
    <row r="2502" spans="1:23">
      <c r="A2502" s="1401"/>
      <c r="B2502" s="1401"/>
      <c r="C2502" s="987"/>
      <c r="D2502" s="872"/>
      <c r="E2502" s="1401"/>
      <c r="F2502" s="1401"/>
      <c r="G2502" s="1391"/>
      <c r="H2502" s="1392"/>
      <c r="I2502" s="1391"/>
      <c r="J2502" s="1392"/>
      <c r="K2502" s="1394"/>
      <c r="L2502" s="1392"/>
      <c r="M2502" s="1391"/>
      <c r="N2502" s="1392"/>
      <c r="O2502" s="1391"/>
      <c r="P2502" s="1394"/>
      <c r="Q2502" s="1392"/>
      <c r="R2502" s="1401"/>
      <c r="S2502" s="361"/>
      <c r="T2502" s="361"/>
      <c r="U2502" s="361"/>
      <c r="V2502" s="361"/>
      <c r="W2502" s="361"/>
    </row>
    <row r="2503" spans="1:23">
      <c r="A2503" s="1401"/>
      <c r="B2503" s="1401"/>
      <c r="C2503" s="987"/>
      <c r="D2503" s="872"/>
      <c r="E2503" s="1401"/>
      <c r="F2503" s="1401"/>
      <c r="G2503" s="1400" t="s">
        <v>20</v>
      </c>
      <c r="H2503" s="1400" t="s">
        <v>21</v>
      </c>
      <c r="I2503" s="1400" t="s">
        <v>361</v>
      </c>
      <c r="J2503" s="1400" t="s">
        <v>353</v>
      </c>
      <c r="K2503" s="1400" t="s">
        <v>23</v>
      </c>
      <c r="L2503" s="1400" t="s">
        <v>24</v>
      </c>
      <c r="M2503" s="1400" t="s">
        <v>27</v>
      </c>
      <c r="N2503" s="1400" t="s">
        <v>178</v>
      </c>
      <c r="O2503" s="1400" t="s">
        <v>1</v>
      </c>
      <c r="P2503" s="1400" t="s">
        <v>29</v>
      </c>
      <c r="Q2503" s="1400" t="s">
        <v>33</v>
      </c>
      <c r="R2503" s="1401"/>
      <c r="S2503" s="361"/>
      <c r="T2503" s="361" t="s">
        <v>39</v>
      </c>
      <c r="U2503" s="362">
        <f>VLOOKUP(B2505,'Thong tin'!$A:$M,13,0)</f>
        <v>1200</v>
      </c>
      <c r="V2503" s="361"/>
      <c r="W2503" s="361"/>
    </row>
    <row r="2504" spans="1:23">
      <c r="A2504" s="1402"/>
      <c r="B2504" s="1402"/>
      <c r="C2504" s="988"/>
      <c r="D2504" s="873"/>
      <c r="E2504" s="1402"/>
      <c r="F2504" s="1402"/>
      <c r="G2504" s="1402"/>
      <c r="H2504" s="1402"/>
      <c r="I2504" s="1402"/>
      <c r="J2504" s="1402"/>
      <c r="K2504" s="1402"/>
      <c r="L2504" s="1402"/>
      <c r="M2504" s="1402"/>
      <c r="N2504" s="1402"/>
      <c r="O2504" s="1402"/>
      <c r="P2504" s="1402"/>
      <c r="Q2504" s="1402"/>
      <c r="R2504" s="1402"/>
      <c r="S2504" s="361"/>
      <c r="T2504" s="1399" t="s">
        <v>393</v>
      </c>
      <c r="U2504" s="1397">
        <f>VLOOKUP(B2505,DT.NK!$B:$AZ,45,0)</f>
        <v>30.18</v>
      </c>
      <c r="V2504" s="361"/>
      <c r="W2504" s="361"/>
    </row>
    <row r="2505" spans="1:23">
      <c r="A2505" s="1409">
        <f>A2485+1</f>
        <v>126</v>
      </c>
      <c r="B2505" s="1412" t="s">
        <v>596</v>
      </c>
      <c r="C2505" s="991" t="s">
        <v>983</v>
      </c>
      <c r="D2505" s="874" t="str">
        <f>B2505&amp;C2505</f>
        <v>A157a</v>
      </c>
      <c r="E2505" s="363"/>
      <c r="F2505" s="364"/>
      <c r="G2505" s="364"/>
      <c r="H2505" s="364"/>
      <c r="I2505" s="364"/>
      <c r="J2505" s="364"/>
      <c r="K2505" s="364"/>
      <c r="L2505" s="364"/>
      <c r="M2505" s="674"/>
      <c r="N2505" s="670"/>
      <c r="O2505" s="670">
        <f>U2504</f>
        <v>30.18</v>
      </c>
      <c r="P2505" s="670">
        <f>O2505</f>
        <v>30.18</v>
      </c>
      <c r="Q2505" s="670">
        <v>0</v>
      </c>
      <c r="R2505" s="365"/>
      <c r="S2505" s="366"/>
      <c r="T2505" s="1399"/>
      <c r="U2505" s="1398"/>
      <c r="V2505" s="361"/>
      <c r="W2505" s="361"/>
    </row>
    <row r="2506" spans="1:23">
      <c r="A2506" s="1410"/>
      <c r="B2506" s="1413"/>
      <c r="C2506" s="992" t="s">
        <v>984</v>
      </c>
      <c r="D2506" s="875" t="str">
        <f>B2505&amp;C2506</f>
        <v>A157b</v>
      </c>
      <c r="E2506" s="367">
        <v>1</v>
      </c>
      <c r="F2506" s="669" t="s">
        <v>1089</v>
      </c>
      <c r="G2506" s="369">
        <v>0.46875</v>
      </c>
      <c r="H2506" s="368">
        <v>0.51041666666666663</v>
      </c>
      <c r="I2506" s="368">
        <v>0.52777777777777779</v>
      </c>
      <c r="J2506" s="368">
        <v>0.53472222222222221</v>
      </c>
      <c r="K2506" s="669">
        <v>10</v>
      </c>
      <c r="L2506" s="669">
        <v>19</v>
      </c>
      <c r="M2506" s="675">
        <v>30.35</v>
      </c>
      <c r="N2506" s="671">
        <f>IF(M2506-P2506&gt;0,M2506-P2506,0)</f>
        <v>8.6500000000000021</v>
      </c>
      <c r="O2506" s="671">
        <f>O2505-K2506/(PI()*(U2503/2000)^2)</f>
        <v>21.338058717116926</v>
      </c>
      <c r="P2506" s="672">
        <v>21.7</v>
      </c>
      <c r="Q2506" s="673">
        <f>ABS(O2506-P2506)</f>
        <v>0.36194128288307326</v>
      </c>
      <c r="R2506" s="375" t="s">
        <v>188</v>
      </c>
      <c r="S2506" s="366"/>
      <c r="T2506" s="376"/>
      <c r="U2506" s="376"/>
      <c r="V2506" s="366"/>
      <c r="W2506" s="366"/>
    </row>
    <row r="2507" spans="1:23">
      <c r="A2507" s="1410"/>
      <c r="B2507" s="1413"/>
      <c r="C2507" s="992" t="s">
        <v>985</v>
      </c>
      <c r="D2507" s="875" t="str">
        <f>B2505&amp;C2507</f>
        <v>A157c</v>
      </c>
      <c r="E2507" s="367">
        <v>2</v>
      </c>
      <c r="F2507" s="669" t="s">
        <v>1085</v>
      </c>
      <c r="G2507" s="369">
        <v>0.47569444444444442</v>
      </c>
      <c r="H2507" s="368">
        <v>0.51388888888888895</v>
      </c>
      <c r="I2507" s="368">
        <v>0.54861111111111105</v>
      </c>
      <c r="J2507" s="368">
        <v>0.55555555555555558</v>
      </c>
      <c r="K2507" s="669">
        <v>10</v>
      </c>
      <c r="L2507" s="669">
        <v>19</v>
      </c>
      <c r="M2507" s="675">
        <v>25.2</v>
      </c>
      <c r="N2507" s="671">
        <f>IF(M2507-P2507&gt;0,M2507-P2507,0)</f>
        <v>5</v>
      </c>
      <c r="O2507" s="671">
        <f>O2506-K2507/(PI()*(U2503/2000)^2)</f>
        <v>12.496117434233852</v>
      </c>
      <c r="P2507" s="672">
        <v>20.2</v>
      </c>
      <c r="Q2507" s="673">
        <f>ABS(O2507-P2507)</f>
        <v>7.7038825657661469</v>
      </c>
      <c r="R2507" s="375" t="s">
        <v>188</v>
      </c>
      <c r="S2507" s="366"/>
      <c r="T2507" s="376"/>
      <c r="U2507" s="376"/>
      <c r="V2507" s="366"/>
      <c r="W2507" s="366"/>
    </row>
    <row r="2508" spans="1:23">
      <c r="A2508" s="1410"/>
      <c r="B2508" s="1413"/>
      <c r="C2508" s="992" t="s">
        <v>986</v>
      </c>
      <c r="D2508" s="875" t="str">
        <f>B2505&amp;C2508</f>
        <v>A157d</v>
      </c>
      <c r="E2508" s="367">
        <v>3</v>
      </c>
      <c r="F2508" s="669" t="s">
        <v>1091</v>
      </c>
      <c r="G2508" s="369">
        <v>0.51041666666666663</v>
      </c>
      <c r="H2508" s="368">
        <v>0.54166666666666663</v>
      </c>
      <c r="I2508" s="368">
        <v>0.5625</v>
      </c>
      <c r="J2508" s="368">
        <v>0.56944444444444442</v>
      </c>
      <c r="K2508" s="669">
        <v>10</v>
      </c>
      <c r="L2508" s="669">
        <v>19</v>
      </c>
      <c r="M2508" s="675">
        <v>15.75</v>
      </c>
      <c r="N2508" s="671">
        <f>IF(M2508-P2508&gt;0,M2508-P2508,0)</f>
        <v>4.1500000000000004</v>
      </c>
      <c r="O2508" s="671">
        <f>O2507-K2508/(PI()*(U2503/2000)^2)</f>
        <v>3.6541761513507787</v>
      </c>
      <c r="P2508" s="672">
        <v>11.6</v>
      </c>
      <c r="Q2508" s="673">
        <f>ABS(O2508-P2508)</f>
        <v>7.945823848649221</v>
      </c>
      <c r="R2508" s="375" t="s">
        <v>188</v>
      </c>
      <c r="S2508" s="366"/>
      <c r="T2508" s="376"/>
      <c r="U2508" s="376"/>
      <c r="V2508" s="366"/>
      <c r="W2508" s="366"/>
    </row>
    <row r="2509" spans="1:23">
      <c r="A2509" s="1410"/>
      <c r="B2509" s="1413"/>
      <c r="C2509" s="992" t="s">
        <v>987</v>
      </c>
      <c r="D2509" s="875" t="str">
        <f>B2505&amp;C2509</f>
        <v>A157e</v>
      </c>
      <c r="E2509" s="367">
        <v>4</v>
      </c>
      <c r="F2509" s="669" t="s">
        <v>1096</v>
      </c>
      <c r="G2509" s="369">
        <v>0.56527777777777777</v>
      </c>
      <c r="H2509" s="368">
        <v>0.57638888888888895</v>
      </c>
      <c r="I2509" s="368">
        <v>0.57638888888888895</v>
      </c>
      <c r="J2509" s="368">
        <v>0.58333333333333337</v>
      </c>
      <c r="K2509" s="669">
        <v>5</v>
      </c>
      <c r="L2509" s="669">
        <v>19</v>
      </c>
      <c r="M2509" s="675">
        <v>15.75</v>
      </c>
      <c r="N2509" s="671">
        <f>IF(M2509-P2509&gt;0,M2509-P2509,0)</f>
        <v>8.4499999999999993</v>
      </c>
      <c r="O2509" s="671">
        <f>O2508-K2509/(PI()*(U2503/2000)^2)</f>
        <v>-0.76679449009075817</v>
      </c>
      <c r="P2509" s="672">
        <v>7.3</v>
      </c>
      <c r="Q2509" s="673">
        <f>ABS(O2509-P2509)</f>
        <v>8.0667944900907571</v>
      </c>
      <c r="R2509" s="378"/>
      <c r="S2509" s="366"/>
      <c r="T2509" s="376"/>
      <c r="U2509" s="376"/>
      <c r="V2509" s="366"/>
      <c r="W2509" s="366"/>
    </row>
    <row r="2510" spans="1:23">
      <c r="A2510" s="1410"/>
      <c r="B2510" s="1413"/>
      <c r="C2510" s="992" t="s">
        <v>988</v>
      </c>
      <c r="D2510" s="875" t="str">
        <f>B2505&amp;C2510</f>
        <v>A157f</v>
      </c>
      <c r="E2510" s="367">
        <v>5</v>
      </c>
      <c r="F2510" s="669"/>
      <c r="G2510" s="368"/>
      <c r="H2510" s="368"/>
      <c r="I2510" s="368"/>
      <c r="J2510" s="368"/>
      <c r="K2510" s="370"/>
      <c r="L2510" s="370"/>
      <c r="M2510" s="371"/>
      <c r="N2510" s="671"/>
      <c r="O2510" s="671"/>
      <c r="P2510" s="373"/>
      <c r="Q2510" s="673"/>
      <c r="R2510" s="378"/>
      <c r="S2510" s="366" t="s">
        <v>190</v>
      </c>
      <c r="T2510" s="376"/>
      <c r="U2510" s="376"/>
      <c r="V2510" s="366"/>
      <c r="W2510" s="366"/>
    </row>
    <row r="2511" spans="1:23">
      <c r="A2511" s="1410"/>
      <c r="B2511" s="1413"/>
      <c r="C2511" s="992" t="s">
        <v>989</v>
      </c>
      <c r="D2511" s="875" t="str">
        <f>B2505&amp;C2511</f>
        <v>A157g</v>
      </c>
      <c r="E2511" s="367">
        <v>6</v>
      </c>
      <c r="F2511" s="669"/>
      <c r="G2511" s="368"/>
      <c r="H2511" s="368"/>
      <c r="I2511" s="368"/>
      <c r="J2511" s="368"/>
      <c r="K2511" s="370"/>
      <c r="L2511" s="370"/>
      <c r="M2511" s="371"/>
      <c r="N2511" s="671"/>
      <c r="O2511" s="671"/>
      <c r="P2511" s="373"/>
      <c r="Q2511" s="673"/>
      <c r="R2511" s="378"/>
      <c r="S2511" s="366" t="s">
        <v>190</v>
      </c>
      <c r="T2511" s="366"/>
      <c r="U2511" s="366"/>
      <c r="V2511" s="366"/>
      <c r="W2511" s="366"/>
    </row>
    <row r="2512" spans="1:23">
      <c r="A2512" s="1410"/>
      <c r="B2512" s="1413"/>
      <c r="C2512" s="992" t="s">
        <v>990</v>
      </c>
      <c r="D2512" s="875" t="str">
        <f>B2505&amp;C2512</f>
        <v>A157h</v>
      </c>
      <c r="E2512" s="367">
        <v>7</v>
      </c>
      <c r="F2512" s="669"/>
      <c r="G2512" s="368"/>
      <c r="H2512" s="368"/>
      <c r="I2512" s="368"/>
      <c r="J2512" s="368"/>
      <c r="K2512" s="370"/>
      <c r="L2512" s="370"/>
      <c r="M2512" s="371"/>
      <c r="N2512" s="671"/>
      <c r="O2512" s="671"/>
      <c r="P2512" s="373"/>
      <c r="Q2512" s="673"/>
      <c r="R2512" s="378"/>
      <c r="S2512" s="366" t="s">
        <v>190</v>
      </c>
      <c r="T2512" s="366"/>
      <c r="U2512" s="366"/>
      <c r="V2512" s="366"/>
      <c r="W2512" s="366"/>
    </row>
    <row r="2513" spans="1:23">
      <c r="A2513" s="1410"/>
      <c r="B2513" s="1413"/>
      <c r="C2513" s="992" t="s">
        <v>991</v>
      </c>
      <c r="D2513" s="875" t="str">
        <f>B2505&amp;C2513</f>
        <v>A157i</v>
      </c>
      <c r="E2513" s="367">
        <v>8</v>
      </c>
      <c r="F2513" s="669"/>
      <c r="G2513" s="368"/>
      <c r="H2513" s="368"/>
      <c r="I2513" s="368"/>
      <c r="J2513" s="368"/>
      <c r="K2513" s="370"/>
      <c r="L2513" s="370"/>
      <c r="M2513" s="371"/>
      <c r="N2513" s="671"/>
      <c r="O2513" s="671"/>
      <c r="P2513" s="373"/>
      <c r="Q2513" s="673"/>
      <c r="R2513" s="378"/>
      <c r="S2513" s="366"/>
      <c r="T2513" s="366"/>
      <c r="U2513" s="366"/>
      <c r="V2513" s="366"/>
      <c r="W2513" s="366"/>
    </row>
    <row r="2514" spans="1:23">
      <c r="A2514" s="1410"/>
      <c r="B2514" s="1413"/>
      <c r="C2514" s="992" t="s">
        <v>992</v>
      </c>
      <c r="D2514" s="875" t="str">
        <f>B2505&amp;C2514</f>
        <v>A157k</v>
      </c>
      <c r="E2514" s="367">
        <v>9</v>
      </c>
      <c r="F2514" s="370"/>
      <c r="G2514" s="368"/>
      <c r="H2514" s="368"/>
      <c r="I2514" s="368"/>
      <c r="J2514" s="368"/>
      <c r="K2514" s="370"/>
      <c r="L2514" s="370"/>
      <c r="M2514" s="371"/>
      <c r="N2514" s="372"/>
      <c r="O2514" s="372"/>
      <c r="P2514" s="373"/>
      <c r="Q2514" s="374"/>
      <c r="R2514" s="378"/>
      <c r="S2514" s="379"/>
      <c r="T2514" s="366"/>
      <c r="U2514" s="366"/>
      <c r="V2514" s="366"/>
      <c r="W2514" s="366"/>
    </row>
    <row r="2515" spans="1:23">
      <c r="A2515" s="1410"/>
      <c r="B2515" s="1413"/>
      <c r="C2515" s="992" t="s">
        <v>993</v>
      </c>
      <c r="D2515" s="875" t="str">
        <f>B2505&amp;C2515</f>
        <v>A157l</v>
      </c>
      <c r="E2515" s="367">
        <v>10</v>
      </c>
      <c r="F2515" s="370"/>
      <c r="G2515" s="368"/>
      <c r="H2515" s="368"/>
      <c r="I2515" s="368"/>
      <c r="J2515" s="368"/>
      <c r="K2515" s="370"/>
      <c r="L2515" s="370"/>
      <c r="M2515" s="370"/>
      <c r="N2515" s="372"/>
      <c r="O2515" s="372"/>
      <c r="P2515" s="373"/>
      <c r="Q2515" s="374"/>
      <c r="R2515" s="378"/>
      <c r="S2515" s="379"/>
      <c r="T2515" s="366"/>
      <c r="U2515" s="366"/>
      <c r="V2515" s="366"/>
      <c r="W2515" s="366"/>
    </row>
    <row r="2516" spans="1:23">
      <c r="A2516" s="1410"/>
      <c r="B2516" s="1413"/>
      <c r="C2516" s="992" t="s">
        <v>994</v>
      </c>
      <c r="D2516" s="875" t="str">
        <f>B2505&amp;C2516</f>
        <v>A157m</v>
      </c>
      <c r="E2516" s="367">
        <v>11</v>
      </c>
      <c r="F2516" s="370"/>
      <c r="G2516" s="368"/>
      <c r="H2516" s="368"/>
      <c r="I2516" s="368"/>
      <c r="J2516" s="368"/>
      <c r="K2516" s="370"/>
      <c r="L2516" s="370"/>
      <c r="M2516" s="370"/>
      <c r="N2516" s="372"/>
      <c r="O2516" s="372"/>
      <c r="P2516" s="380"/>
      <c r="Q2516" s="374"/>
      <c r="R2516" s="381"/>
      <c r="S2516" s="379"/>
      <c r="T2516" s="366"/>
      <c r="U2516" s="366"/>
      <c r="V2516" s="366"/>
      <c r="W2516" s="366"/>
    </row>
    <row r="2517" spans="1:23">
      <c r="A2517" s="1410"/>
      <c r="B2517" s="1413"/>
      <c r="C2517" s="992" t="s">
        <v>995</v>
      </c>
      <c r="D2517" s="875" t="str">
        <f>B2505&amp;C2517</f>
        <v>A157n</v>
      </c>
      <c r="E2517" s="367">
        <v>12</v>
      </c>
      <c r="F2517" s="370"/>
      <c r="G2517" s="368"/>
      <c r="H2517" s="368"/>
      <c r="I2517" s="368"/>
      <c r="J2517" s="368"/>
      <c r="K2517" s="370"/>
      <c r="L2517" s="370"/>
      <c r="M2517" s="370"/>
      <c r="N2517" s="372"/>
      <c r="O2517" s="372"/>
      <c r="P2517" s="380"/>
      <c r="Q2517" s="374"/>
      <c r="R2517" s="381"/>
      <c r="S2517" s="361"/>
      <c r="T2517" s="361"/>
      <c r="U2517" s="361"/>
      <c r="V2517" s="366"/>
      <c r="W2517" s="366"/>
    </row>
    <row r="2518" spans="1:23">
      <c r="A2518" s="1410"/>
      <c r="B2518" s="1413"/>
      <c r="C2518" s="992" t="s">
        <v>471</v>
      </c>
      <c r="D2518" s="875" t="str">
        <f>B2505&amp;C2518</f>
        <v>A157x</v>
      </c>
      <c r="E2518" s="367">
        <v>13</v>
      </c>
      <c r="F2518" s="370"/>
      <c r="G2518" s="368"/>
      <c r="H2518" s="368"/>
      <c r="I2518" s="368"/>
      <c r="J2518" s="368"/>
      <c r="K2518" s="370"/>
      <c r="L2518" s="370"/>
      <c r="M2518" s="370"/>
      <c r="N2518" s="382"/>
      <c r="O2518" s="372"/>
      <c r="P2518" s="380"/>
      <c r="Q2518" s="381"/>
      <c r="R2518" s="381"/>
      <c r="S2518" s="361"/>
      <c r="T2518" s="361"/>
      <c r="U2518" s="361"/>
      <c r="V2518" s="366"/>
      <c r="W2518" s="366"/>
    </row>
    <row r="2519" spans="1:23">
      <c r="A2519" s="1410"/>
      <c r="B2519" s="1413"/>
      <c r="C2519" s="992" t="s">
        <v>732</v>
      </c>
      <c r="D2519" s="875" t="str">
        <f>B2505&amp;C2519</f>
        <v>A157y</v>
      </c>
      <c r="E2519" s="367">
        <v>14</v>
      </c>
      <c r="F2519" s="370"/>
      <c r="G2519" s="368"/>
      <c r="H2519" s="368"/>
      <c r="I2519" s="368"/>
      <c r="J2519" s="368"/>
      <c r="K2519" s="370"/>
      <c r="L2519" s="370"/>
      <c r="M2519" s="370"/>
      <c r="N2519" s="382"/>
      <c r="O2519" s="372"/>
      <c r="P2519" s="380"/>
      <c r="Q2519" s="381"/>
      <c r="R2519" s="381"/>
      <c r="S2519" s="361"/>
      <c r="T2519" s="361"/>
      <c r="U2519" s="362"/>
      <c r="V2519" s="366"/>
      <c r="W2519" s="366"/>
    </row>
    <row r="2520" spans="1:23">
      <c r="A2520" s="1411"/>
      <c r="B2520" s="1414"/>
      <c r="C2520" s="993" t="s">
        <v>996</v>
      </c>
      <c r="D2520" s="876" t="str">
        <f>B2505&amp;C2520</f>
        <v>A157z</v>
      </c>
      <c r="E2520" s="847">
        <v>15</v>
      </c>
      <c r="F2520" s="370"/>
      <c r="G2520" s="368"/>
      <c r="H2520" s="368"/>
      <c r="I2520" s="368"/>
      <c r="J2520" s="368"/>
      <c r="K2520" s="370"/>
      <c r="L2520" s="370"/>
      <c r="M2520" s="370"/>
      <c r="N2520" s="850"/>
      <c r="O2520" s="851"/>
      <c r="P2520" s="380"/>
      <c r="Q2520" s="852"/>
      <c r="R2520" s="383"/>
      <c r="S2520" s="361"/>
      <c r="T2520" s="990"/>
      <c r="U2520" s="989"/>
      <c r="V2520" s="366"/>
      <c r="W2520" s="366"/>
    </row>
    <row r="2521" spans="1:23">
      <c r="A2521" s="1400" t="s">
        <v>939</v>
      </c>
      <c r="B2521" s="1400"/>
      <c r="C2521" s="986"/>
      <c r="D2521" s="871"/>
      <c r="E2521" s="1400" t="s">
        <v>177</v>
      </c>
      <c r="F2521" s="1400" t="s">
        <v>18</v>
      </c>
      <c r="G2521" s="1389" t="s">
        <v>19</v>
      </c>
      <c r="H2521" s="1390"/>
      <c r="I2521" s="1389" t="s">
        <v>22</v>
      </c>
      <c r="J2521" s="1390"/>
      <c r="K2521" s="1393" t="s">
        <v>26</v>
      </c>
      <c r="L2521" s="1390"/>
      <c r="M2521" s="1389" t="s">
        <v>392</v>
      </c>
      <c r="N2521" s="1390"/>
      <c r="O2521" s="1389" t="s">
        <v>28</v>
      </c>
      <c r="P2521" s="1393"/>
      <c r="Q2521" s="1390"/>
      <c r="R2521" s="1400" t="s">
        <v>36</v>
      </c>
      <c r="S2521" s="361"/>
      <c r="T2521" s="361">
        <f>MAX(J2525:J2539)-MIN(I2525:I2539)</f>
        <v>2.7777777777777846E-2</v>
      </c>
      <c r="U2521" s="361"/>
      <c r="V2521" s="853" t="str">
        <f t="shared" ref="V2521" si="266">B2525</f>
        <v>A75</v>
      </c>
      <c r="W2521" s="361">
        <f t="shared" ref="W2521" si="267">COUNTIF(K2526:K2540,"&gt;0")</f>
        <v>3</v>
      </c>
    </row>
    <row r="2522" spans="1:23">
      <c r="A2522" s="1401"/>
      <c r="B2522" s="1401"/>
      <c r="C2522" s="987"/>
      <c r="D2522" s="872"/>
      <c r="E2522" s="1401"/>
      <c r="F2522" s="1401"/>
      <c r="G2522" s="1391"/>
      <c r="H2522" s="1392"/>
      <c r="I2522" s="1391"/>
      <c r="J2522" s="1392"/>
      <c r="K2522" s="1394"/>
      <c r="L2522" s="1392"/>
      <c r="M2522" s="1391"/>
      <c r="N2522" s="1392"/>
      <c r="O2522" s="1391"/>
      <c r="P2522" s="1394"/>
      <c r="Q2522" s="1392"/>
      <c r="R2522" s="1401"/>
      <c r="S2522" s="361"/>
      <c r="T2522" s="361"/>
      <c r="U2522" s="361"/>
      <c r="V2522" s="361"/>
      <c r="W2522" s="361"/>
    </row>
    <row r="2523" spans="1:23">
      <c r="A2523" s="1401"/>
      <c r="B2523" s="1401"/>
      <c r="C2523" s="987"/>
      <c r="D2523" s="872"/>
      <c r="E2523" s="1401"/>
      <c r="F2523" s="1401"/>
      <c r="G2523" s="1400" t="s">
        <v>20</v>
      </c>
      <c r="H2523" s="1400" t="s">
        <v>21</v>
      </c>
      <c r="I2523" s="1400" t="s">
        <v>361</v>
      </c>
      <c r="J2523" s="1400" t="s">
        <v>353</v>
      </c>
      <c r="K2523" s="1400" t="s">
        <v>23</v>
      </c>
      <c r="L2523" s="1400" t="s">
        <v>24</v>
      </c>
      <c r="M2523" s="1400" t="s">
        <v>27</v>
      </c>
      <c r="N2523" s="1400" t="s">
        <v>178</v>
      </c>
      <c r="O2523" s="1400" t="s">
        <v>1</v>
      </c>
      <c r="P2523" s="1400" t="s">
        <v>29</v>
      </c>
      <c r="Q2523" s="1400" t="s">
        <v>33</v>
      </c>
      <c r="R2523" s="1401"/>
      <c r="S2523" s="361"/>
      <c r="T2523" s="361" t="s">
        <v>39</v>
      </c>
      <c r="U2523" s="362">
        <f>VLOOKUP(B2525,'Thong tin'!$A:$M,13,0)</f>
        <v>1200</v>
      </c>
      <c r="V2523" s="361"/>
      <c r="W2523" s="361"/>
    </row>
    <row r="2524" spans="1:23">
      <c r="A2524" s="1402"/>
      <c r="B2524" s="1402"/>
      <c r="C2524" s="988"/>
      <c r="D2524" s="873"/>
      <c r="E2524" s="1402"/>
      <c r="F2524" s="1402"/>
      <c r="G2524" s="1402"/>
      <c r="H2524" s="1402"/>
      <c r="I2524" s="1402"/>
      <c r="J2524" s="1402"/>
      <c r="K2524" s="1402"/>
      <c r="L2524" s="1402"/>
      <c r="M2524" s="1402"/>
      <c r="N2524" s="1402"/>
      <c r="O2524" s="1402"/>
      <c r="P2524" s="1402"/>
      <c r="Q2524" s="1402"/>
      <c r="R2524" s="1402"/>
      <c r="S2524" s="361"/>
      <c r="T2524" s="1399" t="s">
        <v>393</v>
      </c>
      <c r="U2524" s="1397">
        <f>VLOOKUP(B2525,DT.NK!$B:$AZ,45,0)</f>
        <v>28.3</v>
      </c>
      <c r="V2524" s="361"/>
      <c r="W2524" s="361"/>
    </row>
    <row r="2525" spans="1:23">
      <c r="A2525" s="1409">
        <f>A2505+1</f>
        <v>127</v>
      </c>
      <c r="B2525" s="1412" t="s">
        <v>633</v>
      </c>
      <c r="C2525" s="991" t="s">
        <v>983</v>
      </c>
      <c r="D2525" s="874" t="str">
        <f>B2525&amp;C2525</f>
        <v>A75a</v>
      </c>
      <c r="E2525" s="363"/>
      <c r="F2525" s="364"/>
      <c r="G2525" s="364"/>
      <c r="H2525" s="364"/>
      <c r="I2525" s="364"/>
      <c r="J2525" s="364"/>
      <c r="K2525" s="364"/>
      <c r="L2525" s="364"/>
      <c r="M2525" s="674"/>
      <c r="N2525" s="670"/>
      <c r="O2525" s="670">
        <f>U2524</f>
        <v>28.3</v>
      </c>
      <c r="P2525" s="670">
        <f>O2525</f>
        <v>28.3</v>
      </c>
      <c r="Q2525" s="670">
        <v>0</v>
      </c>
      <c r="R2525" s="365"/>
      <c r="S2525" s="366"/>
      <c r="T2525" s="1399"/>
      <c r="U2525" s="1398"/>
      <c r="V2525" s="361"/>
      <c r="W2525" s="361"/>
    </row>
    <row r="2526" spans="1:23">
      <c r="A2526" s="1410"/>
      <c r="B2526" s="1413"/>
      <c r="C2526" s="992" t="s">
        <v>984</v>
      </c>
      <c r="D2526" s="875" t="str">
        <f>B2525&amp;C2526</f>
        <v>A75b</v>
      </c>
      <c r="E2526" s="367">
        <v>1</v>
      </c>
      <c r="F2526" s="669" t="s">
        <v>1085</v>
      </c>
      <c r="G2526" s="369">
        <v>0.27847222222222223</v>
      </c>
      <c r="H2526" s="368">
        <v>0.3125</v>
      </c>
      <c r="I2526" s="368">
        <v>0.34027777777777773</v>
      </c>
      <c r="J2526" s="368">
        <v>0.34513888888888888</v>
      </c>
      <c r="K2526" s="669">
        <v>9</v>
      </c>
      <c r="L2526" s="669">
        <v>19</v>
      </c>
      <c r="M2526" s="675">
        <v>25.2</v>
      </c>
      <c r="N2526" s="671">
        <f>IF(M2526-P2526&gt;0,M2526-P2526,0)</f>
        <v>2.3000000000000007</v>
      </c>
      <c r="O2526" s="671">
        <f>O2525-K2526/(PI()*(U2523/2000)^2)</f>
        <v>20.342252845405234</v>
      </c>
      <c r="P2526" s="672">
        <v>22.9</v>
      </c>
      <c r="Q2526" s="673">
        <f>ABS(O2526-P2526)</f>
        <v>2.5577471545947645</v>
      </c>
      <c r="R2526" s="375" t="s">
        <v>188</v>
      </c>
      <c r="S2526" s="366"/>
      <c r="T2526" s="376"/>
      <c r="U2526" s="376"/>
      <c r="V2526" s="366"/>
      <c r="W2526" s="366"/>
    </row>
    <row r="2527" spans="1:23">
      <c r="A2527" s="1410"/>
      <c r="B2527" s="1413"/>
      <c r="C2527" s="992" t="s">
        <v>985</v>
      </c>
      <c r="D2527" s="875" t="str">
        <f>B2525&amp;C2527</f>
        <v>A75c</v>
      </c>
      <c r="E2527" s="367">
        <v>2</v>
      </c>
      <c r="F2527" s="669" t="s">
        <v>1089</v>
      </c>
      <c r="G2527" s="369">
        <v>0.28472222222222221</v>
      </c>
      <c r="H2527" s="368">
        <v>0.31597222222222221</v>
      </c>
      <c r="I2527" s="368">
        <v>0.35069444444444442</v>
      </c>
      <c r="J2527" s="368">
        <v>0.3576388888888889</v>
      </c>
      <c r="K2527" s="669">
        <v>9</v>
      </c>
      <c r="L2527" s="669">
        <v>19</v>
      </c>
      <c r="M2527" s="675">
        <v>18.899999999999999</v>
      </c>
      <c r="N2527" s="671">
        <f>IF(M2527-P2527&gt;0,M2527-P2527,0)</f>
        <v>3.6999999999999993</v>
      </c>
      <c r="O2527" s="671">
        <f>O2526-K2527/(PI()*(U2523/2000)^2)</f>
        <v>12.384505690810467</v>
      </c>
      <c r="P2527" s="672">
        <v>15.2</v>
      </c>
      <c r="Q2527" s="673">
        <f>ABS(O2527-P2527)</f>
        <v>2.8154943091895319</v>
      </c>
      <c r="R2527" s="375" t="s">
        <v>188</v>
      </c>
      <c r="S2527" s="366"/>
      <c r="T2527" s="376"/>
      <c r="U2527" s="376"/>
      <c r="V2527" s="366"/>
      <c r="W2527" s="366"/>
    </row>
    <row r="2528" spans="1:23">
      <c r="A2528" s="1410"/>
      <c r="B2528" s="1413"/>
      <c r="C2528" s="992" t="s">
        <v>986</v>
      </c>
      <c r="D2528" s="875" t="str">
        <f>B2525&amp;C2528</f>
        <v>A75d</v>
      </c>
      <c r="E2528" s="367">
        <v>3</v>
      </c>
      <c r="F2528" s="669" t="s">
        <v>1096</v>
      </c>
      <c r="G2528" s="369">
        <v>0.29791666666666666</v>
      </c>
      <c r="H2528" s="368">
        <v>0.32291666666666669</v>
      </c>
      <c r="I2528" s="368">
        <v>0.3611111111111111</v>
      </c>
      <c r="J2528" s="368">
        <v>0.36805555555555558</v>
      </c>
      <c r="K2528" s="669">
        <v>8</v>
      </c>
      <c r="L2528" s="669">
        <v>19</v>
      </c>
      <c r="M2528" s="675">
        <v>18.899999999999999</v>
      </c>
      <c r="N2528" s="671">
        <f>IF(M2528-P2528&gt;0,M2528-P2528,0)</f>
        <v>10.599999999999998</v>
      </c>
      <c r="O2528" s="671">
        <f>O2527-K2528/(PI()*(U2523/2000)^2)</f>
        <v>5.3109526645040077</v>
      </c>
      <c r="P2528" s="672">
        <v>8.3000000000000007</v>
      </c>
      <c r="Q2528" s="673">
        <f>ABS(O2528-P2528)</f>
        <v>2.989047335495993</v>
      </c>
      <c r="R2528" s="375" t="s">
        <v>188</v>
      </c>
      <c r="S2528" s="366"/>
      <c r="T2528" s="376"/>
      <c r="U2528" s="376"/>
      <c r="V2528" s="366"/>
      <c r="W2528" s="366"/>
    </row>
    <row r="2529" spans="1:23">
      <c r="A2529" s="1410"/>
      <c r="B2529" s="1413"/>
      <c r="C2529" s="992" t="s">
        <v>987</v>
      </c>
      <c r="D2529" s="875" t="str">
        <f>B2525&amp;C2529</f>
        <v>A75e</v>
      </c>
      <c r="E2529" s="367">
        <v>4</v>
      </c>
      <c r="F2529" s="669"/>
      <c r="G2529" s="368"/>
      <c r="H2529" s="368"/>
      <c r="I2529" s="368"/>
      <c r="J2529" s="368"/>
      <c r="K2529" s="370"/>
      <c r="L2529" s="370"/>
      <c r="M2529" s="371"/>
      <c r="N2529" s="671"/>
      <c r="O2529" s="671"/>
      <c r="P2529" s="373"/>
      <c r="Q2529" s="673"/>
      <c r="R2529" s="378"/>
      <c r="S2529" s="366"/>
      <c r="T2529" s="376"/>
      <c r="U2529" s="376"/>
      <c r="V2529" s="366"/>
      <c r="W2529" s="366"/>
    </row>
    <row r="2530" spans="1:23">
      <c r="A2530" s="1410"/>
      <c r="B2530" s="1413"/>
      <c r="C2530" s="992" t="s">
        <v>988</v>
      </c>
      <c r="D2530" s="875" t="str">
        <f>B2525&amp;C2530</f>
        <v>A75f</v>
      </c>
      <c r="E2530" s="367">
        <v>5</v>
      </c>
      <c r="F2530" s="669"/>
      <c r="G2530" s="368"/>
      <c r="H2530" s="368"/>
      <c r="I2530" s="368"/>
      <c r="J2530" s="368"/>
      <c r="K2530" s="370"/>
      <c r="L2530" s="370"/>
      <c r="M2530" s="371"/>
      <c r="N2530" s="671"/>
      <c r="O2530" s="671"/>
      <c r="P2530" s="373"/>
      <c r="Q2530" s="673"/>
      <c r="R2530" s="378"/>
      <c r="S2530" s="366" t="s">
        <v>190</v>
      </c>
      <c r="T2530" s="376"/>
      <c r="U2530" s="376"/>
      <c r="V2530" s="366"/>
      <c r="W2530" s="366"/>
    </row>
    <row r="2531" spans="1:23">
      <c r="A2531" s="1410"/>
      <c r="B2531" s="1413"/>
      <c r="C2531" s="992" t="s">
        <v>989</v>
      </c>
      <c r="D2531" s="875" t="str">
        <f>B2525&amp;C2531</f>
        <v>A75g</v>
      </c>
      <c r="E2531" s="367">
        <v>6</v>
      </c>
      <c r="F2531" s="669"/>
      <c r="G2531" s="368"/>
      <c r="H2531" s="368"/>
      <c r="I2531" s="368"/>
      <c r="J2531" s="368"/>
      <c r="K2531" s="370"/>
      <c r="L2531" s="370"/>
      <c r="M2531" s="371"/>
      <c r="N2531" s="671"/>
      <c r="O2531" s="671"/>
      <c r="P2531" s="373"/>
      <c r="Q2531" s="673"/>
      <c r="R2531" s="378"/>
      <c r="S2531" s="366" t="s">
        <v>190</v>
      </c>
      <c r="T2531" s="366"/>
      <c r="U2531" s="366"/>
      <c r="V2531" s="366"/>
      <c r="W2531" s="366"/>
    </row>
    <row r="2532" spans="1:23">
      <c r="A2532" s="1410"/>
      <c r="B2532" s="1413"/>
      <c r="C2532" s="992" t="s">
        <v>990</v>
      </c>
      <c r="D2532" s="875" t="str">
        <f>B2525&amp;C2532</f>
        <v>A75h</v>
      </c>
      <c r="E2532" s="367">
        <v>7</v>
      </c>
      <c r="F2532" s="669"/>
      <c r="G2532" s="368"/>
      <c r="H2532" s="368"/>
      <c r="I2532" s="368"/>
      <c r="J2532" s="368"/>
      <c r="K2532" s="370"/>
      <c r="L2532" s="370"/>
      <c r="M2532" s="371"/>
      <c r="N2532" s="671"/>
      <c r="O2532" s="671"/>
      <c r="P2532" s="373"/>
      <c r="Q2532" s="673"/>
      <c r="R2532" s="378"/>
      <c r="S2532" s="366" t="s">
        <v>190</v>
      </c>
      <c r="T2532" s="366"/>
      <c r="U2532" s="366"/>
      <c r="V2532" s="366"/>
      <c r="W2532" s="366"/>
    </row>
    <row r="2533" spans="1:23">
      <c r="A2533" s="1410"/>
      <c r="B2533" s="1413"/>
      <c r="C2533" s="992" t="s">
        <v>991</v>
      </c>
      <c r="D2533" s="875" t="str">
        <f>B2525&amp;C2533</f>
        <v>A75i</v>
      </c>
      <c r="E2533" s="367">
        <v>8</v>
      </c>
      <c r="F2533" s="669"/>
      <c r="G2533" s="368"/>
      <c r="H2533" s="368"/>
      <c r="I2533" s="368"/>
      <c r="J2533" s="368"/>
      <c r="K2533" s="370"/>
      <c r="L2533" s="370"/>
      <c r="M2533" s="371"/>
      <c r="N2533" s="671"/>
      <c r="O2533" s="671"/>
      <c r="P2533" s="373"/>
      <c r="Q2533" s="673"/>
      <c r="R2533" s="378"/>
      <c r="S2533" s="366"/>
      <c r="T2533" s="366"/>
      <c r="U2533" s="366"/>
      <c r="V2533" s="366"/>
      <c r="W2533" s="366"/>
    </row>
    <row r="2534" spans="1:23">
      <c r="A2534" s="1410"/>
      <c r="B2534" s="1413"/>
      <c r="C2534" s="992" t="s">
        <v>992</v>
      </c>
      <c r="D2534" s="875" t="str">
        <f>B2525&amp;C2534</f>
        <v>A75k</v>
      </c>
      <c r="E2534" s="367">
        <v>9</v>
      </c>
      <c r="F2534" s="370"/>
      <c r="G2534" s="368"/>
      <c r="H2534" s="368"/>
      <c r="I2534" s="368"/>
      <c r="J2534" s="368"/>
      <c r="K2534" s="370"/>
      <c r="L2534" s="370"/>
      <c r="M2534" s="371"/>
      <c r="N2534" s="372"/>
      <c r="O2534" s="372"/>
      <c r="P2534" s="373"/>
      <c r="Q2534" s="374"/>
      <c r="R2534" s="378"/>
      <c r="S2534" s="379"/>
      <c r="T2534" s="366"/>
      <c r="U2534" s="366"/>
      <c r="V2534" s="366"/>
      <c r="W2534" s="366"/>
    </row>
    <row r="2535" spans="1:23">
      <c r="A2535" s="1410"/>
      <c r="B2535" s="1413"/>
      <c r="C2535" s="992" t="s">
        <v>993</v>
      </c>
      <c r="D2535" s="875" t="str">
        <f>B2525&amp;C2535</f>
        <v>A75l</v>
      </c>
      <c r="E2535" s="367">
        <v>10</v>
      </c>
      <c r="F2535" s="370"/>
      <c r="G2535" s="368"/>
      <c r="H2535" s="368"/>
      <c r="I2535" s="368"/>
      <c r="J2535" s="368"/>
      <c r="K2535" s="370"/>
      <c r="L2535" s="370"/>
      <c r="M2535" s="370"/>
      <c r="N2535" s="372"/>
      <c r="O2535" s="372"/>
      <c r="P2535" s="373"/>
      <c r="Q2535" s="374"/>
      <c r="R2535" s="378"/>
      <c r="S2535" s="379"/>
      <c r="T2535" s="366"/>
      <c r="U2535" s="366"/>
      <c r="V2535" s="366"/>
      <c r="W2535" s="366"/>
    </row>
    <row r="2536" spans="1:23">
      <c r="A2536" s="1410"/>
      <c r="B2536" s="1413"/>
      <c r="C2536" s="992" t="s">
        <v>994</v>
      </c>
      <c r="D2536" s="875" t="str">
        <f>B2525&amp;C2536</f>
        <v>A75m</v>
      </c>
      <c r="E2536" s="367">
        <v>11</v>
      </c>
      <c r="F2536" s="370"/>
      <c r="G2536" s="368"/>
      <c r="H2536" s="368"/>
      <c r="I2536" s="368"/>
      <c r="J2536" s="368"/>
      <c r="K2536" s="370"/>
      <c r="L2536" s="370"/>
      <c r="M2536" s="370"/>
      <c r="N2536" s="372"/>
      <c r="O2536" s="372"/>
      <c r="P2536" s="380"/>
      <c r="Q2536" s="374"/>
      <c r="R2536" s="381"/>
      <c r="S2536" s="379"/>
      <c r="T2536" s="366"/>
      <c r="U2536" s="366"/>
      <c r="V2536" s="366"/>
      <c r="W2536" s="366"/>
    </row>
    <row r="2537" spans="1:23">
      <c r="A2537" s="1410"/>
      <c r="B2537" s="1413"/>
      <c r="C2537" s="992" t="s">
        <v>995</v>
      </c>
      <c r="D2537" s="875" t="str">
        <f>B2525&amp;C2537</f>
        <v>A75n</v>
      </c>
      <c r="E2537" s="367">
        <v>12</v>
      </c>
      <c r="F2537" s="370"/>
      <c r="G2537" s="368"/>
      <c r="H2537" s="368"/>
      <c r="I2537" s="368"/>
      <c r="J2537" s="368"/>
      <c r="K2537" s="370"/>
      <c r="L2537" s="370"/>
      <c r="M2537" s="370"/>
      <c r="N2537" s="372"/>
      <c r="O2537" s="372"/>
      <c r="P2537" s="380"/>
      <c r="Q2537" s="374"/>
      <c r="R2537" s="381"/>
      <c r="S2537" s="361"/>
      <c r="T2537" s="361"/>
      <c r="U2537" s="361"/>
      <c r="V2537" s="366"/>
      <c r="W2537" s="366"/>
    </row>
    <row r="2538" spans="1:23">
      <c r="A2538" s="1410"/>
      <c r="B2538" s="1413"/>
      <c r="C2538" s="992" t="s">
        <v>471</v>
      </c>
      <c r="D2538" s="875" t="str">
        <f>B2525&amp;C2538</f>
        <v>A75x</v>
      </c>
      <c r="E2538" s="367">
        <v>13</v>
      </c>
      <c r="F2538" s="370"/>
      <c r="G2538" s="368"/>
      <c r="H2538" s="368"/>
      <c r="I2538" s="368"/>
      <c r="J2538" s="368"/>
      <c r="K2538" s="370"/>
      <c r="L2538" s="370"/>
      <c r="M2538" s="370"/>
      <c r="N2538" s="382"/>
      <c r="O2538" s="372"/>
      <c r="P2538" s="380"/>
      <c r="Q2538" s="381"/>
      <c r="R2538" s="381"/>
      <c r="S2538" s="361"/>
      <c r="T2538" s="361"/>
      <c r="U2538" s="361"/>
      <c r="V2538" s="366"/>
      <c r="W2538" s="366"/>
    </row>
    <row r="2539" spans="1:23">
      <c r="A2539" s="1410"/>
      <c r="B2539" s="1413"/>
      <c r="C2539" s="992" t="s">
        <v>732</v>
      </c>
      <c r="D2539" s="875" t="str">
        <f>B2525&amp;C2539</f>
        <v>A75y</v>
      </c>
      <c r="E2539" s="367">
        <v>14</v>
      </c>
      <c r="F2539" s="370"/>
      <c r="G2539" s="368"/>
      <c r="H2539" s="368"/>
      <c r="I2539" s="368"/>
      <c r="J2539" s="368"/>
      <c r="K2539" s="370"/>
      <c r="L2539" s="370"/>
      <c r="M2539" s="370"/>
      <c r="N2539" s="382"/>
      <c r="O2539" s="372"/>
      <c r="P2539" s="380"/>
      <c r="Q2539" s="381"/>
      <c r="R2539" s="381"/>
      <c r="S2539" s="361"/>
      <c r="T2539" s="361"/>
      <c r="U2539" s="362"/>
      <c r="V2539" s="366"/>
      <c r="W2539" s="366"/>
    </row>
    <row r="2540" spans="1:23">
      <c r="A2540" s="1411"/>
      <c r="B2540" s="1414"/>
      <c r="C2540" s="993" t="s">
        <v>996</v>
      </c>
      <c r="D2540" s="876" t="str">
        <f>B2525&amp;C2540</f>
        <v>A75z</v>
      </c>
      <c r="E2540" s="847">
        <v>15</v>
      </c>
      <c r="F2540" s="370"/>
      <c r="G2540" s="368"/>
      <c r="H2540" s="368"/>
      <c r="I2540" s="368"/>
      <c r="J2540" s="368"/>
      <c r="K2540" s="370"/>
      <c r="L2540" s="370"/>
      <c r="M2540" s="370"/>
      <c r="N2540" s="850"/>
      <c r="O2540" s="851"/>
      <c r="P2540" s="380"/>
      <c r="Q2540" s="852"/>
      <c r="R2540" s="383"/>
      <c r="S2540" s="361"/>
      <c r="T2540" s="990"/>
      <c r="U2540" s="989"/>
      <c r="V2540" s="366"/>
      <c r="W2540" s="366"/>
    </row>
    <row r="2541" spans="1:23">
      <c r="A2541" s="1400" t="s">
        <v>939</v>
      </c>
      <c r="B2541" s="1400"/>
      <c r="C2541" s="986"/>
      <c r="D2541" s="871"/>
      <c r="E2541" s="1400" t="s">
        <v>177</v>
      </c>
      <c r="F2541" s="1400" t="s">
        <v>18</v>
      </c>
      <c r="G2541" s="1389" t="s">
        <v>19</v>
      </c>
      <c r="H2541" s="1390"/>
      <c r="I2541" s="1389" t="s">
        <v>22</v>
      </c>
      <c r="J2541" s="1390"/>
      <c r="K2541" s="1393" t="s">
        <v>26</v>
      </c>
      <c r="L2541" s="1390"/>
      <c r="M2541" s="1389" t="s">
        <v>392</v>
      </c>
      <c r="N2541" s="1390"/>
      <c r="O2541" s="1389" t="s">
        <v>28</v>
      </c>
      <c r="P2541" s="1393"/>
      <c r="Q2541" s="1390"/>
      <c r="R2541" s="1400" t="s">
        <v>36</v>
      </c>
      <c r="S2541" s="361"/>
      <c r="T2541" s="361">
        <f>MAX(J2545:J2559)-MIN(I2545:I2559)</f>
        <v>3.125E-2</v>
      </c>
      <c r="U2541" s="361"/>
      <c r="V2541" s="853" t="str">
        <f t="shared" ref="V2541" si="268">B2545</f>
        <v>A15</v>
      </c>
      <c r="W2541" s="361">
        <f t="shared" ref="W2541" si="269">COUNTIF(K2546:K2560,"&gt;0")</f>
        <v>3</v>
      </c>
    </row>
    <row r="2542" spans="1:23">
      <c r="A2542" s="1401"/>
      <c r="B2542" s="1401"/>
      <c r="C2542" s="987"/>
      <c r="D2542" s="872"/>
      <c r="E2542" s="1401"/>
      <c r="F2542" s="1401"/>
      <c r="G2542" s="1391"/>
      <c r="H2542" s="1392"/>
      <c r="I2542" s="1391"/>
      <c r="J2542" s="1392"/>
      <c r="K2542" s="1394"/>
      <c r="L2542" s="1392"/>
      <c r="M2542" s="1391"/>
      <c r="N2542" s="1392"/>
      <c r="O2542" s="1391"/>
      <c r="P2542" s="1394"/>
      <c r="Q2542" s="1392"/>
      <c r="R2542" s="1401"/>
      <c r="S2542" s="361"/>
      <c r="T2542" s="361"/>
      <c r="U2542" s="361"/>
      <c r="V2542" s="361"/>
      <c r="W2542" s="361"/>
    </row>
    <row r="2543" spans="1:23">
      <c r="A2543" s="1401"/>
      <c r="B2543" s="1401"/>
      <c r="C2543" s="987"/>
      <c r="D2543" s="872"/>
      <c r="E2543" s="1401"/>
      <c r="F2543" s="1401"/>
      <c r="G2543" s="1400" t="s">
        <v>20</v>
      </c>
      <c r="H2543" s="1400" t="s">
        <v>21</v>
      </c>
      <c r="I2543" s="1400" t="s">
        <v>361</v>
      </c>
      <c r="J2543" s="1400" t="s">
        <v>353</v>
      </c>
      <c r="K2543" s="1400" t="s">
        <v>23</v>
      </c>
      <c r="L2543" s="1400" t="s">
        <v>24</v>
      </c>
      <c r="M2543" s="1400" t="s">
        <v>27</v>
      </c>
      <c r="N2543" s="1400" t="s">
        <v>178</v>
      </c>
      <c r="O2543" s="1400" t="s">
        <v>1</v>
      </c>
      <c r="P2543" s="1400" t="s">
        <v>29</v>
      </c>
      <c r="Q2543" s="1400" t="s">
        <v>33</v>
      </c>
      <c r="R2543" s="1401"/>
      <c r="S2543" s="361"/>
      <c r="T2543" s="361" t="s">
        <v>39</v>
      </c>
      <c r="U2543" s="362">
        <f>VLOOKUP(B2545,'Thong tin'!$A:$M,13,0)</f>
        <v>1200</v>
      </c>
      <c r="V2543" s="361"/>
      <c r="W2543" s="361"/>
    </row>
    <row r="2544" spans="1:23">
      <c r="A2544" s="1402"/>
      <c r="B2544" s="1402"/>
      <c r="C2544" s="988"/>
      <c r="D2544" s="873"/>
      <c r="E2544" s="1402"/>
      <c r="F2544" s="1402"/>
      <c r="G2544" s="1402"/>
      <c r="H2544" s="1402"/>
      <c r="I2544" s="1402"/>
      <c r="J2544" s="1402"/>
      <c r="K2544" s="1402"/>
      <c r="L2544" s="1402"/>
      <c r="M2544" s="1402"/>
      <c r="N2544" s="1402"/>
      <c r="O2544" s="1402"/>
      <c r="P2544" s="1402"/>
      <c r="Q2544" s="1402"/>
      <c r="R2544" s="1402"/>
      <c r="S2544" s="361"/>
      <c r="T2544" s="1399" t="s">
        <v>393</v>
      </c>
      <c r="U2544" s="1397">
        <f>VLOOKUP(B2545,DT.NK!$B:$AZ,45,0)</f>
        <v>24.75</v>
      </c>
      <c r="V2544" s="361"/>
      <c r="W2544" s="361"/>
    </row>
    <row r="2545" spans="1:23">
      <c r="A2545" s="1409">
        <f>A2525+1</f>
        <v>128</v>
      </c>
      <c r="B2545" s="1412" t="s">
        <v>558</v>
      </c>
      <c r="C2545" s="991" t="s">
        <v>983</v>
      </c>
      <c r="D2545" s="874" t="str">
        <f>B2545&amp;C2545</f>
        <v>A15a</v>
      </c>
      <c r="E2545" s="363"/>
      <c r="F2545" s="364"/>
      <c r="G2545" s="364"/>
      <c r="H2545" s="364"/>
      <c r="I2545" s="364"/>
      <c r="J2545" s="364"/>
      <c r="K2545" s="364"/>
      <c r="L2545" s="364"/>
      <c r="M2545" s="674"/>
      <c r="N2545" s="670"/>
      <c r="O2545" s="670">
        <f>U2544</f>
        <v>24.75</v>
      </c>
      <c r="P2545" s="670">
        <f>O2545</f>
        <v>24.75</v>
      </c>
      <c r="Q2545" s="670">
        <v>0</v>
      </c>
      <c r="R2545" s="365"/>
      <c r="S2545" s="366"/>
      <c r="T2545" s="1399"/>
      <c r="U2545" s="1398"/>
      <c r="V2545" s="361"/>
      <c r="W2545" s="361"/>
    </row>
    <row r="2546" spans="1:23">
      <c r="A2546" s="1410"/>
      <c r="B2546" s="1413"/>
      <c r="C2546" s="992" t="s">
        <v>984</v>
      </c>
      <c r="D2546" s="875" t="str">
        <f>B2545&amp;C2546</f>
        <v>A15b</v>
      </c>
      <c r="E2546" s="367">
        <v>1</v>
      </c>
      <c r="F2546" s="669" t="s">
        <v>1085</v>
      </c>
      <c r="G2546" s="369">
        <v>0.89861111111111114</v>
      </c>
      <c r="H2546" s="368">
        <v>0.92361111111111116</v>
      </c>
      <c r="I2546" s="368">
        <v>0.9375</v>
      </c>
      <c r="J2546" s="368">
        <v>0.94444444444444453</v>
      </c>
      <c r="K2546" s="669">
        <v>11</v>
      </c>
      <c r="L2546" s="669">
        <v>19</v>
      </c>
      <c r="M2546" s="675">
        <v>22.05</v>
      </c>
      <c r="N2546" s="671">
        <f>IF(M2546-P2546&gt;0,M2546-P2546,0)</f>
        <v>4.25</v>
      </c>
      <c r="O2546" s="671">
        <f>O2545-K2546/(PI()*(U2543/2000)^2)</f>
        <v>15.023864588828618</v>
      </c>
      <c r="P2546" s="672">
        <v>17.8</v>
      </c>
      <c r="Q2546" s="673">
        <f>ABS(O2546-P2546)</f>
        <v>2.7761354111713832</v>
      </c>
      <c r="R2546" s="375" t="s">
        <v>188</v>
      </c>
      <c r="S2546" s="366"/>
      <c r="T2546" s="376"/>
      <c r="U2546" s="376"/>
      <c r="V2546" s="366"/>
      <c r="W2546" s="366"/>
    </row>
    <row r="2547" spans="1:23">
      <c r="A2547" s="1410"/>
      <c r="B2547" s="1413"/>
      <c r="C2547" s="992" t="s">
        <v>985</v>
      </c>
      <c r="D2547" s="875" t="str">
        <f>B2545&amp;C2547</f>
        <v>A15c</v>
      </c>
      <c r="E2547" s="367">
        <v>2</v>
      </c>
      <c r="F2547" s="669" t="s">
        <v>1089</v>
      </c>
      <c r="G2547" s="369">
        <v>0.90833333333333333</v>
      </c>
      <c r="H2547" s="368">
        <v>0.93055555555555547</v>
      </c>
      <c r="I2547" s="368">
        <v>0.95138888888888884</v>
      </c>
      <c r="J2547" s="368">
        <v>0.95833333333333337</v>
      </c>
      <c r="K2547" s="669">
        <v>11</v>
      </c>
      <c r="L2547" s="669">
        <v>19</v>
      </c>
      <c r="M2547" s="675">
        <v>12.6</v>
      </c>
      <c r="N2547" s="671">
        <f>IF(M2547-P2547&gt;0,M2547-P2547,0)</f>
        <v>4.0999999999999996</v>
      </c>
      <c r="O2547" s="671">
        <f>O2546-K2547/(PI()*(U2543/2000)^2)</f>
        <v>5.2977291776572351</v>
      </c>
      <c r="P2547" s="672">
        <v>8.5</v>
      </c>
      <c r="Q2547" s="673">
        <f>ABS(O2547-P2547)</f>
        <v>3.2022708223427649</v>
      </c>
      <c r="R2547" s="375" t="s">
        <v>188</v>
      </c>
      <c r="S2547" s="366"/>
      <c r="T2547" s="376"/>
      <c r="U2547" s="376"/>
      <c r="V2547" s="366"/>
      <c r="W2547" s="366"/>
    </row>
    <row r="2548" spans="1:23">
      <c r="A2548" s="1410"/>
      <c r="B2548" s="1413"/>
      <c r="C2548" s="992" t="s">
        <v>986</v>
      </c>
      <c r="D2548" s="875" t="str">
        <f>B2545&amp;C2548</f>
        <v>A15d</v>
      </c>
      <c r="E2548" s="367">
        <v>3</v>
      </c>
      <c r="F2548" s="669" t="s">
        <v>1096</v>
      </c>
      <c r="G2548" s="369">
        <v>0.9506944444444444</v>
      </c>
      <c r="H2548" s="368">
        <v>0.96527777777777779</v>
      </c>
      <c r="I2548" s="368">
        <v>0.92708333333333337</v>
      </c>
      <c r="J2548" s="368">
        <v>0.93055555555555547</v>
      </c>
      <c r="K2548" s="669">
        <v>2</v>
      </c>
      <c r="L2548" s="669">
        <v>19</v>
      </c>
      <c r="M2548" s="675">
        <v>12.6</v>
      </c>
      <c r="N2548" s="671">
        <f>IF(M2548-P2548&gt;0,M2548-P2548,0)</f>
        <v>5.0999999999999996</v>
      </c>
      <c r="O2548" s="671">
        <f>O2547-K2548/(PI()*(U2543/2000)^2)</f>
        <v>3.5293409210806201</v>
      </c>
      <c r="P2548" s="672">
        <v>7.5</v>
      </c>
      <c r="Q2548" s="673">
        <f>ABS(O2548-P2548)</f>
        <v>3.9706590789193799</v>
      </c>
      <c r="R2548" s="375"/>
      <c r="S2548" s="366"/>
      <c r="T2548" s="376"/>
      <c r="U2548" s="376"/>
      <c r="V2548" s="366"/>
      <c r="W2548" s="366"/>
    </row>
    <row r="2549" spans="1:23">
      <c r="A2549" s="1410"/>
      <c r="B2549" s="1413"/>
      <c r="C2549" s="992" t="s">
        <v>987</v>
      </c>
      <c r="D2549" s="875" t="str">
        <f>B2545&amp;C2549</f>
        <v>A15e</v>
      </c>
      <c r="E2549" s="367">
        <v>4</v>
      </c>
      <c r="F2549" s="669"/>
      <c r="G2549" s="368"/>
      <c r="H2549" s="368"/>
      <c r="I2549" s="368"/>
      <c r="J2549" s="368"/>
      <c r="K2549" s="370"/>
      <c r="L2549" s="370"/>
      <c r="M2549" s="371"/>
      <c r="N2549" s="671"/>
      <c r="O2549" s="671"/>
      <c r="P2549" s="373"/>
      <c r="Q2549" s="673"/>
      <c r="R2549" s="378"/>
      <c r="S2549" s="366"/>
      <c r="T2549" s="376"/>
      <c r="U2549" s="376"/>
      <c r="V2549" s="366"/>
      <c r="W2549" s="366"/>
    </row>
    <row r="2550" spans="1:23">
      <c r="A2550" s="1410"/>
      <c r="B2550" s="1413"/>
      <c r="C2550" s="992" t="s">
        <v>988</v>
      </c>
      <c r="D2550" s="875" t="str">
        <f>B2545&amp;C2550</f>
        <v>A15f</v>
      </c>
      <c r="E2550" s="367">
        <v>5</v>
      </c>
      <c r="F2550" s="669"/>
      <c r="G2550" s="368"/>
      <c r="H2550" s="368"/>
      <c r="I2550" s="368"/>
      <c r="J2550" s="368"/>
      <c r="K2550" s="370"/>
      <c r="L2550" s="370"/>
      <c r="M2550" s="371"/>
      <c r="N2550" s="671"/>
      <c r="O2550" s="671"/>
      <c r="P2550" s="373"/>
      <c r="Q2550" s="673"/>
      <c r="R2550" s="378"/>
      <c r="S2550" s="366" t="s">
        <v>190</v>
      </c>
      <c r="T2550" s="376"/>
      <c r="U2550" s="376"/>
      <c r="V2550" s="366"/>
      <c r="W2550" s="366"/>
    </row>
    <row r="2551" spans="1:23">
      <c r="A2551" s="1410"/>
      <c r="B2551" s="1413"/>
      <c r="C2551" s="992" t="s">
        <v>989</v>
      </c>
      <c r="D2551" s="875" t="str">
        <f>B2545&amp;C2551</f>
        <v>A15g</v>
      </c>
      <c r="E2551" s="367">
        <v>6</v>
      </c>
      <c r="F2551" s="669"/>
      <c r="G2551" s="368"/>
      <c r="H2551" s="368"/>
      <c r="I2551" s="368"/>
      <c r="J2551" s="368"/>
      <c r="K2551" s="370"/>
      <c r="L2551" s="370"/>
      <c r="M2551" s="371"/>
      <c r="N2551" s="671"/>
      <c r="O2551" s="671"/>
      <c r="P2551" s="373"/>
      <c r="Q2551" s="673"/>
      <c r="R2551" s="378"/>
      <c r="S2551" s="366" t="s">
        <v>190</v>
      </c>
      <c r="T2551" s="366"/>
      <c r="U2551" s="366"/>
      <c r="V2551" s="366"/>
      <c r="W2551" s="366"/>
    </row>
    <row r="2552" spans="1:23">
      <c r="A2552" s="1410"/>
      <c r="B2552" s="1413"/>
      <c r="C2552" s="992" t="s">
        <v>990</v>
      </c>
      <c r="D2552" s="875" t="str">
        <f>B2545&amp;C2552</f>
        <v>A15h</v>
      </c>
      <c r="E2552" s="367">
        <v>7</v>
      </c>
      <c r="F2552" s="669"/>
      <c r="G2552" s="368"/>
      <c r="H2552" s="368"/>
      <c r="I2552" s="368"/>
      <c r="J2552" s="368"/>
      <c r="K2552" s="370"/>
      <c r="L2552" s="370"/>
      <c r="M2552" s="371"/>
      <c r="N2552" s="671"/>
      <c r="O2552" s="671"/>
      <c r="P2552" s="373"/>
      <c r="Q2552" s="673"/>
      <c r="R2552" s="378"/>
      <c r="S2552" s="366" t="s">
        <v>190</v>
      </c>
      <c r="T2552" s="366"/>
      <c r="U2552" s="366"/>
      <c r="V2552" s="366"/>
      <c r="W2552" s="366"/>
    </row>
    <row r="2553" spans="1:23">
      <c r="A2553" s="1410"/>
      <c r="B2553" s="1413"/>
      <c r="C2553" s="992" t="s">
        <v>991</v>
      </c>
      <c r="D2553" s="875" t="str">
        <f>B2545&amp;C2553</f>
        <v>A15i</v>
      </c>
      <c r="E2553" s="367">
        <v>8</v>
      </c>
      <c r="F2553" s="669"/>
      <c r="G2553" s="368"/>
      <c r="H2553" s="368"/>
      <c r="I2553" s="368"/>
      <c r="J2553" s="368"/>
      <c r="K2553" s="370"/>
      <c r="L2553" s="370"/>
      <c r="M2553" s="371"/>
      <c r="N2553" s="671"/>
      <c r="O2553" s="671"/>
      <c r="P2553" s="373"/>
      <c r="Q2553" s="673"/>
      <c r="R2553" s="378"/>
      <c r="S2553" s="366"/>
      <c r="T2553" s="366"/>
      <c r="U2553" s="366"/>
      <c r="V2553" s="366"/>
      <c r="W2553" s="366"/>
    </row>
    <row r="2554" spans="1:23">
      <c r="A2554" s="1410"/>
      <c r="B2554" s="1413"/>
      <c r="C2554" s="992" t="s">
        <v>992</v>
      </c>
      <c r="D2554" s="875" t="str">
        <f>B2545&amp;C2554</f>
        <v>A15k</v>
      </c>
      <c r="E2554" s="367">
        <v>9</v>
      </c>
      <c r="F2554" s="370"/>
      <c r="G2554" s="368"/>
      <c r="H2554" s="368"/>
      <c r="I2554" s="368"/>
      <c r="J2554" s="368"/>
      <c r="K2554" s="370"/>
      <c r="L2554" s="370"/>
      <c r="M2554" s="371"/>
      <c r="N2554" s="372"/>
      <c r="O2554" s="372"/>
      <c r="P2554" s="373"/>
      <c r="Q2554" s="374"/>
      <c r="R2554" s="378"/>
      <c r="S2554" s="379"/>
      <c r="T2554" s="366"/>
      <c r="U2554" s="366"/>
      <c r="V2554" s="366"/>
      <c r="W2554" s="366"/>
    </row>
    <row r="2555" spans="1:23">
      <c r="A2555" s="1410"/>
      <c r="B2555" s="1413"/>
      <c r="C2555" s="992" t="s">
        <v>993</v>
      </c>
      <c r="D2555" s="875" t="str">
        <f>B2545&amp;C2555</f>
        <v>A15l</v>
      </c>
      <c r="E2555" s="367">
        <v>10</v>
      </c>
      <c r="F2555" s="370"/>
      <c r="G2555" s="368"/>
      <c r="H2555" s="368"/>
      <c r="I2555" s="368"/>
      <c r="J2555" s="368"/>
      <c r="K2555" s="370"/>
      <c r="L2555" s="370"/>
      <c r="M2555" s="370"/>
      <c r="N2555" s="372"/>
      <c r="O2555" s="372"/>
      <c r="P2555" s="373"/>
      <c r="Q2555" s="374"/>
      <c r="R2555" s="378"/>
      <c r="S2555" s="379"/>
      <c r="T2555" s="366"/>
      <c r="U2555" s="366"/>
      <c r="V2555" s="366"/>
      <c r="W2555" s="366"/>
    </row>
    <row r="2556" spans="1:23">
      <c r="A2556" s="1410"/>
      <c r="B2556" s="1413"/>
      <c r="C2556" s="992" t="s">
        <v>994</v>
      </c>
      <c r="D2556" s="875" t="str">
        <f>B2545&amp;C2556</f>
        <v>A15m</v>
      </c>
      <c r="E2556" s="367">
        <v>11</v>
      </c>
      <c r="F2556" s="370"/>
      <c r="G2556" s="368"/>
      <c r="H2556" s="368"/>
      <c r="I2556" s="368"/>
      <c r="J2556" s="368"/>
      <c r="K2556" s="370"/>
      <c r="L2556" s="370"/>
      <c r="M2556" s="370"/>
      <c r="N2556" s="372"/>
      <c r="O2556" s="372"/>
      <c r="P2556" s="380"/>
      <c r="Q2556" s="374"/>
      <c r="R2556" s="381"/>
      <c r="S2556" s="379"/>
      <c r="T2556" s="366"/>
      <c r="U2556" s="366"/>
      <c r="V2556" s="366"/>
      <c r="W2556" s="366"/>
    </row>
    <row r="2557" spans="1:23">
      <c r="A2557" s="1410"/>
      <c r="B2557" s="1413"/>
      <c r="C2557" s="992" t="s">
        <v>995</v>
      </c>
      <c r="D2557" s="875" t="str">
        <f>B2545&amp;C2557</f>
        <v>A15n</v>
      </c>
      <c r="E2557" s="367">
        <v>12</v>
      </c>
      <c r="F2557" s="370"/>
      <c r="G2557" s="368"/>
      <c r="H2557" s="368"/>
      <c r="I2557" s="368"/>
      <c r="J2557" s="368"/>
      <c r="K2557" s="370"/>
      <c r="L2557" s="370"/>
      <c r="M2557" s="370"/>
      <c r="N2557" s="372"/>
      <c r="O2557" s="372"/>
      <c r="P2557" s="380"/>
      <c r="Q2557" s="374"/>
      <c r="R2557" s="381"/>
      <c r="S2557" s="361"/>
      <c r="T2557" s="361"/>
      <c r="U2557" s="361"/>
      <c r="V2557" s="366"/>
      <c r="W2557" s="366"/>
    </row>
    <row r="2558" spans="1:23">
      <c r="A2558" s="1410"/>
      <c r="B2558" s="1413"/>
      <c r="C2558" s="992" t="s">
        <v>471</v>
      </c>
      <c r="D2558" s="875" t="str">
        <f>B2545&amp;C2558</f>
        <v>A15x</v>
      </c>
      <c r="E2558" s="367">
        <v>13</v>
      </c>
      <c r="F2558" s="370"/>
      <c r="G2558" s="368"/>
      <c r="H2558" s="368"/>
      <c r="I2558" s="368"/>
      <c r="J2558" s="368"/>
      <c r="K2558" s="370"/>
      <c r="L2558" s="370"/>
      <c r="M2558" s="370"/>
      <c r="N2558" s="382"/>
      <c r="O2558" s="372"/>
      <c r="P2558" s="380"/>
      <c r="Q2558" s="381"/>
      <c r="R2558" s="381"/>
      <c r="S2558" s="361"/>
      <c r="T2558" s="361"/>
      <c r="U2558" s="361"/>
      <c r="V2558" s="366"/>
      <c r="W2558" s="366"/>
    </row>
    <row r="2559" spans="1:23">
      <c r="A2559" s="1410"/>
      <c r="B2559" s="1413"/>
      <c r="C2559" s="992" t="s">
        <v>732</v>
      </c>
      <c r="D2559" s="875" t="str">
        <f>B2545&amp;C2559</f>
        <v>A15y</v>
      </c>
      <c r="E2559" s="367">
        <v>14</v>
      </c>
      <c r="F2559" s="370"/>
      <c r="G2559" s="368"/>
      <c r="H2559" s="368"/>
      <c r="I2559" s="368"/>
      <c r="J2559" s="368"/>
      <c r="K2559" s="370"/>
      <c r="L2559" s="370"/>
      <c r="M2559" s="370"/>
      <c r="N2559" s="382"/>
      <c r="O2559" s="372"/>
      <c r="P2559" s="380"/>
      <c r="Q2559" s="381"/>
      <c r="R2559" s="381"/>
      <c r="S2559" s="361"/>
      <c r="T2559" s="361"/>
      <c r="U2559" s="362"/>
      <c r="V2559" s="366"/>
      <c r="W2559" s="366"/>
    </row>
    <row r="2560" spans="1:23">
      <c r="A2560" s="1411"/>
      <c r="B2560" s="1414"/>
      <c r="C2560" s="993" t="s">
        <v>996</v>
      </c>
      <c r="D2560" s="876" t="str">
        <f>B2545&amp;C2560</f>
        <v>A15z</v>
      </c>
      <c r="E2560" s="847">
        <v>15</v>
      </c>
      <c r="F2560" s="370"/>
      <c r="G2560" s="368"/>
      <c r="H2560" s="368"/>
      <c r="I2560" s="368"/>
      <c r="J2560" s="368"/>
      <c r="K2560" s="370"/>
      <c r="L2560" s="370"/>
      <c r="M2560" s="370"/>
      <c r="N2560" s="850"/>
      <c r="O2560" s="851"/>
      <c r="P2560" s="380"/>
      <c r="Q2560" s="852"/>
      <c r="R2560" s="383"/>
      <c r="S2560" s="361"/>
      <c r="T2560" s="990"/>
      <c r="U2560" s="989"/>
      <c r="V2560" s="366"/>
      <c r="W2560" s="366"/>
    </row>
    <row r="2561" spans="1:23">
      <c r="A2561" s="1400" t="s">
        <v>939</v>
      </c>
      <c r="B2561" s="1400"/>
      <c r="C2561" s="986"/>
      <c r="D2561" s="871"/>
      <c r="E2561" s="1400" t="s">
        <v>177</v>
      </c>
      <c r="F2561" s="1400" t="s">
        <v>18</v>
      </c>
      <c r="G2561" s="1389" t="s">
        <v>19</v>
      </c>
      <c r="H2561" s="1390"/>
      <c r="I2561" s="1389" t="s">
        <v>22</v>
      </c>
      <c r="J2561" s="1390"/>
      <c r="K2561" s="1393" t="s">
        <v>26</v>
      </c>
      <c r="L2561" s="1390"/>
      <c r="M2561" s="1389" t="s">
        <v>392</v>
      </c>
      <c r="N2561" s="1390"/>
      <c r="O2561" s="1389" t="s">
        <v>28</v>
      </c>
      <c r="P2561" s="1393"/>
      <c r="Q2561" s="1390"/>
      <c r="R2561" s="1400" t="s">
        <v>36</v>
      </c>
      <c r="S2561" s="361"/>
      <c r="T2561" s="361">
        <f>MAX(J2565:J2579)-MIN(I2565:I2579)</f>
        <v>3.1250000000000028E-2</v>
      </c>
      <c r="U2561" s="361"/>
      <c r="V2561" s="853" t="str">
        <f t="shared" ref="V2561" si="270">B2565</f>
        <v>A16</v>
      </c>
      <c r="W2561" s="361">
        <f t="shared" ref="W2561" si="271">COUNTIF(K2566:K2580,"&gt;0")</f>
        <v>3</v>
      </c>
    </row>
    <row r="2562" spans="1:23">
      <c r="A2562" s="1401"/>
      <c r="B2562" s="1401"/>
      <c r="C2562" s="987"/>
      <c r="D2562" s="872"/>
      <c r="E2562" s="1401"/>
      <c r="F2562" s="1401"/>
      <c r="G2562" s="1391"/>
      <c r="H2562" s="1392"/>
      <c r="I2562" s="1391"/>
      <c r="J2562" s="1392"/>
      <c r="K2562" s="1394"/>
      <c r="L2562" s="1392"/>
      <c r="M2562" s="1391"/>
      <c r="N2562" s="1392"/>
      <c r="O2562" s="1391"/>
      <c r="P2562" s="1394"/>
      <c r="Q2562" s="1392"/>
      <c r="R2562" s="1401"/>
      <c r="S2562" s="361"/>
      <c r="T2562" s="361"/>
      <c r="U2562" s="361"/>
      <c r="V2562" s="361"/>
      <c r="W2562" s="361"/>
    </row>
    <row r="2563" spans="1:23">
      <c r="A2563" s="1401"/>
      <c r="B2563" s="1401"/>
      <c r="C2563" s="987"/>
      <c r="D2563" s="872"/>
      <c r="E2563" s="1401"/>
      <c r="F2563" s="1401"/>
      <c r="G2563" s="1400" t="s">
        <v>20</v>
      </c>
      <c r="H2563" s="1400" t="s">
        <v>21</v>
      </c>
      <c r="I2563" s="1400" t="s">
        <v>361</v>
      </c>
      <c r="J2563" s="1400" t="s">
        <v>353</v>
      </c>
      <c r="K2563" s="1400" t="s">
        <v>23</v>
      </c>
      <c r="L2563" s="1400" t="s">
        <v>24</v>
      </c>
      <c r="M2563" s="1400" t="s">
        <v>27</v>
      </c>
      <c r="N2563" s="1400" t="s">
        <v>178</v>
      </c>
      <c r="O2563" s="1400" t="s">
        <v>1</v>
      </c>
      <c r="P2563" s="1400" t="s">
        <v>29</v>
      </c>
      <c r="Q2563" s="1400" t="s">
        <v>33</v>
      </c>
      <c r="R2563" s="1401"/>
      <c r="S2563" s="361"/>
      <c r="T2563" s="361" t="s">
        <v>39</v>
      </c>
      <c r="U2563" s="362">
        <f>VLOOKUP(B2565,'Thong tin'!$A:$M,13,0)</f>
        <v>1200</v>
      </c>
      <c r="V2563" s="361"/>
      <c r="W2563" s="361"/>
    </row>
    <row r="2564" spans="1:23">
      <c r="A2564" s="1402"/>
      <c r="B2564" s="1402"/>
      <c r="C2564" s="988"/>
      <c r="D2564" s="873"/>
      <c r="E2564" s="1402"/>
      <c r="F2564" s="1402"/>
      <c r="G2564" s="1402"/>
      <c r="H2564" s="1402"/>
      <c r="I2564" s="1402"/>
      <c r="J2564" s="1402"/>
      <c r="K2564" s="1402"/>
      <c r="L2564" s="1402"/>
      <c r="M2564" s="1402"/>
      <c r="N2564" s="1402"/>
      <c r="O2564" s="1402"/>
      <c r="P2564" s="1402"/>
      <c r="Q2564" s="1402"/>
      <c r="R2564" s="1402"/>
      <c r="S2564" s="361"/>
      <c r="T2564" s="1399" t="s">
        <v>393</v>
      </c>
      <c r="U2564" s="1397">
        <f>VLOOKUP(B2565,DT.NK!$B:$AZ,45,0)</f>
        <v>25.38</v>
      </c>
      <c r="V2564" s="361"/>
      <c r="W2564" s="361"/>
    </row>
    <row r="2565" spans="1:23">
      <c r="A2565" s="1409">
        <f>A2545+1</f>
        <v>129</v>
      </c>
      <c r="B2565" s="1412" t="s">
        <v>563</v>
      </c>
      <c r="C2565" s="991" t="s">
        <v>983</v>
      </c>
      <c r="D2565" s="874" t="str">
        <f>B2565&amp;C2565</f>
        <v>A16a</v>
      </c>
      <c r="E2565" s="363"/>
      <c r="F2565" s="364"/>
      <c r="G2565" s="364"/>
      <c r="H2565" s="364"/>
      <c r="I2565" s="364"/>
      <c r="J2565" s="364"/>
      <c r="K2565" s="364"/>
      <c r="L2565" s="364"/>
      <c r="M2565" s="674"/>
      <c r="N2565" s="670"/>
      <c r="O2565" s="670">
        <f>U2564</f>
        <v>25.38</v>
      </c>
      <c r="P2565" s="670">
        <f>O2565</f>
        <v>25.38</v>
      </c>
      <c r="Q2565" s="670">
        <v>0</v>
      </c>
      <c r="R2565" s="365"/>
      <c r="S2565" s="366"/>
      <c r="T2565" s="1399"/>
      <c r="U2565" s="1398"/>
      <c r="V2565" s="361"/>
      <c r="W2565" s="361"/>
    </row>
    <row r="2566" spans="1:23">
      <c r="A2566" s="1410"/>
      <c r="B2566" s="1413"/>
      <c r="C2566" s="992" t="s">
        <v>984</v>
      </c>
      <c r="D2566" s="875" t="str">
        <f>B2565&amp;C2566</f>
        <v>A16b</v>
      </c>
      <c r="E2566" s="367">
        <v>1</v>
      </c>
      <c r="F2566" s="669" t="s">
        <v>1096</v>
      </c>
      <c r="G2566" s="369">
        <v>0.19375000000000001</v>
      </c>
      <c r="H2566" s="368">
        <v>0.21527777777777779</v>
      </c>
      <c r="I2566" s="368">
        <v>0.22916666666666666</v>
      </c>
      <c r="J2566" s="368">
        <v>0.23611111111111113</v>
      </c>
      <c r="K2566" s="669">
        <v>9</v>
      </c>
      <c r="L2566" s="669">
        <v>19</v>
      </c>
      <c r="M2566" s="675">
        <v>24.05</v>
      </c>
      <c r="N2566" s="671">
        <f>IF(M2566-P2566&gt;0,M2566-P2566,0)</f>
        <v>4.9499999999999993</v>
      </c>
      <c r="O2566" s="671">
        <f>O2565-K2566/(PI()*(U2563/2000)^2)</f>
        <v>17.422252845405232</v>
      </c>
      <c r="P2566" s="672">
        <v>19.100000000000001</v>
      </c>
      <c r="Q2566" s="673">
        <f>ABS(O2566-P2566)</f>
        <v>1.6777471545947691</v>
      </c>
      <c r="R2566" s="375" t="s">
        <v>188</v>
      </c>
      <c r="S2566" s="366"/>
      <c r="T2566" s="376"/>
      <c r="U2566" s="376"/>
      <c r="V2566" s="366"/>
      <c r="W2566" s="366"/>
    </row>
    <row r="2567" spans="1:23">
      <c r="A2567" s="1410"/>
      <c r="B2567" s="1413"/>
      <c r="C2567" s="992" t="s">
        <v>985</v>
      </c>
      <c r="D2567" s="875" t="str">
        <f>B2565&amp;C2567</f>
        <v>A16c</v>
      </c>
      <c r="E2567" s="367">
        <v>2</v>
      </c>
      <c r="F2567" s="669" t="s">
        <v>1089</v>
      </c>
      <c r="G2567" s="369">
        <v>0.20208333333333331</v>
      </c>
      <c r="H2567" s="368">
        <v>0.22222222222222221</v>
      </c>
      <c r="I2567" s="368">
        <v>0.24305555555555555</v>
      </c>
      <c r="J2567" s="368">
        <v>0.24652777777777779</v>
      </c>
      <c r="K2567" s="669">
        <v>8</v>
      </c>
      <c r="L2567" s="669">
        <v>19</v>
      </c>
      <c r="M2567" s="675">
        <v>17.75</v>
      </c>
      <c r="N2567" s="671">
        <f>IF(M2567-P2567&gt;0,M2567-P2567,0)</f>
        <v>5.4499999999999993</v>
      </c>
      <c r="O2567" s="671">
        <f>O2566-K2567/(PI()*(U2563/2000)^2)</f>
        <v>10.348699819098773</v>
      </c>
      <c r="P2567" s="672">
        <v>12.3</v>
      </c>
      <c r="Q2567" s="673">
        <f>ABS(O2567-P2567)</f>
        <v>1.951300180901228</v>
      </c>
      <c r="R2567" s="375" t="s">
        <v>188</v>
      </c>
      <c r="S2567" s="366"/>
      <c r="T2567" s="376"/>
      <c r="U2567" s="376"/>
      <c r="V2567" s="366"/>
      <c r="W2567" s="366"/>
    </row>
    <row r="2568" spans="1:23">
      <c r="A2568" s="1410"/>
      <c r="B2568" s="1413"/>
      <c r="C2568" s="992" t="s">
        <v>986</v>
      </c>
      <c r="D2568" s="875" t="str">
        <f>B2565&amp;C2568</f>
        <v>A16d</v>
      </c>
      <c r="E2568" s="367">
        <v>3</v>
      </c>
      <c r="F2568" s="669" t="s">
        <v>1085</v>
      </c>
      <c r="G2568" s="369">
        <v>0.20902777777777778</v>
      </c>
      <c r="H2568" s="368">
        <v>0.23611111111111113</v>
      </c>
      <c r="I2568" s="368">
        <v>0.25694444444444448</v>
      </c>
      <c r="J2568" s="368">
        <v>0.26041666666666669</v>
      </c>
      <c r="K2568" s="669">
        <v>8</v>
      </c>
      <c r="L2568" s="669">
        <v>19</v>
      </c>
      <c r="M2568" s="675">
        <v>11.45</v>
      </c>
      <c r="N2568" s="671">
        <f>IF(M2568-P2568&gt;0,M2568-P2568,0)</f>
        <v>8.5</v>
      </c>
      <c r="O2568" s="671">
        <f>O2567-K2568/(PI()*(U2563/2000)^2)</f>
        <v>3.275146792792313</v>
      </c>
      <c r="P2568" s="672">
        <v>2.95</v>
      </c>
      <c r="Q2568" s="673">
        <f>ABS(O2568-P2568)</f>
        <v>0.32514679279231284</v>
      </c>
      <c r="R2568" s="375" t="s">
        <v>188</v>
      </c>
      <c r="S2568" s="366"/>
      <c r="T2568" s="376"/>
      <c r="U2568" s="376"/>
      <c r="V2568" s="366"/>
      <c r="W2568" s="366"/>
    </row>
    <row r="2569" spans="1:23">
      <c r="A2569" s="1410"/>
      <c r="B2569" s="1413"/>
      <c r="C2569" s="992" t="s">
        <v>987</v>
      </c>
      <c r="D2569" s="875" t="str">
        <f>B2565&amp;C2569</f>
        <v>A16e</v>
      </c>
      <c r="E2569" s="367">
        <v>4</v>
      </c>
      <c r="F2569" s="669"/>
      <c r="G2569" s="368"/>
      <c r="H2569" s="368"/>
      <c r="I2569" s="368"/>
      <c r="J2569" s="368"/>
      <c r="K2569" s="370"/>
      <c r="L2569" s="370"/>
      <c r="M2569" s="371"/>
      <c r="N2569" s="671"/>
      <c r="O2569" s="671"/>
      <c r="P2569" s="373"/>
      <c r="Q2569" s="673"/>
      <c r="R2569" s="378"/>
      <c r="S2569" s="366"/>
      <c r="T2569" s="376"/>
      <c r="U2569" s="376"/>
      <c r="V2569" s="366"/>
      <c r="W2569" s="366"/>
    </row>
    <row r="2570" spans="1:23">
      <c r="A2570" s="1410"/>
      <c r="B2570" s="1413"/>
      <c r="C2570" s="992" t="s">
        <v>988</v>
      </c>
      <c r="D2570" s="875" t="str">
        <f>B2565&amp;C2570</f>
        <v>A16f</v>
      </c>
      <c r="E2570" s="367">
        <v>5</v>
      </c>
      <c r="F2570" s="669"/>
      <c r="G2570" s="368"/>
      <c r="H2570" s="368"/>
      <c r="I2570" s="368"/>
      <c r="J2570" s="368"/>
      <c r="K2570" s="370"/>
      <c r="L2570" s="370"/>
      <c r="M2570" s="371"/>
      <c r="N2570" s="671"/>
      <c r="O2570" s="671"/>
      <c r="P2570" s="373"/>
      <c r="Q2570" s="673"/>
      <c r="R2570" s="378"/>
      <c r="S2570" s="366" t="s">
        <v>190</v>
      </c>
      <c r="T2570" s="376"/>
      <c r="U2570" s="376"/>
      <c r="V2570" s="366"/>
      <c r="W2570" s="366"/>
    </row>
    <row r="2571" spans="1:23">
      <c r="A2571" s="1410"/>
      <c r="B2571" s="1413"/>
      <c r="C2571" s="992" t="s">
        <v>989</v>
      </c>
      <c r="D2571" s="875" t="str">
        <f>B2565&amp;C2571</f>
        <v>A16g</v>
      </c>
      <c r="E2571" s="367">
        <v>6</v>
      </c>
      <c r="F2571" s="669"/>
      <c r="G2571" s="368"/>
      <c r="H2571" s="368"/>
      <c r="I2571" s="368"/>
      <c r="J2571" s="368"/>
      <c r="K2571" s="370"/>
      <c r="L2571" s="370"/>
      <c r="M2571" s="371"/>
      <c r="N2571" s="671"/>
      <c r="O2571" s="671"/>
      <c r="P2571" s="373"/>
      <c r="Q2571" s="673"/>
      <c r="R2571" s="378"/>
      <c r="S2571" s="366" t="s">
        <v>190</v>
      </c>
      <c r="T2571" s="366"/>
      <c r="U2571" s="366"/>
      <c r="V2571" s="366"/>
      <c r="W2571" s="366"/>
    </row>
    <row r="2572" spans="1:23">
      <c r="A2572" s="1410"/>
      <c r="B2572" s="1413"/>
      <c r="C2572" s="992" t="s">
        <v>990</v>
      </c>
      <c r="D2572" s="875" t="str">
        <f>B2565&amp;C2572</f>
        <v>A16h</v>
      </c>
      <c r="E2572" s="367">
        <v>7</v>
      </c>
      <c r="F2572" s="669"/>
      <c r="G2572" s="368"/>
      <c r="H2572" s="368"/>
      <c r="I2572" s="368"/>
      <c r="J2572" s="368"/>
      <c r="K2572" s="370"/>
      <c r="L2572" s="370"/>
      <c r="M2572" s="371"/>
      <c r="N2572" s="671"/>
      <c r="O2572" s="671"/>
      <c r="P2572" s="373"/>
      <c r="Q2572" s="673"/>
      <c r="R2572" s="378"/>
      <c r="S2572" s="366" t="s">
        <v>190</v>
      </c>
      <c r="T2572" s="366"/>
      <c r="U2572" s="366"/>
      <c r="V2572" s="366"/>
      <c r="W2572" s="366"/>
    </row>
    <row r="2573" spans="1:23">
      <c r="A2573" s="1410"/>
      <c r="B2573" s="1413"/>
      <c r="C2573" s="992" t="s">
        <v>991</v>
      </c>
      <c r="D2573" s="875" t="str">
        <f>B2565&amp;C2573</f>
        <v>A16i</v>
      </c>
      <c r="E2573" s="367">
        <v>8</v>
      </c>
      <c r="F2573" s="669"/>
      <c r="G2573" s="368"/>
      <c r="H2573" s="368"/>
      <c r="I2573" s="368"/>
      <c r="J2573" s="368"/>
      <c r="K2573" s="370"/>
      <c r="L2573" s="370"/>
      <c r="M2573" s="371"/>
      <c r="N2573" s="671"/>
      <c r="O2573" s="671"/>
      <c r="P2573" s="373"/>
      <c r="Q2573" s="673"/>
      <c r="R2573" s="378"/>
      <c r="S2573" s="366"/>
      <c r="T2573" s="366"/>
      <c r="U2573" s="366"/>
      <c r="V2573" s="366"/>
      <c r="W2573" s="366"/>
    </row>
    <row r="2574" spans="1:23">
      <c r="A2574" s="1410"/>
      <c r="B2574" s="1413"/>
      <c r="C2574" s="992" t="s">
        <v>992</v>
      </c>
      <c r="D2574" s="875" t="str">
        <f>B2565&amp;C2574</f>
        <v>A16k</v>
      </c>
      <c r="E2574" s="367">
        <v>9</v>
      </c>
      <c r="F2574" s="370"/>
      <c r="G2574" s="368"/>
      <c r="H2574" s="368"/>
      <c r="I2574" s="368"/>
      <c r="J2574" s="368"/>
      <c r="K2574" s="370"/>
      <c r="L2574" s="370"/>
      <c r="M2574" s="371"/>
      <c r="N2574" s="372"/>
      <c r="O2574" s="372"/>
      <c r="P2574" s="373"/>
      <c r="Q2574" s="374"/>
      <c r="R2574" s="378"/>
      <c r="S2574" s="379"/>
      <c r="T2574" s="366"/>
      <c r="U2574" s="366"/>
      <c r="V2574" s="366"/>
      <c r="W2574" s="366"/>
    </row>
    <row r="2575" spans="1:23">
      <c r="A2575" s="1410"/>
      <c r="B2575" s="1413"/>
      <c r="C2575" s="992" t="s">
        <v>993</v>
      </c>
      <c r="D2575" s="875" t="str">
        <f>B2565&amp;C2575</f>
        <v>A16l</v>
      </c>
      <c r="E2575" s="367">
        <v>10</v>
      </c>
      <c r="F2575" s="370"/>
      <c r="G2575" s="368"/>
      <c r="H2575" s="368"/>
      <c r="I2575" s="368"/>
      <c r="J2575" s="368"/>
      <c r="K2575" s="370"/>
      <c r="L2575" s="370"/>
      <c r="M2575" s="370"/>
      <c r="N2575" s="372"/>
      <c r="O2575" s="372"/>
      <c r="P2575" s="373"/>
      <c r="Q2575" s="374"/>
      <c r="R2575" s="378"/>
      <c r="S2575" s="379"/>
      <c r="T2575" s="366"/>
      <c r="U2575" s="366"/>
      <c r="V2575" s="366"/>
      <c r="W2575" s="366"/>
    </row>
    <row r="2576" spans="1:23">
      <c r="A2576" s="1410"/>
      <c r="B2576" s="1413"/>
      <c r="C2576" s="992" t="s">
        <v>994</v>
      </c>
      <c r="D2576" s="875" t="str">
        <f>B2565&amp;C2576</f>
        <v>A16m</v>
      </c>
      <c r="E2576" s="367">
        <v>11</v>
      </c>
      <c r="F2576" s="370"/>
      <c r="G2576" s="368"/>
      <c r="H2576" s="368"/>
      <c r="I2576" s="368"/>
      <c r="J2576" s="368"/>
      <c r="K2576" s="370"/>
      <c r="L2576" s="370"/>
      <c r="M2576" s="370"/>
      <c r="N2576" s="372"/>
      <c r="O2576" s="372"/>
      <c r="P2576" s="380"/>
      <c r="Q2576" s="374"/>
      <c r="R2576" s="381"/>
      <c r="S2576" s="379"/>
      <c r="T2576" s="366"/>
      <c r="U2576" s="366"/>
      <c r="V2576" s="366"/>
      <c r="W2576" s="366"/>
    </row>
    <row r="2577" spans="1:23">
      <c r="A2577" s="1410"/>
      <c r="B2577" s="1413"/>
      <c r="C2577" s="992" t="s">
        <v>995</v>
      </c>
      <c r="D2577" s="875" t="str">
        <f>B2565&amp;C2577</f>
        <v>A16n</v>
      </c>
      <c r="E2577" s="367">
        <v>12</v>
      </c>
      <c r="F2577" s="370"/>
      <c r="G2577" s="368"/>
      <c r="H2577" s="368"/>
      <c r="I2577" s="368"/>
      <c r="J2577" s="368"/>
      <c r="K2577" s="370"/>
      <c r="L2577" s="370"/>
      <c r="M2577" s="370"/>
      <c r="N2577" s="372"/>
      <c r="O2577" s="372"/>
      <c r="P2577" s="380"/>
      <c r="Q2577" s="374"/>
      <c r="R2577" s="381"/>
      <c r="S2577" s="361"/>
      <c r="T2577" s="361"/>
      <c r="U2577" s="361"/>
      <c r="V2577" s="366"/>
      <c r="W2577" s="366"/>
    </row>
    <row r="2578" spans="1:23">
      <c r="A2578" s="1410"/>
      <c r="B2578" s="1413"/>
      <c r="C2578" s="992" t="s">
        <v>471</v>
      </c>
      <c r="D2578" s="875" t="str">
        <f>B2565&amp;C2578</f>
        <v>A16x</v>
      </c>
      <c r="E2578" s="367">
        <v>13</v>
      </c>
      <c r="F2578" s="370"/>
      <c r="G2578" s="368"/>
      <c r="H2578" s="368"/>
      <c r="I2578" s="368"/>
      <c r="J2578" s="368"/>
      <c r="K2578" s="370"/>
      <c r="L2578" s="370"/>
      <c r="M2578" s="370"/>
      <c r="N2578" s="382"/>
      <c r="O2578" s="372"/>
      <c r="P2578" s="380"/>
      <c r="Q2578" s="381"/>
      <c r="R2578" s="381"/>
      <c r="S2578" s="361"/>
      <c r="T2578" s="361"/>
      <c r="U2578" s="361"/>
      <c r="V2578" s="366"/>
      <c r="W2578" s="366"/>
    </row>
    <row r="2579" spans="1:23">
      <c r="A2579" s="1410"/>
      <c r="B2579" s="1413"/>
      <c r="C2579" s="992" t="s">
        <v>732</v>
      </c>
      <c r="D2579" s="875" t="str">
        <f>B2565&amp;C2579</f>
        <v>A16y</v>
      </c>
      <c r="E2579" s="367">
        <v>14</v>
      </c>
      <c r="F2579" s="370"/>
      <c r="G2579" s="368"/>
      <c r="H2579" s="368"/>
      <c r="I2579" s="368"/>
      <c r="J2579" s="368"/>
      <c r="K2579" s="370"/>
      <c r="L2579" s="370"/>
      <c r="M2579" s="370"/>
      <c r="N2579" s="382"/>
      <c r="O2579" s="372"/>
      <c r="P2579" s="380"/>
      <c r="Q2579" s="381"/>
      <c r="R2579" s="381"/>
      <c r="S2579" s="361"/>
      <c r="T2579" s="361"/>
      <c r="U2579" s="362"/>
      <c r="V2579" s="366"/>
      <c r="W2579" s="366"/>
    </row>
    <row r="2580" spans="1:23">
      <c r="A2580" s="1411"/>
      <c r="B2580" s="1414"/>
      <c r="C2580" s="993" t="s">
        <v>996</v>
      </c>
      <c r="D2580" s="876" t="str">
        <f>B2565&amp;C2580</f>
        <v>A16z</v>
      </c>
      <c r="E2580" s="847">
        <v>15</v>
      </c>
      <c r="F2580" s="370"/>
      <c r="G2580" s="368"/>
      <c r="H2580" s="368"/>
      <c r="I2580" s="368"/>
      <c r="J2580" s="368"/>
      <c r="K2580" s="370"/>
      <c r="L2580" s="370"/>
      <c r="M2580" s="370"/>
      <c r="N2580" s="850"/>
      <c r="O2580" s="851"/>
      <c r="P2580" s="380"/>
      <c r="Q2580" s="852"/>
      <c r="R2580" s="383"/>
      <c r="S2580" s="361"/>
      <c r="T2580" s="990"/>
      <c r="U2580" s="989"/>
      <c r="V2580" s="366"/>
      <c r="W2580" s="366"/>
    </row>
    <row r="2581" spans="1:23">
      <c r="A2581" s="1400" t="s">
        <v>939</v>
      </c>
      <c r="B2581" s="1400"/>
      <c r="C2581" s="986"/>
      <c r="D2581" s="871"/>
      <c r="E2581" s="1400" t="s">
        <v>177</v>
      </c>
      <c r="F2581" s="1400" t="s">
        <v>18</v>
      </c>
      <c r="G2581" s="1389" t="s">
        <v>19</v>
      </c>
      <c r="H2581" s="1390"/>
      <c r="I2581" s="1389" t="s">
        <v>22</v>
      </c>
      <c r="J2581" s="1390"/>
      <c r="K2581" s="1393" t="s">
        <v>26</v>
      </c>
      <c r="L2581" s="1390"/>
      <c r="M2581" s="1389" t="s">
        <v>392</v>
      </c>
      <c r="N2581" s="1390"/>
      <c r="O2581" s="1389" t="s">
        <v>28</v>
      </c>
      <c r="P2581" s="1393"/>
      <c r="Q2581" s="1390"/>
      <c r="R2581" s="1400" t="s">
        <v>36</v>
      </c>
      <c r="S2581" s="361"/>
      <c r="T2581" s="361">
        <f>MAX(J2585:J2599)-MIN(I2585:I2599)</f>
        <v>3.4722222222222224E-2</v>
      </c>
      <c r="U2581" s="361"/>
      <c r="V2581" s="853" t="str">
        <f t="shared" ref="V2581" si="272">B2585</f>
        <v>A159</v>
      </c>
      <c r="W2581" s="361">
        <f t="shared" ref="W2581" si="273">COUNTIF(K2586:K2600,"&gt;0")</f>
        <v>3</v>
      </c>
    </row>
    <row r="2582" spans="1:23">
      <c r="A2582" s="1401"/>
      <c r="B2582" s="1401"/>
      <c r="C2582" s="987"/>
      <c r="D2582" s="872"/>
      <c r="E2582" s="1401"/>
      <c r="F2582" s="1401"/>
      <c r="G2582" s="1391"/>
      <c r="H2582" s="1392"/>
      <c r="I2582" s="1391"/>
      <c r="J2582" s="1392"/>
      <c r="K2582" s="1394"/>
      <c r="L2582" s="1392"/>
      <c r="M2582" s="1391"/>
      <c r="N2582" s="1392"/>
      <c r="O2582" s="1391"/>
      <c r="P2582" s="1394"/>
      <c r="Q2582" s="1392"/>
      <c r="R2582" s="1401"/>
      <c r="S2582" s="361"/>
      <c r="T2582" s="361"/>
      <c r="U2582" s="361"/>
      <c r="V2582" s="361"/>
      <c r="W2582" s="361"/>
    </row>
    <row r="2583" spans="1:23">
      <c r="A2583" s="1401"/>
      <c r="B2583" s="1401"/>
      <c r="C2583" s="987"/>
      <c r="D2583" s="872"/>
      <c r="E2583" s="1401"/>
      <c r="F2583" s="1401"/>
      <c r="G2583" s="1400" t="s">
        <v>20</v>
      </c>
      <c r="H2583" s="1400" t="s">
        <v>21</v>
      </c>
      <c r="I2583" s="1400" t="s">
        <v>361</v>
      </c>
      <c r="J2583" s="1400" t="s">
        <v>353</v>
      </c>
      <c r="K2583" s="1400" t="s">
        <v>23</v>
      </c>
      <c r="L2583" s="1400" t="s">
        <v>24</v>
      </c>
      <c r="M2583" s="1400" t="s">
        <v>27</v>
      </c>
      <c r="N2583" s="1400" t="s">
        <v>178</v>
      </c>
      <c r="O2583" s="1400" t="s">
        <v>1</v>
      </c>
      <c r="P2583" s="1400" t="s">
        <v>29</v>
      </c>
      <c r="Q2583" s="1400" t="s">
        <v>33</v>
      </c>
      <c r="R2583" s="1401"/>
      <c r="S2583" s="361"/>
      <c r="T2583" s="361" t="s">
        <v>39</v>
      </c>
      <c r="U2583" s="362">
        <f>VLOOKUP(B2585,'Thong tin'!$A:$M,13,0)</f>
        <v>1200</v>
      </c>
      <c r="V2583" s="361"/>
      <c r="W2583" s="361"/>
    </row>
    <row r="2584" spans="1:23">
      <c r="A2584" s="1402"/>
      <c r="B2584" s="1402"/>
      <c r="C2584" s="988"/>
      <c r="D2584" s="873"/>
      <c r="E2584" s="1402"/>
      <c r="F2584" s="1402"/>
      <c r="G2584" s="1402"/>
      <c r="H2584" s="1402"/>
      <c r="I2584" s="1402"/>
      <c r="J2584" s="1402"/>
      <c r="K2584" s="1402"/>
      <c r="L2584" s="1402"/>
      <c r="M2584" s="1402"/>
      <c r="N2584" s="1402"/>
      <c r="O2584" s="1402"/>
      <c r="P2584" s="1402"/>
      <c r="Q2584" s="1402"/>
      <c r="R2584" s="1402"/>
      <c r="S2584" s="361"/>
      <c r="T2584" s="1399" t="s">
        <v>393</v>
      </c>
      <c r="U2584" s="1397">
        <f>VLOOKUP(B2585,DT.NK!$B:$AZ,45,0)</f>
        <v>30.33</v>
      </c>
      <c r="V2584" s="361"/>
      <c r="W2584" s="361"/>
    </row>
    <row r="2585" spans="1:23">
      <c r="A2585" s="1409">
        <f>A2565+1</f>
        <v>130</v>
      </c>
      <c r="B2585" s="1412" t="s">
        <v>606</v>
      </c>
      <c r="C2585" s="991" t="s">
        <v>983</v>
      </c>
      <c r="D2585" s="874" t="str">
        <f>B2585&amp;C2585</f>
        <v>A159a</v>
      </c>
      <c r="E2585" s="363"/>
      <c r="F2585" s="364"/>
      <c r="G2585" s="364"/>
      <c r="H2585" s="364"/>
      <c r="I2585" s="364"/>
      <c r="J2585" s="364"/>
      <c r="K2585" s="364"/>
      <c r="L2585" s="364"/>
      <c r="M2585" s="674"/>
      <c r="N2585" s="670"/>
      <c r="O2585" s="670">
        <f>U2584</f>
        <v>30.33</v>
      </c>
      <c r="P2585" s="670">
        <f>O2585</f>
        <v>30.33</v>
      </c>
      <c r="Q2585" s="670">
        <v>0</v>
      </c>
      <c r="R2585" s="365"/>
      <c r="S2585" s="366"/>
      <c r="T2585" s="1399"/>
      <c r="U2585" s="1398"/>
      <c r="V2585" s="361"/>
      <c r="W2585" s="361"/>
    </row>
    <row r="2586" spans="1:23">
      <c r="A2586" s="1410"/>
      <c r="B2586" s="1413"/>
      <c r="C2586" s="992" t="s">
        <v>984</v>
      </c>
      <c r="D2586" s="875" t="str">
        <f>B2585&amp;C2586</f>
        <v>A159b</v>
      </c>
      <c r="E2586" s="367">
        <v>1</v>
      </c>
      <c r="F2586" s="669" t="s">
        <v>1096</v>
      </c>
      <c r="G2586" s="369">
        <v>4.5138888888888888E-2</v>
      </c>
      <c r="H2586" s="368">
        <v>6.9444444444444434E-2</v>
      </c>
      <c r="I2586" s="368">
        <v>7.9861111111111105E-2</v>
      </c>
      <c r="J2586" s="368">
        <v>8.6805555555555566E-2</v>
      </c>
      <c r="K2586" s="669">
        <v>11</v>
      </c>
      <c r="L2586" s="669">
        <v>19</v>
      </c>
      <c r="M2586" s="675">
        <v>28.35</v>
      </c>
      <c r="N2586" s="671">
        <f>IF(M2586-P2586&gt;0,M2586-P2586,0)</f>
        <v>5.3500000000000014</v>
      </c>
      <c r="O2586" s="671">
        <f>O2585-K2586/(PI()*(U2583/2000)^2)</f>
        <v>20.603864588828614</v>
      </c>
      <c r="P2586" s="672">
        <v>23</v>
      </c>
      <c r="Q2586" s="673">
        <f>ABS(O2586-P2586)</f>
        <v>2.396135411171386</v>
      </c>
      <c r="R2586" s="375" t="s">
        <v>188</v>
      </c>
      <c r="S2586" s="366"/>
      <c r="T2586" s="376"/>
      <c r="U2586" s="376"/>
      <c r="V2586" s="366"/>
      <c r="W2586" s="366"/>
    </row>
    <row r="2587" spans="1:23">
      <c r="A2587" s="1410"/>
      <c r="B2587" s="1413"/>
      <c r="C2587" s="992" t="s">
        <v>985</v>
      </c>
      <c r="D2587" s="875" t="str">
        <f>B2585&amp;C2587</f>
        <v>A159c</v>
      </c>
      <c r="E2587" s="367">
        <v>2</v>
      </c>
      <c r="F2587" s="669" t="s">
        <v>1089</v>
      </c>
      <c r="G2587" s="369">
        <v>4.8611111111111112E-2</v>
      </c>
      <c r="H2587" s="368">
        <v>7.4305555555555555E-2</v>
      </c>
      <c r="I2587" s="368">
        <v>9.375E-2</v>
      </c>
      <c r="J2587" s="368">
        <v>0.10069444444444443</v>
      </c>
      <c r="K2587" s="669">
        <v>10.5</v>
      </c>
      <c r="L2587" s="669">
        <v>19</v>
      </c>
      <c r="M2587" s="675">
        <v>18.899999999999999</v>
      </c>
      <c r="N2587" s="671">
        <f>IF(M2587-P2587&gt;0,M2587-P2587,0)</f>
        <v>2.889999999999997</v>
      </c>
      <c r="O2587" s="671">
        <f>O2586-K2587/(PI()*(U2583/2000)^2)</f>
        <v>11.319826241801387</v>
      </c>
      <c r="P2587" s="672">
        <v>16.010000000000002</v>
      </c>
      <c r="Q2587" s="673">
        <f>ABS(O2587-P2587)</f>
        <v>4.6901737581986147</v>
      </c>
      <c r="R2587" s="375" t="s">
        <v>188</v>
      </c>
      <c r="S2587" s="366"/>
      <c r="T2587" s="376"/>
      <c r="U2587" s="376"/>
      <c r="V2587" s="366"/>
      <c r="W2587" s="366"/>
    </row>
    <row r="2588" spans="1:23">
      <c r="A2588" s="1410"/>
      <c r="B2588" s="1413"/>
      <c r="C2588" s="992" t="s">
        <v>986</v>
      </c>
      <c r="D2588" s="875" t="str">
        <f>B2585&amp;C2588</f>
        <v>A159d</v>
      </c>
      <c r="E2588" s="367">
        <v>3</v>
      </c>
      <c r="F2588" s="669" t="s">
        <v>1085</v>
      </c>
      <c r="G2588" s="369">
        <v>6.25E-2</v>
      </c>
      <c r="H2588" s="368">
        <v>9.0277777777777776E-2</v>
      </c>
      <c r="I2588" s="368">
        <v>0.1076388888888889</v>
      </c>
      <c r="J2588" s="368">
        <v>0.11458333333333333</v>
      </c>
      <c r="K2588" s="669">
        <v>10.5</v>
      </c>
      <c r="L2588" s="669">
        <v>20</v>
      </c>
      <c r="M2588" s="675">
        <v>12.6</v>
      </c>
      <c r="N2588" s="671">
        <f>IF(M2588-P2588&gt;0,M2588-P2588,0)</f>
        <v>5.1999999999999993</v>
      </c>
      <c r="O2588" s="671">
        <f>O2587-K2588/(PI()*(U2583/2000)^2)</f>
        <v>2.0357878947741597</v>
      </c>
      <c r="P2588" s="672">
        <v>7.4</v>
      </c>
      <c r="Q2588" s="673">
        <f>ABS(O2588-P2588)</f>
        <v>5.3642121052258407</v>
      </c>
      <c r="R2588" s="375" t="s">
        <v>188</v>
      </c>
      <c r="S2588" s="366"/>
      <c r="T2588" s="376"/>
      <c r="U2588" s="376"/>
      <c r="V2588" s="366"/>
      <c r="W2588" s="366"/>
    </row>
    <row r="2589" spans="1:23">
      <c r="A2589" s="1410"/>
      <c r="B2589" s="1413"/>
      <c r="C2589" s="992" t="s">
        <v>987</v>
      </c>
      <c r="D2589" s="875" t="str">
        <f>B2585&amp;C2589</f>
        <v>A159e</v>
      </c>
      <c r="E2589" s="367">
        <v>4</v>
      </c>
      <c r="F2589" s="669"/>
      <c r="G2589" s="368"/>
      <c r="H2589" s="368"/>
      <c r="I2589" s="368"/>
      <c r="J2589" s="368"/>
      <c r="K2589" s="370"/>
      <c r="L2589" s="370"/>
      <c r="M2589" s="371"/>
      <c r="N2589" s="671"/>
      <c r="O2589" s="671"/>
      <c r="P2589" s="373"/>
      <c r="Q2589" s="673"/>
      <c r="R2589" s="378"/>
      <c r="S2589" s="366"/>
      <c r="T2589" s="376"/>
      <c r="U2589" s="376"/>
      <c r="V2589" s="366"/>
      <c r="W2589" s="366"/>
    </row>
    <row r="2590" spans="1:23">
      <c r="A2590" s="1410"/>
      <c r="B2590" s="1413"/>
      <c r="C2590" s="992" t="s">
        <v>988</v>
      </c>
      <c r="D2590" s="875" t="str">
        <f>B2585&amp;C2590</f>
        <v>A159f</v>
      </c>
      <c r="E2590" s="367">
        <v>5</v>
      </c>
      <c r="F2590" s="669"/>
      <c r="G2590" s="368"/>
      <c r="H2590" s="368"/>
      <c r="I2590" s="368"/>
      <c r="J2590" s="368"/>
      <c r="K2590" s="370"/>
      <c r="L2590" s="370"/>
      <c r="M2590" s="371"/>
      <c r="N2590" s="671"/>
      <c r="O2590" s="671"/>
      <c r="P2590" s="373"/>
      <c r="Q2590" s="673"/>
      <c r="R2590" s="378"/>
      <c r="S2590" s="366" t="s">
        <v>190</v>
      </c>
      <c r="T2590" s="376"/>
      <c r="U2590" s="376"/>
      <c r="V2590" s="366"/>
      <c r="W2590" s="366"/>
    </row>
    <row r="2591" spans="1:23">
      <c r="A2591" s="1410"/>
      <c r="B2591" s="1413"/>
      <c r="C2591" s="992" t="s">
        <v>989</v>
      </c>
      <c r="D2591" s="875" t="str">
        <f>B2585&amp;C2591</f>
        <v>A159g</v>
      </c>
      <c r="E2591" s="367">
        <v>6</v>
      </c>
      <c r="F2591" s="669"/>
      <c r="G2591" s="368"/>
      <c r="H2591" s="368"/>
      <c r="I2591" s="368"/>
      <c r="J2591" s="368"/>
      <c r="K2591" s="370"/>
      <c r="L2591" s="370"/>
      <c r="M2591" s="371"/>
      <c r="N2591" s="671"/>
      <c r="O2591" s="671"/>
      <c r="P2591" s="373"/>
      <c r="Q2591" s="673"/>
      <c r="R2591" s="378"/>
      <c r="S2591" s="366" t="s">
        <v>190</v>
      </c>
      <c r="T2591" s="366"/>
      <c r="U2591" s="366"/>
      <c r="V2591" s="366"/>
      <c r="W2591" s="366"/>
    </row>
    <row r="2592" spans="1:23">
      <c r="A2592" s="1410"/>
      <c r="B2592" s="1413"/>
      <c r="C2592" s="992" t="s">
        <v>990</v>
      </c>
      <c r="D2592" s="875" t="str">
        <f>B2585&amp;C2592</f>
        <v>A159h</v>
      </c>
      <c r="E2592" s="367">
        <v>7</v>
      </c>
      <c r="F2592" s="669"/>
      <c r="G2592" s="368"/>
      <c r="H2592" s="368"/>
      <c r="I2592" s="368"/>
      <c r="J2592" s="368"/>
      <c r="K2592" s="370"/>
      <c r="L2592" s="370"/>
      <c r="M2592" s="371"/>
      <c r="N2592" s="671"/>
      <c r="O2592" s="671"/>
      <c r="P2592" s="373"/>
      <c r="Q2592" s="673"/>
      <c r="R2592" s="378"/>
      <c r="S2592" s="366" t="s">
        <v>190</v>
      </c>
      <c r="T2592" s="366"/>
      <c r="U2592" s="366"/>
      <c r="V2592" s="366"/>
      <c r="W2592" s="366"/>
    </row>
    <row r="2593" spans="1:23">
      <c r="A2593" s="1410"/>
      <c r="B2593" s="1413"/>
      <c r="C2593" s="992" t="s">
        <v>991</v>
      </c>
      <c r="D2593" s="875" t="str">
        <f>B2585&amp;C2593</f>
        <v>A159i</v>
      </c>
      <c r="E2593" s="367">
        <v>8</v>
      </c>
      <c r="F2593" s="669"/>
      <c r="G2593" s="368"/>
      <c r="H2593" s="368"/>
      <c r="I2593" s="368"/>
      <c r="J2593" s="368"/>
      <c r="K2593" s="370"/>
      <c r="L2593" s="370"/>
      <c r="M2593" s="371"/>
      <c r="N2593" s="671"/>
      <c r="O2593" s="671"/>
      <c r="P2593" s="373"/>
      <c r="Q2593" s="673"/>
      <c r="R2593" s="378"/>
      <c r="S2593" s="366"/>
      <c r="T2593" s="366"/>
      <c r="U2593" s="366"/>
      <c r="V2593" s="366"/>
      <c r="W2593" s="366"/>
    </row>
    <row r="2594" spans="1:23">
      <c r="A2594" s="1410"/>
      <c r="B2594" s="1413"/>
      <c r="C2594" s="992" t="s">
        <v>992</v>
      </c>
      <c r="D2594" s="875" t="str">
        <f>B2585&amp;C2594</f>
        <v>A159k</v>
      </c>
      <c r="E2594" s="367">
        <v>9</v>
      </c>
      <c r="F2594" s="370"/>
      <c r="G2594" s="368"/>
      <c r="H2594" s="368"/>
      <c r="I2594" s="368"/>
      <c r="J2594" s="368"/>
      <c r="K2594" s="370"/>
      <c r="L2594" s="370"/>
      <c r="M2594" s="371"/>
      <c r="N2594" s="372"/>
      <c r="O2594" s="372"/>
      <c r="P2594" s="373"/>
      <c r="Q2594" s="374"/>
      <c r="R2594" s="378"/>
      <c r="S2594" s="379"/>
      <c r="T2594" s="366"/>
      <c r="U2594" s="366"/>
      <c r="V2594" s="366"/>
      <c r="W2594" s="366"/>
    </row>
    <row r="2595" spans="1:23">
      <c r="A2595" s="1410"/>
      <c r="B2595" s="1413"/>
      <c r="C2595" s="992" t="s">
        <v>993</v>
      </c>
      <c r="D2595" s="875" t="str">
        <f>B2585&amp;C2595</f>
        <v>A159l</v>
      </c>
      <c r="E2595" s="367">
        <v>10</v>
      </c>
      <c r="F2595" s="370"/>
      <c r="G2595" s="368"/>
      <c r="H2595" s="368"/>
      <c r="I2595" s="368"/>
      <c r="J2595" s="368"/>
      <c r="K2595" s="370"/>
      <c r="L2595" s="370"/>
      <c r="M2595" s="370"/>
      <c r="N2595" s="372"/>
      <c r="O2595" s="372"/>
      <c r="P2595" s="373"/>
      <c r="Q2595" s="374"/>
      <c r="R2595" s="378"/>
      <c r="S2595" s="379"/>
      <c r="T2595" s="366"/>
      <c r="U2595" s="366"/>
      <c r="V2595" s="366"/>
      <c r="W2595" s="366"/>
    </row>
    <row r="2596" spans="1:23">
      <c r="A2596" s="1410"/>
      <c r="B2596" s="1413"/>
      <c r="C2596" s="992" t="s">
        <v>994</v>
      </c>
      <c r="D2596" s="875" t="str">
        <f>B2585&amp;C2596</f>
        <v>A159m</v>
      </c>
      <c r="E2596" s="367">
        <v>11</v>
      </c>
      <c r="F2596" s="370"/>
      <c r="G2596" s="368"/>
      <c r="H2596" s="368"/>
      <c r="I2596" s="368"/>
      <c r="J2596" s="368"/>
      <c r="K2596" s="370"/>
      <c r="L2596" s="370"/>
      <c r="M2596" s="370"/>
      <c r="N2596" s="372"/>
      <c r="O2596" s="372"/>
      <c r="P2596" s="380"/>
      <c r="Q2596" s="374"/>
      <c r="R2596" s="381"/>
      <c r="S2596" s="379"/>
      <c r="T2596" s="366"/>
      <c r="U2596" s="366"/>
      <c r="V2596" s="366"/>
      <c r="W2596" s="366"/>
    </row>
    <row r="2597" spans="1:23">
      <c r="A2597" s="1410"/>
      <c r="B2597" s="1413"/>
      <c r="C2597" s="992" t="s">
        <v>995</v>
      </c>
      <c r="D2597" s="875" t="str">
        <f>B2585&amp;C2597</f>
        <v>A159n</v>
      </c>
      <c r="E2597" s="367">
        <v>12</v>
      </c>
      <c r="F2597" s="370"/>
      <c r="G2597" s="368"/>
      <c r="H2597" s="368"/>
      <c r="I2597" s="368"/>
      <c r="J2597" s="368"/>
      <c r="K2597" s="370"/>
      <c r="L2597" s="370"/>
      <c r="M2597" s="370"/>
      <c r="N2597" s="372"/>
      <c r="O2597" s="372"/>
      <c r="P2597" s="380"/>
      <c r="Q2597" s="374"/>
      <c r="R2597" s="381"/>
      <c r="S2597" s="361"/>
      <c r="T2597" s="361"/>
      <c r="U2597" s="361"/>
      <c r="V2597" s="366"/>
      <c r="W2597" s="366"/>
    </row>
    <row r="2598" spans="1:23">
      <c r="A2598" s="1410"/>
      <c r="B2598" s="1413"/>
      <c r="C2598" s="992" t="s">
        <v>471</v>
      </c>
      <c r="D2598" s="875" t="str">
        <f>B2585&amp;C2598</f>
        <v>A159x</v>
      </c>
      <c r="E2598" s="367">
        <v>13</v>
      </c>
      <c r="F2598" s="370"/>
      <c r="G2598" s="368"/>
      <c r="H2598" s="368"/>
      <c r="I2598" s="368"/>
      <c r="J2598" s="368"/>
      <c r="K2598" s="370"/>
      <c r="L2598" s="370"/>
      <c r="M2598" s="370"/>
      <c r="N2598" s="382"/>
      <c r="O2598" s="372"/>
      <c r="P2598" s="380"/>
      <c r="Q2598" s="381"/>
      <c r="R2598" s="381"/>
      <c r="S2598" s="361"/>
      <c r="T2598" s="361"/>
      <c r="U2598" s="361"/>
      <c r="V2598" s="366"/>
      <c r="W2598" s="366"/>
    </row>
    <row r="2599" spans="1:23">
      <c r="A2599" s="1410"/>
      <c r="B2599" s="1413"/>
      <c r="C2599" s="992" t="s">
        <v>732</v>
      </c>
      <c r="D2599" s="875" t="str">
        <f>B2585&amp;C2599</f>
        <v>A159y</v>
      </c>
      <c r="E2599" s="367">
        <v>14</v>
      </c>
      <c r="F2599" s="370"/>
      <c r="G2599" s="368"/>
      <c r="H2599" s="368"/>
      <c r="I2599" s="368"/>
      <c r="J2599" s="368"/>
      <c r="K2599" s="370"/>
      <c r="L2599" s="370"/>
      <c r="M2599" s="370"/>
      <c r="N2599" s="382"/>
      <c r="O2599" s="372"/>
      <c r="P2599" s="380"/>
      <c r="Q2599" s="381"/>
      <c r="R2599" s="381"/>
      <c r="S2599" s="361"/>
      <c r="T2599" s="361"/>
      <c r="U2599" s="362"/>
      <c r="V2599" s="366"/>
      <c r="W2599" s="366"/>
    </row>
    <row r="2600" spans="1:23">
      <c r="A2600" s="1411"/>
      <c r="B2600" s="1414"/>
      <c r="C2600" s="993" t="s">
        <v>996</v>
      </c>
      <c r="D2600" s="876" t="str">
        <f>B2585&amp;C2600</f>
        <v>A159z</v>
      </c>
      <c r="E2600" s="847">
        <v>15</v>
      </c>
      <c r="F2600" s="370"/>
      <c r="G2600" s="368"/>
      <c r="H2600" s="368"/>
      <c r="I2600" s="368"/>
      <c r="J2600" s="368"/>
      <c r="K2600" s="370"/>
      <c r="L2600" s="370"/>
      <c r="M2600" s="370"/>
      <c r="N2600" s="850"/>
      <c r="O2600" s="851"/>
      <c r="P2600" s="380"/>
      <c r="Q2600" s="852"/>
      <c r="R2600" s="383"/>
      <c r="S2600" s="361"/>
      <c r="T2600" s="990"/>
      <c r="U2600" s="989"/>
      <c r="V2600" s="366"/>
      <c r="W2600" s="366"/>
    </row>
    <row r="2601" spans="1:23">
      <c r="A2601" s="1400" t="s">
        <v>939</v>
      </c>
      <c r="B2601" s="1400"/>
      <c r="C2601" s="994"/>
      <c r="D2601" s="871"/>
      <c r="E2601" s="1400" t="s">
        <v>177</v>
      </c>
      <c r="F2601" s="1400" t="s">
        <v>18</v>
      </c>
      <c r="G2601" s="1389" t="s">
        <v>19</v>
      </c>
      <c r="H2601" s="1390"/>
      <c r="I2601" s="1389" t="s">
        <v>22</v>
      </c>
      <c r="J2601" s="1390"/>
      <c r="K2601" s="1393" t="s">
        <v>26</v>
      </c>
      <c r="L2601" s="1390"/>
      <c r="M2601" s="1389" t="s">
        <v>392</v>
      </c>
      <c r="N2601" s="1390"/>
      <c r="O2601" s="1389" t="s">
        <v>28</v>
      </c>
      <c r="P2601" s="1393"/>
      <c r="Q2601" s="1390"/>
      <c r="R2601" s="1400" t="s">
        <v>36</v>
      </c>
      <c r="S2601" s="361"/>
      <c r="T2601" s="361">
        <f>MAX(J2605:J2619)-MIN(I2605:I2619)</f>
        <v>2.430555555555558E-2</v>
      </c>
      <c r="U2601" s="361"/>
      <c r="V2601" s="853" t="str">
        <f t="shared" ref="V2601" si="274">B2605</f>
        <v>A18</v>
      </c>
      <c r="W2601" s="361">
        <f t="shared" ref="W2601" si="275">COUNTIF(K2606:K2620,"&gt;0")</f>
        <v>2</v>
      </c>
    </row>
    <row r="2602" spans="1:23">
      <c r="A2602" s="1401"/>
      <c r="B2602" s="1401"/>
      <c r="C2602" s="996"/>
      <c r="D2602" s="872"/>
      <c r="E2602" s="1401"/>
      <c r="F2602" s="1401"/>
      <c r="G2602" s="1391"/>
      <c r="H2602" s="1392"/>
      <c r="I2602" s="1391"/>
      <c r="J2602" s="1392"/>
      <c r="K2602" s="1394"/>
      <c r="L2602" s="1392"/>
      <c r="M2602" s="1391"/>
      <c r="N2602" s="1392"/>
      <c r="O2602" s="1391"/>
      <c r="P2602" s="1394"/>
      <c r="Q2602" s="1392"/>
      <c r="R2602" s="1401"/>
      <c r="S2602" s="361"/>
      <c r="T2602" s="361"/>
      <c r="U2602" s="361"/>
      <c r="V2602" s="361"/>
      <c r="W2602" s="361"/>
    </row>
    <row r="2603" spans="1:23">
      <c r="A2603" s="1401"/>
      <c r="B2603" s="1401"/>
      <c r="C2603" s="996"/>
      <c r="D2603" s="872"/>
      <c r="E2603" s="1401"/>
      <c r="F2603" s="1401"/>
      <c r="G2603" s="1400" t="s">
        <v>20</v>
      </c>
      <c r="H2603" s="1400" t="s">
        <v>21</v>
      </c>
      <c r="I2603" s="1400" t="s">
        <v>361</v>
      </c>
      <c r="J2603" s="1400" t="s">
        <v>353</v>
      </c>
      <c r="K2603" s="1400" t="s">
        <v>23</v>
      </c>
      <c r="L2603" s="1400" t="s">
        <v>24</v>
      </c>
      <c r="M2603" s="1400" t="s">
        <v>27</v>
      </c>
      <c r="N2603" s="1400" t="s">
        <v>178</v>
      </c>
      <c r="O2603" s="1400" t="s">
        <v>1</v>
      </c>
      <c r="P2603" s="1400" t="s">
        <v>29</v>
      </c>
      <c r="Q2603" s="1400" t="s">
        <v>33</v>
      </c>
      <c r="R2603" s="1401"/>
      <c r="S2603" s="361"/>
      <c r="T2603" s="361" t="s">
        <v>39</v>
      </c>
      <c r="U2603" s="362">
        <f>VLOOKUP(B2605,'Thong tin'!$A:$M,13,0)</f>
        <v>1200</v>
      </c>
      <c r="V2603" s="361"/>
      <c r="W2603" s="361"/>
    </row>
    <row r="2604" spans="1:23">
      <c r="A2604" s="1402"/>
      <c r="B2604" s="1402"/>
      <c r="C2604" s="995"/>
      <c r="D2604" s="873"/>
      <c r="E2604" s="1402"/>
      <c r="F2604" s="1402"/>
      <c r="G2604" s="1402"/>
      <c r="H2604" s="1402"/>
      <c r="I2604" s="1402"/>
      <c r="J2604" s="1402"/>
      <c r="K2604" s="1402"/>
      <c r="L2604" s="1402"/>
      <c r="M2604" s="1402"/>
      <c r="N2604" s="1402"/>
      <c r="O2604" s="1402"/>
      <c r="P2604" s="1402"/>
      <c r="Q2604" s="1402"/>
      <c r="R2604" s="1402"/>
      <c r="S2604" s="361"/>
      <c r="T2604" s="1399" t="s">
        <v>393</v>
      </c>
      <c r="U2604" s="1397">
        <f>VLOOKUP(B2605,DT.NK!$B:$AZ,45,0)</f>
        <v>25.3</v>
      </c>
      <c r="V2604" s="361"/>
      <c r="W2604" s="361"/>
    </row>
    <row r="2605" spans="1:23">
      <c r="A2605" s="1409">
        <f>A2585+1</f>
        <v>131</v>
      </c>
      <c r="B2605" s="1412" t="s">
        <v>573</v>
      </c>
      <c r="C2605" s="999" t="s">
        <v>983</v>
      </c>
      <c r="D2605" s="874" t="str">
        <f>B2605&amp;C2605</f>
        <v>A18a</v>
      </c>
      <c r="E2605" s="363"/>
      <c r="F2605" s="364"/>
      <c r="G2605" s="364"/>
      <c r="H2605" s="364"/>
      <c r="I2605" s="364"/>
      <c r="J2605" s="364"/>
      <c r="K2605" s="364"/>
      <c r="L2605" s="364"/>
      <c r="M2605" s="674"/>
      <c r="N2605" s="670"/>
      <c r="O2605" s="670">
        <f>U2604</f>
        <v>25.3</v>
      </c>
      <c r="P2605" s="670">
        <f>O2605</f>
        <v>25.3</v>
      </c>
      <c r="Q2605" s="670">
        <v>0</v>
      </c>
      <c r="R2605" s="365"/>
      <c r="S2605" s="366"/>
      <c r="T2605" s="1399"/>
      <c r="U2605" s="1398"/>
      <c r="V2605" s="361"/>
      <c r="W2605" s="361"/>
    </row>
    <row r="2606" spans="1:23">
      <c r="A2606" s="1410"/>
      <c r="B2606" s="1413"/>
      <c r="C2606" s="1000" t="s">
        <v>984</v>
      </c>
      <c r="D2606" s="875" t="str">
        <f>B2605&amp;C2606</f>
        <v>A18b</v>
      </c>
      <c r="E2606" s="367">
        <v>1</v>
      </c>
      <c r="F2606" s="669" t="s">
        <v>1089</v>
      </c>
      <c r="G2606" s="369">
        <v>0.48680555555555555</v>
      </c>
      <c r="H2606" s="368">
        <v>0.52430555555555558</v>
      </c>
      <c r="I2606" s="368">
        <v>0.53472222222222221</v>
      </c>
      <c r="J2606" s="368">
        <v>0.5395833333333333</v>
      </c>
      <c r="K2606" s="669">
        <v>12</v>
      </c>
      <c r="L2606" s="669">
        <v>19</v>
      </c>
      <c r="M2606" s="675">
        <v>18.850000000000001</v>
      </c>
      <c r="N2606" s="671">
        <f>IF(M2606-P2606&gt;0,M2606-P2606,0)</f>
        <v>3.2500000000000018</v>
      </c>
      <c r="O2606" s="671">
        <f>O2605-K2606/(PI()*(U2603/2000)^2)</f>
        <v>14.689670460540311</v>
      </c>
      <c r="P2606" s="672">
        <v>15.6</v>
      </c>
      <c r="Q2606" s="673">
        <f>ABS(O2606-P2606)</f>
        <v>0.91032953945968842</v>
      </c>
      <c r="R2606" s="375" t="s">
        <v>188</v>
      </c>
      <c r="S2606" s="366"/>
      <c r="T2606" s="376"/>
      <c r="U2606" s="376"/>
      <c r="V2606" s="366"/>
      <c r="W2606" s="366"/>
    </row>
    <row r="2607" spans="1:23">
      <c r="A2607" s="1410"/>
      <c r="B2607" s="1413"/>
      <c r="C2607" s="1000" t="s">
        <v>985</v>
      </c>
      <c r="D2607" s="875" t="str">
        <f>B2605&amp;C2607</f>
        <v>A18c</v>
      </c>
      <c r="E2607" s="367">
        <v>2</v>
      </c>
      <c r="F2607" s="669" t="s">
        <v>1096</v>
      </c>
      <c r="G2607" s="369">
        <v>0.50347222222222221</v>
      </c>
      <c r="H2607" s="368">
        <v>0.53125</v>
      </c>
      <c r="I2607" s="368">
        <v>0.5541666666666667</v>
      </c>
      <c r="J2607" s="368">
        <v>0.55902777777777779</v>
      </c>
      <c r="K2607" s="669">
        <v>12</v>
      </c>
      <c r="L2607" s="669">
        <v>20</v>
      </c>
      <c r="M2607" s="675">
        <v>18.850000000000001</v>
      </c>
      <c r="N2607" s="671">
        <f>IF(M2607-P2607&gt;0,M2607-P2607,0)</f>
        <v>11.55</v>
      </c>
      <c r="O2607" s="671">
        <f>O2606-K2607/(PI()*(U2603/2000)^2)</f>
        <v>4.0793409210806217</v>
      </c>
      <c r="P2607" s="672">
        <v>7.3</v>
      </c>
      <c r="Q2607" s="673">
        <f>ABS(O2607-P2607)</f>
        <v>3.2206590789193781</v>
      </c>
      <c r="R2607" s="375" t="s">
        <v>188</v>
      </c>
      <c r="S2607" s="366"/>
      <c r="T2607" s="376"/>
      <c r="U2607" s="376"/>
      <c r="V2607" s="366"/>
      <c r="W2607" s="366"/>
    </row>
    <row r="2608" spans="1:23">
      <c r="A2608" s="1410"/>
      <c r="B2608" s="1413"/>
      <c r="C2608" s="1000" t="s">
        <v>986</v>
      </c>
      <c r="D2608" s="875" t="str">
        <f>B2605&amp;C2608</f>
        <v>A18d</v>
      </c>
      <c r="E2608" s="367">
        <v>3</v>
      </c>
      <c r="F2608" s="669"/>
      <c r="G2608" s="368"/>
      <c r="H2608" s="368"/>
      <c r="I2608" s="368"/>
      <c r="J2608" s="368"/>
      <c r="K2608" s="370"/>
      <c r="L2608" s="370"/>
      <c r="M2608" s="371"/>
      <c r="N2608" s="671"/>
      <c r="O2608" s="671"/>
      <c r="P2608" s="373"/>
      <c r="Q2608" s="673"/>
      <c r="R2608" s="378"/>
      <c r="S2608" s="366"/>
      <c r="T2608" s="376"/>
      <c r="U2608" s="376"/>
      <c r="V2608" s="366"/>
      <c r="W2608" s="366"/>
    </row>
    <row r="2609" spans="1:23">
      <c r="A2609" s="1410"/>
      <c r="B2609" s="1413"/>
      <c r="C2609" s="1000" t="s">
        <v>987</v>
      </c>
      <c r="D2609" s="875" t="str">
        <f>B2605&amp;C2609</f>
        <v>A18e</v>
      </c>
      <c r="E2609" s="367">
        <v>4</v>
      </c>
      <c r="F2609" s="669"/>
      <c r="G2609" s="368"/>
      <c r="H2609" s="368"/>
      <c r="I2609" s="368"/>
      <c r="J2609" s="368"/>
      <c r="K2609" s="370"/>
      <c r="L2609" s="370"/>
      <c r="M2609" s="371"/>
      <c r="N2609" s="671"/>
      <c r="O2609" s="671"/>
      <c r="P2609" s="373"/>
      <c r="Q2609" s="673"/>
      <c r="R2609" s="378"/>
      <c r="S2609" s="366"/>
      <c r="T2609" s="376"/>
      <c r="U2609" s="376"/>
      <c r="V2609" s="366"/>
      <c r="W2609" s="366"/>
    </row>
    <row r="2610" spans="1:23">
      <c r="A2610" s="1410"/>
      <c r="B2610" s="1413"/>
      <c r="C2610" s="1000" t="s">
        <v>988</v>
      </c>
      <c r="D2610" s="875" t="str">
        <f>B2605&amp;C2610</f>
        <v>A18f</v>
      </c>
      <c r="E2610" s="367">
        <v>5</v>
      </c>
      <c r="F2610" s="669"/>
      <c r="G2610" s="368"/>
      <c r="H2610" s="368"/>
      <c r="I2610" s="368"/>
      <c r="J2610" s="368"/>
      <c r="K2610" s="370"/>
      <c r="L2610" s="370"/>
      <c r="M2610" s="371"/>
      <c r="N2610" s="671"/>
      <c r="O2610" s="671"/>
      <c r="P2610" s="373"/>
      <c r="Q2610" s="673"/>
      <c r="R2610" s="378"/>
      <c r="S2610" s="366" t="s">
        <v>190</v>
      </c>
      <c r="T2610" s="376"/>
      <c r="U2610" s="376"/>
      <c r="V2610" s="366"/>
      <c r="W2610" s="366"/>
    </row>
    <row r="2611" spans="1:23">
      <c r="A2611" s="1410"/>
      <c r="B2611" s="1413"/>
      <c r="C2611" s="1000" t="s">
        <v>989</v>
      </c>
      <c r="D2611" s="875" t="str">
        <f>B2605&amp;C2611</f>
        <v>A18g</v>
      </c>
      <c r="E2611" s="367">
        <v>6</v>
      </c>
      <c r="F2611" s="669"/>
      <c r="G2611" s="368"/>
      <c r="H2611" s="368"/>
      <c r="I2611" s="368"/>
      <c r="J2611" s="368"/>
      <c r="K2611" s="370"/>
      <c r="L2611" s="370"/>
      <c r="M2611" s="371"/>
      <c r="N2611" s="671"/>
      <c r="O2611" s="671"/>
      <c r="P2611" s="373"/>
      <c r="Q2611" s="673"/>
      <c r="R2611" s="378"/>
      <c r="S2611" s="366" t="s">
        <v>190</v>
      </c>
      <c r="T2611" s="366"/>
      <c r="U2611" s="366"/>
      <c r="V2611" s="366"/>
      <c r="W2611" s="366"/>
    </row>
    <row r="2612" spans="1:23">
      <c r="A2612" s="1410"/>
      <c r="B2612" s="1413"/>
      <c r="C2612" s="1000" t="s">
        <v>990</v>
      </c>
      <c r="D2612" s="875" t="str">
        <f>B2605&amp;C2612</f>
        <v>A18h</v>
      </c>
      <c r="E2612" s="367">
        <v>7</v>
      </c>
      <c r="F2612" s="669"/>
      <c r="G2612" s="368"/>
      <c r="H2612" s="368"/>
      <c r="I2612" s="368"/>
      <c r="J2612" s="368"/>
      <c r="K2612" s="370"/>
      <c r="L2612" s="370"/>
      <c r="M2612" s="371"/>
      <c r="N2612" s="671"/>
      <c r="O2612" s="671"/>
      <c r="P2612" s="373"/>
      <c r="Q2612" s="673"/>
      <c r="R2612" s="378"/>
      <c r="S2612" s="366" t="s">
        <v>190</v>
      </c>
      <c r="T2612" s="366"/>
      <c r="U2612" s="366"/>
      <c r="V2612" s="366"/>
      <c r="W2612" s="366"/>
    </row>
    <row r="2613" spans="1:23">
      <c r="A2613" s="1410"/>
      <c r="B2613" s="1413"/>
      <c r="C2613" s="1000" t="s">
        <v>991</v>
      </c>
      <c r="D2613" s="875" t="str">
        <f>B2605&amp;C2613</f>
        <v>A18i</v>
      </c>
      <c r="E2613" s="367">
        <v>8</v>
      </c>
      <c r="F2613" s="669"/>
      <c r="G2613" s="368"/>
      <c r="H2613" s="368"/>
      <c r="I2613" s="368"/>
      <c r="J2613" s="368"/>
      <c r="K2613" s="370"/>
      <c r="L2613" s="370"/>
      <c r="M2613" s="371"/>
      <c r="N2613" s="671"/>
      <c r="O2613" s="671"/>
      <c r="P2613" s="373"/>
      <c r="Q2613" s="673"/>
      <c r="R2613" s="378"/>
      <c r="S2613" s="366"/>
      <c r="T2613" s="366"/>
      <c r="U2613" s="366"/>
      <c r="V2613" s="366"/>
      <c r="W2613" s="366"/>
    </row>
    <row r="2614" spans="1:23">
      <c r="A2614" s="1410"/>
      <c r="B2614" s="1413"/>
      <c r="C2614" s="1000" t="s">
        <v>992</v>
      </c>
      <c r="D2614" s="875" t="str">
        <f>B2605&amp;C2614</f>
        <v>A18k</v>
      </c>
      <c r="E2614" s="367">
        <v>9</v>
      </c>
      <c r="F2614" s="370"/>
      <c r="G2614" s="368"/>
      <c r="H2614" s="368"/>
      <c r="I2614" s="368"/>
      <c r="J2614" s="368"/>
      <c r="K2614" s="370"/>
      <c r="L2614" s="370"/>
      <c r="M2614" s="371"/>
      <c r="N2614" s="372"/>
      <c r="O2614" s="372"/>
      <c r="P2614" s="373"/>
      <c r="Q2614" s="374"/>
      <c r="R2614" s="378"/>
      <c r="S2614" s="379"/>
      <c r="T2614" s="366"/>
      <c r="U2614" s="366"/>
      <c r="V2614" s="366"/>
      <c r="W2614" s="366"/>
    </row>
    <row r="2615" spans="1:23">
      <c r="A2615" s="1410"/>
      <c r="B2615" s="1413"/>
      <c r="C2615" s="1000" t="s">
        <v>993</v>
      </c>
      <c r="D2615" s="875" t="str">
        <f>B2605&amp;C2615</f>
        <v>A18l</v>
      </c>
      <c r="E2615" s="367">
        <v>10</v>
      </c>
      <c r="F2615" s="370"/>
      <c r="G2615" s="368"/>
      <c r="H2615" s="368"/>
      <c r="I2615" s="368"/>
      <c r="J2615" s="368"/>
      <c r="K2615" s="370"/>
      <c r="L2615" s="370"/>
      <c r="M2615" s="370"/>
      <c r="N2615" s="372"/>
      <c r="O2615" s="372"/>
      <c r="P2615" s="373"/>
      <c r="Q2615" s="374"/>
      <c r="R2615" s="378"/>
      <c r="S2615" s="379"/>
      <c r="T2615" s="366"/>
      <c r="U2615" s="366"/>
      <c r="V2615" s="366"/>
      <c r="W2615" s="366"/>
    </row>
    <row r="2616" spans="1:23">
      <c r="A2616" s="1410"/>
      <c r="B2616" s="1413"/>
      <c r="C2616" s="1000" t="s">
        <v>994</v>
      </c>
      <c r="D2616" s="875" t="str">
        <f>B2605&amp;C2616</f>
        <v>A18m</v>
      </c>
      <c r="E2616" s="367">
        <v>11</v>
      </c>
      <c r="F2616" s="370"/>
      <c r="G2616" s="368"/>
      <c r="H2616" s="368"/>
      <c r="I2616" s="368"/>
      <c r="J2616" s="368"/>
      <c r="K2616" s="370"/>
      <c r="L2616" s="370"/>
      <c r="M2616" s="370"/>
      <c r="N2616" s="372"/>
      <c r="O2616" s="372"/>
      <c r="P2616" s="380"/>
      <c r="Q2616" s="374"/>
      <c r="R2616" s="381"/>
      <c r="S2616" s="379"/>
      <c r="T2616" s="366"/>
      <c r="U2616" s="366"/>
      <c r="V2616" s="366"/>
      <c r="W2616" s="366"/>
    </row>
    <row r="2617" spans="1:23">
      <c r="A2617" s="1410"/>
      <c r="B2617" s="1413"/>
      <c r="C2617" s="1000" t="s">
        <v>995</v>
      </c>
      <c r="D2617" s="875" t="str">
        <f>B2605&amp;C2617</f>
        <v>A18n</v>
      </c>
      <c r="E2617" s="367">
        <v>12</v>
      </c>
      <c r="F2617" s="370"/>
      <c r="G2617" s="368"/>
      <c r="H2617" s="368"/>
      <c r="I2617" s="368"/>
      <c r="J2617" s="368"/>
      <c r="K2617" s="370"/>
      <c r="L2617" s="370"/>
      <c r="M2617" s="370"/>
      <c r="N2617" s="372"/>
      <c r="O2617" s="372"/>
      <c r="P2617" s="380"/>
      <c r="Q2617" s="374"/>
      <c r="R2617" s="381"/>
      <c r="S2617" s="361"/>
      <c r="T2617" s="361"/>
      <c r="U2617" s="361"/>
      <c r="V2617" s="366"/>
      <c r="W2617" s="366"/>
    </row>
    <row r="2618" spans="1:23">
      <c r="A2618" s="1410"/>
      <c r="B2618" s="1413"/>
      <c r="C2618" s="1000" t="s">
        <v>471</v>
      </c>
      <c r="D2618" s="875" t="str">
        <f>B2605&amp;C2618</f>
        <v>A18x</v>
      </c>
      <c r="E2618" s="367">
        <v>13</v>
      </c>
      <c r="F2618" s="370"/>
      <c r="G2618" s="368"/>
      <c r="H2618" s="368"/>
      <c r="I2618" s="368"/>
      <c r="J2618" s="368"/>
      <c r="K2618" s="370"/>
      <c r="L2618" s="370"/>
      <c r="M2618" s="370"/>
      <c r="N2618" s="382"/>
      <c r="O2618" s="372"/>
      <c r="P2618" s="380"/>
      <c r="Q2618" s="381"/>
      <c r="R2618" s="381"/>
      <c r="S2618" s="361"/>
      <c r="T2618" s="361"/>
      <c r="U2618" s="361"/>
      <c r="V2618" s="366"/>
      <c r="W2618" s="366"/>
    </row>
    <row r="2619" spans="1:23">
      <c r="A2619" s="1410"/>
      <c r="B2619" s="1413"/>
      <c r="C2619" s="1000" t="s">
        <v>732</v>
      </c>
      <c r="D2619" s="875" t="str">
        <f>B2605&amp;C2619</f>
        <v>A18y</v>
      </c>
      <c r="E2619" s="367">
        <v>14</v>
      </c>
      <c r="F2619" s="370"/>
      <c r="G2619" s="368"/>
      <c r="H2619" s="368"/>
      <c r="I2619" s="368"/>
      <c r="J2619" s="368"/>
      <c r="K2619" s="370"/>
      <c r="L2619" s="370"/>
      <c r="M2619" s="370"/>
      <c r="N2619" s="382"/>
      <c r="O2619" s="372"/>
      <c r="P2619" s="380"/>
      <c r="Q2619" s="381"/>
      <c r="R2619" s="381"/>
      <c r="S2619" s="361"/>
      <c r="T2619" s="361"/>
      <c r="U2619" s="362"/>
      <c r="V2619" s="366"/>
      <c r="W2619" s="366"/>
    </row>
    <row r="2620" spans="1:23">
      <c r="A2620" s="1411"/>
      <c r="B2620" s="1414"/>
      <c r="C2620" s="1001" t="s">
        <v>996</v>
      </c>
      <c r="D2620" s="876" t="str">
        <f>B2605&amp;C2620</f>
        <v>A18z</v>
      </c>
      <c r="E2620" s="847">
        <v>15</v>
      </c>
      <c r="F2620" s="370"/>
      <c r="G2620" s="368"/>
      <c r="H2620" s="368"/>
      <c r="I2620" s="368"/>
      <c r="J2620" s="368"/>
      <c r="K2620" s="370"/>
      <c r="L2620" s="370"/>
      <c r="M2620" s="370"/>
      <c r="N2620" s="850"/>
      <c r="O2620" s="851"/>
      <c r="P2620" s="380"/>
      <c r="Q2620" s="852"/>
      <c r="R2620" s="383"/>
      <c r="S2620" s="361"/>
      <c r="T2620" s="998"/>
      <c r="U2620" s="997"/>
      <c r="V2620" s="366"/>
      <c r="W2620" s="366"/>
    </row>
    <row r="2621" spans="1:23">
      <c r="A2621" s="1400" t="s">
        <v>939</v>
      </c>
      <c r="B2621" s="1400"/>
      <c r="C2621" s="994"/>
      <c r="D2621" s="871"/>
      <c r="E2621" s="1400" t="s">
        <v>177</v>
      </c>
      <c r="F2621" s="1400" t="s">
        <v>18</v>
      </c>
      <c r="G2621" s="1389" t="s">
        <v>19</v>
      </c>
      <c r="H2621" s="1390"/>
      <c r="I2621" s="1389" t="s">
        <v>22</v>
      </c>
      <c r="J2621" s="1390"/>
      <c r="K2621" s="1393" t="s">
        <v>26</v>
      </c>
      <c r="L2621" s="1390"/>
      <c r="M2621" s="1389" t="s">
        <v>392</v>
      </c>
      <c r="N2621" s="1390"/>
      <c r="O2621" s="1389" t="s">
        <v>28</v>
      </c>
      <c r="P2621" s="1393"/>
      <c r="Q2621" s="1390"/>
      <c r="R2621" s="1400" t="s">
        <v>36</v>
      </c>
      <c r="S2621" s="361"/>
      <c r="T2621" s="361">
        <f>MAX(J2625:J2639)-MIN(I2625:I2639)</f>
        <v>3.4722222222222321E-2</v>
      </c>
      <c r="U2621" s="361"/>
      <c r="V2621" s="853" t="str">
        <f t="shared" ref="V2621" si="276">B2625</f>
        <v>A17</v>
      </c>
      <c r="W2621" s="361">
        <f t="shared" ref="W2621" si="277">COUNTIF(K2626:K2640,"&gt;0")</f>
        <v>3</v>
      </c>
    </row>
    <row r="2622" spans="1:23">
      <c r="A2622" s="1401"/>
      <c r="B2622" s="1401"/>
      <c r="C2622" s="996"/>
      <c r="D2622" s="872"/>
      <c r="E2622" s="1401"/>
      <c r="F2622" s="1401"/>
      <c r="G2622" s="1391"/>
      <c r="H2622" s="1392"/>
      <c r="I2622" s="1391"/>
      <c r="J2622" s="1392"/>
      <c r="K2622" s="1394"/>
      <c r="L2622" s="1392"/>
      <c r="M2622" s="1391"/>
      <c r="N2622" s="1392"/>
      <c r="O2622" s="1391"/>
      <c r="P2622" s="1394"/>
      <c r="Q2622" s="1392"/>
      <c r="R2622" s="1401"/>
      <c r="S2622" s="361"/>
      <c r="T2622" s="361"/>
      <c r="U2622" s="361"/>
      <c r="V2622" s="361"/>
      <c r="W2622" s="361"/>
    </row>
    <row r="2623" spans="1:23">
      <c r="A2623" s="1401"/>
      <c r="B2623" s="1401"/>
      <c r="C2623" s="996"/>
      <c r="D2623" s="872"/>
      <c r="E2623" s="1401"/>
      <c r="F2623" s="1401"/>
      <c r="G2623" s="1400" t="s">
        <v>20</v>
      </c>
      <c r="H2623" s="1400" t="s">
        <v>21</v>
      </c>
      <c r="I2623" s="1400" t="s">
        <v>361</v>
      </c>
      <c r="J2623" s="1400" t="s">
        <v>353</v>
      </c>
      <c r="K2623" s="1400" t="s">
        <v>23</v>
      </c>
      <c r="L2623" s="1400" t="s">
        <v>24</v>
      </c>
      <c r="M2623" s="1400" t="s">
        <v>27</v>
      </c>
      <c r="N2623" s="1400" t="s">
        <v>178</v>
      </c>
      <c r="O2623" s="1400" t="s">
        <v>1</v>
      </c>
      <c r="P2623" s="1400" t="s">
        <v>29</v>
      </c>
      <c r="Q2623" s="1400" t="s">
        <v>33</v>
      </c>
      <c r="R2623" s="1401"/>
      <c r="S2623" s="361"/>
      <c r="T2623" s="361" t="s">
        <v>39</v>
      </c>
      <c r="U2623" s="362">
        <f>VLOOKUP(B2625,'Thong tin'!$A:$M,13,0)</f>
        <v>1200</v>
      </c>
      <c r="V2623" s="361"/>
      <c r="W2623" s="361"/>
    </row>
    <row r="2624" spans="1:23">
      <c r="A2624" s="1402"/>
      <c r="B2624" s="1402"/>
      <c r="C2624" s="995"/>
      <c r="D2624" s="873"/>
      <c r="E2624" s="1402"/>
      <c r="F2624" s="1402"/>
      <c r="G2624" s="1402"/>
      <c r="H2624" s="1402"/>
      <c r="I2624" s="1402"/>
      <c r="J2624" s="1402"/>
      <c r="K2624" s="1402"/>
      <c r="L2624" s="1402"/>
      <c r="M2624" s="1402"/>
      <c r="N2624" s="1402"/>
      <c r="O2624" s="1402"/>
      <c r="P2624" s="1402"/>
      <c r="Q2624" s="1402"/>
      <c r="R2624" s="1402"/>
      <c r="S2624" s="361"/>
      <c r="T2624" s="1399" t="s">
        <v>393</v>
      </c>
      <c r="U2624" s="1397">
        <f>VLOOKUP(B2625,DT.NK!$B:$AZ,45,0)</f>
        <v>25.4</v>
      </c>
      <c r="V2624" s="361"/>
      <c r="W2624" s="361"/>
    </row>
    <row r="2625" spans="1:23">
      <c r="A2625" s="1409">
        <f>A2605+1</f>
        <v>132</v>
      </c>
      <c r="B2625" s="1412" t="s">
        <v>568</v>
      </c>
      <c r="C2625" s="999" t="s">
        <v>983</v>
      </c>
      <c r="D2625" s="874" t="str">
        <f>B2625&amp;C2625</f>
        <v>A17a</v>
      </c>
      <c r="E2625" s="363"/>
      <c r="F2625" s="364"/>
      <c r="G2625" s="364"/>
      <c r="H2625" s="364"/>
      <c r="I2625" s="364"/>
      <c r="J2625" s="364"/>
      <c r="K2625" s="364"/>
      <c r="L2625" s="364"/>
      <c r="M2625" s="674"/>
      <c r="N2625" s="670"/>
      <c r="O2625" s="670">
        <f>U2624</f>
        <v>25.4</v>
      </c>
      <c r="P2625" s="670">
        <f>O2625</f>
        <v>25.4</v>
      </c>
      <c r="Q2625" s="670">
        <v>0</v>
      </c>
      <c r="R2625" s="365"/>
      <c r="S2625" s="366"/>
      <c r="T2625" s="1399"/>
      <c r="U2625" s="1398"/>
      <c r="V2625" s="361"/>
      <c r="W2625" s="361"/>
    </row>
    <row r="2626" spans="1:23">
      <c r="A2626" s="1410"/>
      <c r="B2626" s="1413"/>
      <c r="C2626" s="1000" t="s">
        <v>984</v>
      </c>
      <c r="D2626" s="875" t="str">
        <f>B2625&amp;C2626</f>
        <v>A17b</v>
      </c>
      <c r="E2626" s="367">
        <v>1</v>
      </c>
      <c r="F2626" s="669" t="s">
        <v>1091</v>
      </c>
      <c r="G2626" s="369">
        <v>0.78611111111111109</v>
      </c>
      <c r="H2626" s="368">
        <v>0.8125</v>
      </c>
      <c r="I2626" s="368">
        <v>0.82638888888888884</v>
      </c>
      <c r="J2626" s="368">
        <v>0.83124999999999993</v>
      </c>
      <c r="K2626" s="669">
        <v>8</v>
      </c>
      <c r="L2626" s="669">
        <v>19</v>
      </c>
      <c r="M2626" s="675">
        <v>24.05</v>
      </c>
      <c r="N2626" s="671">
        <f>IF(M2626-P2626&gt;0,M2626-P2626,0)</f>
        <v>2.5500000000000007</v>
      </c>
      <c r="O2626" s="671">
        <f>O2625-K2626/(PI()*(U2623/2000)^2)</f>
        <v>18.326446973693539</v>
      </c>
      <c r="P2626" s="672">
        <v>21.5</v>
      </c>
      <c r="Q2626" s="673">
        <f>ABS(O2626-P2626)</f>
        <v>3.1735530263064611</v>
      </c>
      <c r="R2626" s="375" t="s">
        <v>188</v>
      </c>
      <c r="S2626" s="366"/>
      <c r="T2626" s="376"/>
      <c r="U2626" s="376"/>
      <c r="V2626" s="366"/>
      <c r="W2626" s="366"/>
    </row>
    <row r="2627" spans="1:23">
      <c r="A2627" s="1410"/>
      <c r="B2627" s="1413"/>
      <c r="C2627" s="1000" t="s">
        <v>985</v>
      </c>
      <c r="D2627" s="875" t="str">
        <f>B2625&amp;C2627</f>
        <v>A17c</v>
      </c>
      <c r="E2627" s="367">
        <v>2</v>
      </c>
      <c r="F2627" s="669" t="s">
        <v>1089</v>
      </c>
      <c r="G2627" s="369">
        <v>0.79236111111111107</v>
      </c>
      <c r="H2627" s="368">
        <v>0.8208333333333333</v>
      </c>
      <c r="I2627" s="368">
        <v>0.84027777777777779</v>
      </c>
      <c r="J2627" s="368">
        <v>0.84444444444444444</v>
      </c>
      <c r="K2627" s="669">
        <v>8</v>
      </c>
      <c r="L2627" s="669">
        <v>19</v>
      </c>
      <c r="M2627" s="675">
        <v>18.899999999999999</v>
      </c>
      <c r="N2627" s="671">
        <f>IF(M2627-P2627&gt;0,M2627-P2627,0)</f>
        <v>3.7999999999999989</v>
      </c>
      <c r="O2627" s="671">
        <f>O2626-K2627/(PI()*(U2623/2000)^2)</f>
        <v>11.252893947387079</v>
      </c>
      <c r="P2627" s="672">
        <v>15.1</v>
      </c>
      <c r="Q2627" s="673">
        <f>ABS(O2627-P2627)</f>
        <v>3.8471060526129204</v>
      </c>
      <c r="R2627" s="375" t="s">
        <v>188</v>
      </c>
      <c r="S2627" s="366"/>
      <c r="T2627" s="376"/>
      <c r="U2627" s="376"/>
      <c r="V2627" s="366"/>
      <c r="W2627" s="366"/>
    </row>
    <row r="2628" spans="1:23">
      <c r="A2628" s="1410"/>
      <c r="B2628" s="1413"/>
      <c r="C2628" s="1000" t="s">
        <v>986</v>
      </c>
      <c r="D2628" s="875" t="str">
        <f>B2625&amp;C2628</f>
        <v>A17d</v>
      </c>
      <c r="E2628" s="367">
        <v>3</v>
      </c>
      <c r="F2628" s="669" t="s">
        <v>1085</v>
      </c>
      <c r="G2628" s="369">
        <v>0.8125</v>
      </c>
      <c r="H2628" s="368">
        <v>0.84027777777777779</v>
      </c>
      <c r="I2628" s="368">
        <v>0.85416666666666663</v>
      </c>
      <c r="J2628" s="368">
        <v>0.86111111111111116</v>
      </c>
      <c r="K2628" s="669">
        <v>9</v>
      </c>
      <c r="L2628" s="669">
        <v>20</v>
      </c>
      <c r="M2628" s="675">
        <v>12.6</v>
      </c>
      <c r="N2628" s="671">
        <f>IF(M2628-P2628&gt;0,M2628-P2628,0)</f>
        <v>5</v>
      </c>
      <c r="O2628" s="671">
        <f>O2627-K2628/(PI()*(U2623/2000)^2)</f>
        <v>3.2951467927923126</v>
      </c>
      <c r="P2628" s="672">
        <v>7.6</v>
      </c>
      <c r="Q2628" s="673">
        <f>ABS(O2628-P2628)</f>
        <v>4.304853207207687</v>
      </c>
      <c r="R2628" s="375" t="s">
        <v>188</v>
      </c>
      <c r="S2628" s="366"/>
      <c r="T2628" s="376"/>
      <c r="U2628" s="376"/>
      <c r="V2628" s="366"/>
      <c r="W2628" s="366"/>
    </row>
    <row r="2629" spans="1:23">
      <c r="A2629" s="1410"/>
      <c r="B2629" s="1413"/>
      <c r="C2629" s="1000" t="s">
        <v>987</v>
      </c>
      <c r="D2629" s="875" t="str">
        <f>B2625&amp;C2629</f>
        <v>A17e</v>
      </c>
      <c r="E2629" s="367">
        <v>4</v>
      </c>
      <c r="F2629" s="669"/>
      <c r="G2629" s="368"/>
      <c r="H2629" s="368"/>
      <c r="I2629" s="368"/>
      <c r="J2629" s="368"/>
      <c r="K2629" s="370"/>
      <c r="L2629" s="370"/>
      <c r="M2629" s="371"/>
      <c r="N2629" s="671"/>
      <c r="O2629" s="671"/>
      <c r="P2629" s="373"/>
      <c r="Q2629" s="673"/>
      <c r="R2629" s="378"/>
      <c r="S2629" s="366"/>
      <c r="T2629" s="376"/>
      <c r="U2629" s="376"/>
      <c r="V2629" s="366"/>
      <c r="W2629" s="366"/>
    </row>
    <row r="2630" spans="1:23">
      <c r="A2630" s="1410"/>
      <c r="B2630" s="1413"/>
      <c r="C2630" s="1000" t="s">
        <v>988</v>
      </c>
      <c r="D2630" s="875" t="str">
        <f>B2625&amp;C2630</f>
        <v>A17f</v>
      </c>
      <c r="E2630" s="367">
        <v>5</v>
      </c>
      <c r="F2630" s="669"/>
      <c r="G2630" s="368"/>
      <c r="H2630" s="368"/>
      <c r="I2630" s="368"/>
      <c r="J2630" s="368"/>
      <c r="K2630" s="370"/>
      <c r="L2630" s="370"/>
      <c r="M2630" s="371"/>
      <c r="N2630" s="671"/>
      <c r="O2630" s="671"/>
      <c r="P2630" s="373"/>
      <c r="Q2630" s="673"/>
      <c r="R2630" s="378"/>
      <c r="S2630" s="366" t="s">
        <v>190</v>
      </c>
      <c r="T2630" s="376"/>
      <c r="U2630" s="376"/>
      <c r="V2630" s="366"/>
      <c r="W2630" s="366"/>
    </row>
    <row r="2631" spans="1:23">
      <c r="A2631" s="1410"/>
      <c r="B2631" s="1413"/>
      <c r="C2631" s="1000" t="s">
        <v>989</v>
      </c>
      <c r="D2631" s="875" t="str">
        <f>B2625&amp;C2631</f>
        <v>A17g</v>
      </c>
      <c r="E2631" s="367">
        <v>6</v>
      </c>
      <c r="F2631" s="669"/>
      <c r="G2631" s="368"/>
      <c r="H2631" s="368"/>
      <c r="I2631" s="368"/>
      <c r="J2631" s="368"/>
      <c r="K2631" s="370"/>
      <c r="L2631" s="370"/>
      <c r="M2631" s="371"/>
      <c r="N2631" s="671"/>
      <c r="O2631" s="671"/>
      <c r="P2631" s="373"/>
      <c r="Q2631" s="673"/>
      <c r="R2631" s="378"/>
      <c r="S2631" s="366" t="s">
        <v>190</v>
      </c>
      <c r="T2631" s="366"/>
      <c r="U2631" s="366"/>
      <c r="V2631" s="366"/>
      <c r="W2631" s="366"/>
    </row>
    <row r="2632" spans="1:23">
      <c r="A2632" s="1410"/>
      <c r="B2632" s="1413"/>
      <c r="C2632" s="1000" t="s">
        <v>990</v>
      </c>
      <c r="D2632" s="875" t="str">
        <f>B2625&amp;C2632</f>
        <v>A17h</v>
      </c>
      <c r="E2632" s="367">
        <v>7</v>
      </c>
      <c r="F2632" s="669"/>
      <c r="G2632" s="368"/>
      <c r="H2632" s="368"/>
      <c r="I2632" s="368"/>
      <c r="J2632" s="368"/>
      <c r="K2632" s="370"/>
      <c r="L2632" s="370"/>
      <c r="M2632" s="371"/>
      <c r="N2632" s="671"/>
      <c r="O2632" s="671"/>
      <c r="P2632" s="373"/>
      <c r="Q2632" s="673"/>
      <c r="R2632" s="378"/>
      <c r="S2632" s="366" t="s">
        <v>190</v>
      </c>
      <c r="T2632" s="366"/>
      <c r="U2632" s="366"/>
      <c r="V2632" s="366"/>
      <c r="W2632" s="366"/>
    </row>
    <row r="2633" spans="1:23">
      <c r="A2633" s="1410"/>
      <c r="B2633" s="1413"/>
      <c r="C2633" s="1000" t="s">
        <v>991</v>
      </c>
      <c r="D2633" s="875" t="str">
        <f>B2625&amp;C2633</f>
        <v>A17i</v>
      </c>
      <c r="E2633" s="367">
        <v>8</v>
      </c>
      <c r="F2633" s="669"/>
      <c r="G2633" s="368"/>
      <c r="H2633" s="368"/>
      <c r="I2633" s="368"/>
      <c r="J2633" s="368"/>
      <c r="K2633" s="370"/>
      <c r="L2633" s="370"/>
      <c r="M2633" s="371"/>
      <c r="N2633" s="671"/>
      <c r="O2633" s="671"/>
      <c r="P2633" s="373"/>
      <c r="Q2633" s="673"/>
      <c r="R2633" s="378"/>
      <c r="S2633" s="366"/>
      <c r="T2633" s="366"/>
      <c r="U2633" s="366"/>
      <c r="V2633" s="366"/>
      <c r="W2633" s="366"/>
    </row>
    <row r="2634" spans="1:23">
      <c r="A2634" s="1410"/>
      <c r="B2634" s="1413"/>
      <c r="C2634" s="1000" t="s">
        <v>992</v>
      </c>
      <c r="D2634" s="875" t="str">
        <f>B2625&amp;C2634</f>
        <v>A17k</v>
      </c>
      <c r="E2634" s="367">
        <v>9</v>
      </c>
      <c r="F2634" s="370"/>
      <c r="G2634" s="368"/>
      <c r="H2634" s="368"/>
      <c r="I2634" s="368"/>
      <c r="J2634" s="368"/>
      <c r="K2634" s="370"/>
      <c r="L2634" s="370"/>
      <c r="M2634" s="371"/>
      <c r="N2634" s="372"/>
      <c r="O2634" s="372"/>
      <c r="P2634" s="373"/>
      <c r="Q2634" s="374"/>
      <c r="R2634" s="378"/>
      <c r="S2634" s="379"/>
      <c r="T2634" s="366"/>
      <c r="U2634" s="366"/>
      <c r="V2634" s="366"/>
      <c r="W2634" s="366"/>
    </row>
    <row r="2635" spans="1:23">
      <c r="A2635" s="1410"/>
      <c r="B2635" s="1413"/>
      <c r="C2635" s="1000" t="s">
        <v>993</v>
      </c>
      <c r="D2635" s="875" t="str">
        <f>B2625&amp;C2635</f>
        <v>A17l</v>
      </c>
      <c r="E2635" s="367">
        <v>10</v>
      </c>
      <c r="F2635" s="370"/>
      <c r="G2635" s="368"/>
      <c r="H2635" s="368"/>
      <c r="I2635" s="368"/>
      <c r="J2635" s="368"/>
      <c r="K2635" s="370"/>
      <c r="L2635" s="370"/>
      <c r="M2635" s="370"/>
      <c r="N2635" s="372"/>
      <c r="O2635" s="372"/>
      <c r="P2635" s="373"/>
      <c r="Q2635" s="374"/>
      <c r="R2635" s="378"/>
      <c r="S2635" s="379"/>
      <c r="T2635" s="366"/>
      <c r="U2635" s="366"/>
      <c r="V2635" s="366"/>
      <c r="W2635" s="366"/>
    </row>
    <row r="2636" spans="1:23">
      <c r="A2636" s="1410"/>
      <c r="B2636" s="1413"/>
      <c r="C2636" s="1000" t="s">
        <v>994</v>
      </c>
      <c r="D2636" s="875" t="str">
        <f>B2625&amp;C2636</f>
        <v>A17m</v>
      </c>
      <c r="E2636" s="367">
        <v>11</v>
      </c>
      <c r="F2636" s="370"/>
      <c r="G2636" s="368"/>
      <c r="H2636" s="368"/>
      <c r="I2636" s="368"/>
      <c r="J2636" s="368"/>
      <c r="K2636" s="370"/>
      <c r="L2636" s="370"/>
      <c r="M2636" s="370"/>
      <c r="N2636" s="372"/>
      <c r="O2636" s="372"/>
      <c r="P2636" s="380"/>
      <c r="Q2636" s="374"/>
      <c r="R2636" s="381"/>
      <c r="S2636" s="379"/>
      <c r="T2636" s="366"/>
      <c r="U2636" s="366"/>
      <c r="V2636" s="366"/>
      <c r="W2636" s="366"/>
    </row>
    <row r="2637" spans="1:23">
      <c r="A2637" s="1410"/>
      <c r="B2637" s="1413"/>
      <c r="C2637" s="1000" t="s">
        <v>995</v>
      </c>
      <c r="D2637" s="875" t="str">
        <f>B2625&amp;C2637</f>
        <v>A17n</v>
      </c>
      <c r="E2637" s="367">
        <v>12</v>
      </c>
      <c r="F2637" s="370"/>
      <c r="G2637" s="368"/>
      <c r="H2637" s="368"/>
      <c r="I2637" s="368"/>
      <c r="J2637" s="368"/>
      <c r="K2637" s="370"/>
      <c r="L2637" s="370"/>
      <c r="M2637" s="370"/>
      <c r="N2637" s="372"/>
      <c r="O2637" s="372"/>
      <c r="P2637" s="380"/>
      <c r="Q2637" s="374"/>
      <c r="R2637" s="381"/>
      <c r="S2637" s="361"/>
      <c r="T2637" s="361"/>
      <c r="U2637" s="361"/>
      <c r="V2637" s="366"/>
      <c r="W2637" s="366"/>
    </row>
    <row r="2638" spans="1:23">
      <c r="A2638" s="1410"/>
      <c r="B2638" s="1413"/>
      <c r="C2638" s="1000" t="s">
        <v>471</v>
      </c>
      <c r="D2638" s="875" t="str">
        <f>B2625&amp;C2638</f>
        <v>A17x</v>
      </c>
      <c r="E2638" s="367">
        <v>13</v>
      </c>
      <c r="F2638" s="370"/>
      <c r="G2638" s="368"/>
      <c r="H2638" s="368"/>
      <c r="I2638" s="368"/>
      <c r="J2638" s="368"/>
      <c r="K2638" s="370"/>
      <c r="L2638" s="370"/>
      <c r="M2638" s="370"/>
      <c r="N2638" s="382"/>
      <c r="O2638" s="372"/>
      <c r="P2638" s="380"/>
      <c r="Q2638" s="381"/>
      <c r="R2638" s="381"/>
      <c r="S2638" s="361"/>
      <c r="T2638" s="361"/>
      <c r="U2638" s="361"/>
      <c r="V2638" s="366"/>
      <c r="W2638" s="366"/>
    </row>
    <row r="2639" spans="1:23">
      <c r="A2639" s="1410"/>
      <c r="B2639" s="1413"/>
      <c r="C2639" s="1000" t="s">
        <v>732</v>
      </c>
      <c r="D2639" s="875" t="str">
        <f>B2625&amp;C2639</f>
        <v>A17y</v>
      </c>
      <c r="E2639" s="367">
        <v>14</v>
      </c>
      <c r="F2639" s="370"/>
      <c r="G2639" s="368"/>
      <c r="H2639" s="368"/>
      <c r="I2639" s="368"/>
      <c r="J2639" s="368"/>
      <c r="K2639" s="370"/>
      <c r="L2639" s="370"/>
      <c r="M2639" s="370"/>
      <c r="N2639" s="382"/>
      <c r="O2639" s="372"/>
      <c r="P2639" s="380"/>
      <c r="Q2639" s="381"/>
      <c r="R2639" s="381"/>
      <c r="S2639" s="361"/>
      <c r="T2639" s="361"/>
      <c r="U2639" s="362"/>
      <c r="V2639" s="366"/>
      <c r="W2639" s="366"/>
    </row>
    <row r="2640" spans="1:23">
      <c r="A2640" s="1411"/>
      <c r="B2640" s="1414"/>
      <c r="C2640" s="1001" t="s">
        <v>996</v>
      </c>
      <c r="D2640" s="876" t="str">
        <f>B2625&amp;C2640</f>
        <v>A17z</v>
      </c>
      <c r="E2640" s="847">
        <v>15</v>
      </c>
      <c r="F2640" s="370"/>
      <c r="G2640" s="368"/>
      <c r="H2640" s="368"/>
      <c r="I2640" s="368"/>
      <c r="J2640" s="368"/>
      <c r="K2640" s="370"/>
      <c r="L2640" s="370"/>
      <c r="M2640" s="370"/>
      <c r="N2640" s="850"/>
      <c r="O2640" s="851"/>
      <c r="P2640" s="380"/>
      <c r="Q2640" s="852"/>
      <c r="R2640" s="383"/>
      <c r="S2640" s="361"/>
      <c r="T2640" s="998"/>
      <c r="U2640" s="997"/>
      <c r="V2640" s="366"/>
      <c r="W2640" s="366"/>
    </row>
    <row r="2641" spans="1:23">
      <c r="A2641" s="1400" t="s">
        <v>939</v>
      </c>
      <c r="B2641" s="1400"/>
      <c r="C2641" s="994"/>
      <c r="D2641" s="871"/>
      <c r="E2641" s="1400" t="s">
        <v>177</v>
      </c>
      <c r="F2641" s="1400" t="s">
        <v>18</v>
      </c>
      <c r="G2641" s="1389" t="s">
        <v>19</v>
      </c>
      <c r="H2641" s="1390"/>
      <c r="I2641" s="1389" t="s">
        <v>22</v>
      </c>
      <c r="J2641" s="1390"/>
      <c r="K2641" s="1393" t="s">
        <v>26</v>
      </c>
      <c r="L2641" s="1390"/>
      <c r="M2641" s="1389" t="s">
        <v>392</v>
      </c>
      <c r="N2641" s="1390"/>
      <c r="O2641" s="1389" t="s">
        <v>28</v>
      </c>
      <c r="P2641" s="1393"/>
      <c r="Q2641" s="1390"/>
      <c r="R2641" s="1400" t="s">
        <v>36</v>
      </c>
      <c r="S2641" s="361"/>
      <c r="T2641" s="361">
        <f>MAX(J2645:J2659)-MIN(I2645:I2659)</f>
        <v>2.4305555555555566E-2</v>
      </c>
      <c r="U2641" s="361"/>
      <c r="V2641" s="853" t="str">
        <f t="shared" ref="V2641" si="278">B2645</f>
        <v>A78</v>
      </c>
      <c r="W2641" s="361">
        <f t="shared" ref="W2641" si="279">COUNTIF(K2646:K2660,"&gt;0")</f>
        <v>3</v>
      </c>
    </row>
    <row r="2642" spans="1:23">
      <c r="A2642" s="1401"/>
      <c r="B2642" s="1401"/>
      <c r="C2642" s="996"/>
      <c r="D2642" s="872"/>
      <c r="E2642" s="1401"/>
      <c r="F2642" s="1401"/>
      <c r="G2642" s="1391"/>
      <c r="H2642" s="1392"/>
      <c r="I2642" s="1391"/>
      <c r="J2642" s="1392"/>
      <c r="K2642" s="1394"/>
      <c r="L2642" s="1392"/>
      <c r="M2642" s="1391"/>
      <c r="N2642" s="1392"/>
      <c r="O2642" s="1391"/>
      <c r="P2642" s="1394"/>
      <c r="Q2642" s="1392"/>
      <c r="R2642" s="1401"/>
      <c r="S2642" s="361"/>
      <c r="T2642" s="361"/>
      <c r="U2642" s="361"/>
      <c r="V2642" s="361"/>
      <c r="W2642" s="361"/>
    </row>
    <row r="2643" spans="1:23">
      <c r="A2643" s="1401"/>
      <c r="B2643" s="1401"/>
      <c r="C2643" s="996"/>
      <c r="D2643" s="872"/>
      <c r="E2643" s="1401"/>
      <c r="F2643" s="1401"/>
      <c r="G2643" s="1400" t="s">
        <v>20</v>
      </c>
      <c r="H2643" s="1400" t="s">
        <v>21</v>
      </c>
      <c r="I2643" s="1400" t="s">
        <v>361</v>
      </c>
      <c r="J2643" s="1400" t="s">
        <v>353</v>
      </c>
      <c r="K2643" s="1400" t="s">
        <v>23</v>
      </c>
      <c r="L2643" s="1400" t="s">
        <v>24</v>
      </c>
      <c r="M2643" s="1400" t="s">
        <v>27</v>
      </c>
      <c r="N2643" s="1400" t="s">
        <v>178</v>
      </c>
      <c r="O2643" s="1400" t="s">
        <v>1</v>
      </c>
      <c r="P2643" s="1400" t="s">
        <v>29</v>
      </c>
      <c r="Q2643" s="1400" t="s">
        <v>33</v>
      </c>
      <c r="R2643" s="1401"/>
      <c r="S2643" s="361"/>
      <c r="T2643" s="361" t="s">
        <v>39</v>
      </c>
      <c r="U2643" s="362">
        <f>VLOOKUP(B2645,'Thong tin'!$A:$M,13,0)</f>
        <v>1200</v>
      </c>
      <c r="V2643" s="361"/>
      <c r="W2643" s="361"/>
    </row>
    <row r="2644" spans="1:23">
      <c r="A2644" s="1402"/>
      <c r="B2644" s="1402"/>
      <c r="C2644" s="995"/>
      <c r="D2644" s="873"/>
      <c r="E2644" s="1402"/>
      <c r="F2644" s="1402"/>
      <c r="G2644" s="1402"/>
      <c r="H2644" s="1402"/>
      <c r="I2644" s="1402"/>
      <c r="J2644" s="1402"/>
      <c r="K2644" s="1402"/>
      <c r="L2644" s="1402"/>
      <c r="M2644" s="1402"/>
      <c r="N2644" s="1402"/>
      <c r="O2644" s="1402"/>
      <c r="P2644" s="1402"/>
      <c r="Q2644" s="1402"/>
      <c r="R2644" s="1402"/>
      <c r="S2644" s="361"/>
      <c r="T2644" s="1399" t="s">
        <v>393</v>
      </c>
      <c r="U2644" s="1397">
        <f>VLOOKUP(B2645,DT.NK!$B:$AZ,45,0)</f>
        <v>26.85</v>
      </c>
      <c r="V2644" s="361"/>
      <c r="W2644" s="361"/>
    </row>
    <row r="2645" spans="1:23">
      <c r="A2645" s="1409">
        <f>A2625+1</f>
        <v>133</v>
      </c>
      <c r="B2645" s="1412" t="s">
        <v>648</v>
      </c>
      <c r="C2645" s="999" t="s">
        <v>983</v>
      </c>
      <c r="D2645" s="874" t="str">
        <f>B2645&amp;C2645</f>
        <v>A78a</v>
      </c>
      <c r="E2645" s="363"/>
      <c r="F2645" s="364"/>
      <c r="G2645" s="364"/>
      <c r="H2645" s="364"/>
      <c r="I2645" s="364"/>
      <c r="J2645" s="364"/>
      <c r="K2645" s="364"/>
      <c r="L2645" s="364"/>
      <c r="M2645" s="674"/>
      <c r="N2645" s="670"/>
      <c r="O2645" s="670">
        <f>U2644</f>
        <v>26.85</v>
      </c>
      <c r="P2645" s="670">
        <f>O2645</f>
        <v>26.85</v>
      </c>
      <c r="Q2645" s="670">
        <v>0</v>
      </c>
      <c r="R2645" s="365"/>
      <c r="S2645" s="366"/>
      <c r="T2645" s="1399"/>
      <c r="U2645" s="1398"/>
      <c r="V2645" s="361"/>
      <c r="W2645" s="361"/>
    </row>
    <row r="2646" spans="1:23">
      <c r="A2646" s="1410"/>
      <c r="B2646" s="1413"/>
      <c r="C2646" s="1000" t="s">
        <v>984</v>
      </c>
      <c r="D2646" s="875" t="str">
        <f>B2645&amp;C2646</f>
        <v>A78b</v>
      </c>
      <c r="E2646" s="367">
        <v>1</v>
      </c>
      <c r="F2646" s="669" t="s">
        <v>1096</v>
      </c>
      <c r="G2646" s="369">
        <v>4.2361111111111106E-2</v>
      </c>
      <c r="H2646" s="368">
        <v>6.5972222222222224E-2</v>
      </c>
      <c r="I2646" s="368">
        <v>7.9861111111111105E-2</v>
      </c>
      <c r="J2646" s="368">
        <v>8.3333333333333329E-2</v>
      </c>
      <c r="K2646" s="669">
        <v>8</v>
      </c>
      <c r="L2646" s="669">
        <v>19</v>
      </c>
      <c r="M2646" s="675">
        <v>25.2</v>
      </c>
      <c r="N2646" s="671">
        <f>IF(M2646-P2646&gt;0,M2646-P2646,0)</f>
        <v>3.1999999999999993</v>
      </c>
      <c r="O2646" s="671">
        <f>O2645-K2646/(PI()*(U2643/2000)^2)</f>
        <v>19.776446973693542</v>
      </c>
      <c r="P2646" s="672">
        <v>22</v>
      </c>
      <c r="Q2646" s="673">
        <f>ABS(O2646-P2646)</f>
        <v>2.2235530263064582</v>
      </c>
      <c r="R2646" s="375" t="s">
        <v>188</v>
      </c>
      <c r="S2646" s="366"/>
      <c r="T2646" s="376"/>
      <c r="U2646" s="376"/>
      <c r="V2646" s="366"/>
      <c r="W2646" s="366"/>
    </row>
    <row r="2647" spans="1:23">
      <c r="A2647" s="1410"/>
      <c r="B2647" s="1413"/>
      <c r="C2647" s="1000" t="s">
        <v>985</v>
      </c>
      <c r="D2647" s="875" t="str">
        <f>B2645&amp;C2647</f>
        <v>A78c</v>
      </c>
      <c r="E2647" s="367">
        <v>2</v>
      </c>
      <c r="F2647" s="669" t="s">
        <v>1091</v>
      </c>
      <c r="G2647" s="369">
        <v>5.0694444444444452E-2</v>
      </c>
      <c r="H2647" s="368">
        <v>7.6388888888888895E-2</v>
      </c>
      <c r="I2647" s="368">
        <v>9.0277777777777776E-2</v>
      </c>
      <c r="J2647" s="368">
        <v>9.375E-2</v>
      </c>
      <c r="K2647" s="669">
        <v>8</v>
      </c>
      <c r="L2647" s="669">
        <v>19</v>
      </c>
      <c r="M2647" s="675">
        <v>18.899999999999999</v>
      </c>
      <c r="N2647" s="671">
        <f>IF(M2647-P2647&gt;0,M2647-P2647,0)</f>
        <v>3.7999999999999989</v>
      </c>
      <c r="O2647" s="671">
        <f>O2646-K2647/(PI()*(U2643/2000)^2)</f>
        <v>12.702893947387082</v>
      </c>
      <c r="P2647" s="672">
        <v>15.1</v>
      </c>
      <c r="Q2647" s="673">
        <f>ABS(O2647-P2647)</f>
        <v>2.3971060526129175</v>
      </c>
      <c r="R2647" s="375" t="s">
        <v>188</v>
      </c>
      <c r="S2647" s="366"/>
      <c r="T2647" s="376"/>
      <c r="U2647" s="376"/>
      <c r="V2647" s="366"/>
      <c r="W2647" s="366"/>
    </row>
    <row r="2648" spans="1:23">
      <c r="A2648" s="1410"/>
      <c r="B2648" s="1413"/>
      <c r="C2648" s="1000" t="s">
        <v>986</v>
      </c>
      <c r="D2648" s="875" t="str">
        <f>B2645&amp;C2648</f>
        <v>A78d</v>
      </c>
      <c r="E2648" s="367">
        <v>3</v>
      </c>
      <c r="F2648" s="669" t="s">
        <v>1089</v>
      </c>
      <c r="G2648" s="369">
        <v>6.25E-2</v>
      </c>
      <c r="H2648" s="368">
        <v>8.6805555555555566E-2</v>
      </c>
      <c r="I2648" s="368">
        <v>0.10069444444444443</v>
      </c>
      <c r="J2648" s="368">
        <v>0.10416666666666667</v>
      </c>
      <c r="K2648" s="669">
        <v>8</v>
      </c>
      <c r="L2648" s="669">
        <v>19</v>
      </c>
      <c r="M2648" s="675">
        <v>12.6</v>
      </c>
      <c r="N2648" s="671">
        <f>IF(M2648-P2648&gt;0,M2648-P2648,0)</f>
        <v>4.1999999999999993</v>
      </c>
      <c r="O2648" s="671">
        <f>O2647-K2648/(PI()*(U2643/2000)^2)</f>
        <v>5.6293409210806225</v>
      </c>
      <c r="P2648" s="672">
        <v>8.4</v>
      </c>
      <c r="Q2648" s="673">
        <f>ABS(O2648-P2648)</f>
        <v>2.7706590789193779</v>
      </c>
      <c r="R2648" s="375" t="s">
        <v>188</v>
      </c>
      <c r="S2648" s="366"/>
      <c r="T2648" s="376"/>
      <c r="U2648" s="376"/>
      <c r="V2648" s="366"/>
      <c r="W2648" s="366"/>
    </row>
    <row r="2649" spans="1:23">
      <c r="A2649" s="1410"/>
      <c r="B2649" s="1413"/>
      <c r="C2649" s="1000" t="s">
        <v>987</v>
      </c>
      <c r="D2649" s="875" t="str">
        <f>B2645&amp;C2649</f>
        <v>A78e</v>
      </c>
      <c r="E2649" s="367">
        <v>4</v>
      </c>
      <c r="F2649" s="669"/>
      <c r="G2649" s="368"/>
      <c r="H2649" s="368"/>
      <c r="I2649" s="368"/>
      <c r="J2649" s="368"/>
      <c r="K2649" s="370"/>
      <c r="L2649" s="370"/>
      <c r="M2649" s="371"/>
      <c r="N2649" s="671"/>
      <c r="O2649" s="671"/>
      <c r="P2649" s="373"/>
      <c r="Q2649" s="673"/>
      <c r="R2649" s="378"/>
      <c r="S2649" s="366"/>
      <c r="T2649" s="376"/>
      <c r="U2649" s="376"/>
      <c r="V2649" s="366"/>
      <c r="W2649" s="366"/>
    </row>
    <row r="2650" spans="1:23">
      <c r="A2650" s="1410"/>
      <c r="B2650" s="1413"/>
      <c r="C2650" s="1000" t="s">
        <v>988</v>
      </c>
      <c r="D2650" s="875" t="str">
        <f>B2645&amp;C2650</f>
        <v>A78f</v>
      </c>
      <c r="E2650" s="367">
        <v>5</v>
      </c>
      <c r="F2650" s="669"/>
      <c r="G2650" s="368"/>
      <c r="H2650" s="368"/>
      <c r="I2650" s="368"/>
      <c r="J2650" s="368"/>
      <c r="K2650" s="370"/>
      <c r="L2650" s="370"/>
      <c r="M2650" s="371"/>
      <c r="N2650" s="671"/>
      <c r="O2650" s="671"/>
      <c r="P2650" s="373"/>
      <c r="Q2650" s="673"/>
      <c r="R2650" s="378"/>
      <c r="S2650" s="366" t="s">
        <v>190</v>
      </c>
      <c r="T2650" s="376"/>
      <c r="U2650" s="376"/>
      <c r="V2650" s="366"/>
      <c r="W2650" s="366"/>
    </row>
    <row r="2651" spans="1:23">
      <c r="A2651" s="1410"/>
      <c r="B2651" s="1413"/>
      <c r="C2651" s="1000" t="s">
        <v>989</v>
      </c>
      <c r="D2651" s="875" t="str">
        <f>B2645&amp;C2651</f>
        <v>A78g</v>
      </c>
      <c r="E2651" s="367">
        <v>6</v>
      </c>
      <c r="F2651" s="669"/>
      <c r="G2651" s="368"/>
      <c r="H2651" s="368"/>
      <c r="I2651" s="368"/>
      <c r="J2651" s="368"/>
      <c r="K2651" s="370"/>
      <c r="L2651" s="370"/>
      <c r="M2651" s="371"/>
      <c r="N2651" s="671"/>
      <c r="O2651" s="671"/>
      <c r="P2651" s="373"/>
      <c r="Q2651" s="673"/>
      <c r="R2651" s="378"/>
      <c r="S2651" s="366" t="s">
        <v>190</v>
      </c>
      <c r="T2651" s="366"/>
      <c r="U2651" s="366"/>
      <c r="V2651" s="366"/>
      <c r="W2651" s="366"/>
    </row>
    <row r="2652" spans="1:23">
      <c r="A2652" s="1410"/>
      <c r="B2652" s="1413"/>
      <c r="C2652" s="1000" t="s">
        <v>990</v>
      </c>
      <c r="D2652" s="875" t="str">
        <f>B2645&amp;C2652</f>
        <v>A78h</v>
      </c>
      <c r="E2652" s="367">
        <v>7</v>
      </c>
      <c r="F2652" s="669"/>
      <c r="G2652" s="368"/>
      <c r="H2652" s="368"/>
      <c r="I2652" s="368"/>
      <c r="J2652" s="368"/>
      <c r="K2652" s="370"/>
      <c r="L2652" s="370"/>
      <c r="M2652" s="371"/>
      <c r="N2652" s="671"/>
      <c r="O2652" s="671"/>
      <c r="P2652" s="373"/>
      <c r="Q2652" s="673"/>
      <c r="R2652" s="378"/>
      <c r="S2652" s="366" t="s">
        <v>190</v>
      </c>
      <c r="T2652" s="366"/>
      <c r="U2652" s="366"/>
      <c r="V2652" s="366"/>
      <c r="W2652" s="366"/>
    </row>
    <row r="2653" spans="1:23">
      <c r="A2653" s="1410"/>
      <c r="B2653" s="1413"/>
      <c r="C2653" s="1000" t="s">
        <v>991</v>
      </c>
      <c r="D2653" s="875" t="str">
        <f>B2645&amp;C2653</f>
        <v>A78i</v>
      </c>
      <c r="E2653" s="367">
        <v>8</v>
      </c>
      <c r="F2653" s="669"/>
      <c r="G2653" s="368"/>
      <c r="H2653" s="368"/>
      <c r="I2653" s="368"/>
      <c r="J2653" s="368"/>
      <c r="K2653" s="370"/>
      <c r="L2653" s="370"/>
      <c r="M2653" s="371"/>
      <c r="N2653" s="671"/>
      <c r="O2653" s="671"/>
      <c r="P2653" s="373"/>
      <c r="Q2653" s="673"/>
      <c r="R2653" s="378"/>
      <c r="S2653" s="366"/>
      <c r="T2653" s="366"/>
      <c r="U2653" s="366"/>
      <c r="V2653" s="366"/>
      <c r="W2653" s="366"/>
    </row>
    <row r="2654" spans="1:23">
      <c r="A2654" s="1410"/>
      <c r="B2654" s="1413"/>
      <c r="C2654" s="1000" t="s">
        <v>992</v>
      </c>
      <c r="D2654" s="875" t="str">
        <f>B2645&amp;C2654</f>
        <v>A78k</v>
      </c>
      <c r="E2654" s="367">
        <v>9</v>
      </c>
      <c r="F2654" s="370"/>
      <c r="G2654" s="368"/>
      <c r="H2654" s="368"/>
      <c r="I2654" s="368"/>
      <c r="J2654" s="368"/>
      <c r="K2654" s="370"/>
      <c r="L2654" s="370"/>
      <c r="M2654" s="371"/>
      <c r="N2654" s="372"/>
      <c r="O2654" s="372"/>
      <c r="P2654" s="373"/>
      <c r="Q2654" s="374"/>
      <c r="R2654" s="378"/>
      <c r="S2654" s="379"/>
      <c r="T2654" s="366"/>
      <c r="U2654" s="366"/>
      <c r="V2654" s="366"/>
      <c r="W2654" s="366"/>
    </row>
    <row r="2655" spans="1:23">
      <c r="A2655" s="1410"/>
      <c r="B2655" s="1413"/>
      <c r="C2655" s="1000" t="s">
        <v>993</v>
      </c>
      <c r="D2655" s="875" t="str">
        <f>B2645&amp;C2655</f>
        <v>A78l</v>
      </c>
      <c r="E2655" s="367">
        <v>10</v>
      </c>
      <c r="F2655" s="370"/>
      <c r="G2655" s="368"/>
      <c r="H2655" s="368"/>
      <c r="I2655" s="368"/>
      <c r="J2655" s="368"/>
      <c r="K2655" s="370"/>
      <c r="L2655" s="370"/>
      <c r="M2655" s="370"/>
      <c r="N2655" s="372"/>
      <c r="O2655" s="372"/>
      <c r="P2655" s="373"/>
      <c r="Q2655" s="374"/>
      <c r="R2655" s="378"/>
      <c r="S2655" s="379"/>
      <c r="T2655" s="366"/>
      <c r="U2655" s="366"/>
      <c r="V2655" s="366"/>
      <c r="W2655" s="366"/>
    </row>
    <row r="2656" spans="1:23">
      <c r="A2656" s="1410"/>
      <c r="B2656" s="1413"/>
      <c r="C2656" s="1000" t="s">
        <v>994</v>
      </c>
      <c r="D2656" s="875" t="str">
        <f>B2645&amp;C2656</f>
        <v>A78m</v>
      </c>
      <c r="E2656" s="367">
        <v>11</v>
      </c>
      <c r="F2656" s="370"/>
      <c r="G2656" s="368"/>
      <c r="H2656" s="368"/>
      <c r="I2656" s="368"/>
      <c r="J2656" s="368"/>
      <c r="K2656" s="370"/>
      <c r="L2656" s="370"/>
      <c r="M2656" s="370"/>
      <c r="N2656" s="372"/>
      <c r="O2656" s="372"/>
      <c r="P2656" s="380"/>
      <c r="Q2656" s="374"/>
      <c r="R2656" s="381"/>
      <c r="S2656" s="379"/>
      <c r="T2656" s="366"/>
      <c r="U2656" s="366"/>
      <c r="V2656" s="366"/>
      <c r="W2656" s="366"/>
    </row>
    <row r="2657" spans="1:23">
      <c r="A2657" s="1410"/>
      <c r="B2657" s="1413"/>
      <c r="C2657" s="1000" t="s">
        <v>995</v>
      </c>
      <c r="D2657" s="875" t="str">
        <f>B2645&amp;C2657</f>
        <v>A78n</v>
      </c>
      <c r="E2657" s="367">
        <v>12</v>
      </c>
      <c r="F2657" s="370"/>
      <c r="G2657" s="368"/>
      <c r="H2657" s="368"/>
      <c r="I2657" s="368"/>
      <c r="J2657" s="368"/>
      <c r="K2657" s="370"/>
      <c r="L2657" s="370"/>
      <c r="M2657" s="370"/>
      <c r="N2657" s="372"/>
      <c r="O2657" s="372"/>
      <c r="P2657" s="380"/>
      <c r="Q2657" s="374"/>
      <c r="R2657" s="381"/>
      <c r="S2657" s="361"/>
      <c r="T2657" s="361"/>
      <c r="U2657" s="361"/>
      <c r="V2657" s="366"/>
      <c r="W2657" s="366"/>
    </row>
    <row r="2658" spans="1:23">
      <c r="A2658" s="1410"/>
      <c r="B2658" s="1413"/>
      <c r="C2658" s="1000" t="s">
        <v>471</v>
      </c>
      <c r="D2658" s="875" t="str">
        <f>B2645&amp;C2658</f>
        <v>A78x</v>
      </c>
      <c r="E2658" s="367">
        <v>13</v>
      </c>
      <c r="F2658" s="370"/>
      <c r="G2658" s="368"/>
      <c r="H2658" s="368"/>
      <c r="I2658" s="368"/>
      <c r="J2658" s="368"/>
      <c r="K2658" s="370"/>
      <c r="L2658" s="370"/>
      <c r="M2658" s="370"/>
      <c r="N2658" s="382"/>
      <c r="O2658" s="372"/>
      <c r="P2658" s="380"/>
      <c r="Q2658" s="381"/>
      <c r="R2658" s="381"/>
      <c r="S2658" s="361"/>
      <c r="T2658" s="361"/>
      <c r="U2658" s="361"/>
      <c r="V2658" s="366"/>
      <c r="W2658" s="366"/>
    </row>
    <row r="2659" spans="1:23">
      <c r="A2659" s="1410"/>
      <c r="B2659" s="1413"/>
      <c r="C2659" s="1000" t="s">
        <v>732</v>
      </c>
      <c r="D2659" s="875" t="str">
        <f>B2645&amp;C2659</f>
        <v>A78y</v>
      </c>
      <c r="E2659" s="367">
        <v>14</v>
      </c>
      <c r="F2659" s="370"/>
      <c r="G2659" s="368"/>
      <c r="H2659" s="368"/>
      <c r="I2659" s="368"/>
      <c r="J2659" s="368"/>
      <c r="K2659" s="370"/>
      <c r="L2659" s="370"/>
      <c r="M2659" s="370"/>
      <c r="N2659" s="382"/>
      <c r="O2659" s="372"/>
      <c r="P2659" s="380"/>
      <c r="Q2659" s="381"/>
      <c r="R2659" s="381"/>
      <c r="S2659" s="361"/>
      <c r="T2659" s="361"/>
      <c r="U2659" s="362"/>
      <c r="V2659" s="366"/>
      <c r="W2659" s="366"/>
    </row>
    <row r="2660" spans="1:23">
      <c r="A2660" s="1411"/>
      <c r="B2660" s="1414"/>
      <c r="C2660" s="1001" t="s">
        <v>996</v>
      </c>
      <c r="D2660" s="876" t="str">
        <f>B2645&amp;C2660</f>
        <v>A78z</v>
      </c>
      <c r="E2660" s="847">
        <v>15</v>
      </c>
      <c r="F2660" s="370"/>
      <c r="G2660" s="368"/>
      <c r="H2660" s="368"/>
      <c r="I2660" s="368"/>
      <c r="J2660" s="368"/>
      <c r="K2660" s="370"/>
      <c r="L2660" s="370"/>
      <c r="M2660" s="370"/>
      <c r="N2660" s="850"/>
      <c r="O2660" s="851"/>
      <c r="P2660" s="380"/>
      <c r="Q2660" s="852"/>
      <c r="R2660" s="383"/>
      <c r="S2660" s="361"/>
      <c r="T2660" s="998"/>
      <c r="U2660" s="997"/>
      <c r="V2660" s="366"/>
      <c r="W2660" s="366"/>
    </row>
    <row r="2661" spans="1:23">
      <c r="A2661" s="1400" t="s">
        <v>939</v>
      </c>
      <c r="B2661" s="1400"/>
      <c r="C2661" s="994"/>
      <c r="D2661" s="871"/>
      <c r="E2661" s="1400" t="s">
        <v>177</v>
      </c>
      <c r="F2661" s="1400" t="s">
        <v>18</v>
      </c>
      <c r="G2661" s="1389" t="s">
        <v>19</v>
      </c>
      <c r="H2661" s="1390"/>
      <c r="I2661" s="1389" t="s">
        <v>22</v>
      </c>
      <c r="J2661" s="1390"/>
      <c r="K2661" s="1393" t="s">
        <v>26</v>
      </c>
      <c r="L2661" s="1390"/>
      <c r="M2661" s="1389" t="s">
        <v>392</v>
      </c>
      <c r="N2661" s="1390"/>
      <c r="O2661" s="1389" t="s">
        <v>28</v>
      </c>
      <c r="P2661" s="1393"/>
      <c r="Q2661" s="1390"/>
      <c r="R2661" s="1400" t="s">
        <v>36</v>
      </c>
      <c r="S2661" s="361"/>
      <c r="T2661" s="361">
        <f>MAX(J2665:J2679)-MIN(I2665:I2679)</f>
        <v>6.25E-2</v>
      </c>
      <c r="U2661" s="361"/>
      <c r="V2661" s="853" t="str">
        <f t="shared" ref="V2661" si="280">B2665</f>
        <v>A71</v>
      </c>
      <c r="W2661" s="361">
        <f t="shared" ref="W2661" si="281">COUNTIF(K2666:K2680,"&gt;0")</f>
        <v>6</v>
      </c>
    </row>
    <row r="2662" spans="1:23">
      <c r="A2662" s="1401"/>
      <c r="B2662" s="1401"/>
      <c r="C2662" s="996"/>
      <c r="D2662" s="872"/>
      <c r="E2662" s="1401"/>
      <c r="F2662" s="1401"/>
      <c r="G2662" s="1391"/>
      <c r="H2662" s="1392"/>
      <c r="I2662" s="1391"/>
      <c r="J2662" s="1392"/>
      <c r="K2662" s="1394"/>
      <c r="L2662" s="1392"/>
      <c r="M2662" s="1391"/>
      <c r="N2662" s="1392"/>
      <c r="O2662" s="1391"/>
      <c r="P2662" s="1394"/>
      <c r="Q2662" s="1392"/>
      <c r="R2662" s="1401"/>
      <c r="S2662" s="361"/>
      <c r="T2662" s="361"/>
      <c r="U2662" s="361"/>
      <c r="V2662" s="361"/>
      <c r="W2662" s="361"/>
    </row>
    <row r="2663" spans="1:23">
      <c r="A2663" s="1401"/>
      <c r="B2663" s="1401"/>
      <c r="C2663" s="996"/>
      <c r="D2663" s="872"/>
      <c r="E2663" s="1401"/>
      <c r="F2663" s="1401"/>
      <c r="G2663" s="1400" t="s">
        <v>20</v>
      </c>
      <c r="H2663" s="1400" t="s">
        <v>21</v>
      </c>
      <c r="I2663" s="1400" t="s">
        <v>361</v>
      </c>
      <c r="J2663" s="1400" t="s">
        <v>353</v>
      </c>
      <c r="K2663" s="1400" t="s">
        <v>23</v>
      </c>
      <c r="L2663" s="1400" t="s">
        <v>24</v>
      </c>
      <c r="M2663" s="1400" t="s">
        <v>27</v>
      </c>
      <c r="N2663" s="1400" t="s">
        <v>178</v>
      </c>
      <c r="O2663" s="1400" t="s">
        <v>1</v>
      </c>
      <c r="P2663" s="1400" t="s">
        <v>29</v>
      </c>
      <c r="Q2663" s="1400" t="s">
        <v>33</v>
      </c>
      <c r="R2663" s="1401"/>
      <c r="S2663" s="361"/>
      <c r="T2663" s="361" t="s">
        <v>39</v>
      </c>
      <c r="U2663" s="362">
        <f>VLOOKUP(B2665,'Thong tin'!$A:$M,13,0)</f>
        <v>1200</v>
      </c>
      <c r="V2663" s="361"/>
      <c r="W2663" s="361"/>
    </row>
    <row r="2664" spans="1:23">
      <c r="A2664" s="1402"/>
      <c r="B2664" s="1402"/>
      <c r="C2664" s="995"/>
      <c r="D2664" s="873"/>
      <c r="E2664" s="1402"/>
      <c r="F2664" s="1402"/>
      <c r="G2664" s="1402"/>
      <c r="H2664" s="1402"/>
      <c r="I2664" s="1402"/>
      <c r="J2664" s="1402"/>
      <c r="K2664" s="1402"/>
      <c r="L2664" s="1402"/>
      <c r="M2664" s="1402"/>
      <c r="N2664" s="1402"/>
      <c r="O2664" s="1402"/>
      <c r="P2664" s="1402"/>
      <c r="Q2664" s="1402"/>
      <c r="R2664" s="1402"/>
      <c r="S2664" s="361"/>
      <c r="T2664" s="1399" t="s">
        <v>393</v>
      </c>
      <c r="U2664" s="1397">
        <f>VLOOKUP(B2665,DT.NK!$B:$AZ,45,0)</f>
        <v>28.3</v>
      </c>
      <c r="V2664" s="361"/>
      <c r="W2664" s="361"/>
    </row>
    <row r="2665" spans="1:23">
      <c r="A2665" s="1409">
        <f>A2645+1</f>
        <v>134</v>
      </c>
      <c r="B2665" s="1412" t="s">
        <v>614</v>
      </c>
      <c r="C2665" s="999" t="s">
        <v>983</v>
      </c>
      <c r="D2665" s="874" t="str">
        <f>B2665&amp;C2665</f>
        <v>A71a</v>
      </c>
      <c r="E2665" s="363"/>
      <c r="F2665" s="364"/>
      <c r="G2665" s="364"/>
      <c r="H2665" s="364"/>
      <c r="I2665" s="364"/>
      <c r="J2665" s="364"/>
      <c r="K2665" s="364"/>
      <c r="L2665" s="364"/>
      <c r="M2665" s="674"/>
      <c r="N2665" s="670"/>
      <c r="O2665" s="670">
        <f>U2664</f>
        <v>28.3</v>
      </c>
      <c r="P2665" s="670">
        <f>O2665</f>
        <v>28.3</v>
      </c>
      <c r="Q2665" s="670">
        <v>0</v>
      </c>
      <c r="R2665" s="365"/>
      <c r="S2665" s="366"/>
      <c r="T2665" s="1399"/>
      <c r="U2665" s="1398"/>
      <c r="V2665" s="361"/>
      <c r="W2665" s="361"/>
    </row>
    <row r="2666" spans="1:23">
      <c r="A2666" s="1410"/>
      <c r="B2666" s="1413"/>
      <c r="C2666" s="1000" t="s">
        <v>984</v>
      </c>
      <c r="D2666" s="875" t="str">
        <f>B2665&amp;C2666</f>
        <v>A71b</v>
      </c>
      <c r="E2666" s="367">
        <v>1</v>
      </c>
      <c r="F2666" s="669" t="s">
        <v>1085</v>
      </c>
      <c r="G2666" s="369">
        <v>0.18263888888888891</v>
      </c>
      <c r="H2666" s="368">
        <v>0.20833333333333334</v>
      </c>
      <c r="I2666" s="368">
        <v>0.21527777777777779</v>
      </c>
      <c r="J2666" s="368">
        <v>0.21944444444444444</v>
      </c>
      <c r="K2666" s="669">
        <v>10</v>
      </c>
      <c r="L2666" s="669">
        <v>19</v>
      </c>
      <c r="M2666" s="675">
        <v>28.2</v>
      </c>
      <c r="N2666" s="671">
        <f>IF(M2666-P2666&gt;0,M2666-P2666,0)</f>
        <v>2</v>
      </c>
      <c r="O2666" s="671">
        <f>O2665-K2666/(PI()*(U2663/2000)^2)</f>
        <v>19.458058717116927</v>
      </c>
      <c r="P2666" s="672">
        <v>26.2</v>
      </c>
      <c r="Q2666" s="673">
        <f>ABS(O2666-P2666)</f>
        <v>6.7419412828830723</v>
      </c>
      <c r="R2666" s="375" t="s">
        <v>188</v>
      </c>
      <c r="S2666" s="366"/>
      <c r="T2666" s="376"/>
      <c r="U2666" s="376"/>
      <c r="V2666" s="366"/>
      <c r="W2666" s="366"/>
    </row>
    <row r="2667" spans="1:23">
      <c r="A2667" s="1410"/>
      <c r="B2667" s="1413"/>
      <c r="C2667" s="1000" t="s">
        <v>985</v>
      </c>
      <c r="D2667" s="875" t="str">
        <f>B2665&amp;C2667</f>
        <v>A71c</v>
      </c>
      <c r="E2667" s="367">
        <v>2</v>
      </c>
      <c r="F2667" s="669" t="s">
        <v>1096</v>
      </c>
      <c r="G2667" s="369">
        <v>0.18958333333333333</v>
      </c>
      <c r="H2667" s="368">
        <v>0.21180555555555555</v>
      </c>
      <c r="I2667" s="368">
        <v>0.22569444444444445</v>
      </c>
      <c r="J2667" s="368">
        <v>0.22916666666666666</v>
      </c>
      <c r="K2667" s="669">
        <v>10</v>
      </c>
      <c r="L2667" s="669">
        <v>19</v>
      </c>
      <c r="M2667" s="675">
        <v>28.2</v>
      </c>
      <c r="N2667" s="671">
        <f>IF(M2667-P2667&gt;0,M2667-P2667,0)</f>
        <v>3.0500000000000007</v>
      </c>
      <c r="O2667" s="671">
        <f>O2666-K2667/(PI()*(U2663/2000)^2)</f>
        <v>10.616117434233853</v>
      </c>
      <c r="P2667" s="672">
        <v>25.15</v>
      </c>
      <c r="Q2667" s="673">
        <f>ABS(O2667-P2667)</f>
        <v>14.533882565766145</v>
      </c>
      <c r="R2667" s="375" t="s">
        <v>188</v>
      </c>
      <c r="S2667" s="366"/>
      <c r="T2667" s="376"/>
      <c r="U2667" s="376"/>
      <c r="V2667" s="366"/>
      <c r="W2667" s="366"/>
    </row>
    <row r="2668" spans="1:23">
      <c r="A2668" s="1410"/>
      <c r="B2668" s="1413"/>
      <c r="C2668" s="1000" t="s">
        <v>986</v>
      </c>
      <c r="D2668" s="875" t="str">
        <f>B2665&amp;C2668</f>
        <v>A71d</v>
      </c>
      <c r="E2668" s="367">
        <v>3</v>
      </c>
      <c r="F2668" s="669" t="s">
        <v>1089</v>
      </c>
      <c r="G2668" s="369">
        <v>0.19722222222222222</v>
      </c>
      <c r="H2668" s="368">
        <v>0.21666666666666667</v>
      </c>
      <c r="I2668" s="368">
        <v>0.23263888888888887</v>
      </c>
      <c r="J2668" s="368">
        <v>0.23611111111111113</v>
      </c>
      <c r="K2668" s="669">
        <v>10</v>
      </c>
      <c r="L2668" s="669">
        <v>20</v>
      </c>
      <c r="M2668" s="675">
        <v>25.2</v>
      </c>
      <c r="N2668" s="671">
        <f>IF(M2668-P2668&gt;0,M2668-P2668,0)</f>
        <v>3.6999999999999993</v>
      </c>
      <c r="O2668" s="671">
        <f>O2667-K2668/(PI()*(U2663/2000)^2)</f>
        <v>1.7741761513507797</v>
      </c>
      <c r="P2668" s="672">
        <v>21.5</v>
      </c>
      <c r="Q2668" s="673">
        <f>ABS(O2668-P2668)</f>
        <v>19.72582384864922</v>
      </c>
      <c r="R2668" s="375" t="s">
        <v>188</v>
      </c>
      <c r="S2668" s="366"/>
      <c r="T2668" s="376"/>
      <c r="U2668" s="376"/>
      <c r="V2668" s="366"/>
      <c r="W2668" s="366"/>
    </row>
    <row r="2669" spans="1:23">
      <c r="A2669" s="1410"/>
      <c r="B2669" s="1413"/>
      <c r="C2669" s="1000" t="s">
        <v>987</v>
      </c>
      <c r="D2669" s="875" t="str">
        <f>B2665&amp;C2669</f>
        <v>A71e</v>
      </c>
      <c r="E2669" s="367">
        <v>4</v>
      </c>
      <c r="F2669" s="669" t="s">
        <v>1085</v>
      </c>
      <c r="G2669" s="369">
        <v>0.23611111111111113</v>
      </c>
      <c r="H2669" s="368">
        <v>0.25694444444444448</v>
      </c>
      <c r="I2669" s="368">
        <v>0.26041666666666669</v>
      </c>
      <c r="J2669" s="368">
        <v>0.2638888888888889</v>
      </c>
      <c r="K2669" s="669">
        <v>10</v>
      </c>
      <c r="L2669" s="669">
        <v>19</v>
      </c>
      <c r="M2669" s="675">
        <v>15.75</v>
      </c>
      <c r="N2669" s="671">
        <f t="shared" ref="N2669:N2671" si="282">IF(M2669-P2669&gt;0,M2669-P2669,0)</f>
        <v>2.75</v>
      </c>
      <c r="O2669" s="671">
        <f>O2668-K2669/(PI()*(U2663/2000)^2)</f>
        <v>-7.067765131532294</v>
      </c>
      <c r="P2669" s="672">
        <v>13</v>
      </c>
      <c r="Q2669" s="673">
        <f t="shared" ref="Q2669:Q2671" si="283">ABS(O2669-P2669)</f>
        <v>20.067765131532294</v>
      </c>
      <c r="R2669" s="375"/>
      <c r="S2669" s="366"/>
      <c r="T2669" s="376"/>
      <c r="U2669" s="376"/>
      <c r="V2669" s="366"/>
      <c r="W2669" s="366"/>
    </row>
    <row r="2670" spans="1:23">
      <c r="A2670" s="1410"/>
      <c r="B2670" s="1413"/>
      <c r="C2670" s="1000" t="s">
        <v>988</v>
      </c>
      <c r="D2670" s="875" t="str">
        <f>B2665&amp;C2670</f>
        <v>A71f</v>
      </c>
      <c r="E2670" s="367">
        <v>5</v>
      </c>
      <c r="F2670" s="669" t="s">
        <v>1096</v>
      </c>
      <c r="G2670" s="369">
        <v>0.23958333333333334</v>
      </c>
      <c r="H2670" s="368">
        <v>0.26041666666666669</v>
      </c>
      <c r="I2670" s="368">
        <v>0.2673611111111111</v>
      </c>
      <c r="J2670" s="368">
        <v>0.27083333333333331</v>
      </c>
      <c r="K2670" s="669">
        <v>3</v>
      </c>
      <c r="L2670" s="669">
        <v>19</v>
      </c>
      <c r="M2670" s="675">
        <v>15.75</v>
      </c>
      <c r="N2670" s="671">
        <f t="shared" si="282"/>
        <v>3.4499999999999993</v>
      </c>
      <c r="O2670" s="671">
        <f>O2669-K2670/(PI()*(U2663/2000)^2)</f>
        <v>-9.7203475163972168</v>
      </c>
      <c r="P2670" s="672">
        <v>12.3</v>
      </c>
      <c r="Q2670" s="673">
        <f t="shared" si="283"/>
        <v>22.020347516397216</v>
      </c>
      <c r="R2670" s="375"/>
      <c r="S2670" s="366" t="s">
        <v>190</v>
      </c>
      <c r="T2670" s="376"/>
      <c r="U2670" s="376"/>
      <c r="V2670" s="366"/>
      <c r="W2670" s="366"/>
    </row>
    <row r="2671" spans="1:23">
      <c r="A2671" s="1410"/>
      <c r="B2671" s="1413"/>
      <c r="C2671" s="1000" t="s">
        <v>989</v>
      </c>
      <c r="D2671" s="875" t="str">
        <f>B2665&amp;C2671</f>
        <v>A71g</v>
      </c>
      <c r="E2671" s="367">
        <v>6</v>
      </c>
      <c r="F2671" s="669" t="s">
        <v>1089</v>
      </c>
      <c r="G2671" s="369">
        <v>0.24652777777777779</v>
      </c>
      <c r="H2671" s="368">
        <v>0.27083333333333331</v>
      </c>
      <c r="I2671" s="368">
        <v>0.27430555555555552</v>
      </c>
      <c r="J2671" s="368">
        <v>0.27777777777777779</v>
      </c>
      <c r="K2671" s="669">
        <v>6</v>
      </c>
      <c r="L2671" s="669">
        <v>19</v>
      </c>
      <c r="M2671" s="675">
        <v>12.3</v>
      </c>
      <c r="N2671" s="671">
        <f t="shared" si="282"/>
        <v>4.9000000000000004</v>
      </c>
      <c r="O2671" s="671">
        <f>O2670-K2671/(PI()*(U2663/2000)^2)</f>
        <v>-15.025512286127061</v>
      </c>
      <c r="P2671" s="672">
        <v>7.4</v>
      </c>
      <c r="Q2671" s="673">
        <f t="shared" si="283"/>
        <v>22.425512286127059</v>
      </c>
      <c r="R2671" s="375"/>
      <c r="S2671" s="366" t="s">
        <v>190</v>
      </c>
      <c r="T2671" s="366"/>
      <c r="U2671" s="366"/>
      <c r="V2671" s="366"/>
      <c r="W2671" s="366"/>
    </row>
    <row r="2672" spans="1:23">
      <c r="A2672" s="1410"/>
      <c r="B2672" s="1413"/>
      <c r="C2672" s="1000" t="s">
        <v>990</v>
      </c>
      <c r="D2672" s="875" t="str">
        <f>B2665&amp;C2672</f>
        <v>A71h</v>
      </c>
      <c r="E2672" s="367">
        <v>7</v>
      </c>
      <c r="F2672" s="669"/>
      <c r="G2672" s="368"/>
      <c r="H2672" s="368"/>
      <c r="I2672" s="368"/>
      <c r="J2672" s="368"/>
      <c r="K2672" s="370"/>
      <c r="L2672" s="370"/>
      <c r="M2672" s="371"/>
      <c r="N2672" s="671"/>
      <c r="O2672" s="671"/>
      <c r="P2672" s="373"/>
      <c r="Q2672" s="673"/>
      <c r="R2672" s="378"/>
      <c r="S2672" s="366" t="s">
        <v>190</v>
      </c>
      <c r="T2672" s="366"/>
      <c r="U2672" s="366"/>
      <c r="V2672" s="366"/>
      <c r="W2672" s="366"/>
    </row>
    <row r="2673" spans="1:23">
      <c r="A2673" s="1410"/>
      <c r="B2673" s="1413"/>
      <c r="C2673" s="1000" t="s">
        <v>991</v>
      </c>
      <c r="D2673" s="875" t="str">
        <f>B2665&amp;C2673</f>
        <v>A71i</v>
      </c>
      <c r="E2673" s="367">
        <v>8</v>
      </c>
      <c r="F2673" s="669"/>
      <c r="G2673" s="368"/>
      <c r="H2673" s="368"/>
      <c r="I2673" s="368"/>
      <c r="J2673" s="368"/>
      <c r="K2673" s="370"/>
      <c r="L2673" s="370"/>
      <c r="M2673" s="371"/>
      <c r="N2673" s="671"/>
      <c r="O2673" s="671"/>
      <c r="P2673" s="373"/>
      <c r="Q2673" s="673"/>
      <c r="R2673" s="378"/>
      <c r="S2673" s="366"/>
      <c r="T2673" s="366"/>
      <c r="U2673" s="366"/>
      <c r="V2673" s="366"/>
      <c r="W2673" s="366"/>
    </row>
    <row r="2674" spans="1:23">
      <c r="A2674" s="1410"/>
      <c r="B2674" s="1413"/>
      <c r="C2674" s="1000" t="s">
        <v>992</v>
      </c>
      <c r="D2674" s="875" t="str">
        <f>B2665&amp;C2674</f>
        <v>A71k</v>
      </c>
      <c r="E2674" s="367">
        <v>9</v>
      </c>
      <c r="F2674" s="370"/>
      <c r="G2674" s="368"/>
      <c r="H2674" s="368"/>
      <c r="I2674" s="368"/>
      <c r="J2674" s="368"/>
      <c r="K2674" s="370"/>
      <c r="L2674" s="370"/>
      <c r="M2674" s="371"/>
      <c r="N2674" s="372"/>
      <c r="O2674" s="372"/>
      <c r="P2674" s="373"/>
      <c r="Q2674" s="374"/>
      <c r="R2674" s="378"/>
      <c r="S2674" s="379"/>
      <c r="T2674" s="366"/>
      <c r="U2674" s="366"/>
      <c r="V2674" s="366"/>
      <c r="W2674" s="366"/>
    </row>
    <row r="2675" spans="1:23">
      <c r="A2675" s="1410"/>
      <c r="B2675" s="1413"/>
      <c r="C2675" s="1000" t="s">
        <v>993</v>
      </c>
      <c r="D2675" s="875" t="str">
        <f>B2665&amp;C2675</f>
        <v>A71l</v>
      </c>
      <c r="E2675" s="367">
        <v>10</v>
      </c>
      <c r="F2675" s="370"/>
      <c r="G2675" s="368"/>
      <c r="H2675" s="368"/>
      <c r="I2675" s="368"/>
      <c r="J2675" s="368"/>
      <c r="K2675" s="370"/>
      <c r="L2675" s="370"/>
      <c r="M2675" s="370"/>
      <c r="N2675" s="372"/>
      <c r="O2675" s="372"/>
      <c r="P2675" s="373"/>
      <c r="Q2675" s="374"/>
      <c r="R2675" s="378"/>
      <c r="S2675" s="379"/>
      <c r="T2675" s="366"/>
      <c r="U2675" s="366"/>
      <c r="V2675" s="366"/>
      <c r="W2675" s="366"/>
    </row>
    <row r="2676" spans="1:23">
      <c r="A2676" s="1410"/>
      <c r="B2676" s="1413"/>
      <c r="C2676" s="1000" t="s">
        <v>994</v>
      </c>
      <c r="D2676" s="875" t="str">
        <f>B2665&amp;C2676</f>
        <v>A71m</v>
      </c>
      <c r="E2676" s="367">
        <v>11</v>
      </c>
      <c r="F2676" s="370"/>
      <c r="G2676" s="368"/>
      <c r="H2676" s="368"/>
      <c r="I2676" s="368"/>
      <c r="J2676" s="368"/>
      <c r="K2676" s="370"/>
      <c r="L2676" s="370"/>
      <c r="M2676" s="370"/>
      <c r="N2676" s="372"/>
      <c r="O2676" s="372"/>
      <c r="P2676" s="380"/>
      <c r="Q2676" s="374"/>
      <c r="R2676" s="381"/>
      <c r="S2676" s="379"/>
      <c r="T2676" s="366"/>
      <c r="U2676" s="366"/>
      <c r="V2676" s="366"/>
      <c r="W2676" s="366"/>
    </row>
    <row r="2677" spans="1:23">
      <c r="A2677" s="1410"/>
      <c r="B2677" s="1413"/>
      <c r="C2677" s="1000" t="s">
        <v>995</v>
      </c>
      <c r="D2677" s="875" t="str">
        <f>B2665&amp;C2677</f>
        <v>A71n</v>
      </c>
      <c r="E2677" s="367">
        <v>12</v>
      </c>
      <c r="F2677" s="370"/>
      <c r="G2677" s="368"/>
      <c r="H2677" s="368"/>
      <c r="I2677" s="368"/>
      <c r="J2677" s="368"/>
      <c r="K2677" s="370"/>
      <c r="L2677" s="370"/>
      <c r="M2677" s="370"/>
      <c r="N2677" s="372"/>
      <c r="O2677" s="372"/>
      <c r="P2677" s="380"/>
      <c r="Q2677" s="374"/>
      <c r="R2677" s="381"/>
      <c r="S2677" s="361"/>
      <c r="T2677" s="361"/>
      <c r="U2677" s="361"/>
      <c r="V2677" s="366"/>
      <c r="W2677" s="366"/>
    </row>
    <row r="2678" spans="1:23">
      <c r="A2678" s="1410"/>
      <c r="B2678" s="1413"/>
      <c r="C2678" s="1000" t="s">
        <v>471</v>
      </c>
      <c r="D2678" s="875" t="str">
        <f>B2665&amp;C2678</f>
        <v>A71x</v>
      </c>
      <c r="E2678" s="367">
        <v>13</v>
      </c>
      <c r="F2678" s="370"/>
      <c r="G2678" s="368"/>
      <c r="H2678" s="368"/>
      <c r="I2678" s="368"/>
      <c r="J2678" s="368"/>
      <c r="K2678" s="370"/>
      <c r="L2678" s="370"/>
      <c r="M2678" s="370"/>
      <c r="N2678" s="382"/>
      <c r="O2678" s="372"/>
      <c r="P2678" s="380"/>
      <c r="Q2678" s="381"/>
      <c r="R2678" s="381"/>
      <c r="S2678" s="361"/>
      <c r="T2678" s="361"/>
      <c r="U2678" s="361"/>
      <c r="V2678" s="366"/>
      <c r="W2678" s="366"/>
    </row>
    <row r="2679" spans="1:23">
      <c r="A2679" s="1410"/>
      <c r="B2679" s="1413"/>
      <c r="C2679" s="1000" t="s">
        <v>732</v>
      </c>
      <c r="D2679" s="875" t="str">
        <f>B2665&amp;C2679</f>
        <v>A71y</v>
      </c>
      <c r="E2679" s="367">
        <v>14</v>
      </c>
      <c r="F2679" s="370"/>
      <c r="G2679" s="368"/>
      <c r="H2679" s="368"/>
      <c r="I2679" s="368"/>
      <c r="J2679" s="368"/>
      <c r="K2679" s="370"/>
      <c r="L2679" s="370"/>
      <c r="M2679" s="370"/>
      <c r="N2679" s="382"/>
      <c r="O2679" s="372"/>
      <c r="P2679" s="380"/>
      <c r="Q2679" s="381"/>
      <c r="R2679" s="381"/>
      <c r="S2679" s="361"/>
      <c r="T2679" s="361"/>
      <c r="U2679" s="362"/>
      <c r="V2679" s="366"/>
      <c r="W2679" s="366"/>
    </row>
    <row r="2680" spans="1:23">
      <c r="A2680" s="1411"/>
      <c r="B2680" s="1414"/>
      <c r="C2680" s="1001" t="s">
        <v>996</v>
      </c>
      <c r="D2680" s="876" t="str">
        <f>B2665&amp;C2680</f>
        <v>A71z</v>
      </c>
      <c r="E2680" s="847">
        <v>15</v>
      </c>
      <c r="F2680" s="370"/>
      <c r="G2680" s="368"/>
      <c r="H2680" s="368"/>
      <c r="I2680" s="368"/>
      <c r="J2680" s="368"/>
      <c r="K2680" s="370"/>
      <c r="L2680" s="370"/>
      <c r="M2680" s="370"/>
      <c r="N2680" s="850"/>
      <c r="O2680" s="851"/>
      <c r="P2680" s="380"/>
      <c r="Q2680" s="852"/>
      <c r="R2680" s="383"/>
      <c r="S2680" s="361"/>
      <c r="T2680" s="998"/>
      <c r="U2680" s="997"/>
      <c r="V2680" s="366"/>
      <c r="W2680" s="366"/>
    </row>
    <row r="2681" spans="1:23">
      <c r="A2681" s="1400" t="s">
        <v>939</v>
      </c>
      <c r="B2681" s="1400"/>
      <c r="C2681" s="1005"/>
      <c r="D2681" s="871"/>
      <c r="E2681" s="1400" t="s">
        <v>177</v>
      </c>
      <c r="F2681" s="1400" t="s">
        <v>18</v>
      </c>
      <c r="G2681" s="1389" t="s">
        <v>19</v>
      </c>
      <c r="H2681" s="1390"/>
      <c r="I2681" s="1389" t="s">
        <v>22</v>
      </c>
      <c r="J2681" s="1390"/>
      <c r="K2681" s="1393" t="s">
        <v>26</v>
      </c>
      <c r="L2681" s="1390"/>
      <c r="M2681" s="1389" t="s">
        <v>392</v>
      </c>
      <c r="N2681" s="1390"/>
      <c r="O2681" s="1389" t="s">
        <v>28</v>
      </c>
      <c r="P2681" s="1393"/>
      <c r="Q2681" s="1390"/>
      <c r="R2681" s="1400" t="s">
        <v>36</v>
      </c>
      <c r="S2681" s="361"/>
      <c r="T2681" s="361">
        <f>MAX(J2685:J2699)-MIN(I2685:I2699)</f>
        <v>1.7361111111111049E-2</v>
      </c>
      <c r="U2681" s="361"/>
      <c r="V2681" s="853" t="str">
        <f t="shared" ref="V2681" si="284">B2685</f>
        <v>B23</v>
      </c>
      <c r="W2681" s="361">
        <f t="shared" ref="W2681" si="285">COUNTIF(K2686:K2700,"&gt;0")</f>
        <v>2</v>
      </c>
    </row>
    <row r="2682" spans="1:23">
      <c r="A2682" s="1401"/>
      <c r="B2682" s="1401"/>
      <c r="C2682" s="1006"/>
      <c r="D2682" s="872"/>
      <c r="E2682" s="1401"/>
      <c r="F2682" s="1401"/>
      <c r="G2682" s="1391"/>
      <c r="H2682" s="1392"/>
      <c r="I2682" s="1391"/>
      <c r="J2682" s="1392"/>
      <c r="K2682" s="1394"/>
      <c r="L2682" s="1392"/>
      <c r="M2682" s="1391"/>
      <c r="N2682" s="1392"/>
      <c r="O2682" s="1391"/>
      <c r="P2682" s="1394"/>
      <c r="Q2682" s="1392"/>
      <c r="R2682" s="1401"/>
      <c r="S2682" s="361"/>
      <c r="T2682" s="361"/>
      <c r="U2682" s="361"/>
      <c r="V2682" s="361"/>
      <c r="W2682" s="361"/>
    </row>
    <row r="2683" spans="1:23">
      <c r="A2683" s="1401"/>
      <c r="B2683" s="1401"/>
      <c r="C2683" s="1006"/>
      <c r="D2683" s="872"/>
      <c r="E2683" s="1401"/>
      <c r="F2683" s="1401"/>
      <c r="G2683" s="1400" t="s">
        <v>20</v>
      </c>
      <c r="H2683" s="1400" t="s">
        <v>21</v>
      </c>
      <c r="I2683" s="1400" t="s">
        <v>361</v>
      </c>
      <c r="J2683" s="1400" t="s">
        <v>353</v>
      </c>
      <c r="K2683" s="1400" t="s">
        <v>23</v>
      </c>
      <c r="L2683" s="1400" t="s">
        <v>24</v>
      </c>
      <c r="M2683" s="1400" t="s">
        <v>27</v>
      </c>
      <c r="N2683" s="1400" t="s">
        <v>178</v>
      </c>
      <c r="O2683" s="1400" t="s">
        <v>1</v>
      </c>
      <c r="P2683" s="1400" t="s">
        <v>29</v>
      </c>
      <c r="Q2683" s="1400" t="s">
        <v>33</v>
      </c>
      <c r="R2683" s="1401"/>
      <c r="S2683" s="361"/>
      <c r="T2683" s="361" t="s">
        <v>39</v>
      </c>
      <c r="U2683" s="362">
        <f>VLOOKUP(B2685,'Thong tin'!$A:$M,13,0)</f>
        <v>800</v>
      </c>
      <c r="V2683" s="361"/>
      <c r="W2683" s="361"/>
    </row>
    <row r="2684" spans="1:23">
      <c r="A2684" s="1402"/>
      <c r="B2684" s="1402"/>
      <c r="C2684" s="1007"/>
      <c r="D2684" s="873"/>
      <c r="E2684" s="1402"/>
      <c r="F2684" s="1402"/>
      <c r="G2684" s="1402"/>
      <c r="H2684" s="1402"/>
      <c r="I2684" s="1402"/>
      <c r="J2684" s="1402"/>
      <c r="K2684" s="1402"/>
      <c r="L2684" s="1402"/>
      <c r="M2684" s="1402"/>
      <c r="N2684" s="1402"/>
      <c r="O2684" s="1402"/>
      <c r="P2684" s="1402"/>
      <c r="Q2684" s="1402"/>
      <c r="R2684" s="1402"/>
      <c r="S2684" s="361"/>
      <c r="T2684" s="1399" t="s">
        <v>393</v>
      </c>
      <c r="U2684" s="1397">
        <f>VLOOKUP(B2685,DT.NK!$B:$AZ,45,0)</f>
        <v>29.9</v>
      </c>
      <c r="V2684" s="361"/>
      <c r="W2684" s="361"/>
    </row>
    <row r="2685" spans="1:23">
      <c r="A2685" s="1409">
        <f>A2665+1</f>
        <v>135</v>
      </c>
      <c r="B2685" s="1412" t="s">
        <v>523</v>
      </c>
      <c r="C2685" s="1008" t="s">
        <v>983</v>
      </c>
      <c r="D2685" s="874" t="str">
        <f>B2685&amp;C2685</f>
        <v>B23a</v>
      </c>
      <c r="E2685" s="363"/>
      <c r="F2685" s="364"/>
      <c r="G2685" s="364"/>
      <c r="H2685" s="364"/>
      <c r="I2685" s="364"/>
      <c r="J2685" s="364"/>
      <c r="K2685" s="364"/>
      <c r="L2685" s="364"/>
      <c r="M2685" s="674"/>
      <c r="N2685" s="670"/>
      <c r="O2685" s="670">
        <f>U2684</f>
        <v>29.9</v>
      </c>
      <c r="P2685" s="670">
        <f>O2685</f>
        <v>29.9</v>
      </c>
      <c r="Q2685" s="670">
        <v>0</v>
      </c>
      <c r="R2685" s="365"/>
      <c r="S2685" s="366"/>
      <c r="T2685" s="1399"/>
      <c r="U2685" s="1398"/>
      <c r="V2685" s="361"/>
      <c r="W2685" s="361"/>
    </row>
    <row r="2686" spans="1:23">
      <c r="A2686" s="1410"/>
      <c r="B2686" s="1413"/>
      <c r="C2686" s="1009" t="s">
        <v>984</v>
      </c>
      <c r="D2686" s="875" t="str">
        <f>B2685&amp;C2686</f>
        <v>B23b</v>
      </c>
      <c r="E2686" s="367">
        <v>1</v>
      </c>
      <c r="F2686" s="669" t="s">
        <v>1091</v>
      </c>
      <c r="G2686" s="369">
        <v>0.7368055555555556</v>
      </c>
      <c r="H2686" s="368">
        <v>0.76388888888888884</v>
      </c>
      <c r="I2686" s="368">
        <v>0.77777777777777779</v>
      </c>
      <c r="J2686" s="368">
        <v>0.78125</v>
      </c>
      <c r="K2686" s="669">
        <v>7</v>
      </c>
      <c r="L2686" s="669">
        <v>19</v>
      </c>
      <c r="M2686" s="675">
        <v>22.05</v>
      </c>
      <c r="N2686" s="671">
        <f>IF(M2686-P2686&gt;0,M2686-P2686,0)</f>
        <v>3.0500000000000007</v>
      </c>
      <c r="O2686" s="671">
        <f>O2685-K2686/(PI()*(U2683/2000)^2)</f>
        <v>15.973942479459158</v>
      </c>
      <c r="P2686" s="672">
        <v>19</v>
      </c>
      <c r="Q2686" s="673">
        <f>ABS(O2686-P2686)</f>
        <v>3.0260575205408422</v>
      </c>
      <c r="R2686" s="375" t="s">
        <v>188</v>
      </c>
      <c r="S2686" s="366"/>
      <c r="T2686" s="376"/>
      <c r="U2686" s="376"/>
      <c r="V2686" s="366"/>
      <c r="W2686" s="366"/>
    </row>
    <row r="2687" spans="1:23">
      <c r="A2687" s="1410"/>
      <c r="B2687" s="1413"/>
      <c r="C2687" s="1009" t="s">
        <v>985</v>
      </c>
      <c r="D2687" s="875" t="str">
        <f>B2685&amp;C2687</f>
        <v>B23c</v>
      </c>
      <c r="E2687" s="367">
        <v>2</v>
      </c>
      <c r="F2687" s="669" t="s">
        <v>1096</v>
      </c>
      <c r="G2687" s="369">
        <v>0.74305555555555547</v>
      </c>
      <c r="H2687" s="368">
        <v>0.77083333333333337</v>
      </c>
      <c r="I2687" s="368">
        <v>0.79166666666666663</v>
      </c>
      <c r="J2687" s="368">
        <v>0.79513888888888884</v>
      </c>
      <c r="K2687" s="669">
        <v>7</v>
      </c>
      <c r="L2687" s="669">
        <v>19</v>
      </c>
      <c r="M2687" s="675">
        <v>9.4499999999999993</v>
      </c>
      <c r="N2687" s="671">
        <f>IF(M2687-P2687&gt;0,M2687-P2687,0)</f>
        <v>4.1499999999999995</v>
      </c>
      <c r="O2687" s="671">
        <f>O2686-K2687/(PI()*(U2683/2000)^2)</f>
        <v>2.047884958918317</v>
      </c>
      <c r="P2687" s="672">
        <v>5.3</v>
      </c>
      <c r="Q2687" s="673">
        <f>ABS(O2687-P2687)</f>
        <v>3.2521150410816828</v>
      </c>
      <c r="R2687" s="375" t="s">
        <v>188</v>
      </c>
      <c r="S2687" s="366"/>
      <c r="T2687" s="376"/>
      <c r="U2687" s="376"/>
      <c r="V2687" s="366"/>
      <c r="W2687" s="366"/>
    </row>
    <row r="2688" spans="1:23">
      <c r="A2688" s="1410"/>
      <c r="B2688" s="1413"/>
      <c r="C2688" s="1009" t="s">
        <v>986</v>
      </c>
      <c r="D2688" s="875" t="str">
        <f>B2685&amp;C2688</f>
        <v>B23d</v>
      </c>
      <c r="E2688" s="367">
        <v>3</v>
      </c>
      <c r="F2688" s="669"/>
      <c r="G2688" s="368"/>
      <c r="H2688" s="368"/>
      <c r="I2688" s="368"/>
      <c r="J2688" s="368"/>
      <c r="K2688" s="370"/>
      <c r="L2688" s="370"/>
      <c r="M2688" s="371"/>
      <c r="N2688" s="671"/>
      <c r="O2688" s="671"/>
      <c r="P2688" s="373"/>
      <c r="Q2688" s="673"/>
      <c r="R2688" s="378"/>
      <c r="S2688" s="366"/>
      <c r="T2688" s="376"/>
      <c r="U2688" s="376"/>
      <c r="V2688" s="366"/>
      <c r="W2688" s="366"/>
    </row>
    <row r="2689" spans="1:23">
      <c r="A2689" s="1410"/>
      <c r="B2689" s="1413"/>
      <c r="C2689" s="1009" t="s">
        <v>987</v>
      </c>
      <c r="D2689" s="875" t="str">
        <f>B2685&amp;C2689</f>
        <v>B23e</v>
      </c>
      <c r="E2689" s="367">
        <v>4</v>
      </c>
      <c r="F2689" s="669"/>
      <c r="G2689" s="368"/>
      <c r="H2689" s="368"/>
      <c r="I2689" s="368"/>
      <c r="J2689" s="368"/>
      <c r="K2689" s="370"/>
      <c r="L2689" s="370"/>
      <c r="M2689" s="371"/>
      <c r="N2689" s="671"/>
      <c r="O2689" s="671"/>
      <c r="P2689" s="373"/>
      <c r="Q2689" s="673"/>
      <c r="R2689" s="378"/>
      <c r="S2689" s="366"/>
      <c r="T2689" s="376"/>
      <c r="U2689" s="376"/>
      <c r="V2689" s="366"/>
      <c r="W2689" s="366"/>
    </row>
    <row r="2690" spans="1:23">
      <c r="A2690" s="1410"/>
      <c r="B2690" s="1413"/>
      <c r="C2690" s="1009" t="s">
        <v>988</v>
      </c>
      <c r="D2690" s="875" t="str">
        <f>B2685&amp;C2690</f>
        <v>B23f</v>
      </c>
      <c r="E2690" s="367">
        <v>5</v>
      </c>
      <c r="F2690" s="669"/>
      <c r="G2690" s="368"/>
      <c r="H2690" s="368"/>
      <c r="I2690" s="368"/>
      <c r="J2690" s="368"/>
      <c r="K2690" s="370"/>
      <c r="L2690" s="370"/>
      <c r="M2690" s="371"/>
      <c r="N2690" s="671"/>
      <c r="O2690" s="671"/>
      <c r="P2690" s="373"/>
      <c r="Q2690" s="673"/>
      <c r="R2690" s="378"/>
      <c r="S2690" s="366" t="s">
        <v>190</v>
      </c>
      <c r="T2690" s="376"/>
      <c r="U2690" s="376"/>
      <c r="V2690" s="366"/>
      <c r="W2690" s="366"/>
    </row>
    <row r="2691" spans="1:23">
      <c r="A2691" s="1410"/>
      <c r="B2691" s="1413"/>
      <c r="C2691" s="1009" t="s">
        <v>989</v>
      </c>
      <c r="D2691" s="875" t="str">
        <f>B2685&amp;C2691</f>
        <v>B23g</v>
      </c>
      <c r="E2691" s="367">
        <v>6</v>
      </c>
      <c r="F2691" s="669"/>
      <c r="G2691" s="368"/>
      <c r="H2691" s="368"/>
      <c r="I2691" s="368"/>
      <c r="J2691" s="368"/>
      <c r="K2691" s="370"/>
      <c r="L2691" s="370"/>
      <c r="M2691" s="371"/>
      <c r="N2691" s="671"/>
      <c r="O2691" s="671"/>
      <c r="P2691" s="373"/>
      <c r="Q2691" s="673"/>
      <c r="R2691" s="378"/>
      <c r="S2691" s="366" t="s">
        <v>190</v>
      </c>
      <c r="T2691" s="366"/>
      <c r="U2691" s="366"/>
      <c r="V2691" s="366"/>
      <c r="W2691" s="366"/>
    </row>
    <row r="2692" spans="1:23">
      <c r="A2692" s="1410"/>
      <c r="B2692" s="1413"/>
      <c r="C2692" s="1009" t="s">
        <v>990</v>
      </c>
      <c r="D2692" s="875" t="str">
        <f>B2685&amp;C2692</f>
        <v>B23h</v>
      </c>
      <c r="E2692" s="367">
        <v>7</v>
      </c>
      <c r="F2692" s="669"/>
      <c r="G2692" s="368"/>
      <c r="H2692" s="368"/>
      <c r="I2692" s="368"/>
      <c r="J2692" s="368"/>
      <c r="K2692" s="370"/>
      <c r="L2692" s="370"/>
      <c r="M2692" s="371"/>
      <c r="N2692" s="671"/>
      <c r="O2692" s="671"/>
      <c r="P2692" s="373"/>
      <c r="Q2692" s="673"/>
      <c r="R2692" s="378"/>
      <c r="S2692" s="366" t="s">
        <v>190</v>
      </c>
      <c r="T2692" s="366"/>
      <c r="U2692" s="366"/>
      <c r="V2692" s="366"/>
      <c r="W2692" s="366"/>
    </row>
    <row r="2693" spans="1:23">
      <c r="A2693" s="1410"/>
      <c r="B2693" s="1413"/>
      <c r="C2693" s="1009" t="s">
        <v>991</v>
      </c>
      <c r="D2693" s="875" t="str">
        <f>B2685&amp;C2693</f>
        <v>B23i</v>
      </c>
      <c r="E2693" s="367">
        <v>8</v>
      </c>
      <c r="F2693" s="669"/>
      <c r="G2693" s="368"/>
      <c r="H2693" s="368"/>
      <c r="I2693" s="368"/>
      <c r="J2693" s="368"/>
      <c r="K2693" s="370"/>
      <c r="L2693" s="370"/>
      <c r="M2693" s="371"/>
      <c r="N2693" s="671"/>
      <c r="O2693" s="671"/>
      <c r="P2693" s="373"/>
      <c r="Q2693" s="673"/>
      <c r="R2693" s="378"/>
      <c r="S2693" s="366"/>
      <c r="T2693" s="366"/>
      <c r="U2693" s="366"/>
      <c r="V2693" s="366"/>
      <c r="W2693" s="366"/>
    </row>
    <row r="2694" spans="1:23">
      <c r="A2694" s="1410"/>
      <c r="B2694" s="1413"/>
      <c r="C2694" s="1009" t="s">
        <v>992</v>
      </c>
      <c r="D2694" s="875" t="str">
        <f>B2685&amp;C2694</f>
        <v>B23k</v>
      </c>
      <c r="E2694" s="367">
        <v>9</v>
      </c>
      <c r="F2694" s="370"/>
      <c r="G2694" s="368"/>
      <c r="H2694" s="368"/>
      <c r="I2694" s="368"/>
      <c r="J2694" s="368"/>
      <c r="K2694" s="370"/>
      <c r="L2694" s="370"/>
      <c r="M2694" s="371"/>
      <c r="N2694" s="372"/>
      <c r="O2694" s="372"/>
      <c r="P2694" s="373"/>
      <c r="Q2694" s="374"/>
      <c r="R2694" s="378"/>
      <c r="S2694" s="379"/>
      <c r="T2694" s="366"/>
      <c r="U2694" s="366"/>
      <c r="V2694" s="366"/>
      <c r="W2694" s="366"/>
    </row>
    <row r="2695" spans="1:23">
      <c r="A2695" s="1410"/>
      <c r="B2695" s="1413"/>
      <c r="C2695" s="1009" t="s">
        <v>993</v>
      </c>
      <c r="D2695" s="875" t="str">
        <f>B2685&amp;C2695</f>
        <v>B23l</v>
      </c>
      <c r="E2695" s="367">
        <v>10</v>
      </c>
      <c r="F2695" s="370"/>
      <c r="G2695" s="368"/>
      <c r="H2695" s="368"/>
      <c r="I2695" s="368"/>
      <c r="J2695" s="368"/>
      <c r="K2695" s="370"/>
      <c r="L2695" s="370"/>
      <c r="M2695" s="370"/>
      <c r="N2695" s="372"/>
      <c r="O2695" s="372"/>
      <c r="P2695" s="373"/>
      <c r="Q2695" s="374"/>
      <c r="R2695" s="378"/>
      <c r="S2695" s="379"/>
      <c r="T2695" s="366"/>
      <c r="U2695" s="366"/>
      <c r="V2695" s="366"/>
      <c r="W2695" s="366"/>
    </row>
    <row r="2696" spans="1:23">
      <c r="A2696" s="1410"/>
      <c r="B2696" s="1413"/>
      <c r="C2696" s="1009" t="s">
        <v>994</v>
      </c>
      <c r="D2696" s="875" t="str">
        <f>B2685&amp;C2696</f>
        <v>B23m</v>
      </c>
      <c r="E2696" s="367">
        <v>11</v>
      </c>
      <c r="F2696" s="370"/>
      <c r="G2696" s="368"/>
      <c r="H2696" s="368"/>
      <c r="I2696" s="368"/>
      <c r="J2696" s="368"/>
      <c r="K2696" s="370"/>
      <c r="L2696" s="370"/>
      <c r="M2696" s="370"/>
      <c r="N2696" s="372"/>
      <c r="O2696" s="372"/>
      <c r="P2696" s="380"/>
      <c r="Q2696" s="374"/>
      <c r="R2696" s="381"/>
      <c r="S2696" s="379"/>
      <c r="T2696" s="366"/>
      <c r="U2696" s="366"/>
      <c r="V2696" s="366"/>
      <c r="W2696" s="366"/>
    </row>
    <row r="2697" spans="1:23">
      <c r="A2697" s="1410"/>
      <c r="B2697" s="1413"/>
      <c r="C2697" s="1009" t="s">
        <v>995</v>
      </c>
      <c r="D2697" s="875" t="str">
        <f>B2685&amp;C2697</f>
        <v>B23n</v>
      </c>
      <c r="E2697" s="367">
        <v>12</v>
      </c>
      <c r="F2697" s="370"/>
      <c r="G2697" s="368"/>
      <c r="H2697" s="368"/>
      <c r="I2697" s="368"/>
      <c r="J2697" s="368"/>
      <c r="K2697" s="370"/>
      <c r="L2697" s="370"/>
      <c r="M2697" s="370"/>
      <c r="N2697" s="372"/>
      <c r="O2697" s="372"/>
      <c r="P2697" s="380"/>
      <c r="Q2697" s="374"/>
      <c r="R2697" s="381"/>
      <c r="S2697" s="361"/>
      <c r="T2697" s="361"/>
      <c r="U2697" s="361"/>
      <c r="V2697" s="366"/>
      <c r="W2697" s="366"/>
    </row>
    <row r="2698" spans="1:23">
      <c r="A2698" s="1410"/>
      <c r="B2698" s="1413"/>
      <c r="C2698" s="1009" t="s">
        <v>471</v>
      </c>
      <c r="D2698" s="875" t="str">
        <f>B2685&amp;C2698</f>
        <v>B23x</v>
      </c>
      <c r="E2698" s="367">
        <v>13</v>
      </c>
      <c r="F2698" s="370"/>
      <c r="G2698" s="368"/>
      <c r="H2698" s="368"/>
      <c r="I2698" s="368"/>
      <c r="J2698" s="368"/>
      <c r="K2698" s="370"/>
      <c r="L2698" s="370"/>
      <c r="M2698" s="370"/>
      <c r="N2698" s="382"/>
      <c r="O2698" s="372"/>
      <c r="P2698" s="380"/>
      <c r="Q2698" s="381"/>
      <c r="R2698" s="381"/>
      <c r="S2698" s="361"/>
      <c r="T2698" s="361"/>
      <c r="U2698" s="361"/>
      <c r="V2698" s="366"/>
      <c r="W2698" s="366"/>
    </row>
    <row r="2699" spans="1:23">
      <c r="A2699" s="1410"/>
      <c r="B2699" s="1413"/>
      <c r="C2699" s="1009" t="s">
        <v>732</v>
      </c>
      <c r="D2699" s="875" t="str">
        <f>B2685&amp;C2699</f>
        <v>B23y</v>
      </c>
      <c r="E2699" s="367">
        <v>14</v>
      </c>
      <c r="F2699" s="370"/>
      <c r="G2699" s="368"/>
      <c r="H2699" s="368"/>
      <c r="I2699" s="368"/>
      <c r="J2699" s="368"/>
      <c r="K2699" s="370"/>
      <c r="L2699" s="370"/>
      <c r="M2699" s="370"/>
      <c r="N2699" s="382"/>
      <c r="O2699" s="372"/>
      <c r="P2699" s="380"/>
      <c r="Q2699" s="381"/>
      <c r="R2699" s="381"/>
      <c r="S2699" s="361"/>
      <c r="T2699" s="361"/>
      <c r="U2699" s="362"/>
      <c r="V2699" s="366"/>
      <c r="W2699" s="366"/>
    </row>
    <row r="2700" spans="1:23">
      <c r="A2700" s="1411"/>
      <c r="B2700" s="1414"/>
      <c r="C2700" s="1010" t="s">
        <v>996</v>
      </c>
      <c r="D2700" s="876" t="str">
        <f>B2685&amp;C2700</f>
        <v>B23z</v>
      </c>
      <c r="E2700" s="847">
        <v>15</v>
      </c>
      <c r="F2700" s="370"/>
      <c r="G2700" s="368"/>
      <c r="H2700" s="368"/>
      <c r="I2700" s="368"/>
      <c r="J2700" s="368"/>
      <c r="K2700" s="370"/>
      <c r="L2700" s="370"/>
      <c r="M2700" s="370"/>
      <c r="N2700" s="850"/>
      <c r="O2700" s="851"/>
      <c r="P2700" s="380"/>
      <c r="Q2700" s="852"/>
      <c r="R2700" s="383"/>
      <c r="S2700" s="361"/>
      <c r="T2700" s="1004"/>
      <c r="U2700" s="1003"/>
      <c r="V2700" s="366"/>
      <c r="W2700" s="366"/>
    </row>
    <row r="2701" spans="1:23">
      <c r="A2701" s="1400" t="s">
        <v>939</v>
      </c>
      <c r="B2701" s="1400"/>
      <c r="C2701" s="1005"/>
      <c r="D2701" s="871"/>
      <c r="E2701" s="1400" t="s">
        <v>177</v>
      </c>
      <c r="F2701" s="1400" t="s">
        <v>18</v>
      </c>
      <c r="G2701" s="1389" t="s">
        <v>19</v>
      </c>
      <c r="H2701" s="1390"/>
      <c r="I2701" s="1389" t="s">
        <v>22</v>
      </c>
      <c r="J2701" s="1390"/>
      <c r="K2701" s="1393" t="s">
        <v>26</v>
      </c>
      <c r="L2701" s="1390"/>
      <c r="M2701" s="1389" t="s">
        <v>392</v>
      </c>
      <c r="N2701" s="1390"/>
      <c r="O2701" s="1389" t="s">
        <v>28</v>
      </c>
      <c r="P2701" s="1393"/>
      <c r="Q2701" s="1390"/>
      <c r="R2701" s="1400" t="s">
        <v>36</v>
      </c>
      <c r="S2701" s="361"/>
      <c r="T2701" s="361">
        <f>MAX(J2705:J2719)-MIN(I2705:I2719)</f>
        <v>6.9444444444444531E-2</v>
      </c>
      <c r="U2701" s="361"/>
      <c r="V2701" s="853" t="str">
        <f t="shared" ref="V2701" si="286">B2705</f>
        <v>A133</v>
      </c>
      <c r="W2701" s="361">
        <f t="shared" ref="W2701" si="287">COUNTIF(K2706:K2720,"&gt;0")</f>
        <v>5</v>
      </c>
    </row>
    <row r="2702" spans="1:23">
      <c r="A2702" s="1401"/>
      <c r="B2702" s="1401"/>
      <c r="C2702" s="1006"/>
      <c r="D2702" s="872"/>
      <c r="E2702" s="1401"/>
      <c r="F2702" s="1401"/>
      <c r="G2702" s="1391"/>
      <c r="H2702" s="1392"/>
      <c r="I2702" s="1391"/>
      <c r="J2702" s="1392"/>
      <c r="K2702" s="1394"/>
      <c r="L2702" s="1392"/>
      <c r="M2702" s="1391"/>
      <c r="N2702" s="1392"/>
      <c r="O2702" s="1391"/>
      <c r="P2702" s="1394"/>
      <c r="Q2702" s="1392"/>
      <c r="R2702" s="1401"/>
      <c r="S2702" s="361"/>
      <c r="T2702" s="361"/>
      <c r="U2702" s="361"/>
      <c r="V2702" s="361"/>
      <c r="W2702" s="361"/>
    </row>
    <row r="2703" spans="1:23">
      <c r="A2703" s="1401"/>
      <c r="B2703" s="1401"/>
      <c r="C2703" s="1006"/>
      <c r="D2703" s="872"/>
      <c r="E2703" s="1401"/>
      <c r="F2703" s="1401"/>
      <c r="G2703" s="1400" t="s">
        <v>20</v>
      </c>
      <c r="H2703" s="1400" t="s">
        <v>21</v>
      </c>
      <c r="I2703" s="1400" t="s">
        <v>361</v>
      </c>
      <c r="J2703" s="1400" t="s">
        <v>353</v>
      </c>
      <c r="K2703" s="1400" t="s">
        <v>23</v>
      </c>
      <c r="L2703" s="1400" t="s">
        <v>24</v>
      </c>
      <c r="M2703" s="1400" t="s">
        <v>27</v>
      </c>
      <c r="N2703" s="1400" t="s">
        <v>178</v>
      </c>
      <c r="O2703" s="1400" t="s">
        <v>1</v>
      </c>
      <c r="P2703" s="1400" t="s">
        <v>29</v>
      </c>
      <c r="Q2703" s="1400" t="s">
        <v>33</v>
      </c>
      <c r="R2703" s="1401"/>
      <c r="S2703" s="361"/>
      <c r="T2703" s="361" t="s">
        <v>39</v>
      </c>
      <c r="U2703" s="362">
        <f>VLOOKUP(B2705,'Thong tin'!$A:$M,13,0)</f>
        <v>1200</v>
      </c>
      <c r="V2703" s="361"/>
      <c r="W2703" s="361"/>
    </row>
    <row r="2704" spans="1:23">
      <c r="A2704" s="1402"/>
      <c r="B2704" s="1402"/>
      <c r="C2704" s="1007"/>
      <c r="D2704" s="873"/>
      <c r="E2704" s="1402"/>
      <c r="F2704" s="1402"/>
      <c r="G2704" s="1402"/>
      <c r="H2704" s="1402"/>
      <c r="I2704" s="1402"/>
      <c r="J2704" s="1402"/>
      <c r="K2704" s="1402"/>
      <c r="L2704" s="1402"/>
      <c r="M2704" s="1402"/>
      <c r="N2704" s="1402"/>
      <c r="O2704" s="1402"/>
      <c r="P2704" s="1402"/>
      <c r="Q2704" s="1402"/>
      <c r="R2704" s="1402"/>
      <c r="S2704" s="361"/>
      <c r="T2704" s="1399" t="s">
        <v>393</v>
      </c>
      <c r="U2704" s="1397">
        <f>VLOOKUP(B2705,DT.NK!$B:$AZ,45,0)</f>
        <v>29.8</v>
      </c>
      <c r="V2704" s="361"/>
      <c r="W2704" s="361"/>
    </row>
    <row r="2705" spans="1:23">
      <c r="A2705" s="1409">
        <f>A2685+1</f>
        <v>136</v>
      </c>
      <c r="B2705" s="1412" t="s">
        <v>696</v>
      </c>
      <c r="C2705" s="1008" t="s">
        <v>983</v>
      </c>
      <c r="D2705" s="874" t="str">
        <f>B2705&amp;C2705</f>
        <v>A133a</v>
      </c>
      <c r="E2705" s="363"/>
      <c r="F2705" s="364"/>
      <c r="G2705" s="364"/>
      <c r="H2705" s="364"/>
      <c r="I2705" s="364"/>
      <c r="J2705" s="364"/>
      <c r="K2705" s="364"/>
      <c r="L2705" s="364"/>
      <c r="M2705" s="674"/>
      <c r="N2705" s="670"/>
      <c r="O2705" s="670">
        <f>U2704</f>
        <v>29.8</v>
      </c>
      <c r="P2705" s="670">
        <f>O2705</f>
        <v>29.8</v>
      </c>
      <c r="Q2705" s="670">
        <v>0</v>
      </c>
      <c r="R2705" s="365"/>
      <c r="S2705" s="366"/>
      <c r="T2705" s="1399"/>
      <c r="U2705" s="1398"/>
      <c r="V2705" s="361"/>
      <c r="W2705" s="361"/>
    </row>
    <row r="2706" spans="1:23">
      <c r="A2706" s="1410"/>
      <c r="B2706" s="1413"/>
      <c r="C2706" s="1009" t="s">
        <v>984</v>
      </c>
      <c r="D2706" s="875" t="str">
        <f>B2705&amp;C2706</f>
        <v>A133b</v>
      </c>
      <c r="E2706" s="367">
        <v>1</v>
      </c>
      <c r="F2706" s="669" t="s">
        <v>1089</v>
      </c>
      <c r="G2706" s="369">
        <v>0.56041666666666667</v>
      </c>
      <c r="H2706" s="368">
        <v>0.59375</v>
      </c>
      <c r="I2706" s="368">
        <v>0.60416666666666663</v>
      </c>
      <c r="J2706" s="368">
        <v>0.60763888888888895</v>
      </c>
      <c r="K2706" s="669">
        <v>9</v>
      </c>
      <c r="L2706" s="669">
        <v>19</v>
      </c>
      <c r="M2706" s="675">
        <v>29.35</v>
      </c>
      <c r="N2706" s="671">
        <f>IF(M2706-P2706&gt;0,M2706-P2706,0)</f>
        <v>2.1500000000000021</v>
      </c>
      <c r="O2706" s="671">
        <f>O2705-K2706/(PI()*(U2703/2000)^2)</f>
        <v>21.842252845405234</v>
      </c>
      <c r="P2706" s="672">
        <v>27.2</v>
      </c>
      <c r="Q2706" s="673">
        <f>ABS(O2706-P2706)</f>
        <v>5.3577471545947652</v>
      </c>
      <c r="R2706" s="375" t="s">
        <v>188</v>
      </c>
      <c r="S2706" s="366"/>
      <c r="T2706" s="376"/>
      <c r="U2706" s="376"/>
      <c r="V2706" s="366"/>
      <c r="W2706" s="366"/>
    </row>
    <row r="2707" spans="1:23">
      <c r="A2707" s="1410"/>
      <c r="B2707" s="1413"/>
      <c r="C2707" s="1009" t="s">
        <v>985</v>
      </c>
      <c r="D2707" s="875" t="str">
        <f>B2705&amp;C2707</f>
        <v>A133c</v>
      </c>
      <c r="E2707" s="367">
        <v>2</v>
      </c>
      <c r="F2707" s="669" t="s">
        <v>1085</v>
      </c>
      <c r="G2707" s="369">
        <v>0.55902777777777779</v>
      </c>
      <c r="H2707" s="368">
        <v>0.60763888888888895</v>
      </c>
      <c r="I2707" s="368">
        <v>0.61458333333333337</v>
      </c>
      <c r="J2707" s="368">
        <v>0.61805555555555558</v>
      </c>
      <c r="K2707" s="669">
        <v>9</v>
      </c>
      <c r="L2707" s="669">
        <v>20</v>
      </c>
      <c r="M2707" s="675">
        <v>26.2</v>
      </c>
      <c r="N2707" s="671">
        <f>IF(M2707-P2707&gt;0,M2707-P2707,0)</f>
        <v>3.8000000000000007</v>
      </c>
      <c r="O2707" s="671">
        <f>O2706-K2707/(PI()*(U2703/2000)^2)</f>
        <v>13.884505690810467</v>
      </c>
      <c r="P2707" s="672">
        <v>22.4</v>
      </c>
      <c r="Q2707" s="673">
        <f>ABS(O2707-P2707)</f>
        <v>8.5154943091895312</v>
      </c>
      <c r="R2707" s="375" t="s">
        <v>188</v>
      </c>
      <c r="S2707" s="366"/>
      <c r="T2707" s="376"/>
      <c r="U2707" s="376"/>
      <c r="V2707" s="366"/>
      <c r="W2707" s="366"/>
    </row>
    <row r="2708" spans="1:23">
      <c r="A2708" s="1410"/>
      <c r="B2708" s="1413"/>
      <c r="C2708" s="1009" t="s">
        <v>986</v>
      </c>
      <c r="D2708" s="875" t="str">
        <f>B2705&amp;C2708</f>
        <v>A133d</v>
      </c>
      <c r="E2708" s="367">
        <v>3</v>
      </c>
      <c r="F2708" s="669" t="s">
        <v>1096</v>
      </c>
      <c r="G2708" s="369">
        <v>0.57986111111111105</v>
      </c>
      <c r="H2708" s="368">
        <v>0.625</v>
      </c>
      <c r="I2708" s="368">
        <v>0.62847222222222221</v>
      </c>
      <c r="J2708" s="368">
        <v>0.63194444444444442</v>
      </c>
      <c r="K2708" s="669">
        <v>9</v>
      </c>
      <c r="L2708" s="669">
        <v>19.5</v>
      </c>
      <c r="M2708" s="675">
        <v>23.05</v>
      </c>
      <c r="N2708" s="671">
        <f t="shared" ref="N2708:N2710" si="288">IF(M2708-P2708&gt;0,M2708-P2708,0)</f>
        <v>3.9499999999999993</v>
      </c>
      <c r="O2708" s="671">
        <f>O2707-K2708/(PI()*(U2703/2000)^2)</f>
        <v>5.9267585362157007</v>
      </c>
      <c r="P2708" s="672">
        <v>19.100000000000001</v>
      </c>
      <c r="Q2708" s="673">
        <f t="shared" ref="Q2708:Q2710" si="289">ABS(O2708-P2708)</f>
        <v>13.173241463784301</v>
      </c>
      <c r="R2708" s="375" t="s">
        <v>188</v>
      </c>
      <c r="S2708" s="366"/>
      <c r="T2708" s="376"/>
      <c r="U2708" s="376"/>
      <c r="V2708" s="366"/>
      <c r="W2708" s="366"/>
    </row>
    <row r="2709" spans="1:23">
      <c r="A2709" s="1410"/>
      <c r="B2709" s="1413"/>
      <c r="C2709" s="1009" t="s">
        <v>987</v>
      </c>
      <c r="D2709" s="875" t="str">
        <f>B2705&amp;C2709</f>
        <v>A133e</v>
      </c>
      <c r="E2709" s="367">
        <v>4</v>
      </c>
      <c r="F2709" s="669" t="s">
        <v>1089</v>
      </c>
      <c r="G2709" s="369">
        <v>0.62916666666666665</v>
      </c>
      <c r="H2709" s="368">
        <v>0.63888888888888895</v>
      </c>
      <c r="I2709" s="368">
        <v>0.64583333333333337</v>
      </c>
      <c r="J2709" s="368">
        <v>0.64930555555555558</v>
      </c>
      <c r="K2709" s="669">
        <v>12</v>
      </c>
      <c r="L2709" s="669">
        <v>19</v>
      </c>
      <c r="M2709" s="675">
        <v>23.05</v>
      </c>
      <c r="N2709" s="671">
        <f t="shared" si="288"/>
        <v>13.55</v>
      </c>
      <c r="O2709" s="671">
        <f>O2708-K2709/(PI()*(U2703/2000)^2)</f>
        <v>-4.6835710032439888</v>
      </c>
      <c r="P2709" s="672">
        <v>9.5</v>
      </c>
      <c r="Q2709" s="673">
        <f t="shared" si="289"/>
        <v>14.183571003243989</v>
      </c>
      <c r="R2709" s="375"/>
      <c r="S2709" s="366"/>
      <c r="T2709" s="376"/>
      <c r="U2709" s="376"/>
      <c r="V2709" s="366"/>
      <c r="W2709" s="366"/>
    </row>
    <row r="2710" spans="1:23">
      <c r="A2710" s="1410"/>
      <c r="B2710" s="1413"/>
      <c r="C2710" s="1009" t="s">
        <v>988</v>
      </c>
      <c r="D2710" s="875" t="str">
        <f>B2705&amp;C2710</f>
        <v>A133f</v>
      </c>
      <c r="E2710" s="367">
        <v>5</v>
      </c>
      <c r="F2710" s="669" t="s">
        <v>1096</v>
      </c>
      <c r="G2710" s="369">
        <v>0.65625</v>
      </c>
      <c r="H2710" s="368">
        <v>0.66666666666666663</v>
      </c>
      <c r="I2710" s="368">
        <v>0.67013888888888884</v>
      </c>
      <c r="J2710" s="368">
        <v>0.67361111111111116</v>
      </c>
      <c r="K2710" s="669">
        <v>3</v>
      </c>
      <c r="L2710" s="669">
        <v>19</v>
      </c>
      <c r="M2710" s="675">
        <v>23.05</v>
      </c>
      <c r="N2710" s="671">
        <f t="shared" si="288"/>
        <v>15.850000000000001</v>
      </c>
      <c r="O2710" s="671">
        <f>O2709-K2710/(PI()*(U2703/2000)^2)</f>
        <v>-7.3361533881089116</v>
      </c>
      <c r="P2710" s="672">
        <v>7.2</v>
      </c>
      <c r="Q2710" s="673">
        <f t="shared" si="289"/>
        <v>14.536153388108911</v>
      </c>
      <c r="R2710" s="375"/>
      <c r="S2710" s="366" t="s">
        <v>190</v>
      </c>
      <c r="T2710" s="376"/>
      <c r="U2710" s="376"/>
      <c r="V2710" s="366"/>
      <c r="W2710" s="366"/>
    </row>
    <row r="2711" spans="1:23">
      <c r="A2711" s="1410"/>
      <c r="B2711" s="1413"/>
      <c r="C2711" s="1009" t="s">
        <v>989</v>
      </c>
      <c r="D2711" s="875" t="str">
        <f>B2705&amp;C2711</f>
        <v>A133g</v>
      </c>
      <c r="E2711" s="367">
        <v>6</v>
      </c>
      <c r="F2711" s="669"/>
      <c r="G2711" s="368"/>
      <c r="H2711" s="368"/>
      <c r="I2711" s="368"/>
      <c r="J2711" s="368"/>
      <c r="K2711" s="370"/>
      <c r="L2711" s="370"/>
      <c r="M2711" s="371"/>
      <c r="N2711" s="671"/>
      <c r="O2711" s="671"/>
      <c r="P2711" s="373"/>
      <c r="Q2711" s="673"/>
      <c r="R2711" s="378"/>
      <c r="S2711" s="366" t="s">
        <v>190</v>
      </c>
      <c r="T2711" s="366"/>
      <c r="U2711" s="366"/>
      <c r="V2711" s="366"/>
      <c r="W2711" s="366"/>
    </row>
    <row r="2712" spans="1:23">
      <c r="A2712" s="1410"/>
      <c r="B2712" s="1413"/>
      <c r="C2712" s="1009" t="s">
        <v>990</v>
      </c>
      <c r="D2712" s="875" t="str">
        <f>B2705&amp;C2712</f>
        <v>A133h</v>
      </c>
      <c r="E2712" s="367">
        <v>7</v>
      </c>
      <c r="F2712" s="669"/>
      <c r="G2712" s="368"/>
      <c r="H2712" s="368"/>
      <c r="I2712" s="368"/>
      <c r="J2712" s="368"/>
      <c r="K2712" s="370"/>
      <c r="L2712" s="370"/>
      <c r="M2712" s="371"/>
      <c r="N2712" s="671"/>
      <c r="O2712" s="671"/>
      <c r="P2712" s="373"/>
      <c r="Q2712" s="673"/>
      <c r="R2712" s="378"/>
      <c r="S2712" s="366" t="s">
        <v>190</v>
      </c>
      <c r="T2712" s="366"/>
      <c r="U2712" s="366"/>
      <c r="V2712" s="366"/>
      <c r="W2712" s="366"/>
    </row>
    <row r="2713" spans="1:23">
      <c r="A2713" s="1410"/>
      <c r="B2713" s="1413"/>
      <c r="C2713" s="1009" t="s">
        <v>991</v>
      </c>
      <c r="D2713" s="875" t="str">
        <f>B2705&amp;C2713</f>
        <v>A133i</v>
      </c>
      <c r="E2713" s="367">
        <v>8</v>
      </c>
      <c r="F2713" s="669"/>
      <c r="G2713" s="368"/>
      <c r="H2713" s="368"/>
      <c r="I2713" s="368"/>
      <c r="J2713" s="368"/>
      <c r="K2713" s="370"/>
      <c r="L2713" s="370"/>
      <c r="M2713" s="371"/>
      <c r="N2713" s="671"/>
      <c r="O2713" s="671"/>
      <c r="P2713" s="373"/>
      <c r="Q2713" s="673"/>
      <c r="R2713" s="378"/>
      <c r="S2713" s="366"/>
      <c r="T2713" s="366"/>
      <c r="U2713" s="366"/>
      <c r="V2713" s="366"/>
      <c r="W2713" s="366"/>
    </row>
    <row r="2714" spans="1:23">
      <c r="A2714" s="1410"/>
      <c r="B2714" s="1413"/>
      <c r="C2714" s="1009" t="s">
        <v>992</v>
      </c>
      <c r="D2714" s="875" t="str">
        <f>B2705&amp;C2714</f>
        <v>A133k</v>
      </c>
      <c r="E2714" s="367">
        <v>9</v>
      </c>
      <c r="F2714" s="370"/>
      <c r="G2714" s="368"/>
      <c r="H2714" s="368"/>
      <c r="I2714" s="368"/>
      <c r="J2714" s="368"/>
      <c r="K2714" s="370"/>
      <c r="L2714" s="370"/>
      <c r="M2714" s="371"/>
      <c r="N2714" s="372"/>
      <c r="O2714" s="372"/>
      <c r="P2714" s="373"/>
      <c r="Q2714" s="374"/>
      <c r="R2714" s="378"/>
      <c r="S2714" s="379"/>
      <c r="T2714" s="366"/>
      <c r="U2714" s="366"/>
      <c r="V2714" s="366"/>
      <c r="W2714" s="366"/>
    </row>
    <row r="2715" spans="1:23">
      <c r="A2715" s="1410"/>
      <c r="B2715" s="1413"/>
      <c r="C2715" s="1009" t="s">
        <v>993</v>
      </c>
      <c r="D2715" s="875" t="str">
        <f>B2705&amp;C2715</f>
        <v>A133l</v>
      </c>
      <c r="E2715" s="367">
        <v>10</v>
      </c>
      <c r="F2715" s="370"/>
      <c r="G2715" s="368"/>
      <c r="H2715" s="368"/>
      <c r="I2715" s="368"/>
      <c r="J2715" s="368"/>
      <c r="K2715" s="370"/>
      <c r="L2715" s="370"/>
      <c r="M2715" s="370"/>
      <c r="N2715" s="372"/>
      <c r="O2715" s="372"/>
      <c r="P2715" s="373"/>
      <c r="Q2715" s="374"/>
      <c r="R2715" s="378"/>
      <c r="S2715" s="379"/>
      <c r="T2715" s="366"/>
      <c r="U2715" s="366"/>
      <c r="V2715" s="366"/>
      <c r="W2715" s="366"/>
    </row>
    <row r="2716" spans="1:23">
      <c r="A2716" s="1410"/>
      <c r="B2716" s="1413"/>
      <c r="C2716" s="1009" t="s">
        <v>994</v>
      </c>
      <c r="D2716" s="875" t="str">
        <f>B2705&amp;C2716</f>
        <v>A133m</v>
      </c>
      <c r="E2716" s="367">
        <v>11</v>
      </c>
      <c r="F2716" s="370"/>
      <c r="G2716" s="368"/>
      <c r="H2716" s="368"/>
      <c r="I2716" s="368"/>
      <c r="J2716" s="368"/>
      <c r="K2716" s="370"/>
      <c r="L2716" s="370"/>
      <c r="M2716" s="370"/>
      <c r="N2716" s="372"/>
      <c r="O2716" s="372"/>
      <c r="P2716" s="380"/>
      <c r="Q2716" s="374"/>
      <c r="R2716" s="381"/>
      <c r="S2716" s="379"/>
      <c r="T2716" s="366"/>
      <c r="U2716" s="366"/>
      <c r="V2716" s="366"/>
      <c r="W2716" s="366"/>
    </row>
    <row r="2717" spans="1:23">
      <c r="A2717" s="1410"/>
      <c r="B2717" s="1413"/>
      <c r="C2717" s="1009" t="s">
        <v>995</v>
      </c>
      <c r="D2717" s="875" t="str">
        <f>B2705&amp;C2717</f>
        <v>A133n</v>
      </c>
      <c r="E2717" s="367">
        <v>12</v>
      </c>
      <c r="F2717" s="370"/>
      <c r="G2717" s="368"/>
      <c r="H2717" s="368"/>
      <c r="I2717" s="368"/>
      <c r="J2717" s="368"/>
      <c r="K2717" s="370"/>
      <c r="L2717" s="370"/>
      <c r="M2717" s="370"/>
      <c r="N2717" s="372"/>
      <c r="O2717" s="372"/>
      <c r="P2717" s="380"/>
      <c r="Q2717" s="374"/>
      <c r="R2717" s="381"/>
      <c r="S2717" s="361"/>
      <c r="T2717" s="361"/>
      <c r="U2717" s="361"/>
      <c r="V2717" s="366"/>
      <c r="W2717" s="366"/>
    </row>
    <row r="2718" spans="1:23">
      <c r="A2718" s="1410"/>
      <c r="B2718" s="1413"/>
      <c r="C2718" s="1009" t="s">
        <v>471</v>
      </c>
      <c r="D2718" s="875" t="str">
        <f>B2705&amp;C2718</f>
        <v>A133x</v>
      </c>
      <c r="E2718" s="367">
        <v>13</v>
      </c>
      <c r="F2718" s="370"/>
      <c r="G2718" s="368"/>
      <c r="H2718" s="368"/>
      <c r="I2718" s="368"/>
      <c r="J2718" s="368"/>
      <c r="K2718" s="370"/>
      <c r="L2718" s="370"/>
      <c r="M2718" s="370"/>
      <c r="N2718" s="382"/>
      <c r="O2718" s="372"/>
      <c r="P2718" s="380"/>
      <c r="Q2718" s="381"/>
      <c r="R2718" s="381"/>
      <c r="S2718" s="361"/>
      <c r="T2718" s="361"/>
      <c r="U2718" s="361"/>
      <c r="V2718" s="366"/>
      <c r="W2718" s="366"/>
    </row>
    <row r="2719" spans="1:23">
      <c r="A2719" s="1410"/>
      <c r="B2719" s="1413"/>
      <c r="C2719" s="1009" t="s">
        <v>732</v>
      </c>
      <c r="D2719" s="875" t="str">
        <f>B2705&amp;C2719</f>
        <v>A133y</v>
      </c>
      <c r="E2719" s="367">
        <v>14</v>
      </c>
      <c r="F2719" s="370"/>
      <c r="G2719" s="368"/>
      <c r="H2719" s="368"/>
      <c r="I2719" s="368"/>
      <c r="J2719" s="368"/>
      <c r="K2719" s="370"/>
      <c r="L2719" s="370"/>
      <c r="M2719" s="370"/>
      <c r="N2719" s="382"/>
      <c r="O2719" s="372"/>
      <c r="P2719" s="380"/>
      <c r="Q2719" s="381"/>
      <c r="R2719" s="381"/>
      <c r="S2719" s="361"/>
      <c r="T2719" s="361"/>
      <c r="U2719" s="362"/>
      <c r="V2719" s="366"/>
      <c r="W2719" s="366"/>
    </row>
    <row r="2720" spans="1:23">
      <c r="A2720" s="1411"/>
      <c r="B2720" s="1414"/>
      <c r="C2720" s="1010" t="s">
        <v>996</v>
      </c>
      <c r="D2720" s="876" t="str">
        <f>B2705&amp;C2720</f>
        <v>A133z</v>
      </c>
      <c r="E2720" s="847">
        <v>15</v>
      </c>
      <c r="F2720" s="370"/>
      <c r="G2720" s="368"/>
      <c r="H2720" s="368"/>
      <c r="I2720" s="368"/>
      <c r="J2720" s="368"/>
      <c r="K2720" s="370"/>
      <c r="L2720" s="370"/>
      <c r="M2720" s="370"/>
      <c r="N2720" s="850"/>
      <c r="O2720" s="851"/>
      <c r="P2720" s="380"/>
      <c r="Q2720" s="852"/>
      <c r="R2720" s="383"/>
      <c r="S2720" s="361"/>
      <c r="T2720" s="1004"/>
      <c r="U2720" s="1003"/>
      <c r="V2720" s="366"/>
      <c r="W2720" s="366"/>
    </row>
    <row r="2721" spans="1:23">
      <c r="A2721" s="1400" t="s">
        <v>939</v>
      </c>
      <c r="B2721" s="1400"/>
      <c r="C2721" s="1005"/>
      <c r="D2721" s="871"/>
      <c r="E2721" s="1400" t="s">
        <v>177</v>
      </c>
      <c r="F2721" s="1400" t="s">
        <v>18</v>
      </c>
      <c r="G2721" s="1389" t="s">
        <v>19</v>
      </c>
      <c r="H2721" s="1390"/>
      <c r="I2721" s="1389" t="s">
        <v>22</v>
      </c>
      <c r="J2721" s="1390"/>
      <c r="K2721" s="1393" t="s">
        <v>26</v>
      </c>
      <c r="L2721" s="1390"/>
      <c r="M2721" s="1389" t="s">
        <v>392</v>
      </c>
      <c r="N2721" s="1390"/>
      <c r="O2721" s="1389" t="s">
        <v>28</v>
      </c>
      <c r="P2721" s="1393"/>
      <c r="Q2721" s="1390"/>
      <c r="R2721" s="1400" t="s">
        <v>36</v>
      </c>
      <c r="S2721" s="361"/>
      <c r="T2721" s="361">
        <f>MAX(J2725:J2739)-MIN(I2725:I2739)</f>
        <v>8.6805555555555469E-2</v>
      </c>
      <c r="U2721" s="361"/>
      <c r="V2721" s="853" t="str">
        <f t="shared" ref="V2721" si="290">B2725</f>
        <v>A70</v>
      </c>
      <c r="W2721" s="361">
        <f t="shared" ref="W2721" si="291">COUNTIF(K2726:K2740,"&gt;0")</f>
        <v>4</v>
      </c>
    </row>
    <row r="2722" spans="1:23">
      <c r="A2722" s="1401"/>
      <c r="B2722" s="1401"/>
      <c r="C2722" s="1006"/>
      <c r="D2722" s="872"/>
      <c r="E2722" s="1401"/>
      <c r="F2722" s="1401"/>
      <c r="G2722" s="1391"/>
      <c r="H2722" s="1392"/>
      <c r="I2722" s="1391"/>
      <c r="J2722" s="1392"/>
      <c r="K2722" s="1394"/>
      <c r="L2722" s="1392"/>
      <c r="M2722" s="1391"/>
      <c r="N2722" s="1392"/>
      <c r="O2722" s="1391"/>
      <c r="P2722" s="1394"/>
      <c r="Q2722" s="1392"/>
      <c r="R2722" s="1401"/>
      <c r="S2722" s="361"/>
      <c r="T2722" s="361"/>
      <c r="U2722" s="361"/>
      <c r="V2722" s="361"/>
      <c r="W2722" s="361"/>
    </row>
    <row r="2723" spans="1:23">
      <c r="A2723" s="1401"/>
      <c r="B2723" s="1401"/>
      <c r="C2723" s="1006"/>
      <c r="D2723" s="872"/>
      <c r="E2723" s="1401"/>
      <c r="F2723" s="1401"/>
      <c r="G2723" s="1400" t="s">
        <v>20</v>
      </c>
      <c r="H2723" s="1400" t="s">
        <v>21</v>
      </c>
      <c r="I2723" s="1400" t="s">
        <v>361</v>
      </c>
      <c r="J2723" s="1400" t="s">
        <v>353</v>
      </c>
      <c r="K2723" s="1400" t="s">
        <v>23</v>
      </c>
      <c r="L2723" s="1400" t="s">
        <v>24</v>
      </c>
      <c r="M2723" s="1400" t="s">
        <v>27</v>
      </c>
      <c r="N2723" s="1400" t="s">
        <v>178</v>
      </c>
      <c r="O2723" s="1400" t="s">
        <v>1</v>
      </c>
      <c r="P2723" s="1400" t="s">
        <v>29</v>
      </c>
      <c r="Q2723" s="1400" t="s">
        <v>33</v>
      </c>
      <c r="R2723" s="1401"/>
      <c r="S2723" s="361"/>
      <c r="T2723" s="361" t="s">
        <v>39</v>
      </c>
      <c r="U2723" s="362">
        <f>VLOOKUP(B2725,'Thong tin'!$A:$M,13,0)</f>
        <v>1200</v>
      </c>
      <c r="V2723" s="361"/>
      <c r="W2723" s="361"/>
    </row>
    <row r="2724" spans="1:23">
      <c r="A2724" s="1402"/>
      <c r="B2724" s="1402"/>
      <c r="C2724" s="1007"/>
      <c r="D2724" s="873"/>
      <c r="E2724" s="1402"/>
      <c r="F2724" s="1402"/>
      <c r="G2724" s="1402"/>
      <c r="H2724" s="1402"/>
      <c r="I2724" s="1402"/>
      <c r="J2724" s="1402"/>
      <c r="K2724" s="1402"/>
      <c r="L2724" s="1402"/>
      <c r="M2724" s="1402"/>
      <c r="N2724" s="1402"/>
      <c r="O2724" s="1402"/>
      <c r="P2724" s="1402"/>
      <c r="Q2724" s="1402"/>
      <c r="R2724" s="1402"/>
      <c r="S2724" s="361"/>
      <c r="T2724" s="1399" t="s">
        <v>393</v>
      </c>
      <c r="U2724" s="1397">
        <f>VLOOKUP(B2725,DT.NK!$B:$AZ,45,0)</f>
        <v>28.15</v>
      </c>
      <c r="V2724" s="361"/>
      <c r="W2724" s="361"/>
    </row>
    <row r="2725" spans="1:23">
      <c r="A2725" s="1409">
        <f>A2705+1</f>
        <v>137</v>
      </c>
      <c r="B2725" s="1412" t="s">
        <v>609</v>
      </c>
      <c r="C2725" s="1008" t="s">
        <v>983</v>
      </c>
      <c r="D2725" s="874" t="str">
        <f>B2725&amp;C2725</f>
        <v>A70a</v>
      </c>
      <c r="E2725" s="363"/>
      <c r="F2725" s="364"/>
      <c r="G2725" s="364"/>
      <c r="H2725" s="364"/>
      <c r="I2725" s="364"/>
      <c r="J2725" s="364"/>
      <c r="K2725" s="364"/>
      <c r="L2725" s="364"/>
      <c r="M2725" s="674"/>
      <c r="N2725" s="670"/>
      <c r="O2725" s="670">
        <f>U2724</f>
        <v>28.15</v>
      </c>
      <c r="P2725" s="670">
        <f>O2725</f>
        <v>28.15</v>
      </c>
      <c r="Q2725" s="670">
        <v>0</v>
      </c>
      <c r="R2725" s="365"/>
      <c r="S2725" s="366"/>
      <c r="T2725" s="1399"/>
      <c r="U2725" s="1398"/>
      <c r="V2725" s="361"/>
      <c r="W2725" s="361"/>
    </row>
    <row r="2726" spans="1:23">
      <c r="A2726" s="1410"/>
      <c r="B2726" s="1413"/>
      <c r="C2726" s="1009" t="s">
        <v>984</v>
      </c>
      <c r="D2726" s="875" t="str">
        <f>B2725&amp;C2726</f>
        <v>A70b</v>
      </c>
      <c r="E2726" s="367">
        <v>1</v>
      </c>
      <c r="F2726" s="669" t="s">
        <v>1085</v>
      </c>
      <c r="G2726" s="369">
        <v>0.79583333333333339</v>
      </c>
      <c r="H2726" s="368">
        <v>0.8125</v>
      </c>
      <c r="I2726" s="368">
        <v>0.81944444444444453</v>
      </c>
      <c r="J2726" s="368">
        <v>0.82291666666666663</v>
      </c>
      <c r="K2726" s="669">
        <v>8</v>
      </c>
      <c r="L2726" s="669">
        <v>19</v>
      </c>
      <c r="M2726" s="675">
        <v>27</v>
      </c>
      <c r="N2726" s="671">
        <f>IF(M2726-P2726&gt;0,M2726-P2726,0)</f>
        <v>2.8000000000000007</v>
      </c>
      <c r="O2726" s="671">
        <f>O2725-K2726/(PI()*(U2723/2000)^2)</f>
        <v>21.076446973693539</v>
      </c>
      <c r="P2726" s="672">
        <v>24.2</v>
      </c>
      <c r="Q2726" s="673">
        <f>ABS(O2726-P2726)</f>
        <v>3.1235530263064604</v>
      </c>
      <c r="R2726" s="375" t="s">
        <v>188</v>
      </c>
      <c r="S2726" s="366"/>
      <c r="T2726" s="376"/>
      <c r="U2726" s="376"/>
      <c r="V2726" s="366"/>
      <c r="W2726" s="366"/>
    </row>
    <row r="2727" spans="1:23">
      <c r="A2727" s="1410"/>
      <c r="B2727" s="1413"/>
      <c r="C2727" s="1009" t="s">
        <v>985</v>
      </c>
      <c r="D2727" s="875" t="str">
        <f>B2725&amp;C2727</f>
        <v>A70c</v>
      </c>
      <c r="E2727" s="367">
        <v>2</v>
      </c>
      <c r="F2727" s="669" t="s">
        <v>1096</v>
      </c>
      <c r="G2727" s="369">
        <v>0.80347222222222225</v>
      </c>
      <c r="H2727" s="368">
        <v>0.82638888888888884</v>
      </c>
      <c r="I2727" s="368">
        <v>0.83124999999999993</v>
      </c>
      <c r="J2727" s="368">
        <v>0.83680555555555547</v>
      </c>
      <c r="K2727" s="669">
        <v>8</v>
      </c>
      <c r="L2727" s="669">
        <v>20</v>
      </c>
      <c r="M2727" s="675">
        <v>25</v>
      </c>
      <c r="N2727" s="671">
        <f>IF(M2727-P2727&gt;0,M2727-P2727,0)</f>
        <v>4.8999999999999986</v>
      </c>
      <c r="O2727" s="671">
        <f>O2726-K2727/(PI()*(U2723/2000)^2)</f>
        <v>14.002893947387079</v>
      </c>
      <c r="P2727" s="672">
        <v>20.100000000000001</v>
      </c>
      <c r="Q2727" s="673">
        <f>ABS(O2727-P2727)</f>
        <v>6.0971060526129222</v>
      </c>
      <c r="R2727" s="375" t="s">
        <v>188</v>
      </c>
      <c r="S2727" s="366"/>
      <c r="T2727" s="376"/>
      <c r="U2727" s="376"/>
      <c r="V2727" s="366"/>
      <c r="W2727" s="366"/>
    </row>
    <row r="2728" spans="1:23">
      <c r="A2728" s="1410"/>
      <c r="B2728" s="1413"/>
      <c r="C2728" s="1009" t="s">
        <v>986</v>
      </c>
      <c r="D2728" s="875" t="str">
        <f>B2725&amp;C2728</f>
        <v>A70d</v>
      </c>
      <c r="E2728" s="367">
        <v>3</v>
      </c>
      <c r="F2728" s="669" t="s">
        <v>1089</v>
      </c>
      <c r="G2728" s="369">
        <v>0.81527777777777777</v>
      </c>
      <c r="H2728" s="368">
        <v>0.84375</v>
      </c>
      <c r="I2728" s="368">
        <v>0.85069444444444453</v>
      </c>
      <c r="J2728" s="368">
        <v>0.85416666666666663</v>
      </c>
      <c r="K2728" s="669">
        <v>8</v>
      </c>
      <c r="L2728" s="669">
        <v>20</v>
      </c>
      <c r="M2728" s="675">
        <v>18.55</v>
      </c>
      <c r="N2728" s="671">
        <f t="shared" ref="N2728:N2729" si="292">IF(M2728-P2728&gt;0,M2728-P2728,0)</f>
        <v>6.3500000000000014</v>
      </c>
      <c r="O2728" s="671">
        <f>O2727-K2728/(PI()*(U2723/2000)^2)</f>
        <v>6.9293409210806196</v>
      </c>
      <c r="P2728" s="672">
        <v>12.2</v>
      </c>
      <c r="Q2728" s="673">
        <f t="shared" ref="Q2728:Q2729" si="293">ABS(O2728-P2728)</f>
        <v>5.2706590789193797</v>
      </c>
      <c r="R2728" s="375"/>
      <c r="S2728" s="366"/>
      <c r="T2728" s="376"/>
      <c r="U2728" s="376"/>
      <c r="V2728" s="366"/>
      <c r="W2728" s="366"/>
    </row>
    <row r="2729" spans="1:23">
      <c r="A2729" s="1410"/>
      <c r="B2729" s="1413"/>
      <c r="C2729" s="1009" t="s">
        <v>987</v>
      </c>
      <c r="D2729" s="875" t="str">
        <f>B2725&amp;C2729</f>
        <v>A70e</v>
      </c>
      <c r="E2729" s="367">
        <v>4</v>
      </c>
      <c r="F2729" s="669" t="s">
        <v>1085</v>
      </c>
      <c r="G2729" s="369">
        <v>0.88124999999999998</v>
      </c>
      <c r="H2729" s="368">
        <v>0.89583333333333337</v>
      </c>
      <c r="I2729" s="368">
        <v>0.90277777777777779</v>
      </c>
      <c r="J2729" s="368">
        <v>0.90625</v>
      </c>
      <c r="K2729" s="669">
        <v>7.5</v>
      </c>
      <c r="L2729" s="669">
        <v>19.5</v>
      </c>
      <c r="M2729" s="675">
        <v>18.55</v>
      </c>
      <c r="N2729" s="671">
        <f t="shared" si="292"/>
        <v>10.350000000000001</v>
      </c>
      <c r="O2729" s="671">
        <f>O2728-K2729/(PI()*(U2723/2000)^2)</f>
        <v>0.29788495891831435</v>
      </c>
      <c r="P2729" s="672">
        <v>8.1999999999999993</v>
      </c>
      <c r="Q2729" s="673">
        <f t="shared" si="293"/>
        <v>7.9021150410816849</v>
      </c>
      <c r="R2729" s="375"/>
      <c r="S2729" s="366"/>
      <c r="T2729" s="376"/>
      <c r="U2729" s="376"/>
      <c r="V2729" s="366"/>
      <c r="W2729" s="366"/>
    </row>
    <row r="2730" spans="1:23">
      <c r="A2730" s="1410"/>
      <c r="B2730" s="1413"/>
      <c r="C2730" s="1009" t="s">
        <v>988</v>
      </c>
      <c r="D2730" s="875" t="str">
        <f>B2725&amp;C2730</f>
        <v>A70f</v>
      </c>
      <c r="E2730" s="367">
        <v>5</v>
      </c>
      <c r="F2730" s="669"/>
      <c r="G2730" s="368"/>
      <c r="H2730" s="368"/>
      <c r="I2730" s="368"/>
      <c r="J2730" s="368"/>
      <c r="K2730" s="370"/>
      <c r="L2730" s="370"/>
      <c r="M2730" s="371"/>
      <c r="N2730" s="671"/>
      <c r="O2730" s="671"/>
      <c r="P2730" s="373"/>
      <c r="Q2730" s="673"/>
      <c r="R2730" s="378"/>
      <c r="S2730" s="366" t="s">
        <v>190</v>
      </c>
      <c r="T2730" s="376"/>
      <c r="U2730" s="376"/>
      <c r="V2730" s="366"/>
      <c r="W2730" s="366"/>
    </row>
    <row r="2731" spans="1:23">
      <c r="A2731" s="1410"/>
      <c r="B2731" s="1413"/>
      <c r="C2731" s="1009" t="s">
        <v>989</v>
      </c>
      <c r="D2731" s="875" t="str">
        <f>B2725&amp;C2731</f>
        <v>A70g</v>
      </c>
      <c r="E2731" s="367">
        <v>6</v>
      </c>
      <c r="F2731" s="669"/>
      <c r="G2731" s="368"/>
      <c r="H2731" s="368"/>
      <c r="I2731" s="368"/>
      <c r="J2731" s="368"/>
      <c r="K2731" s="370"/>
      <c r="L2731" s="370"/>
      <c r="M2731" s="371"/>
      <c r="N2731" s="671"/>
      <c r="O2731" s="671"/>
      <c r="P2731" s="373"/>
      <c r="Q2731" s="673"/>
      <c r="R2731" s="378"/>
      <c r="S2731" s="366" t="s">
        <v>190</v>
      </c>
      <c r="T2731" s="366"/>
      <c r="U2731" s="366"/>
      <c r="V2731" s="366"/>
      <c r="W2731" s="366"/>
    </row>
    <row r="2732" spans="1:23">
      <c r="A2732" s="1410"/>
      <c r="B2732" s="1413"/>
      <c r="C2732" s="1009" t="s">
        <v>990</v>
      </c>
      <c r="D2732" s="875" t="str">
        <f>B2725&amp;C2732</f>
        <v>A70h</v>
      </c>
      <c r="E2732" s="367">
        <v>7</v>
      </c>
      <c r="F2732" s="669"/>
      <c r="G2732" s="368"/>
      <c r="H2732" s="368"/>
      <c r="I2732" s="368"/>
      <c r="J2732" s="368"/>
      <c r="K2732" s="370"/>
      <c r="L2732" s="370"/>
      <c r="M2732" s="371"/>
      <c r="N2732" s="671"/>
      <c r="O2732" s="671"/>
      <c r="P2732" s="373"/>
      <c r="Q2732" s="673"/>
      <c r="R2732" s="378"/>
      <c r="S2732" s="366" t="s">
        <v>190</v>
      </c>
      <c r="T2732" s="366"/>
      <c r="U2732" s="366"/>
      <c r="V2732" s="366"/>
      <c r="W2732" s="366"/>
    </row>
    <row r="2733" spans="1:23">
      <c r="A2733" s="1410"/>
      <c r="B2733" s="1413"/>
      <c r="C2733" s="1009" t="s">
        <v>991</v>
      </c>
      <c r="D2733" s="875" t="str">
        <f>B2725&amp;C2733</f>
        <v>A70i</v>
      </c>
      <c r="E2733" s="367">
        <v>8</v>
      </c>
      <c r="F2733" s="669"/>
      <c r="G2733" s="368"/>
      <c r="H2733" s="368"/>
      <c r="I2733" s="368"/>
      <c r="J2733" s="368"/>
      <c r="K2733" s="370"/>
      <c r="L2733" s="370"/>
      <c r="M2733" s="371"/>
      <c r="N2733" s="671"/>
      <c r="O2733" s="671"/>
      <c r="P2733" s="373"/>
      <c r="Q2733" s="673"/>
      <c r="R2733" s="378"/>
      <c r="S2733" s="366"/>
      <c r="T2733" s="366"/>
      <c r="U2733" s="366"/>
      <c r="V2733" s="366"/>
      <c r="W2733" s="366"/>
    </row>
    <row r="2734" spans="1:23">
      <c r="A2734" s="1410"/>
      <c r="B2734" s="1413"/>
      <c r="C2734" s="1009" t="s">
        <v>992</v>
      </c>
      <c r="D2734" s="875" t="str">
        <f>B2725&amp;C2734</f>
        <v>A70k</v>
      </c>
      <c r="E2734" s="367">
        <v>9</v>
      </c>
      <c r="F2734" s="370"/>
      <c r="G2734" s="368"/>
      <c r="H2734" s="368"/>
      <c r="I2734" s="368"/>
      <c r="J2734" s="368"/>
      <c r="K2734" s="370"/>
      <c r="L2734" s="370"/>
      <c r="M2734" s="371"/>
      <c r="N2734" s="372"/>
      <c r="O2734" s="372"/>
      <c r="P2734" s="373"/>
      <c r="Q2734" s="374"/>
      <c r="R2734" s="378"/>
      <c r="S2734" s="379"/>
      <c r="T2734" s="366"/>
      <c r="U2734" s="366"/>
      <c r="V2734" s="366"/>
      <c r="W2734" s="366"/>
    </row>
    <row r="2735" spans="1:23">
      <c r="A2735" s="1410"/>
      <c r="B2735" s="1413"/>
      <c r="C2735" s="1009" t="s">
        <v>993</v>
      </c>
      <c r="D2735" s="875" t="str">
        <f>B2725&amp;C2735</f>
        <v>A70l</v>
      </c>
      <c r="E2735" s="367">
        <v>10</v>
      </c>
      <c r="F2735" s="370"/>
      <c r="G2735" s="368"/>
      <c r="H2735" s="368"/>
      <c r="I2735" s="368"/>
      <c r="J2735" s="368"/>
      <c r="K2735" s="370"/>
      <c r="L2735" s="370"/>
      <c r="M2735" s="370"/>
      <c r="N2735" s="372"/>
      <c r="O2735" s="372"/>
      <c r="P2735" s="373"/>
      <c r="Q2735" s="374"/>
      <c r="R2735" s="378"/>
      <c r="S2735" s="379"/>
      <c r="T2735" s="366"/>
      <c r="U2735" s="366"/>
      <c r="V2735" s="366"/>
      <c r="W2735" s="366"/>
    </row>
    <row r="2736" spans="1:23">
      <c r="A2736" s="1410"/>
      <c r="B2736" s="1413"/>
      <c r="C2736" s="1009" t="s">
        <v>994</v>
      </c>
      <c r="D2736" s="875" t="str">
        <f>B2725&amp;C2736</f>
        <v>A70m</v>
      </c>
      <c r="E2736" s="367">
        <v>11</v>
      </c>
      <c r="F2736" s="370"/>
      <c r="G2736" s="368"/>
      <c r="H2736" s="368"/>
      <c r="I2736" s="368"/>
      <c r="J2736" s="368"/>
      <c r="K2736" s="370"/>
      <c r="L2736" s="370"/>
      <c r="M2736" s="370"/>
      <c r="N2736" s="372"/>
      <c r="O2736" s="372"/>
      <c r="P2736" s="380"/>
      <c r="Q2736" s="374"/>
      <c r="R2736" s="381"/>
      <c r="S2736" s="379"/>
      <c r="T2736" s="366"/>
      <c r="U2736" s="366"/>
      <c r="V2736" s="366"/>
      <c r="W2736" s="366"/>
    </row>
    <row r="2737" spans="1:23">
      <c r="A2737" s="1410"/>
      <c r="B2737" s="1413"/>
      <c r="C2737" s="1009" t="s">
        <v>995</v>
      </c>
      <c r="D2737" s="875" t="str">
        <f>B2725&amp;C2737</f>
        <v>A70n</v>
      </c>
      <c r="E2737" s="367">
        <v>12</v>
      </c>
      <c r="F2737" s="370"/>
      <c r="G2737" s="368"/>
      <c r="H2737" s="368"/>
      <c r="I2737" s="368"/>
      <c r="J2737" s="368"/>
      <c r="K2737" s="370"/>
      <c r="L2737" s="370"/>
      <c r="M2737" s="370"/>
      <c r="N2737" s="372"/>
      <c r="O2737" s="372"/>
      <c r="P2737" s="380"/>
      <c r="Q2737" s="374"/>
      <c r="R2737" s="381"/>
      <c r="S2737" s="361"/>
      <c r="T2737" s="361"/>
      <c r="U2737" s="361"/>
      <c r="V2737" s="366"/>
      <c r="W2737" s="366"/>
    </row>
    <row r="2738" spans="1:23">
      <c r="A2738" s="1410"/>
      <c r="B2738" s="1413"/>
      <c r="C2738" s="1009" t="s">
        <v>471</v>
      </c>
      <c r="D2738" s="875" t="str">
        <f>B2725&amp;C2738</f>
        <v>A70x</v>
      </c>
      <c r="E2738" s="367">
        <v>13</v>
      </c>
      <c r="F2738" s="370"/>
      <c r="G2738" s="368"/>
      <c r="H2738" s="368"/>
      <c r="I2738" s="368"/>
      <c r="J2738" s="368"/>
      <c r="K2738" s="370"/>
      <c r="L2738" s="370"/>
      <c r="M2738" s="370"/>
      <c r="N2738" s="382"/>
      <c r="O2738" s="372"/>
      <c r="P2738" s="380"/>
      <c r="Q2738" s="381"/>
      <c r="R2738" s="381"/>
      <c r="S2738" s="361"/>
      <c r="T2738" s="361"/>
      <c r="U2738" s="361"/>
      <c r="V2738" s="366"/>
      <c r="W2738" s="366"/>
    </row>
    <row r="2739" spans="1:23">
      <c r="A2739" s="1410"/>
      <c r="B2739" s="1413"/>
      <c r="C2739" s="1009" t="s">
        <v>732</v>
      </c>
      <c r="D2739" s="875" t="str">
        <f>B2725&amp;C2739</f>
        <v>A70y</v>
      </c>
      <c r="E2739" s="367">
        <v>14</v>
      </c>
      <c r="F2739" s="370"/>
      <c r="G2739" s="368"/>
      <c r="H2739" s="368"/>
      <c r="I2739" s="368"/>
      <c r="J2739" s="368"/>
      <c r="K2739" s="370"/>
      <c r="L2739" s="370"/>
      <c r="M2739" s="370"/>
      <c r="N2739" s="382"/>
      <c r="O2739" s="372"/>
      <c r="P2739" s="380"/>
      <c r="Q2739" s="381"/>
      <c r="R2739" s="381"/>
      <c r="S2739" s="361"/>
      <c r="T2739" s="361"/>
      <c r="U2739" s="362"/>
      <c r="V2739" s="366"/>
      <c r="W2739" s="366"/>
    </row>
    <row r="2740" spans="1:23">
      <c r="A2740" s="1411"/>
      <c r="B2740" s="1414"/>
      <c r="C2740" s="1010" t="s">
        <v>996</v>
      </c>
      <c r="D2740" s="876" t="str">
        <f>B2725&amp;C2740</f>
        <v>A70z</v>
      </c>
      <c r="E2740" s="847">
        <v>15</v>
      </c>
      <c r="F2740" s="370"/>
      <c r="G2740" s="368"/>
      <c r="H2740" s="368"/>
      <c r="I2740" s="368"/>
      <c r="J2740" s="368"/>
      <c r="K2740" s="370"/>
      <c r="L2740" s="370"/>
      <c r="M2740" s="370"/>
      <c r="N2740" s="850"/>
      <c r="O2740" s="851"/>
      <c r="P2740" s="380"/>
      <c r="Q2740" s="852"/>
      <c r="R2740" s="383"/>
      <c r="S2740" s="361"/>
      <c r="T2740" s="1004"/>
      <c r="U2740" s="1003"/>
      <c r="V2740" s="366"/>
      <c r="W2740" s="366"/>
    </row>
    <row r="2741" spans="1:23">
      <c r="A2741" s="1400" t="s">
        <v>939</v>
      </c>
      <c r="B2741" s="1400"/>
      <c r="C2741" s="1034"/>
      <c r="D2741" s="871"/>
      <c r="E2741" s="1400" t="s">
        <v>177</v>
      </c>
      <c r="F2741" s="1400" t="s">
        <v>18</v>
      </c>
      <c r="G2741" s="1389" t="s">
        <v>19</v>
      </c>
      <c r="H2741" s="1390"/>
      <c r="I2741" s="1389" t="s">
        <v>22</v>
      </c>
      <c r="J2741" s="1390"/>
      <c r="K2741" s="1393" t="s">
        <v>26</v>
      </c>
      <c r="L2741" s="1390"/>
      <c r="M2741" s="1389" t="s">
        <v>392</v>
      </c>
      <c r="N2741" s="1390"/>
      <c r="O2741" s="1389" t="s">
        <v>28</v>
      </c>
      <c r="P2741" s="1393"/>
      <c r="Q2741" s="1390"/>
      <c r="R2741" s="1400" t="s">
        <v>36</v>
      </c>
      <c r="S2741" s="361"/>
      <c r="T2741" s="361">
        <f>MAX(J2745:J2759)-MIN(I2745:I2759)</f>
        <v>2.4305555555555469E-2</v>
      </c>
      <c r="U2741" s="361"/>
      <c r="V2741" s="853" t="str">
        <f t="shared" ref="V2741" si="294">B2745</f>
        <v>A79</v>
      </c>
      <c r="W2741" s="361">
        <f t="shared" ref="W2741" si="295">COUNTIF(K2746:K2760,"&gt;0")</f>
        <v>3</v>
      </c>
    </row>
    <row r="2742" spans="1:23">
      <c r="A2742" s="1401"/>
      <c r="B2742" s="1401"/>
      <c r="C2742" s="1035"/>
      <c r="D2742" s="872"/>
      <c r="E2742" s="1401"/>
      <c r="F2742" s="1401"/>
      <c r="G2742" s="1391"/>
      <c r="H2742" s="1392"/>
      <c r="I2742" s="1391"/>
      <c r="J2742" s="1392"/>
      <c r="K2742" s="1394"/>
      <c r="L2742" s="1392"/>
      <c r="M2742" s="1391"/>
      <c r="N2742" s="1392"/>
      <c r="O2742" s="1391"/>
      <c r="P2742" s="1394"/>
      <c r="Q2742" s="1392"/>
      <c r="R2742" s="1401"/>
      <c r="S2742" s="361"/>
      <c r="T2742" s="361"/>
      <c r="U2742" s="361"/>
      <c r="V2742" s="361"/>
      <c r="W2742" s="361"/>
    </row>
    <row r="2743" spans="1:23">
      <c r="A2743" s="1401"/>
      <c r="B2743" s="1401"/>
      <c r="C2743" s="1035"/>
      <c r="D2743" s="872"/>
      <c r="E2743" s="1401"/>
      <c r="F2743" s="1401"/>
      <c r="G2743" s="1400" t="s">
        <v>20</v>
      </c>
      <c r="H2743" s="1400" t="s">
        <v>21</v>
      </c>
      <c r="I2743" s="1400" t="s">
        <v>361</v>
      </c>
      <c r="J2743" s="1400" t="s">
        <v>353</v>
      </c>
      <c r="K2743" s="1400" t="s">
        <v>23</v>
      </c>
      <c r="L2743" s="1400" t="s">
        <v>24</v>
      </c>
      <c r="M2743" s="1400" t="s">
        <v>27</v>
      </c>
      <c r="N2743" s="1400" t="s">
        <v>178</v>
      </c>
      <c r="O2743" s="1400" t="s">
        <v>1</v>
      </c>
      <c r="P2743" s="1400" t="s">
        <v>29</v>
      </c>
      <c r="Q2743" s="1400" t="s">
        <v>33</v>
      </c>
      <c r="R2743" s="1401"/>
      <c r="S2743" s="361"/>
      <c r="T2743" s="361" t="s">
        <v>39</v>
      </c>
      <c r="U2743" s="362">
        <f>VLOOKUP(B2745,'Thong tin'!$A:$M,13,0)</f>
        <v>1200</v>
      </c>
      <c r="V2743" s="361"/>
      <c r="W2743" s="361"/>
    </row>
    <row r="2744" spans="1:23">
      <c r="A2744" s="1402"/>
      <c r="B2744" s="1402"/>
      <c r="C2744" s="1036"/>
      <c r="D2744" s="873"/>
      <c r="E2744" s="1402"/>
      <c r="F2744" s="1402"/>
      <c r="G2744" s="1402"/>
      <c r="H2744" s="1402"/>
      <c r="I2744" s="1402"/>
      <c r="J2744" s="1402"/>
      <c r="K2744" s="1402"/>
      <c r="L2744" s="1402"/>
      <c r="M2744" s="1402"/>
      <c r="N2744" s="1402"/>
      <c r="O2744" s="1402"/>
      <c r="P2744" s="1402"/>
      <c r="Q2744" s="1402"/>
      <c r="R2744" s="1402"/>
      <c r="S2744" s="361"/>
      <c r="T2744" s="1399" t="s">
        <v>393</v>
      </c>
      <c r="U2744" s="1397">
        <f>VLOOKUP(B2745,DT.NK!$B:$AZ,45,0)</f>
        <v>28.2</v>
      </c>
      <c r="V2744" s="361"/>
      <c r="W2744" s="361"/>
    </row>
    <row r="2745" spans="1:23">
      <c r="A2745" s="1409">
        <f>A2725+1</f>
        <v>138</v>
      </c>
      <c r="B2745" s="1412" t="s">
        <v>653</v>
      </c>
      <c r="C2745" s="1037" t="s">
        <v>983</v>
      </c>
      <c r="D2745" s="874" t="str">
        <f>B2745&amp;C2745</f>
        <v>A79a</v>
      </c>
      <c r="E2745" s="363"/>
      <c r="F2745" s="364"/>
      <c r="G2745" s="364"/>
      <c r="H2745" s="364"/>
      <c r="I2745" s="364"/>
      <c r="J2745" s="364"/>
      <c r="K2745" s="364"/>
      <c r="L2745" s="364"/>
      <c r="M2745" s="674"/>
      <c r="N2745" s="670"/>
      <c r="O2745" s="670">
        <f>U2744</f>
        <v>28.2</v>
      </c>
      <c r="P2745" s="670">
        <f>O2745</f>
        <v>28.2</v>
      </c>
      <c r="Q2745" s="670">
        <v>0</v>
      </c>
      <c r="R2745" s="365"/>
      <c r="S2745" s="366"/>
      <c r="T2745" s="1399"/>
      <c r="U2745" s="1398"/>
      <c r="V2745" s="361"/>
      <c r="W2745" s="361"/>
    </row>
    <row r="2746" spans="1:23">
      <c r="A2746" s="1410"/>
      <c r="B2746" s="1413"/>
      <c r="C2746" s="1038" t="s">
        <v>984</v>
      </c>
      <c r="D2746" s="875" t="str">
        <f>B2745&amp;C2746</f>
        <v>A79b</v>
      </c>
      <c r="E2746" s="367">
        <v>1</v>
      </c>
      <c r="F2746" s="669" t="s">
        <v>1085</v>
      </c>
      <c r="G2746" s="369">
        <v>0.64097222222222217</v>
      </c>
      <c r="H2746" s="368">
        <v>0.66666666666666663</v>
      </c>
      <c r="I2746" s="368">
        <v>0.67361111111111116</v>
      </c>
      <c r="J2746" s="368">
        <v>0.67708333333333337</v>
      </c>
      <c r="K2746" s="669">
        <v>9</v>
      </c>
      <c r="L2746" s="669">
        <v>19</v>
      </c>
      <c r="M2746" s="675">
        <v>27.2</v>
      </c>
      <c r="N2746" s="671">
        <f>IF(M2746-P2746&gt;0,M2746-P2746,0)</f>
        <v>3.5</v>
      </c>
      <c r="O2746" s="671">
        <f>O2745-K2746/(PI()*(U2743/2000)^2)</f>
        <v>20.242252845405233</v>
      </c>
      <c r="P2746" s="672">
        <v>23.7</v>
      </c>
      <c r="Q2746" s="673">
        <f>ABS(O2746-P2746)</f>
        <v>3.4577471545947667</v>
      </c>
      <c r="R2746" s="375" t="s">
        <v>188</v>
      </c>
      <c r="S2746" s="366"/>
      <c r="T2746" s="376"/>
      <c r="U2746" s="376"/>
      <c r="V2746" s="366"/>
      <c r="W2746" s="366"/>
    </row>
    <row r="2747" spans="1:23">
      <c r="A2747" s="1410"/>
      <c r="B2747" s="1413"/>
      <c r="C2747" s="1038" t="s">
        <v>985</v>
      </c>
      <c r="D2747" s="875" t="str">
        <f>B2745&amp;C2747</f>
        <v>A79c</v>
      </c>
      <c r="E2747" s="367">
        <v>2</v>
      </c>
      <c r="F2747" s="669" t="s">
        <v>1089</v>
      </c>
      <c r="G2747" s="369">
        <v>0.64722222222222225</v>
      </c>
      <c r="H2747" s="368">
        <v>0.67013888888888884</v>
      </c>
      <c r="I2747" s="368">
        <v>0.68402777777777779</v>
      </c>
      <c r="J2747" s="368">
        <v>0.6875</v>
      </c>
      <c r="K2747" s="669">
        <v>9</v>
      </c>
      <c r="L2747" s="669">
        <v>20</v>
      </c>
      <c r="M2747" s="675">
        <v>18.899999999999999</v>
      </c>
      <c r="N2747" s="671">
        <f>IF(M2747-P2747&gt;0,M2747-P2747,0)</f>
        <v>2.8999999999999986</v>
      </c>
      <c r="O2747" s="671">
        <f>O2746-K2747/(PI()*(U2743/2000)^2)</f>
        <v>12.284505690810466</v>
      </c>
      <c r="P2747" s="672">
        <v>16</v>
      </c>
      <c r="Q2747" s="673">
        <f>ABS(O2747-P2747)</f>
        <v>3.7154943091895341</v>
      </c>
      <c r="R2747" s="375" t="s">
        <v>188</v>
      </c>
      <c r="S2747" s="366"/>
      <c r="T2747" s="376"/>
      <c r="U2747" s="376"/>
      <c r="V2747" s="366"/>
      <c r="W2747" s="366"/>
    </row>
    <row r="2748" spans="1:23">
      <c r="A2748" s="1410"/>
      <c r="B2748" s="1413"/>
      <c r="C2748" s="1038" t="s">
        <v>986</v>
      </c>
      <c r="D2748" s="875" t="str">
        <f>B2745&amp;C2748</f>
        <v>A79d</v>
      </c>
      <c r="E2748" s="367">
        <v>3</v>
      </c>
      <c r="F2748" s="669" t="s">
        <v>1091</v>
      </c>
      <c r="G2748" s="369">
        <v>0.65277777777777779</v>
      </c>
      <c r="H2748" s="368">
        <v>0.67708333333333337</v>
      </c>
      <c r="I2748" s="368">
        <v>0.69444444444444453</v>
      </c>
      <c r="J2748" s="368">
        <v>0.69791666666666663</v>
      </c>
      <c r="K2748" s="669">
        <v>9</v>
      </c>
      <c r="L2748" s="669">
        <v>19</v>
      </c>
      <c r="M2748" s="675">
        <v>12.6</v>
      </c>
      <c r="N2748" s="671">
        <f t="shared" ref="N2748" si="296">IF(M2748-P2748&gt;0,M2748-P2748,0)</f>
        <v>4.1999999999999993</v>
      </c>
      <c r="O2748" s="671">
        <f>O2747-K2748/(PI()*(U2743/2000)^2)</f>
        <v>4.3267585362156993</v>
      </c>
      <c r="P2748" s="672">
        <v>8.4</v>
      </c>
      <c r="Q2748" s="673">
        <f t="shared" ref="Q2748" si="297">ABS(O2748-P2748)</f>
        <v>4.0732414637843011</v>
      </c>
      <c r="R2748" s="375" t="s">
        <v>188</v>
      </c>
      <c r="S2748" s="366"/>
      <c r="T2748" s="376"/>
      <c r="U2748" s="376"/>
      <c r="V2748" s="366"/>
      <c r="W2748" s="366"/>
    </row>
    <row r="2749" spans="1:23">
      <c r="A2749" s="1410"/>
      <c r="B2749" s="1413"/>
      <c r="C2749" s="1038" t="s">
        <v>987</v>
      </c>
      <c r="D2749" s="875" t="str">
        <f>B2745&amp;C2749</f>
        <v>A79e</v>
      </c>
      <c r="E2749" s="367">
        <v>4</v>
      </c>
      <c r="F2749" s="669"/>
      <c r="G2749" s="368"/>
      <c r="H2749" s="368"/>
      <c r="I2749" s="368"/>
      <c r="J2749" s="368"/>
      <c r="K2749" s="370"/>
      <c r="L2749" s="370"/>
      <c r="M2749" s="371"/>
      <c r="N2749" s="671"/>
      <c r="O2749" s="671"/>
      <c r="P2749" s="373"/>
      <c r="Q2749" s="673"/>
      <c r="R2749" s="378"/>
      <c r="S2749" s="366"/>
      <c r="T2749" s="376"/>
      <c r="U2749" s="376"/>
      <c r="V2749" s="366"/>
      <c r="W2749" s="366"/>
    </row>
    <row r="2750" spans="1:23">
      <c r="A2750" s="1410"/>
      <c r="B2750" s="1413"/>
      <c r="C2750" s="1038" t="s">
        <v>988</v>
      </c>
      <c r="D2750" s="875" t="str">
        <f>B2745&amp;C2750</f>
        <v>A79f</v>
      </c>
      <c r="E2750" s="367">
        <v>5</v>
      </c>
      <c r="F2750" s="669"/>
      <c r="G2750" s="368"/>
      <c r="H2750" s="368"/>
      <c r="I2750" s="368"/>
      <c r="J2750" s="368"/>
      <c r="K2750" s="370"/>
      <c r="L2750" s="370"/>
      <c r="M2750" s="371"/>
      <c r="N2750" s="671"/>
      <c r="O2750" s="671"/>
      <c r="P2750" s="373"/>
      <c r="Q2750" s="673"/>
      <c r="R2750" s="378"/>
      <c r="S2750" s="366" t="s">
        <v>190</v>
      </c>
      <c r="T2750" s="376"/>
      <c r="U2750" s="376"/>
      <c r="V2750" s="366"/>
      <c r="W2750" s="366"/>
    </row>
    <row r="2751" spans="1:23">
      <c r="A2751" s="1410"/>
      <c r="B2751" s="1413"/>
      <c r="C2751" s="1038" t="s">
        <v>989</v>
      </c>
      <c r="D2751" s="875" t="str">
        <f>B2745&amp;C2751</f>
        <v>A79g</v>
      </c>
      <c r="E2751" s="367">
        <v>6</v>
      </c>
      <c r="F2751" s="669"/>
      <c r="G2751" s="368"/>
      <c r="H2751" s="368"/>
      <c r="I2751" s="368"/>
      <c r="J2751" s="368"/>
      <c r="K2751" s="370"/>
      <c r="L2751" s="370"/>
      <c r="M2751" s="371"/>
      <c r="N2751" s="671"/>
      <c r="O2751" s="671"/>
      <c r="P2751" s="373"/>
      <c r="Q2751" s="673"/>
      <c r="R2751" s="378"/>
      <c r="S2751" s="366" t="s">
        <v>190</v>
      </c>
      <c r="T2751" s="366"/>
      <c r="U2751" s="366"/>
      <c r="V2751" s="366"/>
      <c r="W2751" s="366"/>
    </row>
    <row r="2752" spans="1:23">
      <c r="A2752" s="1410"/>
      <c r="B2752" s="1413"/>
      <c r="C2752" s="1038" t="s">
        <v>990</v>
      </c>
      <c r="D2752" s="875" t="str">
        <f>B2745&amp;C2752</f>
        <v>A79h</v>
      </c>
      <c r="E2752" s="367">
        <v>7</v>
      </c>
      <c r="F2752" s="669"/>
      <c r="G2752" s="368"/>
      <c r="H2752" s="368"/>
      <c r="I2752" s="368"/>
      <c r="J2752" s="368"/>
      <c r="K2752" s="370"/>
      <c r="L2752" s="370"/>
      <c r="M2752" s="371"/>
      <c r="N2752" s="671"/>
      <c r="O2752" s="671"/>
      <c r="P2752" s="373"/>
      <c r="Q2752" s="673"/>
      <c r="R2752" s="378"/>
      <c r="S2752" s="366" t="s">
        <v>190</v>
      </c>
      <c r="T2752" s="366"/>
      <c r="U2752" s="366"/>
      <c r="V2752" s="366"/>
      <c r="W2752" s="366"/>
    </row>
    <row r="2753" spans="1:23">
      <c r="A2753" s="1410"/>
      <c r="B2753" s="1413"/>
      <c r="C2753" s="1038" t="s">
        <v>991</v>
      </c>
      <c r="D2753" s="875" t="str">
        <f>B2745&amp;C2753</f>
        <v>A79i</v>
      </c>
      <c r="E2753" s="367">
        <v>8</v>
      </c>
      <c r="F2753" s="669"/>
      <c r="G2753" s="368"/>
      <c r="H2753" s="368"/>
      <c r="I2753" s="368"/>
      <c r="J2753" s="368"/>
      <c r="K2753" s="370"/>
      <c r="L2753" s="370"/>
      <c r="M2753" s="371"/>
      <c r="N2753" s="671"/>
      <c r="O2753" s="671"/>
      <c r="P2753" s="373"/>
      <c r="Q2753" s="673"/>
      <c r="R2753" s="378"/>
      <c r="S2753" s="366"/>
      <c r="T2753" s="366"/>
      <c r="U2753" s="366"/>
      <c r="V2753" s="366"/>
      <c r="W2753" s="366"/>
    </row>
    <row r="2754" spans="1:23">
      <c r="A2754" s="1410"/>
      <c r="B2754" s="1413"/>
      <c r="C2754" s="1038" t="s">
        <v>992</v>
      </c>
      <c r="D2754" s="875" t="str">
        <f>B2745&amp;C2754</f>
        <v>A79k</v>
      </c>
      <c r="E2754" s="367">
        <v>9</v>
      </c>
      <c r="F2754" s="370"/>
      <c r="G2754" s="368"/>
      <c r="H2754" s="368"/>
      <c r="I2754" s="368"/>
      <c r="J2754" s="368"/>
      <c r="K2754" s="370"/>
      <c r="L2754" s="370"/>
      <c r="M2754" s="371"/>
      <c r="N2754" s="372"/>
      <c r="O2754" s="372"/>
      <c r="P2754" s="373"/>
      <c r="Q2754" s="374"/>
      <c r="R2754" s="378"/>
      <c r="S2754" s="379"/>
      <c r="T2754" s="366"/>
      <c r="U2754" s="366"/>
      <c r="V2754" s="366"/>
      <c r="W2754" s="366"/>
    </row>
    <row r="2755" spans="1:23">
      <c r="A2755" s="1410"/>
      <c r="B2755" s="1413"/>
      <c r="C2755" s="1038" t="s">
        <v>993</v>
      </c>
      <c r="D2755" s="875" t="str">
        <f>B2745&amp;C2755</f>
        <v>A79l</v>
      </c>
      <c r="E2755" s="367">
        <v>10</v>
      </c>
      <c r="F2755" s="370"/>
      <c r="G2755" s="368"/>
      <c r="H2755" s="368"/>
      <c r="I2755" s="368"/>
      <c r="J2755" s="368"/>
      <c r="K2755" s="370"/>
      <c r="L2755" s="370"/>
      <c r="M2755" s="370"/>
      <c r="N2755" s="372"/>
      <c r="O2755" s="372"/>
      <c r="P2755" s="373"/>
      <c r="Q2755" s="374"/>
      <c r="R2755" s="378"/>
      <c r="S2755" s="379"/>
      <c r="T2755" s="366"/>
      <c r="U2755" s="366"/>
      <c r="V2755" s="366"/>
      <c r="W2755" s="366"/>
    </row>
    <row r="2756" spans="1:23">
      <c r="A2756" s="1410"/>
      <c r="B2756" s="1413"/>
      <c r="C2756" s="1038" t="s">
        <v>994</v>
      </c>
      <c r="D2756" s="875" t="str">
        <f>B2745&amp;C2756</f>
        <v>A79m</v>
      </c>
      <c r="E2756" s="367">
        <v>11</v>
      </c>
      <c r="F2756" s="370"/>
      <c r="G2756" s="368"/>
      <c r="H2756" s="368"/>
      <c r="I2756" s="368"/>
      <c r="J2756" s="368"/>
      <c r="K2756" s="370"/>
      <c r="L2756" s="370"/>
      <c r="M2756" s="370"/>
      <c r="N2756" s="372"/>
      <c r="O2756" s="372"/>
      <c r="P2756" s="380"/>
      <c r="Q2756" s="374"/>
      <c r="R2756" s="381"/>
      <c r="S2756" s="379"/>
      <c r="T2756" s="366"/>
      <c r="U2756" s="366"/>
      <c r="V2756" s="366"/>
      <c r="W2756" s="366"/>
    </row>
    <row r="2757" spans="1:23">
      <c r="A2757" s="1410"/>
      <c r="B2757" s="1413"/>
      <c r="C2757" s="1038" t="s">
        <v>995</v>
      </c>
      <c r="D2757" s="875" t="str">
        <f>B2745&amp;C2757</f>
        <v>A79n</v>
      </c>
      <c r="E2757" s="367">
        <v>12</v>
      </c>
      <c r="F2757" s="370"/>
      <c r="G2757" s="368"/>
      <c r="H2757" s="368"/>
      <c r="I2757" s="368"/>
      <c r="J2757" s="368"/>
      <c r="K2757" s="370"/>
      <c r="L2757" s="370"/>
      <c r="M2757" s="370"/>
      <c r="N2757" s="372"/>
      <c r="O2757" s="372"/>
      <c r="P2757" s="380"/>
      <c r="Q2757" s="374"/>
      <c r="R2757" s="381"/>
      <c r="S2757" s="361"/>
      <c r="T2757" s="361"/>
      <c r="U2757" s="361"/>
      <c r="V2757" s="366"/>
      <c r="W2757" s="366"/>
    </row>
    <row r="2758" spans="1:23">
      <c r="A2758" s="1410"/>
      <c r="B2758" s="1413"/>
      <c r="C2758" s="1038" t="s">
        <v>471</v>
      </c>
      <c r="D2758" s="875" t="str">
        <f>B2745&amp;C2758</f>
        <v>A79x</v>
      </c>
      <c r="E2758" s="367">
        <v>13</v>
      </c>
      <c r="F2758" s="370"/>
      <c r="G2758" s="368"/>
      <c r="H2758" s="368"/>
      <c r="I2758" s="368"/>
      <c r="J2758" s="368"/>
      <c r="K2758" s="370"/>
      <c r="L2758" s="370"/>
      <c r="M2758" s="370"/>
      <c r="N2758" s="382"/>
      <c r="O2758" s="372"/>
      <c r="P2758" s="380"/>
      <c r="Q2758" s="381"/>
      <c r="R2758" s="381"/>
      <c r="S2758" s="361"/>
      <c r="T2758" s="361"/>
      <c r="U2758" s="361"/>
      <c r="V2758" s="366"/>
      <c r="W2758" s="366"/>
    </row>
    <row r="2759" spans="1:23">
      <c r="A2759" s="1410"/>
      <c r="B2759" s="1413"/>
      <c r="C2759" s="1038" t="s">
        <v>732</v>
      </c>
      <c r="D2759" s="875" t="str">
        <f>B2745&amp;C2759</f>
        <v>A79y</v>
      </c>
      <c r="E2759" s="367">
        <v>14</v>
      </c>
      <c r="F2759" s="370"/>
      <c r="G2759" s="368"/>
      <c r="H2759" s="368"/>
      <c r="I2759" s="368"/>
      <c r="J2759" s="368"/>
      <c r="K2759" s="370"/>
      <c r="L2759" s="370"/>
      <c r="M2759" s="370"/>
      <c r="N2759" s="382"/>
      <c r="O2759" s="372"/>
      <c r="P2759" s="380"/>
      <c r="Q2759" s="381"/>
      <c r="R2759" s="381"/>
      <c r="S2759" s="361"/>
      <c r="T2759" s="361"/>
      <c r="U2759" s="362"/>
      <c r="V2759" s="366"/>
      <c r="W2759" s="366"/>
    </row>
    <row r="2760" spans="1:23">
      <c r="A2760" s="1411"/>
      <c r="B2760" s="1414"/>
      <c r="C2760" s="1039" t="s">
        <v>996</v>
      </c>
      <c r="D2760" s="876" t="str">
        <f>B2745&amp;C2760</f>
        <v>A79z</v>
      </c>
      <c r="E2760" s="847">
        <v>15</v>
      </c>
      <c r="F2760" s="370"/>
      <c r="G2760" s="368"/>
      <c r="H2760" s="368"/>
      <c r="I2760" s="368"/>
      <c r="J2760" s="368"/>
      <c r="K2760" s="370"/>
      <c r="L2760" s="370"/>
      <c r="M2760" s="370"/>
      <c r="N2760" s="850"/>
      <c r="O2760" s="851"/>
      <c r="P2760" s="380"/>
      <c r="Q2760" s="852"/>
      <c r="R2760" s="383"/>
      <c r="S2760" s="361"/>
      <c r="T2760" s="1033"/>
      <c r="U2760" s="1032"/>
      <c r="V2760" s="366"/>
      <c r="W2760" s="366"/>
    </row>
    <row r="2761" spans="1:23">
      <c r="A2761" s="1400" t="s">
        <v>939</v>
      </c>
      <c r="B2761" s="1400"/>
      <c r="C2761" s="1034"/>
      <c r="D2761" s="871"/>
      <c r="E2761" s="1400" t="s">
        <v>177</v>
      </c>
      <c r="F2761" s="1400" t="s">
        <v>18</v>
      </c>
      <c r="G2761" s="1389" t="s">
        <v>19</v>
      </c>
      <c r="H2761" s="1390"/>
      <c r="I2761" s="1389" t="s">
        <v>22</v>
      </c>
      <c r="J2761" s="1390"/>
      <c r="K2761" s="1393" t="s">
        <v>26</v>
      </c>
      <c r="L2761" s="1390"/>
      <c r="M2761" s="1389" t="s">
        <v>392</v>
      </c>
      <c r="N2761" s="1390"/>
      <c r="O2761" s="1389" t="s">
        <v>28</v>
      </c>
      <c r="P2761" s="1393"/>
      <c r="Q2761" s="1390"/>
      <c r="R2761" s="1400" t="s">
        <v>36</v>
      </c>
      <c r="S2761" s="361"/>
      <c r="T2761" s="361">
        <f>MAX(J2765:J2779)-MIN(I2765:I2779)</f>
        <v>8.6805555555555636E-2</v>
      </c>
      <c r="U2761" s="361"/>
      <c r="V2761" s="853" t="str">
        <f t="shared" ref="V2761" si="298">B2765</f>
        <v>A72</v>
      </c>
      <c r="W2761" s="361">
        <f t="shared" ref="W2761" si="299">COUNTIF(K2766:K2780,"&gt;0")</f>
        <v>5</v>
      </c>
    </row>
    <row r="2762" spans="1:23">
      <c r="A2762" s="1401"/>
      <c r="B2762" s="1401"/>
      <c r="C2762" s="1035"/>
      <c r="D2762" s="872"/>
      <c r="E2762" s="1401"/>
      <c r="F2762" s="1401"/>
      <c r="G2762" s="1391"/>
      <c r="H2762" s="1392"/>
      <c r="I2762" s="1391"/>
      <c r="J2762" s="1392"/>
      <c r="K2762" s="1394"/>
      <c r="L2762" s="1392"/>
      <c r="M2762" s="1391"/>
      <c r="N2762" s="1392"/>
      <c r="O2762" s="1391"/>
      <c r="P2762" s="1394"/>
      <c r="Q2762" s="1392"/>
      <c r="R2762" s="1401"/>
      <c r="S2762" s="361"/>
      <c r="T2762" s="361"/>
      <c r="U2762" s="361"/>
      <c r="V2762" s="361"/>
      <c r="W2762" s="361"/>
    </row>
    <row r="2763" spans="1:23">
      <c r="A2763" s="1401"/>
      <c r="B2763" s="1401"/>
      <c r="C2763" s="1035"/>
      <c r="D2763" s="872"/>
      <c r="E2763" s="1401"/>
      <c r="F2763" s="1401"/>
      <c r="G2763" s="1400" t="s">
        <v>20</v>
      </c>
      <c r="H2763" s="1400" t="s">
        <v>21</v>
      </c>
      <c r="I2763" s="1400" t="s">
        <v>361</v>
      </c>
      <c r="J2763" s="1400" t="s">
        <v>353</v>
      </c>
      <c r="K2763" s="1400" t="s">
        <v>23</v>
      </c>
      <c r="L2763" s="1400" t="s">
        <v>24</v>
      </c>
      <c r="M2763" s="1400" t="s">
        <v>27</v>
      </c>
      <c r="N2763" s="1400" t="s">
        <v>178</v>
      </c>
      <c r="O2763" s="1400" t="s">
        <v>1</v>
      </c>
      <c r="P2763" s="1400" t="s">
        <v>29</v>
      </c>
      <c r="Q2763" s="1400" t="s">
        <v>33</v>
      </c>
      <c r="R2763" s="1401"/>
      <c r="S2763" s="361"/>
      <c r="T2763" s="361" t="s">
        <v>39</v>
      </c>
      <c r="U2763" s="362">
        <f>VLOOKUP(B2765,'Thong tin'!$A:$M,13,0)</f>
        <v>1200</v>
      </c>
      <c r="V2763" s="361"/>
      <c r="W2763" s="361"/>
    </row>
    <row r="2764" spans="1:23">
      <c r="A2764" s="1402"/>
      <c r="B2764" s="1402"/>
      <c r="C2764" s="1036"/>
      <c r="D2764" s="873"/>
      <c r="E2764" s="1402"/>
      <c r="F2764" s="1402"/>
      <c r="G2764" s="1402"/>
      <c r="H2764" s="1402"/>
      <c r="I2764" s="1402"/>
      <c r="J2764" s="1402"/>
      <c r="K2764" s="1402"/>
      <c r="L2764" s="1402"/>
      <c r="M2764" s="1402"/>
      <c r="N2764" s="1402"/>
      <c r="O2764" s="1402"/>
      <c r="P2764" s="1402"/>
      <c r="Q2764" s="1402"/>
      <c r="R2764" s="1402"/>
      <c r="S2764" s="361"/>
      <c r="T2764" s="1399" t="s">
        <v>393</v>
      </c>
      <c r="U2764" s="1397">
        <f>VLOOKUP(B2765,DT.NK!$B:$AZ,45,0)</f>
        <v>28.1</v>
      </c>
      <c r="V2764" s="361"/>
      <c r="W2764" s="361"/>
    </row>
    <row r="2765" spans="1:23">
      <c r="A2765" s="1409">
        <f>A2745+1</f>
        <v>139</v>
      </c>
      <c r="B2765" s="1412" t="s">
        <v>619</v>
      </c>
      <c r="C2765" s="1037" t="s">
        <v>983</v>
      </c>
      <c r="D2765" s="874" t="str">
        <f>B2765&amp;C2765</f>
        <v>A72a</v>
      </c>
      <c r="E2765" s="363"/>
      <c r="F2765" s="364"/>
      <c r="G2765" s="364"/>
      <c r="H2765" s="364"/>
      <c r="I2765" s="364"/>
      <c r="J2765" s="364"/>
      <c r="K2765" s="364"/>
      <c r="L2765" s="364"/>
      <c r="M2765" s="674"/>
      <c r="N2765" s="670"/>
      <c r="O2765" s="670">
        <f>U2764</f>
        <v>28.1</v>
      </c>
      <c r="P2765" s="670">
        <f>O2765</f>
        <v>28.1</v>
      </c>
      <c r="Q2765" s="670">
        <v>0</v>
      </c>
      <c r="R2765" s="365"/>
      <c r="S2765" s="366"/>
      <c r="T2765" s="1399"/>
      <c r="U2765" s="1398"/>
      <c r="V2765" s="361"/>
      <c r="W2765" s="361"/>
    </row>
    <row r="2766" spans="1:23">
      <c r="A2766" s="1410"/>
      <c r="B2766" s="1413"/>
      <c r="C2766" s="1038" t="s">
        <v>984</v>
      </c>
      <c r="D2766" s="875" t="str">
        <f>B2765&amp;C2766</f>
        <v>A72b</v>
      </c>
      <c r="E2766" s="367">
        <v>1</v>
      </c>
      <c r="F2766" s="669" t="s">
        <v>1014</v>
      </c>
      <c r="G2766" s="369">
        <v>0.3923611111111111</v>
      </c>
      <c r="H2766" s="368">
        <v>0.42708333333333331</v>
      </c>
      <c r="I2766" s="368">
        <v>0.43402777777777773</v>
      </c>
      <c r="J2766" s="368">
        <v>0.4375</v>
      </c>
      <c r="K2766" s="669">
        <v>9</v>
      </c>
      <c r="L2766" s="669">
        <v>19</v>
      </c>
      <c r="M2766" s="675">
        <v>27.2</v>
      </c>
      <c r="N2766" s="671">
        <f>IF(M2766-P2766&gt;0,M2766-P2766,0)</f>
        <v>3.6999999999999993</v>
      </c>
      <c r="O2766" s="671">
        <f>O2765-K2766/(PI()*(U2763/2000)^2)</f>
        <v>20.142252845405235</v>
      </c>
      <c r="P2766" s="672">
        <v>23.5</v>
      </c>
      <c r="Q2766" s="673">
        <f>ABS(O2766-P2766)</f>
        <v>3.3577471545947652</v>
      </c>
      <c r="R2766" s="375" t="s">
        <v>188</v>
      </c>
      <c r="S2766" s="366"/>
      <c r="T2766" s="376"/>
      <c r="U2766" s="376"/>
      <c r="V2766" s="366"/>
      <c r="W2766" s="366"/>
    </row>
    <row r="2767" spans="1:23">
      <c r="A2767" s="1410"/>
      <c r="B2767" s="1413"/>
      <c r="C2767" s="1038" t="s">
        <v>985</v>
      </c>
      <c r="D2767" s="875" t="str">
        <f>B2765&amp;C2767</f>
        <v>A72c</v>
      </c>
      <c r="E2767" s="367">
        <v>2</v>
      </c>
      <c r="F2767" s="669" t="s">
        <v>981</v>
      </c>
      <c r="G2767" s="369">
        <v>0.3972222222222222</v>
      </c>
      <c r="H2767" s="368">
        <v>0.43055555555555558</v>
      </c>
      <c r="I2767" s="368">
        <v>0.44444444444444442</v>
      </c>
      <c r="J2767" s="368">
        <v>0.44791666666666669</v>
      </c>
      <c r="K2767" s="669">
        <v>9</v>
      </c>
      <c r="L2767" s="669">
        <v>20</v>
      </c>
      <c r="M2767" s="675">
        <v>18.899999999999999</v>
      </c>
      <c r="N2767" s="671">
        <f>IF(M2767-P2767&gt;0,M2767-P2767,0)</f>
        <v>0</v>
      </c>
      <c r="O2767" s="671">
        <f>O2766-K2767/(PI()*(U2763/2000)^2)</f>
        <v>12.184505690810468</v>
      </c>
      <c r="P2767" s="672">
        <v>20.8</v>
      </c>
      <c r="Q2767" s="673">
        <f>ABS(O2767-P2767)</f>
        <v>8.6154943091895326</v>
      </c>
      <c r="R2767" s="375" t="s">
        <v>188</v>
      </c>
      <c r="S2767" s="366"/>
      <c r="T2767" s="376"/>
      <c r="U2767" s="376"/>
      <c r="V2767" s="366"/>
      <c r="W2767" s="366"/>
    </row>
    <row r="2768" spans="1:23">
      <c r="A2768" s="1410"/>
      <c r="B2768" s="1413"/>
      <c r="C2768" s="1038" t="s">
        <v>986</v>
      </c>
      <c r="D2768" s="875" t="str">
        <f>B2765&amp;C2768</f>
        <v>A72d</v>
      </c>
      <c r="E2768" s="367">
        <v>3</v>
      </c>
      <c r="F2768" s="669" t="s">
        <v>982</v>
      </c>
      <c r="G2768" s="369">
        <v>0.41597222222222219</v>
      </c>
      <c r="H2768" s="368">
        <v>0.44097222222222227</v>
      </c>
      <c r="I2768" s="368">
        <v>0.4548611111111111</v>
      </c>
      <c r="J2768" s="368">
        <v>0.45833333333333331</v>
      </c>
      <c r="K2768" s="669">
        <v>9</v>
      </c>
      <c r="L2768" s="669">
        <v>19</v>
      </c>
      <c r="M2768" s="675">
        <v>12.6</v>
      </c>
      <c r="N2768" s="671">
        <f t="shared" ref="N2768" si="300">IF(M2768-P2768&gt;0,M2768-P2768,0)</f>
        <v>0</v>
      </c>
      <c r="O2768" s="671">
        <f>O2767-K2768/(PI()*(U2763/2000)^2)</f>
        <v>4.2267585362157014</v>
      </c>
      <c r="P2768" s="672">
        <v>16.2</v>
      </c>
      <c r="Q2768" s="673">
        <f t="shared" ref="Q2768" si="301">ABS(O2768-P2768)</f>
        <v>11.973241463784298</v>
      </c>
      <c r="R2768" s="375" t="s">
        <v>188</v>
      </c>
      <c r="S2768" s="366"/>
      <c r="T2768" s="376"/>
      <c r="U2768" s="376"/>
      <c r="V2768" s="366"/>
      <c r="W2768" s="366"/>
    </row>
    <row r="2769" spans="1:23">
      <c r="A2769" s="1410"/>
      <c r="B2769" s="1413"/>
      <c r="C2769" s="1038" t="s">
        <v>987</v>
      </c>
      <c r="D2769" s="875" t="str">
        <f>B2765&amp;C2769</f>
        <v>A72e</v>
      </c>
      <c r="E2769" s="367">
        <v>4</v>
      </c>
      <c r="F2769" s="669" t="s">
        <v>981</v>
      </c>
      <c r="G2769" s="369">
        <v>0.4375</v>
      </c>
      <c r="H2769" s="368">
        <v>0.46875</v>
      </c>
      <c r="I2769" s="368">
        <v>0.47569444444444442</v>
      </c>
      <c r="J2769" s="368">
        <v>0.47916666666666669</v>
      </c>
      <c r="K2769" s="669">
        <v>5</v>
      </c>
      <c r="L2769" s="669">
        <v>19</v>
      </c>
      <c r="M2769" s="675">
        <v>12.6</v>
      </c>
      <c r="N2769" s="671">
        <f t="shared" ref="N2769:N2770" si="302">IF(M2769-P2769&gt;0,M2769-P2769,0)</f>
        <v>4</v>
      </c>
      <c r="O2769" s="671">
        <f>O2768-K2769/(PI()*(U2763/2000)^2)</f>
        <v>-0.19421210522583543</v>
      </c>
      <c r="P2769" s="672">
        <v>8.6</v>
      </c>
      <c r="Q2769" s="673">
        <f t="shared" ref="Q2769:Q2770" si="303">ABS(O2769-P2769)</f>
        <v>8.7942121052258351</v>
      </c>
      <c r="R2769" s="375"/>
      <c r="S2769" s="366"/>
      <c r="T2769" s="376"/>
      <c r="U2769" s="376"/>
      <c r="V2769" s="366"/>
      <c r="W2769" s="366"/>
    </row>
    <row r="2770" spans="1:23">
      <c r="A2770" s="1410"/>
      <c r="B2770" s="1413"/>
      <c r="C2770" s="1038" t="s">
        <v>988</v>
      </c>
      <c r="D2770" s="875" t="str">
        <f>B2765&amp;C2770</f>
        <v>A72f</v>
      </c>
      <c r="E2770" s="367">
        <v>5</v>
      </c>
      <c r="F2770" s="669" t="s">
        <v>1013</v>
      </c>
      <c r="G2770" s="369">
        <v>0.49374999999999997</v>
      </c>
      <c r="H2770" s="368">
        <v>0.51388888888888895</v>
      </c>
      <c r="I2770" s="368">
        <v>0.51736111111111105</v>
      </c>
      <c r="J2770" s="368">
        <v>0.52083333333333337</v>
      </c>
      <c r="K2770" s="669">
        <v>2</v>
      </c>
      <c r="L2770" s="669">
        <v>19</v>
      </c>
      <c r="M2770" s="675">
        <v>12.6</v>
      </c>
      <c r="N2770" s="671">
        <f t="shared" si="302"/>
        <v>5.3</v>
      </c>
      <c r="O2770" s="671">
        <f>O2769-K2770/(PI()*(U2763/2000)^2)</f>
        <v>-1.9626003618024503</v>
      </c>
      <c r="P2770" s="672">
        <v>7.3</v>
      </c>
      <c r="Q2770" s="673">
        <f t="shared" si="303"/>
        <v>9.2626003618024502</v>
      </c>
      <c r="R2770" s="375"/>
      <c r="S2770" s="366" t="s">
        <v>190</v>
      </c>
      <c r="T2770" s="376"/>
      <c r="U2770" s="376"/>
      <c r="V2770" s="366"/>
      <c r="W2770" s="366"/>
    </row>
    <row r="2771" spans="1:23">
      <c r="A2771" s="1410"/>
      <c r="B2771" s="1413"/>
      <c r="C2771" s="1038" t="s">
        <v>989</v>
      </c>
      <c r="D2771" s="875" t="str">
        <f>B2765&amp;C2771</f>
        <v>A72g</v>
      </c>
      <c r="E2771" s="367">
        <v>6</v>
      </c>
      <c r="F2771" s="669"/>
      <c r="G2771" s="368"/>
      <c r="H2771" s="368"/>
      <c r="I2771" s="368"/>
      <c r="J2771" s="368"/>
      <c r="K2771" s="370"/>
      <c r="L2771" s="370"/>
      <c r="M2771" s="371"/>
      <c r="N2771" s="671"/>
      <c r="O2771" s="671"/>
      <c r="P2771" s="373"/>
      <c r="Q2771" s="673"/>
      <c r="R2771" s="378"/>
      <c r="S2771" s="366" t="s">
        <v>190</v>
      </c>
      <c r="T2771" s="366"/>
      <c r="U2771" s="366"/>
      <c r="V2771" s="366"/>
      <c r="W2771" s="366"/>
    </row>
    <row r="2772" spans="1:23">
      <c r="A2772" s="1410"/>
      <c r="B2772" s="1413"/>
      <c r="C2772" s="1038" t="s">
        <v>990</v>
      </c>
      <c r="D2772" s="875" t="str">
        <f>B2765&amp;C2772</f>
        <v>A72h</v>
      </c>
      <c r="E2772" s="367">
        <v>7</v>
      </c>
      <c r="F2772" s="669"/>
      <c r="G2772" s="368"/>
      <c r="H2772" s="368"/>
      <c r="I2772" s="368"/>
      <c r="J2772" s="368"/>
      <c r="K2772" s="370"/>
      <c r="L2772" s="370"/>
      <c r="M2772" s="371"/>
      <c r="N2772" s="671"/>
      <c r="O2772" s="671"/>
      <c r="P2772" s="373"/>
      <c r="Q2772" s="673"/>
      <c r="R2772" s="378"/>
      <c r="S2772" s="366" t="s">
        <v>190</v>
      </c>
      <c r="T2772" s="366"/>
      <c r="U2772" s="366"/>
      <c r="V2772" s="366"/>
      <c r="W2772" s="366"/>
    </row>
    <row r="2773" spans="1:23">
      <c r="A2773" s="1410"/>
      <c r="B2773" s="1413"/>
      <c r="C2773" s="1038" t="s">
        <v>991</v>
      </c>
      <c r="D2773" s="875" t="str">
        <f>B2765&amp;C2773</f>
        <v>A72i</v>
      </c>
      <c r="E2773" s="367">
        <v>8</v>
      </c>
      <c r="F2773" s="669"/>
      <c r="G2773" s="368"/>
      <c r="H2773" s="368"/>
      <c r="I2773" s="368"/>
      <c r="J2773" s="368"/>
      <c r="K2773" s="370"/>
      <c r="L2773" s="370"/>
      <c r="M2773" s="371"/>
      <c r="N2773" s="671"/>
      <c r="O2773" s="671"/>
      <c r="P2773" s="373"/>
      <c r="Q2773" s="673"/>
      <c r="R2773" s="378"/>
      <c r="S2773" s="366"/>
      <c r="T2773" s="366"/>
      <c r="U2773" s="366"/>
      <c r="V2773" s="366"/>
      <c r="W2773" s="366"/>
    </row>
    <row r="2774" spans="1:23">
      <c r="A2774" s="1410"/>
      <c r="B2774" s="1413"/>
      <c r="C2774" s="1038" t="s">
        <v>992</v>
      </c>
      <c r="D2774" s="875" t="str">
        <f>B2765&amp;C2774</f>
        <v>A72k</v>
      </c>
      <c r="E2774" s="367">
        <v>9</v>
      </c>
      <c r="F2774" s="370"/>
      <c r="G2774" s="368"/>
      <c r="H2774" s="368"/>
      <c r="I2774" s="368"/>
      <c r="J2774" s="368"/>
      <c r="K2774" s="370"/>
      <c r="L2774" s="370"/>
      <c r="M2774" s="371"/>
      <c r="N2774" s="372"/>
      <c r="O2774" s="372"/>
      <c r="P2774" s="373"/>
      <c r="Q2774" s="374"/>
      <c r="R2774" s="378"/>
      <c r="S2774" s="379"/>
      <c r="T2774" s="366"/>
      <c r="U2774" s="366"/>
      <c r="V2774" s="366"/>
      <c r="W2774" s="366"/>
    </row>
    <row r="2775" spans="1:23">
      <c r="A2775" s="1410"/>
      <c r="B2775" s="1413"/>
      <c r="C2775" s="1038" t="s">
        <v>993</v>
      </c>
      <c r="D2775" s="875" t="str">
        <f>B2765&amp;C2775</f>
        <v>A72l</v>
      </c>
      <c r="E2775" s="367">
        <v>10</v>
      </c>
      <c r="F2775" s="370"/>
      <c r="G2775" s="368"/>
      <c r="H2775" s="368"/>
      <c r="I2775" s="368"/>
      <c r="J2775" s="368"/>
      <c r="K2775" s="370"/>
      <c r="L2775" s="370"/>
      <c r="M2775" s="370"/>
      <c r="N2775" s="372"/>
      <c r="O2775" s="372"/>
      <c r="P2775" s="373"/>
      <c r="Q2775" s="374"/>
      <c r="R2775" s="378"/>
      <c r="S2775" s="379"/>
      <c r="T2775" s="366"/>
      <c r="U2775" s="366"/>
      <c r="V2775" s="366"/>
      <c r="W2775" s="366"/>
    </row>
    <row r="2776" spans="1:23">
      <c r="A2776" s="1410"/>
      <c r="B2776" s="1413"/>
      <c r="C2776" s="1038" t="s">
        <v>994</v>
      </c>
      <c r="D2776" s="875" t="str">
        <f>B2765&amp;C2776</f>
        <v>A72m</v>
      </c>
      <c r="E2776" s="367">
        <v>11</v>
      </c>
      <c r="F2776" s="370"/>
      <c r="G2776" s="368"/>
      <c r="H2776" s="368"/>
      <c r="I2776" s="368"/>
      <c r="J2776" s="368"/>
      <c r="K2776" s="370"/>
      <c r="L2776" s="370"/>
      <c r="M2776" s="370"/>
      <c r="N2776" s="372"/>
      <c r="O2776" s="372"/>
      <c r="P2776" s="380"/>
      <c r="Q2776" s="374"/>
      <c r="R2776" s="381"/>
      <c r="S2776" s="379"/>
      <c r="T2776" s="366"/>
      <c r="U2776" s="366"/>
      <c r="V2776" s="366"/>
      <c r="W2776" s="366"/>
    </row>
    <row r="2777" spans="1:23">
      <c r="A2777" s="1410"/>
      <c r="B2777" s="1413"/>
      <c r="C2777" s="1038" t="s">
        <v>995</v>
      </c>
      <c r="D2777" s="875" t="str">
        <f>B2765&amp;C2777</f>
        <v>A72n</v>
      </c>
      <c r="E2777" s="367">
        <v>12</v>
      </c>
      <c r="F2777" s="370"/>
      <c r="G2777" s="368"/>
      <c r="H2777" s="368"/>
      <c r="I2777" s="368"/>
      <c r="J2777" s="368"/>
      <c r="K2777" s="370"/>
      <c r="L2777" s="370"/>
      <c r="M2777" s="370"/>
      <c r="N2777" s="372"/>
      <c r="O2777" s="372"/>
      <c r="P2777" s="380"/>
      <c r="Q2777" s="374"/>
      <c r="R2777" s="381"/>
      <c r="S2777" s="361"/>
      <c r="T2777" s="361"/>
      <c r="U2777" s="361"/>
      <c r="V2777" s="366"/>
      <c r="W2777" s="366"/>
    </row>
    <row r="2778" spans="1:23">
      <c r="A2778" s="1410"/>
      <c r="B2778" s="1413"/>
      <c r="C2778" s="1038" t="s">
        <v>471</v>
      </c>
      <c r="D2778" s="875" t="str">
        <f>B2765&amp;C2778</f>
        <v>A72x</v>
      </c>
      <c r="E2778" s="367">
        <v>13</v>
      </c>
      <c r="F2778" s="370"/>
      <c r="G2778" s="368"/>
      <c r="H2778" s="368"/>
      <c r="I2778" s="368"/>
      <c r="J2778" s="368"/>
      <c r="K2778" s="370"/>
      <c r="L2778" s="370"/>
      <c r="M2778" s="370"/>
      <c r="N2778" s="382"/>
      <c r="O2778" s="372"/>
      <c r="P2778" s="380"/>
      <c r="Q2778" s="381"/>
      <c r="R2778" s="381"/>
      <c r="S2778" s="361"/>
      <c r="T2778" s="361"/>
      <c r="U2778" s="361"/>
      <c r="V2778" s="366"/>
      <c r="W2778" s="366"/>
    </row>
    <row r="2779" spans="1:23">
      <c r="A2779" s="1410"/>
      <c r="B2779" s="1413"/>
      <c r="C2779" s="1038" t="s">
        <v>732</v>
      </c>
      <c r="D2779" s="875" t="str">
        <f>B2765&amp;C2779</f>
        <v>A72y</v>
      </c>
      <c r="E2779" s="367">
        <v>14</v>
      </c>
      <c r="F2779" s="370"/>
      <c r="G2779" s="368"/>
      <c r="H2779" s="368"/>
      <c r="I2779" s="368"/>
      <c r="J2779" s="368"/>
      <c r="K2779" s="370"/>
      <c r="L2779" s="370"/>
      <c r="M2779" s="370"/>
      <c r="N2779" s="382"/>
      <c r="O2779" s="372"/>
      <c r="P2779" s="380"/>
      <c r="Q2779" s="381"/>
      <c r="R2779" s="381"/>
      <c r="S2779" s="361"/>
      <c r="T2779" s="361"/>
      <c r="U2779" s="362"/>
      <c r="V2779" s="366"/>
      <c r="W2779" s="366"/>
    </row>
    <row r="2780" spans="1:23">
      <c r="A2780" s="1411"/>
      <c r="B2780" s="1414"/>
      <c r="C2780" s="1039" t="s">
        <v>996</v>
      </c>
      <c r="D2780" s="876" t="str">
        <f>B2765&amp;C2780</f>
        <v>A72z</v>
      </c>
      <c r="E2780" s="847">
        <v>15</v>
      </c>
      <c r="F2780" s="370"/>
      <c r="G2780" s="368"/>
      <c r="H2780" s="368"/>
      <c r="I2780" s="368"/>
      <c r="J2780" s="368"/>
      <c r="K2780" s="370"/>
      <c r="L2780" s="370"/>
      <c r="M2780" s="370"/>
      <c r="N2780" s="850"/>
      <c r="O2780" s="851"/>
      <c r="P2780" s="380"/>
      <c r="Q2780" s="852"/>
      <c r="R2780" s="383"/>
      <c r="S2780" s="361"/>
      <c r="T2780" s="1033"/>
      <c r="U2780" s="1032"/>
      <c r="V2780" s="366"/>
      <c r="W2780" s="366"/>
    </row>
    <row r="2781" spans="1:23">
      <c r="A2781" s="1400" t="s">
        <v>939</v>
      </c>
      <c r="B2781" s="1400"/>
      <c r="C2781" s="1034"/>
      <c r="D2781" s="871"/>
      <c r="E2781" s="1400" t="s">
        <v>177</v>
      </c>
      <c r="F2781" s="1400" t="s">
        <v>18</v>
      </c>
      <c r="G2781" s="1389" t="s">
        <v>19</v>
      </c>
      <c r="H2781" s="1390"/>
      <c r="I2781" s="1389" t="s">
        <v>22</v>
      </c>
      <c r="J2781" s="1390"/>
      <c r="K2781" s="1393" t="s">
        <v>26</v>
      </c>
      <c r="L2781" s="1390"/>
      <c r="M2781" s="1389" t="s">
        <v>392</v>
      </c>
      <c r="N2781" s="1390"/>
      <c r="O2781" s="1389" t="s">
        <v>28</v>
      </c>
      <c r="P2781" s="1393"/>
      <c r="Q2781" s="1390"/>
      <c r="R2781" s="1400" t="s">
        <v>36</v>
      </c>
      <c r="S2781" s="361"/>
      <c r="T2781" s="361">
        <f>MAX(J2785:J2799)-MIN(I2785:I2799)</f>
        <v>3.4722222222222238E-2</v>
      </c>
      <c r="U2781" s="361"/>
      <c r="V2781" s="853" t="str">
        <f t="shared" ref="V2781" si="304">B2785</f>
        <v>A80</v>
      </c>
      <c r="W2781" s="361">
        <f t="shared" ref="W2781" si="305">COUNTIF(K2786:K2800,"&gt;0")</f>
        <v>3</v>
      </c>
    </row>
    <row r="2782" spans="1:23">
      <c r="A2782" s="1401"/>
      <c r="B2782" s="1401"/>
      <c r="C2782" s="1035"/>
      <c r="D2782" s="872"/>
      <c r="E2782" s="1401"/>
      <c r="F2782" s="1401"/>
      <c r="G2782" s="1391"/>
      <c r="H2782" s="1392"/>
      <c r="I2782" s="1391"/>
      <c r="J2782" s="1392"/>
      <c r="K2782" s="1394"/>
      <c r="L2782" s="1392"/>
      <c r="M2782" s="1391"/>
      <c r="N2782" s="1392"/>
      <c r="O2782" s="1391"/>
      <c r="P2782" s="1394"/>
      <c r="Q2782" s="1392"/>
      <c r="R2782" s="1401"/>
      <c r="S2782" s="361"/>
      <c r="T2782" s="361"/>
      <c r="U2782" s="361"/>
      <c r="V2782" s="361"/>
      <c r="W2782" s="361"/>
    </row>
    <row r="2783" spans="1:23">
      <c r="A2783" s="1401"/>
      <c r="B2783" s="1401"/>
      <c r="C2783" s="1035"/>
      <c r="D2783" s="872"/>
      <c r="E2783" s="1401"/>
      <c r="F2783" s="1401"/>
      <c r="G2783" s="1400" t="s">
        <v>20</v>
      </c>
      <c r="H2783" s="1400" t="s">
        <v>21</v>
      </c>
      <c r="I2783" s="1400" t="s">
        <v>361</v>
      </c>
      <c r="J2783" s="1400" t="s">
        <v>353</v>
      </c>
      <c r="K2783" s="1400" t="s">
        <v>23</v>
      </c>
      <c r="L2783" s="1400" t="s">
        <v>24</v>
      </c>
      <c r="M2783" s="1400" t="s">
        <v>27</v>
      </c>
      <c r="N2783" s="1400" t="s">
        <v>178</v>
      </c>
      <c r="O2783" s="1400" t="s">
        <v>1</v>
      </c>
      <c r="P2783" s="1400" t="s">
        <v>29</v>
      </c>
      <c r="Q2783" s="1400" t="s">
        <v>33</v>
      </c>
      <c r="R2783" s="1401"/>
      <c r="S2783" s="361"/>
      <c r="T2783" s="361" t="s">
        <v>39</v>
      </c>
      <c r="U2783" s="362">
        <f>VLOOKUP(B2785,'Thong tin'!$A:$M,13,0)</f>
        <v>1200</v>
      </c>
      <c r="V2783" s="361"/>
      <c r="W2783" s="361"/>
    </row>
    <row r="2784" spans="1:23">
      <c r="A2784" s="1402"/>
      <c r="B2784" s="1402"/>
      <c r="C2784" s="1036"/>
      <c r="D2784" s="873"/>
      <c r="E2784" s="1402"/>
      <c r="F2784" s="1402"/>
      <c r="G2784" s="1402"/>
      <c r="H2784" s="1402"/>
      <c r="I2784" s="1402"/>
      <c r="J2784" s="1402"/>
      <c r="K2784" s="1402"/>
      <c r="L2784" s="1402"/>
      <c r="M2784" s="1402"/>
      <c r="N2784" s="1402"/>
      <c r="O2784" s="1402"/>
      <c r="P2784" s="1402"/>
      <c r="Q2784" s="1402"/>
      <c r="R2784" s="1402"/>
      <c r="S2784" s="361"/>
      <c r="T2784" s="1399" t="s">
        <v>393</v>
      </c>
      <c r="U2784" s="1397">
        <f>VLOOKUP(B2785,DT.NK!$B:$AZ,45,0)</f>
        <v>28.15</v>
      </c>
      <c r="V2784" s="361"/>
      <c r="W2784" s="361"/>
    </row>
    <row r="2785" spans="1:23">
      <c r="A2785" s="1409">
        <f>A2765+1</f>
        <v>140</v>
      </c>
      <c r="B2785" s="1412" t="s">
        <v>657</v>
      </c>
      <c r="C2785" s="1037" t="s">
        <v>983</v>
      </c>
      <c r="D2785" s="874" t="str">
        <f>B2785&amp;C2785</f>
        <v>A80a</v>
      </c>
      <c r="E2785" s="363"/>
      <c r="F2785" s="364"/>
      <c r="G2785" s="364"/>
      <c r="H2785" s="364"/>
      <c r="I2785" s="364"/>
      <c r="J2785" s="364"/>
      <c r="K2785" s="364"/>
      <c r="L2785" s="364"/>
      <c r="M2785" s="674"/>
      <c r="N2785" s="670"/>
      <c r="O2785" s="670">
        <f>U2784</f>
        <v>28.15</v>
      </c>
      <c r="P2785" s="670">
        <f>O2785</f>
        <v>28.15</v>
      </c>
      <c r="Q2785" s="670">
        <v>0</v>
      </c>
      <c r="R2785" s="365"/>
      <c r="S2785" s="366"/>
      <c r="T2785" s="1399"/>
      <c r="U2785" s="1398"/>
      <c r="V2785" s="361"/>
      <c r="W2785" s="361"/>
    </row>
    <row r="2786" spans="1:23">
      <c r="A2786" s="1410"/>
      <c r="B2786" s="1413"/>
      <c r="C2786" s="1038" t="s">
        <v>984</v>
      </c>
      <c r="D2786" s="875" t="str">
        <f>B2785&amp;C2786</f>
        <v>A80b</v>
      </c>
      <c r="E2786" s="367">
        <v>1</v>
      </c>
      <c r="F2786" s="669" t="s">
        <v>1019</v>
      </c>
      <c r="G2786" s="369">
        <v>5.2777777777777778E-2</v>
      </c>
      <c r="H2786" s="368">
        <v>9.7222222222222224E-2</v>
      </c>
      <c r="I2786" s="368">
        <v>0.1111111111111111</v>
      </c>
      <c r="J2786" s="368">
        <v>0.11458333333333333</v>
      </c>
      <c r="K2786" s="669">
        <v>9</v>
      </c>
      <c r="L2786" s="669">
        <v>19</v>
      </c>
      <c r="M2786" s="675">
        <v>26.05</v>
      </c>
      <c r="N2786" s="671">
        <f>IF(M2786-P2786&gt;0,M2786-P2786,0)</f>
        <v>2.3500000000000014</v>
      </c>
      <c r="O2786" s="671">
        <f>O2785-K2786/(PI()*(U2783/2000)^2)</f>
        <v>20.192252845405232</v>
      </c>
      <c r="P2786" s="672">
        <v>23.7</v>
      </c>
      <c r="Q2786" s="673">
        <f>ABS(O2786-P2786)</f>
        <v>3.5077471545947674</v>
      </c>
      <c r="R2786" s="375" t="s">
        <v>188</v>
      </c>
      <c r="S2786" s="366"/>
      <c r="T2786" s="376"/>
      <c r="U2786" s="376"/>
      <c r="V2786" s="366"/>
      <c r="W2786" s="366"/>
    </row>
    <row r="2787" spans="1:23">
      <c r="A2787" s="1410"/>
      <c r="B2787" s="1413"/>
      <c r="C2787" s="1038" t="s">
        <v>985</v>
      </c>
      <c r="D2787" s="875" t="str">
        <f>B2785&amp;C2787</f>
        <v>A80c</v>
      </c>
      <c r="E2787" s="367">
        <v>2</v>
      </c>
      <c r="F2787" s="669" t="s">
        <v>1150</v>
      </c>
      <c r="G2787" s="369">
        <v>6.805555555555555E-2</v>
      </c>
      <c r="H2787" s="368">
        <v>0.10416666666666667</v>
      </c>
      <c r="I2787" s="368">
        <v>0.12847222222222224</v>
      </c>
      <c r="J2787" s="368">
        <v>0.13194444444444445</v>
      </c>
      <c r="K2787" s="669">
        <v>9</v>
      </c>
      <c r="L2787" s="669">
        <v>19</v>
      </c>
      <c r="M2787" s="675">
        <v>19.75</v>
      </c>
      <c r="N2787" s="671">
        <f>IF(M2787-P2787&gt;0,M2787-P2787,0)</f>
        <v>4.6099999999999994</v>
      </c>
      <c r="O2787" s="671">
        <f>O2786-K2787/(PI()*(U2783/2000)^2)</f>
        <v>12.234505690810465</v>
      </c>
      <c r="P2787" s="672">
        <v>15.14</v>
      </c>
      <c r="Q2787" s="673">
        <f>ABS(O2787-P2787)</f>
        <v>2.9054943091895353</v>
      </c>
      <c r="R2787" s="375" t="s">
        <v>188</v>
      </c>
      <c r="S2787" s="366"/>
      <c r="T2787" s="376"/>
      <c r="U2787" s="376"/>
      <c r="V2787" s="366"/>
      <c r="W2787" s="366"/>
    </row>
    <row r="2788" spans="1:23">
      <c r="A2788" s="1410"/>
      <c r="B2788" s="1413"/>
      <c r="C2788" s="1038" t="s">
        <v>986</v>
      </c>
      <c r="D2788" s="875" t="str">
        <f>B2785&amp;C2788</f>
        <v>A80d</v>
      </c>
      <c r="E2788" s="367">
        <v>3</v>
      </c>
      <c r="F2788" s="669" t="s">
        <v>1089</v>
      </c>
      <c r="G2788" s="369">
        <v>8.4027777777777771E-2</v>
      </c>
      <c r="H2788" s="368">
        <v>0.11458333333333333</v>
      </c>
      <c r="I2788" s="368">
        <v>0.1423611111111111</v>
      </c>
      <c r="J2788" s="368">
        <v>0.14583333333333334</v>
      </c>
      <c r="K2788" s="669">
        <v>8</v>
      </c>
      <c r="L2788" s="669">
        <v>20</v>
      </c>
      <c r="M2788" s="675">
        <v>19.75</v>
      </c>
      <c r="N2788" s="671">
        <f t="shared" ref="N2788" si="306">IF(M2788-P2788&gt;0,M2788-P2788,0)</f>
        <v>11.55</v>
      </c>
      <c r="O2788" s="671">
        <f>O2787-K2788/(PI()*(U2783/2000)^2)</f>
        <v>5.1609526645040056</v>
      </c>
      <c r="P2788" s="672">
        <v>8.1999999999999993</v>
      </c>
      <c r="Q2788" s="673">
        <f t="shared" ref="Q2788" si="307">ABS(O2788-P2788)</f>
        <v>3.0390473354959937</v>
      </c>
      <c r="R2788" s="375" t="s">
        <v>188</v>
      </c>
      <c r="S2788" s="366"/>
      <c r="T2788" s="376"/>
      <c r="U2788" s="376"/>
      <c r="V2788" s="366"/>
      <c r="W2788" s="366"/>
    </row>
    <row r="2789" spans="1:23">
      <c r="A2789" s="1410"/>
      <c r="B2789" s="1413"/>
      <c r="C2789" s="1038" t="s">
        <v>987</v>
      </c>
      <c r="D2789" s="875" t="str">
        <f>B2785&amp;C2789</f>
        <v>A80e</v>
      </c>
      <c r="E2789" s="367">
        <v>4</v>
      </c>
      <c r="F2789" s="669"/>
      <c r="G2789" s="368"/>
      <c r="H2789" s="368"/>
      <c r="I2789" s="368"/>
      <c r="J2789" s="368"/>
      <c r="K2789" s="370"/>
      <c r="L2789" s="370"/>
      <c r="M2789" s="371"/>
      <c r="N2789" s="671"/>
      <c r="O2789" s="671"/>
      <c r="P2789" s="373"/>
      <c r="Q2789" s="673"/>
      <c r="R2789" s="375"/>
      <c r="S2789" s="366"/>
      <c r="T2789" s="376"/>
      <c r="U2789" s="376"/>
      <c r="V2789" s="366"/>
      <c r="W2789" s="366"/>
    </row>
    <row r="2790" spans="1:23">
      <c r="A2790" s="1410"/>
      <c r="B2790" s="1413"/>
      <c r="C2790" s="1038" t="s">
        <v>988</v>
      </c>
      <c r="D2790" s="875" t="str">
        <f>B2785&amp;C2790</f>
        <v>A80f</v>
      </c>
      <c r="E2790" s="367">
        <v>5</v>
      </c>
      <c r="F2790" s="669"/>
      <c r="G2790" s="368"/>
      <c r="H2790" s="368"/>
      <c r="I2790" s="368"/>
      <c r="J2790" s="368"/>
      <c r="K2790" s="370"/>
      <c r="L2790" s="370"/>
      <c r="M2790" s="371"/>
      <c r="N2790" s="671"/>
      <c r="O2790" s="671"/>
      <c r="P2790" s="373"/>
      <c r="Q2790" s="673"/>
      <c r="R2790" s="375"/>
      <c r="S2790" s="366" t="s">
        <v>190</v>
      </c>
      <c r="T2790" s="376"/>
      <c r="U2790" s="376"/>
      <c r="V2790" s="366"/>
      <c r="W2790" s="366"/>
    </row>
    <row r="2791" spans="1:23">
      <c r="A2791" s="1410"/>
      <c r="B2791" s="1413"/>
      <c r="C2791" s="1038" t="s">
        <v>989</v>
      </c>
      <c r="D2791" s="875" t="str">
        <f>B2785&amp;C2791</f>
        <v>A80g</v>
      </c>
      <c r="E2791" s="367">
        <v>6</v>
      </c>
      <c r="F2791" s="669"/>
      <c r="G2791" s="368"/>
      <c r="H2791" s="368"/>
      <c r="I2791" s="368"/>
      <c r="J2791" s="368"/>
      <c r="K2791" s="370"/>
      <c r="L2791" s="370"/>
      <c r="M2791" s="371"/>
      <c r="N2791" s="671"/>
      <c r="O2791" s="671"/>
      <c r="P2791" s="373"/>
      <c r="Q2791" s="673"/>
      <c r="R2791" s="378"/>
      <c r="S2791" s="366" t="s">
        <v>190</v>
      </c>
      <c r="T2791" s="366"/>
      <c r="U2791" s="366"/>
      <c r="V2791" s="366"/>
      <c r="W2791" s="366"/>
    </row>
    <row r="2792" spans="1:23">
      <c r="A2792" s="1410"/>
      <c r="B2792" s="1413"/>
      <c r="C2792" s="1038" t="s">
        <v>990</v>
      </c>
      <c r="D2792" s="875" t="str">
        <f>B2785&amp;C2792</f>
        <v>A80h</v>
      </c>
      <c r="E2792" s="367">
        <v>7</v>
      </c>
      <c r="F2792" s="669"/>
      <c r="G2792" s="368"/>
      <c r="H2792" s="368"/>
      <c r="I2792" s="368"/>
      <c r="J2792" s="368"/>
      <c r="K2792" s="370"/>
      <c r="L2792" s="370"/>
      <c r="M2792" s="371"/>
      <c r="N2792" s="671"/>
      <c r="O2792" s="671"/>
      <c r="P2792" s="373"/>
      <c r="Q2792" s="673"/>
      <c r="R2792" s="378"/>
      <c r="S2792" s="366" t="s">
        <v>190</v>
      </c>
      <c r="T2792" s="366"/>
      <c r="U2792" s="366"/>
      <c r="V2792" s="366"/>
      <c r="W2792" s="366"/>
    </row>
    <row r="2793" spans="1:23">
      <c r="A2793" s="1410"/>
      <c r="B2793" s="1413"/>
      <c r="C2793" s="1038" t="s">
        <v>991</v>
      </c>
      <c r="D2793" s="875" t="str">
        <f>B2785&amp;C2793</f>
        <v>A80i</v>
      </c>
      <c r="E2793" s="367">
        <v>8</v>
      </c>
      <c r="F2793" s="669"/>
      <c r="G2793" s="368"/>
      <c r="H2793" s="368"/>
      <c r="I2793" s="368"/>
      <c r="J2793" s="368"/>
      <c r="K2793" s="370"/>
      <c r="L2793" s="370"/>
      <c r="M2793" s="371"/>
      <c r="N2793" s="671"/>
      <c r="O2793" s="671"/>
      <c r="P2793" s="373"/>
      <c r="Q2793" s="673"/>
      <c r="R2793" s="378"/>
      <c r="S2793" s="366"/>
      <c r="T2793" s="366"/>
      <c r="U2793" s="366"/>
      <c r="V2793" s="366"/>
      <c r="W2793" s="366"/>
    </row>
    <row r="2794" spans="1:23">
      <c r="A2794" s="1410"/>
      <c r="B2794" s="1413"/>
      <c r="C2794" s="1038" t="s">
        <v>992</v>
      </c>
      <c r="D2794" s="875" t="str">
        <f>B2785&amp;C2794</f>
        <v>A80k</v>
      </c>
      <c r="E2794" s="367">
        <v>9</v>
      </c>
      <c r="F2794" s="370"/>
      <c r="G2794" s="368"/>
      <c r="H2794" s="368"/>
      <c r="I2794" s="368"/>
      <c r="J2794" s="368"/>
      <c r="K2794" s="370"/>
      <c r="L2794" s="370"/>
      <c r="M2794" s="371"/>
      <c r="N2794" s="372"/>
      <c r="O2794" s="372"/>
      <c r="P2794" s="373"/>
      <c r="Q2794" s="374"/>
      <c r="R2794" s="378"/>
      <c r="S2794" s="379"/>
      <c r="T2794" s="366"/>
      <c r="U2794" s="366"/>
      <c r="V2794" s="366"/>
      <c r="W2794" s="366"/>
    </row>
    <row r="2795" spans="1:23">
      <c r="A2795" s="1410"/>
      <c r="B2795" s="1413"/>
      <c r="C2795" s="1038" t="s">
        <v>993</v>
      </c>
      <c r="D2795" s="875" t="str">
        <f>B2785&amp;C2795</f>
        <v>A80l</v>
      </c>
      <c r="E2795" s="367">
        <v>10</v>
      </c>
      <c r="F2795" s="370"/>
      <c r="G2795" s="368"/>
      <c r="H2795" s="368"/>
      <c r="I2795" s="368"/>
      <c r="J2795" s="368"/>
      <c r="K2795" s="370"/>
      <c r="L2795" s="370"/>
      <c r="M2795" s="370"/>
      <c r="N2795" s="372"/>
      <c r="O2795" s="372"/>
      <c r="P2795" s="373"/>
      <c r="Q2795" s="374"/>
      <c r="R2795" s="378"/>
      <c r="S2795" s="379"/>
      <c r="T2795" s="366"/>
      <c r="U2795" s="366"/>
      <c r="V2795" s="366"/>
      <c r="W2795" s="366"/>
    </row>
    <row r="2796" spans="1:23">
      <c r="A2796" s="1410"/>
      <c r="B2796" s="1413"/>
      <c r="C2796" s="1038" t="s">
        <v>994</v>
      </c>
      <c r="D2796" s="875" t="str">
        <f>B2785&amp;C2796</f>
        <v>A80m</v>
      </c>
      <c r="E2796" s="367">
        <v>11</v>
      </c>
      <c r="F2796" s="370"/>
      <c r="G2796" s="368"/>
      <c r="H2796" s="368"/>
      <c r="I2796" s="368"/>
      <c r="J2796" s="368"/>
      <c r="K2796" s="370"/>
      <c r="L2796" s="370"/>
      <c r="M2796" s="370"/>
      <c r="N2796" s="372"/>
      <c r="O2796" s="372"/>
      <c r="P2796" s="380"/>
      <c r="Q2796" s="374"/>
      <c r="R2796" s="381"/>
      <c r="S2796" s="379"/>
      <c r="T2796" s="366"/>
      <c r="U2796" s="366"/>
      <c r="V2796" s="366"/>
      <c r="W2796" s="366"/>
    </row>
    <row r="2797" spans="1:23">
      <c r="A2797" s="1410"/>
      <c r="B2797" s="1413"/>
      <c r="C2797" s="1038" t="s">
        <v>995</v>
      </c>
      <c r="D2797" s="875" t="str">
        <f>B2785&amp;C2797</f>
        <v>A80n</v>
      </c>
      <c r="E2797" s="367">
        <v>12</v>
      </c>
      <c r="F2797" s="370"/>
      <c r="G2797" s="368"/>
      <c r="H2797" s="368"/>
      <c r="I2797" s="368"/>
      <c r="J2797" s="368"/>
      <c r="K2797" s="370"/>
      <c r="L2797" s="370"/>
      <c r="M2797" s="370"/>
      <c r="N2797" s="372"/>
      <c r="O2797" s="372"/>
      <c r="P2797" s="380"/>
      <c r="Q2797" s="374"/>
      <c r="R2797" s="381"/>
      <c r="S2797" s="361"/>
      <c r="T2797" s="361"/>
      <c r="U2797" s="361"/>
      <c r="V2797" s="366"/>
      <c r="W2797" s="366"/>
    </row>
    <row r="2798" spans="1:23">
      <c r="A2798" s="1410"/>
      <c r="B2798" s="1413"/>
      <c r="C2798" s="1038" t="s">
        <v>471</v>
      </c>
      <c r="D2798" s="875" t="str">
        <f>B2785&amp;C2798</f>
        <v>A80x</v>
      </c>
      <c r="E2798" s="367">
        <v>13</v>
      </c>
      <c r="F2798" s="370"/>
      <c r="G2798" s="368"/>
      <c r="H2798" s="368"/>
      <c r="I2798" s="368"/>
      <c r="J2798" s="368"/>
      <c r="K2798" s="370"/>
      <c r="L2798" s="370"/>
      <c r="M2798" s="370"/>
      <c r="N2798" s="382"/>
      <c r="O2798" s="372"/>
      <c r="P2798" s="380"/>
      <c r="Q2798" s="381"/>
      <c r="R2798" s="381"/>
      <c r="S2798" s="361"/>
      <c r="T2798" s="361"/>
      <c r="U2798" s="361"/>
      <c r="V2798" s="366"/>
      <c r="W2798" s="366"/>
    </row>
    <row r="2799" spans="1:23">
      <c r="A2799" s="1410"/>
      <c r="B2799" s="1413"/>
      <c r="C2799" s="1038" t="s">
        <v>732</v>
      </c>
      <c r="D2799" s="875" t="str">
        <f>B2785&amp;C2799</f>
        <v>A80y</v>
      </c>
      <c r="E2799" s="367">
        <v>14</v>
      </c>
      <c r="F2799" s="370"/>
      <c r="G2799" s="368"/>
      <c r="H2799" s="368"/>
      <c r="I2799" s="368"/>
      <c r="J2799" s="368"/>
      <c r="K2799" s="370"/>
      <c r="L2799" s="370"/>
      <c r="M2799" s="370"/>
      <c r="N2799" s="382"/>
      <c r="O2799" s="372"/>
      <c r="P2799" s="380"/>
      <c r="Q2799" s="381"/>
      <c r="R2799" s="381"/>
      <c r="S2799" s="361"/>
      <c r="T2799" s="361"/>
      <c r="U2799" s="362"/>
      <c r="V2799" s="366"/>
      <c r="W2799" s="366"/>
    </row>
    <row r="2800" spans="1:23">
      <c r="A2800" s="1411"/>
      <c r="B2800" s="1414"/>
      <c r="C2800" s="1039" t="s">
        <v>996</v>
      </c>
      <c r="D2800" s="876" t="str">
        <f>B2785&amp;C2800</f>
        <v>A80z</v>
      </c>
      <c r="E2800" s="847">
        <v>15</v>
      </c>
      <c r="F2800" s="370"/>
      <c r="G2800" s="368"/>
      <c r="H2800" s="368"/>
      <c r="I2800" s="368"/>
      <c r="J2800" s="368"/>
      <c r="K2800" s="370"/>
      <c r="L2800" s="370"/>
      <c r="M2800" s="370"/>
      <c r="N2800" s="850"/>
      <c r="O2800" s="851"/>
      <c r="P2800" s="380"/>
      <c r="Q2800" s="852"/>
      <c r="R2800" s="383"/>
      <c r="S2800" s="361"/>
      <c r="T2800" s="1033"/>
      <c r="U2800" s="1032"/>
      <c r="V2800" s="366"/>
      <c r="W2800" s="366"/>
    </row>
    <row r="2801" spans="1:23">
      <c r="A2801" s="1400" t="s">
        <v>939</v>
      </c>
      <c r="B2801" s="1400"/>
      <c r="C2801" s="1034"/>
      <c r="D2801" s="871"/>
      <c r="E2801" s="1400" t="s">
        <v>177</v>
      </c>
      <c r="F2801" s="1400" t="s">
        <v>18</v>
      </c>
      <c r="G2801" s="1389" t="s">
        <v>19</v>
      </c>
      <c r="H2801" s="1390"/>
      <c r="I2801" s="1389" t="s">
        <v>22</v>
      </c>
      <c r="J2801" s="1390"/>
      <c r="K2801" s="1393" t="s">
        <v>26</v>
      </c>
      <c r="L2801" s="1390"/>
      <c r="M2801" s="1389" t="s">
        <v>392</v>
      </c>
      <c r="N2801" s="1390"/>
      <c r="O2801" s="1389" t="s">
        <v>28</v>
      </c>
      <c r="P2801" s="1393"/>
      <c r="Q2801" s="1390"/>
      <c r="R2801" s="1400" t="s">
        <v>36</v>
      </c>
      <c r="S2801" s="361"/>
      <c r="T2801" s="361">
        <f>MAX(J2805:J2819)-MIN(I2805:I2819)</f>
        <v>7.2916666666666671E-2</v>
      </c>
      <c r="U2801" s="361"/>
      <c r="V2801" s="853" t="str">
        <f t="shared" ref="V2801" si="308">B2805</f>
        <v>A132</v>
      </c>
      <c r="W2801" s="361">
        <f t="shared" ref="W2801" si="309">COUNTIF(K2806:K2820,"&gt;0")</f>
        <v>5</v>
      </c>
    </row>
    <row r="2802" spans="1:23">
      <c r="A2802" s="1401"/>
      <c r="B2802" s="1401"/>
      <c r="C2802" s="1035"/>
      <c r="D2802" s="872"/>
      <c r="E2802" s="1401"/>
      <c r="F2802" s="1401"/>
      <c r="G2802" s="1391"/>
      <c r="H2802" s="1392"/>
      <c r="I2802" s="1391"/>
      <c r="J2802" s="1392"/>
      <c r="K2802" s="1394"/>
      <c r="L2802" s="1392"/>
      <c r="M2802" s="1391"/>
      <c r="N2802" s="1392"/>
      <c r="O2802" s="1391"/>
      <c r="P2802" s="1394"/>
      <c r="Q2802" s="1392"/>
      <c r="R2802" s="1401"/>
      <c r="S2802" s="361"/>
      <c r="T2802" s="361"/>
      <c r="U2802" s="361"/>
      <c r="V2802" s="361"/>
      <c r="W2802" s="361"/>
    </row>
    <row r="2803" spans="1:23">
      <c r="A2803" s="1401"/>
      <c r="B2803" s="1401"/>
      <c r="C2803" s="1035"/>
      <c r="D2803" s="872"/>
      <c r="E2803" s="1401"/>
      <c r="F2803" s="1401"/>
      <c r="G2803" s="1400" t="s">
        <v>20</v>
      </c>
      <c r="H2803" s="1400" t="s">
        <v>21</v>
      </c>
      <c r="I2803" s="1400" t="s">
        <v>361</v>
      </c>
      <c r="J2803" s="1400" t="s">
        <v>353</v>
      </c>
      <c r="K2803" s="1400" t="s">
        <v>23</v>
      </c>
      <c r="L2803" s="1400" t="s">
        <v>24</v>
      </c>
      <c r="M2803" s="1400" t="s">
        <v>27</v>
      </c>
      <c r="N2803" s="1400" t="s">
        <v>178</v>
      </c>
      <c r="O2803" s="1400" t="s">
        <v>1</v>
      </c>
      <c r="P2803" s="1400" t="s">
        <v>29</v>
      </c>
      <c r="Q2803" s="1400" t="s">
        <v>33</v>
      </c>
      <c r="R2803" s="1401"/>
      <c r="S2803" s="361"/>
      <c r="T2803" s="361" t="s">
        <v>39</v>
      </c>
      <c r="U2803" s="362">
        <f>VLOOKUP(B2805,'Thong tin'!$A:$M,13,0)</f>
        <v>1200</v>
      </c>
      <c r="V2803" s="361"/>
      <c r="W2803" s="361"/>
    </row>
    <row r="2804" spans="1:23">
      <c r="A2804" s="1402"/>
      <c r="B2804" s="1402"/>
      <c r="C2804" s="1036"/>
      <c r="D2804" s="873"/>
      <c r="E2804" s="1402"/>
      <c r="F2804" s="1402"/>
      <c r="G2804" s="1402"/>
      <c r="H2804" s="1402"/>
      <c r="I2804" s="1402"/>
      <c r="J2804" s="1402"/>
      <c r="K2804" s="1402"/>
      <c r="L2804" s="1402"/>
      <c r="M2804" s="1402"/>
      <c r="N2804" s="1402"/>
      <c r="O2804" s="1402"/>
      <c r="P2804" s="1402"/>
      <c r="Q2804" s="1402"/>
      <c r="R2804" s="1402"/>
      <c r="S2804" s="361"/>
      <c r="T2804" s="1399" t="s">
        <v>393</v>
      </c>
      <c r="U2804" s="1397">
        <f>VLOOKUP(B2805,DT.NK!$B:$AZ,45,0)</f>
        <v>30.05</v>
      </c>
      <c r="V2804" s="361"/>
      <c r="W2804" s="361"/>
    </row>
    <row r="2805" spans="1:23">
      <c r="A2805" s="1409">
        <f>A2785+1</f>
        <v>141</v>
      </c>
      <c r="B2805" s="1412" t="s">
        <v>693</v>
      </c>
      <c r="C2805" s="1037" t="s">
        <v>983</v>
      </c>
      <c r="D2805" s="874" t="str">
        <f>B2805&amp;C2805</f>
        <v>A132a</v>
      </c>
      <c r="E2805" s="363"/>
      <c r="F2805" s="364"/>
      <c r="G2805" s="364"/>
      <c r="H2805" s="364"/>
      <c r="I2805" s="364"/>
      <c r="J2805" s="364"/>
      <c r="K2805" s="364"/>
      <c r="L2805" s="364"/>
      <c r="M2805" s="674"/>
      <c r="N2805" s="670"/>
      <c r="O2805" s="670">
        <f>U2804</f>
        <v>30.05</v>
      </c>
      <c r="P2805" s="670">
        <f>O2805</f>
        <v>30.05</v>
      </c>
      <c r="Q2805" s="670">
        <v>0</v>
      </c>
      <c r="R2805" s="365"/>
      <c r="S2805" s="366"/>
      <c r="T2805" s="1399"/>
      <c r="U2805" s="1398"/>
      <c r="V2805" s="361"/>
      <c r="W2805" s="361"/>
    </row>
    <row r="2806" spans="1:23">
      <c r="A2806" s="1410"/>
      <c r="B2806" s="1413"/>
      <c r="C2806" s="1038" t="s">
        <v>984</v>
      </c>
      <c r="D2806" s="875" t="str">
        <f>B2805&amp;C2806</f>
        <v>A132b</v>
      </c>
      <c r="E2806" s="367">
        <v>1</v>
      </c>
      <c r="F2806" s="669" t="s">
        <v>1096</v>
      </c>
      <c r="G2806" s="369">
        <v>0.98611111111111116</v>
      </c>
      <c r="H2806" s="368">
        <v>2.0833333333333332E-2</v>
      </c>
      <c r="I2806" s="368">
        <v>3.125E-2</v>
      </c>
      <c r="J2806" s="368">
        <v>3.6111111111111115E-2</v>
      </c>
      <c r="K2806" s="669">
        <v>10</v>
      </c>
      <c r="L2806" s="669">
        <v>19</v>
      </c>
      <c r="M2806" s="675">
        <v>29.35</v>
      </c>
      <c r="N2806" s="671">
        <f>IF(M2806-P2806&gt;0,M2806-P2806,0)</f>
        <v>2.6500000000000021</v>
      </c>
      <c r="O2806" s="671">
        <f>O2805-K2806/(PI()*(U2803/2000)^2)</f>
        <v>21.208058717116927</v>
      </c>
      <c r="P2806" s="672">
        <v>26.7</v>
      </c>
      <c r="Q2806" s="673">
        <f>ABS(O2806-P2806)</f>
        <v>5.4919412828830723</v>
      </c>
      <c r="R2806" s="375" t="s">
        <v>188</v>
      </c>
      <c r="S2806" s="366"/>
      <c r="T2806" s="376"/>
      <c r="U2806" s="376"/>
      <c r="V2806" s="366"/>
      <c r="W2806" s="366"/>
    </row>
    <row r="2807" spans="1:23">
      <c r="A2807" s="1410"/>
      <c r="B2807" s="1413"/>
      <c r="C2807" s="1038" t="s">
        <v>985</v>
      </c>
      <c r="D2807" s="875" t="str">
        <f>B2805&amp;C2807</f>
        <v>A132c</v>
      </c>
      <c r="E2807" s="367">
        <v>2</v>
      </c>
      <c r="F2807" s="669" t="s">
        <v>1019</v>
      </c>
      <c r="G2807" s="369">
        <v>0.9916666666666667</v>
      </c>
      <c r="H2807" s="368">
        <v>3.4722222222222224E-2</v>
      </c>
      <c r="I2807" s="368">
        <v>4.1666666666666664E-2</v>
      </c>
      <c r="J2807" s="368">
        <v>4.6527777777777779E-2</v>
      </c>
      <c r="K2807" s="669">
        <v>10</v>
      </c>
      <c r="L2807" s="669">
        <v>19</v>
      </c>
      <c r="M2807" s="675">
        <v>25.2</v>
      </c>
      <c r="N2807" s="671">
        <f>IF(M2807-P2807&gt;0,M2807-P2807,0)</f>
        <v>2.3999999999999986</v>
      </c>
      <c r="O2807" s="671">
        <f>O2806-K2807/(PI()*(U2803/2000)^2)</f>
        <v>12.366117434233853</v>
      </c>
      <c r="P2807" s="672">
        <v>22.8</v>
      </c>
      <c r="Q2807" s="673">
        <f>ABS(O2807-P2807)</f>
        <v>10.433882565766147</v>
      </c>
      <c r="R2807" s="375" t="s">
        <v>188</v>
      </c>
      <c r="S2807" s="366"/>
      <c r="T2807" s="376"/>
      <c r="U2807" s="376"/>
      <c r="V2807" s="366"/>
      <c r="W2807" s="366"/>
    </row>
    <row r="2808" spans="1:23">
      <c r="A2808" s="1410"/>
      <c r="B2808" s="1413"/>
      <c r="C2808" s="1038" t="s">
        <v>986</v>
      </c>
      <c r="D2808" s="875" t="str">
        <f>B2805&amp;C2808</f>
        <v>A132d</v>
      </c>
      <c r="E2808" s="367">
        <v>3</v>
      </c>
      <c r="F2808" s="669" t="s">
        <v>1091</v>
      </c>
      <c r="G2808" s="369">
        <v>6.9444444444444447E-4</v>
      </c>
      <c r="H2808" s="368">
        <v>4.1666666666666664E-2</v>
      </c>
      <c r="I2808" s="368">
        <v>5.2083333333333336E-2</v>
      </c>
      <c r="J2808" s="368">
        <v>5.6944444444444443E-2</v>
      </c>
      <c r="K2808" s="669">
        <v>10</v>
      </c>
      <c r="L2808" s="669">
        <v>20</v>
      </c>
      <c r="M2808" s="675">
        <v>22.05</v>
      </c>
      <c r="N2808" s="671">
        <f t="shared" ref="N2808" si="310">IF(M2808-P2808&gt;0,M2808-P2808,0)</f>
        <v>4.5500000000000007</v>
      </c>
      <c r="O2808" s="671">
        <f>O2807-K2808/(PI()*(U2803/2000)^2)</f>
        <v>3.5241761513507797</v>
      </c>
      <c r="P2808" s="672">
        <v>17.5</v>
      </c>
      <c r="Q2808" s="673">
        <f t="shared" ref="Q2808" si="311">ABS(O2808-P2808)</f>
        <v>13.97582384864922</v>
      </c>
      <c r="R2808" s="375" t="s">
        <v>188</v>
      </c>
      <c r="S2808" s="366"/>
      <c r="T2808" s="376"/>
      <c r="U2808" s="376"/>
      <c r="V2808" s="366"/>
      <c r="W2808" s="366"/>
    </row>
    <row r="2809" spans="1:23">
      <c r="A2809" s="1410"/>
      <c r="B2809" s="1413"/>
      <c r="C2809" s="1038" t="s">
        <v>987</v>
      </c>
      <c r="D2809" s="875" t="str">
        <f>B2805&amp;C2809</f>
        <v>A132e</v>
      </c>
      <c r="E2809" s="367">
        <v>4</v>
      </c>
      <c r="F2809" s="669" t="s">
        <v>982</v>
      </c>
      <c r="G2809" s="369">
        <v>1.3888888888888888E-2</v>
      </c>
      <c r="H2809" s="368">
        <v>5.2083333333333336E-2</v>
      </c>
      <c r="I2809" s="368">
        <v>6.5972222222222224E-2</v>
      </c>
      <c r="J2809" s="368">
        <v>7.0833333333333331E-2</v>
      </c>
      <c r="K2809" s="669">
        <v>10</v>
      </c>
      <c r="L2809" s="669">
        <v>18.5</v>
      </c>
      <c r="M2809" s="675">
        <v>15.75</v>
      </c>
      <c r="N2809" s="671">
        <f t="shared" ref="N2809:N2810" si="312">IF(M2809-P2809&gt;0,M2809-P2809,0)</f>
        <v>3.0500000000000007</v>
      </c>
      <c r="O2809" s="671">
        <f>O2808-K2809/(PI()*(U2803/2000)^2)</f>
        <v>-5.317765131532294</v>
      </c>
      <c r="P2809" s="672">
        <v>12.7</v>
      </c>
      <c r="Q2809" s="673">
        <f t="shared" ref="Q2809:Q2810" si="313">ABS(O2809-P2809)</f>
        <v>18.017765131532293</v>
      </c>
      <c r="R2809" s="375"/>
      <c r="S2809" s="366"/>
      <c r="T2809" s="376"/>
      <c r="U2809" s="376"/>
      <c r="V2809" s="366"/>
      <c r="W2809" s="366"/>
    </row>
    <row r="2810" spans="1:23">
      <c r="A2810" s="1410"/>
      <c r="B2810" s="1413"/>
      <c r="C2810" s="1038" t="s">
        <v>988</v>
      </c>
      <c r="D2810" s="875" t="str">
        <f>B2805&amp;C2810</f>
        <v>A132f</v>
      </c>
      <c r="E2810" s="367">
        <v>5</v>
      </c>
      <c r="F2810" s="669" t="s">
        <v>1096</v>
      </c>
      <c r="G2810" s="369">
        <v>7.6388888888888895E-2</v>
      </c>
      <c r="H2810" s="368">
        <v>9.375E-2</v>
      </c>
      <c r="I2810" s="368">
        <v>9.8611111111111108E-2</v>
      </c>
      <c r="J2810" s="368">
        <v>0.10416666666666667</v>
      </c>
      <c r="K2810" s="669">
        <v>10</v>
      </c>
      <c r="L2810" s="669">
        <v>19</v>
      </c>
      <c r="M2810" s="675">
        <v>15.75</v>
      </c>
      <c r="N2810" s="671">
        <f t="shared" si="312"/>
        <v>9.25</v>
      </c>
      <c r="O2810" s="671">
        <f>O2809-K2810/(PI()*(U2803/2000)^2)</f>
        <v>-14.159706414415368</v>
      </c>
      <c r="P2810" s="672">
        <v>6.5</v>
      </c>
      <c r="Q2810" s="673">
        <f t="shared" si="313"/>
        <v>20.659706414415368</v>
      </c>
      <c r="R2810" s="375"/>
      <c r="S2810" s="366" t="s">
        <v>190</v>
      </c>
      <c r="T2810" s="376"/>
      <c r="U2810" s="376"/>
      <c r="V2810" s="366"/>
      <c r="W2810" s="366"/>
    </row>
    <row r="2811" spans="1:23">
      <c r="A2811" s="1410"/>
      <c r="B2811" s="1413"/>
      <c r="C2811" s="1038" t="s">
        <v>989</v>
      </c>
      <c r="D2811" s="875" t="str">
        <f>B2805&amp;C2811</f>
        <v>A132g</v>
      </c>
      <c r="E2811" s="367">
        <v>6</v>
      </c>
      <c r="F2811" s="669"/>
      <c r="G2811" s="368"/>
      <c r="H2811" s="368"/>
      <c r="I2811" s="368"/>
      <c r="J2811" s="368"/>
      <c r="K2811" s="370"/>
      <c r="L2811" s="370"/>
      <c r="M2811" s="371"/>
      <c r="N2811" s="671"/>
      <c r="O2811" s="671"/>
      <c r="P2811" s="373"/>
      <c r="Q2811" s="673"/>
      <c r="R2811" s="378"/>
      <c r="S2811" s="366" t="s">
        <v>190</v>
      </c>
      <c r="T2811" s="366"/>
      <c r="U2811" s="366"/>
      <c r="V2811" s="366"/>
      <c r="W2811" s="366"/>
    </row>
    <row r="2812" spans="1:23">
      <c r="A2812" s="1410"/>
      <c r="B2812" s="1413"/>
      <c r="C2812" s="1038" t="s">
        <v>990</v>
      </c>
      <c r="D2812" s="875" t="str">
        <f>B2805&amp;C2812</f>
        <v>A132h</v>
      </c>
      <c r="E2812" s="367">
        <v>7</v>
      </c>
      <c r="F2812" s="669"/>
      <c r="G2812" s="368"/>
      <c r="H2812" s="368"/>
      <c r="I2812" s="368"/>
      <c r="J2812" s="368"/>
      <c r="K2812" s="370"/>
      <c r="L2812" s="370"/>
      <c r="M2812" s="371"/>
      <c r="N2812" s="671"/>
      <c r="O2812" s="671"/>
      <c r="P2812" s="373"/>
      <c r="Q2812" s="673"/>
      <c r="R2812" s="378"/>
      <c r="S2812" s="366" t="s">
        <v>190</v>
      </c>
      <c r="T2812" s="366"/>
      <c r="U2812" s="366"/>
      <c r="V2812" s="366"/>
      <c r="W2812" s="366"/>
    </row>
    <row r="2813" spans="1:23">
      <c r="A2813" s="1410"/>
      <c r="B2813" s="1413"/>
      <c r="C2813" s="1038" t="s">
        <v>991</v>
      </c>
      <c r="D2813" s="875" t="str">
        <f>B2805&amp;C2813</f>
        <v>A132i</v>
      </c>
      <c r="E2813" s="367">
        <v>8</v>
      </c>
      <c r="F2813" s="669"/>
      <c r="G2813" s="368"/>
      <c r="H2813" s="368"/>
      <c r="I2813" s="368"/>
      <c r="J2813" s="368"/>
      <c r="K2813" s="370"/>
      <c r="L2813" s="370"/>
      <c r="M2813" s="371"/>
      <c r="N2813" s="671"/>
      <c r="O2813" s="671"/>
      <c r="P2813" s="373"/>
      <c r="Q2813" s="673"/>
      <c r="R2813" s="378"/>
      <c r="S2813" s="366"/>
      <c r="T2813" s="366"/>
      <c r="U2813" s="366"/>
      <c r="V2813" s="366"/>
      <c r="W2813" s="366"/>
    </row>
    <row r="2814" spans="1:23">
      <c r="A2814" s="1410"/>
      <c r="B2814" s="1413"/>
      <c r="C2814" s="1038" t="s">
        <v>992</v>
      </c>
      <c r="D2814" s="875" t="str">
        <f>B2805&amp;C2814</f>
        <v>A132k</v>
      </c>
      <c r="E2814" s="367">
        <v>9</v>
      </c>
      <c r="F2814" s="370"/>
      <c r="G2814" s="368"/>
      <c r="H2814" s="368"/>
      <c r="I2814" s="368"/>
      <c r="J2814" s="368"/>
      <c r="K2814" s="370"/>
      <c r="L2814" s="370"/>
      <c r="M2814" s="371"/>
      <c r="N2814" s="372"/>
      <c r="O2814" s="372"/>
      <c r="P2814" s="373"/>
      <c r="Q2814" s="374"/>
      <c r="R2814" s="378"/>
      <c r="S2814" s="379"/>
      <c r="T2814" s="366"/>
      <c r="U2814" s="366"/>
      <c r="V2814" s="366"/>
      <c r="W2814" s="366"/>
    </row>
    <row r="2815" spans="1:23">
      <c r="A2815" s="1410"/>
      <c r="B2815" s="1413"/>
      <c r="C2815" s="1038" t="s">
        <v>993</v>
      </c>
      <c r="D2815" s="875" t="str">
        <f>B2805&amp;C2815</f>
        <v>A132l</v>
      </c>
      <c r="E2815" s="367">
        <v>10</v>
      </c>
      <c r="F2815" s="370"/>
      <c r="G2815" s="368"/>
      <c r="H2815" s="368"/>
      <c r="I2815" s="368"/>
      <c r="J2815" s="368"/>
      <c r="K2815" s="370"/>
      <c r="L2815" s="370"/>
      <c r="M2815" s="370"/>
      <c r="N2815" s="372"/>
      <c r="O2815" s="372"/>
      <c r="P2815" s="373"/>
      <c r="Q2815" s="374"/>
      <c r="R2815" s="378"/>
      <c r="S2815" s="379"/>
      <c r="T2815" s="366"/>
      <c r="U2815" s="366"/>
      <c r="V2815" s="366"/>
      <c r="W2815" s="366"/>
    </row>
    <row r="2816" spans="1:23">
      <c r="A2816" s="1410"/>
      <c r="B2816" s="1413"/>
      <c r="C2816" s="1038" t="s">
        <v>994</v>
      </c>
      <c r="D2816" s="875" t="str">
        <f>B2805&amp;C2816</f>
        <v>A132m</v>
      </c>
      <c r="E2816" s="367">
        <v>11</v>
      </c>
      <c r="F2816" s="370"/>
      <c r="G2816" s="368"/>
      <c r="H2816" s="368"/>
      <c r="I2816" s="368"/>
      <c r="J2816" s="368"/>
      <c r="K2816" s="370"/>
      <c r="L2816" s="370"/>
      <c r="M2816" s="370"/>
      <c r="N2816" s="372"/>
      <c r="O2816" s="372"/>
      <c r="P2816" s="380"/>
      <c r="Q2816" s="374"/>
      <c r="R2816" s="381"/>
      <c r="S2816" s="379"/>
      <c r="T2816" s="366"/>
      <c r="U2816" s="366"/>
      <c r="V2816" s="366"/>
      <c r="W2816" s="366"/>
    </row>
    <row r="2817" spans="1:23">
      <c r="A2817" s="1410"/>
      <c r="B2817" s="1413"/>
      <c r="C2817" s="1038" t="s">
        <v>995</v>
      </c>
      <c r="D2817" s="875" t="str">
        <f>B2805&amp;C2817</f>
        <v>A132n</v>
      </c>
      <c r="E2817" s="367">
        <v>12</v>
      </c>
      <c r="F2817" s="370"/>
      <c r="G2817" s="368"/>
      <c r="H2817" s="368"/>
      <c r="I2817" s="368"/>
      <c r="J2817" s="368"/>
      <c r="K2817" s="370"/>
      <c r="L2817" s="370"/>
      <c r="M2817" s="370"/>
      <c r="N2817" s="372"/>
      <c r="O2817" s="372"/>
      <c r="P2817" s="380"/>
      <c r="Q2817" s="374"/>
      <c r="R2817" s="381"/>
      <c r="S2817" s="361"/>
      <c r="T2817" s="361"/>
      <c r="U2817" s="361"/>
      <c r="V2817" s="366"/>
      <c r="W2817" s="366"/>
    </row>
    <row r="2818" spans="1:23">
      <c r="A2818" s="1410"/>
      <c r="B2818" s="1413"/>
      <c r="C2818" s="1038" t="s">
        <v>471</v>
      </c>
      <c r="D2818" s="875" t="str">
        <f>B2805&amp;C2818</f>
        <v>A132x</v>
      </c>
      <c r="E2818" s="367">
        <v>13</v>
      </c>
      <c r="F2818" s="370"/>
      <c r="G2818" s="368"/>
      <c r="H2818" s="368"/>
      <c r="I2818" s="368"/>
      <c r="J2818" s="368"/>
      <c r="K2818" s="370"/>
      <c r="L2818" s="370"/>
      <c r="M2818" s="370"/>
      <c r="N2818" s="382"/>
      <c r="O2818" s="372"/>
      <c r="P2818" s="380"/>
      <c r="Q2818" s="381"/>
      <c r="R2818" s="381"/>
      <c r="S2818" s="361"/>
      <c r="T2818" s="361"/>
      <c r="U2818" s="361"/>
      <c r="V2818" s="366"/>
      <c r="W2818" s="366"/>
    </row>
    <row r="2819" spans="1:23">
      <c r="A2819" s="1410"/>
      <c r="B2819" s="1413"/>
      <c r="C2819" s="1038" t="s">
        <v>732</v>
      </c>
      <c r="D2819" s="875" t="str">
        <f>B2805&amp;C2819</f>
        <v>A132y</v>
      </c>
      <c r="E2819" s="367">
        <v>14</v>
      </c>
      <c r="F2819" s="370"/>
      <c r="G2819" s="368"/>
      <c r="H2819" s="368"/>
      <c r="I2819" s="368"/>
      <c r="J2819" s="368"/>
      <c r="K2819" s="370"/>
      <c r="L2819" s="370"/>
      <c r="M2819" s="370"/>
      <c r="N2819" s="382"/>
      <c r="O2819" s="372"/>
      <c r="P2819" s="380"/>
      <c r="Q2819" s="381"/>
      <c r="R2819" s="381"/>
      <c r="S2819" s="361"/>
      <c r="T2819" s="361"/>
      <c r="U2819" s="362"/>
      <c r="V2819" s="366"/>
      <c r="W2819" s="366"/>
    </row>
    <row r="2820" spans="1:23">
      <c r="A2820" s="1411"/>
      <c r="B2820" s="1414"/>
      <c r="C2820" s="1039" t="s">
        <v>996</v>
      </c>
      <c r="D2820" s="876" t="str">
        <f>B2805&amp;C2820</f>
        <v>A132z</v>
      </c>
      <c r="E2820" s="847">
        <v>15</v>
      </c>
      <c r="F2820" s="370"/>
      <c r="G2820" s="368"/>
      <c r="H2820" s="368"/>
      <c r="I2820" s="368"/>
      <c r="J2820" s="368"/>
      <c r="K2820" s="370"/>
      <c r="L2820" s="370"/>
      <c r="M2820" s="370"/>
      <c r="N2820" s="850"/>
      <c r="O2820" s="851"/>
      <c r="P2820" s="380"/>
      <c r="Q2820" s="852"/>
      <c r="R2820" s="383"/>
      <c r="S2820" s="361"/>
      <c r="T2820" s="1033"/>
      <c r="U2820" s="1032"/>
      <c r="V2820" s="366"/>
      <c r="W2820" s="366"/>
    </row>
    <row r="2821" spans="1:23">
      <c r="A2821" s="1400" t="s">
        <v>939</v>
      </c>
      <c r="B2821" s="1400"/>
      <c r="C2821" s="1043"/>
      <c r="D2821" s="871"/>
      <c r="E2821" s="1400" t="s">
        <v>177</v>
      </c>
      <c r="F2821" s="1400" t="s">
        <v>18</v>
      </c>
      <c r="G2821" s="1389" t="s">
        <v>19</v>
      </c>
      <c r="H2821" s="1390"/>
      <c r="I2821" s="1389" t="s">
        <v>22</v>
      </c>
      <c r="J2821" s="1390"/>
      <c r="K2821" s="1393" t="s">
        <v>26</v>
      </c>
      <c r="L2821" s="1390"/>
      <c r="M2821" s="1389" t="s">
        <v>392</v>
      </c>
      <c r="N2821" s="1390"/>
      <c r="O2821" s="1389" t="s">
        <v>28</v>
      </c>
      <c r="P2821" s="1393"/>
      <c r="Q2821" s="1390"/>
      <c r="R2821" s="1400" t="s">
        <v>36</v>
      </c>
      <c r="S2821" s="361"/>
      <c r="T2821" s="361">
        <f>MAX(J2825:J2839)-MIN(I2825:I2839)</f>
        <v>9.3749999999999986E-2</v>
      </c>
      <c r="U2821" s="361"/>
      <c r="V2821" s="853" t="str">
        <f t="shared" ref="V2821" si="314">B2825</f>
        <v>A87</v>
      </c>
      <c r="W2821" s="361">
        <f t="shared" ref="W2821" si="315">COUNTIF(K2826:K2840,"&gt;0")</f>
        <v>5</v>
      </c>
    </row>
    <row r="2822" spans="1:23">
      <c r="A2822" s="1401"/>
      <c r="B2822" s="1401"/>
      <c r="C2822" s="1044"/>
      <c r="D2822" s="872"/>
      <c r="E2822" s="1401"/>
      <c r="F2822" s="1401"/>
      <c r="G2822" s="1391"/>
      <c r="H2822" s="1392"/>
      <c r="I2822" s="1391"/>
      <c r="J2822" s="1392"/>
      <c r="K2822" s="1394"/>
      <c r="L2822" s="1392"/>
      <c r="M2822" s="1391"/>
      <c r="N2822" s="1392"/>
      <c r="O2822" s="1391"/>
      <c r="P2822" s="1394"/>
      <c r="Q2822" s="1392"/>
      <c r="R2822" s="1401"/>
      <c r="S2822" s="361"/>
      <c r="T2822" s="361"/>
      <c r="U2822" s="361"/>
      <c r="V2822" s="361"/>
      <c r="W2822" s="361"/>
    </row>
    <row r="2823" spans="1:23">
      <c r="A2823" s="1401"/>
      <c r="B2823" s="1401"/>
      <c r="C2823" s="1044"/>
      <c r="D2823" s="872"/>
      <c r="E2823" s="1401"/>
      <c r="F2823" s="1401"/>
      <c r="G2823" s="1400" t="s">
        <v>20</v>
      </c>
      <c r="H2823" s="1400" t="s">
        <v>21</v>
      </c>
      <c r="I2823" s="1400" t="s">
        <v>361</v>
      </c>
      <c r="J2823" s="1400" t="s">
        <v>353</v>
      </c>
      <c r="K2823" s="1400" t="s">
        <v>23</v>
      </c>
      <c r="L2823" s="1400" t="s">
        <v>24</v>
      </c>
      <c r="M2823" s="1400" t="s">
        <v>27</v>
      </c>
      <c r="N2823" s="1400" t="s">
        <v>178</v>
      </c>
      <c r="O2823" s="1400" t="s">
        <v>1</v>
      </c>
      <c r="P2823" s="1400" t="s">
        <v>29</v>
      </c>
      <c r="Q2823" s="1400" t="s">
        <v>33</v>
      </c>
      <c r="R2823" s="1401"/>
      <c r="S2823" s="361"/>
      <c r="T2823" s="361" t="s">
        <v>39</v>
      </c>
      <c r="U2823" s="362">
        <f>VLOOKUP(B2825,'Thong tin'!$A:$M,13,0)</f>
        <v>1200</v>
      </c>
      <c r="V2823" s="361"/>
      <c r="W2823" s="361"/>
    </row>
    <row r="2824" spans="1:23">
      <c r="A2824" s="1402"/>
      <c r="B2824" s="1402"/>
      <c r="C2824" s="1045"/>
      <c r="D2824" s="873"/>
      <c r="E2824" s="1402"/>
      <c r="F2824" s="1402"/>
      <c r="G2824" s="1402"/>
      <c r="H2824" s="1402"/>
      <c r="I2824" s="1402"/>
      <c r="J2824" s="1402"/>
      <c r="K2824" s="1402"/>
      <c r="L2824" s="1402"/>
      <c r="M2824" s="1402"/>
      <c r="N2824" s="1402"/>
      <c r="O2824" s="1402"/>
      <c r="P2824" s="1402"/>
      <c r="Q2824" s="1402"/>
      <c r="R2824" s="1402"/>
      <c r="S2824" s="361"/>
      <c r="T2824" s="1399" t="s">
        <v>393</v>
      </c>
      <c r="U2824" s="1397">
        <f>VLOOKUP(B2825,DT.NK!$B:$AZ,45,0)</f>
        <v>42.85</v>
      </c>
      <c r="V2824" s="361"/>
      <c r="W2824" s="361"/>
    </row>
    <row r="2825" spans="1:23">
      <c r="A2825" s="1409">
        <f>A2805+1</f>
        <v>142</v>
      </c>
      <c r="B2825" s="1412" t="s">
        <v>692</v>
      </c>
      <c r="C2825" s="1046" t="s">
        <v>983</v>
      </c>
      <c r="D2825" s="874" t="str">
        <f>B2825&amp;C2825</f>
        <v>A87a</v>
      </c>
      <c r="E2825" s="363"/>
      <c r="F2825" s="364"/>
      <c r="G2825" s="364"/>
      <c r="H2825" s="364"/>
      <c r="I2825" s="364"/>
      <c r="J2825" s="364"/>
      <c r="K2825" s="364"/>
      <c r="L2825" s="364"/>
      <c r="M2825" s="674"/>
      <c r="N2825" s="670"/>
      <c r="O2825" s="670">
        <f>U2824</f>
        <v>42.85</v>
      </c>
      <c r="P2825" s="670">
        <f>O2825</f>
        <v>42.85</v>
      </c>
      <c r="Q2825" s="670">
        <v>0</v>
      </c>
      <c r="R2825" s="365"/>
      <c r="S2825" s="366"/>
      <c r="T2825" s="1399"/>
      <c r="U2825" s="1398"/>
      <c r="V2825" s="361"/>
      <c r="W2825" s="361"/>
    </row>
    <row r="2826" spans="1:23">
      <c r="A2826" s="1410"/>
      <c r="B2826" s="1413"/>
      <c r="C2826" s="1047" t="s">
        <v>984</v>
      </c>
      <c r="D2826" s="875" t="str">
        <f>B2825&amp;C2826</f>
        <v>A87b</v>
      </c>
      <c r="E2826" s="367">
        <v>1</v>
      </c>
      <c r="F2826" s="669" t="s">
        <v>1096</v>
      </c>
      <c r="G2826" s="369">
        <v>5.4166666666666669E-2</v>
      </c>
      <c r="H2826" s="368">
        <v>7.2916666666666671E-2</v>
      </c>
      <c r="I2826" s="368">
        <v>8.6805555555555566E-2</v>
      </c>
      <c r="J2826" s="368">
        <v>9.375E-2</v>
      </c>
      <c r="K2826" s="669">
        <v>10</v>
      </c>
      <c r="L2826" s="669">
        <v>19</v>
      </c>
      <c r="M2826" s="675">
        <v>42.45</v>
      </c>
      <c r="N2826" s="671">
        <f>IF(M2826-P2826&gt;0,M2826-P2826,0)</f>
        <v>3.25</v>
      </c>
      <c r="O2826" s="671">
        <f>O2825-K2826/(PI()*(U2823/2000)^2)</f>
        <v>34.008058717116924</v>
      </c>
      <c r="P2826" s="672">
        <v>39.200000000000003</v>
      </c>
      <c r="Q2826" s="673">
        <f>ABS(O2826-P2826)</f>
        <v>5.1919412828830787</v>
      </c>
      <c r="R2826" s="375" t="s">
        <v>188</v>
      </c>
      <c r="S2826" s="366"/>
      <c r="T2826" s="376"/>
      <c r="U2826" s="376"/>
      <c r="V2826" s="366"/>
      <c r="W2826" s="366"/>
    </row>
    <row r="2827" spans="1:23">
      <c r="A2827" s="1410"/>
      <c r="B2827" s="1413"/>
      <c r="C2827" s="1047" t="s">
        <v>985</v>
      </c>
      <c r="D2827" s="875" t="str">
        <f>B2825&amp;C2827</f>
        <v>A87c</v>
      </c>
      <c r="E2827" s="367">
        <v>2</v>
      </c>
      <c r="F2827" s="669" t="s">
        <v>1091</v>
      </c>
      <c r="G2827" s="369">
        <v>6.3194444444444442E-2</v>
      </c>
      <c r="H2827" s="368">
        <v>8.3333333333333329E-2</v>
      </c>
      <c r="I2827" s="368">
        <v>0.10069444444444443</v>
      </c>
      <c r="J2827" s="368">
        <v>0.1076388888888889</v>
      </c>
      <c r="K2827" s="669">
        <v>10</v>
      </c>
      <c r="L2827" s="669">
        <v>19</v>
      </c>
      <c r="M2827" s="675">
        <v>38.299999999999997</v>
      </c>
      <c r="N2827" s="671">
        <f>IF(M2827-P2827&gt;0,M2827-P2827,0)</f>
        <v>4.7999999999999972</v>
      </c>
      <c r="O2827" s="671">
        <f>O2826-K2827/(PI()*(U2823/2000)^2)</f>
        <v>25.166117434233851</v>
      </c>
      <c r="P2827" s="672">
        <v>33.5</v>
      </c>
      <c r="Q2827" s="673">
        <f>ABS(O2827-P2827)</f>
        <v>8.3338825657661495</v>
      </c>
      <c r="R2827" s="375" t="s">
        <v>188</v>
      </c>
      <c r="S2827" s="366"/>
      <c r="T2827" s="376"/>
      <c r="U2827" s="376"/>
      <c r="V2827" s="366"/>
      <c r="W2827" s="366"/>
    </row>
    <row r="2828" spans="1:23">
      <c r="A2828" s="1410"/>
      <c r="B2828" s="1413"/>
      <c r="C2828" s="1047" t="s">
        <v>986</v>
      </c>
      <c r="D2828" s="875" t="str">
        <f>B2825&amp;C2828</f>
        <v>A87d</v>
      </c>
      <c r="E2828" s="367">
        <v>3</v>
      </c>
      <c r="F2828" s="669" t="s">
        <v>1085</v>
      </c>
      <c r="G2828" s="369">
        <v>7.013888888888889E-2</v>
      </c>
      <c r="H2828" s="368">
        <v>9.0277777777777776E-2</v>
      </c>
      <c r="I2828" s="368">
        <v>0.1111111111111111</v>
      </c>
      <c r="J2828" s="368">
        <v>0.11805555555555557</v>
      </c>
      <c r="K2828" s="669">
        <v>10</v>
      </c>
      <c r="L2828" s="669">
        <v>20</v>
      </c>
      <c r="M2828" s="675">
        <v>28.85</v>
      </c>
      <c r="N2828" s="671">
        <f t="shared" ref="N2828:N2830" si="316">IF(M2828-P2828&gt;0,M2828-P2828,0)</f>
        <v>4.2000000000000028</v>
      </c>
      <c r="O2828" s="671">
        <f>O2827-K2828/(PI()*(U2823/2000)^2)</f>
        <v>16.324176151350777</v>
      </c>
      <c r="P2828" s="672">
        <v>24.65</v>
      </c>
      <c r="Q2828" s="673">
        <f t="shared" ref="Q2828:Q2830" si="317">ABS(O2828-P2828)</f>
        <v>8.3258238486492218</v>
      </c>
      <c r="R2828" s="375" t="s">
        <v>188</v>
      </c>
      <c r="S2828" s="366"/>
      <c r="T2828" s="376"/>
      <c r="U2828" s="376"/>
      <c r="V2828" s="366"/>
      <c r="W2828" s="366"/>
    </row>
    <row r="2829" spans="1:23">
      <c r="A2829" s="1410"/>
      <c r="B2829" s="1413"/>
      <c r="C2829" s="1047" t="s">
        <v>987</v>
      </c>
      <c r="D2829" s="875" t="str">
        <f>B2825&amp;C2829</f>
        <v>A87e</v>
      </c>
      <c r="E2829" s="367">
        <v>4</v>
      </c>
      <c r="F2829" s="669" t="s">
        <v>1096</v>
      </c>
      <c r="G2829" s="369">
        <v>0.12986111111111112</v>
      </c>
      <c r="H2829" s="368">
        <v>0.14583333333333334</v>
      </c>
      <c r="I2829" s="368">
        <v>0.15277777777777776</v>
      </c>
      <c r="J2829" s="368">
        <v>0.15972222222222224</v>
      </c>
      <c r="K2829" s="669">
        <v>10</v>
      </c>
      <c r="L2829" s="669">
        <v>19</v>
      </c>
      <c r="M2829" s="675">
        <v>19.399999999999999</v>
      </c>
      <c r="N2829" s="671">
        <f t="shared" si="316"/>
        <v>2.6999999999999993</v>
      </c>
      <c r="O2829" s="671">
        <f>O2828-K2829/(PI()*(U2823/2000)^2)</f>
        <v>7.4822348684677031</v>
      </c>
      <c r="P2829" s="672">
        <v>16.7</v>
      </c>
      <c r="Q2829" s="673">
        <f t="shared" si="317"/>
        <v>9.2177651315322962</v>
      </c>
      <c r="R2829" s="375"/>
      <c r="S2829" s="366"/>
      <c r="T2829" s="376"/>
      <c r="U2829" s="376"/>
      <c r="V2829" s="366"/>
      <c r="W2829" s="366"/>
    </row>
    <row r="2830" spans="1:23">
      <c r="A2830" s="1410"/>
      <c r="B2830" s="1413"/>
      <c r="C2830" s="1047" t="s">
        <v>988</v>
      </c>
      <c r="D2830" s="875" t="str">
        <f>B2825&amp;C2830</f>
        <v>A87f</v>
      </c>
      <c r="E2830" s="367">
        <v>5</v>
      </c>
      <c r="F2830" s="669" t="s">
        <v>1091</v>
      </c>
      <c r="G2830" s="369">
        <v>0.14375000000000002</v>
      </c>
      <c r="H2830" s="368">
        <v>0.16666666666666666</v>
      </c>
      <c r="I2830" s="368">
        <v>0.17361111111111113</v>
      </c>
      <c r="J2830" s="368">
        <v>0.18055555555555555</v>
      </c>
      <c r="K2830" s="669">
        <v>10</v>
      </c>
      <c r="L2830" s="669">
        <v>20</v>
      </c>
      <c r="M2830" s="675">
        <v>19.399999999999999</v>
      </c>
      <c r="N2830" s="671">
        <f t="shared" si="316"/>
        <v>11.099999999999998</v>
      </c>
      <c r="O2830" s="671">
        <f>O2829-K2830/(PI()*(U2823/2000)^2)</f>
        <v>-1.3597064144153705</v>
      </c>
      <c r="P2830" s="672">
        <v>8.3000000000000007</v>
      </c>
      <c r="Q2830" s="673">
        <f t="shared" si="317"/>
        <v>9.6597064144153713</v>
      </c>
      <c r="R2830" s="375"/>
      <c r="S2830" s="366" t="s">
        <v>190</v>
      </c>
      <c r="T2830" s="376"/>
      <c r="U2830" s="376"/>
      <c r="V2830" s="366"/>
      <c r="W2830" s="366"/>
    </row>
    <row r="2831" spans="1:23">
      <c r="A2831" s="1410"/>
      <c r="B2831" s="1413"/>
      <c r="C2831" s="1047" t="s">
        <v>989</v>
      </c>
      <c r="D2831" s="875" t="str">
        <f>B2825&amp;C2831</f>
        <v>A87g</v>
      </c>
      <c r="E2831" s="367">
        <v>6</v>
      </c>
      <c r="F2831" s="669"/>
      <c r="G2831" s="368"/>
      <c r="H2831" s="368"/>
      <c r="I2831" s="368"/>
      <c r="J2831" s="368"/>
      <c r="K2831" s="370"/>
      <c r="L2831" s="370"/>
      <c r="M2831" s="371"/>
      <c r="N2831" s="671"/>
      <c r="O2831" s="671"/>
      <c r="P2831" s="373"/>
      <c r="Q2831" s="673"/>
      <c r="R2831" s="378"/>
      <c r="S2831" s="366" t="s">
        <v>190</v>
      </c>
      <c r="T2831" s="366"/>
      <c r="U2831" s="366"/>
      <c r="V2831" s="366"/>
      <c r="W2831" s="366"/>
    </row>
    <row r="2832" spans="1:23">
      <c r="A2832" s="1410"/>
      <c r="B2832" s="1413"/>
      <c r="C2832" s="1047" t="s">
        <v>990</v>
      </c>
      <c r="D2832" s="875" t="str">
        <f>B2825&amp;C2832</f>
        <v>A87h</v>
      </c>
      <c r="E2832" s="367">
        <v>7</v>
      </c>
      <c r="F2832" s="669"/>
      <c r="G2832" s="368"/>
      <c r="H2832" s="368"/>
      <c r="I2832" s="368"/>
      <c r="J2832" s="368"/>
      <c r="K2832" s="370"/>
      <c r="L2832" s="370"/>
      <c r="M2832" s="371"/>
      <c r="N2832" s="671"/>
      <c r="O2832" s="671"/>
      <c r="P2832" s="373"/>
      <c r="Q2832" s="673"/>
      <c r="R2832" s="378"/>
      <c r="S2832" s="366" t="s">
        <v>190</v>
      </c>
      <c r="T2832" s="366"/>
      <c r="U2832" s="366"/>
      <c r="V2832" s="366"/>
      <c r="W2832" s="366"/>
    </row>
    <row r="2833" spans="1:23">
      <c r="A2833" s="1410"/>
      <c r="B2833" s="1413"/>
      <c r="C2833" s="1047" t="s">
        <v>991</v>
      </c>
      <c r="D2833" s="875" t="str">
        <f>B2825&amp;C2833</f>
        <v>A87i</v>
      </c>
      <c r="E2833" s="367">
        <v>8</v>
      </c>
      <c r="F2833" s="669"/>
      <c r="G2833" s="368"/>
      <c r="H2833" s="368"/>
      <c r="I2833" s="368"/>
      <c r="J2833" s="368"/>
      <c r="K2833" s="370"/>
      <c r="L2833" s="370"/>
      <c r="M2833" s="371"/>
      <c r="N2833" s="671"/>
      <c r="O2833" s="671"/>
      <c r="P2833" s="373"/>
      <c r="Q2833" s="673"/>
      <c r="R2833" s="378"/>
      <c r="S2833" s="366"/>
      <c r="T2833" s="366"/>
      <c r="U2833" s="366"/>
      <c r="V2833" s="366"/>
      <c r="W2833" s="366"/>
    </row>
    <row r="2834" spans="1:23">
      <c r="A2834" s="1410"/>
      <c r="B2834" s="1413"/>
      <c r="C2834" s="1047" t="s">
        <v>992</v>
      </c>
      <c r="D2834" s="875" t="str">
        <f>B2825&amp;C2834</f>
        <v>A87k</v>
      </c>
      <c r="E2834" s="367">
        <v>9</v>
      </c>
      <c r="F2834" s="370"/>
      <c r="G2834" s="368"/>
      <c r="H2834" s="368"/>
      <c r="I2834" s="368"/>
      <c r="J2834" s="368"/>
      <c r="K2834" s="370"/>
      <c r="L2834" s="370"/>
      <c r="M2834" s="371"/>
      <c r="N2834" s="372"/>
      <c r="O2834" s="372"/>
      <c r="P2834" s="373"/>
      <c r="Q2834" s="374"/>
      <c r="R2834" s="378"/>
      <c r="S2834" s="379"/>
      <c r="T2834" s="366"/>
      <c r="U2834" s="366"/>
      <c r="V2834" s="366"/>
      <c r="W2834" s="366"/>
    </row>
    <row r="2835" spans="1:23">
      <c r="A2835" s="1410"/>
      <c r="B2835" s="1413"/>
      <c r="C2835" s="1047" t="s">
        <v>993</v>
      </c>
      <c r="D2835" s="875" t="str">
        <f>B2825&amp;C2835</f>
        <v>A87l</v>
      </c>
      <c r="E2835" s="367">
        <v>10</v>
      </c>
      <c r="F2835" s="370"/>
      <c r="G2835" s="368"/>
      <c r="H2835" s="368"/>
      <c r="I2835" s="368"/>
      <c r="J2835" s="368"/>
      <c r="K2835" s="370"/>
      <c r="L2835" s="370"/>
      <c r="M2835" s="370"/>
      <c r="N2835" s="372"/>
      <c r="O2835" s="372"/>
      <c r="P2835" s="373"/>
      <c r="Q2835" s="374"/>
      <c r="R2835" s="378"/>
      <c r="S2835" s="379"/>
      <c r="T2835" s="366"/>
      <c r="U2835" s="366"/>
      <c r="V2835" s="366"/>
      <c r="W2835" s="366"/>
    </row>
    <row r="2836" spans="1:23">
      <c r="A2836" s="1410"/>
      <c r="B2836" s="1413"/>
      <c r="C2836" s="1047" t="s">
        <v>994</v>
      </c>
      <c r="D2836" s="875" t="str">
        <f>B2825&amp;C2836</f>
        <v>A87m</v>
      </c>
      <c r="E2836" s="367">
        <v>11</v>
      </c>
      <c r="F2836" s="370"/>
      <c r="G2836" s="368"/>
      <c r="H2836" s="368"/>
      <c r="I2836" s="368"/>
      <c r="J2836" s="368"/>
      <c r="K2836" s="370"/>
      <c r="L2836" s="370"/>
      <c r="M2836" s="370"/>
      <c r="N2836" s="372"/>
      <c r="O2836" s="372"/>
      <c r="P2836" s="380"/>
      <c r="Q2836" s="374"/>
      <c r="R2836" s="381"/>
      <c r="S2836" s="379"/>
      <c r="T2836" s="366"/>
      <c r="U2836" s="366"/>
      <c r="V2836" s="366"/>
      <c r="W2836" s="366"/>
    </row>
    <row r="2837" spans="1:23">
      <c r="A2837" s="1410"/>
      <c r="B2837" s="1413"/>
      <c r="C2837" s="1047" t="s">
        <v>995</v>
      </c>
      <c r="D2837" s="875" t="str">
        <f>B2825&amp;C2837</f>
        <v>A87n</v>
      </c>
      <c r="E2837" s="367">
        <v>12</v>
      </c>
      <c r="F2837" s="370"/>
      <c r="G2837" s="368"/>
      <c r="H2837" s="368"/>
      <c r="I2837" s="368"/>
      <c r="J2837" s="368"/>
      <c r="K2837" s="370"/>
      <c r="L2837" s="370"/>
      <c r="M2837" s="370"/>
      <c r="N2837" s="372"/>
      <c r="O2837" s="372"/>
      <c r="P2837" s="380"/>
      <c r="Q2837" s="374"/>
      <c r="R2837" s="381"/>
      <c r="S2837" s="361"/>
      <c r="T2837" s="361"/>
      <c r="U2837" s="361"/>
      <c r="V2837" s="366"/>
      <c r="W2837" s="366"/>
    </row>
    <row r="2838" spans="1:23">
      <c r="A2838" s="1410"/>
      <c r="B2838" s="1413"/>
      <c r="C2838" s="1047" t="s">
        <v>471</v>
      </c>
      <c r="D2838" s="875" t="str">
        <f>B2825&amp;C2838</f>
        <v>A87x</v>
      </c>
      <c r="E2838" s="367">
        <v>13</v>
      </c>
      <c r="F2838" s="370"/>
      <c r="G2838" s="368"/>
      <c r="H2838" s="368"/>
      <c r="I2838" s="368"/>
      <c r="J2838" s="368"/>
      <c r="K2838" s="370"/>
      <c r="L2838" s="370"/>
      <c r="M2838" s="370"/>
      <c r="N2838" s="382"/>
      <c r="O2838" s="372"/>
      <c r="P2838" s="380"/>
      <c r="Q2838" s="381"/>
      <c r="R2838" s="381"/>
      <c r="S2838" s="361"/>
      <c r="T2838" s="361"/>
      <c r="U2838" s="361"/>
      <c r="V2838" s="366"/>
      <c r="W2838" s="366"/>
    </row>
    <row r="2839" spans="1:23">
      <c r="A2839" s="1410"/>
      <c r="B2839" s="1413"/>
      <c r="C2839" s="1047" t="s">
        <v>732</v>
      </c>
      <c r="D2839" s="875" t="str">
        <f>B2825&amp;C2839</f>
        <v>A87y</v>
      </c>
      <c r="E2839" s="367">
        <v>14</v>
      </c>
      <c r="F2839" s="370"/>
      <c r="G2839" s="368"/>
      <c r="H2839" s="368"/>
      <c r="I2839" s="368"/>
      <c r="J2839" s="368"/>
      <c r="K2839" s="370"/>
      <c r="L2839" s="370"/>
      <c r="M2839" s="370"/>
      <c r="N2839" s="382"/>
      <c r="O2839" s="372"/>
      <c r="P2839" s="380"/>
      <c r="Q2839" s="381"/>
      <c r="R2839" s="381"/>
      <c r="S2839" s="361"/>
      <c r="T2839" s="361"/>
      <c r="U2839" s="362"/>
      <c r="V2839" s="366"/>
      <c r="W2839" s="366"/>
    </row>
    <row r="2840" spans="1:23">
      <c r="A2840" s="1411"/>
      <c r="B2840" s="1414"/>
      <c r="C2840" s="1048" t="s">
        <v>996</v>
      </c>
      <c r="D2840" s="876" t="str">
        <f>B2825&amp;C2840</f>
        <v>A87z</v>
      </c>
      <c r="E2840" s="847">
        <v>15</v>
      </c>
      <c r="F2840" s="370"/>
      <c r="G2840" s="368"/>
      <c r="H2840" s="368"/>
      <c r="I2840" s="368"/>
      <c r="J2840" s="368"/>
      <c r="K2840" s="370"/>
      <c r="L2840" s="370"/>
      <c r="M2840" s="370"/>
      <c r="N2840" s="850"/>
      <c r="O2840" s="851"/>
      <c r="P2840" s="380"/>
      <c r="Q2840" s="852"/>
      <c r="R2840" s="383"/>
      <c r="S2840" s="361"/>
      <c r="T2840" s="1042"/>
      <c r="U2840" s="1041"/>
      <c r="V2840" s="366"/>
      <c r="W2840" s="366"/>
    </row>
    <row r="2841" spans="1:23">
      <c r="A2841" s="1400" t="s">
        <v>939</v>
      </c>
      <c r="B2841" s="1400"/>
      <c r="C2841" s="1049"/>
      <c r="D2841" s="871"/>
      <c r="E2841" s="1400" t="s">
        <v>177</v>
      </c>
      <c r="F2841" s="1400" t="s">
        <v>18</v>
      </c>
      <c r="G2841" s="1389" t="s">
        <v>19</v>
      </c>
      <c r="H2841" s="1390"/>
      <c r="I2841" s="1389" t="s">
        <v>22</v>
      </c>
      <c r="J2841" s="1390"/>
      <c r="K2841" s="1393" t="s">
        <v>26</v>
      </c>
      <c r="L2841" s="1390"/>
      <c r="M2841" s="1389" t="s">
        <v>392</v>
      </c>
      <c r="N2841" s="1390"/>
      <c r="O2841" s="1389" t="s">
        <v>28</v>
      </c>
      <c r="P2841" s="1393"/>
      <c r="Q2841" s="1390"/>
      <c r="R2841" s="1400" t="s">
        <v>36</v>
      </c>
      <c r="S2841" s="361"/>
      <c r="T2841" s="361">
        <f>MAX(J2845:J2859)-MIN(I2845:I2859)</f>
        <v>0.11805555555555552</v>
      </c>
      <c r="U2841" s="361"/>
      <c r="V2841" s="853" t="str">
        <f t="shared" ref="V2841" si="318">B2845</f>
        <v>A64</v>
      </c>
      <c r="W2841" s="361">
        <f t="shared" ref="W2841" si="319">COUNTIF(K2846:K2860,"&gt;0")</f>
        <v>7</v>
      </c>
    </row>
    <row r="2842" spans="1:23">
      <c r="A2842" s="1401"/>
      <c r="B2842" s="1401"/>
      <c r="C2842" s="1051"/>
      <c r="D2842" s="872"/>
      <c r="E2842" s="1401"/>
      <c r="F2842" s="1401"/>
      <c r="G2842" s="1391"/>
      <c r="H2842" s="1392"/>
      <c r="I2842" s="1391"/>
      <c r="J2842" s="1392"/>
      <c r="K2842" s="1394"/>
      <c r="L2842" s="1392"/>
      <c r="M2842" s="1391"/>
      <c r="N2842" s="1392"/>
      <c r="O2842" s="1391"/>
      <c r="P2842" s="1394"/>
      <c r="Q2842" s="1392"/>
      <c r="R2842" s="1401"/>
      <c r="S2842" s="361"/>
      <c r="T2842" s="361"/>
      <c r="U2842" s="361"/>
      <c r="V2842" s="361"/>
      <c r="W2842" s="361"/>
    </row>
    <row r="2843" spans="1:23">
      <c r="A2843" s="1401"/>
      <c r="B2843" s="1401"/>
      <c r="C2843" s="1051"/>
      <c r="D2843" s="872"/>
      <c r="E2843" s="1401"/>
      <c r="F2843" s="1401"/>
      <c r="G2843" s="1400" t="s">
        <v>20</v>
      </c>
      <c r="H2843" s="1400" t="s">
        <v>21</v>
      </c>
      <c r="I2843" s="1400" t="s">
        <v>361</v>
      </c>
      <c r="J2843" s="1400" t="s">
        <v>353</v>
      </c>
      <c r="K2843" s="1400" t="s">
        <v>23</v>
      </c>
      <c r="L2843" s="1400" t="s">
        <v>24</v>
      </c>
      <c r="M2843" s="1400" t="s">
        <v>27</v>
      </c>
      <c r="N2843" s="1400" t="s">
        <v>178</v>
      </c>
      <c r="O2843" s="1400" t="s">
        <v>1</v>
      </c>
      <c r="P2843" s="1400" t="s">
        <v>29</v>
      </c>
      <c r="Q2843" s="1400" t="s">
        <v>33</v>
      </c>
      <c r="R2843" s="1401"/>
      <c r="S2843" s="361"/>
      <c r="T2843" s="361" t="s">
        <v>39</v>
      </c>
      <c r="U2843" s="362">
        <f>VLOOKUP(B2845,'Thong tin'!$A:$M,13,0)</f>
        <v>1200</v>
      </c>
      <c r="V2843" s="361"/>
      <c r="W2843" s="361"/>
    </row>
    <row r="2844" spans="1:23">
      <c r="A2844" s="1402"/>
      <c r="B2844" s="1402"/>
      <c r="C2844" s="1050"/>
      <c r="D2844" s="873"/>
      <c r="E2844" s="1402"/>
      <c r="F2844" s="1402"/>
      <c r="G2844" s="1402"/>
      <c r="H2844" s="1402"/>
      <c r="I2844" s="1402"/>
      <c r="J2844" s="1402"/>
      <c r="K2844" s="1402"/>
      <c r="L2844" s="1402"/>
      <c r="M2844" s="1402"/>
      <c r="N2844" s="1402"/>
      <c r="O2844" s="1402"/>
      <c r="P2844" s="1402"/>
      <c r="Q2844" s="1402"/>
      <c r="R2844" s="1402"/>
      <c r="S2844" s="361"/>
      <c r="T2844" s="1399" t="s">
        <v>393</v>
      </c>
      <c r="U2844" s="1397">
        <f>VLOOKUP(B2845,DT.NK!$B:$AZ,45,0)</f>
        <v>37.75</v>
      </c>
      <c r="V2844" s="361"/>
      <c r="W2844" s="361"/>
    </row>
    <row r="2845" spans="1:23">
      <c r="A2845" s="1409">
        <f>A2825+1</f>
        <v>143</v>
      </c>
      <c r="B2845" s="1412" t="s">
        <v>579</v>
      </c>
      <c r="C2845" s="1054" t="s">
        <v>983</v>
      </c>
      <c r="D2845" s="874" t="str">
        <f>B2845&amp;C2845</f>
        <v>A64a</v>
      </c>
      <c r="E2845" s="363"/>
      <c r="F2845" s="364"/>
      <c r="G2845" s="364"/>
      <c r="H2845" s="364"/>
      <c r="I2845" s="364"/>
      <c r="J2845" s="364"/>
      <c r="K2845" s="364"/>
      <c r="L2845" s="364"/>
      <c r="M2845" s="674"/>
      <c r="N2845" s="670"/>
      <c r="O2845" s="670">
        <f>U2844</f>
        <v>37.75</v>
      </c>
      <c r="P2845" s="670">
        <f>O2845</f>
        <v>37.75</v>
      </c>
      <c r="Q2845" s="670">
        <v>0</v>
      </c>
      <c r="R2845" s="365"/>
      <c r="S2845" s="366"/>
      <c r="T2845" s="1399"/>
      <c r="U2845" s="1398"/>
      <c r="V2845" s="361"/>
      <c r="W2845" s="361"/>
    </row>
    <row r="2846" spans="1:23">
      <c r="A2846" s="1410"/>
      <c r="B2846" s="1413"/>
      <c r="C2846" s="1055" t="s">
        <v>984</v>
      </c>
      <c r="D2846" s="875" t="str">
        <f>B2845&amp;C2846</f>
        <v>A64b</v>
      </c>
      <c r="E2846" s="367">
        <v>1</v>
      </c>
      <c r="F2846" s="669" t="s">
        <v>1085</v>
      </c>
      <c r="G2846" s="369">
        <v>0.17777777777777778</v>
      </c>
      <c r="H2846" s="368">
        <v>0.20138888888888887</v>
      </c>
      <c r="I2846" s="368">
        <v>0.21527777777777779</v>
      </c>
      <c r="J2846" s="368">
        <v>0.22222222222222221</v>
      </c>
      <c r="K2846" s="669">
        <v>10</v>
      </c>
      <c r="L2846" s="669">
        <v>19</v>
      </c>
      <c r="M2846" s="675">
        <v>37.65</v>
      </c>
      <c r="N2846" s="671">
        <f>IF(M2846-P2846&gt;0,M2846-P2846,0)</f>
        <v>1.6499999999999986</v>
      </c>
      <c r="O2846" s="671">
        <f>O2845-K2846/(PI()*(U2843/2000)^2)</f>
        <v>28.908058717116926</v>
      </c>
      <c r="P2846" s="672">
        <v>36</v>
      </c>
      <c r="Q2846" s="673">
        <f>ABS(O2846-P2846)</f>
        <v>7.0919412828830737</v>
      </c>
      <c r="R2846" s="375" t="s">
        <v>188</v>
      </c>
      <c r="S2846" s="366"/>
      <c r="T2846" s="376"/>
      <c r="U2846" s="376"/>
      <c r="V2846" s="366"/>
      <c r="W2846" s="366"/>
    </row>
    <row r="2847" spans="1:23">
      <c r="A2847" s="1410"/>
      <c r="B2847" s="1413"/>
      <c r="C2847" s="1055" t="s">
        <v>985</v>
      </c>
      <c r="D2847" s="875" t="str">
        <f>B2845&amp;C2847</f>
        <v>A64c</v>
      </c>
      <c r="E2847" s="367">
        <v>2</v>
      </c>
      <c r="F2847" s="669" t="s">
        <v>1096</v>
      </c>
      <c r="G2847" s="369">
        <v>0.18402777777777779</v>
      </c>
      <c r="H2847" s="368">
        <v>0.20833333333333334</v>
      </c>
      <c r="I2847" s="368">
        <v>0.22569444444444445</v>
      </c>
      <c r="J2847" s="368">
        <v>0.23263888888888887</v>
      </c>
      <c r="K2847" s="669">
        <v>10</v>
      </c>
      <c r="L2847" s="669">
        <v>19</v>
      </c>
      <c r="M2847" s="675">
        <v>36.65</v>
      </c>
      <c r="N2847" s="671">
        <f>IF(M2847-P2847&gt;0,M2847-P2847,0)</f>
        <v>3.1499999999999986</v>
      </c>
      <c r="O2847" s="671">
        <f>O2846-K2847/(PI()*(U2843/2000)^2)</f>
        <v>20.066117434233853</v>
      </c>
      <c r="P2847" s="672">
        <v>33.5</v>
      </c>
      <c r="Q2847" s="673">
        <f>ABS(O2847-P2847)</f>
        <v>13.433882565766147</v>
      </c>
      <c r="R2847" s="375" t="s">
        <v>188</v>
      </c>
      <c r="S2847" s="366"/>
      <c r="T2847" s="376"/>
      <c r="U2847" s="376"/>
      <c r="V2847" s="366"/>
      <c r="W2847" s="366"/>
    </row>
    <row r="2848" spans="1:23">
      <c r="A2848" s="1410"/>
      <c r="B2848" s="1413"/>
      <c r="C2848" s="1055" t="s">
        <v>986</v>
      </c>
      <c r="D2848" s="875" t="str">
        <f>B2845&amp;C2848</f>
        <v>A64d</v>
      </c>
      <c r="E2848" s="367">
        <v>3</v>
      </c>
      <c r="F2848" s="669" t="s">
        <v>1091</v>
      </c>
      <c r="G2848" s="369">
        <v>0.19027777777777777</v>
      </c>
      <c r="H2848" s="368">
        <v>0.21180555555555555</v>
      </c>
      <c r="I2848" s="368">
        <v>0.23611111111111113</v>
      </c>
      <c r="J2848" s="368">
        <v>0.24305555555555555</v>
      </c>
      <c r="K2848" s="669">
        <v>10</v>
      </c>
      <c r="L2848" s="669">
        <v>20</v>
      </c>
      <c r="M2848" s="675">
        <v>34.65</v>
      </c>
      <c r="N2848" s="671">
        <f t="shared" ref="N2848:N2852" si="320">IF(M2848-P2848&gt;0,M2848-P2848,0)</f>
        <v>3.5499999999999972</v>
      </c>
      <c r="O2848" s="671">
        <f>O2847-K2848/(PI()*(U2843/2000)^2)</f>
        <v>11.224176151350779</v>
      </c>
      <c r="P2848" s="672">
        <v>31.1</v>
      </c>
      <c r="Q2848" s="673">
        <f t="shared" ref="Q2848:Q2852" si="321">ABS(O2848-P2848)</f>
        <v>19.875823848649222</v>
      </c>
      <c r="R2848" s="375" t="s">
        <v>188</v>
      </c>
      <c r="S2848" s="366"/>
      <c r="T2848" s="376"/>
      <c r="U2848" s="376"/>
      <c r="V2848" s="366"/>
      <c r="W2848" s="366"/>
    </row>
    <row r="2849" spans="1:23">
      <c r="A2849" s="1410"/>
      <c r="B2849" s="1413"/>
      <c r="C2849" s="1055" t="s">
        <v>987</v>
      </c>
      <c r="D2849" s="875" t="str">
        <f>B2845&amp;C2849</f>
        <v>A64e</v>
      </c>
      <c r="E2849" s="367">
        <v>4</v>
      </c>
      <c r="F2849" s="669" t="s">
        <v>1085</v>
      </c>
      <c r="G2849" s="369">
        <v>0.22916666666666666</v>
      </c>
      <c r="H2849" s="368">
        <v>0.25</v>
      </c>
      <c r="I2849" s="368">
        <v>0.25694444444444448</v>
      </c>
      <c r="J2849" s="368">
        <v>0.2638888888888889</v>
      </c>
      <c r="K2849" s="669">
        <v>10</v>
      </c>
      <c r="L2849" s="669">
        <v>19</v>
      </c>
      <c r="M2849" s="675">
        <v>31.5</v>
      </c>
      <c r="N2849" s="671">
        <f t="shared" si="320"/>
        <v>4.8000000000000007</v>
      </c>
      <c r="O2849" s="671">
        <f>O2848-K2849/(PI()*(U2843/2000)^2)</f>
        <v>2.3822348684677053</v>
      </c>
      <c r="P2849" s="672">
        <v>26.7</v>
      </c>
      <c r="Q2849" s="673">
        <f t="shared" si="321"/>
        <v>24.317765131532294</v>
      </c>
      <c r="R2849" s="375"/>
      <c r="S2849" s="366"/>
      <c r="T2849" s="376"/>
      <c r="U2849" s="376"/>
      <c r="V2849" s="366"/>
      <c r="W2849" s="366"/>
    </row>
    <row r="2850" spans="1:23">
      <c r="A2850" s="1410"/>
      <c r="B2850" s="1413"/>
      <c r="C2850" s="1055" t="s">
        <v>988</v>
      </c>
      <c r="D2850" s="875" t="str">
        <f>B2845&amp;C2850</f>
        <v>A64f</v>
      </c>
      <c r="E2850" s="367">
        <v>5</v>
      </c>
      <c r="F2850" s="669" t="s">
        <v>1096</v>
      </c>
      <c r="G2850" s="369">
        <v>0.24166666666666667</v>
      </c>
      <c r="H2850" s="368">
        <v>0.26041666666666669</v>
      </c>
      <c r="I2850" s="368">
        <v>0.27083333333333331</v>
      </c>
      <c r="J2850" s="368">
        <v>0.27777777777777779</v>
      </c>
      <c r="K2850" s="669">
        <v>10</v>
      </c>
      <c r="L2850" s="669">
        <v>20</v>
      </c>
      <c r="M2850" s="675">
        <v>28.35</v>
      </c>
      <c r="N2850" s="671">
        <f t="shared" si="320"/>
        <v>5.2000000000000028</v>
      </c>
      <c r="O2850" s="671">
        <f>O2849-K2850/(PI()*(U2843/2000)^2)</f>
        <v>-6.4597064144153684</v>
      </c>
      <c r="P2850" s="672">
        <v>23.15</v>
      </c>
      <c r="Q2850" s="673">
        <f t="shared" si="321"/>
        <v>29.609706414415367</v>
      </c>
      <c r="R2850" s="375"/>
      <c r="S2850" s="366" t="s">
        <v>190</v>
      </c>
      <c r="T2850" s="376"/>
      <c r="U2850" s="376"/>
      <c r="V2850" s="366"/>
      <c r="W2850" s="366"/>
    </row>
    <row r="2851" spans="1:23">
      <c r="A2851" s="1410"/>
      <c r="B2851" s="1413"/>
      <c r="C2851" s="1055" t="s">
        <v>989</v>
      </c>
      <c r="D2851" s="875" t="str">
        <f>B2845&amp;C2851</f>
        <v>A64g</v>
      </c>
      <c r="E2851" s="367">
        <v>6</v>
      </c>
      <c r="F2851" s="669" t="s">
        <v>1091</v>
      </c>
      <c r="G2851" s="368">
        <v>0.26041666666666669</v>
      </c>
      <c r="H2851" s="368">
        <v>0.28819444444444448</v>
      </c>
      <c r="I2851" s="368">
        <v>0.2951388888888889</v>
      </c>
      <c r="J2851" s="368">
        <v>0.30208333333333331</v>
      </c>
      <c r="K2851" s="370">
        <v>10</v>
      </c>
      <c r="L2851" s="370">
        <v>19</v>
      </c>
      <c r="M2851" s="371">
        <v>18.899999999999999</v>
      </c>
      <c r="N2851" s="671">
        <f t="shared" si="320"/>
        <v>3.1999999999999993</v>
      </c>
      <c r="O2851" s="671">
        <f>O2850-K2851/(PI()*(U2843/2000)^2)</f>
        <v>-15.301647697298442</v>
      </c>
      <c r="P2851" s="373">
        <v>15.7</v>
      </c>
      <c r="Q2851" s="673">
        <f t="shared" si="321"/>
        <v>31.001647697298441</v>
      </c>
      <c r="R2851" s="378"/>
      <c r="S2851" s="366" t="s">
        <v>190</v>
      </c>
      <c r="T2851" s="366"/>
      <c r="U2851" s="366"/>
      <c r="V2851" s="366"/>
      <c r="W2851" s="366"/>
    </row>
    <row r="2852" spans="1:23">
      <c r="A2852" s="1410"/>
      <c r="B2852" s="1413"/>
      <c r="C2852" s="1055" t="s">
        <v>990</v>
      </c>
      <c r="D2852" s="875" t="str">
        <f>B2845&amp;C2852</f>
        <v>A64h</v>
      </c>
      <c r="E2852" s="367">
        <v>7</v>
      </c>
      <c r="F2852" s="669" t="s">
        <v>1085</v>
      </c>
      <c r="G2852" s="368">
        <v>0.29722222222222222</v>
      </c>
      <c r="H2852" s="368">
        <v>0.31944444444444448</v>
      </c>
      <c r="I2852" s="368">
        <v>0.3263888888888889</v>
      </c>
      <c r="J2852" s="368">
        <v>0.33333333333333331</v>
      </c>
      <c r="K2852" s="370">
        <v>10</v>
      </c>
      <c r="L2852" s="370">
        <v>19</v>
      </c>
      <c r="M2852" s="371">
        <v>12.6</v>
      </c>
      <c r="N2852" s="671">
        <f t="shared" si="320"/>
        <v>5.3</v>
      </c>
      <c r="O2852" s="671">
        <f>O2851-K2852/(PI()*(U2843/2000)^2)</f>
        <v>-24.143588980181516</v>
      </c>
      <c r="P2852" s="373">
        <v>7.3</v>
      </c>
      <c r="Q2852" s="673">
        <f t="shared" si="321"/>
        <v>31.443588980181516</v>
      </c>
      <c r="R2852" s="378"/>
      <c r="S2852" s="366" t="s">
        <v>190</v>
      </c>
      <c r="T2852" s="366"/>
      <c r="U2852" s="366"/>
      <c r="V2852" s="366"/>
      <c r="W2852" s="366"/>
    </row>
    <row r="2853" spans="1:23">
      <c r="A2853" s="1410"/>
      <c r="B2853" s="1413"/>
      <c r="C2853" s="1055" t="s">
        <v>991</v>
      </c>
      <c r="D2853" s="875" t="str">
        <f>B2845&amp;C2853</f>
        <v>A64i</v>
      </c>
      <c r="E2853" s="367">
        <v>8</v>
      </c>
      <c r="F2853" s="669"/>
      <c r="G2853" s="368"/>
      <c r="H2853" s="368"/>
      <c r="I2853" s="368"/>
      <c r="J2853" s="368"/>
      <c r="K2853" s="370"/>
      <c r="L2853" s="370"/>
      <c r="M2853" s="371"/>
      <c r="N2853" s="671"/>
      <c r="O2853" s="671"/>
      <c r="P2853" s="373"/>
      <c r="Q2853" s="673"/>
      <c r="R2853" s="378"/>
      <c r="S2853" s="366"/>
      <c r="T2853" s="366"/>
      <c r="U2853" s="366"/>
      <c r="V2853" s="366"/>
      <c r="W2853" s="366"/>
    </row>
    <row r="2854" spans="1:23">
      <c r="A2854" s="1410"/>
      <c r="B2854" s="1413"/>
      <c r="C2854" s="1055" t="s">
        <v>992</v>
      </c>
      <c r="D2854" s="875" t="str">
        <f>B2845&amp;C2854</f>
        <v>A64k</v>
      </c>
      <c r="E2854" s="367">
        <v>9</v>
      </c>
      <c r="F2854" s="370"/>
      <c r="G2854" s="368"/>
      <c r="H2854" s="368"/>
      <c r="I2854" s="368"/>
      <c r="J2854" s="368"/>
      <c r="K2854" s="370"/>
      <c r="L2854" s="370"/>
      <c r="M2854" s="371"/>
      <c r="N2854" s="372"/>
      <c r="O2854" s="372"/>
      <c r="P2854" s="373"/>
      <c r="Q2854" s="374"/>
      <c r="R2854" s="378"/>
      <c r="S2854" s="379"/>
      <c r="T2854" s="366"/>
      <c r="U2854" s="366"/>
      <c r="V2854" s="366"/>
      <c r="W2854" s="366"/>
    </row>
    <row r="2855" spans="1:23">
      <c r="A2855" s="1410"/>
      <c r="B2855" s="1413"/>
      <c r="C2855" s="1055" t="s">
        <v>993</v>
      </c>
      <c r="D2855" s="875" t="str">
        <f>B2845&amp;C2855</f>
        <v>A64l</v>
      </c>
      <c r="E2855" s="367">
        <v>10</v>
      </c>
      <c r="F2855" s="370"/>
      <c r="G2855" s="368"/>
      <c r="H2855" s="368"/>
      <c r="I2855" s="368"/>
      <c r="J2855" s="368"/>
      <c r="K2855" s="370"/>
      <c r="L2855" s="370"/>
      <c r="M2855" s="370"/>
      <c r="N2855" s="372"/>
      <c r="O2855" s="372"/>
      <c r="P2855" s="373"/>
      <c r="Q2855" s="374"/>
      <c r="R2855" s="378"/>
      <c r="S2855" s="379"/>
      <c r="T2855" s="366"/>
      <c r="U2855" s="366"/>
      <c r="V2855" s="366"/>
      <c r="W2855" s="366"/>
    </row>
    <row r="2856" spans="1:23">
      <c r="A2856" s="1410"/>
      <c r="B2856" s="1413"/>
      <c r="C2856" s="1055" t="s">
        <v>994</v>
      </c>
      <c r="D2856" s="875" t="str">
        <f>B2845&amp;C2856</f>
        <v>A64m</v>
      </c>
      <c r="E2856" s="367">
        <v>11</v>
      </c>
      <c r="F2856" s="370"/>
      <c r="G2856" s="368"/>
      <c r="H2856" s="368"/>
      <c r="I2856" s="368"/>
      <c r="J2856" s="368"/>
      <c r="K2856" s="370"/>
      <c r="L2856" s="370"/>
      <c r="M2856" s="370"/>
      <c r="N2856" s="372"/>
      <c r="O2856" s="372"/>
      <c r="P2856" s="380"/>
      <c r="Q2856" s="374"/>
      <c r="R2856" s="381"/>
      <c r="S2856" s="379"/>
      <c r="T2856" s="366"/>
      <c r="U2856" s="366"/>
      <c r="V2856" s="366"/>
      <c r="W2856" s="366"/>
    </row>
    <row r="2857" spans="1:23">
      <c r="A2857" s="1410"/>
      <c r="B2857" s="1413"/>
      <c r="C2857" s="1055" t="s">
        <v>995</v>
      </c>
      <c r="D2857" s="875" t="str">
        <f>B2845&amp;C2857</f>
        <v>A64n</v>
      </c>
      <c r="E2857" s="367">
        <v>12</v>
      </c>
      <c r="F2857" s="370"/>
      <c r="G2857" s="368"/>
      <c r="H2857" s="368"/>
      <c r="I2857" s="368"/>
      <c r="J2857" s="368"/>
      <c r="K2857" s="370"/>
      <c r="L2857" s="370"/>
      <c r="M2857" s="370"/>
      <c r="N2857" s="372"/>
      <c r="O2857" s="372"/>
      <c r="P2857" s="380"/>
      <c r="Q2857" s="374"/>
      <c r="R2857" s="381"/>
      <c r="S2857" s="361"/>
      <c r="T2857" s="361"/>
      <c r="U2857" s="361"/>
      <c r="V2857" s="366"/>
      <c r="W2857" s="366"/>
    </row>
    <row r="2858" spans="1:23">
      <c r="A2858" s="1410"/>
      <c r="B2858" s="1413"/>
      <c r="C2858" s="1055" t="s">
        <v>471</v>
      </c>
      <c r="D2858" s="875" t="str">
        <f>B2845&amp;C2858</f>
        <v>A64x</v>
      </c>
      <c r="E2858" s="367">
        <v>13</v>
      </c>
      <c r="F2858" s="370"/>
      <c r="G2858" s="368"/>
      <c r="H2858" s="368"/>
      <c r="I2858" s="368"/>
      <c r="J2858" s="368"/>
      <c r="K2858" s="370"/>
      <c r="L2858" s="370"/>
      <c r="M2858" s="370"/>
      <c r="N2858" s="382"/>
      <c r="O2858" s="372"/>
      <c r="P2858" s="380"/>
      <c r="Q2858" s="381"/>
      <c r="R2858" s="381"/>
      <c r="S2858" s="361"/>
      <c r="T2858" s="361"/>
      <c r="U2858" s="361"/>
      <c r="V2858" s="366"/>
      <c r="W2858" s="366"/>
    </row>
    <row r="2859" spans="1:23">
      <c r="A2859" s="1410"/>
      <c r="B2859" s="1413"/>
      <c r="C2859" s="1055" t="s">
        <v>732</v>
      </c>
      <c r="D2859" s="875" t="str">
        <f>B2845&amp;C2859</f>
        <v>A64y</v>
      </c>
      <c r="E2859" s="367">
        <v>14</v>
      </c>
      <c r="F2859" s="370"/>
      <c r="G2859" s="368"/>
      <c r="H2859" s="368"/>
      <c r="I2859" s="368"/>
      <c r="J2859" s="368"/>
      <c r="K2859" s="370"/>
      <c r="L2859" s="370"/>
      <c r="M2859" s="370"/>
      <c r="N2859" s="382"/>
      <c r="O2859" s="372"/>
      <c r="P2859" s="380"/>
      <c r="Q2859" s="381"/>
      <c r="R2859" s="381"/>
      <c r="S2859" s="361"/>
      <c r="T2859" s="361"/>
      <c r="U2859" s="362"/>
      <c r="V2859" s="366"/>
      <c r="W2859" s="366"/>
    </row>
    <row r="2860" spans="1:23">
      <c r="A2860" s="1411"/>
      <c r="B2860" s="1414"/>
      <c r="C2860" s="1056" t="s">
        <v>996</v>
      </c>
      <c r="D2860" s="876" t="str">
        <f>B2845&amp;C2860</f>
        <v>A64z</v>
      </c>
      <c r="E2860" s="847">
        <v>15</v>
      </c>
      <c r="F2860" s="370"/>
      <c r="G2860" s="368"/>
      <c r="H2860" s="368"/>
      <c r="I2860" s="368"/>
      <c r="J2860" s="368"/>
      <c r="K2860" s="370"/>
      <c r="L2860" s="370"/>
      <c r="M2860" s="370"/>
      <c r="N2860" s="850"/>
      <c r="O2860" s="851"/>
      <c r="P2860" s="380"/>
      <c r="Q2860" s="852"/>
      <c r="R2860" s="383"/>
      <c r="S2860" s="361"/>
      <c r="T2860" s="1053"/>
      <c r="U2860" s="1052"/>
      <c r="V2860" s="366"/>
      <c r="W2860" s="366"/>
    </row>
    <row r="2861" spans="1:23">
      <c r="A2861" s="1400" t="s">
        <v>939</v>
      </c>
      <c r="B2861" s="1400"/>
      <c r="C2861" s="1060"/>
      <c r="D2861" s="871"/>
      <c r="E2861" s="1400" t="s">
        <v>177</v>
      </c>
      <c r="F2861" s="1400" t="s">
        <v>18</v>
      </c>
      <c r="G2861" s="1389" t="s">
        <v>19</v>
      </c>
      <c r="H2861" s="1390"/>
      <c r="I2861" s="1389" t="s">
        <v>22</v>
      </c>
      <c r="J2861" s="1390"/>
      <c r="K2861" s="1393" t="s">
        <v>26</v>
      </c>
      <c r="L2861" s="1390"/>
      <c r="M2861" s="1389" t="s">
        <v>392</v>
      </c>
      <c r="N2861" s="1390"/>
      <c r="O2861" s="1389" t="s">
        <v>28</v>
      </c>
      <c r="P2861" s="1393"/>
      <c r="Q2861" s="1390"/>
      <c r="R2861" s="1400" t="s">
        <v>36</v>
      </c>
      <c r="S2861" s="361"/>
      <c r="T2861" s="361">
        <f>MAX(J2865:J2879)-MIN(I2865:I2879)</f>
        <v>4.1666666666666741E-2</v>
      </c>
      <c r="U2861" s="361"/>
      <c r="V2861" s="853" t="str">
        <f t="shared" ref="V2861" si="322">B2865</f>
        <v>A160</v>
      </c>
      <c r="W2861" s="361">
        <f t="shared" ref="W2861" si="323">COUNTIF(K2866:K2880,"&gt;0")</f>
        <v>4</v>
      </c>
    </row>
    <row r="2862" spans="1:23">
      <c r="A2862" s="1401"/>
      <c r="B2862" s="1401"/>
      <c r="C2862" s="1061"/>
      <c r="D2862" s="872"/>
      <c r="E2862" s="1401"/>
      <c r="F2862" s="1401"/>
      <c r="G2862" s="1391"/>
      <c r="H2862" s="1392"/>
      <c r="I2862" s="1391"/>
      <c r="J2862" s="1392"/>
      <c r="K2862" s="1394"/>
      <c r="L2862" s="1392"/>
      <c r="M2862" s="1391"/>
      <c r="N2862" s="1392"/>
      <c r="O2862" s="1391"/>
      <c r="P2862" s="1394"/>
      <c r="Q2862" s="1392"/>
      <c r="R2862" s="1401"/>
      <c r="S2862" s="361"/>
      <c r="T2862" s="361"/>
      <c r="U2862" s="361"/>
      <c r="V2862" s="361"/>
      <c r="W2862" s="361"/>
    </row>
    <row r="2863" spans="1:23">
      <c r="A2863" s="1401"/>
      <c r="B2863" s="1401"/>
      <c r="C2863" s="1061"/>
      <c r="D2863" s="872"/>
      <c r="E2863" s="1401"/>
      <c r="F2863" s="1401"/>
      <c r="G2863" s="1400" t="s">
        <v>20</v>
      </c>
      <c r="H2863" s="1400" t="s">
        <v>21</v>
      </c>
      <c r="I2863" s="1400" t="s">
        <v>361</v>
      </c>
      <c r="J2863" s="1400" t="s">
        <v>353</v>
      </c>
      <c r="K2863" s="1400" t="s">
        <v>23</v>
      </c>
      <c r="L2863" s="1400" t="s">
        <v>24</v>
      </c>
      <c r="M2863" s="1400" t="s">
        <v>27</v>
      </c>
      <c r="N2863" s="1400" t="s">
        <v>178</v>
      </c>
      <c r="O2863" s="1400" t="s">
        <v>1</v>
      </c>
      <c r="P2863" s="1400" t="s">
        <v>29</v>
      </c>
      <c r="Q2863" s="1400" t="s">
        <v>33</v>
      </c>
      <c r="R2863" s="1401"/>
      <c r="S2863" s="361"/>
      <c r="T2863" s="361" t="s">
        <v>39</v>
      </c>
      <c r="U2863" s="362">
        <f>VLOOKUP(B2865,'Thong tin'!$A:$M,13,0)</f>
        <v>1200</v>
      </c>
      <c r="V2863" s="361"/>
      <c r="W2863" s="361"/>
    </row>
    <row r="2864" spans="1:23">
      <c r="A2864" s="1402"/>
      <c r="B2864" s="1402"/>
      <c r="C2864" s="1062"/>
      <c r="D2864" s="873"/>
      <c r="E2864" s="1402"/>
      <c r="F2864" s="1402"/>
      <c r="G2864" s="1402"/>
      <c r="H2864" s="1402"/>
      <c r="I2864" s="1402"/>
      <c r="J2864" s="1402"/>
      <c r="K2864" s="1402"/>
      <c r="L2864" s="1402"/>
      <c r="M2864" s="1402"/>
      <c r="N2864" s="1402"/>
      <c r="O2864" s="1402"/>
      <c r="P2864" s="1402"/>
      <c r="Q2864" s="1402"/>
      <c r="R2864" s="1402"/>
      <c r="S2864" s="361"/>
      <c r="T2864" s="1399" t="s">
        <v>393</v>
      </c>
      <c r="U2864" s="1397">
        <f>VLOOKUP(B2865,DT.NK!$B:$AZ,45,0)</f>
        <v>30.32</v>
      </c>
      <c r="V2864" s="361"/>
      <c r="W2864" s="361"/>
    </row>
    <row r="2865" spans="1:23">
      <c r="A2865" s="1409">
        <f>A2845+1</f>
        <v>144</v>
      </c>
      <c r="B2865" s="1412" t="s">
        <v>611</v>
      </c>
      <c r="C2865" s="1063" t="s">
        <v>983</v>
      </c>
      <c r="D2865" s="874" t="str">
        <f>B2865&amp;C2865</f>
        <v>A160a</v>
      </c>
      <c r="E2865" s="363"/>
      <c r="F2865" s="364"/>
      <c r="G2865" s="364"/>
      <c r="H2865" s="364"/>
      <c r="I2865" s="364"/>
      <c r="J2865" s="364"/>
      <c r="K2865" s="364"/>
      <c r="L2865" s="364"/>
      <c r="M2865" s="674"/>
      <c r="N2865" s="670"/>
      <c r="O2865" s="670">
        <f>U2864</f>
        <v>30.32</v>
      </c>
      <c r="P2865" s="670">
        <f>O2865</f>
        <v>30.32</v>
      </c>
      <c r="Q2865" s="670">
        <v>0</v>
      </c>
      <c r="R2865" s="365"/>
      <c r="S2865" s="366"/>
      <c r="T2865" s="1399"/>
      <c r="U2865" s="1398"/>
      <c r="V2865" s="361"/>
      <c r="W2865" s="361"/>
    </row>
    <row r="2866" spans="1:23">
      <c r="A2866" s="1410"/>
      <c r="B2866" s="1413"/>
      <c r="C2866" s="1064" t="s">
        <v>984</v>
      </c>
      <c r="D2866" s="875" t="str">
        <f>B2865&amp;C2866</f>
        <v>A160b</v>
      </c>
      <c r="E2866" s="367">
        <v>1</v>
      </c>
      <c r="F2866" s="669" t="s">
        <v>1085</v>
      </c>
      <c r="G2866" s="369">
        <v>0.58750000000000002</v>
      </c>
      <c r="H2866" s="368">
        <v>0.61111111111111105</v>
      </c>
      <c r="I2866" s="368">
        <v>0.63194444444444442</v>
      </c>
      <c r="J2866" s="368">
        <v>0.63680555555555551</v>
      </c>
      <c r="K2866" s="669">
        <v>10</v>
      </c>
      <c r="L2866" s="669">
        <v>19</v>
      </c>
      <c r="M2866" s="675">
        <v>30.2</v>
      </c>
      <c r="N2866" s="671">
        <f>IF(M2866-P2866&gt;0,M2866-P2866,0)</f>
        <v>3.6999999999999993</v>
      </c>
      <c r="O2866" s="671">
        <f>O2865-K2866/(PI()*(U2863/2000)^2)</f>
        <v>21.478058717116927</v>
      </c>
      <c r="P2866" s="672">
        <v>26.5</v>
      </c>
      <c r="Q2866" s="673">
        <f>ABS(O2866-P2866)</f>
        <v>5.0219412828830734</v>
      </c>
      <c r="R2866" s="375" t="s">
        <v>188</v>
      </c>
      <c r="S2866" s="366"/>
      <c r="T2866" s="376"/>
      <c r="U2866" s="376"/>
      <c r="V2866" s="366"/>
      <c r="W2866" s="366"/>
    </row>
    <row r="2867" spans="1:23">
      <c r="A2867" s="1410"/>
      <c r="B2867" s="1413"/>
      <c r="C2867" s="1064" t="s">
        <v>985</v>
      </c>
      <c r="D2867" s="875" t="str">
        <f>B2865&amp;C2867</f>
        <v>A160c</v>
      </c>
      <c r="E2867" s="367">
        <v>2</v>
      </c>
      <c r="F2867" s="669" t="s">
        <v>1096</v>
      </c>
      <c r="G2867" s="369">
        <v>0.59722222222222221</v>
      </c>
      <c r="H2867" s="368">
        <v>0.63541666666666663</v>
      </c>
      <c r="I2867" s="368">
        <v>0.64583333333333337</v>
      </c>
      <c r="J2867" s="368">
        <v>0.64930555555555558</v>
      </c>
      <c r="K2867" s="669">
        <v>10</v>
      </c>
      <c r="L2867" s="669">
        <v>19</v>
      </c>
      <c r="M2867" s="675">
        <v>25.05</v>
      </c>
      <c r="N2867" s="671">
        <f>IF(M2867-P2867&gt;0,M2867-P2867,0)</f>
        <v>5.3000000000000007</v>
      </c>
      <c r="O2867" s="671">
        <f>O2866-K2867/(PI()*(U2863/2000)^2)</f>
        <v>12.636117434233853</v>
      </c>
      <c r="P2867" s="672">
        <v>19.75</v>
      </c>
      <c r="Q2867" s="673">
        <f>ABS(O2867-P2867)</f>
        <v>7.1138825657661471</v>
      </c>
      <c r="R2867" s="375" t="s">
        <v>188</v>
      </c>
      <c r="S2867" s="366"/>
      <c r="T2867" s="376"/>
      <c r="U2867" s="376"/>
      <c r="V2867" s="366"/>
      <c r="W2867" s="366"/>
    </row>
    <row r="2868" spans="1:23">
      <c r="A2868" s="1410"/>
      <c r="B2868" s="1413"/>
      <c r="C2868" s="1064" t="s">
        <v>986</v>
      </c>
      <c r="D2868" s="875" t="str">
        <f>B2865&amp;C2868</f>
        <v>A160d</v>
      </c>
      <c r="E2868" s="367">
        <v>3</v>
      </c>
      <c r="F2868" s="669" t="s">
        <v>1091</v>
      </c>
      <c r="G2868" s="369">
        <v>0.60555555555555551</v>
      </c>
      <c r="H2868" s="368">
        <v>0.63888888888888895</v>
      </c>
      <c r="I2868" s="368">
        <v>0.65277777777777779</v>
      </c>
      <c r="J2868" s="368">
        <v>0.65625</v>
      </c>
      <c r="K2868" s="669">
        <v>10</v>
      </c>
      <c r="L2868" s="669">
        <v>20</v>
      </c>
      <c r="M2868" s="675"/>
      <c r="N2868" s="671">
        <f t="shared" ref="N2868:N2869" si="324">IF(M2868-P2868&gt;0,M2868-P2868,0)</f>
        <v>0</v>
      </c>
      <c r="O2868" s="671">
        <f>O2867-K2868/(PI()*(U2863/2000)^2)</f>
        <v>3.7941761513507792</v>
      </c>
      <c r="P2868" s="672">
        <v>10.9</v>
      </c>
      <c r="Q2868" s="673">
        <f t="shared" ref="Q2868:Q2869" si="325">ABS(O2868-P2868)</f>
        <v>7.1058238486492211</v>
      </c>
      <c r="R2868" s="375" t="s">
        <v>188</v>
      </c>
      <c r="S2868" s="366"/>
      <c r="T2868" s="376"/>
      <c r="U2868" s="376"/>
      <c r="V2868" s="366"/>
      <c r="W2868" s="366"/>
    </row>
    <row r="2869" spans="1:23">
      <c r="A2869" s="1410"/>
      <c r="B2869" s="1413"/>
      <c r="C2869" s="1064" t="s">
        <v>987</v>
      </c>
      <c r="D2869" s="875" t="str">
        <f>B2865&amp;C2869</f>
        <v>A160e</v>
      </c>
      <c r="E2869" s="367">
        <v>4</v>
      </c>
      <c r="F2869" s="669" t="s">
        <v>1089</v>
      </c>
      <c r="G2869" s="369">
        <v>0.64930555555555558</v>
      </c>
      <c r="H2869" s="368">
        <v>0.66666666666666663</v>
      </c>
      <c r="I2869" s="368">
        <v>0.67083333333333339</v>
      </c>
      <c r="J2869" s="368">
        <v>0.67361111111111116</v>
      </c>
      <c r="K2869" s="669">
        <v>5.5</v>
      </c>
      <c r="L2869" s="669">
        <v>19.5</v>
      </c>
      <c r="M2869" s="675"/>
      <c r="N2869" s="671">
        <f t="shared" si="324"/>
        <v>0</v>
      </c>
      <c r="O2869" s="671">
        <f>O2868-K2869/(PI()*(U2863/2000)^2)</f>
        <v>-1.068891554234912</v>
      </c>
      <c r="P2869" s="672">
        <v>6.8</v>
      </c>
      <c r="Q2869" s="673">
        <f t="shared" si="325"/>
        <v>7.8688915542349118</v>
      </c>
      <c r="R2869" s="375"/>
      <c r="S2869" s="366"/>
      <c r="T2869" s="376"/>
      <c r="U2869" s="376"/>
      <c r="V2869" s="366"/>
      <c r="W2869" s="366"/>
    </row>
    <row r="2870" spans="1:23">
      <c r="A2870" s="1410"/>
      <c r="B2870" s="1413"/>
      <c r="C2870" s="1064" t="s">
        <v>988</v>
      </c>
      <c r="D2870" s="875" t="str">
        <f>B2865&amp;C2870</f>
        <v>A160f</v>
      </c>
      <c r="E2870" s="367">
        <v>5</v>
      </c>
      <c r="F2870" s="669"/>
      <c r="G2870" s="368"/>
      <c r="H2870" s="368"/>
      <c r="I2870" s="368"/>
      <c r="J2870" s="368"/>
      <c r="K2870" s="370"/>
      <c r="L2870" s="370"/>
      <c r="M2870" s="371"/>
      <c r="N2870" s="671"/>
      <c r="O2870" s="671"/>
      <c r="P2870" s="373"/>
      <c r="Q2870" s="673"/>
      <c r="R2870" s="378"/>
      <c r="S2870" s="366" t="s">
        <v>190</v>
      </c>
      <c r="T2870" s="376"/>
      <c r="U2870" s="376"/>
      <c r="V2870" s="366"/>
      <c r="W2870" s="366"/>
    </row>
    <row r="2871" spans="1:23">
      <c r="A2871" s="1410"/>
      <c r="B2871" s="1413"/>
      <c r="C2871" s="1064" t="s">
        <v>989</v>
      </c>
      <c r="D2871" s="875" t="str">
        <f>B2865&amp;C2871</f>
        <v>A160g</v>
      </c>
      <c r="E2871" s="367">
        <v>6</v>
      </c>
      <c r="F2871" s="669"/>
      <c r="G2871" s="368"/>
      <c r="H2871" s="368"/>
      <c r="I2871" s="368"/>
      <c r="J2871" s="368"/>
      <c r="K2871" s="370"/>
      <c r="L2871" s="370"/>
      <c r="M2871" s="371"/>
      <c r="N2871" s="671"/>
      <c r="O2871" s="671"/>
      <c r="P2871" s="373"/>
      <c r="Q2871" s="673"/>
      <c r="R2871" s="378"/>
      <c r="S2871" s="366" t="s">
        <v>190</v>
      </c>
      <c r="T2871" s="366"/>
      <c r="U2871" s="366"/>
      <c r="V2871" s="366"/>
      <c r="W2871" s="366"/>
    </row>
    <row r="2872" spans="1:23">
      <c r="A2872" s="1410"/>
      <c r="B2872" s="1413"/>
      <c r="C2872" s="1064" t="s">
        <v>990</v>
      </c>
      <c r="D2872" s="875" t="str">
        <f>B2865&amp;C2872</f>
        <v>A160h</v>
      </c>
      <c r="E2872" s="367">
        <v>7</v>
      </c>
      <c r="F2872" s="669"/>
      <c r="G2872" s="368"/>
      <c r="H2872" s="368"/>
      <c r="I2872" s="368"/>
      <c r="J2872" s="368"/>
      <c r="K2872" s="370"/>
      <c r="L2872" s="370"/>
      <c r="M2872" s="371"/>
      <c r="N2872" s="671"/>
      <c r="O2872" s="671"/>
      <c r="P2872" s="373"/>
      <c r="Q2872" s="673"/>
      <c r="R2872" s="378"/>
      <c r="S2872" s="366" t="s">
        <v>190</v>
      </c>
      <c r="T2872" s="366"/>
      <c r="U2872" s="366"/>
      <c r="V2872" s="366"/>
      <c r="W2872" s="366"/>
    </row>
    <row r="2873" spans="1:23">
      <c r="A2873" s="1410"/>
      <c r="B2873" s="1413"/>
      <c r="C2873" s="1064" t="s">
        <v>991</v>
      </c>
      <c r="D2873" s="875" t="str">
        <f>B2865&amp;C2873</f>
        <v>A160i</v>
      </c>
      <c r="E2873" s="367">
        <v>8</v>
      </c>
      <c r="F2873" s="669"/>
      <c r="G2873" s="368"/>
      <c r="H2873" s="368"/>
      <c r="I2873" s="368"/>
      <c r="J2873" s="368"/>
      <c r="K2873" s="370"/>
      <c r="L2873" s="370"/>
      <c r="M2873" s="371"/>
      <c r="N2873" s="671"/>
      <c r="O2873" s="671"/>
      <c r="P2873" s="373"/>
      <c r="Q2873" s="673"/>
      <c r="R2873" s="378"/>
      <c r="S2873" s="366"/>
      <c r="T2873" s="366"/>
      <c r="U2873" s="366"/>
      <c r="V2873" s="366"/>
      <c r="W2873" s="366"/>
    </row>
    <row r="2874" spans="1:23">
      <c r="A2874" s="1410"/>
      <c r="B2874" s="1413"/>
      <c r="C2874" s="1064" t="s">
        <v>992</v>
      </c>
      <c r="D2874" s="875" t="str">
        <f>B2865&amp;C2874</f>
        <v>A160k</v>
      </c>
      <c r="E2874" s="367">
        <v>9</v>
      </c>
      <c r="F2874" s="370"/>
      <c r="G2874" s="368"/>
      <c r="H2874" s="368"/>
      <c r="I2874" s="368"/>
      <c r="J2874" s="368"/>
      <c r="K2874" s="370"/>
      <c r="L2874" s="370"/>
      <c r="M2874" s="371"/>
      <c r="N2874" s="372"/>
      <c r="O2874" s="372"/>
      <c r="P2874" s="373"/>
      <c r="Q2874" s="374"/>
      <c r="R2874" s="378"/>
      <c r="S2874" s="379"/>
      <c r="T2874" s="366"/>
      <c r="U2874" s="366"/>
      <c r="V2874" s="366"/>
      <c r="W2874" s="366"/>
    </row>
    <row r="2875" spans="1:23">
      <c r="A2875" s="1410"/>
      <c r="B2875" s="1413"/>
      <c r="C2875" s="1064" t="s">
        <v>993</v>
      </c>
      <c r="D2875" s="875" t="str">
        <f>B2865&amp;C2875</f>
        <v>A160l</v>
      </c>
      <c r="E2875" s="367">
        <v>10</v>
      </c>
      <c r="F2875" s="370"/>
      <c r="G2875" s="368"/>
      <c r="H2875" s="368"/>
      <c r="I2875" s="368"/>
      <c r="J2875" s="368"/>
      <c r="K2875" s="370"/>
      <c r="L2875" s="370"/>
      <c r="M2875" s="370"/>
      <c r="N2875" s="372"/>
      <c r="O2875" s="372"/>
      <c r="P2875" s="373"/>
      <c r="Q2875" s="374"/>
      <c r="R2875" s="378"/>
      <c r="S2875" s="379"/>
      <c r="T2875" s="366"/>
      <c r="U2875" s="366"/>
      <c r="V2875" s="366"/>
      <c r="W2875" s="366"/>
    </row>
    <row r="2876" spans="1:23">
      <c r="A2876" s="1410"/>
      <c r="B2876" s="1413"/>
      <c r="C2876" s="1064" t="s">
        <v>994</v>
      </c>
      <c r="D2876" s="875" t="str">
        <f>B2865&amp;C2876</f>
        <v>A160m</v>
      </c>
      <c r="E2876" s="367">
        <v>11</v>
      </c>
      <c r="F2876" s="370"/>
      <c r="G2876" s="368"/>
      <c r="H2876" s="368"/>
      <c r="I2876" s="368"/>
      <c r="J2876" s="368"/>
      <c r="K2876" s="370"/>
      <c r="L2876" s="370"/>
      <c r="M2876" s="370"/>
      <c r="N2876" s="372"/>
      <c r="O2876" s="372"/>
      <c r="P2876" s="380"/>
      <c r="Q2876" s="374"/>
      <c r="R2876" s="381"/>
      <c r="S2876" s="379"/>
      <c r="T2876" s="366"/>
      <c r="U2876" s="366"/>
      <c r="V2876" s="366"/>
      <c r="W2876" s="366"/>
    </row>
    <row r="2877" spans="1:23">
      <c r="A2877" s="1410"/>
      <c r="B2877" s="1413"/>
      <c r="C2877" s="1064" t="s">
        <v>995</v>
      </c>
      <c r="D2877" s="875" t="str">
        <f>B2865&amp;C2877</f>
        <v>A160n</v>
      </c>
      <c r="E2877" s="367">
        <v>12</v>
      </c>
      <c r="F2877" s="370"/>
      <c r="G2877" s="368"/>
      <c r="H2877" s="368"/>
      <c r="I2877" s="368"/>
      <c r="J2877" s="368"/>
      <c r="K2877" s="370"/>
      <c r="L2877" s="370"/>
      <c r="M2877" s="370"/>
      <c r="N2877" s="372"/>
      <c r="O2877" s="372"/>
      <c r="P2877" s="380"/>
      <c r="Q2877" s="374"/>
      <c r="R2877" s="381"/>
      <c r="S2877" s="361"/>
      <c r="T2877" s="361"/>
      <c r="U2877" s="361"/>
      <c r="V2877" s="366"/>
      <c r="W2877" s="366"/>
    </row>
    <row r="2878" spans="1:23">
      <c r="A2878" s="1410"/>
      <c r="B2878" s="1413"/>
      <c r="C2878" s="1064" t="s">
        <v>471</v>
      </c>
      <c r="D2878" s="875" t="str">
        <f>B2865&amp;C2878</f>
        <v>A160x</v>
      </c>
      <c r="E2878" s="367">
        <v>13</v>
      </c>
      <c r="F2878" s="370"/>
      <c r="G2878" s="368"/>
      <c r="H2878" s="368"/>
      <c r="I2878" s="368"/>
      <c r="J2878" s="368"/>
      <c r="K2878" s="370"/>
      <c r="L2878" s="370"/>
      <c r="M2878" s="370"/>
      <c r="N2878" s="382"/>
      <c r="O2878" s="372"/>
      <c r="P2878" s="380"/>
      <c r="Q2878" s="381"/>
      <c r="R2878" s="381"/>
      <c r="S2878" s="361"/>
      <c r="T2878" s="361"/>
      <c r="U2878" s="361"/>
      <c r="V2878" s="366"/>
      <c r="W2878" s="366"/>
    </row>
    <row r="2879" spans="1:23">
      <c r="A2879" s="1410"/>
      <c r="B2879" s="1413"/>
      <c r="C2879" s="1064" t="s">
        <v>732</v>
      </c>
      <c r="D2879" s="875" t="str">
        <f>B2865&amp;C2879</f>
        <v>A160y</v>
      </c>
      <c r="E2879" s="367">
        <v>14</v>
      </c>
      <c r="F2879" s="370"/>
      <c r="G2879" s="368"/>
      <c r="H2879" s="368"/>
      <c r="I2879" s="368"/>
      <c r="J2879" s="368"/>
      <c r="K2879" s="370"/>
      <c r="L2879" s="370"/>
      <c r="M2879" s="370"/>
      <c r="N2879" s="382"/>
      <c r="O2879" s="372"/>
      <c r="P2879" s="380"/>
      <c r="Q2879" s="381"/>
      <c r="R2879" s="381"/>
      <c r="S2879" s="361"/>
      <c r="T2879" s="361"/>
      <c r="U2879" s="362"/>
      <c r="V2879" s="366"/>
      <c r="W2879" s="366"/>
    </row>
    <row r="2880" spans="1:23">
      <c r="A2880" s="1411"/>
      <c r="B2880" s="1414"/>
      <c r="C2880" s="1065" t="s">
        <v>996</v>
      </c>
      <c r="D2880" s="876" t="str">
        <f>B2865&amp;C2880</f>
        <v>A160z</v>
      </c>
      <c r="E2880" s="847">
        <v>15</v>
      </c>
      <c r="F2880" s="370"/>
      <c r="G2880" s="368"/>
      <c r="H2880" s="368"/>
      <c r="I2880" s="368"/>
      <c r="J2880" s="368"/>
      <c r="K2880" s="370"/>
      <c r="L2880" s="370"/>
      <c r="M2880" s="370"/>
      <c r="N2880" s="850"/>
      <c r="O2880" s="851"/>
      <c r="P2880" s="380"/>
      <c r="Q2880" s="852"/>
      <c r="R2880" s="383"/>
      <c r="S2880" s="361"/>
      <c r="T2880" s="1059"/>
      <c r="U2880" s="1058"/>
      <c r="V2880" s="366"/>
      <c r="W2880" s="366"/>
    </row>
    <row r="2881" spans="1:23">
      <c r="A2881" s="1400" t="s">
        <v>939</v>
      </c>
      <c r="B2881" s="1400"/>
      <c r="C2881" s="1060"/>
      <c r="D2881" s="871"/>
      <c r="E2881" s="1400" t="s">
        <v>177</v>
      </c>
      <c r="F2881" s="1400" t="s">
        <v>18</v>
      </c>
      <c r="G2881" s="1389" t="s">
        <v>19</v>
      </c>
      <c r="H2881" s="1390"/>
      <c r="I2881" s="1389" t="s">
        <v>22</v>
      </c>
      <c r="J2881" s="1390"/>
      <c r="K2881" s="1393" t="s">
        <v>26</v>
      </c>
      <c r="L2881" s="1390"/>
      <c r="M2881" s="1389" t="s">
        <v>392</v>
      </c>
      <c r="N2881" s="1390"/>
      <c r="O2881" s="1389" t="s">
        <v>28</v>
      </c>
      <c r="P2881" s="1393"/>
      <c r="Q2881" s="1390"/>
      <c r="R2881" s="1400" t="s">
        <v>36</v>
      </c>
      <c r="S2881" s="361"/>
      <c r="T2881" s="361">
        <f>MAX(J2885:J2899)-MIN(I2885:I2899)</f>
        <v>7.7777777777777779E-2</v>
      </c>
      <c r="U2881" s="361"/>
      <c r="V2881" s="853" t="str">
        <f t="shared" ref="V2881" si="326">B2885</f>
        <v>A134</v>
      </c>
      <c r="W2881" s="361">
        <f t="shared" ref="W2881" si="327">COUNTIF(K2886:K2900,"&gt;0")</f>
        <v>4</v>
      </c>
    </row>
    <row r="2882" spans="1:23">
      <c r="A2882" s="1401"/>
      <c r="B2882" s="1401"/>
      <c r="C2882" s="1061"/>
      <c r="D2882" s="872"/>
      <c r="E2882" s="1401"/>
      <c r="F2882" s="1401"/>
      <c r="G2882" s="1391"/>
      <c r="H2882" s="1392"/>
      <c r="I2882" s="1391"/>
      <c r="J2882" s="1392"/>
      <c r="K2882" s="1394"/>
      <c r="L2882" s="1392"/>
      <c r="M2882" s="1391"/>
      <c r="N2882" s="1392"/>
      <c r="O2882" s="1391"/>
      <c r="P2882" s="1394"/>
      <c r="Q2882" s="1392"/>
      <c r="R2882" s="1401"/>
      <c r="S2882" s="361"/>
      <c r="T2882" s="361"/>
      <c r="U2882" s="361"/>
      <c r="V2882" s="361"/>
      <c r="W2882" s="361"/>
    </row>
    <row r="2883" spans="1:23">
      <c r="A2883" s="1401"/>
      <c r="B2883" s="1401"/>
      <c r="C2883" s="1061"/>
      <c r="D2883" s="872"/>
      <c r="E2883" s="1401"/>
      <c r="F2883" s="1401"/>
      <c r="G2883" s="1400" t="s">
        <v>20</v>
      </c>
      <c r="H2883" s="1400" t="s">
        <v>21</v>
      </c>
      <c r="I2883" s="1400" t="s">
        <v>361</v>
      </c>
      <c r="J2883" s="1400" t="s">
        <v>353</v>
      </c>
      <c r="K2883" s="1400" t="s">
        <v>23</v>
      </c>
      <c r="L2883" s="1400" t="s">
        <v>24</v>
      </c>
      <c r="M2883" s="1400" t="s">
        <v>27</v>
      </c>
      <c r="N2883" s="1400" t="s">
        <v>178</v>
      </c>
      <c r="O2883" s="1400" t="s">
        <v>1</v>
      </c>
      <c r="P2883" s="1400" t="s">
        <v>29</v>
      </c>
      <c r="Q2883" s="1400" t="s">
        <v>33</v>
      </c>
      <c r="R2883" s="1401"/>
      <c r="S2883" s="361"/>
      <c r="T2883" s="361" t="s">
        <v>39</v>
      </c>
      <c r="U2883" s="362">
        <f>VLOOKUP(B2885,'Thong tin'!$A:$M,13,0)</f>
        <v>1200</v>
      </c>
      <c r="V2883" s="361"/>
      <c r="W2883" s="361"/>
    </row>
    <row r="2884" spans="1:23">
      <c r="A2884" s="1402"/>
      <c r="B2884" s="1402"/>
      <c r="C2884" s="1062"/>
      <c r="D2884" s="873"/>
      <c r="E2884" s="1402"/>
      <c r="F2884" s="1402"/>
      <c r="G2884" s="1402"/>
      <c r="H2884" s="1402"/>
      <c r="I2884" s="1402"/>
      <c r="J2884" s="1402"/>
      <c r="K2884" s="1402"/>
      <c r="L2884" s="1402"/>
      <c r="M2884" s="1402"/>
      <c r="N2884" s="1402"/>
      <c r="O2884" s="1402"/>
      <c r="P2884" s="1402"/>
      <c r="Q2884" s="1402"/>
      <c r="R2884" s="1402"/>
      <c r="S2884" s="361"/>
      <c r="T2884" s="1399" t="s">
        <v>393</v>
      </c>
      <c r="U2884" s="1397">
        <f>VLOOKUP(B2885,DT.NK!$B:$AZ,45,0)</f>
        <v>30.34</v>
      </c>
      <c r="V2884" s="361"/>
      <c r="W2884" s="361"/>
    </row>
    <row r="2885" spans="1:23">
      <c r="A2885" s="1409">
        <f>A2865+1</f>
        <v>145</v>
      </c>
      <c r="B2885" s="1412" t="s">
        <v>700</v>
      </c>
      <c r="C2885" s="1063" t="s">
        <v>983</v>
      </c>
      <c r="D2885" s="874" t="str">
        <f>B2885&amp;C2885</f>
        <v>A134a</v>
      </c>
      <c r="E2885" s="363"/>
      <c r="F2885" s="364"/>
      <c r="G2885" s="364"/>
      <c r="H2885" s="364"/>
      <c r="I2885" s="364"/>
      <c r="J2885" s="364"/>
      <c r="K2885" s="364"/>
      <c r="L2885" s="364"/>
      <c r="M2885" s="674"/>
      <c r="N2885" s="670"/>
      <c r="O2885" s="670">
        <f>U2884</f>
        <v>30.34</v>
      </c>
      <c r="P2885" s="670">
        <f>O2885</f>
        <v>30.34</v>
      </c>
      <c r="Q2885" s="670">
        <v>0</v>
      </c>
      <c r="R2885" s="365"/>
      <c r="S2885" s="366"/>
      <c r="T2885" s="1399"/>
      <c r="U2885" s="1398"/>
      <c r="V2885" s="361"/>
      <c r="W2885" s="361"/>
    </row>
    <row r="2886" spans="1:23">
      <c r="A2886" s="1410"/>
      <c r="B2886" s="1413"/>
      <c r="C2886" s="1064" t="s">
        <v>984</v>
      </c>
      <c r="D2886" s="875" t="str">
        <f>B2885&amp;C2886</f>
        <v>A134b</v>
      </c>
      <c r="E2886" s="367">
        <v>1</v>
      </c>
      <c r="F2886" s="669" t="s">
        <v>1085</v>
      </c>
      <c r="G2886" s="369">
        <v>0.10902777777777778</v>
      </c>
      <c r="H2886" s="368">
        <v>0.13194444444444445</v>
      </c>
      <c r="I2886" s="368">
        <v>0.1388888888888889</v>
      </c>
      <c r="J2886" s="368">
        <v>0.14583333333333334</v>
      </c>
      <c r="K2886" s="669">
        <v>12</v>
      </c>
      <c r="L2886" s="669">
        <v>19</v>
      </c>
      <c r="M2886" s="675">
        <v>29.85</v>
      </c>
      <c r="N2886" s="671">
        <f>IF(M2886-P2886&gt;0,M2886-P2886,0)</f>
        <v>2.5500000000000007</v>
      </c>
      <c r="O2886" s="671">
        <f>O2885-K2886/(PI()*(U2883/2000)^2)</f>
        <v>19.729670460540312</v>
      </c>
      <c r="P2886" s="672">
        <v>27.3</v>
      </c>
      <c r="Q2886" s="673">
        <f>ABS(O2886-P2886)</f>
        <v>7.5703295394596886</v>
      </c>
      <c r="R2886" s="375" t="s">
        <v>188</v>
      </c>
      <c r="S2886" s="366"/>
      <c r="T2886" s="376"/>
      <c r="U2886" s="376"/>
      <c r="V2886" s="366"/>
      <c r="W2886" s="366"/>
    </row>
    <row r="2887" spans="1:23">
      <c r="A2887" s="1410"/>
      <c r="B2887" s="1413"/>
      <c r="C2887" s="1064" t="s">
        <v>985</v>
      </c>
      <c r="D2887" s="875" t="str">
        <f>B2885&amp;C2887</f>
        <v>A134c</v>
      </c>
      <c r="E2887" s="367">
        <v>2</v>
      </c>
      <c r="F2887" s="669" t="s">
        <v>1091</v>
      </c>
      <c r="G2887" s="369">
        <v>0.11527777777777777</v>
      </c>
      <c r="H2887" s="368">
        <v>0.13541666666666666</v>
      </c>
      <c r="I2887" s="368">
        <v>0.15277777777777776</v>
      </c>
      <c r="J2887" s="368">
        <v>0.15972222222222224</v>
      </c>
      <c r="K2887" s="669">
        <v>12</v>
      </c>
      <c r="L2887" s="669">
        <v>19</v>
      </c>
      <c r="M2887" s="675">
        <v>28.35</v>
      </c>
      <c r="N2887" s="671">
        <f>IF(M2887-P2887&gt;0,M2887-P2887,0)</f>
        <v>5.25</v>
      </c>
      <c r="O2887" s="671">
        <f>O2886-K2887/(PI()*(U2883/2000)^2)</f>
        <v>9.1193409210806227</v>
      </c>
      <c r="P2887" s="672">
        <v>23.1</v>
      </c>
      <c r="Q2887" s="673">
        <f>ABS(O2887-P2887)</f>
        <v>13.980659078919379</v>
      </c>
      <c r="R2887" s="375" t="s">
        <v>188</v>
      </c>
      <c r="S2887" s="366"/>
      <c r="T2887" s="376"/>
      <c r="U2887" s="376"/>
      <c r="V2887" s="366"/>
      <c r="W2887" s="366"/>
    </row>
    <row r="2888" spans="1:23">
      <c r="A2888" s="1410"/>
      <c r="B2888" s="1413"/>
      <c r="C2888" s="1064" t="s">
        <v>986</v>
      </c>
      <c r="D2888" s="875" t="str">
        <f>B2885&amp;C2888</f>
        <v>A134d</v>
      </c>
      <c r="E2888" s="367">
        <v>3</v>
      </c>
      <c r="F2888" s="669" t="s">
        <v>1089</v>
      </c>
      <c r="G2888" s="369">
        <v>0.1277777777777778</v>
      </c>
      <c r="H2888" s="368">
        <v>0.14930555555555555</v>
      </c>
      <c r="I2888" s="368">
        <v>0.16666666666666666</v>
      </c>
      <c r="J2888" s="368">
        <v>0.17361111111111113</v>
      </c>
      <c r="K2888" s="669">
        <v>11</v>
      </c>
      <c r="L2888" s="669">
        <v>19</v>
      </c>
      <c r="M2888" s="675">
        <v>18.899999999999999</v>
      </c>
      <c r="N2888" s="671">
        <f t="shared" ref="N2888:N2889" si="328">IF(M2888-P2888&gt;0,M2888-P2888,0)</f>
        <v>5.0999999999999979</v>
      </c>
      <c r="O2888" s="671">
        <f>O2887-K2888/(PI()*(U2883/2000)^2)</f>
        <v>-0.60679449009075981</v>
      </c>
      <c r="P2888" s="672">
        <v>13.8</v>
      </c>
      <c r="Q2888" s="673">
        <f t="shared" ref="Q2888:Q2889" si="329">ABS(O2888-P2888)</f>
        <v>14.406794490090761</v>
      </c>
      <c r="R2888" s="375" t="s">
        <v>188</v>
      </c>
      <c r="S2888" s="366"/>
      <c r="T2888" s="376"/>
      <c r="U2888" s="376"/>
      <c r="V2888" s="366"/>
      <c r="W2888" s="366"/>
    </row>
    <row r="2889" spans="1:23">
      <c r="A2889" s="1410"/>
      <c r="B2889" s="1413"/>
      <c r="C2889" s="1064" t="s">
        <v>987</v>
      </c>
      <c r="D2889" s="875" t="str">
        <f>B2885&amp;C2889</f>
        <v>A134e</v>
      </c>
      <c r="E2889" s="367">
        <v>4</v>
      </c>
      <c r="F2889" s="669" t="s">
        <v>1085</v>
      </c>
      <c r="G2889" s="369">
        <v>0.18055555555555555</v>
      </c>
      <c r="H2889" s="368">
        <v>0.20833333333333334</v>
      </c>
      <c r="I2889" s="368">
        <v>0.21180555555555555</v>
      </c>
      <c r="J2889" s="368">
        <v>0.21666666666666667</v>
      </c>
      <c r="K2889" s="669">
        <v>8</v>
      </c>
      <c r="L2889" s="669">
        <v>20</v>
      </c>
      <c r="M2889" s="675">
        <v>12.6</v>
      </c>
      <c r="N2889" s="671">
        <f t="shared" si="328"/>
        <v>5.3999999999999995</v>
      </c>
      <c r="O2889" s="671">
        <f>O2888-K2889/(PI()*(U2883/2000)^2)</f>
        <v>-7.6803475163972195</v>
      </c>
      <c r="P2889" s="672">
        <v>7.2</v>
      </c>
      <c r="Q2889" s="673">
        <f t="shared" si="329"/>
        <v>14.880347516397219</v>
      </c>
      <c r="R2889" s="375"/>
      <c r="S2889" s="366"/>
      <c r="T2889" s="376"/>
      <c r="U2889" s="376"/>
      <c r="V2889" s="366"/>
      <c r="W2889" s="366"/>
    </row>
    <row r="2890" spans="1:23">
      <c r="A2890" s="1410"/>
      <c r="B2890" s="1413"/>
      <c r="C2890" s="1064" t="s">
        <v>988</v>
      </c>
      <c r="D2890" s="875" t="str">
        <f>B2885&amp;C2890</f>
        <v>A134f</v>
      </c>
      <c r="E2890" s="367">
        <v>5</v>
      </c>
      <c r="F2890" s="669"/>
      <c r="G2890" s="368"/>
      <c r="H2890" s="368"/>
      <c r="I2890" s="368"/>
      <c r="J2890" s="368"/>
      <c r="K2890" s="370"/>
      <c r="L2890" s="370"/>
      <c r="M2890" s="371"/>
      <c r="N2890" s="671"/>
      <c r="O2890" s="671"/>
      <c r="P2890" s="373"/>
      <c r="Q2890" s="673"/>
      <c r="R2890" s="378"/>
      <c r="S2890" s="366" t="s">
        <v>190</v>
      </c>
      <c r="T2890" s="376"/>
      <c r="U2890" s="376"/>
      <c r="V2890" s="366"/>
      <c r="W2890" s="366"/>
    </row>
    <row r="2891" spans="1:23">
      <c r="A2891" s="1410"/>
      <c r="B2891" s="1413"/>
      <c r="C2891" s="1064" t="s">
        <v>989</v>
      </c>
      <c r="D2891" s="875" t="str">
        <f>B2885&amp;C2891</f>
        <v>A134g</v>
      </c>
      <c r="E2891" s="367">
        <v>6</v>
      </c>
      <c r="F2891" s="669"/>
      <c r="G2891" s="368"/>
      <c r="H2891" s="368"/>
      <c r="I2891" s="368"/>
      <c r="J2891" s="368"/>
      <c r="K2891" s="370"/>
      <c r="L2891" s="370"/>
      <c r="M2891" s="371"/>
      <c r="N2891" s="671"/>
      <c r="O2891" s="671"/>
      <c r="P2891" s="373"/>
      <c r="Q2891" s="673"/>
      <c r="R2891" s="378"/>
      <c r="S2891" s="366" t="s">
        <v>190</v>
      </c>
      <c r="T2891" s="366"/>
      <c r="U2891" s="366"/>
      <c r="V2891" s="366"/>
      <c r="W2891" s="366"/>
    </row>
    <row r="2892" spans="1:23">
      <c r="A2892" s="1410"/>
      <c r="B2892" s="1413"/>
      <c r="C2892" s="1064" t="s">
        <v>990</v>
      </c>
      <c r="D2892" s="875" t="str">
        <f>B2885&amp;C2892</f>
        <v>A134h</v>
      </c>
      <c r="E2892" s="367">
        <v>7</v>
      </c>
      <c r="F2892" s="669"/>
      <c r="G2892" s="368"/>
      <c r="H2892" s="368"/>
      <c r="I2892" s="368"/>
      <c r="J2892" s="368"/>
      <c r="K2892" s="370"/>
      <c r="L2892" s="370"/>
      <c r="M2892" s="371"/>
      <c r="N2892" s="671"/>
      <c r="O2892" s="671"/>
      <c r="P2892" s="373"/>
      <c r="Q2892" s="673"/>
      <c r="R2892" s="378"/>
      <c r="S2892" s="366" t="s">
        <v>190</v>
      </c>
      <c r="T2892" s="366"/>
      <c r="U2892" s="366"/>
      <c r="V2892" s="366"/>
      <c r="W2892" s="366"/>
    </row>
    <row r="2893" spans="1:23">
      <c r="A2893" s="1410"/>
      <c r="B2893" s="1413"/>
      <c r="C2893" s="1064" t="s">
        <v>991</v>
      </c>
      <c r="D2893" s="875" t="str">
        <f>B2885&amp;C2893</f>
        <v>A134i</v>
      </c>
      <c r="E2893" s="367">
        <v>8</v>
      </c>
      <c r="F2893" s="669"/>
      <c r="G2893" s="368"/>
      <c r="H2893" s="368"/>
      <c r="I2893" s="368"/>
      <c r="J2893" s="368"/>
      <c r="K2893" s="370"/>
      <c r="L2893" s="370"/>
      <c r="M2893" s="371"/>
      <c r="N2893" s="671"/>
      <c r="O2893" s="671"/>
      <c r="P2893" s="373"/>
      <c r="Q2893" s="673"/>
      <c r="R2893" s="378"/>
      <c r="S2893" s="366"/>
      <c r="T2893" s="366"/>
      <c r="U2893" s="366"/>
      <c r="V2893" s="366"/>
      <c r="W2893" s="366"/>
    </row>
    <row r="2894" spans="1:23">
      <c r="A2894" s="1410"/>
      <c r="B2894" s="1413"/>
      <c r="C2894" s="1064" t="s">
        <v>992</v>
      </c>
      <c r="D2894" s="875" t="str">
        <f>B2885&amp;C2894</f>
        <v>A134k</v>
      </c>
      <c r="E2894" s="367">
        <v>9</v>
      </c>
      <c r="F2894" s="370"/>
      <c r="G2894" s="368"/>
      <c r="H2894" s="368"/>
      <c r="I2894" s="368"/>
      <c r="J2894" s="368"/>
      <c r="K2894" s="370"/>
      <c r="L2894" s="370"/>
      <c r="M2894" s="371"/>
      <c r="N2894" s="372"/>
      <c r="O2894" s="372"/>
      <c r="P2894" s="373"/>
      <c r="Q2894" s="374"/>
      <c r="R2894" s="378"/>
      <c r="S2894" s="379"/>
      <c r="T2894" s="366"/>
      <c r="U2894" s="366"/>
      <c r="V2894" s="366"/>
      <c r="W2894" s="366"/>
    </row>
    <row r="2895" spans="1:23">
      <c r="A2895" s="1410"/>
      <c r="B2895" s="1413"/>
      <c r="C2895" s="1064" t="s">
        <v>993</v>
      </c>
      <c r="D2895" s="875" t="str">
        <f>B2885&amp;C2895</f>
        <v>A134l</v>
      </c>
      <c r="E2895" s="367">
        <v>10</v>
      </c>
      <c r="F2895" s="370"/>
      <c r="G2895" s="368"/>
      <c r="H2895" s="368"/>
      <c r="I2895" s="368"/>
      <c r="J2895" s="368"/>
      <c r="K2895" s="370"/>
      <c r="L2895" s="370"/>
      <c r="M2895" s="370"/>
      <c r="N2895" s="372"/>
      <c r="O2895" s="372"/>
      <c r="P2895" s="373"/>
      <c r="Q2895" s="374"/>
      <c r="R2895" s="378"/>
      <c r="S2895" s="379"/>
      <c r="T2895" s="366"/>
      <c r="U2895" s="366"/>
      <c r="V2895" s="366"/>
      <c r="W2895" s="366"/>
    </row>
    <row r="2896" spans="1:23">
      <c r="A2896" s="1410"/>
      <c r="B2896" s="1413"/>
      <c r="C2896" s="1064" t="s">
        <v>994</v>
      </c>
      <c r="D2896" s="875" t="str">
        <f>B2885&amp;C2896</f>
        <v>A134m</v>
      </c>
      <c r="E2896" s="367">
        <v>11</v>
      </c>
      <c r="F2896" s="370"/>
      <c r="G2896" s="368"/>
      <c r="H2896" s="368"/>
      <c r="I2896" s="368"/>
      <c r="J2896" s="368"/>
      <c r="K2896" s="370"/>
      <c r="L2896" s="370"/>
      <c r="M2896" s="370"/>
      <c r="N2896" s="372"/>
      <c r="O2896" s="372"/>
      <c r="P2896" s="380"/>
      <c r="Q2896" s="374"/>
      <c r="R2896" s="381"/>
      <c r="S2896" s="379"/>
      <c r="T2896" s="366"/>
      <c r="U2896" s="366"/>
      <c r="V2896" s="366"/>
      <c r="W2896" s="366"/>
    </row>
    <row r="2897" spans="1:23">
      <c r="A2897" s="1410"/>
      <c r="B2897" s="1413"/>
      <c r="C2897" s="1064" t="s">
        <v>995</v>
      </c>
      <c r="D2897" s="875" t="str">
        <f>B2885&amp;C2897</f>
        <v>A134n</v>
      </c>
      <c r="E2897" s="367">
        <v>12</v>
      </c>
      <c r="F2897" s="370"/>
      <c r="G2897" s="368"/>
      <c r="H2897" s="368"/>
      <c r="I2897" s="368"/>
      <c r="J2897" s="368"/>
      <c r="K2897" s="370"/>
      <c r="L2897" s="370"/>
      <c r="M2897" s="370"/>
      <c r="N2897" s="372"/>
      <c r="O2897" s="372"/>
      <c r="P2897" s="380"/>
      <c r="Q2897" s="374"/>
      <c r="R2897" s="381"/>
      <c r="S2897" s="361"/>
      <c r="T2897" s="361"/>
      <c r="U2897" s="361"/>
      <c r="V2897" s="366"/>
      <c r="W2897" s="366"/>
    </row>
    <row r="2898" spans="1:23">
      <c r="A2898" s="1410"/>
      <c r="B2898" s="1413"/>
      <c r="C2898" s="1064" t="s">
        <v>471</v>
      </c>
      <c r="D2898" s="875" t="str">
        <f>B2885&amp;C2898</f>
        <v>A134x</v>
      </c>
      <c r="E2898" s="367">
        <v>13</v>
      </c>
      <c r="F2898" s="370"/>
      <c r="G2898" s="368"/>
      <c r="H2898" s="368"/>
      <c r="I2898" s="368"/>
      <c r="J2898" s="368"/>
      <c r="K2898" s="370"/>
      <c r="L2898" s="370"/>
      <c r="M2898" s="370"/>
      <c r="N2898" s="382"/>
      <c r="O2898" s="372"/>
      <c r="P2898" s="380"/>
      <c r="Q2898" s="381"/>
      <c r="R2898" s="381"/>
      <c r="S2898" s="361"/>
      <c r="T2898" s="361"/>
      <c r="U2898" s="361"/>
      <c r="V2898" s="366"/>
      <c r="W2898" s="366"/>
    </row>
    <row r="2899" spans="1:23">
      <c r="A2899" s="1410"/>
      <c r="B2899" s="1413"/>
      <c r="C2899" s="1064" t="s">
        <v>732</v>
      </c>
      <c r="D2899" s="875" t="str">
        <f>B2885&amp;C2899</f>
        <v>A134y</v>
      </c>
      <c r="E2899" s="367">
        <v>14</v>
      </c>
      <c r="F2899" s="370"/>
      <c r="G2899" s="368"/>
      <c r="H2899" s="368"/>
      <c r="I2899" s="368"/>
      <c r="J2899" s="368"/>
      <c r="K2899" s="370"/>
      <c r="L2899" s="370"/>
      <c r="M2899" s="370"/>
      <c r="N2899" s="382"/>
      <c r="O2899" s="372"/>
      <c r="P2899" s="380"/>
      <c r="Q2899" s="381"/>
      <c r="R2899" s="381"/>
      <c r="S2899" s="361"/>
      <c r="T2899" s="361"/>
      <c r="U2899" s="362"/>
      <c r="V2899" s="366"/>
      <c r="W2899" s="366"/>
    </row>
    <row r="2900" spans="1:23">
      <c r="A2900" s="1411"/>
      <c r="B2900" s="1414"/>
      <c r="C2900" s="1065" t="s">
        <v>996</v>
      </c>
      <c r="D2900" s="876" t="str">
        <f>B2885&amp;C2900</f>
        <v>A134z</v>
      </c>
      <c r="E2900" s="847">
        <v>15</v>
      </c>
      <c r="F2900" s="370"/>
      <c r="G2900" s="368"/>
      <c r="H2900" s="368"/>
      <c r="I2900" s="368"/>
      <c r="J2900" s="368"/>
      <c r="K2900" s="370"/>
      <c r="L2900" s="370"/>
      <c r="M2900" s="370"/>
      <c r="N2900" s="850"/>
      <c r="O2900" s="851"/>
      <c r="P2900" s="380"/>
      <c r="Q2900" s="852"/>
      <c r="R2900" s="383"/>
      <c r="S2900" s="361"/>
      <c r="T2900" s="1059"/>
      <c r="U2900" s="1058"/>
      <c r="V2900" s="366"/>
      <c r="W2900" s="366"/>
    </row>
    <row r="2901" spans="1:23">
      <c r="A2901" s="1400" t="s">
        <v>939</v>
      </c>
      <c r="B2901" s="1400"/>
      <c r="C2901" s="1060"/>
      <c r="D2901" s="871"/>
      <c r="E2901" s="1400" t="s">
        <v>177</v>
      </c>
      <c r="F2901" s="1400" t="s">
        <v>18</v>
      </c>
      <c r="G2901" s="1389" t="s">
        <v>19</v>
      </c>
      <c r="H2901" s="1390"/>
      <c r="I2901" s="1389" t="s">
        <v>22</v>
      </c>
      <c r="J2901" s="1390"/>
      <c r="K2901" s="1393" t="s">
        <v>26</v>
      </c>
      <c r="L2901" s="1390"/>
      <c r="M2901" s="1389" t="s">
        <v>392</v>
      </c>
      <c r="N2901" s="1390"/>
      <c r="O2901" s="1389" t="s">
        <v>28</v>
      </c>
      <c r="P2901" s="1393"/>
      <c r="Q2901" s="1390"/>
      <c r="R2901" s="1400" t="s">
        <v>36</v>
      </c>
      <c r="S2901" s="361"/>
      <c r="T2901" s="361">
        <f>MAX(J2905:J2919)-MIN(I2905:I2919)</f>
        <v>3.125E-2</v>
      </c>
      <c r="U2901" s="361"/>
      <c r="V2901" s="853" t="str">
        <f t="shared" ref="V2901" si="330">B2905</f>
        <v>A84</v>
      </c>
      <c r="W2901" s="361">
        <f t="shared" ref="W2901" si="331">COUNTIF(K2906:K2920,"&gt;0")</f>
        <v>4</v>
      </c>
    </row>
    <row r="2902" spans="1:23">
      <c r="A2902" s="1401"/>
      <c r="B2902" s="1401"/>
      <c r="C2902" s="1061"/>
      <c r="D2902" s="872"/>
      <c r="E2902" s="1401"/>
      <c r="F2902" s="1401"/>
      <c r="G2902" s="1391"/>
      <c r="H2902" s="1392"/>
      <c r="I2902" s="1391"/>
      <c r="J2902" s="1392"/>
      <c r="K2902" s="1394"/>
      <c r="L2902" s="1392"/>
      <c r="M2902" s="1391"/>
      <c r="N2902" s="1392"/>
      <c r="O2902" s="1391"/>
      <c r="P2902" s="1394"/>
      <c r="Q2902" s="1392"/>
      <c r="R2902" s="1401"/>
      <c r="S2902" s="361"/>
      <c r="T2902" s="361"/>
      <c r="U2902" s="361"/>
      <c r="V2902" s="361"/>
      <c r="W2902" s="361"/>
    </row>
    <row r="2903" spans="1:23">
      <c r="A2903" s="1401"/>
      <c r="B2903" s="1401"/>
      <c r="C2903" s="1061"/>
      <c r="D2903" s="872"/>
      <c r="E2903" s="1401"/>
      <c r="F2903" s="1401"/>
      <c r="G2903" s="1400" t="s">
        <v>20</v>
      </c>
      <c r="H2903" s="1400" t="s">
        <v>21</v>
      </c>
      <c r="I2903" s="1400" t="s">
        <v>361</v>
      </c>
      <c r="J2903" s="1400" t="s">
        <v>353</v>
      </c>
      <c r="K2903" s="1400" t="s">
        <v>23</v>
      </c>
      <c r="L2903" s="1400" t="s">
        <v>24</v>
      </c>
      <c r="M2903" s="1400" t="s">
        <v>27</v>
      </c>
      <c r="N2903" s="1400" t="s">
        <v>178</v>
      </c>
      <c r="O2903" s="1400" t="s">
        <v>1</v>
      </c>
      <c r="P2903" s="1400" t="s">
        <v>29</v>
      </c>
      <c r="Q2903" s="1400" t="s">
        <v>33</v>
      </c>
      <c r="R2903" s="1401"/>
      <c r="S2903" s="361"/>
      <c r="T2903" s="361" t="s">
        <v>39</v>
      </c>
      <c r="U2903" s="362">
        <f>VLOOKUP(B2905,'Thong tin'!$A:$M,13,0)</f>
        <v>1200</v>
      </c>
      <c r="V2903" s="361"/>
      <c r="W2903" s="361"/>
    </row>
    <row r="2904" spans="1:23">
      <c r="A2904" s="1402"/>
      <c r="B2904" s="1402"/>
      <c r="C2904" s="1062"/>
      <c r="D2904" s="873"/>
      <c r="E2904" s="1402"/>
      <c r="F2904" s="1402"/>
      <c r="G2904" s="1402"/>
      <c r="H2904" s="1402"/>
      <c r="I2904" s="1402"/>
      <c r="J2904" s="1402"/>
      <c r="K2904" s="1402"/>
      <c r="L2904" s="1402"/>
      <c r="M2904" s="1402"/>
      <c r="N2904" s="1402"/>
      <c r="O2904" s="1402"/>
      <c r="P2904" s="1402"/>
      <c r="Q2904" s="1402"/>
      <c r="R2904" s="1402"/>
      <c r="S2904" s="361"/>
      <c r="T2904" s="1399" t="s">
        <v>393</v>
      </c>
      <c r="U2904" s="1397">
        <f>VLOOKUP(B2905,DT.NK!$B:$AZ,45,0)</f>
        <v>28.12</v>
      </c>
      <c r="V2904" s="361"/>
      <c r="W2904" s="361"/>
    </row>
    <row r="2905" spans="1:23">
      <c r="A2905" s="1409">
        <f>A2885+1</f>
        <v>146</v>
      </c>
      <c r="B2905" s="1412" t="s">
        <v>677</v>
      </c>
      <c r="C2905" s="1063" t="s">
        <v>983</v>
      </c>
      <c r="D2905" s="874" t="str">
        <f>B2905&amp;C2905</f>
        <v>A84a</v>
      </c>
      <c r="E2905" s="363"/>
      <c r="F2905" s="364"/>
      <c r="G2905" s="364"/>
      <c r="H2905" s="364"/>
      <c r="I2905" s="364"/>
      <c r="J2905" s="364"/>
      <c r="K2905" s="364"/>
      <c r="L2905" s="364"/>
      <c r="M2905" s="674"/>
      <c r="N2905" s="670"/>
      <c r="O2905" s="670">
        <f>U2904</f>
        <v>28.12</v>
      </c>
      <c r="P2905" s="670">
        <f>O2905</f>
        <v>28.12</v>
      </c>
      <c r="Q2905" s="670">
        <v>0</v>
      </c>
      <c r="R2905" s="365"/>
      <c r="S2905" s="366"/>
      <c r="T2905" s="1399"/>
      <c r="U2905" s="1398"/>
      <c r="V2905" s="361"/>
      <c r="W2905" s="361"/>
    </row>
    <row r="2906" spans="1:23">
      <c r="A2906" s="1410"/>
      <c r="B2906" s="1413"/>
      <c r="C2906" s="1064" t="s">
        <v>984</v>
      </c>
      <c r="D2906" s="875" t="str">
        <f>B2905&amp;C2906</f>
        <v>A84b</v>
      </c>
      <c r="E2906" s="367">
        <v>1</v>
      </c>
      <c r="F2906" s="669" t="s">
        <v>1091</v>
      </c>
      <c r="G2906" s="369">
        <v>0.31875000000000003</v>
      </c>
      <c r="H2906" s="368">
        <v>0.34722222222222227</v>
      </c>
      <c r="I2906" s="368">
        <v>0.36458333333333331</v>
      </c>
      <c r="J2906" s="368">
        <v>0.36805555555555558</v>
      </c>
      <c r="K2906" s="669">
        <v>10</v>
      </c>
      <c r="L2906" s="669">
        <v>19</v>
      </c>
      <c r="M2906" s="675">
        <v>28.12</v>
      </c>
      <c r="N2906" s="671">
        <f>IF(M2906-P2906&gt;0,M2906-P2906,0)</f>
        <v>2.5199999999999996</v>
      </c>
      <c r="O2906" s="671">
        <f>O2905-K2906/(PI()*(U2903/2000)^2)</f>
        <v>19.278058717116927</v>
      </c>
      <c r="P2906" s="672">
        <v>25.6</v>
      </c>
      <c r="Q2906" s="673">
        <f>ABS(O2906-P2906)</f>
        <v>6.3219412828830741</v>
      </c>
      <c r="R2906" s="375" t="s">
        <v>188</v>
      </c>
      <c r="S2906" s="366"/>
      <c r="T2906" s="376"/>
      <c r="U2906" s="376"/>
      <c r="V2906" s="366"/>
      <c r="W2906" s="366"/>
    </row>
    <row r="2907" spans="1:23">
      <c r="A2907" s="1410"/>
      <c r="B2907" s="1413"/>
      <c r="C2907" s="1064" t="s">
        <v>985</v>
      </c>
      <c r="D2907" s="875" t="str">
        <f>B2905&amp;C2907</f>
        <v>A84c</v>
      </c>
      <c r="E2907" s="367">
        <v>2</v>
      </c>
      <c r="F2907" s="669" t="s">
        <v>1089</v>
      </c>
      <c r="G2907" s="369">
        <v>0.32500000000000001</v>
      </c>
      <c r="H2907" s="368">
        <v>0.3576388888888889</v>
      </c>
      <c r="I2907" s="368">
        <v>0.37152777777777773</v>
      </c>
      <c r="J2907" s="368">
        <v>0.375</v>
      </c>
      <c r="K2907" s="669">
        <v>10</v>
      </c>
      <c r="L2907" s="669">
        <v>20</v>
      </c>
      <c r="M2907" s="675">
        <v>21.82</v>
      </c>
      <c r="N2907" s="671">
        <f>IF(M2907-P2907&gt;0,M2907-P2907,0)</f>
        <v>4.07</v>
      </c>
      <c r="O2907" s="671">
        <f>O2906-K2907/(PI()*(U2903/2000)^2)</f>
        <v>10.436117434233854</v>
      </c>
      <c r="P2907" s="672">
        <v>17.75</v>
      </c>
      <c r="Q2907" s="673">
        <f>ABS(O2907-P2907)</f>
        <v>7.3138825657661464</v>
      </c>
      <c r="R2907" s="375" t="s">
        <v>188</v>
      </c>
      <c r="S2907" s="366"/>
      <c r="T2907" s="376"/>
      <c r="U2907" s="376"/>
      <c r="V2907" s="366"/>
      <c r="W2907" s="366"/>
    </row>
    <row r="2908" spans="1:23">
      <c r="A2908" s="1410"/>
      <c r="B2908" s="1413"/>
      <c r="C2908" s="1064" t="s">
        <v>986</v>
      </c>
      <c r="D2908" s="875" t="str">
        <f>B2905&amp;C2908</f>
        <v>A84d</v>
      </c>
      <c r="E2908" s="367">
        <v>3</v>
      </c>
      <c r="F2908" s="669" t="s">
        <v>1085</v>
      </c>
      <c r="G2908" s="369">
        <v>0.33194444444444443</v>
      </c>
      <c r="H2908" s="368">
        <v>0.375</v>
      </c>
      <c r="I2908" s="368">
        <v>0.38194444444444442</v>
      </c>
      <c r="J2908" s="368">
        <v>0.38541666666666669</v>
      </c>
      <c r="K2908" s="669">
        <v>10</v>
      </c>
      <c r="L2908" s="669">
        <v>19.5</v>
      </c>
      <c r="M2908" s="675"/>
      <c r="N2908" s="671">
        <f t="shared" ref="N2908:N2909" si="332">IF(M2908-P2908&gt;0,M2908-P2908,0)</f>
        <v>0</v>
      </c>
      <c r="O2908" s="671">
        <f>O2907-K2908/(PI()*(U2903/2000)^2)</f>
        <v>1.5941761513507799</v>
      </c>
      <c r="P2908" s="672">
        <v>9.3000000000000007</v>
      </c>
      <c r="Q2908" s="673">
        <f t="shared" ref="Q2908:Q2909" si="333">ABS(O2908-P2908)</f>
        <v>7.7058238486492208</v>
      </c>
      <c r="R2908" s="375" t="s">
        <v>188</v>
      </c>
      <c r="S2908" s="366"/>
      <c r="T2908" s="376"/>
      <c r="U2908" s="376"/>
      <c r="V2908" s="366"/>
      <c r="W2908" s="366"/>
    </row>
    <row r="2909" spans="1:23">
      <c r="A2909" s="1410"/>
      <c r="B2909" s="1413"/>
      <c r="C2909" s="1064" t="s">
        <v>987</v>
      </c>
      <c r="D2909" s="875" t="str">
        <f>B2905&amp;C2909</f>
        <v>A84e</v>
      </c>
      <c r="E2909" s="367">
        <v>4</v>
      </c>
      <c r="F2909" s="669" t="s">
        <v>1091</v>
      </c>
      <c r="G2909" s="369">
        <v>0.37777777777777777</v>
      </c>
      <c r="H2909" s="368">
        <v>0.3923611111111111</v>
      </c>
      <c r="I2909" s="368">
        <v>0.39374999999999999</v>
      </c>
      <c r="J2909" s="368">
        <v>0.39583333333333331</v>
      </c>
      <c r="K2909" s="669">
        <v>3</v>
      </c>
      <c r="L2909" s="669">
        <v>19</v>
      </c>
      <c r="M2909" s="675"/>
      <c r="N2909" s="671">
        <f t="shared" si="332"/>
        <v>0</v>
      </c>
      <c r="O2909" s="671">
        <f>O2908-K2909/(PI()*(U2903/2000)^2)</f>
        <v>-1.0584062335141424</v>
      </c>
      <c r="P2909" s="672">
        <v>7.2</v>
      </c>
      <c r="Q2909" s="673">
        <f t="shared" si="333"/>
        <v>8.2584062335141422</v>
      </c>
      <c r="R2909" s="375"/>
      <c r="S2909" s="366"/>
      <c r="T2909" s="376"/>
      <c r="U2909" s="376"/>
      <c r="V2909" s="366"/>
      <c r="W2909" s="366"/>
    </row>
    <row r="2910" spans="1:23">
      <c r="A2910" s="1410"/>
      <c r="B2910" s="1413"/>
      <c r="C2910" s="1064" t="s">
        <v>988</v>
      </c>
      <c r="D2910" s="875" t="str">
        <f>B2905&amp;C2910</f>
        <v>A84f</v>
      </c>
      <c r="E2910" s="367">
        <v>5</v>
      </c>
      <c r="F2910" s="669"/>
      <c r="G2910" s="368"/>
      <c r="H2910" s="368"/>
      <c r="I2910" s="368"/>
      <c r="J2910" s="368"/>
      <c r="K2910" s="370"/>
      <c r="L2910" s="370"/>
      <c r="M2910" s="371"/>
      <c r="N2910" s="671"/>
      <c r="O2910" s="671"/>
      <c r="P2910" s="373"/>
      <c r="Q2910" s="673"/>
      <c r="R2910" s="378"/>
      <c r="S2910" s="366" t="s">
        <v>190</v>
      </c>
      <c r="T2910" s="376"/>
      <c r="U2910" s="376"/>
      <c r="V2910" s="366"/>
      <c r="W2910" s="366"/>
    </row>
    <row r="2911" spans="1:23">
      <c r="A2911" s="1410"/>
      <c r="B2911" s="1413"/>
      <c r="C2911" s="1064" t="s">
        <v>989</v>
      </c>
      <c r="D2911" s="875" t="str">
        <f>B2905&amp;C2911</f>
        <v>A84g</v>
      </c>
      <c r="E2911" s="367">
        <v>6</v>
      </c>
      <c r="F2911" s="669"/>
      <c r="G2911" s="368"/>
      <c r="H2911" s="368"/>
      <c r="I2911" s="368"/>
      <c r="J2911" s="368"/>
      <c r="K2911" s="370"/>
      <c r="L2911" s="370"/>
      <c r="M2911" s="371"/>
      <c r="N2911" s="671"/>
      <c r="O2911" s="671"/>
      <c r="P2911" s="373"/>
      <c r="Q2911" s="673"/>
      <c r="R2911" s="378"/>
      <c r="S2911" s="366" t="s">
        <v>190</v>
      </c>
      <c r="T2911" s="366"/>
      <c r="U2911" s="366"/>
      <c r="V2911" s="366"/>
      <c r="W2911" s="366"/>
    </row>
    <row r="2912" spans="1:23">
      <c r="A2912" s="1410"/>
      <c r="B2912" s="1413"/>
      <c r="C2912" s="1064" t="s">
        <v>990</v>
      </c>
      <c r="D2912" s="875" t="str">
        <f>B2905&amp;C2912</f>
        <v>A84h</v>
      </c>
      <c r="E2912" s="367">
        <v>7</v>
      </c>
      <c r="F2912" s="669"/>
      <c r="G2912" s="368"/>
      <c r="H2912" s="368"/>
      <c r="I2912" s="368"/>
      <c r="J2912" s="368"/>
      <c r="K2912" s="370"/>
      <c r="L2912" s="370"/>
      <c r="M2912" s="371"/>
      <c r="N2912" s="671"/>
      <c r="O2912" s="671"/>
      <c r="P2912" s="373"/>
      <c r="Q2912" s="673"/>
      <c r="R2912" s="378"/>
      <c r="S2912" s="366" t="s">
        <v>190</v>
      </c>
      <c r="T2912" s="366"/>
      <c r="U2912" s="366"/>
      <c r="V2912" s="366"/>
      <c r="W2912" s="366"/>
    </row>
    <row r="2913" spans="1:23">
      <c r="A2913" s="1410"/>
      <c r="B2913" s="1413"/>
      <c r="C2913" s="1064" t="s">
        <v>991</v>
      </c>
      <c r="D2913" s="875" t="str">
        <f>B2905&amp;C2913</f>
        <v>A84i</v>
      </c>
      <c r="E2913" s="367">
        <v>8</v>
      </c>
      <c r="F2913" s="669"/>
      <c r="G2913" s="368"/>
      <c r="H2913" s="368"/>
      <c r="I2913" s="368"/>
      <c r="J2913" s="368"/>
      <c r="K2913" s="370"/>
      <c r="L2913" s="370"/>
      <c r="M2913" s="371"/>
      <c r="N2913" s="671"/>
      <c r="O2913" s="671"/>
      <c r="P2913" s="373"/>
      <c r="Q2913" s="673"/>
      <c r="R2913" s="378"/>
      <c r="S2913" s="366"/>
      <c r="T2913" s="366"/>
      <c r="U2913" s="366"/>
      <c r="V2913" s="366"/>
      <c r="W2913" s="366"/>
    </row>
    <row r="2914" spans="1:23">
      <c r="A2914" s="1410"/>
      <c r="B2914" s="1413"/>
      <c r="C2914" s="1064" t="s">
        <v>992</v>
      </c>
      <c r="D2914" s="875" t="str">
        <f>B2905&amp;C2914</f>
        <v>A84k</v>
      </c>
      <c r="E2914" s="367">
        <v>9</v>
      </c>
      <c r="F2914" s="370"/>
      <c r="G2914" s="368"/>
      <c r="H2914" s="368"/>
      <c r="I2914" s="368"/>
      <c r="J2914" s="368"/>
      <c r="K2914" s="370"/>
      <c r="L2914" s="370"/>
      <c r="M2914" s="371"/>
      <c r="N2914" s="372"/>
      <c r="O2914" s="372"/>
      <c r="P2914" s="373"/>
      <c r="Q2914" s="374"/>
      <c r="R2914" s="378"/>
      <c r="S2914" s="379"/>
      <c r="T2914" s="366"/>
      <c r="U2914" s="366"/>
      <c r="V2914" s="366"/>
      <c r="W2914" s="366"/>
    </row>
    <row r="2915" spans="1:23">
      <c r="A2915" s="1410"/>
      <c r="B2915" s="1413"/>
      <c r="C2915" s="1064" t="s">
        <v>993</v>
      </c>
      <c r="D2915" s="875" t="str">
        <f>B2905&amp;C2915</f>
        <v>A84l</v>
      </c>
      <c r="E2915" s="367">
        <v>10</v>
      </c>
      <c r="F2915" s="370"/>
      <c r="G2915" s="368"/>
      <c r="H2915" s="368"/>
      <c r="I2915" s="368"/>
      <c r="J2915" s="368"/>
      <c r="K2915" s="370"/>
      <c r="L2915" s="370"/>
      <c r="M2915" s="370"/>
      <c r="N2915" s="372"/>
      <c r="O2915" s="372"/>
      <c r="P2915" s="373"/>
      <c r="Q2915" s="374"/>
      <c r="R2915" s="378"/>
      <c r="S2915" s="379"/>
      <c r="T2915" s="366"/>
      <c r="U2915" s="366"/>
      <c r="V2915" s="366"/>
      <c r="W2915" s="366"/>
    </row>
    <row r="2916" spans="1:23">
      <c r="A2916" s="1410"/>
      <c r="B2916" s="1413"/>
      <c r="C2916" s="1064" t="s">
        <v>994</v>
      </c>
      <c r="D2916" s="875" t="str">
        <f>B2905&amp;C2916</f>
        <v>A84m</v>
      </c>
      <c r="E2916" s="367">
        <v>11</v>
      </c>
      <c r="F2916" s="370"/>
      <c r="G2916" s="368"/>
      <c r="H2916" s="368"/>
      <c r="I2916" s="368"/>
      <c r="J2916" s="368"/>
      <c r="K2916" s="370"/>
      <c r="L2916" s="370"/>
      <c r="M2916" s="370"/>
      <c r="N2916" s="372"/>
      <c r="O2916" s="372"/>
      <c r="P2916" s="380"/>
      <c r="Q2916" s="374"/>
      <c r="R2916" s="381"/>
      <c r="S2916" s="379"/>
      <c r="T2916" s="366"/>
      <c r="U2916" s="366"/>
      <c r="V2916" s="366"/>
      <c r="W2916" s="366"/>
    </row>
    <row r="2917" spans="1:23">
      <c r="A2917" s="1410"/>
      <c r="B2917" s="1413"/>
      <c r="C2917" s="1064" t="s">
        <v>995</v>
      </c>
      <c r="D2917" s="875" t="str">
        <f>B2905&amp;C2917</f>
        <v>A84n</v>
      </c>
      <c r="E2917" s="367">
        <v>12</v>
      </c>
      <c r="F2917" s="370"/>
      <c r="G2917" s="368"/>
      <c r="H2917" s="368"/>
      <c r="I2917" s="368"/>
      <c r="J2917" s="368"/>
      <c r="K2917" s="370"/>
      <c r="L2917" s="370"/>
      <c r="M2917" s="370"/>
      <c r="N2917" s="372"/>
      <c r="O2917" s="372"/>
      <c r="P2917" s="380"/>
      <c r="Q2917" s="374"/>
      <c r="R2917" s="381"/>
      <c r="S2917" s="361"/>
      <c r="T2917" s="361"/>
      <c r="U2917" s="361"/>
      <c r="V2917" s="366"/>
      <c r="W2917" s="366"/>
    </row>
    <row r="2918" spans="1:23">
      <c r="A2918" s="1410"/>
      <c r="B2918" s="1413"/>
      <c r="C2918" s="1064" t="s">
        <v>471</v>
      </c>
      <c r="D2918" s="875" t="str">
        <f>B2905&amp;C2918</f>
        <v>A84x</v>
      </c>
      <c r="E2918" s="367">
        <v>13</v>
      </c>
      <c r="F2918" s="370"/>
      <c r="G2918" s="368"/>
      <c r="H2918" s="368"/>
      <c r="I2918" s="368"/>
      <c r="J2918" s="368"/>
      <c r="K2918" s="370"/>
      <c r="L2918" s="370"/>
      <c r="M2918" s="370"/>
      <c r="N2918" s="382"/>
      <c r="O2918" s="372"/>
      <c r="P2918" s="380"/>
      <c r="Q2918" s="381"/>
      <c r="R2918" s="381"/>
      <c r="S2918" s="361"/>
      <c r="T2918" s="361"/>
      <c r="U2918" s="361"/>
      <c r="V2918" s="366"/>
      <c r="W2918" s="366"/>
    </row>
    <row r="2919" spans="1:23">
      <c r="A2919" s="1410"/>
      <c r="B2919" s="1413"/>
      <c r="C2919" s="1064" t="s">
        <v>732</v>
      </c>
      <c r="D2919" s="875" t="str">
        <f>B2905&amp;C2919</f>
        <v>A84y</v>
      </c>
      <c r="E2919" s="367">
        <v>14</v>
      </c>
      <c r="F2919" s="370"/>
      <c r="G2919" s="368"/>
      <c r="H2919" s="368"/>
      <c r="I2919" s="368"/>
      <c r="J2919" s="368"/>
      <c r="K2919" s="370"/>
      <c r="L2919" s="370"/>
      <c r="M2919" s="370"/>
      <c r="N2919" s="382"/>
      <c r="O2919" s="372"/>
      <c r="P2919" s="380"/>
      <c r="Q2919" s="381"/>
      <c r="R2919" s="381"/>
      <c r="S2919" s="361"/>
      <c r="T2919" s="361"/>
      <c r="U2919" s="362"/>
      <c r="V2919" s="366"/>
      <c r="W2919" s="366"/>
    </row>
    <row r="2920" spans="1:23">
      <c r="A2920" s="1411"/>
      <c r="B2920" s="1414"/>
      <c r="C2920" s="1065" t="s">
        <v>996</v>
      </c>
      <c r="D2920" s="876" t="str">
        <f>B2905&amp;C2920</f>
        <v>A84z</v>
      </c>
      <c r="E2920" s="847">
        <v>15</v>
      </c>
      <c r="F2920" s="370"/>
      <c r="G2920" s="368"/>
      <c r="H2920" s="368"/>
      <c r="I2920" s="368"/>
      <c r="J2920" s="368"/>
      <c r="K2920" s="370"/>
      <c r="L2920" s="370"/>
      <c r="M2920" s="370"/>
      <c r="N2920" s="850"/>
      <c r="O2920" s="851"/>
      <c r="P2920" s="380"/>
      <c r="Q2920" s="852"/>
      <c r="R2920" s="383"/>
      <c r="S2920" s="361"/>
      <c r="T2920" s="1059"/>
      <c r="U2920" s="1058"/>
      <c r="V2920" s="366"/>
      <c r="W2920" s="366"/>
    </row>
    <row r="2921" spans="1:23">
      <c r="A2921" s="1400" t="s">
        <v>939</v>
      </c>
      <c r="B2921" s="1400"/>
      <c r="C2921" s="1060"/>
      <c r="D2921" s="871"/>
      <c r="E2921" s="1400" t="s">
        <v>177</v>
      </c>
      <c r="F2921" s="1400" t="s">
        <v>18</v>
      </c>
      <c r="G2921" s="1389" t="s">
        <v>19</v>
      </c>
      <c r="H2921" s="1390"/>
      <c r="I2921" s="1389" t="s">
        <v>22</v>
      </c>
      <c r="J2921" s="1390"/>
      <c r="K2921" s="1393" t="s">
        <v>26</v>
      </c>
      <c r="L2921" s="1390"/>
      <c r="M2921" s="1389" t="s">
        <v>392</v>
      </c>
      <c r="N2921" s="1390"/>
      <c r="O2921" s="1389" t="s">
        <v>28</v>
      </c>
      <c r="P2921" s="1393"/>
      <c r="Q2921" s="1390"/>
      <c r="R2921" s="1400" t="s">
        <v>36</v>
      </c>
      <c r="S2921" s="361"/>
      <c r="T2921" s="361">
        <f>MAX(J2925:J2939)-MIN(I2925:I2939)</f>
        <v>4.0277777777777787E-2</v>
      </c>
      <c r="U2921" s="361"/>
      <c r="V2921" s="853" t="str">
        <f t="shared" ref="V2921" si="334">B2925</f>
        <v>B45</v>
      </c>
      <c r="W2921" s="361">
        <f t="shared" ref="W2921" si="335">COUNTIF(K2926:K2940,"&gt;0")</f>
        <v>3</v>
      </c>
    </row>
    <row r="2922" spans="1:23">
      <c r="A2922" s="1401"/>
      <c r="B2922" s="1401"/>
      <c r="C2922" s="1061"/>
      <c r="D2922" s="872"/>
      <c r="E2922" s="1401"/>
      <c r="F2922" s="1401"/>
      <c r="G2922" s="1391"/>
      <c r="H2922" s="1392"/>
      <c r="I2922" s="1391"/>
      <c r="J2922" s="1392"/>
      <c r="K2922" s="1394"/>
      <c r="L2922" s="1392"/>
      <c r="M2922" s="1391"/>
      <c r="N2922" s="1392"/>
      <c r="O2922" s="1391"/>
      <c r="P2922" s="1394"/>
      <c r="Q2922" s="1392"/>
      <c r="R2922" s="1401"/>
      <c r="S2922" s="361"/>
      <c r="T2922" s="361"/>
      <c r="U2922" s="361"/>
      <c r="V2922" s="361"/>
      <c r="W2922" s="361"/>
    </row>
    <row r="2923" spans="1:23">
      <c r="A2923" s="1401"/>
      <c r="B2923" s="1401"/>
      <c r="C2923" s="1061"/>
      <c r="D2923" s="872"/>
      <c r="E2923" s="1401"/>
      <c r="F2923" s="1401"/>
      <c r="G2923" s="1400" t="s">
        <v>20</v>
      </c>
      <c r="H2923" s="1400" t="s">
        <v>21</v>
      </c>
      <c r="I2923" s="1400" t="s">
        <v>361</v>
      </c>
      <c r="J2923" s="1400" t="s">
        <v>353</v>
      </c>
      <c r="K2923" s="1400" t="s">
        <v>23</v>
      </c>
      <c r="L2923" s="1400" t="s">
        <v>24</v>
      </c>
      <c r="M2923" s="1400" t="s">
        <v>27</v>
      </c>
      <c r="N2923" s="1400" t="s">
        <v>178</v>
      </c>
      <c r="O2923" s="1400" t="s">
        <v>1</v>
      </c>
      <c r="P2923" s="1400" t="s">
        <v>29</v>
      </c>
      <c r="Q2923" s="1400" t="s">
        <v>33</v>
      </c>
      <c r="R2923" s="1401"/>
      <c r="S2923" s="361"/>
      <c r="T2923" s="361" t="s">
        <v>39</v>
      </c>
      <c r="U2923" s="362">
        <f>VLOOKUP(B2925,'Thong tin'!$A:$M,13,0)</f>
        <v>800</v>
      </c>
      <c r="V2923" s="361"/>
      <c r="W2923" s="361"/>
    </row>
    <row r="2924" spans="1:23">
      <c r="A2924" s="1402"/>
      <c r="B2924" s="1402"/>
      <c r="C2924" s="1062"/>
      <c r="D2924" s="873"/>
      <c r="E2924" s="1402"/>
      <c r="F2924" s="1402"/>
      <c r="G2924" s="1402"/>
      <c r="H2924" s="1402"/>
      <c r="I2924" s="1402"/>
      <c r="J2924" s="1402"/>
      <c r="K2924" s="1402"/>
      <c r="L2924" s="1402"/>
      <c r="M2924" s="1402"/>
      <c r="N2924" s="1402"/>
      <c r="O2924" s="1402"/>
      <c r="P2924" s="1402"/>
      <c r="Q2924" s="1402"/>
      <c r="R2924" s="1402"/>
      <c r="S2924" s="361"/>
      <c r="T2924" s="1399" t="s">
        <v>393</v>
      </c>
      <c r="U2924" s="1397">
        <f>VLOOKUP(B2925,DT.NK!$B:$AZ,45,0)</f>
        <v>33.25</v>
      </c>
      <c r="V2924" s="361"/>
      <c r="W2924" s="361"/>
    </row>
    <row r="2925" spans="1:23">
      <c r="A2925" s="1409">
        <f>A2905+1</f>
        <v>147</v>
      </c>
      <c r="B2925" s="1412" t="s">
        <v>631</v>
      </c>
      <c r="C2925" s="1063" t="s">
        <v>983</v>
      </c>
      <c r="D2925" s="874" t="str">
        <f>B2925&amp;C2925</f>
        <v>B45a</v>
      </c>
      <c r="E2925" s="363"/>
      <c r="F2925" s="364"/>
      <c r="G2925" s="364"/>
      <c r="H2925" s="364"/>
      <c r="I2925" s="364"/>
      <c r="J2925" s="364"/>
      <c r="K2925" s="364"/>
      <c r="L2925" s="364"/>
      <c r="M2925" s="674"/>
      <c r="N2925" s="670"/>
      <c r="O2925" s="670">
        <f>U2924</f>
        <v>33.25</v>
      </c>
      <c r="P2925" s="670">
        <f>O2925</f>
        <v>33.25</v>
      </c>
      <c r="Q2925" s="670">
        <v>0</v>
      </c>
      <c r="R2925" s="365"/>
      <c r="S2925" s="366"/>
      <c r="T2925" s="1399"/>
      <c r="U2925" s="1398"/>
      <c r="V2925" s="361"/>
      <c r="W2925" s="361"/>
    </row>
    <row r="2926" spans="1:23">
      <c r="A2926" s="1410"/>
      <c r="B2926" s="1413"/>
      <c r="C2926" s="1064" t="s">
        <v>984</v>
      </c>
      <c r="D2926" s="875" t="str">
        <f>B2925&amp;C2926</f>
        <v>B45b</v>
      </c>
      <c r="E2926" s="367">
        <v>1</v>
      </c>
      <c r="F2926" s="669" t="s">
        <v>1091</v>
      </c>
      <c r="G2926" s="369">
        <v>0.99305555555555547</v>
      </c>
      <c r="H2926" s="368">
        <v>2.0833333333333332E-2</v>
      </c>
      <c r="I2926" s="368">
        <v>3.125E-2</v>
      </c>
      <c r="J2926" s="368">
        <v>3.4722222222222224E-2</v>
      </c>
      <c r="K2926" s="669">
        <v>9</v>
      </c>
      <c r="L2926" s="669">
        <v>19</v>
      </c>
      <c r="M2926" s="675">
        <v>31.5</v>
      </c>
      <c r="N2926" s="671">
        <f>IF(M2926-P2926&gt;0,M2926-P2926,0)</f>
        <v>5</v>
      </c>
      <c r="O2926" s="671">
        <f>O2925-K2926/(PI()*(U2923/2000)^2)</f>
        <v>15.345068902161774</v>
      </c>
      <c r="P2926" s="672">
        <v>26.5</v>
      </c>
      <c r="Q2926" s="673">
        <f>ABS(O2926-P2926)</f>
        <v>11.154931097838226</v>
      </c>
      <c r="R2926" s="375" t="s">
        <v>188</v>
      </c>
      <c r="S2926" s="366"/>
      <c r="T2926" s="376"/>
      <c r="U2926" s="376"/>
      <c r="V2926" s="366"/>
      <c r="W2926" s="366"/>
    </row>
    <row r="2927" spans="1:23">
      <c r="A2927" s="1410"/>
      <c r="B2927" s="1413"/>
      <c r="C2927" s="1064" t="s">
        <v>985</v>
      </c>
      <c r="D2927" s="875" t="str">
        <f>B2925&amp;C2927</f>
        <v>B45c</v>
      </c>
      <c r="E2927" s="367">
        <v>2</v>
      </c>
      <c r="F2927" s="669" t="s">
        <v>1096</v>
      </c>
      <c r="G2927" s="369">
        <v>0.99652777777777779</v>
      </c>
      <c r="H2927" s="368">
        <v>2.5694444444444447E-2</v>
      </c>
      <c r="I2927" s="368">
        <v>4.1666666666666664E-2</v>
      </c>
      <c r="J2927" s="368">
        <v>4.5138888888888888E-2</v>
      </c>
      <c r="K2927" s="669">
        <v>9</v>
      </c>
      <c r="L2927" s="669">
        <v>20</v>
      </c>
      <c r="M2927" s="675">
        <v>22.05</v>
      </c>
      <c r="N2927" s="671">
        <f>IF(M2927-P2927&gt;0,M2927-P2927,0)</f>
        <v>4.8500000000000014</v>
      </c>
      <c r="O2927" s="671">
        <f>O2926-K2927/(PI()*(U2923/2000)^2)</f>
        <v>-2.5598621956764518</v>
      </c>
      <c r="P2927" s="672">
        <v>17.2</v>
      </c>
      <c r="Q2927" s="673">
        <f>ABS(O2927-P2927)</f>
        <v>19.759862195676451</v>
      </c>
      <c r="R2927" s="375" t="s">
        <v>188</v>
      </c>
      <c r="S2927" s="366"/>
      <c r="T2927" s="376"/>
      <c r="U2927" s="376"/>
      <c r="V2927" s="366"/>
      <c r="W2927" s="366"/>
    </row>
    <row r="2928" spans="1:23">
      <c r="A2928" s="1410"/>
      <c r="B2928" s="1413"/>
      <c r="C2928" s="1064" t="s">
        <v>986</v>
      </c>
      <c r="D2928" s="875" t="str">
        <f>B2925&amp;C2928</f>
        <v>B45d</v>
      </c>
      <c r="E2928" s="367">
        <v>3</v>
      </c>
      <c r="F2928" s="669" t="s">
        <v>1089</v>
      </c>
      <c r="G2928" s="369">
        <v>4.8611111111111112E-2</v>
      </c>
      <c r="H2928" s="368">
        <v>6.5972222222222224E-2</v>
      </c>
      <c r="I2928" s="368">
        <v>6.9444444444444434E-2</v>
      </c>
      <c r="J2928" s="368">
        <v>7.1527777777777787E-2</v>
      </c>
      <c r="K2928" s="669">
        <v>6</v>
      </c>
      <c r="L2928" s="669">
        <v>19</v>
      </c>
      <c r="M2928" s="675">
        <v>9.4499999999999993</v>
      </c>
      <c r="N2928" s="671">
        <f t="shared" ref="N2928" si="336">IF(M2928-P2928&gt;0,M2928-P2928,0)</f>
        <v>3.7499999999999991</v>
      </c>
      <c r="O2928" s="671">
        <f>O2927-K2928/(PI()*(U2923/2000)^2)</f>
        <v>-14.496482927568602</v>
      </c>
      <c r="P2928" s="672">
        <v>5.7</v>
      </c>
      <c r="Q2928" s="673">
        <f t="shared" ref="Q2928" si="337">ABS(O2928-P2928)</f>
        <v>20.196482927568603</v>
      </c>
      <c r="R2928" s="375"/>
      <c r="S2928" s="366"/>
      <c r="T2928" s="376"/>
      <c r="U2928" s="376"/>
      <c r="V2928" s="366"/>
      <c r="W2928" s="366"/>
    </row>
    <row r="2929" spans="1:23">
      <c r="A2929" s="1410"/>
      <c r="B2929" s="1413"/>
      <c r="C2929" s="1064" t="s">
        <v>987</v>
      </c>
      <c r="D2929" s="875" t="str">
        <f>B2925&amp;C2929</f>
        <v>B45e</v>
      </c>
      <c r="E2929" s="367">
        <v>4</v>
      </c>
      <c r="F2929" s="669"/>
      <c r="G2929" s="368"/>
      <c r="H2929" s="368"/>
      <c r="I2929" s="368"/>
      <c r="J2929" s="368"/>
      <c r="K2929" s="370"/>
      <c r="L2929" s="370"/>
      <c r="M2929" s="371"/>
      <c r="N2929" s="671"/>
      <c r="O2929" s="671"/>
      <c r="P2929" s="373"/>
      <c r="Q2929" s="673"/>
      <c r="R2929" s="378"/>
      <c r="S2929" s="366"/>
      <c r="T2929" s="376"/>
      <c r="U2929" s="376"/>
      <c r="V2929" s="366"/>
      <c r="W2929" s="366"/>
    </row>
    <row r="2930" spans="1:23">
      <c r="A2930" s="1410"/>
      <c r="B2930" s="1413"/>
      <c r="C2930" s="1064" t="s">
        <v>988</v>
      </c>
      <c r="D2930" s="875" t="str">
        <f>B2925&amp;C2930</f>
        <v>B45f</v>
      </c>
      <c r="E2930" s="367">
        <v>5</v>
      </c>
      <c r="F2930" s="669"/>
      <c r="G2930" s="368"/>
      <c r="H2930" s="368"/>
      <c r="I2930" s="368"/>
      <c r="J2930" s="368"/>
      <c r="K2930" s="370"/>
      <c r="L2930" s="370"/>
      <c r="M2930" s="371"/>
      <c r="N2930" s="671"/>
      <c r="O2930" s="671"/>
      <c r="P2930" s="373"/>
      <c r="Q2930" s="673"/>
      <c r="R2930" s="378"/>
      <c r="S2930" s="366" t="s">
        <v>190</v>
      </c>
      <c r="T2930" s="376"/>
      <c r="U2930" s="376"/>
      <c r="V2930" s="366"/>
      <c r="W2930" s="366"/>
    </row>
    <row r="2931" spans="1:23">
      <c r="A2931" s="1410"/>
      <c r="B2931" s="1413"/>
      <c r="C2931" s="1064" t="s">
        <v>989</v>
      </c>
      <c r="D2931" s="875" t="str">
        <f>B2925&amp;C2931</f>
        <v>B45g</v>
      </c>
      <c r="E2931" s="367">
        <v>6</v>
      </c>
      <c r="F2931" s="669"/>
      <c r="G2931" s="368"/>
      <c r="H2931" s="368"/>
      <c r="I2931" s="368"/>
      <c r="J2931" s="368"/>
      <c r="K2931" s="370"/>
      <c r="L2931" s="370"/>
      <c r="M2931" s="371"/>
      <c r="N2931" s="671"/>
      <c r="O2931" s="671"/>
      <c r="P2931" s="373"/>
      <c r="Q2931" s="673"/>
      <c r="R2931" s="378"/>
      <c r="S2931" s="366" t="s">
        <v>190</v>
      </c>
      <c r="T2931" s="366"/>
      <c r="U2931" s="366"/>
      <c r="V2931" s="366"/>
      <c r="W2931" s="366"/>
    </row>
    <row r="2932" spans="1:23">
      <c r="A2932" s="1410"/>
      <c r="B2932" s="1413"/>
      <c r="C2932" s="1064" t="s">
        <v>990</v>
      </c>
      <c r="D2932" s="875" t="str">
        <f>B2925&amp;C2932</f>
        <v>B45h</v>
      </c>
      <c r="E2932" s="367">
        <v>7</v>
      </c>
      <c r="F2932" s="669"/>
      <c r="G2932" s="368"/>
      <c r="H2932" s="368"/>
      <c r="I2932" s="368"/>
      <c r="J2932" s="368"/>
      <c r="K2932" s="370"/>
      <c r="L2932" s="370"/>
      <c r="M2932" s="371"/>
      <c r="N2932" s="671"/>
      <c r="O2932" s="671"/>
      <c r="P2932" s="373"/>
      <c r="Q2932" s="673"/>
      <c r="R2932" s="378"/>
      <c r="S2932" s="366" t="s">
        <v>190</v>
      </c>
      <c r="T2932" s="366"/>
      <c r="U2932" s="366"/>
      <c r="V2932" s="366"/>
      <c r="W2932" s="366"/>
    </row>
    <row r="2933" spans="1:23">
      <c r="A2933" s="1410"/>
      <c r="B2933" s="1413"/>
      <c r="C2933" s="1064" t="s">
        <v>991</v>
      </c>
      <c r="D2933" s="875" t="str">
        <f>B2925&amp;C2933</f>
        <v>B45i</v>
      </c>
      <c r="E2933" s="367">
        <v>8</v>
      </c>
      <c r="F2933" s="669"/>
      <c r="G2933" s="368"/>
      <c r="H2933" s="368"/>
      <c r="I2933" s="368"/>
      <c r="J2933" s="368"/>
      <c r="K2933" s="370"/>
      <c r="L2933" s="370"/>
      <c r="M2933" s="371"/>
      <c r="N2933" s="671"/>
      <c r="O2933" s="671"/>
      <c r="P2933" s="373"/>
      <c r="Q2933" s="673"/>
      <c r="R2933" s="378"/>
      <c r="S2933" s="366"/>
      <c r="T2933" s="366"/>
      <c r="U2933" s="366"/>
      <c r="V2933" s="366"/>
      <c r="W2933" s="366"/>
    </row>
    <row r="2934" spans="1:23">
      <c r="A2934" s="1410"/>
      <c r="B2934" s="1413"/>
      <c r="C2934" s="1064" t="s">
        <v>992</v>
      </c>
      <c r="D2934" s="875" t="str">
        <f>B2925&amp;C2934</f>
        <v>B45k</v>
      </c>
      <c r="E2934" s="367">
        <v>9</v>
      </c>
      <c r="F2934" s="370"/>
      <c r="G2934" s="368"/>
      <c r="H2934" s="368"/>
      <c r="I2934" s="368"/>
      <c r="J2934" s="368"/>
      <c r="K2934" s="370"/>
      <c r="L2934" s="370"/>
      <c r="M2934" s="371"/>
      <c r="N2934" s="372"/>
      <c r="O2934" s="372"/>
      <c r="P2934" s="373"/>
      <c r="Q2934" s="374"/>
      <c r="R2934" s="378"/>
      <c r="S2934" s="379"/>
      <c r="T2934" s="366"/>
      <c r="U2934" s="366"/>
      <c r="V2934" s="366"/>
      <c r="W2934" s="366"/>
    </row>
    <row r="2935" spans="1:23">
      <c r="A2935" s="1410"/>
      <c r="B2935" s="1413"/>
      <c r="C2935" s="1064" t="s">
        <v>993</v>
      </c>
      <c r="D2935" s="875" t="str">
        <f>B2925&amp;C2935</f>
        <v>B45l</v>
      </c>
      <c r="E2935" s="367">
        <v>10</v>
      </c>
      <c r="F2935" s="370"/>
      <c r="G2935" s="368"/>
      <c r="H2935" s="368"/>
      <c r="I2935" s="368"/>
      <c r="J2935" s="368"/>
      <c r="K2935" s="370"/>
      <c r="L2935" s="370"/>
      <c r="M2935" s="370"/>
      <c r="N2935" s="372"/>
      <c r="O2935" s="372"/>
      <c r="P2935" s="373"/>
      <c r="Q2935" s="374"/>
      <c r="R2935" s="378"/>
      <c r="S2935" s="379"/>
      <c r="T2935" s="366"/>
      <c r="U2935" s="366"/>
      <c r="V2935" s="366"/>
      <c r="W2935" s="366"/>
    </row>
    <row r="2936" spans="1:23">
      <c r="A2936" s="1410"/>
      <c r="B2936" s="1413"/>
      <c r="C2936" s="1064" t="s">
        <v>994</v>
      </c>
      <c r="D2936" s="875" t="str">
        <f>B2925&amp;C2936</f>
        <v>B45m</v>
      </c>
      <c r="E2936" s="367">
        <v>11</v>
      </c>
      <c r="F2936" s="370"/>
      <c r="G2936" s="368"/>
      <c r="H2936" s="368"/>
      <c r="I2936" s="368"/>
      <c r="J2936" s="368"/>
      <c r="K2936" s="370"/>
      <c r="L2936" s="370"/>
      <c r="M2936" s="370"/>
      <c r="N2936" s="372"/>
      <c r="O2936" s="372"/>
      <c r="P2936" s="380"/>
      <c r="Q2936" s="374"/>
      <c r="R2936" s="381"/>
      <c r="S2936" s="379"/>
      <c r="T2936" s="366"/>
      <c r="U2936" s="366"/>
      <c r="V2936" s="366"/>
      <c r="W2936" s="366"/>
    </row>
    <row r="2937" spans="1:23">
      <c r="A2937" s="1410"/>
      <c r="B2937" s="1413"/>
      <c r="C2937" s="1064" t="s">
        <v>995</v>
      </c>
      <c r="D2937" s="875" t="str">
        <f>B2925&amp;C2937</f>
        <v>B45n</v>
      </c>
      <c r="E2937" s="367">
        <v>12</v>
      </c>
      <c r="F2937" s="370"/>
      <c r="G2937" s="368"/>
      <c r="H2937" s="368"/>
      <c r="I2937" s="368"/>
      <c r="J2937" s="368"/>
      <c r="K2937" s="370"/>
      <c r="L2937" s="370"/>
      <c r="M2937" s="370"/>
      <c r="N2937" s="372"/>
      <c r="O2937" s="372"/>
      <c r="P2937" s="380"/>
      <c r="Q2937" s="374"/>
      <c r="R2937" s="381"/>
      <c r="S2937" s="361"/>
      <c r="T2937" s="361"/>
      <c r="U2937" s="361"/>
      <c r="V2937" s="366"/>
      <c r="W2937" s="366"/>
    </row>
    <row r="2938" spans="1:23">
      <c r="A2938" s="1410"/>
      <c r="B2938" s="1413"/>
      <c r="C2938" s="1064" t="s">
        <v>471</v>
      </c>
      <c r="D2938" s="875" t="str">
        <f>B2925&amp;C2938</f>
        <v>B45x</v>
      </c>
      <c r="E2938" s="367">
        <v>13</v>
      </c>
      <c r="F2938" s="370"/>
      <c r="G2938" s="368"/>
      <c r="H2938" s="368"/>
      <c r="I2938" s="368"/>
      <c r="J2938" s="368"/>
      <c r="K2938" s="370"/>
      <c r="L2938" s="370"/>
      <c r="M2938" s="370"/>
      <c r="N2938" s="382"/>
      <c r="O2938" s="372"/>
      <c r="P2938" s="380"/>
      <c r="Q2938" s="381"/>
      <c r="R2938" s="381"/>
      <c r="S2938" s="361"/>
      <c r="T2938" s="361"/>
      <c r="U2938" s="361"/>
      <c r="V2938" s="366"/>
      <c r="W2938" s="366"/>
    </row>
    <row r="2939" spans="1:23">
      <c r="A2939" s="1410"/>
      <c r="B2939" s="1413"/>
      <c r="C2939" s="1064" t="s">
        <v>732</v>
      </c>
      <c r="D2939" s="875" t="str">
        <f>B2925&amp;C2939</f>
        <v>B45y</v>
      </c>
      <c r="E2939" s="367">
        <v>14</v>
      </c>
      <c r="F2939" s="370"/>
      <c r="G2939" s="368"/>
      <c r="H2939" s="368"/>
      <c r="I2939" s="368"/>
      <c r="J2939" s="368"/>
      <c r="K2939" s="370"/>
      <c r="L2939" s="370"/>
      <c r="M2939" s="370"/>
      <c r="N2939" s="382"/>
      <c r="O2939" s="372"/>
      <c r="P2939" s="380"/>
      <c r="Q2939" s="381"/>
      <c r="R2939" s="381"/>
      <c r="S2939" s="361"/>
      <c r="T2939" s="361"/>
      <c r="U2939" s="362"/>
      <c r="V2939" s="366"/>
      <c r="W2939" s="366"/>
    </row>
    <row r="2940" spans="1:23">
      <c r="A2940" s="1411"/>
      <c r="B2940" s="1414"/>
      <c r="C2940" s="1065" t="s">
        <v>996</v>
      </c>
      <c r="D2940" s="876" t="str">
        <f>B2925&amp;C2940</f>
        <v>B45z</v>
      </c>
      <c r="E2940" s="847">
        <v>15</v>
      </c>
      <c r="F2940" s="370"/>
      <c r="G2940" s="368"/>
      <c r="H2940" s="368"/>
      <c r="I2940" s="368"/>
      <c r="J2940" s="368"/>
      <c r="K2940" s="370"/>
      <c r="L2940" s="370"/>
      <c r="M2940" s="370"/>
      <c r="N2940" s="850"/>
      <c r="O2940" s="851"/>
      <c r="P2940" s="380"/>
      <c r="Q2940" s="852"/>
      <c r="R2940" s="383"/>
      <c r="S2940" s="361"/>
      <c r="T2940" s="1059"/>
      <c r="U2940" s="1058"/>
      <c r="V2940" s="366"/>
      <c r="W2940" s="366"/>
    </row>
    <row r="2941" spans="1:23">
      <c r="A2941" s="1400" t="s">
        <v>939</v>
      </c>
      <c r="B2941" s="1400"/>
      <c r="C2941" s="1060"/>
      <c r="D2941" s="871"/>
      <c r="E2941" s="1400" t="s">
        <v>177</v>
      </c>
      <c r="F2941" s="1400" t="s">
        <v>18</v>
      </c>
      <c r="G2941" s="1389" t="s">
        <v>19</v>
      </c>
      <c r="H2941" s="1390"/>
      <c r="I2941" s="1389" t="s">
        <v>22</v>
      </c>
      <c r="J2941" s="1390"/>
      <c r="K2941" s="1393" t="s">
        <v>26</v>
      </c>
      <c r="L2941" s="1390"/>
      <c r="M2941" s="1389" t="s">
        <v>392</v>
      </c>
      <c r="N2941" s="1390"/>
      <c r="O2941" s="1389" t="s">
        <v>28</v>
      </c>
      <c r="P2941" s="1393"/>
      <c r="Q2941" s="1390"/>
      <c r="R2941" s="1400" t="s">
        <v>36</v>
      </c>
      <c r="S2941" s="361"/>
      <c r="T2941" s="361">
        <f>MAX(J2945:J2959)-MIN(I2945:I2959)</f>
        <v>9.027777777777779E-2</v>
      </c>
      <c r="U2941" s="361"/>
      <c r="V2941" s="853" t="str">
        <f t="shared" ref="V2941" si="338">B2945</f>
        <v>A90</v>
      </c>
      <c r="W2941" s="361">
        <f t="shared" ref="W2941" si="339">COUNTIF(K2946:K2960,"&gt;0")</f>
        <v>4</v>
      </c>
    </row>
    <row r="2942" spans="1:23">
      <c r="A2942" s="1401"/>
      <c r="B2942" s="1401"/>
      <c r="C2942" s="1061"/>
      <c r="D2942" s="872"/>
      <c r="E2942" s="1401"/>
      <c r="F2942" s="1401"/>
      <c r="G2942" s="1391"/>
      <c r="H2942" s="1392"/>
      <c r="I2942" s="1391"/>
      <c r="J2942" s="1392"/>
      <c r="K2942" s="1394"/>
      <c r="L2942" s="1392"/>
      <c r="M2942" s="1391"/>
      <c r="N2942" s="1392"/>
      <c r="O2942" s="1391"/>
      <c r="P2942" s="1394"/>
      <c r="Q2942" s="1392"/>
      <c r="R2942" s="1401"/>
      <c r="S2942" s="361"/>
      <c r="T2942" s="361"/>
      <c r="U2942" s="361"/>
      <c r="V2942" s="361"/>
      <c r="W2942" s="361"/>
    </row>
    <row r="2943" spans="1:23">
      <c r="A2943" s="1401"/>
      <c r="B2943" s="1401"/>
      <c r="C2943" s="1061"/>
      <c r="D2943" s="872"/>
      <c r="E2943" s="1401"/>
      <c r="F2943" s="1401"/>
      <c r="G2943" s="1400" t="s">
        <v>20</v>
      </c>
      <c r="H2943" s="1400" t="s">
        <v>21</v>
      </c>
      <c r="I2943" s="1400" t="s">
        <v>361</v>
      </c>
      <c r="J2943" s="1400" t="s">
        <v>353</v>
      </c>
      <c r="K2943" s="1400" t="s">
        <v>23</v>
      </c>
      <c r="L2943" s="1400" t="s">
        <v>24</v>
      </c>
      <c r="M2943" s="1400" t="s">
        <v>27</v>
      </c>
      <c r="N2943" s="1400" t="s">
        <v>178</v>
      </c>
      <c r="O2943" s="1400" t="s">
        <v>1</v>
      </c>
      <c r="P2943" s="1400" t="s">
        <v>29</v>
      </c>
      <c r="Q2943" s="1400" t="s">
        <v>33</v>
      </c>
      <c r="R2943" s="1401"/>
      <c r="S2943" s="361"/>
      <c r="T2943" s="361" t="s">
        <v>39</v>
      </c>
      <c r="U2943" s="362">
        <f>VLOOKUP(B2945,'Thong tin'!$A:$M,13,0)</f>
        <v>1200</v>
      </c>
      <c r="V2943" s="361"/>
      <c r="W2943" s="361"/>
    </row>
    <row r="2944" spans="1:23">
      <c r="A2944" s="1402"/>
      <c r="B2944" s="1402"/>
      <c r="C2944" s="1062"/>
      <c r="D2944" s="873"/>
      <c r="E2944" s="1402"/>
      <c r="F2944" s="1402"/>
      <c r="G2944" s="1402"/>
      <c r="H2944" s="1402"/>
      <c r="I2944" s="1402"/>
      <c r="J2944" s="1402"/>
      <c r="K2944" s="1402"/>
      <c r="L2944" s="1402"/>
      <c r="M2944" s="1402"/>
      <c r="N2944" s="1402"/>
      <c r="O2944" s="1402"/>
      <c r="P2944" s="1402"/>
      <c r="Q2944" s="1402"/>
      <c r="R2944" s="1402"/>
      <c r="S2944" s="361"/>
      <c r="T2944" s="1399" t="s">
        <v>393</v>
      </c>
      <c r="U2944" s="1397">
        <f>VLOOKUP(B2945,DT.NK!$B:$AZ,45,0)</f>
        <v>28.24</v>
      </c>
      <c r="V2944" s="361"/>
      <c r="W2944" s="361"/>
    </row>
    <row r="2945" spans="1:23">
      <c r="A2945" s="1409">
        <f>A2925+1</f>
        <v>148</v>
      </c>
      <c r="B2945" s="1412" t="s">
        <v>703</v>
      </c>
      <c r="C2945" s="1063" t="s">
        <v>983</v>
      </c>
      <c r="D2945" s="874" t="str">
        <f>B2945&amp;C2945</f>
        <v>A90a</v>
      </c>
      <c r="E2945" s="363"/>
      <c r="F2945" s="364"/>
      <c r="G2945" s="364"/>
      <c r="H2945" s="364"/>
      <c r="I2945" s="364"/>
      <c r="J2945" s="364"/>
      <c r="K2945" s="364"/>
      <c r="L2945" s="364"/>
      <c r="M2945" s="674"/>
      <c r="N2945" s="670"/>
      <c r="O2945" s="670">
        <f>U2944</f>
        <v>28.24</v>
      </c>
      <c r="P2945" s="670">
        <f>O2945</f>
        <v>28.24</v>
      </c>
      <c r="Q2945" s="670">
        <v>0</v>
      </c>
      <c r="R2945" s="365"/>
      <c r="S2945" s="366"/>
      <c r="T2945" s="1399"/>
      <c r="U2945" s="1398"/>
      <c r="V2945" s="361"/>
      <c r="W2945" s="361"/>
    </row>
    <row r="2946" spans="1:23">
      <c r="A2946" s="1410"/>
      <c r="B2946" s="1413"/>
      <c r="C2946" s="1064" t="s">
        <v>984</v>
      </c>
      <c r="D2946" s="875" t="str">
        <f>B2945&amp;C2946</f>
        <v>A90b</v>
      </c>
      <c r="E2946" s="367">
        <v>1</v>
      </c>
      <c r="F2946" s="669" t="s">
        <v>1096</v>
      </c>
      <c r="G2946" s="369">
        <v>0.70694444444444438</v>
      </c>
      <c r="H2946" s="368">
        <v>0.73263888888888884</v>
      </c>
      <c r="I2946" s="368">
        <v>0.75</v>
      </c>
      <c r="J2946" s="368">
        <v>0.75694444444444453</v>
      </c>
      <c r="K2946" s="669">
        <v>9</v>
      </c>
      <c r="L2946" s="669">
        <v>19</v>
      </c>
      <c r="M2946" s="675">
        <v>27.2</v>
      </c>
      <c r="N2946" s="671">
        <f>IF(M2946-P2946&gt;0,M2946-P2946,0)</f>
        <v>3.6999999999999993</v>
      </c>
      <c r="O2946" s="671">
        <f>O2945-K2946/(PI()*(U2943/2000)^2)</f>
        <v>20.282252845405232</v>
      </c>
      <c r="P2946" s="672">
        <v>23.5</v>
      </c>
      <c r="Q2946" s="673">
        <f>ABS(O2946-P2946)</f>
        <v>3.2177471545947682</v>
      </c>
      <c r="R2946" s="375" t="s">
        <v>188</v>
      </c>
      <c r="S2946" s="366"/>
      <c r="T2946" s="376"/>
      <c r="U2946" s="376"/>
      <c r="V2946" s="366"/>
      <c r="W2946" s="366"/>
    </row>
    <row r="2947" spans="1:23">
      <c r="A2947" s="1410"/>
      <c r="B2947" s="1413"/>
      <c r="C2947" s="1064" t="s">
        <v>985</v>
      </c>
      <c r="D2947" s="875" t="str">
        <f>B2945&amp;C2947</f>
        <v>A90c</v>
      </c>
      <c r="E2947" s="367">
        <v>2</v>
      </c>
      <c r="F2947" s="669" t="s">
        <v>1091</v>
      </c>
      <c r="G2947" s="369">
        <v>0.71944444444444444</v>
      </c>
      <c r="H2947" s="368">
        <v>0.74305555555555547</v>
      </c>
      <c r="I2947" s="368">
        <v>0.76388888888888884</v>
      </c>
      <c r="J2947" s="368">
        <v>0.77083333333333337</v>
      </c>
      <c r="K2947" s="669">
        <v>9</v>
      </c>
      <c r="L2947" s="669">
        <v>19</v>
      </c>
      <c r="M2947" s="675">
        <v>22.05</v>
      </c>
      <c r="N2947" s="671">
        <f>IF(M2947-P2947&gt;0,M2947-P2947,0)</f>
        <v>6.0500000000000007</v>
      </c>
      <c r="O2947" s="671">
        <f>O2946-K2947/(PI()*(U2943/2000)^2)</f>
        <v>12.324505690810465</v>
      </c>
      <c r="P2947" s="672">
        <v>16</v>
      </c>
      <c r="Q2947" s="673">
        <f>ABS(O2947-P2947)</f>
        <v>3.6754943091895349</v>
      </c>
      <c r="R2947" s="375" t="s">
        <v>188</v>
      </c>
      <c r="S2947" s="366"/>
      <c r="T2947" s="376"/>
      <c r="U2947" s="376"/>
      <c r="V2947" s="366"/>
      <c r="W2947" s="366"/>
    </row>
    <row r="2948" spans="1:23">
      <c r="A2948" s="1410"/>
      <c r="B2948" s="1413"/>
      <c r="C2948" s="1064" t="s">
        <v>986</v>
      </c>
      <c r="D2948" s="875" t="str">
        <f>B2945&amp;C2948</f>
        <v>A90d</v>
      </c>
      <c r="E2948" s="367">
        <v>3</v>
      </c>
      <c r="F2948" s="669" t="s">
        <v>1089</v>
      </c>
      <c r="G2948" s="369">
        <v>0.72916666666666663</v>
      </c>
      <c r="H2948" s="368">
        <v>0.75347222222222221</v>
      </c>
      <c r="I2948" s="368">
        <v>0.77777777777777779</v>
      </c>
      <c r="J2948" s="368">
        <v>0.78472222222222221</v>
      </c>
      <c r="K2948" s="669">
        <v>9</v>
      </c>
      <c r="L2948" s="669">
        <v>19</v>
      </c>
      <c r="M2948" s="675">
        <v>12.6</v>
      </c>
      <c r="N2948" s="671">
        <f t="shared" ref="N2948:N2949" si="340">IF(M2948-P2948&gt;0,M2948-P2948,0)</f>
        <v>3.4000000000000004</v>
      </c>
      <c r="O2948" s="671">
        <f>O2947-K2948/(PI()*(U2943/2000)^2)</f>
        <v>4.3667585362156984</v>
      </c>
      <c r="P2948" s="672">
        <v>9.1999999999999993</v>
      </c>
      <c r="Q2948" s="673">
        <f t="shared" ref="Q2948:Q2949" si="341">ABS(O2948-P2948)</f>
        <v>4.8332414637843009</v>
      </c>
      <c r="R2948" s="375" t="s">
        <v>188</v>
      </c>
      <c r="S2948" s="366"/>
      <c r="T2948" s="376"/>
      <c r="U2948" s="376"/>
      <c r="V2948" s="366"/>
      <c r="W2948" s="366"/>
    </row>
    <row r="2949" spans="1:23">
      <c r="A2949" s="1410"/>
      <c r="B2949" s="1413"/>
      <c r="C2949" s="1064" t="s">
        <v>987</v>
      </c>
      <c r="D2949" s="875" t="str">
        <f>B2945&amp;C2949</f>
        <v>A90e</v>
      </c>
      <c r="E2949" s="367">
        <v>4</v>
      </c>
      <c r="F2949" s="669" t="s">
        <v>1013</v>
      </c>
      <c r="G2949" s="369">
        <v>0.80972222222222223</v>
      </c>
      <c r="H2949" s="368">
        <v>0.83333333333333337</v>
      </c>
      <c r="I2949" s="368">
        <v>0.83680555555555547</v>
      </c>
      <c r="J2949" s="368">
        <v>0.84027777777777779</v>
      </c>
      <c r="K2949" s="669">
        <v>1</v>
      </c>
      <c r="L2949" s="669"/>
      <c r="M2949" s="675">
        <v>12.6</v>
      </c>
      <c r="N2949" s="671">
        <f t="shared" si="340"/>
        <v>4.1999999999999993</v>
      </c>
      <c r="O2949" s="671">
        <f>O2948-K2949/(PI()*(U2943/2000)^2)</f>
        <v>3.482564407927391</v>
      </c>
      <c r="P2949" s="672">
        <v>8.4</v>
      </c>
      <c r="Q2949" s="673">
        <f t="shared" si="341"/>
        <v>4.9174355920726089</v>
      </c>
      <c r="R2949" s="375"/>
      <c r="S2949" s="366"/>
      <c r="T2949" s="376"/>
      <c r="U2949" s="376"/>
      <c r="V2949" s="366"/>
      <c r="W2949" s="366"/>
    </row>
    <row r="2950" spans="1:23">
      <c r="A2950" s="1410"/>
      <c r="B2950" s="1413"/>
      <c r="C2950" s="1064" t="s">
        <v>988</v>
      </c>
      <c r="D2950" s="875" t="str">
        <f>B2945&amp;C2950</f>
        <v>A90f</v>
      </c>
      <c r="E2950" s="367">
        <v>5</v>
      </c>
      <c r="F2950" s="669"/>
      <c r="G2950" s="368"/>
      <c r="H2950" s="368"/>
      <c r="I2950" s="368"/>
      <c r="J2950" s="368"/>
      <c r="K2950" s="370"/>
      <c r="L2950" s="370"/>
      <c r="M2950" s="371"/>
      <c r="N2950" s="671"/>
      <c r="O2950" s="671"/>
      <c r="P2950" s="373"/>
      <c r="Q2950" s="673"/>
      <c r="R2950" s="378"/>
      <c r="S2950" s="366" t="s">
        <v>190</v>
      </c>
      <c r="T2950" s="376"/>
      <c r="U2950" s="376"/>
      <c r="V2950" s="366"/>
      <c r="W2950" s="366"/>
    </row>
    <row r="2951" spans="1:23">
      <c r="A2951" s="1410"/>
      <c r="B2951" s="1413"/>
      <c r="C2951" s="1064" t="s">
        <v>989</v>
      </c>
      <c r="D2951" s="875" t="str">
        <f>B2945&amp;C2951</f>
        <v>A90g</v>
      </c>
      <c r="E2951" s="367">
        <v>6</v>
      </c>
      <c r="F2951" s="669"/>
      <c r="G2951" s="368"/>
      <c r="H2951" s="368"/>
      <c r="I2951" s="368"/>
      <c r="J2951" s="368"/>
      <c r="K2951" s="370"/>
      <c r="L2951" s="370"/>
      <c r="M2951" s="371"/>
      <c r="N2951" s="671"/>
      <c r="O2951" s="671"/>
      <c r="P2951" s="373"/>
      <c r="Q2951" s="673"/>
      <c r="R2951" s="378"/>
      <c r="S2951" s="366" t="s">
        <v>190</v>
      </c>
      <c r="T2951" s="366"/>
      <c r="U2951" s="366"/>
      <c r="V2951" s="366"/>
      <c r="W2951" s="366"/>
    </row>
    <row r="2952" spans="1:23">
      <c r="A2952" s="1410"/>
      <c r="B2952" s="1413"/>
      <c r="C2952" s="1064" t="s">
        <v>990</v>
      </c>
      <c r="D2952" s="875" t="str">
        <f>B2945&amp;C2952</f>
        <v>A90h</v>
      </c>
      <c r="E2952" s="367">
        <v>7</v>
      </c>
      <c r="F2952" s="669"/>
      <c r="G2952" s="368"/>
      <c r="H2952" s="368"/>
      <c r="I2952" s="368"/>
      <c r="J2952" s="368"/>
      <c r="K2952" s="370"/>
      <c r="L2952" s="370"/>
      <c r="M2952" s="371"/>
      <c r="N2952" s="671"/>
      <c r="O2952" s="671"/>
      <c r="P2952" s="373"/>
      <c r="Q2952" s="673"/>
      <c r="R2952" s="378"/>
      <c r="S2952" s="366" t="s">
        <v>190</v>
      </c>
      <c r="T2952" s="366"/>
      <c r="U2952" s="366"/>
      <c r="V2952" s="366"/>
      <c r="W2952" s="366"/>
    </row>
    <row r="2953" spans="1:23">
      <c r="A2953" s="1410"/>
      <c r="B2953" s="1413"/>
      <c r="C2953" s="1064" t="s">
        <v>991</v>
      </c>
      <c r="D2953" s="875" t="str">
        <f>B2945&amp;C2953</f>
        <v>A90i</v>
      </c>
      <c r="E2953" s="367">
        <v>8</v>
      </c>
      <c r="F2953" s="669"/>
      <c r="G2953" s="368"/>
      <c r="H2953" s="368"/>
      <c r="I2953" s="368"/>
      <c r="J2953" s="368"/>
      <c r="K2953" s="370"/>
      <c r="L2953" s="370"/>
      <c r="M2953" s="371"/>
      <c r="N2953" s="671"/>
      <c r="O2953" s="671"/>
      <c r="P2953" s="373"/>
      <c r="Q2953" s="673"/>
      <c r="R2953" s="378"/>
      <c r="S2953" s="366"/>
      <c r="T2953" s="366"/>
      <c r="U2953" s="366"/>
      <c r="V2953" s="366"/>
      <c r="W2953" s="366"/>
    </row>
    <row r="2954" spans="1:23">
      <c r="A2954" s="1410"/>
      <c r="B2954" s="1413"/>
      <c r="C2954" s="1064" t="s">
        <v>992</v>
      </c>
      <c r="D2954" s="875" t="str">
        <f>B2945&amp;C2954</f>
        <v>A90k</v>
      </c>
      <c r="E2954" s="367">
        <v>9</v>
      </c>
      <c r="F2954" s="370"/>
      <c r="G2954" s="368"/>
      <c r="H2954" s="368"/>
      <c r="I2954" s="368"/>
      <c r="J2954" s="368"/>
      <c r="K2954" s="370"/>
      <c r="L2954" s="370"/>
      <c r="M2954" s="371"/>
      <c r="N2954" s="372"/>
      <c r="O2954" s="372"/>
      <c r="P2954" s="373"/>
      <c r="Q2954" s="374"/>
      <c r="R2954" s="378"/>
      <c r="S2954" s="379"/>
      <c r="T2954" s="366"/>
      <c r="U2954" s="366"/>
      <c r="V2954" s="366"/>
      <c r="W2954" s="366"/>
    </row>
    <row r="2955" spans="1:23">
      <c r="A2955" s="1410"/>
      <c r="B2955" s="1413"/>
      <c r="C2955" s="1064" t="s">
        <v>993</v>
      </c>
      <c r="D2955" s="875" t="str">
        <f>B2945&amp;C2955</f>
        <v>A90l</v>
      </c>
      <c r="E2955" s="367">
        <v>10</v>
      </c>
      <c r="F2955" s="370"/>
      <c r="G2955" s="368"/>
      <c r="H2955" s="368"/>
      <c r="I2955" s="368"/>
      <c r="J2955" s="368"/>
      <c r="K2955" s="370"/>
      <c r="L2955" s="370"/>
      <c r="M2955" s="370"/>
      <c r="N2955" s="372"/>
      <c r="O2955" s="372"/>
      <c r="P2955" s="373"/>
      <c r="Q2955" s="374"/>
      <c r="R2955" s="378"/>
      <c r="S2955" s="379"/>
      <c r="T2955" s="366"/>
      <c r="U2955" s="366"/>
      <c r="V2955" s="366"/>
      <c r="W2955" s="366"/>
    </row>
    <row r="2956" spans="1:23">
      <c r="A2956" s="1410"/>
      <c r="B2956" s="1413"/>
      <c r="C2956" s="1064" t="s">
        <v>994</v>
      </c>
      <c r="D2956" s="875" t="str">
        <f>B2945&amp;C2956</f>
        <v>A90m</v>
      </c>
      <c r="E2956" s="367">
        <v>11</v>
      </c>
      <c r="F2956" s="370"/>
      <c r="G2956" s="368"/>
      <c r="H2956" s="368"/>
      <c r="I2956" s="368"/>
      <c r="J2956" s="368"/>
      <c r="K2956" s="370"/>
      <c r="L2956" s="370"/>
      <c r="M2956" s="370"/>
      <c r="N2956" s="372"/>
      <c r="O2956" s="372"/>
      <c r="P2956" s="380"/>
      <c r="Q2956" s="374"/>
      <c r="R2956" s="381"/>
      <c r="S2956" s="379"/>
      <c r="T2956" s="366"/>
      <c r="U2956" s="366"/>
      <c r="V2956" s="366"/>
      <c r="W2956" s="366"/>
    </row>
    <row r="2957" spans="1:23">
      <c r="A2957" s="1410"/>
      <c r="B2957" s="1413"/>
      <c r="C2957" s="1064" t="s">
        <v>995</v>
      </c>
      <c r="D2957" s="875" t="str">
        <f>B2945&amp;C2957</f>
        <v>A90n</v>
      </c>
      <c r="E2957" s="367">
        <v>12</v>
      </c>
      <c r="F2957" s="370"/>
      <c r="G2957" s="368"/>
      <c r="H2957" s="368"/>
      <c r="I2957" s="368"/>
      <c r="J2957" s="368"/>
      <c r="K2957" s="370"/>
      <c r="L2957" s="370"/>
      <c r="M2957" s="370"/>
      <c r="N2957" s="372"/>
      <c r="O2957" s="372"/>
      <c r="P2957" s="380"/>
      <c r="Q2957" s="374"/>
      <c r="R2957" s="381"/>
      <c r="S2957" s="361"/>
      <c r="T2957" s="361"/>
      <c r="U2957" s="361"/>
      <c r="V2957" s="366"/>
      <c r="W2957" s="366"/>
    </row>
    <row r="2958" spans="1:23">
      <c r="A2958" s="1410"/>
      <c r="B2958" s="1413"/>
      <c r="C2958" s="1064" t="s">
        <v>471</v>
      </c>
      <c r="D2958" s="875" t="str">
        <f>B2945&amp;C2958</f>
        <v>A90x</v>
      </c>
      <c r="E2958" s="367">
        <v>13</v>
      </c>
      <c r="F2958" s="370"/>
      <c r="G2958" s="368"/>
      <c r="H2958" s="368"/>
      <c r="I2958" s="368"/>
      <c r="J2958" s="368"/>
      <c r="K2958" s="370"/>
      <c r="L2958" s="370"/>
      <c r="M2958" s="370"/>
      <c r="N2958" s="382"/>
      <c r="O2958" s="372"/>
      <c r="P2958" s="380"/>
      <c r="Q2958" s="381"/>
      <c r="R2958" s="381"/>
      <c r="S2958" s="361"/>
      <c r="T2958" s="361"/>
      <c r="U2958" s="361"/>
      <c r="V2958" s="366"/>
      <c r="W2958" s="366"/>
    </row>
    <row r="2959" spans="1:23">
      <c r="A2959" s="1410"/>
      <c r="B2959" s="1413"/>
      <c r="C2959" s="1064" t="s">
        <v>732</v>
      </c>
      <c r="D2959" s="875" t="str">
        <f>B2945&amp;C2959</f>
        <v>A90y</v>
      </c>
      <c r="E2959" s="367">
        <v>14</v>
      </c>
      <c r="F2959" s="370"/>
      <c r="G2959" s="368"/>
      <c r="H2959" s="368"/>
      <c r="I2959" s="368"/>
      <c r="J2959" s="368"/>
      <c r="K2959" s="370"/>
      <c r="L2959" s="370"/>
      <c r="M2959" s="370"/>
      <c r="N2959" s="382"/>
      <c r="O2959" s="372"/>
      <c r="P2959" s="380"/>
      <c r="Q2959" s="381"/>
      <c r="R2959" s="381"/>
      <c r="S2959" s="361"/>
      <c r="T2959" s="361"/>
      <c r="U2959" s="362"/>
      <c r="V2959" s="366"/>
      <c r="W2959" s="366"/>
    </row>
    <row r="2960" spans="1:23">
      <c r="A2960" s="1411"/>
      <c r="B2960" s="1414"/>
      <c r="C2960" s="1065" t="s">
        <v>996</v>
      </c>
      <c r="D2960" s="876" t="str">
        <f>B2945&amp;C2960</f>
        <v>A90z</v>
      </c>
      <c r="E2960" s="847">
        <v>15</v>
      </c>
      <c r="F2960" s="370"/>
      <c r="G2960" s="368"/>
      <c r="H2960" s="368"/>
      <c r="I2960" s="368"/>
      <c r="J2960" s="368"/>
      <c r="K2960" s="370"/>
      <c r="L2960" s="370"/>
      <c r="M2960" s="370"/>
      <c r="N2960" s="850"/>
      <c r="O2960" s="851"/>
      <c r="P2960" s="380"/>
      <c r="Q2960" s="852"/>
      <c r="R2960" s="383"/>
      <c r="S2960" s="361"/>
      <c r="T2960" s="1059"/>
      <c r="U2960" s="1058"/>
      <c r="V2960" s="366"/>
      <c r="W2960" s="366"/>
    </row>
    <row r="2961" spans="1:23">
      <c r="A2961" s="1400" t="s">
        <v>939</v>
      </c>
      <c r="B2961" s="1400"/>
      <c r="C2961" s="1060"/>
      <c r="D2961" s="871"/>
      <c r="E2961" s="1400" t="s">
        <v>177</v>
      </c>
      <c r="F2961" s="1400" t="s">
        <v>18</v>
      </c>
      <c r="G2961" s="1389" t="s">
        <v>19</v>
      </c>
      <c r="H2961" s="1390"/>
      <c r="I2961" s="1389" t="s">
        <v>22</v>
      </c>
      <c r="J2961" s="1390"/>
      <c r="K2961" s="1393" t="s">
        <v>26</v>
      </c>
      <c r="L2961" s="1390"/>
      <c r="M2961" s="1389" t="s">
        <v>392</v>
      </c>
      <c r="N2961" s="1390"/>
      <c r="O2961" s="1389" t="s">
        <v>28</v>
      </c>
      <c r="P2961" s="1393"/>
      <c r="Q2961" s="1390"/>
      <c r="R2961" s="1400" t="s">
        <v>36</v>
      </c>
      <c r="S2961" s="361"/>
      <c r="T2961" s="361">
        <f>MAX(J2965:J2979)-MIN(I2965:I2979)</f>
        <v>6.9444444444444448E-2</v>
      </c>
      <c r="U2961" s="361"/>
      <c r="V2961" s="853" t="str">
        <f t="shared" ref="V2961" si="342">B2965</f>
        <v>A88</v>
      </c>
      <c r="W2961" s="361">
        <f t="shared" ref="W2961" si="343">COUNTIF(K2966:K2980,"&gt;0")</f>
        <v>5</v>
      </c>
    </row>
    <row r="2962" spans="1:23">
      <c r="A2962" s="1401"/>
      <c r="B2962" s="1401"/>
      <c r="C2962" s="1061"/>
      <c r="D2962" s="872"/>
      <c r="E2962" s="1401"/>
      <c r="F2962" s="1401"/>
      <c r="G2962" s="1391"/>
      <c r="H2962" s="1392"/>
      <c r="I2962" s="1391"/>
      <c r="J2962" s="1392"/>
      <c r="K2962" s="1394"/>
      <c r="L2962" s="1392"/>
      <c r="M2962" s="1391"/>
      <c r="N2962" s="1392"/>
      <c r="O2962" s="1391"/>
      <c r="P2962" s="1394"/>
      <c r="Q2962" s="1392"/>
      <c r="R2962" s="1401"/>
      <c r="S2962" s="361"/>
      <c r="T2962" s="361"/>
      <c r="U2962" s="361"/>
      <c r="V2962" s="361"/>
      <c r="W2962" s="361"/>
    </row>
    <row r="2963" spans="1:23">
      <c r="A2963" s="1401"/>
      <c r="B2963" s="1401"/>
      <c r="C2963" s="1061"/>
      <c r="D2963" s="872"/>
      <c r="E2963" s="1401"/>
      <c r="F2963" s="1401"/>
      <c r="G2963" s="1400" t="s">
        <v>20</v>
      </c>
      <c r="H2963" s="1400" t="s">
        <v>21</v>
      </c>
      <c r="I2963" s="1400" t="s">
        <v>361</v>
      </c>
      <c r="J2963" s="1400" t="s">
        <v>353</v>
      </c>
      <c r="K2963" s="1400" t="s">
        <v>23</v>
      </c>
      <c r="L2963" s="1400" t="s">
        <v>24</v>
      </c>
      <c r="M2963" s="1400" t="s">
        <v>27</v>
      </c>
      <c r="N2963" s="1400" t="s">
        <v>178</v>
      </c>
      <c r="O2963" s="1400" t="s">
        <v>1</v>
      </c>
      <c r="P2963" s="1400" t="s">
        <v>29</v>
      </c>
      <c r="Q2963" s="1400" t="s">
        <v>33</v>
      </c>
      <c r="R2963" s="1401"/>
      <c r="S2963" s="361"/>
      <c r="T2963" s="361" t="s">
        <v>39</v>
      </c>
      <c r="U2963" s="362">
        <f>VLOOKUP(B2965,'Thong tin'!$A:$M,13,0)</f>
        <v>1200</v>
      </c>
      <c r="V2963" s="361"/>
      <c r="W2963" s="361"/>
    </row>
    <row r="2964" spans="1:23">
      <c r="A2964" s="1402"/>
      <c r="B2964" s="1402"/>
      <c r="C2964" s="1062"/>
      <c r="D2964" s="873"/>
      <c r="E2964" s="1402"/>
      <c r="F2964" s="1402"/>
      <c r="G2964" s="1402"/>
      <c r="H2964" s="1402"/>
      <c r="I2964" s="1402"/>
      <c r="J2964" s="1402"/>
      <c r="K2964" s="1402"/>
      <c r="L2964" s="1402"/>
      <c r="M2964" s="1402"/>
      <c r="N2964" s="1402"/>
      <c r="O2964" s="1402"/>
      <c r="P2964" s="1402"/>
      <c r="Q2964" s="1402"/>
      <c r="R2964" s="1402"/>
      <c r="S2964" s="361"/>
      <c r="T2964" s="1399" t="s">
        <v>393</v>
      </c>
      <c r="U2964" s="1397">
        <f>VLOOKUP(B2965,DT.NK!$B:$AZ,45,0)</f>
        <v>43.16</v>
      </c>
      <c r="V2964" s="361"/>
      <c r="W2964" s="361"/>
    </row>
    <row r="2965" spans="1:23">
      <c r="A2965" s="1409">
        <f>A2945+1</f>
        <v>149</v>
      </c>
      <c r="B2965" s="1412" t="s">
        <v>695</v>
      </c>
      <c r="C2965" s="1063" t="s">
        <v>983</v>
      </c>
      <c r="D2965" s="874" t="str">
        <f>B2965&amp;C2965</f>
        <v>A88a</v>
      </c>
      <c r="E2965" s="363"/>
      <c r="F2965" s="364"/>
      <c r="G2965" s="364"/>
      <c r="H2965" s="364"/>
      <c r="I2965" s="364"/>
      <c r="J2965" s="364"/>
      <c r="K2965" s="364"/>
      <c r="L2965" s="364"/>
      <c r="M2965" s="674"/>
      <c r="N2965" s="670"/>
      <c r="O2965" s="670">
        <f>U2964</f>
        <v>43.16</v>
      </c>
      <c r="P2965" s="670">
        <f>O2965</f>
        <v>43.16</v>
      </c>
      <c r="Q2965" s="670">
        <v>0</v>
      </c>
      <c r="R2965" s="365"/>
      <c r="S2965" s="366"/>
      <c r="T2965" s="1399"/>
      <c r="U2965" s="1398"/>
      <c r="V2965" s="361"/>
      <c r="W2965" s="361"/>
    </row>
    <row r="2966" spans="1:23">
      <c r="A2966" s="1410"/>
      <c r="B2966" s="1413"/>
      <c r="C2966" s="1064" t="s">
        <v>984</v>
      </c>
      <c r="D2966" s="875" t="str">
        <f>B2965&amp;C2966</f>
        <v>A88b</v>
      </c>
      <c r="E2966" s="367">
        <v>1</v>
      </c>
      <c r="F2966" s="669" t="s">
        <v>1096</v>
      </c>
      <c r="G2966" s="369">
        <v>0.19999999999999998</v>
      </c>
      <c r="H2966" s="368">
        <v>0.23611111111111113</v>
      </c>
      <c r="I2966" s="368">
        <v>0.24305555555555555</v>
      </c>
      <c r="J2966" s="368">
        <v>0.24652777777777779</v>
      </c>
      <c r="K2966" s="669">
        <v>11</v>
      </c>
      <c r="L2966" s="669">
        <v>19</v>
      </c>
      <c r="M2966" s="675">
        <v>40.950000000000003</v>
      </c>
      <c r="N2966" s="671">
        <f>IF(M2966-P2966&gt;0,M2966-P2966,0)</f>
        <v>3.4299999999999997</v>
      </c>
      <c r="O2966" s="671">
        <f>O2965-K2966/(PI()*(U2963/2000)^2)</f>
        <v>33.433864588828612</v>
      </c>
      <c r="P2966" s="672">
        <v>37.520000000000003</v>
      </c>
      <c r="Q2966" s="673">
        <f>ABS(O2966-P2966)</f>
        <v>4.0861354111713908</v>
      </c>
      <c r="R2966" s="375" t="s">
        <v>188</v>
      </c>
      <c r="S2966" s="366"/>
      <c r="T2966" s="376"/>
      <c r="U2966" s="376"/>
      <c r="V2966" s="366"/>
      <c r="W2966" s="366"/>
    </row>
    <row r="2967" spans="1:23">
      <c r="A2967" s="1410"/>
      <c r="B2967" s="1413"/>
      <c r="C2967" s="1064" t="s">
        <v>985</v>
      </c>
      <c r="D2967" s="875" t="str">
        <f>B2965&amp;C2967</f>
        <v>A88c</v>
      </c>
      <c r="E2967" s="367">
        <v>2</v>
      </c>
      <c r="F2967" s="669" t="s">
        <v>1089</v>
      </c>
      <c r="G2967" s="369">
        <v>0.21041666666666667</v>
      </c>
      <c r="H2967" s="368">
        <v>0.23958333333333334</v>
      </c>
      <c r="I2967" s="368">
        <v>0.25</v>
      </c>
      <c r="J2967" s="368">
        <v>0.25347222222222221</v>
      </c>
      <c r="K2967" s="669">
        <v>11</v>
      </c>
      <c r="L2967" s="669">
        <v>20</v>
      </c>
      <c r="M2967" s="675">
        <v>34.65</v>
      </c>
      <c r="N2967" s="671">
        <f>IF(M2967-P2967&gt;0,M2967-P2967,0)</f>
        <v>5.2299999999999969</v>
      </c>
      <c r="O2967" s="671">
        <f>O2966-K2967/(PI()*(U2963/2000)^2)</f>
        <v>23.707729177657228</v>
      </c>
      <c r="P2967" s="672">
        <v>29.42</v>
      </c>
      <c r="Q2967" s="673">
        <f>ABS(O2967-P2967)</f>
        <v>5.7122708223427736</v>
      </c>
      <c r="R2967" s="375" t="s">
        <v>188</v>
      </c>
      <c r="S2967" s="366"/>
      <c r="T2967" s="376"/>
      <c r="U2967" s="376"/>
      <c r="V2967" s="366"/>
      <c r="W2967" s="366"/>
    </row>
    <row r="2968" spans="1:23">
      <c r="A2968" s="1410"/>
      <c r="B2968" s="1413"/>
      <c r="C2968" s="1064" t="s">
        <v>986</v>
      </c>
      <c r="D2968" s="875" t="str">
        <f>B2965&amp;C2968</f>
        <v>A88d</v>
      </c>
      <c r="E2968" s="367">
        <v>3</v>
      </c>
      <c r="F2968" s="669" t="s">
        <v>1091</v>
      </c>
      <c r="G2968" s="369">
        <v>0.22152777777777777</v>
      </c>
      <c r="H2968" s="368">
        <v>0.25347222222222221</v>
      </c>
      <c r="I2968" s="368">
        <v>0.26041666666666669</v>
      </c>
      <c r="J2968" s="368">
        <v>0.2638888888888889</v>
      </c>
      <c r="K2968" s="669">
        <v>11</v>
      </c>
      <c r="L2968" s="669">
        <v>19.5</v>
      </c>
      <c r="M2968" s="675"/>
      <c r="N2968" s="671">
        <f t="shared" ref="N2968:N2969" si="344">IF(M2968-P2968&gt;0,M2968-P2968,0)</f>
        <v>0</v>
      </c>
      <c r="O2968" s="671">
        <f>O2967-K2968/(PI()*(U2963/2000)^2)</f>
        <v>13.981593766485846</v>
      </c>
      <c r="P2968" s="672">
        <v>20.22</v>
      </c>
      <c r="Q2968" s="673">
        <f t="shared" ref="Q2968:Q2969" si="345">ABS(O2968-P2968)</f>
        <v>6.2384062335141532</v>
      </c>
      <c r="R2968" s="375" t="s">
        <v>188</v>
      </c>
      <c r="S2968" s="366"/>
      <c r="T2968" s="376"/>
      <c r="U2968" s="376"/>
      <c r="V2968" s="366"/>
      <c r="W2968" s="366"/>
    </row>
    <row r="2969" spans="1:23">
      <c r="A2969" s="1410"/>
      <c r="B2969" s="1413"/>
      <c r="C2969" s="1064" t="s">
        <v>987</v>
      </c>
      <c r="D2969" s="875" t="str">
        <f>B2965&amp;C2969</f>
        <v>A88e</v>
      </c>
      <c r="E2969" s="367">
        <v>4</v>
      </c>
      <c r="F2969" s="669" t="s">
        <v>1096</v>
      </c>
      <c r="G2969" s="369">
        <v>0.2673611111111111</v>
      </c>
      <c r="H2969" s="368">
        <v>0.28472222222222221</v>
      </c>
      <c r="I2969" s="368">
        <v>0.29166666666666669</v>
      </c>
      <c r="J2969" s="368">
        <v>0.2951388888888889</v>
      </c>
      <c r="K2969" s="669">
        <v>11</v>
      </c>
      <c r="L2969" s="669">
        <v>18.5</v>
      </c>
      <c r="M2969" s="675"/>
      <c r="N2969" s="671">
        <f t="shared" si="344"/>
        <v>0</v>
      </c>
      <c r="O2969" s="671">
        <f>O2968-K2969/(PI()*(U2963/2000)^2)</f>
        <v>4.2554583553144631</v>
      </c>
      <c r="P2969" s="672">
        <v>11.1</v>
      </c>
      <c r="Q2969" s="673">
        <f t="shared" si="345"/>
        <v>6.8445416446855365</v>
      </c>
      <c r="R2969" s="375"/>
      <c r="S2969" s="366"/>
      <c r="T2969" s="376"/>
      <c r="U2969" s="376"/>
      <c r="V2969" s="366"/>
      <c r="W2969" s="366"/>
    </row>
    <row r="2970" spans="1:23">
      <c r="A2970" s="1410"/>
      <c r="B2970" s="1413"/>
      <c r="C2970" s="1064" t="s">
        <v>988</v>
      </c>
      <c r="D2970" s="875" t="str">
        <f>B2965&amp;C2970</f>
        <v>A88f</v>
      </c>
      <c r="E2970" s="367">
        <v>5</v>
      </c>
      <c r="F2970" s="669" t="s">
        <v>1089</v>
      </c>
      <c r="G2970" s="369">
        <v>0.2951388888888889</v>
      </c>
      <c r="H2970" s="368">
        <v>0.30902777777777779</v>
      </c>
      <c r="I2970" s="368">
        <v>0.31041666666666667</v>
      </c>
      <c r="J2970" s="368">
        <v>0.3125</v>
      </c>
      <c r="K2970" s="669">
        <v>4</v>
      </c>
      <c r="L2970" s="669">
        <v>19</v>
      </c>
      <c r="M2970" s="675"/>
      <c r="N2970" s="671">
        <f t="shared" ref="N2970" si="346">IF(M2970-P2970&gt;0,M2970-P2970,0)</f>
        <v>0</v>
      </c>
      <c r="O2970" s="671">
        <f>O2969-K2970/(PI()*(U2963/2000)^2)</f>
        <v>0.71868184216123332</v>
      </c>
      <c r="P2970" s="672">
        <v>8.1999999999999993</v>
      </c>
      <c r="Q2970" s="673">
        <f t="shared" ref="Q2970" si="347">ABS(O2970-P2970)</f>
        <v>7.481318157838766</v>
      </c>
      <c r="R2970" s="375"/>
      <c r="S2970" s="366" t="s">
        <v>190</v>
      </c>
      <c r="T2970" s="376"/>
      <c r="U2970" s="376"/>
      <c r="V2970" s="366"/>
      <c r="W2970" s="366"/>
    </row>
    <row r="2971" spans="1:23">
      <c r="A2971" s="1410"/>
      <c r="B2971" s="1413"/>
      <c r="C2971" s="1064" t="s">
        <v>989</v>
      </c>
      <c r="D2971" s="875" t="str">
        <f>B2965&amp;C2971</f>
        <v>A88g</v>
      </c>
      <c r="E2971" s="367">
        <v>6</v>
      </c>
      <c r="F2971" s="669"/>
      <c r="G2971" s="368"/>
      <c r="H2971" s="368"/>
      <c r="I2971" s="368"/>
      <c r="J2971" s="368"/>
      <c r="K2971" s="370"/>
      <c r="L2971" s="370"/>
      <c r="M2971" s="371"/>
      <c r="N2971" s="671"/>
      <c r="O2971" s="671"/>
      <c r="P2971" s="373"/>
      <c r="Q2971" s="673"/>
      <c r="R2971" s="378"/>
      <c r="S2971" s="366" t="s">
        <v>190</v>
      </c>
      <c r="T2971" s="366"/>
      <c r="U2971" s="366"/>
      <c r="V2971" s="366"/>
      <c r="W2971" s="366"/>
    </row>
    <row r="2972" spans="1:23">
      <c r="A2972" s="1410"/>
      <c r="B2972" s="1413"/>
      <c r="C2972" s="1064" t="s">
        <v>990</v>
      </c>
      <c r="D2972" s="875" t="str">
        <f>B2965&amp;C2972</f>
        <v>A88h</v>
      </c>
      <c r="E2972" s="367">
        <v>7</v>
      </c>
      <c r="F2972" s="669"/>
      <c r="G2972" s="368"/>
      <c r="H2972" s="368"/>
      <c r="I2972" s="368"/>
      <c r="J2972" s="368"/>
      <c r="K2972" s="370"/>
      <c r="L2972" s="370"/>
      <c r="M2972" s="371"/>
      <c r="N2972" s="671"/>
      <c r="O2972" s="671"/>
      <c r="P2972" s="373"/>
      <c r="Q2972" s="673"/>
      <c r="R2972" s="378"/>
      <c r="S2972" s="366" t="s">
        <v>190</v>
      </c>
      <c r="T2972" s="366"/>
      <c r="U2972" s="366"/>
      <c r="V2972" s="366"/>
      <c r="W2972" s="366"/>
    </row>
    <row r="2973" spans="1:23">
      <c r="A2973" s="1410"/>
      <c r="B2973" s="1413"/>
      <c r="C2973" s="1064" t="s">
        <v>991</v>
      </c>
      <c r="D2973" s="875" t="str">
        <f>B2965&amp;C2973</f>
        <v>A88i</v>
      </c>
      <c r="E2973" s="367">
        <v>8</v>
      </c>
      <c r="F2973" s="669"/>
      <c r="G2973" s="368"/>
      <c r="H2973" s="368"/>
      <c r="I2973" s="368"/>
      <c r="J2973" s="368"/>
      <c r="K2973" s="370"/>
      <c r="L2973" s="370"/>
      <c r="M2973" s="371"/>
      <c r="N2973" s="671"/>
      <c r="O2973" s="671"/>
      <c r="P2973" s="373"/>
      <c r="Q2973" s="673"/>
      <c r="R2973" s="378"/>
      <c r="S2973" s="366"/>
      <c r="T2973" s="366"/>
      <c r="U2973" s="366"/>
      <c r="V2973" s="366"/>
      <c r="W2973" s="366"/>
    </row>
    <row r="2974" spans="1:23">
      <c r="A2974" s="1410"/>
      <c r="B2974" s="1413"/>
      <c r="C2974" s="1064" t="s">
        <v>992</v>
      </c>
      <c r="D2974" s="875" t="str">
        <f>B2965&amp;C2974</f>
        <v>A88k</v>
      </c>
      <c r="E2974" s="367">
        <v>9</v>
      </c>
      <c r="F2974" s="370"/>
      <c r="G2974" s="368"/>
      <c r="H2974" s="368"/>
      <c r="I2974" s="368"/>
      <c r="J2974" s="368"/>
      <c r="K2974" s="370"/>
      <c r="L2974" s="370"/>
      <c r="M2974" s="371"/>
      <c r="N2974" s="372"/>
      <c r="O2974" s="372"/>
      <c r="P2974" s="373"/>
      <c r="Q2974" s="374"/>
      <c r="R2974" s="378"/>
      <c r="S2974" s="379"/>
      <c r="T2974" s="366"/>
      <c r="U2974" s="366"/>
      <c r="V2974" s="366"/>
      <c r="W2974" s="366"/>
    </row>
    <row r="2975" spans="1:23">
      <c r="A2975" s="1410"/>
      <c r="B2975" s="1413"/>
      <c r="C2975" s="1064" t="s">
        <v>993</v>
      </c>
      <c r="D2975" s="875" t="str">
        <f>B2965&amp;C2975</f>
        <v>A88l</v>
      </c>
      <c r="E2975" s="367">
        <v>10</v>
      </c>
      <c r="F2975" s="370"/>
      <c r="G2975" s="368"/>
      <c r="H2975" s="368"/>
      <c r="I2975" s="368"/>
      <c r="J2975" s="368"/>
      <c r="K2975" s="370"/>
      <c r="L2975" s="370"/>
      <c r="M2975" s="370"/>
      <c r="N2975" s="372"/>
      <c r="O2975" s="372"/>
      <c r="P2975" s="373"/>
      <c r="Q2975" s="374"/>
      <c r="R2975" s="378"/>
      <c r="S2975" s="379"/>
      <c r="T2975" s="366"/>
      <c r="U2975" s="366"/>
      <c r="V2975" s="366"/>
      <c r="W2975" s="366"/>
    </row>
    <row r="2976" spans="1:23">
      <c r="A2976" s="1410"/>
      <c r="B2976" s="1413"/>
      <c r="C2976" s="1064" t="s">
        <v>994</v>
      </c>
      <c r="D2976" s="875" t="str">
        <f>B2965&amp;C2976</f>
        <v>A88m</v>
      </c>
      <c r="E2976" s="367">
        <v>11</v>
      </c>
      <c r="F2976" s="370"/>
      <c r="G2976" s="368"/>
      <c r="H2976" s="368"/>
      <c r="I2976" s="368"/>
      <c r="J2976" s="368"/>
      <c r="K2976" s="370"/>
      <c r="L2976" s="370"/>
      <c r="M2976" s="370"/>
      <c r="N2976" s="372"/>
      <c r="O2976" s="372"/>
      <c r="P2976" s="380"/>
      <c r="Q2976" s="374"/>
      <c r="R2976" s="381"/>
      <c r="S2976" s="379"/>
      <c r="T2976" s="366"/>
      <c r="U2976" s="366"/>
      <c r="V2976" s="366"/>
      <c r="W2976" s="366"/>
    </row>
    <row r="2977" spans="1:23">
      <c r="A2977" s="1410"/>
      <c r="B2977" s="1413"/>
      <c r="C2977" s="1064" t="s">
        <v>995</v>
      </c>
      <c r="D2977" s="875" t="str">
        <f>B2965&amp;C2977</f>
        <v>A88n</v>
      </c>
      <c r="E2977" s="367">
        <v>12</v>
      </c>
      <c r="F2977" s="370"/>
      <c r="G2977" s="368"/>
      <c r="H2977" s="368"/>
      <c r="I2977" s="368"/>
      <c r="J2977" s="368"/>
      <c r="K2977" s="370"/>
      <c r="L2977" s="370"/>
      <c r="M2977" s="370"/>
      <c r="N2977" s="372"/>
      <c r="O2977" s="372"/>
      <c r="P2977" s="380"/>
      <c r="Q2977" s="374"/>
      <c r="R2977" s="381"/>
      <c r="S2977" s="361"/>
      <c r="T2977" s="361"/>
      <c r="U2977" s="361"/>
      <c r="V2977" s="366"/>
      <c r="W2977" s="366"/>
    </row>
    <row r="2978" spans="1:23">
      <c r="A2978" s="1410"/>
      <c r="B2978" s="1413"/>
      <c r="C2978" s="1064" t="s">
        <v>471</v>
      </c>
      <c r="D2978" s="875" t="str">
        <f>B2965&amp;C2978</f>
        <v>A88x</v>
      </c>
      <c r="E2978" s="367">
        <v>13</v>
      </c>
      <c r="F2978" s="370"/>
      <c r="G2978" s="368"/>
      <c r="H2978" s="368"/>
      <c r="I2978" s="368"/>
      <c r="J2978" s="368"/>
      <c r="K2978" s="370"/>
      <c r="L2978" s="370"/>
      <c r="M2978" s="370"/>
      <c r="N2978" s="382"/>
      <c r="O2978" s="372"/>
      <c r="P2978" s="380"/>
      <c r="Q2978" s="381"/>
      <c r="R2978" s="381"/>
      <c r="S2978" s="361"/>
      <c r="T2978" s="361"/>
      <c r="U2978" s="361"/>
      <c r="V2978" s="366"/>
      <c r="W2978" s="366"/>
    </row>
    <row r="2979" spans="1:23">
      <c r="A2979" s="1410"/>
      <c r="B2979" s="1413"/>
      <c r="C2979" s="1064" t="s">
        <v>732</v>
      </c>
      <c r="D2979" s="875" t="str">
        <f>B2965&amp;C2979</f>
        <v>A88y</v>
      </c>
      <c r="E2979" s="367">
        <v>14</v>
      </c>
      <c r="F2979" s="370"/>
      <c r="G2979" s="368"/>
      <c r="H2979" s="368"/>
      <c r="I2979" s="368"/>
      <c r="J2979" s="368"/>
      <c r="K2979" s="370"/>
      <c r="L2979" s="370"/>
      <c r="M2979" s="370"/>
      <c r="N2979" s="382"/>
      <c r="O2979" s="372"/>
      <c r="P2979" s="380"/>
      <c r="Q2979" s="381"/>
      <c r="R2979" s="381"/>
      <c r="S2979" s="361"/>
      <c r="T2979" s="361"/>
      <c r="U2979" s="362"/>
      <c r="V2979" s="366"/>
      <c r="W2979" s="366"/>
    </row>
    <row r="2980" spans="1:23">
      <c r="A2980" s="1411"/>
      <c r="B2980" s="1414"/>
      <c r="C2980" s="1065" t="s">
        <v>996</v>
      </c>
      <c r="D2980" s="876" t="str">
        <f>B2965&amp;C2980</f>
        <v>A88z</v>
      </c>
      <c r="E2980" s="847">
        <v>15</v>
      </c>
      <c r="F2980" s="370"/>
      <c r="G2980" s="368"/>
      <c r="H2980" s="368"/>
      <c r="I2980" s="368"/>
      <c r="J2980" s="368"/>
      <c r="K2980" s="370"/>
      <c r="L2980" s="370"/>
      <c r="M2980" s="370"/>
      <c r="N2980" s="850"/>
      <c r="O2980" s="851"/>
      <c r="P2980" s="380"/>
      <c r="Q2980" s="852"/>
      <c r="R2980" s="383"/>
      <c r="S2980" s="361"/>
      <c r="T2980" s="1059"/>
      <c r="U2980" s="1058"/>
      <c r="V2980" s="366"/>
      <c r="W2980" s="366"/>
    </row>
    <row r="2981" spans="1:23">
      <c r="A2981" s="1400" t="s">
        <v>939</v>
      </c>
      <c r="B2981" s="1400"/>
      <c r="C2981" s="1074"/>
      <c r="D2981" s="871"/>
      <c r="E2981" s="1400" t="s">
        <v>177</v>
      </c>
      <c r="F2981" s="1400" t="s">
        <v>18</v>
      </c>
      <c r="G2981" s="1389" t="s">
        <v>19</v>
      </c>
      <c r="H2981" s="1390"/>
      <c r="I2981" s="1389" t="s">
        <v>22</v>
      </c>
      <c r="J2981" s="1390"/>
      <c r="K2981" s="1393" t="s">
        <v>26</v>
      </c>
      <c r="L2981" s="1390"/>
      <c r="M2981" s="1389" t="s">
        <v>392</v>
      </c>
      <c r="N2981" s="1390"/>
      <c r="O2981" s="1389" t="s">
        <v>28</v>
      </c>
      <c r="P2981" s="1393"/>
      <c r="Q2981" s="1390"/>
      <c r="R2981" s="1400" t="s">
        <v>36</v>
      </c>
      <c r="S2981" s="361"/>
      <c r="T2981" s="361">
        <f>MAX(J2985:J2999)-MIN(I2985:I2999)</f>
        <v>8.3333333333333259E-2</v>
      </c>
      <c r="U2981" s="361"/>
      <c r="V2981" s="853" t="str">
        <f t="shared" ref="V2981" si="348">B2985</f>
        <v>A21</v>
      </c>
      <c r="W2981" s="361">
        <f t="shared" ref="W2981" si="349">COUNTIF(K2986:K3000,"&gt;0")</f>
        <v>5</v>
      </c>
    </row>
    <row r="2982" spans="1:23">
      <c r="A2982" s="1401"/>
      <c r="B2982" s="1401"/>
      <c r="C2982" s="1075"/>
      <c r="D2982" s="872"/>
      <c r="E2982" s="1401"/>
      <c r="F2982" s="1401"/>
      <c r="G2982" s="1391"/>
      <c r="H2982" s="1392"/>
      <c r="I2982" s="1391"/>
      <c r="J2982" s="1392"/>
      <c r="K2982" s="1394"/>
      <c r="L2982" s="1392"/>
      <c r="M2982" s="1391"/>
      <c r="N2982" s="1392"/>
      <c r="O2982" s="1391"/>
      <c r="P2982" s="1394"/>
      <c r="Q2982" s="1392"/>
      <c r="R2982" s="1401"/>
      <c r="S2982" s="361"/>
      <c r="T2982" s="361"/>
      <c r="U2982" s="361"/>
      <c r="V2982" s="361"/>
      <c r="W2982" s="361"/>
    </row>
    <row r="2983" spans="1:23">
      <c r="A2983" s="1401"/>
      <c r="B2983" s="1401"/>
      <c r="C2983" s="1075"/>
      <c r="D2983" s="872"/>
      <c r="E2983" s="1401"/>
      <c r="F2983" s="1401"/>
      <c r="G2983" s="1400" t="s">
        <v>20</v>
      </c>
      <c r="H2983" s="1400" t="s">
        <v>21</v>
      </c>
      <c r="I2983" s="1400" t="s">
        <v>361</v>
      </c>
      <c r="J2983" s="1400" t="s">
        <v>353</v>
      </c>
      <c r="K2983" s="1400" t="s">
        <v>23</v>
      </c>
      <c r="L2983" s="1400" t="s">
        <v>24</v>
      </c>
      <c r="M2983" s="1400" t="s">
        <v>27</v>
      </c>
      <c r="N2983" s="1400" t="s">
        <v>178</v>
      </c>
      <c r="O2983" s="1400" t="s">
        <v>1</v>
      </c>
      <c r="P2983" s="1400" t="s">
        <v>29</v>
      </c>
      <c r="Q2983" s="1400" t="s">
        <v>33</v>
      </c>
      <c r="R2983" s="1401"/>
      <c r="S2983" s="361"/>
      <c r="T2983" s="361" t="s">
        <v>39</v>
      </c>
      <c r="U2983" s="362">
        <f>VLOOKUP(B2985,'Thong tin'!$A:$M,13,0)</f>
        <v>1200</v>
      </c>
      <c r="V2983" s="361"/>
      <c r="W2983" s="361"/>
    </row>
    <row r="2984" spans="1:23">
      <c r="A2984" s="1402"/>
      <c r="B2984" s="1402"/>
      <c r="C2984" s="1076"/>
      <c r="D2984" s="873"/>
      <c r="E2984" s="1402"/>
      <c r="F2984" s="1402"/>
      <c r="G2984" s="1402"/>
      <c r="H2984" s="1402"/>
      <c r="I2984" s="1402"/>
      <c r="J2984" s="1402"/>
      <c r="K2984" s="1402"/>
      <c r="L2984" s="1402"/>
      <c r="M2984" s="1402"/>
      <c r="N2984" s="1402"/>
      <c r="O2984" s="1402"/>
      <c r="P2984" s="1402"/>
      <c r="Q2984" s="1402"/>
      <c r="R2984" s="1402"/>
      <c r="S2984" s="361"/>
      <c r="T2984" s="1399" t="s">
        <v>393</v>
      </c>
      <c r="U2984" s="1397">
        <f>VLOOKUP(B2985,DT.NK!$B:$AZ,45,0)</f>
        <v>33.61</v>
      </c>
      <c r="V2984" s="361"/>
      <c r="W2984" s="361"/>
    </row>
    <row r="2985" spans="1:23">
      <c r="A2985" s="1409">
        <f>A2965+1</f>
        <v>150</v>
      </c>
      <c r="B2985" s="1412" t="s">
        <v>588</v>
      </c>
      <c r="C2985" s="1077" t="s">
        <v>983</v>
      </c>
      <c r="D2985" s="874" t="str">
        <f>B2985&amp;C2985</f>
        <v>A21a</v>
      </c>
      <c r="E2985" s="363"/>
      <c r="F2985" s="364"/>
      <c r="G2985" s="364"/>
      <c r="H2985" s="364"/>
      <c r="I2985" s="364"/>
      <c r="J2985" s="364"/>
      <c r="K2985" s="364"/>
      <c r="L2985" s="364"/>
      <c r="M2985" s="674"/>
      <c r="N2985" s="670"/>
      <c r="O2985" s="670">
        <f>U2984</f>
        <v>33.61</v>
      </c>
      <c r="P2985" s="670">
        <f>O2985</f>
        <v>33.61</v>
      </c>
      <c r="Q2985" s="670">
        <v>0</v>
      </c>
      <c r="R2985" s="365"/>
      <c r="S2985" s="366"/>
      <c r="T2985" s="1399"/>
      <c r="U2985" s="1398"/>
      <c r="V2985" s="361"/>
      <c r="W2985" s="361"/>
    </row>
    <row r="2986" spans="1:23">
      <c r="A2986" s="1410"/>
      <c r="B2986" s="1413"/>
      <c r="C2986" s="1078" t="s">
        <v>984</v>
      </c>
      <c r="D2986" s="875" t="str">
        <f>B2985&amp;C2986</f>
        <v>A21b</v>
      </c>
      <c r="E2986" s="367">
        <v>1</v>
      </c>
      <c r="F2986" s="669" t="s">
        <v>980</v>
      </c>
      <c r="G2986" s="369">
        <v>0.49305555555555558</v>
      </c>
      <c r="H2986" s="368">
        <v>0.53125</v>
      </c>
      <c r="I2986" s="368">
        <v>0.55208333333333337</v>
      </c>
      <c r="J2986" s="368">
        <v>0.55555555555555558</v>
      </c>
      <c r="K2986" s="669">
        <v>9</v>
      </c>
      <c r="L2986" s="669">
        <v>19</v>
      </c>
      <c r="M2986" s="675">
        <v>31.35</v>
      </c>
      <c r="N2986" s="671">
        <f>IF(M2986-P2986&gt;0,M2986-P2986,0)</f>
        <v>2.25</v>
      </c>
      <c r="O2986" s="671">
        <f>O2985-K2986/(PI()*(U2983/2000)^2)</f>
        <v>25.652252845405233</v>
      </c>
      <c r="P2986" s="672">
        <v>29.1</v>
      </c>
      <c r="Q2986" s="673">
        <f>ABS(O2986-P2986)</f>
        <v>3.4477471545947687</v>
      </c>
      <c r="R2986" s="375" t="s">
        <v>188</v>
      </c>
      <c r="S2986" s="366"/>
      <c r="T2986" s="376"/>
      <c r="U2986" s="376"/>
      <c r="V2986" s="366"/>
      <c r="W2986" s="366"/>
    </row>
    <row r="2987" spans="1:23">
      <c r="A2987" s="1410"/>
      <c r="B2987" s="1413"/>
      <c r="C2987" s="1078" t="s">
        <v>985</v>
      </c>
      <c r="D2987" s="875" t="str">
        <f>B2985&amp;C2987</f>
        <v>A21c</v>
      </c>
      <c r="E2987" s="367">
        <v>2</v>
      </c>
      <c r="F2987" s="669" t="s">
        <v>1096</v>
      </c>
      <c r="G2987" s="369">
        <v>0.50416666666666665</v>
      </c>
      <c r="H2987" s="368">
        <v>0.54166666666666663</v>
      </c>
      <c r="I2987" s="368">
        <v>0.55902777777777779</v>
      </c>
      <c r="J2987" s="368">
        <v>0.5625</v>
      </c>
      <c r="K2987" s="669">
        <v>9</v>
      </c>
      <c r="L2987" s="669">
        <v>20</v>
      </c>
      <c r="M2987" s="675">
        <v>28.2</v>
      </c>
      <c r="N2987" s="671">
        <f>IF(M2987-P2987&gt;0,M2987-P2987,0)</f>
        <v>2.8000000000000007</v>
      </c>
      <c r="O2987" s="671">
        <f>O2986-K2987/(PI()*(U2983/2000)^2)</f>
        <v>17.694505690810466</v>
      </c>
      <c r="P2987" s="672">
        <v>25.4</v>
      </c>
      <c r="Q2987" s="673">
        <f>ABS(O2987-P2987)</f>
        <v>7.7054943091895325</v>
      </c>
      <c r="R2987" s="375" t="s">
        <v>188</v>
      </c>
      <c r="S2987" s="366"/>
      <c r="T2987" s="376"/>
      <c r="U2987" s="376"/>
      <c r="V2987" s="366"/>
      <c r="W2987" s="366"/>
    </row>
    <row r="2988" spans="1:23">
      <c r="A2988" s="1410"/>
      <c r="B2988" s="1413"/>
      <c r="C2988" s="1078" t="s">
        <v>986</v>
      </c>
      <c r="D2988" s="875" t="str">
        <f>B2985&amp;C2988</f>
        <v>A21d</v>
      </c>
      <c r="E2988" s="367">
        <v>3</v>
      </c>
      <c r="F2988" s="669" t="s">
        <v>1089</v>
      </c>
      <c r="G2988" s="369">
        <v>0.51111111111111118</v>
      </c>
      <c r="H2988" s="368">
        <v>0.54513888888888895</v>
      </c>
      <c r="I2988" s="368">
        <v>0.56944444444444442</v>
      </c>
      <c r="J2988" s="368">
        <v>0.57291666666666663</v>
      </c>
      <c r="K2988" s="669">
        <v>9</v>
      </c>
      <c r="L2988" s="669">
        <v>19.5</v>
      </c>
      <c r="M2988" s="675">
        <v>21.9</v>
      </c>
      <c r="N2988" s="671">
        <f t="shared" ref="N2988:N2990" si="350">IF(M2988-P2988&gt;0,M2988-P2988,0)</f>
        <v>2.3999999999999986</v>
      </c>
      <c r="O2988" s="671">
        <f>O2987-K2988/(PI()*(U2983/2000)^2)</f>
        <v>9.7367585362156994</v>
      </c>
      <c r="P2988" s="672">
        <v>19.5</v>
      </c>
      <c r="Q2988" s="673">
        <f t="shared" ref="Q2988:Q2990" si="351">ABS(O2988-P2988)</f>
        <v>9.7632414637843006</v>
      </c>
      <c r="R2988" s="375" t="s">
        <v>188</v>
      </c>
      <c r="S2988" s="366"/>
      <c r="T2988" s="376"/>
      <c r="U2988" s="376"/>
      <c r="V2988" s="366"/>
      <c r="W2988" s="366"/>
    </row>
    <row r="2989" spans="1:23">
      <c r="A2989" s="1410"/>
      <c r="B2989" s="1413"/>
      <c r="C2989" s="1078" t="s">
        <v>987</v>
      </c>
      <c r="D2989" s="875" t="str">
        <f>B2985&amp;C2989</f>
        <v>A21e</v>
      </c>
      <c r="E2989" s="367">
        <v>4</v>
      </c>
      <c r="F2989" s="669" t="s">
        <v>980</v>
      </c>
      <c r="G2989" s="369">
        <v>0.5756944444444444</v>
      </c>
      <c r="H2989" s="368">
        <v>0.55555555555555558</v>
      </c>
      <c r="I2989" s="368">
        <v>0.57638888888888895</v>
      </c>
      <c r="J2989" s="368">
        <v>0.57986111111111105</v>
      </c>
      <c r="K2989" s="669">
        <v>10</v>
      </c>
      <c r="L2989" s="669">
        <v>18.5</v>
      </c>
      <c r="M2989" s="675">
        <v>15.6</v>
      </c>
      <c r="N2989" s="671">
        <f t="shared" si="350"/>
        <v>4.4000000000000004</v>
      </c>
      <c r="O2989" s="671">
        <f>O2988-K2989/(PI()*(U2983/2000)^2)</f>
        <v>0.89481725333262574</v>
      </c>
      <c r="P2989" s="672">
        <v>11.2</v>
      </c>
      <c r="Q2989" s="673">
        <f t="shared" si="351"/>
        <v>10.305182746667374</v>
      </c>
      <c r="R2989" s="375"/>
      <c r="S2989" s="366"/>
      <c r="T2989" s="376"/>
      <c r="U2989" s="376"/>
      <c r="V2989" s="366"/>
      <c r="W2989" s="366"/>
    </row>
    <row r="2990" spans="1:23">
      <c r="A2990" s="1410"/>
      <c r="B2990" s="1413"/>
      <c r="C2990" s="1078" t="s">
        <v>988</v>
      </c>
      <c r="D2990" s="875" t="str">
        <f>B2985&amp;C2990</f>
        <v>A21f</v>
      </c>
      <c r="E2990" s="367">
        <v>5</v>
      </c>
      <c r="F2990" s="669" t="s">
        <v>1096</v>
      </c>
      <c r="G2990" s="369">
        <v>0.61041666666666672</v>
      </c>
      <c r="H2990" s="368">
        <v>0.62847222222222221</v>
      </c>
      <c r="I2990" s="368">
        <v>0.63194444444444442</v>
      </c>
      <c r="J2990" s="368">
        <v>0.63541666666666663</v>
      </c>
      <c r="K2990" s="669">
        <v>5.5</v>
      </c>
      <c r="L2990" s="669">
        <v>19</v>
      </c>
      <c r="M2990" s="675"/>
      <c r="N2990" s="671">
        <f t="shared" si="350"/>
        <v>0</v>
      </c>
      <c r="O2990" s="671">
        <f>O2989-K2990/(PI()*(U2983/2000)^2)</f>
        <v>-3.9682504522530655</v>
      </c>
      <c r="P2990" s="672">
        <v>6.7</v>
      </c>
      <c r="Q2990" s="673">
        <f t="shared" si="351"/>
        <v>10.668250452253066</v>
      </c>
      <c r="R2990" s="375"/>
      <c r="S2990" s="366" t="s">
        <v>190</v>
      </c>
      <c r="T2990" s="376"/>
      <c r="U2990" s="376"/>
      <c r="V2990" s="366"/>
      <c r="W2990" s="366"/>
    </row>
    <row r="2991" spans="1:23">
      <c r="A2991" s="1410"/>
      <c r="B2991" s="1413"/>
      <c r="C2991" s="1078" t="s">
        <v>989</v>
      </c>
      <c r="D2991" s="875" t="str">
        <f>B2985&amp;C2991</f>
        <v>A21g</v>
      </c>
      <c r="E2991" s="367">
        <v>6</v>
      </c>
      <c r="F2991" s="669"/>
      <c r="G2991" s="368"/>
      <c r="H2991" s="368"/>
      <c r="I2991" s="368"/>
      <c r="J2991" s="368"/>
      <c r="K2991" s="370"/>
      <c r="L2991" s="370"/>
      <c r="M2991" s="371"/>
      <c r="N2991" s="671"/>
      <c r="O2991" s="671"/>
      <c r="P2991" s="373"/>
      <c r="Q2991" s="673"/>
      <c r="R2991" s="378"/>
      <c r="S2991" s="366" t="s">
        <v>190</v>
      </c>
      <c r="T2991" s="366"/>
      <c r="U2991" s="366"/>
      <c r="V2991" s="366"/>
      <c r="W2991" s="366"/>
    </row>
    <row r="2992" spans="1:23">
      <c r="A2992" s="1410"/>
      <c r="B2992" s="1413"/>
      <c r="C2992" s="1078" t="s">
        <v>990</v>
      </c>
      <c r="D2992" s="875" t="str">
        <f>B2985&amp;C2992</f>
        <v>A21h</v>
      </c>
      <c r="E2992" s="367">
        <v>7</v>
      </c>
      <c r="F2992" s="669"/>
      <c r="G2992" s="368"/>
      <c r="H2992" s="368"/>
      <c r="I2992" s="368"/>
      <c r="J2992" s="368"/>
      <c r="K2992" s="370"/>
      <c r="L2992" s="370"/>
      <c r="M2992" s="371"/>
      <c r="N2992" s="671"/>
      <c r="O2992" s="671"/>
      <c r="P2992" s="373"/>
      <c r="Q2992" s="673"/>
      <c r="R2992" s="378"/>
      <c r="S2992" s="366" t="s">
        <v>190</v>
      </c>
      <c r="T2992" s="366"/>
      <c r="U2992" s="366"/>
      <c r="V2992" s="366"/>
      <c r="W2992" s="366"/>
    </row>
    <row r="2993" spans="1:23">
      <c r="A2993" s="1410"/>
      <c r="B2993" s="1413"/>
      <c r="C2993" s="1078" t="s">
        <v>991</v>
      </c>
      <c r="D2993" s="875" t="str">
        <f>B2985&amp;C2993</f>
        <v>A21i</v>
      </c>
      <c r="E2993" s="367">
        <v>8</v>
      </c>
      <c r="F2993" s="669"/>
      <c r="G2993" s="368"/>
      <c r="H2993" s="368"/>
      <c r="I2993" s="368"/>
      <c r="J2993" s="368"/>
      <c r="K2993" s="370"/>
      <c r="L2993" s="370"/>
      <c r="M2993" s="371"/>
      <c r="N2993" s="671"/>
      <c r="O2993" s="671"/>
      <c r="P2993" s="373"/>
      <c r="Q2993" s="673"/>
      <c r="R2993" s="378"/>
      <c r="S2993" s="366"/>
      <c r="T2993" s="366"/>
      <c r="U2993" s="366"/>
      <c r="V2993" s="366"/>
      <c r="W2993" s="366"/>
    </row>
    <row r="2994" spans="1:23">
      <c r="A2994" s="1410"/>
      <c r="B2994" s="1413"/>
      <c r="C2994" s="1078" t="s">
        <v>992</v>
      </c>
      <c r="D2994" s="875" t="str">
        <f>B2985&amp;C2994</f>
        <v>A21k</v>
      </c>
      <c r="E2994" s="367">
        <v>9</v>
      </c>
      <c r="F2994" s="370"/>
      <c r="G2994" s="368"/>
      <c r="H2994" s="368"/>
      <c r="I2994" s="368"/>
      <c r="J2994" s="368"/>
      <c r="K2994" s="370"/>
      <c r="L2994" s="370"/>
      <c r="M2994" s="371"/>
      <c r="N2994" s="372"/>
      <c r="O2994" s="372"/>
      <c r="P2994" s="373"/>
      <c r="Q2994" s="374"/>
      <c r="R2994" s="378"/>
      <c r="S2994" s="379"/>
      <c r="T2994" s="366"/>
      <c r="U2994" s="366"/>
      <c r="V2994" s="366"/>
      <c r="W2994" s="366"/>
    </row>
    <row r="2995" spans="1:23">
      <c r="A2995" s="1410"/>
      <c r="B2995" s="1413"/>
      <c r="C2995" s="1078" t="s">
        <v>993</v>
      </c>
      <c r="D2995" s="875" t="str">
        <f>B2985&amp;C2995</f>
        <v>A21l</v>
      </c>
      <c r="E2995" s="367">
        <v>10</v>
      </c>
      <c r="F2995" s="370"/>
      <c r="G2995" s="368"/>
      <c r="H2995" s="368"/>
      <c r="I2995" s="368"/>
      <c r="J2995" s="368"/>
      <c r="K2995" s="370"/>
      <c r="L2995" s="370"/>
      <c r="M2995" s="370"/>
      <c r="N2995" s="372"/>
      <c r="O2995" s="372"/>
      <c r="P2995" s="373"/>
      <c r="Q2995" s="374"/>
      <c r="R2995" s="378"/>
      <c r="S2995" s="379"/>
      <c r="T2995" s="366"/>
      <c r="U2995" s="366"/>
      <c r="V2995" s="366"/>
      <c r="W2995" s="366"/>
    </row>
    <row r="2996" spans="1:23">
      <c r="A2996" s="1410"/>
      <c r="B2996" s="1413"/>
      <c r="C2996" s="1078" t="s">
        <v>994</v>
      </c>
      <c r="D2996" s="875" t="str">
        <f>B2985&amp;C2996</f>
        <v>A21m</v>
      </c>
      <c r="E2996" s="367">
        <v>11</v>
      </c>
      <c r="F2996" s="370"/>
      <c r="G2996" s="368"/>
      <c r="H2996" s="368"/>
      <c r="I2996" s="368"/>
      <c r="J2996" s="368"/>
      <c r="K2996" s="370"/>
      <c r="L2996" s="370"/>
      <c r="M2996" s="370"/>
      <c r="N2996" s="372"/>
      <c r="O2996" s="372"/>
      <c r="P2996" s="380"/>
      <c r="Q2996" s="374"/>
      <c r="R2996" s="381"/>
      <c r="S2996" s="379"/>
      <c r="T2996" s="366"/>
      <c r="U2996" s="366"/>
      <c r="V2996" s="366"/>
      <c r="W2996" s="366"/>
    </row>
    <row r="2997" spans="1:23">
      <c r="A2997" s="1410"/>
      <c r="B2997" s="1413"/>
      <c r="C2997" s="1078" t="s">
        <v>995</v>
      </c>
      <c r="D2997" s="875" t="str">
        <f>B2985&amp;C2997</f>
        <v>A21n</v>
      </c>
      <c r="E2997" s="367">
        <v>12</v>
      </c>
      <c r="F2997" s="370"/>
      <c r="G2997" s="368"/>
      <c r="H2997" s="368"/>
      <c r="I2997" s="368"/>
      <c r="J2997" s="368"/>
      <c r="K2997" s="370"/>
      <c r="L2997" s="370"/>
      <c r="M2997" s="370"/>
      <c r="N2997" s="372"/>
      <c r="O2997" s="372"/>
      <c r="P2997" s="380"/>
      <c r="Q2997" s="374"/>
      <c r="R2997" s="381"/>
      <c r="S2997" s="361"/>
      <c r="T2997" s="361"/>
      <c r="U2997" s="361"/>
      <c r="V2997" s="366"/>
      <c r="W2997" s="366"/>
    </row>
    <row r="2998" spans="1:23">
      <c r="A2998" s="1410"/>
      <c r="B2998" s="1413"/>
      <c r="C2998" s="1078" t="s">
        <v>471</v>
      </c>
      <c r="D2998" s="875" t="str">
        <f>B2985&amp;C2998</f>
        <v>A21x</v>
      </c>
      <c r="E2998" s="367">
        <v>13</v>
      </c>
      <c r="F2998" s="370"/>
      <c r="G2998" s="368"/>
      <c r="H2998" s="368"/>
      <c r="I2998" s="368"/>
      <c r="J2998" s="368"/>
      <c r="K2998" s="370"/>
      <c r="L2998" s="370"/>
      <c r="M2998" s="370"/>
      <c r="N2998" s="382"/>
      <c r="O2998" s="372"/>
      <c r="P2998" s="380"/>
      <c r="Q2998" s="381"/>
      <c r="R2998" s="381"/>
      <c r="S2998" s="361"/>
      <c r="T2998" s="361"/>
      <c r="U2998" s="361"/>
      <c r="V2998" s="366"/>
      <c r="W2998" s="366"/>
    </row>
    <row r="2999" spans="1:23">
      <c r="A2999" s="1410"/>
      <c r="B2999" s="1413"/>
      <c r="C2999" s="1078" t="s">
        <v>732</v>
      </c>
      <c r="D2999" s="875" t="str">
        <f>B2985&amp;C2999</f>
        <v>A21y</v>
      </c>
      <c r="E2999" s="367">
        <v>14</v>
      </c>
      <c r="F2999" s="370"/>
      <c r="G2999" s="368"/>
      <c r="H2999" s="368"/>
      <c r="I2999" s="368"/>
      <c r="J2999" s="368"/>
      <c r="K2999" s="370"/>
      <c r="L2999" s="370"/>
      <c r="M2999" s="370"/>
      <c r="N2999" s="382"/>
      <c r="O2999" s="372"/>
      <c r="P2999" s="380"/>
      <c r="Q2999" s="381"/>
      <c r="R2999" s="381"/>
      <c r="S2999" s="361"/>
      <c r="T2999" s="361"/>
      <c r="U2999" s="362"/>
      <c r="V2999" s="366"/>
      <c r="W2999" s="366"/>
    </row>
    <row r="3000" spans="1:23">
      <c r="A3000" s="1411"/>
      <c r="B3000" s="1414"/>
      <c r="C3000" s="1079" t="s">
        <v>996</v>
      </c>
      <c r="D3000" s="876" t="str">
        <f>B2985&amp;C3000</f>
        <v>A21z</v>
      </c>
      <c r="E3000" s="847">
        <v>15</v>
      </c>
      <c r="F3000" s="370"/>
      <c r="G3000" s="368"/>
      <c r="H3000" s="368"/>
      <c r="I3000" s="368"/>
      <c r="J3000" s="368"/>
      <c r="K3000" s="370"/>
      <c r="L3000" s="370"/>
      <c r="M3000" s="370"/>
      <c r="N3000" s="850"/>
      <c r="O3000" s="851"/>
      <c r="P3000" s="380"/>
      <c r="Q3000" s="852"/>
      <c r="R3000" s="383"/>
      <c r="S3000" s="361"/>
      <c r="T3000" s="1073"/>
      <c r="U3000" s="1072"/>
      <c r="V3000" s="366"/>
      <c r="W3000" s="366"/>
    </row>
    <row r="3001" spans="1:23">
      <c r="A3001" s="1400" t="s">
        <v>939</v>
      </c>
      <c r="B3001" s="1400"/>
      <c r="C3001" s="1082"/>
      <c r="D3001" s="871"/>
      <c r="E3001" s="1400" t="s">
        <v>177</v>
      </c>
      <c r="F3001" s="1400" t="s">
        <v>18</v>
      </c>
      <c r="G3001" s="1389" t="s">
        <v>19</v>
      </c>
      <c r="H3001" s="1390"/>
      <c r="I3001" s="1389" t="s">
        <v>22</v>
      </c>
      <c r="J3001" s="1390"/>
      <c r="K3001" s="1393" t="s">
        <v>26</v>
      </c>
      <c r="L3001" s="1390"/>
      <c r="M3001" s="1389" t="s">
        <v>392</v>
      </c>
      <c r="N3001" s="1390"/>
      <c r="O3001" s="1389" t="s">
        <v>28</v>
      </c>
      <c r="P3001" s="1393"/>
      <c r="Q3001" s="1390"/>
      <c r="R3001" s="1400" t="s">
        <v>36</v>
      </c>
      <c r="S3001" s="361"/>
      <c r="T3001" s="361">
        <f>MAX(J3005:J3019)-MIN(I3005:I3019)</f>
        <v>3.472222222222221E-2</v>
      </c>
      <c r="U3001" s="361"/>
      <c r="V3001" s="853" t="str">
        <f t="shared" ref="V3001" si="352">B3005</f>
        <v>A91</v>
      </c>
      <c r="W3001" s="361">
        <f t="shared" ref="W3001" si="353">COUNTIF(K3006:K3020,"&gt;0")</f>
        <v>3</v>
      </c>
    </row>
    <row r="3002" spans="1:23">
      <c r="A3002" s="1401"/>
      <c r="B3002" s="1401"/>
      <c r="C3002" s="1083"/>
      <c r="D3002" s="872"/>
      <c r="E3002" s="1401"/>
      <c r="F3002" s="1401"/>
      <c r="G3002" s="1391"/>
      <c r="H3002" s="1392"/>
      <c r="I3002" s="1391"/>
      <c r="J3002" s="1392"/>
      <c r="K3002" s="1394"/>
      <c r="L3002" s="1392"/>
      <c r="M3002" s="1391"/>
      <c r="N3002" s="1392"/>
      <c r="O3002" s="1391"/>
      <c r="P3002" s="1394"/>
      <c r="Q3002" s="1392"/>
      <c r="R3002" s="1401"/>
      <c r="S3002" s="361"/>
      <c r="T3002" s="361"/>
      <c r="U3002" s="361"/>
      <c r="V3002" s="361"/>
      <c r="W3002" s="361"/>
    </row>
    <row r="3003" spans="1:23">
      <c r="A3003" s="1401"/>
      <c r="B3003" s="1401"/>
      <c r="C3003" s="1083"/>
      <c r="D3003" s="872"/>
      <c r="E3003" s="1401"/>
      <c r="F3003" s="1401"/>
      <c r="G3003" s="1400" t="s">
        <v>20</v>
      </c>
      <c r="H3003" s="1400" t="s">
        <v>21</v>
      </c>
      <c r="I3003" s="1400" t="s">
        <v>361</v>
      </c>
      <c r="J3003" s="1400" t="s">
        <v>353</v>
      </c>
      <c r="K3003" s="1400" t="s">
        <v>23</v>
      </c>
      <c r="L3003" s="1400" t="s">
        <v>24</v>
      </c>
      <c r="M3003" s="1400" t="s">
        <v>27</v>
      </c>
      <c r="N3003" s="1400" t="s">
        <v>178</v>
      </c>
      <c r="O3003" s="1400" t="s">
        <v>1</v>
      </c>
      <c r="P3003" s="1400" t="s">
        <v>29</v>
      </c>
      <c r="Q3003" s="1400" t="s">
        <v>33</v>
      </c>
      <c r="R3003" s="1401"/>
      <c r="S3003" s="361"/>
      <c r="T3003" s="361" t="s">
        <v>39</v>
      </c>
      <c r="U3003" s="362">
        <f>VLOOKUP(B3005,'Thong tin'!$A:$M,13,0)</f>
        <v>1200</v>
      </c>
      <c r="V3003" s="361"/>
      <c r="W3003" s="361"/>
    </row>
    <row r="3004" spans="1:23">
      <c r="A3004" s="1402"/>
      <c r="B3004" s="1402"/>
      <c r="C3004" s="1084"/>
      <c r="D3004" s="873"/>
      <c r="E3004" s="1402"/>
      <c r="F3004" s="1402"/>
      <c r="G3004" s="1402"/>
      <c r="H3004" s="1402"/>
      <c r="I3004" s="1402"/>
      <c r="J3004" s="1402"/>
      <c r="K3004" s="1402"/>
      <c r="L3004" s="1402"/>
      <c r="M3004" s="1402"/>
      <c r="N3004" s="1402"/>
      <c r="O3004" s="1402"/>
      <c r="P3004" s="1402"/>
      <c r="Q3004" s="1402"/>
      <c r="R3004" s="1402"/>
      <c r="S3004" s="361"/>
      <c r="T3004" s="1399" t="s">
        <v>393</v>
      </c>
      <c r="U3004" s="1397">
        <f>VLOOKUP(B3005,DT.NK!$B:$AZ,45,0)</f>
        <v>26.21</v>
      </c>
      <c r="V3004" s="361"/>
      <c r="W3004" s="361"/>
    </row>
    <row r="3005" spans="1:23">
      <c r="A3005" s="1409">
        <f>A2985+1</f>
        <v>151</v>
      </c>
      <c r="B3005" s="1412" t="s">
        <v>491</v>
      </c>
      <c r="C3005" s="1085" t="s">
        <v>983</v>
      </c>
      <c r="D3005" s="874" t="str">
        <f>B3005&amp;C3005</f>
        <v>A91a</v>
      </c>
      <c r="E3005" s="363"/>
      <c r="F3005" s="364"/>
      <c r="G3005" s="364"/>
      <c r="H3005" s="364"/>
      <c r="I3005" s="364"/>
      <c r="J3005" s="364"/>
      <c r="K3005" s="364"/>
      <c r="L3005" s="364"/>
      <c r="M3005" s="674"/>
      <c r="N3005" s="670"/>
      <c r="O3005" s="670">
        <f>U3004</f>
        <v>26.21</v>
      </c>
      <c r="P3005" s="670">
        <f>O3005</f>
        <v>26.21</v>
      </c>
      <c r="Q3005" s="670">
        <v>0</v>
      </c>
      <c r="R3005" s="365"/>
      <c r="S3005" s="366"/>
      <c r="T3005" s="1399"/>
      <c r="U3005" s="1398"/>
      <c r="V3005" s="361"/>
      <c r="W3005" s="361"/>
    </row>
    <row r="3006" spans="1:23">
      <c r="A3006" s="1410"/>
      <c r="B3006" s="1413"/>
      <c r="C3006" s="1086" t="s">
        <v>984</v>
      </c>
      <c r="D3006" s="875" t="str">
        <f>B3005&amp;C3006</f>
        <v>A91b</v>
      </c>
      <c r="E3006" s="367">
        <v>1</v>
      </c>
      <c r="F3006" s="669" t="s">
        <v>1091</v>
      </c>
      <c r="G3006" s="369">
        <v>0.70138888888888884</v>
      </c>
      <c r="H3006" s="368">
        <v>0.72916666666666663</v>
      </c>
      <c r="I3006" s="368">
        <v>0.73611111111111116</v>
      </c>
      <c r="J3006" s="368">
        <v>0.74305555555555547</v>
      </c>
      <c r="K3006" s="669">
        <v>9</v>
      </c>
      <c r="L3006" s="669">
        <v>19</v>
      </c>
      <c r="M3006" s="675">
        <v>25.2</v>
      </c>
      <c r="N3006" s="671">
        <f>IF(M3006-P3006&gt;0,M3006-P3006,0)</f>
        <v>4</v>
      </c>
      <c r="O3006" s="671">
        <f>O3005-K3006/(PI()*(U3003/2000)^2)</f>
        <v>18.252252845405234</v>
      </c>
      <c r="P3006" s="672">
        <v>21.2</v>
      </c>
      <c r="Q3006" s="673">
        <f>ABS(O3006-P3006)</f>
        <v>2.9477471545947651</v>
      </c>
      <c r="R3006" s="375" t="s">
        <v>188</v>
      </c>
      <c r="S3006" s="366"/>
      <c r="T3006" s="376"/>
      <c r="U3006" s="376"/>
      <c r="V3006" s="366"/>
      <c r="W3006" s="366"/>
    </row>
    <row r="3007" spans="1:23">
      <c r="A3007" s="1410"/>
      <c r="B3007" s="1413"/>
      <c r="C3007" s="1086" t="s">
        <v>985</v>
      </c>
      <c r="D3007" s="875" t="str">
        <f>B3005&amp;C3007</f>
        <v>A91c</v>
      </c>
      <c r="E3007" s="367">
        <v>2</v>
      </c>
      <c r="F3007" s="669" t="s">
        <v>1085</v>
      </c>
      <c r="G3007" s="369">
        <v>0.71180555555555547</v>
      </c>
      <c r="H3007" s="368">
        <v>0.73263888888888884</v>
      </c>
      <c r="I3007" s="368">
        <v>0.75</v>
      </c>
      <c r="J3007" s="368">
        <v>0.75694444444444453</v>
      </c>
      <c r="K3007" s="669">
        <v>9</v>
      </c>
      <c r="L3007" s="669">
        <v>19</v>
      </c>
      <c r="M3007" s="675">
        <v>18.899999999999999</v>
      </c>
      <c r="N3007" s="671">
        <f>IF(M3007-P3007&gt;0,M3007-P3007,0)</f>
        <v>5.3999999999999986</v>
      </c>
      <c r="O3007" s="671">
        <f>O3006-K3007/(PI()*(U3003/2000)^2)</f>
        <v>10.294505690810468</v>
      </c>
      <c r="P3007" s="672">
        <v>13.5</v>
      </c>
      <c r="Q3007" s="673">
        <f>ABS(O3007-P3007)</f>
        <v>3.2054943091895325</v>
      </c>
      <c r="R3007" s="375" t="s">
        <v>188</v>
      </c>
      <c r="S3007" s="366"/>
      <c r="T3007" s="376"/>
      <c r="U3007" s="376"/>
      <c r="V3007" s="366"/>
      <c r="W3007" s="366"/>
    </row>
    <row r="3008" spans="1:23">
      <c r="A3008" s="1410"/>
      <c r="B3008" s="1413"/>
      <c r="C3008" s="1086" t="s">
        <v>986</v>
      </c>
      <c r="D3008" s="875" t="str">
        <f>B3005&amp;C3008</f>
        <v>A91d</v>
      </c>
      <c r="E3008" s="367">
        <v>3</v>
      </c>
      <c r="F3008" s="669" t="s">
        <v>1096</v>
      </c>
      <c r="G3008" s="369">
        <v>0.72291666666666676</v>
      </c>
      <c r="H3008" s="368">
        <v>0.75</v>
      </c>
      <c r="I3008" s="368">
        <v>0.76388888888888884</v>
      </c>
      <c r="J3008" s="368">
        <v>0.77083333333333337</v>
      </c>
      <c r="K3008" s="669">
        <v>8</v>
      </c>
      <c r="L3008" s="669">
        <v>19</v>
      </c>
      <c r="M3008" s="675">
        <v>12.1</v>
      </c>
      <c r="N3008" s="671">
        <f t="shared" ref="N3008" si="354">IF(M3008-P3008&gt;0,M3008-P3008,0)</f>
        <v>5.3</v>
      </c>
      <c r="O3008" s="671">
        <f>O3007-K3008/(PI()*(U3003/2000)^2)</f>
        <v>3.2209526645040079</v>
      </c>
      <c r="P3008" s="672">
        <v>6.8</v>
      </c>
      <c r="Q3008" s="673">
        <f t="shared" ref="Q3008" si="355">ABS(O3008-P3008)</f>
        <v>3.579047335495992</v>
      </c>
      <c r="R3008" s="375" t="s">
        <v>188</v>
      </c>
      <c r="S3008" s="366"/>
      <c r="T3008" s="376"/>
      <c r="U3008" s="376"/>
      <c r="V3008" s="366"/>
      <c r="W3008" s="366"/>
    </row>
    <row r="3009" spans="1:23">
      <c r="A3009" s="1410"/>
      <c r="B3009" s="1413"/>
      <c r="C3009" s="1086" t="s">
        <v>987</v>
      </c>
      <c r="D3009" s="875" t="str">
        <f>B3005&amp;C3009</f>
        <v>A91e</v>
      </c>
      <c r="E3009" s="367">
        <v>4</v>
      </c>
      <c r="F3009" s="669"/>
      <c r="G3009" s="368"/>
      <c r="H3009" s="368"/>
      <c r="I3009" s="368"/>
      <c r="J3009" s="368"/>
      <c r="K3009" s="370"/>
      <c r="L3009" s="370"/>
      <c r="M3009" s="371"/>
      <c r="N3009" s="671"/>
      <c r="O3009" s="671"/>
      <c r="P3009" s="373"/>
      <c r="Q3009" s="673"/>
      <c r="R3009" s="378"/>
      <c r="S3009" s="366"/>
      <c r="T3009" s="376"/>
      <c r="U3009" s="376"/>
      <c r="V3009" s="366"/>
      <c r="W3009" s="366"/>
    </row>
    <row r="3010" spans="1:23">
      <c r="A3010" s="1410"/>
      <c r="B3010" s="1413"/>
      <c r="C3010" s="1086" t="s">
        <v>988</v>
      </c>
      <c r="D3010" s="875" t="str">
        <f>B3005&amp;C3010</f>
        <v>A91f</v>
      </c>
      <c r="E3010" s="367">
        <v>5</v>
      </c>
      <c r="F3010" s="669"/>
      <c r="G3010" s="368"/>
      <c r="H3010" s="368"/>
      <c r="I3010" s="368"/>
      <c r="J3010" s="368"/>
      <c r="K3010" s="370"/>
      <c r="L3010" s="370"/>
      <c r="M3010" s="371"/>
      <c r="N3010" s="671"/>
      <c r="O3010" s="671"/>
      <c r="P3010" s="373"/>
      <c r="Q3010" s="673"/>
      <c r="R3010" s="378"/>
      <c r="S3010" s="366" t="s">
        <v>190</v>
      </c>
      <c r="T3010" s="376"/>
      <c r="U3010" s="376"/>
      <c r="V3010" s="366"/>
      <c r="W3010" s="366"/>
    </row>
    <row r="3011" spans="1:23">
      <c r="A3011" s="1410"/>
      <c r="B3011" s="1413"/>
      <c r="C3011" s="1086" t="s">
        <v>989</v>
      </c>
      <c r="D3011" s="875" t="str">
        <f>B3005&amp;C3011</f>
        <v>A91g</v>
      </c>
      <c r="E3011" s="367">
        <v>6</v>
      </c>
      <c r="F3011" s="669"/>
      <c r="G3011" s="368"/>
      <c r="H3011" s="368"/>
      <c r="I3011" s="368"/>
      <c r="J3011" s="368"/>
      <c r="K3011" s="370"/>
      <c r="L3011" s="370"/>
      <c r="M3011" s="371"/>
      <c r="N3011" s="671"/>
      <c r="O3011" s="671"/>
      <c r="P3011" s="373"/>
      <c r="Q3011" s="673"/>
      <c r="R3011" s="378"/>
      <c r="S3011" s="366" t="s">
        <v>190</v>
      </c>
      <c r="T3011" s="366"/>
      <c r="U3011" s="366"/>
      <c r="V3011" s="366"/>
      <c r="W3011" s="366"/>
    </row>
    <row r="3012" spans="1:23">
      <c r="A3012" s="1410"/>
      <c r="B3012" s="1413"/>
      <c r="C3012" s="1086" t="s">
        <v>990</v>
      </c>
      <c r="D3012" s="875" t="str">
        <f>B3005&amp;C3012</f>
        <v>A91h</v>
      </c>
      <c r="E3012" s="367">
        <v>7</v>
      </c>
      <c r="F3012" s="669"/>
      <c r="G3012" s="368"/>
      <c r="H3012" s="368"/>
      <c r="I3012" s="368"/>
      <c r="J3012" s="368"/>
      <c r="K3012" s="370"/>
      <c r="L3012" s="370"/>
      <c r="M3012" s="371"/>
      <c r="N3012" s="671"/>
      <c r="O3012" s="671"/>
      <c r="P3012" s="373"/>
      <c r="Q3012" s="673"/>
      <c r="R3012" s="378"/>
      <c r="S3012" s="366" t="s">
        <v>190</v>
      </c>
      <c r="T3012" s="366"/>
      <c r="U3012" s="366"/>
      <c r="V3012" s="366"/>
      <c r="W3012" s="366"/>
    </row>
    <row r="3013" spans="1:23">
      <c r="A3013" s="1410"/>
      <c r="B3013" s="1413"/>
      <c r="C3013" s="1086" t="s">
        <v>991</v>
      </c>
      <c r="D3013" s="875" t="str">
        <f>B3005&amp;C3013</f>
        <v>A91i</v>
      </c>
      <c r="E3013" s="367">
        <v>8</v>
      </c>
      <c r="F3013" s="669"/>
      <c r="G3013" s="368"/>
      <c r="H3013" s="368"/>
      <c r="I3013" s="368"/>
      <c r="J3013" s="368"/>
      <c r="K3013" s="370"/>
      <c r="L3013" s="370"/>
      <c r="M3013" s="371"/>
      <c r="N3013" s="671"/>
      <c r="O3013" s="671"/>
      <c r="P3013" s="373"/>
      <c r="Q3013" s="673"/>
      <c r="R3013" s="378"/>
      <c r="S3013" s="366"/>
      <c r="T3013" s="366"/>
      <c r="U3013" s="366"/>
      <c r="V3013" s="366"/>
      <c r="W3013" s="366"/>
    </row>
    <row r="3014" spans="1:23">
      <c r="A3014" s="1410"/>
      <c r="B3014" s="1413"/>
      <c r="C3014" s="1086" t="s">
        <v>992</v>
      </c>
      <c r="D3014" s="875" t="str">
        <f>B3005&amp;C3014</f>
        <v>A91k</v>
      </c>
      <c r="E3014" s="367">
        <v>9</v>
      </c>
      <c r="F3014" s="370"/>
      <c r="G3014" s="368"/>
      <c r="H3014" s="368"/>
      <c r="I3014" s="368"/>
      <c r="J3014" s="368"/>
      <c r="K3014" s="370"/>
      <c r="L3014" s="370"/>
      <c r="M3014" s="371"/>
      <c r="N3014" s="372"/>
      <c r="O3014" s="372"/>
      <c r="P3014" s="373"/>
      <c r="Q3014" s="374"/>
      <c r="R3014" s="378"/>
      <c r="S3014" s="379"/>
      <c r="T3014" s="366"/>
      <c r="U3014" s="366"/>
      <c r="V3014" s="366"/>
      <c r="W3014" s="366"/>
    </row>
    <row r="3015" spans="1:23">
      <c r="A3015" s="1410"/>
      <c r="B3015" s="1413"/>
      <c r="C3015" s="1086" t="s">
        <v>993</v>
      </c>
      <c r="D3015" s="875" t="str">
        <f>B3005&amp;C3015</f>
        <v>A91l</v>
      </c>
      <c r="E3015" s="367">
        <v>10</v>
      </c>
      <c r="F3015" s="370"/>
      <c r="G3015" s="368"/>
      <c r="H3015" s="368"/>
      <c r="I3015" s="368"/>
      <c r="J3015" s="368"/>
      <c r="K3015" s="370"/>
      <c r="L3015" s="370"/>
      <c r="M3015" s="370"/>
      <c r="N3015" s="372"/>
      <c r="O3015" s="372"/>
      <c r="P3015" s="373"/>
      <c r="Q3015" s="374"/>
      <c r="R3015" s="378"/>
      <c r="S3015" s="379"/>
      <c r="T3015" s="366"/>
      <c r="U3015" s="366"/>
      <c r="V3015" s="366"/>
      <c r="W3015" s="366"/>
    </row>
    <row r="3016" spans="1:23">
      <c r="A3016" s="1410"/>
      <c r="B3016" s="1413"/>
      <c r="C3016" s="1086" t="s">
        <v>994</v>
      </c>
      <c r="D3016" s="875" t="str">
        <f>B3005&amp;C3016</f>
        <v>A91m</v>
      </c>
      <c r="E3016" s="367">
        <v>11</v>
      </c>
      <c r="F3016" s="370"/>
      <c r="G3016" s="368"/>
      <c r="H3016" s="368"/>
      <c r="I3016" s="368"/>
      <c r="J3016" s="368"/>
      <c r="K3016" s="370"/>
      <c r="L3016" s="370"/>
      <c r="M3016" s="370"/>
      <c r="N3016" s="372"/>
      <c r="O3016" s="372"/>
      <c r="P3016" s="380"/>
      <c r="Q3016" s="374"/>
      <c r="R3016" s="381"/>
      <c r="S3016" s="379"/>
      <c r="T3016" s="366"/>
      <c r="U3016" s="366"/>
      <c r="V3016" s="366"/>
      <c r="W3016" s="366"/>
    </row>
    <row r="3017" spans="1:23">
      <c r="A3017" s="1410"/>
      <c r="B3017" s="1413"/>
      <c r="C3017" s="1086" t="s">
        <v>995</v>
      </c>
      <c r="D3017" s="875" t="str">
        <f>B3005&amp;C3017</f>
        <v>A91n</v>
      </c>
      <c r="E3017" s="367">
        <v>12</v>
      </c>
      <c r="F3017" s="370"/>
      <c r="G3017" s="368"/>
      <c r="H3017" s="368"/>
      <c r="I3017" s="368"/>
      <c r="J3017" s="368"/>
      <c r="K3017" s="370"/>
      <c r="L3017" s="370"/>
      <c r="M3017" s="370"/>
      <c r="N3017" s="372"/>
      <c r="O3017" s="372"/>
      <c r="P3017" s="380"/>
      <c r="Q3017" s="374"/>
      <c r="R3017" s="381"/>
      <c r="S3017" s="361"/>
      <c r="T3017" s="361"/>
      <c r="U3017" s="361"/>
      <c r="V3017" s="366"/>
      <c r="W3017" s="366"/>
    </row>
    <row r="3018" spans="1:23">
      <c r="A3018" s="1410"/>
      <c r="B3018" s="1413"/>
      <c r="C3018" s="1086" t="s">
        <v>471</v>
      </c>
      <c r="D3018" s="875" t="str">
        <f>B3005&amp;C3018</f>
        <v>A91x</v>
      </c>
      <c r="E3018" s="367">
        <v>13</v>
      </c>
      <c r="F3018" s="370"/>
      <c r="G3018" s="368"/>
      <c r="H3018" s="368"/>
      <c r="I3018" s="368"/>
      <c r="J3018" s="368"/>
      <c r="K3018" s="370"/>
      <c r="L3018" s="370"/>
      <c r="M3018" s="370"/>
      <c r="N3018" s="382"/>
      <c r="O3018" s="372"/>
      <c r="P3018" s="380"/>
      <c r="Q3018" s="381"/>
      <c r="R3018" s="381"/>
      <c r="S3018" s="361"/>
      <c r="T3018" s="361"/>
      <c r="U3018" s="361"/>
      <c r="V3018" s="366"/>
      <c r="W3018" s="366"/>
    </row>
    <row r="3019" spans="1:23">
      <c r="A3019" s="1410"/>
      <c r="B3019" s="1413"/>
      <c r="C3019" s="1086" t="s">
        <v>732</v>
      </c>
      <c r="D3019" s="875" t="str">
        <f>B3005&amp;C3019</f>
        <v>A91y</v>
      </c>
      <c r="E3019" s="367">
        <v>14</v>
      </c>
      <c r="F3019" s="370"/>
      <c r="G3019" s="368"/>
      <c r="H3019" s="368"/>
      <c r="I3019" s="368"/>
      <c r="J3019" s="368"/>
      <c r="K3019" s="370"/>
      <c r="L3019" s="370"/>
      <c r="M3019" s="370"/>
      <c r="N3019" s="382"/>
      <c r="O3019" s="372"/>
      <c r="P3019" s="380"/>
      <c r="Q3019" s="381"/>
      <c r="R3019" s="381"/>
      <c r="S3019" s="361"/>
      <c r="T3019" s="361"/>
      <c r="U3019" s="362"/>
      <c r="V3019" s="366"/>
      <c r="W3019" s="366"/>
    </row>
    <row r="3020" spans="1:23">
      <c r="A3020" s="1411"/>
      <c r="B3020" s="1414"/>
      <c r="C3020" s="1087" t="s">
        <v>996</v>
      </c>
      <c r="D3020" s="876" t="str">
        <f>B3005&amp;C3020</f>
        <v>A91z</v>
      </c>
      <c r="E3020" s="847">
        <v>15</v>
      </c>
      <c r="F3020" s="370"/>
      <c r="G3020" s="368"/>
      <c r="H3020" s="368"/>
      <c r="I3020" s="368"/>
      <c r="J3020" s="368"/>
      <c r="K3020" s="370"/>
      <c r="L3020" s="370"/>
      <c r="M3020" s="370"/>
      <c r="N3020" s="850"/>
      <c r="O3020" s="851"/>
      <c r="P3020" s="380"/>
      <c r="Q3020" s="852"/>
      <c r="R3020" s="383"/>
      <c r="S3020" s="361"/>
      <c r="T3020" s="1081"/>
      <c r="U3020" s="1080"/>
      <c r="V3020" s="366"/>
      <c r="W3020" s="366"/>
    </row>
    <row r="3021" spans="1:23">
      <c r="A3021" s="1400" t="s">
        <v>939</v>
      </c>
      <c r="B3021" s="1400"/>
      <c r="C3021" s="1089"/>
      <c r="D3021" s="871"/>
      <c r="E3021" s="1400" t="s">
        <v>177</v>
      </c>
      <c r="F3021" s="1400" t="s">
        <v>18</v>
      </c>
      <c r="G3021" s="1389" t="s">
        <v>19</v>
      </c>
      <c r="H3021" s="1390"/>
      <c r="I3021" s="1389" t="s">
        <v>22</v>
      </c>
      <c r="J3021" s="1390"/>
      <c r="K3021" s="1393" t="s">
        <v>26</v>
      </c>
      <c r="L3021" s="1390"/>
      <c r="M3021" s="1389" t="s">
        <v>392</v>
      </c>
      <c r="N3021" s="1390"/>
      <c r="O3021" s="1389" t="s">
        <v>28</v>
      </c>
      <c r="P3021" s="1393"/>
      <c r="Q3021" s="1390"/>
      <c r="R3021" s="1400" t="s">
        <v>36</v>
      </c>
      <c r="S3021" s="361"/>
      <c r="T3021" s="361">
        <f>MAX(J3025:J3039)-MIN(I3025:I3039)</f>
        <v>9.375E-2</v>
      </c>
      <c r="U3021" s="361"/>
      <c r="V3021" s="853" t="str">
        <f t="shared" ref="V3021" si="356">B3025</f>
        <v>A86</v>
      </c>
      <c r="W3021" s="361">
        <f t="shared" ref="W3021" si="357">COUNTIF(K3026:K3040,"&gt;0")</f>
        <v>6</v>
      </c>
    </row>
    <row r="3022" spans="1:23">
      <c r="A3022" s="1401"/>
      <c r="B3022" s="1401"/>
      <c r="C3022" s="1091"/>
      <c r="D3022" s="872"/>
      <c r="E3022" s="1401"/>
      <c r="F3022" s="1401"/>
      <c r="G3022" s="1391"/>
      <c r="H3022" s="1392"/>
      <c r="I3022" s="1391"/>
      <c r="J3022" s="1392"/>
      <c r="K3022" s="1394"/>
      <c r="L3022" s="1392"/>
      <c r="M3022" s="1391"/>
      <c r="N3022" s="1392"/>
      <c r="O3022" s="1391"/>
      <c r="P3022" s="1394"/>
      <c r="Q3022" s="1392"/>
      <c r="R3022" s="1401"/>
      <c r="S3022" s="361"/>
      <c r="T3022" s="361"/>
      <c r="U3022" s="361"/>
      <c r="V3022" s="361"/>
      <c r="W3022" s="361"/>
    </row>
    <row r="3023" spans="1:23">
      <c r="A3023" s="1401"/>
      <c r="B3023" s="1401"/>
      <c r="C3023" s="1091"/>
      <c r="D3023" s="872"/>
      <c r="E3023" s="1401"/>
      <c r="F3023" s="1401"/>
      <c r="G3023" s="1400" t="s">
        <v>20</v>
      </c>
      <c r="H3023" s="1400" t="s">
        <v>21</v>
      </c>
      <c r="I3023" s="1400" t="s">
        <v>361</v>
      </c>
      <c r="J3023" s="1400" t="s">
        <v>353</v>
      </c>
      <c r="K3023" s="1400" t="s">
        <v>23</v>
      </c>
      <c r="L3023" s="1400" t="s">
        <v>24</v>
      </c>
      <c r="M3023" s="1400" t="s">
        <v>27</v>
      </c>
      <c r="N3023" s="1400" t="s">
        <v>178</v>
      </c>
      <c r="O3023" s="1400" t="s">
        <v>1</v>
      </c>
      <c r="P3023" s="1400" t="s">
        <v>29</v>
      </c>
      <c r="Q3023" s="1400" t="s">
        <v>33</v>
      </c>
      <c r="R3023" s="1401"/>
      <c r="S3023" s="361"/>
      <c r="T3023" s="361" t="s">
        <v>39</v>
      </c>
      <c r="U3023" s="362">
        <f>VLOOKUP(B3025,'Thong tin'!$A:$M,13,0)</f>
        <v>1200</v>
      </c>
      <c r="V3023" s="361"/>
      <c r="W3023" s="361"/>
    </row>
    <row r="3024" spans="1:23">
      <c r="A3024" s="1402"/>
      <c r="B3024" s="1402"/>
      <c r="C3024" s="1090"/>
      <c r="D3024" s="873"/>
      <c r="E3024" s="1402"/>
      <c r="F3024" s="1402"/>
      <c r="G3024" s="1402"/>
      <c r="H3024" s="1402"/>
      <c r="I3024" s="1402"/>
      <c r="J3024" s="1402"/>
      <c r="K3024" s="1402"/>
      <c r="L3024" s="1402"/>
      <c r="M3024" s="1402"/>
      <c r="N3024" s="1402"/>
      <c r="O3024" s="1402"/>
      <c r="P3024" s="1402"/>
      <c r="Q3024" s="1402"/>
      <c r="R3024" s="1402"/>
      <c r="S3024" s="361"/>
      <c r="T3024" s="1399" t="s">
        <v>393</v>
      </c>
      <c r="U3024" s="1397">
        <f>VLOOKUP(B3025,DT.NK!$B:$AZ,45,0)</f>
        <v>43.15</v>
      </c>
      <c r="V3024" s="361"/>
      <c r="W3024" s="361"/>
    </row>
    <row r="3025" spans="1:23">
      <c r="A3025" s="1409">
        <f>A3005+1</f>
        <v>152</v>
      </c>
      <c r="B3025" s="1412" t="s">
        <v>687</v>
      </c>
      <c r="C3025" s="1094" t="s">
        <v>983</v>
      </c>
      <c r="D3025" s="874" t="str">
        <f>B3025&amp;C3025</f>
        <v>A86a</v>
      </c>
      <c r="E3025" s="363"/>
      <c r="F3025" s="364"/>
      <c r="G3025" s="364"/>
      <c r="H3025" s="364"/>
      <c r="I3025" s="364"/>
      <c r="J3025" s="364"/>
      <c r="K3025" s="364"/>
      <c r="L3025" s="364"/>
      <c r="M3025" s="674"/>
      <c r="N3025" s="670"/>
      <c r="O3025" s="670">
        <f>U3024</f>
        <v>43.15</v>
      </c>
      <c r="P3025" s="670">
        <f>O3025</f>
        <v>43.15</v>
      </c>
      <c r="Q3025" s="670">
        <v>0</v>
      </c>
      <c r="R3025" s="365"/>
      <c r="S3025" s="366"/>
      <c r="T3025" s="1399"/>
      <c r="U3025" s="1398"/>
      <c r="V3025" s="361"/>
      <c r="W3025" s="361"/>
    </row>
    <row r="3026" spans="1:23">
      <c r="A3026" s="1410"/>
      <c r="B3026" s="1413"/>
      <c r="C3026" s="1095" t="s">
        <v>984</v>
      </c>
      <c r="D3026" s="875" t="str">
        <f>B3025&amp;C3026</f>
        <v>A86b</v>
      </c>
      <c r="E3026" s="367">
        <v>1</v>
      </c>
      <c r="F3026" s="669" t="s">
        <v>1089</v>
      </c>
      <c r="G3026" s="369">
        <v>0.98958333333333337</v>
      </c>
      <c r="H3026" s="368">
        <v>1.3888888888888888E-2</v>
      </c>
      <c r="I3026" s="368">
        <v>2.0833333333333332E-2</v>
      </c>
      <c r="J3026" s="368">
        <v>2.4305555555555556E-2</v>
      </c>
      <c r="K3026" s="669">
        <v>10</v>
      </c>
      <c r="L3026" s="669">
        <v>19</v>
      </c>
      <c r="M3026" s="675">
        <v>40.950000000000003</v>
      </c>
      <c r="N3026" s="671">
        <f>IF(M3026-P3026&gt;0,M3026-P3026,0)</f>
        <v>2.25</v>
      </c>
      <c r="O3026" s="671">
        <f>O3025-K3026/(PI()*(U3023/2000)^2)</f>
        <v>34.308058717116921</v>
      </c>
      <c r="P3026" s="672">
        <v>38.700000000000003</v>
      </c>
      <c r="Q3026" s="673">
        <f>ABS(O3026-P3026)</f>
        <v>4.3919412828830815</v>
      </c>
      <c r="R3026" s="375" t="s">
        <v>188</v>
      </c>
      <c r="S3026" s="366"/>
      <c r="T3026" s="376"/>
      <c r="U3026" s="376"/>
      <c r="V3026" s="366"/>
      <c r="W3026" s="366"/>
    </row>
    <row r="3027" spans="1:23">
      <c r="A3027" s="1410"/>
      <c r="B3027" s="1413"/>
      <c r="C3027" s="1095" t="s">
        <v>985</v>
      </c>
      <c r="D3027" s="875" t="str">
        <f>B3025&amp;C3027</f>
        <v>A86c</v>
      </c>
      <c r="E3027" s="367">
        <v>2</v>
      </c>
      <c r="F3027" s="669" t="s">
        <v>1091</v>
      </c>
      <c r="G3027" s="369">
        <v>0.98749999999999993</v>
      </c>
      <c r="H3027" s="368">
        <v>1.7361111111111112E-2</v>
      </c>
      <c r="I3027" s="368">
        <v>3.125E-2</v>
      </c>
      <c r="J3027" s="368">
        <v>3.4722222222222224E-2</v>
      </c>
      <c r="K3027" s="669">
        <v>10</v>
      </c>
      <c r="L3027" s="669">
        <v>20</v>
      </c>
      <c r="M3027" s="675">
        <v>34.65</v>
      </c>
      <c r="N3027" s="671">
        <f>IF(M3027-P3027&gt;0,M3027-P3027,0)</f>
        <v>2.4499999999999957</v>
      </c>
      <c r="O3027" s="671">
        <f>O3026-K3027/(PI()*(U3023/2000)^2)</f>
        <v>25.466117434233848</v>
      </c>
      <c r="P3027" s="672">
        <v>32.200000000000003</v>
      </c>
      <c r="Q3027" s="673">
        <f>ABS(O3027-P3027)</f>
        <v>6.7338825657661552</v>
      </c>
      <c r="R3027" s="375" t="s">
        <v>188</v>
      </c>
      <c r="S3027" s="366"/>
      <c r="T3027" s="376"/>
      <c r="U3027" s="376"/>
      <c r="V3027" s="366"/>
      <c r="W3027" s="366"/>
    </row>
    <row r="3028" spans="1:23">
      <c r="A3028" s="1410"/>
      <c r="B3028" s="1413"/>
      <c r="C3028" s="1095" t="s">
        <v>986</v>
      </c>
      <c r="D3028" s="875" t="str">
        <f>B3025&amp;C3028</f>
        <v>A86d</v>
      </c>
      <c r="E3028" s="367">
        <v>3</v>
      </c>
      <c r="F3028" s="669" t="s">
        <v>1085</v>
      </c>
      <c r="G3028" s="369">
        <v>0.99305555555555547</v>
      </c>
      <c r="H3028" s="368">
        <v>2.4305555555555556E-2</v>
      </c>
      <c r="I3028" s="368">
        <v>4.1666666666666664E-2</v>
      </c>
      <c r="J3028" s="368">
        <v>4.5138888888888888E-2</v>
      </c>
      <c r="K3028" s="669">
        <v>10</v>
      </c>
      <c r="L3028" s="669">
        <v>19.5</v>
      </c>
      <c r="M3028" s="675">
        <v>28.35</v>
      </c>
      <c r="N3028" s="671">
        <f t="shared" ref="N3028" si="358">IF(M3028-P3028&gt;0,M3028-P3028,0)</f>
        <v>2.3500000000000014</v>
      </c>
      <c r="O3028" s="671">
        <f>O3027-K3028/(PI()*(U3023/2000)^2)</f>
        <v>16.624176151350774</v>
      </c>
      <c r="P3028" s="672">
        <v>26</v>
      </c>
      <c r="Q3028" s="673">
        <f t="shared" ref="Q3028" si="359">ABS(O3028-P3028)</f>
        <v>9.375823848649226</v>
      </c>
      <c r="R3028" s="375" t="s">
        <v>188</v>
      </c>
      <c r="S3028" s="366"/>
      <c r="T3028" s="376"/>
      <c r="U3028" s="376"/>
      <c r="V3028" s="366"/>
      <c r="W3028" s="366"/>
    </row>
    <row r="3029" spans="1:23">
      <c r="A3029" s="1410"/>
      <c r="B3029" s="1413"/>
      <c r="C3029" s="1095" t="s">
        <v>987</v>
      </c>
      <c r="D3029" s="875" t="str">
        <f>B3025&amp;C3029</f>
        <v>A86e</v>
      </c>
      <c r="E3029" s="367">
        <v>4</v>
      </c>
      <c r="F3029" s="669" t="s">
        <v>1089</v>
      </c>
      <c r="G3029" s="368">
        <v>4.7916666666666663E-2</v>
      </c>
      <c r="H3029" s="368">
        <v>6.9444444444444434E-2</v>
      </c>
      <c r="I3029" s="368">
        <v>7.9861111111111105E-2</v>
      </c>
      <c r="J3029" s="368">
        <v>7.9861111111111105E-2</v>
      </c>
      <c r="K3029" s="669">
        <v>10</v>
      </c>
      <c r="L3029" s="370">
        <v>18</v>
      </c>
      <c r="M3029" s="371">
        <v>22.05</v>
      </c>
      <c r="N3029" s="671"/>
      <c r="O3029" s="671"/>
      <c r="P3029" s="373">
        <v>20</v>
      </c>
      <c r="Q3029" s="673"/>
      <c r="R3029" s="378"/>
      <c r="S3029" s="366"/>
      <c r="T3029" s="376"/>
      <c r="U3029" s="376"/>
      <c r="V3029" s="366"/>
      <c r="W3029" s="366"/>
    </row>
    <row r="3030" spans="1:23">
      <c r="A3030" s="1410"/>
      <c r="B3030" s="1413"/>
      <c r="C3030" s="1095" t="s">
        <v>988</v>
      </c>
      <c r="D3030" s="875" t="str">
        <f>B3025&amp;C3030</f>
        <v>A86f</v>
      </c>
      <c r="E3030" s="367">
        <v>5</v>
      </c>
      <c r="F3030" s="669" t="s">
        <v>1091</v>
      </c>
      <c r="G3030" s="368">
        <v>6.25E-2</v>
      </c>
      <c r="H3030" s="368">
        <v>8.3333333333333329E-2</v>
      </c>
      <c r="I3030" s="368">
        <v>9.0277777777777776E-2</v>
      </c>
      <c r="J3030" s="368">
        <v>9.0277777777777776E-2</v>
      </c>
      <c r="K3030" s="669">
        <v>10</v>
      </c>
      <c r="L3030" s="370">
        <v>19</v>
      </c>
      <c r="M3030" s="371"/>
      <c r="N3030" s="671"/>
      <c r="O3030" s="671"/>
      <c r="P3030" s="373">
        <v>15.2</v>
      </c>
      <c r="Q3030" s="673"/>
      <c r="R3030" s="378"/>
      <c r="S3030" s="366" t="s">
        <v>190</v>
      </c>
      <c r="T3030" s="376"/>
      <c r="U3030" s="376"/>
      <c r="V3030" s="366"/>
      <c r="W3030" s="366"/>
    </row>
    <row r="3031" spans="1:23">
      <c r="A3031" s="1410"/>
      <c r="B3031" s="1413"/>
      <c r="C3031" s="1095" t="s">
        <v>989</v>
      </c>
      <c r="D3031" s="875" t="str">
        <f>B3025&amp;C3031</f>
        <v>A86g</v>
      </c>
      <c r="E3031" s="367">
        <v>6</v>
      </c>
      <c r="F3031" s="669" t="s">
        <v>1085</v>
      </c>
      <c r="G3031" s="368">
        <v>8.4027777777777771E-2</v>
      </c>
      <c r="H3031" s="368">
        <v>0.1076388888888889</v>
      </c>
      <c r="I3031" s="368">
        <v>0.1111111111111111</v>
      </c>
      <c r="J3031" s="368">
        <v>0.11458333333333333</v>
      </c>
      <c r="K3031" s="669">
        <v>10</v>
      </c>
      <c r="L3031" s="370">
        <v>19</v>
      </c>
      <c r="M3031" s="371"/>
      <c r="N3031" s="671"/>
      <c r="O3031" s="671"/>
      <c r="P3031" s="373">
        <v>8.5</v>
      </c>
      <c r="Q3031" s="673"/>
      <c r="R3031" s="378"/>
      <c r="S3031" s="366" t="s">
        <v>190</v>
      </c>
      <c r="T3031" s="366"/>
      <c r="U3031" s="366"/>
      <c r="V3031" s="366"/>
      <c r="W3031" s="366"/>
    </row>
    <row r="3032" spans="1:23">
      <c r="A3032" s="1410"/>
      <c r="B3032" s="1413"/>
      <c r="C3032" s="1095" t="s">
        <v>990</v>
      </c>
      <c r="D3032" s="875" t="str">
        <f>B3025&amp;C3032</f>
        <v>A86h</v>
      </c>
      <c r="E3032" s="367">
        <v>7</v>
      </c>
      <c r="F3032" s="669"/>
      <c r="G3032" s="368"/>
      <c r="H3032" s="368"/>
      <c r="I3032" s="368"/>
      <c r="J3032" s="368"/>
      <c r="K3032" s="370"/>
      <c r="L3032" s="370"/>
      <c r="M3032" s="371"/>
      <c r="N3032" s="671"/>
      <c r="O3032" s="671"/>
      <c r="P3032" s="373"/>
      <c r="Q3032" s="673"/>
      <c r="R3032" s="378"/>
      <c r="S3032" s="366" t="s">
        <v>190</v>
      </c>
      <c r="T3032" s="366"/>
      <c r="U3032" s="366"/>
      <c r="V3032" s="366"/>
      <c r="W3032" s="366"/>
    </row>
    <row r="3033" spans="1:23">
      <c r="A3033" s="1410"/>
      <c r="B3033" s="1413"/>
      <c r="C3033" s="1095" t="s">
        <v>991</v>
      </c>
      <c r="D3033" s="875" t="str">
        <f>B3025&amp;C3033</f>
        <v>A86i</v>
      </c>
      <c r="E3033" s="367">
        <v>8</v>
      </c>
      <c r="F3033" s="669"/>
      <c r="G3033" s="368"/>
      <c r="H3033" s="368"/>
      <c r="I3033" s="368"/>
      <c r="J3033" s="368"/>
      <c r="K3033" s="370"/>
      <c r="L3033" s="370"/>
      <c r="M3033" s="371"/>
      <c r="N3033" s="671"/>
      <c r="O3033" s="671"/>
      <c r="P3033" s="373"/>
      <c r="Q3033" s="673"/>
      <c r="R3033" s="378"/>
      <c r="S3033" s="366"/>
      <c r="T3033" s="366"/>
      <c r="U3033" s="366"/>
      <c r="V3033" s="366"/>
      <c r="W3033" s="366"/>
    </row>
    <row r="3034" spans="1:23">
      <c r="A3034" s="1410"/>
      <c r="B3034" s="1413"/>
      <c r="C3034" s="1095" t="s">
        <v>992</v>
      </c>
      <c r="D3034" s="875" t="str">
        <f>B3025&amp;C3034</f>
        <v>A86k</v>
      </c>
      <c r="E3034" s="367">
        <v>9</v>
      </c>
      <c r="F3034" s="370"/>
      <c r="G3034" s="368"/>
      <c r="H3034" s="368"/>
      <c r="I3034" s="368"/>
      <c r="J3034" s="368"/>
      <c r="K3034" s="370"/>
      <c r="L3034" s="370"/>
      <c r="M3034" s="371"/>
      <c r="N3034" s="372"/>
      <c r="O3034" s="372"/>
      <c r="P3034" s="373"/>
      <c r="Q3034" s="374"/>
      <c r="R3034" s="378"/>
      <c r="S3034" s="379"/>
      <c r="T3034" s="366"/>
      <c r="U3034" s="366"/>
      <c r="V3034" s="366"/>
      <c r="W3034" s="366"/>
    </row>
    <row r="3035" spans="1:23">
      <c r="A3035" s="1410"/>
      <c r="B3035" s="1413"/>
      <c r="C3035" s="1095" t="s">
        <v>993</v>
      </c>
      <c r="D3035" s="875" t="str">
        <f>B3025&amp;C3035</f>
        <v>A86l</v>
      </c>
      <c r="E3035" s="367">
        <v>10</v>
      </c>
      <c r="F3035" s="370"/>
      <c r="G3035" s="368"/>
      <c r="H3035" s="368"/>
      <c r="I3035" s="368"/>
      <c r="J3035" s="368"/>
      <c r="K3035" s="370"/>
      <c r="L3035" s="370"/>
      <c r="M3035" s="370"/>
      <c r="N3035" s="372"/>
      <c r="O3035" s="372"/>
      <c r="P3035" s="373"/>
      <c r="Q3035" s="374"/>
      <c r="R3035" s="378"/>
      <c r="S3035" s="379"/>
      <c r="T3035" s="366"/>
      <c r="U3035" s="366"/>
      <c r="V3035" s="366"/>
      <c r="W3035" s="366"/>
    </row>
    <row r="3036" spans="1:23">
      <c r="A3036" s="1410"/>
      <c r="B3036" s="1413"/>
      <c r="C3036" s="1095" t="s">
        <v>994</v>
      </c>
      <c r="D3036" s="875" t="str">
        <f>B3025&amp;C3036</f>
        <v>A86m</v>
      </c>
      <c r="E3036" s="367">
        <v>11</v>
      </c>
      <c r="F3036" s="370"/>
      <c r="G3036" s="368"/>
      <c r="H3036" s="368"/>
      <c r="I3036" s="368"/>
      <c r="J3036" s="368"/>
      <c r="K3036" s="370"/>
      <c r="L3036" s="370"/>
      <c r="M3036" s="370"/>
      <c r="N3036" s="372"/>
      <c r="O3036" s="372"/>
      <c r="P3036" s="380"/>
      <c r="Q3036" s="374"/>
      <c r="R3036" s="381"/>
      <c r="S3036" s="379"/>
      <c r="T3036" s="366"/>
      <c r="U3036" s="366"/>
      <c r="V3036" s="366"/>
      <c r="W3036" s="366"/>
    </row>
    <row r="3037" spans="1:23">
      <c r="A3037" s="1410"/>
      <c r="B3037" s="1413"/>
      <c r="C3037" s="1095" t="s">
        <v>995</v>
      </c>
      <c r="D3037" s="875" t="str">
        <f>B3025&amp;C3037</f>
        <v>A86n</v>
      </c>
      <c r="E3037" s="367">
        <v>12</v>
      </c>
      <c r="F3037" s="370"/>
      <c r="G3037" s="368"/>
      <c r="H3037" s="368"/>
      <c r="I3037" s="368"/>
      <c r="J3037" s="368"/>
      <c r="K3037" s="370"/>
      <c r="L3037" s="370"/>
      <c r="M3037" s="370"/>
      <c r="N3037" s="372"/>
      <c r="O3037" s="372"/>
      <c r="P3037" s="380"/>
      <c r="Q3037" s="374"/>
      <c r="R3037" s="381"/>
      <c r="S3037" s="361"/>
      <c r="T3037" s="361"/>
      <c r="U3037" s="361"/>
      <c r="V3037" s="366"/>
      <c r="W3037" s="366"/>
    </row>
    <row r="3038" spans="1:23">
      <c r="A3038" s="1410"/>
      <c r="B3038" s="1413"/>
      <c r="C3038" s="1095" t="s">
        <v>471</v>
      </c>
      <c r="D3038" s="875" t="str">
        <f>B3025&amp;C3038</f>
        <v>A86x</v>
      </c>
      <c r="E3038" s="367">
        <v>13</v>
      </c>
      <c r="F3038" s="370"/>
      <c r="G3038" s="368"/>
      <c r="H3038" s="368"/>
      <c r="I3038" s="368"/>
      <c r="J3038" s="368"/>
      <c r="K3038" s="370"/>
      <c r="L3038" s="370"/>
      <c r="M3038" s="370"/>
      <c r="N3038" s="382"/>
      <c r="O3038" s="372"/>
      <c r="P3038" s="380"/>
      <c r="Q3038" s="381"/>
      <c r="R3038" s="381"/>
      <c r="S3038" s="361"/>
      <c r="T3038" s="361"/>
      <c r="U3038" s="361"/>
      <c r="V3038" s="366"/>
      <c r="W3038" s="366"/>
    </row>
    <row r="3039" spans="1:23">
      <c r="A3039" s="1410"/>
      <c r="B3039" s="1413"/>
      <c r="C3039" s="1095" t="s">
        <v>732</v>
      </c>
      <c r="D3039" s="875" t="str">
        <f>B3025&amp;C3039</f>
        <v>A86y</v>
      </c>
      <c r="E3039" s="367">
        <v>14</v>
      </c>
      <c r="F3039" s="370"/>
      <c r="G3039" s="368"/>
      <c r="H3039" s="368"/>
      <c r="I3039" s="368"/>
      <c r="J3039" s="368"/>
      <c r="K3039" s="370"/>
      <c r="L3039" s="370"/>
      <c r="M3039" s="370"/>
      <c r="N3039" s="382"/>
      <c r="O3039" s="372"/>
      <c r="P3039" s="380"/>
      <c r="Q3039" s="381"/>
      <c r="R3039" s="381"/>
      <c r="S3039" s="361"/>
      <c r="T3039" s="361"/>
      <c r="U3039" s="362"/>
      <c r="V3039" s="366"/>
      <c r="W3039" s="366"/>
    </row>
    <row r="3040" spans="1:23">
      <c r="A3040" s="1411"/>
      <c r="B3040" s="1414"/>
      <c r="C3040" s="1096" t="s">
        <v>996</v>
      </c>
      <c r="D3040" s="876" t="str">
        <f>B3025&amp;C3040</f>
        <v>A86z</v>
      </c>
      <c r="E3040" s="847">
        <v>15</v>
      </c>
      <c r="F3040" s="370"/>
      <c r="G3040" s="368"/>
      <c r="H3040" s="368"/>
      <c r="I3040" s="368"/>
      <c r="J3040" s="368"/>
      <c r="K3040" s="370"/>
      <c r="L3040" s="370"/>
      <c r="M3040" s="370"/>
      <c r="N3040" s="850"/>
      <c r="O3040" s="851"/>
      <c r="P3040" s="380"/>
      <c r="Q3040" s="852"/>
      <c r="R3040" s="383"/>
      <c r="S3040" s="361"/>
      <c r="T3040" s="1093"/>
      <c r="U3040" s="1092"/>
      <c r="V3040" s="366"/>
      <c r="W3040" s="366"/>
    </row>
    <row r="3041" spans="1:23">
      <c r="A3041" s="1400" t="s">
        <v>939</v>
      </c>
      <c r="B3041" s="1400"/>
      <c r="C3041" s="1099"/>
      <c r="D3041" s="871"/>
      <c r="E3041" s="1400" t="s">
        <v>177</v>
      </c>
      <c r="F3041" s="1400" t="s">
        <v>18</v>
      </c>
      <c r="G3041" s="1389" t="s">
        <v>19</v>
      </c>
      <c r="H3041" s="1390"/>
      <c r="I3041" s="1389" t="s">
        <v>22</v>
      </c>
      <c r="J3041" s="1390"/>
      <c r="K3041" s="1393" t="s">
        <v>26</v>
      </c>
      <c r="L3041" s="1390"/>
      <c r="M3041" s="1389" t="s">
        <v>392</v>
      </c>
      <c r="N3041" s="1390"/>
      <c r="O3041" s="1389" t="s">
        <v>28</v>
      </c>
      <c r="P3041" s="1393"/>
      <c r="Q3041" s="1390"/>
      <c r="R3041" s="1400" t="s">
        <v>36</v>
      </c>
      <c r="S3041" s="361"/>
      <c r="T3041" s="361">
        <f>MAX(J3045:J3059)-MIN(I3045:I3059)</f>
        <v>3.125E-2</v>
      </c>
      <c r="U3041" s="361"/>
      <c r="V3041" s="853" t="str">
        <f t="shared" ref="V3041" si="360">B3045</f>
        <v>A100</v>
      </c>
      <c r="W3041" s="361">
        <f t="shared" ref="W3041" si="361">COUNTIF(K3046:K3060,"&gt;0")</f>
        <v>3</v>
      </c>
    </row>
    <row r="3042" spans="1:23">
      <c r="A3042" s="1401"/>
      <c r="B3042" s="1401"/>
      <c r="C3042" s="1101"/>
      <c r="D3042" s="872"/>
      <c r="E3042" s="1401"/>
      <c r="F3042" s="1401"/>
      <c r="G3042" s="1391"/>
      <c r="H3042" s="1392"/>
      <c r="I3042" s="1391"/>
      <c r="J3042" s="1392"/>
      <c r="K3042" s="1394"/>
      <c r="L3042" s="1392"/>
      <c r="M3042" s="1391"/>
      <c r="N3042" s="1392"/>
      <c r="O3042" s="1391"/>
      <c r="P3042" s="1394"/>
      <c r="Q3042" s="1392"/>
      <c r="R3042" s="1401"/>
      <c r="S3042" s="361"/>
      <c r="T3042" s="361"/>
      <c r="U3042" s="361"/>
      <c r="V3042" s="361"/>
      <c r="W3042" s="361"/>
    </row>
    <row r="3043" spans="1:23">
      <c r="A3043" s="1401"/>
      <c r="B3043" s="1401"/>
      <c r="C3043" s="1101"/>
      <c r="D3043" s="872"/>
      <c r="E3043" s="1401"/>
      <c r="F3043" s="1401"/>
      <c r="G3043" s="1400" t="s">
        <v>20</v>
      </c>
      <c r="H3043" s="1400" t="s">
        <v>21</v>
      </c>
      <c r="I3043" s="1400" t="s">
        <v>361</v>
      </c>
      <c r="J3043" s="1400" t="s">
        <v>353</v>
      </c>
      <c r="K3043" s="1400" t="s">
        <v>23</v>
      </c>
      <c r="L3043" s="1400" t="s">
        <v>24</v>
      </c>
      <c r="M3043" s="1400" t="s">
        <v>27</v>
      </c>
      <c r="N3043" s="1400" t="s">
        <v>178</v>
      </c>
      <c r="O3043" s="1400" t="s">
        <v>1</v>
      </c>
      <c r="P3043" s="1400" t="s">
        <v>29</v>
      </c>
      <c r="Q3043" s="1400" t="s">
        <v>33</v>
      </c>
      <c r="R3043" s="1401"/>
      <c r="S3043" s="361"/>
      <c r="T3043" s="361" t="s">
        <v>39</v>
      </c>
      <c r="U3043" s="362">
        <f>VLOOKUP(B3045,'Thong tin'!$A:$M,13,0)</f>
        <v>1200</v>
      </c>
      <c r="V3043" s="361"/>
      <c r="W3043" s="361"/>
    </row>
    <row r="3044" spans="1:23">
      <c r="A3044" s="1402"/>
      <c r="B3044" s="1402"/>
      <c r="C3044" s="1100"/>
      <c r="D3044" s="873"/>
      <c r="E3044" s="1402"/>
      <c r="F3044" s="1402"/>
      <c r="G3044" s="1402"/>
      <c r="H3044" s="1402"/>
      <c r="I3044" s="1402"/>
      <c r="J3044" s="1402"/>
      <c r="K3044" s="1402"/>
      <c r="L3044" s="1402"/>
      <c r="M3044" s="1402"/>
      <c r="N3044" s="1402"/>
      <c r="O3044" s="1402"/>
      <c r="P3044" s="1402"/>
      <c r="Q3044" s="1402"/>
      <c r="R3044" s="1402"/>
      <c r="S3044" s="361"/>
      <c r="T3044" s="1399" t="s">
        <v>393</v>
      </c>
      <c r="U3044" s="1397">
        <f>VLOOKUP(B3045,DT.NK!$B:$AZ,45,0)</f>
        <v>23.62</v>
      </c>
      <c r="V3044" s="361"/>
      <c r="W3044" s="361"/>
    </row>
    <row r="3045" spans="1:23">
      <c r="A3045" s="1409">
        <f>A3025+1</f>
        <v>153</v>
      </c>
      <c r="B3045" s="1412" t="s">
        <v>535</v>
      </c>
      <c r="C3045" s="1104" t="s">
        <v>983</v>
      </c>
      <c r="D3045" s="874" t="str">
        <f>B3045&amp;C3045</f>
        <v>A100a</v>
      </c>
      <c r="E3045" s="363"/>
      <c r="F3045" s="364"/>
      <c r="G3045" s="364"/>
      <c r="H3045" s="364"/>
      <c r="I3045" s="364"/>
      <c r="J3045" s="364"/>
      <c r="K3045" s="364"/>
      <c r="L3045" s="364"/>
      <c r="M3045" s="674"/>
      <c r="N3045" s="670"/>
      <c r="O3045" s="670">
        <f>U3044</f>
        <v>23.62</v>
      </c>
      <c r="P3045" s="670">
        <f>O3045</f>
        <v>23.62</v>
      </c>
      <c r="Q3045" s="670">
        <v>0</v>
      </c>
      <c r="R3045" s="365"/>
      <c r="S3045" s="366"/>
      <c r="T3045" s="1399"/>
      <c r="U3045" s="1398"/>
      <c r="V3045" s="361"/>
      <c r="W3045" s="361"/>
    </row>
    <row r="3046" spans="1:23">
      <c r="A3046" s="1410"/>
      <c r="B3046" s="1413"/>
      <c r="C3046" s="1105" t="s">
        <v>984</v>
      </c>
      <c r="D3046" s="875" t="str">
        <f>B3045&amp;C3046</f>
        <v>A100b</v>
      </c>
      <c r="E3046" s="367">
        <v>1</v>
      </c>
      <c r="F3046" s="669" t="s">
        <v>1153</v>
      </c>
      <c r="G3046" s="369">
        <v>0.52777777777777779</v>
      </c>
      <c r="H3046" s="368">
        <v>0.54861111111111105</v>
      </c>
      <c r="I3046" s="368">
        <v>0.5625</v>
      </c>
      <c r="J3046" s="368">
        <v>0.56597222222222221</v>
      </c>
      <c r="K3046" s="669">
        <v>8</v>
      </c>
      <c r="L3046" s="669">
        <v>19</v>
      </c>
      <c r="M3046" s="675">
        <v>22.05</v>
      </c>
      <c r="N3046" s="671">
        <f>IF(M3046-P3046&gt;0,M3046-P3046,0)</f>
        <v>2.9499999999999993</v>
      </c>
      <c r="O3046" s="671">
        <f>O3045-K3046/(PI()*(U3043/2000)^2)</f>
        <v>16.546446973693541</v>
      </c>
      <c r="P3046" s="672">
        <v>19.100000000000001</v>
      </c>
      <c r="Q3046" s="673">
        <f>ABS(O3046-P3046)</f>
        <v>2.5535530263064601</v>
      </c>
      <c r="R3046" s="375" t="s">
        <v>188</v>
      </c>
      <c r="S3046" s="366"/>
      <c r="T3046" s="376"/>
      <c r="U3046" s="376"/>
      <c r="V3046" s="366"/>
      <c r="W3046" s="366"/>
    </row>
    <row r="3047" spans="1:23">
      <c r="A3047" s="1410"/>
      <c r="B3047" s="1413"/>
      <c r="C3047" s="1105" t="s">
        <v>985</v>
      </c>
      <c r="D3047" s="875" t="str">
        <f>B3045&amp;C3047</f>
        <v>A100c</v>
      </c>
      <c r="E3047" s="367">
        <v>2</v>
      </c>
      <c r="F3047" s="669" t="s">
        <v>1154</v>
      </c>
      <c r="G3047" s="369">
        <v>0.53194444444444444</v>
      </c>
      <c r="H3047" s="368">
        <v>0.55555555555555558</v>
      </c>
      <c r="I3047" s="368">
        <v>0.57291666666666663</v>
      </c>
      <c r="J3047" s="368">
        <v>0.57847222222222217</v>
      </c>
      <c r="K3047" s="669">
        <v>9</v>
      </c>
      <c r="L3047" s="669">
        <v>19</v>
      </c>
      <c r="M3047" s="675">
        <v>15.75</v>
      </c>
      <c r="N3047" s="671">
        <f>IF(M3047-P3047&gt;0,M3047-P3047,0)</f>
        <v>3.8000000000000007</v>
      </c>
      <c r="O3047" s="671">
        <f>O3046-K3047/(PI()*(U3043/2000)^2)</f>
        <v>8.5886998190987747</v>
      </c>
      <c r="P3047" s="672">
        <v>11.95</v>
      </c>
      <c r="Q3047" s="673">
        <f>ABS(O3047-P3047)</f>
        <v>3.3613001809012246</v>
      </c>
      <c r="R3047" s="375" t="s">
        <v>188</v>
      </c>
      <c r="S3047" s="366"/>
      <c r="T3047" s="376"/>
      <c r="U3047" s="376"/>
      <c r="V3047" s="366"/>
      <c r="W3047" s="366"/>
    </row>
    <row r="3048" spans="1:23">
      <c r="A3048" s="1410"/>
      <c r="B3048" s="1413"/>
      <c r="C3048" s="1105" t="s">
        <v>986</v>
      </c>
      <c r="D3048" s="875" t="str">
        <f>B3045&amp;C3048</f>
        <v>A100d</v>
      </c>
      <c r="E3048" s="367">
        <v>3</v>
      </c>
      <c r="F3048" s="669" t="s">
        <v>1155</v>
      </c>
      <c r="G3048" s="369">
        <v>0.55972222222222223</v>
      </c>
      <c r="H3048" s="368">
        <v>0.58680555555555558</v>
      </c>
      <c r="I3048" s="368">
        <v>0.59027777777777779</v>
      </c>
      <c r="J3048" s="368">
        <v>0.59375</v>
      </c>
      <c r="K3048" s="669">
        <v>8</v>
      </c>
      <c r="L3048" s="669">
        <v>19</v>
      </c>
      <c r="M3048" s="675">
        <v>9.4499999999999993</v>
      </c>
      <c r="N3048" s="671">
        <f t="shared" ref="N3048" si="362">IF(M3048-P3048&gt;0,M3048-P3048,0)</f>
        <v>3.2499999999999991</v>
      </c>
      <c r="O3048" s="671">
        <f>O3047-K3048/(PI()*(U3043/2000)^2)</f>
        <v>1.515146792792315</v>
      </c>
      <c r="P3048" s="672">
        <v>6.2</v>
      </c>
      <c r="Q3048" s="673">
        <f t="shared" ref="Q3048" si="363">ABS(O3048-P3048)</f>
        <v>4.6848532072076852</v>
      </c>
      <c r="R3048" s="375"/>
      <c r="S3048" s="366"/>
      <c r="T3048" s="376"/>
      <c r="U3048" s="376"/>
      <c r="V3048" s="366"/>
      <c r="W3048" s="366"/>
    </row>
    <row r="3049" spans="1:23">
      <c r="A3049" s="1410"/>
      <c r="B3049" s="1413"/>
      <c r="C3049" s="1105" t="s">
        <v>987</v>
      </c>
      <c r="D3049" s="875" t="str">
        <f>B3045&amp;C3049</f>
        <v>A100e</v>
      </c>
      <c r="E3049" s="367">
        <v>4</v>
      </c>
      <c r="F3049" s="669"/>
      <c r="G3049" s="368"/>
      <c r="H3049" s="368"/>
      <c r="I3049" s="368"/>
      <c r="J3049" s="368"/>
      <c r="K3049" s="370"/>
      <c r="L3049" s="370"/>
      <c r="M3049" s="371"/>
      <c r="N3049" s="671"/>
      <c r="O3049" s="671"/>
      <c r="P3049" s="373"/>
      <c r="Q3049" s="673"/>
      <c r="R3049" s="378"/>
      <c r="S3049" s="366"/>
      <c r="T3049" s="376"/>
      <c r="U3049" s="376"/>
      <c r="V3049" s="366"/>
      <c r="W3049" s="366"/>
    </row>
    <row r="3050" spans="1:23">
      <c r="A3050" s="1410"/>
      <c r="B3050" s="1413"/>
      <c r="C3050" s="1105" t="s">
        <v>988</v>
      </c>
      <c r="D3050" s="875" t="str">
        <f>B3045&amp;C3050</f>
        <v>A100f</v>
      </c>
      <c r="E3050" s="367">
        <v>5</v>
      </c>
      <c r="F3050" s="669"/>
      <c r="G3050" s="368"/>
      <c r="H3050" s="368"/>
      <c r="I3050" s="368"/>
      <c r="J3050" s="368"/>
      <c r="K3050" s="370"/>
      <c r="L3050" s="370"/>
      <c r="M3050" s="371"/>
      <c r="N3050" s="671"/>
      <c r="O3050" s="671"/>
      <c r="P3050" s="373"/>
      <c r="Q3050" s="673"/>
      <c r="R3050" s="378"/>
      <c r="S3050" s="366" t="s">
        <v>190</v>
      </c>
      <c r="T3050" s="376"/>
      <c r="U3050" s="376"/>
      <c r="V3050" s="366"/>
      <c r="W3050" s="366"/>
    </row>
    <row r="3051" spans="1:23">
      <c r="A3051" s="1410"/>
      <c r="B3051" s="1413"/>
      <c r="C3051" s="1105" t="s">
        <v>989</v>
      </c>
      <c r="D3051" s="875" t="str">
        <f>B3045&amp;C3051</f>
        <v>A100g</v>
      </c>
      <c r="E3051" s="367">
        <v>6</v>
      </c>
      <c r="F3051" s="669"/>
      <c r="G3051" s="368"/>
      <c r="H3051" s="368"/>
      <c r="I3051" s="368"/>
      <c r="J3051" s="368"/>
      <c r="K3051" s="370"/>
      <c r="L3051" s="370"/>
      <c r="M3051" s="371"/>
      <c r="N3051" s="671"/>
      <c r="O3051" s="671"/>
      <c r="P3051" s="373"/>
      <c r="Q3051" s="673"/>
      <c r="R3051" s="378"/>
      <c r="S3051" s="366" t="s">
        <v>190</v>
      </c>
      <c r="T3051" s="366"/>
      <c r="U3051" s="366"/>
      <c r="V3051" s="366"/>
      <c r="W3051" s="366"/>
    </row>
    <row r="3052" spans="1:23">
      <c r="A3052" s="1410"/>
      <c r="B3052" s="1413"/>
      <c r="C3052" s="1105" t="s">
        <v>990</v>
      </c>
      <c r="D3052" s="875" t="str">
        <f>B3045&amp;C3052</f>
        <v>A100h</v>
      </c>
      <c r="E3052" s="367">
        <v>7</v>
      </c>
      <c r="F3052" s="669"/>
      <c r="G3052" s="368"/>
      <c r="H3052" s="368"/>
      <c r="I3052" s="368"/>
      <c r="J3052" s="368"/>
      <c r="K3052" s="370"/>
      <c r="L3052" s="370"/>
      <c r="M3052" s="371"/>
      <c r="N3052" s="671"/>
      <c r="O3052" s="671"/>
      <c r="P3052" s="373"/>
      <c r="Q3052" s="673"/>
      <c r="R3052" s="378"/>
      <c r="S3052" s="366" t="s">
        <v>190</v>
      </c>
      <c r="T3052" s="366"/>
      <c r="U3052" s="366"/>
      <c r="V3052" s="366"/>
      <c r="W3052" s="366"/>
    </row>
    <row r="3053" spans="1:23">
      <c r="A3053" s="1410"/>
      <c r="B3053" s="1413"/>
      <c r="C3053" s="1105" t="s">
        <v>991</v>
      </c>
      <c r="D3053" s="875" t="str">
        <f>B3045&amp;C3053</f>
        <v>A100i</v>
      </c>
      <c r="E3053" s="367">
        <v>8</v>
      </c>
      <c r="F3053" s="669"/>
      <c r="G3053" s="368"/>
      <c r="H3053" s="368"/>
      <c r="I3053" s="368"/>
      <c r="J3053" s="368"/>
      <c r="K3053" s="370"/>
      <c r="L3053" s="370"/>
      <c r="M3053" s="371"/>
      <c r="N3053" s="671"/>
      <c r="O3053" s="671"/>
      <c r="P3053" s="373"/>
      <c r="Q3053" s="673"/>
      <c r="R3053" s="378"/>
      <c r="S3053" s="366"/>
      <c r="T3053" s="366"/>
      <c r="U3053" s="366"/>
      <c r="V3053" s="366"/>
      <c r="W3053" s="366"/>
    </row>
    <row r="3054" spans="1:23">
      <c r="A3054" s="1410"/>
      <c r="B3054" s="1413"/>
      <c r="C3054" s="1105" t="s">
        <v>992</v>
      </c>
      <c r="D3054" s="875" t="str">
        <f>B3045&amp;C3054</f>
        <v>A100k</v>
      </c>
      <c r="E3054" s="367">
        <v>9</v>
      </c>
      <c r="F3054" s="370"/>
      <c r="G3054" s="368"/>
      <c r="H3054" s="368"/>
      <c r="I3054" s="368"/>
      <c r="J3054" s="368"/>
      <c r="K3054" s="370"/>
      <c r="L3054" s="370"/>
      <c r="M3054" s="371"/>
      <c r="N3054" s="372"/>
      <c r="O3054" s="372"/>
      <c r="P3054" s="373"/>
      <c r="Q3054" s="374"/>
      <c r="R3054" s="378"/>
      <c r="S3054" s="379"/>
      <c r="T3054" s="366"/>
      <c r="U3054" s="366"/>
      <c r="V3054" s="366"/>
      <c r="W3054" s="366"/>
    </row>
    <row r="3055" spans="1:23">
      <c r="A3055" s="1410"/>
      <c r="B3055" s="1413"/>
      <c r="C3055" s="1105" t="s">
        <v>993</v>
      </c>
      <c r="D3055" s="875" t="str">
        <f>B3045&amp;C3055</f>
        <v>A100l</v>
      </c>
      <c r="E3055" s="367">
        <v>10</v>
      </c>
      <c r="F3055" s="370"/>
      <c r="G3055" s="368"/>
      <c r="H3055" s="368"/>
      <c r="I3055" s="368"/>
      <c r="J3055" s="368"/>
      <c r="K3055" s="370"/>
      <c r="L3055" s="370"/>
      <c r="M3055" s="370"/>
      <c r="N3055" s="372"/>
      <c r="O3055" s="372"/>
      <c r="P3055" s="373"/>
      <c r="Q3055" s="374"/>
      <c r="R3055" s="378"/>
      <c r="S3055" s="379"/>
      <c r="T3055" s="366"/>
      <c r="U3055" s="366"/>
      <c r="V3055" s="366"/>
      <c r="W3055" s="366"/>
    </row>
    <row r="3056" spans="1:23">
      <c r="A3056" s="1410"/>
      <c r="B3056" s="1413"/>
      <c r="C3056" s="1105" t="s">
        <v>994</v>
      </c>
      <c r="D3056" s="875" t="str">
        <f>B3045&amp;C3056</f>
        <v>A100m</v>
      </c>
      <c r="E3056" s="367">
        <v>11</v>
      </c>
      <c r="F3056" s="370"/>
      <c r="G3056" s="368"/>
      <c r="H3056" s="368"/>
      <c r="I3056" s="368"/>
      <c r="J3056" s="368"/>
      <c r="K3056" s="370"/>
      <c r="L3056" s="370"/>
      <c r="M3056" s="370"/>
      <c r="N3056" s="372"/>
      <c r="O3056" s="372"/>
      <c r="P3056" s="380"/>
      <c r="Q3056" s="374"/>
      <c r="R3056" s="381"/>
      <c r="S3056" s="379"/>
      <c r="T3056" s="366"/>
      <c r="U3056" s="366"/>
      <c r="V3056" s="366"/>
      <c r="W3056" s="366"/>
    </row>
    <row r="3057" spans="1:23">
      <c r="A3057" s="1410"/>
      <c r="B3057" s="1413"/>
      <c r="C3057" s="1105" t="s">
        <v>995</v>
      </c>
      <c r="D3057" s="875" t="str">
        <f>B3045&amp;C3057</f>
        <v>A100n</v>
      </c>
      <c r="E3057" s="367">
        <v>12</v>
      </c>
      <c r="F3057" s="370"/>
      <c r="G3057" s="368"/>
      <c r="H3057" s="368"/>
      <c r="I3057" s="368"/>
      <c r="J3057" s="368"/>
      <c r="K3057" s="370"/>
      <c r="L3057" s="370"/>
      <c r="M3057" s="370"/>
      <c r="N3057" s="372"/>
      <c r="O3057" s="372"/>
      <c r="P3057" s="380"/>
      <c r="Q3057" s="374"/>
      <c r="R3057" s="381"/>
      <c r="S3057" s="361"/>
      <c r="T3057" s="361"/>
      <c r="U3057" s="361"/>
      <c r="V3057" s="366"/>
      <c r="W3057" s="366"/>
    </row>
    <row r="3058" spans="1:23">
      <c r="A3058" s="1410"/>
      <c r="B3058" s="1413"/>
      <c r="C3058" s="1105" t="s">
        <v>471</v>
      </c>
      <c r="D3058" s="875" t="str">
        <f>B3045&amp;C3058</f>
        <v>A100x</v>
      </c>
      <c r="E3058" s="367">
        <v>13</v>
      </c>
      <c r="F3058" s="370"/>
      <c r="G3058" s="368"/>
      <c r="H3058" s="368"/>
      <c r="I3058" s="368"/>
      <c r="J3058" s="368"/>
      <c r="K3058" s="370"/>
      <c r="L3058" s="370"/>
      <c r="M3058" s="370"/>
      <c r="N3058" s="382"/>
      <c r="O3058" s="372"/>
      <c r="P3058" s="380"/>
      <c r="Q3058" s="381"/>
      <c r="R3058" s="381"/>
      <c r="S3058" s="361"/>
      <c r="T3058" s="361"/>
      <c r="U3058" s="361"/>
      <c r="V3058" s="366"/>
      <c r="W3058" s="366"/>
    </row>
    <row r="3059" spans="1:23">
      <c r="A3059" s="1410"/>
      <c r="B3059" s="1413"/>
      <c r="C3059" s="1105" t="s">
        <v>732</v>
      </c>
      <c r="D3059" s="875" t="str">
        <f>B3045&amp;C3059</f>
        <v>A100y</v>
      </c>
      <c r="E3059" s="367">
        <v>14</v>
      </c>
      <c r="F3059" s="370"/>
      <c r="G3059" s="368"/>
      <c r="H3059" s="368"/>
      <c r="I3059" s="368"/>
      <c r="J3059" s="368"/>
      <c r="K3059" s="370"/>
      <c r="L3059" s="370"/>
      <c r="M3059" s="370"/>
      <c r="N3059" s="382"/>
      <c r="O3059" s="372"/>
      <c r="P3059" s="380"/>
      <c r="Q3059" s="381"/>
      <c r="R3059" s="381"/>
      <c r="S3059" s="361"/>
      <c r="T3059" s="361"/>
      <c r="U3059" s="362"/>
      <c r="V3059" s="366"/>
      <c r="W3059" s="366"/>
    </row>
    <row r="3060" spans="1:23">
      <c r="A3060" s="1411"/>
      <c r="B3060" s="1414"/>
      <c r="C3060" s="1106" t="s">
        <v>996</v>
      </c>
      <c r="D3060" s="876" t="str">
        <f>B3045&amp;C3060</f>
        <v>A100z</v>
      </c>
      <c r="E3060" s="847">
        <v>15</v>
      </c>
      <c r="F3060" s="370"/>
      <c r="G3060" s="368"/>
      <c r="H3060" s="368"/>
      <c r="I3060" s="368"/>
      <c r="J3060" s="368"/>
      <c r="K3060" s="370"/>
      <c r="L3060" s="370"/>
      <c r="M3060" s="370"/>
      <c r="N3060" s="850"/>
      <c r="O3060" s="851"/>
      <c r="P3060" s="380"/>
      <c r="Q3060" s="852"/>
      <c r="R3060" s="383"/>
      <c r="S3060" s="361"/>
      <c r="T3060" s="1103"/>
      <c r="U3060" s="1102"/>
      <c r="V3060" s="366"/>
      <c r="W3060" s="366"/>
    </row>
    <row r="3061" spans="1:23">
      <c r="A3061" s="1400" t="s">
        <v>939</v>
      </c>
      <c r="B3061" s="1400"/>
      <c r="C3061" s="1099"/>
      <c r="D3061" s="871"/>
      <c r="E3061" s="1400" t="s">
        <v>177</v>
      </c>
      <c r="F3061" s="1400" t="s">
        <v>18</v>
      </c>
      <c r="G3061" s="1389" t="s">
        <v>19</v>
      </c>
      <c r="H3061" s="1390"/>
      <c r="I3061" s="1389" t="s">
        <v>22</v>
      </c>
      <c r="J3061" s="1390"/>
      <c r="K3061" s="1393" t="s">
        <v>26</v>
      </c>
      <c r="L3061" s="1390"/>
      <c r="M3061" s="1389" t="s">
        <v>392</v>
      </c>
      <c r="N3061" s="1390"/>
      <c r="O3061" s="1389" t="s">
        <v>28</v>
      </c>
      <c r="P3061" s="1393"/>
      <c r="Q3061" s="1390"/>
      <c r="R3061" s="1400" t="s">
        <v>36</v>
      </c>
      <c r="S3061" s="361"/>
      <c r="T3061" s="361">
        <f>MAX(J3065:J3079)-MIN(I3065:I3079)</f>
        <v>0.11458333333333334</v>
      </c>
      <c r="U3061" s="361"/>
      <c r="V3061" s="853" t="str">
        <f t="shared" ref="V3061" si="364">B3065</f>
        <v>A141</v>
      </c>
      <c r="W3061" s="361">
        <f t="shared" ref="W3061" si="365">COUNTIF(K3066:K3080,"&gt;0")</f>
        <v>5</v>
      </c>
    </row>
    <row r="3062" spans="1:23">
      <c r="A3062" s="1401"/>
      <c r="B3062" s="1401"/>
      <c r="C3062" s="1101"/>
      <c r="D3062" s="872"/>
      <c r="E3062" s="1401"/>
      <c r="F3062" s="1401"/>
      <c r="G3062" s="1391"/>
      <c r="H3062" s="1392"/>
      <c r="I3062" s="1391"/>
      <c r="J3062" s="1392"/>
      <c r="K3062" s="1394"/>
      <c r="L3062" s="1392"/>
      <c r="M3062" s="1391"/>
      <c r="N3062" s="1392"/>
      <c r="O3062" s="1391"/>
      <c r="P3062" s="1394"/>
      <c r="Q3062" s="1392"/>
      <c r="R3062" s="1401"/>
      <c r="S3062" s="361"/>
      <c r="T3062" s="361"/>
      <c r="U3062" s="361"/>
      <c r="V3062" s="361"/>
      <c r="W3062" s="361"/>
    </row>
    <row r="3063" spans="1:23">
      <c r="A3063" s="1401"/>
      <c r="B3063" s="1401"/>
      <c r="C3063" s="1101"/>
      <c r="D3063" s="872"/>
      <c r="E3063" s="1401"/>
      <c r="F3063" s="1401"/>
      <c r="G3063" s="1400" t="s">
        <v>20</v>
      </c>
      <c r="H3063" s="1400" t="s">
        <v>21</v>
      </c>
      <c r="I3063" s="1400" t="s">
        <v>361</v>
      </c>
      <c r="J3063" s="1400" t="s">
        <v>353</v>
      </c>
      <c r="K3063" s="1400" t="s">
        <v>23</v>
      </c>
      <c r="L3063" s="1400" t="s">
        <v>24</v>
      </c>
      <c r="M3063" s="1400" t="s">
        <v>27</v>
      </c>
      <c r="N3063" s="1400" t="s">
        <v>178</v>
      </c>
      <c r="O3063" s="1400" t="s">
        <v>1</v>
      </c>
      <c r="P3063" s="1400" t="s">
        <v>29</v>
      </c>
      <c r="Q3063" s="1400" t="s">
        <v>33</v>
      </c>
      <c r="R3063" s="1401"/>
      <c r="S3063" s="361"/>
      <c r="T3063" s="361" t="s">
        <v>39</v>
      </c>
      <c r="U3063" s="362">
        <f>VLOOKUP(B3065,'Thong tin'!$A:$M,13,0)</f>
        <v>1200</v>
      </c>
      <c r="V3063" s="361"/>
      <c r="W3063" s="361"/>
    </row>
    <row r="3064" spans="1:23">
      <c r="A3064" s="1402"/>
      <c r="B3064" s="1402"/>
      <c r="C3064" s="1100"/>
      <c r="D3064" s="873"/>
      <c r="E3064" s="1402"/>
      <c r="F3064" s="1402"/>
      <c r="G3064" s="1402"/>
      <c r="H3064" s="1402"/>
      <c r="I3064" s="1402"/>
      <c r="J3064" s="1402"/>
      <c r="K3064" s="1402"/>
      <c r="L3064" s="1402"/>
      <c r="M3064" s="1402"/>
      <c r="N3064" s="1402"/>
      <c r="O3064" s="1402"/>
      <c r="P3064" s="1402"/>
      <c r="Q3064" s="1402"/>
      <c r="R3064" s="1402"/>
      <c r="S3064" s="361"/>
      <c r="T3064" s="1399" t="s">
        <v>393</v>
      </c>
      <c r="U3064" s="1397">
        <f>VLOOKUP(B3065,DT.NK!$B:$AZ,45,0)</f>
        <v>38.74</v>
      </c>
      <c r="V3064" s="361"/>
      <c r="W3064" s="361"/>
    </row>
    <row r="3065" spans="1:23">
      <c r="A3065" s="1409">
        <f>A3045+1</f>
        <v>154</v>
      </c>
      <c r="B3065" s="1412" t="s">
        <v>517</v>
      </c>
      <c r="C3065" s="1104" t="s">
        <v>983</v>
      </c>
      <c r="D3065" s="874" t="str">
        <f>B3065&amp;C3065</f>
        <v>A141a</v>
      </c>
      <c r="E3065" s="363"/>
      <c r="F3065" s="364"/>
      <c r="G3065" s="364"/>
      <c r="H3065" s="364"/>
      <c r="I3065" s="364"/>
      <c r="J3065" s="364"/>
      <c r="K3065" s="364"/>
      <c r="L3065" s="364"/>
      <c r="M3065" s="674"/>
      <c r="N3065" s="670"/>
      <c r="O3065" s="670">
        <f>U3064</f>
        <v>38.74</v>
      </c>
      <c r="P3065" s="670">
        <f>O3065</f>
        <v>38.74</v>
      </c>
      <c r="Q3065" s="670">
        <v>0</v>
      </c>
      <c r="R3065" s="365"/>
      <c r="S3065" s="366"/>
      <c r="T3065" s="1399"/>
      <c r="U3065" s="1398"/>
      <c r="V3065" s="361"/>
      <c r="W3065" s="361"/>
    </row>
    <row r="3066" spans="1:23">
      <c r="A3066" s="1410"/>
      <c r="B3066" s="1413"/>
      <c r="C3066" s="1105" t="s">
        <v>984</v>
      </c>
      <c r="D3066" s="875" t="str">
        <f>B3065&amp;C3066</f>
        <v>A141b</v>
      </c>
      <c r="E3066" s="367">
        <v>1</v>
      </c>
      <c r="F3066" s="669" t="s">
        <v>982</v>
      </c>
      <c r="G3066" s="369">
        <v>0.10972222222222222</v>
      </c>
      <c r="H3066" s="368">
        <v>0.125</v>
      </c>
      <c r="I3066" s="368">
        <v>0.13541666666666666</v>
      </c>
      <c r="J3066" s="368">
        <v>0.1388888888888889</v>
      </c>
      <c r="K3066" s="669">
        <v>10</v>
      </c>
      <c r="L3066" s="669">
        <v>19</v>
      </c>
      <c r="M3066" s="675">
        <v>35.799999999999997</v>
      </c>
      <c r="N3066" s="671">
        <f>IF(M3066-P3066&gt;0,M3066-P3066,0)</f>
        <v>2.8999999999999986</v>
      </c>
      <c r="O3066" s="671">
        <f>O3065-K3066/(PI()*(U3063/2000)^2)</f>
        <v>29.898058717116928</v>
      </c>
      <c r="P3066" s="672">
        <v>32.9</v>
      </c>
      <c r="Q3066" s="673">
        <f>ABS(O3066-P3066)</f>
        <v>3.0019412828830703</v>
      </c>
      <c r="R3066" s="375" t="s">
        <v>188</v>
      </c>
      <c r="S3066" s="366"/>
      <c r="T3066" s="376"/>
      <c r="U3066" s="376"/>
      <c r="V3066" s="366"/>
      <c r="W3066" s="366"/>
    </row>
    <row r="3067" spans="1:23">
      <c r="A3067" s="1410"/>
      <c r="B3067" s="1413"/>
      <c r="C3067" s="1105" t="s">
        <v>985</v>
      </c>
      <c r="D3067" s="875" t="str">
        <f>B3065&amp;C3067</f>
        <v>A141c</v>
      </c>
      <c r="E3067" s="367">
        <v>2</v>
      </c>
      <c r="F3067" s="669" t="s">
        <v>1153</v>
      </c>
      <c r="G3067" s="369">
        <v>0.12291666666666667</v>
      </c>
      <c r="H3067" s="368">
        <v>0.1388888888888889</v>
      </c>
      <c r="I3067" s="368">
        <v>0.14583333333333334</v>
      </c>
      <c r="J3067" s="368">
        <v>0.14930555555555555</v>
      </c>
      <c r="K3067" s="669">
        <v>10</v>
      </c>
      <c r="L3067" s="669">
        <v>20</v>
      </c>
      <c r="M3067" s="675">
        <v>29.5</v>
      </c>
      <c r="N3067" s="671">
        <f>IF(M3067-P3067&gt;0,M3067-P3067,0)</f>
        <v>3.1000000000000014</v>
      </c>
      <c r="O3067" s="671">
        <f>O3066-K3067/(PI()*(U3063/2000)^2)</f>
        <v>21.056117434233855</v>
      </c>
      <c r="P3067" s="672">
        <v>26.4</v>
      </c>
      <c r="Q3067" s="673">
        <f>ABS(O3067-P3067)</f>
        <v>5.343882565766144</v>
      </c>
      <c r="R3067" s="375" t="s">
        <v>188</v>
      </c>
      <c r="S3067" s="366"/>
      <c r="T3067" s="376"/>
      <c r="U3067" s="376"/>
      <c r="V3067" s="366"/>
      <c r="W3067" s="366"/>
    </row>
    <row r="3068" spans="1:23">
      <c r="A3068" s="1410"/>
      <c r="B3068" s="1413"/>
      <c r="C3068" s="1105" t="s">
        <v>986</v>
      </c>
      <c r="D3068" s="875" t="str">
        <f>B3065&amp;C3068</f>
        <v>A141d</v>
      </c>
      <c r="E3068" s="367">
        <v>3</v>
      </c>
      <c r="F3068" s="669" t="s">
        <v>1155</v>
      </c>
      <c r="G3068" s="369">
        <v>0.14930555555555555</v>
      </c>
      <c r="H3068" s="368">
        <v>0.17708333333333334</v>
      </c>
      <c r="I3068" s="368">
        <v>0.18055555555555555</v>
      </c>
      <c r="J3068" s="368">
        <v>0.18402777777777779</v>
      </c>
      <c r="K3068" s="669">
        <v>10</v>
      </c>
      <c r="L3068" s="669">
        <v>19</v>
      </c>
      <c r="M3068" s="675">
        <v>20.05</v>
      </c>
      <c r="N3068" s="671">
        <f t="shared" ref="N3068:N3070" si="366">IF(M3068-P3068&gt;0,M3068-P3068,0)</f>
        <v>2.3500000000000014</v>
      </c>
      <c r="O3068" s="671">
        <f>O3067-K3068/(PI()*(U3063/2000)^2)</f>
        <v>12.214176151350781</v>
      </c>
      <c r="P3068" s="672">
        <v>17.7</v>
      </c>
      <c r="Q3068" s="673">
        <f t="shared" ref="Q3068:Q3070" si="367">ABS(O3068-P3068)</f>
        <v>5.4858238486492183</v>
      </c>
      <c r="R3068" s="375" t="s">
        <v>188</v>
      </c>
      <c r="S3068" s="366"/>
      <c r="T3068" s="376"/>
      <c r="U3068" s="376"/>
      <c r="V3068" s="366"/>
      <c r="W3068" s="366"/>
    </row>
    <row r="3069" spans="1:23">
      <c r="A3069" s="1410"/>
      <c r="B3069" s="1413"/>
      <c r="C3069" s="1105" t="s">
        <v>987</v>
      </c>
      <c r="D3069" s="875" t="str">
        <f>B3065&amp;C3069</f>
        <v>A141e</v>
      </c>
      <c r="E3069" s="367">
        <v>4</v>
      </c>
      <c r="F3069" s="669" t="s">
        <v>1019</v>
      </c>
      <c r="G3069" s="368">
        <v>0.16805555555555554</v>
      </c>
      <c r="H3069" s="368">
        <v>0.19444444444444445</v>
      </c>
      <c r="I3069" s="368">
        <v>0.19791666666666666</v>
      </c>
      <c r="J3069" s="368">
        <v>0.20138888888888887</v>
      </c>
      <c r="K3069" s="370">
        <v>10</v>
      </c>
      <c r="L3069" s="370">
        <v>18</v>
      </c>
      <c r="M3069" s="371">
        <v>13.75</v>
      </c>
      <c r="N3069" s="671">
        <f t="shared" si="366"/>
        <v>3.8499999999999996</v>
      </c>
      <c r="O3069" s="671">
        <f>O3068-K3069/(PI()*(U3063/2000)^2)</f>
        <v>3.3722348684677073</v>
      </c>
      <c r="P3069" s="373">
        <v>9.9</v>
      </c>
      <c r="Q3069" s="673">
        <f t="shared" si="367"/>
        <v>6.5277651315322931</v>
      </c>
      <c r="R3069" s="378"/>
      <c r="S3069" s="366"/>
      <c r="T3069" s="376"/>
      <c r="U3069" s="376"/>
      <c r="V3069" s="366"/>
      <c r="W3069" s="366"/>
    </row>
    <row r="3070" spans="1:23">
      <c r="A3070" s="1410"/>
      <c r="B3070" s="1413"/>
      <c r="C3070" s="1105" t="s">
        <v>988</v>
      </c>
      <c r="D3070" s="875" t="str">
        <f>B3065&amp;C3070</f>
        <v>A141f</v>
      </c>
      <c r="E3070" s="367">
        <v>5</v>
      </c>
      <c r="F3070" s="669" t="s">
        <v>1153</v>
      </c>
      <c r="G3070" s="368">
        <v>0.21597222222222223</v>
      </c>
      <c r="H3070" s="368">
        <v>0.24305555555555555</v>
      </c>
      <c r="I3070" s="368">
        <v>0.24652777777777779</v>
      </c>
      <c r="J3070" s="368">
        <v>0.25</v>
      </c>
      <c r="K3070" s="370">
        <v>4.5</v>
      </c>
      <c r="L3070" s="370">
        <v>18.5</v>
      </c>
      <c r="M3070" s="371"/>
      <c r="N3070" s="671">
        <f t="shared" si="366"/>
        <v>0</v>
      </c>
      <c r="O3070" s="671">
        <f>O3069-K3070/(PI()*(U3063/2000)^2)</f>
        <v>-0.60663870882967608</v>
      </c>
      <c r="P3070" s="373">
        <v>6.8</v>
      </c>
      <c r="Q3070" s="673">
        <f t="shared" si="367"/>
        <v>7.4066387088296759</v>
      </c>
      <c r="R3070" s="378"/>
      <c r="S3070" s="366" t="s">
        <v>190</v>
      </c>
      <c r="T3070" s="376"/>
      <c r="U3070" s="376"/>
      <c r="V3070" s="366"/>
      <c r="W3070" s="366"/>
    </row>
    <row r="3071" spans="1:23">
      <c r="A3071" s="1410"/>
      <c r="B3071" s="1413"/>
      <c r="C3071" s="1105" t="s">
        <v>989</v>
      </c>
      <c r="D3071" s="875" t="str">
        <f>B3065&amp;C3071</f>
        <v>A141g</v>
      </c>
      <c r="E3071" s="367">
        <v>6</v>
      </c>
      <c r="F3071" s="669"/>
      <c r="G3071" s="368"/>
      <c r="H3071" s="368"/>
      <c r="I3071" s="368"/>
      <c r="J3071" s="368"/>
      <c r="K3071" s="370"/>
      <c r="L3071" s="370"/>
      <c r="M3071" s="371"/>
      <c r="N3071" s="671"/>
      <c r="O3071" s="671"/>
      <c r="P3071" s="373"/>
      <c r="Q3071" s="673"/>
      <c r="R3071" s="378"/>
      <c r="S3071" s="366" t="s">
        <v>190</v>
      </c>
      <c r="T3071" s="366"/>
      <c r="U3071" s="366"/>
      <c r="V3071" s="366"/>
      <c r="W3071" s="366"/>
    </row>
    <row r="3072" spans="1:23">
      <c r="A3072" s="1410"/>
      <c r="B3072" s="1413"/>
      <c r="C3072" s="1105" t="s">
        <v>990</v>
      </c>
      <c r="D3072" s="875" t="str">
        <f>B3065&amp;C3072</f>
        <v>A141h</v>
      </c>
      <c r="E3072" s="367">
        <v>7</v>
      </c>
      <c r="F3072" s="669"/>
      <c r="G3072" s="368"/>
      <c r="H3072" s="368"/>
      <c r="I3072" s="368"/>
      <c r="J3072" s="368"/>
      <c r="K3072" s="370"/>
      <c r="L3072" s="370"/>
      <c r="M3072" s="371"/>
      <c r="N3072" s="671"/>
      <c r="O3072" s="671"/>
      <c r="P3072" s="373"/>
      <c r="Q3072" s="673"/>
      <c r="R3072" s="378"/>
      <c r="S3072" s="366" t="s">
        <v>190</v>
      </c>
      <c r="T3072" s="366"/>
      <c r="U3072" s="366"/>
      <c r="V3072" s="366"/>
      <c r="W3072" s="366"/>
    </row>
    <row r="3073" spans="1:23">
      <c r="A3073" s="1410"/>
      <c r="B3073" s="1413"/>
      <c r="C3073" s="1105" t="s">
        <v>991</v>
      </c>
      <c r="D3073" s="875" t="str">
        <f>B3065&amp;C3073</f>
        <v>A141i</v>
      </c>
      <c r="E3073" s="367">
        <v>8</v>
      </c>
      <c r="F3073" s="669"/>
      <c r="G3073" s="368"/>
      <c r="H3073" s="368"/>
      <c r="I3073" s="368"/>
      <c r="J3073" s="368"/>
      <c r="K3073" s="370"/>
      <c r="L3073" s="370"/>
      <c r="M3073" s="371"/>
      <c r="N3073" s="671"/>
      <c r="O3073" s="671"/>
      <c r="P3073" s="373"/>
      <c r="Q3073" s="673"/>
      <c r="R3073" s="378"/>
      <c r="S3073" s="366"/>
      <c r="T3073" s="366"/>
      <c r="U3073" s="366"/>
      <c r="V3073" s="366"/>
      <c r="W3073" s="366"/>
    </row>
    <row r="3074" spans="1:23">
      <c r="A3074" s="1410"/>
      <c r="B3074" s="1413"/>
      <c r="C3074" s="1105" t="s">
        <v>992</v>
      </c>
      <c r="D3074" s="875" t="str">
        <f>B3065&amp;C3074</f>
        <v>A141k</v>
      </c>
      <c r="E3074" s="367">
        <v>9</v>
      </c>
      <c r="F3074" s="370"/>
      <c r="G3074" s="368"/>
      <c r="H3074" s="368"/>
      <c r="I3074" s="368"/>
      <c r="J3074" s="368"/>
      <c r="K3074" s="370"/>
      <c r="L3074" s="370"/>
      <c r="M3074" s="371"/>
      <c r="N3074" s="372"/>
      <c r="O3074" s="372"/>
      <c r="P3074" s="373"/>
      <c r="Q3074" s="374"/>
      <c r="R3074" s="378"/>
      <c r="S3074" s="379"/>
      <c r="T3074" s="366"/>
      <c r="U3074" s="366"/>
      <c r="V3074" s="366"/>
      <c r="W3074" s="366"/>
    </row>
    <row r="3075" spans="1:23">
      <c r="A3075" s="1410"/>
      <c r="B3075" s="1413"/>
      <c r="C3075" s="1105" t="s">
        <v>993</v>
      </c>
      <c r="D3075" s="875" t="str">
        <f>B3065&amp;C3075</f>
        <v>A141l</v>
      </c>
      <c r="E3075" s="367">
        <v>10</v>
      </c>
      <c r="F3075" s="370"/>
      <c r="G3075" s="368"/>
      <c r="H3075" s="368"/>
      <c r="I3075" s="368"/>
      <c r="J3075" s="368"/>
      <c r="K3075" s="370"/>
      <c r="L3075" s="370"/>
      <c r="M3075" s="370"/>
      <c r="N3075" s="372"/>
      <c r="O3075" s="372"/>
      <c r="P3075" s="373"/>
      <c r="Q3075" s="374"/>
      <c r="R3075" s="378"/>
      <c r="S3075" s="379"/>
      <c r="T3075" s="366"/>
      <c r="U3075" s="366"/>
      <c r="V3075" s="366"/>
      <c r="W3075" s="366"/>
    </row>
    <row r="3076" spans="1:23">
      <c r="A3076" s="1410"/>
      <c r="B3076" s="1413"/>
      <c r="C3076" s="1105" t="s">
        <v>994</v>
      </c>
      <c r="D3076" s="875" t="str">
        <f>B3065&amp;C3076</f>
        <v>A141m</v>
      </c>
      <c r="E3076" s="367">
        <v>11</v>
      </c>
      <c r="F3076" s="370"/>
      <c r="G3076" s="368"/>
      <c r="H3076" s="368"/>
      <c r="I3076" s="368"/>
      <c r="J3076" s="368"/>
      <c r="K3076" s="370"/>
      <c r="L3076" s="370"/>
      <c r="M3076" s="370"/>
      <c r="N3076" s="372"/>
      <c r="O3076" s="372"/>
      <c r="P3076" s="380"/>
      <c r="Q3076" s="374"/>
      <c r="R3076" s="381"/>
      <c r="S3076" s="379"/>
      <c r="T3076" s="366"/>
      <c r="U3076" s="366"/>
      <c r="V3076" s="366"/>
      <c r="W3076" s="366"/>
    </row>
    <row r="3077" spans="1:23">
      <c r="A3077" s="1410"/>
      <c r="B3077" s="1413"/>
      <c r="C3077" s="1105" t="s">
        <v>995</v>
      </c>
      <c r="D3077" s="875" t="str">
        <f>B3065&amp;C3077</f>
        <v>A141n</v>
      </c>
      <c r="E3077" s="367">
        <v>12</v>
      </c>
      <c r="F3077" s="370"/>
      <c r="G3077" s="368"/>
      <c r="H3077" s="368"/>
      <c r="I3077" s="368"/>
      <c r="J3077" s="368"/>
      <c r="K3077" s="370"/>
      <c r="L3077" s="370"/>
      <c r="M3077" s="370"/>
      <c r="N3077" s="372"/>
      <c r="O3077" s="372"/>
      <c r="P3077" s="380"/>
      <c r="Q3077" s="374"/>
      <c r="R3077" s="381"/>
      <c r="S3077" s="361"/>
      <c r="T3077" s="361"/>
      <c r="U3077" s="361"/>
      <c r="V3077" s="366"/>
      <c r="W3077" s="366"/>
    </row>
    <row r="3078" spans="1:23">
      <c r="A3078" s="1410"/>
      <c r="B3078" s="1413"/>
      <c r="C3078" s="1105" t="s">
        <v>471</v>
      </c>
      <c r="D3078" s="875" t="str">
        <f>B3065&amp;C3078</f>
        <v>A141x</v>
      </c>
      <c r="E3078" s="367">
        <v>13</v>
      </c>
      <c r="F3078" s="370"/>
      <c r="G3078" s="368"/>
      <c r="H3078" s="368"/>
      <c r="I3078" s="368"/>
      <c r="J3078" s="368"/>
      <c r="K3078" s="370"/>
      <c r="L3078" s="370"/>
      <c r="M3078" s="370"/>
      <c r="N3078" s="382"/>
      <c r="O3078" s="372"/>
      <c r="P3078" s="380"/>
      <c r="Q3078" s="381"/>
      <c r="R3078" s="381"/>
      <c r="S3078" s="361"/>
      <c r="T3078" s="361"/>
      <c r="U3078" s="361"/>
      <c r="V3078" s="366"/>
      <c r="W3078" s="366"/>
    </row>
    <row r="3079" spans="1:23">
      <c r="A3079" s="1410"/>
      <c r="B3079" s="1413"/>
      <c r="C3079" s="1105" t="s">
        <v>732</v>
      </c>
      <c r="D3079" s="875" t="str">
        <f>B3065&amp;C3079</f>
        <v>A141y</v>
      </c>
      <c r="E3079" s="367">
        <v>14</v>
      </c>
      <c r="F3079" s="370"/>
      <c r="G3079" s="368"/>
      <c r="H3079" s="368"/>
      <c r="I3079" s="368"/>
      <c r="J3079" s="368"/>
      <c r="K3079" s="370"/>
      <c r="L3079" s="370"/>
      <c r="M3079" s="370"/>
      <c r="N3079" s="382"/>
      <c r="O3079" s="372"/>
      <c r="P3079" s="380"/>
      <c r="Q3079" s="381"/>
      <c r="R3079" s="381"/>
      <c r="S3079" s="361"/>
      <c r="T3079" s="361"/>
      <c r="U3079" s="362"/>
      <c r="V3079" s="366"/>
      <c r="W3079" s="366"/>
    </row>
    <row r="3080" spans="1:23">
      <c r="A3080" s="1411"/>
      <c r="B3080" s="1414"/>
      <c r="C3080" s="1106" t="s">
        <v>996</v>
      </c>
      <c r="D3080" s="876" t="str">
        <f>B3065&amp;C3080</f>
        <v>A141z</v>
      </c>
      <c r="E3080" s="847">
        <v>15</v>
      </c>
      <c r="F3080" s="370"/>
      <c r="G3080" s="368"/>
      <c r="H3080" s="368"/>
      <c r="I3080" s="368"/>
      <c r="J3080" s="368"/>
      <c r="K3080" s="370"/>
      <c r="L3080" s="370"/>
      <c r="M3080" s="370"/>
      <c r="N3080" s="850"/>
      <c r="O3080" s="851"/>
      <c r="P3080" s="380"/>
      <c r="Q3080" s="852"/>
      <c r="R3080" s="383"/>
      <c r="S3080" s="361"/>
      <c r="T3080" s="1103"/>
      <c r="U3080" s="1102"/>
      <c r="V3080" s="366"/>
      <c r="W3080" s="366"/>
    </row>
    <row r="3081" spans="1:23">
      <c r="A3081" s="1400" t="s">
        <v>939</v>
      </c>
      <c r="B3081" s="1400"/>
      <c r="C3081" s="1107"/>
      <c r="D3081" s="871"/>
      <c r="E3081" s="1400" t="s">
        <v>177</v>
      </c>
      <c r="F3081" s="1400" t="s">
        <v>18</v>
      </c>
      <c r="G3081" s="1389" t="s">
        <v>19</v>
      </c>
      <c r="H3081" s="1390"/>
      <c r="I3081" s="1389" t="s">
        <v>22</v>
      </c>
      <c r="J3081" s="1390"/>
      <c r="K3081" s="1393" t="s">
        <v>26</v>
      </c>
      <c r="L3081" s="1390"/>
      <c r="M3081" s="1389" t="s">
        <v>392</v>
      </c>
      <c r="N3081" s="1390"/>
      <c r="O3081" s="1389" t="s">
        <v>28</v>
      </c>
      <c r="P3081" s="1393"/>
      <c r="Q3081" s="1390"/>
      <c r="R3081" s="1400" t="s">
        <v>36</v>
      </c>
      <c r="S3081" s="361"/>
      <c r="T3081" s="361">
        <f>MAX(J3085:J3099)-MIN(I3085:I3099)</f>
        <v>0.11458333333333337</v>
      </c>
      <c r="U3081" s="361"/>
      <c r="V3081" s="853" t="str">
        <f t="shared" ref="V3081" si="368">B3085</f>
        <v>A161</v>
      </c>
      <c r="W3081" s="361">
        <f t="shared" ref="W3081" si="369">COUNTIF(K3086:K3100,"&gt;0")</f>
        <v>4</v>
      </c>
    </row>
    <row r="3082" spans="1:23">
      <c r="A3082" s="1401"/>
      <c r="B3082" s="1401"/>
      <c r="C3082" s="1109"/>
      <c r="D3082" s="872"/>
      <c r="E3082" s="1401"/>
      <c r="F3082" s="1401"/>
      <c r="G3082" s="1391"/>
      <c r="H3082" s="1392"/>
      <c r="I3082" s="1391"/>
      <c r="J3082" s="1392"/>
      <c r="K3082" s="1394"/>
      <c r="L3082" s="1392"/>
      <c r="M3082" s="1391"/>
      <c r="N3082" s="1392"/>
      <c r="O3082" s="1391"/>
      <c r="P3082" s="1394"/>
      <c r="Q3082" s="1392"/>
      <c r="R3082" s="1401"/>
      <c r="S3082" s="361"/>
      <c r="T3082" s="361"/>
      <c r="U3082" s="361"/>
      <c r="V3082" s="361"/>
      <c r="W3082" s="361"/>
    </row>
    <row r="3083" spans="1:23">
      <c r="A3083" s="1401"/>
      <c r="B3083" s="1401"/>
      <c r="C3083" s="1109"/>
      <c r="D3083" s="872"/>
      <c r="E3083" s="1401"/>
      <c r="F3083" s="1401"/>
      <c r="G3083" s="1400" t="s">
        <v>20</v>
      </c>
      <c r="H3083" s="1400" t="s">
        <v>21</v>
      </c>
      <c r="I3083" s="1400" t="s">
        <v>361</v>
      </c>
      <c r="J3083" s="1400" t="s">
        <v>353</v>
      </c>
      <c r="K3083" s="1400" t="s">
        <v>23</v>
      </c>
      <c r="L3083" s="1400" t="s">
        <v>24</v>
      </c>
      <c r="M3083" s="1400" t="s">
        <v>27</v>
      </c>
      <c r="N3083" s="1400" t="s">
        <v>178</v>
      </c>
      <c r="O3083" s="1400" t="s">
        <v>1</v>
      </c>
      <c r="P3083" s="1400" t="s">
        <v>29</v>
      </c>
      <c r="Q3083" s="1400" t="s">
        <v>33</v>
      </c>
      <c r="R3083" s="1401"/>
      <c r="S3083" s="361"/>
      <c r="T3083" s="361" t="s">
        <v>39</v>
      </c>
      <c r="U3083" s="362">
        <f>VLOOKUP(B3085,'Thong tin'!$A:$M,13,0)</f>
        <v>1200</v>
      </c>
      <c r="V3083" s="361"/>
      <c r="W3083" s="361"/>
    </row>
    <row r="3084" spans="1:23">
      <c r="A3084" s="1402"/>
      <c r="B3084" s="1402"/>
      <c r="C3084" s="1108"/>
      <c r="D3084" s="873"/>
      <c r="E3084" s="1402"/>
      <c r="F3084" s="1402"/>
      <c r="G3084" s="1402"/>
      <c r="H3084" s="1402"/>
      <c r="I3084" s="1402"/>
      <c r="J3084" s="1402"/>
      <c r="K3084" s="1402"/>
      <c r="L3084" s="1402"/>
      <c r="M3084" s="1402"/>
      <c r="N3084" s="1402"/>
      <c r="O3084" s="1402"/>
      <c r="P3084" s="1402"/>
      <c r="Q3084" s="1402"/>
      <c r="R3084" s="1402"/>
      <c r="S3084" s="361"/>
      <c r="T3084" s="1399" t="s">
        <v>393</v>
      </c>
      <c r="U3084" s="1397">
        <f>VLOOKUP(B3085,DT.NK!$B:$AZ,45,0)</f>
        <v>32.78</v>
      </c>
      <c r="V3084" s="361"/>
      <c r="W3084" s="361"/>
    </row>
    <row r="3085" spans="1:23">
      <c r="A3085" s="1409">
        <f>A3065+1</f>
        <v>155</v>
      </c>
      <c r="B3085" s="1412" t="s">
        <v>616</v>
      </c>
      <c r="C3085" s="1112" t="s">
        <v>983</v>
      </c>
      <c r="D3085" s="874" t="str">
        <f>B3085&amp;C3085</f>
        <v>A161a</v>
      </c>
      <c r="E3085" s="363"/>
      <c r="F3085" s="364"/>
      <c r="G3085" s="364"/>
      <c r="H3085" s="364"/>
      <c r="I3085" s="364"/>
      <c r="J3085" s="364"/>
      <c r="K3085" s="364"/>
      <c r="L3085" s="364"/>
      <c r="M3085" s="674"/>
      <c r="N3085" s="670"/>
      <c r="O3085" s="670">
        <f>U3084</f>
        <v>32.78</v>
      </c>
      <c r="P3085" s="670">
        <f>O3085</f>
        <v>32.78</v>
      </c>
      <c r="Q3085" s="670">
        <v>0</v>
      </c>
      <c r="R3085" s="365"/>
      <c r="S3085" s="366"/>
      <c r="T3085" s="1399"/>
      <c r="U3085" s="1398"/>
      <c r="V3085" s="361"/>
      <c r="W3085" s="361"/>
    </row>
    <row r="3086" spans="1:23">
      <c r="A3086" s="1410"/>
      <c r="B3086" s="1413"/>
      <c r="C3086" s="1113" t="s">
        <v>984</v>
      </c>
      <c r="D3086" s="875" t="str">
        <f>B3085&amp;C3086</f>
        <v>A161b</v>
      </c>
      <c r="E3086" s="367">
        <v>1</v>
      </c>
      <c r="F3086" s="669" t="s">
        <v>1153</v>
      </c>
      <c r="G3086" s="369">
        <v>0.38680555555555557</v>
      </c>
      <c r="H3086" s="368">
        <v>0.4201388888888889</v>
      </c>
      <c r="I3086" s="368">
        <v>0.4375</v>
      </c>
      <c r="J3086" s="368">
        <v>0.44444444444444442</v>
      </c>
      <c r="K3086" s="669">
        <v>10</v>
      </c>
      <c r="L3086" s="669">
        <v>19</v>
      </c>
      <c r="M3086" s="675">
        <v>31.5</v>
      </c>
      <c r="N3086" s="671">
        <f>IF(M3086-P3086&gt;0,M3086-P3086,0)</f>
        <v>3.6999999999999993</v>
      </c>
      <c r="O3086" s="671">
        <f>O3085-K3086/(PI()*(U3083/2000)^2)</f>
        <v>23.938058717116927</v>
      </c>
      <c r="P3086" s="672">
        <v>27.8</v>
      </c>
      <c r="Q3086" s="673">
        <f>ABS(O3086-P3086)</f>
        <v>3.8619412828830733</v>
      </c>
      <c r="R3086" s="375" t="s">
        <v>188</v>
      </c>
      <c r="S3086" s="366"/>
      <c r="T3086" s="376"/>
      <c r="U3086" s="376"/>
      <c r="V3086" s="366"/>
      <c r="W3086" s="366"/>
    </row>
    <row r="3087" spans="1:23">
      <c r="A3087" s="1410"/>
      <c r="B3087" s="1413"/>
      <c r="C3087" s="1113" t="s">
        <v>985</v>
      </c>
      <c r="D3087" s="875" t="str">
        <f>B3085&amp;C3087</f>
        <v>A161c</v>
      </c>
      <c r="E3087" s="367">
        <v>2</v>
      </c>
      <c r="F3087" s="669" t="s">
        <v>1156</v>
      </c>
      <c r="G3087" s="369">
        <v>0.39583333333333331</v>
      </c>
      <c r="H3087" s="368">
        <v>0.42708333333333331</v>
      </c>
      <c r="I3087" s="368">
        <v>0.4513888888888889</v>
      </c>
      <c r="J3087" s="368">
        <v>0.45833333333333331</v>
      </c>
      <c r="K3087" s="669">
        <v>10</v>
      </c>
      <c r="L3087" s="669">
        <v>19</v>
      </c>
      <c r="M3087" s="675">
        <v>25.2</v>
      </c>
      <c r="N3087" s="671">
        <f>IF(M3087-P3087&gt;0,M3087-P3087,0)</f>
        <v>2.75</v>
      </c>
      <c r="O3087" s="671">
        <f>O3086-K3087/(PI()*(U3083/2000)^2)</f>
        <v>15.096117434233854</v>
      </c>
      <c r="P3087" s="672">
        <v>22.45</v>
      </c>
      <c r="Q3087" s="673">
        <f>ABS(O3087-P3087)</f>
        <v>7.3538825657661455</v>
      </c>
      <c r="R3087" s="375" t="s">
        <v>188</v>
      </c>
      <c r="S3087" s="366"/>
      <c r="T3087" s="376"/>
      <c r="U3087" s="376"/>
      <c r="V3087" s="366"/>
      <c r="W3087" s="366"/>
    </row>
    <row r="3088" spans="1:23">
      <c r="A3088" s="1410"/>
      <c r="B3088" s="1413"/>
      <c r="C3088" s="1113" t="s">
        <v>986</v>
      </c>
      <c r="D3088" s="875" t="str">
        <f>B3085&amp;C3088</f>
        <v>A161d</v>
      </c>
      <c r="E3088" s="367">
        <v>3</v>
      </c>
      <c r="F3088" s="669" t="s">
        <v>1019</v>
      </c>
      <c r="G3088" s="369">
        <v>0.40625</v>
      </c>
      <c r="H3088" s="368">
        <v>0.44444444444444442</v>
      </c>
      <c r="I3088" s="368">
        <v>0.46527777777777773</v>
      </c>
      <c r="J3088" s="368">
        <v>0.47222222222222227</v>
      </c>
      <c r="K3088" s="669">
        <v>10</v>
      </c>
      <c r="L3088" s="669">
        <v>20</v>
      </c>
      <c r="M3088" s="675">
        <v>18.899999999999999</v>
      </c>
      <c r="N3088" s="671">
        <f t="shared" ref="N3088:N3089" si="370">IF(M3088-P3088&gt;0,M3088-P3088,0)</f>
        <v>3.7999999999999989</v>
      </c>
      <c r="O3088" s="671">
        <f>O3087-K3088/(PI()*(U3083/2000)^2)</f>
        <v>6.2541761513507801</v>
      </c>
      <c r="P3088" s="672">
        <v>15.1</v>
      </c>
      <c r="Q3088" s="673">
        <f t="shared" ref="Q3088:Q3089" si="371">ABS(O3088-P3088)</f>
        <v>8.8458238486492196</v>
      </c>
      <c r="R3088" s="375" t="s">
        <v>188</v>
      </c>
      <c r="S3088" s="366"/>
      <c r="T3088" s="376"/>
      <c r="U3088" s="376"/>
      <c r="V3088" s="366"/>
      <c r="W3088" s="366"/>
    </row>
    <row r="3089" spans="1:23">
      <c r="A3089" s="1410"/>
      <c r="B3089" s="1413"/>
      <c r="C3089" s="1113" t="s">
        <v>987</v>
      </c>
      <c r="D3089" s="875" t="str">
        <f>B3085&amp;C3089</f>
        <v>A161e</v>
      </c>
      <c r="E3089" s="367">
        <v>4</v>
      </c>
      <c r="F3089" s="669" t="s">
        <v>1153</v>
      </c>
      <c r="G3089" s="368">
        <v>0.5083333333333333</v>
      </c>
      <c r="H3089" s="368">
        <v>0.54166666666666663</v>
      </c>
      <c r="I3089" s="368">
        <v>0.54513888888888895</v>
      </c>
      <c r="J3089" s="368">
        <v>0.55208333333333337</v>
      </c>
      <c r="K3089" s="370">
        <v>10</v>
      </c>
      <c r="L3089" s="370">
        <v>19</v>
      </c>
      <c r="M3089" s="371">
        <v>12.6</v>
      </c>
      <c r="N3089" s="671">
        <f t="shared" si="370"/>
        <v>6.1</v>
      </c>
      <c r="O3089" s="671">
        <f>O3088-K3089/(PI()*(U3083/2000)^2)</f>
        <v>-2.5877651315322936</v>
      </c>
      <c r="P3089" s="373">
        <v>6.5</v>
      </c>
      <c r="Q3089" s="673">
        <f t="shared" si="371"/>
        <v>9.0877651315322936</v>
      </c>
      <c r="R3089" s="378"/>
      <c r="S3089" s="366"/>
      <c r="T3089" s="376"/>
      <c r="U3089" s="376"/>
      <c r="V3089" s="366"/>
      <c r="W3089" s="366"/>
    </row>
    <row r="3090" spans="1:23">
      <c r="A3090" s="1410"/>
      <c r="B3090" s="1413"/>
      <c r="C3090" s="1113" t="s">
        <v>988</v>
      </c>
      <c r="D3090" s="875" t="str">
        <f>B3085&amp;C3090</f>
        <v>A161f</v>
      </c>
      <c r="E3090" s="367">
        <v>5</v>
      </c>
      <c r="F3090" s="669"/>
      <c r="G3090" s="368"/>
      <c r="H3090" s="368"/>
      <c r="I3090" s="368"/>
      <c r="J3090" s="368"/>
      <c r="K3090" s="370"/>
      <c r="L3090" s="370"/>
      <c r="M3090" s="371"/>
      <c r="N3090" s="671"/>
      <c r="O3090" s="671"/>
      <c r="P3090" s="373"/>
      <c r="Q3090" s="673"/>
      <c r="R3090" s="378"/>
      <c r="S3090" s="366" t="s">
        <v>190</v>
      </c>
      <c r="T3090" s="376"/>
      <c r="U3090" s="376"/>
      <c r="V3090" s="366"/>
      <c r="W3090" s="366"/>
    </row>
    <row r="3091" spans="1:23">
      <c r="A3091" s="1410"/>
      <c r="B3091" s="1413"/>
      <c r="C3091" s="1113" t="s">
        <v>989</v>
      </c>
      <c r="D3091" s="875" t="str">
        <f>B3085&amp;C3091</f>
        <v>A161g</v>
      </c>
      <c r="E3091" s="367">
        <v>6</v>
      </c>
      <c r="F3091" s="669"/>
      <c r="G3091" s="368"/>
      <c r="H3091" s="368"/>
      <c r="I3091" s="368"/>
      <c r="J3091" s="368"/>
      <c r="K3091" s="370"/>
      <c r="L3091" s="370"/>
      <c r="M3091" s="371"/>
      <c r="N3091" s="671"/>
      <c r="O3091" s="671"/>
      <c r="P3091" s="373"/>
      <c r="Q3091" s="673"/>
      <c r="R3091" s="378"/>
      <c r="S3091" s="366" t="s">
        <v>190</v>
      </c>
      <c r="T3091" s="366"/>
      <c r="U3091" s="366"/>
      <c r="V3091" s="366"/>
      <c r="W3091" s="366"/>
    </row>
    <row r="3092" spans="1:23">
      <c r="A3092" s="1410"/>
      <c r="B3092" s="1413"/>
      <c r="C3092" s="1113" t="s">
        <v>990</v>
      </c>
      <c r="D3092" s="875" t="str">
        <f>B3085&amp;C3092</f>
        <v>A161h</v>
      </c>
      <c r="E3092" s="367">
        <v>7</v>
      </c>
      <c r="F3092" s="669"/>
      <c r="G3092" s="368"/>
      <c r="H3092" s="368"/>
      <c r="I3092" s="368"/>
      <c r="J3092" s="368"/>
      <c r="K3092" s="370"/>
      <c r="L3092" s="370"/>
      <c r="M3092" s="371"/>
      <c r="N3092" s="671"/>
      <c r="O3092" s="671"/>
      <c r="P3092" s="373"/>
      <c r="Q3092" s="673"/>
      <c r="R3092" s="378"/>
      <c r="S3092" s="366" t="s">
        <v>190</v>
      </c>
      <c r="T3092" s="366"/>
      <c r="U3092" s="366"/>
      <c r="V3092" s="366"/>
      <c r="W3092" s="366"/>
    </row>
    <row r="3093" spans="1:23">
      <c r="A3093" s="1410"/>
      <c r="B3093" s="1413"/>
      <c r="C3093" s="1113" t="s">
        <v>991</v>
      </c>
      <c r="D3093" s="875" t="str">
        <f>B3085&amp;C3093</f>
        <v>A161i</v>
      </c>
      <c r="E3093" s="367">
        <v>8</v>
      </c>
      <c r="F3093" s="669"/>
      <c r="G3093" s="368"/>
      <c r="H3093" s="368"/>
      <c r="I3093" s="368"/>
      <c r="J3093" s="368"/>
      <c r="K3093" s="370"/>
      <c r="L3093" s="370"/>
      <c r="M3093" s="371"/>
      <c r="N3093" s="671"/>
      <c r="O3093" s="671"/>
      <c r="P3093" s="373"/>
      <c r="Q3093" s="673"/>
      <c r="R3093" s="378"/>
      <c r="S3093" s="366"/>
      <c r="T3093" s="366"/>
      <c r="U3093" s="366"/>
      <c r="V3093" s="366"/>
      <c r="W3093" s="366"/>
    </row>
    <row r="3094" spans="1:23">
      <c r="A3094" s="1410"/>
      <c r="B3094" s="1413"/>
      <c r="C3094" s="1113" t="s">
        <v>992</v>
      </c>
      <c r="D3094" s="875" t="str">
        <f>B3085&amp;C3094</f>
        <v>A161k</v>
      </c>
      <c r="E3094" s="367">
        <v>9</v>
      </c>
      <c r="F3094" s="370"/>
      <c r="G3094" s="368"/>
      <c r="H3094" s="368"/>
      <c r="I3094" s="368"/>
      <c r="J3094" s="368"/>
      <c r="K3094" s="370"/>
      <c r="L3094" s="370"/>
      <c r="M3094" s="371"/>
      <c r="N3094" s="372"/>
      <c r="O3094" s="372"/>
      <c r="P3094" s="373"/>
      <c r="Q3094" s="374"/>
      <c r="R3094" s="378"/>
      <c r="S3094" s="379"/>
      <c r="T3094" s="366"/>
      <c r="U3094" s="366"/>
      <c r="V3094" s="366"/>
      <c r="W3094" s="366"/>
    </row>
    <row r="3095" spans="1:23">
      <c r="A3095" s="1410"/>
      <c r="B3095" s="1413"/>
      <c r="C3095" s="1113" t="s">
        <v>993</v>
      </c>
      <c r="D3095" s="875" t="str">
        <f>B3085&amp;C3095</f>
        <v>A161l</v>
      </c>
      <c r="E3095" s="367">
        <v>10</v>
      </c>
      <c r="F3095" s="370"/>
      <c r="G3095" s="368"/>
      <c r="H3095" s="368"/>
      <c r="I3095" s="368"/>
      <c r="J3095" s="368"/>
      <c r="K3095" s="370"/>
      <c r="L3095" s="370"/>
      <c r="M3095" s="370"/>
      <c r="N3095" s="372"/>
      <c r="O3095" s="372"/>
      <c r="P3095" s="373"/>
      <c r="Q3095" s="374"/>
      <c r="R3095" s="378"/>
      <c r="S3095" s="379"/>
      <c r="T3095" s="366"/>
      <c r="U3095" s="366"/>
      <c r="V3095" s="366"/>
      <c r="W3095" s="366"/>
    </row>
    <row r="3096" spans="1:23">
      <c r="A3096" s="1410"/>
      <c r="B3096" s="1413"/>
      <c r="C3096" s="1113" t="s">
        <v>994</v>
      </c>
      <c r="D3096" s="875" t="str">
        <f>B3085&amp;C3096</f>
        <v>A161m</v>
      </c>
      <c r="E3096" s="367">
        <v>11</v>
      </c>
      <c r="F3096" s="370"/>
      <c r="G3096" s="368"/>
      <c r="H3096" s="368"/>
      <c r="I3096" s="368"/>
      <c r="J3096" s="368"/>
      <c r="K3096" s="370"/>
      <c r="L3096" s="370"/>
      <c r="M3096" s="370"/>
      <c r="N3096" s="372"/>
      <c r="O3096" s="372"/>
      <c r="P3096" s="380"/>
      <c r="Q3096" s="374"/>
      <c r="R3096" s="381"/>
      <c r="S3096" s="379"/>
      <c r="T3096" s="366"/>
      <c r="U3096" s="366"/>
      <c r="V3096" s="366"/>
      <c r="W3096" s="366"/>
    </row>
    <row r="3097" spans="1:23">
      <c r="A3097" s="1410"/>
      <c r="B3097" s="1413"/>
      <c r="C3097" s="1113" t="s">
        <v>995</v>
      </c>
      <c r="D3097" s="875" t="str">
        <f>B3085&amp;C3097</f>
        <v>A161n</v>
      </c>
      <c r="E3097" s="367">
        <v>12</v>
      </c>
      <c r="F3097" s="370"/>
      <c r="G3097" s="368"/>
      <c r="H3097" s="368"/>
      <c r="I3097" s="368"/>
      <c r="J3097" s="368"/>
      <c r="K3097" s="370"/>
      <c r="L3097" s="370"/>
      <c r="M3097" s="370"/>
      <c r="N3097" s="372"/>
      <c r="O3097" s="372"/>
      <c r="P3097" s="380"/>
      <c r="Q3097" s="374"/>
      <c r="R3097" s="381"/>
      <c r="S3097" s="361"/>
      <c r="T3097" s="361"/>
      <c r="U3097" s="361"/>
      <c r="V3097" s="366"/>
      <c r="W3097" s="366"/>
    </row>
    <row r="3098" spans="1:23">
      <c r="A3098" s="1410"/>
      <c r="B3098" s="1413"/>
      <c r="C3098" s="1113" t="s">
        <v>471</v>
      </c>
      <c r="D3098" s="875" t="str">
        <f>B3085&amp;C3098</f>
        <v>A161x</v>
      </c>
      <c r="E3098" s="367">
        <v>13</v>
      </c>
      <c r="F3098" s="370"/>
      <c r="G3098" s="368"/>
      <c r="H3098" s="368"/>
      <c r="I3098" s="368"/>
      <c r="J3098" s="368"/>
      <c r="K3098" s="370"/>
      <c r="L3098" s="370"/>
      <c r="M3098" s="370"/>
      <c r="N3098" s="382"/>
      <c r="O3098" s="372"/>
      <c r="P3098" s="380"/>
      <c r="Q3098" s="381"/>
      <c r="R3098" s="381"/>
      <c r="S3098" s="361"/>
      <c r="T3098" s="361"/>
      <c r="U3098" s="361"/>
      <c r="V3098" s="366"/>
      <c r="W3098" s="366"/>
    </row>
    <row r="3099" spans="1:23">
      <c r="A3099" s="1410"/>
      <c r="B3099" s="1413"/>
      <c r="C3099" s="1113" t="s">
        <v>732</v>
      </c>
      <c r="D3099" s="875" t="str">
        <f>B3085&amp;C3099</f>
        <v>A161y</v>
      </c>
      <c r="E3099" s="367">
        <v>14</v>
      </c>
      <c r="F3099" s="370"/>
      <c r="G3099" s="368"/>
      <c r="H3099" s="368"/>
      <c r="I3099" s="368"/>
      <c r="J3099" s="368"/>
      <c r="K3099" s="370"/>
      <c r="L3099" s="370"/>
      <c r="M3099" s="370"/>
      <c r="N3099" s="382"/>
      <c r="O3099" s="372"/>
      <c r="P3099" s="380"/>
      <c r="Q3099" s="381"/>
      <c r="R3099" s="381"/>
      <c r="S3099" s="361"/>
      <c r="T3099" s="361"/>
      <c r="U3099" s="362"/>
      <c r="V3099" s="366"/>
      <c r="W3099" s="366"/>
    </row>
    <row r="3100" spans="1:23">
      <c r="A3100" s="1411"/>
      <c r="B3100" s="1414"/>
      <c r="C3100" s="1114" t="s">
        <v>996</v>
      </c>
      <c r="D3100" s="876" t="str">
        <f>B3085&amp;C3100</f>
        <v>A161z</v>
      </c>
      <c r="E3100" s="847">
        <v>15</v>
      </c>
      <c r="F3100" s="370"/>
      <c r="G3100" s="368"/>
      <c r="H3100" s="368"/>
      <c r="I3100" s="368"/>
      <c r="J3100" s="368"/>
      <c r="K3100" s="370"/>
      <c r="L3100" s="370"/>
      <c r="M3100" s="370"/>
      <c r="N3100" s="850"/>
      <c r="O3100" s="851"/>
      <c r="P3100" s="380"/>
      <c r="Q3100" s="852"/>
      <c r="R3100" s="383"/>
      <c r="S3100" s="361"/>
      <c r="T3100" s="1111"/>
      <c r="U3100" s="1110"/>
      <c r="V3100" s="366"/>
      <c r="W3100" s="366"/>
    </row>
    <row r="3101" spans="1:23">
      <c r="A3101" s="1400" t="s">
        <v>939</v>
      </c>
      <c r="B3101" s="1400"/>
      <c r="C3101" s="1107"/>
      <c r="D3101" s="871"/>
      <c r="E3101" s="1400" t="s">
        <v>177</v>
      </c>
      <c r="F3101" s="1400" t="s">
        <v>18</v>
      </c>
      <c r="G3101" s="1389" t="s">
        <v>19</v>
      </c>
      <c r="H3101" s="1390"/>
      <c r="I3101" s="1389" t="s">
        <v>22</v>
      </c>
      <c r="J3101" s="1390"/>
      <c r="K3101" s="1393" t="s">
        <v>26</v>
      </c>
      <c r="L3101" s="1390"/>
      <c r="M3101" s="1389" t="s">
        <v>392</v>
      </c>
      <c r="N3101" s="1390"/>
      <c r="O3101" s="1389" t="s">
        <v>28</v>
      </c>
      <c r="P3101" s="1393"/>
      <c r="Q3101" s="1390"/>
      <c r="R3101" s="1400" t="s">
        <v>36</v>
      </c>
      <c r="S3101" s="361"/>
      <c r="T3101" s="361">
        <f>MAX(J3105:J3119)-MIN(I3105:I3119)</f>
        <v>2.4305555555555469E-2</v>
      </c>
      <c r="U3101" s="361"/>
      <c r="V3101" s="853" t="str">
        <f t="shared" ref="V3101" si="372">B3105</f>
        <v>A94</v>
      </c>
      <c r="W3101" s="361">
        <f t="shared" ref="W3101" si="373">COUNTIF(K3106:K3120,"&gt;0")</f>
        <v>3</v>
      </c>
    </row>
    <row r="3102" spans="1:23">
      <c r="A3102" s="1401"/>
      <c r="B3102" s="1401"/>
      <c r="C3102" s="1109"/>
      <c r="D3102" s="872"/>
      <c r="E3102" s="1401"/>
      <c r="F3102" s="1401"/>
      <c r="G3102" s="1391"/>
      <c r="H3102" s="1392"/>
      <c r="I3102" s="1391"/>
      <c r="J3102" s="1392"/>
      <c r="K3102" s="1394"/>
      <c r="L3102" s="1392"/>
      <c r="M3102" s="1391"/>
      <c r="N3102" s="1392"/>
      <c r="O3102" s="1391"/>
      <c r="P3102" s="1394"/>
      <c r="Q3102" s="1392"/>
      <c r="R3102" s="1401"/>
      <c r="S3102" s="361"/>
      <c r="T3102" s="361"/>
      <c r="U3102" s="361"/>
      <c r="V3102" s="361"/>
      <c r="W3102" s="361"/>
    </row>
    <row r="3103" spans="1:23">
      <c r="A3103" s="1401"/>
      <c r="B3103" s="1401"/>
      <c r="C3103" s="1109"/>
      <c r="D3103" s="872"/>
      <c r="E3103" s="1401"/>
      <c r="F3103" s="1401"/>
      <c r="G3103" s="1400" t="s">
        <v>20</v>
      </c>
      <c r="H3103" s="1400" t="s">
        <v>21</v>
      </c>
      <c r="I3103" s="1400" t="s">
        <v>361</v>
      </c>
      <c r="J3103" s="1400" t="s">
        <v>353</v>
      </c>
      <c r="K3103" s="1400" t="s">
        <v>23</v>
      </c>
      <c r="L3103" s="1400" t="s">
        <v>24</v>
      </c>
      <c r="M3103" s="1400" t="s">
        <v>27</v>
      </c>
      <c r="N3103" s="1400" t="s">
        <v>178</v>
      </c>
      <c r="O3103" s="1400" t="s">
        <v>1</v>
      </c>
      <c r="P3103" s="1400" t="s">
        <v>29</v>
      </c>
      <c r="Q3103" s="1400" t="s">
        <v>33</v>
      </c>
      <c r="R3103" s="1401"/>
      <c r="S3103" s="361"/>
      <c r="T3103" s="361" t="s">
        <v>39</v>
      </c>
      <c r="U3103" s="362">
        <f>VLOOKUP(B3105,'Thong tin'!$A:$M,13,0)</f>
        <v>1200</v>
      </c>
      <c r="V3103" s="361"/>
      <c r="W3103" s="361"/>
    </row>
    <row r="3104" spans="1:23">
      <c r="A3104" s="1402"/>
      <c r="B3104" s="1402"/>
      <c r="C3104" s="1108"/>
      <c r="D3104" s="873"/>
      <c r="E3104" s="1402"/>
      <c r="F3104" s="1402"/>
      <c r="G3104" s="1402"/>
      <c r="H3104" s="1402"/>
      <c r="I3104" s="1402"/>
      <c r="J3104" s="1402"/>
      <c r="K3104" s="1402"/>
      <c r="L3104" s="1402"/>
      <c r="M3104" s="1402"/>
      <c r="N3104" s="1402"/>
      <c r="O3104" s="1402"/>
      <c r="P3104" s="1402"/>
      <c r="Q3104" s="1402"/>
      <c r="R3104" s="1402"/>
      <c r="S3104" s="361"/>
      <c r="T3104" s="1399" t="s">
        <v>393</v>
      </c>
      <c r="U3104" s="1397">
        <f>VLOOKUP(B3105,DT.NK!$B:$AZ,45,0)</f>
        <v>26.11</v>
      </c>
      <c r="V3104" s="361"/>
      <c r="W3104" s="361"/>
    </row>
    <row r="3105" spans="1:23">
      <c r="A3105" s="1409">
        <f>A3085+1</f>
        <v>156</v>
      </c>
      <c r="B3105" s="1412" t="s">
        <v>506</v>
      </c>
      <c r="C3105" s="1112" t="s">
        <v>983</v>
      </c>
      <c r="D3105" s="874" t="str">
        <f>B3105&amp;C3105</f>
        <v>A94a</v>
      </c>
      <c r="E3105" s="363"/>
      <c r="F3105" s="364"/>
      <c r="G3105" s="364"/>
      <c r="H3105" s="364"/>
      <c r="I3105" s="364"/>
      <c r="J3105" s="364"/>
      <c r="K3105" s="364"/>
      <c r="L3105" s="364"/>
      <c r="M3105" s="674"/>
      <c r="N3105" s="670"/>
      <c r="O3105" s="670">
        <f>U3104</f>
        <v>26.11</v>
      </c>
      <c r="P3105" s="670">
        <f>O3105</f>
        <v>26.11</v>
      </c>
      <c r="Q3105" s="670">
        <v>0</v>
      </c>
      <c r="R3105" s="365"/>
      <c r="S3105" s="366"/>
      <c r="T3105" s="1399"/>
      <c r="U3105" s="1398"/>
      <c r="V3105" s="361"/>
      <c r="W3105" s="361"/>
    </row>
    <row r="3106" spans="1:23">
      <c r="A3106" s="1410"/>
      <c r="B3106" s="1413"/>
      <c r="C3106" s="1113" t="s">
        <v>984</v>
      </c>
      <c r="D3106" s="875" t="str">
        <f>B3105&amp;C3106</f>
        <v>A94b</v>
      </c>
      <c r="E3106" s="367">
        <v>1</v>
      </c>
      <c r="F3106" s="669" t="s">
        <v>1019</v>
      </c>
      <c r="G3106" s="369">
        <v>0.6791666666666667</v>
      </c>
      <c r="H3106" s="368">
        <v>0.71527777777777779</v>
      </c>
      <c r="I3106" s="368">
        <v>0.73611111111111116</v>
      </c>
      <c r="J3106" s="368">
        <v>0.74305555555555547</v>
      </c>
      <c r="K3106" s="669">
        <v>11</v>
      </c>
      <c r="L3106" s="669">
        <v>19</v>
      </c>
      <c r="M3106" s="675">
        <v>25.2</v>
      </c>
      <c r="N3106" s="671">
        <f>IF(M3106-P3106&gt;0,M3106-P3106,0)</f>
        <v>5.0500000000000007</v>
      </c>
      <c r="O3106" s="671">
        <f>O3105-K3106/(PI()*(U3103/2000)^2)</f>
        <v>16.383864588828615</v>
      </c>
      <c r="P3106" s="672">
        <v>20.149999999999999</v>
      </c>
      <c r="Q3106" s="673">
        <f>ABS(O3106-P3106)</f>
        <v>3.7661354111713834</v>
      </c>
      <c r="R3106" s="375" t="s">
        <v>188</v>
      </c>
      <c r="S3106" s="366"/>
      <c r="T3106" s="376"/>
      <c r="U3106" s="376"/>
      <c r="V3106" s="366"/>
      <c r="W3106" s="366"/>
    </row>
    <row r="3107" spans="1:23">
      <c r="A3107" s="1410"/>
      <c r="B3107" s="1413"/>
      <c r="C3107" s="1113" t="s">
        <v>985</v>
      </c>
      <c r="D3107" s="875" t="str">
        <f>B3105&amp;C3107</f>
        <v>A94c</v>
      </c>
      <c r="E3107" s="367">
        <v>2</v>
      </c>
      <c r="F3107" s="669" t="s">
        <v>1156</v>
      </c>
      <c r="G3107" s="369">
        <v>0.6875</v>
      </c>
      <c r="H3107" s="368">
        <v>0.72222222222222221</v>
      </c>
      <c r="I3107" s="368">
        <v>0.75</v>
      </c>
      <c r="J3107" s="368">
        <v>0.75694444444444453</v>
      </c>
      <c r="K3107" s="669">
        <v>11</v>
      </c>
      <c r="L3107" s="669">
        <v>19</v>
      </c>
      <c r="M3107" s="675">
        <v>15.75</v>
      </c>
      <c r="N3107" s="671">
        <f>IF(M3107-P3107&gt;0,M3107-P3107,0)</f>
        <v>4.9499999999999993</v>
      </c>
      <c r="O3107" s="671">
        <f>O3106-K3107/(PI()*(U3103/2000)^2)</f>
        <v>6.6577291776572327</v>
      </c>
      <c r="P3107" s="672">
        <v>10.8</v>
      </c>
      <c r="Q3107" s="673">
        <f>ABS(O3107-P3107)</f>
        <v>4.142270822342768</v>
      </c>
      <c r="R3107" s="375" t="s">
        <v>188</v>
      </c>
      <c r="S3107" s="366"/>
      <c r="T3107" s="376"/>
      <c r="U3107" s="376"/>
      <c r="V3107" s="366"/>
      <c r="W3107" s="366"/>
    </row>
    <row r="3108" spans="1:23">
      <c r="A3108" s="1410"/>
      <c r="B3108" s="1413"/>
      <c r="C3108" s="1113" t="s">
        <v>986</v>
      </c>
      <c r="D3108" s="875" t="str">
        <f>B3105&amp;C3108</f>
        <v>A94d</v>
      </c>
      <c r="E3108" s="367">
        <v>3</v>
      </c>
      <c r="F3108" s="669" t="s">
        <v>1154</v>
      </c>
      <c r="G3108" s="369">
        <v>0.70694444444444438</v>
      </c>
      <c r="H3108" s="368">
        <v>0.73611111111111116</v>
      </c>
      <c r="I3108" s="368">
        <v>0.7583333333333333</v>
      </c>
      <c r="J3108" s="368">
        <v>0.76041666666666663</v>
      </c>
      <c r="K3108" s="669">
        <v>3</v>
      </c>
      <c r="L3108" s="669">
        <v>19</v>
      </c>
      <c r="M3108" s="675">
        <v>12.6</v>
      </c>
      <c r="N3108" s="671">
        <f t="shared" ref="N3108" si="374">IF(M3108-P3108&gt;0,M3108-P3108,0)</f>
        <v>4.5</v>
      </c>
      <c r="O3108" s="671">
        <f>O3107-K3108/(PI()*(U3103/2000)^2)</f>
        <v>4.0051467927923099</v>
      </c>
      <c r="P3108" s="672">
        <v>8.1</v>
      </c>
      <c r="Q3108" s="673">
        <f t="shared" ref="Q3108" si="375">ABS(O3108-P3108)</f>
        <v>4.0948532072076897</v>
      </c>
      <c r="R3108" s="375"/>
      <c r="S3108" s="366"/>
      <c r="T3108" s="376"/>
      <c r="U3108" s="376"/>
      <c r="V3108" s="366"/>
      <c r="W3108" s="366"/>
    </row>
    <row r="3109" spans="1:23">
      <c r="A3109" s="1410"/>
      <c r="B3109" s="1413"/>
      <c r="C3109" s="1113" t="s">
        <v>987</v>
      </c>
      <c r="D3109" s="875" t="str">
        <f>B3105&amp;C3109</f>
        <v>A94e</v>
      </c>
      <c r="E3109" s="367">
        <v>4</v>
      </c>
      <c r="F3109" s="669"/>
      <c r="G3109" s="368"/>
      <c r="H3109" s="368"/>
      <c r="I3109" s="368"/>
      <c r="J3109" s="368"/>
      <c r="K3109" s="370"/>
      <c r="L3109" s="370"/>
      <c r="M3109" s="371"/>
      <c r="N3109" s="671"/>
      <c r="O3109" s="671"/>
      <c r="P3109" s="373"/>
      <c r="Q3109" s="673"/>
      <c r="R3109" s="378"/>
      <c r="S3109" s="366"/>
      <c r="T3109" s="376"/>
      <c r="U3109" s="376"/>
      <c r="V3109" s="366"/>
      <c r="W3109" s="366"/>
    </row>
    <row r="3110" spans="1:23">
      <c r="A3110" s="1410"/>
      <c r="B3110" s="1413"/>
      <c r="C3110" s="1113" t="s">
        <v>988</v>
      </c>
      <c r="D3110" s="875" t="str">
        <f>B3105&amp;C3110</f>
        <v>A94f</v>
      </c>
      <c r="E3110" s="367">
        <v>5</v>
      </c>
      <c r="F3110" s="669"/>
      <c r="G3110" s="368"/>
      <c r="H3110" s="368"/>
      <c r="I3110" s="368"/>
      <c r="J3110" s="368"/>
      <c r="K3110" s="370"/>
      <c r="L3110" s="370"/>
      <c r="M3110" s="371"/>
      <c r="N3110" s="671"/>
      <c r="O3110" s="671"/>
      <c r="P3110" s="373"/>
      <c r="Q3110" s="673"/>
      <c r="R3110" s="378"/>
      <c r="S3110" s="366" t="s">
        <v>190</v>
      </c>
      <c r="T3110" s="376"/>
      <c r="U3110" s="376"/>
      <c r="V3110" s="366"/>
      <c r="W3110" s="366"/>
    </row>
    <row r="3111" spans="1:23">
      <c r="A3111" s="1410"/>
      <c r="B3111" s="1413"/>
      <c r="C3111" s="1113" t="s">
        <v>989</v>
      </c>
      <c r="D3111" s="875" t="str">
        <f>B3105&amp;C3111</f>
        <v>A94g</v>
      </c>
      <c r="E3111" s="367">
        <v>6</v>
      </c>
      <c r="F3111" s="669"/>
      <c r="G3111" s="368"/>
      <c r="H3111" s="368"/>
      <c r="I3111" s="368"/>
      <c r="J3111" s="368"/>
      <c r="K3111" s="370"/>
      <c r="L3111" s="370"/>
      <c r="M3111" s="371"/>
      <c r="N3111" s="671"/>
      <c r="O3111" s="671"/>
      <c r="P3111" s="373"/>
      <c r="Q3111" s="673"/>
      <c r="R3111" s="378"/>
      <c r="S3111" s="366" t="s">
        <v>190</v>
      </c>
      <c r="T3111" s="366"/>
      <c r="U3111" s="366"/>
      <c r="V3111" s="366"/>
      <c r="W3111" s="366"/>
    </row>
    <row r="3112" spans="1:23">
      <c r="A3112" s="1410"/>
      <c r="B3112" s="1413"/>
      <c r="C3112" s="1113" t="s">
        <v>990</v>
      </c>
      <c r="D3112" s="875" t="str">
        <f>B3105&amp;C3112</f>
        <v>A94h</v>
      </c>
      <c r="E3112" s="367">
        <v>7</v>
      </c>
      <c r="F3112" s="669"/>
      <c r="G3112" s="368"/>
      <c r="H3112" s="368"/>
      <c r="I3112" s="368"/>
      <c r="J3112" s="368"/>
      <c r="K3112" s="370"/>
      <c r="L3112" s="370"/>
      <c r="M3112" s="371"/>
      <c r="N3112" s="671"/>
      <c r="O3112" s="671"/>
      <c r="P3112" s="373"/>
      <c r="Q3112" s="673"/>
      <c r="R3112" s="378"/>
      <c r="S3112" s="366" t="s">
        <v>190</v>
      </c>
      <c r="T3112" s="366"/>
      <c r="U3112" s="366"/>
      <c r="V3112" s="366"/>
      <c r="W3112" s="366"/>
    </row>
    <row r="3113" spans="1:23">
      <c r="A3113" s="1410"/>
      <c r="B3113" s="1413"/>
      <c r="C3113" s="1113" t="s">
        <v>991</v>
      </c>
      <c r="D3113" s="875" t="str">
        <f>B3105&amp;C3113</f>
        <v>A94i</v>
      </c>
      <c r="E3113" s="367">
        <v>8</v>
      </c>
      <c r="F3113" s="669"/>
      <c r="G3113" s="368"/>
      <c r="H3113" s="368"/>
      <c r="I3113" s="368"/>
      <c r="J3113" s="368"/>
      <c r="K3113" s="370"/>
      <c r="L3113" s="370"/>
      <c r="M3113" s="371"/>
      <c r="N3113" s="671"/>
      <c r="O3113" s="671"/>
      <c r="P3113" s="373"/>
      <c r="Q3113" s="673"/>
      <c r="R3113" s="378"/>
      <c r="S3113" s="366"/>
      <c r="T3113" s="366"/>
      <c r="U3113" s="366"/>
      <c r="V3113" s="366"/>
      <c r="W3113" s="366"/>
    </row>
    <row r="3114" spans="1:23">
      <c r="A3114" s="1410"/>
      <c r="B3114" s="1413"/>
      <c r="C3114" s="1113" t="s">
        <v>992</v>
      </c>
      <c r="D3114" s="875" t="str">
        <f>B3105&amp;C3114</f>
        <v>A94k</v>
      </c>
      <c r="E3114" s="367">
        <v>9</v>
      </c>
      <c r="F3114" s="370"/>
      <c r="G3114" s="368"/>
      <c r="H3114" s="368"/>
      <c r="I3114" s="368"/>
      <c r="J3114" s="368"/>
      <c r="K3114" s="370"/>
      <c r="L3114" s="370"/>
      <c r="M3114" s="371"/>
      <c r="N3114" s="372"/>
      <c r="O3114" s="372"/>
      <c r="P3114" s="373"/>
      <c r="Q3114" s="374"/>
      <c r="R3114" s="378"/>
      <c r="S3114" s="379"/>
      <c r="T3114" s="366"/>
      <c r="U3114" s="366"/>
      <c r="V3114" s="366"/>
      <c r="W3114" s="366"/>
    </row>
    <row r="3115" spans="1:23">
      <c r="A3115" s="1410"/>
      <c r="B3115" s="1413"/>
      <c r="C3115" s="1113" t="s">
        <v>993</v>
      </c>
      <c r="D3115" s="875" t="str">
        <f>B3105&amp;C3115</f>
        <v>A94l</v>
      </c>
      <c r="E3115" s="367">
        <v>10</v>
      </c>
      <c r="F3115" s="370"/>
      <c r="G3115" s="368"/>
      <c r="H3115" s="368"/>
      <c r="I3115" s="368"/>
      <c r="J3115" s="368"/>
      <c r="K3115" s="370"/>
      <c r="L3115" s="370"/>
      <c r="M3115" s="370"/>
      <c r="N3115" s="372"/>
      <c r="O3115" s="372"/>
      <c r="P3115" s="373"/>
      <c r="Q3115" s="374"/>
      <c r="R3115" s="378"/>
      <c r="S3115" s="379"/>
      <c r="T3115" s="366"/>
      <c r="U3115" s="366"/>
      <c r="V3115" s="366"/>
      <c r="W3115" s="366"/>
    </row>
    <row r="3116" spans="1:23">
      <c r="A3116" s="1410"/>
      <c r="B3116" s="1413"/>
      <c r="C3116" s="1113" t="s">
        <v>994</v>
      </c>
      <c r="D3116" s="875" t="str">
        <f>B3105&amp;C3116</f>
        <v>A94m</v>
      </c>
      <c r="E3116" s="367">
        <v>11</v>
      </c>
      <c r="F3116" s="370"/>
      <c r="G3116" s="368"/>
      <c r="H3116" s="368"/>
      <c r="I3116" s="368"/>
      <c r="J3116" s="368"/>
      <c r="K3116" s="370"/>
      <c r="L3116" s="370"/>
      <c r="M3116" s="370"/>
      <c r="N3116" s="372"/>
      <c r="O3116" s="372"/>
      <c r="P3116" s="380"/>
      <c r="Q3116" s="374"/>
      <c r="R3116" s="381"/>
      <c r="S3116" s="379"/>
      <c r="T3116" s="366"/>
      <c r="U3116" s="366"/>
      <c r="V3116" s="366"/>
      <c r="W3116" s="366"/>
    </row>
    <row r="3117" spans="1:23">
      <c r="A3117" s="1410"/>
      <c r="B3117" s="1413"/>
      <c r="C3117" s="1113" t="s">
        <v>995</v>
      </c>
      <c r="D3117" s="875" t="str">
        <f>B3105&amp;C3117</f>
        <v>A94n</v>
      </c>
      <c r="E3117" s="367">
        <v>12</v>
      </c>
      <c r="F3117" s="370"/>
      <c r="G3117" s="368"/>
      <c r="H3117" s="368"/>
      <c r="I3117" s="368"/>
      <c r="J3117" s="368"/>
      <c r="K3117" s="370"/>
      <c r="L3117" s="370"/>
      <c r="M3117" s="370"/>
      <c r="N3117" s="372"/>
      <c r="O3117" s="372"/>
      <c r="P3117" s="380"/>
      <c r="Q3117" s="374"/>
      <c r="R3117" s="381"/>
      <c r="S3117" s="361"/>
      <c r="T3117" s="361"/>
      <c r="U3117" s="361"/>
      <c r="V3117" s="366"/>
      <c r="W3117" s="366"/>
    </row>
    <row r="3118" spans="1:23">
      <c r="A3118" s="1410"/>
      <c r="B3118" s="1413"/>
      <c r="C3118" s="1113" t="s">
        <v>471</v>
      </c>
      <c r="D3118" s="875" t="str">
        <f>B3105&amp;C3118</f>
        <v>A94x</v>
      </c>
      <c r="E3118" s="367">
        <v>13</v>
      </c>
      <c r="F3118" s="370"/>
      <c r="G3118" s="368"/>
      <c r="H3118" s="368"/>
      <c r="I3118" s="368"/>
      <c r="J3118" s="368"/>
      <c r="K3118" s="370"/>
      <c r="L3118" s="370"/>
      <c r="M3118" s="370"/>
      <c r="N3118" s="382"/>
      <c r="O3118" s="372"/>
      <c r="P3118" s="380"/>
      <c r="Q3118" s="381"/>
      <c r="R3118" s="381"/>
      <c r="S3118" s="361"/>
      <c r="T3118" s="361"/>
      <c r="U3118" s="361"/>
      <c r="V3118" s="366"/>
      <c r="W3118" s="366"/>
    </row>
    <row r="3119" spans="1:23">
      <c r="A3119" s="1410"/>
      <c r="B3119" s="1413"/>
      <c r="C3119" s="1113" t="s">
        <v>732</v>
      </c>
      <c r="D3119" s="875" t="str">
        <f>B3105&amp;C3119</f>
        <v>A94y</v>
      </c>
      <c r="E3119" s="367">
        <v>14</v>
      </c>
      <c r="F3119" s="370"/>
      <c r="G3119" s="368"/>
      <c r="H3119" s="368"/>
      <c r="I3119" s="368"/>
      <c r="J3119" s="368"/>
      <c r="K3119" s="370"/>
      <c r="L3119" s="370"/>
      <c r="M3119" s="370"/>
      <c r="N3119" s="382"/>
      <c r="O3119" s="372"/>
      <c r="P3119" s="380"/>
      <c r="Q3119" s="381"/>
      <c r="R3119" s="381"/>
      <c r="S3119" s="361"/>
      <c r="T3119" s="361"/>
      <c r="U3119" s="362"/>
      <c r="V3119" s="366"/>
      <c r="W3119" s="366"/>
    </row>
    <row r="3120" spans="1:23">
      <c r="A3120" s="1411"/>
      <c r="B3120" s="1414"/>
      <c r="C3120" s="1114" t="s">
        <v>996</v>
      </c>
      <c r="D3120" s="876" t="str">
        <f>B3105&amp;C3120</f>
        <v>A94z</v>
      </c>
      <c r="E3120" s="847">
        <v>15</v>
      </c>
      <c r="F3120" s="370"/>
      <c r="G3120" s="368"/>
      <c r="H3120" s="368"/>
      <c r="I3120" s="368"/>
      <c r="J3120" s="368"/>
      <c r="K3120" s="370"/>
      <c r="L3120" s="370"/>
      <c r="M3120" s="370"/>
      <c r="N3120" s="850"/>
      <c r="O3120" s="851"/>
      <c r="P3120" s="380"/>
      <c r="Q3120" s="852"/>
      <c r="R3120" s="383"/>
      <c r="S3120" s="361"/>
      <c r="T3120" s="1111"/>
      <c r="U3120" s="1110"/>
      <c r="V3120" s="366"/>
      <c r="W3120" s="366"/>
    </row>
    <row r="3121" spans="1:23">
      <c r="A3121" s="1400" t="s">
        <v>939</v>
      </c>
      <c r="B3121" s="1400"/>
      <c r="C3121" s="1107"/>
      <c r="D3121" s="871"/>
      <c r="E3121" s="1400" t="s">
        <v>177</v>
      </c>
      <c r="F3121" s="1400" t="s">
        <v>18</v>
      </c>
      <c r="G3121" s="1389" t="s">
        <v>19</v>
      </c>
      <c r="H3121" s="1390"/>
      <c r="I3121" s="1389" t="s">
        <v>22</v>
      </c>
      <c r="J3121" s="1390"/>
      <c r="K3121" s="1393" t="s">
        <v>26</v>
      </c>
      <c r="L3121" s="1390"/>
      <c r="M3121" s="1389" t="s">
        <v>392</v>
      </c>
      <c r="N3121" s="1390"/>
      <c r="O3121" s="1389" t="s">
        <v>28</v>
      </c>
      <c r="P3121" s="1393"/>
      <c r="Q3121" s="1390"/>
      <c r="R3121" s="1400" t="s">
        <v>36</v>
      </c>
      <c r="S3121" s="361"/>
      <c r="T3121" s="361">
        <f>MAX(J3125:J3139)-MIN(I3125:I3139)</f>
        <v>8.3333333333333315E-2</v>
      </c>
      <c r="U3121" s="361"/>
      <c r="V3121" s="853" t="str">
        <f t="shared" ref="V3121" si="376">B3125</f>
        <v>A95</v>
      </c>
      <c r="W3121" s="361">
        <f t="shared" ref="W3121" si="377">COUNTIF(K3126:K3140,"&gt;0")</f>
        <v>5</v>
      </c>
    </row>
    <row r="3122" spans="1:23">
      <c r="A3122" s="1401"/>
      <c r="B3122" s="1401"/>
      <c r="C3122" s="1109"/>
      <c r="D3122" s="872"/>
      <c r="E3122" s="1401"/>
      <c r="F3122" s="1401"/>
      <c r="G3122" s="1391"/>
      <c r="H3122" s="1392"/>
      <c r="I3122" s="1391"/>
      <c r="J3122" s="1392"/>
      <c r="K3122" s="1394"/>
      <c r="L3122" s="1392"/>
      <c r="M3122" s="1391"/>
      <c r="N3122" s="1392"/>
      <c r="O3122" s="1391"/>
      <c r="P3122" s="1394"/>
      <c r="Q3122" s="1392"/>
      <c r="R3122" s="1401"/>
      <c r="S3122" s="361"/>
      <c r="T3122" s="361"/>
      <c r="U3122" s="361"/>
      <c r="V3122" s="361"/>
      <c r="W3122" s="361"/>
    </row>
    <row r="3123" spans="1:23">
      <c r="A3123" s="1401"/>
      <c r="B3123" s="1401"/>
      <c r="C3123" s="1109"/>
      <c r="D3123" s="872"/>
      <c r="E3123" s="1401"/>
      <c r="F3123" s="1401"/>
      <c r="G3123" s="1400" t="s">
        <v>20</v>
      </c>
      <c r="H3123" s="1400" t="s">
        <v>21</v>
      </c>
      <c r="I3123" s="1400" t="s">
        <v>361</v>
      </c>
      <c r="J3123" s="1400" t="s">
        <v>353</v>
      </c>
      <c r="K3123" s="1400" t="s">
        <v>23</v>
      </c>
      <c r="L3123" s="1400" t="s">
        <v>24</v>
      </c>
      <c r="M3123" s="1400" t="s">
        <v>27</v>
      </c>
      <c r="N3123" s="1400" t="s">
        <v>178</v>
      </c>
      <c r="O3123" s="1400" t="s">
        <v>1</v>
      </c>
      <c r="P3123" s="1400" t="s">
        <v>29</v>
      </c>
      <c r="Q3123" s="1400" t="s">
        <v>33</v>
      </c>
      <c r="R3123" s="1401"/>
      <c r="S3123" s="361"/>
      <c r="T3123" s="361" t="s">
        <v>39</v>
      </c>
      <c r="U3123" s="362">
        <f>VLOOKUP(B3125,'Thong tin'!$A:$M,13,0)</f>
        <v>1200</v>
      </c>
      <c r="V3123" s="361"/>
      <c r="W3123" s="361"/>
    </row>
    <row r="3124" spans="1:23">
      <c r="A3124" s="1402"/>
      <c r="B3124" s="1402"/>
      <c r="C3124" s="1108"/>
      <c r="D3124" s="873"/>
      <c r="E3124" s="1402"/>
      <c r="F3124" s="1402"/>
      <c r="G3124" s="1402"/>
      <c r="H3124" s="1402"/>
      <c r="I3124" s="1402"/>
      <c r="J3124" s="1402"/>
      <c r="K3124" s="1402"/>
      <c r="L3124" s="1402"/>
      <c r="M3124" s="1402"/>
      <c r="N3124" s="1402"/>
      <c r="O3124" s="1402"/>
      <c r="P3124" s="1402"/>
      <c r="Q3124" s="1402"/>
      <c r="R3124" s="1402"/>
      <c r="S3124" s="361"/>
      <c r="T3124" s="1399" t="s">
        <v>393</v>
      </c>
      <c r="U3124" s="1397">
        <f>VLOOKUP(B3125,DT.NK!$B:$AZ,45,0)</f>
        <v>43.13</v>
      </c>
      <c r="V3124" s="361"/>
      <c r="W3124" s="361"/>
    </row>
    <row r="3125" spans="1:23">
      <c r="A3125" s="1409">
        <f>A3105+1</f>
        <v>157</v>
      </c>
      <c r="B3125" s="1412" t="s">
        <v>511</v>
      </c>
      <c r="C3125" s="1112" t="s">
        <v>983</v>
      </c>
      <c r="D3125" s="874" t="str">
        <f>B3125&amp;C3125</f>
        <v>A95a</v>
      </c>
      <c r="E3125" s="363"/>
      <c r="F3125" s="364"/>
      <c r="G3125" s="364"/>
      <c r="H3125" s="364"/>
      <c r="I3125" s="364"/>
      <c r="J3125" s="364"/>
      <c r="K3125" s="364"/>
      <c r="L3125" s="364"/>
      <c r="M3125" s="674"/>
      <c r="N3125" s="670"/>
      <c r="O3125" s="670">
        <f>U3124</f>
        <v>43.13</v>
      </c>
      <c r="P3125" s="670">
        <f>O3125</f>
        <v>43.13</v>
      </c>
      <c r="Q3125" s="670">
        <v>0</v>
      </c>
      <c r="R3125" s="365"/>
      <c r="S3125" s="366"/>
      <c r="T3125" s="1399"/>
      <c r="U3125" s="1398"/>
      <c r="V3125" s="361"/>
      <c r="W3125" s="361"/>
    </row>
    <row r="3126" spans="1:23">
      <c r="A3126" s="1410"/>
      <c r="B3126" s="1413"/>
      <c r="C3126" s="1113" t="s">
        <v>984</v>
      </c>
      <c r="D3126" s="875" t="str">
        <f>B3125&amp;C3126</f>
        <v>A95b</v>
      </c>
      <c r="E3126" s="367">
        <v>1</v>
      </c>
      <c r="F3126" s="669" t="s">
        <v>1019</v>
      </c>
      <c r="G3126" s="369">
        <v>0.11458333333333333</v>
      </c>
      <c r="H3126" s="368">
        <v>0.1423611111111111</v>
      </c>
      <c r="I3126" s="368">
        <v>0.14583333333333334</v>
      </c>
      <c r="J3126" s="368">
        <v>0.14930555555555555</v>
      </c>
      <c r="K3126" s="669">
        <v>10</v>
      </c>
      <c r="L3126" s="669">
        <v>19</v>
      </c>
      <c r="M3126" s="675">
        <v>42.95</v>
      </c>
      <c r="N3126" s="671">
        <f>IF(M3126-P3126&gt;0,M3126-P3126,0)</f>
        <v>4.8500000000000014</v>
      </c>
      <c r="O3126" s="671">
        <f>O3125-K3126/(PI()*(U3123/2000)^2)</f>
        <v>34.288058717116925</v>
      </c>
      <c r="P3126" s="672">
        <v>38.1</v>
      </c>
      <c r="Q3126" s="673">
        <f>ABS(O3126-P3126)</f>
        <v>3.8119412828830761</v>
      </c>
      <c r="R3126" s="375" t="s">
        <v>188</v>
      </c>
      <c r="S3126" s="366"/>
      <c r="T3126" s="376"/>
      <c r="U3126" s="376"/>
      <c r="V3126" s="366"/>
      <c r="W3126" s="366"/>
    </row>
    <row r="3127" spans="1:23">
      <c r="A3127" s="1410"/>
      <c r="B3127" s="1413"/>
      <c r="C3127" s="1113" t="s">
        <v>985</v>
      </c>
      <c r="D3127" s="875" t="str">
        <f>B3125&amp;C3127</f>
        <v>A95c</v>
      </c>
      <c r="E3127" s="367">
        <v>2</v>
      </c>
      <c r="F3127" s="669" t="s">
        <v>1153</v>
      </c>
      <c r="G3127" s="369">
        <v>0.125</v>
      </c>
      <c r="H3127" s="368">
        <v>0.15277777777777776</v>
      </c>
      <c r="I3127" s="368">
        <v>0.15625</v>
      </c>
      <c r="J3127" s="368">
        <v>0.15972222222222224</v>
      </c>
      <c r="K3127" s="669">
        <v>10</v>
      </c>
      <c r="L3127" s="669">
        <v>20</v>
      </c>
      <c r="M3127" s="675">
        <v>33.4</v>
      </c>
      <c r="N3127" s="671">
        <f>IF(M3127-P3127&gt;0,M3127-P3127,0)</f>
        <v>2.6999999999999993</v>
      </c>
      <c r="O3127" s="671">
        <f>O3126-K3127/(PI()*(U3123/2000)^2)</f>
        <v>25.446117434233852</v>
      </c>
      <c r="P3127" s="672">
        <v>30.7</v>
      </c>
      <c r="Q3127" s="673">
        <f>ABS(O3127-P3127)</f>
        <v>5.2538825657661476</v>
      </c>
      <c r="R3127" s="375" t="s">
        <v>188</v>
      </c>
      <c r="S3127" s="366"/>
      <c r="T3127" s="376"/>
      <c r="U3127" s="376"/>
      <c r="V3127" s="366"/>
      <c r="W3127" s="366"/>
    </row>
    <row r="3128" spans="1:23">
      <c r="A3128" s="1410"/>
      <c r="B3128" s="1413"/>
      <c r="C3128" s="1113" t="s">
        <v>986</v>
      </c>
      <c r="D3128" s="875" t="str">
        <f>B3125&amp;C3128</f>
        <v>A95d</v>
      </c>
      <c r="E3128" s="367">
        <v>3</v>
      </c>
      <c r="F3128" s="669" t="s">
        <v>1156</v>
      </c>
      <c r="G3128" s="369">
        <v>0.13194444444444445</v>
      </c>
      <c r="H3128" s="368">
        <v>0.15625</v>
      </c>
      <c r="I3128" s="368">
        <v>0.16319444444444445</v>
      </c>
      <c r="J3128" s="368">
        <v>0.16666666666666666</v>
      </c>
      <c r="K3128" s="669">
        <v>10</v>
      </c>
      <c r="L3128" s="669">
        <v>19</v>
      </c>
      <c r="M3128" s="675">
        <v>27.1</v>
      </c>
      <c r="N3128" s="671">
        <f t="shared" ref="N3128:N3130" si="378">IF(M3128-P3128&gt;0,M3128-P3128,0)</f>
        <v>3.2000000000000028</v>
      </c>
      <c r="O3128" s="671">
        <f>O3127-K3128/(PI()*(U3123/2000)^2)</f>
        <v>16.604176151350778</v>
      </c>
      <c r="P3128" s="672">
        <v>23.9</v>
      </c>
      <c r="Q3128" s="673">
        <f t="shared" ref="Q3128" si="379">ABS(O3128-P3128)</f>
        <v>7.2958238486492206</v>
      </c>
      <c r="R3128" s="375" t="s">
        <v>188</v>
      </c>
      <c r="S3128" s="366"/>
      <c r="T3128" s="376"/>
      <c r="U3128" s="376"/>
      <c r="V3128" s="366"/>
      <c r="W3128" s="366"/>
    </row>
    <row r="3129" spans="1:23">
      <c r="A3129" s="1410"/>
      <c r="B3129" s="1413"/>
      <c r="C3129" s="1113" t="s">
        <v>987</v>
      </c>
      <c r="D3129" s="875" t="str">
        <f>B3125&amp;C3129</f>
        <v>A95e</v>
      </c>
      <c r="E3129" s="367">
        <v>4</v>
      </c>
      <c r="F3129" s="669" t="s">
        <v>1153</v>
      </c>
      <c r="G3129" s="368">
        <v>0.17708333333333334</v>
      </c>
      <c r="H3129" s="368">
        <v>0.19791666666666666</v>
      </c>
      <c r="I3129" s="368">
        <v>0.20138888888888887</v>
      </c>
      <c r="J3129" s="368">
        <v>0.20486111111111113</v>
      </c>
      <c r="K3129" s="370">
        <v>10</v>
      </c>
      <c r="L3129" s="370">
        <v>19.5</v>
      </c>
      <c r="M3129" s="371">
        <v>20.8</v>
      </c>
      <c r="N3129" s="671">
        <f t="shared" si="378"/>
        <v>4.3000000000000007</v>
      </c>
      <c r="O3129" s="671">
        <f>O3128-K3129/(PI()*(U3123/2000)^2)</f>
        <v>7.7622348684677043</v>
      </c>
      <c r="P3129" s="373">
        <v>16.5</v>
      </c>
      <c r="Q3129" s="673"/>
      <c r="R3129" s="378"/>
      <c r="S3129" s="366"/>
      <c r="T3129" s="376"/>
      <c r="U3129" s="376"/>
      <c r="V3129" s="366"/>
      <c r="W3129" s="366"/>
    </row>
    <row r="3130" spans="1:23">
      <c r="A3130" s="1410"/>
      <c r="B3130" s="1413"/>
      <c r="C3130" s="1113" t="s">
        <v>988</v>
      </c>
      <c r="D3130" s="875" t="str">
        <f>B3125&amp;C3130</f>
        <v>A95f</v>
      </c>
      <c r="E3130" s="367">
        <v>5</v>
      </c>
      <c r="F3130" s="669" t="s">
        <v>1153</v>
      </c>
      <c r="G3130" s="368">
        <v>0.20833333333333334</v>
      </c>
      <c r="H3130" s="368">
        <v>0.22222222222222221</v>
      </c>
      <c r="I3130" s="368">
        <v>0.22569444444444445</v>
      </c>
      <c r="J3130" s="368">
        <v>0.22916666666666666</v>
      </c>
      <c r="K3130" s="370">
        <v>10</v>
      </c>
      <c r="L3130" s="370">
        <v>18.5</v>
      </c>
      <c r="M3130" s="371"/>
      <c r="N3130" s="671">
        <f t="shared" si="378"/>
        <v>0</v>
      </c>
      <c r="O3130" s="671">
        <f>O3129-K3130/(PI()*(U3123/2000)^2)</f>
        <v>-1.0797064144153694</v>
      </c>
      <c r="P3130" s="373">
        <v>8.5</v>
      </c>
      <c r="Q3130" s="673"/>
      <c r="R3130" s="378"/>
      <c r="S3130" s="366" t="s">
        <v>190</v>
      </c>
      <c r="T3130" s="376"/>
      <c r="U3130" s="376"/>
      <c r="V3130" s="366"/>
      <c r="W3130" s="366"/>
    </row>
    <row r="3131" spans="1:23">
      <c r="A3131" s="1410"/>
      <c r="B3131" s="1413"/>
      <c r="C3131" s="1113" t="s">
        <v>989</v>
      </c>
      <c r="D3131" s="875" t="str">
        <f>B3125&amp;C3131</f>
        <v>A95g</v>
      </c>
      <c r="E3131" s="367">
        <v>6</v>
      </c>
      <c r="F3131" s="669"/>
      <c r="G3131" s="368"/>
      <c r="H3131" s="368"/>
      <c r="I3131" s="368"/>
      <c r="J3131" s="368"/>
      <c r="K3131" s="370"/>
      <c r="L3131" s="370"/>
      <c r="M3131" s="371"/>
      <c r="N3131" s="671"/>
      <c r="O3131" s="671"/>
      <c r="P3131" s="373"/>
      <c r="Q3131" s="673"/>
      <c r="R3131" s="378"/>
      <c r="S3131" s="366" t="s">
        <v>190</v>
      </c>
      <c r="T3131" s="366"/>
      <c r="U3131" s="366"/>
      <c r="V3131" s="366"/>
      <c r="W3131" s="366"/>
    </row>
    <row r="3132" spans="1:23">
      <c r="A3132" s="1410"/>
      <c r="B3132" s="1413"/>
      <c r="C3132" s="1113" t="s">
        <v>990</v>
      </c>
      <c r="D3132" s="875" t="str">
        <f>B3125&amp;C3132</f>
        <v>A95h</v>
      </c>
      <c r="E3132" s="367">
        <v>7</v>
      </c>
      <c r="F3132" s="669"/>
      <c r="G3132" s="368"/>
      <c r="H3132" s="368"/>
      <c r="I3132" s="368"/>
      <c r="J3132" s="368"/>
      <c r="K3132" s="370"/>
      <c r="L3132" s="370"/>
      <c r="M3132" s="371"/>
      <c r="N3132" s="671"/>
      <c r="O3132" s="671"/>
      <c r="P3132" s="373"/>
      <c r="Q3132" s="673"/>
      <c r="R3132" s="378"/>
      <c r="S3132" s="366" t="s">
        <v>190</v>
      </c>
      <c r="T3132" s="366"/>
      <c r="U3132" s="366"/>
      <c r="V3132" s="366"/>
      <c r="W3132" s="366"/>
    </row>
    <row r="3133" spans="1:23">
      <c r="A3133" s="1410"/>
      <c r="B3133" s="1413"/>
      <c r="C3133" s="1113" t="s">
        <v>991</v>
      </c>
      <c r="D3133" s="875" t="str">
        <f>B3125&amp;C3133</f>
        <v>A95i</v>
      </c>
      <c r="E3133" s="367">
        <v>8</v>
      </c>
      <c r="F3133" s="669"/>
      <c r="G3133" s="368"/>
      <c r="H3133" s="368"/>
      <c r="I3133" s="368"/>
      <c r="J3133" s="368"/>
      <c r="K3133" s="370"/>
      <c r="L3133" s="370"/>
      <c r="M3133" s="371"/>
      <c r="N3133" s="671"/>
      <c r="O3133" s="671"/>
      <c r="P3133" s="373"/>
      <c r="Q3133" s="673"/>
      <c r="R3133" s="378"/>
      <c r="S3133" s="366"/>
      <c r="T3133" s="366"/>
      <c r="U3133" s="366"/>
      <c r="V3133" s="366"/>
      <c r="W3133" s="366"/>
    </row>
    <row r="3134" spans="1:23">
      <c r="A3134" s="1410"/>
      <c r="B3134" s="1413"/>
      <c r="C3134" s="1113" t="s">
        <v>992</v>
      </c>
      <c r="D3134" s="875" t="str">
        <f>B3125&amp;C3134</f>
        <v>A95k</v>
      </c>
      <c r="E3134" s="367">
        <v>9</v>
      </c>
      <c r="F3134" s="370"/>
      <c r="G3134" s="368"/>
      <c r="H3134" s="368"/>
      <c r="I3134" s="368"/>
      <c r="J3134" s="368"/>
      <c r="K3134" s="370"/>
      <c r="L3134" s="370"/>
      <c r="M3134" s="371"/>
      <c r="N3134" s="372"/>
      <c r="O3134" s="372"/>
      <c r="P3134" s="373"/>
      <c r="Q3134" s="374"/>
      <c r="R3134" s="378"/>
      <c r="S3134" s="379"/>
      <c r="T3134" s="366"/>
      <c r="U3134" s="366"/>
      <c r="V3134" s="366"/>
      <c r="W3134" s="366"/>
    </row>
    <row r="3135" spans="1:23">
      <c r="A3135" s="1410"/>
      <c r="B3135" s="1413"/>
      <c r="C3135" s="1113" t="s">
        <v>993</v>
      </c>
      <c r="D3135" s="875" t="str">
        <f>B3125&amp;C3135</f>
        <v>A95l</v>
      </c>
      <c r="E3135" s="367">
        <v>10</v>
      </c>
      <c r="F3135" s="370"/>
      <c r="G3135" s="368"/>
      <c r="H3135" s="368"/>
      <c r="I3135" s="368"/>
      <c r="J3135" s="368"/>
      <c r="K3135" s="370"/>
      <c r="L3135" s="370"/>
      <c r="M3135" s="370"/>
      <c r="N3135" s="372"/>
      <c r="O3135" s="372"/>
      <c r="P3135" s="373"/>
      <c r="Q3135" s="374"/>
      <c r="R3135" s="378"/>
      <c r="S3135" s="379"/>
      <c r="T3135" s="366"/>
      <c r="U3135" s="366"/>
      <c r="V3135" s="366"/>
      <c r="W3135" s="366"/>
    </row>
    <row r="3136" spans="1:23">
      <c r="A3136" s="1410"/>
      <c r="B3136" s="1413"/>
      <c r="C3136" s="1113" t="s">
        <v>994</v>
      </c>
      <c r="D3136" s="875" t="str">
        <f>B3125&amp;C3136</f>
        <v>A95m</v>
      </c>
      <c r="E3136" s="367">
        <v>11</v>
      </c>
      <c r="F3136" s="370"/>
      <c r="G3136" s="368"/>
      <c r="H3136" s="368"/>
      <c r="I3136" s="368"/>
      <c r="J3136" s="368"/>
      <c r="K3136" s="370"/>
      <c r="L3136" s="370"/>
      <c r="M3136" s="370"/>
      <c r="N3136" s="372"/>
      <c r="O3136" s="372"/>
      <c r="P3136" s="380"/>
      <c r="Q3136" s="374"/>
      <c r="R3136" s="381"/>
      <c r="S3136" s="379"/>
      <c r="T3136" s="366"/>
      <c r="U3136" s="366"/>
      <c r="V3136" s="366"/>
      <c r="W3136" s="366"/>
    </row>
    <row r="3137" spans="1:23">
      <c r="A3137" s="1410"/>
      <c r="B3137" s="1413"/>
      <c r="C3137" s="1113" t="s">
        <v>995</v>
      </c>
      <c r="D3137" s="875" t="str">
        <f>B3125&amp;C3137</f>
        <v>A95n</v>
      </c>
      <c r="E3137" s="367">
        <v>12</v>
      </c>
      <c r="F3137" s="370"/>
      <c r="G3137" s="368"/>
      <c r="H3137" s="368"/>
      <c r="I3137" s="368"/>
      <c r="J3137" s="368"/>
      <c r="K3137" s="370"/>
      <c r="L3137" s="370"/>
      <c r="M3137" s="370"/>
      <c r="N3137" s="372"/>
      <c r="O3137" s="372"/>
      <c r="P3137" s="380"/>
      <c r="Q3137" s="374"/>
      <c r="R3137" s="381"/>
      <c r="S3137" s="361"/>
      <c r="T3137" s="361"/>
      <c r="U3137" s="361"/>
      <c r="V3137" s="366"/>
      <c r="W3137" s="366"/>
    </row>
    <row r="3138" spans="1:23">
      <c r="A3138" s="1410"/>
      <c r="B3138" s="1413"/>
      <c r="C3138" s="1113" t="s">
        <v>471</v>
      </c>
      <c r="D3138" s="875" t="str">
        <f>B3125&amp;C3138</f>
        <v>A95x</v>
      </c>
      <c r="E3138" s="367">
        <v>13</v>
      </c>
      <c r="F3138" s="370"/>
      <c r="G3138" s="368"/>
      <c r="H3138" s="368"/>
      <c r="I3138" s="368"/>
      <c r="J3138" s="368"/>
      <c r="K3138" s="370"/>
      <c r="L3138" s="370"/>
      <c r="M3138" s="370"/>
      <c r="N3138" s="382"/>
      <c r="O3138" s="372"/>
      <c r="P3138" s="380"/>
      <c r="Q3138" s="381"/>
      <c r="R3138" s="381"/>
      <c r="S3138" s="361"/>
      <c r="T3138" s="361"/>
      <c r="U3138" s="361"/>
      <c r="V3138" s="366"/>
      <c r="W3138" s="366"/>
    </row>
    <row r="3139" spans="1:23">
      <c r="A3139" s="1410"/>
      <c r="B3139" s="1413"/>
      <c r="C3139" s="1113" t="s">
        <v>732</v>
      </c>
      <c r="D3139" s="875" t="str">
        <f>B3125&amp;C3139</f>
        <v>A95y</v>
      </c>
      <c r="E3139" s="367">
        <v>14</v>
      </c>
      <c r="F3139" s="370"/>
      <c r="G3139" s="368"/>
      <c r="H3139" s="368"/>
      <c r="I3139" s="368"/>
      <c r="J3139" s="368"/>
      <c r="K3139" s="370"/>
      <c r="L3139" s="370"/>
      <c r="M3139" s="370"/>
      <c r="N3139" s="382"/>
      <c r="O3139" s="372"/>
      <c r="P3139" s="380"/>
      <c r="Q3139" s="381"/>
      <c r="R3139" s="381"/>
      <c r="S3139" s="361"/>
      <c r="T3139" s="361"/>
      <c r="U3139" s="362"/>
      <c r="V3139" s="366"/>
      <c r="W3139" s="366"/>
    </row>
    <row r="3140" spans="1:23">
      <c r="A3140" s="1411"/>
      <c r="B3140" s="1414"/>
      <c r="C3140" s="1114" t="s">
        <v>996</v>
      </c>
      <c r="D3140" s="876" t="str">
        <f>B3125&amp;C3140</f>
        <v>A95z</v>
      </c>
      <c r="E3140" s="847">
        <v>15</v>
      </c>
      <c r="F3140" s="370"/>
      <c r="G3140" s="368"/>
      <c r="H3140" s="368"/>
      <c r="I3140" s="368"/>
      <c r="J3140" s="368"/>
      <c r="K3140" s="370"/>
      <c r="L3140" s="370"/>
      <c r="M3140" s="370"/>
      <c r="N3140" s="850"/>
      <c r="O3140" s="851"/>
      <c r="P3140" s="380"/>
      <c r="Q3140" s="852"/>
      <c r="R3140" s="383"/>
      <c r="S3140" s="361"/>
      <c r="T3140" s="1111"/>
      <c r="U3140" s="1110"/>
      <c r="V3140" s="366"/>
      <c r="W3140" s="366"/>
    </row>
    <row r="3141" spans="1:23">
      <c r="A3141" s="1400" t="s">
        <v>939</v>
      </c>
      <c r="B3141" s="1400"/>
      <c r="C3141" s="1107"/>
      <c r="D3141" s="871"/>
      <c r="E3141" s="1400" t="s">
        <v>177</v>
      </c>
      <c r="F3141" s="1400" t="s">
        <v>18</v>
      </c>
      <c r="G3141" s="1389" t="s">
        <v>19</v>
      </c>
      <c r="H3141" s="1390"/>
      <c r="I3141" s="1389" t="s">
        <v>22</v>
      </c>
      <c r="J3141" s="1390"/>
      <c r="K3141" s="1393" t="s">
        <v>26</v>
      </c>
      <c r="L3141" s="1390"/>
      <c r="M3141" s="1389" t="s">
        <v>392</v>
      </c>
      <c r="N3141" s="1390"/>
      <c r="O3141" s="1389" t="s">
        <v>28</v>
      </c>
      <c r="P3141" s="1393"/>
      <c r="Q3141" s="1390"/>
      <c r="R3141" s="1400" t="s">
        <v>36</v>
      </c>
      <c r="S3141" s="361"/>
      <c r="T3141" s="361">
        <f>MAX(J3145:J3159)-MIN(I3145:I3159)</f>
        <v>3.125E-2</v>
      </c>
      <c r="U3141" s="361"/>
      <c r="V3141" s="853" t="str">
        <f t="shared" ref="V3141" si="380">B3145</f>
        <v>A96</v>
      </c>
      <c r="W3141" s="361">
        <f t="shared" ref="W3141" si="381">COUNTIF(K3146:K3160,"&gt;0")</f>
        <v>2</v>
      </c>
    </row>
    <row r="3142" spans="1:23">
      <c r="A3142" s="1401"/>
      <c r="B3142" s="1401"/>
      <c r="C3142" s="1109"/>
      <c r="D3142" s="872"/>
      <c r="E3142" s="1401"/>
      <c r="F3142" s="1401"/>
      <c r="G3142" s="1391"/>
      <c r="H3142" s="1392"/>
      <c r="I3142" s="1391"/>
      <c r="J3142" s="1392"/>
      <c r="K3142" s="1394"/>
      <c r="L3142" s="1392"/>
      <c r="M3142" s="1391"/>
      <c r="N3142" s="1392"/>
      <c r="O3142" s="1391"/>
      <c r="P3142" s="1394"/>
      <c r="Q3142" s="1392"/>
      <c r="R3142" s="1401"/>
      <c r="S3142" s="361"/>
      <c r="T3142" s="361"/>
      <c r="U3142" s="361"/>
      <c r="V3142" s="361"/>
      <c r="W3142" s="361"/>
    </row>
    <row r="3143" spans="1:23">
      <c r="A3143" s="1401"/>
      <c r="B3143" s="1401"/>
      <c r="C3143" s="1109"/>
      <c r="D3143" s="872"/>
      <c r="E3143" s="1401"/>
      <c r="F3143" s="1401"/>
      <c r="G3143" s="1400" t="s">
        <v>20</v>
      </c>
      <c r="H3143" s="1400" t="s">
        <v>21</v>
      </c>
      <c r="I3143" s="1400" t="s">
        <v>361</v>
      </c>
      <c r="J3143" s="1400" t="s">
        <v>353</v>
      </c>
      <c r="K3143" s="1400" t="s">
        <v>23</v>
      </c>
      <c r="L3143" s="1400" t="s">
        <v>24</v>
      </c>
      <c r="M3143" s="1400" t="s">
        <v>27</v>
      </c>
      <c r="N3143" s="1400" t="s">
        <v>178</v>
      </c>
      <c r="O3143" s="1400" t="s">
        <v>1</v>
      </c>
      <c r="P3143" s="1400" t="s">
        <v>29</v>
      </c>
      <c r="Q3143" s="1400" t="s">
        <v>33</v>
      </c>
      <c r="R3143" s="1401"/>
      <c r="S3143" s="361"/>
      <c r="T3143" s="361" t="s">
        <v>39</v>
      </c>
      <c r="U3143" s="362">
        <f>VLOOKUP(B3145,'Thong tin'!$A:$M,13,0)</f>
        <v>1200</v>
      </c>
      <c r="V3143" s="361"/>
      <c r="W3143" s="361"/>
    </row>
    <row r="3144" spans="1:23">
      <c r="A3144" s="1402"/>
      <c r="B3144" s="1402"/>
      <c r="C3144" s="1108"/>
      <c r="D3144" s="873"/>
      <c r="E3144" s="1402"/>
      <c r="F3144" s="1402"/>
      <c r="G3144" s="1402"/>
      <c r="H3144" s="1402"/>
      <c r="I3144" s="1402"/>
      <c r="J3144" s="1402"/>
      <c r="K3144" s="1402"/>
      <c r="L3144" s="1402"/>
      <c r="M3144" s="1402"/>
      <c r="N3144" s="1402"/>
      <c r="O3144" s="1402"/>
      <c r="P3144" s="1402"/>
      <c r="Q3144" s="1402"/>
      <c r="R3144" s="1402"/>
      <c r="S3144" s="361"/>
      <c r="T3144" s="1399" t="s">
        <v>393</v>
      </c>
      <c r="U3144" s="1397">
        <f>VLOOKUP(B3145,DT.NK!$B:$AZ,45,0)</f>
        <v>23.53</v>
      </c>
      <c r="V3144" s="361"/>
      <c r="W3144" s="361"/>
    </row>
    <row r="3145" spans="1:23">
      <c r="A3145" s="1409">
        <f>A3125+1</f>
        <v>158</v>
      </c>
      <c r="B3145" s="1412" t="s">
        <v>516</v>
      </c>
      <c r="C3145" s="1112" t="s">
        <v>983</v>
      </c>
      <c r="D3145" s="874" t="str">
        <f>B3145&amp;C3145</f>
        <v>A96a</v>
      </c>
      <c r="E3145" s="363"/>
      <c r="F3145" s="364"/>
      <c r="G3145" s="364"/>
      <c r="H3145" s="364"/>
      <c r="I3145" s="364"/>
      <c r="J3145" s="364"/>
      <c r="K3145" s="364"/>
      <c r="L3145" s="364"/>
      <c r="M3145" s="674"/>
      <c r="N3145" s="670"/>
      <c r="O3145" s="670">
        <f>U3144</f>
        <v>23.53</v>
      </c>
      <c r="P3145" s="670">
        <f>O3145</f>
        <v>23.53</v>
      </c>
      <c r="Q3145" s="670">
        <v>0</v>
      </c>
      <c r="R3145" s="365"/>
      <c r="S3145" s="366"/>
      <c r="T3145" s="1399"/>
      <c r="U3145" s="1398"/>
      <c r="V3145" s="361"/>
      <c r="W3145" s="361"/>
    </row>
    <row r="3146" spans="1:23">
      <c r="A3146" s="1410"/>
      <c r="B3146" s="1413"/>
      <c r="C3146" s="1113" t="s">
        <v>984</v>
      </c>
      <c r="D3146" s="875" t="str">
        <f>B3145&amp;C3146</f>
        <v>A96b</v>
      </c>
      <c r="E3146" s="367">
        <v>1</v>
      </c>
      <c r="F3146" s="669" t="s">
        <v>1156</v>
      </c>
      <c r="G3146" s="369">
        <v>0.25694444444444448</v>
      </c>
      <c r="H3146" s="368">
        <v>0.29166666666666669</v>
      </c>
      <c r="I3146" s="368">
        <v>0.30208333333333331</v>
      </c>
      <c r="J3146" s="368">
        <v>0.3125</v>
      </c>
      <c r="K3146" s="669">
        <v>13</v>
      </c>
      <c r="L3146" s="669">
        <v>19</v>
      </c>
      <c r="M3146" s="675">
        <v>22.05</v>
      </c>
      <c r="N3146" s="671">
        <f>IF(M3146-P3146&gt;0,M3146-P3146,0)</f>
        <v>4.8500000000000014</v>
      </c>
      <c r="O3146" s="671">
        <f>O3145-K3146/(PI()*(U3143/2000)^2)</f>
        <v>12.035476332252005</v>
      </c>
      <c r="P3146" s="672">
        <v>17.2</v>
      </c>
      <c r="Q3146" s="673">
        <f>ABS(O3146-P3146)</f>
        <v>5.1645236677479947</v>
      </c>
      <c r="R3146" s="375" t="s">
        <v>188</v>
      </c>
      <c r="S3146" s="366"/>
      <c r="T3146" s="376"/>
      <c r="U3146" s="376"/>
      <c r="V3146" s="366"/>
      <c r="W3146" s="366"/>
    </row>
    <row r="3147" spans="1:23">
      <c r="A3147" s="1410"/>
      <c r="B3147" s="1413"/>
      <c r="C3147" s="1113" t="s">
        <v>985</v>
      </c>
      <c r="D3147" s="875" t="str">
        <f>B3145&amp;C3147</f>
        <v>A96c</v>
      </c>
      <c r="E3147" s="367">
        <v>2</v>
      </c>
      <c r="F3147" s="669" t="s">
        <v>1154</v>
      </c>
      <c r="G3147" s="369">
        <v>0.26041666666666669</v>
      </c>
      <c r="H3147" s="368">
        <v>0.2986111111111111</v>
      </c>
      <c r="I3147" s="368">
        <v>0.32291666666666669</v>
      </c>
      <c r="J3147" s="368">
        <v>0.33333333333333331</v>
      </c>
      <c r="K3147" s="669">
        <v>13</v>
      </c>
      <c r="L3147" s="669">
        <v>19</v>
      </c>
      <c r="M3147" s="675">
        <v>9.4499999999999993</v>
      </c>
      <c r="N3147" s="671">
        <f>IF(M3147-P3147&gt;0,M3147-P3147,0)</f>
        <v>3.2499999999999991</v>
      </c>
      <c r="O3147" s="671">
        <f>O3146-K3147/(PI()*(U3143/2000)^2)</f>
        <v>0.54095266450400814</v>
      </c>
      <c r="P3147" s="672">
        <v>6.2</v>
      </c>
      <c r="Q3147" s="673">
        <f>ABS(O3147-P3147)</f>
        <v>5.659047335495992</v>
      </c>
      <c r="R3147" s="375" t="s">
        <v>188</v>
      </c>
      <c r="S3147" s="366"/>
      <c r="T3147" s="376"/>
      <c r="U3147" s="376"/>
      <c r="V3147" s="366"/>
      <c r="W3147" s="366"/>
    </row>
    <row r="3148" spans="1:23">
      <c r="A3148" s="1410"/>
      <c r="B3148" s="1413"/>
      <c r="C3148" s="1113" t="s">
        <v>986</v>
      </c>
      <c r="D3148" s="875" t="str">
        <f>B3145&amp;C3148</f>
        <v>A96d</v>
      </c>
      <c r="E3148" s="367">
        <v>3</v>
      </c>
      <c r="F3148" s="669"/>
      <c r="G3148" s="368"/>
      <c r="H3148" s="368"/>
      <c r="I3148" s="368"/>
      <c r="J3148" s="368"/>
      <c r="K3148" s="370"/>
      <c r="L3148" s="370"/>
      <c r="M3148" s="371"/>
      <c r="N3148" s="671"/>
      <c r="O3148" s="671"/>
      <c r="P3148" s="373"/>
      <c r="Q3148" s="673"/>
      <c r="R3148" s="378"/>
      <c r="S3148" s="366"/>
      <c r="T3148" s="376"/>
      <c r="U3148" s="376"/>
      <c r="V3148" s="366"/>
      <c r="W3148" s="366"/>
    </row>
    <row r="3149" spans="1:23">
      <c r="A3149" s="1410"/>
      <c r="B3149" s="1413"/>
      <c r="C3149" s="1113" t="s">
        <v>987</v>
      </c>
      <c r="D3149" s="875" t="str">
        <f>B3145&amp;C3149</f>
        <v>A96e</v>
      </c>
      <c r="E3149" s="367">
        <v>4</v>
      </c>
      <c r="F3149" s="669"/>
      <c r="G3149" s="368"/>
      <c r="H3149" s="368"/>
      <c r="I3149" s="368"/>
      <c r="J3149" s="368"/>
      <c r="K3149" s="370"/>
      <c r="L3149" s="370"/>
      <c r="M3149" s="371"/>
      <c r="N3149" s="671"/>
      <c r="O3149" s="671"/>
      <c r="P3149" s="373"/>
      <c r="Q3149" s="673"/>
      <c r="R3149" s="378"/>
      <c r="S3149" s="366"/>
      <c r="T3149" s="376"/>
      <c r="U3149" s="376"/>
      <c r="V3149" s="366"/>
      <c r="W3149" s="366"/>
    </row>
    <row r="3150" spans="1:23">
      <c r="A3150" s="1410"/>
      <c r="B3150" s="1413"/>
      <c r="C3150" s="1113" t="s">
        <v>988</v>
      </c>
      <c r="D3150" s="875" t="str">
        <f>B3145&amp;C3150</f>
        <v>A96f</v>
      </c>
      <c r="E3150" s="367">
        <v>5</v>
      </c>
      <c r="F3150" s="669"/>
      <c r="G3150" s="368"/>
      <c r="H3150" s="368"/>
      <c r="I3150" s="368"/>
      <c r="J3150" s="368"/>
      <c r="K3150" s="370"/>
      <c r="L3150" s="370"/>
      <c r="M3150" s="371"/>
      <c r="N3150" s="671"/>
      <c r="O3150" s="671"/>
      <c r="P3150" s="373"/>
      <c r="Q3150" s="673"/>
      <c r="R3150" s="378"/>
      <c r="S3150" s="366" t="s">
        <v>190</v>
      </c>
      <c r="T3150" s="376"/>
      <c r="U3150" s="376"/>
      <c r="V3150" s="366"/>
      <c r="W3150" s="366"/>
    </row>
    <row r="3151" spans="1:23">
      <c r="A3151" s="1410"/>
      <c r="B3151" s="1413"/>
      <c r="C3151" s="1113" t="s">
        <v>989</v>
      </c>
      <c r="D3151" s="875" t="str">
        <f>B3145&amp;C3151</f>
        <v>A96g</v>
      </c>
      <c r="E3151" s="367">
        <v>6</v>
      </c>
      <c r="F3151" s="669"/>
      <c r="G3151" s="368"/>
      <c r="H3151" s="368"/>
      <c r="I3151" s="368"/>
      <c r="J3151" s="368"/>
      <c r="K3151" s="370"/>
      <c r="L3151" s="370"/>
      <c r="M3151" s="371"/>
      <c r="N3151" s="671"/>
      <c r="O3151" s="671"/>
      <c r="P3151" s="373"/>
      <c r="Q3151" s="673"/>
      <c r="R3151" s="378"/>
      <c r="S3151" s="366" t="s">
        <v>190</v>
      </c>
      <c r="T3151" s="366"/>
      <c r="U3151" s="366"/>
      <c r="V3151" s="366"/>
      <c r="W3151" s="366"/>
    </row>
    <row r="3152" spans="1:23">
      <c r="A3152" s="1410"/>
      <c r="B3152" s="1413"/>
      <c r="C3152" s="1113" t="s">
        <v>990</v>
      </c>
      <c r="D3152" s="875" t="str">
        <f>B3145&amp;C3152</f>
        <v>A96h</v>
      </c>
      <c r="E3152" s="367">
        <v>7</v>
      </c>
      <c r="F3152" s="669"/>
      <c r="G3152" s="368"/>
      <c r="H3152" s="368"/>
      <c r="I3152" s="368"/>
      <c r="J3152" s="368"/>
      <c r="K3152" s="370"/>
      <c r="L3152" s="370"/>
      <c r="M3152" s="371"/>
      <c r="N3152" s="671"/>
      <c r="O3152" s="671"/>
      <c r="P3152" s="373"/>
      <c r="Q3152" s="673"/>
      <c r="R3152" s="378"/>
      <c r="S3152" s="366" t="s">
        <v>190</v>
      </c>
      <c r="T3152" s="366"/>
      <c r="U3152" s="366"/>
      <c r="V3152" s="366"/>
      <c r="W3152" s="366"/>
    </row>
    <row r="3153" spans="1:23">
      <c r="A3153" s="1410"/>
      <c r="B3153" s="1413"/>
      <c r="C3153" s="1113" t="s">
        <v>991</v>
      </c>
      <c r="D3153" s="875" t="str">
        <f>B3145&amp;C3153</f>
        <v>A96i</v>
      </c>
      <c r="E3153" s="367">
        <v>8</v>
      </c>
      <c r="F3153" s="669"/>
      <c r="G3153" s="368"/>
      <c r="H3153" s="368"/>
      <c r="I3153" s="368"/>
      <c r="J3153" s="368"/>
      <c r="K3153" s="370"/>
      <c r="L3153" s="370"/>
      <c r="M3153" s="371"/>
      <c r="N3153" s="671"/>
      <c r="O3153" s="671"/>
      <c r="P3153" s="373"/>
      <c r="Q3153" s="673"/>
      <c r="R3153" s="378"/>
      <c r="S3153" s="366"/>
      <c r="T3153" s="366"/>
      <c r="U3153" s="366"/>
      <c r="V3153" s="366"/>
      <c r="W3153" s="366"/>
    </row>
    <row r="3154" spans="1:23">
      <c r="A3154" s="1410"/>
      <c r="B3154" s="1413"/>
      <c r="C3154" s="1113" t="s">
        <v>992</v>
      </c>
      <c r="D3154" s="875" t="str">
        <f>B3145&amp;C3154</f>
        <v>A96k</v>
      </c>
      <c r="E3154" s="367">
        <v>9</v>
      </c>
      <c r="F3154" s="370"/>
      <c r="G3154" s="368"/>
      <c r="H3154" s="368"/>
      <c r="I3154" s="368"/>
      <c r="J3154" s="368"/>
      <c r="K3154" s="370"/>
      <c r="L3154" s="370"/>
      <c r="M3154" s="371"/>
      <c r="N3154" s="372"/>
      <c r="O3154" s="372"/>
      <c r="P3154" s="373"/>
      <c r="Q3154" s="374"/>
      <c r="R3154" s="378"/>
      <c r="S3154" s="379"/>
      <c r="T3154" s="366"/>
      <c r="U3154" s="366"/>
      <c r="V3154" s="366"/>
      <c r="W3154" s="366"/>
    </row>
    <row r="3155" spans="1:23">
      <c r="A3155" s="1410"/>
      <c r="B3155" s="1413"/>
      <c r="C3155" s="1113" t="s">
        <v>993</v>
      </c>
      <c r="D3155" s="875" t="str">
        <f>B3145&amp;C3155</f>
        <v>A96l</v>
      </c>
      <c r="E3155" s="367">
        <v>10</v>
      </c>
      <c r="F3155" s="370"/>
      <c r="G3155" s="368"/>
      <c r="H3155" s="368"/>
      <c r="I3155" s="368"/>
      <c r="J3155" s="368"/>
      <c r="K3155" s="370"/>
      <c r="L3155" s="370"/>
      <c r="M3155" s="370"/>
      <c r="N3155" s="372"/>
      <c r="O3155" s="372"/>
      <c r="P3155" s="373"/>
      <c r="Q3155" s="374"/>
      <c r="R3155" s="378"/>
      <c r="S3155" s="379"/>
      <c r="T3155" s="366"/>
      <c r="U3155" s="366"/>
      <c r="V3155" s="366"/>
      <c r="W3155" s="366"/>
    </row>
    <row r="3156" spans="1:23">
      <c r="A3156" s="1410"/>
      <c r="B3156" s="1413"/>
      <c r="C3156" s="1113" t="s">
        <v>994</v>
      </c>
      <c r="D3156" s="875" t="str">
        <f>B3145&amp;C3156</f>
        <v>A96m</v>
      </c>
      <c r="E3156" s="367">
        <v>11</v>
      </c>
      <c r="F3156" s="370"/>
      <c r="G3156" s="368"/>
      <c r="H3156" s="368"/>
      <c r="I3156" s="368"/>
      <c r="J3156" s="368"/>
      <c r="K3156" s="370"/>
      <c r="L3156" s="370"/>
      <c r="M3156" s="370"/>
      <c r="N3156" s="372"/>
      <c r="O3156" s="372"/>
      <c r="P3156" s="380"/>
      <c r="Q3156" s="374"/>
      <c r="R3156" s="381"/>
      <c r="S3156" s="379"/>
      <c r="T3156" s="366"/>
      <c r="U3156" s="366"/>
      <c r="V3156" s="366"/>
      <c r="W3156" s="366"/>
    </row>
    <row r="3157" spans="1:23">
      <c r="A3157" s="1410"/>
      <c r="B3157" s="1413"/>
      <c r="C3157" s="1113" t="s">
        <v>995</v>
      </c>
      <c r="D3157" s="875" t="str">
        <f>B3145&amp;C3157</f>
        <v>A96n</v>
      </c>
      <c r="E3157" s="367">
        <v>12</v>
      </c>
      <c r="F3157" s="370"/>
      <c r="G3157" s="368"/>
      <c r="H3157" s="368"/>
      <c r="I3157" s="368"/>
      <c r="J3157" s="368"/>
      <c r="K3157" s="370"/>
      <c r="L3157" s="370"/>
      <c r="M3157" s="370"/>
      <c r="N3157" s="372"/>
      <c r="O3157" s="372"/>
      <c r="P3157" s="380"/>
      <c r="Q3157" s="374"/>
      <c r="R3157" s="381"/>
      <c r="S3157" s="361"/>
      <c r="T3157" s="361"/>
      <c r="U3157" s="361"/>
      <c r="V3157" s="366"/>
      <c r="W3157" s="366"/>
    </row>
    <row r="3158" spans="1:23">
      <c r="A3158" s="1410"/>
      <c r="B3158" s="1413"/>
      <c r="C3158" s="1113" t="s">
        <v>471</v>
      </c>
      <c r="D3158" s="875" t="str">
        <f>B3145&amp;C3158</f>
        <v>A96x</v>
      </c>
      <c r="E3158" s="367">
        <v>13</v>
      </c>
      <c r="F3158" s="370"/>
      <c r="G3158" s="368"/>
      <c r="H3158" s="368"/>
      <c r="I3158" s="368"/>
      <c r="J3158" s="368"/>
      <c r="K3158" s="370"/>
      <c r="L3158" s="370"/>
      <c r="M3158" s="370"/>
      <c r="N3158" s="382"/>
      <c r="O3158" s="372"/>
      <c r="P3158" s="380"/>
      <c r="Q3158" s="381"/>
      <c r="R3158" s="381"/>
      <c r="S3158" s="361"/>
      <c r="T3158" s="361"/>
      <c r="U3158" s="361"/>
      <c r="V3158" s="366"/>
      <c r="W3158" s="366"/>
    </row>
    <row r="3159" spans="1:23">
      <c r="A3159" s="1410"/>
      <c r="B3159" s="1413"/>
      <c r="C3159" s="1113" t="s">
        <v>732</v>
      </c>
      <c r="D3159" s="875" t="str">
        <f>B3145&amp;C3159</f>
        <v>A96y</v>
      </c>
      <c r="E3159" s="367">
        <v>14</v>
      </c>
      <c r="F3159" s="370"/>
      <c r="G3159" s="368"/>
      <c r="H3159" s="368"/>
      <c r="I3159" s="368"/>
      <c r="J3159" s="368"/>
      <c r="K3159" s="370"/>
      <c r="L3159" s="370"/>
      <c r="M3159" s="370"/>
      <c r="N3159" s="382"/>
      <c r="O3159" s="372"/>
      <c r="P3159" s="380"/>
      <c r="Q3159" s="381"/>
      <c r="R3159" s="381"/>
      <c r="S3159" s="361"/>
      <c r="T3159" s="361"/>
      <c r="U3159" s="362"/>
      <c r="V3159" s="366"/>
      <c r="W3159" s="366"/>
    </row>
    <row r="3160" spans="1:23">
      <c r="A3160" s="1411"/>
      <c r="B3160" s="1414"/>
      <c r="C3160" s="1114" t="s">
        <v>996</v>
      </c>
      <c r="D3160" s="876" t="str">
        <f>B3145&amp;C3160</f>
        <v>A96z</v>
      </c>
      <c r="E3160" s="847">
        <v>15</v>
      </c>
      <c r="F3160" s="370"/>
      <c r="G3160" s="368"/>
      <c r="H3160" s="368"/>
      <c r="I3160" s="368"/>
      <c r="J3160" s="368"/>
      <c r="K3160" s="370"/>
      <c r="L3160" s="370"/>
      <c r="M3160" s="370"/>
      <c r="N3160" s="850"/>
      <c r="O3160" s="851"/>
      <c r="P3160" s="380"/>
      <c r="Q3160" s="852"/>
      <c r="R3160" s="383"/>
      <c r="S3160" s="361"/>
      <c r="T3160" s="1111"/>
      <c r="U3160" s="1110"/>
      <c r="V3160" s="366"/>
      <c r="W3160" s="366"/>
    </row>
    <row r="3161" spans="1:23">
      <c r="A3161" s="1400" t="s">
        <v>939</v>
      </c>
      <c r="B3161" s="1400"/>
      <c r="C3161" s="1122"/>
      <c r="D3161" s="871"/>
      <c r="E3161" s="1400" t="s">
        <v>177</v>
      </c>
      <c r="F3161" s="1400" t="s">
        <v>18</v>
      </c>
      <c r="G3161" s="1389" t="s">
        <v>19</v>
      </c>
      <c r="H3161" s="1390"/>
      <c r="I3161" s="1389" t="s">
        <v>22</v>
      </c>
      <c r="J3161" s="1390"/>
      <c r="K3161" s="1393" t="s">
        <v>26</v>
      </c>
      <c r="L3161" s="1390"/>
      <c r="M3161" s="1389" t="s">
        <v>392</v>
      </c>
      <c r="N3161" s="1390"/>
      <c r="O3161" s="1389" t="s">
        <v>28</v>
      </c>
      <c r="P3161" s="1393"/>
      <c r="Q3161" s="1390"/>
      <c r="R3161" s="1400" t="s">
        <v>36</v>
      </c>
      <c r="S3161" s="361"/>
      <c r="T3161" s="361">
        <f>MAX(J3165:J3179)-MIN(I3165:I3179)</f>
        <v>4.8611111111110938E-2</v>
      </c>
      <c r="U3161" s="361"/>
      <c r="V3161" s="853" t="str">
        <f t="shared" ref="V3161" si="382">B3165</f>
        <v>A22</v>
      </c>
      <c r="W3161" s="361">
        <f t="shared" ref="W3161" si="383">COUNTIF(K3166:K3180,"&gt;0")</f>
        <v>3</v>
      </c>
    </row>
    <row r="3162" spans="1:23">
      <c r="A3162" s="1401"/>
      <c r="B3162" s="1401"/>
      <c r="C3162" s="1123"/>
      <c r="D3162" s="872"/>
      <c r="E3162" s="1401"/>
      <c r="F3162" s="1401"/>
      <c r="G3162" s="1391"/>
      <c r="H3162" s="1392"/>
      <c r="I3162" s="1391"/>
      <c r="J3162" s="1392"/>
      <c r="K3162" s="1394"/>
      <c r="L3162" s="1392"/>
      <c r="M3162" s="1391"/>
      <c r="N3162" s="1392"/>
      <c r="O3162" s="1391"/>
      <c r="P3162" s="1394"/>
      <c r="Q3162" s="1392"/>
      <c r="R3162" s="1401"/>
      <c r="S3162" s="361"/>
      <c r="T3162" s="361"/>
      <c r="U3162" s="361"/>
      <c r="V3162" s="361"/>
      <c r="W3162" s="361"/>
    </row>
    <row r="3163" spans="1:23">
      <c r="A3163" s="1401"/>
      <c r="B3163" s="1401"/>
      <c r="C3163" s="1123"/>
      <c r="D3163" s="872"/>
      <c r="E3163" s="1401"/>
      <c r="F3163" s="1401"/>
      <c r="G3163" s="1400" t="s">
        <v>20</v>
      </c>
      <c r="H3163" s="1400" t="s">
        <v>21</v>
      </c>
      <c r="I3163" s="1400" t="s">
        <v>361</v>
      </c>
      <c r="J3163" s="1400" t="s">
        <v>353</v>
      </c>
      <c r="K3163" s="1400" t="s">
        <v>23</v>
      </c>
      <c r="L3163" s="1400" t="s">
        <v>24</v>
      </c>
      <c r="M3163" s="1400" t="s">
        <v>27</v>
      </c>
      <c r="N3163" s="1400" t="s">
        <v>178</v>
      </c>
      <c r="O3163" s="1400" t="s">
        <v>1</v>
      </c>
      <c r="P3163" s="1400" t="s">
        <v>29</v>
      </c>
      <c r="Q3163" s="1400" t="s">
        <v>33</v>
      </c>
      <c r="R3163" s="1401"/>
      <c r="S3163" s="361"/>
      <c r="T3163" s="361" t="s">
        <v>39</v>
      </c>
      <c r="U3163" s="362">
        <f>VLOOKUP(B3165,'Thong tin'!$A:$M,13,0)</f>
        <v>1200</v>
      </c>
      <c r="V3163" s="361"/>
      <c r="W3163" s="361"/>
    </row>
    <row r="3164" spans="1:23">
      <c r="A3164" s="1402"/>
      <c r="B3164" s="1402"/>
      <c r="C3164" s="1124"/>
      <c r="D3164" s="873"/>
      <c r="E3164" s="1402"/>
      <c r="F3164" s="1402"/>
      <c r="G3164" s="1402"/>
      <c r="H3164" s="1402"/>
      <c r="I3164" s="1402"/>
      <c r="J3164" s="1402"/>
      <c r="K3164" s="1402"/>
      <c r="L3164" s="1402"/>
      <c r="M3164" s="1402"/>
      <c r="N3164" s="1402"/>
      <c r="O3164" s="1402"/>
      <c r="P3164" s="1402"/>
      <c r="Q3164" s="1402"/>
      <c r="R3164" s="1402"/>
      <c r="S3164" s="361"/>
      <c r="T3164" s="1399" t="s">
        <v>393</v>
      </c>
      <c r="U3164" s="1397">
        <f>VLOOKUP(B3165,DT.NK!$B:$AZ,45,0)</f>
        <v>28.45</v>
      </c>
      <c r="V3164" s="361"/>
      <c r="W3164" s="361"/>
    </row>
    <row r="3165" spans="1:23">
      <c r="A3165" s="1409">
        <f>A3145+1</f>
        <v>159</v>
      </c>
      <c r="B3165" s="1412" t="s">
        <v>593</v>
      </c>
      <c r="C3165" s="1125" t="s">
        <v>983</v>
      </c>
      <c r="D3165" s="874" t="str">
        <f>B3165&amp;C3165</f>
        <v>A22a</v>
      </c>
      <c r="E3165" s="363"/>
      <c r="F3165" s="364"/>
      <c r="G3165" s="364"/>
      <c r="H3165" s="364"/>
      <c r="I3165" s="364"/>
      <c r="J3165" s="364"/>
      <c r="K3165" s="364"/>
      <c r="L3165" s="364"/>
      <c r="M3165" s="674"/>
      <c r="N3165" s="670"/>
      <c r="O3165" s="670">
        <f>U3164</f>
        <v>28.45</v>
      </c>
      <c r="P3165" s="670">
        <f>O3165</f>
        <v>28.45</v>
      </c>
      <c r="Q3165" s="670">
        <v>0</v>
      </c>
      <c r="R3165" s="365"/>
      <c r="S3165" s="366"/>
      <c r="T3165" s="1399"/>
      <c r="U3165" s="1398"/>
      <c r="V3165" s="361"/>
      <c r="W3165" s="361"/>
    </row>
    <row r="3166" spans="1:23">
      <c r="A3166" s="1410"/>
      <c r="B3166" s="1413"/>
      <c r="C3166" s="1126" t="s">
        <v>984</v>
      </c>
      <c r="D3166" s="875" t="str">
        <f>B3165&amp;C3166</f>
        <v>A22b</v>
      </c>
      <c r="E3166" s="367">
        <v>1</v>
      </c>
      <c r="F3166" s="669" t="s">
        <v>1159</v>
      </c>
      <c r="G3166" s="369">
        <v>0.72916666666666663</v>
      </c>
      <c r="H3166" s="368">
        <v>0.75347222222222221</v>
      </c>
      <c r="I3166" s="368">
        <v>0.75694444444444453</v>
      </c>
      <c r="J3166" s="368">
        <v>0.76041666666666663</v>
      </c>
      <c r="K3166" s="669">
        <v>10</v>
      </c>
      <c r="L3166" s="669">
        <v>19</v>
      </c>
      <c r="M3166" s="675">
        <v>25.2</v>
      </c>
      <c r="N3166" s="671">
        <f>IF(M3166-P3166&gt;0,M3166-P3166,0)</f>
        <v>2.6999999999999993</v>
      </c>
      <c r="O3166" s="671">
        <f>O3165-K3166/(PI()*(U3163/2000)^2)</f>
        <v>19.608058717116926</v>
      </c>
      <c r="P3166" s="672">
        <v>22.5</v>
      </c>
      <c r="Q3166" s="673">
        <f>ABS(O3166-P3166)</f>
        <v>2.8919412828830744</v>
      </c>
      <c r="R3166" s="375" t="s">
        <v>188</v>
      </c>
      <c r="S3166" s="366"/>
      <c r="T3166" s="376"/>
      <c r="U3166" s="376"/>
      <c r="V3166" s="366"/>
      <c r="W3166" s="366"/>
    </row>
    <row r="3167" spans="1:23">
      <c r="A3167" s="1410"/>
      <c r="B3167" s="1413"/>
      <c r="C3167" s="1126" t="s">
        <v>985</v>
      </c>
      <c r="D3167" s="875" t="str">
        <f>B3165&amp;C3167</f>
        <v>A22c</v>
      </c>
      <c r="E3167" s="367">
        <v>2</v>
      </c>
      <c r="F3167" s="669" t="s">
        <v>1160</v>
      </c>
      <c r="G3167" s="369">
        <v>0.73611111111111116</v>
      </c>
      <c r="H3167" s="368">
        <v>0.76388888888888884</v>
      </c>
      <c r="I3167" s="368">
        <v>0.76736111111111116</v>
      </c>
      <c r="J3167" s="368">
        <v>0.77083333333333337</v>
      </c>
      <c r="K3167" s="669">
        <v>10</v>
      </c>
      <c r="L3167" s="669">
        <v>19.5</v>
      </c>
      <c r="M3167" s="675">
        <v>18.899999999999999</v>
      </c>
      <c r="N3167" s="671">
        <f>IF(M3167-P3167&gt;0,M3167-P3167,0)</f>
        <v>4.0499999999999989</v>
      </c>
      <c r="O3167" s="671">
        <f>O3166-K3167/(PI()*(U3163/2000)^2)</f>
        <v>10.766117434233852</v>
      </c>
      <c r="P3167" s="672">
        <v>14.85</v>
      </c>
      <c r="Q3167" s="673">
        <f>ABS(O3167-P3167)</f>
        <v>4.0838825657661477</v>
      </c>
      <c r="R3167" s="375" t="s">
        <v>188</v>
      </c>
      <c r="S3167" s="366"/>
      <c r="T3167" s="376"/>
      <c r="U3167" s="376"/>
      <c r="V3167" s="366"/>
      <c r="W3167" s="366"/>
    </row>
    <row r="3168" spans="1:23">
      <c r="A3168" s="1410"/>
      <c r="B3168" s="1413"/>
      <c r="C3168" s="1126" t="s">
        <v>986</v>
      </c>
      <c r="D3168" s="875" t="str">
        <f>B3165&amp;C3168</f>
        <v>A22d</v>
      </c>
      <c r="E3168" s="367">
        <v>3</v>
      </c>
      <c r="F3168" s="669" t="s">
        <v>1161</v>
      </c>
      <c r="G3168" s="368">
        <v>0.78125</v>
      </c>
      <c r="H3168" s="368">
        <v>0.79861111111111116</v>
      </c>
      <c r="I3168" s="368">
        <v>0.80208333333333337</v>
      </c>
      <c r="J3168" s="368">
        <v>0.80555555555555547</v>
      </c>
      <c r="K3168" s="370">
        <v>10</v>
      </c>
      <c r="L3168" s="370">
        <v>20</v>
      </c>
      <c r="M3168" s="371"/>
      <c r="N3168" s="671">
        <f>IF(M3168-P3168&gt;0,M3168-P3168,0)</f>
        <v>0</v>
      </c>
      <c r="O3168" s="671">
        <f>O3167-K3168/(PI()*(U3163/2000)^2)</f>
        <v>1.9241761513507782</v>
      </c>
      <c r="P3168" s="373">
        <v>6.4</v>
      </c>
      <c r="Q3168" s="673">
        <f>ABS(O3168-P3168)</f>
        <v>4.4758238486492221</v>
      </c>
      <c r="R3168" s="378"/>
      <c r="S3168" s="366"/>
      <c r="T3168" s="376"/>
      <c r="U3168" s="376"/>
      <c r="V3168" s="366"/>
      <c r="W3168" s="366"/>
    </row>
    <row r="3169" spans="1:23">
      <c r="A3169" s="1410"/>
      <c r="B3169" s="1413"/>
      <c r="C3169" s="1126" t="s">
        <v>987</v>
      </c>
      <c r="D3169" s="875" t="str">
        <f>B3165&amp;C3169</f>
        <v>A22e</v>
      </c>
      <c r="E3169" s="367">
        <v>4</v>
      </c>
      <c r="F3169" s="669"/>
      <c r="G3169" s="368"/>
      <c r="H3169" s="368"/>
      <c r="I3169" s="368"/>
      <c r="J3169" s="368"/>
      <c r="K3169" s="370"/>
      <c r="L3169" s="370"/>
      <c r="M3169" s="371"/>
      <c r="N3169" s="671"/>
      <c r="O3169" s="671"/>
      <c r="P3169" s="373"/>
      <c r="Q3169" s="673"/>
      <c r="R3169" s="378"/>
      <c r="S3169" s="366"/>
      <c r="T3169" s="376"/>
      <c r="U3169" s="376"/>
      <c r="V3169" s="366"/>
      <c r="W3169" s="366"/>
    </row>
    <row r="3170" spans="1:23">
      <c r="A3170" s="1410"/>
      <c r="B3170" s="1413"/>
      <c r="C3170" s="1126" t="s">
        <v>988</v>
      </c>
      <c r="D3170" s="875" t="str">
        <f>B3165&amp;C3170</f>
        <v>A22f</v>
      </c>
      <c r="E3170" s="367">
        <v>5</v>
      </c>
      <c r="F3170" s="669"/>
      <c r="G3170" s="368"/>
      <c r="H3170" s="368"/>
      <c r="I3170" s="368"/>
      <c r="J3170" s="368"/>
      <c r="K3170" s="370"/>
      <c r="L3170" s="370"/>
      <c r="M3170" s="371"/>
      <c r="N3170" s="671"/>
      <c r="O3170" s="671"/>
      <c r="P3170" s="373"/>
      <c r="Q3170" s="673"/>
      <c r="R3170" s="378"/>
      <c r="S3170" s="366" t="s">
        <v>190</v>
      </c>
      <c r="T3170" s="376"/>
      <c r="U3170" s="376"/>
      <c r="V3170" s="366"/>
      <c r="W3170" s="366"/>
    </row>
    <row r="3171" spans="1:23">
      <c r="A3171" s="1410"/>
      <c r="B3171" s="1413"/>
      <c r="C3171" s="1126" t="s">
        <v>989</v>
      </c>
      <c r="D3171" s="875" t="str">
        <f>B3165&amp;C3171</f>
        <v>A22g</v>
      </c>
      <c r="E3171" s="367">
        <v>6</v>
      </c>
      <c r="F3171" s="669"/>
      <c r="G3171" s="368"/>
      <c r="H3171" s="368"/>
      <c r="I3171" s="368"/>
      <c r="J3171" s="368"/>
      <c r="K3171" s="370"/>
      <c r="L3171" s="370"/>
      <c r="M3171" s="371"/>
      <c r="N3171" s="671"/>
      <c r="O3171" s="671"/>
      <c r="P3171" s="373"/>
      <c r="Q3171" s="673"/>
      <c r="R3171" s="378"/>
      <c r="S3171" s="366" t="s">
        <v>190</v>
      </c>
      <c r="T3171" s="366"/>
      <c r="U3171" s="366"/>
      <c r="V3171" s="366"/>
      <c r="W3171" s="366"/>
    </row>
    <row r="3172" spans="1:23">
      <c r="A3172" s="1410"/>
      <c r="B3172" s="1413"/>
      <c r="C3172" s="1126" t="s">
        <v>990</v>
      </c>
      <c r="D3172" s="875" t="str">
        <f>B3165&amp;C3172</f>
        <v>A22h</v>
      </c>
      <c r="E3172" s="367">
        <v>7</v>
      </c>
      <c r="F3172" s="669"/>
      <c r="G3172" s="368"/>
      <c r="H3172" s="368"/>
      <c r="I3172" s="368"/>
      <c r="J3172" s="368"/>
      <c r="K3172" s="370"/>
      <c r="L3172" s="370"/>
      <c r="M3172" s="371"/>
      <c r="N3172" s="671"/>
      <c r="O3172" s="671"/>
      <c r="P3172" s="373"/>
      <c r="Q3172" s="673"/>
      <c r="R3172" s="378"/>
      <c r="S3172" s="366" t="s">
        <v>190</v>
      </c>
      <c r="T3172" s="366"/>
      <c r="U3172" s="366"/>
      <c r="V3172" s="366"/>
      <c r="W3172" s="366"/>
    </row>
    <row r="3173" spans="1:23">
      <c r="A3173" s="1410"/>
      <c r="B3173" s="1413"/>
      <c r="C3173" s="1126" t="s">
        <v>991</v>
      </c>
      <c r="D3173" s="875" t="str">
        <f>B3165&amp;C3173</f>
        <v>A22i</v>
      </c>
      <c r="E3173" s="367">
        <v>8</v>
      </c>
      <c r="F3173" s="669"/>
      <c r="G3173" s="368"/>
      <c r="H3173" s="368"/>
      <c r="I3173" s="368"/>
      <c r="J3173" s="368"/>
      <c r="K3173" s="370"/>
      <c r="L3173" s="370"/>
      <c r="M3173" s="371"/>
      <c r="N3173" s="671"/>
      <c r="O3173" s="671"/>
      <c r="P3173" s="373"/>
      <c r="Q3173" s="673"/>
      <c r="R3173" s="378"/>
      <c r="S3173" s="366"/>
      <c r="T3173" s="366"/>
      <c r="U3173" s="366"/>
      <c r="V3173" s="366"/>
      <c r="W3173" s="366"/>
    </row>
    <row r="3174" spans="1:23">
      <c r="A3174" s="1410"/>
      <c r="B3174" s="1413"/>
      <c r="C3174" s="1126" t="s">
        <v>992</v>
      </c>
      <c r="D3174" s="875" t="str">
        <f>B3165&amp;C3174</f>
        <v>A22k</v>
      </c>
      <c r="E3174" s="367">
        <v>9</v>
      </c>
      <c r="F3174" s="370"/>
      <c r="G3174" s="368"/>
      <c r="H3174" s="368"/>
      <c r="I3174" s="368"/>
      <c r="J3174" s="368"/>
      <c r="K3174" s="370"/>
      <c r="L3174" s="370"/>
      <c r="M3174" s="371"/>
      <c r="N3174" s="372"/>
      <c r="O3174" s="372"/>
      <c r="P3174" s="373"/>
      <c r="Q3174" s="374"/>
      <c r="R3174" s="378"/>
      <c r="S3174" s="379"/>
      <c r="T3174" s="366"/>
      <c r="U3174" s="366"/>
      <c r="V3174" s="366"/>
      <c r="W3174" s="366"/>
    </row>
    <row r="3175" spans="1:23">
      <c r="A3175" s="1410"/>
      <c r="B3175" s="1413"/>
      <c r="C3175" s="1126" t="s">
        <v>993</v>
      </c>
      <c r="D3175" s="875" t="str">
        <f>B3165&amp;C3175</f>
        <v>A22l</v>
      </c>
      <c r="E3175" s="367">
        <v>10</v>
      </c>
      <c r="F3175" s="370"/>
      <c r="G3175" s="368"/>
      <c r="H3175" s="368"/>
      <c r="I3175" s="368"/>
      <c r="J3175" s="368"/>
      <c r="K3175" s="370"/>
      <c r="L3175" s="370"/>
      <c r="M3175" s="370"/>
      <c r="N3175" s="372"/>
      <c r="O3175" s="372"/>
      <c r="P3175" s="373"/>
      <c r="Q3175" s="374"/>
      <c r="R3175" s="378"/>
      <c r="S3175" s="379"/>
      <c r="T3175" s="366"/>
      <c r="U3175" s="366"/>
      <c r="V3175" s="366"/>
      <c r="W3175" s="366"/>
    </row>
    <row r="3176" spans="1:23">
      <c r="A3176" s="1410"/>
      <c r="B3176" s="1413"/>
      <c r="C3176" s="1126" t="s">
        <v>994</v>
      </c>
      <c r="D3176" s="875" t="str">
        <f>B3165&amp;C3176</f>
        <v>A22m</v>
      </c>
      <c r="E3176" s="367">
        <v>11</v>
      </c>
      <c r="F3176" s="370"/>
      <c r="G3176" s="368"/>
      <c r="H3176" s="368"/>
      <c r="I3176" s="368"/>
      <c r="J3176" s="368"/>
      <c r="K3176" s="370"/>
      <c r="L3176" s="370"/>
      <c r="M3176" s="370"/>
      <c r="N3176" s="372"/>
      <c r="O3176" s="372"/>
      <c r="P3176" s="380"/>
      <c r="Q3176" s="374"/>
      <c r="R3176" s="381"/>
      <c r="S3176" s="379"/>
      <c r="T3176" s="366"/>
      <c r="U3176" s="366"/>
      <c r="V3176" s="366"/>
      <c r="W3176" s="366"/>
    </row>
    <row r="3177" spans="1:23">
      <c r="A3177" s="1410"/>
      <c r="B3177" s="1413"/>
      <c r="C3177" s="1126" t="s">
        <v>995</v>
      </c>
      <c r="D3177" s="875" t="str">
        <f>B3165&amp;C3177</f>
        <v>A22n</v>
      </c>
      <c r="E3177" s="367">
        <v>12</v>
      </c>
      <c r="F3177" s="370"/>
      <c r="G3177" s="368"/>
      <c r="H3177" s="368"/>
      <c r="I3177" s="368"/>
      <c r="J3177" s="368"/>
      <c r="K3177" s="370"/>
      <c r="L3177" s="370"/>
      <c r="M3177" s="370"/>
      <c r="N3177" s="372"/>
      <c r="O3177" s="372"/>
      <c r="P3177" s="380"/>
      <c r="Q3177" s="374"/>
      <c r="R3177" s="381"/>
      <c r="S3177" s="361"/>
      <c r="T3177" s="361"/>
      <c r="U3177" s="361"/>
      <c r="V3177" s="366"/>
      <c r="W3177" s="366"/>
    </row>
    <row r="3178" spans="1:23">
      <c r="A3178" s="1410"/>
      <c r="B3178" s="1413"/>
      <c r="C3178" s="1126" t="s">
        <v>471</v>
      </c>
      <c r="D3178" s="875" t="str">
        <f>B3165&amp;C3178</f>
        <v>A22x</v>
      </c>
      <c r="E3178" s="367">
        <v>13</v>
      </c>
      <c r="F3178" s="370"/>
      <c r="G3178" s="368"/>
      <c r="H3178" s="368"/>
      <c r="I3178" s="368"/>
      <c r="J3178" s="368"/>
      <c r="K3178" s="370"/>
      <c r="L3178" s="370"/>
      <c r="M3178" s="370"/>
      <c r="N3178" s="382"/>
      <c r="O3178" s="372"/>
      <c r="P3178" s="380"/>
      <c r="Q3178" s="381"/>
      <c r="R3178" s="381"/>
      <c r="S3178" s="361"/>
      <c r="T3178" s="361"/>
      <c r="U3178" s="361"/>
      <c r="V3178" s="366"/>
      <c r="W3178" s="366"/>
    </row>
    <row r="3179" spans="1:23">
      <c r="A3179" s="1410"/>
      <c r="B3179" s="1413"/>
      <c r="C3179" s="1126" t="s">
        <v>732</v>
      </c>
      <c r="D3179" s="875" t="str">
        <f>B3165&amp;C3179</f>
        <v>A22y</v>
      </c>
      <c r="E3179" s="367">
        <v>14</v>
      </c>
      <c r="F3179" s="370"/>
      <c r="G3179" s="368"/>
      <c r="H3179" s="368"/>
      <c r="I3179" s="368"/>
      <c r="J3179" s="368"/>
      <c r="K3179" s="370"/>
      <c r="L3179" s="370"/>
      <c r="M3179" s="370"/>
      <c r="N3179" s="382"/>
      <c r="O3179" s="372"/>
      <c r="P3179" s="380"/>
      <c r="Q3179" s="381"/>
      <c r="R3179" s="381"/>
      <c r="S3179" s="361"/>
      <c r="T3179" s="361"/>
      <c r="U3179" s="362"/>
      <c r="V3179" s="366"/>
      <c r="W3179" s="366"/>
    </row>
    <row r="3180" spans="1:23">
      <c r="A3180" s="1411"/>
      <c r="B3180" s="1414"/>
      <c r="C3180" s="1127" t="s">
        <v>996</v>
      </c>
      <c r="D3180" s="876" t="str">
        <f>B3165&amp;C3180</f>
        <v>A22z</v>
      </c>
      <c r="E3180" s="847">
        <v>15</v>
      </c>
      <c r="F3180" s="370"/>
      <c r="G3180" s="368"/>
      <c r="H3180" s="368"/>
      <c r="I3180" s="368"/>
      <c r="J3180" s="368"/>
      <c r="K3180" s="370"/>
      <c r="L3180" s="370"/>
      <c r="M3180" s="370"/>
      <c r="N3180" s="850"/>
      <c r="O3180" s="851"/>
      <c r="P3180" s="380"/>
      <c r="Q3180" s="852"/>
      <c r="R3180" s="383"/>
      <c r="S3180" s="361"/>
      <c r="T3180" s="1121"/>
      <c r="U3180" s="1120"/>
      <c r="V3180" s="366"/>
      <c r="W3180" s="366"/>
    </row>
    <row r="3181" spans="1:23">
      <c r="A3181" s="1400" t="s">
        <v>939</v>
      </c>
      <c r="B3181" s="1400"/>
      <c r="C3181" s="1122"/>
      <c r="D3181" s="871"/>
      <c r="E3181" s="1400" t="s">
        <v>177</v>
      </c>
      <c r="F3181" s="1400" t="s">
        <v>18</v>
      </c>
      <c r="G3181" s="1389" t="s">
        <v>19</v>
      </c>
      <c r="H3181" s="1390"/>
      <c r="I3181" s="1389" t="s">
        <v>22</v>
      </c>
      <c r="J3181" s="1390"/>
      <c r="K3181" s="1393" t="s">
        <v>26</v>
      </c>
      <c r="L3181" s="1390"/>
      <c r="M3181" s="1389" t="s">
        <v>392</v>
      </c>
      <c r="N3181" s="1390"/>
      <c r="O3181" s="1389" t="s">
        <v>28</v>
      </c>
      <c r="P3181" s="1393"/>
      <c r="Q3181" s="1390"/>
      <c r="R3181" s="1400" t="s">
        <v>36</v>
      </c>
      <c r="S3181" s="361"/>
      <c r="T3181" s="361">
        <f>MAX(J3185:J3199)-MIN(I3185:I3199)</f>
        <v>0.12152777777777779</v>
      </c>
      <c r="U3181" s="361"/>
      <c r="V3181" s="853" t="str">
        <f t="shared" ref="V3181" si="384">B3185</f>
        <v>A89</v>
      </c>
      <c r="W3181" s="361">
        <f t="shared" ref="W3181" si="385">COUNTIF(K3186:K3200,"&gt;0")</f>
        <v>6</v>
      </c>
    </row>
    <row r="3182" spans="1:23">
      <c r="A3182" s="1401"/>
      <c r="B3182" s="1401"/>
      <c r="C3182" s="1123"/>
      <c r="D3182" s="872"/>
      <c r="E3182" s="1401"/>
      <c r="F3182" s="1401"/>
      <c r="G3182" s="1391"/>
      <c r="H3182" s="1392"/>
      <c r="I3182" s="1391"/>
      <c r="J3182" s="1392"/>
      <c r="K3182" s="1394"/>
      <c r="L3182" s="1392"/>
      <c r="M3182" s="1391"/>
      <c r="N3182" s="1392"/>
      <c r="O3182" s="1391"/>
      <c r="P3182" s="1394"/>
      <c r="Q3182" s="1392"/>
      <c r="R3182" s="1401"/>
      <c r="S3182" s="361"/>
      <c r="T3182" s="361"/>
      <c r="U3182" s="361"/>
      <c r="V3182" s="361"/>
      <c r="W3182" s="361"/>
    </row>
    <row r="3183" spans="1:23">
      <c r="A3183" s="1401"/>
      <c r="B3183" s="1401"/>
      <c r="C3183" s="1123"/>
      <c r="D3183" s="872"/>
      <c r="E3183" s="1401"/>
      <c r="F3183" s="1401"/>
      <c r="G3183" s="1400" t="s">
        <v>20</v>
      </c>
      <c r="H3183" s="1400" t="s">
        <v>21</v>
      </c>
      <c r="I3183" s="1400" t="s">
        <v>361</v>
      </c>
      <c r="J3183" s="1400" t="s">
        <v>353</v>
      </c>
      <c r="K3183" s="1400" t="s">
        <v>23</v>
      </c>
      <c r="L3183" s="1400" t="s">
        <v>24</v>
      </c>
      <c r="M3183" s="1400" t="s">
        <v>27</v>
      </c>
      <c r="N3183" s="1400" t="s">
        <v>178</v>
      </c>
      <c r="O3183" s="1400" t="s">
        <v>1</v>
      </c>
      <c r="P3183" s="1400" t="s">
        <v>29</v>
      </c>
      <c r="Q3183" s="1400" t="s">
        <v>33</v>
      </c>
      <c r="R3183" s="1401"/>
      <c r="S3183" s="361"/>
      <c r="T3183" s="361" t="s">
        <v>39</v>
      </c>
      <c r="U3183" s="362">
        <f>VLOOKUP(B3185,'Thong tin'!$A:$M,13,0)</f>
        <v>1200</v>
      </c>
      <c r="V3183" s="361"/>
      <c r="W3183" s="361"/>
    </row>
    <row r="3184" spans="1:23">
      <c r="A3184" s="1402"/>
      <c r="B3184" s="1402"/>
      <c r="C3184" s="1124"/>
      <c r="D3184" s="873"/>
      <c r="E3184" s="1402"/>
      <c r="F3184" s="1402"/>
      <c r="G3184" s="1402"/>
      <c r="H3184" s="1402"/>
      <c r="I3184" s="1402"/>
      <c r="J3184" s="1402"/>
      <c r="K3184" s="1402"/>
      <c r="L3184" s="1402"/>
      <c r="M3184" s="1402"/>
      <c r="N3184" s="1402"/>
      <c r="O3184" s="1402"/>
      <c r="P3184" s="1402"/>
      <c r="Q3184" s="1402"/>
      <c r="R3184" s="1402"/>
      <c r="S3184" s="361"/>
      <c r="T3184" s="1399" t="s">
        <v>393</v>
      </c>
      <c r="U3184" s="1397">
        <f>VLOOKUP(B3185,DT.NK!$B:$AZ,45,0)</f>
        <v>42.97</v>
      </c>
      <c r="V3184" s="361"/>
      <c r="W3184" s="361"/>
    </row>
    <row r="3185" spans="1:23">
      <c r="A3185" s="1409">
        <f>A3165+1</f>
        <v>160</v>
      </c>
      <c r="B3185" s="1412" t="s">
        <v>699</v>
      </c>
      <c r="C3185" s="1125" t="s">
        <v>983</v>
      </c>
      <c r="D3185" s="874" t="str">
        <f>B3185&amp;C3185</f>
        <v>A89a</v>
      </c>
      <c r="E3185" s="363"/>
      <c r="F3185" s="364"/>
      <c r="G3185" s="364"/>
      <c r="H3185" s="364"/>
      <c r="I3185" s="364"/>
      <c r="J3185" s="364"/>
      <c r="K3185" s="364"/>
      <c r="L3185" s="364"/>
      <c r="M3185" s="674"/>
      <c r="N3185" s="670"/>
      <c r="O3185" s="670">
        <f>U3184</f>
        <v>42.97</v>
      </c>
      <c r="P3185" s="670">
        <f>O3185</f>
        <v>42.97</v>
      </c>
      <c r="Q3185" s="670">
        <v>0</v>
      </c>
      <c r="R3185" s="365"/>
      <c r="S3185" s="366"/>
      <c r="T3185" s="1399"/>
      <c r="U3185" s="1398"/>
      <c r="V3185" s="361"/>
      <c r="W3185" s="361"/>
    </row>
    <row r="3186" spans="1:23">
      <c r="A3186" s="1410"/>
      <c r="B3186" s="1413"/>
      <c r="C3186" s="1126" t="s">
        <v>984</v>
      </c>
      <c r="D3186" s="875" t="str">
        <f>B3185&amp;C3186</f>
        <v>A89b</v>
      </c>
      <c r="E3186" s="367">
        <v>1</v>
      </c>
      <c r="F3186" s="669" t="s">
        <v>1159</v>
      </c>
      <c r="G3186" s="369">
        <v>0.67361111111111116</v>
      </c>
      <c r="H3186" s="368">
        <v>0.69444444444444453</v>
      </c>
      <c r="I3186" s="368">
        <v>0.70138888888888884</v>
      </c>
      <c r="J3186" s="368">
        <v>0.70833333333333337</v>
      </c>
      <c r="K3186" s="669">
        <v>10</v>
      </c>
      <c r="L3186" s="669">
        <v>19</v>
      </c>
      <c r="M3186" s="675">
        <v>40.950000000000003</v>
      </c>
      <c r="N3186" s="671">
        <f>IF(M3186-P3186&gt;0,M3186-P3186,0)</f>
        <v>3.8500000000000014</v>
      </c>
      <c r="O3186" s="671">
        <f>O3185-K3186/(PI()*(U3183/2000)^2)</f>
        <v>34.128058717116929</v>
      </c>
      <c r="P3186" s="672">
        <v>37.1</v>
      </c>
      <c r="Q3186" s="673">
        <f>ABS(O3186-P3186)</f>
        <v>2.9719412828830727</v>
      </c>
      <c r="R3186" s="375" t="s">
        <v>188</v>
      </c>
      <c r="S3186" s="366"/>
      <c r="T3186" s="376"/>
      <c r="U3186" s="376"/>
      <c r="V3186" s="366"/>
      <c r="W3186" s="366"/>
    </row>
    <row r="3187" spans="1:23">
      <c r="A3187" s="1410"/>
      <c r="B3187" s="1413"/>
      <c r="C3187" s="1126" t="s">
        <v>985</v>
      </c>
      <c r="D3187" s="875" t="str">
        <f>B3185&amp;C3187</f>
        <v>A89c</v>
      </c>
      <c r="E3187" s="367">
        <v>2</v>
      </c>
      <c r="F3187" s="669" t="s">
        <v>1161</v>
      </c>
      <c r="G3187" s="369">
        <v>0.67708333333333337</v>
      </c>
      <c r="H3187" s="368">
        <v>0.69791666666666663</v>
      </c>
      <c r="I3187" s="368">
        <v>0.71527777777777779</v>
      </c>
      <c r="J3187" s="368">
        <v>0.72222222222222221</v>
      </c>
      <c r="K3187" s="669">
        <v>10</v>
      </c>
      <c r="L3187" s="669">
        <v>19</v>
      </c>
      <c r="M3187" s="675">
        <v>34.65</v>
      </c>
      <c r="N3187" s="671">
        <f>IF(M3187-P3187&gt;0,M3187-P3187,0)</f>
        <v>4.0999999999999979</v>
      </c>
      <c r="O3187" s="671">
        <f>O3186-K3187/(PI()*(U3183/2000)^2)</f>
        <v>25.286117434233855</v>
      </c>
      <c r="P3187" s="672">
        <v>30.55</v>
      </c>
      <c r="Q3187" s="673">
        <f>ABS(O3187-P3187)</f>
        <v>5.2638825657661457</v>
      </c>
      <c r="R3187" s="375" t="s">
        <v>188</v>
      </c>
      <c r="S3187" s="366"/>
      <c r="T3187" s="376"/>
      <c r="U3187" s="376"/>
      <c r="V3187" s="366"/>
      <c r="W3187" s="366"/>
    </row>
    <row r="3188" spans="1:23">
      <c r="A3188" s="1410"/>
      <c r="B3188" s="1413"/>
      <c r="C3188" s="1126" t="s">
        <v>986</v>
      </c>
      <c r="D3188" s="875" t="str">
        <f>B3185&amp;C3188</f>
        <v>A89d</v>
      </c>
      <c r="E3188" s="367">
        <v>3</v>
      </c>
      <c r="F3188" s="669" t="s">
        <v>1160</v>
      </c>
      <c r="G3188" s="368">
        <v>0.6875</v>
      </c>
      <c r="H3188" s="368">
        <v>0.71180555555555547</v>
      </c>
      <c r="I3188" s="368">
        <v>0.72916666666666663</v>
      </c>
      <c r="J3188" s="368">
        <v>0.73611111111111116</v>
      </c>
      <c r="K3188" s="370">
        <v>10</v>
      </c>
      <c r="L3188" s="370">
        <v>20</v>
      </c>
      <c r="M3188" s="371">
        <v>28.35</v>
      </c>
      <c r="N3188" s="671">
        <f>IF(M3188-P3188&gt;0,M3188-P3188,0)</f>
        <v>3.3000000000000007</v>
      </c>
      <c r="O3188" s="671">
        <f>O3187-K3188/(PI()*(U3183/2000)^2)</f>
        <v>16.444176151350781</v>
      </c>
      <c r="P3188" s="373">
        <v>25.05</v>
      </c>
      <c r="Q3188" s="673">
        <f>ABS(O3188-P3188)</f>
        <v>8.6058238486492193</v>
      </c>
      <c r="R3188" s="958" t="s">
        <v>188</v>
      </c>
      <c r="S3188" s="366"/>
      <c r="T3188" s="376"/>
      <c r="U3188" s="376"/>
      <c r="V3188" s="366"/>
      <c r="W3188" s="366"/>
    </row>
    <row r="3189" spans="1:23">
      <c r="A3189" s="1410"/>
      <c r="B3189" s="1413"/>
      <c r="C3189" s="1126" t="s">
        <v>987</v>
      </c>
      <c r="D3189" s="875" t="str">
        <f>B3185&amp;C3189</f>
        <v>A89e</v>
      </c>
      <c r="E3189" s="367">
        <v>4</v>
      </c>
      <c r="F3189" s="669" t="s">
        <v>1019</v>
      </c>
      <c r="G3189" s="368">
        <v>0.72222222222222221</v>
      </c>
      <c r="H3189" s="368">
        <v>0.75</v>
      </c>
      <c r="I3189" s="368">
        <v>0.75694444444444453</v>
      </c>
      <c r="J3189" s="368">
        <v>0.76388888888888884</v>
      </c>
      <c r="K3189" s="370">
        <v>10</v>
      </c>
      <c r="L3189" s="370">
        <v>19</v>
      </c>
      <c r="M3189" s="371">
        <v>25.2</v>
      </c>
      <c r="N3189" s="671">
        <f t="shared" ref="N3189:N3191" si="386">IF(M3189-P3189&gt;0,M3189-P3189,0)</f>
        <v>4.3900000000000006</v>
      </c>
      <c r="O3189" s="671">
        <f>O3188-K3189/(PI()*(U3183/2000)^2)</f>
        <v>7.6022348684677077</v>
      </c>
      <c r="P3189" s="373">
        <v>20.81</v>
      </c>
      <c r="Q3189" s="673">
        <f t="shared" ref="Q3189:Q3191" si="387">ABS(O3189-P3189)</f>
        <v>13.207765131532291</v>
      </c>
      <c r="R3189" s="378"/>
      <c r="S3189" s="366"/>
      <c r="T3189" s="376"/>
      <c r="U3189" s="376"/>
      <c r="V3189" s="366"/>
      <c r="W3189" s="366"/>
    </row>
    <row r="3190" spans="1:23">
      <c r="A3190" s="1410"/>
      <c r="B3190" s="1413"/>
      <c r="C3190" s="1126" t="s">
        <v>988</v>
      </c>
      <c r="D3190" s="875" t="str">
        <f>B3185&amp;C3190</f>
        <v>A89f</v>
      </c>
      <c r="E3190" s="367">
        <v>5</v>
      </c>
      <c r="F3190" s="669" t="s">
        <v>1156</v>
      </c>
      <c r="G3190" s="368">
        <v>0.74305555555555547</v>
      </c>
      <c r="H3190" s="368">
        <v>0.76388888888888884</v>
      </c>
      <c r="I3190" s="368">
        <v>0.77083333333333337</v>
      </c>
      <c r="J3190" s="368">
        <v>0.77777777777777779</v>
      </c>
      <c r="K3190" s="370">
        <v>10</v>
      </c>
      <c r="L3190" s="370">
        <v>20</v>
      </c>
      <c r="M3190" s="371">
        <v>15.75</v>
      </c>
      <c r="N3190" s="671">
        <f t="shared" si="386"/>
        <v>3.4499999999999993</v>
      </c>
      <c r="O3190" s="671">
        <f>O3189-K3190/(PI()*(U3183/2000)^2)</f>
        <v>-1.239706414415366</v>
      </c>
      <c r="P3190" s="373">
        <v>12.3</v>
      </c>
      <c r="Q3190" s="673">
        <f t="shared" si="387"/>
        <v>13.539706414415367</v>
      </c>
      <c r="R3190" s="378"/>
      <c r="S3190" s="366" t="s">
        <v>190</v>
      </c>
      <c r="T3190" s="376"/>
      <c r="U3190" s="376"/>
      <c r="V3190" s="366"/>
      <c r="W3190" s="366"/>
    </row>
    <row r="3191" spans="1:23">
      <c r="A3191" s="1410"/>
      <c r="B3191" s="1413"/>
      <c r="C3191" s="1126" t="s">
        <v>989</v>
      </c>
      <c r="D3191" s="875" t="str">
        <f>B3185&amp;C3191</f>
        <v>A89g</v>
      </c>
      <c r="E3191" s="367">
        <v>6</v>
      </c>
      <c r="F3191" s="669" t="s">
        <v>982</v>
      </c>
      <c r="G3191" s="368">
        <v>0.79166666666666663</v>
      </c>
      <c r="H3191" s="368">
        <v>0.8125</v>
      </c>
      <c r="I3191" s="368">
        <v>0.81944444444444453</v>
      </c>
      <c r="J3191" s="368">
        <v>0.82291666666666663</v>
      </c>
      <c r="K3191" s="370">
        <v>5</v>
      </c>
      <c r="L3191" s="370">
        <v>19</v>
      </c>
      <c r="M3191" s="371">
        <v>12.6</v>
      </c>
      <c r="N3191" s="671">
        <f t="shared" si="386"/>
        <v>4.4000000000000004</v>
      </c>
      <c r="O3191" s="671">
        <f>O3190-K3191/(PI()*(U3183/2000)^2)</f>
        <v>-5.6606770558569028</v>
      </c>
      <c r="P3191" s="373">
        <v>8.1999999999999993</v>
      </c>
      <c r="Q3191" s="673">
        <f t="shared" si="387"/>
        <v>13.860677055856902</v>
      </c>
      <c r="R3191" s="378"/>
      <c r="S3191" s="366" t="s">
        <v>190</v>
      </c>
      <c r="T3191" s="366"/>
      <c r="U3191" s="366"/>
      <c r="V3191" s="366"/>
      <c r="W3191" s="366"/>
    </row>
    <row r="3192" spans="1:23">
      <c r="A3192" s="1410"/>
      <c r="B3192" s="1413"/>
      <c r="C3192" s="1126" t="s">
        <v>990</v>
      </c>
      <c r="D3192" s="875" t="str">
        <f>B3185&amp;C3192</f>
        <v>A89h</v>
      </c>
      <c r="E3192" s="367">
        <v>7</v>
      </c>
      <c r="F3192" s="669"/>
      <c r="G3192" s="368"/>
      <c r="H3192" s="368"/>
      <c r="I3192" s="368"/>
      <c r="J3192" s="368"/>
      <c r="K3192" s="370"/>
      <c r="L3192" s="370"/>
      <c r="M3192" s="371"/>
      <c r="N3192" s="671"/>
      <c r="O3192" s="671"/>
      <c r="P3192" s="373"/>
      <c r="Q3192" s="673"/>
      <c r="R3192" s="378"/>
      <c r="S3192" s="366" t="s">
        <v>190</v>
      </c>
      <c r="T3192" s="366"/>
      <c r="U3192" s="366"/>
      <c r="V3192" s="366"/>
      <c r="W3192" s="366"/>
    </row>
    <row r="3193" spans="1:23">
      <c r="A3193" s="1410"/>
      <c r="B3193" s="1413"/>
      <c r="C3193" s="1126" t="s">
        <v>991</v>
      </c>
      <c r="D3193" s="875" t="str">
        <f>B3185&amp;C3193</f>
        <v>A89i</v>
      </c>
      <c r="E3193" s="367">
        <v>8</v>
      </c>
      <c r="F3193" s="669"/>
      <c r="G3193" s="368"/>
      <c r="H3193" s="368"/>
      <c r="I3193" s="368"/>
      <c r="J3193" s="368"/>
      <c r="K3193" s="370"/>
      <c r="L3193" s="370"/>
      <c r="M3193" s="371"/>
      <c r="N3193" s="671"/>
      <c r="O3193" s="671"/>
      <c r="P3193" s="373"/>
      <c r="Q3193" s="673"/>
      <c r="R3193" s="378"/>
      <c r="S3193" s="366"/>
      <c r="T3193" s="366"/>
      <c r="U3193" s="366"/>
      <c r="V3193" s="366"/>
      <c r="W3193" s="366"/>
    </row>
    <row r="3194" spans="1:23">
      <c r="A3194" s="1410"/>
      <c r="B3194" s="1413"/>
      <c r="C3194" s="1126" t="s">
        <v>992</v>
      </c>
      <c r="D3194" s="875" t="str">
        <f>B3185&amp;C3194</f>
        <v>A89k</v>
      </c>
      <c r="E3194" s="367">
        <v>9</v>
      </c>
      <c r="F3194" s="370"/>
      <c r="G3194" s="368"/>
      <c r="H3194" s="368"/>
      <c r="I3194" s="368"/>
      <c r="J3194" s="368"/>
      <c r="K3194" s="370"/>
      <c r="L3194" s="370"/>
      <c r="M3194" s="371"/>
      <c r="N3194" s="372"/>
      <c r="O3194" s="372"/>
      <c r="P3194" s="373"/>
      <c r="Q3194" s="374"/>
      <c r="R3194" s="378"/>
      <c r="S3194" s="379"/>
      <c r="T3194" s="366"/>
      <c r="U3194" s="366"/>
      <c r="V3194" s="366"/>
      <c r="W3194" s="366"/>
    </row>
    <row r="3195" spans="1:23">
      <c r="A3195" s="1410"/>
      <c r="B3195" s="1413"/>
      <c r="C3195" s="1126" t="s">
        <v>993</v>
      </c>
      <c r="D3195" s="875" t="str">
        <f>B3185&amp;C3195</f>
        <v>A89l</v>
      </c>
      <c r="E3195" s="367">
        <v>10</v>
      </c>
      <c r="F3195" s="370"/>
      <c r="G3195" s="368"/>
      <c r="H3195" s="368"/>
      <c r="I3195" s="368"/>
      <c r="J3195" s="368"/>
      <c r="K3195" s="370"/>
      <c r="L3195" s="370"/>
      <c r="M3195" s="370"/>
      <c r="N3195" s="372"/>
      <c r="O3195" s="372"/>
      <c r="P3195" s="373"/>
      <c r="Q3195" s="374"/>
      <c r="R3195" s="378"/>
      <c r="S3195" s="379"/>
      <c r="T3195" s="366"/>
      <c r="U3195" s="366"/>
      <c r="V3195" s="366"/>
      <c r="W3195" s="366"/>
    </row>
    <row r="3196" spans="1:23">
      <c r="A3196" s="1410"/>
      <c r="B3196" s="1413"/>
      <c r="C3196" s="1126" t="s">
        <v>994</v>
      </c>
      <c r="D3196" s="875" t="str">
        <f>B3185&amp;C3196</f>
        <v>A89m</v>
      </c>
      <c r="E3196" s="367">
        <v>11</v>
      </c>
      <c r="F3196" s="370"/>
      <c r="G3196" s="368"/>
      <c r="H3196" s="368"/>
      <c r="I3196" s="368"/>
      <c r="J3196" s="368"/>
      <c r="K3196" s="370"/>
      <c r="L3196" s="370"/>
      <c r="M3196" s="370"/>
      <c r="N3196" s="372"/>
      <c r="O3196" s="372"/>
      <c r="P3196" s="380"/>
      <c r="Q3196" s="374"/>
      <c r="R3196" s="381"/>
      <c r="S3196" s="379"/>
      <c r="T3196" s="366"/>
      <c r="U3196" s="366"/>
      <c r="V3196" s="366"/>
      <c r="W3196" s="366"/>
    </row>
    <row r="3197" spans="1:23">
      <c r="A3197" s="1410"/>
      <c r="B3197" s="1413"/>
      <c r="C3197" s="1126" t="s">
        <v>995</v>
      </c>
      <c r="D3197" s="875" t="str">
        <f>B3185&amp;C3197</f>
        <v>A89n</v>
      </c>
      <c r="E3197" s="367">
        <v>12</v>
      </c>
      <c r="F3197" s="370"/>
      <c r="G3197" s="368"/>
      <c r="H3197" s="368"/>
      <c r="I3197" s="368"/>
      <c r="J3197" s="368"/>
      <c r="K3197" s="370"/>
      <c r="L3197" s="370"/>
      <c r="M3197" s="370"/>
      <c r="N3197" s="372"/>
      <c r="O3197" s="372"/>
      <c r="P3197" s="380"/>
      <c r="Q3197" s="374"/>
      <c r="R3197" s="381"/>
      <c r="S3197" s="361"/>
      <c r="T3197" s="361"/>
      <c r="U3197" s="361"/>
      <c r="V3197" s="366"/>
      <c r="W3197" s="366"/>
    </row>
    <row r="3198" spans="1:23">
      <c r="A3198" s="1410"/>
      <c r="B3198" s="1413"/>
      <c r="C3198" s="1126" t="s">
        <v>471</v>
      </c>
      <c r="D3198" s="875" t="str">
        <f>B3185&amp;C3198</f>
        <v>A89x</v>
      </c>
      <c r="E3198" s="367">
        <v>13</v>
      </c>
      <c r="F3198" s="370"/>
      <c r="G3198" s="368"/>
      <c r="H3198" s="368"/>
      <c r="I3198" s="368"/>
      <c r="J3198" s="368"/>
      <c r="K3198" s="370"/>
      <c r="L3198" s="370"/>
      <c r="M3198" s="370"/>
      <c r="N3198" s="382"/>
      <c r="O3198" s="372"/>
      <c r="P3198" s="380"/>
      <c r="Q3198" s="381"/>
      <c r="R3198" s="381"/>
      <c r="S3198" s="361"/>
      <c r="T3198" s="361"/>
      <c r="U3198" s="361"/>
      <c r="V3198" s="366"/>
      <c r="W3198" s="366"/>
    </row>
    <row r="3199" spans="1:23">
      <c r="A3199" s="1410"/>
      <c r="B3199" s="1413"/>
      <c r="C3199" s="1126" t="s">
        <v>732</v>
      </c>
      <c r="D3199" s="875" t="str">
        <f>B3185&amp;C3199</f>
        <v>A89y</v>
      </c>
      <c r="E3199" s="367">
        <v>14</v>
      </c>
      <c r="F3199" s="370"/>
      <c r="G3199" s="368"/>
      <c r="H3199" s="368"/>
      <c r="I3199" s="368"/>
      <c r="J3199" s="368"/>
      <c r="K3199" s="370"/>
      <c r="L3199" s="370"/>
      <c r="M3199" s="370"/>
      <c r="N3199" s="382"/>
      <c r="O3199" s="372"/>
      <c r="P3199" s="380"/>
      <c r="Q3199" s="381"/>
      <c r="R3199" s="381"/>
      <c r="S3199" s="361"/>
      <c r="T3199" s="361"/>
      <c r="U3199" s="362"/>
      <c r="V3199" s="366"/>
      <c r="W3199" s="366"/>
    </row>
    <row r="3200" spans="1:23">
      <c r="A3200" s="1411"/>
      <c r="B3200" s="1414"/>
      <c r="C3200" s="1127" t="s">
        <v>996</v>
      </c>
      <c r="D3200" s="876" t="str">
        <f>B3185&amp;C3200</f>
        <v>A89z</v>
      </c>
      <c r="E3200" s="847">
        <v>15</v>
      </c>
      <c r="F3200" s="370"/>
      <c r="G3200" s="368"/>
      <c r="H3200" s="368"/>
      <c r="I3200" s="368"/>
      <c r="J3200" s="368"/>
      <c r="K3200" s="370"/>
      <c r="L3200" s="370"/>
      <c r="M3200" s="370"/>
      <c r="N3200" s="850"/>
      <c r="O3200" s="851"/>
      <c r="P3200" s="380"/>
      <c r="Q3200" s="852"/>
      <c r="R3200" s="383"/>
      <c r="S3200" s="361"/>
      <c r="T3200" s="1121"/>
      <c r="U3200" s="1120"/>
      <c r="V3200" s="366"/>
      <c r="W3200" s="366"/>
    </row>
    <row r="3201" spans="1:23">
      <c r="A3201" s="1400" t="s">
        <v>939</v>
      </c>
      <c r="B3201" s="1400"/>
      <c r="C3201" s="1122"/>
      <c r="D3201" s="871"/>
      <c r="E3201" s="1400" t="s">
        <v>177</v>
      </c>
      <c r="F3201" s="1400" t="s">
        <v>18</v>
      </c>
      <c r="G3201" s="1389" t="s">
        <v>19</v>
      </c>
      <c r="H3201" s="1390"/>
      <c r="I3201" s="1389" t="s">
        <v>22</v>
      </c>
      <c r="J3201" s="1390"/>
      <c r="K3201" s="1393" t="s">
        <v>26</v>
      </c>
      <c r="L3201" s="1390"/>
      <c r="M3201" s="1389" t="s">
        <v>392</v>
      </c>
      <c r="N3201" s="1390"/>
      <c r="O3201" s="1389" t="s">
        <v>28</v>
      </c>
      <c r="P3201" s="1393"/>
      <c r="Q3201" s="1390"/>
      <c r="R3201" s="1400" t="s">
        <v>36</v>
      </c>
      <c r="S3201" s="361"/>
      <c r="T3201" s="361">
        <f>MAX(J3205:J3219)-MIN(I3205:I3219)</f>
        <v>1.388888888888884E-2</v>
      </c>
      <c r="U3201" s="361"/>
      <c r="V3201" s="853" t="str">
        <f t="shared" ref="V3201" si="388">B3205</f>
        <v>B22</v>
      </c>
      <c r="W3201" s="361">
        <f t="shared" ref="W3201" si="389">COUNTIF(K3206:K3220,"&gt;0")</f>
        <v>2</v>
      </c>
    </row>
    <row r="3202" spans="1:23">
      <c r="A3202" s="1401"/>
      <c r="B3202" s="1401"/>
      <c r="C3202" s="1123"/>
      <c r="D3202" s="872"/>
      <c r="E3202" s="1401"/>
      <c r="F3202" s="1401"/>
      <c r="G3202" s="1391"/>
      <c r="H3202" s="1392"/>
      <c r="I3202" s="1391"/>
      <c r="J3202" s="1392"/>
      <c r="K3202" s="1394"/>
      <c r="L3202" s="1392"/>
      <c r="M3202" s="1391"/>
      <c r="N3202" s="1392"/>
      <c r="O3202" s="1391"/>
      <c r="P3202" s="1394"/>
      <c r="Q3202" s="1392"/>
      <c r="R3202" s="1401"/>
      <c r="S3202" s="361"/>
      <c r="T3202" s="361"/>
      <c r="U3202" s="361"/>
      <c r="V3202" s="361"/>
      <c r="W3202" s="361"/>
    </row>
    <row r="3203" spans="1:23">
      <c r="A3203" s="1401"/>
      <c r="B3203" s="1401"/>
      <c r="C3203" s="1123"/>
      <c r="D3203" s="872"/>
      <c r="E3203" s="1401"/>
      <c r="F3203" s="1401"/>
      <c r="G3203" s="1400" t="s">
        <v>20</v>
      </c>
      <c r="H3203" s="1400" t="s">
        <v>21</v>
      </c>
      <c r="I3203" s="1400" t="s">
        <v>361</v>
      </c>
      <c r="J3203" s="1400" t="s">
        <v>353</v>
      </c>
      <c r="K3203" s="1400" t="s">
        <v>23</v>
      </c>
      <c r="L3203" s="1400" t="s">
        <v>24</v>
      </c>
      <c r="M3203" s="1400" t="s">
        <v>27</v>
      </c>
      <c r="N3203" s="1400" t="s">
        <v>178</v>
      </c>
      <c r="O3203" s="1400" t="s">
        <v>1</v>
      </c>
      <c r="P3203" s="1400" t="s">
        <v>29</v>
      </c>
      <c r="Q3203" s="1400" t="s">
        <v>33</v>
      </c>
      <c r="R3203" s="1401"/>
      <c r="S3203" s="361"/>
      <c r="T3203" s="361" t="s">
        <v>39</v>
      </c>
      <c r="U3203" s="362">
        <f>VLOOKUP(B3205,'Thong tin'!$A:$M,13,0)</f>
        <v>800</v>
      </c>
      <c r="V3203" s="361"/>
      <c r="W3203" s="361"/>
    </row>
    <row r="3204" spans="1:23">
      <c r="A3204" s="1402"/>
      <c r="B3204" s="1402"/>
      <c r="C3204" s="1124"/>
      <c r="D3204" s="873"/>
      <c r="E3204" s="1402"/>
      <c r="F3204" s="1402"/>
      <c r="G3204" s="1402"/>
      <c r="H3204" s="1402"/>
      <c r="I3204" s="1402"/>
      <c r="J3204" s="1402"/>
      <c r="K3204" s="1402"/>
      <c r="L3204" s="1402"/>
      <c r="M3204" s="1402"/>
      <c r="N3204" s="1402"/>
      <c r="O3204" s="1402"/>
      <c r="P3204" s="1402"/>
      <c r="Q3204" s="1402"/>
      <c r="R3204" s="1402"/>
      <c r="S3204" s="361"/>
      <c r="T3204" s="1399" t="s">
        <v>393</v>
      </c>
      <c r="U3204" s="1397">
        <f>VLOOKUP(B3205,DT.NK!$B:$AZ,45,0)</f>
        <v>32.520000000000003</v>
      </c>
      <c r="V3204" s="361"/>
      <c r="W3204" s="361"/>
    </row>
    <row r="3205" spans="1:23">
      <c r="A3205" s="1409">
        <f>A3185+1</f>
        <v>161</v>
      </c>
      <c r="B3205" s="1412" t="s">
        <v>518</v>
      </c>
      <c r="C3205" s="1125" t="s">
        <v>983</v>
      </c>
      <c r="D3205" s="874" t="str">
        <f>B3205&amp;C3205</f>
        <v>B22a</v>
      </c>
      <c r="E3205" s="363"/>
      <c r="F3205" s="364"/>
      <c r="G3205" s="364"/>
      <c r="H3205" s="364"/>
      <c r="I3205" s="364"/>
      <c r="J3205" s="364"/>
      <c r="K3205" s="364"/>
      <c r="L3205" s="364"/>
      <c r="M3205" s="674"/>
      <c r="N3205" s="670"/>
      <c r="O3205" s="670">
        <f>U3204</f>
        <v>32.520000000000003</v>
      </c>
      <c r="P3205" s="670">
        <f>O3205</f>
        <v>32.520000000000003</v>
      </c>
      <c r="Q3205" s="670">
        <v>0</v>
      </c>
      <c r="R3205" s="365"/>
      <c r="S3205" s="366"/>
      <c r="T3205" s="1399"/>
      <c r="U3205" s="1398"/>
      <c r="V3205" s="361"/>
      <c r="W3205" s="361"/>
    </row>
    <row r="3206" spans="1:23">
      <c r="A3206" s="1410"/>
      <c r="B3206" s="1413"/>
      <c r="C3206" s="1126" t="s">
        <v>984</v>
      </c>
      <c r="D3206" s="875" t="str">
        <f>B3205&amp;C3206</f>
        <v>B22b</v>
      </c>
      <c r="E3206" s="367">
        <v>1</v>
      </c>
      <c r="F3206" s="669" t="s">
        <v>1159</v>
      </c>
      <c r="G3206" s="369">
        <v>0.87847222222222221</v>
      </c>
      <c r="H3206" s="368">
        <v>0.90277777777777779</v>
      </c>
      <c r="I3206" s="368">
        <v>0.92361111111111116</v>
      </c>
      <c r="J3206" s="368">
        <v>0.92708333333333337</v>
      </c>
      <c r="K3206" s="669">
        <v>8</v>
      </c>
      <c r="L3206" s="669">
        <v>19</v>
      </c>
      <c r="M3206" s="675">
        <v>25.2</v>
      </c>
      <c r="N3206" s="671">
        <f>IF(M3206-P3206&gt;0,M3206-P3206,0)</f>
        <v>4.5999999999999979</v>
      </c>
      <c r="O3206" s="671">
        <f>O3205-K3206/(PI()*(U3203/2000)^2)</f>
        <v>16.60450569081047</v>
      </c>
      <c r="P3206" s="672">
        <v>20.6</v>
      </c>
      <c r="Q3206" s="673">
        <f>ABS(O3206-P3206)</f>
        <v>3.9954943091895316</v>
      </c>
      <c r="R3206" s="375" t="s">
        <v>188</v>
      </c>
      <c r="S3206" s="366"/>
      <c r="T3206" s="376"/>
      <c r="U3206" s="376"/>
      <c r="V3206" s="366"/>
      <c r="W3206" s="366"/>
    </row>
    <row r="3207" spans="1:23">
      <c r="A3207" s="1410"/>
      <c r="B3207" s="1413"/>
      <c r="C3207" s="1126" t="s">
        <v>985</v>
      </c>
      <c r="D3207" s="875" t="str">
        <f>B3205&amp;C3207</f>
        <v>B22c</v>
      </c>
      <c r="E3207" s="367">
        <v>2</v>
      </c>
      <c r="F3207" s="669" t="s">
        <v>1156</v>
      </c>
      <c r="G3207" s="369">
        <v>0.88194444444444453</v>
      </c>
      <c r="H3207" s="368">
        <v>0.90972222222222221</v>
      </c>
      <c r="I3207" s="368">
        <v>0.93402777777777779</v>
      </c>
      <c r="J3207" s="368">
        <v>0.9375</v>
      </c>
      <c r="K3207" s="669">
        <v>8</v>
      </c>
      <c r="L3207" s="669">
        <v>19</v>
      </c>
      <c r="M3207" s="675">
        <v>9.4499999999999993</v>
      </c>
      <c r="N3207" s="671">
        <f>IF(M3207-P3207&gt;0,M3207-P3207,0)</f>
        <v>4.5499999999999989</v>
      </c>
      <c r="O3207" s="671">
        <f>O3206-K3207/(PI()*(U3203/2000)^2)</f>
        <v>0.68901138162093645</v>
      </c>
      <c r="P3207" s="672">
        <v>4.9000000000000004</v>
      </c>
      <c r="Q3207" s="673">
        <f>ABS(O3207-P3207)</f>
        <v>4.2109886183790639</v>
      </c>
      <c r="R3207" s="375" t="s">
        <v>188</v>
      </c>
      <c r="S3207" s="366"/>
      <c r="T3207" s="376"/>
      <c r="U3207" s="376"/>
      <c r="V3207" s="366"/>
      <c r="W3207" s="366"/>
    </row>
    <row r="3208" spans="1:23">
      <c r="A3208" s="1410"/>
      <c r="B3208" s="1413"/>
      <c r="C3208" s="1126" t="s">
        <v>986</v>
      </c>
      <c r="D3208" s="875" t="str">
        <f>B3205&amp;C3208</f>
        <v>B22d</v>
      </c>
      <c r="E3208" s="367">
        <v>3</v>
      </c>
      <c r="F3208" s="669"/>
      <c r="G3208" s="368"/>
      <c r="H3208" s="368"/>
      <c r="I3208" s="368"/>
      <c r="J3208" s="368"/>
      <c r="K3208" s="370"/>
      <c r="L3208" s="370"/>
      <c r="M3208" s="371"/>
      <c r="N3208" s="671"/>
      <c r="O3208" s="671"/>
      <c r="P3208" s="373"/>
      <c r="Q3208" s="673"/>
      <c r="R3208" s="378"/>
      <c r="S3208" s="366"/>
      <c r="T3208" s="376"/>
      <c r="U3208" s="376"/>
      <c r="V3208" s="366"/>
      <c r="W3208" s="366"/>
    </row>
    <row r="3209" spans="1:23">
      <c r="A3209" s="1410"/>
      <c r="B3209" s="1413"/>
      <c r="C3209" s="1126" t="s">
        <v>987</v>
      </c>
      <c r="D3209" s="875" t="str">
        <f>B3205&amp;C3209</f>
        <v>B22e</v>
      </c>
      <c r="E3209" s="367">
        <v>4</v>
      </c>
      <c r="F3209" s="669"/>
      <c r="G3209" s="368"/>
      <c r="H3209" s="368"/>
      <c r="I3209" s="368"/>
      <c r="J3209" s="368"/>
      <c r="K3209" s="370"/>
      <c r="L3209" s="370"/>
      <c r="M3209" s="371"/>
      <c r="N3209" s="671"/>
      <c r="O3209" s="671"/>
      <c r="P3209" s="373"/>
      <c r="Q3209" s="673"/>
      <c r="R3209" s="378"/>
      <c r="S3209" s="366"/>
      <c r="T3209" s="376"/>
      <c r="U3209" s="376"/>
      <c r="V3209" s="366"/>
      <c r="W3209" s="366"/>
    </row>
    <row r="3210" spans="1:23">
      <c r="A3210" s="1410"/>
      <c r="B3210" s="1413"/>
      <c r="C3210" s="1126" t="s">
        <v>988</v>
      </c>
      <c r="D3210" s="875" t="str">
        <f>B3205&amp;C3210</f>
        <v>B22f</v>
      </c>
      <c r="E3210" s="367">
        <v>5</v>
      </c>
      <c r="F3210" s="669"/>
      <c r="G3210" s="368"/>
      <c r="H3210" s="368"/>
      <c r="I3210" s="368"/>
      <c r="J3210" s="368"/>
      <c r="K3210" s="370"/>
      <c r="L3210" s="370"/>
      <c r="M3210" s="371"/>
      <c r="N3210" s="671"/>
      <c r="O3210" s="671"/>
      <c r="P3210" s="373"/>
      <c r="Q3210" s="673"/>
      <c r="R3210" s="378"/>
      <c r="S3210" s="366" t="s">
        <v>190</v>
      </c>
      <c r="T3210" s="376"/>
      <c r="U3210" s="376"/>
      <c r="V3210" s="366"/>
      <c r="W3210" s="366"/>
    </row>
    <row r="3211" spans="1:23">
      <c r="A3211" s="1410"/>
      <c r="B3211" s="1413"/>
      <c r="C3211" s="1126" t="s">
        <v>989</v>
      </c>
      <c r="D3211" s="875" t="str">
        <f>B3205&amp;C3211</f>
        <v>B22g</v>
      </c>
      <c r="E3211" s="367">
        <v>6</v>
      </c>
      <c r="F3211" s="669"/>
      <c r="G3211" s="368"/>
      <c r="H3211" s="368"/>
      <c r="I3211" s="368"/>
      <c r="J3211" s="368"/>
      <c r="K3211" s="370"/>
      <c r="L3211" s="370"/>
      <c r="M3211" s="371"/>
      <c r="N3211" s="671"/>
      <c r="O3211" s="671"/>
      <c r="P3211" s="373"/>
      <c r="Q3211" s="673"/>
      <c r="R3211" s="378"/>
      <c r="S3211" s="366" t="s">
        <v>190</v>
      </c>
      <c r="T3211" s="366"/>
      <c r="U3211" s="366"/>
      <c r="V3211" s="366"/>
      <c r="W3211" s="366"/>
    </row>
    <row r="3212" spans="1:23">
      <c r="A3212" s="1410"/>
      <c r="B3212" s="1413"/>
      <c r="C3212" s="1126" t="s">
        <v>990</v>
      </c>
      <c r="D3212" s="875" t="str">
        <f>B3205&amp;C3212</f>
        <v>B22h</v>
      </c>
      <c r="E3212" s="367">
        <v>7</v>
      </c>
      <c r="F3212" s="669"/>
      <c r="G3212" s="368"/>
      <c r="H3212" s="368"/>
      <c r="I3212" s="368"/>
      <c r="J3212" s="368"/>
      <c r="K3212" s="370"/>
      <c r="L3212" s="370"/>
      <c r="M3212" s="371"/>
      <c r="N3212" s="671"/>
      <c r="O3212" s="671"/>
      <c r="P3212" s="373"/>
      <c r="Q3212" s="673"/>
      <c r="R3212" s="378"/>
      <c r="S3212" s="366" t="s">
        <v>190</v>
      </c>
      <c r="T3212" s="366"/>
      <c r="U3212" s="366"/>
      <c r="V3212" s="366"/>
      <c r="W3212" s="366"/>
    </row>
    <row r="3213" spans="1:23">
      <c r="A3213" s="1410"/>
      <c r="B3213" s="1413"/>
      <c r="C3213" s="1126" t="s">
        <v>991</v>
      </c>
      <c r="D3213" s="875" t="str">
        <f>B3205&amp;C3213</f>
        <v>B22i</v>
      </c>
      <c r="E3213" s="367">
        <v>8</v>
      </c>
      <c r="F3213" s="669"/>
      <c r="G3213" s="368"/>
      <c r="H3213" s="368"/>
      <c r="I3213" s="368"/>
      <c r="J3213" s="368"/>
      <c r="K3213" s="370"/>
      <c r="L3213" s="370"/>
      <c r="M3213" s="371"/>
      <c r="N3213" s="671"/>
      <c r="O3213" s="671"/>
      <c r="P3213" s="373"/>
      <c r="Q3213" s="673"/>
      <c r="R3213" s="378"/>
      <c r="S3213" s="366"/>
      <c r="T3213" s="366"/>
      <c r="U3213" s="366"/>
      <c r="V3213" s="366"/>
      <c r="W3213" s="366"/>
    </row>
    <row r="3214" spans="1:23">
      <c r="A3214" s="1410"/>
      <c r="B3214" s="1413"/>
      <c r="C3214" s="1126" t="s">
        <v>992</v>
      </c>
      <c r="D3214" s="875" t="str">
        <f>B3205&amp;C3214</f>
        <v>B22k</v>
      </c>
      <c r="E3214" s="367">
        <v>9</v>
      </c>
      <c r="F3214" s="370"/>
      <c r="G3214" s="368"/>
      <c r="H3214" s="368"/>
      <c r="I3214" s="368"/>
      <c r="J3214" s="368"/>
      <c r="K3214" s="370"/>
      <c r="L3214" s="370"/>
      <c r="M3214" s="371"/>
      <c r="N3214" s="372"/>
      <c r="O3214" s="372"/>
      <c r="P3214" s="373"/>
      <c r="Q3214" s="374"/>
      <c r="R3214" s="378"/>
      <c r="S3214" s="379"/>
      <c r="T3214" s="366"/>
      <c r="U3214" s="366"/>
      <c r="V3214" s="366"/>
      <c r="W3214" s="366"/>
    </row>
    <row r="3215" spans="1:23">
      <c r="A3215" s="1410"/>
      <c r="B3215" s="1413"/>
      <c r="C3215" s="1126" t="s">
        <v>993</v>
      </c>
      <c r="D3215" s="875" t="str">
        <f>B3205&amp;C3215</f>
        <v>B22l</v>
      </c>
      <c r="E3215" s="367">
        <v>10</v>
      </c>
      <c r="F3215" s="370"/>
      <c r="G3215" s="368"/>
      <c r="H3215" s="368"/>
      <c r="I3215" s="368"/>
      <c r="J3215" s="368"/>
      <c r="K3215" s="370"/>
      <c r="L3215" s="370"/>
      <c r="M3215" s="370"/>
      <c r="N3215" s="372"/>
      <c r="O3215" s="372"/>
      <c r="P3215" s="373"/>
      <c r="Q3215" s="374"/>
      <c r="R3215" s="378"/>
      <c r="S3215" s="379"/>
      <c r="T3215" s="366"/>
      <c r="U3215" s="366"/>
      <c r="V3215" s="366"/>
      <c r="W3215" s="366"/>
    </row>
    <row r="3216" spans="1:23">
      <c r="A3216" s="1410"/>
      <c r="B3216" s="1413"/>
      <c r="C3216" s="1126" t="s">
        <v>994</v>
      </c>
      <c r="D3216" s="875" t="str">
        <f>B3205&amp;C3216</f>
        <v>B22m</v>
      </c>
      <c r="E3216" s="367">
        <v>11</v>
      </c>
      <c r="F3216" s="370"/>
      <c r="G3216" s="368"/>
      <c r="H3216" s="368"/>
      <c r="I3216" s="368"/>
      <c r="J3216" s="368"/>
      <c r="K3216" s="370"/>
      <c r="L3216" s="370"/>
      <c r="M3216" s="370"/>
      <c r="N3216" s="372"/>
      <c r="O3216" s="372"/>
      <c r="P3216" s="380"/>
      <c r="Q3216" s="374"/>
      <c r="R3216" s="381"/>
      <c r="S3216" s="379"/>
      <c r="T3216" s="366"/>
      <c r="U3216" s="366"/>
      <c r="V3216" s="366"/>
      <c r="W3216" s="366"/>
    </row>
    <row r="3217" spans="1:23">
      <c r="A3217" s="1410"/>
      <c r="B3217" s="1413"/>
      <c r="C3217" s="1126" t="s">
        <v>995</v>
      </c>
      <c r="D3217" s="875" t="str">
        <f>B3205&amp;C3217</f>
        <v>B22n</v>
      </c>
      <c r="E3217" s="367">
        <v>12</v>
      </c>
      <c r="F3217" s="370"/>
      <c r="G3217" s="368"/>
      <c r="H3217" s="368"/>
      <c r="I3217" s="368"/>
      <c r="J3217" s="368"/>
      <c r="K3217" s="370"/>
      <c r="L3217" s="370"/>
      <c r="M3217" s="370"/>
      <c r="N3217" s="372"/>
      <c r="O3217" s="372"/>
      <c r="P3217" s="380"/>
      <c r="Q3217" s="374"/>
      <c r="R3217" s="381"/>
      <c r="S3217" s="361"/>
      <c r="T3217" s="361"/>
      <c r="U3217" s="361"/>
      <c r="V3217" s="366"/>
      <c r="W3217" s="366"/>
    </row>
    <row r="3218" spans="1:23">
      <c r="A3218" s="1410"/>
      <c r="B3218" s="1413"/>
      <c r="C3218" s="1126" t="s">
        <v>471</v>
      </c>
      <c r="D3218" s="875" t="str">
        <f>B3205&amp;C3218</f>
        <v>B22x</v>
      </c>
      <c r="E3218" s="367">
        <v>13</v>
      </c>
      <c r="F3218" s="370"/>
      <c r="G3218" s="368"/>
      <c r="H3218" s="368"/>
      <c r="I3218" s="368"/>
      <c r="J3218" s="368"/>
      <c r="K3218" s="370"/>
      <c r="L3218" s="370"/>
      <c r="M3218" s="370"/>
      <c r="N3218" s="382"/>
      <c r="O3218" s="372"/>
      <c r="P3218" s="380"/>
      <c r="Q3218" s="381"/>
      <c r="R3218" s="381"/>
      <c r="S3218" s="361"/>
      <c r="T3218" s="361"/>
      <c r="U3218" s="361"/>
      <c r="V3218" s="366"/>
      <c r="W3218" s="366"/>
    </row>
    <row r="3219" spans="1:23">
      <c r="A3219" s="1410"/>
      <c r="B3219" s="1413"/>
      <c r="C3219" s="1126" t="s">
        <v>732</v>
      </c>
      <c r="D3219" s="875" t="str">
        <f>B3205&amp;C3219</f>
        <v>B22y</v>
      </c>
      <c r="E3219" s="367">
        <v>14</v>
      </c>
      <c r="F3219" s="370"/>
      <c r="G3219" s="368"/>
      <c r="H3219" s="368"/>
      <c r="I3219" s="368"/>
      <c r="J3219" s="368"/>
      <c r="K3219" s="370"/>
      <c r="L3219" s="370"/>
      <c r="M3219" s="370"/>
      <c r="N3219" s="382"/>
      <c r="O3219" s="372"/>
      <c r="P3219" s="380"/>
      <c r="Q3219" s="381"/>
      <c r="R3219" s="381"/>
      <c r="S3219" s="361"/>
      <c r="T3219" s="361"/>
      <c r="U3219" s="362"/>
      <c r="V3219" s="366"/>
      <c r="W3219" s="366"/>
    </row>
    <row r="3220" spans="1:23">
      <c r="A3220" s="1411"/>
      <c r="B3220" s="1414"/>
      <c r="C3220" s="1127" t="s">
        <v>996</v>
      </c>
      <c r="D3220" s="876" t="str">
        <f>B3205&amp;C3220</f>
        <v>B22z</v>
      </c>
      <c r="E3220" s="847">
        <v>15</v>
      </c>
      <c r="F3220" s="370"/>
      <c r="G3220" s="368"/>
      <c r="H3220" s="368"/>
      <c r="I3220" s="368"/>
      <c r="J3220" s="368"/>
      <c r="K3220" s="370"/>
      <c r="L3220" s="370"/>
      <c r="M3220" s="370"/>
      <c r="N3220" s="850"/>
      <c r="O3220" s="851"/>
      <c r="P3220" s="380"/>
      <c r="Q3220" s="852"/>
      <c r="R3220" s="383"/>
      <c r="S3220" s="361"/>
      <c r="T3220" s="1121"/>
      <c r="U3220" s="1120"/>
      <c r="V3220" s="366"/>
      <c r="W3220" s="366"/>
    </row>
    <row r="3221" spans="1:23">
      <c r="A3221" s="1400" t="s">
        <v>939</v>
      </c>
      <c r="B3221" s="1400"/>
      <c r="C3221" s="1122"/>
      <c r="D3221" s="871"/>
      <c r="E3221" s="1400" t="s">
        <v>177</v>
      </c>
      <c r="F3221" s="1400" t="s">
        <v>18</v>
      </c>
      <c r="G3221" s="1389" t="s">
        <v>19</v>
      </c>
      <c r="H3221" s="1390"/>
      <c r="I3221" s="1389" t="s">
        <v>22</v>
      </c>
      <c r="J3221" s="1390"/>
      <c r="K3221" s="1393" t="s">
        <v>26</v>
      </c>
      <c r="L3221" s="1390"/>
      <c r="M3221" s="1389" t="s">
        <v>392</v>
      </c>
      <c r="N3221" s="1390"/>
      <c r="O3221" s="1389" t="s">
        <v>28</v>
      </c>
      <c r="P3221" s="1393"/>
      <c r="Q3221" s="1390"/>
      <c r="R3221" s="1400" t="s">
        <v>36</v>
      </c>
      <c r="S3221" s="361"/>
      <c r="T3221" s="361">
        <f>MAX(J3225:J3239)-MIN(I3225:I3239)</f>
        <v>2.0833333333333315E-2</v>
      </c>
      <c r="U3221" s="361"/>
      <c r="V3221" s="853" t="str">
        <f t="shared" ref="V3221" si="390">B3225</f>
        <v>A98</v>
      </c>
      <c r="W3221" s="361">
        <f t="shared" ref="W3221" si="391">COUNTIF(K3226:K3240,"&gt;0")</f>
        <v>2</v>
      </c>
    </row>
    <row r="3222" spans="1:23">
      <c r="A3222" s="1401"/>
      <c r="B3222" s="1401"/>
      <c r="C3222" s="1123"/>
      <c r="D3222" s="872"/>
      <c r="E3222" s="1401"/>
      <c r="F3222" s="1401"/>
      <c r="G3222" s="1391"/>
      <c r="H3222" s="1392"/>
      <c r="I3222" s="1391"/>
      <c r="J3222" s="1392"/>
      <c r="K3222" s="1394"/>
      <c r="L3222" s="1392"/>
      <c r="M3222" s="1391"/>
      <c r="N3222" s="1392"/>
      <c r="O3222" s="1391"/>
      <c r="P3222" s="1394"/>
      <c r="Q3222" s="1392"/>
      <c r="R3222" s="1401"/>
      <c r="S3222" s="361"/>
      <c r="T3222" s="361"/>
      <c r="U3222" s="361"/>
      <c r="V3222" s="361"/>
      <c r="W3222" s="361"/>
    </row>
    <row r="3223" spans="1:23">
      <c r="A3223" s="1401"/>
      <c r="B3223" s="1401"/>
      <c r="C3223" s="1123"/>
      <c r="D3223" s="872"/>
      <c r="E3223" s="1401"/>
      <c r="F3223" s="1401"/>
      <c r="G3223" s="1400" t="s">
        <v>20</v>
      </c>
      <c r="H3223" s="1400" t="s">
        <v>21</v>
      </c>
      <c r="I3223" s="1400" t="s">
        <v>361</v>
      </c>
      <c r="J3223" s="1400" t="s">
        <v>353</v>
      </c>
      <c r="K3223" s="1400" t="s">
        <v>23</v>
      </c>
      <c r="L3223" s="1400" t="s">
        <v>24</v>
      </c>
      <c r="M3223" s="1400" t="s">
        <v>27</v>
      </c>
      <c r="N3223" s="1400" t="s">
        <v>178</v>
      </c>
      <c r="O3223" s="1400" t="s">
        <v>1</v>
      </c>
      <c r="P3223" s="1400" t="s">
        <v>29</v>
      </c>
      <c r="Q3223" s="1400" t="s">
        <v>33</v>
      </c>
      <c r="R3223" s="1401"/>
      <c r="S3223" s="361"/>
      <c r="T3223" s="361" t="s">
        <v>39</v>
      </c>
      <c r="U3223" s="362">
        <f>VLOOKUP(B3225,'Thong tin'!$A:$M,13,0)</f>
        <v>1200</v>
      </c>
      <c r="V3223" s="361"/>
      <c r="W3223" s="361"/>
    </row>
    <row r="3224" spans="1:23">
      <c r="A3224" s="1402"/>
      <c r="B3224" s="1402"/>
      <c r="C3224" s="1124"/>
      <c r="D3224" s="873"/>
      <c r="E3224" s="1402"/>
      <c r="F3224" s="1402"/>
      <c r="G3224" s="1402"/>
      <c r="H3224" s="1402"/>
      <c r="I3224" s="1402"/>
      <c r="J3224" s="1402"/>
      <c r="K3224" s="1402"/>
      <c r="L3224" s="1402"/>
      <c r="M3224" s="1402"/>
      <c r="N3224" s="1402"/>
      <c r="O3224" s="1402"/>
      <c r="P3224" s="1402"/>
      <c r="Q3224" s="1402"/>
      <c r="R3224" s="1402"/>
      <c r="S3224" s="361"/>
      <c r="T3224" s="1399" t="s">
        <v>393</v>
      </c>
      <c r="U3224" s="1397">
        <f>VLOOKUP(B3225,DT.NK!$B:$AZ,45,0)</f>
        <v>23.65</v>
      </c>
      <c r="V3224" s="361"/>
      <c r="W3224" s="361"/>
    </row>
    <row r="3225" spans="1:23">
      <c r="A3225" s="1409">
        <f>A3205+1</f>
        <v>162</v>
      </c>
      <c r="B3225" s="1412" t="s">
        <v>526</v>
      </c>
      <c r="C3225" s="1125" t="s">
        <v>983</v>
      </c>
      <c r="D3225" s="874" t="str">
        <f>B3225&amp;C3225</f>
        <v>A98a</v>
      </c>
      <c r="E3225" s="363"/>
      <c r="F3225" s="364"/>
      <c r="G3225" s="364"/>
      <c r="H3225" s="364"/>
      <c r="I3225" s="364"/>
      <c r="J3225" s="364"/>
      <c r="K3225" s="364"/>
      <c r="L3225" s="364"/>
      <c r="M3225" s="674"/>
      <c r="N3225" s="670"/>
      <c r="O3225" s="670">
        <f>U3224</f>
        <v>23.65</v>
      </c>
      <c r="P3225" s="670">
        <f>O3225</f>
        <v>23.65</v>
      </c>
      <c r="Q3225" s="670">
        <v>0</v>
      </c>
      <c r="R3225" s="365"/>
      <c r="S3225" s="366"/>
      <c r="T3225" s="1399"/>
      <c r="U3225" s="1398"/>
      <c r="V3225" s="361"/>
      <c r="W3225" s="361"/>
    </row>
    <row r="3226" spans="1:23">
      <c r="A3226" s="1410"/>
      <c r="B3226" s="1413"/>
      <c r="C3226" s="1126" t="s">
        <v>984</v>
      </c>
      <c r="D3226" s="875" t="str">
        <f>B3225&amp;C3226</f>
        <v>A98b</v>
      </c>
      <c r="E3226" s="367">
        <v>1</v>
      </c>
      <c r="F3226" s="669" t="s">
        <v>1160</v>
      </c>
      <c r="G3226" s="369">
        <v>0.42708333333333331</v>
      </c>
      <c r="H3226" s="368">
        <v>0.47222222222222227</v>
      </c>
      <c r="I3226" s="368">
        <v>0.47916666666666669</v>
      </c>
      <c r="J3226" s="368">
        <v>0.48402777777777778</v>
      </c>
      <c r="K3226" s="669">
        <v>12</v>
      </c>
      <c r="L3226" s="669">
        <v>19</v>
      </c>
      <c r="M3226" s="675">
        <v>18.899999999999999</v>
      </c>
      <c r="N3226" s="671">
        <f>IF(M3226-P3226&gt;0,M3226-P3226,0)</f>
        <v>2.2999999999999972</v>
      </c>
      <c r="O3226" s="671">
        <f>O3225-K3226/(PI()*(U3223/2000)^2)</f>
        <v>13.039670460540309</v>
      </c>
      <c r="P3226" s="672">
        <v>16.600000000000001</v>
      </c>
      <c r="Q3226" s="673">
        <f>ABS(O3226-P3226)</f>
        <v>3.5603295394596923</v>
      </c>
      <c r="R3226" s="375" t="s">
        <v>188</v>
      </c>
      <c r="S3226" s="366"/>
      <c r="T3226" s="376"/>
      <c r="U3226" s="376"/>
      <c r="V3226" s="366"/>
      <c r="W3226" s="366"/>
    </row>
    <row r="3227" spans="1:23">
      <c r="A3227" s="1410"/>
      <c r="B3227" s="1413"/>
      <c r="C3227" s="1126" t="s">
        <v>985</v>
      </c>
      <c r="D3227" s="875" t="str">
        <f>B3225&amp;C3227</f>
        <v>A98c</v>
      </c>
      <c r="E3227" s="367">
        <v>2</v>
      </c>
      <c r="F3227" s="669" t="s">
        <v>1159</v>
      </c>
      <c r="G3227" s="369">
        <v>0.43055555555555558</v>
      </c>
      <c r="H3227" s="368">
        <v>0.47569444444444442</v>
      </c>
      <c r="I3227" s="368">
        <v>0.49444444444444446</v>
      </c>
      <c r="J3227" s="368">
        <v>0.5</v>
      </c>
      <c r="K3227" s="669">
        <v>12</v>
      </c>
      <c r="L3227" s="669">
        <v>20</v>
      </c>
      <c r="M3227" s="675"/>
      <c r="N3227" s="671">
        <f>IF(M3227-P3227&gt;0,M3227-P3227,0)</f>
        <v>0</v>
      </c>
      <c r="O3227" s="671">
        <f>O3226-K3227/(PI()*(U3223/2000)^2)</f>
        <v>2.4293409210806196</v>
      </c>
      <c r="P3227" s="672">
        <v>6.4</v>
      </c>
      <c r="Q3227" s="673">
        <f>ABS(O3227-P3227)</f>
        <v>3.9706590789193807</v>
      </c>
      <c r="R3227" s="375" t="s">
        <v>188</v>
      </c>
      <c r="S3227" s="366"/>
      <c r="T3227" s="376"/>
      <c r="U3227" s="376"/>
      <c r="V3227" s="366"/>
      <c r="W3227" s="366"/>
    </row>
    <row r="3228" spans="1:23">
      <c r="A3228" s="1410"/>
      <c r="B3228" s="1413"/>
      <c r="C3228" s="1126" t="s">
        <v>986</v>
      </c>
      <c r="D3228" s="875" t="str">
        <f>B3225&amp;C3228</f>
        <v>A98d</v>
      </c>
      <c r="E3228" s="367">
        <v>3</v>
      </c>
      <c r="F3228" s="669"/>
      <c r="G3228" s="368"/>
      <c r="H3228" s="368"/>
      <c r="I3228" s="368"/>
      <c r="J3228" s="368"/>
      <c r="K3228" s="370"/>
      <c r="L3228" s="370"/>
      <c r="M3228" s="371"/>
      <c r="N3228" s="671"/>
      <c r="O3228" s="671"/>
      <c r="P3228" s="373"/>
      <c r="Q3228" s="673"/>
      <c r="R3228" s="378"/>
      <c r="S3228" s="366"/>
      <c r="T3228" s="376"/>
      <c r="U3228" s="376"/>
      <c r="V3228" s="366"/>
      <c r="W3228" s="366"/>
    </row>
    <row r="3229" spans="1:23">
      <c r="A3229" s="1410"/>
      <c r="B3229" s="1413"/>
      <c r="C3229" s="1126" t="s">
        <v>987</v>
      </c>
      <c r="D3229" s="875" t="str">
        <f>B3225&amp;C3229</f>
        <v>A98e</v>
      </c>
      <c r="E3229" s="367">
        <v>4</v>
      </c>
      <c r="F3229" s="669"/>
      <c r="G3229" s="368"/>
      <c r="H3229" s="368"/>
      <c r="I3229" s="368"/>
      <c r="J3229" s="368"/>
      <c r="K3229" s="370"/>
      <c r="L3229" s="370"/>
      <c r="M3229" s="371"/>
      <c r="N3229" s="671"/>
      <c r="O3229" s="671"/>
      <c r="P3229" s="373"/>
      <c r="Q3229" s="673"/>
      <c r="R3229" s="378"/>
      <c r="S3229" s="366"/>
      <c r="T3229" s="376"/>
      <c r="U3229" s="376"/>
      <c r="V3229" s="366"/>
      <c r="W3229" s="366"/>
    </row>
    <row r="3230" spans="1:23">
      <c r="A3230" s="1410"/>
      <c r="B3230" s="1413"/>
      <c r="C3230" s="1126" t="s">
        <v>988</v>
      </c>
      <c r="D3230" s="875" t="str">
        <f>B3225&amp;C3230</f>
        <v>A98f</v>
      </c>
      <c r="E3230" s="367">
        <v>5</v>
      </c>
      <c r="F3230" s="669"/>
      <c r="G3230" s="368"/>
      <c r="H3230" s="368"/>
      <c r="I3230" s="368"/>
      <c r="J3230" s="368"/>
      <c r="K3230" s="370"/>
      <c r="L3230" s="370"/>
      <c r="M3230" s="371"/>
      <c r="N3230" s="671"/>
      <c r="O3230" s="671"/>
      <c r="P3230" s="373"/>
      <c r="Q3230" s="673"/>
      <c r="R3230" s="378"/>
      <c r="S3230" s="366" t="s">
        <v>190</v>
      </c>
      <c r="T3230" s="376"/>
      <c r="U3230" s="376"/>
      <c r="V3230" s="366"/>
      <c r="W3230" s="366"/>
    </row>
    <row r="3231" spans="1:23">
      <c r="A3231" s="1410"/>
      <c r="B3231" s="1413"/>
      <c r="C3231" s="1126" t="s">
        <v>989</v>
      </c>
      <c r="D3231" s="875" t="str">
        <f>B3225&amp;C3231</f>
        <v>A98g</v>
      </c>
      <c r="E3231" s="367">
        <v>6</v>
      </c>
      <c r="F3231" s="669"/>
      <c r="G3231" s="368"/>
      <c r="H3231" s="368"/>
      <c r="I3231" s="368"/>
      <c r="J3231" s="368"/>
      <c r="K3231" s="370"/>
      <c r="L3231" s="370"/>
      <c r="M3231" s="371"/>
      <c r="N3231" s="671"/>
      <c r="O3231" s="671"/>
      <c r="P3231" s="373"/>
      <c r="Q3231" s="673"/>
      <c r="R3231" s="378"/>
      <c r="S3231" s="366" t="s">
        <v>190</v>
      </c>
      <c r="T3231" s="366"/>
      <c r="U3231" s="366"/>
      <c r="V3231" s="366"/>
      <c r="W3231" s="366"/>
    </row>
    <row r="3232" spans="1:23">
      <c r="A3232" s="1410"/>
      <c r="B3232" s="1413"/>
      <c r="C3232" s="1126" t="s">
        <v>990</v>
      </c>
      <c r="D3232" s="875" t="str">
        <f>B3225&amp;C3232</f>
        <v>A98h</v>
      </c>
      <c r="E3232" s="367">
        <v>7</v>
      </c>
      <c r="F3232" s="669"/>
      <c r="G3232" s="368"/>
      <c r="H3232" s="368"/>
      <c r="I3232" s="368"/>
      <c r="J3232" s="368"/>
      <c r="K3232" s="370"/>
      <c r="L3232" s="370"/>
      <c r="M3232" s="371"/>
      <c r="N3232" s="671"/>
      <c r="O3232" s="671"/>
      <c r="P3232" s="373"/>
      <c r="Q3232" s="673"/>
      <c r="R3232" s="378"/>
      <c r="S3232" s="366" t="s">
        <v>190</v>
      </c>
      <c r="T3232" s="366"/>
      <c r="U3232" s="366"/>
      <c r="V3232" s="366"/>
      <c r="W3232" s="366"/>
    </row>
    <row r="3233" spans="1:23">
      <c r="A3233" s="1410"/>
      <c r="B3233" s="1413"/>
      <c r="C3233" s="1126" t="s">
        <v>991</v>
      </c>
      <c r="D3233" s="875" t="str">
        <f>B3225&amp;C3233</f>
        <v>A98i</v>
      </c>
      <c r="E3233" s="367">
        <v>8</v>
      </c>
      <c r="F3233" s="669"/>
      <c r="G3233" s="368"/>
      <c r="H3233" s="368"/>
      <c r="I3233" s="368"/>
      <c r="J3233" s="368"/>
      <c r="K3233" s="370"/>
      <c r="L3233" s="370"/>
      <c r="M3233" s="371"/>
      <c r="N3233" s="671"/>
      <c r="O3233" s="671"/>
      <c r="P3233" s="373"/>
      <c r="Q3233" s="673"/>
      <c r="R3233" s="378"/>
      <c r="S3233" s="366"/>
      <c r="T3233" s="366"/>
      <c r="U3233" s="366"/>
      <c r="V3233" s="366"/>
      <c r="W3233" s="366"/>
    </row>
    <row r="3234" spans="1:23">
      <c r="A3234" s="1410"/>
      <c r="B3234" s="1413"/>
      <c r="C3234" s="1126" t="s">
        <v>992</v>
      </c>
      <c r="D3234" s="875" t="str">
        <f>B3225&amp;C3234</f>
        <v>A98k</v>
      </c>
      <c r="E3234" s="367">
        <v>9</v>
      </c>
      <c r="F3234" s="370"/>
      <c r="G3234" s="368"/>
      <c r="H3234" s="368"/>
      <c r="I3234" s="368"/>
      <c r="J3234" s="368"/>
      <c r="K3234" s="370"/>
      <c r="L3234" s="370"/>
      <c r="M3234" s="371"/>
      <c r="N3234" s="372"/>
      <c r="O3234" s="372"/>
      <c r="P3234" s="373"/>
      <c r="Q3234" s="374"/>
      <c r="R3234" s="378"/>
      <c r="S3234" s="379"/>
      <c r="T3234" s="366"/>
      <c r="U3234" s="366"/>
      <c r="V3234" s="366"/>
      <c r="W3234" s="366"/>
    </row>
    <row r="3235" spans="1:23">
      <c r="A3235" s="1410"/>
      <c r="B3235" s="1413"/>
      <c r="C3235" s="1126" t="s">
        <v>993</v>
      </c>
      <c r="D3235" s="875" t="str">
        <f>B3225&amp;C3235</f>
        <v>A98l</v>
      </c>
      <c r="E3235" s="367">
        <v>10</v>
      </c>
      <c r="F3235" s="370"/>
      <c r="G3235" s="368"/>
      <c r="H3235" s="368"/>
      <c r="I3235" s="368"/>
      <c r="J3235" s="368"/>
      <c r="K3235" s="370"/>
      <c r="L3235" s="370"/>
      <c r="M3235" s="370"/>
      <c r="N3235" s="372"/>
      <c r="O3235" s="372"/>
      <c r="P3235" s="373"/>
      <c r="Q3235" s="374"/>
      <c r="R3235" s="378"/>
      <c r="S3235" s="379"/>
      <c r="T3235" s="366"/>
      <c r="U3235" s="366"/>
      <c r="V3235" s="366"/>
      <c r="W3235" s="366"/>
    </row>
    <row r="3236" spans="1:23">
      <c r="A3236" s="1410"/>
      <c r="B3236" s="1413"/>
      <c r="C3236" s="1126" t="s">
        <v>994</v>
      </c>
      <c r="D3236" s="875" t="str">
        <f>B3225&amp;C3236</f>
        <v>A98m</v>
      </c>
      <c r="E3236" s="367">
        <v>11</v>
      </c>
      <c r="F3236" s="370"/>
      <c r="G3236" s="368"/>
      <c r="H3236" s="368"/>
      <c r="I3236" s="368"/>
      <c r="J3236" s="368"/>
      <c r="K3236" s="370"/>
      <c r="L3236" s="370"/>
      <c r="M3236" s="370"/>
      <c r="N3236" s="372"/>
      <c r="O3236" s="372"/>
      <c r="P3236" s="380"/>
      <c r="Q3236" s="374"/>
      <c r="R3236" s="381"/>
      <c r="S3236" s="379"/>
      <c r="T3236" s="366"/>
      <c r="U3236" s="366"/>
      <c r="V3236" s="366"/>
      <c r="W3236" s="366"/>
    </row>
    <row r="3237" spans="1:23">
      <c r="A3237" s="1410"/>
      <c r="B3237" s="1413"/>
      <c r="C3237" s="1126" t="s">
        <v>995</v>
      </c>
      <c r="D3237" s="875" t="str">
        <f>B3225&amp;C3237</f>
        <v>A98n</v>
      </c>
      <c r="E3237" s="367">
        <v>12</v>
      </c>
      <c r="F3237" s="370"/>
      <c r="G3237" s="368"/>
      <c r="H3237" s="368"/>
      <c r="I3237" s="368"/>
      <c r="J3237" s="368"/>
      <c r="K3237" s="370"/>
      <c r="L3237" s="370"/>
      <c r="M3237" s="370"/>
      <c r="N3237" s="372"/>
      <c r="O3237" s="372"/>
      <c r="P3237" s="380"/>
      <c r="Q3237" s="374"/>
      <c r="R3237" s="381"/>
      <c r="S3237" s="361"/>
      <c r="T3237" s="361"/>
      <c r="U3237" s="361"/>
      <c r="V3237" s="366"/>
      <c r="W3237" s="366"/>
    </row>
    <row r="3238" spans="1:23">
      <c r="A3238" s="1410"/>
      <c r="B3238" s="1413"/>
      <c r="C3238" s="1126" t="s">
        <v>471</v>
      </c>
      <c r="D3238" s="875" t="str">
        <f>B3225&amp;C3238</f>
        <v>A98x</v>
      </c>
      <c r="E3238" s="367">
        <v>13</v>
      </c>
      <c r="F3238" s="370"/>
      <c r="G3238" s="368"/>
      <c r="H3238" s="368"/>
      <c r="I3238" s="368"/>
      <c r="J3238" s="368"/>
      <c r="K3238" s="370"/>
      <c r="L3238" s="370"/>
      <c r="M3238" s="370"/>
      <c r="N3238" s="382"/>
      <c r="O3238" s="372"/>
      <c r="P3238" s="380"/>
      <c r="Q3238" s="381"/>
      <c r="R3238" s="381"/>
      <c r="S3238" s="361"/>
      <c r="T3238" s="361"/>
      <c r="U3238" s="361"/>
      <c r="V3238" s="366"/>
      <c r="W3238" s="366"/>
    </row>
    <row r="3239" spans="1:23">
      <c r="A3239" s="1410"/>
      <c r="B3239" s="1413"/>
      <c r="C3239" s="1126" t="s">
        <v>732</v>
      </c>
      <c r="D3239" s="875" t="str">
        <f>B3225&amp;C3239</f>
        <v>A98y</v>
      </c>
      <c r="E3239" s="367">
        <v>14</v>
      </c>
      <c r="F3239" s="370"/>
      <c r="G3239" s="368"/>
      <c r="H3239" s="368"/>
      <c r="I3239" s="368"/>
      <c r="J3239" s="368"/>
      <c r="K3239" s="370"/>
      <c r="L3239" s="370"/>
      <c r="M3239" s="370"/>
      <c r="N3239" s="382"/>
      <c r="O3239" s="372"/>
      <c r="P3239" s="380"/>
      <c r="Q3239" s="381"/>
      <c r="R3239" s="381"/>
      <c r="S3239" s="361"/>
      <c r="T3239" s="361"/>
      <c r="U3239" s="362"/>
      <c r="V3239" s="366"/>
      <c r="W3239" s="366"/>
    </row>
    <row r="3240" spans="1:23">
      <c r="A3240" s="1411"/>
      <c r="B3240" s="1414"/>
      <c r="C3240" s="1127" t="s">
        <v>996</v>
      </c>
      <c r="D3240" s="876" t="str">
        <f>B3225&amp;C3240</f>
        <v>A98z</v>
      </c>
      <c r="E3240" s="847">
        <v>15</v>
      </c>
      <c r="F3240" s="370"/>
      <c r="G3240" s="368"/>
      <c r="H3240" s="368"/>
      <c r="I3240" s="368"/>
      <c r="J3240" s="368"/>
      <c r="K3240" s="370"/>
      <c r="L3240" s="370"/>
      <c r="M3240" s="370"/>
      <c r="N3240" s="850"/>
      <c r="O3240" s="851"/>
      <c r="P3240" s="380"/>
      <c r="Q3240" s="852"/>
      <c r="R3240" s="383"/>
      <c r="S3240" s="361"/>
      <c r="T3240" s="1121"/>
      <c r="U3240" s="1120"/>
      <c r="V3240" s="366"/>
      <c r="W3240" s="366"/>
    </row>
    <row r="3241" spans="1:23">
      <c r="A3241" s="1400" t="s">
        <v>939</v>
      </c>
      <c r="B3241" s="1400"/>
      <c r="C3241" s="1131"/>
      <c r="D3241" s="871"/>
      <c r="E3241" s="1400" t="s">
        <v>177</v>
      </c>
      <c r="F3241" s="1400" t="s">
        <v>18</v>
      </c>
      <c r="G3241" s="1389" t="s">
        <v>19</v>
      </c>
      <c r="H3241" s="1390"/>
      <c r="I3241" s="1389" t="s">
        <v>22</v>
      </c>
      <c r="J3241" s="1390"/>
      <c r="K3241" s="1393" t="s">
        <v>26</v>
      </c>
      <c r="L3241" s="1390"/>
      <c r="M3241" s="1389" t="s">
        <v>392</v>
      </c>
      <c r="N3241" s="1390"/>
      <c r="O3241" s="1389" t="s">
        <v>28</v>
      </c>
      <c r="P3241" s="1393"/>
      <c r="Q3241" s="1390"/>
      <c r="R3241" s="1400" t="s">
        <v>36</v>
      </c>
      <c r="S3241" s="361"/>
      <c r="T3241" s="361">
        <f>MAX(J3245:J3259)-MIN(I3245:I3259)</f>
        <v>2.083333333333337E-2</v>
      </c>
      <c r="U3241" s="361"/>
      <c r="V3241" s="853" t="str">
        <f t="shared" ref="V3241" si="392">B3245</f>
        <v>A97</v>
      </c>
      <c r="W3241" s="361">
        <f t="shared" ref="W3241" si="393">COUNTIF(K3246:K3260,"&gt;0")</f>
        <v>2</v>
      </c>
    </row>
    <row r="3242" spans="1:23">
      <c r="A3242" s="1401"/>
      <c r="B3242" s="1401"/>
      <c r="C3242" s="1132"/>
      <c r="D3242" s="872"/>
      <c r="E3242" s="1401"/>
      <c r="F3242" s="1401"/>
      <c r="G3242" s="1391"/>
      <c r="H3242" s="1392"/>
      <c r="I3242" s="1391"/>
      <c r="J3242" s="1392"/>
      <c r="K3242" s="1394"/>
      <c r="L3242" s="1392"/>
      <c r="M3242" s="1391"/>
      <c r="N3242" s="1392"/>
      <c r="O3242" s="1391"/>
      <c r="P3242" s="1394"/>
      <c r="Q3242" s="1392"/>
      <c r="R3242" s="1401"/>
      <c r="S3242" s="361"/>
      <c r="T3242" s="361"/>
      <c r="U3242" s="361"/>
      <c r="V3242" s="361"/>
      <c r="W3242" s="361"/>
    </row>
    <row r="3243" spans="1:23">
      <c r="A3243" s="1401"/>
      <c r="B3243" s="1401"/>
      <c r="C3243" s="1132"/>
      <c r="D3243" s="872"/>
      <c r="E3243" s="1401"/>
      <c r="F3243" s="1401"/>
      <c r="G3243" s="1400" t="s">
        <v>20</v>
      </c>
      <c r="H3243" s="1400" t="s">
        <v>21</v>
      </c>
      <c r="I3243" s="1400" t="s">
        <v>361</v>
      </c>
      <c r="J3243" s="1400" t="s">
        <v>353</v>
      </c>
      <c r="K3243" s="1400" t="s">
        <v>23</v>
      </c>
      <c r="L3243" s="1400" t="s">
        <v>24</v>
      </c>
      <c r="M3243" s="1400" t="s">
        <v>27</v>
      </c>
      <c r="N3243" s="1400" t="s">
        <v>178</v>
      </c>
      <c r="O3243" s="1400" t="s">
        <v>1</v>
      </c>
      <c r="P3243" s="1400" t="s">
        <v>29</v>
      </c>
      <c r="Q3243" s="1400" t="s">
        <v>33</v>
      </c>
      <c r="R3243" s="1401"/>
      <c r="S3243" s="361"/>
      <c r="T3243" s="361" t="s">
        <v>39</v>
      </c>
      <c r="U3243" s="362">
        <f>VLOOKUP(B3245,'Thong tin'!$A:$M,13,0)</f>
        <v>1200</v>
      </c>
      <c r="V3243" s="361"/>
      <c r="W3243" s="361"/>
    </row>
    <row r="3244" spans="1:23">
      <c r="A3244" s="1402"/>
      <c r="B3244" s="1402"/>
      <c r="C3244" s="1133"/>
      <c r="D3244" s="873"/>
      <c r="E3244" s="1402"/>
      <c r="F3244" s="1402"/>
      <c r="G3244" s="1402"/>
      <c r="H3244" s="1402"/>
      <c r="I3244" s="1402"/>
      <c r="J3244" s="1402"/>
      <c r="K3244" s="1402"/>
      <c r="L3244" s="1402"/>
      <c r="M3244" s="1402"/>
      <c r="N3244" s="1402"/>
      <c r="O3244" s="1402"/>
      <c r="P3244" s="1402"/>
      <c r="Q3244" s="1402"/>
      <c r="R3244" s="1402"/>
      <c r="S3244" s="361"/>
      <c r="T3244" s="1399" t="s">
        <v>393</v>
      </c>
      <c r="U3244" s="1397">
        <f>VLOOKUP(B3245,DT.NK!$B:$AZ,45,0)</f>
        <v>23.75</v>
      </c>
      <c r="V3244" s="361"/>
      <c r="W3244" s="361"/>
    </row>
    <row r="3245" spans="1:23">
      <c r="A3245" s="1409">
        <f>A3225+1</f>
        <v>163</v>
      </c>
      <c r="B3245" s="1412" t="s">
        <v>521</v>
      </c>
      <c r="C3245" s="1134" t="s">
        <v>983</v>
      </c>
      <c r="D3245" s="874" t="str">
        <f>B3245&amp;C3245</f>
        <v>A97a</v>
      </c>
      <c r="E3245" s="363"/>
      <c r="F3245" s="364"/>
      <c r="G3245" s="364"/>
      <c r="H3245" s="364"/>
      <c r="I3245" s="364"/>
      <c r="J3245" s="364"/>
      <c r="K3245" s="364"/>
      <c r="L3245" s="364"/>
      <c r="M3245" s="674"/>
      <c r="N3245" s="670"/>
      <c r="O3245" s="670">
        <f>U3244</f>
        <v>23.75</v>
      </c>
      <c r="P3245" s="670">
        <f>O3245</f>
        <v>23.75</v>
      </c>
      <c r="Q3245" s="670">
        <v>0</v>
      </c>
      <c r="R3245" s="365"/>
      <c r="S3245" s="366"/>
      <c r="T3245" s="1399"/>
      <c r="U3245" s="1398"/>
      <c r="V3245" s="361"/>
      <c r="W3245" s="361"/>
    </row>
    <row r="3246" spans="1:23">
      <c r="A3246" s="1410"/>
      <c r="B3246" s="1413"/>
      <c r="C3246" s="1135" t="s">
        <v>984</v>
      </c>
      <c r="D3246" s="875" t="str">
        <f>B3245&amp;C3246</f>
        <v>A97b</v>
      </c>
      <c r="E3246" s="367">
        <v>1</v>
      </c>
      <c r="F3246" s="669" t="s">
        <v>1160</v>
      </c>
      <c r="G3246" s="369">
        <v>0.52083333333333337</v>
      </c>
      <c r="H3246" s="368">
        <v>0.54861111111111105</v>
      </c>
      <c r="I3246" s="368">
        <v>0.5625</v>
      </c>
      <c r="J3246" s="368">
        <v>0.56944444444444442</v>
      </c>
      <c r="K3246" s="669">
        <v>12.5</v>
      </c>
      <c r="L3246" s="669">
        <v>19</v>
      </c>
      <c r="M3246" s="675">
        <v>22.05</v>
      </c>
      <c r="N3246" s="671">
        <f>IF(M3246-P3246&gt;0,M3246-P3246,0)</f>
        <v>4.9000000000000021</v>
      </c>
      <c r="O3246" s="671">
        <f>O3245-K3246/(PI()*(U3243/2000)^2)</f>
        <v>12.697573396396157</v>
      </c>
      <c r="P3246" s="672">
        <v>17.149999999999999</v>
      </c>
      <c r="Q3246" s="673">
        <f>ABS(O3246-P3246)</f>
        <v>4.4524266036038416</v>
      </c>
      <c r="R3246" s="375" t="s">
        <v>188</v>
      </c>
      <c r="S3246" s="366"/>
      <c r="T3246" s="376"/>
      <c r="U3246" s="376"/>
      <c r="V3246" s="366"/>
      <c r="W3246" s="366"/>
    </row>
    <row r="3247" spans="1:23">
      <c r="A3247" s="1410"/>
      <c r="B3247" s="1413"/>
      <c r="C3247" s="1135" t="s">
        <v>985</v>
      </c>
      <c r="D3247" s="875" t="str">
        <f>B3245&amp;C3247</f>
        <v>A97c</v>
      </c>
      <c r="E3247" s="367">
        <v>2</v>
      </c>
      <c r="F3247" s="669" t="s">
        <v>1159</v>
      </c>
      <c r="G3247" s="369">
        <v>0.52430555555555558</v>
      </c>
      <c r="H3247" s="368">
        <v>0.55208333333333337</v>
      </c>
      <c r="I3247" s="368">
        <v>0.57638888888888895</v>
      </c>
      <c r="J3247" s="368">
        <v>0.58333333333333337</v>
      </c>
      <c r="K3247" s="669">
        <v>12.5</v>
      </c>
      <c r="L3247" s="669">
        <v>19</v>
      </c>
      <c r="M3247" s="675">
        <v>9.4499999999999993</v>
      </c>
      <c r="N3247" s="671">
        <f>IF(M3247-P3247&gt;0,M3247-P3247,0)</f>
        <v>3.1499999999999995</v>
      </c>
      <c r="O3247" s="671">
        <f>O3246-K3247/(PI()*(U3243/2000)^2)</f>
        <v>1.645146792792314</v>
      </c>
      <c r="P3247" s="672">
        <v>6.3</v>
      </c>
      <c r="Q3247" s="673">
        <f>ABS(O3247-P3247)</f>
        <v>4.6548532072076858</v>
      </c>
      <c r="R3247" s="375" t="s">
        <v>188</v>
      </c>
      <c r="S3247" s="366"/>
      <c r="T3247" s="376"/>
      <c r="U3247" s="376"/>
      <c r="V3247" s="366"/>
      <c r="W3247" s="366"/>
    </row>
    <row r="3248" spans="1:23">
      <c r="A3248" s="1410"/>
      <c r="B3248" s="1413"/>
      <c r="C3248" s="1135" t="s">
        <v>986</v>
      </c>
      <c r="D3248" s="875" t="str">
        <f>B3245&amp;C3248</f>
        <v>A97d</v>
      </c>
      <c r="E3248" s="367">
        <v>3</v>
      </c>
      <c r="F3248" s="669"/>
      <c r="G3248" s="368"/>
      <c r="H3248" s="368"/>
      <c r="I3248" s="368"/>
      <c r="J3248" s="368"/>
      <c r="K3248" s="370"/>
      <c r="L3248" s="370"/>
      <c r="M3248" s="371"/>
      <c r="N3248" s="671"/>
      <c r="O3248" s="671"/>
      <c r="P3248" s="373"/>
      <c r="Q3248" s="673"/>
      <c r="R3248" s="378"/>
      <c r="S3248" s="366"/>
      <c r="T3248" s="376"/>
      <c r="U3248" s="376"/>
      <c r="V3248" s="366"/>
      <c r="W3248" s="366"/>
    </row>
    <row r="3249" spans="1:23">
      <c r="A3249" s="1410"/>
      <c r="B3249" s="1413"/>
      <c r="C3249" s="1135" t="s">
        <v>987</v>
      </c>
      <c r="D3249" s="875" t="str">
        <f>B3245&amp;C3249</f>
        <v>A97e</v>
      </c>
      <c r="E3249" s="367">
        <v>4</v>
      </c>
      <c r="F3249" s="669"/>
      <c r="G3249" s="368"/>
      <c r="H3249" s="368"/>
      <c r="I3249" s="368"/>
      <c r="J3249" s="368"/>
      <c r="K3249" s="370"/>
      <c r="L3249" s="370"/>
      <c r="M3249" s="371"/>
      <c r="N3249" s="671"/>
      <c r="O3249" s="671"/>
      <c r="P3249" s="373"/>
      <c r="Q3249" s="673"/>
      <c r="R3249" s="378"/>
      <c r="S3249" s="366"/>
      <c r="T3249" s="376"/>
      <c r="U3249" s="376"/>
      <c r="V3249" s="366"/>
      <c r="W3249" s="366"/>
    </row>
    <row r="3250" spans="1:23">
      <c r="A3250" s="1410"/>
      <c r="B3250" s="1413"/>
      <c r="C3250" s="1135" t="s">
        <v>988</v>
      </c>
      <c r="D3250" s="875" t="str">
        <f>B3245&amp;C3250</f>
        <v>A97f</v>
      </c>
      <c r="E3250" s="367">
        <v>5</v>
      </c>
      <c r="F3250" s="669"/>
      <c r="G3250" s="368"/>
      <c r="H3250" s="368"/>
      <c r="I3250" s="368"/>
      <c r="J3250" s="368"/>
      <c r="K3250" s="370"/>
      <c r="L3250" s="370"/>
      <c r="M3250" s="371"/>
      <c r="N3250" s="671"/>
      <c r="O3250" s="671"/>
      <c r="P3250" s="373"/>
      <c r="Q3250" s="673"/>
      <c r="R3250" s="378"/>
      <c r="S3250" s="366" t="s">
        <v>190</v>
      </c>
      <c r="T3250" s="376"/>
      <c r="U3250" s="376"/>
      <c r="V3250" s="366"/>
      <c r="W3250" s="366"/>
    </row>
    <row r="3251" spans="1:23">
      <c r="A3251" s="1410"/>
      <c r="B3251" s="1413"/>
      <c r="C3251" s="1135" t="s">
        <v>989</v>
      </c>
      <c r="D3251" s="875" t="str">
        <f>B3245&amp;C3251</f>
        <v>A97g</v>
      </c>
      <c r="E3251" s="367">
        <v>6</v>
      </c>
      <c r="F3251" s="669"/>
      <c r="G3251" s="368"/>
      <c r="H3251" s="368"/>
      <c r="I3251" s="368"/>
      <c r="J3251" s="368"/>
      <c r="K3251" s="370"/>
      <c r="L3251" s="370"/>
      <c r="M3251" s="371"/>
      <c r="N3251" s="671"/>
      <c r="O3251" s="671"/>
      <c r="P3251" s="373"/>
      <c r="Q3251" s="673"/>
      <c r="R3251" s="378"/>
      <c r="S3251" s="366" t="s">
        <v>190</v>
      </c>
      <c r="T3251" s="366"/>
      <c r="U3251" s="366"/>
      <c r="V3251" s="366"/>
      <c r="W3251" s="366"/>
    </row>
    <row r="3252" spans="1:23">
      <c r="A3252" s="1410"/>
      <c r="B3252" s="1413"/>
      <c r="C3252" s="1135" t="s">
        <v>990</v>
      </c>
      <c r="D3252" s="875" t="str">
        <f>B3245&amp;C3252</f>
        <v>A97h</v>
      </c>
      <c r="E3252" s="367">
        <v>7</v>
      </c>
      <c r="F3252" s="669"/>
      <c r="G3252" s="368"/>
      <c r="H3252" s="368"/>
      <c r="I3252" s="368"/>
      <c r="J3252" s="368"/>
      <c r="K3252" s="370"/>
      <c r="L3252" s="370"/>
      <c r="M3252" s="371"/>
      <c r="N3252" s="671"/>
      <c r="O3252" s="671"/>
      <c r="P3252" s="373"/>
      <c r="Q3252" s="673"/>
      <c r="R3252" s="378"/>
      <c r="S3252" s="366" t="s">
        <v>190</v>
      </c>
      <c r="T3252" s="366"/>
      <c r="U3252" s="366"/>
      <c r="V3252" s="366"/>
      <c r="W3252" s="366"/>
    </row>
    <row r="3253" spans="1:23">
      <c r="A3253" s="1410"/>
      <c r="B3253" s="1413"/>
      <c r="C3253" s="1135" t="s">
        <v>991</v>
      </c>
      <c r="D3253" s="875" t="str">
        <f>B3245&amp;C3253</f>
        <v>A97i</v>
      </c>
      <c r="E3253" s="367">
        <v>8</v>
      </c>
      <c r="F3253" s="669"/>
      <c r="G3253" s="368"/>
      <c r="H3253" s="368"/>
      <c r="I3253" s="368"/>
      <c r="J3253" s="368"/>
      <c r="K3253" s="370"/>
      <c r="L3253" s="370"/>
      <c r="M3253" s="371"/>
      <c r="N3253" s="671"/>
      <c r="O3253" s="671"/>
      <c r="P3253" s="373"/>
      <c r="Q3253" s="673"/>
      <c r="R3253" s="378"/>
      <c r="S3253" s="366"/>
      <c r="T3253" s="366"/>
      <c r="U3253" s="366"/>
      <c r="V3253" s="366"/>
      <c r="W3253" s="366"/>
    </row>
    <row r="3254" spans="1:23">
      <c r="A3254" s="1410"/>
      <c r="B3254" s="1413"/>
      <c r="C3254" s="1135" t="s">
        <v>992</v>
      </c>
      <c r="D3254" s="875" t="str">
        <f>B3245&amp;C3254</f>
        <v>A97k</v>
      </c>
      <c r="E3254" s="367">
        <v>9</v>
      </c>
      <c r="F3254" s="370"/>
      <c r="G3254" s="368"/>
      <c r="H3254" s="368"/>
      <c r="I3254" s="368"/>
      <c r="J3254" s="368"/>
      <c r="K3254" s="370"/>
      <c r="L3254" s="370"/>
      <c r="M3254" s="371"/>
      <c r="N3254" s="372"/>
      <c r="O3254" s="372"/>
      <c r="P3254" s="373"/>
      <c r="Q3254" s="374"/>
      <c r="R3254" s="378"/>
      <c r="S3254" s="379"/>
      <c r="T3254" s="366"/>
      <c r="U3254" s="366"/>
      <c r="V3254" s="366"/>
      <c r="W3254" s="366"/>
    </row>
    <row r="3255" spans="1:23">
      <c r="A3255" s="1410"/>
      <c r="B3255" s="1413"/>
      <c r="C3255" s="1135" t="s">
        <v>993</v>
      </c>
      <c r="D3255" s="875" t="str">
        <f>B3245&amp;C3255</f>
        <v>A97l</v>
      </c>
      <c r="E3255" s="367">
        <v>10</v>
      </c>
      <c r="F3255" s="370"/>
      <c r="G3255" s="368"/>
      <c r="H3255" s="368"/>
      <c r="I3255" s="368"/>
      <c r="J3255" s="368"/>
      <c r="K3255" s="370"/>
      <c r="L3255" s="370"/>
      <c r="M3255" s="370"/>
      <c r="N3255" s="372"/>
      <c r="O3255" s="372"/>
      <c r="P3255" s="373"/>
      <c r="Q3255" s="374"/>
      <c r="R3255" s="378"/>
      <c r="S3255" s="379"/>
      <c r="T3255" s="366"/>
      <c r="U3255" s="366"/>
      <c r="V3255" s="366"/>
      <c r="W3255" s="366"/>
    </row>
    <row r="3256" spans="1:23">
      <c r="A3256" s="1410"/>
      <c r="B3256" s="1413"/>
      <c r="C3256" s="1135" t="s">
        <v>994</v>
      </c>
      <c r="D3256" s="875" t="str">
        <f>B3245&amp;C3256</f>
        <v>A97m</v>
      </c>
      <c r="E3256" s="367">
        <v>11</v>
      </c>
      <c r="F3256" s="370"/>
      <c r="G3256" s="368"/>
      <c r="H3256" s="368"/>
      <c r="I3256" s="368"/>
      <c r="J3256" s="368"/>
      <c r="K3256" s="370"/>
      <c r="L3256" s="370"/>
      <c r="M3256" s="370"/>
      <c r="N3256" s="372"/>
      <c r="O3256" s="372"/>
      <c r="P3256" s="380"/>
      <c r="Q3256" s="374"/>
      <c r="R3256" s="381"/>
      <c r="S3256" s="379"/>
      <c r="T3256" s="366"/>
      <c r="U3256" s="366"/>
      <c r="V3256" s="366"/>
      <c r="W3256" s="366"/>
    </row>
    <row r="3257" spans="1:23">
      <c r="A3257" s="1410"/>
      <c r="B3257" s="1413"/>
      <c r="C3257" s="1135" t="s">
        <v>995</v>
      </c>
      <c r="D3257" s="875" t="str">
        <f>B3245&amp;C3257</f>
        <v>A97n</v>
      </c>
      <c r="E3257" s="367">
        <v>12</v>
      </c>
      <c r="F3257" s="370"/>
      <c r="G3257" s="368"/>
      <c r="H3257" s="368"/>
      <c r="I3257" s="368"/>
      <c r="J3257" s="368"/>
      <c r="K3257" s="370"/>
      <c r="L3257" s="370"/>
      <c r="M3257" s="370"/>
      <c r="N3257" s="372"/>
      <c r="O3257" s="372"/>
      <c r="P3257" s="380"/>
      <c r="Q3257" s="374"/>
      <c r="R3257" s="381"/>
      <c r="S3257" s="361"/>
      <c r="T3257" s="361"/>
      <c r="U3257" s="361"/>
      <c r="V3257" s="366"/>
      <c r="W3257" s="366"/>
    </row>
    <row r="3258" spans="1:23">
      <c r="A3258" s="1410"/>
      <c r="B3258" s="1413"/>
      <c r="C3258" s="1135" t="s">
        <v>471</v>
      </c>
      <c r="D3258" s="875" t="str">
        <f>B3245&amp;C3258</f>
        <v>A97x</v>
      </c>
      <c r="E3258" s="367">
        <v>13</v>
      </c>
      <c r="F3258" s="370"/>
      <c r="G3258" s="368"/>
      <c r="H3258" s="368"/>
      <c r="I3258" s="368"/>
      <c r="J3258" s="368"/>
      <c r="K3258" s="370"/>
      <c r="L3258" s="370"/>
      <c r="M3258" s="370"/>
      <c r="N3258" s="382"/>
      <c r="O3258" s="372"/>
      <c r="P3258" s="380"/>
      <c r="Q3258" s="381"/>
      <c r="R3258" s="381"/>
      <c r="S3258" s="361"/>
      <c r="T3258" s="361"/>
      <c r="U3258" s="361"/>
      <c r="V3258" s="366"/>
      <c r="W3258" s="366"/>
    </row>
    <row r="3259" spans="1:23">
      <c r="A3259" s="1410"/>
      <c r="B3259" s="1413"/>
      <c r="C3259" s="1135" t="s">
        <v>732</v>
      </c>
      <c r="D3259" s="875" t="str">
        <f>B3245&amp;C3259</f>
        <v>A97y</v>
      </c>
      <c r="E3259" s="367">
        <v>14</v>
      </c>
      <c r="F3259" s="370"/>
      <c r="G3259" s="368"/>
      <c r="H3259" s="368"/>
      <c r="I3259" s="368"/>
      <c r="J3259" s="368"/>
      <c r="K3259" s="370"/>
      <c r="L3259" s="370"/>
      <c r="M3259" s="370"/>
      <c r="N3259" s="382"/>
      <c r="O3259" s="372"/>
      <c r="P3259" s="380"/>
      <c r="Q3259" s="381"/>
      <c r="R3259" s="381"/>
      <c r="S3259" s="361"/>
      <c r="T3259" s="361"/>
      <c r="U3259" s="362"/>
      <c r="V3259" s="366"/>
      <c r="W3259" s="366"/>
    </row>
    <row r="3260" spans="1:23">
      <c r="A3260" s="1411"/>
      <c r="B3260" s="1414"/>
      <c r="C3260" s="1136" t="s">
        <v>996</v>
      </c>
      <c r="D3260" s="876" t="str">
        <f>B3245&amp;C3260</f>
        <v>A97z</v>
      </c>
      <c r="E3260" s="847">
        <v>15</v>
      </c>
      <c r="F3260" s="370"/>
      <c r="G3260" s="368"/>
      <c r="H3260" s="368"/>
      <c r="I3260" s="368"/>
      <c r="J3260" s="368"/>
      <c r="K3260" s="370"/>
      <c r="L3260" s="370"/>
      <c r="M3260" s="370"/>
      <c r="N3260" s="850"/>
      <c r="O3260" s="851"/>
      <c r="P3260" s="380"/>
      <c r="Q3260" s="852"/>
      <c r="R3260" s="383"/>
      <c r="S3260" s="361"/>
      <c r="T3260" s="1130"/>
      <c r="U3260" s="1129"/>
      <c r="V3260" s="366"/>
      <c r="W3260" s="366"/>
    </row>
    <row r="3261" spans="1:23">
      <c r="A3261" s="1400" t="s">
        <v>939</v>
      </c>
      <c r="B3261" s="1400"/>
      <c r="C3261" s="1131"/>
      <c r="D3261" s="871"/>
      <c r="E3261" s="1400" t="s">
        <v>177</v>
      </c>
      <c r="F3261" s="1400" t="s">
        <v>18</v>
      </c>
      <c r="G3261" s="1389" t="s">
        <v>19</v>
      </c>
      <c r="H3261" s="1390"/>
      <c r="I3261" s="1389" t="s">
        <v>22</v>
      </c>
      <c r="J3261" s="1390"/>
      <c r="K3261" s="1393" t="s">
        <v>26</v>
      </c>
      <c r="L3261" s="1390"/>
      <c r="M3261" s="1389" t="s">
        <v>392</v>
      </c>
      <c r="N3261" s="1390"/>
      <c r="O3261" s="1389" t="s">
        <v>28</v>
      </c>
      <c r="P3261" s="1393"/>
      <c r="Q3261" s="1390"/>
      <c r="R3261" s="1400" t="s">
        <v>36</v>
      </c>
      <c r="S3261" s="361"/>
      <c r="T3261" s="361">
        <f>MAX(J3265:J3279)-MIN(I3265:I3279)</f>
        <v>6.25E-2</v>
      </c>
      <c r="U3261" s="361"/>
      <c r="V3261" s="853" t="str">
        <f t="shared" ref="V3261" si="394">B3265</f>
        <v>A110</v>
      </c>
      <c r="W3261" s="361">
        <f t="shared" ref="W3261" si="395">COUNTIF(K3266:K3280,"&gt;0")</f>
        <v>4</v>
      </c>
    </row>
    <row r="3262" spans="1:23">
      <c r="A3262" s="1401"/>
      <c r="B3262" s="1401"/>
      <c r="C3262" s="1132"/>
      <c r="D3262" s="872"/>
      <c r="E3262" s="1401"/>
      <c r="F3262" s="1401"/>
      <c r="G3262" s="1391"/>
      <c r="H3262" s="1392"/>
      <c r="I3262" s="1391"/>
      <c r="J3262" s="1392"/>
      <c r="K3262" s="1394"/>
      <c r="L3262" s="1392"/>
      <c r="M3262" s="1391"/>
      <c r="N3262" s="1392"/>
      <c r="O3262" s="1391"/>
      <c r="P3262" s="1394"/>
      <c r="Q3262" s="1392"/>
      <c r="R3262" s="1401"/>
      <c r="S3262" s="361"/>
      <c r="T3262" s="361"/>
      <c r="U3262" s="361"/>
      <c r="V3262" s="361"/>
      <c r="W3262" s="361"/>
    </row>
    <row r="3263" spans="1:23">
      <c r="A3263" s="1401"/>
      <c r="B3263" s="1401"/>
      <c r="C3263" s="1132"/>
      <c r="D3263" s="872"/>
      <c r="E3263" s="1401"/>
      <c r="F3263" s="1401"/>
      <c r="G3263" s="1400" t="s">
        <v>20</v>
      </c>
      <c r="H3263" s="1400" t="s">
        <v>21</v>
      </c>
      <c r="I3263" s="1400" t="s">
        <v>361</v>
      </c>
      <c r="J3263" s="1400" t="s">
        <v>353</v>
      </c>
      <c r="K3263" s="1400" t="s">
        <v>23</v>
      </c>
      <c r="L3263" s="1400" t="s">
        <v>24</v>
      </c>
      <c r="M3263" s="1400" t="s">
        <v>27</v>
      </c>
      <c r="N3263" s="1400" t="s">
        <v>178</v>
      </c>
      <c r="O3263" s="1400" t="s">
        <v>1</v>
      </c>
      <c r="P3263" s="1400" t="s">
        <v>29</v>
      </c>
      <c r="Q3263" s="1400" t="s">
        <v>33</v>
      </c>
      <c r="R3263" s="1401"/>
      <c r="S3263" s="361"/>
      <c r="T3263" s="361" t="s">
        <v>39</v>
      </c>
      <c r="U3263" s="362">
        <f>VLOOKUP(B3265,'Thong tin'!$A:$M,13,0)</f>
        <v>1200</v>
      </c>
      <c r="V3263" s="361"/>
      <c r="W3263" s="361"/>
    </row>
    <row r="3264" spans="1:23">
      <c r="A3264" s="1402"/>
      <c r="B3264" s="1402"/>
      <c r="C3264" s="1133"/>
      <c r="D3264" s="873"/>
      <c r="E3264" s="1402"/>
      <c r="F3264" s="1402"/>
      <c r="G3264" s="1402"/>
      <c r="H3264" s="1402"/>
      <c r="I3264" s="1402"/>
      <c r="J3264" s="1402"/>
      <c r="K3264" s="1402"/>
      <c r="L3264" s="1402"/>
      <c r="M3264" s="1402"/>
      <c r="N3264" s="1402"/>
      <c r="O3264" s="1402"/>
      <c r="P3264" s="1402"/>
      <c r="Q3264" s="1402"/>
      <c r="R3264" s="1402"/>
      <c r="S3264" s="361"/>
      <c r="T3264" s="1399" t="s">
        <v>393</v>
      </c>
      <c r="U3264" s="1397">
        <f>VLOOKUP(B3265,DT.NK!$B:$AZ,45,0)</f>
        <v>32.799999999999997</v>
      </c>
      <c r="V3264" s="361"/>
      <c r="W3264" s="361"/>
    </row>
    <row r="3265" spans="1:23">
      <c r="A3265" s="1409">
        <f>A3245+1</f>
        <v>164</v>
      </c>
      <c r="B3265" s="1412" t="s">
        <v>585</v>
      </c>
      <c r="C3265" s="1134" t="s">
        <v>983</v>
      </c>
      <c r="D3265" s="874" t="str">
        <f>B3265&amp;C3265</f>
        <v>A110a</v>
      </c>
      <c r="E3265" s="363"/>
      <c r="F3265" s="364"/>
      <c r="G3265" s="364"/>
      <c r="H3265" s="364"/>
      <c r="I3265" s="364"/>
      <c r="J3265" s="364"/>
      <c r="K3265" s="364"/>
      <c r="L3265" s="364"/>
      <c r="M3265" s="674"/>
      <c r="N3265" s="670"/>
      <c r="O3265" s="670">
        <f>U3264</f>
        <v>32.799999999999997</v>
      </c>
      <c r="P3265" s="670">
        <f>O3265</f>
        <v>32.799999999999997</v>
      </c>
      <c r="Q3265" s="670">
        <v>0</v>
      </c>
      <c r="R3265" s="365"/>
      <c r="S3265" s="366"/>
      <c r="T3265" s="1399"/>
      <c r="U3265" s="1398"/>
      <c r="V3265" s="361"/>
      <c r="W3265" s="361"/>
    </row>
    <row r="3266" spans="1:23">
      <c r="A3266" s="1410"/>
      <c r="B3266" s="1413"/>
      <c r="C3266" s="1135" t="s">
        <v>984</v>
      </c>
      <c r="D3266" s="875" t="str">
        <f>B3265&amp;C3266</f>
        <v>A110b</v>
      </c>
      <c r="E3266" s="367">
        <v>1</v>
      </c>
      <c r="F3266" s="669" t="s">
        <v>1160</v>
      </c>
      <c r="G3266" s="369">
        <v>0.8125</v>
      </c>
      <c r="H3266" s="368">
        <v>0.84375</v>
      </c>
      <c r="I3266" s="368">
        <v>0.85416666666666663</v>
      </c>
      <c r="J3266" s="368">
        <v>0.86111111111111116</v>
      </c>
      <c r="K3266" s="669">
        <v>13</v>
      </c>
      <c r="L3266" s="669">
        <v>19</v>
      </c>
      <c r="M3266" s="675">
        <v>28.35</v>
      </c>
      <c r="N3266" s="671">
        <f>IF(M3266-P3266&gt;0,M3266-P3266,0)</f>
        <v>3.25</v>
      </c>
      <c r="O3266" s="671">
        <f>O3265-K3266/(PI()*(U3263/2000)^2)</f>
        <v>21.305476332251999</v>
      </c>
      <c r="P3266" s="672">
        <v>25.1</v>
      </c>
      <c r="Q3266" s="673">
        <f>ABS(O3266-P3266)</f>
        <v>3.7945236677480025</v>
      </c>
      <c r="R3266" s="375" t="s">
        <v>188</v>
      </c>
      <c r="S3266" s="366"/>
      <c r="T3266" s="376"/>
      <c r="U3266" s="376"/>
      <c r="V3266" s="366"/>
      <c r="W3266" s="366"/>
    </row>
    <row r="3267" spans="1:23">
      <c r="A3267" s="1410"/>
      <c r="B3267" s="1413"/>
      <c r="C3267" s="1135" t="s">
        <v>985</v>
      </c>
      <c r="D3267" s="875" t="str">
        <f>B3265&amp;C3267</f>
        <v>A110c</v>
      </c>
      <c r="E3267" s="367">
        <v>2</v>
      </c>
      <c r="F3267" s="669" t="s">
        <v>1014</v>
      </c>
      <c r="G3267" s="369">
        <v>0.81597222222222221</v>
      </c>
      <c r="H3267" s="368">
        <v>0.84722222222222221</v>
      </c>
      <c r="I3267" s="368">
        <v>0.86805555555555547</v>
      </c>
      <c r="J3267" s="368">
        <v>0.875</v>
      </c>
      <c r="K3267" s="669">
        <v>11</v>
      </c>
      <c r="L3267" s="669">
        <v>19</v>
      </c>
      <c r="M3267" s="675">
        <v>22.05</v>
      </c>
      <c r="N3267" s="671">
        <f>IF(M3267-P3267&gt;0,M3267-P3267,0)</f>
        <v>3</v>
      </c>
      <c r="O3267" s="671">
        <f>O3266-K3267/(PI()*(U3263/2000)^2)</f>
        <v>11.579340921080616</v>
      </c>
      <c r="P3267" s="672">
        <v>19.05</v>
      </c>
      <c r="Q3267" s="673">
        <f>ABS(O3267-P3267)</f>
        <v>7.4706590789193843</v>
      </c>
      <c r="R3267" s="375" t="s">
        <v>188</v>
      </c>
      <c r="S3267" s="366"/>
      <c r="T3267" s="376"/>
      <c r="U3267" s="376"/>
      <c r="V3267" s="366"/>
      <c r="W3267" s="366"/>
    </row>
    <row r="3268" spans="1:23">
      <c r="A3268" s="1410"/>
      <c r="B3268" s="1413"/>
      <c r="C3268" s="1135" t="s">
        <v>986</v>
      </c>
      <c r="D3268" s="875" t="str">
        <f>B3265&amp;C3268</f>
        <v>A110d</v>
      </c>
      <c r="E3268" s="367">
        <v>3</v>
      </c>
      <c r="F3268" s="669" t="s">
        <v>1019</v>
      </c>
      <c r="G3268" s="368">
        <v>0.82430555555555562</v>
      </c>
      <c r="H3268" s="368">
        <v>0.85763888888888884</v>
      </c>
      <c r="I3268" s="368">
        <v>0.88194444444444453</v>
      </c>
      <c r="J3268" s="368">
        <v>0.88888888888888884</v>
      </c>
      <c r="K3268" s="370">
        <v>11</v>
      </c>
      <c r="L3268" s="370">
        <v>19</v>
      </c>
      <c r="M3268" s="371">
        <v>12.6</v>
      </c>
      <c r="N3268" s="671">
        <f t="shared" ref="N3268:N3269" si="396">IF(M3268-P3268&gt;0,M3268-P3268,0)</f>
        <v>3.0999999999999996</v>
      </c>
      <c r="O3268" s="671">
        <f>O3267-K3268/(PI()*(U3263/2000)^2)</f>
        <v>1.8532055099092339</v>
      </c>
      <c r="P3268" s="373">
        <v>9.5</v>
      </c>
      <c r="Q3268" s="673">
        <f t="shared" ref="Q3268:Q3269" si="397">ABS(O3268-P3268)</f>
        <v>7.6467944900907661</v>
      </c>
      <c r="R3268" s="958" t="s">
        <v>188</v>
      </c>
      <c r="S3268" s="366"/>
      <c r="T3268" s="376"/>
      <c r="U3268" s="376"/>
      <c r="V3268" s="366"/>
      <c r="W3268" s="366"/>
    </row>
    <row r="3269" spans="1:23">
      <c r="A3269" s="1410"/>
      <c r="B3269" s="1413"/>
      <c r="C3269" s="1135" t="s">
        <v>987</v>
      </c>
      <c r="D3269" s="875" t="str">
        <f>B3265&amp;C3269</f>
        <v>A110e</v>
      </c>
      <c r="E3269" s="367">
        <v>4</v>
      </c>
      <c r="F3269" s="669" t="s">
        <v>1160</v>
      </c>
      <c r="G3269" s="368">
        <v>0.88194444444444453</v>
      </c>
      <c r="H3269" s="368">
        <v>0.90625</v>
      </c>
      <c r="I3269" s="368">
        <v>0.91319444444444453</v>
      </c>
      <c r="J3269" s="368">
        <v>0.91666666666666663</v>
      </c>
      <c r="K3269" s="370">
        <v>5</v>
      </c>
      <c r="L3269" s="370">
        <v>19</v>
      </c>
      <c r="M3269" s="371">
        <v>12.6</v>
      </c>
      <c r="N3269" s="671">
        <f t="shared" si="396"/>
        <v>6.5</v>
      </c>
      <c r="O3269" s="671">
        <f>O3268-K3269/(PI()*(U3263/2000)^2)</f>
        <v>-2.5677651315323029</v>
      </c>
      <c r="P3269" s="373">
        <v>6.1</v>
      </c>
      <c r="Q3269" s="673">
        <f t="shared" si="397"/>
        <v>8.6677651315323025</v>
      </c>
      <c r="R3269" s="378"/>
      <c r="S3269" s="366"/>
      <c r="T3269" s="376"/>
      <c r="U3269" s="376"/>
      <c r="V3269" s="366"/>
      <c r="W3269" s="366"/>
    </row>
    <row r="3270" spans="1:23">
      <c r="A3270" s="1410"/>
      <c r="B3270" s="1413"/>
      <c r="C3270" s="1135" t="s">
        <v>988</v>
      </c>
      <c r="D3270" s="875" t="str">
        <f>B3265&amp;C3270</f>
        <v>A110f</v>
      </c>
      <c r="E3270" s="367">
        <v>5</v>
      </c>
      <c r="F3270" s="669"/>
      <c r="G3270" s="368"/>
      <c r="H3270" s="368"/>
      <c r="I3270" s="368"/>
      <c r="J3270" s="368"/>
      <c r="K3270" s="370"/>
      <c r="L3270" s="370"/>
      <c r="M3270" s="371"/>
      <c r="N3270" s="671"/>
      <c r="O3270" s="671"/>
      <c r="P3270" s="373"/>
      <c r="Q3270" s="673"/>
      <c r="R3270" s="378"/>
      <c r="S3270" s="366" t="s">
        <v>190</v>
      </c>
      <c r="T3270" s="376"/>
      <c r="U3270" s="376"/>
      <c r="V3270" s="366"/>
      <c r="W3270" s="366"/>
    </row>
    <row r="3271" spans="1:23">
      <c r="A3271" s="1410"/>
      <c r="B3271" s="1413"/>
      <c r="C3271" s="1135" t="s">
        <v>989</v>
      </c>
      <c r="D3271" s="875" t="str">
        <f>B3265&amp;C3271</f>
        <v>A110g</v>
      </c>
      <c r="E3271" s="367">
        <v>6</v>
      </c>
      <c r="F3271" s="669"/>
      <c r="G3271" s="368"/>
      <c r="H3271" s="368"/>
      <c r="I3271" s="368"/>
      <c r="J3271" s="368"/>
      <c r="K3271" s="370"/>
      <c r="L3271" s="370"/>
      <c r="M3271" s="371"/>
      <c r="N3271" s="671"/>
      <c r="O3271" s="671"/>
      <c r="P3271" s="373"/>
      <c r="Q3271" s="673"/>
      <c r="R3271" s="378"/>
      <c r="S3271" s="366" t="s">
        <v>190</v>
      </c>
      <c r="T3271" s="366"/>
      <c r="U3271" s="366"/>
      <c r="V3271" s="366"/>
      <c r="W3271" s="366"/>
    </row>
    <row r="3272" spans="1:23">
      <c r="A3272" s="1410"/>
      <c r="B3272" s="1413"/>
      <c r="C3272" s="1135" t="s">
        <v>990</v>
      </c>
      <c r="D3272" s="875" t="str">
        <f>B3265&amp;C3272</f>
        <v>A110h</v>
      </c>
      <c r="E3272" s="367">
        <v>7</v>
      </c>
      <c r="F3272" s="669"/>
      <c r="G3272" s="368"/>
      <c r="H3272" s="368"/>
      <c r="I3272" s="368"/>
      <c r="J3272" s="368"/>
      <c r="K3272" s="370"/>
      <c r="L3272" s="370"/>
      <c r="M3272" s="371"/>
      <c r="N3272" s="671"/>
      <c r="O3272" s="671"/>
      <c r="P3272" s="373"/>
      <c r="Q3272" s="673"/>
      <c r="R3272" s="378"/>
      <c r="S3272" s="366" t="s">
        <v>190</v>
      </c>
      <c r="T3272" s="366"/>
      <c r="U3272" s="366"/>
      <c r="V3272" s="366"/>
      <c r="W3272" s="366"/>
    </row>
    <row r="3273" spans="1:23">
      <c r="A3273" s="1410"/>
      <c r="B3273" s="1413"/>
      <c r="C3273" s="1135" t="s">
        <v>991</v>
      </c>
      <c r="D3273" s="875" t="str">
        <f>B3265&amp;C3273</f>
        <v>A110i</v>
      </c>
      <c r="E3273" s="367">
        <v>8</v>
      </c>
      <c r="F3273" s="669"/>
      <c r="G3273" s="368"/>
      <c r="H3273" s="368"/>
      <c r="I3273" s="368"/>
      <c r="J3273" s="368"/>
      <c r="K3273" s="370"/>
      <c r="L3273" s="370"/>
      <c r="M3273" s="371"/>
      <c r="N3273" s="671"/>
      <c r="O3273" s="671"/>
      <c r="P3273" s="373"/>
      <c r="Q3273" s="673"/>
      <c r="R3273" s="378"/>
      <c r="S3273" s="366"/>
      <c r="T3273" s="366"/>
      <c r="U3273" s="366"/>
      <c r="V3273" s="366"/>
      <c r="W3273" s="366"/>
    </row>
    <row r="3274" spans="1:23">
      <c r="A3274" s="1410"/>
      <c r="B3274" s="1413"/>
      <c r="C3274" s="1135" t="s">
        <v>992</v>
      </c>
      <c r="D3274" s="875" t="str">
        <f>B3265&amp;C3274</f>
        <v>A110k</v>
      </c>
      <c r="E3274" s="367">
        <v>9</v>
      </c>
      <c r="F3274" s="370"/>
      <c r="G3274" s="368"/>
      <c r="H3274" s="368"/>
      <c r="I3274" s="368"/>
      <c r="J3274" s="368"/>
      <c r="K3274" s="370"/>
      <c r="L3274" s="370"/>
      <c r="M3274" s="371"/>
      <c r="N3274" s="372"/>
      <c r="O3274" s="372"/>
      <c r="P3274" s="373"/>
      <c r="Q3274" s="374"/>
      <c r="R3274" s="378"/>
      <c r="S3274" s="379"/>
      <c r="T3274" s="366"/>
      <c r="U3274" s="366"/>
      <c r="V3274" s="366"/>
      <c r="W3274" s="366"/>
    </row>
    <row r="3275" spans="1:23">
      <c r="A3275" s="1410"/>
      <c r="B3275" s="1413"/>
      <c r="C3275" s="1135" t="s">
        <v>993</v>
      </c>
      <c r="D3275" s="875" t="str">
        <f>B3265&amp;C3275</f>
        <v>A110l</v>
      </c>
      <c r="E3275" s="367">
        <v>10</v>
      </c>
      <c r="F3275" s="370"/>
      <c r="G3275" s="368"/>
      <c r="H3275" s="368"/>
      <c r="I3275" s="368"/>
      <c r="J3275" s="368"/>
      <c r="K3275" s="370"/>
      <c r="L3275" s="370"/>
      <c r="M3275" s="370"/>
      <c r="N3275" s="372"/>
      <c r="O3275" s="372"/>
      <c r="P3275" s="373"/>
      <c r="Q3275" s="374"/>
      <c r="R3275" s="378"/>
      <c r="S3275" s="379"/>
      <c r="T3275" s="366"/>
      <c r="U3275" s="366"/>
      <c r="V3275" s="366"/>
      <c r="W3275" s="366"/>
    </row>
    <row r="3276" spans="1:23">
      <c r="A3276" s="1410"/>
      <c r="B3276" s="1413"/>
      <c r="C3276" s="1135" t="s">
        <v>994</v>
      </c>
      <c r="D3276" s="875" t="str">
        <f>B3265&amp;C3276</f>
        <v>A110m</v>
      </c>
      <c r="E3276" s="367">
        <v>11</v>
      </c>
      <c r="F3276" s="370"/>
      <c r="G3276" s="368"/>
      <c r="H3276" s="368"/>
      <c r="I3276" s="368"/>
      <c r="J3276" s="368"/>
      <c r="K3276" s="370"/>
      <c r="L3276" s="370"/>
      <c r="M3276" s="370"/>
      <c r="N3276" s="372"/>
      <c r="O3276" s="372"/>
      <c r="P3276" s="380"/>
      <c r="Q3276" s="374"/>
      <c r="R3276" s="381"/>
      <c r="S3276" s="379"/>
      <c r="T3276" s="366"/>
      <c r="U3276" s="366"/>
      <c r="V3276" s="366"/>
      <c r="W3276" s="366"/>
    </row>
    <row r="3277" spans="1:23">
      <c r="A3277" s="1410"/>
      <c r="B3277" s="1413"/>
      <c r="C3277" s="1135" t="s">
        <v>995</v>
      </c>
      <c r="D3277" s="875" t="str">
        <f>B3265&amp;C3277</f>
        <v>A110n</v>
      </c>
      <c r="E3277" s="367">
        <v>12</v>
      </c>
      <c r="F3277" s="370"/>
      <c r="G3277" s="368"/>
      <c r="H3277" s="368"/>
      <c r="I3277" s="368"/>
      <c r="J3277" s="368"/>
      <c r="K3277" s="370"/>
      <c r="L3277" s="370"/>
      <c r="M3277" s="370"/>
      <c r="N3277" s="372"/>
      <c r="O3277" s="372"/>
      <c r="P3277" s="380"/>
      <c r="Q3277" s="374"/>
      <c r="R3277" s="381"/>
      <c r="S3277" s="361"/>
      <c r="T3277" s="361"/>
      <c r="U3277" s="361"/>
      <c r="V3277" s="366"/>
      <c r="W3277" s="366"/>
    </row>
    <row r="3278" spans="1:23">
      <c r="A3278" s="1410"/>
      <c r="B3278" s="1413"/>
      <c r="C3278" s="1135" t="s">
        <v>471</v>
      </c>
      <c r="D3278" s="875" t="str">
        <f>B3265&amp;C3278</f>
        <v>A110x</v>
      </c>
      <c r="E3278" s="367">
        <v>13</v>
      </c>
      <c r="F3278" s="370"/>
      <c r="G3278" s="368"/>
      <c r="H3278" s="368"/>
      <c r="I3278" s="368"/>
      <c r="J3278" s="368"/>
      <c r="K3278" s="370"/>
      <c r="L3278" s="370"/>
      <c r="M3278" s="370"/>
      <c r="N3278" s="382"/>
      <c r="O3278" s="372"/>
      <c r="P3278" s="380"/>
      <c r="Q3278" s="381"/>
      <c r="R3278" s="381"/>
      <c r="S3278" s="361"/>
      <c r="T3278" s="361"/>
      <c r="U3278" s="361"/>
      <c r="V3278" s="366"/>
      <c r="W3278" s="366"/>
    </row>
    <row r="3279" spans="1:23">
      <c r="A3279" s="1410"/>
      <c r="B3279" s="1413"/>
      <c r="C3279" s="1135" t="s">
        <v>732</v>
      </c>
      <c r="D3279" s="875" t="str">
        <f>B3265&amp;C3279</f>
        <v>A110y</v>
      </c>
      <c r="E3279" s="367">
        <v>14</v>
      </c>
      <c r="F3279" s="370"/>
      <c r="G3279" s="368"/>
      <c r="H3279" s="368"/>
      <c r="I3279" s="368"/>
      <c r="J3279" s="368"/>
      <c r="K3279" s="370"/>
      <c r="L3279" s="370"/>
      <c r="M3279" s="370"/>
      <c r="N3279" s="382"/>
      <c r="O3279" s="372"/>
      <c r="P3279" s="380"/>
      <c r="Q3279" s="381"/>
      <c r="R3279" s="381"/>
      <c r="S3279" s="361"/>
      <c r="T3279" s="361"/>
      <c r="U3279" s="362"/>
      <c r="V3279" s="366"/>
      <c r="W3279" s="366"/>
    </row>
    <row r="3280" spans="1:23">
      <c r="A3280" s="1411"/>
      <c r="B3280" s="1414"/>
      <c r="C3280" s="1136" t="s">
        <v>996</v>
      </c>
      <c r="D3280" s="876" t="str">
        <f>B3265&amp;C3280</f>
        <v>A110z</v>
      </c>
      <c r="E3280" s="847">
        <v>15</v>
      </c>
      <c r="F3280" s="370"/>
      <c r="G3280" s="368"/>
      <c r="H3280" s="368"/>
      <c r="I3280" s="368"/>
      <c r="J3280" s="368"/>
      <c r="K3280" s="370"/>
      <c r="L3280" s="370"/>
      <c r="M3280" s="370"/>
      <c r="N3280" s="850"/>
      <c r="O3280" s="851"/>
      <c r="P3280" s="380"/>
      <c r="Q3280" s="852"/>
      <c r="R3280" s="383"/>
      <c r="S3280" s="361"/>
      <c r="T3280" s="1130"/>
      <c r="U3280" s="1129"/>
      <c r="V3280" s="366"/>
      <c r="W3280" s="366"/>
    </row>
    <row r="3281" spans="1:23">
      <c r="A3281" s="1400" t="s">
        <v>939</v>
      </c>
      <c r="B3281" s="1400"/>
      <c r="C3281" s="1131"/>
      <c r="D3281" s="871"/>
      <c r="E3281" s="1400" t="s">
        <v>177</v>
      </c>
      <c r="F3281" s="1400" t="s">
        <v>18</v>
      </c>
      <c r="G3281" s="1389" t="s">
        <v>19</v>
      </c>
      <c r="H3281" s="1390"/>
      <c r="I3281" s="1389" t="s">
        <v>22</v>
      </c>
      <c r="J3281" s="1390"/>
      <c r="K3281" s="1393" t="s">
        <v>26</v>
      </c>
      <c r="L3281" s="1390"/>
      <c r="M3281" s="1389" t="s">
        <v>392</v>
      </c>
      <c r="N3281" s="1390"/>
      <c r="O3281" s="1389" t="s">
        <v>28</v>
      </c>
      <c r="P3281" s="1393"/>
      <c r="Q3281" s="1390"/>
      <c r="R3281" s="1400" t="s">
        <v>36</v>
      </c>
      <c r="S3281" s="361"/>
      <c r="T3281" s="361">
        <f>MAX(J3285:J3299)-MIN(I3285:I3299)</f>
        <v>2.083333333333337E-2</v>
      </c>
      <c r="U3281" s="361"/>
      <c r="V3281" s="853" t="str">
        <f t="shared" ref="V3281" si="398">B3285</f>
        <v>A99</v>
      </c>
      <c r="W3281" s="361">
        <f t="shared" ref="W3281" si="399">COUNTIF(K3286:K3300,"&gt;0")</f>
        <v>2</v>
      </c>
    </row>
    <row r="3282" spans="1:23">
      <c r="A3282" s="1401"/>
      <c r="B3282" s="1401"/>
      <c r="C3282" s="1132"/>
      <c r="D3282" s="872"/>
      <c r="E3282" s="1401"/>
      <c r="F3282" s="1401"/>
      <c r="G3282" s="1391"/>
      <c r="H3282" s="1392"/>
      <c r="I3282" s="1391"/>
      <c r="J3282" s="1392"/>
      <c r="K3282" s="1394"/>
      <c r="L3282" s="1392"/>
      <c r="M3282" s="1391"/>
      <c r="N3282" s="1392"/>
      <c r="O3282" s="1391"/>
      <c r="P3282" s="1394"/>
      <c r="Q3282" s="1392"/>
      <c r="R3282" s="1401"/>
      <c r="S3282" s="361"/>
      <c r="T3282" s="361"/>
      <c r="U3282" s="361"/>
      <c r="V3282" s="361"/>
      <c r="W3282" s="361"/>
    </row>
    <row r="3283" spans="1:23">
      <c r="A3283" s="1401"/>
      <c r="B3283" s="1401"/>
      <c r="C3283" s="1132"/>
      <c r="D3283" s="872"/>
      <c r="E3283" s="1401"/>
      <c r="F3283" s="1401"/>
      <c r="G3283" s="1400" t="s">
        <v>20</v>
      </c>
      <c r="H3283" s="1400" t="s">
        <v>21</v>
      </c>
      <c r="I3283" s="1400" t="s">
        <v>361</v>
      </c>
      <c r="J3283" s="1400" t="s">
        <v>353</v>
      </c>
      <c r="K3283" s="1400" t="s">
        <v>23</v>
      </c>
      <c r="L3283" s="1400" t="s">
        <v>24</v>
      </c>
      <c r="M3283" s="1400" t="s">
        <v>27</v>
      </c>
      <c r="N3283" s="1400" t="s">
        <v>178</v>
      </c>
      <c r="O3283" s="1400" t="s">
        <v>1</v>
      </c>
      <c r="P3283" s="1400" t="s">
        <v>29</v>
      </c>
      <c r="Q3283" s="1400" t="s">
        <v>33</v>
      </c>
      <c r="R3283" s="1401"/>
      <c r="S3283" s="361"/>
      <c r="T3283" s="361" t="s">
        <v>39</v>
      </c>
      <c r="U3283" s="362">
        <f>VLOOKUP(B3285,'Thong tin'!$A:$M,13,0)</f>
        <v>1200</v>
      </c>
      <c r="V3283" s="361"/>
      <c r="W3283" s="361"/>
    </row>
    <row r="3284" spans="1:23">
      <c r="A3284" s="1402"/>
      <c r="B3284" s="1402"/>
      <c r="C3284" s="1133"/>
      <c r="D3284" s="873"/>
      <c r="E3284" s="1402"/>
      <c r="F3284" s="1402"/>
      <c r="G3284" s="1402"/>
      <c r="H3284" s="1402"/>
      <c r="I3284" s="1402"/>
      <c r="J3284" s="1402"/>
      <c r="K3284" s="1402"/>
      <c r="L3284" s="1402"/>
      <c r="M3284" s="1402"/>
      <c r="N3284" s="1402"/>
      <c r="O3284" s="1402"/>
      <c r="P3284" s="1402"/>
      <c r="Q3284" s="1402"/>
      <c r="R3284" s="1402"/>
      <c r="S3284" s="361"/>
      <c r="T3284" s="1399" t="s">
        <v>393</v>
      </c>
      <c r="U3284" s="1397">
        <f>VLOOKUP(B3285,DT.NK!$B:$AZ,45,0)</f>
        <v>23.85</v>
      </c>
      <c r="V3284" s="361"/>
      <c r="W3284" s="361"/>
    </row>
    <row r="3285" spans="1:23">
      <c r="A3285" s="1409">
        <f>A3265+1</f>
        <v>165</v>
      </c>
      <c r="B3285" s="1412" t="s">
        <v>531</v>
      </c>
      <c r="C3285" s="1134" t="s">
        <v>983</v>
      </c>
      <c r="D3285" s="874" t="str">
        <f>B3285&amp;C3285</f>
        <v>A99a</v>
      </c>
      <c r="E3285" s="363"/>
      <c r="F3285" s="364"/>
      <c r="G3285" s="364"/>
      <c r="H3285" s="364"/>
      <c r="I3285" s="364"/>
      <c r="J3285" s="364"/>
      <c r="K3285" s="364"/>
      <c r="L3285" s="364"/>
      <c r="M3285" s="674"/>
      <c r="N3285" s="670"/>
      <c r="O3285" s="670">
        <f>U3284</f>
        <v>23.85</v>
      </c>
      <c r="P3285" s="670">
        <f>O3285</f>
        <v>23.85</v>
      </c>
      <c r="Q3285" s="670">
        <v>0</v>
      </c>
      <c r="R3285" s="365"/>
      <c r="S3285" s="366"/>
      <c r="T3285" s="1399"/>
      <c r="U3285" s="1398"/>
      <c r="V3285" s="361"/>
      <c r="W3285" s="361"/>
    </row>
    <row r="3286" spans="1:23">
      <c r="A3286" s="1410"/>
      <c r="B3286" s="1413"/>
      <c r="C3286" s="1135" t="s">
        <v>984</v>
      </c>
      <c r="D3286" s="875" t="str">
        <f>B3285&amp;C3286</f>
        <v>A99b</v>
      </c>
      <c r="E3286" s="367">
        <v>1</v>
      </c>
      <c r="F3286" s="669" t="s">
        <v>1160</v>
      </c>
      <c r="G3286" s="369">
        <v>0.80902777777777779</v>
      </c>
      <c r="H3286" s="368">
        <v>0.83333333333333337</v>
      </c>
      <c r="I3286" s="368">
        <v>0.84027777777777779</v>
      </c>
      <c r="J3286" s="368">
        <v>0.84722222222222221</v>
      </c>
      <c r="K3286" s="669">
        <v>12</v>
      </c>
      <c r="L3286" s="669">
        <v>19</v>
      </c>
      <c r="M3286" s="675">
        <v>18.899999999999999</v>
      </c>
      <c r="N3286" s="671">
        <f>IF(M3286-P3286&gt;0,M3286-P3286,0)</f>
        <v>2.4499999999999993</v>
      </c>
      <c r="O3286" s="671">
        <f>O3285-K3286/(PI()*(U3283/2000)^2)</f>
        <v>13.239670460540312</v>
      </c>
      <c r="P3286" s="672">
        <v>16.45</v>
      </c>
      <c r="Q3286" s="673">
        <f>ABS(O3286-P3286)</f>
        <v>3.2103295394596874</v>
      </c>
      <c r="R3286" s="375" t="s">
        <v>188</v>
      </c>
      <c r="S3286" s="366"/>
      <c r="T3286" s="376"/>
      <c r="U3286" s="376"/>
      <c r="V3286" s="366"/>
      <c r="W3286" s="366"/>
    </row>
    <row r="3287" spans="1:23">
      <c r="A3287" s="1410"/>
      <c r="B3287" s="1413"/>
      <c r="C3287" s="1135" t="s">
        <v>985</v>
      </c>
      <c r="D3287" s="875" t="str">
        <f>B3285&amp;C3287</f>
        <v>A99c</v>
      </c>
      <c r="E3287" s="367">
        <v>2</v>
      </c>
      <c r="F3287" s="669" t="s">
        <v>1156</v>
      </c>
      <c r="G3287" s="369">
        <v>0.8125</v>
      </c>
      <c r="H3287" s="368">
        <v>0.83680555555555547</v>
      </c>
      <c r="I3287" s="368">
        <v>0.85416666666666663</v>
      </c>
      <c r="J3287" s="368">
        <v>0.86111111111111116</v>
      </c>
      <c r="K3287" s="669">
        <v>12</v>
      </c>
      <c r="L3287" s="669">
        <v>19</v>
      </c>
      <c r="M3287" s="675">
        <v>9.4499999999999993</v>
      </c>
      <c r="N3287" s="671">
        <f>IF(M3287-P3287&gt;0,M3287-P3287,0)</f>
        <v>3.4499999999999993</v>
      </c>
      <c r="O3287" s="671">
        <f>O3286-K3287/(PI()*(U3283/2000)^2)</f>
        <v>2.6293409210806225</v>
      </c>
      <c r="P3287" s="672">
        <v>6</v>
      </c>
      <c r="Q3287" s="673">
        <f>ABS(O3287-P3287)</f>
        <v>3.3706590789193775</v>
      </c>
      <c r="R3287" s="375" t="s">
        <v>188</v>
      </c>
      <c r="S3287" s="366"/>
      <c r="T3287" s="376"/>
      <c r="U3287" s="376"/>
      <c r="V3287" s="366"/>
      <c r="W3287" s="366"/>
    </row>
    <row r="3288" spans="1:23">
      <c r="A3288" s="1410"/>
      <c r="B3288" s="1413"/>
      <c r="C3288" s="1135" t="s">
        <v>986</v>
      </c>
      <c r="D3288" s="875" t="str">
        <f>B3285&amp;C3288</f>
        <v>A99d</v>
      </c>
      <c r="E3288" s="367">
        <v>3</v>
      </c>
      <c r="F3288" s="669"/>
      <c r="G3288" s="368"/>
      <c r="H3288" s="368"/>
      <c r="I3288" s="368"/>
      <c r="J3288" s="368"/>
      <c r="K3288" s="370"/>
      <c r="L3288" s="370"/>
      <c r="M3288" s="371"/>
      <c r="N3288" s="671"/>
      <c r="O3288" s="671"/>
      <c r="P3288" s="373"/>
      <c r="Q3288" s="673"/>
      <c r="R3288" s="378"/>
      <c r="S3288" s="366"/>
      <c r="T3288" s="376"/>
      <c r="U3288" s="376"/>
      <c r="V3288" s="366"/>
      <c r="W3288" s="366"/>
    </row>
    <row r="3289" spans="1:23">
      <c r="A3289" s="1410"/>
      <c r="B3289" s="1413"/>
      <c r="C3289" s="1135" t="s">
        <v>987</v>
      </c>
      <c r="D3289" s="875" t="str">
        <f>B3285&amp;C3289</f>
        <v>A99e</v>
      </c>
      <c r="E3289" s="367">
        <v>4</v>
      </c>
      <c r="F3289" s="669"/>
      <c r="G3289" s="368"/>
      <c r="H3289" s="368"/>
      <c r="I3289" s="368"/>
      <c r="J3289" s="368"/>
      <c r="K3289" s="370"/>
      <c r="L3289" s="370"/>
      <c r="M3289" s="371"/>
      <c r="N3289" s="671"/>
      <c r="O3289" s="671"/>
      <c r="P3289" s="373"/>
      <c r="Q3289" s="673"/>
      <c r="R3289" s="378"/>
      <c r="S3289" s="366"/>
      <c r="T3289" s="376"/>
      <c r="U3289" s="376"/>
      <c r="V3289" s="366"/>
      <c r="W3289" s="366"/>
    </row>
    <row r="3290" spans="1:23">
      <c r="A3290" s="1410"/>
      <c r="B3290" s="1413"/>
      <c r="C3290" s="1135" t="s">
        <v>988</v>
      </c>
      <c r="D3290" s="875" t="str">
        <f>B3285&amp;C3290</f>
        <v>A99f</v>
      </c>
      <c r="E3290" s="367">
        <v>5</v>
      </c>
      <c r="F3290" s="669"/>
      <c r="G3290" s="368"/>
      <c r="H3290" s="368"/>
      <c r="I3290" s="368"/>
      <c r="J3290" s="368"/>
      <c r="K3290" s="370"/>
      <c r="L3290" s="370"/>
      <c r="M3290" s="371"/>
      <c r="N3290" s="671"/>
      <c r="O3290" s="671"/>
      <c r="P3290" s="373"/>
      <c r="Q3290" s="673"/>
      <c r="R3290" s="378"/>
      <c r="S3290" s="366" t="s">
        <v>190</v>
      </c>
      <c r="T3290" s="376"/>
      <c r="U3290" s="376"/>
      <c r="V3290" s="366"/>
      <c r="W3290" s="366"/>
    </row>
    <row r="3291" spans="1:23">
      <c r="A3291" s="1410"/>
      <c r="B3291" s="1413"/>
      <c r="C3291" s="1135" t="s">
        <v>989</v>
      </c>
      <c r="D3291" s="875" t="str">
        <f>B3285&amp;C3291</f>
        <v>A99g</v>
      </c>
      <c r="E3291" s="367">
        <v>6</v>
      </c>
      <c r="F3291" s="669"/>
      <c r="G3291" s="368"/>
      <c r="H3291" s="368"/>
      <c r="I3291" s="368"/>
      <c r="J3291" s="368"/>
      <c r="K3291" s="370"/>
      <c r="L3291" s="370"/>
      <c r="M3291" s="371"/>
      <c r="N3291" s="671"/>
      <c r="O3291" s="671"/>
      <c r="P3291" s="373"/>
      <c r="Q3291" s="673"/>
      <c r="R3291" s="378"/>
      <c r="S3291" s="366" t="s">
        <v>190</v>
      </c>
      <c r="T3291" s="366"/>
      <c r="U3291" s="366"/>
      <c r="V3291" s="366"/>
      <c r="W3291" s="366"/>
    </row>
    <row r="3292" spans="1:23">
      <c r="A3292" s="1410"/>
      <c r="B3292" s="1413"/>
      <c r="C3292" s="1135" t="s">
        <v>990</v>
      </c>
      <c r="D3292" s="875" t="str">
        <f>B3285&amp;C3292</f>
        <v>A99h</v>
      </c>
      <c r="E3292" s="367">
        <v>7</v>
      </c>
      <c r="F3292" s="669"/>
      <c r="G3292" s="368"/>
      <c r="H3292" s="368"/>
      <c r="I3292" s="368"/>
      <c r="J3292" s="368"/>
      <c r="K3292" s="370"/>
      <c r="L3292" s="370"/>
      <c r="M3292" s="371"/>
      <c r="N3292" s="671"/>
      <c r="O3292" s="671"/>
      <c r="P3292" s="373"/>
      <c r="Q3292" s="673"/>
      <c r="R3292" s="378"/>
      <c r="S3292" s="366" t="s">
        <v>190</v>
      </c>
      <c r="T3292" s="366"/>
      <c r="U3292" s="366"/>
      <c r="V3292" s="366"/>
      <c r="W3292" s="366"/>
    </row>
    <row r="3293" spans="1:23">
      <c r="A3293" s="1410"/>
      <c r="B3293" s="1413"/>
      <c r="C3293" s="1135" t="s">
        <v>991</v>
      </c>
      <c r="D3293" s="875" t="str">
        <f>B3285&amp;C3293</f>
        <v>A99i</v>
      </c>
      <c r="E3293" s="367">
        <v>8</v>
      </c>
      <c r="F3293" s="669"/>
      <c r="G3293" s="368"/>
      <c r="H3293" s="368"/>
      <c r="I3293" s="368"/>
      <c r="J3293" s="368"/>
      <c r="K3293" s="370"/>
      <c r="L3293" s="370"/>
      <c r="M3293" s="371"/>
      <c r="N3293" s="671"/>
      <c r="O3293" s="671"/>
      <c r="P3293" s="373"/>
      <c r="Q3293" s="673"/>
      <c r="R3293" s="378"/>
      <c r="S3293" s="366"/>
      <c r="T3293" s="366"/>
      <c r="U3293" s="366"/>
      <c r="V3293" s="366"/>
      <c r="W3293" s="366"/>
    </row>
    <row r="3294" spans="1:23">
      <c r="A3294" s="1410"/>
      <c r="B3294" s="1413"/>
      <c r="C3294" s="1135" t="s">
        <v>992</v>
      </c>
      <c r="D3294" s="875" t="str">
        <f>B3285&amp;C3294</f>
        <v>A99k</v>
      </c>
      <c r="E3294" s="367">
        <v>9</v>
      </c>
      <c r="F3294" s="370"/>
      <c r="G3294" s="368"/>
      <c r="H3294" s="368"/>
      <c r="I3294" s="368"/>
      <c r="J3294" s="368"/>
      <c r="K3294" s="370"/>
      <c r="L3294" s="370"/>
      <c r="M3294" s="371"/>
      <c r="N3294" s="372"/>
      <c r="O3294" s="372"/>
      <c r="P3294" s="373"/>
      <c r="Q3294" s="374"/>
      <c r="R3294" s="378"/>
      <c r="S3294" s="379"/>
      <c r="T3294" s="366"/>
      <c r="U3294" s="366"/>
      <c r="V3294" s="366"/>
      <c r="W3294" s="366"/>
    </row>
    <row r="3295" spans="1:23">
      <c r="A3295" s="1410"/>
      <c r="B3295" s="1413"/>
      <c r="C3295" s="1135" t="s">
        <v>993</v>
      </c>
      <c r="D3295" s="875" t="str">
        <f>B3285&amp;C3295</f>
        <v>A99l</v>
      </c>
      <c r="E3295" s="367">
        <v>10</v>
      </c>
      <c r="F3295" s="370"/>
      <c r="G3295" s="368"/>
      <c r="H3295" s="368"/>
      <c r="I3295" s="368"/>
      <c r="J3295" s="368"/>
      <c r="K3295" s="370"/>
      <c r="L3295" s="370"/>
      <c r="M3295" s="370"/>
      <c r="N3295" s="372"/>
      <c r="O3295" s="372"/>
      <c r="P3295" s="373"/>
      <c r="Q3295" s="374"/>
      <c r="R3295" s="378"/>
      <c r="S3295" s="379"/>
      <c r="T3295" s="366"/>
      <c r="U3295" s="366"/>
      <c r="V3295" s="366"/>
      <c r="W3295" s="366"/>
    </row>
    <row r="3296" spans="1:23">
      <c r="A3296" s="1410"/>
      <c r="B3296" s="1413"/>
      <c r="C3296" s="1135" t="s">
        <v>994</v>
      </c>
      <c r="D3296" s="875" t="str">
        <f>B3285&amp;C3296</f>
        <v>A99m</v>
      </c>
      <c r="E3296" s="367">
        <v>11</v>
      </c>
      <c r="F3296" s="370"/>
      <c r="G3296" s="368"/>
      <c r="H3296" s="368"/>
      <c r="I3296" s="368"/>
      <c r="J3296" s="368"/>
      <c r="K3296" s="370"/>
      <c r="L3296" s="370"/>
      <c r="M3296" s="370"/>
      <c r="N3296" s="372"/>
      <c r="O3296" s="372"/>
      <c r="P3296" s="380"/>
      <c r="Q3296" s="374"/>
      <c r="R3296" s="381"/>
      <c r="S3296" s="379"/>
      <c r="T3296" s="366"/>
      <c r="U3296" s="366"/>
      <c r="V3296" s="366"/>
      <c r="W3296" s="366"/>
    </row>
    <row r="3297" spans="1:23">
      <c r="A3297" s="1410"/>
      <c r="B3297" s="1413"/>
      <c r="C3297" s="1135" t="s">
        <v>995</v>
      </c>
      <c r="D3297" s="875" t="str">
        <f>B3285&amp;C3297</f>
        <v>A99n</v>
      </c>
      <c r="E3297" s="367">
        <v>12</v>
      </c>
      <c r="F3297" s="370"/>
      <c r="G3297" s="368"/>
      <c r="H3297" s="368"/>
      <c r="I3297" s="368"/>
      <c r="J3297" s="368"/>
      <c r="K3297" s="370"/>
      <c r="L3297" s="370"/>
      <c r="M3297" s="370"/>
      <c r="N3297" s="372"/>
      <c r="O3297" s="372"/>
      <c r="P3297" s="380"/>
      <c r="Q3297" s="374"/>
      <c r="R3297" s="381"/>
      <c r="S3297" s="361"/>
      <c r="T3297" s="361"/>
      <c r="U3297" s="361"/>
      <c r="V3297" s="366"/>
      <c r="W3297" s="366"/>
    </row>
    <row r="3298" spans="1:23">
      <c r="A3298" s="1410"/>
      <c r="B3298" s="1413"/>
      <c r="C3298" s="1135" t="s">
        <v>471</v>
      </c>
      <c r="D3298" s="875" t="str">
        <f>B3285&amp;C3298</f>
        <v>A99x</v>
      </c>
      <c r="E3298" s="367">
        <v>13</v>
      </c>
      <c r="F3298" s="370"/>
      <c r="G3298" s="368"/>
      <c r="H3298" s="368"/>
      <c r="I3298" s="368"/>
      <c r="J3298" s="368"/>
      <c r="K3298" s="370"/>
      <c r="L3298" s="370"/>
      <c r="M3298" s="370"/>
      <c r="N3298" s="382"/>
      <c r="O3298" s="372"/>
      <c r="P3298" s="380"/>
      <c r="Q3298" s="381"/>
      <c r="R3298" s="381"/>
      <c r="S3298" s="361"/>
      <c r="T3298" s="361"/>
      <c r="U3298" s="361"/>
      <c r="V3298" s="366"/>
      <c r="W3298" s="366"/>
    </row>
    <row r="3299" spans="1:23">
      <c r="A3299" s="1410"/>
      <c r="B3299" s="1413"/>
      <c r="C3299" s="1135" t="s">
        <v>732</v>
      </c>
      <c r="D3299" s="875" t="str">
        <f>B3285&amp;C3299</f>
        <v>A99y</v>
      </c>
      <c r="E3299" s="367">
        <v>14</v>
      </c>
      <c r="F3299" s="370"/>
      <c r="G3299" s="368"/>
      <c r="H3299" s="368"/>
      <c r="I3299" s="368"/>
      <c r="J3299" s="368"/>
      <c r="K3299" s="370"/>
      <c r="L3299" s="370"/>
      <c r="M3299" s="370"/>
      <c r="N3299" s="382"/>
      <c r="O3299" s="372"/>
      <c r="P3299" s="380"/>
      <c r="Q3299" s="381"/>
      <c r="R3299" s="381"/>
      <c r="S3299" s="361"/>
      <c r="T3299" s="361"/>
      <c r="U3299" s="362"/>
      <c r="V3299" s="366"/>
      <c r="W3299" s="366"/>
    </row>
    <row r="3300" spans="1:23">
      <c r="A3300" s="1411"/>
      <c r="B3300" s="1414"/>
      <c r="C3300" s="1136" t="s">
        <v>996</v>
      </c>
      <c r="D3300" s="876" t="str">
        <f>B3285&amp;C3300</f>
        <v>A99z</v>
      </c>
      <c r="E3300" s="847">
        <v>15</v>
      </c>
      <c r="F3300" s="370"/>
      <c r="G3300" s="368"/>
      <c r="H3300" s="368"/>
      <c r="I3300" s="368"/>
      <c r="J3300" s="368"/>
      <c r="K3300" s="370"/>
      <c r="L3300" s="370"/>
      <c r="M3300" s="370"/>
      <c r="N3300" s="850"/>
      <c r="O3300" s="851"/>
      <c r="P3300" s="380"/>
      <c r="Q3300" s="852"/>
      <c r="R3300" s="383"/>
      <c r="S3300" s="361"/>
      <c r="T3300" s="1130"/>
      <c r="U3300" s="1129"/>
      <c r="V3300" s="366"/>
      <c r="W3300" s="366"/>
    </row>
    <row r="3301" spans="1:23">
      <c r="A3301" s="1400" t="s">
        <v>939</v>
      </c>
      <c r="B3301" s="1400"/>
      <c r="C3301" s="1137"/>
      <c r="D3301" s="871"/>
      <c r="E3301" s="1400" t="s">
        <v>177</v>
      </c>
      <c r="F3301" s="1400" t="s">
        <v>18</v>
      </c>
      <c r="G3301" s="1389" t="s">
        <v>19</v>
      </c>
      <c r="H3301" s="1390"/>
      <c r="I3301" s="1389" t="s">
        <v>22</v>
      </c>
      <c r="J3301" s="1390"/>
      <c r="K3301" s="1393" t="s">
        <v>26</v>
      </c>
      <c r="L3301" s="1390"/>
      <c r="M3301" s="1389" t="s">
        <v>392</v>
      </c>
      <c r="N3301" s="1390"/>
      <c r="O3301" s="1389" t="s">
        <v>28</v>
      </c>
      <c r="P3301" s="1393"/>
      <c r="Q3301" s="1390"/>
      <c r="R3301" s="1400" t="s">
        <v>36</v>
      </c>
      <c r="S3301" s="361"/>
      <c r="T3301" s="361">
        <f>MAX(J3305:J3319)-MIN(I3305:I3319)</f>
        <v>0.98541666666666672</v>
      </c>
      <c r="U3301" s="361"/>
      <c r="V3301" s="853" t="str">
        <f t="shared" ref="V3301" si="400">B3305</f>
        <v>B17</v>
      </c>
      <c r="W3301" s="361">
        <f t="shared" ref="W3301" si="401">COUNTIF(K3306:K3320,"&gt;0")</f>
        <v>2</v>
      </c>
    </row>
    <row r="3302" spans="1:23">
      <c r="A3302" s="1401"/>
      <c r="B3302" s="1401"/>
      <c r="C3302" s="1139"/>
      <c r="D3302" s="872"/>
      <c r="E3302" s="1401"/>
      <c r="F3302" s="1401"/>
      <c r="G3302" s="1391"/>
      <c r="H3302" s="1392"/>
      <c r="I3302" s="1391"/>
      <c r="J3302" s="1392"/>
      <c r="K3302" s="1394"/>
      <c r="L3302" s="1392"/>
      <c r="M3302" s="1391"/>
      <c r="N3302" s="1392"/>
      <c r="O3302" s="1391"/>
      <c r="P3302" s="1394"/>
      <c r="Q3302" s="1392"/>
      <c r="R3302" s="1401"/>
      <c r="S3302" s="361"/>
      <c r="T3302" s="361"/>
      <c r="U3302" s="361"/>
      <c r="V3302" s="361"/>
      <c r="W3302" s="361"/>
    </row>
    <row r="3303" spans="1:23">
      <c r="A3303" s="1401"/>
      <c r="B3303" s="1401"/>
      <c r="C3303" s="1139"/>
      <c r="D3303" s="872"/>
      <c r="E3303" s="1401"/>
      <c r="F3303" s="1401"/>
      <c r="G3303" s="1400" t="s">
        <v>20</v>
      </c>
      <c r="H3303" s="1400" t="s">
        <v>21</v>
      </c>
      <c r="I3303" s="1400" t="s">
        <v>361</v>
      </c>
      <c r="J3303" s="1400" t="s">
        <v>353</v>
      </c>
      <c r="K3303" s="1400" t="s">
        <v>23</v>
      </c>
      <c r="L3303" s="1400" t="s">
        <v>24</v>
      </c>
      <c r="M3303" s="1400" t="s">
        <v>27</v>
      </c>
      <c r="N3303" s="1400" t="s">
        <v>178</v>
      </c>
      <c r="O3303" s="1400" t="s">
        <v>1</v>
      </c>
      <c r="P3303" s="1400" t="s">
        <v>29</v>
      </c>
      <c r="Q3303" s="1400" t="s">
        <v>33</v>
      </c>
      <c r="R3303" s="1401"/>
      <c r="S3303" s="361"/>
      <c r="T3303" s="361" t="s">
        <v>39</v>
      </c>
      <c r="U3303" s="362">
        <f>VLOOKUP(B3305,'Thong tin'!$A:$M,13,0)</f>
        <v>800</v>
      </c>
      <c r="V3303" s="361"/>
      <c r="W3303" s="361"/>
    </row>
    <row r="3304" spans="1:23">
      <c r="A3304" s="1402"/>
      <c r="B3304" s="1402"/>
      <c r="C3304" s="1138"/>
      <c r="D3304" s="873"/>
      <c r="E3304" s="1402"/>
      <c r="F3304" s="1402"/>
      <c r="G3304" s="1402"/>
      <c r="H3304" s="1402"/>
      <c r="I3304" s="1402"/>
      <c r="J3304" s="1402"/>
      <c r="K3304" s="1402"/>
      <c r="L3304" s="1402"/>
      <c r="M3304" s="1402"/>
      <c r="N3304" s="1402"/>
      <c r="O3304" s="1402"/>
      <c r="P3304" s="1402"/>
      <c r="Q3304" s="1402"/>
      <c r="R3304" s="1402"/>
      <c r="S3304" s="361"/>
      <c r="T3304" s="1399" t="s">
        <v>393</v>
      </c>
      <c r="U3304" s="1397">
        <f>VLOOKUP(B3305,DT.NK!$B:$AZ,45,0)</f>
        <v>29.71</v>
      </c>
      <c r="V3304" s="361"/>
      <c r="W3304" s="361"/>
    </row>
    <row r="3305" spans="1:23">
      <c r="A3305" s="1409">
        <f>A3285+1</f>
        <v>166</v>
      </c>
      <c r="B3305" s="1412" t="s">
        <v>493</v>
      </c>
      <c r="C3305" s="1142" t="s">
        <v>983</v>
      </c>
      <c r="D3305" s="874" t="str">
        <f>B3305&amp;C3305</f>
        <v>B17a</v>
      </c>
      <c r="E3305" s="363"/>
      <c r="F3305" s="364"/>
      <c r="G3305" s="364"/>
      <c r="H3305" s="364"/>
      <c r="I3305" s="364"/>
      <c r="J3305" s="364"/>
      <c r="K3305" s="364"/>
      <c r="L3305" s="364"/>
      <c r="M3305" s="674"/>
      <c r="N3305" s="670"/>
      <c r="O3305" s="670">
        <f>U3304</f>
        <v>29.71</v>
      </c>
      <c r="P3305" s="670">
        <f>O3305</f>
        <v>29.71</v>
      </c>
      <c r="Q3305" s="670">
        <v>0</v>
      </c>
      <c r="R3305" s="365"/>
      <c r="S3305" s="366"/>
      <c r="T3305" s="1399"/>
      <c r="U3305" s="1398"/>
      <c r="V3305" s="361"/>
      <c r="W3305" s="361"/>
    </row>
    <row r="3306" spans="1:23">
      <c r="A3306" s="1410"/>
      <c r="B3306" s="1413"/>
      <c r="C3306" s="1143" t="s">
        <v>984</v>
      </c>
      <c r="D3306" s="875" t="str">
        <f>B3305&amp;C3306</f>
        <v>B17b</v>
      </c>
      <c r="E3306" s="367">
        <v>1</v>
      </c>
      <c r="F3306" s="669" t="s">
        <v>1160</v>
      </c>
      <c r="G3306" s="369">
        <v>0.94791666666666663</v>
      </c>
      <c r="H3306" s="368">
        <v>0.98263888888888884</v>
      </c>
      <c r="I3306" s="368">
        <v>0.99305555555555547</v>
      </c>
      <c r="J3306" s="368">
        <v>0.99930555555555556</v>
      </c>
      <c r="K3306" s="669">
        <v>8</v>
      </c>
      <c r="L3306" s="669">
        <v>19</v>
      </c>
      <c r="M3306" s="675">
        <v>25.2</v>
      </c>
      <c r="N3306" s="671">
        <f>IF(M3306-P3306&gt;0,M3306-P3306,0)</f>
        <v>5.5</v>
      </c>
      <c r="O3306" s="671">
        <f>O3305-K3306/(PI()*(U3303/2000)^2)</f>
        <v>13.794505690810468</v>
      </c>
      <c r="P3306" s="672">
        <v>19.7</v>
      </c>
      <c r="Q3306" s="673">
        <f>ABS(O3306-P3306)</f>
        <v>5.9054943091895318</v>
      </c>
      <c r="R3306" s="375" t="s">
        <v>188</v>
      </c>
      <c r="S3306" s="366"/>
      <c r="T3306" s="376"/>
      <c r="U3306" s="376"/>
      <c r="V3306" s="366"/>
      <c r="W3306" s="366"/>
    </row>
    <row r="3307" spans="1:23">
      <c r="A3307" s="1410"/>
      <c r="B3307" s="1413"/>
      <c r="C3307" s="1143" t="s">
        <v>985</v>
      </c>
      <c r="D3307" s="875" t="str">
        <f>B3305&amp;C3307</f>
        <v>B17c</v>
      </c>
      <c r="E3307" s="367">
        <v>2</v>
      </c>
      <c r="F3307" s="669" t="s">
        <v>1156</v>
      </c>
      <c r="G3307" s="369">
        <v>0.94791666666666663</v>
      </c>
      <c r="H3307" s="368">
        <v>0.98611111111111116</v>
      </c>
      <c r="I3307" s="368">
        <v>1.3888888888888888E-2</v>
      </c>
      <c r="J3307" s="368">
        <v>2.0833333333333332E-2</v>
      </c>
      <c r="K3307" s="669">
        <v>8</v>
      </c>
      <c r="L3307" s="669">
        <v>20</v>
      </c>
      <c r="M3307" s="675">
        <v>9.4499999999999993</v>
      </c>
      <c r="N3307" s="671">
        <f>IF(M3307-P3307&gt;0,M3307-P3307,0)</f>
        <v>5.2499999999999991</v>
      </c>
      <c r="O3307" s="671">
        <f>O3306-K3307/(PI()*(U3303/2000)^2)</f>
        <v>-2.1209886183790658</v>
      </c>
      <c r="P3307" s="672">
        <v>4.2</v>
      </c>
      <c r="Q3307" s="673">
        <f>ABS(O3307-P3307)</f>
        <v>6.320988618379066</v>
      </c>
      <c r="R3307" s="375" t="s">
        <v>188</v>
      </c>
      <c r="S3307" s="366"/>
      <c r="T3307" s="376"/>
      <c r="U3307" s="376"/>
      <c r="V3307" s="366"/>
      <c r="W3307" s="366"/>
    </row>
    <row r="3308" spans="1:23">
      <c r="A3308" s="1410"/>
      <c r="B3308" s="1413"/>
      <c r="C3308" s="1143" t="s">
        <v>986</v>
      </c>
      <c r="D3308" s="875" t="str">
        <f>B3305&amp;C3308</f>
        <v>B17d</v>
      </c>
      <c r="E3308" s="367">
        <v>3</v>
      </c>
      <c r="F3308" s="669"/>
      <c r="G3308" s="368"/>
      <c r="H3308" s="368"/>
      <c r="I3308" s="368"/>
      <c r="J3308" s="368"/>
      <c r="K3308" s="370"/>
      <c r="L3308" s="370"/>
      <c r="M3308" s="371"/>
      <c r="N3308" s="671"/>
      <c r="O3308" s="671"/>
      <c r="P3308" s="373"/>
      <c r="Q3308" s="673"/>
      <c r="R3308" s="378"/>
      <c r="S3308" s="366"/>
      <c r="T3308" s="376"/>
      <c r="U3308" s="376"/>
      <c r="V3308" s="366"/>
      <c r="W3308" s="366"/>
    </row>
    <row r="3309" spans="1:23">
      <c r="A3309" s="1410"/>
      <c r="B3309" s="1413"/>
      <c r="C3309" s="1143" t="s">
        <v>987</v>
      </c>
      <c r="D3309" s="875" t="str">
        <f>B3305&amp;C3309</f>
        <v>B17e</v>
      </c>
      <c r="E3309" s="367">
        <v>4</v>
      </c>
      <c r="F3309" s="669"/>
      <c r="G3309" s="368"/>
      <c r="H3309" s="368"/>
      <c r="I3309" s="368"/>
      <c r="J3309" s="368"/>
      <c r="K3309" s="370"/>
      <c r="L3309" s="370"/>
      <c r="M3309" s="371"/>
      <c r="N3309" s="671"/>
      <c r="O3309" s="671"/>
      <c r="P3309" s="373"/>
      <c r="Q3309" s="673"/>
      <c r="R3309" s="378"/>
      <c r="S3309" s="366"/>
      <c r="T3309" s="376"/>
      <c r="U3309" s="376"/>
      <c r="V3309" s="366"/>
      <c r="W3309" s="366"/>
    </row>
    <row r="3310" spans="1:23">
      <c r="A3310" s="1410"/>
      <c r="B3310" s="1413"/>
      <c r="C3310" s="1143" t="s">
        <v>988</v>
      </c>
      <c r="D3310" s="875" t="str">
        <f>B3305&amp;C3310</f>
        <v>B17f</v>
      </c>
      <c r="E3310" s="367">
        <v>5</v>
      </c>
      <c r="F3310" s="669"/>
      <c r="G3310" s="368"/>
      <c r="H3310" s="368"/>
      <c r="I3310" s="368"/>
      <c r="J3310" s="368"/>
      <c r="K3310" s="370"/>
      <c r="L3310" s="370"/>
      <c r="M3310" s="371"/>
      <c r="N3310" s="671"/>
      <c r="O3310" s="671"/>
      <c r="P3310" s="373"/>
      <c r="Q3310" s="673"/>
      <c r="R3310" s="378"/>
      <c r="S3310" s="366" t="s">
        <v>190</v>
      </c>
      <c r="T3310" s="376"/>
      <c r="U3310" s="376"/>
      <c r="V3310" s="366"/>
      <c r="W3310" s="366"/>
    </row>
    <row r="3311" spans="1:23">
      <c r="A3311" s="1410"/>
      <c r="B3311" s="1413"/>
      <c r="C3311" s="1143" t="s">
        <v>989</v>
      </c>
      <c r="D3311" s="875" t="str">
        <f>B3305&amp;C3311</f>
        <v>B17g</v>
      </c>
      <c r="E3311" s="367">
        <v>6</v>
      </c>
      <c r="F3311" s="669"/>
      <c r="G3311" s="368"/>
      <c r="H3311" s="368"/>
      <c r="I3311" s="368"/>
      <c r="J3311" s="368"/>
      <c r="K3311" s="370"/>
      <c r="L3311" s="370"/>
      <c r="M3311" s="371"/>
      <c r="N3311" s="671"/>
      <c r="O3311" s="671"/>
      <c r="P3311" s="373"/>
      <c r="Q3311" s="673"/>
      <c r="R3311" s="378"/>
      <c r="S3311" s="366" t="s">
        <v>190</v>
      </c>
      <c r="T3311" s="366"/>
      <c r="U3311" s="366"/>
      <c r="V3311" s="366"/>
      <c r="W3311" s="366"/>
    </row>
    <row r="3312" spans="1:23">
      <c r="A3312" s="1410"/>
      <c r="B3312" s="1413"/>
      <c r="C3312" s="1143" t="s">
        <v>990</v>
      </c>
      <c r="D3312" s="875" t="str">
        <f>B3305&amp;C3312</f>
        <v>B17h</v>
      </c>
      <c r="E3312" s="367">
        <v>7</v>
      </c>
      <c r="F3312" s="669"/>
      <c r="G3312" s="368"/>
      <c r="H3312" s="368"/>
      <c r="I3312" s="368"/>
      <c r="J3312" s="368"/>
      <c r="K3312" s="370"/>
      <c r="L3312" s="370"/>
      <c r="M3312" s="371"/>
      <c r="N3312" s="671"/>
      <c r="O3312" s="671"/>
      <c r="P3312" s="373"/>
      <c r="Q3312" s="673"/>
      <c r="R3312" s="378"/>
      <c r="S3312" s="366" t="s">
        <v>190</v>
      </c>
      <c r="T3312" s="366"/>
      <c r="U3312" s="366"/>
      <c r="V3312" s="366"/>
      <c r="W3312" s="366"/>
    </row>
    <row r="3313" spans="1:23">
      <c r="A3313" s="1410"/>
      <c r="B3313" s="1413"/>
      <c r="C3313" s="1143" t="s">
        <v>991</v>
      </c>
      <c r="D3313" s="875" t="str">
        <f>B3305&amp;C3313</f>
        <v>B17i</v>
      </c>
      <c r="E3313" s="367">
        <v>8</v>
      </c>
      <c r="F3313" s="669"/>
      <c r="G3313" s="368"/>
      <c r="H3313" s="368"/>
      <c r="I3313" s="368"/>
      <c r="J3313" s="368"/>
      <c r="K3313" s="370"/>
      <c r="L3313" s="370"/>
      <c r="M3313" s="371"/>
      <c r="N3313" s="671"/>
      <c r="O3313" s="671"/>
      <c r="P3313" s="373"/>
      <c r="Q3313" s="673"/>
      <c r="R3313" s="378"/>
      <c r="S3313" s="366"/>
      <c r="T3313" s="366"/>
      <c r="U3313" s="366"/>
      <c r="V3313" s="366"/>
      <c r="W3313" s="366"/>
    </row>
    <row r="3314" spans="1:23">
      <c r="A3314" s="1410"/>
      <c r="B3314" s="1413"/>
      <c r="C3314" s="1143" t="s">
        <v>992</v>
      </c>
      <c r="D3314" s="875" t="str">
        <f>B3305&amp;C3314</f>
        <v>B17k</v>
      </c>
      <c r="E3314" s="367">
        <v>9</v>
      </c>
      <c r="F3314" s="370"/>
      <c r="G3314" s="368"/>
      <c r="H3314" s="368"/>
      <c r="I3314" s="368"/>
      <c r="J3314" s="368"/>
      <c r="K3314" s="370"/>
      <c r="L3314" s="370"/>
      <c r="M3314" s="371"/>
      <c r="N3314" s="372"/>
      <c r="O3314" s="372"/>
      <c r="P3314" s="373"/>
      <c r="Q3314" s="374"/>
      <c r="R3314" s="378"/>
      <c r="S3314" s="379"/>
      <c r="T3314" s="366"/>
      <c r="U3314" s="366"/>
      <c r="V3314" s="366"/>
      <c r="W3314" s="366"/>
    </row>
    <row r="3315" spans="1:23">
      <c r="A3315" s="1410"/>
      <c r="B3315" s="1413"/>
      <c r="C3315" s="1143" t="s">
        <v>993</v>
      </c>
      <c r="D3315" s="875" t="str">
        <f>B3305&amp;C3315</f>
        <v>B17l</v>
      </c>
      <c r="E3315" s="367">
        <v>10</v>
      </c>
      <c r="F3315" s="370"/>
      <c r="G3315" s="368"/>
      <c r="H3315" s="368"/>
      <c r="I3315" s="368"/>
      <c r="J3315" s="368"/>
      <c r="K3315" s="370"/>
      <c r="L3315" s="370"/>
      <c r="M3315" s="370"/>
      <c r="N3315" s="372"/>
      <c r="O3315" s="372"/>
      <c r="P3315" s="373"/>
      <c r="Q3315" s="374"/>
      <c r="R3315" s="378"/>
      <c r="S3315" s="379"/>
      <c r="T3315" s="366"/>
      <c r="U3315" s="366"/>
      <c r="V3315" s="366"/>
      <c r="W3315" s="366"/>
    </row>
    <row r="3316" spans="1:23">
      <c r="A3316" s="1410"/>
      <c r="B3316" s="1413"/>
      <c r="C3316" s="1143" t="s">
        <v>994</v>
      </c>
      <c r="D3316" s="875" t="str">
        <f>B3305&amp;C3316</f>
        <v>B17m</v>
      </c>
      <c r="E3316" s="367">
        <v>11</v>
      </c>
      <c r="F3316" s="370"/>
      <c r="G3316" s="368"/>
      <c r="H3316" s="368"/>
      <c r="I3316" s="368"/>
      <c r="J3316" s="368"/>
      <c r="K3316" s="370"/>
      <c r="L3316" s="370"/>
      <c r="M3316" s="370"/>
      <c r="N3316" s="372"/>
      <c r="O3316" s="372"/>
      <c r="P3316" s="380"/>
      <c r="Q3316" s="374"/>
      <c r="R3316" s="381"/>
      <c r="S3316" s="379"/>
      <c r="T3316" s="366"/>
      <c r="U3316" s="366"/>
      <c r="V3316" s="366"/>
      <c r="W3316" s="366"/>
    </row>
    <row r="3317" spans="1:23">
      <c r="A3317" s="1410"/>
      <c r="B3317" s="1413"/>
      <c r="C3317" s="1143" t="s">
        <v>995</v>
      </c>
      <c r="D3317" s="875" t="str">
        <f>B3305&amp;C3317</f>
        <v>B17n</v>
      </c>
      <c r="E3317" s="367">
        <v>12</v>
      </c>
      <c r="F3317" s="370"/>
      <c r="G3317" s="368"/>
      <c r="H3317" s="368"/>
      <c r="I3317" s="368"/>
      <c r="J3317" s="368"/>
      <c r="K3317" s="370"/>
      <c r="L3317" s="370"/>
      <c r="M3317" s="370"/>
      <c r="N3317" s="372"/>
      <c r="O3317" s="372"/>
      <c r="P3317" s="380"/>
      <c r="Q3317" s="374"/>
      <c r="R3317" s="381"/>
      <c r="S3317" s="361"/>
      <c r="T3317" s="361"/>
      <c r="U3317" s="361"/>
      <c r="V3317" s="366"/>
      <c r="W3317" s="366"/>
    </row>
    <row r="3318" spans="1:23">
      <c r="A3318" s="1410"/>
      <c r="B3318" s="1413"/>
      <c r="C3318" s="1143" t="s">
        <v>471</v>
      </c>
      <c r="D3318" s="875" t="str">
        <f>B3305&amp;C3318</f>
        <v>B17x</v>
      </c>
      <c r="E3318" s="367">
        <v>13</v>
      </c>
      <c r="F3318" s="370"/>
      <c r="G3318" s="368"/>
      <c r="H3318" s="368"/>
      <c r="I3318" s="368"/>
      <c r="J3318" s="368"/>
      <c r="K3318" s="370"/>
      <c r="L3318" s="370"/>
      <c r="M3318" s="370"/>
      <c r="N3318" s="382"/>
      <c r="O3318" s="372"/>
      <c r="P3318" s="380"/>
      <c r="Q3318" s="381"/>
      <c r="R3318" s="381"/>
      <c r="S3318" s="361"/>
      <c r="T3318" s="361"/>
      <c r="U3318" s="361"/>
      <c r="V3318" s="366"/>
      <c r="W3318" s="366"/>
    </row>
    <row r="3319" spans="1:23">
      <c r="A3319" s="1410"/>
      <c r="B3319" s="1413"/>
      <c r="C3319" s="1143" t="s">
        <v>732</v>
      </c>
      <c r="D3319" s="875" t="str">
        <f>B3305&amp;C3319</f>
        <v>B17y</v>
      </c>
      <c r="E3319" s="367">
        <v>14</v>
      </c>
      <c r="F3319" s="370"/>
      <c r="G3319" s="368"/>
      <c r="H3319" s="368"/>
      <c r="I3319" s="368"/>
      <c r="J3319" s="368"/>
      <c r="K3319" s="370"/>
      <c r="L3319" s="370"/>
      <c r="M3319" s="370"/>
      <c r="N3319" s="382"/>
      <c r="O3319" s="372"/>
      <c r="P3319" s="380"/>
      <c r="Q3319" s="381"/>
      <c r="R3319" s="381"/>
      <c r="S3319" s="361"/>
      <c r="T3319" s="361"/>
      <c r="U3319" s="362"/>
      <c r="V3319" s="366"/>
      <c r="W3319" s="366"/>
    </row>
    <row r="3320" spans="1:23">
      <c r="A3320" s="1411"/>
      <c r="B3320" s="1414"/>
      <c r="C3320" s="1144" t="s">
        <v>996</v>
      </c>
      <c r="D3320" s="876" t="str">
        <f>B3305&amp;C3320</f>
        <v>B17z</v>
      </c>
      <c r="E3320" s="847">
        <v>15</v>
      </c>
      <c r="F3320" s="370"/>
      <c r="G3320" s="368"/>
      <c r="H3320" s="368"/>
      <c r="I3320" s="368"/>
      <c r="J3320" s="368"/>
      <c r="K3320" s="370"/>
      <c r="L3320" s="370"/>
      <c r="M3320" s="370"/>
      <c r="N3320" s="850"/>
      <c r="O3320" s="851"/>
      <c r="P3320" s="380"/>
      <c r="Q3320" s="852"/>
      <c r="R3320" s="383"/>
      <c r="S3320" s="361"/>
      <c r="T3320" s="1141"/>
      <c r="U3320" s="1140"/>
      <c r="V3320" s="366"/>
      <c r="W3320" s="366"/>
    </row>
    <row r="3321" spans="1:23">
      <c r="A3321" s="1400" t="s">
        <v>939</v>
      </c>
      <c r="B3321" s="1400"/>
      <c r="C3321" s="1177"/>
      <c r="D3321" s="871"/>
      <c r="E3321" s="1400" t="s">
        <v>177</v>
      </c>
      <c r="F3321" s="1400" t="s">
        <v>18</v>
      </c>
      <c r="G3321" s="1389" t="s">
        <v>19</v>
      </c>
      <c r="H3321" s="1390"/>
      <c r="I3321" s="1389" t="s">
        <v>22</v>
      </c>
      <c r="J3321" s="1390"/>
      <c r="K3321" s="1393" t="s">
        <v>26</v>
      </c>
      <c r="L3321" s="1390"/>
      <c r="M3321" s="1389" t="s">
        <v>392</v>
      </c>
      <c r="N3321" s="1390"/>
      <c r="O3321" s="1389" t="s">
        <v>28</v>
      </c>
      <c r="P3321" s="1393"/>
      <c r="Q3321" s="1390"/>
      <c r="R3321" s="1400" t="s">
        <v>36</v>
      </c>
      <c r="S3321" s="361"/>
      <c r="T3321" s="361">
        <f>MAX(J3325:J3339)-MIN(I3325:I3339)</f>
        <v>1.3888888888889062E-2</v>
      </c>
      <c r="U3321" s="361"/>
      <c r="V3321" s="853" t="str">
        <f t="shared" ref="V3321" si="402">B3325</f>
        <v>B16</v>
      </c>
      <c r="W3321" s="361">
        <f t="shared" ref="W3321" si="403">COUNTIF(K3326:K3340,"&gt;0")</f>
        <v>2</v>
      </c>
    </row>
    <row r="3322" spans="1:23">
      <c r="A3322" s="1401"/>
      <c r="B3322" s="1401"/>
      <c r="C3322" s="1178"/>
      <c r="D3322" s="872"/>
      <c r="E3322" s="1401"/>
      <c r="F3322" s="1401"/>
      <c r="G3322" s="1391"/>
      <c r="H3322" s="1392"/>
      <c r="I3322" s="1391"/>
      <c r="J3322" s="1392"/>
      <c r="K3322" s="1394"/>
      <c r="L3322" s="1392"/>
      <c r="M3322" s="1391"/>
      <c r="N3322" s="1392"/>
      <c r="O3322" s="1391"/>
      <c r="P3322" s="1394"/>
      <c r="Q3322" s="1392"/>
      <c r="R3322" s="1401"/>
      <c r="S3322" s="361"/>
      <c r="T3322" s="361"/>
      <c r="U3322" s="361"/>
      <c r="V3322" s="361"/>
      <c r="W3322" s="361"/>
    </row>
    <row r="3323" spans="1:23">
      <c r="A3323" s="1401"/>
      <c r="B3323" s="1401"/>
      <c r="C3323" s="1178"/>
      <c r="D3323" s="872"/>
      <c r="E3323" s="1401"/>
      <c r="F3323" s="1401"/>
      <c r="G3323" s="1400" t="s">
        <v>20</v>
      </c>
      <c r="H3323" s="1400" t="s">
        <v>21</v>
      </c>
      <c r="I3323" s="1400" t="s">
        <v>361</v>
      </c>
      <c r="J3323" s="1400" t="s">
        <v>353</v>
      </c>
      <c r="K3323" s="1400" t="s">
        <v>23</v>
      </c>
      <c r="L3323" s="1400" t="s">
        <v>24</v>
      </c>
      <c r="M3323" s="1400" t="s">
        <v>27</v>
      </c>
      <c r="N3323" s="1400" t="s">
        <v>178</v>
      </c>
      <c r="O3323" s="1400" t="s">
        <v>1</v>
      </c>
      <c r="P3323" s="1400" t="s">
        <v>29</v>
      </c>
      <c r="Q3323" s="1400" t="s">
        <v>33</v>
      </c>
      <c r="R3323" s="1401"/>
      <c r="S3323" s="361"/>
      <c r="T3323" s="361" t="s">
        <v>39</v>
      </c>
      <c r="U3323" s="362">
        <f>VLOOKUP(B3325,'[7]Thong tin'!$A:$M,13,0)</f>
        <v>800</v>
      </c>
      <c r="V3323" s="361"/>
      <c r="W3323" s="361"/>
    </row>
    <row r="3324" spans="1:23">
      <c r="A3324" s="1402"/>
      <c r="B3324" s="1402"/>
      <c r="C3324" s="1179"/>
      <c r="D3324" s="873"/>
      <c r="E3324" s="1402"/>
      <c r="F3324" s="1402"/>
      <c r="G3324" s="1402"/>
      <c r="H3324" s="1402"/>
      <c r="I3324" s="1402"/>
      <c r="J3324" s="1402"/>
      <c r="K3324" s="1402"/>
      <c r="L3324" s="1402"/>
      <c r="M3324" s="1402"/>
      <c r="N3324" s="1402"/>
      <c r="O3324" s="1402"/>
      <c r="P3324" s="1402"/>
      <c r="Q3324" s="1402"/>
      <c r="R3324" s="1402"/>
      <c r="S3324" s="361"/>
      <c r="T3324" s="1399" t="s">
        <v>393</v>
      </c>
      <c r="U3324" s="1397">
        <f>VLOOKUP(B3325,[7]DT.NK!$B:$AZ,45,0)</f>
        <v>28.43</v>
      </c>
      <c r="V3324" s="361"/>
      <c r="W3324" s="361"/>
    </row>
    <row r="3325" spans="1:23">
      <c r="A3325" s="1409">
        <f>A3305+1</f>
        <v>167</v>
      </c>
      <c r="B3325" s="1412" t="s">
        <v>705</v>
      </c>
      <c r="C3325" s="1180" t="s">
        <v>983</v>
      </c>
      <c r="D3325" s="874" t="str">
        <f>B3325&amp;C3325</f>
        <v>B16a</v>
      </c>
      <c r="E3325" s="363"/>
      <c r="F3325" s="364"/>
      <c r="G3325" s="364"/>
      <c r="H3325" s="364"/>
      <c r="I3325" s="364"/>
      <c r="J3325" s="364"/>
      <c r="K3325" s="364"/>
      <c r="L3325" s="364"/>
      <c r="M3325" s="674"/>
      <c r="N3325" s="670"/>
      <c r="O3325" s="670">
        <f>U3324</f>
        <v>28.43</v>
      </c>
      <c r="P3325" s="670">
        <f>O3325</f>
        <v>28.43</v>
      </c>
      <c r="Q3325" s="670">
        <v>0</v>
      </c>
      <c r="R3325" s="365"/>
      <c r="S3325" s="366"/>
      <c r="T3325" s="1399"/>
      <c r="U3325" s="1398"/>
      <c r="V3325" s="361"/>
      <c r="W3325" s="361"/>
    </row>
    <row r="3326" spans="1:23">
      <c r="A3326" s="1410"/>
      <c r="B3326" s="1413"/>
      <c r="C3326" s="1181" t="s">
        <v>984</v>
      </c>
      <c r="D3326" s="875" t="str">
        <f>B3325&amp;C3326</f>
        <v>B16b</v>
      </c>
      <c r="E3326" s="367">
        <v>1</v>
      </c>
      <c r="F3326" s="669" t="s">
        <v>1159</v>
      </c>
      <c r="G3326" s="369">
        <v>0.79513888888888884</v>
      </c>
      <c r="H3326" s="368">
        <v>0.82291666666666663</v>
      </c>
      <c r="I3326" s="368">
        <v>0.83680555555555547</v>
      </c>
      <c r="J3326" s="368">
        <v>0.84027777777777779</v>
      </c>
      <c r="K3326" s="669">
        <v>7.5</v>
      </c>
      <c r="L3326" s="669">
        <v>19</v>
      </c>
      <c r="M3326" s="675">
        <v>22.05</v>
      </c>
      <c r="N3326" s="671">
        <f>IF(M3326-P3326&gt;0,M3326-P3326,0)</f>
        <v>3.1500000000000021</v>
      </c>
      <c r="O3326" s="671">
        <f>O3325-K3326/(PI()*(U3323/2000)^2)</f>
        <v>13.509224085134813</v>
      </c>
      <c r="P3326" s="672">
        <v>18.899999999999999</v>
      </c>
      <c r="Q3326" s="673">
        <f>ABS(O3326-P3326)</f>
        <v>5.3907759148651859</v>
      </c>
      <c r="R3326" s="375" t="s">
        <v>188</v>
      </c>
      <c r="S3326" s="366"/>
      <c r="T3326" s="376"/>
      <c r="U3326" s="376"/>
      <c r="V3326" s="366"/>
      <c r="W3326" s="366"/>
    </row>
    <row r="3327" spans="1:23">
      <c r="A3327" s="1410"/>
      <c r="B3327" s="1413"/>
      <c r="C3327" s="1181" t="s">
        <v>985</v>
      </c>
      <c r="D3327" s="875" t="str">
        <f>B3325&amp;C3327</f>
        <v>B16c</v>
      </c>
      <c r="E3327" s="367">
        <v>2</v>
      </c>
      <c r="F3327" s="669" t="s">
        <v>1156</v>
      </c>
      <c r="G3327" s="369">
        <v>0.79861111111111116</v>
      </c>
      <c r="H3327" s="368">
        <v>0.82638888888888884</v>
      </c>
      <c r="I3327" s="368">
        <v>0.84722222222222221</v>
      </c>
      <c r="J3327" s="368">
        <v>0.85069444444444453</v>
      </c>
      <c r="K3327" s="669">
        <v>7.5</v>
      </c>
      <c r="L3327" s="669">
        <v>19</v>
      </c>
      <c r="M3327" s="675">
        <v>9.4499999999999993</v>
      </c>
      <c r="N3327" s="671">
        <f>IF(M3327-P3327&gt;0,M3327-P3327,0)</f>
        <v>5.4499999999999993</v>
      </c>
      <c r="O3327" s="671">
        <f>O3326-K3327/(PI()*(U3323/2000)^2)</f>
        <v>-1.4115518297303744</v>
      </c>
      <c r="P3327" s="672">
        <v>4</v>
      </c>
      <c r="Q3327" s="673">
        <f>ABS(O3327-P3327)</f>
        <v>5.4115518297303744</v>
      </c>
      <c r="R3327" s="375" t="s">
        <v>188</v>
      </c>
      <c r="S3327" s="366"/>
      <c r="T3327" s="376"/>
      <c r="U3327" s="376"/>
      <c r="V3327" s="366"/>
      <c r="W3327" s="366"/>
    </row>
    <row r="3328" spans="1:23">
      <c r="A3328" s="1410"/>
      <c r="B3328" s="1413"/>
      <c r="C3328" s="1181" t="s">
        <v>986</v>
      </c>
      <c r="D3328" s="875" t="str">
        <f>B3325&amp;C3328</f>
        <v>B16d</v>
      </c>
      <c r="E3328" s="367">
        <v>3</v>
      </c>
      <c r="F3328" s="669"/>
      <c r="G3328" s="368"/>
      <c r="H3328" s="368"/>
      <c r="I3328" s="368"/>
      <c r="J3328" s="368"/>
      <c r="K3328" s="370"/>
      <c r="L3328" s="370"/>
      <c r="M3328" s="371"/>
      <c r="N3328" s="671"/>
      <c r="O3328" s="671"/>
      <c r="P3328" s="373"/>
      <c r="Q3328" s="673"/>
      <c r="R3328" s="378"/>
      <c r="S3328" s="366"/>
      <c r="T3328" s="376"/>
      <c r="U3328" s="376"/>
      <c r="V3328" s="366"/>
      <c r="W3328" s="366"/>
    </row>
    <row r="3329" spans="1:23">
      <c r="A3329" s="1410"/>
      <c r="B3329" s="1413"/>
      <c r="C3329" s="1181" t="s">
        <v>987</v>
      </c>
      <c r="D3329" s="875" t="str">
        <f>B3325&amp;C3329</f>
        <v>B16e</v>
      </c>
      <c r="E3329" s="367">
        <v>4</v>
      </c>
      <c r="F3329" s="669"/>
      <c r="G3329" s="368"/>
      <c r="H3329" s="368"/>
      <c r="I3329" s="368"/>
      <c r="J3329" s="368"/>
      <c r="K3329" s="370"/>
      <c r="L3329" s="370"/>
      <c r="M3329" s="371"/>
      <c r="N3329" s="671"/>
      <c r="O3329" s="671"/>
      <c r="P3329" s="373"/>
      <c r="Q3329" s="673"/>
      <c r="R3329" s="378"/>
      <c r="S3329" s="366"/>
      <c r="T3329" s="376"/>
      <c r="U3329" s="376"/>
      <c r="V3329" s="366"/>
      <c r="W3329" s="366"/>
    </row>
    <row r="3330" spans="1:23">
      <c r="A3330" s="1410"/>
      <c r="B3330" s="1413"/>
      <c r="C3330" s="1181" t="s">
        <v>988</v>
      </c>
      <c r="D3330" s="875" t="str">
        <f>B3325&amp;C3330</f>
        <v>B16f</v>
      </c>
      <c r="E3330" s="367">
        <v>5</v>
      </c>
      <c r="F3330" s="669"/>
      <c r="G3330" s="368"/>
      <c r="H3330" s="368"/>
      <c r="I3330" s="368"/>
      <c r="J3330" s="368"/>
      <c r="K3330" s="370"/>
      <c r="L3330" s="370"/>
      <c r="M3330" s="371"/>
      <c r="N3330" s="671"/>
      <c r="O3330" s="671"/>
      <c r="P3330" s="373"/>
      <c r="Q3330" s="673"/>
      <c r="R3330" s="378"/>
      <c r="S3330" s="366" t="s">
        <v>190</v>
      </c>
      <c r="T3330" s="376"/>
      <c r="U3330" s="376"/>
      <c r="V3330" s="366"/>
      <c r="W3330" s="366"/>
    </row>
    <row r="3331" spans="1:23">
      <c r="A3331" s="1410"/>
      <c r="B3331" s="1413"/>
      <c r="C3331" s="1181" t="s">
        <v>989</v>
      </c>
      <c r="D3331" s="875" t="str">
        <f>B3325&amp;C3331</f>
        <v>B16g</v>
      </c>
      <c r="E3331" s="367">
        <v>6</v>
      </c>
      <c r="F3331" s="669"/>
      <c r="G3331" s="368"/>
      <c r="H3331" s="368"/>
      <c r="I3331" s="368"/>
      <c r="J3331" s="368"/>
      <c r="K3331" s="370"/>
      <c r="L3331" s="370"/>
      <c r="M3331" s="371"/>
      <c r="N3331" s="671"/>
      <c r="O3331" s="671"/>
      <c r="P3331" s="373"/>
      <c r="Q3331" s="673"/>
      <c r="R3331" s="378"/>
      <c r="S3331" s="366" t="s">
        <v>190</v>
      </c>
      <c r="T3331" s="366"/>
      <c r="U3331" s="366"/>
      <c r="V3331" s="366"/>
      <c r="W3331" s="366"/>
    </row>
    <row r="3332" spans="1:23">
      <c r="A3332" s="1410"/>
      <c r="B3332" s="1413"/>
      <c r="C3332" s="1181" t="s">
        <v>990</v>
      </c>
      <c r="D3332" s="875" t="str">
        <f>B3325&amp;C3332</f>
        <v>B16h</v>
      </c>
      <c r="E3332" s="367">
        <v>7</v>
      </c>
      <c r="F3332" s="669"/>
      <c r="G3332" s="368"/>
      <c r="H3332" s="368"/>
      <c r="I3332" s="368"/>
      <c r="J3332" s="368"/>
      <c r="K3332" s="370"/>
      <c r="L3332" s="370"/>
      <c r="M3332" s="371"/>
      <c r="N3332" s="671"/>
      <c r="O3332" s="671"/>
      <c r="P3332" s="373"/>
      <c r="Q3332" s="673"/>
      <c r="R3332" s="378"/>
      <c r="S3332" s="366" t="s">
        <v>190</v>
      </c>
      <c r="T3332" s="366"/>
      <c r="U3332" s="366"/>
      <c r="V3332" s="366"/>
      <c r="W3332" s="366"/>
    </row>
    <row r="3333" spans="1:23">
      <c r="A3333" s="1410"/>
      <c r="B3333" s="1413"/>
      <c r="C3333" s="1181" t="s">
        <v>991</v>
      </c>
      <c r="D3333" s="875" t="str">
        <f>B3325&amp;C3333</f>
        <v>B16i</v>
      </c>
      <c r="E3333" s="367">
        <v>8</v>
      </c>
      <c r="F3333" s="669"/>
      <c r="G3333" s="368"/>
      <c r="H3333" s="368"/>
      <c r="I3333" s="368"/>
      <c r="J3333" s="368"/>
      <c r="K3333" s="370"/>
      <c r="L3333" s="370"/>
      <c r="M3333" s="371"/>
      <c r="N3333" s="671"/>
      <c r="O3333" s="671"/>
      <c r="P3333" s="373"/>
      <c r="Q3333" s="673"/>
      <c r="R3333" s="378"/>
      <c r="S3333" s="366"/>
      <c r="T3333" s="366"/>
      <c r="U3333" s="366"/>
      <c r="V3333" s="366"/>
      <c r="W3333" s="366"/>
    </row>
    <row r="3334" spans="1:23">
      <c r="A3334" s="1410"/>
      <c r="B3334" s="1413"/>
      <c r="C3334" s="1181" t="s">
        <v>992</v>
      </c>
      <c r="D3334" s="875" t="str">
        <f>B3325&amp;C3334</f>
        <v>B16k</v>
      </c>
      <c r="E3334" s="367">
        <v>9</v>
      </c>
      <c r="F3334" s="370"/>
      <c r="G3334" s="368"/>
      <c r="H3334" s="368"/>
      <c r="I3334" s="368"/>
      <c r="J3334" s="368"/>
      <c r="K3334" s="370"/>
      <c r="L3334" s="370"/>
      <c r="M3334" s="371"/>
      <c r="N3334" s="372"/>
      <c r="O3334" s="372"/>
      <c r="P3334" s="373"/>
      <c r="Q3334" s="374"/>
      <c r="R3334" s="378"/>
      <c r="S3334" s="379"/>
      <c r="T3334" s="366"/>
      <c r="U3334" s="366"/>
      <c r="V3334" s="366"/>
      <c r="W3334" s="366"/>
    </row>
    <row r="3335" spans="1:23">
      <c r="A3335" s="1410"/>
      <c r="B3335" s="1413"/>
      <c r="C3335" s="1181" t="s">
        <v>993</v>
      </c>
      <c r="D3335" s="875" t="str">
        <f>B3325&amp;C3335</f>
        <v>B16l</v>
      </c>
      <c r="E3335" s="367">
        <v>10</v>
      </c>
      <c r="F3335" s="370"/>
      <c r="G3335" s="368"/>
      <c r="H3335" s="368"/>
      <c r="I3335" s="368"/>
      <c r="J3335" s="368"/>
      <c r="K3335" s="370"/>
      <c r="L3335" s="370"/>
      <c r="M3335" s="370"/>
      <c r="N3335" s="372"/>
      <c r="O3335" s="372"/>
      <c r="P3335" s="373"/>
      <c r="Q3335" s="374"/>
      <c r="R3335" s="378"/>
      <c r="S3335" s="379"/>
      <c r="T3335" s="366"/>
      <c r="U3335" s="366"/>
      <c r="V3335" s="366"/>
      <c r="W3335" s="366"/>
    </row>
    <row r="3336" spans="1:23">
      <c r="A3336" s="1410"/>
      <c r="B3336" s="1413"/>
      <c r="C3336" s="1181" t="s">
        <v>994</v>
      </c>
      <c r="D3336" s="875" t="str">
        <f>B3325&amp;C3336</f>
        <v>B16m</v>
      </c>
      <c r="E3336" s="367">
        <v>11</v>
      </c>
      <c r="F3336" s="370"/>
      <c r="G3336" s="368"/>
      <c r="H3336" s="368"/>
      <c r="I3336" s="368"/>
      <c r="J3336" s="368"/>
      <c r="K3336" s="370"/>
      <c r="L3336" s="370"/>
      <c r="M3336" s="370"/>
      <c r="N3336" s="372"/>
      <c r="O3336" s="372"/>
      <c r="P3336" s="380"/>
      <c r="Q3336" s="374"/>
      <c r="R3336" s="381"/>
      <c r="S3336" s="379"/>
      <c r="T3336" s="366"/>
      <c r="U3336" s="366"/>
      <c r="V3336" s="366"/>
      <c r="W3336" s="366"/>
    </row>
    <row r="3337" spans="1:23">
      <c r="A3337" s="1410"/>
      <c r="B3337" s="1413"/>
      <c r="C3337" s="1181" t="s">
        <v>995</v>
      </c>
      <c r="D3337" s="875" t="str">
        <f>B3325&amp;C3337</f>
        <v>B16n</v>
      </c>
      <c r="E3337" s="367">
        <v>12</v>
      </c>
      <c r="F3337" s="370"/>
      <c r="G3337" s="368"/>
      <c r="H3337" s="368"/>
      <c r="I3337" s="368"/>
      <c r="J3337" s="368"/>
      <c r="K3337" s="370"/>
      <c r="L3337" s="370"/>
      <c r="M3337" s="370"/>
      <c r="N3337" s="372"/>
      <c r="O3337" s="372"/>
      <c r="P3337" s="380"/>
      <c r="Q3337" s="374"/>
      <c r="R3337" s="381"/>
      <c r="S3337" s="361"/>
      <c r="T3337" s="361"/>
      <c r="U3337" s="361"/>
      <c r="V3337" s="366"/>
      <c r="W3337" s="366"/>
    </row>
    <row r="3338" spans="1:23">
      <c r="A3338" s="1410"/>
      <c r="B3338" s="1413"/>
      <c r="C3338" s="1181" t="s">
        <v>471</v>
      </c>
      <c r="D3338" s="875" t="str">
        <f>B3325&amp;C3338</f>
        <v>B16x</v>
      </c>
      <c r="E3338" s="367">
        <v>13</v>
      </c>
      <c r="F3338" s="370"/>
      <c r="G3338" s="368"/>
      <c r="H3338" s="368"/>
      <c r="I3338" s="368"/>
      <c r="J3338" s="368"/>
      <c r="K3338" s="370"/>
      <c r="L3338" s="370"/>
      <c r="M3338" s="370"/>
      <c r="N3338" s="382"/>
      <c r="O3338" s="372"/>
      <c r="P3338" s="380"/>
      <c r="Q3338" s="381"/>
      <c r="R3338" s="381"/>
      <c r="S3338" s="361"/>
      <c r="T3338" s="361"/>
      <c r="U3338" s="361"/>
      <c r="V3338" s="366"/>
      <c r="W3338" s="366"/>
    </row>
    <row r="3339" spans="1:23">
      <c r="A3339" s="1410"/>
      <c r="B3339" s="1413"/>
      <c r="C3339" s="1181" t="s">
        <v>732</v>
      </c>
      <c r="D3339" s="875" t="str">
        <f>B3325&amp;C3339</f>
        <v>B16y</v>
      </c>
      <c r="E3339" s="367">
        <v>14</v>
      </c>
      <c r="F3339" s="370"/>
      <c r="G3339" s="368"/>
      <c r="H3339" s="368"/>
      <c r="I3339" s="368"/>
      <c r="J3339" s="368"/>
      <c r="K3339" s="370"/>
      <c r="L3339" s="370"/>
      <c r="M3339" s="370"/>
      <c r="N3339" s="382"/>
      <c r="O3339" s="372"/>
      <c r="P3339" s="380"/>
      <c r="Q3339" s="381"/>
      <c r="R3339" s="381"/>
      <c r="S3339" s="361"/>
      <c r="T3339" s="361"/>
      <c r="U3339" s="362"/>
      <c r="V3339" s="366"/>
      <c r="W3339" s="366"/>
    </row>
    <row r="3340" spans="1:23">
      <c r="A3340" s="1411"/>
      <c r="B3340" s="1414"/>
      <c r="C3340" s="1182" t="s">
        <v>996</v>
      </c>
      <c r="D3340" s="876" t="str">
        <f>B3325&amp;C3340</f>
        <v>B16z</v>
      </c>
      <c r="E3340" s="847">
        <v>15</v>
      </c>
      <c r="F3340" s="370"/>
      <c r="G3340" s="368"/>
      <c r="H3340" s="368"/>
      <c r="I3340" s="368"/>
      <c r="J3340" s="368"/>
      <c r="K3340" s="370"/>
      <c r="L3340" s="370"/>
      <c r="M3340" s="370"/>
      <c r="N3340" s="850"/>
      <c r="O3340" s="851"/>
      <c r="P3340" s="380"/>
      <c r="Q3340" s="852"/>
      <c r="R3340" s="383"/>
      <c r="S3340" s="361"/>
      <c r="T3340" s="1176"/>
      <c r="U3340" s="1175"/>
      <c r="V3340" s="366"/>
      <c r="W3340" s="366"/>
    </row>
    <row r="3341" spans="1:23">
      <c r="A3341" s="1400" t="s">
        <v>939</v>
      </c>
      <c r="B3341" s="1400"/>
      <c r="C3341" s="1177"/>
      <c r="D3341" s="871"/>
      <c r="E3341" s="1400" t="s">
        <v>177</v>
      </c>
      <c r="F3341" s="1400" t="s">
        <v>18</v>
      </c>
      <c r="G3341" s="1389" t="s">
        <v>19</v>
      </c>
      <c r="H3341" s="1390"/>
      <c r="I3341" s="1389" t="s">
        <v>22</v>
      </c>
      <c r="J3341" s="1390"/>
      <c r="K3341" s="1393" t="s">
        <v>26</v>
      </c>
      <c r="L3341" s="1390"/>
      <c r="M3341" s="1389" t="s">
        <v>392</v>
      </c>
      <c r="N3341" s="1390"/>
      <c r="O3341" s="1389" t="s">
        <v>28</v>
      </c>
      <c r="P3341" s="1393"/>
      <c r="Q3341" s="1390"/>
      <c r="R3341" s="1400" t="s">
        <v>36</v>
      </c>
      <c r="S3341" s="361"/>
      <c r="T3341" s="361">
        <f>MAX(J3345:J3359)-MIN(I3345:I3359)</f>
        <v>5.2083333333333343E-2</v>
      </c>
      <c r="U3341" s="361"/>
      <c r="V3341" s="853" t="str">
        <f t="shared" ref="V3341" si="404">B3345</f>
        <v>A24</v>
      </c>
      <c r="W3341" s="361">
        <f t="shared" ref="W3341" si="405">COUNTIF(K3346:K3360,"&gt;0")</f>
        <v>3</v>
      </c>
    </row>
    <row r="3342" spans="1:23">
      <c r="A3342" s="1401"/>
      <c r="B3342" s="1401"/>
      <c r="C3342" s="1178"/>
      <c r="D3342" s="872"/>
      <c r="E3342" s="1401"/>
      <c r="F3342" s="1401"/>
      <c r="G3342" s="1391"/>
      <c r="H3342" s="1392"/>
      <c r="I3342" s="1391"/>
      <c r="J3342" s="1392"/>
      <c r="K3342" s="1394"/>
      <c r="L3342" s="1392"/>
      <c r="M3342" s="1391"/>
      <c r="N3342" s="1392"/>
      <c r="O3342" s="1391"/>
      <c r="P3342" s="1394"/>
      <c r="Q3342" s="1392"/>
      <c r="R3342" s="1401"/>
      <c r="S3342" s="361"/>
      <c r="T3342" s="361"/>
      <c r="U3342" s="361"/>
      <c r="V3342" s="361"/>
      <c r="W3342" s="361"/>
    </row>
    <row r="3343" spans="1:23">
      <c r="A3343" s="1401"/>
      <c r="B3343" s="1401"/>
      <c r="C3343" s="1178"/>
      <c r="D3343" s="872"/>
      <c r="E3343" s="1401"/>
      <c r="F3343" s="1401"/>
      <c r="G3343" s="1400" t="s">
        <v>20</v>
      </c>
      <c r="H3343" s="1400" t="s">
        <v>21</v>
      </c>
      <c r="I3343" s="1400" t="s">
        <v>361</v>
      </c>
      <c r="J3343" s="1400" t="s">
        <v>353</v>
      </c>
      <c r="K3343" s="1400" t="s">
        <v>23</v>
      </c>
      <c r="L3343" s="1400" t="s">
        <v>24</v>
      </c>
      <c r="M3343" s="1400" t="s">
        <v>27</v>
      </c>
      <c r="N3343" s="1400" t="s">
        <v>178</v>
      </c>
      <c r="O3343" s="1400" t="s">
        <v>1</v>
      </c>
      <c r="P3343" s="1400" t="s">
        <v>29</v>
      </c>
      <c r="Q3343" s="1400" t="s">
        <v>33</v>
      </c>
      <c r="R3343" s="1401"/>
      <c r="S3343" s="361"/>
      <c r="T3343" s="361" t="s">
        <v>39</v>
      </c>
      <c r="U3343" s="362">
        <f>VLOOKUP(B3345,'[7]Thong tin'!$A:$M,13,0)</f>
        <v>1200</v>
      </c>
      <c r="V3343" s="361"/>
      <c r="W3343" s="361"/>
    </row>
    <row r="3344" spans="1:23">
      <c r="A3344" s="1402"/>
      <c r="B3344" s="1402"/>
      <c r="C3344" s="1179"/>
      <c r="D3344" s="873"/>
      <c r="E3344" s="1402"/>
      <c r="F3344" s="1402"/>
      <c r="G3344" s="1402"/>
      <c r="H3344" s="1402"/>
      <c r="I3344" s="1402"/>
      <c r="J3344" s="1402"/>
      <c r="K3344" s="1402"/>
      <c r="L3344" s="1402"/>
      <c r="M3344" s="1402"/>
      <c r="N3344" s="1402"/>
      <c r="O3344" s="1402"/>
      <c r="P3344" s="1402"/>
      <c r="Q3344" s="1402"/>
      <c r="R3344" s="1402"/>
      <c r="S3344" s="361"/>
      <c r="T3344" s="1399" t="s">
        <v>393</v>
      </c>
      <c r="U3344" s="1397">
        <f>VLOOKUP(B3345,[7]DT.NK!$B:$AZ,45,0)</f>
        <v>28.84</v>
      </c>
      <c r="V3344" s="361"/>
      <c r="W3344" s="361"/>
    </row>
    <row r="3345" spans="1:23">
      <c r="A3345" s="1409">
        <f>A3325+1</f>
        <v>168</v>
      </c>
      <c r="B3345" s="1412" t="s">
        <v>603</v>
      </c>
      <c r="C3345" s="1180" t="s">
        <v>983</v>
      </c>
      <c r="D3345" s="874" t="str">
        <f>B3345&amp;C3345</f>
        <v>A24a</v>
      </c>
      <c r="E3345" s="363"/>
      <c r="F3345" s="364"/>
      <c r="G3345" s="364"/>
      <c r="H3345" s="364"/>
      <c r="I3345" s="364"/>
      <c r="J3345" s="364"/>
      <c r="K3345" s="364"/>
      <c r="L3345" s="364"/>
      <c r="M3345" s="674"/>
      <c r="N3345" s="670"/>
      <c r="O3345" s="670">
        <f>U3344</f>
        <v>28.84</v>
      </c>
      <c r="P3345" s="670">
        <f>O3345</f>
        <v>28.84</v>
      </c>
      <c r="Q3345" s="670">
        <v>0</v>
      </c>
      <c r="R3345" s="365"/>
      <c r="S3345" s="366"/>
      <c r="T3345" s="1399"/>
      <c r="U3345" s="1398"/>
      <c r="V3345" s="361"/>
      <c r="W3345" s="361"/>
    </row>
    <row r="3346" spans="1:23">
      <c r="A3346" s="1410"/>
      <c r="B3346" s="1413"/>
      <c r="C3346" s="1181" t="s">
        <v>984</v>
      </c>
      <c r="D3346" s="875" t="str">
        <f>B3345&amp;C3346</f>
        <v>A24b</v>
      </c>
      <c r="E3346" s="367">
        <v>1</v>
      </c>
      <c r="F3346" s="669" t="s">
        <v>1156</v>
      </c>
      <c r="G3346" s="369">
        <v>3.7499999999999999E-2</v>
      </c>
      <c r="H3346" s="368">
        <v>6.5972222222222224E-2</v>
      </c>
      <c r="I3346" s="368">
        <v>7.9861111111111105E-2</v>
      </c>
      <c r="J3346" s="368">
        <v>8.6805555555555566E-2</v>
      </c>
      <c r="K3346" s="669">
        <v>13</v>
      </c>
      <c r="L3346" s="669">
        <v>19</v>
      </c>
      <c r="M3346" s="675">
        <v>25.2</v>
      </c>
      <c r="N3346" s="671">
        <f>IF(M3346-P3346&gt;0,M3346-P3346,0)</f>
        <v>4.0999999999999979</v>
      </c>
      <c r="O3346" s="671">
        <f>O3345-K3346/(PI()*(U3343/2000)^2)</f>
        <v>17.345476332252005</v>
      </c>
      <c r="P3346" s="672">
        <v>21.1</v>
      </c>
      <c r="Q3346" s="673">
        <f>ABS(O3346-P3346)</f>
        <v>3.7545236677479963</v>
      </c>
      <c r="R3346" s="375" t="s">
        <v>188</v>
      </c>
      <c r="S3346" s="366"/>
      <c r="T3346" s="376"/>
      <c r="U3346" s="376"/>
      <c r="V3346" s="366"/>
      <c r="W3346" s="366"/>
    </row>
    <row r="3347" spans="1:23">
      <c r="A3347" s="1410"/>
      <c r="B3347" s="1413"/>
      <c r="C3347" s="1181" t="s">
        <v>985</v>
      </c>
      <c r="D3347" s="875" t="str">
        <f>B3345&amp;C3347</f>
        <v>A24c</v>
      </c>
      <c r="E3347" s="367">
        <v>2</v>
      </c>
      <c r="F3347" s="669" t="s">
        <v>1160</v>
      </c>
      <c r="G3347" s="369">
        <v>5.2777777777777778E-2</v>
      </c>
      <c r="H3347" s="368">
        <v>7.2916666666666671E-2</v>
      </c>
      <c r="I3347" s="368">
        <v>9.7222222222222224E-2</v>
      </c>
      <c r="J3347" s="368">
        <v>0.10416666666666667</v>
      </c>
      <c r="K3347" s="669">
        <v>13</v>
      </c>
      <c r="L3347" s="669">
        <v>19</v>
      </c>
      <c r="M3347" s="675">
        <v>15.75</v>
      </c>
      <c r="N3347" s="671">
        <f>IF(M3347-P3347&gt;0,M3347-P3347,0)</f>
        <v>5.65</v>
      </c>
      <c r="O3347" s="671">
        <f>O3346-K3347/(PI()*(U3343/2000)^2)</f>
        <v>5.8509526645040086</v>
      </c>
      <c r="P3347" s="672">
        <v>10.1</v>
      </c>
      <c r="Q3347" s="673">
        <f>ABS(O3347-P3347)</f>
        <v>4.249047335495991</v>
      </c>
      <c r="R3347" s="375" t="s">
        <v>188</v>
      </c>
      <c r="S3347" s="366"/>
      <c r="T3347" s="376"/>
      <c r="U3347" s="376"/>
      <c r="V3347" s="366"/>
      <c r="W3347" s="366"/>
    </row>
    <row r="3348" spans="1:23">
      <c r="A3348" s="1410"/>
      <c r="B3348" s="1413"/>
      <c r="C3348" s="1181" t="s">
        <v>986</v>
      </c>
      <c r="D3348" s="875" t="str">
        <f>B3345&amp;C3348</f>
        <v>A24d</v>
      </c>
      <c r="E3348" s="367">
        <v>3</v>
      </c>
      <c r="F3348" s="669" t="s">
        <v>1159</v>
      </c>
      <c r="G3348" s="368">
        <v>0.10694444444444444</v>
      </c>
      <c r="H3348" s="368">
        <v>0.125</v>
      </c>
      <c r="I3348" s="368">
        <v>0.12847222222222224</v>
      </c>
      <c r="J3348" s="368">
        <v>0.13194444444444445</v>
      </c>
      <c r="K3348" s="370">
        <v>5</v>
      </c>
      <c r="L3348" s="370">
        <v>19</v>
      </c>
      <c r="M3348" s="371"/>
      <c r="N3348" s="671"/>
      <c r="O3348" s="671"/>
      <c r="P3348" s="373">
        <v>6.5</v>
      </c>
      <c r="Q3348" s="673"/>
      <c r="R3348" s="378"/>
      <c r="S3348" s="366"/>
      <c r="T3348" s="376"/>
      <c r="U3348" s="376"/>
      <c r="V3348" s="366"/>
      <c r="W3348" s="366"/>
    </row>
    <row r="3349" spans="1:23">
      <c r="A3349" s="1410"/>
      <c r="B3349" s="1413"/>
      <c r="C3349" s="1181" t="s">
        <v>987</v>
      </c>
      <c r="D3349" s="875" t="str">
        <f>B3345&amp;C3349</f>
        <v>A24e</v>
      </c>
      <c r="E3349" s="367">
        <v>4</v>
      </c>
      <c r="F3349" s="669"/>
      <c r="G3349" s="368"/>
      <c r="H3349" s="368"/>
      <c r="I3349" s="368"/>
      <c r="J3349" s="368"/>
      <c r="K3349" s="370"/>
      <c r="L3349" s="370"/>
      <c r="M3349" s="371"/>
      <c r="N3349" s="671"/>
      <c r="O3349" s="671"/>
      <c r="P3349" s="373"/>
      <c r="Q3349" s="673"/>
      <c r="R3349" s="378"/>
      <c r="S3349" s="366"/>
      <c r="T3349" s="376"/>
      <c r="U3349" s="376"/>
      <c r="V3349" s="366"/>
      <c r="W3349" s="366"/>
    </row>
    <row r="3350" spans="1:23">
      <c r="A3350" s="1410"/>
      <c r="B3350" s="1413"/>
      <c r="C3350" s="1181" t="s">
        <v>988</v>
      </c>
      <c r="D3350" s="875" t="str">
        <f>B3345&amp;C3350</f>
        <v>A24f</v>
      </c>
      <c r="E3350" s="367">
        <v>5</v>
      </c>
      <c r="F3350" s="669"/>
      <c r="G3350" s="368"/>
      <c r="H3350" s="368"/>
      <c r="I3350" s="368"/>
      <c r="J3350" s="368"/>
      <c r="K3350" s="370"/>
      <c r="L3350" s="370"/>
      <c r="M3350" s="371"/>
      <c r="N3350" s="671"/>
      <c r="O3350" s="671"/>
      <c r="P3350" s="373"/>
      <c r="Q3350" s="673"/>
      <c r="R3350" s="378"/>
      <c r="S3350" s="366" t="s">
        <v>190</v>
      </c>
      <c r="T3350" s="376"/>
      <c r="U3350" s="376"/>
      <c r="V3350" s="366"/>
      <c r="W3350" s="366"/>
    </row>
    <row r="3351" spans="1:23">
      <c r="A3351" s="1410"/>
      <c r="B3351" s="1413"/>
      <c r="C3351" s="1181" t="s">
        <v>989</v>
      </c>
      <c r="D3351" s="875" t="str">
        <f>B3345&amp;C3351</f>
        <v>A24g</v>
      </c>
      <c r="E3351" s="367">
        <v>6</v>
      </c>
      <c r="F3351" s="669"/>
      <c r="G3351" s="368"/>
      <c r="H3351" s="368"/>
      <c r="I3351" s="368"/>
      <c r="J3351" s="368"/>
      <c r="K3351" s="370"/>
      <c r="L3351" s="370"/>
      <c r="M3351" s="371"/>
      <c r="N3351" s="671"/>
      <c r="O3351" s="671"/>
      <c r="P3351" s="373"/>
      <c r="Q3351" s="673"/>
      <c r="R3351" s="378"/>
      <c r="S3351" s="366" t="s">
        <v>190</v>
      </c>
      <c r="T3351" s="366"/>
      <c r="U3351" s="366"/>
      <c r="V3351" s="366"/>
      <c r="W3351" s="366"/>
    </row>
    <row r="3352" spans="1:23">
      <c r="A3352" s="1410"/>
      <c r="B3352" s="1413"/>
      <c r="C3352" s="1181" t="s">
        <v>990</v>
      </c>
      <c r="D3352" s="875" t="str">
        <f>B3345&amp;C3352</f>
        <v>A24h</v>
      </c>
      <c r="E3352" s="367">
        <v>7</v>
      </c>
      <c r="F3352" s="669"/>
      <c r="G3352" s="368"/>
      <c r="H3352" s="368"/>
      <c r="I3352" s="368"/>
      <c r="J3352" s="368"/>
      <c r="K3352" s="370"/>
      <c r="L3352" s="370"/>
      <c r="M3352" s="371"/>
      <c r="N3352" s="671"/>
      <c r="O3352" s="671"/>
      <c r="P3352" s="373"/>
      <c r="Q3352" s="673"/>
      <c r="R3352" s="378"/>
      <c r="S3352" s="366" t="s">
        <v>190</v>
      </c>
      <c r="T3352" s="366"/>
      <c r="U3352" s="366"/>
      <c r="V3352" s="366"/>
      <c r="W3352" s="366"/>
    </row>
    <row r="3353" spans="1:23">
      <c r="A3353" s="1410"/>
      <c r="B3353" s="1413"/>
      <c r="C3353" s="1181" t="s">
        <v>991</v>
      </c>
      <c r="D3353" s="875" t="str">
        <f>B3345&amp;C3353</f>
        <v>A24i</v>
      </c>
      <c r="E3353" s="367">
        <v>8</v>
      </c>
      <c r="F3353" s="669"/>
      <c r="G3353" s="368"/>
      <c r="H3353" s="368"/>
      <c r="I3353" s="368"/>
      <c r="J3353" s="368"/>
      <c r="K3353" s="370"/>
      <c r="L3353" s="370"/>
      <c r="M3353" s="371"/>
      <c r="N3353" s="671"/>
      <c r="O3353" s="671"/>
      <c r="P3353" s="373"/>
      <c r="Q3353" s="673"/>
      <c r="R3353" s="378"/>
      <c r="S3353" s="366"/>
      <c r="T3353" s="366"/>
      <c r="U3353" s="366"/>
      <c r="V3353" s="366"/>
      <c r="W3353" s="366"/>
    </row>
    <row r="3354" spans="1:23">
      <c r="A3354" s="1410"/>
      <c r="B3354" s="1413"/>
      <c r="C3354" s="1181" t="s">
        <v>992</v>
      </c>
      <c r="D3354" s="875" t="str">
        <f>B3345&amp;C3354</f>
        <v>A24k</v>
      </c>
      <c r="E3354" s="367">
        <v>9</v>
      </c>
      <c r="F3354" s="370"/>
      <c r="G3354" s="368"/>
      <c r="H3354" s="368"/>
      <c r="I3354" s="368"/>
      <c r="J3354" s="368"/>
      <c r="K3354" s="370"/>
      <c r="L3354" s="370"/>
      <c r="M3354" s="371"/>
      <c r="N3354" s="372"/>
      <c r="O3354" s="372"/>
      <c r="P3354" s="373"/>
      <c r="Q3354" s="374"/>
      <c r="R3354" s="378"/>
      <c r="S3354" s="379"/>
      <c r="T3354" s="366"/>
      <c r="U3354" s="366"/>
      <c r="V3354" s="366"/>
      <c r="W3354" s="366"/>
    </row>
    <row r="3355" spans="1:23">
      <c r="A3355" s="1410"/>
      <c r="B3355" s="1413"/>
      <c r="C3355" s="1181" t="s">
        <v>993</v>
      </c>
      <c r="D3355" s="875" t="str">
        <f>B3345&amp;C3355</f>
        <v>A24l</v>
      </c>
      <c r="E3355" s="367">
        <v>10</v>
      </c>
      <c r="F3355" s="370"/>
      <c r="G3355" s="368"/>
      <c r="H3355" s="368"/>
      <c r="I3355" s="368"/>
      <c r="J3355" s="368"/>
      <c r="K3355" s="370"/>
      <c r="L3355" s="370"/>
      <c r="M3355" s="370"/>
      <c r="N3355" s="372"/>
      <c r="O3355" s="372"/>
      <c r="P3355" s="373"/>
      <c r="Q3355" s="374"/>
      <c r="R3355" s="378"/>
      <c r="S3355" s="379"/>
      <c r="T3355" s="366"/>
      <c r="U3355" s="366"/>
      <c r="V3355" s="366"/>
      <c r="W3355" s="366"/>
    </row>
    <row r="3356" spans="1:23">
      <c r="A3356" s="1410"/>
      <c r="B3356" s="1413"/>
      <c r="C3356" s="1181" t="s">
        <v>994</v>
      </c>
      <c r="D3356" s="875" t="str">
        <f>B3345&amp;C3356</f>
        <v>A24m</v>
      </c>
      <c r="E3356" s="367">
        <v>11</v>
      </c>
      <c r="F3356" s="370"/>
      <c r="G3356" s="368"/>
      <c r="H3356" s="368"/>
      <c r="I3356" s="368"/>
      <c r="J3356" s="368"/>
      <c r="K3356" s="370"/>
      <c r="L3356" s="370"/>
      <c r="M3356" s="370"/>
      <c r="N3356" s="372"/>
      <c r="O3356" s="372"/>
      <c r="P3356" s="380"/>
      <c r="Q3356" s="374"/>
      <c r="R3356" s="381"/>
      <c r="S3356" s="379"/>
      <c r="T3356" s="366"/>
      <c r="U3356" s="366"/>
      <c r="V3356" s="366"/>
      <c r="W3356" s="366"/>
    </row>
    <row r="3357" spans="1:23">
      <c r="A3357" s="1410"/>
      <c r="B3357" s="1413"/>
      <c r="C3357" s="1181" t="s">
        <v>995</v>
      </c>
      <c r="D3357" s="875" t="str">
        <f>B3345&amp;C3357</f>
        <v>A24n</v>
      </c>
      <c r="E3357" s="367">
        <v>12</v>
      </c>
      <c r="F3357" s="370"/>
      <c r="G3357" s="368"/>
      <c r="H3357" s="368"/>
      <c r="I3357" s="368"/>
      <c r="J3357" s="368"/>
      <c r="K3357" s="370"/>
      <c r="L3357" s="370"/>
      <c r="M3357" s="370"/>
      <c r="N3357" s="372"/>
      <c r="O3357" s="372"/>
      <c r="P3357" s="380"/>
      <c r="Q3357" s="374"/>
      <c r="R3357" s="381"/>
      <c r="S3357" s="361"/>
      <c r="T3357" s="361"/>
      <c r="U3357" s="361"/>
      <c r="V3357" s="366"/>
      <c r="W3357" s="366"/>
    </row>
    <row r="3358" spans="1:23">
      <c r="A3358" s="1410"/>
      <c r="B3358" s="1413"/>
      <c r="C3358" s="1181" t="s">
        <v>471</v>
      </c>
      <c r="D3358" s="875" t="str">
        <f>B3345&amp;C3358</f>
        <v>A24x</v>
      </c>
      <c r="E3358" s="367">
        <v>13</v>
      </c>
      <c r="F3358" s="370"/>
      <c r="G3358" s="368"/>
      <c r="H3358" s="368"/>
      <c r="I3358" s="368"/>
      <c r="J3358" s="368"/>
      <c r="K3358" s="370"/>
      <c r="L3358" s="370"/>
      <c r="M3358" s="370"/>
      <c r="N3358" s="382"/>
      <c r="O3358" s="372"/>
      <c r="P3358" s="380"/>
      <c r="Q3358" s="381"/>
      <c r="R3358" s="381"/>
      <c r="S3358" s="361"/>
      <c r="T3358" s="361"/>
      <c r="U3358" s="361"/>
      <c r="V3358" s="366"/>
      <c r="W3358" s="366"/>
    </row>
    <row r="3359" spans="1:23">
      <c r="A3359" s="1410"/>
      <c r="B3359" s="1413"/>
      <c r="C3359" s="1181" t="s">
        <v>732</v>
      </c>
      <c r="D3359" s="875" t="str">
        <f>B3345&amp;C3359</f>
        <v>A24y</v>
      </c>
      <c r="E3359" s="367">
        <v>14</v>
      </c>
      <c r="F3359" s="370"/>
      <c r="G3359" s="368"/>
      <c r="H3359" s="368"/>
      <c r="I3359" s="368"/>
      <c r="J3359" s="368"/>
      <c r="K3359" s="370"/>
      <c r="L3359" s="370"/>
      <c r="M3359" s="370"/>
      <c r="N3359" s="382"/>
      <c r="O3359" s="372"/>
      <c r="P3359" s="380"/>
      <c r="Q3359" s="381"/>
      <c r="R3359" s="381"/>
      <c r="S3359" s="361"/>
      <c r="T3359" s="361"/>
      <c r="U3359" s="362"/>
      <c r="V3359" s="366"/>
      <c r="W3359" s="366"/>
    </row>
    <row r="3360" spans="1:23">
      <c r="A3360" s="1411"/>
      <c r="B3360" s="1414"/>
      <c r="C3360" s="1182" t="s">
        <v>996</v>
      </c>
      <c r="D3360" s="876" t="str">
        <f>B3345&amp;C3360</f>
        <v>A24z</v>
      </c>
      <c r="E3360" s="847">
        <v>15</v>
      </c>
      <c r="F3360" s="370"/>
      <c r="G3360" s="368"/>
      <c r="H3360" s="368"/>
      <c r="I3360" s="368"/>
      <c r="J3360" s="368"/>
      <c r="K3360" s="370"/>
      <c r="L3360" s="370"/>
      <c r="M3360" s="370"/>
      <c r="N3360" s="850"/>
      <c r="O3360" s="851"/>
      <c r="P3360" s="380"/>
      <c r="Q3360" s="852"/>
      <c r="R3360" s="383"/>
      <c r="S3360" s="361"/>
      <c r="T3360" s="1176"/>
      <c r="U3360" s="1175"/>
      <c r="V3360" s="366"/>
      <c r="W3360" s="366"/>
    </row>
    <row r="3361" spans="1:23">
      <c r="A3361" s="1400" t="s">
        <v>939</v>
      </c>
      <c r="B3361" s="1400"/>
      <c r="C3361" s="1177"/>
      <c r="D3361" s="871"/>
      <c r="E3361" s="1400" t="s">
        <v>177</v>
      </c>
      <c r="F3361" s="1400" t="s">
        <v>18</v>
      </c>
      <c r="G3361" s="1389" t="s">
        <v>19</v>
      </c>
      <c r="H3361" s="1390"/>
      <c r="I3361" s="1389" t="s">
        <v>22</v>
      </c>
      <c r="J3361" s="1390"/>
      <c r="K3361" s="1393" t="s">
        <v>26</v>
      </c>
      <c r="L3361" s="1390"/>
      <c r="M3361" s="1389" t="s">
        <v>392</v>
      </c>
      <c r="N3361" s="1390"/>
      <c r="O3361" s="1389" t="s">
        <v>28</v>
      </c>
      <c r="P3361" s="1393"/>
      <c r="Q3361" s="1390"/>
      <c r="R3361" s="1400" t="s">
        <v>36</v>
      </c>
      <c r="S3361" s="361"/>
      <c r="T3361" s="361">
        <f>MAX(J3365:J3379)-MIN(I3365:I3379)</f>
        <v>8.6805555555555691E-2</v>
      </c>
      <c r="U3361" s="361"/>
      <c r="V3361" s="853" t="str">
        <f t="shared" ref="V3361" si="406">B3365</f>
        <v>A26</v>
      </c>
      <c r="W3361" s="361">
        <f t="shared" ref="W3361" si="407">COUNTIF(K3366:K3380,"&gt;0")</f>
        <v>4</v>
      </c>
    </row>
    <row r="3362" spans="1:23">
      <c r="A3362" s="1401"/>
      <c r="B3362" s="1401"/>
      <c r="C3362" s="1178"/>
      <c r="D3362" s="872"/>
      <c r="E3362" s="1401"/>
      <c r="F3362" s="1401"/>
      <c r="G3362" s="1391"/>
      <c r="H3362" s="1392"/>
      <c r="I3362" s="1391"/>
      <c r="J3362" s="1392"/>
      <c r="K3362" s="1394"/>
      <c r="L3362" s="1392"/>
      <c r="M3362" s="1391"/>
      <c r="N3362" s="1392"/>
      <c r="O3362" s="1391"/>
      <c r="P3362" s="1394"/>
      <c r="Q3362" s="1392"/>
      <c r="R3362" s="1401"/>
      <c r="S3362" s="361"/>
      <c r="T3362" s="361"/>
      <c r="U3362" s="361"/>
      <c r="V3362" s="361"/>
      <c r="W3362" s="361"/>
    </row>
    <row r="3363" spans="1:23">
      <c r="A3363" s="1401"/>
      <c r="B3363" s="1401"/>
      <c r="C3363" s="1178"/>
      <c r="D3363" s="872"/>
      <c r="E3363" s="1401"/>
      <c r="F3363" s="1401"/>
      <c r="G3363" s="1400" t="s">
        <v>20</v>
      </c>
      <c r="H3363" s="1400" t="s">
        <v>21</v>
      </c>
      <c r="I3363" s="1400" t="s">
        <v>361</v>
      </c>
      <c r="J3363" s="1400" t="s">
        <v>353</v>
      </c>
      <c r="K3363" s="1400" t="s">
        <v>23</v>
      </c>
      <c r="L3363" s="1400" t="s">
        <v>24</v>
      </c>
      <c r="M3363" s="1400" t="s">
        <v>27</v>
      </c>
      <c r="N3363" s="1400" t="s">
        <v>178</v>
      </c>
      <c r="O3363" s="1400" t="s">
        <v>1</v>
      </c>
      <c r="P3363" s="1400" t="s">
        <v>29</v>
      </c>
      <c r="Q3363" s="1400" t="s">
        <v>33</v>
      </c>
      <c r="R3363" s="1401"/>
      <c r="S3363" s="361"/>
      <c r="T3363" s="361" t="s">
        <v>39</v>
      </c>
      <c r="U3363" s="362">
        <f>VLOOKUP(B3365,'[7]Thong tin'!$A:$M,13,0)</f>
        <v>1200</v>
      </c>
      <c r="V3363" s="361"/>
      <c r="W3363" s="361"/>
    </row>
    <row r="3364" spans="1:23">
      <c r="A3364" s="1402"/>
      <c r="B3364" s="1402"/>
      <c r="C3364" s="1179"/>
      <c r="D3364" s="873"/>
      <c r="E3364" s="1402"/>
      <c r="F3364" s="1402"/>
      <c r="G3364" s="1402"/>
      <c r="H3364" s="1402"/>
      <c r="I3364" s="1402"/>
      <c r="J3364" s="1402"/>
      <c r="K3364" s="1402"/>
      <c r="L3364" s="1402"/>
      <c r="M3364" s="1402"/>
      <c r="N3364" s="1402"/>
      <c r="O3364" s="1402"/>
      <c r="P3364" s="1402"/>
      <c r="Q3364" s="1402"/>
      <c r="R3364" s="1402"/>
      <c r="S3364" s="361"/>
      <c r="T3364" s="1399" t="s">
        <v>393</v>
      </c>
      <c r="U3364" s="1397">
        <f>VLOOKUP(B3365,[7]DT.NK!$B:$AZ,45,0)</f>
        <v>28.3</v>
      </c>
      <c r="V3364" s="361"/>
      <c r="W3364" s="361"/>
    </row>
    <row r="3365" spans="1:23">
      <c r="A3365" s="1409">
        <f>A3345+1</f>
        <v>169</v>
      </c>
      <c r="B3365" s="1412" t="s">
        <v>613</v>
      </c>
      <c r="C3365" s="1180" t="s">
        <v>983</v>
      </c>
      <c r="D3365" s="874" t="str">
        <f>B3365&amp;C3365</f>
        <v>A26a</v>
      </c>
      <c r="E3365" s="363"/>
      <c r="F3365" s="364"/>
      <c r="G3365" s="364"/>
      <c r="H3365" s="364"/>
      <c r="I3365" s="364"/>
      <c r="J3365" s="364"/>
      <c r="K3365" s="364"/>
      <c r="L3365" s="364"/>
      <c r="M3365" s="674"/>
      <c r="N3365" s="670"/>
      <c r="O3365" s="670">
        <f>U3364</f>
        <v>28.3</v>
      </c>
      <c r="P3365" s="670">
        <f>O3365</f>
        <v>28.3</v>
      </c>
      <c r="Q3365" s="670">
        <v>0</v>
      </c>
      <c r="R3365" s="365"/>
      <c r="S3365" s="366"/>
      <c r="T3365" s="1399"/>
      <c r="U3365" s="1398"/>
      <c r="V3365" s="361"/>
      <c r="W3365" s="361"/>
    </row>
    <row r="3366" spans="1:23">
      <c r="A3366" s="1410"/>
      <c r="B3366" s="1413"/>
      <c r="C3366" s="1181" t="s">
        <v>984</v>
      </c>
      <c r="D3366" s="875" t="str">
        <f>B3365&amp;C3366</f>
        <v>A26b</v>
      </c>
      <c r="E3366" s="367">
        <v>1</v>
      </c>
      <c r="F3366" s="669" t="s">
        <v>1156</v>
      </c>
      <c r="G3366" s="369">
        <v>0.85972222222222217</v>
      </c>
      <c r="H3366" s="368">
        <v>0.88194444444444453</v>
      </c>
      <c r="I3366" s="368">
        <v>0.88888888888888884</v>
      </c>
      <c r="J3366" s="368">
        <v>0.89583333333333337</v>
      </c>
      <c r="K3366" s="669">
        <v>10</v>
      </c>
      <c r="L3366" s="669">
        <v>19</v>
      </c>
      <c r="M3366" s="675">
        <v>27.2</v>
      </c>
      <c r="N3366" s="671">
        <f>IF(M3366-P3366&gt;0,M3366-P3366,0)</f>
        <v>2.6999999999999993</v>
      </c>
      <c r="O3366" s="671">
        <f>O3365-K3366/(PI()*(U3363/2000)^2)</f>
        <v>19.458058717116927</v>
      </c>
      <c r="P3366" s="672">
        <v>24.5</v>
      </c>
      <c r="Q3366" s="673">
        <f>ABS(O3366-P3366)</f>
        <v>5.041941282883073</v>
      </c>
      <c r="R3366" s="375" t="s">
        <v>188</v>
      </c>
      <c r="S3366" s="366"/>
      <c r="T3366" s="376"/>
      <c r="U3366" s="376"/>
      <c r="V3366" s="366"/>
      <c r="W3366" s="366"/>
    </row>
    <row r="3367" spans="1:23">
      <c r="A3367" s="1410"/>
      <c r="B3367" s="1413"/>
      <c r="C3367" s="1181" t="s">
        <v>985</v>
      </c>
      <c r="D3367" s="875" t="str">
        <f>B3365&amp;C3367</f>
        <v>A26c</v>
      </c>
      <c r="E3367" s="367">
        <v>2</v>
      </c>
      <c r="F3367" s="669" t="s">
        <v>1160</v>
      </c>
      <c r="G3367" s="369">
        <v>0.86249999999999993</v>
      </c>
      <c r="H3367" s="368">
        <v>0.88541666666666663</v>
      </c>
      <c r="I3367" s="368">
        <v>0.90277777777777779</v>
      </c>
      <c r="J3367" s="368">
        <v>0.90972222222222221</v>
      </c>
      <c r="K3367" s="669">
        <v>10</v>
      </c>
      <c r="L3367" s="669">
        <v>19</v>
      </c>
      <c r="M3367" s="675">
        <v>25.2</v>
      </c>
      <c r="N3367" s="671">
        <f>IF(M3367-P3367&gt;0,M3367-P3367,0)</f>
        <v>4.1999999999999993</v>
      </c>
      <c r="O3367" s="671">
        <f>O3366-K3367/(PI()*(U3363/2000)^2)</f>
        <v>10.616117434233853</v>
      </c>
      <c r="P3367" s="672">
        <v>21</v>
      </c>
      <c r="Q3367" s="673">
        <f>ABS(O3367-P3367)</f>
        <v>10.383882565766147</v>
      </c>
      <c r="R3367" s="375" t="s">
        <v>188</v>
      </c>
      <c r="S3367" s="366"/>
      <c r="T3367" s="376"/>
      <c r="U3367" s="376"/>
      <c r="V3367" s="366"/>
      <c r="W3367" s="366"/>
    </row>
    <row r="3368" spans="1:23">
      <c r="A3368" s="1410"/>
      <c r="B3368" s="1413"/>
      <c r="C3368" s="1181" t="s">
        <v>986</v>
      </c>
      <c r="D3368" s="875" t="str">
        <f>B3365&amp;C3368</f>
        <v>A26d</v>
      </c>
      <c r="E3368" s="367">
        <v>3</v>
      </c>
      <c r="F3368" s="669" t="s">
        <v>1159</v>
      </c>
      <c r="G3368" s="368">
        <v>0.87847222222222221</v>
      </c>
      <c r="H3368" s="368">
        <v>0.90972222222222221</v>
      </c>
      <c r="I3368" s="368">
        <v>0.91666666666666663</v>
      </c>
      <c r="J3368" s="368">
        <v>0.92361111111111116</v>
      </c>
      <c r="K3368" s="370">
        <v>9</v>
      </c>
      <c r="L3368" s="370">
        <v>19</v>
      </c>
      <c r="M3368" s="371">
        <v>18.899999999999999</v>
      </c>
      <c r="N3368" s="671"/>
      <c r="O3368" s="671"/>
      <c r="P3368" s="373">
        <v>13.6</v>
      </c>
      <c r="Q3368" s="673"/>
      <c r="R3368" s="378" t="s">
        <v>188</v>
      </c>
      <c r="S3368" s="366"/>
      <c r="T3368" s="376"/>
      <c r="U3368" s="376"/>
      <c r="V3368" s="366"/>
      <c r="W3368" s="366"/>
    </row>
    <row r="3369" spans="1:23">
      <c r="A3369" s="1410"/>
      <c r="B3369" s="1413"/>
      <c r="C3369" s="1181" t="s">
        <v>987</v>
      </c>
      <c r="D3369" s="875" t="str">
        <f>B3365&amp;C3369</f>
        <v>A26e</v>
      </c>
      <c r="E3369" s="367">
        <v>4</v>
      </c>
      <c r="F3369" s="669" t="s">
        <v>1160</v>
      </c>
      <c r="G3369" s="368">
        <v>0.94444444444444453</v>
      </c>
      <c r="H3369" s="368">
        <v>0.96875</v>
      </c>
      <c r="I3369" s="368">
        <v>0.97222222222222221</v>
      </c>
      <c r="J3369" s="368">
        <v>0.97569444444444453</v>
      </c>
      <c r="K3369" s="370">
        <v>5</v>
      </c>
      <c r="L3369" s="370">
        <v>19</v>
      </c>
      <c r="M3369" s="371">
        <v>9.4499999999999993</v>
      </c>
      <c r="N3369" s="671"/>
      <c r="O3369" s="671"/>
      <c r="P3369" s="373">
        <v>6.1</v>
      </c>
      <c r="Q3369" s="673"/>
      <c r="R3369" s="378"/>
      <c r="S3369" s="366"/>
      <c r="T3369" s="376"/>
      <c r="U3369" s="376"/>
      <c r="V3369" s="366"/>
      <c r="W3369" s="366"/>
    </row>
    <row r="3370" spans="1:23">
      <c r="A3370" s="1410"/>
      <c r="B3370" s="1413"/>
      <c r="C3370" s="1181" t="s">
        <v>988</v>
      </c>
      <c r="D3370" s="875" t="str">
        <f>B3365&amp;C3370</f>
        <v>A26f</v>
      </c>
      <c r="E3370" s="367">
        <v>5</v>
      </c>
      <c r="F3370" s="669"/>
      <c r="G3370" s="368"/>
      <c r="H3370" s="368"/>
      <c r="I3370" s="368"/>
      <c r="J3370" s="368"/>
      <c r="K3370" s="370"/>
      <c r="L3370" s="370"/>
      <c r="M3370" s="371"/>
      <c r="N3370" s="671"/>
      <c r="O3370" s="671"/>
      <c r="P3370" s="373"/>
      <c r="Q3370" s="673"/>
      <c r="R3370" s="378"/>
      <c r="S3370" s="366" t="s">
        <v>190</v>
      </c>
      <c r="T3370" s="376"/>
      <c r="U3370" s="376"/>
      <c r="V3370" s="366"/>
      <c r="W3370" s="366"/>
    </row>
    <row r="3371" spans="1:23">
      <c r="A3371" s="1410"/>
      <c r="B3371" s="1413"/>
      <c r="C3371" s="1181" t="s">
        <v>989</v>
      </c>
      <c r="D3371" s="875" t="str">
        <f>B3365&amp;C3371</f>
        <v>A26g</v>
      </c>
      <c r="E3371" s="367">
        <v>6</v>
      </c>
      <c r="F3371" s="669"/>
      <c r="G3371" s="368"/>
      <c r="H3371" s="368"/>
      <c r="I3371" s="368"/>
      <c r="J3371" s="368"/>
      <c r="K3371" s="370"/>
      <c r="L3371" s="370"/>
      <c r="M3371" s="371"/>
      <c r="N3371" s="671"/>
      <c r="O3371" s="671"/>
      <c r="P3371" s="373"/>
      <c r="Q3371" s="673"/>
      <c r="R3371" s="378"/>
      <c r="S3371" s="366" t="s">
        <v>190</v>
      </c>
      <c r="T3371" s="366"/>
      <c r="U3371" s="366"/>
      <c r="V3371" s="366"/>
      <c r="W3371" s="366"/>
    </row>
    <row r="3372" spans="1:23">
      <c r="A3372" s="1410"/>
      <c r="B3372" s="1413"/>
      <c r="C3372" s="1181" t="s">
        <v>990</v>
      </c>
      <c r="D3372" s="875" t="str">
        <f>B3365&amp;C3372</f>
        <v>A26h</v>
      </c>
      <c r="E3372" s="367">
        <v>7</v>
      </c>
      <c r="F3372" s="669"/>
      <c r="G3372" s="368"/>
      <c r="H3372" s="368"/>
      <c r="I3372" s="368"/>
      <c r="J3372" s="368"/>
      <c r="K3372" s="370"/>
      <c r="L3372" s="370"/>
      <c r="M3372" s="371"/>
      <c r="N3372" s="671"/>
      <c r="O3372" s="671"/>
      <c r="P3372" s="373"/>
      <c r="Q3372" s="673"/>
      <c r="R3372" s="378"/>
      <c r="S3372" s="366" t="s">
        <v>190</v>
      </c>
      <c r="T3372" s="366"/>
      <c r="U3372" s="366"/>
      <c r="V3372" s="366"/>
      <c r="W3372" s="366"/>
    </row>
    <row r="3373" spans="1:23">
      <c r="A3373" s="1410"/>
      <c r="B3373" s="1413"/>
      <c r="C3373" s="1181" t="s">
        <v>991</v>
      </c>
      <c r="D3373" s="875" t="str">
        <f>B3365&amp;C3373</f>
        <v>A26i</v>
      </c>
      <c r="E3373" s="367">
        <v>8</v>
      </c>
      <c r="F3373" s="669"/>
      <c r="G3373" s="368"/>
      <c r="H3373" s="368"/>
      <c r="I3373" s="368"/>
      <c r="J3373" s="368"/>
      <c r="K3373" s="370"/>
      <c r="L3373" s="370"/>
      <c r="M3373" s="371"/>
      <c r="N3373" s="671"/>
      <c r="O3373" s="671"/>
      <c r="P3373" s="373"/>
      <c r="Q3373" s="673"/>
      <c r="R3373" s="378"/>
      <c r="S3373" s="366"/>
      <c r="T3373" s="366"/>
      <c r="U3373" s="366"/>
      <c r="V3373" s="366"/>
      <c r="W3373" s="366"/>
    </row>
    <row r="3374" spans="1:23">
      <c r="A3374" s="1410"/>
      <c r="B3374" s="1413"/>
      <c r="C3374" s="1181" t="s">
        <v>992</v>
      </c>
      <c r="D3374" s="875" t="str">
        <f>B3365&amp;C3374</f>
        <v>A26k</v>
      </c>
      <c r="E3374" s="367">
        <v>9</v>
      </c>
      <c r="F3374" s="370"/>
      <c r="G3374" s="368"/>
      <c r="H3374" s="368"/>
      <c r="I3374" s="368"/>
      <c r="J3374" s="368"/>
      <c r="K3374" s="370"/>
      <c r="L3374" s="370"/>
      <c r="M3374" s="371"/>
      <c r="N3374" s="372"/>
      <c r="O3374" s="372"/>
      <c r="P3374" s="373"/>
      <c r="Q3374" s="374"/>
      <c r="R3374" s="378"/>
      <c r="S3374" s="379"/>
      <c r="T3374" s="366"/>
      <c r="U3374" s="366"/>
      <c r="V3374" s="366"/>
      <c r="W3374" s="366"/>
    </row>
    <row r="3375" spans="1:23">
      <c r="A3375" s="1410"/>
      <c r="B3375" s="1413"/>
      <c r="C3375" s="1181" t="s">
        <v>993</v>
      </c>
      <c r="D3375" s="875" t="str">
        <f>B3365&amp;C3375</f>
        <v>A26l</v>
      </c>
      <c r="E3375" s="367">
        <v>10</v>
      </c>
      <c r="F3375" s="370"/>
      <c r="G3375" s="368"/>
      <c r="H3375" s="368"/>
      <c r="I3375" s="368"/>
      <c r="J3375" s="368"/>
      <c r="K3375" s="370"/>
      <c r="L3375" s="370"/>
      <c r="M3375" s="370"/>
      <c r="N3375" s="372"/>
      <c r="O3375" s="372"/>
      <c r="P3375" s="373"/>
      <c r="Q3375" s="374"/>
      <c r="R3375" s="378"/>
      <c r="S3375" s="379"/>
      <c r="T3375" s="366"/>
      <c r="U3375" s="366"/>
      <c r="V3375" s="366"/>
      <c r="W3375" s="366"/>
    </row>
    <row r="3376" spans="1:23">
      <c r="A3376" s="1410"/>
      <c r="B3376" s="1413"/>
      <c r="C3376" s="1181" t="s">
        <v>994</v>
      </c>
      <c r="D3376" s="875" t="str">
        <f>B3365&amp;C3376</f>
        <v>A26m</v>
      </c>
      <c r="E3376" s="367">
        <v>11</v>
      </c>
      <c r="F3376" s="370"/>
      <c r="G3376" s="368"/>
      <c r="H3376" s="368"/>
      <c r="I3376" s="368"/>
      <c r="J3376" s="368"/>
      <c r="K3376" s="370"/>
      <c r="L3376" s="370"/>
      <c r="M3376" s="370"/>
      <c r="N3376" s="372"/>
      <c r="O3376" s="372"/>
      <c r="P3376" s="380"/>
      <c r="Q3376" s="374"/>
      <c r="R3376" s="381"/>
      <c r="S3376" s="379"/>
      <c r="T3376" s="366"/>
      <c r="U3376" s="366"/>
      <c r="V3376" s="366"/>
      <c r="W3376" s="366"/>
    </row>
    <row r="3377" spans="1:23">
      <c r="A3377" s="1410"/>
      <c r="B3377" s="1413"/>
      <c r="C3377" s="1181" t="s">
        <v>995</v>
      </c>
      <c r="D3377" s="875" t="str">
        <f>B3365&amp;C3377</f>
        <v>A26n</v>
      </c>
      <c r="E3377" s="367">
        <v>12</v>
      </c>
      <c r="F3377" s="370"/>
      <c r="G3377" s="368"/>
      <c r="H3377" s="368"/>
      <c r="I3377" s="368"/>
      <c r="J3377" s="368"/>
      <c r="K3377" s="370"/>
      <c r="L3377" s="370"/>
      <c r="M3377" s="370"/>
      <c r="N3377" s="372"/>
      <c r="O3377" s="372"/>
      <c r="P3377" s="380"/>
      <c r="Q3377" s="374"/>
      <c r="R3377" s="381"/>
      <c r="S3377" s="361"/>
      <c r="T3377" s="361"/>
      <c r="U3377" s="361"/>
      <c r="V3377" s="366"/>
      <c r="W3377" s="366"/>
    </row>
    <row r="3378" spans="1:23">
      <c r="A3378" s="1410"/>
      <c r="B3378" s="1413"/>
      <c r="C3378" s="1181" t="s">
        <v>471</v>
      </c>
      <c r="D3378" s="875" t="str">
        <f>B3365&amp;C3378</f>
        <v>A26x</v>
      </c>
      <c r="E3378" s="367">
        <v>13</v>
      </c>
      <c r="F3378" s="370"/>
      <c r="G3378" s="368"/>
      <c r="H3378" s="368"/>
      <c r="I3378" s="368"/>
      <c r="J3378" s="368"/>
      <c r="K3378" s="370"/>
      <c r="L3378" s="370"/>
      <c r="M3378" s="370"/>
      <c r="N3378" s="382"/>
      <c r="O3378" s="372"/>
      <c r="P3378" s="380"/>
      <c r="Q3378" s="381"/>
      <c r="R3378" s="381"/>
      <c r="S3378" s="361"/>
      <c r="T3378" s="361"/>
      <c r="U3378" s="361"/>
      <c r="V3378" s="366"/>
      <c r="W3378" s="366"/>
    </row>
    <row r="3379" spans="1:23">
      <c r="A3379" s="1410"/>
      <c r="B3379" s="1413"/>
      <c r="C3379" s="1181" t="s">
        <v>732</v>
      </c>
      <c r="D3379" s="875" t="str">
        <f>B3365&amp;C3379</f>
        <v>A26y</v>
      </c>
      <c r="E3379" s="367">
        <v>14</v>
      </c>
      <c r="F3379" s="370"/>
      <c r="G3379" s="368"/>
      <c r="H3379" s="368"/>
      <c r="I3379" s="368"/>
      <c r="J3379" s="368"/>
      <c r="K3379" s="370"/>
      <c r="L3379" s="370"/>
      <c r="M3379" s="370"/>
      <c r="N3379" s="382"/>
      <c r="O3379" s="372"/>
      <c r="P3379" s="380"/>
      <c r="Q3379" s="381"/>
      <c r="R3379" s="381"/>
      <c r="S3379" s="361"/>
      <c r="T3379" s="361"/>
      <c r="U3379" s="362"/>
      <c r="V3379" s="366"/>
      <c r="W3379" s="366"/>
    </row>
    <row r="3380" spans="1:23">
      <c r="A3380" s="1411"/>
      <c r="B3380" s="1414"/>
      <c r="C3380" s="1182" t="s">
        <v>996</v>
      </c>
      <c r="D3380" s="876" t="str">
        <f>B3365&amp;C3380</f>
        <v>A26z</v>
      </c>
      <c r="E3380" s="847">
        <v>15</v>
      </c>
      <c r="F3380" s="370"/>
      <c r="G3380" s="368"/>
      <c r="H3380" s="368"/>
      <c r="I3380" s="368"/>
      <c r="J3380" s="368"/>
      <c r="K3380" s="370"/>
      <c r="L3380" s="370"/>
      <c r="M3380" s="370"/>
      <c r="N3380" s="850"/>
      <c r="O3380" s="851"/>
      <c r="P3380" s="380"/>
      <c r="Q3380" s="852"/>
      <c r="R3380" s="383"/>
      <c r="S3380" s="361"/>
      <c r="T3380" s="1176"/>
      <c r="U3380" s="1175"/>
      <c r="V3380" s="366"/>
      <c r="W3380" s="366"/>
    </row>
    <row r="3381" spans="1:23">
      <c r="A3381" s="1400" t="s">
        <v>939</v>
      </c>
      <c r="B3381" s="1400"/>
      <c r="C3381" s="1177"/>
      <c r="D3381" s="871"/>
      <c r="E3381" s="1400" t="s">
        <v>177</v>
      </c>
      <c r="F3381" s="1400" t="s">
        <v>18</v>
      </c>
      <c r="G3381" s="1389" t="s">
        <v>19</v>
      </c>
      <c r="H3381" s="1390"/>
      <c r="I3381" s="1389" t="s">
        <v>22</v>
      </c>
      <c r="J3381" s="1390"/>
      <c r="K3381" s="1393" t="s">
        <v>26</v>
      </c>
      <c r="L3381" s="1390"/>
      <c r="M3381" s="1389" t="s">
        <v>392</v>
      </c>
      <c r="N3381" s="1390"/>
      <c r="O3381" s="1389" t="s">
        <v>28</v>
      </c>
      <c r="P3381" s="1393"/>
      <c r="Q3381" s="1390"/>
      <c r="R3381" s="1400" t="s">
        <v>36</v>
      </c>
      <c r="S3381" s="361"/>
      <c r="T3381" s="361">
        <f>MAX(J3385:J3399)-MIN(I3385:I3399)</f>
        <v>6.9444444444444461E-2</v>
      </c>
      <c r="U3381" s="361"/>
      <c r="V3381" s="853" t="str">
        <f t="shared" ref="V3381" si="408">B3385</f>
        <v>A109</v>
      </c>
      <c r="W3381" s="361">
        <f t="shared" ref="W3381" si="409">COUNTIF(K3386:K3400,"&gt;0")</f>
        <v>4</v>
      </c>
    </row>
    <row r="3382" spans="1:23">
      <c r="A3382" s="1401"/>
      <c r="B3382" s="1401"/>
      <c r="C3382" s="1178"/>
      <c r="D3382" s="872"/>
      <c r="E3382" s="1401"/>
      <c r="F3382" s="1401"/>
      <c r="G3382" s="1391"/>
      <c r="H3382" s="1392"/>
      <c r="I3382" s="1391"/>
      <c r="J3382" s="1392"/>
      <c r="K3382" s="1394"/>
      <c r="L3382" s="1392"/>
      <c r="M3382" s="1391"/>
      <c r="N3382" s="1392"/>
      <c r="O3382" s="1391"/>
      <c r="P3382" s="1394"/>
      <c r="Q3382" s="1392"/>
      <c r="R3382" s="1401"/>
      <c r="S3382" s="361"/>
      <c r="T3382" s="361"/>
      <c r="U3382" s="361"/>
      <c r="V3382" s="361"/>
      <c r="W3382" s="361"/>
    </row>
    <row r="3383" spans="1:23">
      <c r="A3383" s="1401"/>
      <c r="B3383" s="1401"/>
      <c r="C3383" s="1178"/>
      <c r="D3383" s="872"/>
      <c r="E3383" s="1401"/>
      <c r="F3383" s="1401"/>
      <c r="G3383" s="1400" t="s">
        <v>20</v>
      </c>
      <c r="H3383" s="1400" t="s">
        <v>21</v>
      </c>
      <c r="I3383" s="1400" t="s">
        <v>361</v>
      </c>
      <c r="J3383" s="1400" t="s">
        <v>353</v>
      </c>
      <c r="K3383" s="1400" t="s">
        <v>23</v>
      </c>
      <c r="L3383" s="1400" t="s">
        <v>24</v>
      </c>
      <c r="M3383" s="1400" t="s">
        <v>27</v>
      </c>
      <c r="N3383" s="1400" t="s">
        <v>178</v>
      </c>
      <c r="O3383" s="1400" t="s">
        <v>1</v>
      </c>
      <c r="P3383" s="1400" t="s">
        <v>29</v>
      </c>
      <c r="Q3383" s="1400" t="s">
        <v>33</v>
      </c>
      <c r="R3383" s="1401"/>
      <c r="S3383" s="361"/>
      <c r="T3383" s="361" t="s">
        <v>39</v>
      </c>
      <c r="U3383" s="362">
        <f>VLOOKUP(B3385,'[7]Thong tin'!$A:$M,13,0)</f>
        <v>1200</v>
      </c>
      <c r="V3383" s="361"/>
      <c r="W3383" s="361"/>
    </row>
    <row r="3384" spans="1:23">
      <c r="A3384" s="1402"/>
      <c r="B3384" s="1402"/>
      <c r="C3384" s="1179"/>
      <c r="D3384" s="873"/>
      <c r="E3384" s="1402"/>
      <c r="F3384" s="1402"/>
      <c r="G3384" s="1402"/>
      <c r="H3384" s="1402"/>
      <c r="I3384" s="1402"/>
      <c r="J3384" s="1402"/>
      <c r="K3384" s="1402"/>
      <c r="L3384" s="1402"/>
      <c r="M3384" s="1402"/>
      <c r="N3384" s="1402"/>
      <c r="O3384" s="1402"/>
      <c r="P3384" s="1402"/>
      <c r="Q3384" s="1402"/>
      <c r="R3384" s="1402"/>
      <c r="S3384" s="361"/>
      <c r="T3384" s="1399" t="s">
        <v>393</v>
      </c>
      <c r="U3384" s="1397">
        <f>VLOOKUP(B3385,[7]DT.NK!$B:$AZ,45,0)</f>
        <v>33.01</v>
      </c>
      <c r="V3384" s="361"/>
      <c r="W3384" s="361"/>
    </row>
    <row r="3385" spans="1:23">
      <c r="A3385" s="1409">
        <f>A3365+1</f>
        <v>170</v>
      </c>
      <c r="B3385" s="1412" t="s">
        <v>580</v>
      </c>
      <c r="C3385" s="1180" t="s">
        <v>983</v>
      </c>
      <c r="D3385" s="874" t="str">
        <f>B3385&amp;C3385</f>
        <v>A109a</v>
      </c>
      <c r="E3385" s="363"/>
      <c r="F3385" s="364"/>
      <c r="G3385" s="364"/>
      <c r="H3385" s="364"/>
      <c r="I3385" s="364"/>
      <c r="J3385" s="364"/>
      <c r="K3385" s="364"/>
      <c r="L3385" s="364"/>
      <c r="M3385" s="674"/>
      <c r="N3385" s="670"/>
      <c r="O3385" s="670">
        <f>U3384</f>
        <v>33.01</v>
      </c>
      <c r="P3385" s="670">
        <f>O3385</f>
        <v>33.01</v>
      </c>
      <c r="Q3385" s="670">
        <v>0</v>
      </c>
      <c r="R3385" s="365"/>
      <c r="S3385" s="366"/>
      <c r="T3385" s="1399"/>
      <c r="U3385" s="1398"/>
      <c r="V3385" s="361"/>
      <c r="W3385" s="361"/>
    </row>
    <row r="3386" spans="1:23">
      <c r="A3386" s="1410"/>
      <c r="B3386" s="1413"/>
      <c r="C3386" s="1181" t="s">
        <v>984</v>
      </c>
      <c r="D3386" s="875" t="str">
        <f>B3385&amp;C3386</f>
        <v>A109b</v>
      </c>
      <c r="E3386" s="367">
        <v>1</v>
      </c>
      <c r="F3386" s="669" t="s">
        <v>1160</v>
      </c>
      <c r="G3386" s="369">
        <v>3.125E-2</v>
      </c>
      <c r="H3386" s="368">
        <v>6.25E-2</v>
      </c>
      <c r="I3386" s="368">
        <v>6.9444444444444434E-2</v>
      </c>
      <c r="J3386" s="368">
        <v>7.6388888888888895E-2</v>
      </c>
      <c r="K3386" s="669">
        <v>10</v>
      </c>
      <c r="L3386" s="669">
        <v>19</v>
      </c>
      <c r="M3386" s="675">
        <v>28.35</v>
      </c>
      <c r="N3386" s="671">
        <f>IF(M3386-P3386&gt;0,M3386-P3386,0)</f>
        <v>2.9500000000000028</v>
      </c>
      <c r="O3386" s="671">
        <f>O3385-K3386/(PI()*(U3383/2000)^2)</f>
        <v>24.168058717116924</v>
      </c>
      <c r="P3386" s="672">
        <v>25.4</v>
      </c>
      <c r="Q3386" s="673">
        <f>ABS(O3386-P3386)</f>
        <v>1.2319412828830743</v>
      </c>
      <c r="R3386" s="375" t="s">
        <v>188</v>
      </c>
      <c r="S3386" s="366"/>
      <c r="T3386" s="376"/>
      <c r="U3386" s="376"/>
      <c r="V3386" s="366"/>
      <c r="W3386" s="366"/>
    </row>
    <row r="3387" spans="1:23">
      <c r="A3387" s="1410"/>
      <c r="B3387" s="1413"/>
      <c r="C3387" s="1181" t="s">
        <v>985</v>
      </c>
      <c r="D3387" s="875" t="str">
        <f>B3385&amp;C3387</f>
        <v>A109c</v>
      </c>
      <c r="E3387" s="367">
        <v>2</v>
      </c>
      <c r="F3387" s="669" t="s">
        <v>1156</v>
      </c>
      <c r="G3387" s="369">
        <v>3.4722222222222224E-2</v>
      </c>
      <c r="H3387" s="368">
        <v>6.5972222222222224E-2</v>
      </c>
      <c r="I3387" s="368">
        <v>8.3333333333333329E-2</v>
      </c>
      <c r="J3387" s="368">
        <v>9.0277777777777776E-2</v>
      </c>
      <c r="K3387" s="669">
        <v>10</v>
      </c>
      <c r="L3387" s="669">
        <v>20</v>
      </c>
      <c r="M3387" s="675">
        <v>22.05</v>
      </c>
      <c r="N3387" s="671">
        <f>IF(M3387-P3387&gt;0,M3387-P3387,0)</f>
        <v>4.4499999999999993</v>
      </c>
      <c r="O3387" s="671">
        <f>O3386-K3387/(PI()*(U3383/2000)^2)</f>
        <v>15.326117434233851</v>
      </c>
      <c r="P3387" s="672">
        <v>17.600000000000001</v>
      </c>
      <c r="Q3387" s="673">
        <f>ABS(O3387-P3387)</f>
        <v>2.2738825657661508</v>
      </c>
      <c r="R3387" s="375" t="s">
        <v>188</v>
      </c>
      <c r="S3387" s="366"/>
      <c r="T3387" s="376"/>
      <c r="U3387" s="376"/>
      <c r="V3387" s="366"/>
      <c r="W3387" s="366"/>
    </row>
    <row r="3388" spans="1:23">
      <c r="A3388" s="1410"/>
      <c r="B3388" s="1413"/>
      <c r="C3388" s="1181" t="s">
        <v>986</v>
      </c>
      <c r="D3388" s="875" t="str">
        <f>B3385&amp;C3388</f>
        <v>A109d</v>
      </c>
      <c r="E3388" s="367">
        <v>3</v>
      </c>
      <c r="F3388" s="669" t="s">
        <v>1159</v>
      </c>
      <c r="G3388" s="368">
        <v>4.5138888888888888E-2</v>
      </c>
      <c r="H3388" s="368">
        <v>7.2916666666666671E-2</v>
      </c>
      <c r="I3388" s="368">
        <v>9.7222222222222224E-2</v>
      </c>
      <c r="J3388" s="368">
        <v>0.10416666666666667</v>
      </c>
      <c r="K3388" s="370">
        <v>10</v>
      </c>
      <c r="L3388" s="370">
        <v>19</v>
      </c>
      <c r="M3388" s="371">
        <v>12.6</v>
      </c>
      <c r="N3388" s="671"/>
      <c r="O3388" s="671"/>
      <c r="P3388" s="373">
        <v>9.1</v>
      </c>
      <c r="Q3388" s="673"/>
      <c r="R3388" s="378"/>
      <c r="S3388" s="366"/>
      <c r="T3388" s="376"/>
      <c r="U3388" s="376"/>
      <c r="V3388" s="366"/>
      <c r="W3388" s="366"/>
    </row>
    <row r="3389" spans="1:23">
      <c r="A3389" s="1410"/>
      <c r="B3389" s="1413"/>
      <c r="C3389" s="1181" t="s">
        <v>987</v>
      </c>
      <c r="D3389" s="875" t="str">
        <f>B3385&amp;C3389</f>
        <v>A109e</v>
      </c>
      <c r="E3389" s="367">
        <v>4</v>
      </c>
      <c r="F3389" s="669" t="s">
        <v>1160</v>
      </c>
      <c r="G3389" s="368">
        <v>9.5833333333333326E-2</v>
      </c>
      <c r="H3389" s="368">
        <v>0.11805555555555557</v>
      </c>
      <c r="I3389" s="368">
        <v>0.13541666666666666</v>
      </c>
      <c r="J3389" s="368">
        <v>0.1388888888888889</v>
      </c>
      <c r="K3389" s="370">
        <v>4</v>
      </c>
      <c r="L3389" s="370">
        <v>19</v>
      </c>
      <c r="M3389" s="371">
        <v>9.4499999999999993</v>
      </c>
      <c r="N3389" s="671"/>
      <c r="O3389" s="671"/>
      <c r="P3389" s="373">
        <v>6</v>
      </c>
      <c r="Q3389" s="673"/>
      <c r="R3389" s="378"/>
      <c r="S3389" s="366"/>
      <c r="T3389" s="376"/>
      <c r="U3389" s="376"/>
      <c r="V3389" s="366"/>
      <c r="W3389" s="366"/>
    </row>
    <row r="3390" spans="1:23">
      <c r="A3390" s="1410"/>
      <c r="B3390" s="1413"/>
      <c r="C3390" s="1181" t="s">
        <v>988</v>
      </c>
      <c r="D3390" s="875" t="str">
        <f>B3385&amp;C3390</f>
        <v>A109f</v>
      </c>
      <c r="E3390" s="367">
        <v>5</v>
      </c>
      <c r="F3390" s="669"/>
      <c r="G3390" s="368"/>
      <c r="H3390" s="368"/>
      <c r="I3390" s="368"/>
      <c r="J3390" s="368"/>
      <c r="K3390" s="370"/>
      <c r="L3390" s="370"/>
      <c r="M3390" s="371"/>
      <c r="N3390" s="671"/>
      <c r="O3390" s="671"/>
      <c r="P3390" s="373"/>
      <c r="Q3390" s="673"/>
      <c r="R3390" s="378"/>
      <c r="S3390" s="366" t="s">
        <v>190</v>
      </c>
      <c r="T3390" s="376"/>
      <c r="U3390" s="376"/>
      <c r="V3390" s="366"/>
      <c r="W3390" s="366"/>
    </row>
    <row r="3391" spans="1:23">
      <c r="A3391" s="1410"/>
      <c r="B3391" s="1413"/>
      <c r="C3391" s="1181" t="s">
        <v>989</v>
      </c>
      <c r="D3391" s="875" t="str">
        <f>B3385&amp;C3391</f>
        <v>A109g</v>
      </c>
      <c r="E3391" s="367">
        <v>6</v>
      </c>
      <c r="F3391" s="669"/>
      <c r="G3391" s="368"/>
      <c r="H3391" s="368"/>
      <c r="I3391" s="368"/>
      <c r="J3391" s="368"/>
      <c r="K3391" s="370"/>
      <c r="L3391" s="370"/>
      <c r="M3391" s="371"/>
      <c r="N3391" s="671"/>
      <c r="O3391" s="671"/>
      <c r="P3391" s="373"/>
      <c r="Q3391" s="673"/>
      <c r="R3391" s="378"/>
      <c r="S3391" s="366" t="s">
        <v>190</v>
      </c>
      <c r="T3391" s="366"/>
      <c r="U3391" s="366"/>
      <c r="V3391" s="366"/>
      <c r="W3391" s="366"/>
    </row>
    <row r="3392" spans="1:23">
      <c r="A3392" s="1410"/>
      <c r="B3392" s="1413"/>
      <c r="C3392" s="1181" t="s">
        <v>990</v>
      </c>
      <c r="D3392" s="875" t="str">
        <f>B3385&amp;C3392</f>
        <v>A109h</v>
      </c>
      <c r="E3392" s="367">
        <v>7</v>
      </c>
      <c r="F3392" s="669"/>
      <c r="G3392" s="368"/>
      <c r="H3392" s="368"/>
      <c r="I3392" s="368"/>
      <c r="J3392" s="368"/>
      <c r="K3392" s="370"/>
      <c r="L3392" s="370"/>
      <c r="M3392" s="371"/>
      <c r="N3392" s="671"/>
      <c r="O3392" s="671"/>
      <c r="P3392" s="373"/>
      <c r="Q3392" s="673"/>
      <c r="R3392" s="378"/>
      <c r="S3392" s="366" t="s">
        <v>190</v>
      </c>
      <c r="T3392" s="366"/>
      <c r="U3392" s="366"/>
      <c r="V3392" s="366"/>
      <c r="W3392" s="366"/>
    </row>
    <row r="3393" spans="1:23">
      <c r="A3393" s="1410"/>
      <c r="B3393" s="1413"/>
      <c r="C3393" s="1181" t="s">
        <v>991</v>
      </c>
      <c r="D3393" s="875" t="str">
        <f>B3385&amp;C3393</f>
        <v>A109i</v>
      </c>
      <c r="E3393" s="367">
        <v>8</v>
      </c>
      <c r="F3393" s="669"/>
      <c r="G3393" s="368"/>
      <c r="H3393" s="368"/>
      <c r="I3393" s="368"/>
      <c r="J3393" s="368"/>
      <c r="K3393" s="370"/>
      <c r="L3393" s="370"/>
      <c r="M3393" s="371"/>
      <c r="N3393" s="671"/>
      <c r="O3393" s="671"/>
      <c r="P3393" s="373"/>
      <c r="Q3393" s="673"/>
      <c r="R3393" s="378"/>
      <c r="S3393" s="366"/>
      <c r="T3393" s="366"/>
      <c r="U3393" s="366"/>
      <c r="V3393" s="366"/>
      <c r="W3393" s="366"/>
    </row>
    <row r="3394" spans="1:23">
      <c r="A3394" s="1410"/>
      <c r="B3394" s="1413"/>
      <c r="C3394" s="1181" t="s">
        <v>992</v>
      </c>
      <c r="D3394" s="875" t="str">
        <f>B3385&amp;C3394</f>
        <v>A109k</v>
      </c>
      <c r="E3394" s="367">
        <v>9</v>
      </c>
      <c r="F3394" s="370"/>
      <c r="G3394" s="368"/>
      <c r="H3394" s="368"/>
      <c r="I3394" s="368"/>
      <c r="J3394" s="368"/>
      <c r="K3394" s="370"/>
      <c r="L3394" s="370"/>
      <c r="M3394" s="371"/>
      <c r="N3394" s="372"/>
      <c r="O3394" s="372"/>
      <c r="P3394" s="373"/>
      <c r="Q3394" s="374"/>
      <c r="R3394" s="378"/>
      <c r="S3394" s="379"/>
      <c r="T3394" s="366"/>
      <c r="U3394" s="366"/>
      <c r="V3394" s="366"/>
      <c r="W3394" s="366"/>
    </row>
    <row r="3395" spans="1:23">
      <c r="A3395" s="1410"/>
      <c r="B3395" s="1413"/>
      <c r="C3395" s="1181" t="s">
        <v>993</v>
      </c>
      <c r="D3395" s="875" t="str">
        <f>B3385&amp;C3395</f>
        <v>A109l</v>
      </c>
      <c r="E3395" s="367">
        <v>10</v>
      </c>
      <c r="F3395" s="370"/>
      <c r="G3395" s="368"/>
      <c r="H3395" s="368"/>
      <c r="I3395" s="368"/>
      <c r="J3395" s="368"/>
      <c r="K3395" s="370"/>
      <c r="L3395" s="370"/>
      <c r="M3395" s="370"/>
      <c r="N3395" s="372"/>
      <c r="O3395" s="372"/>
      <c r="P3395" s="373"/>
      <c r="Q3395" s="374"/>
      <c r="R3395" s="378"/>
      <c r="S3395" s="379"/>
      <c r="T3395" s="366"/>
      <c r="U3395" s="366"/>
      <c r="V3395" s="366"/>
      <c r="W3395" s="366"/>
    </row>
    <row r="3396" spans="1:23">
      <c r="A3396" s="1410"/>
      <c r="B3396" s="1413"/>
      <c r="C3396" s="1181" t="s">
        <v>994</v>
      </c>
      <c r="D3396" s="875" t="str">
        <f>B3385&amp;C3396</f>
        <v>A109m</v>
      </c>
      <c r="E3396" s="367">
        <v>11</v>
      </c>
      <c r="F3396" s="370"/>
      <c r="G3396" s="368"/>
      <c r="H3396" s="368"/>
      <c r="I3396" s="368"/>
      <c r="J3396" s="368"/>
      <c r="K3396" s="370"/>
      <c r="L3396" s="370"/>
      <c r="M3396" s="370"/>
      <c r="N3396" s="372"/>
      <c r="O3396" s="372"/>
      <c r="P3396" s="380"/>
      <c r="Q3396" s="374"/>
      <c r="R3396" s="381"/>
      <c r="S3396" s="379"/>
      <c r="T3396" s="366"/>
      <c r="U3396" s="366"/>
      <c r="V3396" s="366"/>
      <c r="W3396" s="366"/>
    </row>
    <row r="3397" spans="1:23">
      <c r="A3397" s="1410"/>
      <c r="B3397" s="1413"/>
      <c r="C3397" s="1181" t="s">
        <v>995</v>
      </c>
      <c r="D3397" s="875" t="str">
        <f>B3385&amp;C3397</f>
        <v>A109n</v>
      </c>
      <c r="E3397" s="367">
        <v>12</v>
      </c>
      <c r="F3397" s="370"/>
      <c r="G3397" s="368"/>
      <c r="H3397" s="368"/>
      <c r="I3397" s="368"/>
      <c r="J3397" s="368"/>
      <c r="K3397" s="370"/>
      <c r="L3397" s="370"/>
      <c r="M3397" s="370"/>
      <c r="N3397" s="372"/>
      <c r="O3397" s="372"/>
      <c r="P3397" s="380"/>
      <c r="Q3397" s="374"/>
      <c r="R3397" s="381"/>
      <c r="S3397" s="361"/>
      <c r="T3397" s="361"/>
      <c r="U3397" s="361"/>
      <c r="V3397" s="366"/>
      <c r="W3397" s="366"/>
    </row>
    <row r="3398" spans="1:23">
      <c r="A3398" s="1410"/>
      <c r="B3398" s="1413"/>
      <c r="C3398" s="1181" t="s">
        <v>471</v>
      </c>
      <c r="D3398" s="875" t="str">
        <f>B3385&amp;C3398</f>
        <v>A109x</v>
      </c>
      <c r="E3398" s="367">
        <v>13</v>
      </c>
      <c r="F3398" s="370"/>
      <c r="G3398" s="368"/>
      <c r="H3398" s="368"/>
      <c r="I3398" s="368"/>
      <c r="J3398" s="368"/>
      <c r="K3398" s="370"/>
      <c r="L3398" s="370"/>
      <c r="M3398" s="370"/>
      <c r="N3398" s="382"/>
      <c r="O3398" s="372"/>
      <c r="P3398" s="380"/>
      <c r="Q3398" s="381"/>
      <c r="R3398" s="381"/>
      <c r="S3398" s="361"/>
      <c r="T3398" s="361"/>
      <c r="U3398" s="361"/>
      <c r="V3398" s="366"/>
      <c r="W3398" s="366"/>
    </row>
    <row r="3399" spans="1:23">
      <c r="A3399" s="1410"/>
      <c r="B3399" s="1413"/>
      <c r="C3399" s="1181" t="s">
        <v>732</v>
      </c>
      <c r="D3399" s="875" t="str">
        <f>B3385&amp;C3399</f>
        <v>A109y</v>
      </c>
      <c r="E3399" s="367">
        <v>14</v>
      </c>
      <c r="F3399" s="370"/>
      <c r="G3399" s="368"/>
      <c r="H3399" s="368"/>
      <c r="I3399" s="368"/>
      <c r="J3399" s="368"/>
      <c r="K3399" s="370"/>
      <c r="L3399" s="370"/>
      <c r="M3399" s="370"/>
      <c r="N3399" s="382"/>
      <c r="O3399" s="372"/>
      <c r="P3399" s="380"/>
      <c r="Q3399" s="381"/>
      <c r="R3399" s="381"/>
      <c r="S3399" s="361"/>
      <c r="T3399" s="361"/>
      <c r="U3399" s="362"/>
      <c r="V3399" s="366"/>
      <c r="W3399" s="366"/>
    </row>
    <row r="3400" spans="1:23">
      <c r="A3400" s="1411"/>
      <c r="B3400" s="1414"/>
      <c r="C3400" s="1182" t="s">
        <v>996</v>
      </c>
      <c r="D3400" s="876" t="str">
        <f>B3385&amp;C3400</f>
        <v>A109z</v>
      </c>
      <c r="E3400" s="847">
        <v>15</v>
      </c>
      <c r="F3400" s="370"/>
      <c r="G3400" s="368"/>
      <c r="H3400" s="368"/>
      <c r="I3400" s="368"/>
      <c r="J3400" s="368"/>
      <c r="K3400" s="370"/>
      <c r="L3400" s="370"/>
      <c r="M3400" s="370"/>
      <c r="N3400" s="850"/>
      <c r="O3400" s="851"/>
      <c r="P3400" s="380"/>
      <c r="Q3400" s="852"/>
      <c r="R3400" s="383"/>
      <c r="S3400" s="361"/>
      <c r="T3400" s="1176"/>
      <c r="U3400" s="1175"/>
      <c r="V3400" s="366"/>
      <c r="W3400" s="366"/>
    </row>
    <row r="3401" spans="1:23">
      <c r="A3401" s="1400" t="s">
        <v>939</v>
      </c>
      <c r="B3401" s="1400"/>
      <c r="C3401" s="1177"/>
      <c r="D3401" s="871"/>
      <c r="E3401" s="1400" t="s">
        <v>177</v>
      </c>
      <c r="F3401" s="1400" t="s">
        <v>18</v>
      </c>
      <c r="G3401" s="1389" t="s">
        <v>19</v>
      </c>
      <c r="H3401" s="1390"/>
      <c r="I3401" s="1389" t="s">
        <v>22</v>
      </c>
      <c r="J3401" s="1390"/>
      <c r="K3401" s="1393" t="s">
        <v>26</v>
      </c>
      <c r="L3401" s="1390"/>
      <c r="M3401" s="1389" t="s">
        <v>392</v>
      </c>
      <c r="N3401" s="1390"/>
      <c r="O3401" s="1389" t="s">
        <v>28</v>
      </c>
      <c r="P3401" s="1393"/>
      <c r="Q3401" s="1390"/>
      <c r="R3401" s="1400" t="s">
        <v>36</v>
      </c>
      <c r="S3401" s="361"/>
      <c r="T3401" s="361">
        <f>MAX(J3405:J3419)-MIN(I3405:I3419)</f>
        <v>3.819444444444442E-2</v>
      </c>
      <c r="U3401" s="361"/>
      <c r="V3401" s="853" t="str">
        <f t="shared" ref="V3401" si="410">B3405</f>
        <v>A107</v>
      </c>
      <c r="W3401" s="361">
        <f t="shared" ref="W3401" si="411">COUNTIF(K3406:K3420,"&gt;0")</f>
        <v>3</v>
      </c>
    </row>
    <row r="3402" spans="1:23">
      <c r="A3402" s="1401"/>
      <c r="B3402" s="1401"/>
      <c r="C3402" s="1178"/>
      <c r="D3402" s="872"/>
      <c r="E3402" s="1401"/>
      <c r="F3402" s="1401"/>
      <c r="G3402" s="1391"/>
      <c r="H3402" s="1392"/>
      <c r="I3402" s="1391"/>
      <c r="J3402" s="1392"/>
      <c r="K3402" s="1394"/>
      <c r="L3402" s="1392"/>
      <c r="M3402" s="1391"/>
      <c r="N3402" s="1392"/>
      <c r="O3402" s="1391"/>
      <c r="P3402" s="1394"/>
      <c r="Q3402" s="1392"/>
      <c r="R3402" s="1401"/>
      <c r="S3402" s="361"/>
      <c r="T3402" s="361"/>
      <c r="U3402" s="361"/>
      <c r="V3402" s="361"/>
      <c r="W3402" s="361"/>
    </row>
    <row r="3403" spans="1:23">
      <c r="A3403" s="1401"/>
      <c r="B3403" s="1401"/>
      <c r="C3403" s="1178"/>
      <c r="D3403" s="872"/>
      <c r="E3403" s="1401"/>
      <c r="F3403" s="1401"/>
      <c r="G3403" s="1400" t="s">
        <v>20</v>
      </c>
      <c r="H3403" s="1400" t="s">
        <v>21</v>
      </c>
      <c r="I3403" s="1400" t="s">
        <v>361</v>
      </c>
      <c r="J3403" s="1400" t="s">
        <v>353</v>
      </c>
      <c r="K3403" s="1400" t="s">
        <v>23</v>
      </c>
      <c r="L3403" s="1400" t="s">
        <v>24</v>
      </c>
      <c r="M3403" s="1400" t="s">
        <v>27</v>
      </c>
      <c r="N3403" s="1400" t="s">
        <v>178</v>
      </c>
      <c r="O3403" s="1400" t="s">
        <v>1</v>
      </c>
      <c r="P3403" s="1400" t="s">
        <v>29</v>
      </c>
      <c r="Q3403" s="1400" t="s">
        <v>33</v>
      </c>
      <c r="R3403" s="1401"/>
      <c r="S3403" s="361"/>
      <c r="T3403" s="361" t="s">
        <v>39</v>
      </c>
      <c r="U3403" s="362">
        <f>VLOOKUP(B3405,'[7]Thong tin'!$A:$M,13,0)</f>
        <v>1200</v>
      </c>
      <c r="V3403" s="361"/>
      <c r="W3403" s="361"/>
    </row>
    <row r="3404" spans="1:23">
      <c r="A3404" s="1402"/>
      <c r="B3404" s="1402"/>
      <c r="C3404" s="1179"/>
      <c r="D3404" s="873"/>
      <c r="E3404" s="1402"/>
      <c r="F3404" s="1402"/>
      <c r="G3404" s="1402"/>
      <c r="H3404" s="1402"/>
      <c r="I3404" s="1402"/>
      <c r="J3404" s="1402"/>
      <c r="K3404" s="1402"/>
      <c r="L3404" s="1402"/>
      <c r="M3404" s="1402"/>
      <c r="N3404" s="1402"/>
      <c r="O3404" s="1402"/>
      <c r="P3404" s="1402"/>
      <c r="Q3404" s="1402"/>
      <c r="R3404" s="1402"/>
      <c r="S3404" s="361"/>
      <c r="T3404" s="1399" t="s">
        <v>393</v>
      </c>
      <c r="U3404" s="1397">
        <f>VLOOKUP(B3405,[7]DT.NK!$B:$AZ,45,0)</f>
        <v>34.67</v>
      </c>
      <c r="V3404" s="361"/>
      <c r="W3404" s="361"/>
    </row>
    <row r="3405" spans="1:23">
      <c r="A3405" s="1409">
        <f>A3385+1</f>
        <v>171</v>
      </c>
      <c r="B3405" s="1412" t="s">
        <v>570</v>
      </c>
      <c r="C3405" s="1180" t="s">
        <v>983</v>
      </c>
      <c r="D3405" s="874" t="str">
        <f>B3405&amp;C3405</f>
        <v>A107a</v>
      </c>
      <c r="E3405" s="363"/>
      <c r="F3405" s="364"/>
      <c r="G3405" s="364"/>
      <c r="H3405" s="364"/>
      <c r="I3405" s="364"/>
      <c r="J3405" s="364"/>
      <c r="K3405" s="364"/>
      <c r="L3405" s="364"/>
      <c r="M3405" s="674"/>
      <c r="N3405" s="670"/>
      <c r="O3405" s="670">
        <f>U3404</f>
        <v>34.67</v>
      </c>
      <c r="P3405" s="670">
        <f>O3405</f>
        <v>34.67</v>
      </c>
      <c r="Q3405" s="670">
        <v>0</v>
      </c>
      <c r="R3405" s="365"/>
      <c r="S3405" s="366"/>
      <c r="T3405" s="1399"/>
      <c r="U3405" s="1398"/>
      <c r="V3405" s="361"/>
      <c r="W3405" s="361"/>
    </row>
    <row r="3406" spans="1:23">
      <c r="A3406" s="1410"/>
      <c r="B3406" s="1413"/>
      <c r="C3406" s="1181" t="s">
        <v>984</v>
      </c>
      <c r="D3406" s="875" t="str">
        <f>B3405&amp;C3406</f>
        <v>A107b</v>
      </c>
      <c r="E3406" s="367">
        <v>1</v>
      </c>
      <c r="F3406" s="669" t="s">
        <v>1156</v>
      </c>
      <c r="G3406" s="369">
        <v>0.56944444444444442</v>
      </c>
      <c r="H3406" s="368">
        <v>0.60763888888888895</v>
      </c>
      <c r="I3406" s="368">
        <v>0.61805555555555558</v>
      </c>
      <c r="J3406" s="368">
        <v>0.62152777777777779</v>
      </c>
      <c r="K3406" s="669">
        <v>12</v>
      </c>
      <c r="L3406" s="669">
        <v>19</v>
      </c>
      <c r="M3406" s="675">
        <v>28.35</v>
      </c>
      <c r="N3406" s="671">
        <f>IF(M3406-P3406&gt;0,M3406-P3406,0)</f>
        <v>2.8500000000000014</v>
      </c>
      <c r="O3406" s="671">
        <f>O3405-K3406/(PI()*(U3403/2000)^2)</f>
        <v>24.05967046054031</v>
      </c>
      <c r="P3406" s="672">
        <v>25.5</v>
      </c>
      <c r="Q3406" s="673">
        <f>ABS(O3406-P3406)</f>
        <v>1.4403295394596896</v>
      </c>
      <c r="R3406" s="375" t="s">
        <v>188</v>
      </c>
      <c r="S3406" s="366"/>
      <c r="T3406" s="376"/>
      <c r="U3406" s="376"/>
      <c r="V3406" s="366"/>
      <c r="W3406" s="366"/>
    </row>
    <row r="3407" spans="1:23">
      <c r="A3407" s="1410"/>
      <c r="B3407" s="1413"/>
      <c r="C3407" s="1181" t="s">
        <v>985</v>
      </c>
      <c r="D3407" s="875" t="str">
        <f>B3405&amp;C3407</f>
        <v>A107c</v>
      </c>
      <c r="E3407" s="367">
        <v>2</v>
      </c>
      <c r="F3407" s="669" t="s">
        <v>1160</v>
      </c>
      <c r="G3407" s="369">
        <v>0.58333333333333337</v>
      </c>
      <c r="H3407" s="368">
        <v>0.625</v>
      </c>
      <c r="I3407" s="368">
        <v>0.63194444444444442</v>
      </c>
      <c r="J3407" s="368">
        <v>0.63541666666666663</v>
      </c>
      <c r="K3407" s="669">
        <v>11</v>
      </c>
      <c r="L3407" s="669">
        <v>20</v>
      </c>
      <c r="M3407" s="675">
        <v>18.899999999999999</v>
      </c>
      <c r="N3407" s="671">
        <f>IF(M3407-P3407&gt;0,M3407-P3407,0)</f>
        <v>3.6999999999999993</v>
      </c>
      <c r="O3407" s="671">
        <f>O3406-K3407/(PI()*(U3403/2000)^2)</f>
        <v>14.333535049368928</v>
      </c>
      <c r="P3407" s="672">
        <v>15.2</v>
      </c>
      <c r="Q3407" s="673">
        <f>ABS(O3407-P3407)</f>
        <v>0.86646495063107132</v>
      </c>
      <c r="R3407" s="375" t="s">
        <v>188</v>
      </c>
      <c r="S3407" s="366"/>
      <c r="T3407" s="376"/>
      <c r="U3407" s="376"/>
      <c r="V3407" s="366"/>
      <c r="W3407" s="366"/>
    </row>
    <row r="3408" spans="1:23">
      <c r="A3408" s="1410"/>
      <c r="B3408" s="1413"/>
      <c r="C3408" s="1181" t="s">
        <v>986</v>
      </c>
      <c r="D3408" s="875" t="str">
        <f>B3405&amp;C3408</f>
        <v>A107d</v>
      </c>
      <c r="E3408" s="367">
        <v>3</v>
      </c>
      <c r="F3408" s="669" t="s">
        <v>1159</v>
      </c>
      <c r="G3408" s="368">
        <v>0.59027777777777779</v>
      </c>
      <c r="H3408" s="368">
        <v>0.64930555555555558</v>
      </c>
      <c r="I3408" s="368">
        <v>0.65277777777777779</v>
      </c>
      <c r="J3408" s="368">
        <v>0.65625</v>
      </c>
      <c r="K3408" s="370">
        <v>11</v>
      </c>
      <c r="L3408" s="370">
        <v>19</v>
      </c>
      <c r="M3408" s="371"/>
      <c r="N3408" s="671"/>
      <c r="O3408" s="671"/>
      <c r="P3408" s="373">
        <v>6.5</v>
      </c>
      <c r="Q3408" s="673"/>
      <c r="R3408" s="378"/>
      <c r="S3408" s="366"/>
      <c r="T3408" s="376"/>
      <c r="U3408" s="376"/>
      <c r="V3408" s="366"/>
      <c r="W3408" s="366"/>
    </row>
    <row r="3409" spans="1:23">
      <c r="A3409" s="1410"/>
      <c r="B3409" s="1413"/>
      <c r="C3409" s="1181" t="s">
        <v>987</v>
      </c>
      <c r="D3409" s="875" t="str">
        <f>B3405&amp;C3409</f>
        <v>A107e</v>
      </c>
      <c r="E3409" s="367">
        <v>4</v>
      </c>
      <c r="F3409" s="669"/>
      <c r="G3409" s="368"/>
      <c r="H3409" s="368"/>
      <c r="I3409" s="368"/>
      <c r="J3409" s="368"/>
      <c r="K3409" s="370"/>
      <c r="L3409" s="370"/>
      <c r="M3409" s="371"/>
      <c r="N3409" s="671"/>
      <c r="O3409" s="671"/>
      <c r="P3409" s="373"/>
      <c r="Q3409" s="673"/>
      <c r="R3409" s="378"/>
      <c r="S3409" s="366"/>
      <c r="T3409" s="376"/>
      <c r="U3409" s="376"/>
      <c r="V3409" s="366"/>
      <c r="W3409" s="366"/>
    </row>
    <row r="3410" spans="1:23">
      <c r="A3410" s="1410"/>
      <c r="B3410" s="1413"/>
      <c r="C3410" s="1181" t="s">
        <v>988</v>
      </c>
      <c r="D3410" s="875" t="str">
        <f>B3405&amp;C3410</f>
        <v>A107f</v>
      </c>
      <c r="E3410" s="367">
        <v>5</v>
      </c>
      <c r="F3410" s="669"/>
      <c r="G3410" s="368"/>
      <c r="H3410" s="368"/>
      <c r="I3410" s="368"/>
      <c r="J3410" s="368"/>
      <c r="K3410" s="370"/>
      <c r="L3410" s="370"/>
      <c r="M3410" s="371"/>
      <c r="N3410" s="671"/>
      <c r="O3410" s="671"/>
      <c r="P3410" s="373"/>
      <c r="Q3410" s="673"/>
      <c r="R3410" s="378"/>
      <c r="S3410" s="366" t="s">
        <v>190</v>
      </c>
      <c r="T3410" s="376"/>
      <c r="U3410" s="376"/>
      <c r="V3410" s="366"/>
      <c r="W3410" s="366"/>
    </row>
    <row r="3411" spans="1:23">
      <c r="A3411" s="1410"/>
      <c r="B3411" s="1413"/>
      <c r="C3411" s="1181" t="s">
        <v>989</v>
      </c>
      <c r="D3411" s="875" t="str">
        <f>B3405&amp;C3411</f>
        <v>A107g</v>
      </c>
      <c r="E3411" s="367">
        <v>6</v>
      </c>
      <c r="F3411" s="669"/>
      <c r="G3411" s="368"/>
      <c r="H3411" s="368"/>
      <c r="I3411" s="368"/>
      <c r="J3411" s="368"/>
      <c r="K3411" s="370"/>
      <c r="L3411" s="370"/>
      <c r="M3411" s="371"/>
      <c r="N3411" s="671"/>
      <c r="O3411" s="671"/>
      <c r="P3411" s="373"/>
      <c r="Q3411" s="673"/>
      <c r="R3411" s="378"/>
      <c r="S3411" s="366" t="s">
        <v>190</v>
      </c>
      <c r="T3411" s="366"/>
      <c r="U3411" s="366"/>
      <c r="V3411" s="366"/>
      <c r="W3411" s="366"/>
    </row>
    <row r="3412" spans="1:23">
      <c r="A3412" s="1410"/>
      <c r="B3412" s="1413"/>
      <c r="C3412" s="1181" t="s">
        <v>990</v>
      </c>
      <c r="D3412" s="875" t="str">
        <f>B3405&amp;C3412</f>
        <v>A107h</v>
      </c>
      <c r="E3412" s="367">
        <v>7</v>
      </c>
      <c r="F3412" s="669"/>
      <c r="G3412" s="368"/>
      <c r="H3412" s="368"/>
      <c r="I3412" s="368"/>
      <c r="J3412" s="368"/>
      <c r="K3412" s="370"/>
      <c r="L3412" s="370"/>
      <c r="M3412" s="371"/>
      <c r="N3412" s="671"/>
      <c r="O3412" s="671"/>
      <c r="P3412" s="373"/>
      <c r="Q3412" s="673"/>
      <c r="R3412" s="378"/>
      <c r="S3412" s="366" t="s">
        <v>190</v>
      </c>
      <c r="T3412" s="366"/>
      <c r="U3412" s="366"/>
      <c r="V3412" s="366"/>
      <c r="W3412" s="366"/>
    </row>
    <row r="3413" spans="1:23">
      <c r="A3413" s="1410"/>
      <c r="B3413" s="1413"/>
      <c r="C3413" s="1181" t="s">
        <v>991</v>
      </c>
      <c r="D3413" s="875" t="str">
        <f>B3405&amp;C3413</f>
        <v>A107i</v>
      </c>
      <c r="E3413" s="367">
        <v>8</v>
      </c>
      <c r="F3413" s="669"/>
      <c r="G3413" s="368"/>
      <c r="H3413" s="368"/>
      <c r="I3413" s="368"/>
      <c r="J3413" s="368"/>
      <c r="K3413" s="370"/>
      <c r="L3413" s="370"/>
      <c r="M3413" s="371"/>
      <c r="N3413" s="671"/>
      <c r="O3413" s="671"/>
      <c r="P3413" s="373"/>
      <c r="Q3413" s="673"/>
      <c r="R3413" s="378"/>
      <c r="S3413" s="366"/>
      <c r="T3413" s="366"/>
      <c r="U3413" s="366"/>
      <c r="V3413" s="366"/>
      <c r="W3413" s="366"/>
    </row>
    <row r="3414" spans="1:23">
      <c r="A3414" s="1410"/>
      <c r="B3414" s="1413"/>
      <c r="C3414" s="1181" t="s">
        <v>992</v>
      </c>
      <c r="D3414" s="875" t="str">
        <f>B3405&amp;C3414</f>
        <v>A107k</v>
      </c>
      <c r="E3414" s="367">
        <v>9</v>
      </c>
      <c r="F3414" s="370"/>
      <c r="G3414" s="368"/>
      <c r="H3414" s="368"/>
      <c r="I3414" s="368"/>
      <c r="J3414" s="368"/>
      <c r="K3414" s="370"/>
      <c r="L3414" s="370"/>
      <c r="M3414" s="371"/>
      <c r="N3414" s="372"/>
      <c r="O3414" s="372"/>
      <c r="P3414" s="373"/>
      <c r="Q3414" s="374"/>
      <c r="R3414" s="378"/>
      <c r="S3414" s="379"/>
      <c r="T3414" s="366"/>
      <c r="U3414" s="366"/>
      <c r="V3414" s="366"/>
      <c r="W3414" s="366"/>
    </row>
    <row r="3415" spans="1:23">
      <c r="A3415" s="1410"/>
      <c r="B3415" s="1413"/>
      <c r="C3415" s="1181" t="s">
        <v>993</v>
      </c>
      <c r="D3415" s="875" t="str">
        <f>B3405&amp;C3415</f>
        <v>A107l</v>
      </c>
      <c r="E3415" s="367">
        <v>10</v>
      </c>
      <c r="F3415" s="370"/>
      <c r="G3415" s="368"/>
      <c r="H3415" s="368"/>
      <c r="I3415" s="368"/>
      <c r="J3415" s="368"/>
      <c r="K3415" s="370"/>
      <c r="L3415" s="370"/>
      <c r="M3415" s="370"/>
      <c r="N3415" s="372"/>
      <c r="O3415" s="372"/>
      <c r="P3415" s="373"/>
      <c r="Q3415" s="374"/>
      <c r="R3415" s="378"/>
      <c r="S3415" s="379"/>
      <c r="T3415" s="366"/>
      <c r="U3415" s="366"/>
      <c r="V3415" s="366"/>
      <c r="W3415" s="366"/>
    </row>
    <row r="3416" spans="1:23">
      <c r="A3416" s="1410"/>
      <c r="B3416" s="1413"/>
      <c r="C3416" s="1181" t="s">
        <v>994</v>
      </c>
      <c r="D3416" s="875" t="str">
        <f>B3405&amp;C3416</f>
        <v>A107m</v>
      </c>
      <c r="E3416" s="367">
        <v>11</v>
      </c>
      <c r="F3416" s="370"/>
      <c r="G3416" s="368"/>
      <c r="H3416" s="368"/>
      <c r="I3416" s="368"/>
      <c r="J3416" s="368"/>
      <c r="K3416" s="370"/>
      <c r="L3416" s="370"/>
      <c r="M3416" s="370"/>
      <c r="N3416" s="372"/>
      <c r="O3416" s="372"/>
      <c r="P3416" s="380"/>
      <c r="Q3416" s="374"/>
      <c r="R3416" s="381"/>
      <c r="S3416" s="379"/>
      <c r="T3416" s="366"/>
      <c r="U3416" s="366"/>
      <c r="V3416" s="366"/>
      <c r="W3416" s="366"/>
    </row>
    <row r="3417" spans="1:23">
      <c r="A3417" s="1410"/>
      <c r="B3417" s="1413"/>
      <c r="C3417" s="1181" t="s">
        <v>995</v>
      </c>
      <c r="D3417" s="875" t="str">
        <f>B3405&amp;C3417</f>
        <v>A107n</v>
      </c>
      <c r="E3417" s="367">
        <v>12</v>
      </c>
      <c r="F3417" s="370"/>
      <c r="G3417" s="368"/>
      <c r="H3417" s="368"/>
      <c r="I3417" s="368"/>
      <c r="J3417" s="368"/>
      <c r="K3417" s="370"/>
      <c r="L3417" s="370"/>
      <c r="M3417" s="370"/>
      <c r="N3417" s="372"/>
      <c r="O3417" s="372"/>
      <c r="P3417" s="380"/>
      <c r="Q3417" s="374"/>
      <c r="R3417" s="381"/>
      <c r="S3417" s="361"/>
      <c r="T3417" s="361"/>
      <c r="U3417" s="361"/>
      <c r="V3417" s="366"/>
      <c r="W3417" s="366"/>
    </row>
    <row r="3418" spans="1:23">
      <c r="A3418" s="1410"/>
      <c r="B3418" s="1413"/>
      <c r="C3418" s="1181" t="s">
        <v>471</v>
      </c>
      <c r="D3418" s="875" t="str">
        <f>B3405&amp;C3418</f>
        <v>A107x</v>
      </c>
      <c r="E3418" s="367">
        <v>13</v>
      </c>
      <c r="F3418" s="370"/>
      <c r="G3418" s="368"/>
      <c r="H3418" s="368"/>
      <c r="I3418" s="368"/>
      <c r="J3418" s="368"/>
      <c r="K3418" s="370"/>
      <c r="L3418" s="370"/>
      <c r="M3418" s="370"/>
      <c r="N3418" s="382"/>
      <c r="O3418" s="372"/>
      <c r="P3418" s="380"/>
      <c r="Q3418" s="381"/>
      <c r="R3418" s="381"/>
      <c r="S3418" s="361"/>
      <c r="T3418" s="361"/>
      <c r="U3418" s="361"/>
      <c r="V3418" s="366"/>
      <c r="W3418" s="366"/>
    </row>
    <row r="3419" spans="1:23">
      <c r="A3419" s="1410"/>
      <c r="B3419" s="1413"/>
      <c r="C3419" s="1181" t="s">
        <v>732</v>
      </c>
      <c r="D3419" s="875" t="str">
        <f>B3405&amp;C3419</f>
        <v>A107y</v>
      </c>
      <c r="E3419" s="367">
        <v>14</v>
      </c>
      <c r="F3419" s="370"/>
      <c r="G3419" s="368"/>
      <c r="H3419" s="368"/>
      <c r="I3419" s="368"/>
      <c r="J3419" s="368"/>
      <c r="K3419" s="370"/>
      <c r="L3419" s="370"/>
      <c r="M3419" s="370"/>
      <c r="N3419" s="382"/>
      <c r="O3419" s="372"/>
      <c r="P3419" s="380"/>
      <c r="Q3419" s="381"/>
      <c r="R3419" s="381"/>
      <c r="S3419" s="361"/>
      <c r="T3419" s="361"/>
      <c r="U3419" s="362"/>
      <c r="V3419" s="366"/>
      <c r="W3419" s="366"/>
    </row>
    <row r="3420" spans="1:23">
      <c r="A3420" s="1411"/>
      <c r="B3420" s="1414"/>
      <c r="C3420" s="1182" t="s">
        <v>996</v>
      </c>
      <c r="D3420" s="876" t="str">
        <f>B3405&amp;C3420</f>
        <v>A107z</v>
      </c>
      <c r="E3420" s="847">
        <v>15</v>
      </c>
      <c r="F3420" s="370"/>
      <c r="G3420" s="368"/>
      <c r="H3420" s="368"/>
      <c r="I3420" s="368"/>
      <c r="J3420" s="368"/>
      <c r="K3420" s="370"/>
      <c r="L3420" s="370"/>
      <c r="M3420" s="370"/>
      <c r="N3420" s="850"/>
      <c r="O3420" s="851"/>
      <c r="P3420" s="380"/>
      <c r="Q3420" s="852"/>
      <c r="R3420" s="383"/>
      <c r="S3420" s="361"/>
      <c r="T3420" s="1176"/>
      <c r="U3420" s="1175"/>
      <c r="V3420" s="366"/>
      <c r="W3420" s="366"/>
    </row>
    <row r="3421" spans="1:23">
      <c r="A3421" s="1400" t="s">
        <v>939</v>
      </c>
      <c r="B3421" s="1400"/>
      <c r="C3421" s="1177"/>
      <c r="D3421" s="871"/>
      <c r="E3421" s="1400" t="s">
        <v>177</v>
      </c>
      <c r="F3421" s="1400" t="s">
        <v>18</v>
      </c>
      <c r="G3421" s="1389" t="s">
        <v>19</v>
      </c>
      <c r="H3421" s="1390"/>
      <c r="I3421" s="1389" t="s">
        <v>22</v>
      </c>
      <c r="J3421" s="1390"/>
      <c r="K3421" s="1393" t="s">
        <v>26</v>
      </c>
      <c r="L3421" s="1390"/>
      <c r="M3421" s="1389" t="s">
        <v>392</v>
      </c>
      <c r="N3421" s="1390"/>
      <c r="O3421" s="1389" t="s">
        <v>28</v>
      </c>
      <c r="P3421" s="1393"/>
      <c r="Q3421" s="1390"/>
      <c r="R3421" s="1400" t="s">
        <v>36</v>
      </c>
      <c r="S3421" s="361"/>
      <c r="T3421" s="361">
        <f>MAX(J3425:J3439)-MIN(I3425:I3439)</f>
        <v>2.083333333333337E-2</v>
      </c>
      <c r="U3421" s="361"/>
      <c r="V3421" s="853" t="str">
        <f t="shared" ref="V3421" si="412">B3425</f>
        <v>BP2</v>
      </c>
      <c r="W3421" s="361">
        <f t="shared" ref="W3421" si="413">COUNTIF(K3426:K3440,"&gt;0")</f>
        <v>2</v>
      </c>
    </row>
    <row r="3422" spans="1:23">
      <c r="A3422" s="1401"/>
      <c r="B3422" s="1401"/>
      <c r="C3422" s="1178"/>
      <c r="D3422" s="872"/>
      <c r="E3422" s="1401"/>
      <c r="F3422" s="1401"/>
      <c r="G3422" s="1391"/>
      <c r="H3422" s="1392"/>
      <c r="I3422" s="1391"/>
      <c r="J3422" s="1392"/>
      <c r="K3422" s="1394"/>
      <c r="L3422" s="1392"/>
      <c r="M3422" s="1391"/>
      <c r="N3422" s="1392"/>
      <c r="O3422" s="1391"/>
      <c r="P3422" s="1394"/>
      <c r="Q3422" s="1392"/>
      <c r="R3422" s="1401"/>
      <c r="S3422" s="361"/>
      <c r="T3422" s="361"/>
      <c r="U3422" s="361"/>
      <c r="V3422" s="361"/>
      <c r="W3422" s="361"/>
    </row>
    <row r="3423" spans="1:23">
      <c r="A3423" s="1401"/>
      <c r="B3423" s="1401"/>
      <c r="C3423" s="1178"/>
      <c r="D3423" s="872"/>
      <c r="E3423" s="1401"/>
      <c r="F3423" s="1401"/>
      <c r="G3423" s="1400" t="s">
        <v>20</v>
      </c>
      <c r="H3423" s="1400" t="s">
        <v>21</v>
      </c>
      <c r="I3423" s="1400" t="s">
        <v>361</v>
      </c>
      <c r="J3423" s="1400" t="s">
        <v>353</v>
      </c>
      <c r="K3423" s="1400" t="s">
        <v>23</v>
      </c>
      <c r="L3423" s="1400" t="s">
        <v>24</v>
      </c>
      <c r="M3423" s="1400" t="s">
        <v>27</v>
      </c>
      <c r="N3423" s="1400" t="s">
        <v>178</v>
      </c>
      <c r="O3423" s="1400" t="s">
        <v>1</v>
      </c>
      <c r="P3423" s="1400" t="s">
        <v>29</v>
      </c>
      <c r="Q3423" s="1400" t="s">
        <v>33</v>
      </c>
      <c r="R3423" s="1401"/>
      <c r="S3423" s="361"/>
      <c r="T3423" s="361" t="s">
        <v>39</v>
      </c>
      <c r="U3423" s="362">
        <f>VLOOKUP(B3425,'[7]Thong tin'!$A:$M,13,0)</f>
        <v>800</v>
      </c>
      <c r="V3423" s="361"/>
      <c r="W3423" s="361"/>
    </row>
    <row r="3424" spans="1:23">
      <c r="A3424" s="1402"/>
      <c r="B3424" s="1402"/>
      <c r="C3424" s="1179"/>
      <c r="D3424" s="873"/>
      <c r="E3424" s="1402"/>
      <c r="F3424" s="1402"/>
      <c r="G3424" s="1402"/>
      <c r="H3424" s="1402"/>
      <c r="I3424" s="1402"/>
      <c r="J3424" s="1402"/>
      <c r="K3424" s="1402"/>
      <c r="L3424" s="1402"/>
      <c r="M3424" s="1402"/>
      <c r="N3424" s="1402"/>
      <c r="O3424" s="1402"/>
      <c r="P3424" s="1402"/>
      <c r="Q3424" s="1402"/>
      <c r="R3424" s="1402"/>
      <c r="S3424" s="361"/>
      <c r="T3424" s="1399" t="s">
        <v>393</v>
      </c>
      <c r="U3424" s="1397">
        <f>VLOOKUP(B3425,[7]DT.NK!$B:$AZ,45,0)</f>
        <v>30.86</v>
      </c>
      <c r="V3424" s="361"/>
      <c r="W3424" s="361"/>
    </row>
    <row r="3425" spans="1:23">
      <c r="A3425" s="1409">
        <f>A3405+1</f>
        <v>172</v>
      </c>
      <c r="B3425" s="1412" t="s">
        <v>1132</v>
      </c>
      <c r="C3425" s="1180" t="s">
        <v>983</v>
      </c>
      <c r="D3425" s="874" t="str">
        <f>B3425&amp;C3425</f>
        <v>BP2a</v>
      </c>
      <c r="E3425" s="363"/>
      <c r="F3425" s="364"/>
      <c r="G3425" s="364"/>
      <c r="H3425" s="364"/>
      <c r="I3425" s="364"/>
      <c r="J3425" s="364"/>
      <c r="K3425" s="364"/>
      <c r="L3425" s="364"/>
      <c r="M3425" s="674"/>
      <c r="N3425" s="670"/>
      <c r="O3425" s="670">
        <f>U3424</f>
        <v>30.86</v>
      </c>
      <c r="P3425" s="670">
        <f>O3425</f>
        <v>30.86</v>
      </c>
      <c r="Q3425" s="670">
        <v>0</v>
      </c>
      <c r="R3425" s="365"/>
      <c r="S3425" s="366"/>
      <c r="T3425" s="1399"/>
      <c r="U3425" s="1398"/>
      <c r="V3425" s="361"/>
      <c r="W3425" s="361"/>
    </row>
    <row r="3426" spans="1:23">
      <c r="A3426" s="1410"/>
      <c r="B3426" s="1413"/>
      <c r="C3426" s="1181" t="s">
        <v>984</v>
      </c>
      <c r="D3426" s="875" t="str">
        <f>B3425&amp;C3426</f>
        <v>BP2b</v>
      </c>
      <c r="E3426" s="367">
        <v>1</v>
      </c>
      <c r="F3426" s="669" t="s">
        <v>1159</v>
      </c>
      <c r="G3426" s="369">
        <v>0.70208333333333339</v>
      </c>
      <c r="H3426" s="368">
        <v>0.73263888888888884</v>
      </c>
      <c r="I3426" s="368">
        <v>0.76041666666666663</v>
      </c>
      <c r="J3426" s="368">
        <v>0.76736111111111116</v>
      </c>
      <c r="K3426" s="669">
        <v>8</v>
      </c>
      <c r="L3426" s="669">
        <v>19</v>
      </c>
      <c r="M3426" s="675">
        <v>28.35</v>
      </c>
      <c r="N3426" s="671">
        <f>IF(M3426-P3426&gt;0,M3426-P3426,0)</f>
        <v>7.8500000000000014</v>
      </c>
      <c r="O3426" s="671">
        <f>O3425-K3426/(PI()*(U3423/2000)^2)</f>
        <v>14.944505690810466</v>
      </c>
      <c r="P3426" s="672">
        <v>20.5</v>
      </c>
      <c r="Q3426" s="673">
        <f>ABS(O3426-P3426)</f>
        <v>5.5554943091895339</v>
      </c>
      <c r="R3426" s="375" t="s">
        <v>188</v>
      </c>
      <c r="S3426" s="366"/>
      <c r="T3426" s="376"/>
      <c r="U3426" s="376"/>
      <c r="V3426" s="366"/>
      <c r="W3426" s="366"/>
    </row>
    <row r="3427" spans="1:23">
      <c r="A3427" s="1410"/>
      <c r="B3427" s="1413"/>
      <c r="C3427" s="1181" t="s">
        <v>985</v>
      </c>
      <c r="D3427" s="875" t="str">
        <f>B3425&amp;C3427</f>
        <v>BP2c</v>
      </c>
      <c r="E3427" s="367">
        <v>2</v>
      </c>
      <c r="F3427" s="669" t="s">
        <v>1160</v>
      </c>
      <c r="G3427" s="369">
        <v>0.71527777777777779</v>
      </c>
      <c r="H3427" s="368">
        <v>0.75</v>
      </c>
      <c r="I3427" s="368">
        <v>0.77430555555555547</v>
      </c>
      <c r="J3427" s="368">
        <v>0.78125</v>
      </c>
      <c r="K3427" s="669">
        <v>8</v>
      </c>
      <c r="L3427" s="669">
        <v>19</v>
      </c>
      <c r="M3427" s="675">
        <v>18.899999999999999</v>
      </c>
      <c r="N3427" s="671">
        <f>IF(M3427-P3427&gt;0,M3427-P3427,0)</f>
        <v>13.899999999999999</v>
      </c>
      <c r="O3427" s="671">
        <f>O3426-K3427/(PI()*(U3423/2000)^2)</f>
        <v>-0.97098861837906725</v>
      </c>
      <c r="P3427" s="672">
        <v>5</v>
      </c>
      <c r="Q3427" s="673">
        <f>ABS(O3427-P3427)</f>
        <v>5.9709886183790672</v>
      </c>
      <c r="R3427" s="375" t="s">
        <v>188</v>
      </c>
      <c r="S3427" s="366"/>
      <c r="T3427" s="376"/>
      <c r="U3427" s="376"/>
      <c r="V3427" s="366"/>
      <c r="W3427" s="366"/>
    </row>
    <row r="3428" spans="1:23">
      <c r="A3428" s="1410"/>
      <c r="B3428" s="1413"/>
      <c r="C3428" s="1181" t="s">
        <v>986</v>
      </c>
      <c r="D3428" s="875" t="str">
        <f>B3425&amp;C3428</f>
        <v>BP2d</v>
      </c>
      <c r="E3428" s="367">
        <v>3</v>
      </c>
      <c r="F3428" s="669"/>
      <c r="G3428" s="368"/>
      <c r="H3428" s="368"/>
      <c r="I3428" s="368"/>
      <c r="J3428" s="368"/>
      <c r="K3428" s="370"/>
      <c r="L3428" s="370"/>
      <c r="M3428" s="371"/>
      <c r="N3428" s="671"/>
      <c r="O3428" s="671"/>
      <c r="P3428" s="373"/>
      <c r="Q3428" s="673"/>
      <c r="R3428" s="378"/>
      <c r="S3428" s="366"/>
      <c r="T3428" s="376"/>
      <c r="U3428" s="376"/>
      <c r="V3428" s="366"/>
      <c r="W3428" s="366"/>
    </row>
    <row r="3429" spans="1:23">
      <c r="A3429" s="1410"/>
      <c r="B3429" s="1413"/>
      <c r="C3429" s="1181" t="s">
        <v>987</v>
      </c>
      <c r="D3429" s="875" t="str">
        <f>B3425&amp;C3429</f>
        <v>BP2e</v>
      </c>
      <c r="E3429" s="367">
        <v>4</v>
      </c>
      <c r="F3429" s="669"/>
      <c r="G3429" s="368"/>
      <c r="H3429" s="368"/>
      <c r="I3429" s="368"/>
      <c r="J3429" s="368"/>
      <c r="K3429" s="370"/>
      <c r="L3429" s="370"/>
      <c r="M3429" s="371"/>
      <c r="N3429" s="671"/>
      <c r="O3429" s="671"/>
      <c r="P3429" s="373"/>
      <c r="Q3429" s="673"/>
      <c r="R3429" s="378"/>
      <c r="S3429" s="366"/>
      <c r="T3429" s="376"/>
      <c r="U3429" s="376"/>
      <c r="V3429" s="366"/>
      <c r="W3429" s="366"/>
    </row>
    <row r="3430" spans="1:23">
      <c r="A3430" s="1410"/>
      <c r="B3430" s="1413"/>
      <c r="C3430" s="1181" t="s">
        <v>988</v>
      </c>
      <c r="D3430" s="875" t="str">
        <f>B3425&amp;C3430</f>
        <v>BP2f</v>
      </c>
      <c r="E3430" s="367">
        <v>5</v>
      </c>
      <c r="F3430" s="669"/>
      <c r="G3430" s="368"/>
      <c r="H3430" s="368"/>
      <c r="I3430" s="368"/>
      <c r="J3430" s="368"/>
      <c r="K3430" s="370"/>
      <c r="L3430" s="370"/>
      <c r="M3430" s="371"/>
      <c r="N3430" s="671"/>
      <c r="O3430" s="671"/>
      <c r="P3430" s="373"/>
      <c r="Q3430" s="673"/>
      <c r="R3430" s="378"/>
      <c r="S3430" s="366" t="s">
        <v>190</v>
      </c>
      <c r="T3430" s="376"/>
      <c r="U3430" s="376"/>
      <c r="V3430" s="366"/>
      <c r="W3430" s="366"/>
    </row>
    <row r="3431" spans="1:23">
      <c r="A3431" s="1410"/>
      <c r="B3431" s="1413"/>
      <c r="C3431" s="1181" t="s">
        <v>989</v>
      </c>
      <c r="D3431" s="875" t="str">
        <f>B3425&amp;C3431</f>
        <v>BP2g</v>
      </c>
      <c r="E3431" s="367">
        <v>6</v>
      </c>
      <c r="F3431" s="669"/>
      <c r="G3431" s="368"/>
      <c r="H3431" s="368"/>
      <c r="I3431" s="368"/>
      <c r="J3431" s="368"/>
      <c r="K3431" s="370"/>
      <c r="L3431" s="370"/>
      <c r="M3431" s="371"/>
      <c r="N3431" s="671"/>
      <c r="O3431" s="671"/>
      <c r="P3431" s="373"/>
      <c r="Q3431" s="673"/>
      <c r="R3431" s="378"/>
      <c r="S3431" s="366" t="s">
        <v>190</v>
      </c>
      <c r="T3431" s="366"/>
      <c r="U3431" s="366"/>
      <c r="V3431" s="366"/>
      <c r="W3431" s="366"/>
    </row>
    <row r="3432" spans="1:23">
      <c r="A3432" s="1410"/>
      <c r="B3432" s="1413"/>
      <c r="C3432" s="1181" t="s">
        <v>990</v>
      </c>
      <c r="D3432" s="875" t="str">
        <f>B3425&amp;C3432</f>
        <v>BP2h</v>
      </c>
      <c r="E3432" s="367">
        <v>7</v>
      </c>
      <c r="F3432" s="669"/>
      <c r="G3432" s="368"/>
      <c r="H3432" s="368"/>
      <c r="I3432" s="368"/>
      <c r="J3432" s="368"/>
      <c r="K3432" s="370"/>
      <c r="L3432" s="370"/>
      <c r="M3432" s="371"/>
      <c r="N3432" s="671"/>
      <c r="O3432" s="671"/>
      <c r="P3432" s="373"/>
      <c r="Q3432" s="673"/>
      <c r="R3432" s="378"/>
      <c r="S3432" s="366" t="s">
        <v>190</v>
      </c>
      <c r="T3432" s="366"/>
      <c r="U3432" s="366"/>
      <c r="V3432" s="366"/>
      <c r="W3432" s="366"/>
    </row>
    <row r="3433" spans="1:23">
      <c r="A3433" s="1410"/>
      <c r="B3433" s="1413"/>
      <c r="C3433" s="1181" t="s">
        <v>991</v>
      </c>
      <c r="D3433" s="875" t="str">
        <f>B3425&amp;C3433</f>
        <v>BP2i</v>
      </c>
      <c r="E3433" s="367">
        <v>8</v>
      </c>
      <c r="F3433" s="669"/>
      <c r="G3433" s="368"/>
      <c r="H3433" s="368"/>
      <c r="I3433" s="368"/>
      <c r="J3433" s="368"/>
      <c r="K3433" s="370"/>
      <c r="L3433" s="370"/>
      <c r="M3433" s="371"/>
      <c r="N3433" s="671"/>
      <c r="O3433" s="671"/>
      <c r="P3433" s="373"/>
      <c r="Q3433" s="673"/>
      <c r="R3433" s="378"/>
      <c r="S3433" s="366"/>
      <c r="T3433" s="366"/>
      <c r="U3433" s="366"/>
      <c r="V3433" s="366"/>
      <c r="W3433" s="366"/>
    </row>
    <row r="3434" spans="1:23">
      <c r="A3434" s="1410"/>
      <c r="B3434" s="1413"/>
      <c r="C3434" s="1181" t="s">
        <v>992</v>
      </c>
      <c r="D3434" s="875" t="str">
        <f>B3425&amp;C3434</f>
        <v>BP2k</v>
      </c>
      <c r="E3434" s="367">
        <v>9</v>
      </c>
      <c r="F3434" s="370"/>
      <c r="G3434" s="368"/>
      <c r="H3434" s="368"/>
      <c r="I3434" s="368"/>
      <c r="J3434" s="368"/>
      <c r="K3434" s="370"/>
      <c r="L3434" s="370"/>
      <c r="M3434" s="371"/>
      <c r="N3434" s="372"/>
      <c r="O3434" s="372"/>
      <c r="P3434" s="373"/>
      <c r="Q3434" s="374"/>
      <c r="R3434" s="378"/>
      <c r="S3434" s="379"/>
      <c r="T3434" s="366"/>
      <c r="U3434" s="366"/>
      <c r="V3434" s="366"/>
      <c r="W3434" s="366"/>
    </row>
    <row r="3435" spans="1:23">
      <c r="A3435" s="1410"/>
      <c r="B3435" s="1413"/>
      <c r="C3435" s="1181" t="s">
        <v>993</v>
      </c>
      <c r="D3435" s="875" t="str">
        <f>B3425&amp;C3435</f>
        <v>BP2l</v>
      </c>
      <c r="E3435" s="367">
        <v>10</v>
      </c>
      <c r="F3435" s="370"/>
      <c r="G3435" s="368"/>
      <c r="H3435" s="368"/>
      <c r="I3435" s="368"/>
      <c r="J3435" s="368"/>
      <c r="K3435" s="370"/>
      <c r="L3435" s="370"/>
      <c r="M3435" s="370"/>
      <c r="N3435" s="372"/>
      <c r="O3435" s="372"/>
      <c r="P3435" s="373"/>
      <c r="Q3435" s="374"/>
      <c r="R3435" s="378"/>
      <c r="S3435" s="379"/>
      <c r="T3435" s="366"/>
      <c r="U3435" s="366"/>
      <c r="V3435" s="366"/>
      <c r="W3435" s="366"/>
    </row>
    <row r="3436" spans="1:23">
      <c r="A3436" s="1410"/>
      <c r="B3436" s="1413"/>
      <c r="C3436" s="1181" t="s">
        <v>994</v>
      </c>
      <c r="D3436" s="875" t="str">
        <f>B3425&amp;C3436</f>
        <v>BP2m</v>
      </c>
      <c r="E3436" s="367">
        <v>11</v>
      </c>
      <c r="F3436" s="370"/>
      <c r="G3436" s="368"/>
      <c r="H3436" s="368"/>
      <c r="I3436" s="368"/>
      <c r="J3436" s="368"/>
      <c r="K3436" s="370"/>
      <c r="L3436" s="370"/>
      <c r="M3436" s="370"/>
      <c r="N3436" s="372"/>
      <c r="O3436" s="372"/>
      <c r="P3436" s="380"/>
      <c r="Q3436" s="374"/>
      <c r="R3436" s="381"/>
      <c r="S3436" s="379"/>
      <c r="T3436" s="366"/>
      <c r="U3436" s="366"/>
      <c r="V3436" s="366"/>
      <c r="W3436" s="366"/>
    </row>
    <row r="3437" spans="1:23">
      <c r="A3437" s="1410"/>
      <c r="B3437" s="1413"/>
      <c r="C3437" s="1181" t="s">
        <v>995</v>
      </c>
      <c r="D3437" s="875" t="str">
        <f>B3425&amp;C3437</f>
        <v>BP2n</v>
      </c>
      <c r="E3437" s="367">
        <v>12</v>
      </c>
      <c r="F3437" s="370"/>
      <c r="G3437" s="368"/>
      <c r="H3437" s="368"/>
      <c r="I3437" s="368"/>
      <c r="J3437" s="368"/>
      <c r="K3437" s="370"/>
      <c r="L3437" s="370"/>
      <c r="M3437" s="370"/>
      <c r="N3437" s="372"/>
      <c r="O3437" s="372"/>
      <c r="P3437" s="380"/>
      <c r="Q3437" s="374"/>
      <c r="R3437" s="381"/>
      <c r="S3437" s="361"/>
      <c r="T3437" s="361"/>
      <c r="U3437" s="361"/>
      <c r="V3437" s="366"/>
      <c r="W3437" s="366"/>
    </row>
    <row r="3438" spans="1:23">
      <c r="A3438" s="1410"/>
      <c r="B3438" s="1413"/>
      <c r="C3438" s="1181" t="s">
        <v>471</v>
      </c>
      <c r="D3438" s="875" t="str">
        <f>B3425&amp;C3438</f>
        <v>BP2x</v>
      </c>
      <c r="E3438" s="367">
        <v>13</v>
      </c>
      <c r="F3438" s="370"/>
      <c r="G3438" s="368"/>
      <c r="H3438" s="368"/>
      <c r="I3438" s="368"/>
      <c r="J3438" s="368"/>
      <c r="K3438" s="370"/>
      <c r="L3438" s="370"/>
      <c r="M3438" s="370"/>
      <c r="N3438" s="382"/>
      <c r="O3438" s="372"/>
      <c r="P3438" s="380"/>
      <c r="Q3438" s="381"/>
      <c r="R3438" s="381"/>
      <c r="S3438" s="361"/>
      <c r="T3438" s="361"/>
      <c r="U3438" s="361"/>
      <c r="V3438" s="366"/>
      <c r="W3438" s="366"/>
    </row>
    <row r="3439" spans="1:23">
      <c r="A3439" s="1410"/>
      <c r="B3439" s="1413"/>
      <c r="C3439" s="1181" t="s">
        <v>732</v>
      </c>
      <c r="D3439" s="875" t="str">
        <f>B3425&amp;C3439</f>
        <v>BP2y</v>
      </c>
      <c r="E3439" s="367">
        <v>14</v>
      </c>
      <c r="F3439" s="370"/>
      <c r="G3439" s="368"/>
      <c r="H3439" s="368"/>
      <c r="I3439" s="368"/>
      <c r="J3439" s="368"/>
      <c r="K3439" s="370"/>
      <c r="L3439" s="370"/>
      <c r="M3439" s="370"/>
      <c r="N3439" s="382"/>
      <c r="O3439" s="372"/>
      <c r="P3439" s="380"/>
      <c r="Q3439" s="381"/>
      <c r="R3439" s="381"/>
      <c r="S3439" s="361"/>
      <c r="T3439" s="361"/>
      <c r="U3439" s="362"/>
      <c r="V3439" s="366"/>
      <c r="W3439" s="366"/>
    </row>
    <row r="3440" spans="1:23">
      <c r="A3440" s="1411"/>
      <c r="B3440" s="1414"/>
      <c r="C3440" s="1182" t="s">
        <v>996</v>
      </c>
      <c r="D3440" s="876" t="str">
        <f>B3425&amp;C3440</f>
        <v>BP2z</v>
      </c>
      <c r="E3440" s="847">
        <v>15</v>
      </c>
      <c r="F3440" s="370"/>
      <c r="G3440" s="368"/>
      <c r="H3440" s="368"/>
      <c r="I3440" s="368"/>
      <c r="J3440" s="368"/>
      <c r="K3440" s="370"/>
      <c r="L3440" s="370"/>
      <c r="M3440" s="370"/>
      <c r="N3440" s="850"/>
      <c r="O3440" s="851"/>
      <c r="P3440" s="380"/>
      <c r="Q3440" s="852"/>
      <c r="R3440" s="383"/>
      <c r="S3440" s="361"/>
      <c r="T3440" s="1176"/>
      <c r="U3440" s="1175"/>
      <c r="V3440" s="366"/>
      <c r="W3440" s="366"/>
    </row>
    <row r="3441" spans="1:23">
      <c r="A3441" s="1400" t="s">
        <v>939</v>
      </c>
      <c r="B3441" s="1400"/>
      <c r="C3441" s="1177"/>
      <c r="D3441" s="871"/>
      <c r="E3441" s="1400" t="s">
        <v>177</v>
      </c>
      <c r="F3441" s="1400" t="s">
        <v>18</v>
      </c>
      <c r="G3441" s="1389" t="s">
        <v>19</v>
      </c>
      <c r="H3441" s="1390"/>
      <c r="I3441" s="1389" t="s">
        <v>22</v>
      </c>
      <c r="J3441" s="1390"/>
      <c r="K3441" s="1393" t="s">
        <v>26</v>
      </c>
      <c r="L3441" s="1390"/>
      <c r="M3441" s="1389" t="s">
        <v>392</v>
      </c>
      <c r="N3441" s="1390"/>
      <c r="O3441" s="1389" t="s">
        <v>28</v>
      </c>
      <c r="P3441" s="1393"/>
      <c r="Q3441" s="1390"/>
      <c r="R3441" s="1400" t="s">
        <v>36</v>
      </c>
      <c r="S3441" s="361"/>
      <c r="T3441" s="361">
        <f>MAX(J3445:J3459)-MIN(I3445:I3459)</f>
        <v>0.99305555555555558</v>
      </c>
      <c r="U3441" s="361"/>
      <c r="V3441" s="853" t="str">
        <f t="shared" ref="V3441" si="414">B3445</f>
        <v>B18</v>
      </c>
      <c r="W3441" s="361">
        <f t="shared" ref="W3441" si="415">COUNTIF(K3446:K3460,"&gt;0")</f>
        <v>2</v>
      </c>
    </row>
    <row r="3442" spans="1:23">
      <c r="A3442" s="1401"/>
      <c r="B3442" s="1401"/>
      <c r="C3442" s="1178"/>
      <c r="D3442" s="872"/>
      <c r="E3442" s="1401"/>
      <c r="F3442" s="1401"/>
      <c r="G3442" s="1391"/>
      <c r="H3442" s="1392"/>
      <c r="I3442" s="1391"/>
      <c r="J3442" s="1392"/>
      <c r="K3442" s="1394"/>
      <c r="L3442" s="1392"/>
      <c r="M3442" s="1391"/>
      <c r="N3442" s="1392"/>
      <c r="O3442" s="1391"/>
      <c r="P3442" s="1394"/>
      <c r="Q3442" s="1392"/>
      <c r="R3442" s="1401"/>
      <c r="S3442" s="361"/>
      <c r="T3442" s="361"/>
      <c r="U3442" s="361"/>
      <c r="V3442" s="361"/>
      <c r="W3442" s="361"/>
    </row>
    <row r="3443" spans="1:23">
      <c r="A3443" s="1401"/>
      <c r="B3443" s="1401"/>
      <c r="C3443" s="1178"/>
      <c r="D3443" s="872"/>
      <c r="E3443" s="1401"/>
      <c r="F3443" s="1401"/>
      <c r="G3443" s="1400" t="s">
        <v>20</v>
      </c>
      <c r="H3443" s="1400" t="s">
        <v>21</v>
      </c>
      <c r="I3443" s="1400" t="s">
        <v>361</v>
      </c>
      <c r="J3443" s="1400" t="s">
        <v>353</v>
      </c>
      <c r="K3443" s="1400" t="s">
        <v>23</v>
      </c>
      <c r="L3443" s="1400" t="s">
        <v>24</v>
      </c>
      <c r="M3443" s="1400" t="s">
        <v>27</v>
      </c>
      <c r="N3443" s="1400" t="s">
        <v>178</v>
      </c>
      <c r="O3443" s="1400" t="s">
        <v>1</v>
      </c>
      <c r="P3443" s="1400" t="s">
        <v>29</v>
      </c>
      <c r="Q3443" s="1400" t="s">
        <v>33</v>
      </c>
      <c r="R3443" s="1401"/>
      <c r="S3443" s="361"/>
      <c r="T3443" s="361" t="s">
        <v>39</v>
      </c>
      <c r="U3443" s="362">
        <f>VLOOKUP(B3445,'[7]Thong tin'!$A:$M,13,0)</f>
        <v>800</v>
      </c>
      <c r="V3443" s="361"/>
      <c r="W3443" s="361"/>
    </row>
    <row r="3444" spans="1:23">
      <c r="A3444" s="1402"/>
      <c r="B3444" s="1402"/>
      <c r="C3444" s="1179"/>
      <c r="D3444" s="873"/>
      <c r="E3444" s="1402"/>
      <c r="F3444" s="1402"/>
      <c r="G3444" s="1402"/>
      <c r="H3444" s="1402"/>
      <c r="I3444" s="1402"/>
      <c r="J3444" s="1402"/>
      <c r="K3444" s="1402"/>
      <c r="L3444" s="1402"/>
      <c r="M3444" s="1402"/>
      <c r="N3444" s="1402"/>
      <c r="O3444" s="1402"/>
      <c r="P3444" s="1402"/>
      <c r="Q3444" s="1402"/>
      <c r="R3444" s="1402"/>
      <c r="S3444" s="361"/>
      <c r="T3444" s="1399" t="s">
        <v>393</v>
      </c>
      <c r="U3444" s="1397">
        <f>VLOOKUP(B3445,[7]DT.NK!$B:$AZ,45,0)</f>
        <v>29.86</v>
      </c>
      <c r="V3444" s="361"/>
      <c r="W3444" s="361"/>
    </row>
    <row r="3445" spans="1:23">
      <c r="A3445" s="1409">
        <f>A3425+1</f>
        <v>173</v>
      </c>
      <c r="B3445" s="1412" t="s">
        <v>498</v>
      </c>
      <c r="C3445" s="1180" t="s">
        <v>983</v>
      </c>
      <c r="D3445" s="874" t="str">
        <f>B3445&amp;C3445</f>
        <v>B18a</v>
      </c>
      <c r="E3445" s="363"/>
      <c r="F3445" s="364"/>
      <c r="G3445" s="364"/>
      <c r="H3445" s="364"/>
      <c r="I3445" s="364"/>
      <c r="J3445" s="364"/>
      <c r="K3445" s="364"/>
      <c r="L3445" s="364"/>
      <c r="M3445" s="674"/>
      <c r="N3445" s="670"/>
      <c r="O3445" s="670">
        <f>U3444</f>
        <v>29.86</v>
      </c>
      <c r="P3445" s="670">
        <f>O3445</f>
        <v>29.86</v>
      </c>
      <c r="Q3445" s="670">
        <v>0</v>
      </c>
      <c r="R3445" s="365"/>
      <c r="S3445" s="366"/>
      <c r="T3445" s="1399"/>
      <c r="U3445" s="1398"/>
      <c r="V3445" s="361"/>
      <c r="W3445" s="361"/>
    </row>
    <row r="3446" spans="1:23">
      <c r="A3446" s="1410"/>
      <c r="B3446" s="1413"/>
      <c r="C3446" s="1181" t="s">
        <v>984</v>
      </c>
      <c r="D3446" s="875" t="str">
        <f>B3445&amp;C3446</f>
        <v>B18b</v>
      </c>
      <c r="E3446" s="367">
        <v>1</v>
      </c>
      <c r="F3446" s="669" t="s">
        <v>1156</v>
      </c>
      <c r="G3446" s="369">
        <v>0.94791666666666663</v>
      </c>
      <c r="H3446" s="368">
        <v>0.97916666666666663</v>
      </c>
      <c r="I3446" s="368">
        <v>0.98958333333333337</v>
      </c>
      <c r="J3446" s="368">
        <v>0.99652777777777779</v>
      </c>
      <c r="K3446" s="669">
        <v>10</v>
      </c>
      <c r="L3446" s="669">
        <v>19</v>
      </c>
      <c r="M3446" s="675">
        <v>18.899999999999999</v>
      </c>
      <c r="N3446" s="671">
        <f>IF(M3446-P3446&gt;0,M3446-P3446,0)</f>
        <v>3.5499999999999989</v>
      </c>
      <c r="O3446" s="671">
        <f>O3445-K3446/(PI()*(U3443/2000)^2)</f>
        <v>9.9656321135130845</v>
      </c>
      <c r="P3446" s="672">
        <v>15.35</v>
      </c>
      <c r="Q3446" s="673">
        <f>ABS(O3446-P3446)</f>
        <v>5.3843678864869151</v>
      </c>
      <c r="R3446" s="375" t="s">
        <v>188</v>
      </c>
      <c r="S3446" s="366"/>
      <c r="T3446" s="376"/>
      <c r="U3446" s="376"/>
      <c r="V3446" s="366"/>
      <c r="W3446" s="366"/>
    </row>
    <row r="3447" spans="1:23">
      <c r="A3447" s="1410"/>
      <c r="B3447" s="1413"/>
      <c r="C3447" s="1181" t="s">
        <v>985</v>
      </c>
      <c r="D3447" s="875" t="str">
        <f>B3445&amp;C3447</f>
        <v>B18c</v>
      </c>
      <c r="E3447" s="367">
        <v>2</v>
      </c>
      <c r="F3447" s="669" t="s">
        <v>1160</v>
      </c>
      <c r="G3447" s="369">
        <v>0.95138888888888884</v>
      </c>
      <c r="H3447" s="368">
        <v>0.98263888888888884</v>
      </c>
      <c r="I3447" s="368">
        <v>3.472222222222222E-3</v>
      </c>
      <c r="J3447" s="368">
        <v>1.0416666666666666E-2</v>
      </c>
      <c r="K3447" s="669">
        <v>6</v>
      </c>
      <c r="L3447" s="669">
        <v>19</v>
      </c>
      <c r="M3447" s="675">
        <v>9.4499999999999993</v>
      </c>
      <c r="N3447" s="671">
        <f>IF(M3447-P3447&gt;0,M3447-P3447,0)</f>
        <v>5.1499999999999995</v>
      </c>
      <c r="O3447" s="671">
        <f>O3446-K3447/(PI()*(U3443/2000)^2)</f>
        <v>-1.9709886183790655</v>
      </c>
      <c r="P3447" s="672">
        <v>4.3</v>
      </c>
      <c r="Q3447" s="673">
        <f>ABS(O3447-P3447)</f>
        <v>6.2709886183790653</v>
      </c>
      <c r="R3447" s="375" t="s">
        <v>188</v>
      </c>
      <c r="S3447" s="366"/>
      <c r="T3447" s="376"/>
      <c r="U3447" s="376"/>
      <c r="V3447" s="366"/>
      <c r="W3447" s="366"/>
    </row>
    <row r="3448" spans="1:23">
      <c r="A3448" s="1410"/>
      <c r="B3448" s="1413"/>
      <c r="C3448" s="1181" t="s">
        <v>986</v>
      </c>
      <c r="D3448" s="875" t="str">
        <f>B3445&amp;C3448</f>
        <v>B18d</v>
      </c>
      <c r="E3448" s="367">
        <v>3</v>
      </c>
      <c r="F3448" s="669"/>
      <c r="G3448" s="368"/>
      <c r="H3448" s="368"/>
      <c r="I3448" s="368"/>
      <c r="J3448" s="368"/>
      <c r="K3448" s="370"/>
      <c r="L3448" s="370"/>
      <c r="M3448" s="371"/>
      <c r="N3448" s="671"/>
      <c r="O3448" s="671"/>
      <c r="P3448" s="373"/>
      <c r="Q3448" s="673"/>
      <c r="R3448" s="378"/>
      <c r="S3448" s="366"/>
      <c r="T3448" s="376"/>
      <c r="U3448" s="376"/>
      <c r="V3448" s="366"/>
      <c r="W3448" s="366"/>
    </row>
    <row r="3449" spans="1:23">
      <c r="A3449" s="1410"/>
      <c r="B3449" s="1413"/>
      <c r="C3449" s="1181" t="s">
        <v>987</v>
      </c>
      <c r="D3449" s="875" t="str">
        <f>B3445&amp;C3449</f>
        <v>B18e</v>
      </c>
      <c r="E3449" s="367">
        <v>4</v>
      </c>
      <c r="F3449" s="669"/>
      <c r="G3449" s="368"/>
      <c r="H3449" s="368"/>
      <c r="I3449" s="368"/>
      <c r="J3449" s="368"/>
      <c r="K3449" s="370"/>
      <c r="L3449" s="370"/>
      <c r="M3449" s="371"/>
      <c r="N3449" s="671"/>
      <c r="O3449" s="671"/>
      <c r="P3449" s="373"/>
      <c r="Q3449" s="673"/>
      <c r="R3449" s="378"/>
      <c r="S3449" s="366"/>
      <c r="T3449" s="376"/>
      <c r="U3449" s="376"/>
      <c r="V3449" s="366"/>
      <c r="W3449" s="366"/>
    </row>
    <row r="3450" spans="1:23">
      <c r="A3450" s="1410"/>
      <c r="B3450" s="1413"/>
      <c r="C3450" s="1181" t="s">
        <v>988</v>
      </c>
      <c r="D3450" s="875" t="str">
        <f>B3445&amp;C3450</f>
        <v>B18f</v>
      </c>
      <c r="E3450" s="367">
        <v>5</v>
      </c>
      <c r="F3450" s="669"/>
      <c r="G3450" s="368"/>
      <c r="H3450" s="368"/>
      <c r="I3450" s="368"/>
      <c r="J3450" s="368"/>
      <c r="K3450" s="370"/>
      <c r="L3450" s="370"/>
      <c r="M3450" s="371"/>
      <c r="N3450" s="671"/>
      <c r="O3450" s="671"/>
      <c r="P3450" s="373"/>
      <c r="Q3450" s="673"/>
      <c r="R3450" s="378"/>
      <c r="S3450" s="366" t="s">
        <v>190</v>
      </c>
      <c r="T3450" s="376"/>
      <c r="U3450" s="376"/>
      <c r="V3450" s="366"/>
      <c r="W3450" s="366"/>
    </row>
    <row r="3451" spans="1:23">
      <c r="A3451" s="1410"/>
      <c r="B3451" s="1413"/>
      <c r="C3451" s="1181" t="s">
        <v>989</v>
      </c>
      <c r="D3451" s="875" t="str">
        <f>B3445&amp;C3451</f>
        <v>B18g</v>
      </c>
      <c r="E3451" s="367">
        <v>6</v>
      </c>
      <c r="F3451" s="669"/>
      <c r="G3451" s="368"/>
      <c r="H3451" s="368"/>
      <c r="I3451" s="368"/>
      <c r="J3451" s="368"/>
      <c r="K3451" s="370"/>
      <c r="L3451" s="370"/>
      <c r="M3451" s="371"/>
      <c r="N3451" s="671"/>
      <c r="O3451" s="671"/>
      <c r="P3451" s="373"/>
      <c r="Q3451" s="673"/>
      <c r="R3451" s="378"/>
      <c r="S3451" s="366" t="s">
        <v>190</v>
      </c>
      <c r="T3451" s="366"/>
      <c r="U3451" s="366"/>
      <c r="V3451" s="366"/>
      <c r="W3451" s="366"/>
    </row>
    <row r="3452" spans="1:23">
      <c r="A3452" s="1410"/>
      <c r="B3452" s="1413"/>
      <c r="C3452" s="1181" t="s">
        <v>990</v>
      </c>
      <c r="D3452" s="875" t="str">
        <f>B3445&amp;C3452</f>
        <v>B18h</v>
      </c>
      <c r="E3452" s="367">
        <v>7</v>
      </c>
      <c r="F3452" s="669"/>
      <c r="G3452" s="368"/>
      <c r="H3452" s="368"/>
      <c r="I3452" s="368"/>
      <c r="J3452" s="368"/>
      <c r="K3452" s="370"/>
      <c r="L3452" s="370"/>
      <c r="M3452" s="371"/>
      <c r="N3452" s="671"/>
      <c r="O3452" s="671"/>
      <c r="P3452" s="373"/>
      <c r="Q3452" s="673"/>
      <c r="R3452" s="378"/>
      <c r="S3452" s="366" t="s">
        <v>190</v>
      </c>
      <c r="T3452" s="366"/>
      <c r="U3452" s="366"/>
      <c r="V3452" s="366"/>
      <c r="W3452" s="366"/>
    </row>
    <row r="3453" spans="1:23">
      <c r="A3453" s="1410"/>
      <c r="B3453" s="1413"/>
      <c r="C3453" s="1181" t="s">
        <v>991</v>
      </c>
      <c r="D3453" s="875" t="str">
        <f>B3445&amp;C3453</f>
        <v>B18i</v>
      </c>
      <c r="E3453" s="367">
        <v>8</v>
      </c>
      <c r="F3453" s="669"/>
      <c r="G3453" s="368"/>
      <c r="H3453" s="368"/>
      <c r="I3453" s="368"/>
      <c r="J3453" s="368"/>
      <c r="K3453" s="370"/>
      <c r="L3453" s="370"/>
      <c r="M3453" s="371"/>
      <c r="N3453" s="671"/>
      <c r="O3453" s="671"/>
      <c r="P3453" s="373"/>
      <c r="Q3453" s="673"/>
      <c r="R3453" s="378"/>
      <c r="S3453" s="366"/>
      <c r="T3453" s="366"/>
      <c r="U3453" s="366"/>
      <c r="V3453" s="366"/>
      <c r="W3453" s="366"/>
    </row>
    <row r="3454" spans="1:23">
      <c r="A3454" s="1410"/>
      <c r="B3454" s="1413"/>
      <c r="C3454" s="1181" t="s">
        <v>992</v>
      </c>
      <c r="D3454" s="875" t="str">
        <f>B3445&amp;C3454</f>
        <v>B18k</v>
      </c>
      <c r="E3454" s="367">
        <v>9</v>
      </c>
      <c r="F3454" s="370"/>
      <c r="G3454" s="368"/>
      <c r="H3454" s="368"/>
      <c r="I3454" s="368"/>
      <c r="J3454" s="368"/>
      <c r="K3454" s="370"/>
      <c r="L3454" s="370"/>
      <c r="M3454" s="371"/>
      <c r="N3454" s="372"/>
      <c r="O3454" s="372"/>
      <c r="P3454" s="373"/>
      <c r="Q3454" s="374"/>
      <c r="R3454" s="378"/>
      <c r="S3454" s="379"/>
      <c r="T3454" s="366"/>
      <c r="U3454" s="366"/>
      <c r="V3454" s="366"/>
      <c r="W3454" s="366"/>
    </row>
    <row r="3455" spans="1:23">
      <c r="A3455" s="1410"/>
      <c r="B3455" s="1413"/>
      <c r="C3455" s="1181" t="s">
        <v>993</v>
      </c>
      <c r="D3455" s="875" t="str">
        <f>B3445&amp;C3455</f>
        <v>B18l</v>
      </c>
      <c r="E3455" s="367">
        <v>10</v>
      </c>
      <c r="F3455" s="370"/>
      <c r="G3455" s="368"/>
      <c r="H3455" s="368"/>
      <c r="I3455" s="368"/>
      <c r="J3455" s="368"/>
      <c r="K3455" s="370"/>
      <c r="L3455" s="370"/>
      <c r="M3455" s="370"/>
      <c r="N3455" s="372"/>
      <c r="O3455" s="372"/>
      <c r="P3455" s="373"/>
      <c r="Q3455" s="374"/>
      <c r="R3455" s="378"/>
      <c r="S3455" s="379"/>
      <c r="T3455" s="366"/>
      <c r="U3455" s="366"/>
      <c r="V3455" s="366"/>
      <c r="W3455" s="366"/>
    </row>
    <row r="3456" spans="1:23">
      <c r="A3456" s="1410"/>
      <c r="B3456" s="1413"/>
      <c r="C3456" s="1181" t="s">
        <v>994</v>
      </c>
      <c r="D3456" s="875" t="str">
        <f>B3445&amp;C3456</f>
        <v>B18m</v>
      </c>
      <c r="E3456" s="367">
        <v>11</v>
      </c>
      <c r="F3456" s="370"/>
      <c r="G3456" s="368"/>
      <c r="H3456" s="368"/>
      <c r="I3456" s="368"/>
      <c r="J3456" s="368"/>
      <c r="K3456" s="370"/>
      <c r="L3456" s="370"/>
      <c r="M3456" s="370"/>
      <c r="N3456" s="372"/>
      <c r="O3456" s="372"/>
      <c r="P3456" s="380"/>
      <c r="Q3456" s="374"/>
      <c r="R3456" s="381"/>
      <c r="S3456" s="379"/>
      <c r="T3456" s="366"/>
      <c r="U3456" s="366"/>
      <c r="V3456" s="366"/>
      <c r="W3456" s="366"/>
    </row>
    <row r="3457" spans="1:23">
      <c r="A3457" s="1410"/>
      <c r="B3457" s="1413"/>
      <c r="C3457" s="1181" t="s">
        <v>995</v>
      </c>
      <c r="D3457" s="875" t="str">
        <f>B3445&amp;C3457</f>
        <v>B18n</v>
      </c>
      <c r="E3457" s="367">
        <v>12</v>
      </c>
      <c r="F3457" s="370"/>
      <c r="G3457" s="368"/>
      <c r="H3457" s="368"/>
      <c r="I3457" s="368"/>
      <c r="J3457" s="368"/>
      <c r="K3457" s="370"/>
      <c r="L3457" s="370"/>
      <c r="M3457" s="370"/>
      <c r="N3457" s="372"/>
      <c r="O3457" s="372"/>
      <c r="P3457" s="380"/>
      <c r="Q3457" s="374"/>
      <c r="R3457" s="381"/>
      <c r="S3457" s="361"/>
      <c r="T3457" s="361"/>
      <c r="U3457" s="361"/>
      <c r="V3457" s="366"/>
      <c r="W3457" s="366"/>
    </row>
    <row r="3458" spans="1:23">
      <c r="A3458" s="1410"/>
      <c r="B3458" s="1413"/>
      <c r="C3458" s="1181" t="s">
        <v>471</v>
      </c>
      <c r="D3458" s="875" t="str">
        <f>B3445&amp;C3458</f>
        <v>B18x</v>
      </c>
      <c r="E3458" s="367">
        <v>13</v>
      </c>
      <c r="F3458" s="370"/>
      <c r="G3458" s="368"/>
      <c r="H3458" s="368"/>
      <c r="I3458" s="368"/>
      <c r="J3458" s="368"/>
      <c r="K3458" s="370"/>
      <c r="L3458" s="370"/>
      <c r="M3458" s="370"/>
      <c r="N3458" s="382"/>
      <c r="O3458" s="372"/>
      <c r="P3458" s="380"/>
      <c r="Q3458" s="381"/>
      <c r="R3458" s="381"/>
      <c r="S3458" s="361"/>
      <c r="T3458" s="361"/>
      <c r="U3458" s="361"/>
      <c r="V3458" s="366"/>
      <c r="W3458" s="366"/>
    </row>
    <row r="3459" spans="1:23">
      <c r="A3459" s="1410"/>
      <c r="B3459" s="1413"/>
      <c r="C3459" s="1181" t="s">
        <v>732</v>
      </c>
      <c r="D3459" s="875" t="str">
        <f>B3445&amp;C3459</f>
        <v>B18y</v>
      </c>
      <c r="E3459" s="367">
        <v>14</v>
      </c>
      <c r="F3459" s="370"/>
      <c r="G3459" s="368"/>
      <c r="H3459" s="368"/>
      <c r="I3459" s="368"/>
      <c r="J3459" s="368"/>
      <c r="K3459" s="370"/>
      <c r="L3459" s="370"/>
      <c r="M3459" s="370"/>
      <c r="N3459" s="382"/>
      <c r="O3459" s="372"/>
      <c r="P3459" s="380"/>
      <c r="Q3459" s="381"/>
      <c r="R3459" s="381"/>
      <c r="S3459" s="361"/>
      <c r="T3459" s="361"/>
      <c r="U3459" s="362"/>
      <c r="V3459" s="366"/>
      <c r="W3459" s="366"/>
    </row>
    <row r="3460" spans="1:23">
      <c r="A3460" s="1411"/>
      <c r="B3460" s="1414"/>
      <c r="C3460" s="1182" t="s">
        <v>996</v>
      </c>
      <c r="D3460" s="876" t="str">
        <f>B3445&amp;C3460</f>
        <v>B18z</v>
      </c>
      <c r="E3460" s="847">
        <v>15</v>
      </c>
      <c r="F3460" s="370"/>
      <c r="G3460" s="368"/>
      <c r="H3460" s="368"/>
      <c r="I3460" s="368"/>
      <c r="J3460" s="368"/>
      <c r="K3460" s="370"/>
      <c r="L3460" s="370"/>
      <c r="M3460" s="370"/>
      <c r="N3460" s="850"/>
      <c r="O3460" s="851"/>
      <c r="P3460" s="380"/>
      <c r="Q3460" s="852"/>
      <c r="R3460" s="383"/>
      <c r="S3460" s="361"/>
      <c r="T3460" s="1176"/>
      <c r="U3460" s="1175"/>
      <c r="V3460" s="366"/>
      <c r="W3460" s="366"/>
    </row>
    <row r="3461" spans="1:23">
      <c r="A3461" s="1400" t="s">
        <v>939</v>
      </c>
      <c r="B3461" s="1400"/>
      <c r="C3461" s="1177"/>
      <c r="D3461" s="871"/>
      <c r="E3461" s="1400" t="s">
        <v>177</v>
      </c>
      <c r="F3461" s="1400" t="s">
        <v>18</v>
      </c>
      <c r="G3461" s="1389" t="s">
        <v>19</v>
      </c>
      <c r="H3461" s="1390"/>
      <c r="I3461" s="1389" t="s">
        <v>22</v>
      </c>
      <c r="J3461" s="1390"/>
      <c r="K3461" s="1393" t="s">
        <v>26</v>
      </c>
      <c r="L3461" s="1390"/>
      <c r="M3461" s="1389" t="s">
        <v>392</v>
      </c>
      <c r="N3461" s="1390"/>
      <c r="O3461" s="1389" t="s">
        <v>28</v>
      </c>
      <c r="P3461" s="1393"/>
      <c r="Q3461" s="1390"/>
      <c r="R3461" s="1400" t="s">
        <v>36</v>
      </c>
      <c r="S3461" s="361"/>
      <c r="T3461" s="361">
        <f>MAX(J3465:J3479)-MIN(I3465:I3479)</f>
        <v>3.125E-2</v>
      </c>
      <c r="U3461" s="361"/>
      <c r="V3461" s="853" t="str">
        <f t="shared" ref="V3461" si="416">B3465</f>
        <v>A111</v>
      </c>
      <c r="W3461" s="361">
        <f t="shared" ref="W3461" si="417">COUNTIF(K3466:K3480,"&gt;0")</f>
        <v>3</v>
      </c>
    </row>
    <row r="3462" spans="1:23">
      <c r="A3462" s="1401"/>
      <c r="B3462" s="1401"/>
      <c r="C3462" s="1178"/>
      <c r="D3462" s="872"/>
      <c r="E3462" s="1401"/>
      <c r="F3462" s="1401"/>
      <c r="G3462" s="1391"/>
      <c r="H3462" s="1392"/>
      <c r="I3462" s="1391"/>
      <c r="J3462" s="1392"/>
      <c r="K3462" s="1394"/>
      <c r="L3462" s="1392"/>
      <c r="M3462" s="1391"/>
      <c r="N3462" s="1392"/>
      <c r="O3462" s="1391"/>
      <c r="P3462" s="1394"/>
      <c r="Q3462" s="1392"/>
      <c r="R3462" s="1401"/>
      <c r="S3462" s="361"/>
      <c r="T3462" s="361"/>
      <c r="U3462" s="361"/>
      <c r="V3462" s="361"/>
      <c r="W3462" s="361"/>
    </row>
    <row r="3463" spans="1:23">
      <c r="A3463" s="1401"/>
      <c r="B3463" s="1401"/>
      <c r="C3463" s="1178"/>
      <c r="D3463" s="872"/>
      <c r="E3463" s="1401"/>
      <c r="F3463" s="1401"/>
      <c r="G3463" s="1400" t="s">
        <v>20</v>
      </c>
      <c r="H3463" s="1400" t="s">
        <v>21</v>
      </c>
      <c r="I3463" s="1400" t="s">
        <v>361</v>
      </c>
      <c r="J3463" s="1400" t="s">
        <v>353</v>
      </c>
      <c r="K3463" s="1400" t="s">
        <v>23</v>
      </c>
      <c r="L3463" s="1400" t="s">
        <v>24</v>
      </c>
      <c r="M3463" s="1400" t="s">
        <v>27</v>
      </c>
      <c r="N3463" s="1400" t="s">
        <v>178</v>
      </c>
      <c r="O3463" s="1400" t="s">
        <v>1</v>
      </c>
      <c r="P3463" s="1400" t="s">
        <v>29</v>
      </c>
      <c r="Q3463" s="1400" t="s">
        <v>33</v>
      </c>
      <c r="R3463" s="1401"/>
      <c r="S3463" s="361"/>
      <c r="T3463" s="361" t="s">
        <v>39</v>
      </c>
      <c r="U3463" s="362">
        <f>VLOOKUP(B3465,'[7]Thong tin'!$A:$M,13,0)</f>
        <v>1200</v>
      </c>
      <c r="V3463" s="361"/>
      <c r="W3463" s="361"/>
    </row>
    <row r="3464" spans="1:23">
      <c r="A3464" s="1402"/>
      <c r="B3464" s="1402"/>
      <c r="C3464" s="1179"/>
      <c r="D3464" s="873"/>
      <c r="E3464" s="1402"/>
      <c r="F3464" s="1402"/>
      <c r="G3464" s="1402"/>
      <c r="H3464" s="1402"/>
      <c r="I3464" s="1402"/>
      <c r="J3464" s="1402"/>
      <c r="K3464" s="1402"/>
      <c r="L3464" s="1402"/>
      <c r="M3464" s="1402"/>
      <c r="N3464" s="1402"/>
      <c r="O3464" s="1402"/>
      <c r="P3464" s="1402"/>
      <c r="Q3464" s="1402"/>
      <c r="R3464" s="1402"/>
      <c r="S3464" s="361"/>
      <c r="T3464" s="1399" t="s">
        <v>393</v>
      </c>
      <c r="U3464" s="1397">
        <f>VLOOKUP(B3465,[7]DT.NK!$B:$AZ,45,0)</f>
        <v>32.75</v>
      </c>
      <c r="V3464" s="361"/>
      <c r="W3464" s="361"/>
    </row>
    <row r="3465" spans="1:23">
      <c r="A3465" s="1409">
        <f>A3445+1</f>
        <v>174</v>
      </c>
      <c r="B3465" s="1412" t="s">
        <v>590</v>
      </c>
      <c r="C3465" s="1180" t="s">
        <v>983</v>
      </c>
      <c r="D3465" s="874" t="str">
        <f>B3465&amp;C3465</f>
        <v>A111a</v>
      </c>
      <c r="E3465" s="363"/>
      <c r="F3465" s="364"/>
      <c r="G3465" s="364"/>
      <c r="H3465" s="364"/>
      <c r="I3465" s="364"/>
      <c r="J3465" s="364"/>
      <c r="K3465" s="364"/>
      <c r="L3465" s="364"/>
      <c r="M3465" s="674"/>
      <c r="N3465" s="670"/>
      <c r="O3465" s="670">
        <f>U3464</f>
        <v>32.75</v>
      </c>
      <c r="P3465" s="670">
        <f>O3465</f>
        <v>32.75</v>
      </c>
      <c r="Q3465" s="670">
        <v>0</v>
      </c>
      <c r="R3465" s="365"/>
      <c r="S3465" s="366"/>
      <c r="T3465" s="1399"/>
      <c r="U3465" s="1398"/>
      <c r="V3465" s="361"/>
      <c r="W3465" s="361"/>
    </row>
    <row r="3466" spans="1:23">
      <c r="A3466" s="1410"/>
      <c r="B3466" s="1413"/>
      <c r="C3466" s="1181" t="s">
        <v>984</v>
      </c>
      <c r="D3466" s="875" t="str">
        <f>B3465&amp;C3466</f>
        <v>A111b</v>
      </c>
      <c r="E3466" s="367">
        <v>1</v>
      </c>
      <c r="F3466" s="669" t="s">
        <v>1160</v>
      </c>
      <c r="G3466" s="369">
        <v>0.10416666666666667</v>
      </c>
      <c r="H3466" s="368">
        <v>0.12847222222222224</v>
      </c>
      <c r="I3466" s="368">
        <v>0.13541666666666666</v>
      </c>
      <c r="J3466" s="368">
        <v>0.1423611111111111</v>
      </c>
      <c r="K3466" s="669">
        <v>10</v>
      </c>
      <c r="L3466" s="669">
        <v>19</v>
      </c>
      <c r="M3466" s="675">
        <v>28.35</v>
      </c>
      <c r="N3466" s="671">
        <f>IF(M3466-P3466&gt;0,M3466-P3466,0)</f>
        <v>4.5</v>
      </c>
      <c r="O3466" s="671">
        <f>O3465-K3466/(PI()*(U3463/2000)^2)</f>
        <v>23.908058717116926</v>
      </c>
      <c r="P3466" s="672">
        <v>23.85</v>
      </c>
      <c r="Q3466" s="673">
        <f>ABS(O3466-P3466)</f>
        <v>5.8058717116924896E-2</v>
      </c>
      <c r="R3466" s="375" t="s">
        <v>188</v>
      </c>
      <c r="S3466" s="366"/>
      <c r="T3466" s="376"/>
      <c r="U3466" s="376"/>
      <c r="V3466" s="366"/>
      <c r="W3466" s="366"/>
    </row>
    <row r="3467" spans="1:23">
      <c r="A3467" s="1410"/>
      <c r="B3467" s="1413"/>
      <c r="C3467" s="1181" t="s">
        <v>985</v>
      </c>
      <c r="D3467" s="875" t="str">
        <f>B3465&amp;C3467</f>
        <v>A111c</v>
      </c>
      <c r="E3467" s="367">
        <v>2</v>
      </c>
      <c r="F3467" s="669" t="s">
        <v>1159</v>
      </c>
      <c r="G3467" s="369">
        <v>0.11458333333333333</v>
      </c>
      <c r="H3467" s="368">
        <v>0.13194444444444445</v>
      </c>
      <c r="I3467" s="368">
        <v>0.14930555555555555</v>
      </c>
      <c r="J3467" s="368">
        <v>0.15625</v>
      </c>
      <c r="K3467" s="669">
        <v>10</v>
      </c>
      <c r="L3467" s="669">
        <v>19</v>
      </c>
      <c r="M3467" s="675">
        <v>18.899999999999999</v>
      </c>
      <c r="N3467" s="671">
        <f>IF(M3467-P3467&gt;0,M3467-P3467,0)</f>
        <v>3.7999999999999989</v>
      </c>
      <c r="O3467" s="671">
        <f>O3466-K3467/(PI()*(U3463/2000)^2)</f>
        <v>15.066117434233853</v>
      </c>
      <c r="P3467" s="672">
        <v>15.1</v>
      </c>
      <c r="Q3467" s="673">
        <f>ABS(O3467-P3467)</f>
        <v>3.388256576614701E-2</v>
      </c>
      <c r="R3467" s="375" t="s">
        <v>188</v>
      </c>
      <c r="S3467" s="366"/>
      <c r="T3467" s="376"/>
      <c r="U3467" s="376"/>
      <c r="V3467" s="366"/>
      <c r="W3467" s="366"/>
    </row>
    <row r="3468" spans="1:23">
      <c r="A3468" s="1410"/>
      <c r="B3468" s="1413"/>
      <c r="C3468" s="1181" t="s">
        <v>986</v>
      </c>
      <c r="D3468" s="875" t="str">
        <f>B3465&amp;C3468</f>
        <v>A111d</v>
      </c>
      <c r="E3468" s="367">
        <v>3</v>
      </c>
      <c r="F3468" s="669" t="s">
        <v>1156</v>
      </c>
      <c r="G3468" s="368">
        <v>0.1277777777777778</v>
      </c>
      <c r="H3468" s="368">
        <v>0.15625</v>
      </c>
      <c r="I3468" s="368">
        <v>0.15972222222222224</v>
      </c>
      <c r="J3468" s="368">
        <v>0.16666666666666666</v>
      </c>
      <c r="K3468" s="370">
        <v>10</v>
      </c>
      <c r="L3468" s="370">
        <v>19</v>
      </c>
      <c r="M3468" s="371">
        <v>9.4499999999999993</v>
      </c>
      <c r="N3468" s="671"/>
      <c r="O3468" s="671"/>
      <c r="P3468" s="373">
        <v>6.5</v>
      </c>
      <c r="Q3468" s="673"/>
      <c r="R3468" s="958" t="s">
        <v>188</v>
      </c>
      <c r="S3468" s="366"/>
      <c r="T3468" s="376"/>
      <c r="U3468" s="376"/>
      <c r="V3468" s="366"/>
      <c r="W3468" s="366"/>
    </row>
    <row r="3469" spans="1:23">
      <c r="A3469" s="1410"/>
      <c r="B3469" s="1413"/>
      <c r="C3469" s="1181" t="s">
        <v>987</v>
      </c>
      <c r="D3469" s="875" t="str">
        <f>B3465&amp;C3469</f>
        <v>A111e</v>
      </c>
      <c r="E3469" s="367">
        <v>4</v>
      </c>
      <c r="F3469" s="669"/>
      <c r="G3469" s="368"/>
      <c r="H3469" s="368"/>
      <c r="I3469" s="368"/>
      <c r="J3469" s="368"/>
      <c r="K3469" s="370"/>
      <c r="L3469" s="370"/>
      <c r="M3469" s="371"/>
      <c r="N3469" s="671"/>
      <c r="O3469" s="671"/>
      <c r="P3469" s="373"/>
      <c r="Q3469" s="673"/>
      <c r="R3469" s="958"/>
      <c r="S3469" s="366"/>
      <c r="T3469" s="376"/>
      <c r="U3469" s="376"/>
      <c r="V3469" s="366"/>
      <c r="W3469" s="366"/>
    </row>
    <row r="3470" spans="1:23">
      <c r="A3470" s="1410"/>
      <c r="B3470" s="1413"/>
      <c r="C3470" s="1181" t="s">
        <v>988</v>
      </c>
      <c r="D3470" s="875" t="str">
        <f>B3465&amp;C3470</f>
        <v>A111f</v>
      </c>
      <c r="E3470" s="367">
        <v>5</v>
      </c>
      <c r="F3470" s="669"/>
      <c r="G3470" s="368"/>
      <c r="H3470" s="368"/>
      <c r="I3470" s="368"/>
      <c r="J3470" s="368"/>
      <c r="K3470" s="370"/>
      <c r="L3470" s="370"/>
      <c r="M3470" s="371"/>
      <c r="N3470" s="671"/>
      <c r="O3470" s="671"/>
      <c r="P3470" s="373"/>
      <c r="Q3470" s="673"/>
      <c r="R3470" s="958"/>
      <c r="S3470" s="366" t="s">
        <v>190</v>
      </c>
      <c r="T3470" s="376"/>
      <c r="U3470" s="376"/>
      <c r="V3470" s="366"/>
      <c r="W3470" s="366"/>
    </row>
    <row r="3471" spans="1:23">
      <c r="A3471" s="1410"/>
      <c r="B3471" s="1413"/>
      <c r="C3471" s="1181" t="s">
        <v>989</v>
      </c>
      <c r="D3471" s="875" t="str">
        <f>B3465&amp;C3471</f>
        <v>A111g</v>
      </c>
      <c r="E3471" s="367">
        <v>6</v>
      </c>
      <c r="F3471" s="669"/>
      <c r="G3471" s="368"/>
      <c r="H3471" s="368"/>
      <c r="I3471" s="368"/>
      <c r="J3471" s="368"/>
      <c r="K3471" s="370"/>
      <c r="L3471" s="370"/>
      <c r="M3471" s="371"/>
      <c r="N3471" s="671"/>
      <c r="O3471" s="671"/>
      <c r="P3471" s="373"/>
      <c r="Q3471" s="673"/>
      <c r="R3471" s="958"/>
      <c r="S3471" s="366" t="s">
        <v>190</v>
      </c>
      <c r="T3471" s="366"/>
      <c r="U3471" s="366"/>
      <c r="V3471" s="366"/>
      <c r="W3471" s="366"/>
    </row>
    <row r="3472" spans="1:23">
      <c r="A3472" s="1410"/>
      <c r="B3472" s="1413"/>
      <c r="C3472" s="1181" t="s">
        <v>990</v>
      </c>
      <c r="D3472" s="875" t="str">
        <f>B3465&amp;C3472</f>
        <v>A111h</v>
      </c>
      <c r="E3472" s="367">
        <v>7</v>
      </c>
      <c r="F3472" s="669"/>
      <c r="G3472" s="368"/>
      <c r="H3472" s="368"/>
      <c r="I3472" s="368"/>
      <c r="J3472" s="368"/>
      <c r="K3472" s="370"/>
      <c r="L3472" s="370"/>
      <c r="M3472" s="371"/>
      <c r="N3472" s="671"/>
      <c r="O3472" s="671"/>
      <c r="P3472" s="373"/>
      <c r="Q3472" s="673"/>
      <c r="R3472" s="958"/>
      <c r="S3472" s="366" t="s">
        <v>190</v>
      </c>
      <c r="T3472" s="366"/>
      <c r="U3472" s="366"/>
      <c r="V3472" s="366"/>
      <c r="W3472" s="366"/>
    </row>
    <row r="3473" spans="1:23">
      <c r="A3473" s="1410"/>
      <c r="B3473" s="1413"/>
      <c r="C3473" s="1181" t="s">
        <v>991</v>
      </c>
      <c r="D3473" s="875" t="str">
        <f>B3465&amp;C3473</f>
        <v>A111i</v>
      </c>
      <c r="E3473" s="367">
        <v>8</v>
      </c>
      <c r="F3473" s="669"/>
      <c r="G3473" s="368"/>
      <c r="H3473" s="368"/>
      <c r="I3473" s="368"/>
      <c r="J3473" s="368"/>
      <c r="K3473" s="370"/>
      <c r="L3473" s="370"/>
      <c r="M3473" s="371"/>
      <c r="N3473" s="671"/>
      <c r="O3473" s="671"/>
      <c r="P3473" s="373"/>
      <c r="Q3473" s="673"/>
      <c r="R3473" s="958"/>
      <c r="S3473" s="366"/>
      <c r="T3473" s="366"/>
      <c r="U3473" s="366"/>
      <c r="V3473" s="366"/>
      <c r="W3473" s="366"/>
    </row>
    <row r="3474" spans="1:23">
      <c r="A3474" s="1410"/>
      <c r="B3474" s="1413"/>
      <c r="C3474" s="1181" t="s">
        <v>992</v>
      </c>
      <c r="D3474" s="875" t="str">
        <f>B3465&amp;C3474</f>
        <v>A111k</v>
      </c>
      <c r="E3474" s="367">
        <v>9</v>
      </c>
      <c r="F3474" s="370"/>
      <c r="G3474" s="368"/>
      <c r="H3474" s="368"/>
      <c r="I3474" s="368"/>
      <c r="J3474" s="368"/>
      <c r="K3474" s="370"/>
      <c r="L3474" s="370"/>
      <c r="M3474" s="371"/>
      <c r="N3474" s="372"/>
      <c r="O3474" s="372"/>
      <c r="P3474" s="373"/>
      <c r="Q3474" s="374"/>
      <c r="R3474" s="378"/>
      <c r="S3474" s="379"/>
      <c r="T3474" s="366"/>
      <c r="U3474" s="366"/>
      <c r="V3474" s="366"/>
      <c r="W3474" s="366"/>
    </row>
    <row r="3475" spans="1:23">
      <c r="A3475" s="1410"/>
      <c r="B3475" s="1413"/>
      <c r="C3475" s="1181" t="s">
        <v>993</v>
      </c>
      <c r="D3475" s="875" t="str">
        <f>B3465&amp;C3475</f>
        <v>A111l</v>
      </c>
      <c r="E3475" s="367">
        <v>10</v>
      </c>
      <c r="F3475" s="370"/>
      <c r="G3475" s="368"/>
      <c r="H3475" s="368"/>
      <c r="I3475" s="368"/>
      <c r="J3475" s="368"/>
      <c r="K3475" s="370"/>
      <c r="L3475" s="370"/>
      <c r="M3475" s="370"/>
      <c r="N3475" s="372"/>
      <c r="O3475" s="372"/>
      <c r="P3475" s="373"/>
      <c r="Q3475" s="374"/>
      <c r="R3475" s="378"/>
      <c r="S3475" s="379"/>
      <c r="T3475" s="366"/>
      <c r="U3475" s="366"/>
      <c r="V3475" s="366"/>
      <c r="W3475" s="366"/>
    </row>
    <row r="3476" spans="1:23">
      <c r="A3476" s="1410"/>
      <c r="B3476" s="1413"/>
      <c r="C3476" s="1181" t="s">
        <v>994</v>
      </c>
      <c r="D3476" s="875" t="str">
        <f>B3465&amp;C3476</f>
        <v>A111m</v>
      </c>
      <c r="E3476" s="367">
        <v>11</v>
      </c>
      <c r="F3476" s="370"/>
      <c r="G3476" s="368"/>
      <c r="H3476" s="368"/>
      <c r="I3476" s="368"/>
      <c r="J3476" s="368"/>
      <c r="K3476" s="370"/>
      <c r="L3476" s="370"/>
      <c r="M3476" s="370"/>
      <c r="N3476" s="372"/>
      <c r="O3476" s="372"/>
      <c r="P3476" s="380"/>
      <c r="Q3476" s="374"/>
      <c r="R3476" s="381"/>
      <c r="S3476" s="379"/>
      <c r="T3476" s="366"/>
      <c r="U3476" s="366"/>
      <c r="V3476" s="366"/>
      <c r="W3476" s="366"/>
    </row>
    <row r="3477" spans="1:23">
      <c r="A3477" s="1410"/>
      <c r="B3477" s="1413"/>
      <c r="C3477" s="1181" t="s">
        <v>995</v>
      </c>
      <c r="D3477" s="875" t="str">
        <f>B3465&amp;C3477</f>
        <v>A111n</v>
      </c>
      <c r="E3477" s="367">
        <v>12</v>
      </c>
      <c r="F3477" s="370"/>
      <c r="G3477" s="368"/>
      <c r="H3477" s="368"/>
      <c r="I3477" s="368"/>
      <c r="J3477" s="368"/>
      <c r="K3477" s="370"/>
      <c r="L3477" s="370"/>
      <c r="M3477" s="370"/>
      <c r="N3477" s="372"/>
      <c r="O3477" s="372"/>
      <c r="P3477" s="380"/>
      <c r="Q3477" s="374"/>
      <c r="R3477" s="381"/>
      <c r="S3477" s="361"/>
      <c r="T3477" s="361"/>
      <c r="U3477" s="361"/>
      <c r="V3477" s="366"/>
      <c r="W3477" s="366"/>
    </row>
    <row r="3478" spans="1:23">
      <c r="A3478" s="1410"/>
      <c r="B3478" s="1413"/>
      <c r="C3478" s="1181" t="s">
        <v>471</v>
      </c>
      <c r="D3478" s="875" t="str">
        <f>B3465&amp;C3478</f>
        <v>A111x</v>
      </c>
      <c r="E3478" s="367">
        <v>13</v>
      </c>
      <c r="F3478" s="370"/>
      <c r="G3478" s="368"/>
      <c r="H3478" s="368"/>
      <c r="I3478" s="368"/>
      <c r="J3478" s="368"/>
      <c r="K3478" s="370"/>
      <c r="L3478" s="370"/>
      <c r="M3478" s="370"/>
      <c r="N3478" s="382"/>
      <c r="O3478" s="372"/>
      <c r="P3478" s="380"/>
      <c r="Q3478" s="381"/>
      <c r="R3478" s="381"/>
      <c r="S3478" s="361"/>
      <c r="T3478" s="361"/>
      <c r="U3478" s="361"/>
      <c r="V3478" s="366"/>
      <c r="W3478" s="366"/>
    </row>
    <row r="3479" spans="1:23">
      <c r="A3479" s="1410"/>
      <c r="B3479" s="1413"/>
      <c r="C3479" s="1181" t="s">
        <v>732</v>
      </c>
      <c r="D3479" s="875" t="str">
        <f>B3465&amp;C3479</f>
        <v>A111y</v>
      </c>
      <c r="E3479" s="367">
        <v>14</v>
      </c>
      <c r="F3479" s="370"/>
      <c r="G3479" s="368"/>
      <c r="H3479" s="368"/>
      <c r="I3479" s="368"/>
      <c r="J3479" s="368"/>
      <c r="K3479" s="370"/>
      <c r="L3479" s="370"/>
      <c r="M3479" s="370"/>
      <c r="N3479" s="382"/>
      <c r="O3479" s="372"/>
      <c r="P3479" s="380"/>
      <c r="Q3479" s="381"/>
      <c r="R3479" s="381"/>
      <c r="S3479" s="361"/>
      <c r="T3479" s="361"/>
      <c r="U3479" s="362"/>
      <c r="V3479" s="366"/>
      <c r="W3479" s="366"/>
    </row>
    <row r="3480" spans="1:23">
      <c r="A3480" s="1411"/>
      <c r="B3480" s="1414"/>
      <c r="C3480" s="1182" t="s">
        <v>996</v>
      </c>
      <c r="D3480" s="876" t="str">
        <f>B3465&amp;C3480</f>
        <v>A111z</v>
      </c>
      <c r="E3480" s="847">
        <v>15</v>
      </c>
      <c r="F3480" s="370"/>
      <c r="G3480" s="368"/>
      <c r="H3480" s="368"/>
      <c r="I3480" s="368"/>
      <c r="J3480" s="368"/>
      <c r="K3480" s="370"/>
      <c r="L3480" s="370"/>
      <c r="M3480" s="370"/>
      <c r="N3480" s="850"/>
      <c r="O3480" s="851"/>
      <c r="P3480" s="380"/>
      <c r="Q3480" s="852"/>
      <c r="R3480" s="383"/>
      <c r="S3480" s="361"/>
      <c r="T3480" s="1176"/>
      <c r="U3480" s="1175"/>
      <c r="V3480" s="366"/>
      <c r="W3480" s="366"/>
    </row>
    <row r="3481" spans="1:23">
      <c r="A3481" s="1400" t="s">
        <v>939</v>
      </c>
      <c r="B3481" s="1400"/>
      <c r="C3481" s="1177"/>
      <c r="D3481" s="871"/>
      <c r="E3481" s="1400" t="s">
        <v>177</v>
      </c>
      <c r="F3481" s="1400" t="s">
        <v>18</v>
      </c>
      <c r="G3481" s="1389" t="s">
        <v>19</v>
      </c>
      <c r="H3481" s="1390"/>
      <c r="I3481" s="1389" t="s">
        <v>22</v>
      </c>
      <c r="J3481" s="1390"/>
      <c r="K3481" s="1393" t="s">
        <v>26</v>
      </c>
      <c r="L3481" s="1390"/>
      <c r="M3481" s="1389" t="s">
        <v>392</v>
      </c>
      <c r="N3481" s="1390"/>
      <c r="O3481" s="1389" t="s">
        <v>28</v>
      </c>
      <c r="P3481" s="1393"/>
      <c r="Q3481" s="1390"/>
      <c r="R3481" s="1400" t="s">
        <v>36</v>
      </c>
      <c r="S3481" s="361"/>
      <c r="T3481" s="361">
        <f>MAX(J3485:J3499)-MIN(I3485:I3499)</f>
        <v>3.125E-2</v>
      </c>
      <c r="U3481" s="361"/>
      <c r="V3481" s="853" t="str">
        <f t="shared" ref="V3481" si="418">B3485</f>
        <v>A112</v>
      </c>
      <c r="W3481" s="361">
        <f t="shared" ref="W3481" si="419">COUNTIF(K3486:K3500,"&gt;0")</f>
        <v>3</v>
      </c>
    </row>
    <row r="3482" spans="1:23">
      <c r="A3482" s="1401"/>
      <c r="B3482" s="1401"/>
      <c r="C3482" s="1178"/>
      <c r="D3482" s="872"/>
      <c r="E3482" s="1401"/>
      <c r="F3482" s="1401"/>
      <c r="G3482" s="1391"/>
      <c r="H3482" s="1392"/>
      <c r="I3482" s="1391"/>
      <c r="J3482" s="1392"/>
      <c r="K3482" s="1394"/>
      <c r="L3482" s="1392"/>
      <c r="M3482" s="1391"/>
      <c r="N3482" s="1392"/>
      <c r="O3482" s="1391"/>
      <c r="P3482" s="1394"/>
      <c r="Q3482" s="1392"/>
      <c r="R3482" s="1401"/>
      <c r="S3482" s="361"/>
      <c r="T3482" s="361"/>
      <c r="U3482" s="361"/>
      <c r="V3482" s="361"/>
      <c r="W3482" s="361"/>
    </row>
    <row r="3483" spans="1:23">
      <c r="A3483" s="1401"/>
      <c r="B3483" s="1401"/>
      <c r="C3483" s="1178"/>
      <c r="D3483" s="872"/>
      <c r="E3483" s="1401"/>
      <c r="F3483" s="1401"/>
      <c r="G3483" s="1400" t="s">
        <v>20</v>
      </c>
      <c r="H3483" s="1400" t="s">
        <v>21</v>
      </c>
      <c r="I3483" s="1400" t="s">
        <v>361</v>
      </c>
      <c r="J3483" s="1400" t="s">
        <v>353</v>
      </c>
      <c r="K3483" s="1400" t="s">
        <v>23</v>
      </c>
      <c r="L3483" s="1400" t="s">
        <v>24</v>
      </c>
      <c r="M3483" s="1400" t="s">
        <v>27</v>
      </c>
      <c r="N3483" s="1400" t="s">
        <v>178</v>
      </c>
      <c r="O3483" s="1400" t="s">
        <v>1</v>
      </c>
      <c r="P3483" s="1400" t="s">
        <v>29</v>
      </c>
      <c r="Q3483" s="1400" t="s">
        <v>33</v>
      </c>
      <c r="R3483" s="1401"/>
      <c r="S3483" s="361"/>
      <c r="T3483" s="361" t="s">
        <v>39</v>
      </c>
      <c r="U3483" s="362">
        <f>VLOOKUP(B3485,'[7]Thong tin'!$A:$M,13,0)</f>
        <v>1200</v>
      </c>
      <c r="V3483" s="361"/>
      <c r="W3483" s="361"/>
    </row>
    <row r="3484" spans="1:23">
      <c r="A3484" s="1402"/>
      <c r="B3484" s="1402"/>
      <c r="C3484" s="1179"/>
      <c r="D3484" s="873"/>
      <c r="E3484" s="1402"/>
      <c r="F3484" s="1402"/>
      <c r="G3484" s="1402"/>
      <c r="H3484" s="1402"/>
      <c r="I3484" s="1402"/>
      <c r="J3484" s="1402"/>
      <c r="K3484" s="1402"/>
      <c r="L3484" s="1402"/>
      <c r="M3484" s="1402"/>
      <c r="N3484" s="1402"/>
      <c r="O3484" s="1402"/>
      <c r="P3484" s="1402"/>
      <c r="Q3484" s="1402"/>
      <c r="R3484" s="1402"/>
      <c r="S3484" s="361"/>
      <c r="T3484" s="1399" t="s">
        <v>393</v>
      </c>
      <c r="U3484" s="1397">
        <f>VLOOKUP(B3485,[7]DT.NK!$B:$AZ,45,0)</f>
        <v>32.700000000000003</v>
      </c>
      <c r="V3484" s="361"/>
      <c r="W3484" s="361"/>
    </row>
    <row r="3485" spans="1:23">
      <c r="A3485" s="1409">
        <f>A3465+1</f>
        <v>175</v>
      </c>
      <c r="B3485" s="1412" t="s">
        <v>595</v>
      </c>
      <c r="C3485" s="1180" t="s">
        <v>983</v>
      </c>
      <c r="D3485" s="874" t="str">
        <f>B3485&amp;C3485</f>
        <v>A112a</v>
      </c>
      <c r="E3485" s="363"/>
      <c r="F3485" s="364"/>
      <c r="G3485" s="364"/>
      <c r="H3485" s="364"/>
      <c r="I3485" s="364"/>
      <c r="J3485" s="364"/>
      <c r="K3485" s="364"/>
      <c r="L3485" s="364"/>
      <c r="M3485" s="674"/>
      <c r="N3485" s="670"/>
      <c r="O3485" s="670">
        <f>U3484</f>
        <v>32.700000000000003</v>
      </c>
      <c r="P3485" s="670">
        <f>O3485</f>
        <v>32.700000000000003</v>
      </c>
      <c r="Q3485" s="670">
        <v>0</v>
      </c>
      <c r="R3485" s="365"/>
      <c r="S3485" s="366"/>
      <c r="T3485" s="1399"/>
      <c r="U3485" s="1398"/>
      <c r="V3485" s="361"/>
      <c r="W3485" s="361"/>
    </row>
    <row r="3486" spans="1:23">
      <c r="A3486" s="1410"/>
      <c r="B3486" s="1413"/>
      <c r="C3486" s="1181" t="s">
        <v>984</v>
      </c>
      <c r="D3486" s="875" t="str">
        <f>B3485&amp;C3486</f>
        <v>A112b</v>
      </c>
      <c r="E3486" s="367">
        <v>1</v>
      </c>
      <c r="F3486" s="669" t="s">
        <v>1160</v>
      </c>
      <c r="G3486" s="369">
        <v>0.40625</v>
      </c>
      <c r="H3486" s="368">
        <v>0.4548611111111111</v>
      </c>
      <c r="I3486" s="368">
        <v>0.45833333333333331</v>
      </c>
      <c r="J3486" s="368">
        <v>0.46527777777777773</v>
      </c>
      <c r="K3486" s="669">
        <v>13</v>
      </c>
      <c r="L3486" s="669">
        <v>20</v>
      </c>
      <c r="M3486" s="675">
        <v>28.85</v>
      </c>
      <c r="N3486" s="671">
        <f>IF(M3486-P3486&gt;0,M3486-P3486,0)</f>
        <v>3.3500000000000014</v>
      </c>
      <c r="O3486" s="671">
        <f>O3485-K3486/(PI()*(U3483/2000)^2)</f>
        <v>21.205476332252005</v>
      </c>
      <c r="P3486" s="672">
        <v>25.5</v>
      </c>
      <c r="Q3486" s="673">
        <f>ABS(O3486-P3486)</f>
        <v>4.2945236677479954</v>
      </c>
      <c r="R3486" s="375" t="s">
        <v>188</v>
      </c>
      <c r="S3486" s="366"/>
      <c r="T3486" s="376"/>
      <c r="U3486" s="376"/>
      <c r="V3486" s="366"/>
      <c r="W3486" s="366"/>
    </row>
    <row r="3487" spans="1:23">
      <c r="A3487" s="1410"/>
      <c r="B3487" s="1413"/>
      <c r="C3487" s="1181" t="s">
        <v>985</v>
      </c>
      <c r="D3487" s="875" t="str">
        <f>B3485&amp;C3487</f>
        <v>A112c</v>
      </c>
      <c r="E3487" s="367">
        <v>2</v>
      </c>
      <c r="F3487" s="669" t="s">
        <v>982</v>
      </c>
      <c r="G3487" s="369">
        <v>0.41805555555555557</v>
      </c>
      <c r="H3487" s="368">
        <v>0.46875</v>
      </c>
      <c r="I3487" s="368">
        <v>0.4861111111111111</v>
      </c>
      <c r="J3487" s="368">
        <v>0.48958333333333331</v>
      </c>
      <c r="K3487" s="669">
        <v>11</v>
      </c>
      <c r="L3487" s="669">
        <v>19</v>
      </c>
      <c r="M3487" s="675">
        <v>19.399999999999999</v>
      </c>
      <c r="N3487" s="671">
        <f>IF(M3487-P3487&gt;0,M3487-P3487,0)</f>
        <v>3.3499999999999979</v>
      </c>
      <c r="O3487" s="671">
        <f>O3486-K3487/(PI()*(U3483/2000)^2)</f>
        <v>11.479340921080622</v>
      </c>
      <c r="P3487" s="672">
        <v>16.05</v>
      </c>
      <c r="Q3487" s="673">
        <f>ABS(O3487-P3487)</f>
        <v>4.5706590789193786</v>
      </c>
      <c r="R3487" s="375" t="s">
        <v>188</v>
      </c>
      <c r="S3487" s="366"/>
      <c r="T3487" s="376"/>
      <c r="U3487" s="376"/>
      <c r="V3487" s="366"/>
      <c r="W3487" s="366"/>
    </row>
    <row r="3488" spans="1:23">
      <c r="A3488" s="1410"/>
      <c r="B3488" s="1413"/>
      <c r="C3488" s="1181" t="s">
        <v>986</v>
      </c>
      <c r="D3488" s="875" t="str">
        <f>B3485&amp;C3488</f>
        <v>A112d</v>
      </c>
      <c r="E3488" s="367">
        <v>3</v>
      </c>
      <c r="F3488" s="669" t="s">
        <v>1159</v>
      </c>
      <c r="G3488" s="368">
        <v>0.4375</v>
      </c>
      <c r="H3488" s="368">
        <v>0.48958333333333331</v>
      </c>
      <c r="I3488" s="368">
        <v>0.5</v>
      </c>
      <c r="J3488" s="368">
        <v>0.46180555555555558</v>
      </c>
      <c r="K3488" s="370">
        <v>11</v>
      </c>
      <c r="L3488" s="370">
        <v>19</v>
      </c>
      <c r="M3488" s="371"/>
      <c r="N3488" s="671"/>
      <c r="O3488" s="671"/>
      <c r="P3488" s="373">
        <v>6.5</v>
      </c>
      <c r="Q3488" s="673"/>
      <c r="R3488" s="958" t="s">
        <v>188</v>
      </c>
      <c r="S3488" s="366"/>
      <c r="T3488" s="376"/>
      <c r="U3488" s="376"/>
      <c r="V3488" s="366"/>
      <c r="W3488" s="366"/>
    </row>
    <row r="3489" spans="1:23">
      <c r="A3489" s="1410"/>
      <c r="B3489" s="1413"/>
      <c r="C3489" s="1181" t="s">
        <v>987</v>
      </c>
      <c r="D3489" s="875" t="str">
        <f>B3485&amp;C3489</f>
        <v>A112e</v>
      </c>
      <c r="E3489" s="367">
        <v>4</v>
      </c>
      <c r="F3489" s="669"/>
      <c r="G3489" s="368"/>
      <c r="H3489" s="368"/>
      <c r="I3489" s="368"/>
      <c r="J3489" s="368"/>
      <c r="K3489" s="370"/>
      <c r="L3489" s="370"/>
      <c r="M3489" s="371"/>
      <c r="N3489" s="671"/>
      <c r="O3489" s="671"/>
      <c r="P3489" s="373"/>
      <c r="Q3489" s="673"/>
      <c r="R3489" s="958"/>
      <c r="S3489" s="366"/>
      <c r="T3489" s="376"/>
      <c r="U3489" s="376"/>
      <c r="V3489" s="366"/>
      <c r="W3489" s="366"/>
    </row>
    <row r="3490" spans="1:23">
      <c r="A3490" s="1410"/>
      <c r="B3490" s="1413"/>
      <c r="C3490" s="1181" t="s">
        <v>988</v>
      </c>
      <c r="D3490" s="875" t="str">
        <f>B3485&amp;C3490</f>
        <v>A112f</v>
      </c>
      <c r="E3490" s="367">
        <v>5</v>
      </c>
      <c r="F3490" s="669"/>
      <c r="G3490" s="368"/>
      <c r="H3490" s="368"/>
      <c r="I3490" s="368"/>
      <c r="J3490" s="368"/>
      <c r="K3490" s="370"/>
      <c r="L3490" s="370"/>
      <c r="M3490" s="371"/>
      <c r="N3490" s="671"/>
      <c r="O3490" s="671"/>
      <c r="P3490" s="373"/>
      <c r="Q3490" s="673"/>
      <c r="R3490" s="958"/>
      <c r="S3490" s="366" t="s">
        <v>190</v>
      </c>
      <c r="T3490" s="376"/>
      <c r="U3490" s="376"/>
      <c r="V3490" s="366"/>
      <c r="W3490" s="366"/>
    </row>
    <row r="3491" spans="1:23">
      <c r="A3491" s="1410"/>
      <c r="B3491" s="1413"/>
      <c r="C3491" s="1181" t="s">
        <v>989</v>
      </c>
      <c r="D3491" s="875" t="str">
        <f>B3485&amp;C3491</f>
        <v>A112g</v>
      </c>
      <c r="E3491" s="367">
        <v>6</v>
      </c>
      <c r="F3491" s="669"/>
      <c r="G3491" s="368"/>
      <c r="H3491" s="368"/>
      <c r="I3491" s="368"/>
      <c r="J3491" s="368"/>
      <c r="K3491" s="370"/>
      <c r="L3491" s="370"/>
      <c r="M3491" s="371"/>
      <c r="N3491" s="671"/>
      <c r="O3491" s="671"/>
      <c r="P3491" s="373"/>
      <c r="Q3491" s="673"/>
      <c r="R3491" s="958"/>
      <c r="S3491" s="366" t="s">
        <v>190</v>
      </c>
      <c r="T3491" s="366"/>
      <c r="U3491" s="366"/>
      <c r="V3491" s="366"/>
      <c r="W3491" s="366"/>
    </row>
    <row r="3492" spans="1:23">
      <c r="A3492" s="1410"/>
      <c r="B3492" s="1413"/>
      <c r="C3492" s="1181" t="s">
        <v>990</v>
      </c>
      <c r="D3492" s="875" t="str">
        <f>B3485&amp;C3492</f>
        <v>A112h</v>
      </c>
      <c r="E3492" s="367">
        <v>7</v>
      </c>
      <c r="F3492" s="669"/>
      <c r="G3492" s="368"/>
      <c r="H3492" s="368"/>
      <c r="I3492" s="368"/>
      <c r="J3492" s="368"/>
      <c r="K3492" s="370"/>
      <c r="L3492" s="370"/>
      <c r="M3492" s="371"/>
      <c r="N3492" s="671"/>
      <c r="O3492" s="671"/>
      <c r="P3492" s="373"/>
      <c r="Q3492" s="673"/>
      <c r="R3492" s="958"/>
      <c r="S3492" s="366" t="s">
        <v>190</v>
      </c>
      <c r="T3492" s="366"/>
      <c r="U3492" s="366"/>
      <c r="V3492" s="366"/>
      <c r="W3492" s="366"/>
    </row>
    <row r="3493" spans="1:23">
      <c r="A3493" s="1410"/>
      <c r="B3493" s="1413"/>
      <c r="C3493" s="1181" t="s">
        <v>991</v>
      </c>
      <c r="D3493" s="875" t="str">
        <f>B3485&amp;C3493</f>
        <v>A112i</v>
      </c>
      <c r="E3493" s="367">
        <v>8</v>
      </c>
      <c r="F3493" s="669"/>
      <c r="G3493" s="368"/>
      <c r="H3493" s="368"/>
      <c r="I3493" s="368"/>
      <c r="J3493" s="368"/>
      <c r="K3493" s="370"/>
      <c r="L3493" s="370"/>
      <c r="M3493" s="371"/>
      <c r="N3493" s="671"/>
      <c r="O3493" s="671"/>
      <c r="P3493" s="373"/>
      <c r="Q3493" s="673"/>
      <c r="R3493" s="958"/>
      <c r="S3493" s="366"/>
      <c r="T3493" s="366"/>
      <c r="U3493" s="366"/>
      <c r="V3493" s="366"/>
      <c r="W3493" s="366"/>
    </row>
    <row r="3494" spans="1:23">
      <c r="A3494" s="1410"/>
      <c r="B3494" s="1413"/>
      <c r="C3494" s="1181" t="s">
        <v>992</v>
      </c>
      <c r="D3494" s="875" t="str">
        <f>B3485&amp;C3494</f>
        <v>A112k</v>
      </c>
      <c r="E3494" s="367">
        <v>9</v>
      </c>
      <c r="F3494" s="370"/>
      <c r="G3494" s="368"/>
      <c r="H3494" s="368"/>
      <c r="I3494" s="368"/>
      <c r="J3494" s="368"/>
      <c r="K3494" s="370"/>
      <c r="L3494" s="370"/>
      <c r="M3494" s="371"/>
      <c r="N3494" s="372"/>
      <c r="O3494" s="372"/>
      <c r="P3494" s="373"/>
      <c r="Q3494" s="374"/>
      <c r="R3494" s="378"/>
      <c r="S3494" s="379"/>
      <c r="T3494" s="366"/>
      <c r="U3494" s="366"/>
      <c r="V3494" s="366"/>
      <c r="W3494" s="366"/>
    </row>
    <row r="3495" spans="1:23">
      <c r="A3495" s="1410"/>
      <c r="B3495" s="1413"/>
      <c r="C3495" s="1181" t="s">
        <v>993</v>
      </c>
      <c r="D3495" s="875" t="str">
        <f>B3485&amp;C3495</f>
        <v>A112l</v>
      </c>
      <c r="E3495" s="367">
        <v>10</v>
      </c>
      <c r="F3495" s="370"/>
      <c r="G3495" s="368"/>
      <c r="H3495" s="368"/>
      <c r="I3495" s="368"/>
      <c r="J3495" s="368"/>
      <c r="K3495" s="370"/>
      <c r="L3495" s="370"/>
      <c r="M3495" s="370"/>
      <c r="N3495" s="372"/>
      <c r="O3495" s="372"/>
      <c r="P3495" s="373"/>
      <c r="Q3495" s="374"/>
      <c r="R3495" s="378"/>
      <c r="S3495" s="379"/>
      <c r="T3495" s="366"/>
      <c r="U3495" s="366"/>
      <c r="V3495" s="366"/>
      <c r="W3495" s="366"/>
    </row>
    <row r="3496" spans="1:23">
      <c r="A3496" s="1410"/>
      <c r="B3496" s="1413"/>
      <c r="C3496" s="1181" t="s">
        <v>994</v>
      </c>
      <c r="D3496" s="875" t="str">
        <f>B3485&amp;C3496</f>
        <v>A112m</v>
      </c>
      <c r="E3496" s="367">
        <v>11</v>
      </c>
      <c r="F3496" s="370"/>
      <c r="G3496" s="368"/>
      <c r="H3496" s="368"/>
      <c r="I3496" s="368"/>
      <c r="J3496" s="368"/>
      <c r="K3496" s="370"/>
      <c r="L3496" s="370"/>
      <c r="M3496" s="370"/>
      <c r="N3496" s="372"/>
      <c r="O3496" s="372"/>
      <c r="P3496" s="380"/>
      <c r="Q3496" s="374"/>
      <c r="R3496" s="381"/>
      <c r="S3496" s="379"/>
      <c r="T3496" s="366"/>
      <c r="U3496" s="366"/>
      <c r="V3496" s="366"/>
      <c r="W3496" s="366"/>
    </row>
    <row r="3497" spans="1:23">
      <c r="A3497" s="1410"/>
      <c r="B3497" s="1413"/>
      <c r="C3497" s="1181" t="s">
        <v>995</v>
      </c>
      <c r="D3497" s="875" t="str">
        <f>B3485&amp;C3497</f>
        <v>A112n</v>
      </c>
      <c r="E3497" s="367">
        <v>12</v>
      </c>
      <c r="F3497" s="370"/>
      <c r="G3497" s="368"/>
      <c r="H3497" s="368"/>
      <c r="I3497" s="368"/>
      <c r="J3497" s="368"/>
      <c r="K3497" s="370"/>
      <c r="L3497" s="370"/>
      <c r="M3497" s="370"/>
      <c r="N3497" s="372"/>
      <c r="O3497" s="372"/>
      <c r="P3497" s="380"/>
      <c r="Q3497" s="374"/>
      <c r="R3497" s="381"/>
      <c r="S3497" s="361"/>
      <c r="T3497" s="361"/>
      <c r="U3497" s="361"/>
      <c r="V3497" s="366"/>
      <c r="W3497" s="366"/>
    </row>
    <row r="3498" spans="1:23">
      <c r="A3498" s="1410"/>
      <c r="B3498" s="1413"/>
      <c r="C3498" s="1181" t="s">
        <v>471</v>
      </c>
      <c r="D3498" s="875" t="str">
        <f>B3485&amp;C3498</f>
        <v>A112x</v>
      </c>
      <c r="E3498" s="367">
        <v>13</v>
      </c>
      <c r="F3498" s="370"/>
      <c r="G3498" s="368"/>
      <c r="H3498" s="368"/>
      <c r="I3498" s="368"/>
      <c r="J3498" s="368"/>
      <c r="K3498" s="370"/>
      <c r="L3498" s="370"/>
      <c r="M3498" s="370"/>
      <c r="N3498" s="382"/>
      <c r="O3498" s="372"/>
      <c r="P3498" s="380"/>
      <c r="Q3498" s="381"/>
      <c r="R3498" s="381"/>
      <c r="S3498" s="361"/>
      <c r="T3498" s="361"/>
      <c r="U3498" s="361"/>
      <c r="V3498" s="366"/>
      <c r="W3498" s="366"/>
    </row>
    <row r="3499" spans="1:23">
      <c r="A3499" s="1410"/>
      <c r="B3499" s="1413"/>
      <c r="C3499" s="1181" t="s">
        <v>732</v>
      </c>
      <c r="D3499" s="875" t="str">
        <f>B3485&amp;C3499</f>
        <v>A112y</v>
      </c>
      <c r="E3499" s="367">
        <v>14</v>
      </c>
      <c r="F3499" s="370"/>
      <c r="G3499" s="368"/>
      <c r="H3499" s="368"/>
      <c r="I3499" s="368"/>
      <c r="J3499" s="368"/>
      <c r="K3499" s="370"/>
      <c r="L3499" s="370"/>
      <c r="M3499" s="370"/>
      <c r="N3499" s="382"/>
      <c r="O3499" s="372"/>
      <c r="P3499" s="380"/>
      <c r="Q3499" s="381"/>
      <c r="R3499" s="381"/>
      <c r="S3499" s="361"/>
      <c r="T3499" s="361"/>
      <c r="U3499" s="362"/>
      <c r="V3499" s="366"/>
      <c r="W3499" s="366"/>
    </row>
    <row r="3500" spans="1:23">
      <c r="A3500" s="1411"/>
      <c r="B3500" s="1414"/>
      <c r="C3500" s="1182" t="s">
        <v>996</v>
      </c>
      <c r="D3500" s="876" t="str">
        <f>B3485&amp;C3500</f>
        <v>A112z</v>
      </c>
      <c r="E3500" s="847">
        <v>15</v>
      </c>
      <c r="F3500" s="370"/>
      <c r="G3500" s="368"/>
      <c r="H3500" s="368"/>
      <c r="I3500" s="368"/>
      <c r="J3500" s="368"/>
      <c r="K3500" s="370"/>
      <c r="L3500" s="370"/>
      <c r="M3500" s="370"/>
      <c r="N3500" s="850"/>
      <c r="O3500" s="851"/>
      <c r="P3500" s="380"/>
      <c r="Q3500" s="852"/>
      <c r="R3500" s="383"/>
      <c r="S3500" s="361"/>
      <c r="T3500" s="1176"/>
      <c r="U3500" s="1175"/>
      <c r="V3500" s="366"/>
      <c r="W3500" s="366"/>
    </row>
    <row r="3501" spans="1:23">
      <c r="A3501" s="1400" t="s">
        <v>939</v>
      </c>
      <c r="B3501" s="1400"/>
      <c r="C3501" s="1177"/>
      <c r="D3501" s="871"/>
      <c r="E3501" s="1400" t="s">
        <v>177</v>
      </c>
      <c r="F3501" s="1400" t="s">
        <v>18</v>
      </c>
      <c r="G3501" s="1389" t="s">
        <v>19</v>
      </c>
      <c r="H3501" s="1390"/>
      <c r="I3501" s="1389" t="s">
        <v>22</v>
      </c>
      <c r="J3501" s="1390"/>
      <c r="K3501" s="1393" t="s">
        <v>26</v>
      </c>
      <c r="L3501" s="1390"/>
      <c r="M3501" s="1389" t="s">
        <v>392</v>
      </c>
      <c r="N3501" s="1390"/>
      <c r="O3501" s="1389" t="s">
        <v>28</v>
      </c>
      <c r="P3501" s="1393"/>
      <c r="Q3501" s="1390"/>
      <c r="R3501" s="1400" t="s">
        <v>36</v>
      </c>
      <c r="S3501" s="361"/>
      <c r="T3501" s="361">
        <f>MAX(J3505:J3519)-MIN(I3505:I3519)</f>
        <v>4.3749999999999983E-2</v>
      </c>
      <c r="U3501" s="361"/>
      <c r="V3501" s="853" t="str">
        <f t="shared" ref="V3501" si="420">B3505</f>
        <v>B6</v>
      </c>
      <c r="W3501" s="361">
        <f t="shared" ref="W3501" si="421">COUNTIF(K3506:K3520,"&gt;0")</f>
        <v>3</v>
      </c>
    </row>
    <row r="3502" spans="1:23">
      <c r="A3502" s="1401"/>
      <c r="B3502" s="1401"/>
      <c r="C3502" s="1178"/>
      <c r="D3502" s="872"/>
      <c r="E3502" s="1401"/>
      <c r="F3502" s="1401"/>
      <c r="G3502" s="1391"/>
      <c r="H3502" s="1392"/>
      <c r="I3502" s="1391"/>
      <c r="J3502" s="1392"/>
      <c r="K3502" s="1394"/>
      <c r="L3502" s="1392"/>
      <c r="M3502" s="1391"/>
      <c r="N3502" s="1392"/>
      <c r="O3502" s="1391"/>
      <c r="P3502" s="1394"/>
      <c r="Q3502" s="1392"/>
      <c r="R3502" s="1401"/>
      <c r="S3502" s="361"/>
      <c r="T3502" s="361"/>
      <c r="U3502" s="361"/>
      <c r="V3502" s="361"/>
      <c r="W3502" s="361"/>
    </row>
    <row r="3503" spans="1:23">
      <c r="A3503" s="1401"/>
      <c r="B3503" s="1401"/>
      <c r="C3503" s="1178"/>
      <c r="D3503" s="872"/>
      <c r="E3503" s="1401"/>
      <c r="F3503" s="1401"/>
      <c r="G3503" s="1400" t="s">
        <v>20</v>
      </c>
      <c r="H3503" s="1400" t="s">
        <v>21</v>
      </c>
      <c r="I3503" s="1400" t="s">
        <v>361</v>
      </c>
      <c r="J3503" s="1400" t="s">
        <v>353</v>
      </c>
      <c r="K3503" s="1400" t="s">
        <v>23</v>
      </c>
      <c r="L3503" s="1400" t="s">
        <v>24</v>
      </c>
      <c r="M3503" s="1400" t="s">
        <v>27</v>
      </c>
      <c r="N3503" s="1400" t="s">
        <v>178</v>
      </c>
      <c r="O3503" s="1400" t="s">
        <v>1</v>
      </c>
      <c r="P3503" s="1400" t="s">
        <v>29</v>
      </c>
      <c r="Q3503" s="1400" t="s">
        <v>33</v>
      </c>
      <c r="R3503" s="1401"/>
      <c r="S3503" s="361"/>
      <c r="T3503" s="361" t="s">
        <v>39</v>
      </c>
      <c r="U3503" s="362">
        <f>VLOOKUP(B3505,'[7]Thong tin'!$A:$M,13,0)</f>
        <v>800</v>
      </c>
      <c r="V3503" s="361"/>
      <c r="W3503" s="361"/>
    </row>
    <row r="3504" spans="1:23">
      <c r="A3504" s="1402"/>
      <c r="B3504" s="1402"/>
      <c r="C3504" s="1179"/>
      <c r="D3504" s="873"/>
      <c r="E3504" s="1402"/>
      <c r="F3504" s="1402"/>
      <c r="G3504" s="1402"/>
      <c r="H3504" s="1402"/>
      <c r="I3504" s="1402"/>
      <c r="J3504" s="1402"/>
      <c r="K3504" s="1402"/>
      <c r="L3504" s="1402"/>
      <c r="M3504" s="1402"/>
      <c r="N3504" s="1402"/>
      <c r="O3504" s="1402"/>
      <c r="P3504" s="1402"/>
      <c r="Q3504" s="1402"/>
      <c r="R3504" s="1402"/>
      <c r="S3504" s="361"/>
      <c r="T3504" s="1399" t="s">
        <v>393</v>
      </c>
      <c r="U3504" s="1397">
        <f>VLOOKUP(B3505,[7]DT.NK!$B:$AZ,45,0)</f>
        <v>30.98</v>
      </c>
      <c r="V3504" s="361"/>
      <c r="W3504" s="361"/>
    </row>
    <row r="3505" spans="1:23">
      <c r="A3505" s="1409">
        <f>A3485+1</f>
        <v>176</v>
      </c>
      <c r="B3505" s="1412" t="s">
        <v>659</v>
      </c>
      <c r="C3505" s="1180" t="s">
        <v>983</v>
      </c>
      <c r="D3505" s="874" t="str">
        <f>B3505&amp;C3505</f>
        <v>B6a</v>
      </c>
      <c r="E3505" s="363"/>
      <c r="F3505" s="364"/>
      <c r="G3505" s="364"/>
      <c r="H3505" s="364"/>
      <c r="I3505" s="364"/>
      <c r="J3505" s="364"/>
      <c r="K3505" s="364"/>
      <c r="L3505" s="364"/>
      <c r="M3505" s="674"/>
      <c r="N3505" s="670"/>
      <c r="O3505" s="670">
        <f>U3504</f>
        <v>30.98</v>
      </c>
      <c r="P3505" s="670">
        <f>O3505</f>
        <v>30.98</v>
      </c>
      <c r="Q3505" s="670">
        <v>0</v>
      </c>
      <c r="R3505" s="365"/>
      <c r="S3505" s="366"/>
      <c r="T3505" s="1399"/>
      <c r="U3505" s="1398"/>
      <c r="V3505" s="361"/>
      <c r="W3505" s="361"/>
    </row>
    <row r="3506" spans="1:23">
      <c r="A3506" s="1410"/>
      <c r="B3506" s="1413"/>
      <c r="C3506" s="1181" t="s">
        <v>984</v>
      </c>
      <c r="D3506" s="875" t="str">
        <f>B3505&amp;C3506</f>
        <v>B6b</v>
      </c>
      <c r="E3506" s="367">
        <v>1</v>
      </c>
      <c r="F3506" s="669" t="s">
        <v>1160</v>
      </c>
      <c r="G3506" s="369">
        <v>3.6111111111111115E-2</v>
      </c>
      <c r="H3506" s="368">
        <v>6.5972222222222224E-2</v>
      </c>
      <c r="I3506" s="368">
        <v>7.2916666666666671E-2</v>
      </c>
      <c r="J3506" s="368">
        <v>7.6388888888888895E-2</v>
      </c>
      <c r="K3506" s="669">
        <v>7</v>
      </c>
      <c r="L3506" s="669">
        <v>19</v>
      </c>
      <c r="M3506" s="675">
        <v>25.2</v>
      </c>
      <c r="N3506" s="671">
        <f>IF(M3506-P3506&gt;0,M3506-P3506,0)</f>
        <v>4.3999999999999986</v>
      </c>
      <c r="O3506" s="671">
        <f>O3505-K3506/(PI()*(U3503/2000)^2)</f>
        <v>17.05394247945916</v>
      </c>
      <c r="P3506" s="672">
        <v>20.8</v>
      </c>
      <c r="Q3506" s="673">
        <f>ABS(O3506-P3506)</f>
        <v>3.7460575205408411</v>
      </c>
      <c r="R3506" s="375" t="s">
        <v>188</v>
      </c>
      <c r="S3506" s="366"/>
      <c r="T3506" s="376"/>
      <c r="U3506" s="376"/>
      <c r="V3506" s="366"/>
      <c r="W3506" s="366"/>
    </row>
    <row r="3507" spans="1:23">
      <c r="A3507" s="1410"/>
      <c r="B3507" s="1413"/>
      <c r="C3507" s="1181" t="s">
        <v>985</v>
      </c>
      <c r="D3507" s="875" t="str">
        <f>B3505&amp;C3507</f>
        <v>B6c</v>
      </c>
      <c r="E3507" s="367">
        <v>2</v>
      </c>
      <c r="F3507" s="669" t="s">
        <v>1019</v>
      </c>
      <c r="G3507" s="369">
        <v>3.8194444444444441E-2</v>
      </c>
      <c r="H3507" s="368">
        <v>6.9444444444444434E-2</v>
      </c>
      <c r="I3507" s="368">
        <v>8.3333333333333329E-2</v>
      </c>
      <c r="J3507" s="368">
        <v>8.6805555555555566E-2</v>
      </c>
      <c r="K3507" s="669">
        <v>7</v>
      </c>
      <c r="L3507" s="669">
        <v>19</v>
      </c>
      <c r="M3507" s="675">
        <v>15.75</v>
      </c>
      <c r="N3507" s="671">
        <f>IF(M3507-P3507&gt;0,M3507-P3507,0)</f>
        <v>6.25</v>
      </c>
      <c r="O3507" s="671">
        <f>O3506-K3507/(PI()*(U3503/2000)^2)</f>
        <v>3.1278849589183189</v>
      </c>
      <c r="P3507" s="672">
        <v>9.5</v>
      </c>
      <c r="Q3507" s="673">
        <f>ABS(O3507-P3507)</f>
        <v>6.3721150410816811</v>
      </c>
      <c r="R3507" s="375"/>
      <c r="S3507" s="366"/>
      <c r="T3507" s="376"/>
      <c r="U3507" s="376"/>
      <c r="V3507" s="366"/>
      <c r="W3507" s="366"/>
    </row>
    <row r="3508" spans="1:23">
      <c r="A3508" s="1410"/>
      <c r="B3508" s="1413"/>
      <c r="C3508" s="1181" t="s">
        <v>986</v>
      </c>
      <c r="D3508" s="875" t="str">
        <f>B3505&amp;C3508</f>
        <v>B6d</v>
      </c>
      <c r="E3508" s="367">
        <v>3</v>
      </c>
      <c r="F3508" s="669" t="s">
        <v>1159</v>
      </c>
      <c r="G3508" s="368">
        <v>9.4444444444444442E-2</v>
      </c>
      <c r="H3508" s="368">
        <v>0.1111111111111111</v>
      </c>
      <c r="I3508" s="368">
        <v>0.11458333333333333</v>
      </c>
      <c r="J3508" s="368">
        <v>0.11666666666666665</v>
      </c>
      <c r="K3508" s="370">
        <v>2</v>
      </c>
      <c r="L3508" s="370">
        <v>19</v>
      </c>
      <c r="M3508" s="371">
        <v>9.4499999999999993</v>
      </c>
      <c r="N3508" s="671"/>
      <c r="O3508" s="671"/>
      <c r="P3508" s="373">
        <v>6</v>
      </c>
      <c r="Q3508" s="673"/>
      <c r="R3508" s="958"/>
      <c r="S3508" s="366"/>
      <c r="T3508" s="376"/>
      <c r="U3508" s="376"/>
      <c r="V3508" s="366"/>
      <c r="W3508" s="366"/>
    </row>
    <row r="3509" spans="1:23">
      <c r="A3509" s="1410"/>
      <c r="B3509" s="1413"/>
      <c r="C3509" s="1181" t="s">
        <v>987</v>
      </c>
      <c r="D3509" s="875" t="str">
        <f>B3505&amp;C3509</f>
        <v>B6e</v>
      </c>
      <c r="E3509" s="367">
        <v>4</v>
      </c>
      <c r="F3509" s="669"/>
      <c r="G3509" s="368"/>
      <c r="H3509" s="368"/>
      <c r="I3509" s="368"/>
      <c r="J3509" s="368"/>
      <c r="K3509" s="370"/>
      <c r="L3509" s="370"/>
      <c r="M3509" s="371"/>
      <c r="N3509" s="671"/>
      <c r="O3509" s="671"/>
      <c r="P3509" s="373"/>
      <c r="Q3509" s="673"/>
      <c r="R3509" s="958"/>
      <c r="S3509" s="366"/>
      <c r="T3509" s="376"/>
      <c r="U3509" s="376"/>
      <c r="V3509" s="366"/>
      <c r="W3509" s="366"/>
    </row>
    <row r="3510" spans="1:23">
      <c r="A3510" s="1410"/>
      <c r="B3510" s="1413"/>
      <c r="C3510" s="1181" t="s">
        <v>988</v>
      </c>
      <c r="D3510" s="875" t="str">
        <f>B3505&amp;C3510</f>
        <v>B6f</v>
      </c>
      <c r="E3510" s="367">
        <v>5</v>
      </c>
      <c r="F3510" s="669"/>
      <c r="G3510" s="368"/>
      <c r="H3510" s="368"/>
      <c r="I3510" s="368"/>
      <c r="J3510" s="368"/>
      <c r="K3510" s="370"/>
      <c r="L3510" s="370"/>
      <c r="M3510" s="371"/>
      <c r="N3510" s="671"/>
      <c r="O3510" s="671"/>
      <c r="P3510" s="373"/>
      <c r="Q3510" s="673"/>
      <c r="R3510" s="958"/>
      <c r="S3510" s="366" t="s">
        <v>190</v>
      </c>
      <c r="T3510" s="376"/>
      <c r="U3510" s="376"/>
      <c r="V3510" s="366"/>
      <c r="W3510" s="366"/>
    </row>
    <row r="3511" spans="1:23">
      <c r="A3511" s="1410"/>
      <c r="B3511" s="1413"/>
      <c r="C3511" s="1181" t="s">
        <v>989</v>
      </c>
      <c r="D3511" s="875" t="str">
        <f>B3505&amp;C3511</f>
        <v>B6g</v>
      </c>
      <c r="E3511" s="367">
        <v>6</v>
      </c>
      <c r="F3511" s="669"/>
      <c r="G3511" s="368"/>
      <c r="H3511" s="368"/>
      <c r="I3511" s="368"/>
      <c r="J3511" s="368"/>
      <c r="K3511" s="370"/>
      <c r="L3511" s="370"/>
      <c r="M3511" s="371"/>
      <c r="N3511" s="671"/>
      <c r="O3511" s="671"/>
      <c r="P3511" s="373"/>
      <c r="Q3511" s="673"/>
      <c r="R3511" s="958"/>
      <c r="S3511" s="366" t="s">
        <v>190</v>
      </c>
      <c r="T3511" s="366"/>
      <c r="U3511" s="366"/>
      <c r="V3511" s="366"/>
      <c r="W3511" s="366"/>
    </row>
    <row r="3512" spans="1:23">
      <c r="A3512" s="1410"/>
      <c r="B3512" s="1413"/>
      <c r="C3512" s="1181" t="s">
        <v>990</v>
      </c>
      <c r="D3512" s="875" t="str">
        <f>B3505&amp;C3512</f>
        <v>B6h</v>
      </c>
      <c r="E3512" s="367">
        <v>7</v>
      </c>
      <c r="F3512" s="669"/>
      <c r="G3512" s="368"/>
      <c r="H3512" s="368"/>
      <c r="I3512" s="368"/>
      <c r="J3512" s="368"/>
      <c r="K3512" s="370"/>
      <c r="L3512" s="370"/>
      <c r="M3512" s="371"/>
      <c r="N3512" s="671"/>
      <c r="O3512" s="671"/>
      <c r="P3512" s="373"/>
      <c r="Q3512" s="673"/>
      <c r="R3512" s="958"/>
      <c r="S3512" s="366" t="s">
        <v>190</v>
      </c>
      <c r="T3512" s="366"/>
      <c r="U3512" s="366"/>
      <c r="V3512" s="366"/>
      <c r="W3512" s="366"/>
    </row>
    <row r="3513" spans="1:23">
      <c r="A3513" s="1410"/>
      <c r="B3513" s="1413"/>
      <c r="C3513" s="1181" t="s">
        <v>991</v>
      </c>
      <c r="D3513" s="875" t="str">
        <f>B3505&amp;C3513</f>
        <v>B6i</v>
      </c>
      <c r="E3513" s="367">
        <v>8</v>
      </c>
      <c r="F3513" s="669"/>
      <c r="G3513" s="368"/>
      <c r="H3513" s="368"/>
      <c r="I3513" s="368"/>
      <c r="J3513" s="368"/>
      <c r="K3513" s="370"/>
      <c r="L3513" s="370"/>
      <c r="M3513" s="371"/>
      <c r="N3513" s="671"/>
      <c r="O3513" s="671"/>
      <c r="P3513" s="373"/>
      <c r="Q3513" s="673"/>
      <c r="R3513" s="958"/>
      <c r="S3513" s="366"/>
      <c r="T3513" s="366"/>
      <c r="U3513" s="366"/>
      <c r="V3513" s="366"/>
      <c r="W3513" s="366"/>
    </row>
    <row r="3514" spans="1:23">
      <c r="A3514" s="1410"/>
      <c r="B3514" s="1413"/>
      <c r="C3514" s="1181" t="s">
        <v>992</v>
      </c>
      <c r="D3514" s="875" t="str">
        <f>B3505&amp;C3514</f>
        <v>B6k</v>
      </c>
      <c r="E3514" s="367">
        <v>9</v>
      </c>
      <c r="F3514" s="370"/>
      <c r="G3514" s="368"/>
      <c r="H3514" s="368"/>
      <c r="I3514" s="368"/>
      <c r="J3514" s="368"/>
      <c r="K3514" s="370"/>
      <c r="L3514" s="370"/>
      <c r="M3514" s="371"/>
      <c r="N3514" s="372"/>
      <c r="O3514" s="372"/>
      <c r="P3514" s="373"/>
      <c r="Q3514" s="374"/>
      <c r="R3514" s="378"/>
      <c r="S3514" s="379"/>
      <c r="T3514" s="366"/>
      <c r="U3514" s="366"/>
      <c r="V3514" s="366"/>
      <c r="W3514" s="366"/>
    </row>
    <row r="3515" spans="1:23">
      <c r="A3515" s="1410"/>
      <c r="B3515" s="1413"/>
      <c r="C3515" s="1181" t="s">
        <v>993</v>
      </c>
      <c r="D3515" s="875" t="str">
        <f>B3505&amp;C3515</f>
        <v>B6l</v>
      </c>
      <c r="E3515" s="367">
        <v>10</v>
      </c>
      <c r="F3515" s="370"/>
      <c r="G3515" s="368"/>
      <c r="H3515" s="368"/>
      <c r="I3515" s="368"/>
      <c r="J3515" s="368"/>
      <c r="K3515" s="370"/>
      <c r="L3515" s="370"/>
      <c r="M3515" s="370"/>
      <c r="N3515" s="372"/>
      <c r="O3515" s="372"/>
      <c r="P3515" s="373"/>
      <c r="Q3515" s="374"/>
      <c r="R3515" s="378"/>
      <c r="S3515" s="379"/>
      <c r="T3515" s="366"/>
      <c r="U3515" s="366"/>
      <c r="V3515" s="366"/>
      <c r="W3515" s="366"/>
    </row>
    <row r="3516" spans="1:23">
      <c r="A3516" s="1410"/>
      <c r="B3516" s="1413"/>
      <c r="C3516" s="1181" t="s">
        <v>994</v>
      </c>
      <c r="D3516" s="875" t="str">
        <f>B3505&amp;C3516</f>
        <v>B6m</v>
      </c>
      <c r="E3516" s="367">
        <v>11</v>
      </c>
      <c r="F3516" s="370"/>
      <c r="G3516" s="368"/>
      <c r="H3516" s="368"/>
      <c r="I3516" s="368"/>
      <c r="J3516" s="368"/>
      <c r="K3516" s="370"/>
      <c r="L3516" s="370"/>
      <c r="M3516" s="370"/>
      <c r="N3516" s="372"/>
      <c r="O3516" s="372"/>
      <c r="P3516" s="380"/>
      <c r="Q3516" s="374"/>
      <c r="R3516" s="381"/>
      <c r="S3516" s="379"/>
      <c r="T3516" s="366"/>
      <c r="U3516" s="366"/>
      <c r="V3516" s="366"/>
      <c r="W3516" s="366"/>
    </row>
    <row r="3517" spans="1:23">
      <c r="A3517" s="1410"/>
      <c r="B3517" s="1413"/>
      <c r="C3517" s="1181" t="s">
        <v>995</v>
      </c>
      <c r="D3517" s="875" t="str">
        <f>B3505&amp;C3517</f>
        <v>B6n</v>
      </c>
      <c r="E3517" s="367">
        <v>12</v>
      </c>
      <c r="F3517" s="370"/>
      <c r="G3517" s="368"/>
      <c r="H3517" s="368"/>
      <c r="I3517" s="368"/>
      <c r="J3517" s="368"/>
      <c r="K3517" s="370"/>
      <c r="L3517" s="370"/>
      <c r="M3517" s="370"/>
      <c r="N3517" s="372"/>
      <c r="O3517" s="372"/>
      <c r="P3517" s="380"/>
      <c r="Q3517" s="374"/>
      <c r="R3517" s="381"/>
      <c r="S3517" s="361"/>
      <c r="T3517" s="361"/>
      <c r="U3517" s="361"/>
      <c r="V3517" s="366"/>
      <c r="W3517" s="366"/>
    </row>
    <row r="3518" spans="1:23">
      <c r="A3518" s="1410"/>
      <c r="B3518" s="1413"/>
      <c r="C3518" s="1181" t="s">
        <v>471</v>
      </c>
      <c r="D3518" s="875" t="str">
        <f>B3505&amp;C3518</f>
        <v>B6x</v>
      </c>
      <c r="E3518" s="367">
        <v>13</v>
      </c>
      <c r="F3518" s="370"/>
      <c r="G3518" s="368"/>
      <c r="H3518" s="368"/>
      <c r="I3518" s="368"/>
      <c r="J3518" s="368"/>
      <c r="K3518" s="370"/>
      <c r="L3518" s="370"/>
      <c r="M3518" s="370"/>
      <c r="N3518" s="382"/>
      <c r="O3518" s="372"/>
      <c r="P3518" s="380"/>
      <c r="Q3518" s="381"/>
      <c r="R3518" s="381"/>
      <c r="S3518" s="361"/>
      <c r="T3518" s="361"/>
      <c r="U3518" s="361"/>
      <c r="V3518" s="366"/>
      <c r="W3518" s="366"/>
    </row>
    <row r="3519" spans="1:23">
      <c r="A3519" s="1410"/>
      <c r="B3519" s="1413"/>
      <c r="C3519" s="1181" t="s">
        <v>732</v>
      </c>
      <c r="D3519" s="875" t="str">
        <f>B3505&amp;C3519</f>
        <v>B6y</v>
      </c>
      <c r="E3519" s="367">
        <v>14</v>
      </c>
      <c r="F3519" s="370"/>
      <c r="G3519" s="368"/>
      <c r="H3519" s="368"/>
      <c r="I3519" s="368"/>
      <c r="J3519" s="368"/>
      <c r="K3519" s="370"/>
      <c r="L3519" s="370"/>
      <c r="M3519" s="370"/>
      <c r="N3519" s="382"/>
      <c r="O3519" s="372"/>
      <c r="P3519" s="380"/>
      <c r="Q3519" s="381"/>
      <c r="R3519" s="381"/>
      <c r="S3519" s="361"/>
      <c r="T3519" s="361"/>
      <c r="U3519" s="362"/>
      <c r="V3519" s="366"/>
      <c r="W3519" s="366"/>
    </row>
    <row r="3520" spans="1:23">
      <c r="A3520" s="1411"/>
      <c r="B3520" s="1414"/>
      <c r="C3520" s="1182" t="s">
        <v>996</v>
      </c>
      <c r="D3520" s="876" t="str">
        <f>B3505&amp;C3520</f>
        <v>B6z</v>
      </c>
      <c r="E3520" s="847">
        <v>15</v>
      </c>
      <c r="F3520" s="370"/>
      <c r="G3520" s="368"/>
      <c r="H3520" s="368"/>
      <c r="I3520" s="368"/>
      <c r="J3520" s="368"/>
      <c r="K3520" s="370"/>
      <c r="L3520" s="370"/>
      <c r="M3520" s="370"/>
      <c r="N3520" s="850"/>
      <c r="O3520" s="851"/>
      <c r="P3520" s="380"/>
      <c r="Q3520" s="852"/>
      <c r="R3520" s="383"/>
      <c r="S3520" s="361"/>
      <c r="T3520" s="1176"/>
      <c r="U3520" s="1175"/>
      <c r="V3520" s="366"/>
      <c r="W3520" s="366"/>
    </row>
    <row r="3521" spans="1:23">
      <c r="A3521" s="1400" t="s">
        <v>939</v>
      </c>
      <c r="B3521" s="1400"/>
      <c r="C3521" s="1177"/>
      <c r="D3521" s="871"/>
      <c r="E3521" s="1400" t="s">
        <v>177</v>
      </c>
      <c r="F3521" s="1400" t="s">
        <v>18</v>
      </c>
      <c r="G3521" s="1389" t="s">
        <v>19</v>
      </c>
      <c r="H3521" s="1390"/>
      <c r="I3521" s="1389" t="s">
        <v>22</v>
      </c>
      <c r="J3521" s="1390"/>
      <c r="K3521" s="1393" t="s">
        <v>26</v>
      </c>
      <c r="L3521" s="1390"/>
      <c r="M3521" s="1389" t="s">
        <v>392</v>
      </c>
      <c r="N3521" s="1390"/>
      <c r="O3521" s="1389" t="s">
        <v>28</v>
      </c>
      <c r="P3521" s="1393"/>
      <c r="Q3521" s="1390"/>
      <c r="R3521" s="1400" t="s">
        <v>36</v>
      </c>
      <c r="S3521" s="361"/>
      <c r="T3521" s="361">
        <f>MAX(J3525:J3539)-MIN(I3525:I3539)</f>
        <v>7.291666666666663E-2</v>
      </c>
      <c r="U3521" s="361"/>
      <c r="V3521" s="853" t="str">
        <f t="shared" ref="V3521" si="422">B3525</f>
        <v>A23</v>
      </c>
      <c r="W3521" s="361">
        <f t="shared" ref="W3521" si="423">COUNTIF(K3526:K3540,"&gt;0")</f>
        <v>3</v>
      </c>
    </row>
    <row r="3522" spans="1:23">
      <c r="A3522" s="1401"/>
      <c r="B3522" s="1401"/>
      <c r="C3522" s="1178"/>
      <c r="D3522" s="872"/>
      <c r="E3522" s="1401"/>
      <c r="F3522" s="1401"/>
      <c r="G3522" s="1391"/>
      <c r="H3522" s="1392"/>
      <c r="I3522" s="1391"/>
      <c r="J3522" s="1392"/>
      <c r="K3522" s="1394"/>
      <c r="L3522" s="1392"/>
      <c r="M3522" s="1391"/>
      <c r="N3522" s="1392"/>
      <c r="O3522" s="1391"/>
      <c r="P3522" s="1394"/>
      <c r="Q3522" s="1392"/>
      <c r="R3522" s="1401"/>
      <c r="S3522" s="361"/>
      <c r="T3522" s="361"/>
      <c r="U3522" s="361"/>
      <c r="V3522" s="361"/>
      <c r="W3522" s="361"/>
    </row>
    <row r="3523" spans="1:23">
      <c r="A3523" s="1401"/>
      <c r="B3523" s="1401"/>
      <c r="C3523" s="1178"/>
      <c r="D3523" s="872"/>
      <c r="E3523" s="1401"/>
      <c r="F3523" s="1401"/>
      <c r="G3523" s="1400" t="s">
        <v>20</v>
      </c>
      <c r="H3523" s="1400" t="s">
        <v>21</v>
      </c>
      <c r="I3523" s="1400" t="s">
        <v>361</v>
      </c>
      <c r="J3523" s="1400" t="s">
        <v>353</v>
      </c>
      <c r="K3523" s="1400" t="s">
        <v>23</v>
      </c>
      <c r="L3523" s="1400" t="s">
        <v>24</v>
      </c>
      <c r="M3523" s="1400" t="s">
        <v>27</v>
      </c>
      <c r="N3523" s="1400" t="s">
        <v>178</v>
      </c>
      <c r="O3523" s="1400" t="s">
        <v>1</v>
      </c>
      <c r="P3523" s="1400" t="s">
        <v>29</v>
      </c>
      <c r="Q3523" s="1400" t="s">
        <v>33</v>
      </c>
      <c r="R3523" s="1401"/>
      <c r="S3523" s="361"/>
      <c r="T3523" s="361" t="s">
        <v>39</v>
      </c>
      <c r="U3523" s="362">
        <f>VLOOKUP(B3525,'[7]Thong tin'!$A:$M,13,0)</f>
        <v>1200</v>
      </c>
      <c r="V3523" s="361"/>
      <c r="W3523" s="361"/>
    </row>
    <row r="3524" spans="1:23">
      <c r="A3524" s="1402"/>
      <c r="B3524" s="1402"/>
      <c r="C3524" s="1179"/>
      <c r="D3524" s="873"/>
      <c r="E3524" s="1402"/>
      <c r="F3524" s="1402"/>
      <c r="G3524" s="1402"/>
      <c r="H3524" s="1402"/>
      <c r="I3524" s="1402"/>
      <c r="J3524" s="1402"/>
      <c r="K3524" s="1402"/>
      <c r="L3524" s="1402"/>
      <c r="M3524" s="1402"/>
      <c r="N3524" s="1402"/>
      <c r="O3524" s="1402"/>
      <c r="P3524" s="1402"/>
      <c r="Q3524" s="1402"/>
      <c r="R3524" s="1402"/>
      <c r="S3524" s="361"/>
      <c r="T3524" s="1399" t="s">
        <v>393</v>
      </c>
      <c r="U3524" s="1397">
        <f>VLOOKUP(B3525,[7]DT.NK!$B:$AZ,45,0)</f>
        <v>28.31</v>
      </c>
      <c r="V3524" s="361"/>
      <c r="W3524" s="361"/>
    </row>
    <row r="3525" spans="1:23">
      <c r="A3525" s="1409">
        <f>A3505+1</f>
        <v>177</v>
      </c>
      <c r="B3525" s="1412" t="s">
        <v>598</v>
      </c>
      <c r="C3525" s="1180" t="s">
        <v>983</v>
      </c>
      <c r="D3525" s="874" t="str">
        <f>B3525&amp;C3525</f>
        <v>A23a</v>
      </c>
      <c r="E3525" s="363"/>
      <c r="F3525" s="364"/>
      <c r="G3525" s="364"/>
      <c r="H3525" s="364"/>
      <c r="I3525" s="364"/>
      <c r="J3525" s="364"/>
      <c r="K3525" s="364"/>
      <c r="L3525" s="364"/>
      <c r="M3525" s="674"/>
      <c r="N3525" s="670"/>
      <c r="O3525" s="670">
        <f>U3524</f>
        <v>28.31</v>
      </c>
      <c r="P3525" s="670">
        <f>O3525</f>
        <v>28.31</v>
      </c>
      <c r="Q3525" s="670">
        <v>0</v>
      </c>
      <c r="R3525" s="365"/>
      <c r="S3525" s="366"/>
      <c r="T3525" s="1399"/>
      <c r="U3525" s="1398"/>
      <c r="V3525" s="361"/>
      <c r="W3525" s="361"/>
    </row>
    <row r="3526" spans="1:23">
      <c r="A3526" s="1410"/>
      <c r="B3526" s="1413"/>
      <c r="C3526" s="1181" t="s">
        <v>984</v>
      </c>
      <c r="D3526" s="875" t="str">
        <f>B3525&amp;C3526</f>
        <v>A23b</v>
      </c>
      <c r="E3526" s="367">
        <v>1</v>
      </c>
      <c r="F3526" s="669" t="s">
        <v>1160</v>
      </c>
      <c r="G3526" s="369">
        <v>0.70833333333333337</v>
      </c>
      <c r="H3526" s="368">
        <v>0.73958333333333337</v>
      </c>
      <c r="I3526" s="368">
        <v>0.75</v>
      </c>
      <c r="J3526" s="368">
        <v>0.75694444444444453</v>
      </c>
      <c r="K3526" s="669">
        <v>13</v>
      </c>
      <c r="L3526" s="669">
        <v>19</v>
      </c>
      <c r="M3526" s="675">
        <v>22.05</v>
      </c>
      <c r="N3526" s="671">
        <f>IF(M3526-P3526&gt;0,M3526-P3526,0)</f>
        <v>4.0500000000000007</v>
      </c>
      <c r="O3526" s="671">
        <f>O3525-K3526/(PI()*(U3523/2000)^2)</f>
        <v>16.815476332252004</v>
      </c>
      <c r="P3526" s="672">
        <v>18</v>
      </c>
      <c r="Q3526" s="673">
        <f>ABS(O3526-P3526)</f>
        <v>1.184523667747996</v>
      </c>
      <c r="R3526" s="375" t="s">
        <v>188</v>
      </c>
      <c r="S3526" s="366"/>
      <c r="T3526" s="376"/>
      <c r="U3526" s="376"/>
      <c r="V3526" s="366"/>
      <c r="W3526" s="366"/>
    </row>
    <row r="3527" spans="1:23">
      <c r="A3527" s="1410"/>
      <c r="B3527" s="1413"/>
      <c r="C3527" s="1181" t="s">
        <v>985</v>
      </c>
      <c r="D3527" s="875" t="str">
        <f>B3525&amp;C3527</f>
        <v>A23c</v>
      </c>
      <c r="E3527" s="367">
        <v>2</v>
      </c>
      <c r="F3527" s="669" t="s">
        <v>1156</v>
      </c>
      <c r="G3527" s="369">
        <v>0.71180555555555547</v>
      </c>
      <c r="H3527" s="368">
        <v>0.74305555555555547</v>
      </c>
      <c r="I3527" s="368">
        <v>0.76388888888888884</v>
      </c>
      <c r="J3527" s="368">
        <v>0.77083333333333337</v>
      </c>
      <c r="K3527" s="669">
        <v>12</v>
      </c>
      <c r="L3527" s="669">
        <v>19</v>
      </c>
      <c r="M3527" s="675">
        <v>12.6</v>
      </c>
      <c r="N3527" s="671">
        <f>IF(M3527-P3527&gt;0,M3527-P3527,0)</f>
        <v>5.0999999999999996</v>
      </c>
      <c r="O3527" s="671">
        <f>O3526-K3527/(PI()*(U3523/2000)^2)</f>
        <v>6.2051467927923145</v>
      </c>
      <c r="P3527" s="672">
        <v>7.5</v>
      </c>
      <c r="Q3527" s="673">
        <f>ABS(O3527-P3527)</f>
        <v>1.2948532072076855</v>
      </c>
      <c r="R3527" s="375" t="s">
        <v>188</v>
      </c>
      <c r="S3527" s="366"/>
      <c r="T3527" s="376"/>
      <c r="U3527" s="376"/>
      <c r="V3527" s="366"/>
      <c r="W3527" s="366"/>
    </row>
    <row r="3528" spans="1:23">
      <c r="A3528" s="1410"/>
      <c r="B3528" s="1413"/>
      <c r="C3528" s="1181" t="s">
        <v>986</v>
      </c>
      <c r="D3528" s="875" t="str">
        <f>B3525&amp;C3528</f>
        <v>A23d</v>
      </c>
      <c r="E3528" s="367">
        <v>3</v>
      </c>
      <c r="F3528" s="669" t="s">
        <v>1019</v>
      </c>
      <c r="G3528" s="368">
        <v>0.79027777777777775</v>
      </c>
      <c r="H3528" s="368">
        <v>0.8125</v>
      </c>
      <c r="I3528" s="368">
        <v>0.81944444444444453</v>
      </c>
      <c r="J3528" s="368">
        <v>0.82291666666666663</v>
      </c>
      <c r="K3528" s="370">
        <v>2</v>
      </c>
      <c r="L3528" s="370">
        <v>19</v>
      </c>
      <c r="M3528" s="371">
        <v>9.4499999999999993</v>
      </c>
      <c r="N3528" s="671"/>
      <c r="O3528" s="671"/>
      <c r="P3528" s="373">
        <v>6.4</v>
      </c>
      <c r="Q3528" s="673"/>
      <c r="R3528" s="958"/>
      <c r="S3528" s="366"/>
      <c r="T3528" s="376"/>
      <c r="U3528" s="376"/>
      <c r="V3528" s="366"/>
      <c r="W3528" s="366"/>
    </row>
    <row r="3529" spans="1:23">
      <c r="A3529" s="1410"/>
      <c r="B3529" s="1413"/>
      <c r="C3529" s="1181" t="s">
        <v>987</v>
      </c>
      <c r="D3529" s="875" t="str">
        <f>B3525&amp;C3529</f>
        <v>A23e</v>
      </c>
      <c r="E3529" s="367">
        <v>4</v>
      </c>
      <c r="F3529" s="669"/>
      <c r="G3529" s="368"/>
      <c r="H3529" s="368"/>
      <c r="I3529" s="368"/>
      <c r="J3529" s="368"/>
      <c r="K3529" s="370"/>
      <c r="L3529" s="370"/>
      <c r="M3529" s="371"/>
      <c r="N3529" s="671"/>
      <c r="O3529" s="671"/>
      <c r="P3529" s="373"/>
      <c r="Q3529" s="673"/>
      <c r="R3529" s="958"/>
      <c r="S3529" s="366"/>
      <c r="T3529" s="376"/>
      <c r="U3529" s="376"/>
      <c r="V3529" s="366"/>
      <c r="W3529" s="366"/>
    </row>
    <row r="3530" spans="1:23">
      <c r="A3530" s="1410"/>
      <c r="B3530" s="1413"/>
      <c r="C3530" s="1181" t="s">
        <v>988</v>
      </c>
      <c r="D3530" s="875" t="str">
        <f>B3525&amp;C3530</f>
        <v>A23f</v>
      </c>
      <c r="E3530" s="367">
        <v>5</v>
      </c>
      <c r="F3530" s="669"/>
      <c r="G3530" s="368"/>
      <c r="H3530" s="368"/>
      <c r="I3530" s="368"/>
      <c r="J3530" s="368"/>
      <c r="K3530" s="370"/>
      <c r="L3530" s="370"/>
      <c r="M3530" s="371"/>
      <c r="N3530" s="671"/>
      <c r="O3530" s="671"/>
      <c r="P3530" s="373"/>
      <c r="Q3530" s="673"/>
      <c r="R3530" s="958"/>
      <c r="S3530" s="366" t="s">
        <v>190</v>
      </c>
      <c r="T3530" s="376"/>
      <c r="U3530" s="376"/>
      <c r="V3530" s="366"/>
      <c r="W3530" s="366"/>
    </row>
    <row r="3531" spans="1:23">
      <c r="A3531" s="1410"/>
      <c r="B3531" s="1413"/>
      <c r="C3531" s="1181" t="s">
        <v>989</v>
      </c>
      <c r="D3531" s="875" t="str">
        <f>B3525&amp;C3531</f>
        <v>A23g</v>
      </c>
      <c r="E3531" s="367">
        <v>6</v>
      </c>
      <c r="F3531" s="669"/>
      <c r="G3531" s="368"/>
      <c r="H3531" s="368"/>
      <c r="I3531" s="368"/>
      <c r="J3531" s="368"/>
      <c r="K3531" s="370"/>
      <c r="L3531" s="370"/>
      <c r="M3531" s="371"/>
      <c r="N3531" s="671"/>
      <c r="O3531" s="671"/>
      <c r="P3531" s="373"/>
      <c r="Q3531" s="673"/>
      <c r="R3531" s="958"/>
      <c r="S3531" s="366" t="s">
        <v>190</v>
      </c>
      <c r="T3531" s="366"/>
      <c r="U3531" s="366"/>
      <c r="V3531" s="366"/>
      <c r="W3531" s="366"/>
    </row>
    <row r="3532" spans="1:23">
      <c r="A3532" s="1410"/>
      <c r="B3532" s="1413"/>
      <c r="C3532" s="1181" t="s">
        <v>990</v>
      </c>
      <c r="D3532" s="875" t="str">
        <f>B3525&amp;C3532</f>
        <v>A23h</v>
      </c>
      <c r="E3532" s="367">
        <v>7</v>
      </c>
      <c r="F3532" s="669"/>
      <c r="G3532" s="368"/>
      <c r="H3532" s="368"/>
      <c r="I3532" s="368"/>
      <c r="J3532" s="368"/>
      <c r="K3532" s="370"/>
      <c r="L3532" s="370"/>
      <c r="M3532" s="371"/>
      <c r="N3532" s="671"/>
      <c r="O3532" s="671"/>
      <c r="P3532" s="373"/>
      <c r="Q3532" s="673"/>
      <c r="R3532" s="958"/>
      <c r="S3532" s="366" t="s">
        <v>190</v>
      </c>
      <c r="T3532" s="366"/>
      <c r="U3532" s="366"/>
      <c r="V3532" s="366"/>
      <c r="W3532" s="366"/>
    </row>
    <row r="3533" spans="1:23">
      <c r="A3533" s="1410"/>
      <c r="B3533" s="1413"/>
      <c r="C3533" s="1181" t="s">
        <v>991</v>
      </c>
      <c r="D3533" s="875" t="str">
        <f>B3525&amp;C3533</f>
        <v>A23i</v>
      </c>
      <c r="E3533" s="367">
        <v>8</v>
      </c>
      <c r="F3533" s="669"/>
      <c r="G3533" s="368"/>
      <c r="H3533" s="368"/>
      <c r="I3533" s="368"/>
      <c r="J3533" s="368"/>
      <c r="K3533" s="370"/>
      <c r="L3533" s="370"/>
      <c r="M3533" s="371"/>
      <c r="N3533" s="671"/>
      <c r="O3533" s="671"/>
      <c r="P3533" s="373"/>
      <c r="Q3533" s="673"/>
      <c r="R3533" s="958"/>
      <c r="S3533" s="366"/>
      <c r="T3533" s="366"/>
      <c r="U3533" s="366"/>
      <c r="V3533" s="366"/>
      <c r="W3533" s="366"/>
    </row>
    <row r="3534" spans="1:23">
      <c r="A3534" s="1410"/>
      <c r="B3534" s="1413"/>
      <c r="C3534" s="1181" t="s">
        <v>992</v>
      </c>
      <c r="D3534" s="875" t="str">
        <f>B3525&amp;C3534</f>
        <v>A23k</v>
      </c>
      <c r="E3534" s="367">
        <v>9</v>
      </c>
      <c r="F3534" s="370"/>
      <c r="G3534" s="368"/>
      <c r="H3534" s="368"/>
      <c r="I3534" s="368"/>
      <c r="J3534" s="368"/>
      <c r="K3534" s="370"/>
      <c r="L3534" s="370"/>
      <c r="M3534" s="371"/>
      <c r="N3534" s="372"/>
      <c r="O3534" s="372"/>
      <c r="P3534" s="373"/>
      <c r="Q3534" s="374"/>
      <c r="R3534" s="378"/>
      <c r="S3534" s="379"/>
      <c r="T3534" s="366"/>
      <c r="U3534" s="366"/>
      <c r="V3534" s="366"/>
      <c r="W3534" s="366"/>
    </row>
    <row r="3535" spans="1:23">
      <c r="A3535" s="1410"/>
      <c r="B3535" s="1413"/>
      <c r="C3535" s="1181" t="s">
        <v>993</v>
      </c>
      <c r="D3535" s="875" t="str">
        <f>B3525&amp;C3535</f>
        <v>A23l</v>
      </c>
      <c r="E3535" s="367">
        <v>10</v>
      </c>
      <c r="F3535" s="370"/>
      <c r="G3535" s="368"/>
      <c r="H3535" s="368"/>
      <c r="I3535" s="368"/>
      <c r="J3535" s="368"/>
      <c r="K3535" s="370"/>
      <c r="L3535" s="370"/>
      <c r="M3535" s="370"/>
      <c r="N3535" s="372"/>
      <c r="O3535" s="372"/>
      <c r="P3535" s="373"/>
      <c r="Q3535" s="374"/>
      <c r="R3535" s="378"/>
      <c r="S3535" s="379"/>
      <c r="T3535" s="366"/>
      <c r="U3535" s="366"/>
      <c r="V3535" s="366"/>
      <c r="W3535" s="366"/>
    </row>
    <row r="3536" spans="1:23">
      <c r="A3536" s="1410"/>
      <c r="B3536" s="1413"/>
      <c r="C3536" s="1181" t="s">
        <v>994</v>
      </c>
      <c r="D3536" s="875" t="str">
        <f>B3525&amp;C3536</f>
        <v>A23m</v>
      </c>
      <c r="E3536" s="367">
        <v>11</v>
      </c>
      <c r="F3536" s="370"/>
      <c r="G3536" s="368"/>
      <c r="H3536" s="368"/>
      <c r="I3536" s="368"/>
      <c r="J3536" s="368"/>
      <c r="K3536" s="370"/>
      <c r="L3536" s="370"/>
      <c r="M3536" s="370"/>
      <c r="N3536" s="372"/>
      <c r="O3536" s="372"/>
      <c r="P3536" s="380"/>
      <c r="Q3536" s="374"/>
      <c r="R3536" s="381"/>
      <c r="S3536" s="379"/>
      <c r="T3536" s="366"/>
      <c r="U3536" s="366"/>
      <c r="V3536" s="366"/>
      <c r="W3536" s="366"/>
    </row>
    <row r="3537" spans="1:23">
      <c r="A3537" s="1410"/>
      <c r="B3537" s="1413"/>
      <c r="C3537" s="1181" t="s">
        <v>995</v>
      </c>
      <c r="D3537" s="875" t="str">
        <f>B3525&amp;C3537</f>
        <v>A23n</v>
      </c>
      <c r="E3537" s="367">
        <v>12</v>
      </c>
      <c r="F3537" s="370"/>
      <c r="G3537" s="368"/>
      <c r="H3537" s="368"/>
      <c r="I3537" s="368"/>
      <c r="J3537" s="368"/>
      <c r="K3537" s="370"/>
      <c r="L3537" s="370"/>
      <c r="M3537" s="370"/>
      <c r="N3537" s="372"/>
      <c r="O3537" s="372"/>
      <c r="P3537" s="380"/>
      <c r="Q3537" s="374"/>
      <c r="R3537" s="381"/>
      <c r="S3537" s="361"/>
      <c r="T3537" s="361"/>
      <c r="U3537" s="361"/>
      <c r="V3537" s="366"/>
      <c r="W3537" s="366"/>
    </row>
    <row r="3538" spans="1:23">
      <c r="A3538" s="1410"/>
      <c r="B3538" s="1413"/>
      <c r="C3538" s="1181" t="s">
        <v>471</v>
      </c>
      <c r="D3538" s="875" t="str">
        <f>B3525&amp;C3538</f>
        <v>A23x</v>
      </c>
      <c r="E3538" s="367">
        <v>13</v>
      </c>
      <c r="F3538" s="370"/>
      <c r="G3538" s="368"/>
      <c r="H3538" s="368"/>
      <c r="I3538" s="368"/>
      <c r="J3538" s="368"/>
      <c r="K3538" s="370"/>
      <c r="L3538" s="370"/>
      <c r="M3538" s="370"/>
      <c r="N3538" s="382"/>
      <c r="O3538" s="372"/>
      <c r="P3538" s="380"/>
      <c r="Q3538" s="381"/>
      <c r="R3538" s="381"/>
      <c r="S3538" s="361"/>
      <c r="T3538" s="361"/>
      <c r="U3538" s="361"/>
      <c r="V3538" s="366"/>
      <c r="W3538" s="366"/>
    </row>
    <row r="3539" spans="1:23">
      <c r="A3539" s="1410"/>
      <c r="B3539" s="1413"/>
      <c r="C3539" s="1181" t="s">
        <v>732</v>
      </c>
      <c r="D3539" s="875" t="str">
        <f>B3525&amp;C3539</f>
        <v>A23y</v>
      </c>
      <c r="E3539" s="367">
        <v>14</v>
      </c>
      <c r="F3539" s="370"/>
      <c r="G3539" s="368"/>
      <c r="H3539" s="368"/>
      <c r="I3539" s="368"/>
      <c r="J3539" s="368"/>
      <c r="K3539" s="370"/>
      <c r="L3539" s="370"/>
      <c r="M3539" s="370"/>
      <c r="N3539" s="382"/>
      <c r="O3539" s="372"/>
      <c r="P3539" s="380"/>
      <c r="Q3539" s="381"/>
      <c r="R3539" s="381"/>
      <c r="S3539" s="361"/>
      <c r="T3539" s="361"/>
      <c r="U3539" s="362"/>
      <c r="V3539" s="366"/>
      <c r="W3539" s="366"/>
    </row>
    <row r="3540" spans="1:23">
      <c r="A3540" s="1411"/>
      <c r="B3540" s="1414"/>
      <c r="C3540" s="1182" t="s">
        <v>996</v>
      </c>
      <c r="D3540" s="876" t="str">
        <f>B3525&amp;C3540</f>
        <v>A23z</v>
      </c>
      <c r="E3540" s="847">
        <v>15</v>
      </c>
      <c r="F3540" s="370"/>
      <c r="G3540" s="368"/>
      <c r="H3540" s="368"/>
      <c r="I3540" s="368"/>
      <c r="J3540" s="368"/>
      <c r="K3540" s="370"/>
      <c r="L3540" s="370"/>
      <c r="M3540" s="370"/>
      <c r="N3540" s="850"/>
      <c r="O3540" s="851"/>
      <c r="P3540" s="380"/>
      <c r="Q3540" s="852"/>
      <c r="R3540" s="383"/>
      <c r="S3540" s="361"/>
      <c r="T3540" s="1176"/>
      <c r="U3540" s="1175"/>
      <c r="V3540" s="366"/>
      <c r="W3540" s="366"/>
    </row>
    <row r="3541" spans="1:23">
      <c r="A3541" s="1400" t="s">
        <v>939</v>
      </c>
      <c r="B3541" s="1400"/>
      <c r="C3541" s="1177"/>
      <c r="D3541" s="871"/>
      <c r="E3541" s="1400" t="s">
        <v>177</v>
      </c>
      <c r="F3541" s="1400" t="s">
        <v>18</v>
      </c>
      <c r="G3541" s="1389" t="s">
        <v>19</v>
      </c>
      <c r="H3541" s="1390"/>
      <c r="I3541" s="1389" t="s">
        <v>22</v>
      </c>
      <c r="J3541" s="1390"/>
      <c r="K3541" s="1393" t="s">
        <v>26</v>
      </c>
      <c r="L3541" s="1390"/>
      <c r="M3541" s="1389" t="s">
        <v>392</v>
      </c>
      <c r="N3541" s="1390"/>
      <c r="O3541" s="1389" t="s">
        <v>28</v>
      </c>
      <c r="P3541" s="1393"/>
      <c r="Q3541" s="1390"/>
      <c r="R3541" s="1400" t="s">
        <v>36</v>
      </c>
      <c r="S3541" s="361"/>
      <c r="T3541" s="361">
        <f>MAX(J3545:J3559)-MIN(I3545:I3559)</f>
        <v>6.944444444444442E-2</v>
      </c>
      <c r="U3541" s="361"/>
      <c r="V3541" s="853" t="str">
        <f t="shared" ref="V3541" si="424">B3545</f>
        <v>A142</v>
      </c>
      <c r="W3541" s="361">
        <f t="shared" ref="W3541" si="425">COUNTIF(K3546:K3560,"&gt;0")</f>
        <v>4</v>
      </c>
    </row>
    <row r="3542" spans="1:23">
      <c r="A3542" s="1401"/>
      <c r="B3542" s="1401"/>
      <c r="C3542" s="1178"/>
      <c r="D3542" s="872"/>
      <c r="E3542" s="1401"/>
      <c r="F3542" s="1401"/>
      <c r="G3542" s="1391"/>
      <c r="H3542" s="1392"/>
      <c r="I3542" s="1391"/>
      <c r="J3542" s="1392"/>
      <c r="K3542" s="1394"/>
      <c r="L3542" s="1392"/>
      <c r="M3542" s="1391"/>
      <c r="N3542" s="1392"/>
      <c r="O3542" s="1391"/>
      <c r="P3542" s="1394"/>
      <c r="Q3542" s="1392"/>
      <c r="R3542" s="1401"/>
      <c r="S3542" s="361"/>
      <c r="T3542" s="361"/>
      <c r="U3542" s="361"/>
      <c r="V3542" s="361"/>
      <c r="W3542" s="361"/>
    </row>
    <row r="3543" spans="1:23">
      <c r="A3543" s="1401"/>
      <c r="B3543" s="1401"/>
      <c r="C3543" s="1178"/>
      <c r="D3543" s="872"/>
      <c r="E3543" s="1401"/>
      <c r="F3543" s="1401"/>
      <c r="G3543" s="1400" t="s">
        <v>20</v>
      </c>
      <c r="H3543" s="1400" t="s">
        <v>21</v>
      </c>
      <c r="I3543" s="1400" t="s">
        <v>361</v>
      </c>
      <c r="J3543" s="1400" t="s">
        <v>353</v>
      </c>
      <c r="K3543" s="1400" t="s">
        <v>23</v>
      </c>
      <c r="L3543" s="1400" t="s">
        <v>24</v>
      </c>
      <c r="M3543" s="1400" t="s">
        <v>27</v>
      </c>
      <c r="N3543" s="1400" t="s">
        <v>178</v>
      </c>
      <c r="O3543" s="1400" t="s">
        <v>1</v>
      </c>
      <c r="P3543" s="1400" t="s">
        <v>29</v>
      </c>
      <c r="Q3543" s="1400" t="s">
        <v>33</v>
      </c>
      <c r="R3543" s="1401"/>
      <c r="S3543" s="361"/>
      <c r="T3543" s="361" t="s">
        <v>39</v>
      </c>
      <c r="U3543" s="362">
        <f>VLOOKUP(B3545,'[7]Thong tin'!$A:$M,13,0)</f>
        <v>1200</v>
      </c>
      <c r="V3543" s="361"/>
      <c r="W3543" s="361"/>
    </row>
    <row r="3544" spans="1:23">
      <c r="A3544" s="1402"/>
      <c r="B3544" s="1402"/>
      <c r="C3544" s="1179"/>
      <c r="D3544" s="873"/>
      <c r="E3544" s="1402"/>
      <c r="F3544" s="1402"/>
      <c r="G3544" s="1402"/>
      <c r="H3544" s="1402"/>
      <c r="I3544" s="1402"/>
      <c r="J3544" s="1402"/>
      <c r="K3544" s="1402"/>
      <c r="L3544" s="1402"/>
      <c r="M3544" s="1402"/>
      <c r="N3544" s="1402"/>
      <c r="O3544" s="1402"/>
      <c r="P3544" s="1402"/>
      <c r="Q3544" s="1402"/>
      <c r="R3544" s="1402"/>
      <c r="S3544" s="361"/>
      <c r="T3544" s="1399" t="s">
        <v>393</v>
      </c>
      <c r="U3544" s="1397">
        <f>VLOOKUP(B3545,[7]DT.NK!$B:$AZ,45,0)</f>
        <v>38.79</v>
      </c>
      <c r="V3544" s="361"/>
      <c r="W3544" s="361"/>
    </row>
    <row r="3545" spans="1:23">
      <c r="A3545" s="1409">
        <f>A3525+1</f>
        <v>178</v>
      </c>
      <c r="B3545" s="1412" t="s">
        <v>522</v>
      </c>
      <c r="C3545" s="1180" t="s">
        <v>983</v>
      </c>
      <c r="D3545" s="874" t="str">
        <f>B3545&amp;C3545</f>
        <v>A142a</v>
      </c>
      <c r="E3545" s="363"/>
      <c r="F3545" s="364"/>
      <c r="G3545" s="364"/>
      <c r="H3545" s="364"/>
      <c r="I3545" s="364"/>
      <c r="J3545" s="364"/>
      <c r="K3545" s="364"/>
      <c r="L3545" s="364"/>
      <c r="M3545" s="674"/>
      <c r="N3545" s="670"/>
      <c r="O3545" s="670">
        <f>U3544</f>
        <v>38.79</v>
      </c>
      <c r="P3545" s="670">
        <f>O3545</f>
        <v>38.79</v>
      </c>
      <c r="Q3545" s="670">
        <v>0</v>
      </c>
      <c r="R3545" s="365"/>
      <c r="S3545" s="366"/>
      <c r="T3545" s="1399"/>
      <c r="U3545" s="1398"/>
      <c r="V3545" s="361"/>
      <c r="W3545" s="361"/>
    </row>
    <row r="3546" spans="1:23">
      <c r="A3546" s="1410"/>
      <c r="B3546" s="1413"/>
      <c r="C3546" s="1181" t="s">
        <v>984</v>
      </c>
      <c r="D3546" s="875" t="str">
        <f>B3545&amp;C3546</f>
        <v>A142b</v>
      </c>
      <c r="E3546" s="367">
        <v>1</v>
      </c>
      <c r="F3546" s="669" t="s">
        <v>1156</v>
      </c>
      <c r="G3546" s="369">
        <v>0.22916666666666666</v>
      </c>
      <c r="H3546" s="368">
        <v>0.26041666666666669</v>
      </c>
      <c r="I3546" s="368">
        <v>0.27083333333333331</v>
      </c>
      <c r="J3546" s="368">
        <v>0.27430555555555552</v>
      </c>
      <c r="K3546" s="669">
        <v>13</v>
      </c>
      <c r="L3546" s="669">
        <v>20</v>
      </c>
      <c r="M3546" s="675">
        <v>31.5</v>
      </c>
      <c r="N3546" s="671">
        <f>IF(M3546-P3546&gt;0,M3546-P3546,0)</f>
        <v>3.3000000000000007</v>
      </c>
      <c r="O3546" s="671">
        <f>O3545-K3546/(PI()*(U3543/2000)^2)</f>
        <v>27.295476332252001</v>
      </c>
      <c r="P3546" s="672">
        <v>28.2</v>
      </c>
      <c r="Q3546" s="673">
        <f>ABS(O3546-P3546)</f>
        <v>0.90452366774799842</v>
      </c>
      <c r="R3546" s="375" t="s">
        <v>188</v>
      </c>
      <c r="S3546" s="366"/>
      <c r="T3546" s="376"/>
      <c r="U3546" s="376"/>
      <c r="V3546" s="366"/>
      <c r="W3546" s="366"/>
    </row>
    <row r="3547" spans="1:23">
      <c r="A3547" s="1410"/>
      <c r="B3547" s="1413"/>
      <c r="C3547" s="1181" t="s">
        <v>985</v>
      </c>
      <c r="D3547" s="875" t="str">
        <f>B3545&amp;C3547</f>
        <v>A142c</v>
      </c>
      <c r="E3547" s="367">
        <v>2</v>
      </c>
      <c r="F3547" s="669" t="s">
        <v>1160</v>
      </c>
      <c r="G3547" s="369">
        <v>0.25347222222222221</v>
      </c>
      <c r="H3547" s="368">
        <v>0.27430555555555552</v>
      </c>
      <c r="I3547" s="368">
        <v>0.28125</v>
      </c>
      <c r="J3547" s="368">
        <v>0.28472222222222221</v>
      </c>
      <c r="K3547" s="669">
        <v>12</v>
      </c>
      <c r="L3547" s="669">
        <v>19</v>
      </c>
      <c r="M3547" s="675">
        <v>22.05</v>
      </c>
      <c r="N3547" s="671">
        <f>IF(M3547-P3547&gt;0,M3547-P3547,0)</f>
        <v>3.5500000000000007</v>
      </c>
      <c r="O3547" s="671">
        <f>O3546-K3547/(PI()*(U3543/2000)^2)</f>
        <v>16.68514679279231</v>
      </c>
      <c r="P3547" s="672">
        <v>18.5</v>
      </c>
      <c r="Q3547" s="673">
        <f>ABS(O3547-P3547)</f>
        <v>1.8148532072076904</v>
      </c>
      <c r="R3547" s="375" t="s">
        <v>188</v>
      </c>
      <c r="S3547" s="366"/>
      <c r="T3547" s="376"/>
      <c r="U3547" s="376"/>
      <c r="V3547" s="366"/>
      <c r="W3547" s="366"/>
    </row>
    <row r="3548" spans="1:23">
      <c r="A3548" s="1410"/>
      <c r="B3548" s="1413"/>
      <c r="C3548" s="1181" t="s">
        <v>986</v>
      </c>
      <c r="D3548" s="875" t="str">
        <f>B3545&amp;C3548</f>
        <v>A142d</v>
      </c>
      <c r="E3548" s="367">
        <v>3</v>
      </c>
      <c r="F3548" s="669" t="s">
        <v>1159</v>
      </c>
      <c r="G3548" s="368">
        <v>0.24583333333333335</v>
      </c>
      <c r="H3548" s="368">
        <v>0.27777777777777779</v>
      </c>
      <c r="I3548" s="368">
        <v>0.28472222222222221</v>
      </c>
      <c r="J3548" s="368">
        <v>0.28819444444444448</v>
      </c>
      <c r="K3548" s="370">
        <v>12</v>
      </c>
      <c r="L3548" s="370">
        <v>19</v>
      </c>
      <c r="M3548" s="371">
        <v>12.6</v>
      </c>
      <c r="N3548" s="671"/>
      <c r="O3548" s="671"/>
      <c r="P3548" s="373">
        <v>8.9</v>
      </c>
      <c r="Q3548" s="673"/>
      <c r="R3548" s="958" t="s">
        <v>188</v>
      </c>
      <c r="S3548" s="366"/>
      <c r="T3548" s="376"/>
      <c r="U3548" s="376"/>
      <c r="V3548" s="366"/>
      <c r="W3548" s="366"/>
    </row>
    <row r="3549" spans="1:23">
      <c r="A3549" s="1410"/>
      <c r="B3549" s="1413"/>
      <c r="C3549" s="1181" t="s">
        <v>987</v>
      </c>
      <c r="D3549" s="875" t="str">
        <f>B3545&amp;C3549</f>
        <v>A142e</v>
      </c>
      <c r="E3549" s="367">
        <v>4</v>
      </c>
      <c r="F3549" s="669" t="s">
        <v>1019</v>
      </c>
      <c r="G3549" s="368">
        <v>0.2951388888888889</v>
      </c>
      <c r="H3549" s="368">
        <v>0.33333333333333331</v>
      </c>
      <c r="I3549" s="368">
        <v>0.33680555555555558</v>
      </c>
      <c r="J3549" s="368">
        <v>0.34027777777777773</v>
      </c>
      <c r="K3549" s="370">
        <v>2.5</v>
      </c>
      <c r="L3549" s="370">
        <v>18.5</v>
      </c>
      <c r="M3549" s="371"/>
      <c r="N3549" s="671"/>
      <c r="O3549" s="671"/>
      <c r="P3549" s="373">
        <v>6.8</v>
      </c>
      <c r="Q3549" s="673"/>
      <c r="R3549" s="958"/>
      <c r="S3549" s="366"/>
      <c r="T3549" s="376"/>
      <c r="U3549" s="376"/>
      <c r="V3549" s="366"/>
      <c r="W3549" s="366"/>
    </row>
    <row r="3550" spans="1:23">
      <c r="A3550" s="1410"/>
      <c r="B3550" s="1413"/>
      <c r="C3550" s="1181" t="s">
        <v>988</v>
      </c>
      <c r="D3550" s="875" t="str">
        <f>B3545&amp;C3550</f>
        <v>A142f</v>
      </c>
      <c r="E3550" s="367">
        <v>5</v>
      </c>
      <c r="F3550" s="669"/>
      <c r="G3550" s="368"/>
      <c r="H3550" s="368"/>
      <c r="I3550" s="368"/>
      <c r="J3550" s="368"/>
      <c r="K3550" s="370"/>
      <c r="L3550" s="370"/>
      <c r="M3550" s="371"/>
      <c r="N3550" s="671"/>
      <c r="O3550" s="671"/>
      <c r="P3550" s="373"/>
      <c r="Q3550" s="673"/>
      <c r="R3550" s="958"/>
      <c r="S3550" s="366" t="s">
        <v>190</v>
      </c>
      <c r="T3550" s="376"/>
      <c r="U3550" s="376"/>
      <c r="V3550" s="366"/>
      <c r="W3550" s="366"/>
    </row>
    <row r="3551" spans="1:23">
      <c r="A3551" s="1410"/>
      <c r="B3551" s="1413"/>
      <c r="C3551" s="1181" t="s">
        <v>989</v>
      </c>
      <c r="D3551" s="875" t="str">
        <f>B3545&amp;C3551</f>
        <v>A142g</v>
      </c>
      <c r="E3551" s="367">
        <v>6</v>
      </c>
      <c r="F3551" s="669"/>
      <c r="G3551" s="368"/>
      <c r="H3551" s="368"/>
      <c r="I3551" s="368"/>
      <c r="J3551" s="368"/>
      <c r="K3551" s="370"/>
      <c r="L3551" s="370"/>
      <c r="M3551" s="371"/>
      <c r="N3551" s="671"/>
      <c r="O3551" s="671"/>
      <c r="P3551" s="373"/>
      <c r="Q3551" s="673"/>
      <c r="R3551" s="958"/>
      <c r="S3551" s="366" t="s">
        <v>190</v>
      </c>
      <c r="T3551" s="366"/>
      <c r="U3551" s="366"/>
      <c r="V3551" s="366"/>
      <c r="W3551" s="366"/>
    </row>
    <row r="3552" spans="1:23">
      <c r="A3552" s="1410"/>
      <c r="B3552" s="1413"/>
      <c r="C3552" s="1181" t="s">
        <v>990</v>
      </c>
      <c r="D3552" s="875" t="str">
        <f>B3545&amp;C3552</f>
        <v>A142h</v>
      </c>
      <c r="E3552" s="367">
        <v>7</v>
      </c>
      <c r="F3552" s="669"/>
      <c r="G3552" s="368"/>
      <c r="H3552" s="368"/>
      <c r="I3552" s="368"/>
      <c r="J3552" s="368"/>
      <c r="K3552" s="370"/>
      <c r="L3552" s="370"/>
      <c r="M3552" s="371"/>
      <c r="N3552" s="671"/>
      <c r="O3552" s="671"/>
      <c r="P3552" s="373"/>
      <c r="Q3552" s="673"/>
      <c r="R3552" s="958"/>
      <c r="S3552" s="366" t="s">
        <v>190</v>
      </c>
      <c r="T3552" s="366"/>
      <c r="U3552" s="366"/>
      <c r="V3552" s="366"/>
      <c r="W3552" s="366"/>
    </row>
    <row r="3553" spans="1:23">
      <c r="A3553" s="1410"/>
      <c r="B3553" s="1413"/>
      <c r="C3553" s="1181" t="s">
        <v>991</v>
      </c>
      <c r="D3553" s="875" t="str">
        <f>B3545&amp;C3553</f>
        <v>A142i</v>
      </c>
      <c r="E3553" s="367">
        <v>8</v>
      </c>
      <c r="F3553" s="669"/>
      <c r="G3553" s="368"/>
      <c r="H3553" s="368"/>
      <c r="I3553" s="368"/>
      <c r="J3553" s="368"/>
      <c r="K3553" s="370"/>
      <c r="L3553" s="370"/>
      <c r="M3553" s="371"/>
      <c r="N3553" s="671"/>
      <c r="O3553" s="671"/>
      <c r="P3553" s="373"/>
      <c r="Q3553" s="673"/>
      <c r="R3553" s="958"/>
      <c r="S3553" s="366"/>
      <c r="T3553" s="366"/>
      <c r="U3553" s="366"/>
      <c r="V3553" s="366"/>
      <c r="W3553" s="366"/>
    </row>
    <row r="3554" spans="1:23">
      <c r="A3554" s="1410"/>
      <c r="B3554" s="1413"/>
      <c r="C3554" s="1181" t="s">
        <v>992</v>
      </c>
      <c r="D3554" s="875" t="str">
        <f>B3545&amp;C3554</f>
        <v>A142k</v>
      </c>
      <c r="E3554" s="367">
        <v>9</v>
      </c>
      <c r="F3554" s="370"/>
      <c r="G3554" s="368"/>
      <c r="H3554" s="368"/>
      <c r="I3554" s="368"/>
      <c r="J3554" s="368"/>
      <c r="K3554" s="370"/>
      <c r="L3554" s="370"/>
      <c r="M3554" s="371"/>
      <c r="N3554" s="372"/>
      <c r="O3554" s="372"/>
      <c r="P3554" s="373"/>
      <c r="Q3554" s="374"/>
      <c r="R3554" s="378"/>
      <c r="S3554" s="379"/>
      <c r="T3554" s="366"/>
      <c r="U3554" s="366"/>
      <c r="V3554" s="366"/>
      <c r="W3554" s="366"/>
    </row>
    <row r="3555" spans="1:23">
      <c r="A3555" s="1410"/>
      <c r="B3555" s="1413"/>
      <c r="C3555" s="1181" t="s">
        <v>993</v>
      </c>
      <c r="D3555" s="875" t="str">
        <f>B3545&amp;C3555</f>
        <v>A142l</v>
      </c>
      <c r="E3555" s="367">
        <v>10</v>
      </c>
      <c r="F3555" s="370"/>
      <c r="G3555" s="368"/>
      <c r="H3555" s="368"/>
      <c r="I3555" s="368"/>
      <c r="J3555" s="368"/>
      <c r="K3555" s="370"/>
      <c r="L3555" s="370"/>
      <c r="M3555" s="370"/>
      <c r="N3555" s="372"/>
      <c r="O3555" s="372"/>
      <c r="P3555" s="373"/>
      <c r="Q3555" s="374"/>
      <c r="R3555" s="378"/>
      <c r="S3555" s="379"/>
      <c r="T3555" s="366"/>
      <c r="U3555" s="366"/>
      <c r="V3555" s="366"/>
      <c r="W3555" s="366"/>
    </row>
    <row r="3556" spans="1:23">
      <c r="A3556" s="1410"/>
      <c r="B3556" s="1413"/>
      <c r="C3556" s="1181" t="s">
        <v>994</v>
      </c>
      <c r="D3556" s="875" t="str">
        <f>B3545&amp;C3556</f>
        <v>A142m</v>
      </c>
      <c r="E3556" s="367">
        <v>11</v>
      </c>
      <c r="F3556" s="370"/>
      <c r="G3556" s="368"/>
      <c r="H3556" s="368"/>
      <c r="I3556" s="368"/>
      <c r="J3556" s="368"/>
      <c r="K3556" s="370"/>
      <c r="L3556" s="370"/>
      <c r="M3556" s="370"/>
      <c r="N3556" s="372"/>
      <c r="O3556" s="372"/>
      <c r="P3556" s="380"/>
      <c r="Q3556" s="374"/>
      <c r="R3556" s="381"/>
      <c r="S3556" s="379"/>
      <c r="T3556" s="366"/>
      <c r="U3556" s="366"/>
      <c r="V3556" s="366"/>
      <c r="W3556" s="366"/>
    </row>
    <row r="3557" spans="1:23">
      <c r="A3557" s="1410"/>
      <c r="B3557" s="1413"/>
      <c r="C3557" s="1181" t="s">
        <v>995</v>
      </c>
      <c r="D3557" s="875" t="str">
        <f>B3545&amp;C3557</f>
        <v>A142n</v>
      </c>
      <c r="E3557" s="367">
        <v>12</v>
      </c>
      <c r="F3557" s="370"/>
      <c r="G3557" s="368"/>
      <c r="H3557" s="368"/>
      <c r="I3557" s="368"/>
      <c r="J3557" s="368"/>
      <c r="K3557" s="370"/>
      <c r="L3557" s="370"/>
      <c r="M3557" s="370"/>
      <c r="N3557" s="372"/>
      <c r="O3557" s="372"/>
      <c r="P3557" s="380"/>
      <c r="Q3557" s="374"/>
      <c r="R3557" s="381"/>
      <c r="S3557" s="361"/>
      <c r="T3557" s="361"/>
      <c r="U3557" s="361"/>
      <c r="V3557" s="366"/>
      <c r="W3557" s="366"/>
    </row>
    <row r="3558" spans="1:23">
      <c r="A3558" s="1410"/>
      <c r="B3558" s="1413"/>
      <c r="C3558" s="1181" t="s">
        <v>471</v>
      </c>
      <c r="D3558" s="875" t="str">
        <f>B3545&amp;C3558</f>
        <v>A142x</v>
      </c>
      <c r="E3558" s="367">
        <v>13</v>
      </c>
      <c r="F3558" s="370"/>
      <c r="G3558" s="368"/>
      <c r="H3558" s="368"/>
      <c r="I3558" s="368"/>
      <c r="J3558" s="368"/>
      <c r="K3558" s="370"/>
      <c r="L3558" s="370"/>
      <c r="M3558" s="370"/>
      <c r="N3558" s="382"/>
      <c r="O3558" s="372"/>
      <c r="P3558" s="380"/>
      <c r="Q3558" s="381"/>
      <c r="R3558" s="381"/>
      <c r="S3558" s="361"/>
      <c r="T3558" s="361"/>
      <c r="U3558" s="361"/>
      <c r="V3558" s="366"/>
      <c r="W3558" s="366"/>
    </row>
    <row r="3559" spans="1:23">
      <c r="A3559" s="1410"/>
      <c r="B3559" s="1413"/>
      <c r="C3559" s="1181" t="s">
        <v>732</v>
      </c>
      <c r="D3559" s="875" t="str">
        <f>B3545&amp;C3559</f>
        <v>A142y</v>
      </c>
      <c r="E3559" s="367">
        <v>14</v>
      </c>
      <c r="F3559" s="370"/>
      <c r="G3559" s="368"/>
      <c r="H3559" s="368"/>
      <c r="I3559" s="368"/>
      <c r="J3559" s="368"/>
      <c r="K3559" s="370"/>
      <c r="L3559" s="370"/>
      <c r="M3559" s="370"/>
      <c r="N3559" s="382"/>
      <c r="O3559" s="372"/>
      <c r="P3559" s="380"/>
      <c r="Q3559" s="381"/>
      <c r="R3559" s="381"/>
      <c r="S3559" s="361"/>
      <c r="T3559" s="361"/>
      <c r="U3559" s="362"/>
      <c r="V3559" s="366"/>
      <c r="W3559" s="366"/>
    </row>
    <row r="3560" spans="1:23">
      <c r="A3560" s="1411"/>
      <c r="B3560" s="1414"/>
      <c r="C3560" s="1182" t="s">
        <v>996</v>
      </c>
      <c r="D3560" s="876" t="str">
        <f>B3545&amp;C3560</f>
        <v>A142z</v>
      </c>
      <c r="E3560" s="847">
        <v>15</v>
      </c>
      <c r="F3560" s="370"/>
      <c r="G3560" s="368"/>
      <c r="H3560" s="368"/>
      <c r="I3560" s="368"/>
      <c r="J3560" s="368"/>
      <c r="K3560" s="370"/>
      <c r="L3560" s="370"/>
      <c r="M3560" s="370"/>
      <c r="N3560" s="850"/>
      <c r="O3560" s="851"/>
      <c r="P3560" s="380"/>
      <c r="Q3560" s="852"/>
      <c r="R3560" s="383"/>
      <c r="S3560" s="361"/>
      <c r="T3560" s="1176"/>
      <c r="U3560" s="1175"/>
      <c r="V3560" s="366"/>
      <c r="W3560" s="366"/>
    </row>
    <row r="3561" spans="1:23">
      <c r="A3561" s="1400" t="s">
        <v>939</v>
      </c>
      <c r="B3561" s="1400"/>
      <c r="C3561" s="1177"/>
      <c r="D3561" s="871"/>
      <c r="E3561" s="1400" t="s">
        <v>177</v>
      </c>
      <c r="F3561" s="1400" t="s">
        <v>18</v>
      </c>
      <c r="G3561" s="1389" t="s">
        <v>19</v>
      </c>
      <c r="H3561" s="1390"/>
      <c r="I3561" s="1389" t="s">
        <v>22</v>
      </c>
      <c r="J3561" s="1390"/>
      <c r="K3561" s="1393" t="s">
        <v>26</v>
      </c>
      <c r="L3561" s="1390"/>
      <c r="M3561" s="1389" t="s">
        <v>392</v>
      </c>
      <c r="N3561" s="1390"/>
      <c r="O3561" s="1389" t="s">
        <v>28</v>
      </c>
      <c r="P3561" s="1393"/>
      <c r="Q3561" s="1390"/>
      <c r="R3561" s="1400" t="s">
        <v>36</v>
      </c>
      <c r="S3561" s="361"/>
      <c r="T3561" s="361">
        <f>MAX(J3565:J3579)-MIN(I3565:I3579)</f>
        <v>6.25E-2</v>
      </c>
      <c r="U3561" s="361"/>
      <c r="V3561" s="853" t="str">
        <f t="shared" ref="V3561" si="426">B3565</f>
        <v>A25</v>
      </c>
      <c r="W3561" s="361">
        <f t="shared" ref="W3561" si="427">COUNTIF(K3566:K3580,"&gt;0")</f>
        <v>3</v>
      </c>
    </row>
    <row r="3562" spans="1:23">
      <c r="A3562" s="1401"/>
      <c r="B3562" s="1401"/>
      <c r="C3562" s="1178"/>
      <c r="D3562" s="872"/>
      <c r="E3562" s="1401"/>
      <c r="F3562" s="1401"/>
      <c r="G3562" s="1391"/>
      <c r="H3562" s="1392"/>
      <c r="I3562" s="1391"/>
      <c r="J3562" s="1392"/>
      <c r="K3562" s="1394"/>
      <c r="L3562" s="1392"/>
      <c r="M3562" s="1391"/>
      <c r="N3562" s="1392"/>
      <c r="O3562" s="1391"/>
      <c r="P3562" s="1394"/>
      <c r="Q3562" s="1392"/>
      <c r="R3562" s="1401"/>
      <c r="S3562" s="361"/>
      <c r="T3562" s="361"/>
      <c r="U3562" s="361"/>
      <c r="V3562" s="361"/>
      <c r="W3562" s="361"/>
    </row>
    <row r="3563" spans="1:23">
      <c r="A3563" s="1401"/>
      <c r="B3563" s="1401"/>
      <c r="C3563" s="1178"/>
      <c r="D3563" s="872"/>
      <c r="E3563" s="1401"/>
      <c r="F3563" s="1401"/>
      <c r="G3563" s="1400" t="s">
        <v>20</v>
      </c>
      <c r="H3563" s="1400" t="s">
        <v>21</v>
      </c>
      <c r="I3563" s="1400" t="s">
        <v>361</v>
      </c>
      <c r="J3563" s="1400" t="s">
        <v>353</v>
      </c>
      <c r="K3563" s="1400" t="s">
        <v>23</v>
      </c>
      <c r="L3563" s="1400" t="s">
        <v>24</v>
      </c>
      <c r="M3563" s="1400" t="s">
        <v>27</v>
      </c>
      <c r="N3563" s="1400" t="s">
        <v>178</v>
      </c>
      <c r="O3563" s="1400" t="s">
        <v>1</v>
      </c>
      <c r="P3563" s="1400" t="s">
        <v>29</v>
      </c>
      <c r="Q3563" s="1400" t="s">
        <v>33</v>
      </c>
      <c r="R3563" s="1401"/>
      <c r="S3563" s="361"/>
      <c r="T3563" s="361" t="s">
        <v>39</v>
      </c>
      <c r="U3563" s="362">
        <f>VLOOKUP(B3565,'[7]Thong tin'!$A:$M,13,0)</f>
        <v>1200</v>
      </c>
      <c r="V3563" s="361"/>
      <c r="W3563" s="361"/>
    </row>
    <row r="3564" spans="1:23">
      <c r="A3564" s="1402"/>
      <c r="B3564" s="1402"/>
      <c r="C3564" s="1179"/>
      <c r="D3564" s="873"/>
      <c r="E3564" s="1402"/>
      <c r="F3564" s="1402"/>
      <c r="G3564" s="1402"/>
      <c r="H3564" s="1402"/>
      <c r="I3564" s="1402"/>
      <c r="J3564" s="1402"/>
      <c r="K3564" s="1402"/>
      <c r="L3564" s="1402"/>
      <c r="M3564" s="1402"/>
      <c r="N3564" s="1402"/>
      <c r="O3564" s="1402"/>
      <c r="P3564" s="1402"/>
      <c r="Q3564" s="1402"/>
      <c r="R3564" s="1402"/>
      <c r="S3564" s="361"/>
      <c r="T3564" s="1399" t="s">
        <v>393</v>
      </c>
      <c r="U3564" s="1397">
        <f>VLOOKUP(B3565,[7]DT.NK!$B:$AZ,45,0)</f>
        <v>28.36</v>
      </c>
      <c r="V3564" s="361"/>
      <c r="W3564" s="361"/>
    </row>
    <row r="3565" spans="1:23">
      <c r="A3565" s="1409">
        <f>A3545+1</f>
        <v>179</v>
      </c>
      <c r="B3565" s="1412" t="s">
        <v>608</v>
      </c>
      <c r="C3565" s="1180" t="s">
        <v>983</v>
      </c>
      <c r="D3565" s="874" t="str">
        <f>B3565&amp;C3565</f>
        <v>A25a</v>
      </c>
      <c r="E3565" s="363"/>
      <c r="F3565" s="364"/>
      <c r="G3565" s="364"/>
      <c r="H3565" s="364"/>
      <c r="I3565" s="364"/>
      <c r="J3565" s="364"/>
      <c r="K3565" s="364"/>
      <c r="L3565" s="364"/>
      <c r="M3565" s="674"/>
      <c r="N3565" s="670"/>
      <c r="O3565" s="670">
        <f>U3564</f>
        <v>28.36</v>
      </c>
      <c r="P3565" s="670">
        <f>O3565</f>
        <v>28.36</v>
      </c>
      <c r="Q3565" s="670">
        <v>0</v>
      </c>
      <c r="R3565" s="365"/>
      <c r="S3565" s="366"/>
      <c r="T3565" s="1399"/>
      <c r="U3565" s="1398"/>
      <c r="V3565" s="361"/>
      <c r="W3565" s="361"/>
    </row>
    <row r="3566" spans="1:23">
      <c r="A3566" s="1410"/>
      <c r="B3566" s="1413"/>
      <c r="C3566" s="1181" t="s">
        <v>984</v>
      </c>
      <c r="D3566" s="875" t="str">
        <f>B3565&amp;C3566</f>
        <v>A25b</v>
      </c>
      <c r="E3566" s="367">
        <v>1</v>
      </c>
      <c r="F3566" s="669" t="s">
        <v>1159</v>
      </c>
      <c r="G3566" s="369">
        <v>0.16666666666666666</v>
      </c>
      <c r="H3566" s="368">
        <v>0.20833333333333334</v>
      </c>
      <c r="I3566" s="368">
        <v>0.21527777777777779</v>
      </c>
      <c r="J3566" s="368">
        <v>0.22222222222222221</v>
      </c>
      <c r="K3566" s="669">
        <v>13.5</v>
      </c>
      <c r="L3566" s="669">
        <v>19</v>
      </c>
      <c r="M3566" s="675">
        <v>24.05</v>
      </c>
      <c r="N3566" s="671">
        <f>IF(M3566-P3566&gt;0,M3566-P3566,0)</f>
        <v>2.59</v>
      </c>
      <c r="O3566" s="671">
        <f>O3565-K3566/(PI()*(U3563/2000)^2)</f>
        <v>16.423379268107851</v>
      </c>
      <c r="P3566" s="672">
        <v>21.46</v>
      </c>
      <c r="Q3566" s="673">
        <f>ABS(O3566-P3566)</f>
        <v>5.0366207318921496</v>
      </c>
      <c r="R3566" s="375" t="s">
        <v>188</v>
      </c>
      <c r="S3566" s="366"/>
      <c r="T3566" s="376"/>
      <c r="U3566" s="376"/>
      <c r="V3566" s="366"/>
      <c r="W3566" s="366"/>
    </row>
    <row r="3567" spans="1:23">
      <c r="A3567" s="1410"/>
      <c r="B3567" s="1413"/>
      <c r="C3567" s="1181" t="s">
        <v>985</v>
      </c>
      <c r="D3567" s="875" t="str">
        <f>B3565&amp;C3567</f>
        <v>A25c</v>
      </c>
      <c r="E3567" s="367">
        <v>2</v>
      </c>
      <c r="F3567" s="669" t="s">
        <v>1156</v>
      </c>
      <c r="G3567" s="369">
        <v>0.17083333333333331</v>
      </c>
      <c r="H3567" s="368">
        <v>0.21875</v>
      </c>
      <c r="I3567" s="368">
        <v>0.22916666666666666</v>
      </c>
      <c r="J3567" s="368">
        <v>0.23611111111111113</v>
      </c>
      <c r="K3567" s="669">
        <v>13.5</v>
      </c>
      <c r="L3567" s="669">
        <v>19</v>
      </c>
      <c r="M3567" s="675">
        <v>14.6</v>
      </c>
      <c r="N3567" s="671">
        <f>IF(M3567-P3567&gt;0,M3567-P3567,0)</f>
        <v>4.08</v>
      </c>
      <c r="O3567" s="671">
        <f>O3566-K3567/(PI()*(U3563/2000)^2)</f>
        <v>4.4867585362157012</v>
      </c>
      <c r="P3567" s="672">
        <v>10.52</v>
      </c>
      <c r="Q3567" s="673">
        <f>ABS(O3567-P3567)</f>
        <v>6.0332414637842984</v>
      </c>
      <c r="R3567" s="375" t="s">
        <v>188</v>
      </c>
      <c r="S3567" s="366"/>
      <c r="T3567" s="376"/>
      <c r="U3567" s="376"/>
      <c r="V3567" s="366"/>
      <c r="W3567" s="366"/>
    </row>
    <row r="3568" spans="1:23">
      <c r="A3568" s="1410"/>
      <c r="B3568" s="1413"/>
      <c r="C3568" s="1181" t="s">
        <v>986</v>
      </c>
      <c r="D3568" s="875" t="str">
        <f>B3565&amp;C3568</f>
        <v>A25d</v>
      </c>
      <c r="E3568" s="367">
        <v>3</v>
      </c>
      <c r="F3568" s="669" t="s">
        <v>1160</v>
      </c>
      <c r="G3568" s="368">
        <v>0.24791666666666667</v>
      </c>
      <c r="H3568" s="368">
        <v>0.2638888888888889</v>
      </c>
      <c r="I3568" s="368">
        <v>0.27430555555555552</v>
      </c>
      <c r="J3568" s="368">
        <v>0.27777777777777779</v>
      </c>
      <c r="K3568" s="370">
        <v>5</v>
      </c>
      <c r="L3568" s="370">
        <v>20</v>
      </c>
      <c r="M3568" s="371"/>
      <c r="N3568" s="671"/>
      <c r="O3568" s="671"/>
      <c r="P3568" s="373">
        <v>6.3</v>
      </c>
      <c r="Q3568" s="673"/>
      <c r="R3568" s="958" t="s">
        <v>188</v>
      </c>
      <c r="S3568" s="366"/>
      <c r="T3568" s="376"/>
      <c r="U3568" s="376"/>
      <c r="V3568" s="366"/>
      <c r="W3568" s="366"/>
    </row>
    <row r="3569" spans="1:23">
      <c r="A3569" s="1410"/>
      <c r="B3569" s="1413"/>
      <c r="C3569" s="1181" t="s">
        <v>987</v>
      </c>
      <c r="D3569" s="875" t="str">
        <f>B3565&amp;C3569</f>
        <v>A25e</v>
      </c>
      <c r="E3569" s="367">
        <v>4</v>
      </c>
      <c r="F3569" s="669"/>
      <c r="G3569" s="368"/>
      <c r="H3569" s="368"/>
      <c r="I3569" s="368"/>
      <c r="J3569" s="368"/>
      <c r="K3569" s="370"/>
      <c r="L3569" s="370"/>
      <c r="M3569" s="371"/>
      <c r="N3569" s="671"/>
      <c r="O3569" s="671"/>
      <c r="P3569" s="373"/>
      <c r="Q3569" s="673"/>
      <c r="R3569" s="958"/>
      <c r="S3569" s="366"/>
      <c r="T3569" s="376"/>
      <c r="U3569" s="376"/>
      <c r="V3569" s="366"/>
      <c r="W3569" s="366"/>
    </row>
    <row r="3570" spans="1:23">
      <c r="A3570" s="1410"/>
      <c r="B3570" s="1413"/>
      <c r="C3570" s="1181" t="s">
        <v>988</v>
      </c>
      <c r="D3570" s="875" t="str">
        <f>B3565&amp;C3570</f>
        <v>A25f</v>
      </c>
      <c r="E3570" s="367">
        <v>5</v>
      </c>
      <c r="F3570" s="669"/>
      <c r="G3570" s="368"/>
      <c r="H3570" s="368"/>
      <c r="I3570" s="368"/>
      <c r="J3570" s="368"/>
      <c r="K3570" s="370"/>
      <c r="L3570" s="370"/>
      <c r="M3570" s="371"/>
      <c r="N3570" s="671"/>
      <c r="O3570" s="671"/>
      <c r="P3570" s="373"/>
      <c r="Q3570" s="673"/>
      <c r="R3570" s="958"/>
      <c r="S3570" s="366" t="s">
        <v>190</v>
      </c>
      <c r="T3570" s="376"/>
      <c r="U3570" s="376"/>
      <c r="V3570" s="366"/>
      <c r="W3570" s="366"/>
    </row>
    <row r="3571" spans="1:23">
      <c r="A3571" s="1410"/>
      <c r="B3571" s="1413"/>
      <c r="C3571" s="1181" t="s">
        <v>989</v>
      </c>
      <c r="D3571" s="875" t="str">
        <f>B3565&amp;C3571</f>
        <v>A25g</v>
      </c>
      <c r="E3571" s="367">
        <v>6</v>
      </c>
      <c r="F3571" s="669"/>
      <c r="G3571" s="368"/>
      <c r="H3571" s="368"/>
      <c r="I3571" s="368"/>
      <c r="J3571" s="368"/>
      <c r="K3571" s="370"/>
      <c r="L3571" s="370"/>
      <c r="M3571" s="371"/>
      <c r="N3571" s="671"/>
      <c r="O3571" s="671"/>
      <c r="P3571" s="373"/>
      <c r="Q3571" s="673"/>
      <c r="R3571" s="958"/>
      <c r="S3571" s="366" t="s">
        <v>190</v>
      </c>
      <c r="T3571" s="366"/>
      <c r="U3571" s="366"/>
      <c r="V3571" s="366"/>
      <c r="W3571" s="366"/>
    </row>
    <row r="3572" spans="1:23">
      <c r="A3572" s="1410"/>
      <c r="B3572" s="1413"/>
      <c r="C3572" s="1181" t="s">
        <v>990</v>
      </c>
      <c r="D3572" s="875" t="str">
        <f>B3565&amp;C3572</f>
        <v>A25h</v>
      </c>
      <c r="E3572" s="367">
        <v>7</v>
      </c>
      <c r="F3572" s="669"/>
      <c r="G3572" s="368"/>
      <c r="H3572" s="368"/>
      <c r="I3572" s="368"/>
      <c r="J3572" s="368"/>
      <c r="K3572" s="370"/>
      <c r="L3572" s="370"/>
      <c r="M3572" s="371"/>
      <c r="N3572" s="671"/>
      <c r="O3572" s="671"/>
      <c r="P3572" s="373"/>
      <c r="Q3572" s="673"/>
      <c r="R3572" s="958"/>
      <c r="S3572" s="366" t="s">
        <v>190</v>
      </c>
      <c r="T3572" s="366"/>
      <c r="U3572" s="366"/>
      <c r="V3572" s="366"/>
      <c r="W3572" s="366"/>
    </row>
    <row r="3573" spans="1:23">
      <c r="A3573" s="1410"/>
      <c r="B3573" s="1413"/>
      <c r="C3573" s="1181" t="s">
        <v>991</v>
      </c>
      <c r="D3573" s="875" t="str">
        <f>B3565&amp;C3573</f>
        <v>A25i</v>
      </c>
      <c r="E3573" s="367">
        <v>8</v>
      </c>
      <c r="F3573" s="669"/>
      <c r="G3573" s="368"/>
      <c r="H3573" s="368"/>
      <c r="I3573" s="368"/>
      <c r="J3573" s="368"/>
      <c r="K3573" s="370"/>
      <c r="L3573" s="370"/>
      <c r="M3573" s="371"/>
      <c r="N3573" s="671"/>
      <c r="O3573" s="671"/>
      <c r="P3573" s="373"/>
      <c r="Q3573" s="673"/>
      <c r="R3573" s="958"/>
      <c r="S3573" s="366"/>
      <c r="T3573" s="366"/>
      <c r="U3573" s="366"/>
      <c r="V3573" s="366"/>
      <c r="W3573" s="366"/>
    </row>
    <row r="3574" spans="1:23">
      <c r="A3574" s="1410"/>
      <c r="B3574" s="1413"/>
      <c r="C3574" s="1181" t="s">
        <v>992</v>
      </c>
      <c r="D3574" s="875" t="str">
        <f>B3565&amp;C3574</f>
        <v>A25k</v>
      </c>
      <c r="E3574" s="367">
        <v>9</v>
      </c>
      <c r="F3574" s="370"/>
      <c r="G3574" s="368"/>
      <c r="H3574" s="368"/>
      <c r="I3574" s="368"/>
      <c r="J3574" s="368"/>
      <c r="K3574" s="370"/>
      <c r="L3574" s="370"/>
      <c r="M3574" s="371"/>
      <c r="N3574" s="372"/>
      <c r="O3574" s="372"/>
      <c r="P3574" s="373"/>
      <c r="Q3574" s="374"/>
      <c r="R3574" s="378"/>
      <c r="S3574" s="379"/>
      <c r="T3574" s="366"/>
      <c r="U3574" s="366"/>
      <c r="V3574" s="366"/>
      <c r="W3574" s="366"/>
    </row>
    <row r="3575" spans="1:23">
      <c r="A3575" s="1410"/>
      <c r="B3575" s="1413"/>
      <c r="C3575" s="1181" t="s">
        <v>993</v>
      </c>
      <c r="D3575" s="875" t="str">
        <f>B3565&amp;C3575</f>
        <v>A25l</v>
      </c>
      <c r="E3575" s="367">
        <v>10</v>
      </c>
      <c r="F3575" s="370"/>
      <c r="G3575" s="368"/>
      <c r="H3575" s="368"/>
      <c r="I3575" s="368"/>
      <c r="J3575" s="368"/>
      <c r="K3575" s="370"/>
      <c r="L3575" s="370"/>
      <c r="M3575" s="370"/>
      <c r="N3575" s="372"/>
      <c r="O3575" s="372"/>
      <c r="P3575" s="373"/>
      <c r="Q3575" s="374"/>
      <c r="R3575" s="378"/>
      <c r="S3575" s="379"/>
      <c r="T3575" s="366"/>
      <c r="U3575" s="366"/>
      <c r="V3575" s="366"/>
      <c r="W3575" s="366"/>
    </row>
    <row r="3576" spans="1:23">
      <c r="A3576" s="1410"/>
      <c r="B3576" s="1413"/>
      <c r="C3576" s="1181" t="s">
        <v>994</v>
      </c>
      <c r="D3576" s="875" t="str">
        <f>B3565&amp;C3576</f>
        <v>A25m</v>
      </c>
      <c r="E3576" s="367">
        <v>11</v>
      </c>
      <c r="F3576" s="370"/>
      <c r="G3576" s="368"/>
      <c r="H3576" s="368"/>
      <c r="I3576" s="368"/>
      <c r="J3576" s="368"/>
      <c r="K3576" s="370"/>
      <c r="L3576" s="370"/>
      <c r="M3576" s="370"/>
      <c r="N3576" s="372"/>
      <c r="O3576" s="372"/>
      <c r="P3576" s="380"/>
      <c r="Q3576" s="374"/>
      <c r="R3576" s="381"/>
      <c r="S3576" s="379"/>
      <c r="T3576" s="366"/>
      <c r="U3576" s="366"/>
      <c r="V3576" s="366"/>
      <c r="W3576" s="366"/>
    </row>
    <row r="3577" spans="1:23">
      <c r="A3577" s="1410"/>
      <c r="B3577" s="1413"/>
      <c r="C3577" s="1181" t="s">
        <v>995</v>
      </c>
      <c r="D3577" s="875" t="str">
        <f>B3565&amp;C3577</f>
        <v>A25n</v>
      </c>
      <c r="E3577" s="367">
        <v>12</v>
      </c>
      <c r="F3577" s="370"/>
      <c r="G3577" s="368"/>
      <c r="H3577" s="368"/>
      <c r="I3577" s="368"/>
      <c r="J3577" s="368"/>
      <c r="K3577" s="370"/>
      <c r="L3577" s="370"/>
      <c r="M3577" s="370"/>
      <c r="N3577" s="372"/>
      <c r="O3577" s="372"/>
      <c r="P3577" s="380"/>
      <c r="Q3577" s="374"/>
      <c r="R3577" s="381"/>
      <c r="S3577" s="361"/>
      <c r="T3577" s="361"/>
      <c r="U3577" s="361"/>
      <c r="V3577" s="366"/>
      <c r="W3577" s="366"/>
    </row>
    <row r="3578" spans="1:23">
      <c r="A3578" s="1410"/>
      <c r="B3578" s="1413"/>
      <c r="C3578" s="1181" t="s">
        <v>471</v>
      </c>
      <c r="D3578" s="875" t="str">
        <f>B3565&amp;C3578</f>
        <v>A25x</v>
      </c>
      <c r="E3578" s="367">
        <v>13</v>
      </c>
      <c r="F3578" s="370"/>
      <c r="G3578" s="368"/>
      <c r="H3578" s="368"/>
      <c r="I3578" s="368"/>
      <c r="J3578" s="368"/>
      <c r="K3578" s="370"/>
      <c r="L3578" s="370"/>
      <c r="M3578" s="370"/>
      <c r="N3578" s="382"/>
      <c r="O3578" s="372"/>
      <c r="P3578" s="380"/>
      <c r="Q3578" s="381"/>
      <c r="R3578" s="381"/>
      <c r="S3578" s="361"/>
      <c r="T3578" s="361"/>
      <c r="U3578" s="361"/>
      <c r="V3578" s="366"/>
      <c r="W3578" s="366"/>
    </row>
    <row r="3579" spans="1:23">
      <c r="A3579" s="1410"/>
      <c r="B3579" s="1413"/>
      <c r="C3579" s="1181" t="s">
        <v>732</v>
      </c>
      <c r="D3579" s="875" t="str">
        <f>B3565&amp;C3579</f>
        <v>A25y</v>
      </c>
      <c r="E3579" s="367">
        <v>14</v>
      </c>
      <c r="F3579" s="370"/>
      <c r="G3579" s="368"/>
      <c r="H3579" s="368"/>
      <c r="I3579" s="368"/>
      <c r="J3579" s="368"/>
      <c r="K3579" s="370"/>
      <c r="L3579" s="370"/>
      <c r="M3579" s="370"/>
      <c r="N3579" s="382"/>
      <c r="O3579" s="372"/>
      <c r="P3579" s="380"/>
      <c r="Q3579" s="381"/>
      <c r="R3579" s="381"/>
      <c r="S3579" s="361"/>
      <c r="T3579" s="361"/>
      <c r="U3579" s="362"/>
      <c r="V3579" s="366"/>
      <c r="W3579" s="366"/>
    </row>
    <row r="3580" spans="1:23">
      <c r="A3580" s="1411"/>
      <c r="B3580" s="1414"/>
      <c r="C3580" s="1182" t="s">
        <v>996</v>
      </c>
      <c r="D3580" s="876" t="str">
        <f>B3565&amp;C3580</f>
        <v>A25z</v>
      </c>
      <c r="E3580" s="847">
        <v>15</v>
      </c>
      <c r="F3580" s="370"/>
      <c r="G3580" s="368"/>
      <c r="H3580" s="368"/>
      <c r="I3580" s="368"/>
      <c r="J3580" s="368"/>
      <c r="K3580" s="370"/>
      <c r="L3580" s="370"/>
      <c r="M3580" s="370"/>
      <c r="N3580" s="850"/>
      <c r="O3580" s="851"/>
      <c r="P3580" s="380"/>
      <c r="Q3580" s="852"/>
      <c r="R3580" s="383"/>
      <c r="S3580" s="361"/>
      <c r="T3580" s="1176"/>
      <c r="U3580" s="1175"/>
      <c r="V3580" s="366"/>
      <c r="W3580" s="366"/>
    </row>
    <row r="3581" spans="1:23">
      <c r="A3581" s="1400" t="s">
        <v>939</v>
      </c>
      <c r="B3581" s="1400"/>
      <c r="C3581" s="1177"/>
      <c r="D3581" s="871"/>
      <c r="E3581" s="1400" t="s">
        <v>177</v>
      </c>
      <c r="F3581" s="1400" t="s">
        <v>18</v>
      </c>
      <c r="G3581" s="1389" t="s">
        <v>19</v>
      </c>
      <c r="H3581" s="1390"/>
      <c r="I3581" s="1389" t="s">
        <v>22</v>
      </c>
      <c r="J3581" s="1390"/>
      <c r="K3581" s="1393" t="s">
        <v>26</v>
      </c>
      <c r="L3581" s="1390"/>
      <c r="M3581" s="1389" t="s">
        <v>392</v>
      </c>
      <c r="N3581" s="1390"/>
      <c r="O3581" s="1389" t="s">
        <v>28</v>
      </c>
      <c r="P3581" s="1393"/>
      <c r="Q3581" s="1390"/>
      <c r="R3581" s="1400" t="s">
        <v>36</v>
      </c>
      <c r="S3581" s="361"/>
      <c r="T3581" s="361">
        <f>MAX(J3585:J3599)-MIN(I3585:I3599)</f>
        <v>9.0277777777777735E-2</v>
      </c>
      <c r="U3581" s="361"/>
      <c r="V3581" s="853" t="str">
        <f t="shared" ref="V3581" si="428">B3585</f>
        <v>A114</v>
      </c>
      <c r="W3581" s="361">
        <f t="shared" ref="W3581" si="429">COUNTIF(K3586:K3600,"&gt;0")</f>
        <v>5</v>
      </c>
    </row>
    <row r="3582" spans="1:23">
      <c r="A3582" s="1401"/>
      <c r="B3582" s="1401"/>
      <c r="C3582" s="1178"/>
      <c r="D3582" s="872"/>
      <c r="E3582" s="1401"/>
      <c r="F3582" s="1401"/>
      <c r="G3582" s="1391"/>
      <c r="H3582" s="1392"/>
      <c r="I3582" s="1391"/>
      <c r="J3582" s="1392"/>
      <c r="K3582" s="1394"/>
      <c r="L3582" s="1392"/>
      <c r="M3582" s="1391"/>
      <c r="N3582" s="1392"/>
      <c r="O3582" s="1391"/>
      <c r="P3582" s="1394"/>
      <c r="Q3582" s="1392"/>
      <c r="R3582" s="1401"/>
      <c r="S3582" s="361"/>
      <c r="T3582" s="361"/>
      <c r="U3582" s="361"/>
      <c r="V3582" s="361"/>
      <c r="W3582" s="361"/>
    </row>
    <row r="3583" spans="1:23">
      <c r="A3583" s="1401"/>
      <c r="B3583" s="1401"/>
      <c r="C3583" s="1178"/>
      <c r="D3583" s="872"/>
      <c r="E3583" s="1401"/>
      <c r="F3583" s="1401"/>
      <c r="G3583" s="1400" t="s">
        <v>20</v>
      </c>
      <c r="H3583" s="1400" t="s">
        <v>21</v>
      </c>
      <c r="I3583" s="1400" t="s">
        <v>361</v>
      </c>
      <c r="J3583" s="1400" t="s">
        <v>353</v>
      </c>
      <c r="K3583" s="1400" t="s">
        <v>23</v>
      </c>
      <c r="L3583" s="1400" t="s">
        <v>24</v>
      </c>
      <c r="M3583" s="1400" t="s">
        <v>27</v>
      </c>
      <c r="N3583" s="1400" t="s">
        <v>178</v>
      </c>
      <c r="O3583" s="1400" t="s">
        <v>1</v>
      </c>
      <c r="P3583" s="1400" t="s">
        <v>29</v>
      </c>
      <c r="Q3583" s="1400" t="s">
        <v>33</v>
      </c>
      <c r="R3583" s="1401"/>
      <c r="S3583" s="361"/>
      <c r="T3583" s="361" t="s">
        <v>39</v>
      </c>
      <c r="U3583" s="362">
        <f>VLOOKUP(B3585,'[7]Thong tin'!$A:$M,13,0)</f>
        <v>1200</v>
      </c>
      <c r="V3583" s="361"/>
      <c r="W3583" s="361"/>
    </row>
    <row r="3584" spans="1:23">
      <c r="A3584" s="1402"/>
      <c r="B3584" s="1402"/>
      <c r="C3584" s="1179"/>
      <c r="D3584" s="873"/>
      <c r="E3584" s="1402"/>
      <c r="F3584" s="1402"/>
      <c r="G3584" s="1402"/>
      <c r="H3584" s="1402"/>
      <c r="I3584" s="1402"/>
      <c r="J3584" s="1402"/>
      <c r="K3584" s="1402"/>
      <c r="L3584" s="1402"/>
      <c r="M3584" s="1402"/>
      <c r="N3584" s="1402"/>
      <c r="O3584" s="1402"/>
      <c r="P3584" s="1402"/>
      <c r="Q3584" s="1402"/>
      <c r="R3584" s="1402"/>
      <c r="S3584" s="361"/>
      <c r="T3584" s="1399" t="s">
        <v>393</v>
      </c>
      <c r="U3584" s="1397">
        <f>VLOOKUP(B3585,[7]DT.NK!$B:$AZ,45,0)</f>
        <v>44.95</v>
      </c>
      <c r="V3584" s="361"/>
      <c r="W3584" s="361"/>
    </row>
    <row r="3585" spans="1:23">
      <c r="A3585" s="1409">
        <f>A3565+1</f>
        <v>180</v>
      </c>
      <c r="B3585" s="1412" t="s">
        <v>605</v>
      </c>
      <c r="C3585" s="1180" t="s">
        <v>983</v>
      </c>
      <c r="D3585" s="874" t="str">
        <f>B3585&amp;C3585</f>
        <v>A114a</v>
      </c>
      <c r="E3585" s="363"/>
      <c r="F3585" s="364"/>
      <c r="G3585" s="364"/>
      <c r="H3585" s="364"/>
      <c r="I3585" s="364"/>
      <c r="J3585" s="364"/>
      <c r="K3585" s="364"/>
      <c r="L3585" s="364"/>
      <c r="M3585" s="674"/>
      <c r="N3585" s="670"/>
      <c r="O3585" s="670">
        <f>U3584</f>
        <v>44.95</v>
      </c>
      <c r="P3585" s="670">
        <f>O3585</f>
        <v>44.95</v>
      </c>
      <c r="Q3585" s="670">
        <v>0</v>
      </c>
      <c r="R3585" s="365"/>
      <c r="S3585" s="366"/>
      <c r="T3585" s="1399"/>
      <c r="U3585" s="1398"/>
      <c r="V3585" s="361"/>
      <c r="W3585" s="361"/>
    </row>
    <row r="3586" spans="1:23">
      <c r="A3586" s="1410"/>
      <c r="B3586" s="1413"/>
      <c r="C3586" s="1181" t="s">
        <v>984</v>
      </c>
      <c r="D3586" s="875" t="str">
        <f>B3585&amp;C3586</f>
        <v>A114b</v>
      </c>
      <c r="E3586" s="367">
        <v>1</v>
      </c>
      <c r="F3586" s="669" t="s">
        <v>982</v>
      </c>
      <c r="G3586" s="369">
        <v>0.35416666666666669</v>
      </c>
      <c r="H3586" s="368">
        <v>0.38541666666666669</v>
      </c>
      <c r="I3586" s="368">
        <v>0.39930555555555558</v>
      </c>
      <c r="J3586" s="368">
        <v>0.40277777777777773</v>
      </c>
      <c r="K3586" s="669">
        <v>10</v>
      </c>
      <c r="L3586" s="669">
        <v>20</v>
      </c>
      <c r="M3586" s="675">
        <v>40.950000000000003</v>
      </c>
      <c r="N3586" s="671">
        <f>IF(M3586-P3586&gt;0,M3586-P3586,0)</f>
        <v>2.2800000000000011</v>
      </c>
      <c r="O3586" s="671">
        <f>O3585-K3586/(PI()*(U3583/2000)^2)</f>
        <v>36.108058717116933</v>
      </c>
      <c r="P3586" s="672">
        <v>38.67</v>
      </c>
      <c r="Q3586" s="673">
        <f>ABS(O3586-P3586)</f>
        <v>2.561941282883069</v>
      </c>
      <c r="R3586" s="375" t="s">
        <v>188</v>
      </c>
      <c r="S3586" s="366"/>
      <c r="T3586" s="376"/>
      <c r="U3586" s="376"/>
      <c r="V3586" s="366"/>
      <c r="W3586" s="366"/>
    </row>
    <row r="3587" spans="1:23">
      <c r="A3587" s="1410"/>
      <c r="B3587" s="1413"/>
      <c r="C3587" s="1181" t="s">
        <v>985</v>
      </c>
      <c r="D3587" s="875" t="str">
        <f>B3585&amp;C3587</f>
        <v>A114c</v>
      </c>
      <c r="E3587" s="367">
        <v>2</v>
      </c>
      <c r="F3587" s="669" t="s">
        <v>1156</v>
      </c>
      <c r="G3587" s="369">
        <v>0.375</v>
      </c>
      <c r="H3587" s="368">
        <v>0.41666666666666669</v>
      </c>
      <c r="I3587" s="368">
        <v>0.4201388888888889</v>
      </c>
      <c r="J3587" s="368">
        <v>0.42499999999999999</v>
      </c>
      <c r="K3587" s="669">
        <v>12</v>
      </c>
      <c r="L3587" s="669">
        <v>20</v>
      </c>
      <c r="M3587" s="675">
        <v>34.65</v>
      </c>
      <c r="N3587" s="671">
        <f>IF(M3587-P3587&gt;0,M3587-P3587,0)</f>
        <v>3.7999999999999972</v>
      </c>
      <c r="O3587" s="671">
        <f>O3586-K3587/(PI()*(U3583/2000)^2)</f>
        <v>25.497729177657241</v>
      </c>
      <c r="P3587" s="672">
        <v>30.85</v>
      </c>
      <c r="Q3587" s="673">
        <f>ABS(O3587-P3587)</f>
        <v>5.35227082234276</v>
      </c>
      <c r="R3587" s="375" t="s">
        <v>188</v>
      </c>
      <c r="S3587" s="366"/>
      <c r="T3587" s="376"/>
      <c r="U3587" s="376"/>
      <c r="V3587" s="366"/>
      <c r="W3587" s="366"/>
    </row>
    <row r="3588" spans="1:23">
      <c r="A3588" s="1410"/>
      <c r="B3588" s="1413"/>
      <c r="C3588" s="1181" t="s">
        <v>986</v>
      </c>
      <c r="D3588" s="875" t="str">
        <f>B3585&amp;C3588</f>
        <v>A114d</v>
      </c>
      <c r="E3588" s="367">
        <v>3</v>
      </c>
      <c r="F3588" s="669" t="s">
        <v>1160</v>
      </c>
      <c r="G3588" s="368">
        <v>0.3888888888888889</v>
      </c>
      <c r="H3588" s="368">
        <v>0.43055555555555558</v>
      </c>
      <c r="I3588" s="368">
        <v>0.43611111111111112</v>
      </c>
      <c r="J3588" s="368">
        <v>0.44097222222222227</v>
      </c>
      <c r="K3588" s="370">
        <v>12</v>
      </c>
      <c r="L3588" s="370">
        <v>19</v>
      </c>
      <c r="M3588" s="371">
        <v>28.35</v>
      </c>
      <c r="N3588" s="671"/>
      <c r="O3588" s="671"/>
      <c r="P3588" s="373">
        <v>23.23</v>
      </c>
      <c r="Q3588" s="673"/>
      <c r="R3588" s="958" t="s">
        <v>188</v>
      </c>
      <c r="S3588" s="366"/>
      <c r="T3588" s="376"/>
      <c r="U3588" s="376"/>
      <c r="V3588" s="366"/>
      <c r="W3588" s="366"/>
    </row>
    <row r="3589" spans="1:23">
      <c r="A3589" s="1410"/>
      <c r="B3589" s="1413"/>
      <c r="C3589" s="1181" t="s">
        <v>987</v>
      </c>
      <c r="D3589" s="875" t="str">
        <f>B3585&amp;C3589</f>
        <v>A114e</v>
      </c>
      <c r="E3589" s="367">
        <v>4</v>
      </c>
      <c r="F3589" s="669" t="s">
        <v>1159</v>
      </c>
      <c r="G3589" s="368">
        <v>0.40625</v>
      </c>
      <c r="H3589" s="368">
        <v>0.44444444444444442</v>
      </c>
      <c r="I3589" s="368">
        <v>0.44930555555555557</v>
      </c>
      <c r="J3589" s="368">
        <v>0.4548611111111111</v>
      </c>
      <c r="K3589" s="370">
        <v>11</v>
      </c>
      <c r="L3589" s="370">
        <v>19.5</v>
      </c>
      <c r="M3589" s="371">
        <v>18.899999999999999</v>
      </c>
      <c r="N3589" s="671"/>
      <c r="O3589" s="671"/>
      <c r="P3589" s="373">
        <v>13.9</v>
      </c>
      <c r="Q3589" s="673"/>
      <c r="R3589" s="958"/>
      <c r="S3589" s="366"/>
      <c r="T3589" s="376"/>
      <c r="U3589" s="376"/>
      <c r="V3589" s="366"/>
      <c r="W3589" s="366"/>
    </row>
    <row r="3590" spans="1:23">
      <c r="A3590" s="1410"/>
      <c r="B3590" s="1413"/>
      <c r="C3590" s="1181" t="s">
        <v>988</v>
      </c>
      <c r="D3590" s="875" t="str">
        <f>B3585&amp;C3590</f>
        <v>A114f</v>
      </c>
      <c r="E3590" s="367">
        <v>5</v>
      </c>
      <c r="F3590" s="669" t="s">
        <v>982</v>
      </c>
      <c r="G3590" s="368">
        <v>0.45833333333333331</v>
      </c>
      <c r="H3590" s="368">
        <v>0.4826388888888889</v>
      </c>
      <c r="I3590" s="368">
        <v>0.4861111111111111</v>
      </c>
      <c r="J3590" s="368">
        <v>0.48958333333333331</v>
      </c>
      <c r="K3590" s="370">
        <v>8.5</v>
      </c>
      <c r="L3590" s="370">
        <v>19</v>
      </c>
      <c r="M3590" s="371"/>
      <c r="N3590" s="671"/>
      <c r="O3590" s="671"/>
      <c r="P3590" s="373">
        <v>6.5</v>
      </c>
      <c r="Q3590" s="673"/>
      <c r="R3590" s="958"/>
      <c r="S3590" s="366" t="s">
        <v>190</v>
      </c>
      <c r="T3590" s="376"/>
      <c r="U3590" s="376"/>
      <c r="V3590" s="366"/>
      <c r="W3590" s="366"/>
    </row>
    <row r="3591" spans="1:23">
      <c r="A3591" s="1410"/>
      <c r="B3591" s="1413"/>
      <c r="C3591" s="1181" t="s">
        <v>989</v>
      </c>
      <c r="D3591" s="875" t="str">
        <f>B3585&amp;C3591</f>
        <v>A114g</v>
      </c>
      <c r="E3591" s="367">
        <v>6</v>
      </c>
      <c r="F3591" s="669"/>
      <c r="G3591" s="368"/>
      <c r="H3591" s="368"/>
      <c r="I3591" s="368"/>
      <c r="J3591" s="368"/>
      <c r="K3591" s="370"/>
      <c r="L3591" s="370"/>
      <c r="M3591" s="371"/>
      <c r="N3591" s="671"/>
      <c r="O3591" s="671"/>
      <c r="P3591" s="373"/>
      <c r="Q3591" s="673"/>
      <c r="R3591" s="958"/>
      <c r="S3591" s="366" t="s">
        <v>190</v>
      </c>
      <c r="T3591" s="366"/>
      <c r="U3591" s="366"/>
      <c r="V3591" s="366"/>
      <c r="W3591" s="366"/>
    </row>
    <row r="3592" spans="1:23">
      <c r="A3592" s="1410"/>
      <c r="B3592" s="1413"/>
      <c r="C3592" s="1181" t="s">
        <v>990</v>
      </c>
      <c r="D3592" s="875" t="str">
        <f>B3585&amp;C3592</f>
        <v>A114h</v>
      </c>
      <c r="E3592" s="367">
        <v>7</v>
      </c>
      <c r="F3592" s="669"/>
      <c r="G3592" s="368"/>
      <c r="H3592" s="368"/>
      <c r="I3592" s="368"/>
      <c r="J3592" s="368"/>
      <c r="K3592" s="370"/>
      <c r="L3592" s="370"/>
      <c r="M3592" s="371"/>
      <c r="N3592" s="671"/>
      <c r="O3592" s="671"/>
      <c r="P3592" s="373"/>
      <c r="Q3592" s="673"/>
      <c r="R3592" s="958"/>
      <c r="S3592" s="366" t="s">
        <v>190</v>
      </c>
      <c r="T3592" s="366"/>
      <c r="U3592" s="366"/>
      <c r="V3592" s="366"/>
      <c r="W3592" s="366"/>
    </row>
    <row r="3593" spans="1:23">
      <c r="A3593" s="1410"/>
      <c r="B3593" s="1413"/>
      <c r="C3593" s="1181" t="s">
        <v>991</v>
      </c>
      <c r="D3593" s="875" t="str">
        <f>B3585&amp;C3593</f>
        <v>A114i</v>
      </c>
      <c r="E3593" s="367">
        <v>8</v>
      </c>
      <c r="F3593" s="669"/>
      <c r="G3593" s="368"/>
      <c r="H3593" s="368"/>
      <c r="I3593" s="368"/>
      <c r="J3593" s="368"/>
      <c r="K3593" s="370"/>
      <c r="L3593" s="370"/>
      <c r="M3593" s="371"/>
      <c r="N3593" s="671"/>
      <c r="O3593" s="671"/>
      <c r="P3593" s="373"/>
      <c r="Q3593" s="673"/>
      <c r="R3593" s="958"/>
      <c r="S3593" s="366"/>
      <c r="T3593" s="366"/>
      <c r="U3593" s="366"/>
      <c r="V3593" s="366"/>
      <c r="W3593" s="366"/>
    </row>
    <row r="3594" spans="1:23">
      <c r="A3594" s="1410"/>
      <c r="B3594" s="1413"/>
      <c r="C3594" s="1181" t="s">
        <v>992</v>
      </c>
      <c r="D3594" s="875" t="str">
        <f>B3585&amp;C3594</f>
        <v>A114k</v>
      </c>
      <c r="E3594" s="367">
        <v>9</v>
      </c>
      <c r="F3594" s="370"/>
      <c r="G3594" s="368"/>
      <c r="H3594" s="368"/>
      <c r="I3594" s="368"/>
      <c r="J3594" s="368"/>
      <c r="K3594" s="370"/>
      <c r="L3594" s="370"/>
      <c r="M3594" s="371"/>
      <c r="N3594" s="372"/>
      <c r="O3594" s="372"/>
      <c r="P3594" s="373"/>
      <c r="Q3594" s="374"/>
      <c r="R3594" s="378"/>
      <c r="S3594" s="379"/>
      <c r="T3594" s="366"/>
      <c r="U3594" s="366"/>
      <c r="V3594" s="366"/>
      <c r="W3594" s="366"/>
    </row>
    <row r="3595" spans="1:23">
      <c r="A3595" s="1410"/>
      <c r="B3595" s="1413"/>
      <c r="C3595" s="1181" t="s">
        <v>993</v>
      </c>
      <c r="D3595" s="875" t="str">
        <f>B3585&amp;C3595</f>
        <v>A114l</v>
      </c>
      <c r="E3595" s="367">
        <v>10</v>
      </c>
      <c r="F3595" s="370"/>
      <c r="G3595" s="368"/>
      <c r="H3595" s="368"/>
      <c r="I3595" s="368"/>
      <c r="J3595" s="368"/>
      <c r="K3595" s="370"/>
      <c r="L3595" s="370"/>
      <c r="M3595" s="370"/>
      <c r="N3595" s="372"/>
      <c r="O3595" s="372"/>
      <c r="P3595" s="373"/>
      <c r="Q3595" s="374"/>
      <c r="R3595" s="378"/>
      <c r="S3595" s="379"/>
      <c r="T3595" s="366"/>
      <c r="U3595" s="366"/>
      <c r="V3595" s="366"/>
      <c r="W3595" s="366"/>
    </row>
    <row r="3596" spans="1:23">
      <c r="A3596" s="1410"/>
      <c r="B3596" s="1413"/>
      <c r="C3596" s="1181" t="s">
        <v>994</v>
      </c>
      <c r="D3596" s="875" t="str">
        <f>B3585&amp;C3596</f>
        <v>A114m</v>
      </c>
      <c r="E3596" s="367">
        <v>11</v>
      </c>
      <c r="F3596" s="370"/>
      <c r="G3596" s="368"/>
      <c r="H3596" s="368"/>
      <c r="I3596" s="368"/>
      <c r="J3596" s="368"/>
      <c r="K3596" s="370"/>
      <c r="L3596" s="370"/>
      <c r="M3596" s="370"/>
      <c r="N3596" s="372"/>
      <c r="O3596" s="372"/>
      <c r="P3596" s="380"/>
      <c r="Q3596" s="374"/>
      <c r="R3596" s="381"/>
      <c r="S3596" s="379"/>
      <c r="T3596" s="366"/>
      <c r="U3596" s="366"/>
      <c r="V3596" s="366"/>
      <c r="W3596" s="366"/>
    </row>
    <row r="3597" spans="1:23">
      <c r="A3597" s="1410"/>
      <c r="B3597" s="1413"/>
      <c r="C3597" s="1181" t="s">
        <v>995</v>
      </c>
      <c r="D3597" s="875" t="str">
        <f>B3585&amp;C3597</f>
        <v>A114n</v>
      </c>
      <c r="E3597" s="367">
        <v>12</v>
      </c>
      <c r="F3597" s="370"/>
      <c r="G3597" s="368"/>
      <c r="H3597" s="368"/>
      <c r="I3597" s="368"/>
      <c r="J3597" s="368"/>
      <c r="K3597" s="370"/>
      <c r="L3597" s="370"/>
      <c r="M3597" s="370"/>
      <c r="N3597" s="372"/>
      <c r="O3597" s="372"/>
      <c r="P3597" s="380"/>
      <c r="Q3597" s="374"/>
      <c r="R3597" s="381"/>
      <c r="S3597" s="361"/>
      <c r="T3597" s="361"/>
      <c r="U3597" s="361"/>
      <c r="V3597" s="366"/>
      <c r="W3597" s="366"/>
    </row>
    <row r="3598" spans="1:23">
      <c r="A3598" s="1410"/>
      <c r="B3598" s="1413"/>
      <c r="C3598" s="1181" t="s">
        <v>471</v>
      </c>
      <c r="D3598" s="875" t="str">
        <f>B3585&amp;C3598</f>
        <v>A114x</v>
      </c>
      <c r="E3598" s="367">
        <v>13</v>
      </c>
      <c r="F3598" s="370"/>
      <c r="G3598" s="368"/>
      <c r="H3598" s="368"/>
      <c r="I3598" s="368"/>
      <c r="J3598" s="368"/>
      <c r="K3598" s="370"/>
      <c r="L3598" s="370"/>
      <c r="M3598" s="370"/>
      <c r="N3598" s="382"/>
      <c r="O3598" s="372"/>
      <c r="P3598" s="380"/>
      <c r="Q3598" s="381"/>
      <c r="R3598" s="381"/>
      <c r="S3598" s="361"/>
      <c r="T3598" s="361"/>
      <c r="U3598" s="361"/>
      <c r="V3598" s="366"/>
      <c r="W3598" s="366"/>
    </row>
    <row r="3599" spans="1:23">
      <c r="A3599" s="1410"/>
      <c r="B3599" s="1413"/>
      <c r="C3599" s="1181" t="s">
        <v>732</v>
      </c>
      <c r="D3599" s="875" t="str">
        <f>B3585&amp;C3599</f>
        <v>A114y</v>
      </c>
      <c r="E3599" s="367">
        <v>14</v>
      </c>
      <c r="F3599" s="370"/>
      <c r="G3599" s="368"/>
      <c r="H3599" s="368"/>
      <c r="I3599" s="368"/>
      <c r="J3599" s="368"/>
      <c r="K3599" s="370"/>
      <c r="L3599" s="370"/>
      <c r="M3599" s="370"/>
      <c r="N3599" s="382"/>
      <c r="O3599" s="372"/>
      <c r="P3599" s="380"/>
      <c r="Q3599" s="381"/>
      <c r="R3599" s="381"/>
      <c r="S3599" s="361"/>
      <c r="T3599" s="361"/>
      <c r="U3599" s="362"/>
      <c r="V3599" s="366"/>
      <c r="W3599" s="366"/>
    </row>
    <row r="3600" spans="1:23">
      <c r="A3600" s="1411"/>
      <c r="B3600" s="1414"/>
      <c r="C3600" s="1182" t="s">
        <v>996</v>
      </c>
      <c r="D3600" s="876" t="str">
        <f>B3585&amp;C3600</f>
        <v>A114z</v>
      </c>
      <c r="E3600" s="847">
        <v>15</v>
      </c>
      <c r="F3600" s="370"/>
      <c r="G3600" s="368"/>
      <c r="H3600" s="368"/>
      <c r="I3600" s="368"/>
      <c r="J3600" s="368"/>
      <c r="K3600" s="370"/>
      <c r="L3600" s="370"/>
      <c r="M3600" s="370"/>
      <c r="N3600" s="850"/>
      <c r="O3600" s="851"/>
      <c r="P3600" s="380"/>
      <c r="Q3600" s="852"/>
      <c r="R3600" s="383"/>
      <c r="S3600" s="361"/>
      <c r="T3600" s="1176"/>
      <c r="U3600" s="1175"/>
      <c r="V3600" s="366"/>
      <c r="W3600" s="366"/>
    </row>
    <row r="3601" spans="1:23">
      <c r="A3601" s="1400" t="s">
        <v>939</v>
      </c>
      <c r="B3601" s="1400"/>
      <c r="C3601" s="1177"/>
      <c r="D3601" s="871"/>
      <c r="E3601" s="1400" t="s">
        <v>177</v>
      </c>
      <c r="F3601" s="1400" t="s">
        <v>18</v>
      </c>
      <c r="G3601" s="1389" t="s">
        <v>19</v>
      </c>
      <c r="H3601" s="1390"/>
      <c r="I3601" s="1389" t="s">
        <v>22</v>
      </c>
      <c r="J3601" s="1390"/>
      <c r="K3601" s="1393" t="s">
        <v>26</v>
      </c>
      <c r="L3601" s="1390"/>
      <c r="M3601" s="1389" t="s">
        <v>392</v>
      </c>
      <c r="N3601" s="1390"/>
      <c r="O3601" s="1389" t="s">
        <v>28</v>
      </c>
      <c r="P3601" s="1393"/>
      <c r="Q3601" s="1390"/>
      <c r="R3601" s="1400" t="s">
        <v>36</v>
      </c>
      <c r="S3601" s="361"/>
      <c r="T3601" s="361">
        <f>MAX(J3605:J3619)-MIN(I3605:I3619)</f>
        <v>4.1666666666666741E-2</v>
      </c>
      <c r="U3601" s="361"/>
      <c r="V3601" s="853" t="str">
        <f t="shared" ref="V3601" si="430">B3605</f>
        <v>B15</v>
      </c>
      <c r="W3601" s="361">
        <f t="shared" ref="W3601" si="431">COUNTIF(K3606:K3620,"&gt;0")</f>
        <v>2</v>
      </c>
    </row>
    <row r="3602" spans="1:23">
      <c r="A3602" s="1401"/>
      <c r="B3602" s="1401"/>
      <c r="C3602" s="1178"/>
      <c r="D3602" s="872"/>
      <c r="E3602" s="1401"/>
      <c r="F3602" s="1401"/>
      <c r="G3602" s="1391"/>
      <c r="H3602" s="1392"/>
      <c r="I3602" s="1391"/>
      <c r="J3602" s="1392"/>
      <c r="K3602" s="1394"/>
      <c r="L3602" s="1392"/>
      <c r="M3602" s="1391"/>
      <c r="N3602" s="1392"/>
      <c r="O3602" s="1391"/>
      <c r="P3602" s="1394"/>
      <c r="Q3602" s="1392"/>
      <c r="R3602" s="1401"/>
      <c r="S3602" s="361"/>
      <c r="T3602" s="361"/>
      <c r="U3602" s="361"/>
      <c r="V3602" s="361"/>
      <c r="W3602" s="361"/>
    </row>
    <row r="3603" spans="1:23">
      <c r="A3603" s="1401"/>
      <c r="B3603" s="1401"/>
      <c r="C3603" s="1178"/>
      <c r="D3603" s="872"/>
      <c r="E3603" s="1401"/>
      <c r="F3603" s="1401"/>
      <c r="G3603" s="1400" t="s">
        <v>20</v>
      </c>
      <c r="H3603" s="1400" t="s">
        <v>21</v>
      </c>
      <c r="I3603" s="1400" t="s">
        <v>361</v>
      </c>
      <c r="J3603" s="1400" t="s">
        <v>353</v>
      </c>
      <c r="K3603" s="1400" t="s">
        <v>23</v>
      </c>
      <c r="L3603" s="1400" t="s">
        <v>24</v>
      </c>
      <c r="M3603" s="1400" t="s">
        <v>27</v>
      </c>
      <c r="N3603" s="1400" t="s">
        <v>178</v>
      </c>
      <c r="O3603" s="1400" t="s">
        <v>1</v>
      </c>
      <c r="P3603" s="1400" t="s">
        <v>29</v>
      </c>
      <c r="Q3603" s="1400" t="s">
        <v>33</v>
      </c>
      <c r="R3603" s="1401"/>
      <c r="S3603" s="361"/>
      <c r="T3603" s="361" t="s">
        <v>39</v>
      </c>
      <c r="U3603" s="362">
        <f>VLOOKUP(B3605,'[7]Thong tin'!$A:$M,13,0)</f>
        <v>800</v>
      </c>
      <c r="V3603" s="361"/>
      <c r="W3603" s="361"/>
    </row>
    <row r="3604" spans="1:23">
      <c r="A3604" s="1402"/>
      <c r="B3604" s="1402"/>
      <c r="C3604" s="1179"/>
      <c r="D3604" s="873"/>
      <c r="E3604" s="1402"/>
      <c r="F3604" s="1402"/>
      <c r="G3604" s="1402"/>
      <c r="H3604" s="1402"/>
      <c r="I3604" s="1402"/>
      <c r="J3604" s="1402"/>
      <c r="K3604" s="1402"/>
      <c r="L3604" s="1402"/>
      <c r="M3604" s="1402"/>
      <c r="N3604" s="1402"/>
      <c r="O3604" s="1402"/>
      <c r="P3604" s="1402"/>
      <c r="Q3604" s="1402"/>
      <c r="R3604" s="1402"/>
      <c r="S3604" s="361"/>
      <c r="T3604" s="1399" t="s">
        <v>393</v>
      </c>
      <c r="U3604" s="1397">
        <f>VLOOKUP(B3605,[7]DT.NK!$B:$AZ,45,0)</f>
        <v>28.31</v>
      </c>
      <c r="V3604" s="361"/>
      <c r="W3604" s="361"/>
    </row>
    <row r="3605" spans="1:23">
      <c r="A3605" s="1409">
        <f>A3585+1</f>
        <v>181</v>
      </c>
      <c r="B3605" s="1412" t="s">
        <v>701</v>
      </c>
      <c r="C3605" s="1180" t="s">
        <v>983</v>
      </c>
      <c r="D3605" s="874" t="str">
        <f>B3605&amp;C3605</f>
        <v>B15a</v>
      </c>
      <c r="E3605" s="363"/>
      <c r="F3605" s="364"/>
      <c r="G3605" s="364"/>
      <c r="H3605" s="364"/>
      <c r="I3605" s="364"/>
      <c r="J3605" s="364"/>
      <c r="K3605" s="364"/>
      <c r="L3605" s="364"/>
      <c r="M3605" s="674"/>
      <c r="N3605" s="670"/>
      <c r="O3605" s="670">
        <f>U3604</f>
        <v>28.31</v>
      </c>
      <c r="P3605" s="670">
        <f>O3605</f>
        <v>28.31</v>
      </c>
      <c r="Q3605" s="670">
        <v>0</v>
      </c>
      <c r="R3605" s="365"/>
      <c r="S3605" s="366"/>
      <c r="T3605" s="1399"/>
      <c r="U3605" s="1398"/>
      <c r="V3605" s="361"/>
      <c r="W3605" s="361"/>
    </row>
    <row r="3606" spans="1:23">
      <c r="A3606" s="1410"/>
      <c r="B3606" s="1413"/>
      <c r="C3606" s="1181" t="s">
        <v>984</v>
      </c>
      <c r="D3606" s="875" t="str">
        <f>B3605&amp;C3606</f>
        <v>B15b</v>
      </c>
      <c r="E3606" s="367">
        <v>1</v>
      </c>
      <c r="F3606" s="669" t="s">
        <v>1156</v>
      </c>
      <c r="G3606" s="369">
        <v>0.68680555555555556</v>
      </c>
      <c r="H3606" s="368">
        <v>0.71875</v>
      </c>
      <c r="I3606" s="368">
        <v>0.72916666666666663</v>
      </c>
      <c r="J3606" s="368">
        <v>0.73263888888888884</v>
      </c>
      <c r="K3606" s="669">
        <v>7.5</v>
      </c>
      <c r="L3606" s="669">
        <v>19</v>
      </c>
      <c r="M3606" s="675">
        <v>21.4</v>
      </c>
      <c r="N3606" s="671">
        <f>IF(M3606-P3606&gt;0,M3606-P3606,0)</f>
        <v>2.8999999999999986</v>
      </c>
      <c r="O3606" s="671">
        <f>O3605-K3606/(PI()*(U3603/2000)^2)</f>
        <v>13.389224085134812</v>
      </c>
      <c r="P3606" s="672">
        <v>18.5</v>
      </c>
      <c r="Q3606" s="673">
        <f>ABS(O3606-P3606)</f>
        <v>5.1107759148651883</v>
      </c>
      <c r="R3606" s="375" t="s">
        <v>188</v>
      </c>
      <c r="S3606" s="366"/>
      <c r="T3606" s="376"/>
      <c r="U3606" s="376"/>
      <c r="V3606" s="366"/>
      <c r="W3606" s="366"/>
    </row>
    <row r="3607" spans="1:23">
      <c r="A3607" s="1410"/>
      <c r="B3607" s="1413"/>
      <c r="C3607" s="1181" t="s">
        <v>985</v>
      </c>
      <c r="D3607" s="875" t="str">
        <f>B3605&amp;C3607</f>
        <v>B15c</v>
      </c>
      <c r="E3607" s="367">
        <v>2</v>
      </c>
      <c r="F3607" s="669" t="s">
        <v>1160</v>
      </c>
      <c r="G3607" s="369">
        <v>0.69444444444444453</v>
      </c>
      <c r="H3607" s="368">
        <v>0.72916666666666663</v>
      </c>
      <c r="I3607" s="368">
        <v>0.76736111111111116</v>
      </c>
      <c r="J3607" s="368">
        <v>0.77083333333333337</v>
      </c>
      <c r="K3607" s="669">
        <v>7.5</v>
      </c>
      <c r="L3607" s="669">
        <v>20</v>
      </c>
      <c r="M3607" s="675"/>
      <c r="N3607" s="671">
        <f>IF(M3607-P3607&gt;0,M3607-P3607,0)</f>
        <v>0</v>
      </c>
      <c r="O3607" s="671">
        <f>O3606-K3607/(PI()*(U3603/2000)^2)</f>
        <v>-1.5315518297303754</v>
      </c>
      <c r="P3607" s="672">
        <v>4</v>
      </c>
      <c r="Q3607" s="673">
        <f>ABS(O3607-P3607)</f>
        <v>5.5315518297303754</v>
      </c>
      <c r="R3607" s="375" t="s">
        <v>188</v>
      </c>
      <c r="S3607" s="366"/>
      <c r="T3607" s="376"/>
      <c r="U3607" s="376"/>
      <c r="V3607" s="366"/>
      <c r="W3607" s="366"/>
    </row>
    <row r="3608" spans="1:23">
      <c r="A3608" s="1410"/>
      <c r="B3608" s="1413"/>
      <c r="C3608" s="1181" t="s">
        <v>986</v>
      </c>
      <c r="D3608" s="875" t="str">
        <f>B3605&amp;C3608</f>
        <v>B15d</v>
      </c>
      <c r="E3608" s="367">
        <v>3</v>
      </c>
      <c r="F3608" s="669"/>
      <c r="G3608" s="368"/>
      <c r="H3608" s="368"/>
      <c r="I3608" s="368"/>
      <c r="J3608" s="368"/>
      <c r="K3608" s="370"/>
      <c r="L3608" s="370"/>
      <c r="M3608" s="371"/>
      <c r="N3608" s="671"/>
      <c r="O3608" s="671"/>
      <c r="P3608" s="373"/>
      <c r="Q3608" s="673"/>
      <c r="R3608" s="958"/>
      <c r="S3608" s="366"/>
      <c r="T3608" s="376"/>
      <c r="U3608" s="376"/>
      <c r="V3608" s="366"/>
      <c r="W3608" s="366"/>
    </row>
    <row r="3609" spans="1:23">
      <c r="A3609" s="1410"/>
      <c r="B3609" s="1413"/>
      <c r="C3609" s="1181" t="s">
        <v>987</v>
      </c>
      <c r="D3609" s="875" t="str">
        <f>B3605&amp;C3609</f>
        <v>B15e</v>
      </c>
      <c r="E3609" s="367">
        <v>4</v>
      </c>
      <c r="F3609" s="669"/>
      <c r="G3609" s="368"/>
      <c r="H3609" s="368"/>
      <c r="I3609" s="368"/>
      <c r="J3609" s="368"/>
      <c r="K3609" s="370"/>
      <c r="L3609" s="370"/>
      <c r="M3609" s="371"/>
      <c r="N3609" s="671"/>
      <c r="O3609" s="671"/>
      <c r="P3609" s="373"/>
      <c r="Q3609" s="673"/>
      <c r="R3609" s="958"/>
      <c r="S3609" s="366"/>
      <c r="T3609" s="376"/>
      <c r="U3609" s="376"/>
      <c r="V3609" s="366"/>
      <c r="W3609" s="366"/>
    </row>
    <row r="3610" spans="1:23">
      <c r="A3610" s="1410"/>
      <c r="B3610" s="1413"/>
      <c r="C3610" s="1181" t="s">
        <v>988</v>
      </c>
      <c r="D3610" s="875" t="str">
        <f>B3605&amp;C3610</f>
        <v>B15f</v>
      </c>
      <c r="E3610" s="367">
        <v>5</v>
      </c>
      <c r="F3610" s="669"/>
      <c r="G3610" s="368"/>
      <c r="H3610" s="368"/>
      <c r="I3610" s="368"/>
      <c r="J3610" s="368"/>
      <c r="K3610" s="370"/>
      <c r="L3610" s="370"/>
      <c r="M3610" s="371"/>
      <c r="N3610" s="671"/>
      <c r="O3610" s="671"/>
      <c r="P3610" s="373"/>
      <c r="Q3610" s="673"/>
      <c r="R3610" s="958"/>
      <c r="S3610" s="366" t="s">
        <v>190</v>
      </c>
      <c r="T3610" s="376"/>
      <c r="U3610" s="376"/>
      <c r="V3610" s="366"/>
      <c r="W3610" s="366"/>
    </row>
    <row r="3611" spans="1:23">
      <c r="A3611" s="1410"/>
      <c r="B3611" s="1413"/>
      <c r="C3611" s="1181" t="s">
        <v>989</v>
      </c>
      <c r="D3611" s="875" t="str">
        <f>B3605&amp;C3611</f>
        <v>B15g</v>
      </c>
      <c r="E3611" s="367">
        <v>6</v>
      </c>
      <c r="F3611" s="669"/>
      <c r="G3611" s="368"/>
      <c r="H3611" s="368"/>
      <c r="I3611" s="368"/>
      <c r="J3611" s="368"/>
      <c r="K3611" s="370"/>
      <c r="L3611" s="370"/>
      <c r="M3611" s="371"/>
      <c r="N3611" s="671"/>
      <c r="O3611" s="671"/>
      <c r="P3611" s="373"/>
      <c r="Q3611" s="673"/>
      <c r="R3611" s="958"/>
      <c r="S3611" s="366" t="s">
        <v>190</v>
      </c>
      <c r="T3611" s="366"/>
      <c r="U3611" s="366"/>
      <c r="V3611" s="366"/>
      <c r="W3611" s="366"/>
    </row>
    <row r="3612" spans="1:23">
      <c r="A3612" s="1410"/>
      <c r="B3612" s="1413"/>
      <c r="C3612" s="1181" t="s">
        <v>990</v>
      </c>
      <c r="D3612" s="875" t="str">
        <f>B3605&amp;C3612</f>
        <v>B15h</v>
      </c>
      <c r="E3612" s="367">
        <v>7</v>
      </c>
      <c r="F3612" s="669"/>
      <c r="G3612" s="368"/>
      <c r="H3612" s="368"/>
      <c r="I3612" s="368"/>
      <c r="J3612" s="368"/>
      <c r="K3612" s="370"/>
      <c r="L3612" s="370"/>
      <c r="M3612" s="371"/>
      <c r="N3612" s="671"/>
      <c r="O3612" s="671"/>
      <c r="P3612" s="373"/>
      <c r="Q3612" s="673"/>
      <c r="R3612" s="958"/>
      <c r="S3612" s="366" t="s">
        <v>190</v>
      </c>
      <c r="T3612" s="366"/>
      <c r="U3612" s="366"/>
      <c r="V3612" s="366"/>
      <c r="W3612" s="366"/>
    </row>
    <row r="3613" spans="1:23">
      <c r="A3613" s="1410"/>
      <c r="B3613" s="1413"/>
      <c r="C3613" s="1181" t="s">
        <v>991</v>
      </c>
      <c r="D3613" s="875" t="str">
        <f>B3605&amp;C3613</f>
        <v>B15i</v>
      </c>
      <c r="E3613" s="367">
        <v>8</v>
      </c>
      <c r="F3613" s="669"/>
      <c r="G3613" s="368"/>
      <c r="H3613" s="368"/>
      <c r="I3613" s="368"/>
      <c r="J3613" s="368"/>
      <c r="K3613" s="370"/>
      <c r="L3613" s="370"/>
      <c r="M3613" s="371"/>
      <c r="N3613" s="671"/>
      <c r="O3613" s="671"/>
      <c r="P3613" s="373"/>
      <c r="Q3613" s="673"/>
      <c r="R3613" s="958"/>
      <c r="S3613" s="366"/>
      <c r="T3613" s="366"/>
      <c r="U3613" s="366"/>
      <c r="V3613" s="366"/>
      <c r="W3613" s="366"/>
    </row>
    <row r="3614" spans="1:23">
      <c r="A3614" s="1410"/>
      <c r="B3614" s="1413"/>
      <c r="C3614" s="1181" t="s">
        <v>992</v>
      </c>
      <c r="D3614" s="875" t="str">
        <f>B3605&amp;C3614</f>
        <v>B15k</v>
      </c>
      <c r="E3614" s="367">
        <v>9</v>
      </c>
      <c r="F3614" s="370"/>
      <c r="G3614" s="368"/>
      <c r="H3614" s="368"/>
      <c r="I3614" s="368"/>
      <c r="J3614" s="368"/>
      <c r="K3614" s="370"/>
      <c r="L3614" s="370"/>
      <c r="M3614" s="371"/>
      <c r="N3614" s="372"/>
      <c r="O3614" s="372"/>
      <c r="P3614" s="373"/>
      <c r="Q3614" s="374"/>
      <c r="R3614" s="378"/>
      <c r="S3614" s="379"/>
      <c r="T3614" s="366"/>
      <c r="U3614" s="366"/>
      <c r="V3614" s="366"/>
      <c r="W3614" s="366"/>
    </row>
    <row r="3615" spans="1:23">
      <c r="A3615" s="1410"/>
      <c r="B3615" s="1413"/>
      <c r="C3615" s="1181" t="s">
        <v>993</v>
      </c>
      <c r="D3615" s="875" t="str">
        <f>B3605&amp;C3615</f>
        <v>B15l</v>
      </c>
      <c r="E3615" s="367">
        <v>10</v>
      </c>
      <c r="F3615" s="370"/>
      <c r="G3615" s="368"/>
      <c r="H3615" s="368"/>
      <c r="I3615" s="368"/>
      <c r="J3615" s="368"/>
      <c r="K3615" s="370"/>
      <c r="L3615" s="370"/>
      <c r="M3615" s="370"/>
      <c r="N3615" s="372"/>
      <c r="O3615" s="372"/>
      <c r="P3615" s="373"/>
      <c r="Q3615" s="374"/>
      <c r="R3615" s="378"/>
      <c r="S3615" s="379"/>
      <c r="T3615" s="366"/>
      <c r="U3615" s="366"/>
      <c r="V3615" s="366"/>
      <c r="W3615" s="366"/>
    </row>
    <row r="3616" spans="1:23">
      <c r="A3616" s="1410"/>
      <c r="B3616" s="1413"/>
      <c r="C3616" s="1181" t="s">
        <v>994</v>
      </c>
      <c r="D3616" s="875" t="str">
        <f>B3605&amp;C3616</f>
        <v>B15m</v>
      </c>
      <c r="E3616" s="367">
        <v>11</v>
      </c>
      <c r="F3616" s="370"/>
      <c r="G3616" s="368"/>
      <c r="H3616" s="368"/>
      <c r="I3616" s="368"/>
      <c r="J3616" s="368"/>
      <c r="K3616" s="370"/>
      <c r="L3616" s="370"/>
      <c r="M3616" s="370"/>
      <c r="N3616" s="372"/>
      <c r="O3616" s="372"/>
      <c r="P3616" s="380"/>
      <c r="Q3616" s="374"/>
      <c r="R3616" s="381"/>
      <c r="S3616" s="379"/>
      <c r="T3616" s="366"/>
      <c r="U3616" s="366"/>
      <c r="V3616" s="366"/>
      <c r="W3616" s="366"/>
    </row>
    <row r="3617" spans="1:23">
      <c r="A3617" s="1410"/>
      <c r="B3617" s="1413"/>
      <c r="C3617" s="1181" t="s">
        <v>995</v>
      </c>
      <c r="D3617" s="875" t="str">
        <f>B3605&amp;C3617</f>
        <v>B15n</v>
      </c>
      <c r="E3617" s="367">
        <v>12</v>
      </c>
      <c r="F3617" s="370"/>
      <c r="G3617" s="368"/>
      <c r="H3617" s="368"/>
      <c r="I3617" s="368"/>
      <c r="J3617" s="368"/>
      <c r="K3617" s="370"/>
      <c r="L3617" s="370"/>
      <c r="M3617" s="370"/>
      <c r="N3617" s="372"/>
      <c r="O3617" s="372"/>
      <c r="P3617" s="380"/>
      <c r="Q3617" s="374"/>
      <c r="R3617" s="381"/>
      <c r="S3617" s="361"/>
      <c r="T3617" s="361"/>
      <c r="U3617" s="361"/>
      <c r="V3617" s="366"/>
      <c r="W3617" s="366"/>
    </row>
    <row r="3618" spans="1:23">
      <c r="A3618" s="1410"/>
      <c r="B3618" s="1413"/>
      <c r="C3618" s="1181" t="s">
        <v>471</v>
      </c>
      <c r="D3618" s="875" t="str">
        <f>B3605&amp;C3618</f>
        <v>B15x</v>
      </c>
      <c r="E3618" s="367">
        <v>13</v>
      </c>
      <c r="F3618" s="370"/>
      <c r="G3618" s="368"/>
      <c r="H3618" s="368"/>
      <c r="I3618" s="368"/>
      <c r="J3618" s="368"/>
      <c r="K3618" s="370"/>
      <c r="L3618" s="370"/>
      <c r="M3618" s="370"/>
      <c r="N3618" s="382"/>
      <c r="O3618" s="372"/>
      <c r="P3618" s="380"/>
      <c r="Q3618" s="381"/>
      <c r="R3618" s="381"/>
      <c r="S3618" s="361"/>
      <c r="T3618" s="361"/>
      <c r="U3618" s="361"/>
      <c r="V3618" s="366"/>
      <c r="W3618" s="366"/>
    </row>
    <row r="3619" spans="1:23">
      <c r="A3619" s="1410"/>
      <c r="B3619" s="1413"/>
      <c r="C3619" s="1181" t="s">
        <v>732</v>
      </c>
      <c r="D3619" s="875" t="str">
        <f>B3605&amp;C3619</f>
        <v>B15y</v>
      </c>
      <c r="E3619" s="367">
        <v>14</v>
      </c>
      <c r="F3619" s="370"/>
      <c r="G3619" s="368"/>
      <c r="H3619" s="368"/>
      <c r="I3619" s="368"/>
      <c r="J3619" s="368"/>
      <c r="K3619" s="370"/>
      <c r="L3619" s="370"/>
      <c r="M3619" s="370"/>
      <c r="N3619" s="382"/>
      <c r="O3619" s="372"/>
      <c r="P3619" s="380"/>
      <c r="Q3619" s="381"/>
      <c r="R3619" s="381"/>
      <c r="S3619" s="361"/>
      <c r="T3619" s="361"/>
      <c r="U3619" s="362"/>
      <c r="V3619" s="366"/>
      <c r="W3619" s="366"/>
    </row>
    <row r="3620" spans="1:23">
      <c r="A3620" s="1411"/>
      <c r="B3620" s="1414"/>
      <c r="C3620" s="1182" t="s">
        <v>996</v>
      </c>
      <c r="D3620" s="876" t="str">
        <f>B3605&amp;C3620</f>
        <v>B15z</v>
      </c>
      <c r="E3620" s="847">
        <v>15</v>
      </c>
      <c r="F3620" s="370"/>
      <c r="G3620" s="368"/>
      <c r="H3620" s="368"/>
      <c r="I3620" s="368"/>
      <c r="J3620" s="368"/>
      <c r="K3620" s="370"/>
      <c r="L3620" s="370"/>
      <c r="M3620" s="370"/>
      <c r="N3620" s="850"/>
      <c r="O3620" s="851"/>
      <c r="P3620" s="380"/>
      <c r="Q3620" s="852"/>
      <c r="R3620" s="383"/>
      <c r="S3620" s="361"/>
      <c r="T3620" s="1176"/>
      <c r="U3620" s="1175"/>
      <c r="V3620" s="366"/>
      <c r="W3620" s="366"/>
    </row>
    <row r="3621" spans="1:23">
      <c r="A3621" s="1400" t="s">
        <v>939</v>
      </c>
      <c r="B3621" s="1400"/>
      <c r="C3621" s="1177"/>
      <c r="D3621" s="871"/>
      <c r="E3621" s="1400" t="s">
        <v>177</v>
      </c>
      <c r="F3621" s="1400" t="s">
        <v>18</v>
      </c>
      <c r="G3621" s="1389" t="s">
        <v>19</v>
      </c>
      <c r="H3621" s="1390"/>
      <c r="I3621" s="1389" t="s">
        <v>22</v>
      </c>
      <c r="J3621" s="1390"/>
      <c r="K3621" s="1393" t="s">
        <v>26</v>
      </c>
      <c r="L3621" s="1390"/>
      <c r="M3621" s="1389" t="s">
        <v>392</v>
      </c>
      <c r="N3621" s="1390"/>
      <c r="O3621" s="1389" t="s">
        <v>28</v>
      </c>
      <c r="P3621" s="1393"/>
      <c r="Q3621" s="1390"/>
      <c r="R3621" s="1400" t="s">
        <v>36</v>
      </c>
      <c r="S3621" s="361"/>
      <c r="T3621" s="361">
        <f>MAX(J3625:J3639)-MIN(I3625:I3639)</f>
        <v>1.041666666666663E-2</v>
      </c>
      <c r="U3621" s="361"/>
      <c r="V3621" s="853" t="str">
        <f t="shared" ref="V3621" si="432">B3625</f>
        <v>B7</v>
      </c>
      <c r="W3621" s="361">
        <f t="shared" ref="W3621" si="433">COUNTIF(K3626:K3640,"&gt;0")</f>
        <v>1</v>
      </c>
    </row>
    <row r="3622" spans="1:23">
      <c r="A3622" s="1401"/>
      <c r="B3622" s="1401"/>
      <c r="C3622" s="1178"/>
      <c r="D3622" s="872"/>
      <c r="E3622" s="1401"/>
      <c r="F3622" s="1401"/>
      <c r="G3622" s="1391"/>
      <c r="H3622" s="1392"/>
      <c r="I3622" s="1391"/>
      <c r="J3622" s="1392"/>
      <c r="K3622" s="1394"/>
      <c r="L3622" s="1392"/>
      <c r="M3622" s="1391"/>
      <c r="N3622" s="1392"/>
      <c r="O3622" s="1391"/>
      <c r="P3622" s="1394"/>
      <c r="Q3622" s="1392"/>
      <c r="R3622" s="1401"/>
      <c r="S3622" s="361"/>
      <c r="T3622" s="361"/>
      <c r="U3622" s="361"/>
      <c r="V3622" s="361"/>
      <c r="W3622" s="361"/>
    </row>
    <row r="3623" spans="1:23">
      <c r="A3623" s="1401"/>
      <c r="B3623" s="1401"/>
      <c r="C3623" s="1178"/>
      <c r="D3623" s="872"/>
      <c r="E3623" s="1401"/>
      <c r="F3623" s="1401"/>
      <c r="G3623" s="1400" t="s">
        <v>20</v>
      </c>
      <c r="H3623" s="1400" t="s">
        <v>21</v>
      </c>
      <c r="I3623" s="1400" t="s">
        <v>361</v>
      </c>
      <c r="J3623" s="1400" t="s">
        <v>353</v>
      </c>
      <c r="K3623" s="1400" t="s">
        <v>23</v>
      </c>
      <c r="L3623" s="1400" t="s">
        <v>24</v>
      </c>
      <c r="M3623" s="1400" t="s">
        <v>27</v>
      </c>
      <c r="N3623" s="1400" t="s">
        <v>178</v>
      </c>
      <c r="O3623" s="1400" t="s">
        <v>1</v>
      </c>
      <c r="P3623" s="1400" t="s">
        <v>29</v>
      </c>
      <c r="Q3623" s="1400" t="s">
        <v>33</v>
      </c>
      <c r="R3623" s="1401"/>
      <c r="S3623" s="361"/>
      <c r="T3623" s="361" t="s">
        <v>39</v>
      </c>
      <c r="U3623" s="362">
        <f>VLOOKUP(B3625,'[7]Thong tin'!$A:$M,13,0)</f>
        <v>800</v>
      </c>
      <c r="V3623" s="361"/>
      <c r="W3623" s="361"/>
    </row>
    <row r="3624" spans="1:23">
      <c r="A3624" s="1402"/>
      <c r="B3624" s="1402"/>
      <c r="C3624" s="1179"/>
      <c r="D3624" s="873"/>
      <c r="E3624" s="1402"/>
      <c r="F3624" s="1402"/>
      <c r="G3624" s="1402"/>
      <c r="H3624" s="1402"/>
      <c r="I3624" s="1402"/>
      <c r="J3624" s="1402"/>
      <c r="K3624" s="1402"/>
      <c r="L3624" s="1402"/>
      <c r="M3624" s="1402"/>
      <c r="N3624" s="1402"/>
      <c r="O3624" s="1402"/>
      <c r="P3624" s="1402"/>
      <c r="Q3624" s="1402"/>
      <c r="R3624" s="1402"/>
      <c r="S3624" s="361"/>
      <c r="T3624" s="1399" t="s">
        <v>393</v>
      </c>
      <c r="U3624" s="1397">
        <f>VLOOKUP(B3625,[7]DT.NK!$B:$AZ,45,0)</f>
        <v>26.45</v>
      </c>
      <c r="V3624" s="361"/>
      <c r="W3624" s="361"/>
    </row>
    <row r="3625" spans="1:23">
      <c r="A3625" s="1409">
        <f>A3605+1</f>
        <v>182</v>
      </c>
      <c r="B3625" s="1412" t="s">
        <v>663</v>
      </c>
      <c r="C3625" s="1180" t="s">
        <v>983</v>
      </c>
      <c r="D3625" s="874" t="str">
        <f>B3625&amp;C3625</f>
        <v>B7a</v>
      </c>
      <c r="E3625" s="363"/>
      <c r="F3625" s="364"/>
      <c r="G3625" s="364"/>
      <c r="H3625" s="364"/>
      <c r="I3625" s="364"/>
      <c r="J3625" s="364"/>
      <c r="K3625" s="364"/>
      <c r="L3625" s="364"/>
      <c r="M3625" s="674"/>
      <c r="N3625" s="670"/>
      <c r="O3625" s="670">
        <f>U3624</f>
        <v>26.45</v>
      </c>
      <c r="P3625" s="670">
        <f>O3625</f>
        <v>26.45</v>
      </c>
      <c r="Q3625" s="670">
        <v>0</v>
      </c>
      <c r="R3625" s="365"/>
      <c r="S3625" s="366"/>
      <c r="T3625" s="1399"/>
      <c r="U3625" s="1398"/>
      <c r="V3625" s="361"/>
      <c r="W3625" s="361"/>
    </row>
    <row r="3626" spans="1:23">
      <c r="A3626" s="1410"/>
      <c r="B3626" s="1413"/>
      <c r="C3626" s="1181" t="s">
        <v>984</v>
      </c>
      <c r="D3626" s="875" t="str">
        <f>B3625&amp;C3626</f>
        <v>B7b</v>
      </c>
      <c r="E3626" s="367">
        <v>1</v>
      </c>
      <c r="F3626" s="669" t="s">
        <v>1156</v>
      </c>
      <c r="G3626" s="369">
        <v>0.94444444444444453</v>
      </c>
      <c r="H3626" s="368">
        <v>0.97916666666666663</v>
      </c>
      <c r="I3626" s="368">
        <v>0.98611111111111116</v>
      </c>
      <c r="J3626" s="368">
        <v>0.99652777777777779</v>
      </c>
      <c r="K3626" s="669">
        <v>13</v>
      </c>
      <c r="L3626" s="669">
        <v>19</v>
      </c>
      <c r="M3626" s="675">
        <v>26.2</v>
      </c>
      <c r="N3626" s="671">
        <f>IF(M3626-P3626&gt;0,M3626-P3626,0)</f>
        <v>19.899999999999999</v>
      </c>
      <c r="O3626" s="671">
        <f>O3625-K3626/(PI()*(U3623/2000)^2)</f>
        <v>0.58732174756701028</v>
      </c>
      <c r="P3626" s="672">
        <v>6.3</v>
      </c>
      <c r="Q3626" s="673">
        <f>ABS(O3626-P3626)</f>
        <v>5.7126782524329895</v>
      </c>
      <c r="R3626" s="375" t="s">
        <v>188</v>
      </c>
      <c r="S3626" s="366"/>
      <c r="T3626" s="376"/>
      <c r="U3626" s="376"/>
      <c r="V3626" s="366"/>
      <c r="W3626" s="366"/>
    </row>
    <row r="3627" spans="1:23">
      <c r="A3627" s="1410"/>
      <c r="B3627" s="1413"/>
      <c r="C3627" s="1181" t="s">
        <v>985</v>
      </c>
      <c r="D3627" s="875" t="str">
        <f>B3625&amp;C3627</f>
        <v>B7c</v>
      </c>
      <c r="E3627" s="367">
        <v>2</v>
      </c>
      <c r="F3627" s="669"/>
      <c r="G3627" s="368"/>
      <c r="H3627" s="368"/>
      <c r="I3627" s="368"/>
      <c r="J3627" s="368"/>
      <c r="K3627" s="370"/>
      <c r="L3627" s="370"/>
      <c r="M3627" s="371"/>
      <c r="N3627" s="671"/>
      <c r="O3627" s="671"/>
      <c r="P3627" s="373"/>
      <c r="Q3627" s="673"/>
      <c r="R3627" s="958"/>
      <c r="S3627" s="366"/>
      <c r="T3627" s="376"/>
      <c r="U3627" s="376"/>
      <c r="V3627" s="366"/>
      <c r="W3627" s="366"/>
    </row>
    <row r="3628" spans="1:23">
      <c r="A3628" s="1410"/>
      <c r="B3628" s="1413"/>
      <c r="C3628" s="1181" t="s">
        <v>986</v>
      </c>
      <c r="D3628" s="875" t="str">
        <f>B3625&amp;C3628</f>
        <v>B7d</v>
      </c>
      <c r="E3628" s="367">
        <v>3</v>
      </c>
      <c r="F3628" s="669"/>
      <c r="G3628" s="368"/>
      <c r="H3628" s="368"/>
      <c r="I3628" s="368"/>
      <c r="J3628" s="368"/>
      <c r="K3628" s="370"/>
      <c r="L3628" s="370"/>
      <c r="M3628" s="371"/>
      <c r="N3628" s="671"/>
      <c r="O3628" s="671"/>
      <c r="P3628" s="373"/>
      <c r="Q3628" s="673"/>
      <c r="R3628" s="958"/>
      <c r="S3628" s="366"/>
      <c r="T3628" s="376"/>
      <c r="U3628" s="376"/>
      <c r="V3628" s="366"/>
      <c r="W3628" s="366"/>
    </row>
    <row r="3629" spans="1:23">
      <c r="A3629" s="1410"/>
      <c r="B3629" s="1413"/>
      <c r="C3629" s="1181" t="s">
        <v>987</v>
      </c>
      <c r="D3629" s="875" t="str">
        <f>B3625&amp;C3629</f>
        <v>B7e</v>
      </c>
      <c r="E3629" s="367">
        <v>4</v>
      </c>
      <c r="F3629" s="669"/>
      <c r="G3629" s="368"/>
      <c r="H3629" s="368"/>
      <c r="I3629" s="368"/>
      <c r="J3629" s="368"/>
      <c r="K3629" s="370"/>
      <c r="L3629" s="370"/>
      <c r="M3629" s="371"/>
      <c r="N3629" s="671"/>
      <c r="O3629" s="671"/>
      <c r="P3629" s="373"/>
      <c r="Q3629" s="673"/>
      <c r="R3629" s="958"/>
      <c r="S3629" s="366"/>
      <c r="T3629" s="376"/>
      <c r="U3629" s="376"/>
      <c r="V3629" s="366"/>
      <c r="W3629" s="366"/>
    </row>
    <row r="3630" spans="1:23">
      <c r="A3630" s="1410"/>
      <c r="B3630" s="1413"/>
      <c r="C3630" s="1181" t="s">
        <v>988</v>
      </c>
      <c r="D3630" s="875" t="str">
        <f>B3625&amp;C3630</f>
        <v>B7f</v>
      </c>
      <c r="E3630" s="367">
        <v>5</v>
      </c>
      <c r="F3630" s="669"/>
      <c r="G3630" s="368"/>
      <c r="H3630" s="368"/>
      <c r="I3630" s="368"/>
      <c r="J3630" s="368"/>
      <c r="K3630" s="370"/>
      <c r="L3630" s="370"/>
      <c r="M3630" s="371"/>
      <c r="N3630" s="671"/>
      <c r="O3630" s="671"/>
      <c r="P3630" s="373"/>
      <c r="Q3630" s="673"/>
      <c r="R3630" s="958"/>
      <c r="S3630" s="366" t="s">
        <v>190</v>
      </c>
      <c r="T3630" s="376"/>
      <c r="U3630" s="376"/>
      <c r="V3630" s="366"/>
      <c r="W3630" s="366"/>
    </row>
    <row r="3631" spans="1:23">
      <c r="A3631" s="1410"/>
      <c r="B3631" s="1413"/>
      <c r="C3631" s="1181" t="s">
        <v>989</v>
      </c>
      <c r="D3631" s="875" t="str">
        <f>B3625&amp;C3631</f>
        <v>B7g</v>
      </c>
      <c r="E3631" s="367">
        <v>6</v>
      </c>
      <c r="F3631" s="669"/>
      <c r="G3631" s="368"/>
      <c r="H3631" s="368"/>
      <c r="I3631" s="368"/>
      <c r="J3631" s="368"/>
      <c r="K3631" s="370"/>
      <c r="L3631" s="370"/>
      <c r="M3631" s="371"/>
      <c r="N3631" s="671"/>
      <c r="O3631" s="671"/>
      <c r="P3631" s="373"/>
      <c r="Q3631" s="673"/>
      <c r="R3631" s="958"/>
      <c r="S3631" s="366" t="s">
        <v>190</v>
      </c>
      <c r="T3631" s="366"/>
      <c r="U3631" s="366"/>
      <c r="V3631" s="366"/>
      <c r="W3631" s="366"/>
    </row>
    <row r="3632" spans="1:23">
      <c r="A3632" s="1410"/>
      <c r="B3632" s="1413"/>
      <c r="C3632" s="1181" t="s">
        <v>990</v>
      </c>
      <c r="D3632" s="875" t="str">
        <f>B3625&amp;C3632</f>
        <v>B7h</v>
      </c>
      <c r="E3632" s="367">
        <v>7</v>
      </c>
      <c r="F3632" s="669"/>
      <c r="G3632" s="368"/>
      <c r="H3632" s="368"/>
      <c r="I3632" s="368"/>
      <c r="J3632" s="368"/>
      <c r="K3632" s="370"/>
      <c r="L3632" s="370"/>
      <c r="M3632" s="371"/>
      <c r="N3632" s="671"/>
      <c r="O3632" s="671"/>
      <c r="P3632" s="373"/>
      <c r="Q3632" s="673"/>
      <c r="R3632" s="958"/>
      <c r="S3632" s="366" t="s">
        <v>190</v>
      </c>
      <c r="T3632" s="366"/>
      <c r="U3632" s="366"/>
      <c r="V3632" s="366"/>
      <c r="W3632" s="366"/>
    </row>
    <row r="3633" spans="1:23">
      <c r="A3633" s="1410"/>
      <c r="B3633" s="1413"/>
      <c r="C3633" s="1181" t="s">
        <v>991</v>
      </c>
      <c r="D3633" s="875" t="str">
        <f>B3625&amp;C3633</f>
        <v>B7i</v>
      </c>
      <c r="E3633" s="367">
        <v>8</v>
      </c>
      <c r="F3633" s="669"/>
      <c r="G3633" s="368"/>
      <c r="H3633" s="368"/>
      <c r="I3633" s="368"/>
      <c r="J3633" s="368"/>
      <c r="K3633" s="370"/>
      <c r="L3633" s="370"/>
      <c r="M3633" s="371"/>
      <c r="N3633" s="671"/>
      <c r="O3633" s="671"/>
      <c r="P3633" s="373"/>
      <c r="Q3633" s="673"/>
      <c r="R3633" s="958"/>
      <c r="S3633" s="366"/>
      <c r="T3633" s="366"/>
      <c r="U3633" s="366"/>
      <c r="V3633" s="366"/>
      <c r="W3633" s="366"/>
    </row>
    <row r="3634" spans="1:23">
      <c r="A3634" s="1410"/>
      <c r="B3634" s="1413"/>
      <c r="C3634" s="1181" t="s">
        <v>992</v>
      </c>
      <c r="D3634" s="875" t="str">
        <f>B3625&amp;C3634</f>
        <v>B7k</v>
      </c>
      <c r="E3634" s="367">
        <v>9</v>
      </c>
      <c r="F3634" s="370"/>
      <c r="G3634" s="368"/>
      <c r="H3634" s="368"/>
      <c r="I3634" s="368"/>
      <c r="J3634" s="368"/>
      <c r="K3634" s="370"/>
      <c r="L3634" s="370"/>
      <c r="M3634" s="371"/>
      <c r="N3634" s="372"/>
      <c r="O3634" s="372"/>
      <c r="P3634" s="373"/>
      <c r="Q3634" s="374"/>
      <c r="R3634" s="378"/>
      <c r="S3634" s="379"/>
      <c r="T3634" s="366"/>
      <c r="U3634" s="366"/>
      <c r="V3634" s="366"/>
      <c r="W3634" s="366"/>
    </row>
    <row r="3635" spans="1:23">
      <c r="A3635" s="1410"/>
      <c r="B3635" s="1413"/>
      <c r="C3635" s="1181" t="s">
        <v>993</v>
      </c>
      <c r="D3635" s="875" t="str">
        <f>B3625&amp;C3635</f>
        <v>B7l</v>
      </c>
      <c r="E3635" s="367">
        <v>10</v>
      </c>
      <c r="F3635" s="370"/>
      <c r="G3635" s="368"/>
      <c r="H3635" s="368"/>
      <c r="I3635" s="368"/>
      <c r="J3635" s="368"/>
      <c r="K3635" s="370"/>
      <c r="L3635" s="370"/>
      <c r="M3635" s="370"/>
      <c r="N3635" s="372"/>
      <c r="O3635" s="372"/>
      <c r="P3635" s="373"/>
      <c r="Q3635" s="374"/>
      <c r="R3635" s="378"/>
      <c r="S3635" s="379"/>
      <c r="T3635" s="366"/>
      <c r="U3635" s="366"/>
      <c r="V3635" s="366"/>
      <c r="W3635" s="366"/>
    </row>
    <row r="3636" spans="1:23">
      <c r="A3636" s="1410"/>
      <c r="B3636" s="1413"/>
      <c r="C3636" s="1181" t="s">
        <v>994</v>
      </c>
      <c r="D3636" s="875" t="str">
        <f>B3625&amp;C3636</f>
        <v>B7m</v>
      </c>
      <c r="E3636" s="367">
        <v>11</v>
      </c>
      <c r="F3636" s="370"/>
      <c r="G3636" s="368"/>
      <c r="H3636" s="368"/>
      <c r="I3636" s="368"/>
      <c r="J3636" s="368"/>
      <c r="K3636" s="370"/>
      <c r="L3636" s="370"/>
      <c r="M3636" s="370"/>
      <c r="N3636" s="372"/>
      <c r="O3636" s="372"/>
      <c r="P3636" s="380"/>
      <c r="Q3636" s="374"/>
      <c r="R3636" s="381"/>
      <c r="S3636" s="379"/>
      <c r="T3636" s="366"/>
      <c r="U3636" s="366"/>
      <c r="V3636" s="366"/>
      <c r="W3636" s="366"/>
    </row>
    <row r="3637" spans="1:23">
      <c r="A3637" s="1410"/>
      <c r="B3637" s="1413"/>
      <c r="C3637" s="1181" t="s">
        <v>995</v>
      </c>
      <c r="D3637" s="875" t="str">
        <f>B3625&amp;C3637</f>
        <v>B7n</v>
      </c>
      <c r="E3637" s="367">
        <v>12</v>
      </c>
      <c r="F3637" s="370"/>
      <c r="G3637" s="368"/>
      <c r="H3637" s="368"/>
      <c r="I3637" s="368"/>
      <c r="J3637" s="368"/>
      <c r="K3637" s="370"/>
      <c r="L3637" s="370"/>
      <c r="M3637" s="370"/>
      <c r="N3637" s="372"/>
      <c r="O3637" s="372"/>
      <c r="P3637" s="380"/>
      <c r="Q3637" s="374"/>
      <c r="R3637" s="381"/>
      <c r="S3637" s="361"/>
      <c r="T3637" s="361"/>
      <c r="U3637" s="361"/>
      <c r="V3637" s="366"/>
      <c r="W3637" s="366"/>
    </row>
    <row r="3638" spans="1:23">
      <c r="A3638" s="1410"/>
      <c r="B3638" s="1413"/>
      <c r="C3638" s="1181" t="s">
        <v>471</v>
      </c>
      <c r="D3638" s="875" t="str">
        <f>B3625&amp;C3638</f>
        <v>B7x</v>
      </c>
      <c r="E3638" s="367">
        <v>13</v>
      </c>
      <c r="F3638" s="370"/>
      <c r="G3638" s="368"/>
      <c r="H3638" s="368"/>
      <c r="I3638" s="368"/>
      <c r="J3638" s="368"/>
      <c r="K3638" s="370"/>
      <c r="L3638" s="370"/>
      <c r="M3638" s="370"/>
      <c r="N3638" s="382"/>
      <c r="O3638" s="372"/>
      <c r="P3638" s="380"/>
      <c r="Q3638" s="381"/>
      <c r="R3638" s="381"/>
      <c r="S3638" s="361"/>
      <c r="T3638" s="361"/>
      <c r="U3638" s="361"/>
      <c r="V3638" s="366"/>
      <c r="W3638" s="366"/>
    </row>
    <row r="3639" spans="1:23">
      <c r="A3639" s="1410"/>
      <c r="B3639" s="1413"/>
      <c r="C3639" s="1181" t="s">
        <v>732</v>
      </c>
      <c r="D3639" s="875" t="str">
        <f>B3625&amp;C3639</f>
        <v>B7y</v>
      </c>
      <c r="E3639" s="367">
        <v>14</v>
      </c>
      <c r="F3639" s="370"/>
      <c r="G3639" s="368"/>
      <c r="H3639" s="368"/>
      <c r="I3639" s="368"/>
      <c r="J3639" s="368"/>
      <c r="K3639" s="370"/>
      <c r="L3639" s="370"/>
      <c r="M3639" s="370"/>
      <c r="N3639" s="382"/>
      <c r="O3639" s="372"/>
      <c r="P3639" s="380"/>
      <c r="Q3639" s="381"/>
      <c r="R3639" s="381"/>
      <c r="S3639" s="361"/>
      <c r="T3639" s="361"/>
      <c r="U3639" s="362"/>
      <c r="V3639" s="366"/>
      <c r="W3639" s="366"/>
    </row>
    <row r="3640" spans="1:23">
      <c r="A3640" s="1411"/>
      <c r="B3640" s="1414"/>
      <c r="C3640" s="1182" t="s">
        <v>996</v>
      </c>
      <c r="D3640" s="876" t="str">
        <f>B3625&amp;C3640</f>
        <v>B7z</v>
      </c>
      <c r="E3640" s="847">
        <v>15</v>
      </c>
      <c r="F3640" s="370"/>
      <c r="G3640" s="368"/>
      <c r="H3640" s="368"/>
      <c r="I3640" s="368"/>
      <c r="J3640" s="368"/>
      <c r="K3640" s="370"/>
      <c r="L3640" s="370"/>
      <c r="M3640" s="370"/>
      <c r="N3640" s="850"/>
      <c r="O3640" s="851"/>
      <c r="P3640" s="380"/>
      <c r="Q3640" s="852"/>
      <c r="R3640" s="383"/>
      <c r="S3640" s="361"/>
      <c r="T3640" s="1176"/>
      <c r="U3640" s="1175"/>
      <c r="V3640" s="366"/>
      <c r="W3640" s="366"/>
    </row>
    <row r="3641" spans="1:23">
      <c r="A3641" s="1400" t="s">
        <v>939</v>
      </c>
      <c r="B3641" s="1400"/>
      <c r="C3641" s="1200"/>
      <c r="D3641" s="871"/>
      <c r="E3641" s="1400" t="s">
        <v>177</v>
      </c>
      <c r="F3641" s="1400" t="s">
        <v>18</v>
      </c>
      <c r="G3641" s="1389" t="s">
        <v>19</v>
      </c>
      <c r="H3641" s="1390"/>
      <c r="I3641" s="1389" t="s">
        <v>22</v>
      </c>
      <c r="J3641" s="1390"/>
      <c r="K3641" s="1393" t="s">
        <v>26</v>
      </c>
      <c r="L3641" s="1390"/>
      <c r="M3641" s="1389" t="s">
        <v>392</v>
      </c>
      <c r="N3641" s="1390"/>
      <c r="O3641" s="1389" t="s">
        <v>28</v>
      </c>
      <c r="P3641" s="1393"/>
      <c r="Q3641" s="1390"/>
      <c r="R3641" s="1400" t="s">
        <v>36</v>
      </c>
      <c r="S3641" s="361"/>
      <c r="T3641" s="361">
        <f>MAX(J3645:J3659)-MIN(I3645:I3659)</f>
        <v>5.2083333333333315E-2</v>
      </c>
      <c r="U3641" s="361"/>
      <c r="V3641" s="853" t="str">
        <f t="shared" ref="V3641" si="434">B3645</f>
        <v>A101</v>
      </c>
      <c r="W3641" s="361">
        <f t="shared" ref="W3641" si="435">COUNTIF(K3646:K3660,"&gt;0")</f>
        <v>3</v>
      </c>
    </row>
    <row r="3642" spans="1:23">
      <c r="A3642" s="1401"/>
      <c r="B3642" s="1401"/>
      <c r="C3642" s="1202"/>
      <c r="D3642" s="872"/>
      <c r="E3642" s="1401"/>
      <c r="F3642" s="1401"/>
      <c r="G3642" s="1391"/>
      <c r="H3642" s="1392"/>
      <c r="I3642" s="1391"/>
      <c r="J3642" s="1392"/>
      <c r="K3642" s="1394"/>
      <c r="L3642" s="1392"/>
      <c r="M3642" s="1391"/>
      <c r="N3642" s="1392"/>
      <c r="O3642" s="1391"/>
      <c r="P3642" s="1394"/>
      <c r="Q3642" s="1392"/>
      <c r="R3642" s="1401"/>
      <c r="S3642" s="361"/>
      <c r="T3642" s="361"/>
      <c r="U3642" s="361"/>
      <c r="V3642" s="361"/>
      <c r="W3642" s="361"/>
    </row>
    <row r="3643" spans="1:23">
      <c r="A3643" s="1401"/>
      <c r="B3643" s="1401"/>
      <c r="C3643" s="1202"/>
      <c r="D3643" s="872"/>
      <c r="E3643" s="1401"/>
      <c r="F3643" s="1401"/>
      <c r="G3643" s="1400" t="s">
        <v>20</v>
      </c>
      <c r="H3643" s="1400" t="s">
        <v>21</v>
      </c>
      <c r="I3643" s="1400" t="s">
        <v>361</v>
      </c>
      <c r="J3643" s="1400" t="s">
        <v>353</v>
      </c>
      <c r="K3643" s="1400" t="s">
        <v>23</v>
      </c>
      <c r="L3643" s="1400" t="s">
        <v>24</v>
      </c>
      <c r="M3643" s="1400" t="s">
        <v>27</v>
      </c>
      <c r="N3643" s="1400" t="s">
        <v>178</v>
      </c>
      <c r="O3643" s="1400" t="s">
        <v>1</v>
      </c>
      <c r="P3643" s="1400" t="s">
        <v>29</v>
      </c>
      <c r="Q3643" s="1400" t="s">
        <v>33</v>
      </c>
      <c r="R3643" s="1401"/>
      <c r="S3643" s="361"/>
      <c r="T3643" s="361" t="s">
        <v>39</v>
      </c>
      <c r="U3643" s="362">
        <f>VLOOKUP(B3645,'[8]Thong tin'!$A:$M,13,0)</f>
        <v>1200</v>
      </c>
      <c r="V3643" s="361"/>
      <c r="W3643" s="361"/>
    </row>
    <row r="3644" spans="1:23">
      <c r="A3644" s="1402"/>
      <c r="B3644" s="1402"/>
      <c r="C3644" s="1201"/>
      <c r="D3644" s="873"/>
      <c r="E3644" s="1402"/>
      <c r="F3644" s="1402"/>
      <c r="G3644" s="1402"/>
      <c r="H3644" s="1402"/>
      <c r="I3644" s="1402"/>
      <c r="J3644" s="1402"/>
      <c r="K3644" s="1402"/>
      <c r="L3644" s="1402"/>
      <c r="M3644" s="1402"/>
      <c r="N3644" s="1402"/>
      <c r="O3644" s="1402"/>
      <c r="P3644" s="1402"/>
      <c r="Q3644" s="1402"/>
      <c r="R3644" s="1402"/>
      <c r="S3644" s="361"/>
      <c r="T3644" s="1399" t="s">
        <v>393</v>
      </c>
      <c r="U3644" s="1397">
        <f>VLOOKUP(B3645,[8]DT.NK!$B:$AZ,45,0)</f>
        <v>34.22</v>
      </c>
      <c r="V3644" s="361"/>
      <c r="W3644" s="361"/>
    </row>
    <row r="3645" spans="1:23">
      <c r="A3645" s="1409">
        <f>A3625+1</f>
        <v>183</v>
      </c>
      <c r="B3645" s="1412" t="s">
        <v>540</v>
      </c>
      <c r="C3645" s="1205" t="s">
        <v>983</v>
      </c>
      <c r="D3645" s="874" t="str">
        <f>B3645&amp;C3645</f>
        <v>A101a</v>
      </c>
      <c r="E3645" s="363"/>
      <c r="F3645" s="364"/>
      <c r="G3645" s="364"/>
      <c r="H3645" s="364"/>
      <c r="I3645" s="364"/>
      <c r="J3645" s="364"/>
      <c r="K3645" s="364"/>
      <c r="L3645" s="364"/>
      <c r="M3645" s="674"/>
      <c r="N3645" s="670"/>
      <c r="O3645" s="670">
        <f>U3644</f>
        <v>34.22</v>
      </c>
      <c r="P3645" s="670">
        <f>O3645</f>
        <v>34.22</v>
      </c>
      <c r="Q3645" s="670">
        <v>0</v>
      </c>
      <c r="R3645" s="365"/>
      <c r="S3645" s="366"/>
      <c r="T3645" s="1399"/>
      <c r="U3645" s="1398"/>
      <c r="V3645" s="361"/>
      <c r="W3645" s="361"/>
    </row>
    <row r="3646" spans="1:23">
      <c r="A3646" s="1410"/>
      <c r="B3646" s="1413"/>
      <c r="C3646" s="1206" t="s">
        <v>984</v>
      </c>
      <c r="D3646" s="875" t="str">
        <f>B3645&amp;C3646</f>
        <v>A101b</v>
      </c>
      <c r="E3646" s="367">
        <v>1</v>
      </c>
      <c r="F3646" s="669" t="s">
        <v>982</v>
      </c>
      <c r="G3646" s="369">
        <v>0.3576388888888889</v>
      </c>
      <c r="H3646" s="368">
        <v>0.3888888888888889</v>
      </c>
      <c r="I3646" s="368">
        <v>0.40625</v>
      </c>
      <c r="J3646" s="368">
        <v>0.40972222222222227</v>
      </c>
      <c r="K3646" s="669">
        <v>10</v>
      </c>
      <c r="L3646" s="669">
        <v>20</v>
      </c>
      <c r="M3646" s="675">
        <v>30.85</v>
      </c>
      <c r="N3646" s="671">
        <f>IF(M3646-P3646&gt;0,M3646-P3646,0)</f>
        <v>3.0300000000000011</v>
      </c>
      <c r="O3646" s="671">
        <f>O3645-K3646/(PI()*(U3643/2000)^2)</f>
        <v>25.378058717116925</v>
      </c>
      <c r="P3646" s="672">
        <v>27.82</v>
      </c>
      <c r="Q3646" s="673">
        <f>ABS(O3646-P3646)</f>
        <v>2.4419412828830751</v>
      </c>
      <c r="R3646" s="375" t="s">
        <v>188</v>
      </c>
      <c r="S3646" s="366"/>
      <c r="T3646" s="376"/>
      <c r="U3646" s="376"/>
      <c r="V3646" s="366"/>
      <c r="W3646" s="366"/>
    </row>
    <row r="3647" spans="1:23">
      <c r="A3647" s="1410"/>
      <c r="B3647" s="1413"/>
      <c r="C3647" s="1206" t="s">
        <v>985</v>
      </c>
      <c r="D3647" s="875" t="str">
        <f>B3645&amp;C3647</f>
        <v>A101c</v>
      </c>
      <c r="E3647" s="367">
        <v>2</v>
      </c>
      <c r="F3647" s="669" t="s">
        <v>1179</v>
      </c>
      <c r="G3647" s="368">
        <v>0.36458333333333331</v>
      </c>
      <c r="H3647" s="368">
        <v>0.39583333333333331</v>
      </c>
      <c r="I3647" s="368">
        <v>0.4201388888888889</v>
      </c>
      <c r="J3647" s="368">
        <v>0.42499999999999999</v>
      </c>
      <c r="K3647" s="370">
        <v>12.5</v>
      </c>
      <c r="L3647" s="370">
        <v>20</v>
      </c>
      <c r="M3647" s="371">
        <v>21.4</v>
      </c>
      <c r="N3647" s="671">
        <f t="shared" ref="N3647:N3648" si="436">IF(M3647-P3647&gt;0,M3647-P3647,0)</f>
        <v>4.5399999999999991</v>
      </c>
      <c r="O3647" s="671">
        <f>O3646-K3647/(PI()*(U3643/2000)^2)</f>
        <v>14.325632113513082</v>
      </c>
      <c r="P3647" s="373">
        <v>16.86</v>
      </c>
      <c r="Q3647" s="673"/>
      <c r="R3647" s="958" t="s">
        <v>188</v>
      </c>
      <c r="S3647" s="366"/>
      <c r="T3647" s="376"/>
      <c r="U3647" s="376"/>
      <c r="V3647" s="366"/>
      <c r="W3647" s="366"/>
    </row>
    <row r="3648" spans="1:23">
      <c r="A3648" s="1410"/>
      <c r="B3648" s="1413"/>
      <c r="C3648" s="1206" t="s">
        <v>986</v>
      </c>
      <c r="D3648" s="875" t="str">
        <f>B3645&amp;C3648</f>
        <v>A101d</v>
      </c>
      <c r="E3648" s="367">
        <v>3</v>
      </c>
      <c r="F3648" s="669" t="s">
        <v>1156</v>
      </c>
      <c r="G3648" s="368">
        <v>0.3972222222222222</v>
      </c>
      <c r="H3648" s="368">
        <v>0.44444444444444442</v>
      </c>
      <c r="I3648" s="368">
        <v>0.45624999999999999</v>
      </c>
      <c r="J3648" s="368">
        <v>0.45833333333333331</v>
      </c>
      <c r="K3648" s="370">
        <v>12.5</v>
      </c>
      <c r="L3648" s="370">
        <v>19.5</v>
      </c>
      <c r="M3648" s="371"/>
      <c r="N3648" s="671">
        <f t="shared" si="436"/>
        <v>0</v>
      </c>
      <c r="O3648" s="671">
        <f>O3647-K3648/(PI()*(U3643/2000)^2)</f>
        <v>3.2732055099092392</v>
      </c>
      <c r="P3648" s="373">
        <v>6.4</v>
      </c>
      <c r="Q3648" s="673"/>
      <c r="R3648" s="958" t="s">
        <v>188</v>
      </c>
      <c r="S3648" s="366"/>
      <c r="T3648" s="376"/>
      <c r="U3648" s="376"/>
      <c r="V3648" s="366"/>
      <c r="W3648" s="366"/>
    </row>
    <row r="3649" spans="1:23">
      <c r="A3649" s="1410"/>
      <c r="B3649" s="1413"/>
      <c r="C3649" s="1206" t="s">
        <v>987</v>
      </c>
      <c r="D3649" s="875" t="str">
        <f>B3645&amp;C3649</f>
        <v>A101e</v>
      </c>
      <c r="E3649" s="367">
        <v>4</v>
      </c>
      <c r="F3649" s="669"/>
      <c r="G3649" s="368"/>
      <c r="H3649" s="368"/>
      <c r="I3649" s="368"/>
      <c r="J3649" s="368"/>
      <c r="K3649" s="370"/>
      <c r="L3649" s="370" t="s">
        <v>1180</v>
      </c>
      <c r="M3649" s="371"/>
      <c r="N3649" s="671"/>
      <c r="O3649" s="671"/>
      <c r="P3649" s="373"/>
      <c r="Q3649" s="673"/>
      <c r="R3649" s="958"/>
      <c r="S3649" s="366"/>
      <c r="T3649" s="376"/>
      <c r="U3649" s="376"/>
      <c r="V3649" s="366"/>
      <c r="W3649" s="366"/>
    </row>
    <row r="3650" spans="1:23">
      <c r="A3650" s="1410"/>
      <c r="B3650" s="1413"/>
      <c r="C3650" s="1206" t="s">
        <v>988</v>
      </c>
      <c r="D3650" s="875" t="str">
        <f>B3645&amp;C3650</f>
        <v>A101f</v>
      </c>
      <c r="E3650" s="367">
        <v>5</v>
      </c>
      <c r="F3650" s="669"/>
      <c r="G3650" s="368"/>
      <c r="H3650" s="368"/>
      <c r="I3650" s="368"/>
      <c r="J3650" s="368"/>
      <c r="K3650" s="370"/>
      <c r="L3650" s="370"/>
      <c r="M3650" s="371"/>
      <c r="N3650" s="671"/>
      <c r="O3650" s="671"/>
      <c r="P3650" s="373"/>
      <c r="Q3650" s="673"/>
      <c r="R3650" s="958"/>
      <c r="S3650" s="366" t="s">
        <v>190</v>
      </c>
      <c r="T3650" s="376"/>
      <c r="U3650" s="376"/>
      <c r="V3650" s="366"/>
      <c r="W3650" s="366"/>
    </row>
    <row r="3651" spans="1:23">
      <c r="A3651" s="1410"/>
      <c r="B3651" s="1413"/>
      <c r="C3651" s="1206" t="s">
        <v>989</v>
      </c>
      <c r="D3651" s="875" t="str">
        <f>B3645&amp;C3651</f>
        <v>A101g</v>
      </c>
      <c r="E3651" s="367">
        <v>6</v>
      </c>
      <c r="F3651" s="669"/>
      <c r="G3651" s="368"/>
      <c r="H3651" s="368"/>
      <c r="I3651" s="368"/>
      <c r="J3651" s="368"/>
      <c r="K3651" s="370"/>
      <c r="L3651" s="370"/>
      <c r="M3651" s="371"/>
      <c r="N3651" s="671"/>
      <c r="O3651" s="671"/>
      <c r="P3651" s="373"/>
      <c r="Q3651" s="673"/>
      <c r="R3651" s="958"/>
      <c r="S3651" s="366" t="s">
        <v>190</v>
      </c>
      <c r="T3651" s="366"/>
      <c r="U3651" s="366"/>
      <c r="V3651" s="366"/>
      <c r="W3651" s="366"/>
    </row>
    <row r="3652" spans="1:23">
      <c r="A3652" s="1410"/>
      <c r="B3652" s="1413"/>
      <c r="C3652" s="1206" t="s">
        <v>990</v>
      </c>
      <c r="D3652" s="875" t="str">
        <f>B3645&amp;C3652</f>
        <v>A101h</v>
      </c>
      <c r="E3652" s="367">
        <v>7</v>
      </c>
      <c r="F3652" s="669"/>
      <c r="G3652" s="368"/>
      <c r="H3652" s="368"/>
      <c r="I3652" s="368"/>
      <c r="J3652" s="368"/>
      <c r="K3652" s="370"/>
      <c r="L3652" s="370"/>
      <c r="M3652" s="371"/>
      <c r="N3652" s="671"/>
      <c r="O3652" s="671"/>
      <c r="P3652" s="373"/>
      <c r="Q3652" s="673"/>
      <c r="R3652" s="958"/>
      <c r="S3652" s="366" t="s">
        <v>190</v>
      </c>
      <c r="T3652" s="366"/>
      <c r="U3652" s="366"/>
      <c r="V3652" s="366"/>
      <c r="W3652" s="366"/>
    </row>
    <row r="3653" spans="1:23">
      <c r="A3653" s="1410"/>
      <c r="B3653" s="1413"/>
      <c r="C3653" s="1206" t="s">
        <v>991</v>
      </c>
      <c r="D3653" s="875" t="str">
        <f>B3645&amp;C3653</f>
        <v>A101i</v>
      </c>
      <c r="E3653" s="367">
        <v>8</v>
      </c>
      <c r="F3653" s="669"/>
      <c r="G3653" s="368"/>
      <c r="H3653" s="368"/>
      <c r="I3653" s="368"/>
      <c r="J3653" s="368"/>
      <c r="K3653" s="370"/>
      <c r="L3653" s="370"/>
      <c r="M3653" s="371"/>
      <c r="N3653" s="671"/>
      <c r="O3653" s="671"/>
      <c r="P3653" s="373"/>
      <c r="Q3653" s="673"/>
      <c r="R3653" s="958"/>
      <c r="S3653" s="366"/>
      <c r="T3653" s="366"/>
      <c r="U3653" s="366"/>
      <c r="V3653" s="366"/>
      <c r="W3653" s="366"/>
    </row>
    <row r="3654" spans="1:23">
      <c r="A3654" s="1410"/>
      <c r="B3654" s="1413"/>
      <c r="C3654" s="1206" t="s">
        <v>992</v>
      </c>
      <c r="D3654" s="875" t="str">
        <f>B3645&amp;C3654</f>
        <v>A101k</v>
      </c>
      <c r="E3654" s="367">
        <v>9</v>
      </c>
      <c r="F3654" s="370"/>
      <c r="G3654" s="368"/>
      <c r="H3654" s="368"/>
      <c r="I3654" s="368"/>
      <c r="J3654" s="368"/>
      <c r="K3654" s="370"/>
      <c r="L3654" s="370"/>
      <c r="M3654" s="371"/>
      <c r="N3654" s="372"/>
      <c r="O3654" s="372"/>
      <c r="P3654" s="373"/>
      <c r="Q3654" s="374"/>
      <c r="R3654" s="378"/>
      <c r="S3654" s="379"/>
      <c r="T3654" s="366"/>
      <c r="U3654" s="366"/>
      <c r="V3654" s="366"/>
      <c r="W3654" s="366"/>
    </row>
    <row r="3655" spans="1:23">
      <c r="A3655" s="1410"/>
      <c r="B3655" s="1413"/>
      <c r="C3655" s="1206" t="s">
        <v>993</v>
      </c>
      <c r="D3655" s="875" t="str">
        <f>B3645&amp;C3655</f>
        <v>A101l</v>
      </c>
      <c r="E3655" s="367">
        <v>10</v>
      </c>
      <c r="F3655" s="370"/>
      <c r="G3655" s="368"/>
      <c r="H3655" s="368"/>
      <c r="I3655" s="368"/>
      <c r="J3655" s="368"/>
      <c r="K3655" s="370"/>
      <c r="L3655" s="370"/>
      <c r="M3655" s="370"/>
      <c r="N3655" s="372"/>
      <c r="O3655" s="372"/>
      <c r="P3655" s="373"/>
      <c r="Q3655" s="374"/>
      <c r="R3655" s="378"/>
      <c r="S3655" s="379"/>
      <c r="T3655" s="366"/>
      <c r="U3655" s="366"/>
      <c r="V3655" s="366"/>
      <c r="W3655" s="366"/>
    </row>
    <row r="3656" spans="1:23">
      <c r="A3656" s="1410"/>
      <c r="B3656" s="1413"/>
      <c r="C3656" s="1206" t="s">
        <v>994</v>
      </c>
      <c r="D3656" s="875" t="str">
        <f>B3645&amp;C3656</f>
        <v>A101m</v>
      </c>
      <c r="E3656" s="367">
        <v>11</v>
      </c>
      <c r="F3656" s="370"/>
      <c r="G3656" s="368"/>
      <c r="H3656" s="368"/>
      <c r="I3656" s="368"/>
      <c r="J3656" s="368"/>
      <c r="K3656" s="370"/>
      <c r="L3656" s="370"/>
      <c r="M3656" s="370"/>
      <c r="N3656" s="372"/>
      <c r="O3656" s="372"/>
      <c r="P3656" s="380"/>
      <c r="Q3656" s="374"/>
      <c r="R3656" s="381"/>
      <c r="S3656" s="379"/>
      <c r="T3656" s="366"/>
      <c r="U3656" s="366"/>
      <c r="V3656" s="366"/>
      <c r="W3656" s="366"/>
    </row>
    <row r="3657" spans="1:23">
      <c r="A3657" s="1410"/>
      <c r="B3657" s="1413"/>
      <c r="C3657" s="1206" t="s">
        <v>995</v>
      </c>
      <c r="D3657" s="875" t="str">
        <f>B3645&amp;C3657</f>
        <v>A101n</v>
      </c>
      <c r="E3657" s="367">
        <v>12</v>
      </c>
      <c r="F3657" s="370"/>
      <c r="G3657" s="368"/>
      <c r="H3657" s="368"/>
      <c r="I3657" s="368"/>
      <c r="J3657" s="368"/>
      <c r="K3657" s="370"/>
      <c r="L3657" s="370"/>
      <c r="M3657" s="370"/>
      <c r="N3657" s="372"/>
      <c r="O3657" s="372"/>
      <c r="P3657" s="380"/>
      <c r="Q3657" s="374"/>
      <c r="R3657" s="381"/>
      <c r="S3657" s="361"/>
      <c r="T3657" s="361"/>
      <c r="U3657" s="361"/>
      <c r="V3657" s="366"/>
      <c r="W3657" s="366"/>
    </row>
    <row r="3658" spans="1:23">
      <c r="A3658" s="1410"/>
      <c r="B3658" s="1413"/>
      <c r="C3658" s="1206" t="s">
        <v>471</v>
      </c>
      <c r="D3658" s="875" t="str">
        <f>B3645&amp;C3658</f>
        <v>A101x</v>
      </c>
      <c r="E3658" s="367">
        <v>13</v>
      </c>
      <c r="F3658" s="370"/>
      <c r="G3658" s="368"/>
      <c r="H3658" s="368"/>
      <c r="I3658" s="368"/>
      <c r="J3658" s="368"/>
      <c r="K3658" s="370"/>
      <c r="L3658" s="370"/>
      <c r="M3658" s="370"/>
      <c r="N3658" s="382"/>
      <c r="O3658" s="372"/>
      <c r="P3658" s="380"/>
      <c r="Q3658" s="381"/>
      <c r="R3658" s="381"/>
      <c r="S3658" s="361"/>
      <c r="T3658" s="361"/>
      <c r="U3658" s="361"/>
      <c r="V3658" s="366"/>
      <c r="W3658" s="366"/>
    </row>
    <row r="3659" spans="1:23">
      <c r="A3659" s="1410"/>
      <c r="B3659" s="1413"/>
      <c r="C3659" s="1206" t="s">
        <v>732</v>
      </c>
      <c r="D3659" s="875" t="str">
        <f>B3645&amp;C3659</f>
        <v>A101y</v>
      </c>
      <c r="E3659" s="367">
        <v>14</v>
      </c>
      <c r="F3659" s="370"/>
      <c r="G3659" s="368"/>
      <c r="H3659" s="368"/>
      <c r="I3659" s="368"/>
      <c r="J3659" s="368"/>
      <c r="K3659" s="370"/>
      <c r="L3659" s="370"/>
      <c r="M3659" s="370"/>
      <c r="N3659" s="382"/>
      <c r="O3659" s="372"/>
      <c r="P3659" s="380"/>
      <c r="Q3659" s="381"/>
      <c r="R3659" s="381"/>
      <c r="S3659" s="361"/>
      <c r="T3659" s="361"/>
      <c r="U3659" s="362"/>
      <c r="V3659" s="366"/>
      <c r="W3659" s="366"/>
    </row>
    <row r="3660" spans="1:23">
      <c r="A3660" s="1411"/>
      <c r="B3660" s="1414"/>
      <c r="C3660" s="1207" t="s">
        <v>996</v>
      </c>
      <c r="D3660" s="876" t="str">
        <f>B3645&amp;C3660</f>
        <v>A101z</v>
      </c>
      <c r="E3660" s="847">
        <v>15</v>
      </c>
      <c r="F3660" s="370"/>
      <c r="G3660" s="368"/>
      <c r="H3660" s="368"/>
      <c r="I3660" s="368"/>
      <c r="J3660" s="368"/>
      <c r="K3660" s="370"/>
      <c r="L3660" s="370"/>
      <c r="M3660" s="370"/>
      <c r="N3660" s="850"/>
      <c r="O3660" s="851"/>
      <c r="P3660" s="380"/>
      <c r="Q3660" s="852"/>
      <c r="R3660" s="383"/>
      <c r="S3660" s="361"/>
      <c r="T3660" s="1204"/>
      <c r="U3660" s="1203"/>
      <c r="V3660" s="366"/>
      <c r="W3660" s="366"/>
    </row>
    <row r="3661" spans="1:23">
      <c r="A3661" s="1400" t="s">
        <v>939</v>
      </c>
      <c r="B3661" s="1400"/>
      <c r="C3661" s="1200"/>
      <c r="D3661" s="871"/>
      <c r="E3661" s="1400" t="s">
        <v>177</v>
      </c>
      <c r="F3661" s="1400" t="s">
        <v>18</v>
      </c>
      <c r="G3661" s="1389" t="s">
        <v>19</v>
      </c>
      <c r="H3661" s="1390"/>
      <c r="I3661" s="1389" t="s">
        <v>22</v>
      </c>
      <c r="J3661" s="1390"/>
      <c r="K3661" s="1393" t="s">
        <v>26</v>
      </c>
      <c r="L3661" s="1390"/>
      <c r="M3661" s="1389" t="s">
        <v>392</v>
      </c>
      <c r="N3661" s="1390"/>
      <c r="O3661" s="1389" t="s">
        <v>28</v>
      </c>
      <c r="P3661" s="1393"/>
      <c r="Q3661" s="1390"/>
      <c r="R3661" s="1400" t="s">
        <v>36</v>
      </c>
      <c r="S3661" s="361"/>
      <c r="T3661" s="361">
        <f>MAX(J3665:J3679)-MIN(I3665:I3679)</f>
        <v>3.3333333333333326E-2</v>
      </c>
      <c r="U3661" s="361"/>
      <c r="V3661" s="853" t="str">
        <f t="shared" ref="V3661" si="437">B3665</f>
        <v>B13</v>
      </c>
      <c r="W3661" s="361">
        <f t="shared" ref="W3661" si="438">COUNTIF(K3666:K3680,"&gt;0")</f>
        <v>2</v>
      </c>
    </row>
    <row r="3662" spans="1:23">
      <c r="A3662" s="1401"/>
      <c r="B3662" s="1401"/>
      <c r="C3662" s="1202"/>
      <c r="D3662" s="872"/>
      <c r="E3662" s="1401"/>
      <c r="F3662" s="1401"/>
      <c r="G3662" s="1391"/>
      <c r="H3662" s="1392"/>
      <c r="I3662" s="1391"/>
      <c r="J3662" s="1392"/>
      <c r="K3662" s="1394"/>
      <c r="L3662" s="1392"/>
      <c r="M3662" s="1391"/>
      <c r="N3662" s="1392"/>
      <c r="O3662" s="1391"/>
      <c r="P3662" s="1394"/>
      <c r="Q3662" s="1392"/>
      <c r="R3662" s="1401"/>
      <c r="S3662" s="361"/>
      <c r="T3662" s="361"/>
      <c r="U3662" s="361"/>
      <c r="V3662" s="361"/>
      <c r="W3662" s="361"/>
    </row>
    <row r="3663" spans="1:23">
      <c r="A3663" s="1401"/>
      <c r="B3663" s="1401"/>
      <c r="C3663" s="1202"/>
      <c r="D3663" s="872"/>
      <c r="E3663" s="1401"/>
      <c r="F3663" s="1401"/>
      <c r="G3663" s="1400" t="s">
        <v>20</v>
      </c>
      <c r="H3663" s="1400" t="s">
        <v>21</v>
      </c>
      <c r="I3663" s="1400" t="s">
        <v>361</v>
      </c>
      <c r="J3663" s="1400" t="s">
        <v>353</v>
      </c>
      <c r="K3663" s="1400" t="s">
        <v>23</v>
      </c>
      <c r="L3663" s="1400" t="s">
        <v>24</v>
      </c>
      <c r="M3663" s="1400" t="s">
        <v>27</v>
      </c>
      <c r="N3663" s="1400" t="s">
        <v>178</v>
      </c>
      <c r="O3663" s="1400" t="s">
        <v>1</v>
      </c>
      <c r="P3663" s="1400" t="s">
        <v>29</v>
      </c>
      <c r="Q3663" s="1400" t="s">
        <v>33</v>
      </c>
      <c r="R3663" s="1401"/>
      <c r="S3663" s="361"/>
      <c r="T3663" s="361" t="s">
        <v>39</v>
      </c>
      <c r="U3663" s="362">
        <f>VLOOKUP(B3665,'[8]Thong tin'!$A:$M,13,0)</f>
        <v>800</v>
      </c>
      <c r="V3663" s="361"/>
      <c r="W3663" s="361"/>
    </row>
    <row r="3664" spans="1:23">
      <c r="A3664" s="1402"/>
      <c r="B3664" s="1402"/>
      <c r="C3664" s="1201"/>
      <c r="D3664" s="873"/>
      <c r="E3664" s="1402"/>
      <c r="F3664" s="1402"/>
      <c r="G3664" s="1402"/>
      <c r="H3664" s="1402"/>
      <c r="I3664" s="1402"/>
      <c r="J3664" s="1402"/>
      <c r="K3664" s="1402"/>
      <c r="L3664" s="1402"/>
      <c r="M3664" s="1402"/>
      <c r="N3664" s="1402"/>
      <c r="O3664" s="1402"/>
      <c r="P3664" s="1402"/>
      <c r="Q3664" s="1402"/>
      <c r="R3664" s="1402"/>
      <c r="S3664" s="361"/>
      <c r="T3664" s="1399" t="s">
        <v>393</v>
      </c>
      <c r="U3664" s="1397">
        <f>VLOOKUP(B3665,[8]DT.NK!$B:$AZ,45,0)</f>
        <v>30.27</v>
      </c>
      <c r="V3664" s="361"/>
      <c r="W3664" s="361"/>
    </row>
    <row r="3665" spans="1:23">
      <c r="A3665" s="1409">
        <f>A3645+1</f>
        <v>184</v>
      </c>
      <c r="B3665" s="1412" t="s">
        <v>463</v>
      </c>
      <c r="C3665" s="1205" t="s">
        <v>983</v>
      </c>
      <c r="D3665" s="874" t="str">
        <f>B3665&amp;C3665</f>
        <v>B13a</v>
      </c>
      <c r="E3665" s="363"/>
      <c r="F3665" s="364"/>
      <c r="G3665" s="364"/>
      <c r="H3665" s="364"/>
      <c r="I3665" s="364"/>
      <c r="J3665" s="364"/>
      <c r="K3665" s="364"/>
      <c r="L3665" s="364"/>
      <c r="M3665" s="674"/>
      <c r="N3665" s="670"/>
      <c r="O3665" s="670">
        <f>U3664</f>
        <v>30.27</v>
      </c>
      <c r="P3665" s="670">
        <f>O3665</f>
        <v>30.27</v>
      </c>
      <c r="Q3665" s="670">
        <v>0</v>
      </c>
      <c r="R3665" s="365"/>
      <c r="S3665" s="366"/>
      <c r="T3665" s="1399"/>
      <c r="U3665" s="1398"/>
      <c r="V3665" s="361"/>
      <c r="W3665" s="361"/>
    </row>
    <row r="3666" spans="1:23">
      <c r="A3666" s="1410"/>
      <c r="B3666" s="1413"/>
      <c r="C3666" s="1206" t="s">
        <v>984</v>
      </c>
      <c r="D3666" s="875" t="str">
        <f>B3665&amp;C3666</f>
        <v>B13b</v>
      </c>
      <c r="E3666" s="367">
        <v>1</v>
      </c>
      <c r="F3666" s="669" t="s">
        <v>1156</v>
      </c>
      <c r="G3666" s="369">
        <v>0.64444444444444449</v>
      </c>
      <c r="H3666" s="368">
        <v>0.67708333333333337</v>
      </c>
      <c r="I3666" s="368">
        <v>0.69097222222222221</v>
      </c>
      <c r="J3666" s="368">
        <v>0.69652777777777775</v>
      </c>
      <c r="K3666" s="669">
        <v>9</v>
      </c>
      <c r="L3666" s="669">
        <v>20</v>
      </c>
      <c r="M3666" s="675">
        <v>22.05</v>
      </c>
      <c r="N3666" s="671">
        <f>IF(M3666-P3666&gt;0,M3666-P3666,0)</f>
        <v>3.25</v>
      </c>
      <c r="O3666" s="671">
        <f>O3665-K3666/(PI()*(U3663/2000)^2)</f>
        <v>12.365068902161774</v>
      </c>
      <c r="P3666" s="672">
        <v>18.8</v>
      </c>
      <c r="Q3666" s="673">
        <f>ABS(O3666-P3666)</f>
        <v>6.434931097838227</v>
      </c>
      <c r="R3666" s="375" t="s">
        <v>188</v>
      </c>
      <c r="S3666" s="366"/>
      <c r="T3666" s="376"/>
      <c r="U3666" s="376"/>
      <c r="V3666" s="366"/>
      <c r="W3666" s="366"/>
    </row>
    <row r="3667" spans="1:23">
      <c r="A3667" s="1410"/>
      <c r="B3667" s="1413"/>
      <c r="C3667" s="1206" t="s">
        <v>985</v>
      </c>
      <c r="D3667" s="875" t="str">
        <f>B3665&amp;C3667</f>
        <v>B13c</v>
      </c>
      <c r="E3667" s="367">
        <v>2</v>
      </c>
      <c r="F3667" s="669" t="s">
        <v>982</v>
      </c>
      <c r="G3667" s="368">
        <v>0.64652777777777781</v>
      </c>
      <c r="H3667" s="368">
        <v>0.6875</v>
      </c>
      <c r="I3667" s="368">
        <v>0.72013888888888899</v>
      </c>
      <c r="J3667" s="368">
        <v>0.72430555555555554</v>
      </c>
      <c r="K3667" s="370">
        <v>8</v>
      </c>
      <c r="L3667" s="370">
        <v>19</v>
      </c>
      <c r="M3667" s="371"/>
      <c r="N3667" s="671">
        <f t="shared" ref="N3667" si="439">IF(M3667-P3667&gt;0,M3667-P3667,0)</f>
        <v>0</v>
      </c>
      <c r="O3667" s="671">
        <f>O3666-K3667/(PI()*(U3663/2000)^2)</f>
        <v>-3.5504254070277597</v>
      </c>
      <c r="P3667" s="373">
        <v>4.8</v>
      </c>
      <c r="Q3667" s="673"/>
      <c r="R3667" s="958" t="s">
        <v>188</v>
      </c>
      <c r="S3667" s="366"/>
      <c r="T3667" s="376"/>
      <c r="U3667" s="376"/>
      <c r="V3667" s="366"/>
      <c r="W3667" s="366"/>
    </row>
    <row r="3668" spans="1:23">
      <c r="A3668" s="1410"/>
      <c r="B3668" s="1413"/>
      <c r="C3668" s="1206" t="s">
        <v>986</v>
      </c>
      <c r="D3668" s="875" t="str">
        <f>B3665&amp;C3668</f>
        <v>B13d</v>
      </c>
      <c r="E3668" s="367">
        <v>3</v>
      </c>
      <c r="F3668" s="669"/>
      <c r="G3668" s="368"/>
      <c r="H3668" s="368"/>
      <c r="I3668" s="368"/>
      <c r="J3668" s="368"/>
      <c r="K3668" s="370"/>
      <c r="L3668" s="370"/>
      <c r="M3668" s="371"/>
      <c r="N3668" s="671"/>
      <c r="O3668" s="671"/>
      <c r="P3668" s="373"/>
      <c r="Q3668" s="673"/>
      <c r="R3668" s="958"/>
      <c r="S3668" s="366"/>
      <c r="T3668" s="376"/>
      <c r="U3668" s="376"/>
      <c r="V3668" s="366"/>
      <c r="W3668" s="366"/>
    </row>
    <row r="3669" spans="1:23">
      <c r="A3669" s="1410"/>
      <c r="B3669" s="1413"/>
      <c r="C3669" s="1206" t="s">
        <v>987</v>
      </c>
      <c r="D3669" s="875" t="str">
        <f>B3665&amp;C3669</f>
        <v>B13e</v>
      </c>
      <c r="E3669" s="367">
        <v>4</v>
      </c>
      <c r="F3669" s="669"/>
      <c r="G3669" s="368"/>
      <c r="H3669" s="368"/>
      <c r="I3669" s="368"/>
      <c r="J3669" s="368"/>
      <c r="K3669" s="370"/>
      <c r="L3669" s="370"/>
      <c r="M3669" s="371"/>
      <c r="N3669" s="671"/>
      <c r="O3669" s="671"/>
      <c r="P3669" s="373"/>
      <c r="Q3669" s="673"/>
      <c r="R3669" s="958"/>
      <c r="S3669" s="366"/>
      <c r="T3669" s="376"/>
      <c r="U3669" s="376"/>
      <c r="V3669" s="366"/>
      <c r="W3669" s="366"/>
    </row>
    <row r="3670" spans="1:23">
      <c r="A3670" s="1410"/>
      <c r="B3670" s="1413"/>
      <c r="C3670" s="1206" t="s">
        <v>988</v>
      </c>
      <c r="D3670" s="875" t="str">
        <f>B3665&amp;C3670</f>
        <v>B13f</v>
      </c>
      <c r="E3670" s="367">
        <v>5</v>
      </c>
      <c r="F3670" s="669"/>
      <c r="G3670" s="368"/>
      <c r="H3670" s="368"/>
      <c r="I3670" s="368"/>
      <c r="J3670" s="368"/>
      <c r="K3670" s="370"/>
      <c r="L3670" s="370"/>
      <c r="M3670" s="371"/>
      <c r="N3670" s="671"/>
      <c r="O3670" s="671"/>
      <c r="P3670" s="373"/>
      <c r="Q3670" s="673"/>
      <c r="R3670" s="958"/>
      <c r="S3670" s="366" t="s">
        <v>190</v>
      </c>
      <c r="T3670" s="376"/>
      <c r="U3670" s="376"/>
      <c r="V3670" s="366"/>
      <c r="W3670" s="366"/>
    </row>
    <row r="3671" spans="1:23">
      <c r="A3671" s="1410"/>
      <c r="B3671" s="1413"/>
      <c r="C3671" s="1206" t="s">
        <v>989</v>
      </c>
      <c r="D3671" s="875" t="str">
        <f>B3665&amp;C3671</f>
        <v>B13g</v>
      </c>
      <c r="E3671" s="367">
        <v>6</v>
      </c>
      <c r="F3671" s="669"/>
      <c r="G3671" s="368"/>
      <c r="H3671" s="368"/>
      <c r="I3671" s="368"/>
      <c r="J3671" s="368"/>
      <c r="K3671" s="370"/>
      <c r="L3671" s="370"/>
      <c r="M3671" s="371"/>
      <c r="N3671" s="671"/>
      <c r="O3671" s="671"/>
      <c r="P3671" s="373"/>
      <c r="Q3671" s="673"/>
      <c r="R3671" s="958"/>
      <c r="S3671" s="366" t="s">
        <v>190</v>
      </c>
      <c r="T3671" s="366"/>
      <c r="U3671" s="366"/>
      <c r="V3671" s="366"/>
      <c r="W3671" s="366"/>
    </row>
    <row r="3672" spans="1:23">
      <c r="A3672" s="1410"/>
      <c r="B3672" s="1413"/>
      <c r="C3672" s="1206" t="s">
        <v>990</v>
      </c>
      <c r="D3672" s="875" t="str">
        <f>B3665&amp;C3672</f>
        <v>B13h</v>
      </c>
      <c r="E3672" s="367">
        <v>7</v>
      </c>
      <c r="F3672" s="669"/>
      <c r="G3672" s="368"/>
      <c r="H3672" s="368"/>
      <c r="I3672" s="368"/>
      <c r="J3672" s="368"/>
      <c r="K3672" s="370"/>
      <c r="L3672" s="370"/>
      <c r="M3672" s="371"/>
      <c r="N3672" s="671"/>
      <c r="O3672" s="671"/>
      <c r="P3672" s="373"/>
      <c r="Q3672" s="673"/>
      <c r="R3672" s="958"/>
      <c r="S3672" s="366" t="s">
        <v>190</v>
      </c>
      <c r="T3672" s="366"/>
      <c r="U3672" s="366"/>
      <c r="V3672" s="366"/>
      <c r="W3672" s="366"/>
    </row>
    <row r="3673" spans="1:23">
      <c r="A3673" s="1410"/>
      <c r="B3673" s="1413"/>
      <c r="C3673" s="1206" t="s">
        <v>991</v>
      </c>
      <c r="D3673" s="875" t="str">
        <f>B3665&amp;C3673</f>
        <v>B13i</v>
      </c>
      <c r="E3673" s="367">
        <v>8</v>
      </c>
      <c r="F3673" s="669"/>
      <c r="G3673" s="368"/>
      <c r="H3673" s="368"/>
      <c r="I3673" s="368"/>
      <c r="J3673" s="368"/>
      <c r="K3673" s="370"/>
      <c r="L3673" s="370"/>
      <c r="M3673" s="371"/>
      <c r="N3673" s="671"/>
      <c r="O3673" s="671"/>
      <c r="P3673" s="373"/>
      <c r="Q3673" s="673"/>
      <c r="R3673" s="958"/>
      <c r="S3673" s="366"/>
      <c r="T3673" s="366"/>
      <c r="U3673" s="366"/>
      <c r="V3673" s="366"/>
      <c r="W3673" s="366"/>
    </row>
    <row r="3674" spans="1:23">
      <c r="A3674" s="1410"/>
      <c r="B3674" s="1413"/>
      <c r="C3674" s="1206" t="s">
        <v>992</v>
      </c>
      <c r="D3674" s="875" t="str">
        <f>B3665&amp;C3674</f>
        <v>B13k</v>
      </c>
      <c r="E3674" s="367">
        <v>9</v>
      </c>
      <c r="F3674" s="370"/>
      <c r="G3674" s="368"/>
      <c r="H3674" s="368"/>
      <c r="I3674" s="368"/>
      <c r="J3674" s="368"/>
      <c r="K3674" s="370"/>
      <c r="L3674" s="370"/>
      <c r="M3674" s="371"/>
      <c r="N3674" s="372"/>
      <c r="O3674" s="372"/>
      <c r="P3674" s="373"/>
      <c r="Q3674" s="374"/>
      <c r="R3674" s="378"/>
      <c r="S3674" s="379"/>
      <c r="T3674" s="366"/>
      <c r="U3674" s="366"/>
      <c r="V3674" s="366"/>
      <c r="W3674" s="366"/>
    </row>
    <row r="3675" spans="1:23">
      <c r="A3675" s="1410"/>
      <c r="B3675" s="1413"/>
      <c r="C3675" s="1206" t="s">
        <v>993</v>
      </c>
      <c r="D3675" s="875" t="str">
        <f>B3665&amp;C3675</f>
        <v>B13l</v>
      </c>
      <c r="E3675" s="367">
        <v>10</v>
      </c>
      <c r="F3675" s="370"/>
      <c r="G3675" s="368"/>
      <c r="H3675" s="368"/>
      <c r="I3675" s="368"/>
      <c r="J3675" s="368"/>
      <c r="K3675" s="370"/>
      <c r="L3675" s="370"/>
      <c r="M3675" s="370"/>
      <c r="N3675" s="372"/>
      <c r="O3675" s="372"/>
      <c r="P3675" s="373"/>
      <c r="Q3675" s="374"/>
      <c r="R3675" s="378"/>
      <c r="S3675" s="379"/>
      <c r="T3675" s="366"/>
      <c r="U3675" s="366"/>
      <c r="V3675" s="366"/>
      <c r="W3675" s="366"/>
    </row>
    <row r="3676" spans="1:23">
      <c r="A3676" s="1410"/>
      <c r="B3676" s="1413"/>
      <c r="C3676" s="1206" t="s">
        <v>994</v>
      </c>
      <c r="D3676" s="875" t="str">
        <f>B3665&amp;C3676</f>
        <v>B13m</v>
      </c>
      <c r="E3676" s="367">
        <v>11</v>
      </c>
      <c r="F3676" s="370"/>
      <c r="G3676" s="368"/>
      <c r="H3676" s="368"/>
      <c r="I3676" s="368"/>
      <c r="J3676" s="368"/>
      <c r="K3676" s="370"/>
      <c r="L3676" s="370"/>
      <c r="M3676" s="370"/>
      <c r="N3676" s="372"/>
      <c r="O3676" s="372"/>
      <c r="P3676" s="380"/>
      <c r="Q3676" s="374"/>
      <c r="R3676" s="381"/>
      <c r="S3676" s="379"/>
      <c r="T3676" s="366"/>
      <c r="U3676" s="366"/>
      <c r="V3676" s="366"/>
      <c r="W3676" s="366"/>
    </row>
    <row r="3677" spans="1:23">
      <c r="A3677" s="1410"/>
      <c r="B3677" s="1413"/>
      <c r="C3677" s="1206" t="s">
        <v>995</v>
      </c>
      <c r="D3677" s="875" t="str">
        <f>B3665&amp;C3677</f>
        <v>B13n</v>
      </c>
      <c r="E3677" s="367">
        <v>12</v>
      </c>
      <c r="F3677" s="370"/>
      <c r="G3677" s="368"/>
      <c r="H3677" s="368"/>
      <c r="I3677" s="368"/>
      <c r="J3677" s="368"/>
      <c r="K3677" s="370"/>
      <c r="L3677" s="370"/>
      <c r="M3677" s="370"/>
      <c r="N3677" s="372"/>
      <c r="O3677" s="372"/>
      <c r="P3677" s="380"/>
      <c r="Q3677" s="374"/>
      <c r="R3677" s="381"/>
      <c r="S3677" s="361"/>
      <c r="T3677" s="361"/>
      <c r="U3677" s="361"/>
      <c r="V3677" s="366"/>
      <c r="W3677" s="366"/>
    </row>
    <row r="3678" spans="1:23">
      <c r="A3678" s="1410"/>
      <c r="B3678" s="1413"/>
      <c r="C3678" s="1206" t="s">
        <v>471</v>
      </c>
      <c r="D3678" s="875" t="str">
        <f>B3665&amp;C3678</f>
        <v>B13x</v>
      </c>
      <c r="E3678" s="367">
        <v>13</v>
      </c>
      <c r="F3678" s="370"/>
      <c r="G3678" s="368"/>
      <c r="H3678" s="368"/>
      <c r="I3678" s="368"/>
      <c r="J3678" s="368"/>
      <c r="K3678" s="370"/>
      <c r="L3678" s="370"/>
      <c r="M3678" s="370"/>
      <c r="N3678" s="382"/>
      <c r="O3678" s="372"/>
      <c r="P3678" s="380"/>
      <c r="Q3678" s="381"/>
      <c r="R3678" s="381"/>
      <c r="S3678" s="361"/>
      <c r="T3678" s="361"/>
      <c r="U3678" s="361"/>
      <c r="V3678" s="366"/>
      <c r="W3678" s="366"/>
    </row>
    <row r="3679" spans="1:23">
      <c r="A3679" s="1410"/>
      <c r="B3679" s="1413"/>
      <c r="C3679" s="1206" t="s">
        <v>732</v>
      </c>
      <c r="D3679" s="875" t="str">
        <f>B3665&amp;C3679</f>
        <v>B13y</v>
      </c>
      <c r="E3679" s="367">
        <v>14</v>
      </c>
      <c r="F3679" s="370"/>
      <c r="G3679" s="368"/>
      <c r="H3679" s="368"/>
      <c r="I3679" s="368"/>
      <c r="J3679" s="368"/>
      <c r="K3679" s="370"/>
      <c r="L3679" s="370"/>
      <c r="M3679" s="370"/>
      <c r="N3679" s="382"/>
      <c r="O3679" s="372"/>
      <c r="P3679" s="380"/>
      <c r="Q3679" s="381"/>
      <c r="R3679" s="381"/>
      <c r="S3679" s="361"/>
      <c r="T3679" s="361"/>
      <c r="U3679" s="362"/>
      <c r="V3679" s="366"/>
      <c r="W3679" s="366"/>
    </row>
    <row r="3680" spans="1:23">
      <c r="A3680" s="1411"/>
      <c r="B3680" s="1414"/>
      <c r="C3680" s="1207" t="s">
        <v>996</v>
      </c>
      <c r="D3680" s="876" t="str">
        <f>B3665&amp;C3680</f>
        <v>B13z</v>
      </c>
      <c r="E3680" s="847">
        <v>15</v>
      </c>
      <c r="F3680" s="370"/>
      <c r="G3680" s="368"/>
      <c r="H3680" s="368"/>
      <c r="I3680" s="368"/>
      <c r="J3680" s="368"/>
      <c r="K3680" s="370"/>
      <c r="L3680" s="370"/>
      <c r="M3680" s="370"/>
      <c r="N3680" s="850"/>
      <c r="O3680" s="851"/>
      <c r="P3680" s="380"/>
      <c r="Q3680" s="852"/>
      <c r="R3680" s="383"/>
      <c r="S3680" s="361"/>
      <c r="T3680" s="1204"/>
      <c r="U3680" s="1203"/>
      <c r="V3680" s="366"/>
      <c r="W3680" s="366"/>
    </row>
    <row r="3681" spans="1:23">
      <c r="A3681" s="1400" t="s">
        <v>939</v>
      </c>
      <c r="B3681" s="1400"/>
      <c r="C3681" s="1200"/>
      <c r="D3681" s="871"/>
      <c r="E3681" s="1400" t="s">
        <v>177</v>
      </c>
      <c r="F3681" s="1400" t="s">
        <v>18</v>
      </c>
      <c r="G3681" s="1389" t="s">
        <v>19</v>
      </c>
      <c r="H3681" s="1390"/>
      <c r="I3681" s="1389" t="s">
        <v>22</v>
      </c>
      <c r="J3681" s="1390"/>
      <c r="K3681" s="1393" t="s">
        <v>26</v>
      </c>
      <c r="L3681" s="1390"/>
      <c r="M3681" s="1389" t="s">
        <v>392</v>
      </c>
      <c r="N3681" s="1390"/>
      <c r="O3681" s="1389" t="s">
        <v>28</v>
      </c>
      <c r="P3681" s="1393"/>
      <c r="Q3681" s="1390"/>
      <c r="R3681" s="1400" t="s">
        <v>36</v>
      </c>
      <c r="S3681" s="361"/>
      <c r="T3681" s="361">
        <f>MAX(J3685:J3699)-MIN(I3685:I3699)</f>
        <v>1.3888888888888895E-2</v>
      </c>
      <c r="U3681" s="361"/>
      <c r="V3681" s="853" t="str">
        <f t="shared" ref="V3681" si="440">B3685</f>
        <v>B14</v>
      </c>
      <c r="W3681" s="361">
        <f t="shared" ref="W3681" si="441">COUNTIF(K3686:K3700,"&gt;0")</f>
        <v>1</v>
      </c>
    </row>
    <row r="3682" spans="1:23">
      <c r="A3682" s="1401"/>
      <c r="B3682" s="1401"/>
      <c r="C3682" s="1202"/>
      <c r="D3682" s="872"/>
      <c r="E3682" s="1401"/>
      <c r="F3682" s="1401"/>
      <c r="G3682" s="1391"/>
      <c r="H3682" s="1392"/>
      <c r="I3682" s="1391"/>
      <c r="J3682" s="1392"/>
      <c r="K3682" s="1394"/>
      <c r="L3682" s="1392"/>
      <c r="M3682" s="1391"/>
      <c r="N3682" s="1392"/>
      <c r="O3682" s="1391"/>
      <c r="P3682" s="1394"/>
      <c r="Q3682" s="1392"/>
      <c r="R3682" s="1401"/>
      <c r="S3682" s="361"/>
      <c r="T3682" s="361"/>
      <c r="U3682" s="361"/>
      <c r="V3682" s="361"/>
      <c r="W3682" s="361"/>
    </row>
    <row r="3683" spans="1:23">
      <c r="A3683" s="1401"/>
      <c r="B3683" s="1401"/>
      <c r="C3683" s="1202"/>
      <c r="D3683" s="872"/>
      <c r="E3683" s="1401"/>
      <c r="F3683" s="1401"/>
      <c r="G3683" s="1400" t="s">
        <v>20</v>
      </c>
      <c r="H3683" s="1400" t="s">
        <v>21</v>
      </c>
      <c r="I3683" s="1400" t="s">
        <v>361</v>
      </c>
      <c r="J3683" s="1400" t="s">
        <v>353</v>
      </c>
      <c r="K3683" s="1400" t="s">
        <v>23</v>
      </c>
      <c r="L3683" s="1400" t="s">
        <v>24</v>
      </c>
      <c r="M3683" s="1400" t="s">
        <v>27</v>
      </c>
      <c r="N3683" s="1400" t="s">
        <v>178</v>
      </c>
      <c r="O3683" s="1400" t="s">
        <v>1</v>
      </c>
      <c r="P3683" s="1400" t="s">
        <v>29</v>
      </c>
      <c r="Q3683" s="1400" t="s">
        <v>33</v>
      </c>
      <c r="R3683" s="1401"/>
      <c r="S3683" s="361"/>
      <c r="T3683" s="361" t="s">
        <v>39</v>
      </c>
      <c r="U3683" s="362">
        <f>VLOOKUP(B3685,'[8]Thong tin'!$A:$M,13,0)</f>
        <v>800</v>
      </c>
      <c r="V3683" s="361"/>
      <c r="W3683" s="361"/>
    </row>
    <row r="3684" spans="1:23">
      <c r="A3684" s="1402"/>
      <c r="B3684" s="1402"/>
      <c r="C3684" s="1201"/>
      <c r="D3684" s="873"/>
      <c r="E3684" s="1402"/>
      <c r="F3684" s="1402"/>
      <c r="G3684" s="1402"/>
      <c r="H3684" s="1402"/>
      <c r="I3684" s="1402"/>
      <c r="J3684" s="1402"/>
      <c r="K3684" s="1402"/>
      <c r="L3684" s="1402"/>
      <c r="M3684" s="1402"/>
      <c r="N3684" s="1402"/>
      <c r="O3684" s="1402"/>
      <c r="P3684" s="1402"/>
      <c r="Q3684" s="1402"/>
      <c r="R3684" s="1402"/>
      <c r="S3684" s="361"/>
      <c r="T3684" s="1399" t="s">
        <v>393</v>
      </c>
      <c r="U3684" s="1397">
        <f>VLOOKUP(B3685,[8]DT.NK!$B:$AZ,45,0)</f>
        <v>29.55</v>
      </c>
      <c r="V3684" s="361"/>
      <c r="W3684" s="361"/>
    </row>
    <row r="3685" spans="1:23">
      <c r="A3685" s="1409">
        <f>A3665+1</f>
        <v>185</v>
      </c>
      <c r="B3685" s="1412" t="s">
        <v>697</v>
      </c>
      <c r="C3685" s="1205" t="s">
        <v>983</v>
      </c>
      <c r="D3685" s="874" t="str">
        <f>B3685&amp;C3685</f>
        <v>B14a</v>
      </c>
      <c r="E3685" s="363"/>
      <c r="F3685" s="364"/>
      <c r="G3685" s="364"/>
      <c r="H3685" s="364"/>
      <c r="I3685" s="364"/>
      <c r="J3685" s="364"/>
      <c r="K3685" s="364"/>
      <c r="L3685" s="364"/>
      <c r="M3685" s="674"/>
      <c r="N3685" s="670"/>
      <c r="O3685" s="670">
        <f>U3684</f>
        <v>29.55</v>
      </c>
      <c r="P3685" s="670">
        <f>O3685</f>
        <v>29.55</v>
      </c>
      <c r="Q3685" s="670">
        <v>0</v>
      </c>
      <c r="R3685" s="365"/>
      <c r="S3685" s="366"/>
      <c r="T3685" s="1399"/>
      <c r="U3685" s="1398"/>
      <c r="V3685" s="361"/>
      <c r="W3685" s="361"/>
    </row>
    <row r="3686" spans="1:23">
      <c r="A3686" s="1410"/>
      <c r="B3686" s="1413"/>
      <c r="C3686" s="1206" t="s">
        <v>984</v>
      </c>
      <c r="D3686" s="875" t="str">
        <f>B3685&amp;C3686</f>
        <v>B14b</v>
      </c>
      <c r="E3686" s="367">
        <v>1</v>
      </c>
      <c r="F3686" s="669" t="s">
        <v>1160</v>
      </c>
      <c r="G3686" s="369">
        <v>6.25E-2</v>
      </c>
      <c r="H3686" s="368">
        <v>0.11458333333333333</v>
      </c>
      <c r="I3686" s="368">
        <v>0.125</v>
      </c>
      <c r="J3686" s="368">
        <v>0.1388888888888889</v>
      </c>
      <c r="K3686" s="669">
        <v>13</v>
      </c>
      <c r="L3686" s="669">
        <v>19</v>
      </c>
      <c r="M3686" s="675">
        <v>29.35</v>
      </c>
      <c r="N3686" s="671">
        <f>IF(M3686-P3686&gt;0,M3686-P3686,0)</f>
        <v>24.85</v>
      </c>
      <c r="O3686" s="671">
        <f>O3685-K3686/(PI()*(U3683/2000)^2)</f>
        <v>3.6873217475670117</v>
      </c>
      <c r="P3686" s="672">
        <v>4.5</v>
      </c>
      <c r="Q3686" s="673">
        <f>ABS(O3686-P3686)</f>
        <v>0.8126782524329883</v>
      </c>
      <c r="R3686" s="375" t="s">
        <v>188</v>
      </c>
      <c r="S3686" s="366"/>
      <c r="T3686" s="376"/>
      <c r="U3686" s="376"/>
      <c r="V3686" s="366"/>
      <c r="W3686" s="366"/>
    </row>
    <row r="3687" spans="1:23">
      <c r="A3687" s="1410"/>
      <c r="B3687" s="1413"/>
      <c r="C3687" s="1206" t="s">
        <v>985</v>
      </c>
      <c r="D3687" s="875" t="str">
        <f>B3685&amp;C3687</f>
        <v>B14c</v>
      </c>
      <c r="E3687" s="367">
        <v>2</v>
      </c>
      <c r="F3687" s="669"/>
      <c r="G3687" s="368"/>
      <c r="H3687" s="368"/>
      <c r="I3687" s="368"/>
      <c r="J3687" s="368"/>
      <c r="K3687" s="370"/>
      <c r="L3687" s="370"/>
      <c r="M3687" s="371"/>
      <c r="N3687" s="671"/>
      <c r="O3687" s="671"/>
      <c r="P3687" s="373"/>
      <c r="Q3687" s="673"/>
      <c r="R3687" s="958"/>
      <c r="S3687" s="366"/>
      <c r="T3687" s="376"/>
      <c r="U3687" s="376"/>
      <c r="V3687" s="366"/>
      <c r="W3687" s="366"/>
    </row>
    <row r="3688" spans="1:23">
      <c r="A3688" s="1410"/>
      <c r="B3688" s="1413"/>
      <c r="C3688" s="1206" t="s">
        <v>986</v>
      </c>
      <c r="D3688" s="875" t="str">
        <f>B3685&amp;C3688</f>
        <v>B14d</v>
      </c>
      <c r="E3688" s="367">
        <v>3</v>
      </c>
      <c r="F3688" s="669"/>
      <c r="G3688" s="368"/>
      <c r="H3688" s="368"/>
      <c r="I3688" s="368"/>
      <c r="J3688" s="368"/>
      <c r="K3688" s="370"/>
      <c r="L3688" s="370"/>
      <c r="M3688" s="371"/>
      <c r="N3688" s="671"/>
      <c r="O3688" s="671"/>
      <c r="P3688" s="373"/>
      <c r="Q3688" s="673"/>
      <c r="R3688" s="958"/>
      <c r="S3688" s="366"/>
      <c r="T3688" s="376"/>
      <c r="U3688" s="376"/>
      <c r="V3688" s="366"/>
      <c r="W3688" s="366"/>
    </row>
    <row r="3689" spans="1:23">
      <c r="A3689" s="1410"/>
      <c r="B3689" s="1413"/>
      <c r="C3689" s="1206" t="s">
        <v>987</v>
      </c>
      <c r="D3689" s="875" t="str">
        <f>B3685&amp;C3689</f>
        <v>B14e</v>
      </c>
      <c r="E3689" s="367">
        <v>4</v>
      </c>
      <c r="F3689" s="669"/>
      <c r="G3689" s="368"/>
      <c r="H3689" s="368"/>
      <c r="I3689" s="368"/>
      <c r="J3689" s="368"/>
      <c r="K3689" s="370"/>
      <c r="L3689" s="370"/>
      <c r="M3689" s="371"/>
      <c r="N3689" s="671"/>
      <c r="O3689" s="671"/>
      <c r="P3689" s="373"/>
      <c r="Q3689" s="673"/>
      <c r="R3689" s="958"/>
      <c r="S3689" s="366"/>
      <c r="T3689" s="376"/>
      <c r="U3689" s="376"/>
      <c r="V3689" s="366"/>
      <c r="W3689" s="366"/>
    </row>
    <row r="3690" spans="1:23">
      <c r="A3690" s="1410"/>
      <c r="B3690" s="1413"/>
      <c r="C3690" s="1206" t="s">
        <v>988</v>
      </c>
      <c r="D3690" s="875" t="str">
        <f>B3685&amp;C3690</f>
        <v>B14f</v>
      </c>
      <c r="E3690" s="367">
        <v>5</v>
      </c>
      <c r="F3690" s="669"/>
      <c r="G3690" s="368"/>
      <c r="H3690" s="368"/>
      <c r="I3690" s="368"/>
      <c r="J3690" s="368"/>
      <c r="K3690" s="370"/>
      <c r="L3690" s="370"/>
      <c r="M3690" s="371"/>
      <c r="N3690" s="671"/>
      <c r="O3690" s="671"/>
      <c r="P3690" s="373"/>
      <c r="Q3690" s="673"/>
      <c r="R3690" s="958"/>
      <c r="S3690" s="366" t="s">
        <v>190</v>
      </c>
      <c r="T3690" s="376"/>
      <c r="U3690" s="376"/>
      <c r="V3690" s="366"/>
      <c r="W3690" s="366"/>
    </row>
    <row r="3691" spans="1:23">
      <c r="A3691" s="1410"/>
      <c r="B3691" s="1413"/>
      <c r="C3691" s="1206" t="s">
        <v>989</v>
      </c>
      <c r="D3691" s="875" t="str">
        <f>B3685&amp;C3691</f>
        <v>B14g</v>
      </c>
      <c r="E3691" s="367">
        <v>6</v>
      </c>
      <c r="F3691" s="669"/>
      <c r="G3691" s="368"/>
      <c r="H3691" s="368"/>
      <c r="I3691" s="368"/>
      <c r="J3691" s="368"/>
      <c r="K3691" s="370"/>
      <c r="L3691" s="370"/>
      <c r="M3691" s="371"/>
      <c r="N3691" s="671"/>
      <c r="O3691" s="671"/>
      <c r="P3691" s="373"/>
      <c r="Q3691" s="673"/>
      <c r="R3691" s="958"/>
      <c r="S3691" s="366" t="s">
        <v>190</v>
      </c>
      <c r="T3691" s="366"/>
      <c r="U3691" s="366"/>
      <c r="V3691" s="366"/>
      <c r="W3691" s="366"/>
    </row>
    <row r="3692" spans="1:23">
      <c r="A3692" s="1410"/>
      <c r="B3692" s="1413"/>
      <c r="C3692" s="1206" t="s">
        <v>990</v>
      </c>
      <c r="D3692" s="875" t="str">
        <f>B3685&amp;C3692</f>
        <v>B14h</v>
      </c>
      <c r="E3692" s="367">
        <v>7</v>
      </c>
      <c r="F3692" s="669"/>
      <c r="G3692" s="368"/>
      <c r="H3692" s="368"/>
      <c r="I3692" s="368"/>
      <c r="J3692" s="368"/>
      <c r="K3692" s="370"/>
      <c r="L3692" s="370"/>
      <c r="M3692" s="371"/>
      <c r="N3692" s="671"/>
      <c r="O3692" s="671"/>
      <c r="P3692" s="373"/>
      <c r="Q3692" s="673"/>
      <c r="R3692" s="958"/>
      <c r="S3692" s="366" t="s">
        <v>190</v>
      </c>
      <c r="T3692" s="366"/>
      <c r="U3692" s="366"/>
      <c r="V3692" s="366"/>
      <c r="W3692" s="366"/>
    </row>
    <row r="3693" spans="1:23">
      <c r="A3693" s="1410"/>
      <c r="B3693" s="1413"/>
      <c r="C3693" s="1206" t="s">
        <v>991</v>
      </c>
      <c r="D3693" s="875" t="str">
        <f>B3685&amp;C3693</f>
        <v>B14i</v>
      </c>
      <c r="E3693" s="367">
        <v>8</v>
      </c>
      <c r="F3693" s="669"/>
      <c r="G3693" s="368"/>
      <c r="H3693" s="368"/>
      <c r="I3693" s="368"/>
      <c r="J3693" s="368"/>
      <c r="K3693" s="370"/>
      <c r="L3693" s="370"/>
      <c r="M3693" s="371"/>
      <c r="N3693" s="671"/>
      <c r="O3693" s="671"/>
      <c r="P3693" s="373"/>
      <c r="Q3693" s="673"/>
      <c r="R3693" s="958"/>
      <c r="S3693" s="366"/>
      <c r="T3693" s="366"/>
      <c r="U3693" s="366"/>
      <c r="V3693" s="366"/>
      <c r="W3693" s="366"/>
    </row>
    <row r="3694" spans="1:23">
      <c r="A3694" s="1410"/>
      <c r="B3694" s="1413"/>
      <c r="C3694" s="1206" t="s">
        <v>992</v>
      </c>
      <c r="D3694" s="875" t="str">
        <f>B3685&amp;C3694</f>
        <v>B14k</v>
      </c>
      <c r="E3694" s="367">
        <v>9</v>
      </c>
      <c r="F3694" s="370"/>
      <c r="G3694" s="368"/>
      <c r="H3694" s="368"/>
      <c r="I3694" s="368"/>
      <c r="J3694" s="368"/>
      <c r="K3694" s="370"/>
      <c r="L3694" s="370"/>
      <c r="M3694" s="371"/>
      <c r="N3694" s="372"/>
      <c r="O3694" s="372"/>
      <c r="P3694" s="373"/>
      <c r="Q3694" s="374"/>
      <c r="R3694" s="378"/>
      <c r="S3694" s="379"/>
      <c r="T3694" s="366"/>
      <c r="U3694" s="366"/>
      <c r="V3694" s="366"/>
      <c r="W3694" s="366"/>
    </row>
    <row r="3695" spans="1:23">
      <c r="A3695" s="1410"/>
      <c r="B3695" s="1413"/>
      <c r="C3695" s="1206" t="s">
        <v>993</v>
      </c>
      <c r="D3695" s="875" t="str">
        <f>B3685&amp;C3695</f>
        <v>B14l</v>
      </c>
      <c r="E3695" s="367">
        <v>10</v>
      </c>
      <c r="F3695" s="370"/>
      <c r="G3695" s="368"/>
      <c r="H3695" s="368"/>
      <c r="I3695" s="368"/>
      <c r="J3695" s="368"/>
      <c r="K3695" s="370"/>
      <c r="L3695" s="370"/>
      <c r="M3695" s="370"/>
      <c r="N3695" s="372"/>
      <c r="O3695" s="372"/>
      <c r="P3695" s="373"/>
      <c r="Q3695" s="374"/>
      <c r="R3695" s="378"/>
      <c r="S3695" s="379"/>
      <c r="T3695" s="366"/>
      <c r="U3695" s="366"/>
      <c r="V3695" s="366"/>
      <c r="W3695" s="366"/>
    </row>
    <row r="3696" spans="1:23">
      <c r="A3696" s="1410"/>
      <c r="B3696" s="1413"/>
      <c r="C3696" s="1206" t="s">
        <v>994</v>
      </c>
      <c r="D3696" s="875" t="str">
        <f>B3685&amp;C3696</f>
        <v>B14m</v>
      </c>
      <c r="E3696" s="367">
        <v>11</v>
      </c>
      <c r="F3696" s="370"/>
      <c r="G3696" s="368"/>
      <c r="H3696" s="368"/>
      <c r="I3696" s="368"/>
      <c r="J3696" s="368"/>
      <c r="K3696" s="370"/>
      <c r="L3696" s="370"/>
      <c r="M3696" s="370"/>
      <c r="N3696" s="372"/>
      <c r="O3696" s="372"/>
      <c r="P3696" s="380"/>
      <c r="Q3696" s="374"/>
      <c r="R3696" s="381"/>
      <c r="S3696" s="379"/>
      <c r="T3696" s="366"/>
      <c r="U3696" s="366"/>
      <c r="V3696" s="366"/>
      <c r="W3696" s="366"/>
    </row>
    <row r="3697" spans="1:23">
      <c r="A3697" s="1410"/>
      <c r="B3697" s="1413"/>
      <c r="C3697" s="1206" t="s">
        <v>995</v>
      </c>
      <c r="D3697" s="875" t="str">
        <f>B3685&amp;C3697</f>
        <v>B14n</v>
      </c>
      <c r="E3697" s="367">
        <v>12</v>
      </c>
      <c r="F3697" s="370"/>
      <c r="G3697" s="368"/>
      <c r="H3697" s="368"/>
      <c r="I3697" s="368"/>
      <c r="J3697" s="368"/>
      <c r="K3697" s="370"/>
      <c r="L3697" s="370"/>
      <c r="M3697" s="370"/>
      <c r="N3697" s="372"/>
      <c r="O3697" s="372"/>
      <c r="P3697" s="380"/>
      <c r="Q3697" s="374"/>
      <c r="R3697" s="381"/>
      <c r="S3697" s="361"/>
      <c r="T3697" s="361"/>
      <c r="U3697" s="361"/>
      <c r="V3697" s="366"/>
      <c r="W3697" s="366"/>
    </row>
    <row r="3698" spans="1:23">
      <c r="A3698" s="1410"/>
      <c r="B3698" s="1413"/>
      <c r="C3698" s="1206" t="s">
        <v>471</v>
      </c>
      <c r="D3698" s="875" t="str">
        <f>B3685&amp;C3698</f>
        <v>B14x</v>
      </c>
      <c r="E3698" s="367">
        <v>13</v>
      </c>
      <c r="F3698" s="370"/>
      <c r="G3698" s="368"/>
      <c r="H3698" s="368"/>
      <c r="I3698" s="368"/>
      <c r="J3698" s="368"/>
      <c r="K3698" s="370"/>
      <c r="L3698" s="370"/>
      <c r="M3698" s="370"/>
      <c r="N3698" s="382"/>
      <c r="O3698" s="372"/>
      <c r="P3698" s="380"/>
      <c r="Q3698" s="381"/>
      <c r="R3698" s="381"/>
      <c r="S3698" s="361"/>
      <c r="T3698" s="361"/>
      <c r="U3698" s="361"/>
      <c r="V3698" s="366"/>
      <c r="W3698" s="366"/>
    </row>
    <row r="3699" spans="1:23">
      <c r="A3699" s="1410"/>
      <c r="B3699" s="1413"/>
      <c r="C3699" s="1206" t="s">
        <v>732</v>
      </c>
      <c r="D3699" s="875" t="str">
        <f>B3685&amp;C3699</f>
        <v>B14y</v>
      </c>
      <c r="E3699" s="367">
        <v>14</v>
      </c>
      <c r="F3699" s="370"/>
      <c r="G3699" s="368"/>
      <c r="H3699" s="368"/>
      <c r="I3699" s="368"/>
      <c r="J3699" s="368"/>
      <c r="K3699" s="370"/>
      <c r="L3699" s="370"/>
      <c r="M3699" s="370"/>
      <c r="N3699" s="382"/>
      <c r="O3699" s="372"/>
      <c r="P3699" s="380"/>
      <c r="Q3699" s="381"/>
      <c r="R3699" s="381"/>
      <c r="S3699" s="361"/>
      <c r="T3699" s="361"/>
      <c r="U3699" s="362"/>
      <c r="V3699" s="366"/>
      <c r="W3699" s="366"/>
    </row>
    <row r="3700" spans="1:23">
      <c r="A3700" s="1411"/>
      <c r="B3700" s="1414"/>
      <c r="C3700" s="1207" t="s">
        <v>996</v>
      </c>
      <c r="D3700" s="876" t="str">
        <f>B3685&amp;C3700</f>
        <v>B14z</v>
      </c>
      <c r="E3700" s="847">
        <v>15</v>
      </c>
      <c r="F3700" s="370"/>
      <c r="G3700" s="368"/>
      <c r="H3700" s="368"/>
      <c r="I3700" s="368"/>
      <c r="J3700" s="368"/>
      <c r="K3700" s="370"/>
      <c r="L3700" s="370"/>
      <c r="M3700" s="370"/>
      <c r="N3700" s="850"/>
      <c r="O3700" s="851"/>
      <c r="P3700" s="380"/>
      <c r="Q3700" s="852"/>
      <c r="R3700" s="383"/>
      <c r="S3700" s="361"/>
      <c r="T3700" s="1204"/>
      <c r="U3700" s="1203"/>
      <c r="V3700" s="366"/>
      <c r="W3700" s="366"/>
    </row>
    <row r="3701" spans="1:23">
      <c r="A3701" s="1400" t="s">
        <v>939</v>
      </c>
      <c r="B3701" s="1400"/>
      <c r="C3701" s="1200"/>
      <c r="D3701" s="871"/>
      <c r="E3701" s="1400" t="s">
        <v>177</v>
      </c>
      <c r="F3701" s="1400" t="s">
        <v>18</v>
      </c>
      <c r="G3701" s="1389" t="s">
        <v>19</v>
      </c>
      <c r="H3701" s="1390"/>
      <c r="I3701" s="1389" t="s">
        <v>22</v>
      </c>
      <c r="J3701" s="1390"/>
      <c r="K3701" s="1393" t="s">
        <v>26</v>
      </c>
      <c r="L3701" s="1390"/>
      <c r="M3701" s="1389" t="s">
        <v>392</v>
      </c>
      <c r="N3701" s="1390"/>
      <c r="O3701" s="1389" t="s">
        <v>28</v>
      </c>
      <c r="P3701" s="1393"/>
      <c r="Q3701" s="1390"/>
      <c r="R3701" s="1400" t="s">
        <v>36</v>
      </c>
      <c r="S3701" s="361"/>
      <c r="T3701" s="361">
        <f>MAX(J3705:J3719)-MIN(I3705:I3719)</f>
        <v>0.10069444444444442</v>
      </c>
      <c r="U3701" s="361"/>
      <c r="V3701" s="853" t="str">
        <f t="shared" ref="V3701" si="442">B3705</f>
        <v>A113</v>
      </c>
      <c r="W3701" s="361">
        <f t="shared" ref="W3701" si="443">COUNTIF(K3706:K3720,"&gt;0")</f>
        <v>5</v>
      </c>
    </row>
    <row r="3702" spans="1:23">
      <c r="A3702" s="1401"/>
      <c r="B3702" s="1401"/>
      <c r="C3702" s="1202"/>
      <c r="D3702" s="872"/>
      <c r="E3702" s="1401"/>
      <c r="F3702" s="1401"/>
      <c r="G3702" s="1391"/>
      <c r="H3702" s="1392"/>
      <c r="I3702" s="1391"/>
      <c r="J3702" s="1392"/>
      <c r="K3702" s="1394"/>
      <c r="L3702" s="1392"/>
      <c r="M3702" s="1391"/>
      <c r="N3702" s="1392"/>
      <c r="O3702" s="1391"/>
      <c r="P3702" s="1394"/>
      <c r="Q3702" s="1392"/>
      <c r="R3702" s="1401"/>
      <c r="S3702" s="361"/>
      <c r="T3702" s="361"/>
      <c r="U3702" s="361"/>
      <c r="V3702" s="361"/>
      <c r="W3702" s="361"/>
    </row>
    <row r="3703" spans="1:23">
      <c r="A3703" s="1401"/>
      <c r="B3703" s="1401"/>
      <c r="C3703" s="1202"/>
      <c r="D3703" s="872"/>
      <c r="E3703" s="1401"/>
      <c r="F3703" s="1401"/>
      <c r="G3703" s="1400" t="s">
        <v>20</v>
      </c>
      <c r="H3703" s="1400" t="s">
        <v>21</v>
      </c>
      <c r="I3703" s="1400" t="s">
        <v>361</v>
      </c>
      <c r="J3703" s="1400" t="s">
        <v>353</v>
      </c>
      <c r="K3703" s="1400" t="s">
        <v>23</v>
      </c>
      <c r="L3703" s="1400" t="s">
        <v>24</v>
      </c>
      <c r="M3703" s="1400" t="s">
        <v>27</v>
      </c>
      <c r="N3703" s="1400" t="s">
        <v>178</v>
      </c>
      <c r="O3703" s="1400" t="s">
        <v>1</v>
      </c>
      <c r="P3703" s="1400" t="s">
        <v>29</v>
      </c>
      <c r="Q3703" s="1400" t="s">
        <v>33</v>
      </c>
      <c r="R3703" s="1401"/>
      <c r="S3703" s="361"/>
      <c r="T3703" s="361" t="s">
        <v>39</v>
      </c>
      <c r="U3703" s="362">
        <f>VLOOKUP(B3705,'[8]Thong tin'!$A:$M,13,0)</f>
        <v>1200</v>
      </c>
      <c r="V3703" s="361"/>
      <c r="W3703" s="361"/>
    </row>
    <row r="3704" spans="1:23">
      <c r="A3704" s="1402"/>
      <c r="B3704" s="1402"/>
      <c r="C3704" s="1201"/>
      <c r="D3704" s="873"/>
      <c r="E3704" s="1402"/>
      <c r="F3704" s="1402"/>
      <c r="G3704" s="1402"/>
      <c r="H3704" s="1402"/>
      <c r="I3704" s="1402"/>
      <c r="J3704" s="1402"/>
      <c r="K3704" s="1402"/>
      <c r="L3704" s="1402"/>
      <c r="M3704" s="1402"/>
      <c r="N3704" s="1402"/>
      <c r="O3704" s="1402"/>
      <c r="P3704" s="1402"/>
      <c r="Q3704" s="1402"/>
      <c r="R3704" s="1402"/>
      <c r="S3704" s="361"/>
      <c r="T3704" s="1399" t="s">
        <v>393</v>
      </c>
      <c r="U3704" s="1397">
        <f>VLOOKUP(B3705,[8]DT.NK!$B:$AZ,45,0)</f>
        <v>44.8</v>
      </c>
      <c r="V3704" s="361"/>
      <c r="W3704" s="361"/>
    </row>
    <row r="3705" spans="1:23">
      <c r="A3705" s="1409">
        <f>A3685+1</f>
        <v>186</v>
      </c>
      <c r="B3705" s="1412" t="s">
        <v>600</v>
      </c>
      <c r="C3705" s="1205" t="s">
        <v>983</v>
      </c>
      <c r="D3705" s="874" t="str">
        <f>B3705&amp;C3705</f>
        <v>A113a</v>
      </c>
      <c r="E3705" s="363"/>
      <c r="F3705" s="364"/>
      <c r="G3705" s="364"/>
      <c r="H3705" s="364"/>
      <c r="I3705" s="364"/>
      <c r="J3705" s="364"/>
      <c r="K3705" s="364"/>
      <c r="L3705" s="364"/>
      <c r="M3705" s="674"/>
      <c r="N3705" s="670"/>
      <c r="O3705" s="670">
        <f>U3704</f>
        <v>44.8</v>
      </c>
      <c r="P3705" s="670">
        <f>O3705</f>
        <v>44.8</v>
      </c>
      <c r="Q3705" s="670">
        <v>0</v>
      </c>
      <c r="R3705" s="365"/>
      <c r="S3705" s="366"/>
      <c r="T3705" s="1399"/>
      <c r="U3705" s="1398"/>
      <c r="V3705" s="361"/>
      <c r="W3705" s="361"/>
    </row>
    <row r="3706" spans="1:23">
      <c r="A3706" s="1410"/>
      <c r="B3706" s="1413"/>
      <c r="C3706" s="1206" t="s">
        <v>984</v>
      </c>
      <c r="D3706" s="875" t="str">
        <f>B3705&amp;C3706</f>
        <v>A113b</v>
      </c>
      <c r="E3706" s="367">
        <v>1</v>
      </c>
      <c r="F3706" s="669" t="s">
        <v>982</v>
      </c>
      <c r="G3706" s="369">
        <v>0.31319444444444444</v>
      </c>
      <c r="H3706" s="368">
        <v>0.35416666666666669</v>
      </c>
      <c r="I3706" s="368">
        <v>0.38541666666666669</v>
      </c>
      <c r="J3706" s="368">
        <v>0.3888888888888889</v>
      </c>
      <c r="K3706" s="669">
        <v>10</v>
      </c>
      <c r="L3706" s="669">
        <v>19</v>
      </c>
      <c r="M3706" s="675">
        <v>42.1</v>
      </c>
      <c r="N3706" s="671">
        <f>IF(M3706-P3706&gt;0,M3706-P3706,0)</f>
        <v>1.990000000000002</v>
      </c>
      <c r="O3706" s="671">
        <f>O3705-K3706/(PI()*(U3703/2000)^2)</f>
        <v>35.958058717116927</v>
      </c>
      <c r="P3706" s="672">
        <v>40.11</v>
      </c>
      <c r="Q3706" s="673">
        <f>ABS(O3706-P3706)</f>
        <v>4.1519412828830724</v>
      </c>
      <c r="R3706" s="375" t="s">
        <v>188</v>
      </c>
      <c r="S3706" s="366"/>
      <c r="T3706" s="376"/>
      <c r="U3706" s="376"/>
      <c r="V3706" s="366"/>
      <c r="W3706" s="366"/>
    </row>
    <row r="3707" spans="1:23">
      <c r="A3707" s="1410"/>
      <c r="B3707" s="1413"/>
      <c r="C3707" s="1206" t="s">
        <v>985</v>
      </c>
      <c r="D3707" s="875" t="str">
        <f>B3705&amp;C3707</f>
        <v>A113c</v>
      </c>
      <c r="E3707" s="367">
        <v>2</v>
      </c>
      <c r="F3707" s="669" t="s">
        <v>1156</v>
      </c>
      <c r="G3707" s="368">
        <v>0.32569444444444445</v>
      </c>
      <c r="H3707" s="368">
        <v>0.36458333333333331</v>
      </c>
      <c r="I3707" s="368">
        <v>0.39583333333333331</v>
      </c>
      <c r="J3707" s="368">
        <v>0.39930555555555558</v>
      </c>
      <c r="K3707" s="370">
        <v>12.5</v>
      </c>
      <c r="L3707" s="370">
        <v>20</v>
      </c>
      <c r="M3707" s="371">
        <v>42.1</v>
      </c>
      <c r="N3707" s="671">
        <f t="shared" ref="N3707:N3710" si="444">IF(M3707-P3707&gt;0,M3707-P3707,0)</f>
        <v>4.2800000000000011</v>
      </c>
      <c r="O3707" s="671">
        <f>O3706-K3707/(PI()*(U3703/2000)^2)</f>
        <v>24.905632113513086</v>
      </c>
      <c r="P3707" s="373">
        <v>37.82</v>
      </c>
      <c r="Q3707" s="673">
        <f t="shared" ref="Q3707:Q3710" si="445">ABS(O3707-P3707)</f>
        <v>12.914367886486914</v>
      </c>
      <c r="R3707" s="958" t="s">
        <v>188</v>
      </c>
      <c r="S3707" s="366"/>
      <c r="T3707" s="376"/>
      <c r="U3707" s="376"/>
      <c r="V3707" s="366"/>
      <c r="W3707" s="366"/>
    </row>
    <row r="3708" spans="1:23">
      <c r="A3708" s="1410"/>
      <c r="B3708" s="1413"/>
      <c r="C3708" s="1206" t="s">
        <v>986</v>
      </c>
      <c r="D3708" s="875" t="str">
        <f>B3705&amp;C3708</f>
        <v>A113d</v>
      </c>
      <c r="E3708" s="367">
        <v>3</v>
      </c>
      <c r="F3708" s="669" t="s">
        <v>1160</v>
      </c>
      <c r="G3708" s="368">
        <v>0.33680555555555558</v>
      </c>
      <c r="H3708" s="368">
        <v>0.37847222222222227</v>
      </c>
      <c r="I3708" s="368">
        <v>0.40972222222222227</v>
      </c>
      <c r="J3708" s="368">
        <v>0.4145833333333333</v>
      </c>
      <c r="K3708" s="370">
        <v>12.5</v>
      </c>
      <c r="L3708" s="370">
        <v>19.5</v>
      </c>
      <c r="M3708" s="371">
        <v>32.049999999999997</v>
      </c>
      <c r="N3708" s="671">
        <f t="shared" si="444"/>
        <v>3.4899999999999984</v>
      </c>
      <c r="O3708" s="671">
        <f>O3707-K3708/(PI()*(U3703/2000)^2)</f>
        <v>13.853205509909243</v>
      </c>
      <c r="P3708" s="373">
        <v>28.56</v>
      </c>
      <c r="Q3708" s="673">
        <f t="shared" si="445"/>
        <v>14.706794490090756</v>
      </c>
      <c r="R3708" s="958" t="s">
        <v>188</v>
      </c>
      <c r="S3708" s="366"/>
      <c r="T3708" s="376"/>
      <c r="U3708" s="376"/>
      <c r="V3708" s="366"/>
      <c r="W3708" s="366"/>
    </row>
    <row r="3709" spans="1:23">
      <c r="A3709" s="1410"/>
      <c r="B3709" s="1413"/>
      <c r="C3709" s="1206" t="s">
        <v>987</v>
      </c>
      <c r="D3709" s="875" t="str">
        <f>B3705&amp;C3709</f>
        <v>A113e</v>
      </c>
      <c r="E3709" s="367">
        <v>4</v>
      </c>
      <c r="F3709" s="669" t="s">
        <v>1181</v>
      </c>
      <c r="G3709" s="368">
        <v>0.35416666666666669</v>
      </c>
      <c r="H3709" s="368">
        <v>0.39583333333333331</v>
      </c>
      <c r="I3709" s="368">
        <v>0.4201388888888889</v>
      </c>
      <c r="J3709" s="368">
        <v>0.42430555555555555</v>
      </c>
      <c r="K3709" s="370">
        <v>13</v>
      </c>
      <c r="L3709" s="370">
        <v>19</v>
      </c>
      <c r="M3709" s="371">
        <v>20.05</v>
      </c>
      <c r="N3709" s="671">
        <f t="shared" si="444"/>
        <v>2.3500000000000014</v>
      </c>
      <c r="O3709" s="671">
        <f>O3708-K3709/(PI()*(U3703/2000)^2)</f>
        <v>2.3586818421612463</v>
      </c>
      <c r="P3709" s="373">
        <v>17.7</v>
      </c>
      <c r="Q3709" s="673">
        <f t="shared" si="445"/>
        <v>15.341318157838753</v>
      </c>
      <c r="R3709" s="958"/>
      <c r="S3709" s="366"/>
      <c r="T3709" s="376"/>
      <c r="U3709" s="376"/>
      <c r="V3709" s="366"/>
      <c r="W3709" s="366"/>
    </row>
    <row r="3710" spans="1:23">
      <c r="A3710" s="1410"/>
      <c r="B3710" s="1413"/>
      <c r="C3710" s="1206" t="s">
        <v>988</v>
      </c>
      <c r="D3710" s="875" t="str">
        <f>B3705&amp;C3710</f>
        <v>A113f</v>
      </c>
      <c r="E3710" s="367">
        <v>5</v>
      </c>
      <c r="F3710" s="669" t="s">
        <v>1160</v>
      </c>
      <c r="G3710" s="368">
        <v>0.44722222222222219</v>
      </c>
      <c r="H3710" s="368">
        <v>0.47222222222222227</v>
      </c>
      <c r="I3710" s="368">
        <v>0.47916666666666669</v>
      </c>
      <c r="J3710" s="368">
        <v>0.4861111111111111</v>
      </c>
      <c r="K3710" s="370">
        <v>2.5</v>
      </c>
      <c r="L3710" s="370">
        <v>19</v>
      </c>
      <c r="M3710" s="371"/>
      <c r="N3710" s="671">
        <f t="shared" si="444"/>
        <v>0</v>
      </c>
      <c r="O3710" s="671">
        <f>O3709-K3710/(PI()*(U3703/2000)^2)</f>
        <v>0.1481965214404779</v>
      </c>
      <c r="P3710" s="373">
        <v>6.5</v>
      </c>
      <c r="Q3710" s="673">
        <f t="shared" si="445"/>
        <v>6.3518034785595221</v>
      </c>
      <c r="R3710" s="958"/>
      <c r="S3710" s="366" t="s">
        <v>190</v>
      </c>
      <c r="T3710" s="376"/>
      <c r="U3710" s="376"/>
      <c r="V3710" s="366"/>
      <c r="W3710" s="366"/>
    </row>
    <row r="3711" spans="1:23">
      <c r="A3711" s="1410"/>
      <c r="B3711" s="1413"/>
      <c r="C3711" s="1206" t="s">
        <v>989</v>
      </c>
      <c r="D3711" s="875" t="str">
        <f>B3705&amp;C3711</f>
        <v>A113g</v>
      </c>
      <c r="E3711" s="367">
        <v>6</v>
      </c>
      <c r="F3711" s="370"/>
      <c r="G3711" s="368"/>
      <c r="H3711" s="368"/>
      <c r="I3711" s="368"/>
      <c r="J3711" s="368"/>
      <c r="K3711" s="370"/>
      <c r="L3711" s="370"/>
      <c r="M3711" s="371"/>
      <c r="N3711" s="671"/>
      <c r="O3711" s="671"/>
      <c r="P3711" s="373"/>
      <c r="Q3711" s="673"/>
      <c r="R3711" s="958"/>
      <c r="S3711" s="366" t="s">
        <v>190</v>
      </c>
      <c r="T3711" s="366"/>
      <c r="U3711" s="366"/>
      <c r="V3711" s="366"/>
      <c r="W3711" s="366"/>
    </row>
    <row r="3712" spans="1:23">
      <c r="A3712" s="1410"/>
      <c r="B3712" s="1413"/>
      <c r="C3712" s="1206" t="s">
        <v>990</v>
      </c>
      <c r="D3712" s="875" t="str">
        <f>B3705&amp;C3712</f>
        <v>A113h</v>
      </c>
      <c r="E3712" s="367">
        <v>7</v>
      </c>
      <c r="F3712" s="370"/>
      <c r="G3712" s="368"/>
      <c r="H3712" s="368"/>
      <c r="I3712" s="368"/>
      <c r="J3712" s="368"/>
      <c r="K3712" s="370"/>
      <c r="L3712" s="370"/>
      <c r="M3712" s="371"/>
      <c r="N3712" s="671"/>
      <c r="O3712" s="671"/>
      <c r="P3712" s="373"/>
      <c r="Q3712" s="673"/>
      <c r="R3712" s="958"/>
      <c r="S3712" s="366" t="s">
        <v>190</v>
      </c>
      <c r="T3712" s="366"/>
      <c r="U3712" s="366"/>
      <c r="V3712" s="366"/>
      <c r="W3712" s="366"/>
    </row>
    <row r="3713" spans="1:23">
      <c r="A3713" s="1410"/>
      <c r="B3713" s="1413"/>
      <c r="C3713" s="1206" t="s">
        <v>991</v>
      </c>
      <c r="D3713" s="875" t="str">
        <f>B3705&amp;C3713</f>
        <v>A113i</v>
      </c>
      <c r="E3713" s="367">
        <v>8</v>
      </c>
      <c r="F3713" s="370"/>
      <c r="G3713" s="368"/>
      <c r="H3713" s="368"/>
      <c r="I3713" s="368"/>
      <c r="J3713" s="368"/>
      <c r="K3713" s="370"/>
      <c r="L3713" s="370"/>
      <c r="M3713" s="371"/>
      <c r="N3713" s="671"/>
      <c r="O3713" s="671"/>
      <c r="P3713" s="373"/>
      <c r="Q3713" s="673"/>
      <c r="R3713" s="958"/>
      <c r="S3713" s="366"/>
      <c r="T3713" s="366"/>
      <c r="U3713" s="366"/>
      <c r="V3713" s="366"/>
      <c r="W3713" s="366"/>
    </row>
    <row r="3714" spans="1:23">
      <c r="A3714" s="1410"/>
      <c r="B3714" s="1413"/>
      <c r="C3714" s="1206" t="s">
        <v>992</v>
      </c>
      <c r="D3714" s="875" t="str">
        <f>B3705&amp;C3714</f>
        <v>A113k</v>
      </c>
      <c r="E3714" s="367">
        <v>9</v>
      </c>
      <c r="F3714" s="370"/>
      <c r="G3714" s="368"/>
      <c r="H3714" s="368"/>
      <c r="I3714" s="368"/>
      <c r="J3714" s="368"/>
      <c r="K3714" s="370"/>
      <c r="L3714" s="370"/>
      <c r="M3714" s="371"/>
      <c r="N3714" s="372"/>
      <c r="O3714" s="372"/>
      <c r="P3714" s="373"/>
      <c r="Q3714" s="374"/>
      <c r="R3714" s="378"/>
      <c r="S3714" s="379"/>
      <c r="T3714" s="366"/>
      <c r="U3714" s="366"/>
      <c r="V3714" s="366"/>
      <c r="W3714" s="366"/>
    </row>
    <row r="3715" spans="1:23">
      <c r="A3715" s="1410"/>
      <c r="B3715" s="1413"/>
      <c r="C3715" s="1206" t="s">
        <v>993</v>
      </c>
      <c r="D3715" s="875" t="str">
        <f>B3705&amp;C3715</f>
        <v>A113l</v>
      </c>
      <c r="E3715" s="367">
        <v>10</v>
      </c>
      <c r="F3715" s="370"/>
      <c r="G3715" s="368"/>
      <c r="H3715" s="368"/>
      <c r="I3715" s="368"/>
      <c r="J3715" s="368"/>
      <c r="K3715" s="370"/>
      <c r="L3715" s="370"/>
      <c r="M3715" s="370"/>
      <c r="N3715" s="372"/>
      <c r="O3715" s="372"/>
      <c r="P3715" s="373"/>
      <c r="Q3715" s="374"/>
      <c r="R3715" s="378"/>
      <c r="S3715" s="379"/>
      <c r="T3715" s="366"/>
      <c r="U3715" s="366"/>
      <c r="V3715" s="366"/>
      <c r="W3715" s="366"/>
    </row>
    <row r="3716" spans="1:23">
      <c r="A3716" s="1410"/>
      <c r="B3716" s="1413"/>
      <c r="C3716" s="1206" t="s">
        <v>994</v>
      </c>
      <c r="D3716" s="875" t="str">
        <f>B3705&amp;C3716</f>
        <v>A113m</v>
      </c>
      <c r="E3716" s="367">
        <v>11</v>
      </c>
      <c r="F3716" s="370"/>
      <c r="G3716" s="368"/>
      <c r="H3716" s="368"/>
      <c r="I3716" s="368"/>
      <c r="J3716" s="368"/>
      <c r="K3716" s="370"/>
      <c r="L3716" s="370"/>
      <c r="M3716" s="370"/>
      <c r="N3716" s="372"/>
      <c r="O3716" s="372"/>
      <c r="P3716" s="380"/>
      <c r="Q3716" s="374"/>
      <c r="R3716" s="381"/>
      <c r="S3716" s="379"/>
      <c r="T3716" s="366"/>
      <c r="U3716" s="366"/>
      <c r="V3716" s="366"/>
      <c r="W3716" s="366"/>
    </row>
    <row r="3717" spans="1:23">
      <c r="A3717" s="1410"/>
      <c r="B3717" s="1413"/>
      <c r="C3717" s="1206" t="s">
        <v>995</v>
      </c>
      <c r="D3717" s="875" t="str">
        <f>B3705&amp;C3717</f>
        <v>A113n</v>
      </c>
      <c r="E3717" s="367">
        <v>12</v>
      </c>
      <c r="F3717" s="370"/>
      <c r="G3717" s="368"/>
      <c r="H3717" s="368"/>
      <c r="I3717" s="368"/>
      <c r="J3717" s="368"/>
      <c r="K3717" s="370"/>
      <c r="L3717" s="370"/>
      <c r="M3717" s="370"/>
      <c r="N3717" s="372"/>
      <c r="O3717" s="372"/>
      <c r="P3717" s="380"/>
      <c r="Q3717" s="374"/>
      <c r="R3717" s="381"/>
      <c r="S3717" s="361"/>
      <c r="T3717" s="361"/>
      <c r="U3717" s="361"/>
      <c r="V3717" s="366"/>
      <c r="W3717" s="366"/>
    </row>
    <row r="3718" spans="1:23">
      <c r="A3718" s="1410"/>
      <c r="B3718" s="1413"/>
      <c r="C3718" s="1206" t="s">
        <v>471</v>
      </c>
      <c r="D3718" s="875" t="str">
        <f>B3705&amp;C3718</f>
        <v>A113x</v>
      </c>
      <c r="E3718" s="367">
        <v>13</v>
      </c>
      <c r="F3718" s="370"/>
      <c r="G3718" s="368"/>
      <c r="H3718" s="368"/>
      <c r="I3718" s="368"/>
      <c r="J3718" s="368"/>
      <c r="K3718" s="370"/>
      <c r="L3718" s="370"/>
      <c r="M3718" s="370"/>
      <c r="N3718" s="382"/>
      <c r="O3718" s="372"/>
      <c r="P3718" s="380"/>
      <c r="Q3718" s="381"/>
      <c r="R3718" s="381"/>
      <c r="S3718" s="361"/>
      <c r="T3718" s="361"/>
      <c r="U3718" s="361"/>
      <c r="V3718" s="366"/>
      <c r="W3718" s="366"/>
    </row>
    <row r="3719" spans="1:23">
      <c r="A3719" s="1410"/>
      <c r="B3719" s="1413"/>
      <c r="C3719" s="1206" t="s">
        <v>732</v>
      </c>
      <c r="D3719" s="875" t="str">
        <f>B3705&amp;C3719</f>
        <v>A113y</v>
      </c>
      <c r="E3719" s="367">
        <v>14</v>
      </c>
      <c r="F3719" s="370"/>
      <c r="G3719" s="368"/>
      <c r="H3719" s="368"/>
      <c r="I3719" s="368"/>
      <c r="J3719" s="368"/>
      <c r="K3719" s="370"/>
      <c r="L3719" s="370"/>
      <c r="M3719" s="370"/>
      <c r="N3719" s="382"/>
      <c r="O3719" s="372"/>
      <c r="P3719" s="380"/>
      <c r="Q3719" s="381"/>
      <c r="R3719" s="381"/>
      <c r="S3719" s="361"/>
      <c r="T3719" s="361"/>
      <c r="U3719" s="362"/>
      <c r="V3719" s="366"/>
      <c r="W3719" s="366"/>
    </row>
    <row r="3720" spans="1:23">
      <c r="A3720" s="1411"/>
      <c r="B3720" s="1414"/>
      <c r="C3720" s="1207" t="s">
        <v>996</v>
      </c>
      <c r="D3720" s="876" t="str">
        <f>B3705&amp;C3720</f>
        <v>A113z</v>
      </c>
      <c r="E3720" s="847">
        <v>15</v>
      </c>
      <c r="F3720" s="370"/>
      <c r="G3720" s="368"/>
      <c r="H3720" s="368"/>
      <c r="I3720" s="368"/>
      <c r="J3720" s="368"/>
      <c r="K3720" s="370"/>
      <c r="L3720" s="370"/>
      <c r="M3720" s="370"/>
      <c r="N3720" s="850"/>
      <c r="O3720" s="851"/>
      <c r="P3720" s="380"/>
      <c r="Q3720" s="852"/>
      <c r="R3720" s="383"/>
      <c r="S3720" s="361"/>
      <c r="T3720" s="1204"/>
      <c r="U3720" s="1203"/>
      <c r="V3720" s="366"/>
      <c r="W3720" s="366"/>
    </row>
    <row r="3721" spans="1:23">
      <c r="A3721" s="1400" t="s">
        <v>939</v>
      </c>
      <c r="B3721" s="1400"/>
      <c r="C3721" s="1200"/>
      <c r="D3721" s="871"/>
      <c r="E3721" s="1400" t="s">
        <v>177</v>
      </c>
      <c r="F3721" s="1400" t="s">
        <v>18</v>
      </c>
      <c r="G3721" s="1389" t="s">
        <v>19</v>
      </c>
      <c r="H3721" s="1390"/>
      <c r="I3721" s="1389" t="s">
        <v>22</v>
      </c>
      <c r="J3721" s="1390"/>
      <c r="K3721" s="1393" t="s">
        <v>26</v>
      </c>
      <c r="L3721" s="1390"/>
      <c r="M3721" s="1389" t="s">
        <v>392</v>
      </c>
      <c r="N3721" s="1390"/>
      <c r="O3721" s="1389" t="s">
        <v>28</v>
      </c>
      <c r="P3721" s="1393"/>
      <c r="Q3721" s="1390"/>
      <c r="R3721" s="1400" t="s">
        <v>36</v>
      </c>
      <c r="S3721" s="361"/>
      <c r="T3721" s="361">
        <f>MAX(J3725:J3739)-MIN(I3725:I3739)</f>
        <v>7.291666666666663E-2</v>
      </c>
      <c r="U3721" s="361"/>
      <c r="V3721" s="853" t="str">
        <f t="shared" ref="V3721" si="446">B3725</f>
        <v>A102</v>
      </c>
      <c r="W3721" s="361">
        <f t="shared" ref="W3721" si="447">COUNTIF(K3726:K3740,"&gt;0")</f>
        <v>3</v>
      </c>
    </row>
    <row r="3722" spans="1:23">
      <c r="A3722" s="1401"/>
      <c r="B3722" s="1401"/>
      <c r="C3722" s="1202"/>
      <c r="D3722" s="872"/>
      <c r="E3722" s="1401"/>
      <c r="F3722" s="1401"/>
      <c r="G3722" s="1391"/>
      <c r="H3722" s="1392"/>
      <c r="I3722" s="1391"/>
      <c r="J3722" s="1392"/>
      <c r="K3722" s="1394"/>
      <c r="L3722" s="1392"/>
      <c r="M3722" s="1391"/>
      <c r="N3722" s="1392"/>
      <c r="O3722" s="1391"/>
      <c r="P3722" s="1394"/>
      <c r="Q3722" s="1392"/>
      <c r="R3722" s="1401"/>
      <c r="S3722" s="361"/>
      <c r="T3722" s="361"/>
      <c r="U3722" s="361"/>
      <c r="V3722" s="361"/>
      <c r="W3722" s="361"/>
    </row>
    <row r="3723" spans="1:23">
      <c r="A3723" s="1401"/>
      <c r="B3723" s="1401"/>
      <c r="C3723" s="1202"/>
      <c r="D3723" s="872"/>
      <c r="E3723" s="1401"/>
      <c r="F3723" s="1401"/>
      <c r="G3723" s="1400" t="s">
        <v>20</v>
      </c>
      <c r="H3723" s="1400" t="s">
        <v>21</v>
      </c>
      <c r="I3723" s="1400" t="s">
        <v>361</v>
      </c>
      <c r="J3723" s="1400" t="s">
        <v>353</v>
      </c>
      <c r="K3723" s="1400" t="s">
        <v>23</v>
      </c>
      <c r="L3723" s="1400" t="s">
        <v>24</v>
      </c>
      <c r="M3723" s="1400" t="s">
        <v>27</v>
      </c>
      <c r="N3723" s="1400" t="s">
        <v>178</v>
      </c>
      <c r="O3723" s="1400" t="s">
        <v>1</v>
      </c>
      <c r="P3723" s="1400" t="s">
        <v>29</v>
      </c>
      <c r="Q3723" s="1400" t="s">
        <v>33</v>
      </c>
      <c r="R3723" s="1401"/>
      <c r="S3723" s="361"/>
      <c r="T3723" s="361" t="s">
        <v>39</v>
      </c>
      <c r="U3723" s="362">
        <f>VLOOKUP(B3725,'[8]Thong tin'!$A:$M,13,0)</f>
        <v>1200</v>
      </c>
      <c r="V3723" s="361"/>
      <c r="W3723" s="361"/>
    </row>
    <row r="3724" spans="1:23">
      <c r="A3724" s="1402"/>
      <c r="B3724" s="1402"/>
      <c r="C3724" s="1201"/>
      <c r="D3724" s="873"/>
      <c r="E3724" s="1402"/>
      <c r="F3724" s="1402"/>
      <c r="G3724" s="1402"/>
      <c r="H3724" s="1402"/>
      <c r="I3724" s="1402"/>
      <c r="J3724" s="1402"/>
      <c r="K3724" s="1402"/>
      <c r="L3724" s="1402"/>
      <c r="M3724" s="1402"/>
      <c r="N3724" s="1402"/>
      <c r="O3724" s="1402"/>
      <c r="P3724" s="1402"/>
      <c r="Q3724" s="1402"/>
      <c r="R3724" s="1402"/>
      <c r="S3724" s="361"/>
      <c r="T3724" s="1399" t="s">
        <v>393</v>
      </c>
      <c r="U3724" s="1397">
        <f>VLOOKUP(B3725,[8]DT.NK!$B:$AZ,45,0)</f>
        <v>34.049999999999997</v>
      </c>
      <c r="V3724" s="361"/>
      <c r="W3724" s="361"/>
    </row>
    <row r="3725" spans="1:23">
      <c r="A3725" s="1409">
        <f>A3705+1</f>
        <v>187</v>
      </c>
      <c r="B3725" s="1412" t="s">
        <v>545</v>
      </c>
      <c r="C3725" s="1205" t="s">
        <v>983</v>
      </c>
      <c r="D3725" s="874" t="str">
        <f>B3725&amp;C3725</f>
        <v>A102a</v>
      </c>
      <c r="E3725" s="363"/>
      <c r="F3725" s="364"/>
      <c r="G3725" s="364"/>
      <c r="H3725" s="364"/>
      <c r="I3725" s="364"/>
      <c r="J3725" s="364"/>
      <c r="K3725" s="364"/>
      <c r="L3725" s="364"/>
      <c r="M3725" s="674"/>
      <c r="N3725" s="670"/>
      <c r="O3725" s="670">
        <f>U3724</f>
        <v>34.049999999999997</v>
      </c>
      <c r="P3725" s="670">
        <f>O3725</f>
        <v>34.049999999999997</v>
      </c>
      <c r="Q3725" s="670">
        <v>0</v>
      </c>
      <c r="R3725" s="365"/>
      <c r="S3725" s="366"/>
      <c r="T3725" s="1399"/>
      <c r="U3725" s="1398"/>
      <c r="V3725" s="361"/>
      <c r="W3725" s="361"/>
    </row>
    <row r="3726" spans="1:23">
      <c r="A3726" s="1410"/>
      <c r="B3726" s="1413"/>
      <c r="C3726" s="1206" t="s">
        <v>984</v>
      </c>
      <c r="D3726" s="875" t="str">
        <f>B3725&amp;C3726</f>
        <v>A102b</v>
      </c>
      <c r="E3726" s="367">
        <v>1</v>
      </c>
      <c r="F3726" s="669" t="s">
        <v>1160</v>
      </c>
      <c r="G3726" s="369">
        <v>0.51874999999999993</v>
      </c>
      <c r="H3726" s="368">
        <v>0.55902777777777779</v>
      </c>
      <c r="I3726" s="368">
        <v>0.5625</v>
      </c>
      <c r="J3726" s="368">
        <v>0.56736111111111109</v>
      </c>
      <c r="K3726" s="669">
        <v>12</v>
      </c>
      <c r="L3726" s="669">
        <v>19</v>
      </c>
      <c r="M3726" s="675">
        <v>30.85</v>
      </c>
      <c r="N3726" s="671">
        <f>IF(M3726-P3726&gt;0,M3726-P3726,0)</f>
        <v>3.75</v>
      </c>
      <c r="O3726" s="671">
        <f>O3725-K3726/(PI()*(U3723/2000)^2)</f>
        <v>23.439670460540306</v>
      </c>
      <c r="P3726" s="672">
        <v>27.1</v>
      </c>
      <c r="Q3726" s="673">
        <f>ABS(O3726-P3726)</f>
        <v>3.6603295394596955</v>
      </c>
      <c r="R3726" s="375" t="s">
        <v>188</v>
      </c>
      <c r="S3726" s="366"/>
      <c r="T3726" s="376"/>
      <c r="U3726" s="376"/>
      <c r="V3726" s="366"/>
      <c r="W3726" s="366"/>
    </row>
    <row r="3727" spans="1:23">
      <c r="A3727" s="1410"/>
      <c r="B3727" s="1413"/>
      <c r="C3727" s="1206" t="s">
        <v>985</v>
      </c>
      <c r="D3727" s="875" t="str">
        <f>B3725&amp;C3727</f>
        <v>A102c</v>
      </c>
      <c r="E3727" s="367">
        <v>2</v>
      </c>
      <c r="F3727" s="669" t="s">
        <v>1181</v>
      </c>
      <c r="G3727" s="368">
        <v>0.53125</v>
      </c>
      <c r="H3727" s="368">
        <v>0.58333333333333337</v>
      </c>
      <c r="I3727" s="368">
        <v>0.62152777777777779</v>
      </c>
      <c r="J3727" s="368">
        <v>0.625</v>
      </c>
      <c r="K3727" s="370">
        <v>12</v>
      </c>
      <c r="L3727" s="370">
        <v>19</v>
      </c>
      <c r="M3727" s="371">
        <v>21.4</v>
      </c>
      <c r="N3727" s="671">
        <f t="shared" ref="N3727:N3728" si="448">IF(M3727-P3727&gt;0,M3727-P3727,0)</f>
        <v>4.6999999999999993</v>
      </c>
      <c r="O3727" s="671">
        <f>O3726-K3727/(PI()*(U3723/2000)^2)</f>
        <v>12.829340921080616</v>
      </c>
      <c r="P3727" s="373">
        <v>16.7</v>
      </c>
      <c r="Q3727" s="673">
        <f t="shared" ref="Q3727:Q3728" si="449">ABS(O3727-P3727)</f>
        <v>3.8706590789193829</v>
      </c>
      <c r="R3727" s="958" t="s">
        <v>188</v>
      </c>
      <c r="S3727" s="366"/>
      <c r="T3727" s="376"/>
      <c r="U3727" s="376"/>
      <c r="V3727" s="366"/>
      <c r="W3727" s="366"/>
    </row>
    <row r="3728" spans="1:23">
      <c r="A3728" s="1410"/>
      <c r="B3728" s="1413"/>
      <c r="C3728" s="1206" t="s">
        <v>986</v>
      </c>
      <c r="D3728" s="875" t="str">
        <f>B3725&amp;C3728</f>
        <v>A102d</v>
      </c>
      <c r="E3728" s="367">
        <v>3</v>
      </c>
      <c r="F3728" s="669" t="s">
        <v>982</v>
      </c>
      <c r="G3728" s="368">
        <v>0.55902777777777779</v>
      </c>
      <c r="H3728" s="368">
        <v>0.60763888888888895</v>
      </c>
      <c r="I3728" s="368">
        <v>0.62986111111111109</v>
      </c>
      <c r="J3728" s="368">
        <v>0.63541666666666663</v>
      </c>
      <c r="K3728" s="370">
        <v>12</v>
      </c>
      <c r="L3728" s="370">
        <v>19</v>
      </c>
      <c r="M3728" s="371"/>
      <c r="N3728" s="671">
        <f t="shared" si="448"/>
        <v>0</v>
      </c>
      <c r="O3728" s="671">
        <f>O3727-K3728/(PI()*(U3723/2000)^2)</f>
        <v>2.2190113816209269</v>
      </c>
      <c r="P3728" s="373">
        <v>6.1</v>
      </c>
      <c r="Q3728" s="673">
        <f t="shared" si="449"/>
        <v>3.8809886183790727</v>
      </c>
      <c r="R3728" s="958" t="s">
        <v>188</v>
      </c>
      <c r="S3728" s="366"/>
      <c r="T3728" s="376"/>
      <c r="U3728" s="376"/>
      <c r="V3728" s="366"/>
      <c r="W3728" s="366"/>
    </row>
    <row r="3729" spans="1:23">
      <c r="A3729" s="1410"/>
      <c r="B3729" s="1413"/>
      <c r="C3729" s="1206" t="s">
        <v>987</v>
      </c>
      <c r="D3729" s="875" t="str">
        <f>B3725&amp;C3729</f>
        <v>A102e</v>
      </c>
      <c r="E3729" s="367">
        <v>4</v>
      </c>
      <c r="F3729" s="370"/>
      <c r="G3729" s="368"/>
      <c r="H3729" s="368"/>
      <c r="I3729" s="368"/>
      <c r="J3729" s="368"/>
      <c r="K3729" s="370"/>
      <c r="L3729" s="370"/>
      <c r="M3729" s="371"/>
      <c r="N3729" s="671"/>
      <c r="O3729" s="671"/>
      <c r="P3729" s="373"/>
      <c r="Q3729" s="673"/>
      <c r="R3729" s="958"/>
      <c r="S3729" s="366"/>
      <c r="T3729" s="376"/>
      <c r="U3729" s="376"/>
      <c r="V3729" s="366"/>
      <c r="W3729" s="366"/>
    </row>
    <row r="3730" spans="1:23">
      <c r="A3730" s="1410"/>
      <c r="B3730" s="1413"/>
      <c r="C3730" s="1206" t="s">
        <v>988</v>
      </c>
      <c r="D3730" s="875" t="str">
        <f>B3725&amp;C3730</f>
        <v>A102f</v>
      </c>
      <c r="E3730" s="367">
        <v>5</v>
      </c>
      <c r="F3730" s="370"/>
      <c r="G3730" s="368"/>
      <c r="H3730" s="368"/>
      <c r="I3730" s="368"/>
      <c r="J3730" s="368"/>
      <c r="K3730" s="370"/>
      <c r="L3730" s="370"/>
      <c r="M3730" s="371"/>
      <c r="N3730" s="671"/>
      <c r="O3730" s="671"/>
      <c r="P3730" s="373"/>
      <c r="Q3730" s="673"/>
      <c r="R3730" s="958"/>
      <c r="S3730" s="366" t="s">
        <v>190</v>
      </c>
      <c r="T3730" s="376"/>
      <c r="U3730" s="376"/>
      <c r="V3730" s="366"/>
      <c r="W3730" s="366"/>
    </row>
    <row r="3731" spans="1:23">
      <c r="A3731" s="1410"/>
      <c r="B3731" s="1413"/>
      <c r="C3731" s="1206" t="s">
        <v>989</v>
      </c>
      <c r="D3731" s="875" t="str">
        <f>B3725&amp;C3731</f>
        <v>A102g</v>
      </c>
      <c r="E3731" s="367">
        <v>6</v>
      </c>
      <c r="F3731" s="370"/>
      <c r="G3731" s="368"/>
      <c r="H3731" s="368"/>
      <c r="I3731" s="368"/>
      <c r="J3731" s="368"/>
      <c r="K3731" s="370"/>
      <c r="L3731" s="370"/>
      <c r="M3731" s="371"/>
      <c r="N3731" s="671"/>
      <c r="O3731" s="671"/>
      <c r="P3731" s="373"/>
      <c r="Q3731" s="673"/>
      <c r="R3731" s="958"/>
      <c r="S3731" s="366" t="s">
        <v>190</v>
      </c>
      <c r="T3731" s="366"/>
      <c r="U3731" s="366"/>
      <c r="V3731" s="366"/>
      <c r="W3731" s="366"/>
    </row>
    <row r="3732" spans="1:23">
      <c r="A3732" s="1410"/>
      <c r="B3732" s="1413"/>
      <c r="C3732" s="1206" t="s">
        <v>990</v>
      </c>
      <c r="D3732" s="875" t="str">
        <f>B3725&amp;C3732</f>
        <v>A102h</v>
      </c>
      <c r="E3732" s="367">
        <v>7</v>
      </c>
      <c r="F3732" s="370"/>
      <c r="G3732" s="368"/>
      <c r="H3732" s="368"/>
      <c r="I3732" s="368"/>
      <c r="J3732" s="368"/>
      <c r="K3732" s="370"/>
      <c r="L3732" s="370"/>
      <c r="M3732" s="371"/>
      <c r="N3732" s="671"/>
      <c r="O3732" s="671"/>
      <c r="P3732" s="373"/>
      <c r="Q3732" s="673"/>
      <c r="R3732" s="958"/>
      <c r="S3732" s="366" t="s">
        <v>190</v>
      </c>
      <c r="T3732" s="366"/>
      <c r="U3732" s="366"/>
      <c r="V3732" s="366"/>
      <c r="W3732" s="366"/>
    </row>
    <row r="3733" spans="1:23">
      <c r="A3733" s="1410"/>
      <c r="B3733" s="1413"/>
      <c r="C3733" s="1206" t="s">
        <v>991</v>
      </c>
      <c r="D3733" s="875" t="str">
        <f>B3725&amp;C3733</f>
        <v>A102i</v>
      </c>
      <c r="E3733" s="367">
        <v>8</v>
      </c>
      <c r="F3733" s="370"/>
      <c r="G3733" s="368"/>
      <c r="H3733" s="368"/>
      <c r="I3733" s="368"/>
      <c r="J3733" s="368"/>
      <c r="K3733" s="370"/>
      <c r="L3733" s="370"/>
      <c r="M3733" s="371"/>
      <c r="N3733" s="671"/>
      <c r="O3733" s="671"/>
      <c r="P3733" s="373"/>
      <c r="Q3733" s="673"/>
      <c r="R3733" s="958"/>
      <c r="S3733" s="366"/>
      <c r="T3733" s="366"/>
      <c r="U3733" s="366"/>
      <c r="V3733" s="366"/>
      <c r="W3733" s="366"/>
    </row>
    <row r="3734" spans="1:23">
      <c r="A3734" s="1410"/>
      <c r="B3734" s="1413"/>
      <c r="C3734" s="1206" t="s">
        <v>992</v>
      </c>
      <c r="D3734" s="875" t="str">
        <f>B3725&amp;C3734</f>
        <v>A102k</v>
      </c>
      <c r="E3734" s="367">
        <v>9</v>
      </c>
      <c r="F3734" s="370"/>
      <c r="G3734" s="368"/>
      <c r="H3734" s="368"/>
      <c r="I3734" s="368"/>
      <c r="J3734" s="368"/>
      <c r="K3734" s="370"/>
      <c r="L3734" s="370"/>
      <c r="M3734" s="371"/>
      <c r="N3734" s="372"/>
      <c r="O3734" s="372"/>
      <c r="P3734" s="373"/>
      <c r="Q3734" s="374"/>
      <c r="R3734" s="378"/>
      <c r="S3734" s="379"/>
      <c r="T3734" s="366"/>
      <c r="U3734" s="366"/>
      <c r="V3734" s="366"/>
      <c r="W3734" s="366"/>
    </row>
    <row r="3735" spans="1:23">
      <c r="A3735" s="1410"/>
      <c r="B3735" s="1413"/>
      <c r="C3735" s="1206" t="s">
        <v>993</v>
      </c>
      <c r="D3735" s="875" t="str">
        <f>B3725&amp;C3735</f>
        <v>A102l</v>
      </c>
      <c r="E3735" s="367">
        <v>10</v>
      </c>
      <c r="F3735" s="370"/>
      <c r="G3735" s="368"/>
      <c r="H3735" s="368"/>
      <c r="I3735" s="368"/>
      <c r="J3735" s="368"/>
      <c r="K3735" s="370"/>
      <c r="L3735" s="370"/>
      <c r="M3735" s="370"/>
      <c r="N3735" s="372"/>
      <c r="O3735" s="372"/>
      <c r="P3735" s="373"/>
      <c r="Q3735" s="374"/>
      <c r="R3735" s="378"/>
      <c r="S3735" s="379"/>
      <c r="T3735" s="366"/>
      <c r="U3735" s="366"/>
      <c r="V3735" s="366"/>
      <c r="W3735" s="366"/>
    </row>
    <row r="3736" spans="1:23">
      <c r="A3736" s="1410"/>
      <c r="B3736" s="1413"/>
      <c r="C3736" s="1206" t="s">
        <v>994</v>
      </c>
      <c r="D3736" s="875" t="str">
        <f>B3725&amp;C3736</f>
        <v>A102m</v>
      </c>
      <c r="E3736" s="367">
        <v>11</v>
      </c>
      <c r="F3736" s="370"/>
      <c r="G3736" s="368"/>
      <c r="H3736" s="368"/>
      <c r="I3736" s="368"/>
      <c r="J3736" s="368"/>
      <c r="K3736" s="370"/>
      <c r="L3736" s="370"/>
      <c r="M3736" s="370"/>
      <c r="N3736" s="372"/>
      <c r="O3736" s="372"/>
      <c r="P3736" s="380"/>
      <c r="Q3736" s="374"/>
      <c r="R3736" s="381"/>
      <c r="S3736" s="379"/>
      <c r="T3736" s="366"/>
      <c r="U3736" s="366"/>
      <c r="V3736" s="366"/>
      <c r="W3736" s="366"/>
    </row>
    <row r="3737" spans="1:23">
      <c r="A3737" s="1410"/>
      <c r="B3737" s="1413"/>
      <c r="C3737" s="1206" t="s">
        <v>995</v>
      </c>
      <c r="D3737" s="875" t="str">
        <f>B3725&amp;C3737</f>
        <v>A102n</v>
      </c>
      <c r="E3737" s="367">
        <v>12</v>
      </c>
      <c r="F3737" s="370"/>
      <c r="G3737" s="368"/>
      <c r="H3737" s="368"/>
      <c r="I3737" s="368"/>
      <c r="J3737" s="368"/>
      <c r="K3737" s="370"/>
      <c r="L3737" s="370"/>
      <c r="M3737" s="370"/>
      <c r="N3737" s="372"/>
      <c r="O3737" s="372"/>
      <c r="P3737" s="380"/>
      <c r="Q3737" s="374"/>
      <c r="R3737" s="381"/>
      <c r="S3737" s="361"/>
      <c r="T3737" s="361"/>
      <c r="U3737" s="361"/>
      <c r="V3737" s="366"/>
      <c r="W3737" s="366"/>
    </row>
    <row r="3738" spans="1:23">
      <c r="A3738" s="1410"/>
      <c r="B3738" s="1413"/>
      <c r="C3738" s="1206" t="s">
        <v>471</v>
      </c>
      <c r="D3738" s="875" t="str">
        <f>B3725&amp;C3738</f>
        <v>A102x</v>
      </c>
      <c r="E3738" s="367">
        <v>13</v>
      </c>
      <c r="F3738" s="370"/>
      <c r="G3738" s="368"/>
      <c r="H3738" s="368"/>
      <c r="I3738" s="368"/>
      <c r="J3738" s="368"/>
      <c r="K3738" s="370"/>
      <c r="L3738" s="370"/>
      <c r="M3738" s="370"/>
      <c r="N3738" s="382"/>
      <c r="O3738" s="372"/>
      <c r="P3738" s="380"/>
      <c r="Q3738" s="381"/>
      <c r="R3738" s="381"/>
      <c r="S3738" s="361"/>
      <c r="T3738" s="361"/>
      <c r="U3738" s="361"/>
      <c r="V3738" s="366"/>
      <c r="W3738" s="366"/>
    </row>
    <row r="3739" spans="1:23">
      <c r="A3739" s="1410"/>
      <c r="B3739" s="1413"/>
      <c r="C3739" s="1206" t="s">
        <v>732</v>
      </c>
      <c r="D3739" s="875" t="str">
        <f>B3725&amp;C3739</f>
        <v>A102y</v>
      </c>
      <c r="E3739" s="367">
        <v>14</v>
      </c>
      <c r="F3739" s="370"/>
      <c r="G3739" s="368"/>
      <c r="H3739" s="368"/>
      <c r="I3739" s="368"/>
      <c r="J3739" s="368"/>
      <c r="K3739" s="370"/>
      <c r="L3739" s="370"/>
      <c r="M3739" s="370"/>
      <c r="N3739" s="382"/>
      <c r="O3739" s="372"/>
      <c r="P3739" s="380"/>
      <c r="Q3739" s="381"/>
      <c r="R3739" s="381"/>
      <c r="S3739" s="361"/>
      <c r="T3739" s="361"/>
      <c r="U3739" s="362"/>
      <c r="V3739" s="366"/>
      <c r="W3739" s="366"/>
    </row>
    <row r="3740" spans="1:23">
      <c r="A3740" s="1411"/>
      <c r="B3740" s="1414"/>
      <c r="C3740" s="1207" t="s">
        <v>996</v>
      </c>
      <c r="D3740" s="876" t="str">
        <f>B3725&amp;C3740</f>
        <v>A102z</v>
      </c>
      <c r="E3740" s="847">
        <v>15</v>
      </c>
      <c r="F3740" s="370"/>
      <c r="G3740" s="368"/>
      <c r="H3740" s="368"/>
      <c r="I3740" s="368"/>
      <c r="J3740" s="368"/>
      <c r="K3740" s="370"/>
      <c r="L3740" s="370"/>
      <c r="M3740" s="370"/>
      <c r="N3740" s="850"/>
      <c r="O3740" s="851"/>
      <c r="P3740" s="380"/>
      <c r="Q3740" s="852"/>
      <c r="R3740" s="383"/>
      <c r="S3740" s="361"/>
      <c r="T3740" s="1204"/>
      <c r="U3740" s="1203"/>
      <c r="V3740" s="366"/>
      <c r="W3740" s="366"/>
    </row>
    <row r="3741" spans="1:23">
      <c r="A3741" s="1400" t="s">
        <v>939</v>
      </c>
      <c r="B3741" s="1400"/>
      <c r="C3741" s="1200"/>
      <c r="D3741" s="871"/>
      <c r="E3741" s="1400" t="s">
        <v>177</v>
      </c>
      <c r="F3741" s="1400" t="s">
        <v>18</v>
      </c>
      <c r="G3741" s="1389" t="s">
        <v>19</v>
      </c>
      <c r="H3741" s="1390"/>
      <c r="I3741" s="1389" t="s">
        <v>22</v>
      </c>
      <c r="J3741" s="1390"/>
      <c r="K3741" s="1393" t="s">
        <v>26</v>
      </c>
      <c r="L3741" s="1390"/>
      <c r="M3741" s="1389" t="s">
        <v>392</v>
      </c>
      <c r="N3741" s="1390"/>
      <c r="O3741" s="1389" t="s">
        <v>28</v>
      </c>
      <c r="P3741" s="1393"/>
      <c r="Q3741" s="1390"/>
      <c r="R3741" s="1400" t="s">
        <v>36</v>
      </c>
      <c r="S3741" s="361"/>
      <c r="T3741" s="361">
        <f>MAX(J3745:J3759)-MIN(I3745:I3759)</f>
        <v>6.5972222222222224E-2</v>
      </c>
      <c r="U3741" s="361"/>
      <c r="V3741" s="853" t="str">
        <f t="shared" ref="V3741" si="450">B3745</f>
        <v>B8</v>
      </c>
      <c r="W3741" s="361">
        <f t="shared" ref="W3741" si="451">COUNTIF(K3746:K3760,"&gt;0")</f>
        <v>2</v>
      </c>
    </row>
    <row r="3742" spans="1:23">
      <c r="A3742" s="1401"/>
      <c r="B3742" s="1401"/>
      <c r="C3742" s="1202"/>
      <c r="D3742" s="872"/>
      <c r="E3742" s="1401"/>
      <c r="F3742" s="1401"/>
      <c r="G3742" s="1391"/>
      <c r="H3742" s="1392"/>
      <c r="I3742" s="1391"/>
      <c r="J3742" s="1392"/>
      <c r="K3742" s="1394"/>
      <c r="L3742" s="1392"/>
      <c r="M3742" s="1391"/>
      <c r="N3742" s="1392"/>
      <c r="O3742" s="1391"/>
      <c r="P3742" s="1394"/>
      <c r="Q3742" s="1392"/>
      <c r="R3742" s="1401"/>
      <c r="S3742" s="361"/>
      <c r="T3742" s="361"/>
      <c r="U3742" s="361"/>
      <c r="V3742" s="361"/>
      <c r="W3742" s="361"/>
    </row>
    <row r="3743" spans="1:23">
      <c r="A3743" s="1401"/>
      <c r="B3743" s="1401"/>
      <c r="C3743" s="1202"/>
      <c r="D3743" s="872"/>
      <c r="E3743" s="1401"/>
      <c r="F3743" s="1401"/>
      <c r="G3743" s="1400" t="s">
        <v>20</v>
      </c>
      <c r="H3743" s="1400" t="s">
        <v>21</v>
      </c>
      <c r="I3743" s="1400" t="s">
        <v>361</v>
      </c>
      <c r="J3743" s="1400" t="s">
        <v>353</v>
      </c>
      <c r="K3743" s="1400" t="s">
        <v>23</v>
      </c>
      <c r="L3743" s="1400" t="s">
        <v>24</v>
      </c>
      <c r="M3743" s="1400" t="s">
        <v>27</v>
      </c>
      <c r="N3743" s="1400" t="s">
        <v>178</v>
      </c>
      <c r="O3743" s="1400" t="s">
        <v>1</v>
      </c>
      <c r="P3743" s="1400" t="s">
        <v>29</v>
      </c>
      <c r="Q3743" s="1400" t="s">
        <v>33</v>
      </c>
      <c r="R3743" s="1401"/>
      <c r="S3743" s="361"/>
      <c r="T3743" s="361" t="s">
        <v>39</v>
      </c>
      <c r="U3743" s="362">
        <f>VLOOKUP(B3745,'[8]Thong tin'!$A:$M,13,0)</f>
        <v>800</v>
      </c>
      <c r="V3743" s="361"/>
      <c r="W3743" s="361"/>
    </row>
    <row r="3744" spans="1:23">
      <c r="A3744" s="1402"/>
      <c r="B3744" s="1402"/>
      <c r="C3744" s="1201"/>
      <c r="D3744" s="873"/>
      <c r="E3744" s="1402"/>
      <c r="F3744" s="1402"/>
      <c r="G3744" s="1402"/>
      <c r="H3744" s="1402"/>
      <c r="I3744" s="1402"/>
      <c r="J3744" s="1402"/>
      <c r="K3744" s="1402"/>
      <c r="L3744" s="1402"/>
      <c r="M3744" s="1402"/>
      <c r="N3744" s="1402"/>
      <c r="O3744" s="1402"/>
      <c r="P3744" s="1402"/>
      <c r="Q3744" s="1402"/>
      <c r="R3744" s="1402"/>
      <c r="S3744" s="361"/>
      <c r="T3744" s="1399" t="s">
        <v>393</v>
      </c>
      <c r="U3744" s="1397">
        <f>VLOOKUP(B3745,[8]DT.NK!$B:$AZ,45,0)</f>
        <v>29.99</v>
      </c>
      <c r="V3744" s="361"/>
      <c r="W3744" s="361"/>
    </row>
    <row r="3745" spans="1:23">
      <c r="A3745" s="1409">
        <f>A3725+1</f>
        <v>188</v>
      </c>
      <c r="B3745" s="1412" t="s">
        <v>667</v>
      </c>
      <c r="C3745" s="1205" t="s">
        <v>983</v>
      </c>
      <c r="D3745" s="874" t="str">
        <f>B3745&amp;C3745</f>
        <v>B8a</v>
      </c>
      <c r="E3745" s="363"/>
      <c r="F3745" s="364"/>
      <c r="G3745" s="364"/>
      <c r="H3745" s="364"/>
      <c r="I3745" s="364"/>
      <c r="J3745" s="364"/>
      <c r="K3745" s="364"/>
      <c r="L3745" s="364"/>
      <c r="M3745" s="674"/>
      <c r="N3745" s="670"/>
      <c r="O3745" s="670">
        <f>U3744</f>
        <v>29.99</v>
      </c>
      <c r="P3745" s="670">
        <f>O3745</f>
        <v>29.99</v>
      </c>
      <c r="Q3745" s="670">
        <v>0</v>
      </c>
      <c r="R3745" s="365"/>
      <c r="S3745" s="366"/>
      <c r="T3745" s="1399"/>
      <c r="U3745" s="1398"/>
      <c r="V3745" s="361"/>
      <c r="W3745" s="361"/>
    </row>
    <row r="3746" spans="1:23">
      <c r="A3746" s="1410"/>
      <c r="B3746" s="1413"/>
      <c r="C3746" s="1206" t="s">
        <v>984</v>
      </c>
      <c r="D3746" s="875" t="str">
        <f>B3745&amp;C3746</f>
        <v>B8b</v>
      </c>
      <c r="E3746" s="367">
        <v>1</v>
      </c>
      <c r="F3746" s="669" t="s">
        <v>1160</v>
      </c>
      <c r="G3746" s="369">
        <v>8.1944444444444445E-2</v>
      </c>
      <c r="H3746" s="368">
        <v>0.1111111111111111</v>
      </c>
      <c r="I3746" s="368">
        <v>0.11805555555555557</v>
      </c>
      <c r="J3746" s="368">
        <v>0.125</v>
      </c>
      <c r="K3746" s="669">
        <v>14</v>
      </c>
      <c r="L3746" s="669">
        <v>19</v>
      </c>
      <c r="M3746" s="675">
        <v>15.75</v>
      </c>
      <c r="N3746" s="671">
        <f>IF(M3746-P3746&gt;0,M3746-P3746,0)</f>
        <v>5.24</v>
      </c>
      <c r="O3746" s="671">
        <f>O3745-K3746/(PI()*(U3743/2000)^2)</f>
        <v>2.1378849589183169</v>
      </c>
      <c r="P3746" s="672">
        <v>10.51</v>
      </c>
      <c r="Q3746" s="673">
        <f>ABS(O3746-P3746)</f>
        <v>8.3721150410816829</v>
      </c>
      <c r="R3746" s="375" t="s">
        <v>188</v>
      </c>
      <c r="S3746" s="366"/>
      <c r="T3746" s="376"/>
      <c r="U3746" s="376"/>
      <c r="V3746" s="366"/>
      <c r="W3746" s="366"/>
    </row>
    <row r="3747" spans="1:23">
      <c r="A3747" s="1410"/>
      <c r="B3747" s="1413"/>
      <c r="C3747" s="1206" t="s">
        <v>985</v>
      </c>
      <c r="D3747" s="875" t="str">
        <f>B3745&amp;C3747</f>
        <v>B8c</v>
      </c>
      <c r="E3747" s="367">
        <v>2</v>
      </c>
      <c r="F3747" s="669" t="s">
        <v>1181</v>
      </c>
      <c r="G3747" s="368">
        <v>0.14930555555555555</v>
      </c>
      <c r="H3747" s="368">
        <v>0.17013888888888887</v>
      </c>
      <c r="I3747" s="368">
        <v>0.18055555555555555</v>
      </c>
      <c r="J3747" s="368">
        <v>0.18402777777777779</v>
      </c>
      <c r="K3747" s="370">
        <v>2</v>
      </c>
      <c r="L3747" s="370">
        <v>19</v>
      </c>
      <c r="M3747" s="371">
        <v>12.6</v>
      </c>
      <c r="N3747" s="671">
        <f t="shared" ref="N3747" si="452">IF(M3747-P3747&gt;0,M3747-P3747,0)</f>
        <v>5.6999999999999993</v>
      </c>
      <c r="O3747" s="671">
        <f>O3746-K3747/(PI()*(U3743/2000)^2)</f>
        <v>-1.8409886183790665</v>
      </c>
      <c r="P3747" s="373">
        <v>6.9</v>
      </c>
      <c r="Q3747" s="673">
        <f t="shared" ref="Q3747" si="453">ABS(O3747-P3747)</f>
        <v>8.7409886183790668</v>
      </c>
      <c r="R3747" s="958"/>
      <c r="S3747" s="366"/>
      <c r="T3747" s="376"/>
      <c r="U3747" s="376"/>
      <c r="V3747" s="366"/>
      <c r="W3747" s="366"/>
    </row>
    <row r="3748" spans="1:23">
      <c r="A3748" s="1410"/>
      <c r="B3748" s="1413"/>
      <c r="C3748" s="1206" t="s">
        <v>986</v>
      </c>
      <c r="D3748" s="875" t="str">
        <f>B3745&amp;C3748</f>
        <v>B8d</v>
      </c>
      <c r="E3748" s="367">
        <v>3</v>
      </c>
      <c r="F3748" s="370"/>
      <c r="G3748" s="368"/>
      <c r="H3748" s="368"/>
      <c r="I3748" s="368"/>
      <c r="J3748" s="368"/>
      <c r="K3748" s="370"/>
      <c r="L3748" s="370"/>
      <c r="M3748" s="371"/>
      <c r="N3748" s="671"/>
      <c r="O3748" s="671"/>
      <c r="P3748" s="373"/>
      <c r="Q3748" s="673"/>
      <c r="R3748" s="958"/>
      <c r="S3748" s="366"/>
      <c r="T3748" s="376"/>
      <c r="U3748" s="376"/>
      <c r="V3748" s="366"/>
      <c r="W3748" s="366"/>
    </row>
    <row r="3749" spans="1:23">
      <c r="A3749" s="1410"/>
      <c r="B3749" s="1413"/>
      <c r="C3749" s="1206" t="s">
        <v>987</v>
      </c>
      <c r="D3749" s="875" t="str">
        <f>B3745&amp;C3749</f>
        <v>B8e</v>
      </c>
      <c r="E3749" s="367">
        <v>4</v>
      </c>
      <c r="F3749" s="370"/>
      <c r="G3749" s="368"/>
      <c r="H3749" s="368"/>
      <c r="I3749" s="368"/>
      <c r="J3749" s="368"/>
      <c r="K3749" s="370"/>
      <c r="L3749" s="370"/>
      <c r="M3749" s="371"/>
      <c r="N3749" s="671"/>
      <c r="O3749" s="671"/>
      <c r="P3749" s="373"/>
      <c r="Q3749" s="673"/>
      <c r="R3749" s="958"/>
      <c r="S3749" s="366"/>
      <c r="T3749" s="376"/>
      <c r="U3749" s="376"/>
      <c r="V3749" s="366"/>
      <c r="W3749" s="366"/>
    </row>
    <row r="3750" spans="1:23">
      <c r="A3750" s="1410"/>
      <c r="B3750" s="1413"/>
      <c r="C3750" s="1206" t="s">
        <v>988</v>
      </c>
      <c r="D3750" s="875" t="str">
        <f>B3745&amp;C3750</f>
        <v>B8f</v>
      </c>
      <c r="E3750" s="367">
        <v>5</v>
      </c>
      <c r="F3750" s="370"/>
      <c r="G3750" s="368"/>
      <c r="H3750" s="368"/>
      <c r="I3750" s="368"/>
      <c r="J3750" s="368"/>
      <c r="K3750" s="370"/>
      <c r="L3750" s="370"/>
      <c r="M3750" s="371"/>
      <c r="N3750" s="671"/>
      <c r="O3750" s="671"/>
      <c r="P3750" s="373"/>
      <c r="Q3750" s="673"/>
      <c r="R3750" s="958"/>
      <c r="S3750" s="366" t="s">
        <v>190</v>
      </c>
      <c r="T3750" s="376"/>
      <c r="U3750" s="376"/>
      <c r="V3750" s="366"/>
      <c r="W3750" s="366"/>
    </row>
    <row r="3751" spans="1:23">
      <c r="A3751" s="1410"/>
      <c r="B3751" s="1413"/>
      <c r="C3751" s="1206" t="s">
        <v>989</v>
      </c>
      <c r="D3751" s="875" t="str">
        <f>B3745&amp;C3751</f>
        <v>B8g</v>
      </c>
      <c r="E3751" s="367">
        <v>6</v>
      </c>
      <c r="F3751" s="370"/>
      <c r="G3751" s="368"/>
      <c r="H3751" s="368"/>
      <c r="I3751" s="368"/>
      <c r="J3751" s="368"/>
      <c r="K3751" s="370"/>
      <c r="L3751" s="370"/>
      <c r="M3751" s="371"/>
      <c r="N3751" s="671"/>
      <c r="O3751" s="671"/>
      <c r="P3751" s="373"/>
      <c r="Q3751" s="673"/>
      <c r="R3751" s="958"/>
      <c r="S3751" s="366" t="s">
        <v>190</v>
      </c>
      <c r="T3751" s="366"/>
      <c r="U3751" s="366"/>
      <c r="V3751" s="366"/>
      <c r="W3751" s="366"/>
    </row>
    <row r="3752" spans="1:23">
      <c r="A3752" s="1410"/>
      <c r="B3752" s="1413"/>
      <c r="C3752" s="1206" t="s">
        <v>990</v>
      </c>
      <c r="D3752" s="875" t="str">
        <f>B3745&amp;C3752</f>
        <v>B8h</v>
      </c>
      <c r="E3752" s="367">
        <v>7</v>
      </c>
      <c r="F3752" s="370"/>
      <c r="G3752" s="368"/>
      <c r="H3752" s="368"/>
      <c r="I3752" s="368"/>
      <c r="J3752" s="368"/>
      <c r="K3752" s="370"/>
      <c r="L3752" s="370"/>
      <c r="M3752" s="371"/>
      <c r="N3752" s="671"/>
      <c r="O3752" s="671"/>
      <c r="P3752" s="373"/>
      <c r="Q3752" s="673"/>
      <c r="R3752" s="958"/>
      <c r="S3752" s="366" t="s">
        <v>190</v>
      </c>
      <c r="T3752" s="366"/>
      <c r="U3752" s="366"/>
      <c r="V3752" s="366"/>
      <c r="W3752" s="366"/>
    </row>
    <row r="3753" spans="1:23">
      <c r="A3753" s="1410"/>
      <c r="B3753" s="1413"/>
      <c r="C3753" s="1206" t="s">
        <v>991</v>
      </c>
      <c r="D3753" s="875" t="str">
        <f>B3745&amp;C3753</f>
        <v>B8i</v>
      </c>
      <c r="E3753" s="367">
        <v>8</v>
      </c>
      <c r="F3753" s="370"/>
      <c r="G3753" s="368"/>
      <c r="H3753" s="368"/>
      <c r="I3753" s="368"/>
      <c r="J3753" s="368"/>
      <c r="K3753" s="370"/>
      <c r="L3753" s="370"/>
      <c r="M3753" s="371"/>
      <c r="N3753" s="671"/>
      <c r="O3753" s="671"/>
      <c r="P3753" s="373"/>
      <c r="Q3753" s="673"/>
      <c r="R3753" s="958"/>
      <c r="S3753" s="366"/>
      <c r="T3753" s="366"/>
      <c r="U3753" s="366"/>
      <c r="V3753" s="366"/>
      <c r="W3753" s="366"/>
    </row>
    <row r="3754" spans="1:23">
      <c r="A3754" s="1410"/>
      <c r="B3754" s="1413"/>
      <c r="C3754" s="1206" t="s">
        <v>992</v>
      </c>
      <c r="D3754" s="875" t="str">
        <f>B3745&amp;C3754</f>
        <v>B8k</v>
      </c>
      <c r="E3754" s="367">
        <v>9</v>
      </c>
      <c r="F3754" s="370"/>
      <c r="G3754" s="368"/>
      <c r="H3754" s="368"/>
      <c r="I3754" s="368"/>
      <c r="J3754" s="368"/>
      <c r="K3754" s="370"/>
      <c r="L3754" s="370"/>
      <c r="M3754" s="371"/>
      <c r="N3754" s="372"/>
      <c r="O3754" s="372"/>
      <c r="P3754" s="373"/>
      <c r="Q3754" s="374"/>
      <c r="R3754" s="378"/>
      <c r="S3754" s="379"/>
      <c r="T3754" s="366"/>
      <c r="U3754" s="366"/>
      <c r="V3754" s="366"/>
      <c r="W3754" s="366"/>
    </row>
    <row r="3755" spans="1:23">
      <c r="A3755" s="1410"/>
      <c r="B3755" s="1413"/>
      <c r="C3755" s="1206" t="s">
        <v>993</v>
      </c>
      <c r="D3755" s="875" t="str">
        <f>B3745&amp;C3755</f>
        <v>B8l</v>
      </c>
      <c r="E3755" s="367">
        <v>10</v>
      </c>
      <c r="F3755" s="370"/>
      <c r="G3755" s="368"/>
      <c r="H3755" s="368"/>
      <c r="I3755" s="368"/>
      <c r="J3755" s="368"/>
      <c r="K3755" s="370"/>
      <c r="L3755" s="370"/>
      <c r="M3755" s="370"/>
      <c r="N3755" s="372"/>
      <c r="O3755" s="372"/>
      <c r="P3755" s="373"/>
      <c r="Q3755" s="374"/>
      <c r="R3755" s="378"/>
      <c r="S3755" s="379"/>
      <c r="T3755" s="366"/>
      <c r="U3755" s="366"/>
      <c r="V3755" s="366"/>
      <c r="W3755" s="366"/>
    </row>
    <row r="3756" spans="1:23">
      <c r="A3756" s="1410"/>
      <c r="B3756" s="1413"/>
      <c r="C3756" s="1206" t="s">
        <v>994</v>
      </c>
      <c r="D3756" s="875" t="str">
        <f>B3745&amp;C3756</f>
        <v>B8m</v>
      </c>
      <c r="E3756" s="367">
        <v>11</v>
      </c>
      <c r="F3756" s="370"/>
      <c r="G3756" s="368"/>
      <c r="H3756" s="368"/>
      <c r="I3756" s="368"/>
      <c r="J3756" s="368"/>
      <c r="K3756" s="370"/>
      <c r="L3756" s="370"/>
      <c r="M3756" s="370"/>
      <c r="N3756" s="372"/>
      <c r="O3756" s="372"/>
      <c r="P3756" s="380"/>
      <c r="Q3756" s="374"/>
      <c r="R3756" s="381"/>
      <c r="S3756" s="379"/>
      <c r="T3756" s="366"/>
      <c r="U3756" s="366"/>
      <c r="V3756" s="366"/>
      <c r="W3756" s="366"/>
    </row>
    <row r="3757" spans="1:23">
      <c r="A3757" s="1410"/>
      <c r="B3757" s="1413"/>
      <c r="C3757" s="1206" t="s">
        <v>995</v>
      </c>
      <c r="D3757" s="875" t="str">
        <f>B3745&amp;C3757</f>
        <v>B8n</v>
      </c>
      <c r="E3757" s="367">
        <v>12</v>
      </c>
      <c r="F3757" s="370"/>
      <c r="G3757" s="368"/>
      <c r="H3757" s="368"/>
      <c r="I3757" s="368"/>
      <c r="J3757" s="368"/>
      <c r="K3757" s="370"/>
      <c r="L3757" s="370"/>
      <c r="M3757" s="370"/>
      <c r="N3757" s="372"/>
      <c r="O3757" s="372"/>
      <c r="P3757" s="380"/>
      <c r="Q3757" s="374"/>
      <c r="R3757" s="381"/>
      <c r="S3757" s="361"/>
      <c r="T3757" s="361"/>
      <c r="U3757" s="361"/>
      <c r="V3757" s="366"/>
      <c r="W3757" s="366"/>
    </row>
    <row r="3758" spans="1:23">
      <c r="A3758" s="1410"/>
      <c r="B3758" s="1413"/>
      <c r="C3758" s="1206" t="s">
        <v>471</v>
      </c>
      <c r="D3758" s="875" t="str">
        <f>B3745&amp;C3758</f>
        <v>B8x</v>
      </c>
      <c r="E3758" s="367">
        <v>13</v>
      </c>
      <c r="F3758" s="370"/>
      <c r="G3758" s="368"/>
      <c r="H3758" s="368"/>
      <c r="I3758" s="368"/>
      <c r="J3758" s="368"/>
      <c r="K3758" s="370"/>
      <c r="L3758" s="370"/>
      <c r="M3758" s="370"/>
      <c r="N3758" s="382"/>
      <c r="O3758" s="372"/>
      <c r="P3758" s="380"/>
      <c r="Q3758" s="381"/>
      <c r="R3758" s="381"/>
      <c r="S3758" s="361"/>
      <c r="T3758" s="361"/>
      <c r="U3758" s="361"/>
      <c r="V3758" s="366"/>
      <c r="W3758" s="366"/>
    </row>
    <row r="3759" spans="1:23">
      <c r="A3759" s="1410"/>
      <c r="B3759" s="1413"/>
      <c r="C3759" s="1206" t="s">
        <v>732</v>
      </c>
      <c r="D3759" s="875" t="str">
        <f>B3745&amp;C3759</f>
        <v>B8y</v>
      </c>
      <c r="E3759" s="367">
        <v>14</v>
      </c>
      <c r="F3759" s="370"/>
      <c r="G3759" s="368"/>
      <c r="H3759" s="368"/>
      <c r="I3759" s="368"/>
      <c r="J3759" s="368"/>
      <c r="K3759" s="370"/>
      <c r="L3759" s="370"/>
      <c r="M3759" s="370"/>
      <c r="N3759" s="382"/>
      <c r="O3759" s="372"/>
      <c r="P3759" s="380"/>
      <c r="Q3759" s="381"/>
      <c r="R3759" s="381"/>
      <c r="S3759" s="361"/>
      <c r="T3759" s="361"/>
      <c r="U3759" s="362"/>
      <c r="V3759" s="366"/>
      <c r="W3759" s="366"/>
    </row>
    <row r="3760" spans="1:23">
      <c r="A3760" s="1411"/>
      <c r="B3760" s="1414"/>
      <c r="C3760" s="1207" t="s">
        <v>996</v>
      </c>
      <c r="D3760" s="876" t="str">
        <f>B3745&amp;C3760</f>
        <v>B8z</v>
      </c>
      <c r="E3760" s="847">
        <v>15</v>
      </c>
      <c r="F3760" s="370"/>
      <c r="G3760" s="368"/>
      <c r="H3760" s="368"/>
      <c r="I3760" s="368"/>
      <c r="J3760" s="368"/>
      <c r="K3760" s="370"/>
      <c r="L3760" s="370"/>
      <c r="M3760" s="370"/>
      <c r="N3760" s="850"/>
      <c r="O3760" s="851"/>
      <c r="P3760" s="380"/>
      <c r="Q3760" s="852"/>
      <c r="R3760" s="383"/>
      <c r="S3760" s="361"/>
      <c r="T3760" s="1204"/>
      <c r="U3760" s="1203"/>
      <c r="V3760" s="366"/>
      <c r="W3760" s="366"/>
    </row>
    <row r="3761" spans="1:23">
      <c r="A3761" s="1400" t="s">
        <v>939</v>
      </c>
      <c r="B3761" s="1400"/>
      <c r="C3761" s="1200"/>
      <c r="D3761" s="871"/>
      <c r="E3761" s="1400" t="s">
        <v>177</v>
      </c>
      <c r="F3761" s="1400" t="s">
        <v>18</v>
      </c>
      <c r="G3761" s="1389" t="s">
        <v>19</v>
      </c>
      <c r="H3761" s="1390"/>
      <c r="I3761" s="1389" t="s">
        <v>22</v>
      </c>
      <c r="J3761" s="1390"/>
      <c r="K3761" s="1393" t="s">
        <v>26</v>
      </c>
      <c r="L3761" s="1390"/>
      <c r="M3761" s="1389" t="s">
        <v>392</v>
      </c>
      <c r="N3761" s="1390"/>
      <c r="O3761" s="1389" t="s">
        <v>28</v>
      </c>
      <c r="P3761" s="1393"/>
      <c r="Q3761" s="1390"/>
      <c r="R3761" s="1400" t="s">
        <v>36</v>
      </c>
      <c r="S3761" s="361"/>
      <c r="T3761" s="361">
        <f>MAX(J3765:J3779)-MIN(I3765:I3779)</f>
        <v>9.0277777777777679E-2</v>
      </c>
      <c r="U3761" s="361"/>
      <c r="V3761" s="853" t="str">
        <f t="shared" ref="V3761" si="454">B3765</f>
        <v>A104</v>
      </c>
      <c r="W3761" s="361">
        <f t="shared" ref="W3761" si="455">COUNTIF(K3766:K3780,"&gt;0")</f>
        <v>4</v>
      </c>
    </row>
    <row r="3762" spans="1:23">
      <c r="A3762" s="1401"/>
      <c r="B3762" s="1401"/>
      <c r="C3762" s="1202"/>
      <c r="D3762" s="872"/>
      <c r="E3762" s="1401"/>
      <c r="F3762" s="1401"/>
      <c r="G3762" s="1391"/>
      <c r="H3762" s="1392"/>
      <c r="I3762" s="1391"/>
      <c r="J3762" s="1392"/>
      <c r="K3762" s="1394"/>
      <c r="L3762" s="1392"/>
      <c r="M3762" s="1391"/>
      <c r="N3762" s="1392"/>
      <c r="O3762" s="1391"/>
      <c r="P3762" s="1394"/>
      <c r="Q3762" s="1392"/>
      <c r="R3762" s="1401"/>
      <c r="S3762" s="361"/>
      <c r="T3762" s="361"/>
      <c r="U3762" s="361"/>
      <c r="V3762" s="361"/>
      <c r="W3762" s="361"/>
    </row>
    <row r="3763" spans="1:23">
      <c r="A3763" s="1401"/>
      <c r="B3763" s="1401"/>
      <c r="C3763" s="1202"/>
      <c r="D3763" s="872"/>
      <c r="E3763" s="1401"/>
      <c r="F3763" s="1401"/>
      <c r="G3763" s="1400" t="s">
        <v>20</v>
      </c>
      <c r="H3763" s="1400" t="s">
        <v>21</v>
      </c>
      <c r="I3763" s="1400" t="s">
        <v>361</v>
      </c>
      <c r="J3763" s="1400" t="s">
        <v>353</v>
      </c>
      <c r="K3763" s="1400" t="s">
        <v>23</v>
      </c>
      <c r="L3763" s="1400" t="s">
        <v>24</v>
      </c>
      <c r="M3763" s="1400" t="s">
        <v>27</v>
      </c>
      <c r="N3763" s="1400" t="s">
        <v>178</v>
      </c>
      <c r="O3763" s="1400" t="s">
        <v>1</v>
      </c>
      <c r="P3763" s="1400" t="s">
        <v>29</v>
      </c>
      <c r="Q3763" s="1400" t="s">
        <v>33</v>
      </c>
      <c r="R3763" s="1401"/>
      <c r="S3763" s="361"/>
      <c r="T3763" s="361" t="s">
        <v>39</v>
      </c>
      <c r="U3763" s="362">
        <f>VLOOKUP(B3765,'[8]Thong tin'!$A:$M,13,0)</f>
        <v>1200</v>
      </c>
      <c r="V3763" s="361"/>
      <c r="W3763" s="361"/>
    </row>
    <row r="3764" spans="1:23">
      <c r="A3764" s="1402"/>
      <c r="B3764" s="1402"/>
      <c r="C3764" s="1201"/>
      <c r="D3764" s="873"/>
      <c r="E3764" s="1402"/>
      <c r="F3764" s="1402"/>
      <c r="G3764" s="1402"/>
      <c r="H3764" s="1402"/>
      <c r="I3764" s="1402"/>
      <c r="J3764" s="1402"/>
      <c r="K3764" s="1402"/>
      <c r="L3764" s="1402"/>
      <c r="M3764" s="1402"/>
      <c r="N3764" s="1402"/>
      <c r="O3764" s="1402"/>
      <c r="P3764" s="1402"/>
      <c r="Q3764" s="1402"/>
      <c r="R3764" s="1402"/>
      <c r="S3764" s="361"/>
      <c r="T3764" s="1399" t="s">
        <v>393</v>
      </c>
      <c r="U3764" s="1397">
        <f>VLOOKUP(B3765,[8]DT.NK!$B:$AZ,45,0)</f>
        <v>34.049999999999997</v>
      </c>
      <c r="V3764" s="361"/>
      <c r="W3764" s="361"/>
    </row>
    <row r="3765" spans="1:23">
      <c r="A3765" s="1409">
        <f>A3745+1</f>
        <v>189</v>
      </c>
      <c r="B3765" s="1412" t="s">
        <v>555</v>
      </c>
      <c r="C3765" s="1205" t="s">
        <v>983</v>
      </c>
      <c r="D3765" s="874" t="str">
        <f>B3765&amp;C3765</f>
        <v>A104a</v>
      </c>
      <c r="E3765" s="363"/>
      <c r="F3765" s="364"/>
      <c r="G3765" s="364"/>
      <c r="H3765" s="364"/>
      <c r="I3765" s="364"/>
      <c r="J3765" s="364"/>
      <c r="K3765" s="364"/>
      <c r="L3765" s="364"/>
      <c r="M3765" s="674"/>
      <c r="N3765" s="670"/>
      <c r="O3765" s="670">
        <f>U3764</f>
        <v>34.049999999999997</v>
      </c>
      <c r="P3765" s="670">
        <f>O3765</f>
        <v>34.049999999999997</v>
      </c>
      <c r="Q3765" s="670">
        <v>0</v>
      </c>
      <c r="R3765" s="365"/>
      <c r="S3765" s="366"/>
      <c r="T3765" s="1399"/>
      <c r="U3765" s="1398"/>
      <c r="V3765" s="361"/>
      <c r="W3765" s="361"/>
    </row>
    <row r="3766" spans="1:23">
      <c r="A3766" s="1410"/>
      <c r="B3766" s="1413"/>
      <c r="C3766" s="1206" t="s">
        <v>984</v>
      </c>
      <c r="D3766" s="875" t="str">
        <f>B3765&amp;C3766</f>
        <v>A104b</v>
      </c>
      <c r="E3766" s="367">
        <v>1</v>
      </c>
      <c r="F3766" s="669" t="s">
        <v>1181</v>
      </c>
      <c r="G3766" s="369">
        <v>0.47222222222222227</v>
      </c>
      <c r="H3766" s="368">
        <v>0.50347222222222221</v>
      </c>
      <c r="I3766" s="368">
        <v>0.51388888888888895</v>
      </c>
      <c r="J3766" s="368">
        <v>0.51736111111111105</v>
      </c>
      <c r="K3766" s="669">
        <v>12</v>
      </c>
      <c r="L3766" s="669">
        <v>19</v>
      </c>
      <c r="M3766" s="675">
        <v>29.85</v>
      </c>
      <c r="N3766" s="671">
        <f>IF(M3766-P3766&gt;0,M3766-P3766,0)</f>
        <v>3.3500000000000014</v>
      </c>
      <c r="O3766" s="671">
        <f>O3765-K3766/(PI()*(U3763/2000)^2)</f>
        <v>23.439670460540306</v>
      </c>
      <c r="P3766" s="672">
        <v>26.5</v>
      </c>
      <c r="Q3766" s="673">
        <f>ABS(O3766-P3766)</f>
        <v>3.0603295394596941</v>
      </c>
      <c r="R3766" s="375" t="s">
        <v>188</v>
      </c>
      <c r="S3766" s="366"/>
      <c r="T3766" s="376"/>
      <c r="U3766" s="376"/>
      <c r="V3766" s="366"/>
      <c r="W3766" s="366"/>
    </row>
    <row r="3767" spans="1:23">
      <c r="A3767" s="1410"/>
      <c r="B3767" s="1413"/>
      <c r="C3767" s="1206" t="s">
        <v>985</v>
      </c>
      <c r="D3767" s="875" t="str">
        <f>B3765&amp;C3767</f>
        <v>A104c</v>
      </c>
      <c r="E3767" s="367">
        <v>2</v>
      </c>
      <c r="F3767" s="669" t="s">
        <v>1160</v>
      </c>
      <c r="G3767" s="368">
        <v>0.4826388888888889</v>
      </c>
      <c r="H3767" s="368">
        <v>0.51041666666666663</v>
      </c>
      <c r="I3767" s="368">
        <v>0.52430555555555558</v>
      </c>
      <c r="J3767" s="368">
        <v>0.52777777777777779</v>
      </c>
      <c r="K3767" s="370">
        <v>12</v>
      </c>
      <c r="L3767" s="370">
        <v>20</v>
      </c>
      <c r="M3767" s="371">
        <v>20.399999999999999</v>
      </c>
      <c r="N3767" s="671">
        <f t="shared" ref="N3767" si="456">IF(M3767-P3767&gt;0,M3767-P3767,0)</f>
        <v>2.2999999999999972</v>
      </c>
      <c r="O3767" s="671">
        <f>O3766-K3767/(PI()*(U3763/2000)^2)</f>
        <v>12.829340921080616</v>
      </c>
      <c r="P3767" s="373">
        <v>18.100000000000001</v>
      </c>
      <c r="Q3767" s="673">
        <f t="shared" ref="Q3767" si="457">ABS(O3767-P3767)</f>
        <v>5.270659078919385</v>
      </c>
      <c r="R3767" s="958" t="s">
        <v>188</v>
      </c>
      <c r="S3767" s="366"/>
      <c r="T3767" s="376"/>
      <c r="U3767" s="376"/>
      <c r="V3767" s="366"/>
      <c r="W3767" s="366"/>
    </row>
    <row r="3768" spans="1:23">
      <c r="A3768" s="1410"/>
      <c r="B3768" s="1413"/>
      <c r="C3768" s="1206" t="s">
        <v>986</v>
      </c>
      <c r="D3768" s="875" t="str">
        <f>B3765&amp;C3768</f>
        <v>A104d</v>
      </c>
      <c r="E3768" s="367">
        <v>3</v>
      </c>
      <c r="F3768" s="669" t="s">
        <v>1182</v>
      </c>
      <c r="G3768" s="368">
        <v>0.49444444444444446</v>
      </c>
      <c r="H3768" s="368">
        <v>0.52083333333333337</v>
      </c>
      <c r="I3768" s="368">
        <v>0.53125</v>
      </c>
      <c r="J3768" s="368">
        <v>0.53680555555555554</v>
      </c>
      <c r="K3768" s="370">
        <v>12</v>
      </c>
      <c r="L3768" s="370">
        <v>19</v>
      </c>
      <c r="M3768" s="371">
        <v>10.95</v>
      </c>
      <c r="N3768" s="671"/>
      <c r="O3768" s="671"/>
      <c r="P3768" s="373">
        <v>8.3000000000000007</v>
      </c>
      <c r="Q3768" s="673"/>
      <c r="R3768" s="958" t="s">
        <v>188</v>
      </c>
      <c r="S3768" s="366"/>
      <c r="T3768" s="376"/>
      <c r="U3768" s="376"/>
      <c r="V3768" s="366"/>
      <c r="W3768" s="366"/>
    </row>
    <row r="3769" spans="1:23">
      <c r="A3769" s="1410"/>
      <c r="B3769" s="1413"/>
      <c r="C3769" s="1206" t="s">
        <v>987</v>
      </c>
      <c r="D3769" s="875" t="str">
        <f>B3765&amp;C3769</f>
        <v>A104e</v>
      </c>
      <c r="E3769" s="367">
        <v>4</v>
      </c>
      <c r="F3769" s="669" t="s">
        <v>1181</v>
      </c>
      <c r="G3769" s="368">
        <v>0.57708333333333328</v>
      </c>
      <c r="H3769" s="368">
        <v>0.59722222222222221</v>
      </c>
      <c r="I3769" s="368">
        <v>0.60069444444444442</v>
      </c>
      <c r="J3769" s="368">
        <v>0.60416666666666663</v>
      </c>
      <c r="K3769" s="370">
        <v>2.5</v>
      </c>
      <c r="L3769" s="370">
        <v>19</v>
      </c>
      <c r="M3769" s="371"/>
      <c r="N3769" s="671"/>
      <c r="O3769" s="671"/>
      <c r="P3769" s="373">
        <v>6.3</v>
      </c>
      <c r="Q3769" s="673"/>
      <c r="R3769" s="958"/>
      <c r="S3769" s="366"/>
      <c r="T3769" s="376"/>
      <c r="U3769" s="376"/>
      <c r="V3769" s="366"/>
      <c r="W3769" s="366"/>
    </row>
    <row r="3770" spans="1:23">
      <c r="A3770" s="1410"/>
      <c r="B3770" s="1413"/>
      <c r="C3770" s="1206" t="s">
        <v>988</v>
      </c>
      <c r="D3770" s="875" t="str">
        <f>B3765&amp;C3770</f>
        <v>A104f</v>
      </c>
      <c r="E3770" s="367">
        <v>5</v>
      </c>
      <c r="F3770" s="370"/>
      <c r="G3770" s="368"/>
      <c r="H3770" s="368"/>
      <c r="I3770" s="368"/>
      <c r="J3770" s="368"/>
      <c r="K3770" s="370"/>
      <c r="L3770" s="370"/>
      <c r="M3770" s="371"/>
      <c r="N3770" s="671"/>
      <c r="O3770" s="671"/>
      <c r="P3770" s="373"/>
      <c r="Q3770" s="673"/>
      <c r="R3770" s="958"/>
      <c r="S3770" s="366" t="s">
        <v>190</v>
      </c>
      <c r="T3770" s="376"/>
      <c r="U3770" s="376"/>
      <c r="V3770" s="366"/>
      <c r="W3770" s="366"/>
    </row>
    <row r="3771" spans="1:23">
      <c r="A3771" s="1410"/>
      <c r="B3771" s="1413"/>
      <c r="C3771" s="1206" t="s">
        <v>989</v>
      </c>
      <c r="D3771" s="875" t="str">
        <f>B3765&amp;C3771</f>
        <v>A104g</v>
      </c>
      <c r="E3771" s="367">
        <v>6</v>
      </c>
      <c r="F3771" s="370"/>
      <c r="G3771" s="368"/>
      <c r="H3771" s="368"/>
      <c r="I3771" s="368"/>
      <c r="J3771" s="368"/>
      <c r="K3771" s="370"/>
      <c r="L3771" s="370"/>
      <c r="M3771" s="371"/>
      <c r="N3771" s="671"/>
      <c r="O3771" s="671"/>
      <c r="P3771" s="373"/>
      <c r="Q3771" s="673"/>
      <c r="R3771" s="958"/>
      <c r="S3771" s="366" t="s">
        <v>190</v>
      </c>
      <c r="T3771" s="366"/>
      <c r="U3771" s="366"/>
      <c r="V3771" s="366"/>
      <c r="W3771" s="366"/>
    </row>
    <row r="3772" spans="1:23">
      <c r="A3772" s="1410"/>
      <c r="B3772" s="1413"/>
      <c r="C3772" s="1206" t="s">
        <v>990</v>
      </c>
      <c r="D3772" s="875" t="str">
        <f>B3765&amp;C3772</f>
        <v>A104h</v>
      </c>
      <c r="E3772" s="367">
        <v>7</v>
      </c>
      <c r="F3772" s="370"/>
      <c r="G3772" s="368"/>
      <c r="H3772" s="368"/>
      <c r="I3772" s="368"/>
      <c r="J3772" s="368"/>
      <c r="K3772" s="370"/>
      <c r="L3772" s="370"/>
      <c r="M3772" s="371"/>
      <c r="N3772" s="671"/>
      <c r="O3772" s="671"/>
      <c r="P3772" s="373"/>
      <c r="Q3772" s="673"/>
      <c r="R3772" s="958"/>
      <c r="S3772" s="366" t="s">
        <v>190</v>
      </c>
      <c r="T3772" s="366"/>
      <c r="U3772" s="366"/>
      <c r="V3772" s="366"/>
      <c r="W3772" s="366"/>
    </row>
    <row r="3773" spans="1:23">
      <c r="A3773" s="1410"/>
      <c r="B3773" s="1413"/>
      <c r="C3773" s="1206" t="s">
        <v>991</v>
      </c>
      <c r="D3773" s="875" t="str">
        <f>B3765&amp;C3773</f>
        <v>A104i</v>
      </c>
      <c r="E3773" s="367">
        <v>8</v>
      </c>
      <c r="F3773" s="370"/>
      <c r="G3773" s="368"/>
      <c r="H3773" s="368"/>
      <c r="I3773" s="368"/>
      <c r="J3773" s="368"/>
      <c r="K3773" s="370"/>
      <c r="L3773" s="370"/>
      <c r="M3773" s="371"/>
      <c r="N3773" s="671"/>
      <c r="O3773" s="671"/>
      <c r="P3773" s="373"/>
      <c r="Q3773" s="673"/>
      <c r="R3773" s="958"/>
      <c r="S3773" s="366"/>
      <c r="T3773" s="366"/>
      <c r="U3773" s="366"/>
      <c r="V3773" s="366"/>
      <c r="W3773" s="366"/>
    </row>
    <row r="3774" spans="1:23">
      <c r="A3774" s="1410"/>
      <c r="B3774" s="1413"/>
      <c r="C3774" s="1206" t="s">
        <v>992</v>
      </c>
      <c r="D3774" s="875" t="str">
        <f>B3765&amp;C3774</f>
        <v>A104k</v>
      </c>
      <c r="E3774" s="367">
        <v>9</v>
      </c>
      <c r="F3774" s="370"/>
      <c r="G3774" s="368"/>
      <c r="H3774" s="368"/>
      <c r="I3774" s="368"/>
      <c r="J3774" s="368"/>
      <c r="K3774" s="370"/>
      <c r="L3774" s="370"/>
      <c r="M3774" s="371"/>
      <c r="N3774" s="372"/>
      <c r="O3774" s="372"/>
      <c r="P3774" s="373"/>
      <c r="Q3774" s="374"/>
      <c r="R3774" s="378"/>
      <c r="S3774" s="379"/>
      <c r="T3774" s="366"/>
      <c r="U3774" s="366"/>
      <c r="V3774" s="366"/>
      <c r="W3774" s="366"/>
    </row>
    <row r="3775" spans="1:23">
      <c r="A3775" s="1410"/>
      <c r="B3775" s="1413"/>
      <c r="C3775" s="1206" t="s">
        <v>993</v>
      </c>
      <c r="D3775" s="875" t="str">
        <f>B3765&amp;C3775</f>
        <v>A104l</v>
      </c>
      <c r="E3775" s="367">
        <v>10</v>
      </c>
      <c r="F3775" s="370"/>
      <c r="G3775" s="368"/>
      <c r="H3775" s="368"/>
      <c r="I3775" s="368"/>
      <c r="J3775" s="368"/>
      <c r="K3775" s="370"/>
      <c r="L3775" s="370"/>
      <c r="M3775" s="370"/>
      <c r="N3775" s="372"/>
      <c r="O3775" s="372"/>
      <c r="P3775" s="373"/>
      <c r="Q3775" s="374"/>
      <c r="R3775" s="378"/>
      <c r="S3775" s="379"/>
      <c r="T3775" s="366"/>
      <c r="U3775" s="366"/>
      <c r="V3775" s="366"/>
      <c r="W3775" s="366"/>
    </row>
    <row r="3776" spans="1:23">
      <c r="A3776" s="1410"/>
      <c r="B3776" s="1413"/>
      <c r="C3776" s="1206" t="s">
        <v>994</v>
      </c>
      <c r="D3776" s="875" t="str">
        <f>B3765&amp;C3776</f>
        <v>A104m</v>
      </c>
      <c r="E3776" s="367">
        <v>11</v>
      </c>
      <c r="F3776" s="370"/>
      <c r="G3776" s="368"/>
      <c r="H3776" s="368"/>
      <c r="I3776" s="368"/>
      <c r="J3776" s="368"/>
      <c r="K3776" s="370"/>
      <c r="L3776" s="370"/>
      <c r="M3776" s="370"/>
      <c r="N3776" s="372"/>
      <c r="O3776" s="372"/>
      <c r="P3776" s="380"/>
      <c r="Q3776" s="374"/>
      <c r="R3776" s="381"/>
      <c r="S3776" s="379"/>
      <c r="T3776" s="366"/>
      <c r="U3776" s="366"/>
      <c r="V3776" s="366"/>
      <c r="W3776" s="366"/>
    </row>
    <row r="3777" spans="1:23">
      <c r="A3777" s="1410"/>
      <c r="B3777" s="1413"/>
      <c r="C3777" s="1206" t="s">
        <v>995</v>
      </c>
      <c r="D3777" s="875" t="str">
        <f>B3765&amp;C3777</f>
        <v>A104n</v>
      </c>
      <c r="E3777" s="367">
        <v>12</v>
      </c>
      <c r="F3777" s="370"/>
      <c r="G3777" s="368"/>
      <c r="H3777" s="368"/>
      <c r="I3777" s="368"/>
      <c r="J3777" s="368"/>
      <c r="K3777" s="370"/>
      <c r="L3777" s="370"/>
      <c r="M3777" s="370"/>
      <c r="N3777" s="372"/>
      <c r="O3777" s="372"/>
      <c r="P3777" s="380"/>
      <c r="Q3777" s="374"/>
      <c r="R3777" s="381"/>
      <c r="S3777" s="361"/>
      <c r="T3777" s="361"/>
      <c r="U3777" s="361"/>
      <c r="V3777" s="366"/>
      <c r="W3777" s="366"/>
    </row>
    <row r="3778" spans="1:23">
      <c r="A3778" s="1410"/>
      <c r="B3778" s="1413"/>
      <c r="C3778" s="1206" t="s">
        <v>471</v>
      </c>
      <c r="D3778" s="875" t="str">
        <f>B3765&amp;C3778</f>
        <v>A104x</v>
      </c>
      <c r="E3778" s="367">
        <v>13</v>
      </c>
      <c r="F3778" s="370"/>
      <c r="G3778" s="368"/>
      <c r="H3778" s="368"/>
      <c r="I3778" s="368"/>
      <c r="J3778" s="368"/>
      <c r="K3778" s="370"/>
      <c r="L3778" s="370"/>
      <c r="M3778" s="370"/>
      <c r="N3778" s="382"/>
      <c r="O3778" s="372"/>
      <c r="P3778" s="380"/>
      <c r="Q3778" s="381"/>
      <c r="R3778" s="381"/>
      <c r="S3778" s="361"/>
      <c r="T3778" s="361"/>
      <c r="U3778" s="361"/>
      <c r="V3778" s="366"/>
      <c r="W3778" s="366"/>
    </row>
    <row r="3779" spans="1:23">
      <c r="A3779" s="1410"/>
      <c r="B3779" s="1413"/>
      <c r="C3779" s="1206" t="s">
        <v>732</v>
      </c>
      <c r="D3779" s="875" t="str">
        <f>B3765&amp;C3779</f>
        <v>A104y</v>
      </c>
      <c r="E3779" s="367">
        <v>14</v>
      </c>
      <c r="F3779" s="370"/>
      <c r="G3779" s="368"/>
      <c r="H3779" s="368"/>
      <c r="I3779" s="368"/>
      <c r="J3779" s="368"/>
      <c r="K3779" s="370"/>
      <c r="L3779" s="370"/>
      <c r="M3779" s="370"/>
      <c r="N3779" s="382"/>
      <c r="O3779" s="372"/>
      <c r="P3779" s="380"/>
      <c r="Q3779" s="381"/>
      <c r="R3779" s="381"/>
      <c r="S3779" s="361"/>
      <c r="T3779" s="361"/>
      <c r="U3779" s="362"/>
      <c r="V3779" s="366"/>
      <c r="W3779" s="366"/>
    </row>
    <row r="3780" spans="1:23">
      <c r="A3780" s="1411"/>
      <c r="B3780" s="1414"/>
      <c r="C3780" s="1207" t="s">
        <v>996</v>
      </c>
      <c r="D3780" s="876" t="str">
        <f>B3765&amp;C3780</f>
        <v>A104z</v>
      </c>
      <c r="E3780" s="847">
        <v>15</v>
      </c>
      <c r="F3780" s="370"/>
      <c r="G3780" s="368"/>
      <c r="H3780" s="368"/>
      <c r="I3780" s="368"/>
      <c r="J3780" s="368"/>
      <c r="K3780" s="370"/>
      <c r="L3780" s="370"/>
      <c r="M3780" s="370"/>
      <c r="N3780" s="850"/>
      <c r="O3780" s="851"/>
      <c r="P3780" s="380"/>
      <c r="Q3780" s="852"/>
      <c r="R3780" s="383"/>
      <c r="S3780" s="361"/>
      <c r="T3780" s="1204"/>
      <c r="U3780" s="1203"/>
      <c r="V3780" s="366"/>
      <c r="W3780" s="366"/>
    </row>
    <row r="3781" spans="1:23">
      <c r="A3781" s="1400" t="s">
        <v>939</v>
      </c>
      <c r="B3781" s="1400"/>
      <c r="C3781" s="1200"/>
      <c r="D3781" s="871"/>
      <c r="E3781" s="1400" t="s">
        <v>177</v>
      </c>
      <c r="F3781" s="1400" t="s">
        <v>18</v>
      </c>
      <c r="G3781" s="1389" t="s">
        <v>19</v>
      </c>
      <c r="H3781" s="1390"/>
      <c r="I3781" s="1389" t="s">
        <v>22</v>
      </c>
      <c r="J3781" s="1390"/>
      <c r="K3781" s="1393" t="s">
        <v>26</v>
      </c>
      <c r="L3781" s="1390"/>
      <c r="M3781" s="1389" t="s">
        <v>392</v>
      </c>
      <c r="N3781" s="1390"/>
      <c r="O3781" s="1389" t="s">
        <v>28</v>
      </c>
      <c r="P3781" s="1393"/>
      <c r="Q3781" s="1390"/>
      <c r="R3781" s="1400" t="s">
        <v>36</v>
      </c>
      <c r="S3781" s="361"/>
      <c r="T3781" s="361">
        <f>MAX(J3785:J3799)-MIN(I3785:I3799)</f>
        <v>0.11458333333333334</v>
      </c>
      <c r="U3781" s="361"/>
      <c r="V3781" s="853" t="str">
        <f t="shared" ref="V3781" si="458">B3785</f>
        <v>A116</v>
      </c>
      <c r="W3781" s="361">
        <f t="shared" ref="W3781" si="459">COUNTIF(K3786:K3800,"&gt;0")</f>
        <v>5</v>
      </c>
    </row>
    <row r="3782" spans="1:23">
      <c r="A3782" s="1401"/>
      <c r="B3782" s="1401"/>
      <c r="C3782" s="1202"/>
      <c r="D3782" s="872"/>
      <c r="E3782" s="1401"/>
      <c r="F3782" s="1401"/>
      <c r="G3782" s="1391"/>
      <c r="H3782" s="1392"/>
      <c r="I3782" s="1391"/>
      <c r="J3782" s="1392"/>
      <c r="K3782" s="1394"/>
      <c r="L3782" s="1392"/>
      <c r="M3782" s="1391"/>
      <c r="N3782" s="1392"/>
      <c r="O3782" s="1391"/>
      <c r="P3782" s="1394"/>
      <c r="Q3782" s="1392"/>
      <c r="R3782" s="1401"/>
      <c r="S3782" s="361"/>
      <c r="T3782" s="361"/>
      <c r="U3782" s="361"/>
      <c r="V3782" s="361"/>
      <c r="W3782" s="361"/>
    </row>
    <row r="3783" spans="1:23">
      <c r="A3783" s="1401"/>
      <c r="B3783" s="1401"/>
      <c r="C3783" s="1202"/>
      <c r="D3783" s="872"/>
      <c r="E3783" s="1401"/>
      <c r="F3783" s="1401"/>
      <c r="G3783" s="1400" t="s">
        <v>20</v>
      </c>
      <c r="H3783" s="1400" t="s">
        <v>21</v>
      </c>
      <c r="I3783" s="1400" t="s">
        <v>361</v>
      </c>
      <c r="J3783" s="1400" t="s">
        <v>353</v>
      </c>
      <c r="K3783" s="1400" t="s">
        <v>23</v>
      </c>
      <c r="L3783" s="1400" t="s">
        <v>24</v>
      </c>
      <c r="M3783" s="1400" t="s">
        <v>27</v>
      </c>
      <c r="N3783" s="1400" t="s">
        <v>178</v>
      </c>
      <c r="O3783" s="1400" t="s">
        <v>1</v>
      </c>
      <c r="P3783" s="1400" t="s">
        <v>29</v>
      </c>
      <c r="Q3783" s="1400" t="s">
        <v>33</v>
      </c>
      <c r="R3783" s="1401"/>
      <c r="S3783" s="361"/>
      <c r="T3783" s="361" t="s">
        <v>39</v>
      </c>
      <c r="U3783" s="362">
        <f>VLOOKUP(B3785,'[8]Thong tin'!$A:$M,13,0)</f>
        <v>1200</v>
      </c>
      <c r="V3783" s="361"/>
      <c r="W3783" s="361"/>
    </row>
    <row r="3784" spans="1:23">
      <c r="A3784" s="1402"/>
      <c r="B3784" s="1402"/>
      <c r="C3784" s="1201"/>
      <c r="D3784" s="873"/>
      <c r="E3784" s="1402"/>
      <c r="F3784" s="1402"/>
      <c r="G3784" s="1402"/>
      <c r="H3784" s="1402"/>
      <c r="I3784" s="1402"/>
      <c r="J3784" s="1402"/>
      <c r="K3784" s="1402"/>
      <c r="L3784" s="1402"/>
      <c r="M3784" s="1402"/>
      <c r="N3784" s="1402"/>
      <c r="O3784" s="1402"/>
      <c r="P3784" s="1402"/>
      <c r="Q3784" s="1402"/>
      <c r="R3784" s="1402"/>
      <c r="S3784" s="361"/>
      <c r="T3784" s="1399" t="s">
        <v>393</v>
      </c>
      <c r="U3784" s="1397">
        <f>VLOOKUP(B3785,[8]DT.NK!$B:$AZ,45,0)</f>
        <v>44.8</v>
      </c>
      <c r="V3784" s="361"/>
      <c r="W3784" s="361"/>
    </row>
    <row r="3785" spans="1:23" ht="18.75" customHeight="1">
      <c r="A3785" s="1409">
        <f>A3765+1</f>
        <v>190</v>
      </c>
      <c r="B3785" s="1412" t="s">
        <v>615</v>
      </c>
      <c r="C3785" s="1205" t="s">
        <v>983</v>
      </c>
      <c r="D3785" s="874" t="str">
        <f>B3785&amp;C3785</f>
        <v>A116a</v>
      </c>
      <c r="E3785" s="363"/>
      <c r="F3785" s="364"/>
      <c r="G3785" s="364"/>
      <c r="H3785" s="364"/>
      <c r="I3785" s="364"/>
      <c r="J3785" s="364"/>
      <c r="K3785" s="364"/>
      <c r="L3785" s="364"/>
      <c r="M3785" s="674"/>
      <c r="N3785" s="670"/>
      <c r="O3785" s="670">
        <f>U3784</f>
        <v>44.8</v>
      </c>
      <c r="P3785" s="670">
        <f>O3785</f>
        <v>44.8</v>
      </c>
      <c r="Q3785" s="670">
        <v>0</v>
      </c>
      <c r="R3785" s="365"/>
      <c r="S3785" s="366"/>
      <c r="T3785" s="1399"/>
      <c r="U3785" s="1398"/>
      <c r="V3785" s="361"/>
      <c r="W3785" s="361"/>
    </row>
    <row r="3786" spans="1:23" ht="18.75" customHeight="1">
      <c r="A3786" s="1410"/>
      <c r="B3786" s="1413"/>
      <c r="C3786" s="1206" t="s">
        <v>984</v>
      </c>
      <c r="D3786" s="875" t="str">
        <f>B3785&amp;C3786</f>
        <v>A116b</v>
      </c>
      <c r="E3786" s="367">
        <v>1</v>
      </c>
      <c r="F3786" s="669" t="s">
        <v>1182</v>
      </c>
      <c r="G3786" s="369">
        <v>4.027777777777778E-2</v>
      </c>
      <c r="H3786" s="368">
        <v>6.9444444444444434E-2</v>
      </c>
      <c r="I3786" s="368">
        <v>9.375E-2</v>
      </c>
      <c r="J3786" s="368">
        <v>0.10069444444444443</v>
      </c>
      <c r="K3786" s="669">
        <v>11</v>
      </c>
      <c r="L3786" s="669">
        <v>19</v>
      </c>
      <c r="M3786" s="675">
        <v>40.950000000000003</v>
      </c>
      <c r="N3786" s="671">
        <f>IF(M3786-P3786&gt;0,M3786-P3786,0)</f>
        <v>4.1500000000000057</v>
      </c>
      <c r="O3786" s="671">
        <f>O3785-K3786/(PI()*(U3783/2000)^2)</f>
        <v>35.073864588828613</v>
      </c>
      <c r="P3786" s="672">
        <v>36.799999999999997</v>
      </c>
      <c r="Q3786" s="673">
        <f>ABS(O3786-P3786)</f>
        <v>1.7261354111713842</v>
      </c>
      <c r="R3786" s="375" t="s">
        <v>188</v>
      </c>
      <c r="S3786" s="366"/>
      <c r="T3786" s="376"/>
      <c r="U3786" s="376"/>
      <c r="V3786" s="366"/>
      <c r="W3786" s="366"/>
    </row>
    <row r="3787" spans="1:23" ht="18.75" customHeight="1">
      <c r="A3787" s="1410"/>
      <c r="B3787" s="1413"/>
      <c r="C3787" s="1206" t="s">
        <v>985</v>
      </c>
      <c r="D3787" s="875" t="str">
        <f>B3785&amp;C3787</f>
        <v>A116c</v>
      </c>
      <c r="E3787" s="367">
        <v>2</v>
      </c>
      <c r="F3787" s="669" t="s">
        <v>1160</v>
      </c>
      <c r="G3787" s="368">
        <v>5.2083333333333336E-2</v>
      </c>
      <c r="H3787" s="368">
        <v>7.6388888888888895E-2</v>
      </c>
      <c r="I3787" s="368">
        <v>0.1076388888888889</v>
      </c>
      <c r="J3787" s="368">
        <v>0.11458333333333333</v>
      </c>
      <c r="K3787" s="370">
        <v>11</v>
      </c>
      <c r="L3787" s="370">
        <v>19</v>
      </c>
      <c r="M3787" s="371">
        <v>31.5</v>
      </c>
      <c r="N3787" s="671">
        <f t="shared" ref="N3787" si="460">IF(M3787-P3787&gt;0,M3787-P3787,0)</f>
        <v>3.1999999999999993</v>
      </c>
      <c r="O3787" s="671">
        <f>O3786-K3787/(PI()*(U3783/2000)^2)</f>
        <v>25.347729177657229</v>
      </c>
      <c r="P3787" s="373">
        <v>28.3</v>
      </c>
      <c r="Q3787" s="673">
        <f t="shared" ref="Q3787" si="461">ABS(O3787-P3787)</f>
        <v>2.952270822342772</v>
      </c>
      <c r="R3787" s="958" t="s">
        <v>188</v>
      </c>
      <c r="S3787" s="366"/>
      <c r="T3787" s="376"/>
      <c r="U3787" s="376"/>
      <c r="V3787" s="366"/>
      <c r="W3787" s="366"/>
    </row>
    <row r="3788" spans="1:23" ht="18.75" customHeight="1">
      <c r="A3788" s="1410"/>
      <c r="B3788" s="1413"/>
      <c r="C3788" s="1206" t="s">
        <v>986</v>
      </c>
      <c r="D3788" s="875" t="str">
        <f>B3785&amp;C3788</f>
        <v>A116d</v>
      </c>
      <c r="E3788" s="367">
        <v>3</v>
      </c>
      <c r="F3788" s="669" t="s">
        <v>1181</v>
      </c>
      <c r="G3788" s="368">
        <v>5.9027777777777783E-2</v>
      </c>
      <c r="H3788" s="368">
        <v>9.0277777777777776E-2</v>
      </c>
      <c r="I3788" s="368">
        <v>0.12152777777777778</v>
      </c>
      <c r="J3788" s="368">
        <v>0.12847222222222224</v>
      </c>
      <c r="K3788" s="370">
        <v>11</v>
      </c>
      <c r="L3788" s="370">
        <v>19</v>
      </c>
      <c r="M3788" s="371">
        <v>25.2</v>
      </c>
      <c r="N3788" s="671"/>
      <c r="O3788" s="671"/>
      <c r="P3788" s="373">
        <v>19.55</v>
      </c>
      <c r="Q3788" s="673"/>
      <c r="R3788" s="958" t="s">
        <v>188</v>
      </c>
      <c r="S3788" s="366"/>
      <c r="T3788" s="376"/>
      <c r="U3788" s="376"/>
      <c r="V3788" s="366"/>
      <c r="W3788" s="366"/>
    </row>
    <row r="3789" spans="1:23" ht="18.75" customHeight="1">
      <c r="A3789" s="1410"/>
      <c r="B3789" s="1413"/>
      <c r="C3789" s="1206" t="s">
        <v>987</v>
      </c>
      <c r="D3789" s="875" t="str">
        <f>B3785&amp;C3789</f>
        <v>A116e</v>
      </c>
      <c r="E3789" s="367">
        <v>4</v>
      </c>
      <c r="F3789" s="669" t="s">
        <v>1183</v>
      </c>
      <c r="G3789" s="368">
        <v>7.6388888888888895E-2</v>
      </c>
      <c r="H3789" s="368">
        <v>0.11458333333333333</v>
      </c>
      <c r="I3789" s="368">
        <v>0.1388888888888889</v>
      </c>
      <c r="J3789" s="368">
        <v>0.14583333333333334</v>
      </c>
      <c r="K3789" s="370">
        <v>10</v>
      </c>
      <c r="L3789" s="370">
        <v>20</v>
      </c>
      <c r="M3789" s="371">
        <v>15.75</v>
      </c>
      <c r="N3789" s="671"/>
      <c r="O3789" s="671"/>
      <c r="P3789" s="373">
        <v>11.05</v>
      </c>
      <c r="Q3789" s="673"/>
      <c r="R3789" s="958"/>
      <c r="S3789" s="366"/>
      <c r="T3789" s="376"/>
      <c r="U3789" s="376"/>
      <c r="V3789" s="366"/>
      <c r="W3789" s="366"/>
    </row>
    <row r="3790" spans="1:23" ht="18.75" customHeight="1">
      <c r="A3790" s="1410"/>
      <c r="B3790" s="1413"/>
      <c r="C3790" s="1206" t="s">
        <v>988</v>
      </c>
      <c r="D3790" s="875" t="str">
        <f>B3785&amp;C3790</f>
        <v>A116f</v>
      </c>
      <c r="E3790" s="367">
        <v>5</v>
      </c>
      <c r="F3790" s="669" t="s">
        <v>1160</v>
      </c>
      <c r="G3790" s="368">
        <v>0.15555555555555556</v>
      </c>
      <c r="H3790" s="368">
        <v>0.19791666666666666</v>
      </c>
      <c r="I3790" s="368">
        <v>0.20486111111111113</v>
      </c>
      <c r="J3790" s="368">
        <v>0.20833333333333334</v>
      </c>
      <c r="K3790" s="370">
        <v>6</v>
      </c>
      <c r="L3790" s="370">
        <v>19</v>
      </c>
      <c r="M3790" s="371">
        <v>9.4499999999999993</v>
      </c>
      <c r="N3790" s="671"/>
      <c r="O3790" s="671"/>
      <c r="P3790" s="373">
        <v>6.1</v>
      </c>
      <c r="Q3790" s="673"/>
      <c r="R3790" s="958"/>
      <c r="S3790" s="366" t="s">
        <v>190</v>
      </c>
      <c r="T3790" s="376"/>
      <c r="U3790" s="376"/>
      <c r="V3790" s="366"/>
      <c r="W3790" s="366"/>
    </row>
    <row r="3791" spans="1:23" ht="18.75" customHeight="1">
      <c r="A3791" s="1410"/>
      <c r="B3791" s="1413"/>
      <c r="C3791" s="1206" t="s">
        <v>989</v>
      </c>
      <c r="D3791" s="875" t="str">
        <f>B3785&amp;C3791</f>
        <v>A116g</v>
      </c>
      <c r="E3791" s="367">
        <v>6</v>
      </c>
      <c r="F3791" s="370"/>
      <c r="G3791" s="368"/>
      <c r="H3791" s="368"/>
      <c r="I3791" s="368"/>
      <c r="J3791" s="368"/>
      <c r="K3791" s="370"/>
      <c r="L3791" s="370"/>
      <c r="M3791" s="371"/>
      <c r="N3791" s="671"/>
      <c r="O3791" s="671"/>
      <c r="P3791" s="373"/>
      <c r="Q3791" s="673"/>
      <c r="R3791" s="958"/>
      <c r="S3791" s="366" t="s">
        <v>190</v>
      </c>
      <c r="T3791" s="366"/>
      <c r="U3791" s="366"/>
      <c r="V3791" s="366"/>
      <c r="W3791" s="366"/>
    </row>
    <row r="3792" spans="1:23" ht="18.75" customHeight="1">
      <c r="A3792" s="1410"/>
      <c r="B3792" s="1413"/>
      <c r="C3792" s="1206" t="s">
        <v>990</v>
      </c>
      <c r="D3792" s="875" t="str">
        <f>B3785&amp;C3792</f>
        <v>A116h</v>
      </c>
      <c r="E3792" s="367">
        <v>7</v>
      </c>
      <c r="F3792" s="370"/>
      <c r="G3792" s="368"/>
      <c r="H3792" s="368"/>
      <c r="I3792" s="368"/>
      <c r="J3792" s="368"/>
      <c r="K3792" s="370"/>
      <c r="L3792" s="370"/>
      <c r="M3792" s="371"/>
      <c r="N3792" s="671"/>
      <c r="O3792" s="671"/>
      <c r="P3792" s="373"/>
      <c r="Q3792" s="673"/>
      <c r="R3792" s="958"/>
      <c r="S3792" s="366" t="s">
        <v>190</v>
      </c>
      <c r="T3792" s="366"/>
      <c r="U3792" s="366"/>
      <c r="V3792" s="366"/>
      <c r="W3792" s="366"/>
    </row>
    <row r="3793" spans="1:23" ht="18.75" customHeight="1">
      <c r="A3793" s="1410"/>
      <c r="B3793" s="1413"/>
      <c r="C3793" s="1206" t="s">
        <v>991</v>
      </c>
      <c r="D3793" s="875" t="str">
        <f>B3785&amp;C3793</f>
        <v>A116i</v>
      </c>
      <c r="E3793" s="367">
        <v>8</v>
      </c>
      <c r="F3793" s="370"/>
      <c r="G3793" s="368"/>
      <c r="H3793" s="368"/>
      <c r="I3793" s="368"/>
      <c r="J3793" s="368"/>
      <c r="K3793" s="370"/>
      <c r="L3793" s="370"/>
      <c r="M3793" s="371"/>
      <c r="N3793" s="671"/>
      <c r="O3793" s="671"/>
      <c r="P3793" s="373"/>
      <c r="Q3793" s="673"/>
      <c r="R3793" s="958"/>
      <c r="S3793" s="366"/>
      <c r="T3793" s="366"/>
      <c r="U3793" s="366"/>
      <c r="V3793" s="366"/>
      <c r="W3793" s="366"/>
    </row>
    <row r="3794" spans="1:23" ht="18.75" customHeight="1">
      <c r="A3794" s="1410"/>
      <c r="B3794" s="1413"/>
      <c r="C3794" s="1206" t="s">
        <v>992</v>
      </c>
      <c r="D3794" s="875" t="str">
        <f>B3785&amp;C3794</f>
        <v>A116k</v>
      </c>
      <c r="E3794" s="367">
        <v>9</v>
      </c>
      <c r="F3794" s="370"/>
      <c r="G3794" s="368"/>
      <c r="H3794" s="368"/>
      <c r="I3794" s="368"/>
      <c r="J3794" s="368"/>
      <c r="K3794" s="370"/>
      <c r="L3794" s="370"/>
      <c r="M3794" s="371"/>
      <c r="N3794" s="372"/>
      <c r="O3794" s="372"/>
      <c r="P3794" s="373"/>
      <c r="Q3794" s="374"/>
      <c r="R3794" s="378"/>
      <c r="S3794" s="379"/>
      <c r="T3794" s="366"/>
      <c r="U3794" s="366"/>
      <c r="V3794" s="366"/>
      <c r="W3794" s="366"/>
    </row>
    <row r="3795" spans="1:23" ht="18.75" customHeight="1">
      <c r="A3795" s="1410"/>
      <c r="B3795" s="1413"/>
      <c r="C3795" s="1206" t="s">
        <v>993</v>
      </c>
      <c r="D3795" s="875" t="str">
        <f>B3785&amp;C3795</f>
        <v>A116l</v>
      </c>
      <c r="E3795" s="367">
        <v>10</v>
      </c>
      <c r="F3795" s="370"/>
      <c r="G3795" s="368"/>
      <c r="H3795" s="368"/>
      <c r="I3795" s="368"/>
      <c r="J3795" s="368"/>
      <c r="K3795" s="370"/>
      <c r="L3795" s="370"/>
      <c r="M3795" s="370"/>
      <c r="N3795" s="372"/>
      <c r="O3795" s="372"/>
      <c r="P3795" s="373"/>
      <c r="Q3795" s="374"/>
      <c r="R3795" s="378"/>
      <c r="S3795" s="379"/>
      <c r="T3795" s="366"/>
      <c r="U3795" s="366"/>
      <c r="V3795" s="366"/>
      <c r="W3795" s="366"/>
    </row>
    <row r="3796" spans="1:23" ht="18.75" customHeight="1">
      <c r="A3796" s="1410"/>
      <c r="B3796" s="1413"/>
      <c r="C3796" s="1206" t="s">
        <v>994</v>
      </c>
      <c r="D3796" s="875" t="str">
        <f>B3785&amp;C3796</f>
        <v>A116m</v>
      </c>
      <c r="E3796" s="367">
        <v>11</v>
      </c>
      <c r="F3796" s="370"/>
      <c r="G3796" s="368"/>
      <c r="H3796" s="368"/>
      <c r="I3796" s="368"/>
      <c r="J3796" s="368"/>
      <c r="K3796" s="370"/>
      <c r="L3796" s="370"/>
      <c r="M3796" s="370"/>
      <c r="N3796" s="372"/>
      <c r="O3796" s="372"/>
      <c r="P3796" s="380"/>
      <c r="Q3796" s="374"/>
      <c r="R3796" s="381"/>
      <c r="S3796" s="379"/>
      <c r="T3796" s="366"/>
      <c r="U3796" s="366"/>
      <c r="V3796" s="366"/>
      <c r="W3796" s="366"/>
    </row>
    <row r="3797" spans="1:23" ht="18.75" customHeight="1">
      <c r="A3797" s="1410"/>
      <c r="B3797" s="1413"/>
      <c r="C3797" s="1206" t="s">
        <v>995</v>
      </c>
      <c r="D3797" s="875" t="str">
        <f>B3785&amp;C3797</f>
        <v>A116n</v>
      </c>
      <c r="E3797" s="367">
        <v>12</v>
      </c>
      <c r="F3797" s="370"/>
      <c r="G3797" s="368"/>
      <c r="H3797" s="368"/>
      <c r="I3797" s="368"/>
      <c r="J3797" s="368"/>
      <c r="K3797" s="370"/>
      <c r="L3797" s="370"/>
      <c r="M3797" s="370"/>
      <c r="N3797" s="372"/>
      <c r="O3797" s="372"/>
      <c r="P3797" s="380"/>
      <c r="Q3797" s="374"/>
      <c r="R3797" s="381"/>
      <c r="S3797" s="361"/>
      <c r="T3797" s="361"/>
      <c r="U3797" s="361"/>
      <c r="V3797" s="366"/>
      <c r="W3797" s="366"/>
    </row>
    <row r="3798" spans="1:23" ht="18.75" customHeight="1">
      <c r="A3798" s="1410"/>
      <c r="B3798" s="1413"/>
      <c r="C3798" s="1206" t="s">
        <v>471</v>
      </c>
      <c r="D3798" s="875" t="str">
        <f>B3785&amp;C3798</f>
        <v>A116x</v>
      </c>
      <c r="E3798" s="367">
        <v>13</v>
      </c>
      <c r="F3798" s="370"/>
      <c r="G3798" s="368"/>
      <c r="H3798" s="368"/>
      <c r="I3798" s="368"/>
      <c r="J3798" s="368"/>
      <c r="K3798" s="370"/>
      <c r="L3798" s="370"/>
      <c r="M3798" s="370"/>
      <c r="N3798" s="382"/>
      <c r="O3798" s="372"/>
      <c r="P3798" s="380"/>
      <c r="Q3798" s="381"/>
      <c r="R3798" s="381"/>
      <c r="S3798" s="361"/>
      <c r="T3798" s="361"/>
      <c r="U3798" s="361"/>
      <c r="V3798" s="366"/>
      <c r="W3798" s="366"/>
    </row>
    <row r="3799" spans="1:23" ht="18.75" customHeight="1">
      <c r="A3799" s="1410"/>
      <c r="B3799" s="1413"/>
      <c r="C3799" s="1206" t="s">
        <v>732</v>
      </c>
      <c r="D3799" s="875" t="str">
        <f>B3785&amp;C3799</f>
        <v>A116y</v>
      </c>
      <c r="E3799" s="367">
        <v>14</v>
      </c>
      <c r="F3799" s="370"/>
      <c r="G3799" s="368"/>
      <c r="H3799" s="368"/>
      <c r="I3799" s="368"/>
      <c r="J3799" s="368"/>
      <c r="K3799" s="370"/>
      <c r="L3799" s="370"/>
      <c r="M3799" s="370"/>
      <c r="N3799" s="382"/>
      <c r="O3799" s="372"/>
      <c r="P3799" s="380"/>
      <c r="Q3799" s="381"/>
      <c r="R3799" s="381"/>
      <c r="S3799" s="361"/>
      <c r="T3799" s="361"/>
      <c r="U3799" s="362"/>
      <c r="V3799" s="366"/>
      <c r="W3799" s="366"/>
    </row>
    <row r="3800" spans="1:23" ht="18.75" customHeight="1">
      <c r="A3800" s="1411"/>
      <c r="B3800" s="1414"/>
      <c r="C3800" s="1207" t="s">
        <v>996</v>
      </c>
      <c r="D3800" s="876" t="str">
        <f>B3785&amp;C3800</f>
        <v>A116z</v>
      </c>
      <c r="E3800" s="847">
        <v>15</v>
      </c>
      <c r="F3800" s="370"/>
      <c r="G3800" s="368"/>
      <c r="H3800" s="368"/>
      <c r="I3800" s="368"/>
      <c r="J3800" s="368"/>
      <c r="K3800" s="370"/>
      <c r="L3800" s="370"/>
      <c r="M3800" s="370"/>
      <c r="N3800" s="850"/>
      <c r="O3800" s="851"/>
      <c r="P3800" s="380"/>
      <c r="Q3800" s="852"/>
      <c r="R3800" s="383"/>
      <c r="S3800" s="361"/>
      <c r="T3800" s="1204"/>
      <c r="U3800" s="1203"/>
      <c r="V3800" s="366"/>
      <c r="W3800" s="366"/>
    </row>
    <row r="3801" spans="1:23">
      <c r="A3801" s="1400" t="s">
        <v>939</v>
      </c>
      <c r="B3801" s="1400"/>
      <c r="C3801" s="1200"/>
      <c r="D3801" s="871"/>
      <c r="E3801" s="1400" t="s">
        <v>177</v>
      </c>
      <c r="F3801" s="1400" t="s">
        <v>18</v>
      </c>
      <c r="G3801" s="1389" t="s">
        <v>19</v>
      </c>
      <c r="H3801" s="1390"/>
      <c r="I3801" s="1389" t="s">
        <v>22</v>
      </c>
      <c r="J3801" s="1390"/>
      <c r="K3801" s="1393" t="s">
        <v>26</v>
      </c>
      <c r="L3801" s="1390"/>
      <c r="M3801" s="1389" t="s">
        <v>392</v>
      </c>
      <c r="N3801" s="1390"/>
      <c r="O3801" s="1389" t="s">
        <v>28</v>
      </c>
      <c r="P3801" s="1393"/>
      <c r="Q3801" s="1390"/>
      <c r="R3801" s="1400" t="s">
        <v>36</v>
      </c>
      <c r="S3801" s="361"/>
      <c r="T3801" s="361">
        <f>MAX(J3805:J3819)-MIN(I3805:I3819)</f>
        <v>7.2916666666666685E-2</v>
      </c>
      <c r="U3801" s="361"/>
      <c r="V3801" s="853" t="str">
        <f t="shared" ref="V3801" si="462">B3805</f>
        <v>A105</v>
      </c>
      <c r="W3801" s="361">
        <f t="shared" ref="W3801" si="463">COUNTIF(K3806:K3820,"&gt;0")</f>
        <v>4</v>
      </c>
    </row>
    <row r="3802" spans="1:23">
      <c r="A3802" s="1401"/>
      <c r="B3802" s="1401"/>
      <c r="C3802" s="1202"/>
      <c r="D3802" s="872"/>
      <c r="E3802" s="1401"/>
      <c r="F3802" s="1401"/>
      <c r="G3802" s="1391"/>
      <c r="H3802" s="1392"/>
      <c r="I3802" s="1391"/>
      <c r="J3802" s="1392"/>
      <c r="K3802" s="1394"/>
      <c r="L3802" s="1392"/>
      <c r="M3802" s="1391"/>
      <c r="N3802" s="1392"/>
      <c r="O3802" s="1391"/>
      <c r="P3802" s="1394"/>
      <c r="Q3802" s="1392"/>
      <c r="R3802" s="1401"/>
      <c r="S3802" s="361"/>
      <c r="T3802" s="361"/>
      <c r="U3802" s="361"/>
      <c r="V3802" s="361"/>
      <c r="W3802" s="361"/>
    </row>
    <row r="3803" spans="1:23">
      <c r="A3803" s="1401"/>
      <c r="B3803" s="1401"/>
      <c r="C3803" s="1202"/>
      <c r="D3803" s="872"/>
      <c r="E3803" s="1401"/>
      <c r="F3803" s="1401"/>
      <c r="G3803" s="1400" t="s">
        <v>20</v>
      </c>
      <c r="H3803" s="1400" t="s">
        <v>21</v>
      </c>
      <c r="I3803" s="1400" t="s">
        <v>361</v>
      </c>
      <c r="J3803" s="1400" t="s">
        <v>353</v>
      </c>
      <c r="K3803" s="1400" t="s">
        <v>23</v>
      </c>
      <c r="L3803" s="1400" t="s">
        <v>24</v>
      </c>
      <c r="M3803" s="1400" t="s">
        <v>27</v>
      </c>
      <c r="N3803" s="1400" t="s">
        <v>178</v>
      </c>
      <c r="O3803" s="1400" t="s">
        <v>1</v>
      </c>
      <c r="P3803" s="1400" t="s">
        <v>29</v>
      </c>
      <c r="Q3803" s="1400" t="s">
        <v>33</v>
      </c>
      <c r="R3803" s="1401"/>
      <c r="S3803" s="361"/>
      <c r="T3803" s="361" t="s">
        <v>39</v>
      </c>
      <c r="U3803" s="362">
        <f>VLOOKUP(B3805,'[8]Thong tin'!$A:$M,13,0)</f>
        <v>1200</v>
      </c>
      <c r="V3803" s="361"/>
      <c r="W3803" s="361"/>
    </row>
    <row r="3804" spans="1:23">
      <c r="A3804" s="1402"/>
      <c r="B3804" s="1402"/>
      <c r="C3804" s="1201"/>
      <c r="D3804" s="873"/>
      <c r="E3804" s="1402"/>
      <c r="F3804" s="1402"/>
      <c r="G3804" s="1402"/>
      <c r="H3804" s="1402"/>
      <c r="I3804" s="1402"/>
      <c r="J3804" s="1402"/>
      <c r="K3804" s="1402"/>
      <c r="L3804" s="1402"/>
      <c r="M3804" s="1402"/>
      <c r="N3804" s="1402"/>
      <c r="O3804" s="1402"/>
      <c r="P3804" s="1402"/>
      <c r="Q3804" s="1402"/>
      <c r="R3804" s="1402"/>
      <c r="S3804" s="361"/>
      <c r="T3804" s="1399" t="s">
        <v>393</v>
      </c>
      <c r="U3804" s="1397">
        <f>VLOOKUP(B3805,[8]DT.NK!$B:$AZ,45,0)</f>
        <v>34.049999999999997</v>
      </c>
      <c r="V3804" s="361"/>
      <c r="W3804" s="361"/>
    </row>
    <row r="3805" spans="1:23" ht="18.75" customHeight="1">
      <c r="A3805" s="1409">
        <f>A3785+1</f>
        <v>191</v>
      </c>
      <c r="B3805" s="1412" t="s">
        <v>560</v>
      </c>
      <c r="C3805" s="1205" t="s">
        <v>983</v>
      </c>
      <c r="D3805" s="874" t="str">
        <f>B3805&amp;C3805</f>
        <v>A105a</v>
      </c>
      <c r="E3805" s="363"/>
      <c r="F3805" s="364"/>
      <c r="G3805" s="364"/>
      <c r="H3805" s="364"/>
      <c r="I3805" s="364"/>
      <c r="J3805" s="364"/>
      <c r="K3805" s="364"/>
      <c r="L3805" s="364"/>
      <c r="M3805" s="674"/>
      <c r="N3805" s="670"/>
      <c r="O3805" s="670">
        <f>U3804</f>
        <v>34.049999999999997</v>
      </c>
      <c r="P3805" s="670">
        <f>O3805</f>
        <v>34.049999999999997</v>
      </c>
      <c r="Q3805" s="670">
        <v>0</v>
      </c>
      <c r="R3805" s="365"/>
      <c r="S3805" s="366"/>
      <c r="T3805" s="1399"/>
      <c r="U3805" s="1398"/>
      <c r="V3805" s="361"/>
      <c r="W3805" s="361"/>
    </row>
    <row r="3806" spans="1:23" ht="18.75" customHeight="1">
      <c r="A3806" s="1410"/>
      <c r="B3806" s="1413"/>
      <c r="C3806" s="1206" t="s">
        <v>984</v>
      </c>
      <c r="D3806" s="875" t="str">
        <f>B3805&amp;C3806</f>
        <v>A105b</v>
      </c>
      <c r="E3806" s="367">
        <v>1</v>
      </c>
      <c r="F3806" s="669" t="s">
        <v>1160</v>
      </c>
      <c r="G3806" s="369">
        <v>0.3659722222222222</v>
      </c>
      <c r="H3806" s="368">
        <v>0.39583333333333331</v>
      </c>
      <c r="I3806" s="368">
        <v>0.40625</v>
      </c>
      <c r="J3806" s="368">
        <v>0.40972222222222227</v>
      </c>
      <c r="K3806" s="669">
        <v>12</v>
      </c>
      <c r="L3806" s="669">
        <v>19</v>
      </c>
      <c r="M3806" s="675">
        <v>29.35</v>
      </c>
      <c r="N3806" s="671">
        <f>IF(M3806-P3806&gt;0,M3806-P3806,0)</f>
        <v>3.3100000000000023</v>
      </c>
      <c r="O3806" s="671">
        <f>O3805-K3806/(PI()*(U3803/2000)^2)</f>
        <v>23.439670460540306</v>
      </c>
      <c r="P3806" s="672">
        <v>26.04</v>
      </c>
      <c r="Q3806" s="673">
        <f>ABS(O3806-P3806)</f>
        <v>2.6003295394596933</v>
      </c>
      <c r="R3806" s="375" t="s">
        <v>188</v>
      </c>
      <c r="S3806" s="366"/>
      <c r="T3806" s="376"/>
      <c r="U3806" s="376"/>
      <c r="V3806" s="366"/>
      <c r="W3806" s="366"/>
    </row>
    <row r="3807" spans="1:23" ht="18.75" customHeight="1">
      <c r="A3807" s="1410"/>
      <c r="B3807" s="1413"/>
      <c r="C3807" s="1206" t="s">
        <v>985</v>
      </c>
      <c r="D3807" s="875" t="str">
        <f>B3805&amp;C3807</f>
        <v>A105c</v>
      </c>
      <c r="E3807" s="367">
        <v>2</v>
      </c>
      <c r="F3807" s="669" t="s">
        <v>1182</v>
      </c>
      <c r="G3807" s="368">
        <v>0.37847222222222227</v>
      </c>
      <c r="H3807" s="368">
        <v>0.40277777777777773</v>
      </c>
      <c r="I3807" s="368">
        <v>0.41666666666666669</v>
      </c>
      <c r="J3807" s="368">
        <v>0.4201388888888889</v>
      </c>
      <c r="K3807" s="370">
        <v>12</v>
      </c>
      <c r="L3807" s="370">
        <v>19.5</v>
      </c>
      <c r="M3807" s="371">
        <v>23.05</v>
      </c>
      <c r="N3807" s="671">
        <f t="shared" ref="N3807" si="464">IF(M3807-P3807&gt;0,M3807-P3807,0)</f>
        <v>4.93</v>
      </c>
      <c r="O3807" s="671">
        <f>O3806-K3807/(PI()*(U3803/2000)^2)</f>
        <v>12.829340921080616</v>
      </c>
      <c r="P3807" s="373">
        <v>18.12</v>
      </c>
      <c r="Q3807" s="673">
        <f t="shared" ref="Q3807" si="465">ABS(O3807-P3807)</f>
        <v>5.2906590789193846</v>
      </c>
      <c r="R3807" s="958" t="s">
        <v>188</v>
      </c>
      <c r="S3807" s="366"/>
      <c r="T3807" s="376"/>
      <c r="U3807" s="376"/>
      <c r="V3807" s="366"/>
      <c r="W3807" s="366"/>
    </row>
    <row r="3808" spans="1:23" ht="18.75" customHeight="1">
      <c r="A3808" s="1410"/>
      <c r="B3808" s="1413"/>
      <c r="C3808" s="1206" t="s">
        <v>986</v>
      </c>
      <c r="D3808" s="875" t="str">
        <f>B3805&amp;C3808</f>
        <v>A105d</v>
      </c>
      <c r="E3808" s="367">
        <v>3</v>
      </c>
      <c r="F3808" s="669" t="s">
        <v>1181</v>
      </c>
      <c r="G3808" s="368">
        <v>0.39583333333333331</v>
      </c>
      <c r="H3808" s="368">
        <v>0.40972222222222227</v>
      </c>
      <c r="I3808" s="368">
        <v>0.4236111111111111</v>
      </c>
      <c r="J3808" s="368">
        <v>0.42708333333333331</v>
      </c>
      <c r="K3808" s="370">
        <v>12</v>
      </c>
      <c r="L3808" s="370">
        <v>19</v>
      </c>
      <c r="M3808" s="371">
        <v>10.45</v>
      </c>
      <c r="N3808" s="671"/>
      <c r="O3808" s="671"/>
      <c r="P3808" s="373">
        <v>7.8</v>
      </c>
      <c r="Q3808" s="673"/>
      <c r="R3808" s="958" t="s">
        <v>188</v>
      </c>
      <c r="S3808" s="366"/>
      <c r="T3808" s="376"/>
      <c r="U3808" s="376"/>
      <c r="V3808" s="366"/>
      <c r="W3808" s="366"/>
    </row>
    <row r="3809" spans="1:23" ht="18.75" customHeight="1">
      <c r="A3809" s="1410"/>
      <c r="B3809" s="1413"/>
      <c r="C3809" s="1206" t="s">
        <v>987</v>
      </c>
      <c r="D3809" s="875" t="str">
        <f>B3805&amp;C3809</f>
        <v>A105e</v>
      </c>
      <c r="E3809" s="367">
        <v>4</v>
      </c>
      <c r="F3809" s="669" t="s">
        <v>1182</v>
      </c>
      <c r="G3809" s="368">
        <v>0.46875</v>
      </c>
      <c r="H3809" s="368">
        <v>0.47222222222222227</v>
      </c>
      <c r="I3809" s="368">
        <v>0.47569444444444442</v>
      </c>
      <c r="J3809" s="368">
        <v>0.47916666666666669</v>
      </c>
      <c r="K3809" s="370">
        <v>2</v>
      </c>
      <c r="L3809" s="370">
        <v>20</v>
      </c>
      <c r="M3809" s="371"/>
      <c r="N3809" s="671"/>
      <c r="O3809" s="671"/>
      <c r="P3809" s="373">
        <v>6.1</v>
      </c>
      <c r="Q3809" s="673"/>
      <c r="R3809" s="958"/>
      <c r="S3809" s="366"/>
      <c r="T3809" s="376"/>
      <c r="U3809" s="376"/>
      <c r="V3809" s="366"/>
      <c r="W3809" s="366"/>
    </row>
    <row r="3810" spans="1:23" ht="18.75" customHeight="1">
      <c r="A3810" s="1410"/>
      <c r="B3810" s="1413"/>
      <c r="C3810" s="1206" t="s">
        <v>988</v>
      </c>
      <c r="D3810" s="875" t="str">
        <f>B3805&amp;C3810</f>
        <v>A105f</v>
      </c>
      <c r="E3810" s="367">
        <v>5</v>
      </c>
      <c r="F3810" s="370"/>
      <c r="G3810" s="368"/>
      <c r="H3810" s="368"/>
      <c r="I3810" s="368"/>
      <c r="J3810" s="368"/>
      <c r="K3810" s="370"/>
      <c r="L3810" s="370"/>
      <c r="M3810" s="371"/>
      <c r="N3810" s="671"/>
      <c r="O3810" s="671"/>
      <c r="P3810" s="373"/>
      <c r="Q3810" s="673"/>
      <c r="R3810" s="958"/>
      <c r="S3810" s="366" t="s">
        <v>190</v>
      </c>
      <c r="T3810" s="376"/>
      <c r="U3810" s="376"/>
      <c r="V3810" s="366"/>
      <c r="W3810" s="366"/>
    </row>
    <row r="3811" spans="1:23" ht="18.75" customHeight="1">
      <c r="A3811" s="1410"/>
      <c r="B3811" s="1413"/>
      <c r="C3811" s="1206" t="s">
        <v>989</v>
      </c>
      <c r="D3811" s="875" t="str">
        <f>B3805&amp;C3811</f>
        <v>A105g</v>
      </c>
      <c r="E3811" s="367">
        <v>6</v>
      </c>
      <c r="F3811" s="370"/>
      <c r="G3811" s="368"/>
      <c r="H3811" s="368"/>
      <c r="I3811" s="368"/>
      <c r="J3811" s="368"/>
      <c r="K3811" s="370"/>
      <c r="L3811" s="370"/>
      <c r="M3811" s="371"/>
      <c r="N3811" s="671"/>
      <c r="O3811" s="671"/>
      <c r="P3811" s="373"/>
      <c r="Q3811" s="673"/>
      <c r="R3811" s="958"/>
      <c r="S3811" s="366" t="s">
        <v>190</v>
      </c>
      <c r="T3811" s="366"/>
      <c r="U3811" s="366"/>
      <c r="V3811" s="366"/>
      <c r="W3811" s="366"/>
    </row>
    <row r="3812" spans="1:23" ht="18.75" customHeight="1">
      <c r="A3812" s="1410"/>
      <c r="B3812" s="1413"/>
      <c r="C3812" s="1206" t="s">
        <v>990</v>
      </c>
      <c r="D3812" s="875" t="str">
        <f>B3805&amp;C3812</f>
        <v>A105h</v>
      </c>
      <c r="E3812" s="367">
        <v>7</v>
      </c>
      <c r="F3812" s="370"/>
      <c r="G3812" s="368"/>
      <c r="H3812" s="368"/>
      <c r="I3812" s="368"/>
      <c r="J3812" s="368"/>
      <c r="K3812" s="370"/>
      <c r="L3812" s="370"/>
      <c r="M3812" s="371"/>
      <c r="N3812" s="671"/>
      <c r="O3812" s="671"/>
      <c r="P3812" s="373"/>
      <c r="Q3812" s="673"/>
      <c r="R3812" s="958"/>
      <c r="S3812" s="366" t="s">
        <v>190</v>
      </c>
      <c r="T3812" s="366"/>
      <c r="U3812" s="366"/>
      <c r="V3812" s="366"/>
      <c r="W3812" s="366"/>
    </row>
    <row r="3813" spans="1:23" ht="18.75" customHeight="1">
      <c r="A3813" s="1410"/>
      <c r="B3813" s="1413"/>
      <c r="C3813" s="1206" t="s">
        <v>991</v>
      </c>
      <c r="D3813" s="875" t="str">
        <f>B3805&amp;C3813</f>
        <v>A105i</v>
      </c>
      <c r="E3813" s="367">
        <v>8</v>
      </c>
      <c r="F3813" s="370"/>
      <c r="G3813" s="368"/>
      <c r="H3813" s="368"/>
      <c r="I3813" s="368"/>
      <c r="J3813" s="368"/>
      <c r="K3813" s="370"/>
      <c r="L3813" s="370"/>
      <c r="M3813" s="371"/>
      <c r="N3813" s="671"/>
      <c r="O3813" s="671"/>
      <c r="P3813" s="373"/>
      <c r="Q3813" s="673"/>
      <c r="R3813" s="958"/>
      <c r="S3813" s="366"/>
      <c r="T3813" s="366"/>
      <c r="U3813" s="366"/>
      <c r="V3813" s="366"/>
      <c r="W3813" s="366"/>
    </row>
    <row r="3814" spans="1:23" ht="18.75" customHeight="1">
      <c r="A3814" s="1410"/>
      <c r="B3814" s="1413"/>
      <c r="C3814" s="1206" t="s">
        <v>992</v>
      </c>
      <c r="D3814" s="875" t="str">
        <f>B3805&amp;C3814</f>
        <v>A105k</v>
      </c>
      <c r="E3814" s="367">
        <v>9</v>
      </c>
      <c r="F3814" s="370"/>
      <c r="G3814" s="368"/>
      <c r="H3814" s="368"/>
      <c r="I3814" s="368"/>
      <c r="J3814" s="368"/>
      <c r="K3814" s="370"/>
      <c r="L3814" s="370"/>
      <c r="M3814" s="371"/>
      <c r="N3814" s="372"/>
      <c r="O3814" s="372"/>
      <c r="P3814" s="373"/>
      <c r="Q3814" s="374"/>
      <c r="R3814" s="378"/>
      <c r="S3814" s="379"/>
      <c r="T3814" s="366"/>
      <c r="U3814" s="366"/>
      <c r="V3814" s="366"/>
      <c r="W3814" s="366"/>
    </row>
    <row r="3815" spans="1:23" ht="18.75" customHeight="1">
      <c r="A3815" s="1410"/>
      <c r="B3815" s="1413"/>
      <c r="C3815" s="1206" t="s">
        <v>993</v>
      </c>
      <c r="D3815" s="875" t="str">
        <f>B3805&amp;C3815</f>
        <v>A105l</v>
      </c>
      <c r="E3815" s="367">
        <v>10</v>
      </c>
      <c r="F3815" s="370"/>
      <c r="G3815" s="368"/>
      <c r="H3815" s="368"/>
      <c r="I3815" s="368"/>
      <c r="J3815" s="368"/>
      <c r="K3815" s="370"/>
      <c r="L3815" s="370"/>
      <c r="M3815" s="370"/>
      <c r="N3815" s="372"/>
      <c r="O3815" s="372"/>
      <c r="P3815" s="373"/>
      <c r="Q3815" s="374"/>
      <c r="R3815" s="378"/>
      <c r="S3815" s="379"/>
      <c r="T3815" s="366"/>
      <c r="U3815" s="366"/>
      <c r="V3815" s="366"/>
      <c r="W3815" s="366"/>
    </row>
    <row r="3816" spans="1:23" ht="18.75" customHeight="1">
      <c r="A3816" s="1410"/>
      <c r="B3816" s="1413"/>
      <c r="C3816" s="1206" t="s">
        <v>994</v>
      </c>
      <c r="D3816" s="875" t="str">
        <f>B3805&amp;C3816</f>
        <v>A105m</v>
      </c>
      <c r="E3816" s="367">
        <v>11</v>
      </c>
      <c r="F3816" s="370"/>
      <c r="G3816" s="368"/>
      <c r="H3816" s="368"/>
      <c r="I3816" s="368"/>
      <c r="J3816" s="368"/>
      <c r="K3816" s="370"/>
      <c r="L3816" s="370"/>
      <c r="M3816" s="370"/>
      <c r="N3816" s="372"/>
      <c r="O3816" s="372"/>
      <c r="P3816" s="380"/>
      <c r="Q3816" s="374"/>
      <c r="R3816" s="381"/>
      <c r="S3816" s="379"/>
      <c r="T3816" s="366"/>
      <c r="U3816" s="366"/>
      <c r="V3816" s="366"/>
      <c r="W3816" s="366"/>
    </row>
    <row r="3817" spans="1:23" ht="18.75" customHeight="1">
      <c r="A3817" s="1410"/>
      <c r="B3817" s="1413"/>
      <c r="C3817" s="1206" t="s">
        <v>995</v>
      </c>
      <c r="D3817" s="875" t="str">
        <f>B3805&amp;C3817</f>
        <v>A105n</v>
      </c>
      <c r="E3817" s="367">
        <v>12</v>
      </c>
      <c r="F3817" s="370"/>
      <c r="G3817" s="368"/>
      <c r="H3817" s="368"/>
      <c r="I3817" s="368"/>
      <c r="J3817" s="368"/>
      <c r="K3817" s="370"/>
      <c r="L3817" s="370"/>
      <c r="M3817" s="370"/>
      <c r="N3817" s="372"/>
      <c r="O3817" s="372"/>
      <c r="P3817" s="380"/>
      <c r="Q3817" s="374"/>
      <c r="R3817" s="381"/>
      <c r="S3817" s="361"/>
      <c r="T3817" s="361"/>
      <c r="U3817" s="361"/>
      <c r="V3817" s="366"/>
      <c r="W3817" s="366"/>
    </row>
    <row r="3818" spans="1:23" ht="18.75" customHeight="1">
      <c r="A3818" s="1410"/>
      <c r="B3818" s="1413"/>
      <c r="C3818" s="1206" t="s">
        <v>471</v>
      </c>
      <c r="D3818" s="875" t="str">
        <f>B3805&amp;C3818</f>
        <v>A105x</v>
      </c>
      <c r="E3818" s="367">
        <v>13</v>
      </c>
      <c r="F3818" s="370"/>
      <c r="G3818" s="368"/>
      <c r="H3818" s="368"/>
      <c r="I3818" s="368"/>
      <c r="J3818" s="368"/>
      <c r="K3818" s="370"/>
      <c r="L3818" s="370"/>
      <c r="M3818" s="370"/>
      <c r="N3818" s="382"/>
      <c r="O3818" s="372"/>
      <c r="P3818" s="380"/>
      <c r="Q3818" s="381"/>
      <c r="R3818" s="381"/>
      <c r="S3818" s="361"/>
      <c r="T3818" s="361"/>
      <c r="U3818" s="361"/>
      <c r="V3818" s="366"/>
      <c r="W3818" s="366"/>
    </row>
    <row r="3819" spans="1:23" ht="18.75" customHeight="1">
      <c r="A3819" s="1410"/>
      <c r="B3819" s="1413"/>
      <c r="C3819" s="1206" t="s">
        <v>732</v>
      </c>
      <c r="D3819" s="875" t="str">
        <f>B3805&amp;C3819</f>
        <v>A105y</v>
      </c>
      <c r="E3819" s="367">
        <v>14</v>
      </c>
      <c r="F3819" s="370"/>
      <c r="G3819" s="368"/>
      <c r="H3819" s="368"/>
      <c r="I3819" s="368"/>
      <c r="J3819" s="368"/>
      <c r="K3819" s="370"/>
      <c r="L3819" s="370"/>
      <c r="M3819" s="370"/>
      <c r="N3819" s="382"/>
      <c r="O3819" s="372"/>
      <c r="P3819" s="380"/>
      <c r="Q3819" s="381"/>
      <c r="R3819" s="381"/>
      <c r="S3819" s="361"/>
      <c r="T3819" s="361"/>
      <c r="U3819" s="362"/>
      <c r="V3819" s="366"/>
      <c r="W3819" s="366"/>
    </row>
    <row r="3820" spans="1:23" ht="18.75" customHeight="1">
      <c r="A3820" s="1411"/>
      <c r="B3820" s="1414"/>
      <c r="C3820" s="1207" t="s">
        <v>996</v>
      </c>
      <c r="D3820" s="876" t="str">
        <f>B3805&amp;C3820</f>
        <v>A105z</v>
      </c>
      <c r="E3820" s="847">
        <v>15</v>
      </c>
      <c r="F3820" s="370"/>
      <c r="G3820" s="368"/>
      <c r="H3820" s="368"/>
      <c r="I3820" s="368"/>
      <c r="J3820" s="368"/>
      <c r="K3820" s="370"/>
      <c r="L3820" s="370"/>
      <c r="M3820" s="370"/>
      <c r="N3820" s="850"/>
      <c r="O3820" s="851"/>
      <c r="P3820" s="380"/>
      <c r="Q3820" s="852"/>
      <c r="R3820" s="383"/>
      <c r="S3820" s="361"/>
      <c r="T3820" s="1204"/>
      <c r="U3820" s="1203"/>
      <c r="V3820" s="366"/>
      <c r="W3820" s="366"/>
    </row>
    <row r="3821" spans="1:23">
      <c r="A3821" s="1400" t="s">
        <v>939</v>
      </c>
      <c r="B3821" s="1400"/>
      <c r="C3821" s="1200"/>
      <c r="D3821" s="871"/>
      <c r="E3821" s="1400" t="s">
        <v>177</v>
      </c>
      <c r="F3821" s="1400" t="s">
        <v>18</v>
      </c>
      <c r="G3821" s="1389" t="s">
        <v>19</v>
      </c>
      <c r="H3821" s="1390"/>
      <c r="I3821" s="1389" t="s">
        <v>22</v>
      </c>
      <c r="J3821" s="1390"/>
      <c r="K3821" s="1393" t="s">
        <v>26</v>
      </c>
      <c r="L3821" s="1390"/>
      <c r="M3821" s="1389" t="s">
        <v>392</v>
      </c>
      <c r="N3821" s="1390"/>
      <c r="O3821" s="1389" t="s">
        <v>28</v>
      </c>
      <c r="P3821" s="1393"/>
      <c r="Q3821" s="1390"/>
      <c r="R3821" s="1400" t="s">
        <v>36</v>
      </c>
      <c r="S3821" s="361"/>
      <c r="T3821" s="361">
        <f>MAX(J3825:J3839)-MIN(I3825:I3839)</f>
        <v>9.375E-2</v>
      </c>
      <c r="U3821" s="361"/>
      <c r="V3821" s="853" t="str">
        <f t="shared" ref="V3821" si="466">B3825</f>
        <v>A115</v>
      </c>
      <c r="W3821" s="361">
        <f t="shared" ref="W3821" si="467">COUNTIF(K3826:K3840,"&gt;0")</f>
        <v>6</v>
      </c>
    </row>
    <row r="3822" spans="1:23">
      <c r="A3822" s="1401"/>
      <c r="B3822" s="1401"/>
      <c r="C3822" s="1202"/>
      <c r="D3822" s="872"/>
      <c r="E3822" s="1401"/>
      <c r="F3822" s="1401"/>
      <c r="G3822" s="1391"/>
      <c r="H3822" s="1392"/>
      <c r="I3822" s="1391"/>
      <c r="J3822" s="1392"/>
      <c r="K3822" s="1394"/>
      <c r="L3822" s="1392"/>
      <c r="M3822" s="1391"/>
      <c r="N3822" s="1392"/>
      <c r="O3822" s="1391"/>
      <c r="P3822" s="1394"/>
      <c r="Q3822" s="1392"/>
      <c r="R3822" s="1401"/>
      <c r="S3822" s="361"/>
      <c r="T3822" s="361"/>
      <c r="U3822" s="361"/>
      <c r="V3822" s="361"/>
      <c r="W3822" s="361"/>
    </row>
    <row r="3823" spans="1:23">
      <c r="A3823" s="1401"/>
      <c r="B3823" s="1401"/>
      <c r="C3823" s="1202"/>
      <c r="D3823" s="872"/>
      <c r="E3823" s="1401"/>
      <c r="F3823" s="1401"/>
      <c r="G3823" s="1400" t="s">
        <v>20</v>
      </c>
      <c r="H3823" s="1400" t="s">
        <v>21</v>
      </c>
      <c r="I3823" s="1400" t="s">
        <v>361</v>
      </c>
      <c r="J3823" s="1400" t="s">
        <v>353</v>
      </c>
      <c r="K3823" s="1400" t="s">
        <v>23</v>
      </c>
      <c r="L3823" s="1400" t="s">
        <v>24</v>
      </c>
      <c r="M3823" s="1400" t="s">
        <v>27</v>
      </c>
      <c r="N3823" s="1400" t="s">
        <v>178</v>
      </c>
      <c r="O3823" s="1400" t="s">
        <v>1</v>
      </c>
      <c r="P3823" s="1400" t="s">
        <v>29</v>
      </c>
      <c r="Q3823" s="1400" t="s">
        <v>33</v>
      </c>
      <c r="R3823" s="1401"/>
      <c r="S3823" s="361"/>
      <c r="T3823" s="361" t="s">
        <v>39</v>
      </c>
      <c r="U3823" s="362">
        <f>VLOOKUP(B3825,'[8]Thong tin'!$A:$M,13,0)</f>
        <v>1200</v>
      </c>
      <c r="V3823" s="361"/>
      <c r="W3823" s="361"/>
    </row>
    <row r="3824" spans="1:23">
      <c r="A3824" s="1402"/>
      <c r="B3824" s="1402"/>
      <c r="C3824" s="1201"/>
      <c r="D3824" s="873"/>
      <c r="E3824" s="1402"/>
      <c r="F3824" s="1402"/>
      <c r="G3824" s="1402"/>
      <c r="H3824" s="1402"/>
      <c r="I3824" s="1402"/>
      <c r="J3824" s="1402"/>
      <c r="K3824" s="1402"/>
      <c r="L3824" s="1402"/>
      <c r="M3824" s="1402"/>
      <c r="N3824" s="1402"/>
      <c r="O3824" s="1402"/>
      <c r="P3824" s="1402"/>
      <c r="Q3824" s="1402"/>
      <c r="R3824" s="1402"/>
      <c r="S3824" s="361"/>
      <c r="T3824" s="1399" t="s">
        <v>393</v>
      </c>
      <c r="U3824" s="1397">
        <f>VLOOKUP(B3825,[8]DT.NK!$B:$AZ,45,0)</f>
        <v>44.61</v>
      </c>
      <c r="V3824" s="361"/>
      <c r="W3824" s="361"/>
    </row>
    <row r="3825" spans="1:23" ht="18.75" customHeight="1">
      <c r="A3825" s="1409">
        <f>A3805+1</f>
        <v>192</v>
      </c>
      <c r="B3825" s="1412" t="s">
        <v>610</v>
      </c>
      <c r="C3825" s="1205" t="s">
        <v>983</v>
      </c>
      <c r="D3825" s="874" t="str">
        <f>B3825&amp;C3825</f>
        <v>A115a</v>
      </c>
      <c r="E3825" s="363"/>
      <c r="F3825" s="364"/>
      <c r="G3825" s="364"/>
      <c r="H3825" s="364"/>
      <c r="I3825" s="364"/>
      <c r="J3825" s="364"/>
      <c r="K3825" s="364"/>
      <c r="L3825" s="364"/>
      <c r="M3825" s="674"/>
      <c r="N3825" s="670"/>
      <c r="O3825" s="670">
        <f>U3824</f>
        <v>44.61</v>
      </c>
      <c r="P3825" s="670">
        <f>O3825</f>
        <v>44.61</v>
      </c>
      <c r="Q3825" s="670">
        <v>0</v>
      </c>
      <c r="R3825" s="365"/>
      <c r="S3825" s="366"/>
      <c r="T3825" s="1399"/>
      <c r="U3825" s="1398"/>
      <c r="V3825" s="361"/>
      <c r="W3825" s="361"/>
    </row>
    <row r="3826" spans="1:23" ht="18.75" customHeight="1">
      <c r="A3826" s="1410"/>
      <c r="B3826" s="1413"/>
      <c r="C3826" s="1206" t="s">
        <v>984</v>
      </c>
      <c r="D3826" s="875" t="str">
        <f>B3825&amp;C3826</f>
        <v>A115b</v>
      </c>
      <c r="E3826" s="367">
        <v>1</v>
      </c>
      <c r="F3826" s="669" t="s">
        <v>1160</v>
      </c>
      <c r="G3826" s="369">
        <v>0.19444444444444445</v>
      </c>
      <c r="H3826" s="368">
        <v>0.23958333333333334</v>
      </c>
      <c r="I3826" s="368">
        <v>0.25</v>
      </c>
      <c r="J3826" s="368">
        <v>0.25347222222222221</v>
      </c>
      <c r="K3826" s="669">
        <v>11</v>
      </c>
      <c r="L3826" s="669">
        <v>19</v>
      </c>
      <c r="M3826" s="675">
        <v>42.6</v>
      </c>
      <c r="N3826" s="671">
        <f>IF(M3826-P3826&gt;0,M3826-P3826,0)</f>
        <v>2.9400000000000048</v>
      </c>
      <c r="O3826" s="671">
        <f>O3825-K3826/(PI()*(U3823/2000)^2)</f>
        <v>34.883864588828615</v>
      </c>
      <c r="P3826" s="672">
        <v>39.659999999999997</v>
      </c>
      <c r="Q3826" s="673">
        <f>ABS(O3826-P3826)</f>
        <v>4.7761354111713814</v>
      </c>
      <c r="R3826" s="375" t="s">
        <v>188</v>
      </c>
      <c r="S3826" s="366"/>
      <c r="T3826" s="376"/>
      <c r="U3826" s="376"/>
      <c r="V3826" s="366"/>
      <c r="W3826" s="366"/>
    </row>
    <row r="3827" spans="1:23" ht="18.75" customHeight="1">
      <c r="A3827" s="1410"/>
      <c r="B3827" s="1413"/>
      <c r="C3827" s="1206" t="s">
        <v>985</v>
      </c>
      <c r="D3827" s="875" t="str">
        <f>B3825&amp;C3827</f>
        <v>A115c</v>
      </c>
      <c r="E3827" s="367">
        <v>2</v>
      </c>
      <c r="F3827" s="669" t="s">
        <v>1182</v>
      </c>
      <c r="G3827" s="368">
        <v>0.20486111111111113</v>
      </c>
      <c r="H3827" s="368">
        <v>0.24652777777777779</v>
      </c>
      <c r="I3827" s="368">
        <v>0.25694444444444448</v>
      </c>
      <c r="J3827" s="368">
        <v>0.26041666666666669</v>
      </c>
      <c r="K3827" s="370">
        <v>11</v>
      </c>
      <c r="L3827" s="370">
        <v>19</v>
      </c>
      <c r="M3827" s="371">
        <v>33.15</v>
      </c>
      <c r="N3827" s="671">
        <f t="shared" ref="N3827" si="468">IF(M3827-P3827&gt;0,M3827-P3827,0)</f>
        <v>2.2199999999999989</v>
      </c>
      <c r="O3827" s="671">
        <f>O3826-K3827/(PI()*(U3823/2000)^2)</f>
        <v>25.157729177657231</v>
      </c>
      <c r="P3827" s="373">
        <v>30.93</v>
      </c>
      <c r="Q3827" s="673">
        <f t="shared" ref="Q3827" si="469">ABS(O3827-P3827)</f>
        <v>5.7722708223427688</v>
      </c>
      <c r="R3827" s="958" t="s">
        <v>188</v>
      </c>
      <c r="S3827" s="366"/>
      <c r="T3827" s="376"/>
      <c r="U3827" s="376"/>
      <c r="V3827" s="366"/>
      <c r="W3827" s="366"/>
    </row>
    <row r="3828" spans="1:23" ht="18.75" customHeight="1">
      <c r="A3828" s="1410"/>
      <c r="B3828" s="1413"/>
      <c r="C3828" s="1206" t="s">
        <v>986</v>
      </c>
      <c r="D3828" s="875" t="str">
        <f>B3825&amp;C3828</f>
        <v>A115d</v>
      </c>
      <c r="E3828" s="367">
        <v>3</v>
      </c>
      <c r="F3828" s="669" t="s">
        <v>1181</v>
      </c>
      <c r="G3828" s="368">
        <v>0.21875</v>
      </c>
      <c r="H3828" s="368">
        <v>0.26041666666666669</v>
      </c>
      <c r="I3828" s="368">
        <v>0.2673611111111111</v>
      </c>
      <c r="J3828" s="368">
        <v>0.27083333333333331</v>
      </c>
      <c r="K3828" s="370">
        <v>11</v>
      </c>
      <c r="L3828" s="370">
        <v>19.5</v>
      </c>
      <c r="M3828" s="371">
        <v>26.85</v>
      </c>
      <c r="N3828" s="671"/>
      <c r="O3828" s="671"/>
      <c r="P3828" s="373">
        <v>24.2</v>
      </c>
      <c r="Q3828" s="673"/>
      <c r="R3828" s="958" t="s">
        <v>188</v>
      </c>
      <c r="S3828" s="366"/>
      <c r="T3828" s="376"/>
      <c r="U3828" s="376"/>
      <c r="V3828" s="366"/>
      <c r="W3828" s="366"/>
    </row>
    <row r="3829" spans="1:23" ht="18.75" customHeight="1">
      <c r="A3829" s="1410"/>
      <c r="B3829" s="1413"/>
      <c r="C3829" s="1206" t="s">
        <v>987</v>
      </c>
      <c r="D3829" s="875" t="str">
        <f>B3825&amp;C3829</f>
        <v>A115e</v>
      </c>
      <c r="E3829" s="367">
        <v>4</v>
      </c>
      <c r="F3829" s="669" t="s">
        <v>1160</v>
      </c>
      <c r="G3829" s="368">
        <v>0.22916666666666666</v>
      </c>
      <c r="H3829" s="368">
        <v>0.2673611111111111</v>
      </c>
      <c r="I3829" s="368">
        <v>0.27777777777777779</v>
      </c>
      <c r="J3829" s="368">
        <v>0.28125</v>
      </c>
      <c r="K3829" s="370">
        <v>11</v>
      </c>
      <c r="L3829" s="370">
        <v>18.5</v>
      </c>
      <c r="M3829" s="371">
        <v>20.55</v>
      </c>
      <c r="N3829" s="671"/>
      <c r="O3829" s="671"/>
      <c r="P3829" s="373">
        <v>15.57</v>
      </c>
      <c r="Q3829" s="673"/>
      <c r="R3829" s="958"/>
      <c r="S3829" s="366"/>
      <c r="T3829" s="376"/>
      <c r="U3829" s="376"/>
      <c r="V3829" s="366"/>
      <c r="W3829" s="366"/>
    </row>
    <row r="3830" spans="1:23" ht="18.75" customHeight="1">
      <c r="A3830" s="1410"/>
      <c r="B3830" s="1413"/>
      <c r="C3830" s="1206" t="s">
        <v>988</v>
      </c>
      <c r="D3830" s="875" t="str">
        <f>B3825&amp;C3830</f>
        <v>A115f</v>
      </c>
      <c r="E3830" s="367">
        <v>5</v>
      </c>
      <c r="F3830" s="669" t="s">
        <v>1181</v>
      </c>
      <c r="G3830" s="368">
        <v>0.23958333333333334</v>
      </c>
      <c r="H3830" s="368">
        <v>0.27777777777777779</v>
      </c>
      <c r="I3830" s="368">
        <v>0.28819444444444448</v>
      </c>
      <c r="J3830" s="368">
        <v>0.29166666666666669</v>
      </c>
      <c r="K3830" s="370">
        <v>9</v>
      </c>
      <c r="L3830" s="370">
        <v>18</v>
      </c>
      <c r="M3830" s="371">
        <v>11.1</v>
      </c>
      <c r="N3830" s="671"/>
      <c r="O3830" s="671"/>
      <c r="P3830" s="373">
        <v>8.01</v>
      </c>
      <c r="Q3830" s="673"/>
      <c r="R3830" s="958"/>
      <c r="S3830" s="366" t="s">
        <v>190</v>
      </c>
      <c r="T3830" s="376"/>
      <c r="U3830" s="376"/>
      <c r="V3830" s="366"/>
      <c r="W3830" s="366"/>
    </row>
    <row r="3831" spans="1:23" ht="18.75" customHeight="1">
      <c r="A3831" s="1410"/>
      <c r="B3831" s="1413"/>
      <c r="C3831" s="1206" t="s">
        <v>989</v>
      </c>
      <c r="D3831" s="875" t="str">
        <f>B3825&amp;C3831</f>
        <v>A115g</v>
      </c>
      <c r="E3831" s="367">
        <v>6</v>
      </c>
      <c r="F3831" s="669" t="s">
        <v>1160</v>
      </c>
      <c r="G3831" s="368">
        <v>0.3125</v>
      </c>
      <c r="H3831" s="368">
        <v>0.34027777777777773</v>
      </c>
      <c r="I3831" s="368">
        <v>0.34166666666666662</v>
      </c>
      <c r="J3831" s="368">
        <v>0.34375</v>
      </c>
      <c r="K3831" s="370">
        <v>2</v>
      </c>
      <c r="L3831" s="370">
        <v>19</v>
      </c>
      <c r="M3831" s="371"/>
      <c r="N3831" s="671"/>
      <c r="O3831" s="671"/>
      <c r="P3831" s="373">
        <v>6.3</v>
      </c>
      <c r="Q3831" s="673"/>
      <c r="R3831" s="958"/>
      <c r="S3831" s="366" t="s">
        <v>190</v>
      </c>
      <c r="T3831" s="366"/>
      <c r="U3831" s="366"/>
      <c r="V3831" s="366"/>
      <c r="W3831" s="366"/>
    </row>
    <row r="3832" spans="1:23" ht="18.75" customHeight="1">
      <c r="A3832" s="1410"/>
      <c r="B3832" s="1413"/>
      <c r="C3832" s="1206" t="s">
        <v>990</v>
      </c>
      <c r="D3832" s="875" t="str">
        <f>B3825&amp;C3832</f>
        <v>A115h</v>
      </c>
      <c r="E3832" s="367">
        <v>7</v>
      </c>
      <c r="F3832" s="370"/>
      <c r="G3832" s="368"/>
      <c r="H3832" s="368"/>
      <c r="I3832" s="368"/>
      <c r="J3832" s="368"/>
      <c r="K3832" s="370"/>
      <c r="L3832" s="370"/>
      <c r="M3832" s="371"/>
      <c r="N3832" s="671"/>
      <c r="O3832" s="671"/>
      <c r="P3832" s="373"/>
      <c r="Q3832" s="673"/>
      <c r="R3832" s="958"/>
      <c r="S3832" s="366" t="s">
        <v>190</v>
      </c>
      <c r="T3832" s="366"/>
      <c r="U3832" s="366"/>
      <c r="V3832" s="366"/>
      <c r="W3832" s="366"/>
    </row>
    <row r="3833" spans="1:23" ht="18.75" customHeight="1">
      <c r="A3833" s="1410"/>
      <c r="B3833" s="1413"/>
      <c r="C3833" s="1206" t="s">
        <v>991</v>
      </c>
      <c r="D3833" s="875" t="str">
        <f>B3825&amp;C3833</f>
        <v>A115i</v>
      </c>
      <c r="E3833" s="367">
        <v>8</v>
      </c>
      <c r="F3833" s="370"/>
      <c r="G3833" s="368"/>
      <c r="H3833" s="368"/>
      <c r="I3833" s="368"/>
      <c r="J3833" s="368"/>
      <c r="K3833" s="370"/>
      <c r="L3833" s="370"/>
      <c r="M3833" s="371"/>
      <c r="N3833" s="671"/>
      <c r="O3833" s="671"/>
      <c r="P3833" s="373"/>
      <c r="Q3833" s="673"/>
      <c r="R3833" s="958"/>
      <c r="S3833" s="366"/>
      <c r="T3833" s="366"/>
      <c r="U3833" s="366"/>
      <c r="V3833" s="366"/>
      <c r="W3833" s="366"/>
    </row>
    <row r="3834" spans="1:23" ht="18.75" customHeight="1">
      <c r="A3834" s="1410"/>
      <c r="B3834" s="1413"/>
      <c r="C3834" s="1206" t="s">
        <v>992</v>
      </c>
      <c r="D3834" s="875" t="str">
        <f>B3825&amp;C3834</f>
        <v>A115k</v>
      </c>
      <c r="E3834" s="367">
        <v>9</v>
      </c>
      <c r="F3834" s="370"/>
      <c r="G3834" s="368"/>
      <c r="H3834" s="368"/>
      <c r="I3834" s="368"/>
      <c r="J3834" s="368"/>
      <c r="K3834" s="370"/>
      <c r="L3834" s="370"/>
      <c r="M3834" s="371"/>
      <c r="N3834" s="372"/>
      <c r="O3834" s="372"/>
      <c r="P3834" s="373"/>
      <c r="Q3834" s="374"/>
      <c r="R3834" s="378"/>
      <c r="S3834" s="379"/>
      <c r="T3834" s="366"/>
      <c r="U3834" s="366"/>
      <c r="V3834" s="366"/>
      <c r="W3834" s="366"/>
    </row>
    <row r="3835" spans="1:23" ht="18.75" customHeight="1">
      <c r="A3835" s="1410"/>
      <c r="B3835" s="1413"/>
      <c r="C3835" s="1206" t="s">
        <v>993</v>
      </c>
      <c r="D3835" s="875" t="str">
        <f>B3825&amp;C3835</f>
        <v>A115l</v>
      </c>
      <c r="E3835" s="367">
        <v>10</v>
      </c>
      <c r="F3835" s="370"/>
      <c r="G3835" s="368"/>
      <c r="H3835" s="368"/>
      <c r="I3835" s="368"/>
      <c r="J3835" s="368"/>
      <c r="K3835" s="370"/>
      <c r="L3835" s="370"/>
      <c r="M3835" s="370"/>
      <c r="N3835" s="372"/>
      <c r="O3835" s="372"/>
      <c r="P3835" s="373"/>
      <c r="Q3835" s="374"/>
      <c r="R3835" s="378"/>
      <c r="S3835" s="379"/>
      <c r="T3835" s="366"/>
      <c r="U3835" s="366"/>
      <c r="V3835" s="366"/>
      <c r="W3835" s="366"/>
    </row>
    <row r="3836" spans="1:23" ht="18.75" customHeight="1">
      <c r="A3836" s="1410"/>
      <c r="B3836" s="1413"/>
      <c r="C3836" s="1206" t="s">
        <v>994</v>
      </c>
      <c r="D3836" s="875" t="str">
        <f>B3825&amp;C3836</f>
        <v>A115m</v>
      </c>
      <c r="E3836" s="367">
        <v>11</v>
      </c>
      <c r="F3836" s="370"/>
      <c r="G3836" s="368"/>
      <c r="H3836" s="368"/>
      <c r="I3836" s="368"/>
      <c r="J3836" s="368"/>
      <c r="K3836" s="370"/>
      <c r="L3836" s="370"/>
      <c r="M3836" s="370"/>
      <c r="N3836" s="372"/>
      <c r="O3836" s="372"/>
      <c r="P3836" s="380"/>
      <c r="Q3836" s="374"/>
      <c r="R3836" s="381"/>
      <c r="S3836" s="379"/>
      <c r="T3836" s="366"/>
      <c r="U3836" s="366"/>
      <c r="V3836" s="366"/>
      <c r="W3836" s="366"/>
    </row>
    <row r="3837" spans="1:23" ht="18.75" customHeight="1">
      <c r="A3837" s="1410"/>
      <c r="B3837" s="1413"/>
      <c r="C3837" s="1206" t="s">
        <v>995</v>
      </c>
      <c r="D3837" s="875" t="str">
        <f>B3825&amp;C3837</f>
        <v>A115n</v>
      </c>
      <c r="E3837" s="367">
        <v>12</v>
      </c>
      <c r="F3837" s="370"/>
      <c r="G3837" s="368"/>
      <c r="H3837" s="368"/>
      <c r="I3837" s="368"/>
      <c r="J3837" s="368"/>
      <c r="K3837" s="370"/>
      <c r="L3837" s="370"/>
      <c r="M3837" s="370"/>
      <c r="N3837" s="372"/>
      <c r="O3837" s="372"/>
      <c r="P3837" s="380"/>
      <c r="Q3837" s="374"/>
      <c r="R3837" s="381"/>
      <c r="S3837" s="361"/>
      <c r="T3837" s="361"/>
      <c r="U3837" s="361"/>
      <c r="V3837" s="366"/>
      <c r="W3837" s="366"/>
    </row>
    <row r="3838" spans="1:23" ht="18.75" customHeight="1">
      <c r="A3838" s="1410"/>
      <c r="B3838" s="1413"/>
      <c r="C3838" s="1206" t="s">
        <v>471</v>
      </c>
      <c r="D3838" s="875" t="str">
        <f>B3825&amp;C3838</f>
        <v>A115x</v>
      </c>
      <c r="E3838" s="367">
        <v>13</v>
      </c>
      <c r="F3838" s="370"/>
      <c r="G3838" s="368"/>
      <c r="H3838" s="368"/>
      <c r="I3838" s="368"/>
      <c r="J3838" s="368"/>
      <c r="K3838" s="370"/>
      <c r="L3838" s="370"/>
      <c r="M3838" s="370"/>
      <c r="N3838" s="382"/>
      <c r="O3838" s="372"/>
      <c r="P3838" s="380"/>
      <c r="Q3838" s="381"/>
      <c r="R3838" s="381"/>
      <c r="S3838" s="361"/>
      <c r="T3838" s="361"/>
      <c r="U3838" s="361"/>
      <c r="V3838" s="366"/>
      <c r="W3838" s="366"/>
    </row>
    <row r="3839" spans="1:23" ht="18.75" customHeight="1">
      <c r="A3839" s="1410"/>
      <c r="B3839" s="1413"/>
      <c r="C3839" s="1206" t="s">
        <v>732</v>
      </c>
      <c r="D3839" s="875" t="str">
        <f>B3825&amp;C3839</f>
        <v>A115y</v>
      </c>
      <c r="E3839" s="367">
        <v>14</v>
      </c>
      <c r="F3839" s="370"/>
      <c r="G3839" s="368"/>
      <c r="H3839" s="368"/>
      <c r="I3839" s="368"/>
      <c r="J3839" s="368"/>
      <c r="K3839" s="370"/>
      <c r="L3839" s="370"/>
      <c r="M3839" s="370"/>
      <c r="N3839" s="382"/>
      <c r="O3839" s="372"/>
      <c r="P3839" s="380"/>
      <c r="Q3839" s="381"/>
      <c r="R3839" s="381"/>
      <c r="S3839" s="361"/>
      <c r="T3839" s="361"/>
      <c r="U3839" s="362"/>
      <c r="V3839" s="366"/>
      <c r="W3839" s="366"/>
    </row>
    <row r="3840" spans="1:23" ht="18.75" customHeight="1">
      <c r="A3840" s="1411"/>
      <c r="B3840" s="1414"/>
      <c r="C3840" s="1207" t="s">
        <v>996</v>
      </c>
      <c r="D3840" s="876" t="str">
        <f>B3825&amp;C3840</f>
        <v>A115z</v>
      </c>
      <c r="E3840" s="847">
        <v>15</v>
      </c>
      <c r="F3840" s="370"/>
      <c r="G3840" s="368"/>
      <c r="H3840" s="368"/>
      <c r="I3840" s="368"/>
      <c r="J3840" s="368"/>
      <c r="K3840" s="370"/>
      <c r="L3840" s="370"/>
      <c r="M3840" s="370"/>
      <c r="N3840" s="850"/>
      <c r="O3840" s="851"/>
      <c r="P3840" s="380"/>
      <c r="Q3840" s="852"/>
      <c r="R3840" s="383"/>
      <c r="S3840" s="361"/>
      <c r="T3840" s="1204"/>
      <c r="U3840" s="1203"/>
      <c r="V3840" s="366"/>
      <c r="W3840" s="366"/>
    </row>
    <row r="3841" spans="1:23">
      <c r="A3841" s="1400" t="s">
        <v>939</v>
      </c>
      <c r="B3841" s="1400"/>
      <c r="C3841" s="1200"/>
      <c r="D3841" s="871"/>
      <c r="E3841" s="1400" t="s">
        <v>177</v>
      </c>
      <c r="F3841" s="1400" t="s">
        <v>18</v>
      </c>
      <c r="G3841" s="1389" t="s">
        <v>19</v>
      </c>
      <c r="H3841" s="1390"/>
      <c r="I3841" s="1389" t="s">
        <v>22</v>
      </c>
      <c r="J3841" s="1390"/>
      <c r="K3841" s="1393" t="s">
        <v>26</v>
      </c>
      <c r="L3841" s="1390"/>
      <c r="M3841" s="1389" t="s">
        <v>392</v>
      </c>
      <c r="N3841" s="1390"/>
      <c r="O3841" s="1389" t="s">
        <v>28</v>
      </c>
      <c r="P3841" s="1393"/>
      <c r="Q3841" s="1390"/>
      <c r="R3841" s="1400" t="s">
        <v>36</v>
      </c>
      <c r="S3841" s="361"/>
      <c r="T3841" s="361">
        <f>MAX(J3845:J3859)-MIN(I3845:I3859)</f>
        <v>2.083333333333337E-2</v>
      </c>
      <c r="U3841" s="361"/>
      <c r="V3841" s="853" t="str">
        <f t="shared" ref="V3841" si="470">B3845</f>
        <v>B9</v>
      </c>
      <c r="W3841" s="361">
        <f t="shared" ref="W3841" si="471">COUNTIF(K3846:K3860,"&gt;0")</f>
        <v>2</v>
      </c>
    </row>
    <row r="3842" spans="1:23">
      <c r="A3842" s="1401"/>
      <c r="B3842" s="1401"/>
      <c r="C3842" s="1202"/>
      <c r="D3842" s="872"/>
      <c r="E3842" s="1401"/>
      <c r="F3842" s="1401"/>
      <c r="G3842" s="1391"/>
      <c r="H3842" s="1392"/>
      <c r="I3842" s="1391"/>
      <c r="J3842" s="1392"/>
      <c r="K3842" s="1394"/>
      <c r="L3842" s="1392"/>
      <c r="M3842" s="1391"/>
      <c r="N3842" s="1392"/>
      <c r="O3842" s="1391"/>
      <c r="P3842" s="1394"/>
      <c r="Q3842" s="1392"/>
      <c r="R3842" s="1401"/>
      <c r="S3842" s="361"/>
      <c r="T3842" s="361"/>
      <c r="U3842" s="361"/>
      <c r="V3842" s="361"/>
      <c r="W3842" s="361"/>
    </row>
    <row r="3843" spans="1:23">
      <c r="A3843" s="1401"/>
      <c r="B3843" s="1401"/>
      <c r="C3843" s="1202"/>
      <c r="D3843" s="872"/>
      <c r="E3843" s="1401"/>
      <c r="F3843" s="1401"/>
      <c r="G3843" s="1400" t="s">
        <v>20</v>
      </c>
      <c r="H3843" s="1400" t="s">
        <v>21</v>
      </c>
      <c r="I3843" s="1400" t="s">
        <v>361</v>
      </c>
      <c r="J3843" s="1400" t="s">
        <v>353</v>
      </c>
      <c r="K3843" s="1400" t="s">
        <v>23</v>
      </c>
      <c r="L3843" s="1400" t="s">
        <v>24</v>
      </c>
      <c r="M3843" s="1400" t="s">
        <v>27</v>
      </c>
      <c r="N3843" s="1400" t="s">
        <v>178</v>
      </c>
      <c r="O3843" s="1400" t="s">
        <v>1</v>
      </c>
      <c r="P3843" s="1400" t="s">
        <v>29</v>
      </c>
      <c r="Q3843" s="1400" t="s">
        <v>33</v>
      </c>
      <c r="R3843" s="1401"/>
      <c r="S3843" s="361"/>
      <c r="T3843" s="361" t="s">
        <v>39</v>
      </c>
      <c r="U3843" s="362">
        <f>VLOOKUP(B3845,'[8]Thong tin'!$A:$M,13,0)</f>
        <v>800</v>
      </c>
      <c r="V3843" s="361"/>
      <c r="W3843" s="361"/>
    </row>
    <row r="3844" spans="1:23">
      <c r="A3844" s="1402"/>
      <c r="B3844" s="1402"/>
      <c r="C3844" s="1201"/>
      <c r="D3844" s="873"/>
      <c r="E3844" s="1402"/>
      <c r="F3844" s="1402"/>
      <c r="G3844" s="1402"/>
      <c r="H3844" s="1402"/>
      <c r="I3844" s="1402"/>
      <c r="J3844" s="1402"/>
      <c r="K3844" s="1402"/>
      <c r="L3844" s="1402"/>
      <c r="M3844" s="1402"/>
      <c r="N3844" s="1402"/>
      <c r="O3844" s="1402"/>
      <c r="P3844" s="1402"/>
      <c r="Q3844" s="1402"/>
      <c r="R3844" s="1402"/>
      <c r="S3844" s="361"/>
      <c r="T3844" s="1399" t="s">
        <v>393</v>
      </c>
      <c r="U3844" s="1397">
        <f>VLOOKUP(B3845,[8]DT.NK!$B:$AZ,45,0)</f>
        <v>30.05</v>
      </c>
      <c r="V3844" s="361"/>
      <c r="W3844" s="361"/>
    </row>
    <row r="3845" spans="1:23" ht="18.75" customHeight="1">
      <c r="A3845" s="1409">
        <f>A3825+1</f>
        <v>193</v>
      </c>
      <c r="B3845" s="1412" t="s">
        <v>672</v>
      </c>
      <c r="C3845" s="1205" t="s">
        <v>983</v>
      </c>
      <c r="D3845" s="874" t="str">
        <f>B3845&amp;C3845</f>
        <v>B9a</v>
      </c>
      <c r="E3845" s="363"/>
      <c r="F3845" s="364"/>
      <c r="G3845" s="364"/>
      <c r="H3845" s="364"/>
      <c r="I3845" s="364"/>
      <c r="J3845" s="364"/>
      <c r="K3845" s="364"/>
      <c r="L3845" s="364"/>
      <c r="M3845" s="674"/>
      <c r="N3845" s="670"/>
      <c r="O3845" s="670">
        <f>U3844</f>
        <v>30.05</v>
      </c>
      <c r="P3845" s="670">
        <f>O3845</f>
        <v>30.05</v>
      </c>
      <c r="Q3845" s="670">
        <v>0</v>
      </c>
      <c r="R3845" s="365"/>
      <c r="S3845" s="366"/>
      <c r="T3845" s="1399"/>
      <c r="U3845" s="1398"/>
      <c r="V3845" s="361"/>
      <c r="W3845" s="361"/>
    </row>
    <row r="3846" spans="1:23" ht="18.75" customHeight="1">
      <c r="A3846" s="1410"/>
      <c r="B3846" s="1413"/>
      <c r="C3846" s="1206" t="s">
        <v>984</v>
      </c>
      <c r="D3846" s="875" t="str">
        <f>B3845&amp;C3846</f>
        <v>B9b</v>
      </c>
      <c r="E3846" s="367">
        <v>1</v>
      </c>
      <c r="F3846" s="669" t="s">
        <v>1182</v>
      </c>
      <c r="G3846" s="369">
        <v>0.64097222222222217</v>
      </c>
      <c r="H3846" s="368">
        <v>0.67361111111111116</v>
      </c>
      <c r="I3846" s="368">
        <v>0.68055555555555547</v>
      </c>
      <c r="J3846" s="368">
        <v>0.6875</v>
      </c>
      <c r="K3846" s="669">
        <v>8</v>
      </c>
      <c r="L3846" s="669">
        <v>19</v>
      </c>
      <c r="M3846" s="675">
        <v>25.2</v>
      </c>
      <c r="N3846" s="671">
        <f>IF(M3846-P3846&gt;0,M3846-P3846,0)</f>
        <v>4.7899999999999991</v>
      </c>
      <c r="O3846" s="671">
        <f>O3845-K3846/(PI()*(U3843/2000)^2)</f>
        <v>14.134505690810467</v>
      </c>
      <c r="P3846" s="672">
        <v>20.41</v>
      </c>
      <c r="Q3846" s="673">
        <f>ABS(O3846-P3846)</f>
        <v>6.2754943091895328</v>
      </c>
      <c r="R3846" s="375" t="s">
        <v>188</v>
      </c>
      <c r="S3846" s="366"/>
      <c r="T3846" s="376"/>
      <c r="U3846" s="376"/>
      <c r="V3846" s="366"/>
      <c r="W3846" s="366"/>
    </row>
    <row r="3847" spans="1:23" ht="18.75" customHeight="1">
      <c r="A3847" s="1410"/>
      <c r="B3847" s="1413"/>
      <c r="C3847" s="1206" t="s">
        <v>985</v>
      </c>
      <c r="D3847" s="875" t="str">
        <f>B3845&amp;C3847</f>
        <v>B9c</v>
      </c>
      <c r="E3847" s="367">
        <v>2</v>
      </c>
      <c r="F3847" s="669" t="s">
        <v>1160</v>
      </c>
      <c r="G3847" s="368">
        <v>0.65</v>
      </c>
      <c r="H3847" s="368">
        <v>0.67708333333333337</v>
      </c>
      <c r="I3847" s="368">
        <v>0.69444444444444453</v>
      </c>
      <c r="J3847" s="368">
        <v>0.70138888888888884</v>
      </c>
      <c r="K3847" s="370">
        <v>7</v>
      </c>
      <c r="L3847" s="370">
        <v>19</v>
      </c>
      <c r="M3847" s="371">
        <v>12.6</v>
      </c>
      <c r="N3847" s="671">
        <f t="shared" ref="N3847" si="472">IF(M3847-P3847&gt;0,M3847-P3847,0)</f>
        <v>5.6999999999999993</v>
      </c>
      <c r="O3847" s="671">
        <f>O3846-K3847/(PI()*(U3843/2000)^2)</f>
        <v>0.20844817026962659</v>
      </c>
      <c r="P3847" s="373">
        <v>6.9</v>
      </c>
      <c r="Q3847" s="673">
        <f t="shared" ref="Q3847" si="473">ABS(O3847-P3847)</f>
        <v>6.6915518297303738</v>
      </c>
      <c r="R3847" s="958" t="s">
        <v>188</v>
      </c>
      <c r="S3847" s="366"/>
      <c r="T3847" s="376"/>
      <c r="U3847" s="376"/>
      <c r="V3847" s="366"/>
      <c r="W3847" s="366"/>
    </row>
    <row r="3848" spans="1:23" ht="18.75" customHeight="1">
      <c r="A3848" s="1410"/>
      <c r="B3848" s="1413"/>
      <c r="C3848" s="1206" t="s">
        <v>986</v>
      </c>
      <c r="D3848" s="875" t="str">
        <f>B3845&amp;C3848</f>
        <v>B9d</v>
      </c>
      <c r="E3848" s="367">
        <v>3</v>
      </c>
      <c r="F3848" s="370"/>
      <c r="G3848" s="368"/>
      <c r="H3848" s="368"/>
      <c r="I3848" s="368"/>
      <c r="J3848" s="368"/>
      <c r="K3848" s="370"/>
      <c r="L3848" s="370"/>
      <c r="M3848" s="371"/>
      <c r="N3848" s="671"/>
      <c r="O3848" s="671"/>
      <c r="P3848" s="373"/>
      <c r="Q3848" s="673"/>
      <c r="R3848" s="958"/>
      <c r="S3848" s="366"/>
      <c r="T3848" s="376"/>
      <c r="U3848" s="376"/>
      <c r="V3848" s="366"/>
      <c r="W3848" s="366"/>
    </row>
    <row r="3849" spans="1:23" ht="18.75" customHeight="1">
      <c r="A3849" s="1410"/>
      <c r="B3849" s="1413"/>
      <c r="C3849" s="1206" t="s">
        <v>987</v>
      </c>
      <c r="D3849" s="875" t="str">
        <f>B3845&amp;C3849</f>
        <v>B9e</v>
      </c>
      <c r="E3849" s="367">
        <v>4</v>
      </c>
      <c r="F3849" s="370"/>
      <c r="G3849" s="368"/>
      <c r="H3849" s="368"/>
      <c r="I3849" s="368"/>
      <c r="J3849" s="368"/>
      <c r="K3849" s="370"/>
      <c r="L3849" s="370"/>
      <c r="M3849" s="371"/>
      <c r="N3849" s="671"/>
      <c r="O3849" s="671"/>
      <c r="P3849" s="373"/>
      <c r="Q3849" s="673"/>
      <c r="R3849" s="958"/>
      <c r="S3849" s="366"/>
      <c r="T3849" s="376"/>
      <c r="U3849" s="376"/>
      <c r="V3849" s="366"/>
      <c r="W3849" s="366"/>
    </row>
    <row r="3850" spans="1:23" ht="18.75" customHeight="1">
      <c r="A3850" s="1410"/>
      <c r="B3850" s="1413"/>
      <c r="C3850" s="1206" t="s">
        <v>988</v>
      </c>
      <c r="D3850" s="875" t="str">
        <f>B3845&amp;C3850</f>
        <v>B9f</v>
      </c>
      <c r="E3850" s="367">
        <v>5</v>
      </c>
      <c r="F3850" s="370"/>
      <c r="G3850" s="368"/>
      <c r="H3850" s="368"/>
      <c r="I3850" s="368"/>
      <c r="J3850" s="368"/>
      <c r="K3850" s="370"/>
      <c r="L3850" s="370"/>
      <c r="M3850" s="371"/>
      <c r="N3850" s="671"/>
      <c r="O3850" s="671"/>
      <c r="P3850" s="373"/>
      <c r="Q3850" s="673"/>
      <c r="R3850" s="958"/>
      <c r="S3850" s="366" t="s">
        <v>190</v>
      </c>
      <c r="T3850" s="376"/>
      <c r="U3850" s="376"/>
      <c r="V3850" s="366"/>
      <c r="W3850" s="366"/>
    </row>
    <row r="3851" spans="1:23" ht="18.75" customHeight="1">
      <c r="A3851" s="1410"/>
      <c r="B3851" s="1413"/>
      <c r="C3851" s="1206" t="s">
        <v>989</v>
      </c>
      <c r="D3851" s="875" t="str">
        <f>B3845&amp;C3851</f>
        <v>B9g</v>
      </c>
      <c r="E3851" s="367">
        <v>6</v>
      </c>
      <c r="F3851" s="370"/>
      <c r="G3851" s="368"/>
      <c r="H3851" s="368"/>
      <c r="I3851" s="368"/>
      <c r="J3851" s="368"/>
      <c r="K3851" s="370"/>
      <c r="L3851" s="370"/>
      <c r="M3851" s="371"/>
      <c r="N3851" s="671"/>
      <c r="O3851" s="671"/>
      <c r="P3851" s="373"/>
      <c r="Q3851" s="673"/>
      <c r="R3851" s="958"/>
      <c r="S3851" s="366" t="s">
        <v>190</v>
      </c>
      <c r="T3851" s="366"/>
      <c r="U3851" s="366"/>
      <c r="V3851" s="366"/>
      <c r="W3851" s="366"/>
    </row>
    <row r="3852" spans="1:23" ht="18.75" customHeight="1">
      <c r="A3852" s="1410"/>
      <c r="B3852" s="1413"/>
      <c r="C3852" s="1206" t="s">
        <v>990</v>
      </c>
      <c r="D3852" s="875" t="str">
        <f>B3845&amp;C3852</f>
        <v>B9h</v>
      </c>
      <c r="E3852" s="367">
        <v>7</v>
      </c>
      <c r="F3852" s="370"/>
      <c r="G3852" s="368"/>
      <c r="H3852" s="368"/>
      <c r="I3852" s="368"/>
      <c r="J3852" s="368"/>
      <c r="K3852" s="370"/>
      <c r="L3852" s="370"/>
      <c r="M3852" s="371"/>
      <c r="N3852" s="671"/>
      <c r="O3852" s="671"/>
      <c r="P3852" s="373"/>
      <c r="Q3852" s="673"/>
      <c r="R3852" s="958"/>
      <c r="S3852" s="366" t="s">
        <v>190</v>
      </c>
      <c r="T3852" s="366"/>
      <c r="U3852" s="366"/>
      <c r="V3852" s="366"/>
      <c r="W3852" s="366"/>
    </row>
    <row r="3853" spans="1:23" ht="18.75" customHeight="1">
      <c r="A3853" s="1410"/>
      <c r="B3853" s="1413"/>
      <c r="C3853" s="1206" t="s">
        <v>991</v>
      </c>
      <c r="D3853" s="875" t="str">
        <f>B3845&amp;C3853</f>
        <v>B9i</v>
      </c>
      <c r="E3853" s="367">
        <v>8</v>
      </c>
      <c r="F3853" s="370"/>
      <c r="G3853" s="368"/>
      <c r="H3853" s="368"/>
      <c r="I3853" s="368"/>
      <c r="J3853" s="368"/>
      <c r="K3853" s="370"/>
      <c r="L3853" s="370"/>
      <c r="M3853" s="371"/>
      <c r="N3853" s="671"/>
      <c r="O3853" s="671"/>
      <c r="P3853" s="373"/>
      <c r="Q3853" s="673"/>
      <c r="R3853" s="958"/>
      <c r="S3853" s="366"/>
      <c r="T3853" s="366"/>
      <c r="U3853" s="366"/>
      <c r="V3853" s="366"/>
      <c r="W3853" s="366"/>
    </row>
    <row r="3854" spans="1:23" ht="18.75" customHeight="1">
      <c r="A3854" s="1410"/>
      <c r="B3854" s="1413"/>
      <c r="C3854" s="1206" t="s">
        <v>992</v>
      </c>
      <c r="D3854" s="875" t="str">
        <f>B3845&amp;C3854</f>
        <v>B9k</v>
      </c>
      <c r="E3854" s="367">
        <v>9</v>
      </c>
      <c r="F3854" s="370"/>
      <c r="G3854" s="368"/>
      <c r="H3854" s="368"/>
      <c r="I3854" s="368"/>
      <c r="J3854" s="368"/>
      <c r="K3854" s="370"/>
      <c r="L3854" s="370"/>
      <c r="M3854" s="371"/>
      <c r="N3854" s="372"/>
      <c r="O3854" s="372"/>
      <c r="P3854" s="373"/>
      <c r="Q3854" s="374"/>
      <c r="R3854" s="378"/>
      <c r="S3854" s="379"/>
      <c r="T3854" s="366"/>
      <c r="U3854" s="366"/>
      <c r="V3854" s="366"/>
      <c r="W3854" s="366"/>
    </row>
    <row r="3855" spans="1:23" ht="18.75" customHeight="1">
      <c r="A3855" s="1410"/>
      <c r="B3855" s="1413"/>
      <c r="C3855" s="1206" t="s">
        <v>993</v>
      </c>
      <c r="D3855" s="875" t="str">
        <f>B3845&amp;C3855</f>
        <v>B9l</v>
      </c>
      <c r="E3855" s="367">
        <v>10</v>
      </c>
      <c r="F3855" s="370"/>
      <c r="G3855" s="368"/>
      <c r="H3855" s="368"/>
      <c r="I3855" s="368"/>
      <c r="J3855" s="368"/>
      <c r="K3855" s="370"/>
      <c r="L3855" s="370"/>
      <c r="M3855" s="370"/>
      <c r="N3855" s="372"/>
      <c r="O3855" s="372"/>
      <c r="P3855" s="373"/>
      <c r="Q3855" s="374"/>
      <c r="R3855" s="378"/>
      <c r="S3855" s="379"/>
      <c r="T3855" s="366"/>
      <c r="U3855" s="366"/>
      <c r="V3855" s="366"/>
      <c r="W3855" s="366"/>
    </row>
    <row r="3856" spans="1:23" ht="18.75" customHeight="1">
      <c r="A3856" s="1410"/>
      <c r="B3856" s="1413"/>
      <c r="C3856" s="1206" t="s">
        <v>994</v>
      </c>
      <c r="D3856" s="875" t="str">
        <f>B3845&amp;C3856</f>
        <v>B9m</v>
      </c>
      <c r="E3856" s="367">
        <v>11</v>
      </c>
      <c r="F3856" s="370"/>
      <c r="G3856" s="368"/>
      <c r="H3856" s="368"/>
      <c r="I3856" s="368"/>
      <c r="J3856" s="368"/>
      <c r="K3856" s="370"/>
      <c r="L3856" s="370"/>
      <c r="M3856" s="370"/>
      <c r="N3856" s="372"/>
      <c r="O3856" s="372"/>
      <c r="P3856" s="380"/>
      <c r="Q3856" s="374"/>
      <c r="R3856" s="381"/>
      <c r="S3856" s="379"/>
      <c r="T3856" s="366"/>
      <c r="U3856" s="366"/>
      <c r="V3856" s="366"/>
      <c r="W3856" s="366"/>
    </row>
    <row r="3857" spans="1:23" ht="18.75" customHeight="1">
      <c r="A3857" s="1410"/>
      <c r="B3857" s="1413"/>
      <c r="C3857" s="1206" t="s">
        <v>995</v>
      </c>
      <c r="D3857" s="875" t="str">
        <f>B3845&amp;C3857</f>
        <v>B9n</v>
      </c>
      <c r="E3857" s="367">
        <v>12</v>
      </c>
      <c r="F3857" s="370"/>
      <c r="G3857" s="368"/>
      <c r="H3857" s="368"/>
      <c r="I3857" s="368"/>
      <c r="J3857" s="368"/>
      <c r="K3857" s="370"/>
      <c r="L3857" s="370"/>
      <c r="M3857" s="370"/>
      <c r="N3857" s="372"/>
      <c r="O3857" s="372"/>
      <c r="P3857" s="380"/>
      <c r="Q3857" s="374"/>
      <c r="R3857" s="381"/>
      <c r="S3857" s="361"/>
      <c r="T3857" s="361"/>
      <c r="U3857" s="361"/>
      <c r="V3857" s="366"/>
      <c r="W3857" s="366"/>
    </row>
    <row r="3858" spans="1:23" ht="18.75" customHeight="1">
      <c r="A3858" s="1410"/>
      <c r="B3858" s="1413"/>
      <c r="C3858" s="1206" t="s">
        <v>471</v>
      </c>
      <c r="D3858" s="875" t="str">
        <f>B3845&amp;C3858</f>
        <v>B9x</v>
      </c>
      <c r="E3858" s="367">
        <v>13</v>
      </c>
      <c r="F3858" s="370"/>
      <c r="G3858" s="368"/>
      <c r="H3858" s="368"/>
      <c r="I3858" s="368"/>
      <c r="J3858" s="368"/>
      <c r="K3858" s="370"/>
      <c r="L3858" s="370"/>
      <c r="M3858" s="370"/>
      <c r="N3858" s="382"/>
      <c r="O3858" s="372"/>
      <c r="P3858" s="380"/>
      <c r="Q3858" s="381"/>
      <c r="R3858" s="381"/>
      <c r="S3858" s="361"/>
      <c r="T3858" s="361"/>
      <c r="U3858" s="361"/>
      <c r="V3858" s="366"/>
      <c r="W3858" s="366"/>
    </row>
    <row r="3859" spans="1:23" ht="18.75" customHeight="1">
      <c r="A3859" s="1410"/>
      <c r="B3859" s="1413"/>
      <c r="C3859" s="1206" t="s">
        <v>732</v>
      </c>
      <c r="D3859" s="875" t="str">
        <f>B3845&amp;C3859</f>
        <v>B9y</v>
      </c>
      <c r="E3859" s="367">
        <v>14</v>
      </c>
      <c r="F3859" s="370"/>
      <c r="G3859" s="368"/>
      <c r="H3859" s="368"/>
      <c r="I3859" s="368"/>
      <c r="J3859" s="368"/>
      <c r="K3859" s="370"/>
      <c r="L3859" s="370"/>
      <c r="M3859" s="370"/>
      <c r="N3859" s="382"/>
      <c r="O3859" s="372"/>
      <c r="P3859" s="380"/>
      <c r="Q3859" s="381"/>
      <c r="R3859" s="381"/>
      <c r="S3859" s="361"/>
      <c r="T3859" s="361"/>
      <c r="U3859" s="362"/>
      <c r="V3859" s="366"/>
      <c r="W3859" s="366"/>
    </row>
    <row r="3860" spans="1:23" ht="18.75" customHeight="1">
      <c r="A3860" s="1411"/>
      <c r="B3860" s="1414"/>
      <c r="C3860" s="1207" t="s">
        <v>996</v>
      </c>
      <c r="D3860" s="876" t="str">
        <f>B3845&amp;C3860</f>
        <v>B9z</v>
      </c>
      <c r="E3860" s="847">
        <v>15</v>
      </c>
      <c r="F3860" s="370"/>
      <c r="G3860" s="368"/>
      <c r="H3860" s="368"/>
      <c r="I3860" s="368"/>
      <c r="J3860" s="368"/>
      <c r="K3860" s="370"/>
      <c r="L3860" s="370"/>
      <c r="M3860" s="370"/>
      <c r="N3860" s="850"/>
      <c r="O3860" s="851"/>
      <c r="P3860" s="380"/>
      <c r="Q3860" s="852"/>
      <c r="R3860" s="383"/>
      <c r="S3860" s="361"/>
      <c r="T3860" s="1204"/>
      <c r="U3860" s="1203"/>
      <c r="V3860" s="366"/>
      <c r="W3860" s="366"/>
    </row>
    <row r="3861" spans="1:23">
      <c r="A3861" s="1400" t="s">
        <v>939</v>
      </c>
      <c r="B3861" s="1400"/>
      <c r="C3861" s="1200"/>
      <c r="D3861" s="871"/>
      <c r="E3861" s="1400" t="s">
        <v>177</v>
      </c>
      <c r="F3861" s="1400" t="s">
        <v>18</v>
      </c>
      <c r="G3861" s="1389" t="s">
        <v>19</v>
      </c>
      <c r="H3861" s="1390"/>
      <c r="I3861" s="1389" t="s">
        <v>22</v>
      </c>
      <c r="J3861" s="1390"/>
      <c r="K3861" s="1393" t="s">
        <v>26</v>
      </c>
      <c r="L3861" s="1390"/>
      <c r="M3861" s="1389" t="s">
        <v>392</v>
      </c>
      <c r="N3861" s="1390"/>
      <c r="O3861" s="1389" t="s">
        <v>28</v>
      </c>
      <c r="P3861" s="1393"/>
      <c r="Q3861" s="1390"/>
      <c r="R3861" s="1400" t="s">
        <v>36</v>
      </c>
      <c r="S3861" s="361"/>
      <c r="T3861" s="361">
        <f>MAX(J3865:J3879)-MIN(I3865:I3879)</f>
        <v>6.5972222222222238E-2</v>
      </c>
      <c r="U3861" s="361"/>
      <c r="V3861" s="853" t="str">
        <f t="shared" ref="V3861" si="474">B3865</f>
        <v>A103</v>
      </c>
      <c r="W3861" s="361">
        <f t="shared" ref="W3861" si="475">COUNTIF(K3866:K3880,"&gt;0")</f>
        <v>4</v>
      </c>
    </row>
    <row r="3862" spans="1:23">
      <c r="A3862" s="1401"/>
      <c r="B3862" s="1401"/>
      <c r="C3862" s="1202"/>
      <c r="D3862" s="872"/>
      <c r="E3862" s="1401"/>
      <c r="F3862" s="1401"/>
      <c r="G3862" s="1391"/>
      <c r="H3862" s="1392"/>
      <c r="I3862" s="1391"/>
      <c r="J3862" s="1392"/>
      <c r="K3862" s="1394"/>
      <c r="L3862" s="1392"/>
      <c r="M3862" s="1391"/>
      <c r="N3862" s="1392"/>
      <c r="O3862" s="1391"/>
      <c r="P3862" s="1394"/>
      <c r="Q3862" s="1392"/>
      <c r="R3862" s="1401"/>
      <c r="S3862" s="361"/>
      <c r="T3862" s="361"/>
      <c r="U3862" s="361"/>
      <c r="V3862" s="361"/>
      <c r="W3862" s="361"/>
    </row>
    <row r="3863" spans="1:23">
      <c r="A3863" s="1401"/>
      <c r="B3863" s="1401"/>
      <c r="C3863" s="1202"/>
      <c r="D3863" s="872"/>
      <c r="E3863" s="1401"/>
      <c r="F3863" s="1401"/>
      <c r="G3863" s="1400" t="s">
        <v>20</v>
      </c>
      <c r="H3863" s="1400" t="s">
        <v>21</v>
      </c>
      <c r="I3863" s="1400" t="s">
        <v>361</v>
      </c>
      <c r="J3863" s="1400" t="s">
        <v>353</v>
      </c>
      <c r="K3863" s="1400" t="s">
        <v>23</v>
      </c>
      <c r="L3863" s="1400" t="s">
        <v>24</v>
      </c>
      <c r="M3863" s="1400" t="s">
        <v>27</v>
      </c>
      <c r="N3863" s="1400" t="s">
        <v>178</v>
      </c>
      <c r="O3863" s="1400" t="s">
        <v>1</v>
      </c>
      <c r="P3863" s="1400" t="s">
        <v>29</v>
      </c>
      <c r="Q3863" s="1400" t="s">
        <v>33</v>
      </c>
      <c r="R3863" s="1401"/>
      <c r="S3863" s="361"/>
      <c r="T3863" s="361" t="s">
        <v>39</v>
      </c>
      <c r="U3863" s="362">
        <f>VLOOKUP(B3865,'[8]Thong tin'!$A:$M,13,0)</f>
        <v>1200</v>
      </c>
      <c r="V3863" s="361"/>
      <c r="W3863" s="361"/>
    </row>
    <row r="3864" spans="1:23">
      <c r="A3864" s="1402"/>
      <c r="B3864" s="1402"/>
      <c r="C3864" s="1201"/>
      <c r="D3864" s="873"/>
      <c r="E3864" s="1402"/>
      <c r="F3864" s="1402"/>
      <c r="G3864" s="1402"/>
      <c r="H3864" s="1402"/>
      <c r="I3864" s="1402"/>
      <c r="J3864" s="1402"/>
      <c r="K3864" s="1402"/>
      <c r="L3864" s="1402"/>
      <c r="M3864" s="1402"/>
      <c r="N3864" s="1402"/>
      <c r="O3864" s="1402"/>
      <c r="P3864" s="1402"/>
      <c r="Q3864" s="1402"/>
      <c r="R3864" s="1402"/>
      <c r="S3864" s="361"/>
      <c r="T3864" s="1399" t="s">
        <v>393</v>
      </c>
      <c r="U3864" s="1397">
        <f>VLOOKUP(B3865,[8]DT.NK!$B:$AZ,45,0)</f>
        <v>33.869999999999997</v>
      </c>
      <c r="V3864" s="361"/>
      <c r="W3864" s="361"/>
    </row>
    <row r="3865" spans="1:23" ht="18.75" customHeight="1">
      <c r="A3865" s="1409">
        <f>A3845+1</f>
        <v>194</v>
      </c>
      <c r="B3865" s="1412" t="s">
        <v>550</v>
      </c>
      <c r="C3865" s="1205" t="s">
        <v>983</v>
      </c>
      <c r="D3865" s="874" t="str">
        <f>B3865&amp;C3865</f>
        <v>A103a</v>
      </c>
      <c r="E3865" s="363"/>
      <c r="F3865" s="364"/>
      <c r="G3865" s="364"/>
      <c r="H3865" s="364"/>
      <c r="I3865" s="364"/>
      <c r="J3865" s="364"/>
      <c r="K3865" s="364"/>
      <c r="L3865" s="364"/>
      <c r="M3865" s="674"/>
      <c r="N3865" s="670"/>
      <c r="O3865" s="670">
        <f>U3864</f>
        <v>33.869999999999997</v>
      </c>
      <c r="P3865" s="670">
        <f>O3865</f>
        <v>33.869999999999997</v>
      </c>
      <c r="Q3865" s="670">
        <v>0</v>
      </c>
      <c r="R3865" s="365"/>
      <c r="S3865" s="366"/>
      <c r="T3865" s="1399"/>
      <c r="U3865" s="1398"/>
      <c r="V3865" s="361"/>
      <c r="W3865" s="361"/>
    </row>
    <row r="3866" spans="1:23" ht="18.75" customHeight="1">
      <c r="A3866" s="1410"/>
      <c r="B3866" s="1413"/>
      <c r="C3866" s="1206" t="s">
        <v>984</v>
      </c>
      <c r="D3866" s="875" t="str">
        <f>B3865&amp;C3866</f>
        <v>A103b</v>
      </c>
      <c r="E3866" s="367">
        <v>1</v>
      </c>
      <c r="F3866" s="669" t="s">
        <v>1182</v>
      </c>
      <c r="G3866" s="369">
        <v>3.472222222222222E-3</v>
      </c>
      <c r="H3866" s="368">
        <v>3.4722222222222224E-2</v>
      </c>
      <c r="I3866" s="368">
        <v>5.2083333333333336E-2</v>
      </c>
      <c r="J3866" s="368">
        <v>5.9027777777777783E-2</v>
      </c>
      <c r="K3866" s="669">
        <v>11</v>
      </c>
      <c r="L3866" s="669">
        <v>19</v>
      </c>
      <c r="M3866" s="675">
        <v>31.5</v>
      </c>
      <c r="N3866" s="671">
        <f>IF(M3866-P3866&gt;0,M3866-P3866,0)</f>
        <v>4.3500000000000014</v>
      </c>
      <c r="O3866" s="671">
        <f>O3865-K3866/(PI()*(U3863/2000)^2)</f>
        <v>24.143864588828613</v>
      </c>
      <c r="P3866" s="672">
        <v>27.15</v>
      </c>
      <c r="Q3866" s="673">
        <f>ABS(O3866-P3866)</f>
        <v>3.0061354111713854</v>
      </c>
      <c r="R3866" s="375" t="s">
        <v>188</v>
      </c>
      <c r="S3866" s="366"/>
      <c r="T3866" s="376"/>
      <c r="U3866" s="376"/>
      <c r="V3866" s="366"/>
      <c r="W3866" s="366"/>
    </row>
    <row r="3867" spans="1:23" ht="18.75" customHeight="1">
      <c r="A3867" s="1410"/>
      <c r="B3867" s="1413"/>
      <c r="C3867" s="1206" t="s">
        <v>985</v>
      </c>
      <c r="D3867" s="875" t="str">
        <f>B3865&amp;C3867</f>
        <v>A103c</v>
      </c>
      <c r="E3867" s="367">
        <v>2</v>
      </c>
      <c r="F3867" s="669" t="s">
        <v>1160</v>
      </c>
      <c r="G3867" s="368">
        <v>8.3333333333333332E-3</v>
      </c>
      <c r="H3867" s="368">
        <v>4.5138888888888888E-2</v>
      </c>
      <c r="I3867" s="368">
        <v>6.5972222222222224E-2</v>
      </c>
      <c r="J3867" s="368">
        <v>6.9444444444444434E-2</v>
      </c>
      <c r="K3867" s="370">
        <v>11</v>
      </c>
      <c r="L3867" s="370">
        <v>19</v>
      </c>
      <c r="M3867" s="371">
        <v>25.2</v>
      </c>
      <c r="N3867" s="671">
        <f t="shared" ref="N3867" si="476">IF(M3867-P3867&gt;0,M3867-P3867,0)</f>
        <v>6.5799999999999983</v>
      </c>
      <c r="O3867" s="671">
        <f>O3866-K3867/(PI()*(U3863/2000)^2)</f>
        <v>14.417729177657231</v>
      </c>
      <c r="P3867" s="373">
        <v>18.62</v>
      </c>
      <c r="Q3867" s="673">
        <f t="shared" ref="Q3867" si="477">ABS(O3867-P3867)</f>
        <v>4.2022708223427703</v>
      </c>
      <c r="R3867" s="958" t="s">
        <v>188</v>
      </c>
      <c r="S3867" s="366"/>
      <c r="T3867" s="376"/>
      <c r="U3867" s="376"/>
      <c r="V3867" s="366"/>
      <c r="W3867" s="366"/>
    </row>
    <row r="3868" spans="1:23" ht="18.75" customHeight="1">
      <c r="A3868" s="1410"/>
      <c r="B3868" s="1413"/>
      <c r="C3868" s="1206" t="s">
        <v>986</v>
      </c>
      <c r="D3868" s="875" t="str">
        <f>B3865&amp;C3868</f>
        <v>A103d</v>
      </c>
      <c r="E3868" s="367">
        <v>3</v>
      </c>
      <c r="F3868" s="669" t="s">
        <v>1181</v>
      </c>
      <c r="G3868" s="368">
        <v>2.0833333333333332E-2</v>
      </c>
      <c r="H3868" s="368">
        <v>5.5555555555555552E-2</v>
      </c>
      <c r="I3868" s="368">
        <v>7.9861111111111105E-2</v>
      </c>
      <c r="J3868" s="368">
        <v>8.5416666666666655E-2</v>
      </c>
      <c r="K3868" s="370">
        <v>10</v>
      </c>
      <c r="L3868" s="370">
        <v>20</v>
      </c>
      <c r="M3868" s="371">
        <v>15.75</v>
      </c>
      <c r="N3868" s="671"/>
      <c r="O3868" s="671"/>
      <c r="P3868" s="373">
        <v>10.199999999999999</v>
      </c>
      <c r="Q3868" s="673"/>
      <c r="R3868" s="958" t="s">
        <v>188</v>
      </c>
      <c r="S3868" s="366"/>
      <c r="T3868" s="376"/>
      <c r="U3868" s="376"/>
      <c r="V3868" s="366"/>
      <c r="W3868" s="366"/>
    </row>
    <row r="3869" spans="1:23" ht="18.75" customHeight="1">
      <c r="A3869" s="1410"/>
      <c r="B3869" s="1413"/>
      <c r="C3869" s="1206" t="s">
        <v>987</v>
      </c>
      <c r="D3869" s="875" t="str">
        <f>B3865&amp;C3869</f>
        <v>A103e</v>
      </c>
      <c r="E3869" s="367">
        <v>4</v>
      </c>
      <c r="F3869" s="669" t="s">
        <v>1182</v>
      </c>
      <c r="G3869" s="368">
        <v>8.8888888888888892E-2</v>
      </c>
      <c r="H3869" s="368">
        <v>0.1111111111111111</v>
      </c>
      <c r="I3869" s="368">
        <v>0.11458333333333333</v>
      </c>
      <c r="J3869" s="368">
        <v>0.11805555555555557</v>
      </c>
      <c r="K3869" s="370">
        <v>5</v>
      </c>
      <c r="L3869" s="370">
        <v>19</v>
      </c>
      <c r="M3869" s="371">
        <v>9.4499999999999993</v>
      </c>
      <c r="N3869" s="671"/>
      <c r="O3869" s="671"/>
      <c r="P3869" s="373">
        <v>6</v>
      </c>
      <c r="Q3869" s="673"/>
      <c r="R3869" s="958"/>
      <c r="S3869" s="366"/>
      <c r="T3869" s="376"/>
      <c r="U3869" s="376"/>
      <c r="V3869" s="366"/>
      <c r="W3869" s="366"/>
    </row>
    <row r="3870" spans="1:23" ht="18.75" customHeight="1">
      <c r="A3870" s="1410"/>
      <c r="B3870" s="1413"/>
      <c r="C3870" s="1206" t="s">
        <v>988</v>
      </c>
      <c r="D3870" s="875" t="str">
        <f>B3865&amp;C3870</f>
        <v>A103f</v>
      </c>
      <c r="E3870" s="367">
        <v>5</v>
      </c>
      <c r="F3870" s="370"/>
      <c r="G3870" s="368"/>
      <c r="H3870" s="368"/>
      <c r="I3870" s="368"/>
      <c r="J3870" s="368"/>
      <c r="K3870" s="370"/>
      <c r="L3870" s="370"/>
      <c r="M3870" s="371"/>
      <c r="N3870" s="671"/>
      <c r="O3870" s="671"/>
      <c r="P3870" s="373"/>
      <c r="Q3870" s="673"/>
      <c r="R3870" s="958"/>
      <c r="S3870" s="366" t="s">
        <v>190</v>
      </c>
      <c r="T3870" s="376"/>
      <c r="U3870" s="376"/>
      <c r="V3870" s="366"/>
      <c r="W3870" s="366"/>
    </row>
    <row r="3871" spans="1:23" ht="18.75" customHeight="1">
      <c r="A3871" s="1410"/>
      <c r="B3871" s="1413"/>
      <c r="C3871" s="1206" t="s">
        <v>989</v>
      </c>
      <c r="D3871" s="875" t="str">
        <f>B3865&amp;C3871</f>
        <v>A103g</v>
      </c>
      <c r="E3871" s="367">
        <v>6</v>
      </c>
      <c r="F3871" s="370"/>
      <c r="G3871" s="368"/>
      <c r="H3871" s="368"/>
      <c r="I3871" s="368"/>
      <c r="J3871" s="368"/>
      <c r="K3871" s="370"/>
      <c r="L3871" s="370"/>
      <c r="M3871" s="371"/>
      <c r="N3871" s="671"/>
      <c r="O3871" s="671"/>
      <c r="P3871" s="373"/>
      <c r="Q3871" s="673"/>
      <c r="R3871" s="958"/>
      <c r="S3871" s="366" t="s">
        <v>190</v>
      </c>
      <c r="T3871" s="366"/>
      <c r="U3871" s="366"/>
      <c r="V3871" s="366"/>
      <c r="W3871" s="366"/>
    </row>
    <row r="3872" spans="1:23" ht="18.75" customHeight="1">
      <c r="A3872" s="1410"/>
      <c r="B3872" s="1413"/>
      <c r="C3872" s="1206" t="s">
        <v>990</v>
      </c>
      <c r="D3872" s="875" t="str">
        <f>B3865&amp;C3872</f>
        <v>A103h</v>
      </c>
      <c r="E3872" s="367">
        <v>7</v>
      </c>
      <c r="F3872" s="370"/>
      <c r="G3872" s="368"/>
      <c r="H3872" s="368"/>
      <c r="I3872" s="368"/>
      <c r="J3872" s="368"/>
      <c r="K3872" s="370"/>
      <c r="L3872" s="370"/>
      <c r="M3872" s="371"/>
      <c r="N3872" s="671"/>
      <c r="O3872" s="671"/>
      <c r="P3872" s="373"/>
      <c r="Q3872" s="673"/>
      <c r="R3872" s="958"/>
      <c r="S3872" s="366" t="s">
        <v>190</v>
      </c>
      <c r="T3872" s="366"/>
      <c r="U3872" s="366"/>
      <c r="V3872" s="366"/>
      <c r="W3872" s="366"/>
    </row>
    <row r="3873" spans="1:23" ht="18.75" customHeight="1">
      <c r="A3873" s="1410"/>
      <c r="B3873" s="1413"/>
      <c r="C3873" s="1206" t="s">
        <v>991</v>
      </c>
      <c r="D3873" s="875" t="str">
        <f>B3865&amp;C3873</f>
        <v>A103i</v>
      </c>
      <c r="E3873" s="367">
        <v>8</v>
      </c>
      <c r="F3873" s="370"/>
      <c r="G3873" s="368"/>
      <c r="H3873" s="368"/>
      <c r="I3873" s="368"/>
      <c r="J3873" s="368"/>
      <c r="K3873" s="370"/>
      <c r="L3873" s="370"/>
      <c r="M3873" s="371"/>
      <c r="N3873" s="671"/>
      <c r="O3873" s="671"/>
      <c r="P3873" s="373"/>
      <c r="Q3873" s="673"/>
      <c r="R3873" s="958"/>
      <c r="S3873" s="366"/>
      <c r="T3873" s="366"/>
      <c r="U3873" s="366"/>
      <c r="V3873" s="366"/>
      <c r="W3873" s="366"/>
    </row>
    <row r="3874" spans="1:23" ht="18.75" customHeight="1">
      <c r="A3874" s="1410"/>
      <c r="B3874" s="1413"/>
      <c r="C3874" s="1206" t="s">
        <v>992</v>
      </c>
      <c r="D3874" s="875" t="str">
        <f>B3865&amp;C3874</f>
        <v>A103k</v>
      </c>
      <c r="E3874" s="367">
        <v>9</v>
      </c>
      <c r="F3874" s="370"/>
      <c r="G3874" s="368"/>
      <c r="H3874" s="368"/>
      <c r="I3874" s="368"/>
      <c r="J3874" s="368"/>
      <c r="K3874" s="370"/>
      <c r="L3874" s="370"/>
      <c r="M3874" s="371"/>
      <c r="N3874" s="372"/>
      <c r="O3874" s="372"/>
      <c r="P3874" s="373"/>
      <c r="Q3874" s="374"/>
      <c r="R3874" s="378"/>
      <c r="S3874" s="379"/>
      <c r="T3874" s="366"/>
      <c r="U3874" s="366"/>
      <c r="V3874" s="366"/>
      <c r="W3874" s="366"/>
    </row>
    <row r="3875" spans="1:23" ht="18.75" customHeight="1">
      <c r="A3875" s="1410"/>
      <c r="B3875" s="1413"/>
      <c r="C3875" s="1206" t="s">
        <v>993</v>
      </c>
      <c r="D3875" s="875" t="str">
        <f>B3865&amp;C3875</f>
        <v>A103l</v>
      </c>
      <c r="E3875" s="367">
        <v>10</v>
      </c>
      <c r="F3875" s="370"/>
      <c r="G3875" s="368"/>
      <c r="H3875" s="368"/>
      <c r="I3875" s="368"/>
      <c r="J3875" s="368"/>
      <c r="K3875" s="370"/>
      <c r="L3875" s="370"/>
      <c r="M3875" s="370"/>
      <c r="N3875" s="372"/>
      <c r="O3875" s="372"/>
      <c r="P3875" s="373"/>
      <c r="Q3875" s="374"/>
      <c r="R3875" s="378"/>
      <c r="S3875" s="379"/>
      <c r="T3875" s="366"/>
      <c r="U3875" s="366"/>
      <c r="V3875" s="366"/>
      <c r="W3875" s="366"/>
    </row>
    <row r="3876" spans="1:23" ht="18.75" customHeight="1">
      <c r="A3876" s="1410"/>
      <c r="B3876" s="1413"/>
      <c r="C3876" s="1206" t="s">
        <v>994</v>
      </c>
      <c r="D3876" s="875" t="str">
        <f>B3865&amp;C3876</f>
        <v>A103m</v>
      </c>
      <c r="E3876" s="367">
        <v>11</v>
      </c>
      <c r="F3876" s="370"/>
      <c r="G3876" s="368"/>
      <c r="H3876" s="368"/>
      <c r="I3876" s="368"/>
      <c r="J3876" s="368"/>
      <c r="K3876" s="370"/>
      <c r="L3876" s="370"/>
      <c r="M3876" s="370"/>
      <c r="N3876" s="372"/>
      <c r="O3876" s="372"/>
      <c r="P3876" s="380"/>
      <c r="Q3876" s="374"/>
      <c r="R3876" s="381"/>
      <c r="S3876" s="379"/>
      <c r="T3876" s="366"/>
      <c r="U3876" s="366"/>
      <c r="V3876" s="366"/>
      <c r="W3876" s="366"/>
    </row>
    <row r="3877" spans="1:23" ht="18.75" customHeight="1">
      <c r="A3877" s="1410"/>
      <c r="B3877" s="1413"/>
      <c r="C3877" s="1206" t="s">
        <v>995</v>
      </c>
      <c r="D3877" s="875" t="str">
        <f>B3865&amp;C3877</f>
        <v>A103n</v>
      </c>
      <c r="E3877" s="367">
        <v>12</v>
      </c>
      <c r="F3877" s="370"/>
      <c r="G3877" s="368"/>
      <c r="H3877" s="368"/>
      <c r="I3877" s="368"/>
      <c r="J3877" s="368"/>
      <c r="K3877" s="370"/>
      <c r="L3877" s="370"/>
      <c r="M3877" s="370"/>
      <c r="N3877" s="372"/>
      <c r="O3877" s="372"/>
      <c r="P3877" s="380"/>
      <c r="Q3877" s="374"/>
      <c r="R3877" s="381"/>
      <c r="S3877" s="361"/>
      <c r="T3877" s="361"/>
      <c r="U3877" s="361"/>
      <c r="V3877" s="366"/>
      <c r="W3877" s="366"/>
    </row>
    <row r="3878" spans="1:23" ht="18.75" customHeight="1">
      <c r="A3878" s="1410"/>
      <c r="B3878" s="1413"/>
      <c r="C3878" s="1206" t="s">
        <v>471</v>
      </c>
      <c r="D3878" s="875" t="str">
        <f>B3865&amp;C3878</f>
        <v>A103x</v>
      </c>
      <c r="E3878" s="367">
        <v>13</v>
      </c>
      <c r="F3878" s="370"/>
      <c r="G3878" s="368"/>
      <c r="H3878" s="368"/>
      <c r="I3878" s="368"/>
      <c r="J3878" s="368"/>
      <c r="K3878" s="370"/>
      <c r="L3878" s="370"/>
      <c r="M3878" s="370"/>
      <c r="N3878" s="382"/>
      <c r="O3878" s="372"/>
      <c r="P3878" s="380"/>
      <c r="Q3878" s="381"/>
      <c r="R3878" s="381"/>
      <c r="S3878" s="361"/>
      <c r="T3878" s="361"/>
      <c r="U3878" s="361"/>
      <c r="V3878" s="366"/>
      <c r="W3878" s="366"/>
    </row>
    <row r="3879" spans="1:23" ht="18.75" customHeight="1">
      <c r="A3879" s="1410"/>
      <c r="B3879" s="1413"/>
      <c r="C3879" s="1206" t="s">
        <v>732</v>
      </c>
      <c r="D3879" s="875" t="str">
        <f>B3865&amp;C3879</f>
        <v>A103y</v>
      </c>
      <c r="E3879" s="367">
        <v>14</v>
      </c>
      <c r="F3879" s="370"/>
      <c r="G3879" s="368"/>
      <c r="H3879" s="368"/>
      <c r="I3879" s="368"/>
      <c r="J3879" s="368"/>
      <c r="K3879" s="370"/>
      <c r="L3879" s="370"/>
      <c r="M3879" s="370"/>
      <c r="N3879" s="382"/>
      <c r="O3879" s="372"/>
      <c r="P3879" s="380"/>
      <c r="Q3879" s="381"/>
      <c r="R3879" s="381"/>
      <c r="S3879" s="361"/>
      <c r="T3879" s="361"/>
      <c r="U3879" s="362"/>
      <c r="V3879" s="366"/>
      <c r="W3879" s="366"/>
    </row>
    <row r="3880" spans="1:23" ht="18.75" customHeight="1">
      <c r="A3880" s="1411"/>
      <c r="B3880" s="1414"/>
      <c r="C3880" s="1207" t="s">
        <v>996</v>
      </c>
      <c r="D3880" s="876" t="str">
        <f>B3865&amp;C3880</f>
        <v>A103z</v>
      </c>
      <c r="E3880" s="847">
        <v>15</v>
      </c>
      <c r="F3880" s="370"/>
      <c r="G3880" s="368"/>
      <c r="H3880" s="368"/>
      <c r="I3880" s="368"/>
      <c r="J3880" s="368"/>
      <c r="K3880" s="370"/>
      <c r="L3880" s="370"/>
      <c r="M3880" s="370"/>
      <c r="N3880" s="850"/>
      <c r="O3880" s="851"/>
      <c r="P3880" s="380"/>
      <c r="Q3880" s="852"/>
      <c r="R3880" s="383"/>
      <c r="S3880" s="361"/>
      <c r="T3880" s="1204"/>
      <c r="U3880" s="1203"/>
      <c r="V3880" s="366"/>
      <c r="W3880" s="366"/>
    </row>
    <row r="3881" spans="1:23">
      <c r="A3881" s="1400" t="s">
        <v>939</v>
      </c>
      <c r="B3881" s="1400"/>
      <c r="C3881" s="1200"/>
      <c r="D3881" s="871"/>
      <c r="E3881" s="1400" t="s">
        <v>177</v>
      </c>
      <c r="F3881" s="1400" t="s">
        <v>18</v>
      </c>
      <c r="G3881" s="1389" t="s">
        <v>19</v>
      </c>
      <c r="H3881" s="1390"/>
      <c r="I3881" s="1389" t="s">
        <v>22</v>
      </c>
      <c r="J3881" s="1390"/>
      <c r="K3881" s="1393" t="s">
        <v>26</v>
      </c>
      <c r="L3881" s="1390"/>
      <c r="M3881" s="1389" t="s">
        <v>392</v>
      </c>
      <c r="N3881" s="1390"/>
      <c r="O3881" s="1389" t="s">
        <v>28</v>
      </c>
      <c r="P3881" s="1393"/>
      <c r="Q3881" s="1390"/>
      <c r="R3881" s="1400" t="s">
        <v>36</v>
      </c>
      <c r="S3881" s="361"/>
      <c r="T3881" s="361">
        <f>MAX(J3885:J3899)-MIN(I3885:I3899)</f>
        <v>1.3888888888888895E-2</v>
      </c>
      <c r="U3881" s="361"/>
      <c r="V3881" s="853" t="str">
        <f t="shared" ref="V3881" si="478">B3885</f>
        <v>B12</v>
      </c>
      <c r="W3881" s="361">
        <f t="shared" ref="W3881" si="479">COUNTIF(K3886:K3900,"&gt;0")</f>
        <v>2</v>
      </c>
    </row>
    <row r="3882" spans="1:23">
      <c r="A3882" s="1401"/>
      <c r="B3882" s="1401"/>
      <c r="C3882" s="1202"/>
      <c r="D3882" s="872"/>
      <c r="E3882" s="1401"/>
      <c r="F3882" s="1401"/>
      <c r="G3882" s="1391"/>
      <c r="H3882" s="1392"/>
      <c r="I3882" s="1391"/>
      <c r="J3882" s="1392"/>
      <c r="K3882" s="1394"/>
      <c r="L3882" s="1392"/>
      <c r="M3882" s="1391"/>
      <c r="N3882" s="1392"/>
      <c r="O3882" s="1391"/>
      <c r="P3882" s="1394"/>
      <c r="Q3882" s="1392"/>
      <c r="R3882" s="1401"/>
      <c r="S3882" s="361"/>
      <c r="T3882" s="361"/>
      <c r="U3882" s="361"/>
      <c r="V3882" s="361"/>
      <c r="W3882" s="361"/>
    </row>
    <row r="3883" spans="1:23">
      <c r="A3883" s="1401"/>
      <c r="B3883" s="1401"/>
      <c r="C3883" s="1202"/>
      <c r="D3883" s="872"/>
      <c r="E3883" s="1401"/>
      <c r="F3883" s="1401"/>
      <c r="G3883" s="1400" t="s">
        <v>20</v>
      </c>
      <c r="H3883" s="1400" t="s">
        <v>21</v>
      </c>
      <c r="I3883" s="1400" t="s">
        <v>361</v>
      </c>
      <c r="J3883" s="1400" t="s">
        <v>353</v>
      </c>
      <c r="K3883" s="1400" t="s">
        <v>23</v>
      </c>
      <c r="L3883" s="1400" t="s">
        <v>24</v>
      </c>
      <c r="M3883" s="1400" t="s">
        <v>27</v>
      </c>
      <c r="N3883" s="1400" t="s">
        <v>178</v>
      </c>
      <c r="O3883" s="1400" t="s">
        <v>1</v>
      </c>
      <c r="P3883" s="1400" t="s">
        <v>29</v>
      </c>
      <c r="Q3883" s="1400" t="s">
        <v>33</v>
      </c>
      <c r="R3883" s="1401"/>
      <c r="S3883" s="361"/>
      <c r="T3883" s="361" t="s">
        <v>39</v>
      </c>
      <c r="U3883" s="362">
        <f>VLOOKUP(B3885,'[8]Thong tin'!$A:$M,13,0)</f>
        <v>800</v>
      </c>
      <c r="V3883" s="361"/>
      <c r="W3883" s="361"/>
    </row>
    <row r="3884" spans="1:23">
      <c r="A3884" s="1402"/>
      <c r="B3884" s="1402"/>
      <c r="C3884" s="1201"/>
      <c r="D3884" s="873"/>
      <c r="E3884" s="1402"/>
      <c r="F3884" s="1402"/>
      <c r="G3884" s="1402"/>
      <c r="H3884" s="1402"/>
      <c r="I3884" s="1402"/>
      <c r="J3884" s="1402"/>
      <c r="K3884" s="1402"/>
      <c r="L3884" s="1402"/>
      <c r="M3884" s="1402"/>
      <c r="N3884" s="1402"/>
      <c r="O3884" s="1402"/>
      <c r="P3884" s="1402"/>
      <c r="Q3884" s="1402"/>
      <c r="R3884" s="1402"/>
      <c r="S3884" s="361"/>
      <c r="T3884" s="1399" t="s">
        <v>393</v>
      </c>
      <c r="U3884" s="1397">
        <f>VLOOKUP(B3885,[8]DT.NK!$B:$AZ,45,0)</f>
        <v>27.25</v>
      </c>
      <c r="V3884" s="361"/>
      <c r="W3884" s="361"/>
    </row>
    <row r="3885" spans="1:23" ht="18.75" customHeight="1">
      <c r="A3885" s="1409">
        <f>A3865+1</f>
        <v>195</v>
      </c>
      <c r="B3885" s="1412" t="s">
        <v>689</v>
      </c>
      <c r="C3885" s="1205" t="s">
        <v>983</v>
      </c>
      <c r="D3885" s="874" t="str">
        <f>B3885&amp;C3885</f>
        <v>B12a</v>
      </c>
      <c r="E3885" s="363"/>
      <c r="F3885" s="364"/>
      <c r="G3885" s="364"/>
      <c r="H3885" s="364"/>
      <c r="I3885" s="364"/>
      <c r="J3885" s="364"/>
      <c r="K3885" s="364"/>
      <c r="L3885" s="364"/>
      <c r="M3885" s="674"/>
      <c r="N3885" s="670"/>
      <c r="O3885" s="670">
        <f>U3884</f>
        <v>27.25</v>
      </c>
      <c r="P3885" s="670">
        <f>O3885</f>
        <v>27.25</v>
      </c>
      <c r="Q3885" s="670">
        <v>0</v>
      </c>
      <c r="R3885" s="365"/>
      <c r="S3885" s="366"/>
      <c r="T3885" s="1399"/>
      <c r="U3885" s="1398"/>
      <c r="V3885" s="361"/>
      <c r="W3885" s="361"/>
    </row>
    <row r="3886" spans="1:23" ht="18.75" customHeight="1">
      <c r="A3886" s="1410"/>
      <c r="B3886" s="1413"/>
      <c r="C3886" s="1206" t="s">
        <v>984</v>
      </c>
      <c r="D3886" s="875" t="str">
        <f>B3885&amp;C3886</f>
        <v>B12b</v>
      </c>
      <c r="E3886" s="367">
        <v>1</v>
      </c>
      <c r="F3886" s="669" t="s">
        <v>1160</v>
      </c>
      <c r="G3886" s="369">
        <v>0.13541666666666666</v>
      </c>
      <c r="H3886" s="368">
        <v>0.17013888888888887</v>
      </c>
      <c r="I3886" s="368">
        <v>0.18055555555555555</v>
      </c>
      <c r="J3886" s="368">
        <v>0.18402777777777779</v>
      </c>
      <c r="K3886" s="669">
        <v>8</v>
      </c>
      <c r="L3886" s="669">
        <v>19</v>
      </c>
      <c r="M3886" s="675">
        <v>25.2</v>
      </c>
      <c r="N3886" s="671">
        <f>IF(M3886-P3886&gt;0,M3886-P3886,0)</f>
        <v>5.5500000000000007</v>
      </c>
      <c r="O3886" s="671">
        <f>O3885-K3886/(PI()*(U3883/2000)^2)</f>
        <v>11.334505690810467</v>
      </c>
      <c r="P3886" s="672">
        <v>19.649999999999999</v>
      </c>
      <c r="Q3886" s="673">
        <f>ABS(O3886-P3886)</f>
        <v>8.3154943091895319</v>
      </c>
      <c r="R3886" s="375" t="s">
        <v>188</v>
      </c>
      <c r="S3886" s="366"/>
      <c r="T3886" s="376"/>
      <c r="U3886" s="376"/>
      <c r="V3886" s="366"/>
      <c r="W3886" s="366"/>
    </row>
    <row r="3887" spans="1:23" ht="18.75" customHeight="1">
      <c r="A3887" s="1410"/>
      <c r="B3887" s="1413"/>
      <c r="C3887" s="1206" t="s">
        <v>985</v>
      </c>
      <c r="D3887" s="875" t="str">
        <f>B3885&amp;C3887</f>
        <v>B12c</v>
      </c>
      <c r="E3887" s="367">
        <v>2</v>
      </c>
      <c r="F3887" s="669" t="s">
        <v>1182</v>
      </c>
      <c r="G3887" s="368">
        <v>0.1388888888888889</v>
      </c>
      <c r="H3887" s="368">
        <v>0.17500000000000002</v>
      </c>
      <c r="I3887" s="368">
        <v>0.19097222222222221</v>
      </c>
      <c r="J3887" s="368">
        <v>0.19444444444444445</v>
      </c>
      <c r="K3887" s="370">
        <v>8</v>
      </c>
      <c r="L3887" s="370">
        <v>19</v>
      </c>
      <c r="M3887" s="371">
        <v>9.4499999999999993</v>
      </c>
      <c r="N3887" s="671">
        <f t="shared" ref="N3887" si="480">IF(M3887-P3887&gt;0,M3887-P3887,0)</f>
        <v>4.8499999999999996</v>
      </c>
      <c r="O3887" s="671">
        <f>O3886-K3887/(PI()*(U3883/2000)^2)</f>
        <v>-4.5809886183790667</v>
      </c>
      <c r="P3887" s="373">
        <v>4.5999999999999996</v>
      </c>
      <c r="Q3887" s="673">
        <f t="shared" ref="Q3887" si="481">ABS(O3887-P3887)</f>
        <v>9.1809886183790663</v>
      </c>
      <c r="R3887" s="958" t="s">
        <v>188</v>
      </c>
      <c r="S3887" s="366"/>
      <c r="T3887" s="376"/>
      <c r="U3887" s="376"/>
      <c r="V3887" s="366"/>
      <c r="W3887" s="366"/>
    </row>
    <row r="3888" spans="1:23" ht="18.75" customHeight="1">
      <c r="A3888" s="1410"/>
      <c r="B3888" s="1413"/>
      <c r="C3888" s="1206" t="s">
        <v>986</v>
      </c>
      <c r="D3888" s="875" t="str">
        <f>B3885&amp;C3888</f>
        <v>B12d</v>
      </c>
      <c r="E3888" s="367">
        <v>3</v>
      </c>
      <c r="F3888" s="370"/>
      <c r="G3888" s="368"/>
      <c r="H3888" s="368"/>
      <c r="I3888" s="368"/>
      <c r="J3888" s="368"/>
      <c r="K3888" s="370"/>
      <c r="L3888" s="370"/>
      <c r="M3888" s="371"/>
      <c r="N3888" s="671"/>
      <c r="O3888" s="671"/>
      <c r="P3888" s="373"/>
      <c r="Q3888" s="673"/>
      <c r="R3888" s="958"/>
      <c r="S3888" s="366"/>
      <c r="T3888" s="376"/>
      <c r="U3888" s="376"/>
      <c r="V3888" s="366"/>
      <c r="W3888" s="366"/>
    </row>
    <row r="3889" spans="1:23" ht="18.75" customHeight="1">
      <c r="A3889" s="1410"/>
      <c r="B3889" s="1413"/>
      <c r="C3889" s="1206" t="s">
        <v>987</v>
      </c>
      <c r="D3889" s="875" t="str">
        <f>B3885&amp;C3889</f>
        <v>B12e</v>
      </c>
      <c r="E3889" s="367">
        <v>4</v>
      </c>
      <c r="F3889" s="370"/>
      <c r="G3889" s="368"/>
      <c r="H3889" s="368"/>
      <c r="I3889" s="368"/>
      <c r="J3889" s="368"/>
      <c r="K3889" s="370"/>
      <c r="L3889" s="370"/>
      <c r="M3889" s="371"/>
      <c r="N3889" s="671"/>
      <c r="O3889" s="671"/>
      <c r="P3889" s="373"/>
      <c r="Q3889" s="673"/>
      <c r="R3889" s="958"/>
      <c r="S3889" s="366"/>
      <c r="T3889" s="376"/>
      <c r="U3889" s="376"/>
      <c r="V3889" s="366"/>
      <c r="W3889" s="366"/>
    </row>
    <row r="3890" spans="1:23" ht="18.75" customHeight="1">
      <c r="A3890" s="1410"/>
      <c r="B3890" s="1413"/>
      <c r="C3890" s="1206" t="s">
        <v>988</v>
      </c>
      <c r="D3890" s="875" t="str">
        <f>B3885&amp;C3890</f>
        <v>B12f</v>
      </c>
      <c r="E3890" s="367">
        <v>5</v>
      </c>
      <c r="F3890" s="370"/>
      <c r="G3890" s="368"/>
      <c r="H3890" s="368"/>
      <c r="I3890" s="368"/>
      <c r="J3890" s="368"/>
      <c r="K3890" s="370"/>
      <c r="L3890" s="370"/>
      <c r="M3890" s="371"/>
      <c r="N3890" s="671"/>
      <c r="O3890" s="671"/>
      <c r="P3890" s="373"/>
      <c r="Q3890" s="673"/>
      <c r="R3890" s="958"/>
      <c r="S3890" s="366" t="s">
        <v>190</v>
      </c>
      <c r="T3890" s="376"/>
      <c r="U3890" s="376"/>
      <c r="V3890" s="366"/>
      <c r="W3890" s="366"/>
    </row>
    <row r="3891" spans="1:23" ht="18.75" customHeight="1">
      <c r="A3891" s="1410"/>
      <c r="B3891" s="1413"/>
      <c r="C3891" s="1206" t="s">
        <v>989</v>
      </c>
      <c r="D3891" s="875" t="str">
        <f>B3885&amp;C3891</f>
        <v>B12g</v>
      </c>
      <c r="E3891" s="367">
        <v>6</v>
      </c>
      <c r="F3891" s="370"/>
      <c r="G3891" s="368"/>
      <c r="H3891" s="368"/>
      <c r="I3891" s="368"/>
      <c r="J3891" s="368"/>
      <c r="K3891" s="370"/>
      <c r="L3891" s="370"/>
      <c r="M3891" s="371"/>
      <c r="N3891" s="671"/>
      <c r="O3891" s="671"/>
      <c r="P3891" s="373"/>
      <c r="Q3891" s="673"/>
      <c r="R3891" s="958"/>
      <c r="S3891" s="366" t="s">
        <v>190</v>
      </c>
      <c r="T3891" s="366"/>
      <c r="U3891" s="366"/>
      <c r="V3891" s="366"/>
      <c r="W3891" s="366"/>
    </row>
    <row r="3892" spans="1:23" ht="18.75" customHeight="1">
      <c r="A3892" s="1410"/>
      <c r="B3892" s="1413"/>
      <c r="C3892" s="1206" t="s">
        <v>990</v>
      </c>
      <c r="D3892" s="875" t="str">
        <f>B3885&amp;C3892</f>
        <v>B12h</v>
      </c>
      <c r="E3892" s="367">
        <v>7</v>
      </c>
      <c r="F3892" s="370"/>
      <c r="G3892" s="368"/>
      <c r="H3892" s="368"/>
      <c r="I3892" s="368"/>
      <c r="J3892" s="368"/>
      <c r="K3892" s="370"/>
      <c r="L3892" s="370"/>
      <c r="M3892" s="371"/>
      <c r="N3892" s="671"/>
      <c r="O3892" s="671"/>
      <c r="P3892" s="373"/>
      <c r="Q3892" s="673"/>
      <c r="R3892" s="958"/>
      <c r="S3892" s="366" t="s">
        <v>190</v>
      </c>
      <c r="T3892" s="366"/>
      <c r="U3892" s="366"/>
      <c r="V3892" s="366"/>
      <c r="W3892" s="366"/>
    </row>
    <row r="3893" spans="1:23" ht="18.75" customHeight="1">
      <c r="A3893" s="1410"/>
      <c r="B3893" s="1413"/>
      <c r="C3893" s="1206" t="s">
        <v>991</v>
      </c>
      <c r="D3893" s="875" t="str">
        <f>B3885&amp;C3893</f>
        <v>B12i</v>
      </c>
      <c r="E3893" s="367">
        <v>8</v>
      </c>
      <c r="F3893" s="370"/>
      <c r="G3893" s="368"/>
      <c r="H3893" s="368"/>
      <c r="I3893" s="368"/>
      <c r="J3893" s="368"/>
      <c r="K3893" s="370"/>
      <c r="L3893" s="370"/>
      <c r="M3893" s="371"/>
      <c r="N3893" s="671"/>
      <c r="O3893" s="671"/>
      <c r="P3893" s="373"/>
      <c r="Q3893" s="673"/>
      <c r="R3893" s="958"/>
      <c r="S3893" s="366"/>
      <c r="T3893" s="366"/>
      <c r="U3893" s="366"/>
      <c r="V3893" s="366"/>
      <c r="W3893" s="366"/>
    </row>
    <row r="3894" spans="1:23" ht="18.75" customHeight="1">
      <c r="A3894" s="1410"/>
      <c r="B3894" s="1413"/>
      <c r="C3894" s="1206" t="s">
        <v>992</v>
      </c>
      <c r="D3894" s="875" t="str">
        <f>B3885&amp;C3894</f>
        <v>B12k</v>
      </c>
      <c r="E3894" s="367">
        <v>9</v>
      </c>
      <c r="F3894" s="370"/>
      <c r="G3894" s="368"/>
      <c r="H3894" s="368"/>
      <c r="I3894" s="368"/>
      <c r="J3894" s="368"/>
      <c r="K3894" s="370"/>
      <c r="L3894" s="370"/>
      <c r="M3894" s="371"/>
      <c r="N3894" s="372"/>
      <c r="O3894" s="372"/>
      <c r="P3894" s="373"/>
      <c r="Q3894" s="374"/>
      <c r="R3894" s="378"/>
      <c r="S3894" s="379"/>
      <c r="T3894" s="366"/>
      <c r="U3894" s="366"/>
      <c r="V3894" s="366"/>
      <c r="W3894" s="366"/>
    </row>
    <row r="3895" spans="1:23" ht="18.75" customHeight="1">
      <c r="A3895" s="1410"/>
      <c r="B3895" s="1413"/>
      <c r="C3895" s="1206" t="s">
        <v>993</v>
      </c>
      <c r="D3895" s="875" t="str">
        <f>B3885&amp;C3895</f>
        <v>B12l</v>
      </c>
      <c r="E3895" s="367">
        <v>10</v>
      </c>
      <c r="F3895" s="370"/>
      <c r="G3895" s="368"/>
      <c r="H3895" s="368"/>
      <c r="I3895" s="368"/>
      <c r="J3895" s="368"/>
      <c r="K3895" s="370"/>
      <c r="L3895" s="370"/>
      <c r="M3895" s="370"/>
      <c r="N3895" s="372"/>
      <c r="O3895" s="372"/>
      <c r="P3895" s="373"/>
      <c r="Q3895" s="374"/>
      <c r="R3895" s="378"/>
      <c r="S3895" s="379"/>
      <c r="T3895" s="366"/>
      <c r="U3895" s="366"/>
      <c r="V3895" s="366"/>
      <c r="W3895" s="366"/>
    </row>
    <row r="3896" spans="1:23" ht="18.75" customHeight="1">
      <c r="A3896" s="1410"/>
      <c r="B3896" s="1413"/>
      <c r="C3896" s="1206" t="s">
        <v>994</v>
      </c>
      <c r="D3896" s="875" t="str">
        <f>B3885&amp;C3896</f>
        <v>B12m</v>
      </c>
      <c r="E3896" s="367">
        <v>11</v>
      </c>
      <c r="F3896" s="370"/>
      <c r="G3896" s="368"/>
      <c r="H3896" s="368"/>
      <c r="I3896" s="368"/>
      <c r="J3896" s="368"/>
      <c r="K3896" s="370"/>
      <c r="L3896" s="370"/>
      <c r="M3896" s="370"/>
      <c r="N3896" s="372"/>
      <c r="O3896" s="372"/>
      <c r="P3896" s="380"/>
      <c r="Q3896" s="374"/>
      <c r="R3896" s="381"/>
      <c r="S3896" s="379"/>
      <c r="T3896" s="366"/>
      <c r="U3896" s="366"/>
      <c r="V3896" s="366"/>
      <c r="W3896" s="366"/>
    </row>
    <row r="3897" spans="1:23" ht="18.75" customHeight="1">
      <c r="A3897" s="1410"/>
      <c r="B3897" s="1413"/>
      <c r="C3897" s="1206" t="s">
        <v>995</v>
      </c>
      <c r="D3897" s="875" t="str">
        <f>B3885&amp;C3897</f>
        <v>B12n</v>
      </c>
      <c r="E3897" s="367">
        <v>12</v>
      </c>
      <c r="F3897" s="370"/>
      <c r="G3897" s="368"/>
      <c r="H3897" s="368"/>
      <c r="I3897" s="368"/>
      <c r="J3897" s="368"/>
      <c r="K3897" s="370"/>
      <c r="L3897" s="370"/>
      <c r="M3897" s="370"/>
      <c r="N3897" s="372"/>
      <c r="O3897" s="372"/>
      <c r="P3897" s="380"/>
      <c r="Q3897" s="374"/>
      <c r="R3897" s="381"/>
      <c r="S3897" s="361"/>
      <c r="T3897" s="361"/>
      <c r="U3897" s="361"/>
      <c r="V3897" s="366"/>
      <c r="W3897" s="366"/>
    </row>
    <row r="3898" spans="1:23" ht="18.75" customHeight="1">
      <c r="A3898" s="1410"/>
      <c r="B3898" s="1413"/>
      <c r="C3898" s="1206" t="s">
        <v>471</v>
      </c>
      <c r="D3898" s="875" t="str">
        <f>B3885&amp;C3898</f>
        <v>B12x</v>
      </c>
      <c r="E3898" s="367">
        <v>13</v>
      </c>
      <c r="F3898" s="370"/>
      <c r="G3898" s="368"/>
      <c r="H3898" s="368"/>
      <c r="I3898" s="368"/>
      <c r="J3898" s="368"/>
      <c r="K3898" s="370"/>
      <c r="L3898" s="370"/>
      <c r="M3898" s="370"/>
      <c r="N3898" s="382"/>
      <c r="O3898" s="372"/>
      <c r="P3898" s="380"/>
      <c r="Q3898" s="381"/>
      <c r="R3898" s="381"/>
      <c r="S3898" s="361"/>
      <c r="T3898" s="361"/>
      <c r="U3898" s="361"/>
      <c r="V3898" s="366"/>
      <c r="W3898" s="366"/>
    </row>
    <row r="3899" spans="1:23" ht="18.75" customHeight="1">
      <c r="A3899" s="1410"/>
      <c r="B3899" s="1413"/>
      <c r="C3899" s="1206" t="s">
        <v>732</v>
      </c>
      <c r="D3899" s="875" t="str">
        <f>B3885&amp;C3899</f>
        <v>B12y</v>
      </c>
      <c r="E3899" s="367">
        <v>14</v>
      </c>
      <c r="F3899" s="370"/>
      <c r="G3899" s="368"/>
      <c r="H3899" s="368"/>
      <c r="I3899" s="368"/>
      <c r="J3899" s="368"/>
      <c r="K3899" s="370"/>
      <c r="L3899" s="370"/>
      <c r="M3899" s="370"/>
      <c r="N3899" s="382"/>
      <c r="O3899" s="372"/>
      <c r="P3899" s="380"/>
      <c r="Q3899" s="381"/>
      <c r="R3899" s="381"/>
      <c r="S3899" s="361"/>
      <c r="T3899" s="361"/>
      <c r="U3899" s="362"/>
      <c r="V3899" s="366"/>
      <c r="W3899" s="366"/>
    </row>
    <row r="3900" spans="1:23" ht="18.75" customHeight="1">
      <c r="A3900" s="1411"/>
      <c r="B3900" s="1414"/>
      <c r="C3900" s="1207" t="s">
        <v>996</v>
      </c>
      <c r="D3900" s="876" t="str">
        <f>B3885&amp;C3900</f>
        <v>B12z</v>
      </c>
      <c r="E3900" s="847">
        <v>15</v>
      </c>
      <c r="F3900" s="370"/>
      <c r="G3900" s="368"/>
      <c r="H3900" s="368"/>
      <c r="I3900" s="368"/>
      <c r="J3900" s="368"/>
      <c r="K3900" s="370"/>
      <c r="L3900" s="370"/>
      <c r="M3900" s="370"/>
      <c r="N3900" s="850"/>
      <c r="O3900" s="851"/>
      <c r="P3900" s="380"/>
      <c r="Q3900" s="852"/>
      <c r="R3900" s="383"/>
      <c r="S3900" s="361"/>
      <c r="T3900" s="1204"/>
      <c r="U3900" s="1203"/>
      <c r="V3900" s="366"/>
      <c r="W3900" s="366"/>
    </row>
    <row r="3901" spans="1:23">
      <c r="A3901" s="1400" t="s">
        <v>939</v>
      </c>
      <c r="B3901" s="1400"/>
      <c r="C3901" s="1200"/>
      <c r="D3901" s="871"/>
      <c r="E3901" s="1400" t="s">
        <v>177</v>
      </c>
      <c r="F3901" s="1400" t="s">
        <v>18</v>
      </c>
      <c r="G3901" s="1389" t="s">
        <v>19</v>
      </c>
      <c r="H3901" s="1390"/>
      <c r="I3901" s="1389" t="s">
        <v>22</v>
      </c>
      <c r="J3901" s="1390"/>
      <c r="K3901" s="1393" t="s">
        <v>26</v>
      </c>
      <c r="L3901" s="1390"/>
      <c r="M3901" s="1389" t="s">
        <v>392</v>
      </c>
      <c r="N3901" s="1390"/>
      <c r="O3901" s="1389" t="s">
        <v>28</v>
      </c>
      <c r="P3901" s="1393"/>
      <c r="Q3901" s="1390"/>
      <c r="R3901" s="1400" t="s">
        <v>36</v>
      </c>
      <c r="S3901" s="361"/>
      <c r="T3901" s="361">
        <f>MAX(J3905:J3919)-MIN(I3905:I3919)</f>
        <v>2.4305555555555469E-2</v>
      </c>
      <c r="U3901" s="361"/>
      <c r="V3901" s="853" t="str">
        <f t="shared" ref="V3901" si="482">B3905</f>
        <v>B11</v>
      </c>
      <c r="W3901" s="361">
        <f t="shared" ref="W3901" si="483">COUNTIF(K3906:K3920,"&gt;0")</f>
        <v>2</v>
      </c>
    </row>
    <row r="3902" spans="1:23">
      <c r="A3902" s="1401"/>
      <c r="B3902" s="1401"/>
      <c r="C3902" s="1202"/>
      <c r="D3902" s="872"/>
      <c r="E3902" s="1401"/>
      <c r="F3902" s="1401"/>
      <c r="G3902" s="1391"/>
      <c r="H3902" s="1392"/>
      <c r="I3902" s="1391"/>
      <c r="J3902" s="1392"/>
      <c r="K3902" s="1394"/>
      <c r="L3902" s="1392"/>
      <c r="M3902" s="1391"/>
      <c r="N3902" s="1392"/>
      <c r="O3902" s="1391"/>
      <c r="P3902" s="1394"/>
      <c r="Q3902" s="1392"/>
      <c r="R3902" s="1401"/>
      <c r="S3902" s="361"/>
      <c r="T3902" s="361"/>
      <c r="U3902" s="361"/>
      <c r="V3902" s="361"/>
      <c r="W3902" s="361"/>
    </row>
    <row r="3903" spans="1:23">
      <c r="A3903" s="1401"/>
      <c r="B3903" s="1401"/>
      <c r="C3903" s="1202"/>
      <c r="D3903" s="872"/>
      <c r="E3903" s="1401"/>
      <c r="F3903" s="1401"/>
      <c r="G3903" s="1400" t="s">
        <v>20</v>
      </c>
      <c r="H3903" s="1400" t="s">
        <v>21</v>
      </c>
      <c r="I3903" s="1400" t="s">
        <v>361</v>
      </c>
      <c r="J3903" s="1400" t="s">
        <v>353</v>
      </c>
      <c r="K3903" s="1400" t="s">
        <v>23</v>
      </c>
      <c r="L3903" s="1400" t="s">
        <v>24</v>
      </c>
      <c r="M3903" s="1400" t="s">
        <v>27</v>
      </c>
      <c r="N3903" s="1400" t="s">
        <v>178</v>
      </c>
      <c r="O3903" s="1400" t="s">
        <v>1</v>
      </c>
      <c r="P3903" s="1400" t="s">
        <v>29</v>
      </c>
      <c r="Q3903" s="1400" t="s">
        <v>33</v>
      </c>
      <c r="R3903" s="1401"/>
      <c r="S3903" s="361"/>
      <c r="T3903" s="361" t="s">
        <v>39</v>
      </c>
      <c r="U3903" s="362">
        <f>VLOOKUP(B3905,'[8]Thong tin'!$A:$M,13,0)</f>
        <v>800</v>
      </c>
      <c r="V3903" s="361"/>
      <c r="W3903" s="361"/>
    </row>
    <row r="3904" spans="1:23">
      <c r="A3904" s="1402"/>
      <c r="B3904" s="1402"/>
      <c r="C3904" s="1201"/>
      <c r="D3904" s="873"/>
      <c r="E3904" s="1402"/>
      <c r="F3904" s="1402"/>
      <c r="G3904" s="1402"/>
      <c r="H3904" s="1402"/>
      <c r="I3904" s="1402"/>
      <c r="J3904" s="1402"/>
      <c r="K3904" s="1402"/>
      <c r="L3904" s="1402"/>
      <c r="M3904" s="1402"/>
      <c r="N3904" s="1402"/>
      <c r="O3904" s="1402"/>
      <c r="P3904" s="1402"/>
      <c r="Q3904" s="1402"/>
      <c r="R3904" s="1402"/>
      <c r="S3904" s="361"/>
      <c r="T3904" s="1399" t="s">
        <v>393</v>
      </c>
      <c r="U3904" s="1397">
        <f>VLOOKUP(B3905,[8]DT.NK!$B:$AZ,45,0)</f>
        <v>27.3</v>
      </c>
      <c r="V3904" s="361"/>
      <c r="W3904" s="361"/>
    </row>
    <row r="3905" spans="1:23" ht="18.75" customHeight="1">
      <c r="A3905" s="1409">
        <f>A3885+1</f>
        <v>196</v>
      </c>
      <c r="B3905" s="1412" t="s">
        <v>684</v>
      </c>
      <c r="C3905" s="1205" t="s">
        <v>983</v>
      </c>
      <c r="D3905" s="874" t="str">
        <f>B3905&amp;C3905</f>
        <v>B11a</v>
      </c>
      <c r="E3905" s="363"/>
      <c r="F3905" s="364"/>
      <c r="G3905" s="364"/>
      <c r="H3905" s="364"/>
      <c r="I3905" s="364"/>
      <c r="J3905" s="364"/>
      <c r="K3905" s="364"/>
      <c r="L3905" s="364"/>
      <c r="M3905" s="674"/>
      <c r="N3905" s="670"/>
      <c r="O3905" s="670">
        <f>U3904</f>
        <v>27.3</v>
      </c>
      <c r="P3905" s="670">
        <f>O3905</f>
        <v>27.3</v>
      </c>
      <c r="Q3905" s="670">
        <v>0</v>
      </c>
      <c r="R3905" s="365"/>
      <c r="S3905" s="366"/>
      <c r="T3905" s="1399"/>
      <c r="U3905" s="1398"/>
      <c r="V3905" s="361"/>
      <c r="W3905" s="361"/>
    </row>
    <row r="3906" spans="1:23" ht="18.75" customHeight="1">
      <c r="A3906" s="1410"/>
      <c r="B3906" s="1413"/>
      <c r="C3906" s="1206" t="s">
        <v>984</v>
      </c>
      <c r="D3906" s="875" t="str">
        <f>B3905&amp;C3906</f>
        <v>B11b</v>
      </c>
      <c r="E3906" s="367">
        <v>1</v>
      </c>
      <c r="F3906" s="669" t="s">
        <v>1159</v>
      </c>
      <c r="G3906" s="369">
        <v>0.67708333333333337</v>
      </c>
      <c r="H3906" s="368">
        <v>0.72222222222222221</v>
      </c>
      <c r="I3906" s="368">
        <v>0.73958333333333337</v>
      </c>
      <c r="J3906" s="368">
        <v>0.74305555555555547</v>
      </c>
      <c r="K3906" s="669">
        <v>8</v>
      </c>
      <c r="L3906" s="669">
        <v>19</v>
      </c>
      <c r="M3906" s="675">
        <v>20.9</v>
      </c>
      <c r="N3906" s="671">
        <f>IF(M3906-P3906&gt;0,M3906-P3906,0)</f>
        <v>2.6999999999999993</v>
      </c>
      <c r="O3906" s="671">
        <f>O3905-K3906/(PI()*(U3903/2000)^2)</f>
        <v>11.384505690810467</v>
      </c>
      <c r="P3906" s="672">
        <v>18.2</v>
      </c>
      <c r="Q3906" s="673">
        <f>ABS(O3906-P3906)</f>
        <v>6.8154943091895319</v>
      </c>
      <c r="R3906" s="375" t="s">
        <v>188</v>
      </c>
      <c r="S3906" s="366"/>
      <c r="T3906" s="376"/>
      <c r="U3906" s="376"/>
      <c r="V3906" s="366"/>
      <c r="W3906" s="366"/>
    </row>
    <row r="3907" spans="1:23" ht="18.75" customHeight="1">
      <c r="A3907" s="1410"/>
      <c r="B3907" s="1413"/>
      <c r="C3907" s="1206" t="s">
        <v>985</v>
      </c>
      <c r="D3907" s="875" t="str">
        <f>B3905&amp;C3907</f>
        <v>B11c</v>
      </c>
      <c r="E3907" s="367">
        <v>2</v>
      </c>
      <c r="F3907" s="669" t="s">
        <v>1160</v>
      </c>
      <c r="G3907" s="368">
        <v>0.68402777777777779</v>
      </c>
      <c r="H3907" s="368">
        <v>0.73263888888888884</v>
      </c>
      <c r="I3907" s="368">
        <v>0.76041666666666663</v>
      </c>
      <c r="J3907" s="368">
        <v>0.76388888888888884</v>
      </c>
      <c r="K3907" s="370">
        <v>7</v>
      </c>
      <c r="L3907" s="370">
        <v>20</v>
      </c>
      <c r="M3907" s="371"/>
      <c r="N3907" s="671">
        <f t="shared" ref="N3907" si="484">IF(M3907-P3907&gt;0,M3907-P3907,0)</f>
        <v>0</v>
      </c>
      <c r="O3907" s="671">
        <f>O3906-K3907/(PI()*(U3903/2000)^2)</f>
        <v>-2.5415518297303734</v>
      </c>
      <c r="P3907" s="373">
        <v>4.9000000000000004</v>
      </c>
      <c r="Q3907" s="673">
        <f t="shared" ref="Q3907" si="485">ABS(O3907-P3907)</f>
        <v>7.4415518297303738</v>
      </c>
      <c r="R3907" s="958" t="s">
        <v>188</v>
      </c>
      <c r="S3907" s="366"/>
      <c r="T3907" s="376"/>
      <c r="U3907" s="376"/>
      <c r="V3907" s="366"/>
      <c r="W3907" s="366"/>
    </row>
    <row r="3908" spans="1:23" ht="18.75" customHeight="1">
      <c r="A3908" s="1410"/>
      <c r="B3908" s="1413"/>
      <c r="C3908" s="1206" t="s">
        <v>986</v>
      </c>
      <c r="D3908" s="875" t="str">
        <f>B3905&amp;C3908</f>
        <v>B11d</v>
      </c>
      <c r="E3908" s="367">
        <v>3</v>
      </c>
      <c r="F3908" s="370"/>
      <c r="G3908" s="368"/>
      <c r="H3908" s="368"/>
      <c r="I3908" s="368"/>
      <c r="J3908" s="368"/>
      <c r="K3908" s="370"/>
      <c r="L3908" s="370"/>
      <c r="M3908" s="371"/>
      <c r="N3908" s="671"/>
      <c r="O3908" s="671"/>
      <c r="P3908" s="373"/>
      <c r="Q3908" s="673"/>
      <c r="R3908" s="958"/>
      <c r="S3908" s="366"/>
      <c r="T3908" s="376"/>
      <c r="U3908" s="376"/>
      <c r="V3908" s="366"/>
      <c r="W3908" s="366"/>
    </row>
    <row r="3909" spans="1:23" ht="18.75" customHeight="1">
      <c r="A3909" s="1410"/>
      <c r="B3909" s="1413"/>
      <c r="C3909" s="1206" t="s">
        <v>987</v>
      </c>
      <c r="D3909" s="875" t="str">
        <f>B3905&amp;C3909</f>
        <v>B11e</v>
      </c>
      <c r="E3909" s="367">
        <v>4</v>
      </c>
      <c r="F3909" s="370"/>
      <c r="G3909" s="368"/>
      <c r="H3909" s="368"/>
      <c r="I3909" s="368"/>
      <c r="J3909" s="368"/>
      <c r="K3909" s="370"/>
      <c r="L3909" s="370"/>
      <c r="M3909" s="371"/>
      <c r="N3909" s="671"/>
      <c r="O3909" s="671"/>
      <c r="P3909" s="373"/>
      <c r="Q3909" s="673"/>
      <c r="R3909" s="958"/>
      <c r="S3909" s="366"/>
      <c r="T3909" s="376"/>
      <c r="U3909" s="376"/>
      <c r="V3909" s="366"/>
      <c r="W3909" s="366"/>
    </row>
    <row r="3910" spans="1:23" ht="18.75" customHeight="1">
      <c r="A3910" s="1410"/>
      <c r="B3910" s="1413"/>
      <c r="C3910" s="1206" t="s">
        <v>988</v>
      </c>
      <c r="D3910" s="875" t="str">
        <f>B3905&amp;C3910</f>
        <v>B11f</v>
      </c>
      <c r="E3910" s="367">
        <v>5</v>
      </c>
      <c r="F3910" s="370"/>
      <c r="G3910" s="368"/>
      <c r="H3910" s="368"/>
      <c r="I3910" s="368"/>
      <c r="J3910" s="368"/>
      <c r="K3910" s="370"/>
      <c r="L3910" s="370"/>
      <c r="M3910" s="371"/>
      <c r="N3910" s="671"/>
      <c r="O3910" s="671"/>
      <c r="P3910" s="373"/>
      <c r="Q3910" s="673"/>
      <c r="R3910" s="958"/>
      <c r="S3910" s="366" t="s">
        <v>190</v>
      </c>
      <c r="T3910" s="376"/>
      <c r="U3910" s="376"/>
      <c r="V3910" s="366"/>
      <c r="W3910" s="366"/>
    </row>
    <row r="3911" spans="1:23" ht="18.75" customHeight="1">
      <c r="A3911" s="1410"/>
      <c r="B3911" s="1413"/>
      <c r="C3911" s="1206" t="s">
        <v>989</v>
      </c>
      <c r="D3911" s="875" t="str">
        <f>B3905&amp;C3911</f>
        <v>B11g</v>
      </c>
      <c r="E3911" s="367">
        <v>6</v>
      </c>
      <c r="F3911" s="370"/>
      <c r="G3911" s="368"/>
      <c r="H3911" s="368"/>
      <c r="I3911" s="368"/>
      <c r="J3911" s="368"/>
      <c r="K3911" s="370"/>
      <c r="L3911" s="370"/>
      <c r="M3911" s="371"/>
      <c r="N3911" s="671"/>
      <c r="O3911" s="671"/>
      <c r="P3911" s="373"/>
      <c r="Q3911" s="673"/>
      <c r="R3911" s="958"/>
      <c r="S3911" s="366" t="s">
        <v>190</v>
      </c>
      <c r="T3911" s="366"/>
      <c r="U3911" s="366"/>
      <c r="V3911" s="366"/>
      <c r="W3911" s="366"/>
    </row>
    <row r="3912" spans="1:23" ht="18.75" customHeight="1">
      <c r="A3912" s="1410"/>
      <c r="B3912" s="1413"/>
      <c r="C3912" s="1206" t="s">
        <v>990</v>
      </c>
      <c r="D3912" s="875" t="str">
        <f>B3905&amp;C3912</f>
        <v>B11h</v>
      </c>
      <c r="E3912" s="367">
        <v>7</v>
      </c>
      <c r="F3912" s="370"/>
      <c r="G3912" s="368"/>
      <c r="H3912" s="368"/>
      <c r="I3912" s="368"/>
      <c r="J3912" s="368"/>
      <c r="K3912" s="370"/>
      <c r="L3912" s="370"/>
      <c r="M3912" s="371"/>
      <c r="N3912" s="671"/>
      <c r="O3912" s="671"/>
      <c r="P3912" s="373"/>
      <c r="Q3912" s="673"/>
      <c r="R3912" s="958"/>
      <c r="S3912" s="366" t="s">
        <v>190</v>
      </c>
      <c r="T3912" s="366"/>
      <c r="U3912" s="366"/>
      <c r="V3912" s="366"/>
      <c r="W3912" s="366"/>
    </row>
    <row r="3913" spans="1:23" ht="18.75" customHeight="1">
      <c r="A3913" s="1410"/>
      <c r="B3913" s="1413"/>
      <c r="C3913" s="1206" t="s">
        <v>991</v>
      </c>
      <c r="D3913" s="875" t="str">
        <f>B3905&amp;C3913</f>
        <v>B11i</v>
      </c>
      <c r="E3913" s="367">
        <v>8</v>
      </c>
      <c r="F3913" s="370"/>
      <c r="G3913" s="368"/>
      <c r="H3913" s="368"/>
      <c r="I3913" s="368"/>
      <c r="J3913" s="368"/>
      <c r="K3913" s="370"/>
      <c r="L3913" s="370"/>
      <c r="M3913" s="371"/>
      <c r="N3913" s="671"/>
      <c r="O3913" s="671"/>
      <c r="P3913" s="373"/>
      <c r="Q3913" s="673"/>
      <c r="R3913" s="958"/>
      <c r="S3913" s="366"/>
      <c r="T3913" s="366"/>
      <c r="U3913" s="366"/>
      <c r="V3913" s="366"/>
      <c r="W3913" s="366"/>
    </row>
    <row r="3914" spans="1:23" ht="18.75" customHeight="1">
      <c r="A3914" s="1410"/>
      <c r="B3914" s="1413"/>
      <c r="C3914" s="1206" t="s">
        <v>992</v>
      </c>
      <c r="D3914" s="875" t="str">
        <f>B3905&amp;C3914</f>
        <v>B11k</v>
      </c>
      <c r="E3914" s="367">
        <v>9</v>
      </c>
      <c r="F3914" s="370"/>
      <c r="G3914" s="368"/>
      <c r="H3914" s="368"/>
      <c r="I3914" s="368"/>
      <c r="J3914" s="368"/>
      <c r="K3914" s="370"/>
      <c r="L3914" s="370"/>
      <c r="M3914" s="371"/>
      <c r="N3914" s="372"/>
      <c r="O3914" s="372"/>
      <c r="P3914" s="373"/>
      <c r="Q3914" s="374"/>
      <c r="R3914" s="378"/>
      <c r="S3914" s="379"/>
      <c r="T3914" s="366"/>
      <c r="U3914" s="366"/>
      <c r="V3914" s="366"/>
      <c r="W3914" s="366"/>
    </row>
    <row r="3915" spans="1:23" ht="18.75" customHeight="1">
      <c r="A3915" s="1410"/>
      <c r="B3915" s="1413"/>
      <c r="C3915" s="1206" t="s">
        <v>993</v>
      </c>
      <c r="D3915" s="875" t="str">
        <f>B3905&amp;C3915</f>
        <v>B11l</v>
      </c>
      <c r="E3915" s="367">
        <v>10</v>
      </c>
      <c r="F3915" s="370"/>
      <c r="G3915" s="368"/>
      <c r="H3915" s="368"/>
      <c r="I3915" s="368"/>
      <c r="J3915" s="368"/>
      <c r="K3915" s="370"/>
      <c r="L3915" s="370"/>
      <c r="M3915" s="370"/>
      <c r="N3915" s="372"/>
      <c r="O3915" s="372"/>
      <c r="P3915" s="373"/>
      <c r="Q3915" s="374"/>
      <c r="R3915" s="378"/>
      <c r="S3915" s="379"/>
      <c r="T3915" s="366"/>
      <c r="U3915" s="366"/>
      <c r="V3915" s="366"/>
      <c r="W3915" s="366"/>
    </row>
    <row r="3916" spans="1:23" ht="18.75" customHeight="1">
      <c r="A3916" s="1410"/>
      <c r="B3916" s="1413"/>
      <c r="C3916" s="1206" t="s">
        <v>994</v>
      </c>
      <c r="D3916" s="875" t="str">
        <f>B3905&amp;C3916</f>
        <v>B11m</v>
      </c>
      <c r="E3916" s="367">
        <v>11</v>
      </c>
      <c r="F3916" s="370"/>
      <c r="G3916" s="368"/>
      <c r="H3916" s="368"/>
      <c r="I3916" s="368"/>
      <c r="J3916" s="368"/>
      <c r="K3916" s="370"/>
      <c r="L3916" s="370"/>
      <c r="M3916" s="370"/>
      <c r="N3916" s="372"/>
      <c r="O3916" s="372"/>
      <c r="P3916" s="380"/>
      <c r="Q3916" s="374"/>
      <c r="R3916" s="381"/>
      <c r="S3916" s="379"/>
      <c r="T3916" s="366"/>
      <c r="U3916" s="366"/>
      <c r="V3916" s="366"/>
      <c r="W3916" s="366"/>
    </row>
    <row r="3917" spans="1:23" ht="18.75" customHeight="1">
      <c r="A3917" s="1410"/>
      <c r="B3917" s="1413"/>
      <c r="C3917" s="1206" t="s">
        <v>995</v>
      </c>
      <c r="D3917" s="875" t="str">
        <f>B3905&amp;C3917</f>
        <v>B11n</v>
      </c>
      <c r="E3917" s="367">
        <v>12</v>
      </c>
      <c r="F3917" s="370"/>
      <c r="G3917" s="368"/>
      <c r="H3917" s="368"/>
      <c r="I3917" s="368"/>
      <c r="J3917" s="368"/>
      <c r="K3917" s="370"/>
      <c r="L3917" s="370"/>
      <c r="M3917" s="370"/>
      <c r="N3917" s="372"/>
      <c r="O3917" s="372"/>
      <c r="P3917" s="380"/>
      <c r="Q3917" s="374"/>
      <c r="R3917" s="381"/>
      <c r="S3917" s="361"/>
      <c r="T3917" s="361"/>
      <c r="U3917" s="361"/>
      <c r="V3917" s="366"/>
      <c r="W3917" s="366"/>
    </row>
    <row r="3918" spans="1:23" ht="18.75" customHeight="1">
      <c r="A3918" s="1410"/>
      <c r="B3918" s="1413"/>
      <c r="C3918" s="1206" t="s">
        <v>471</v>
      </c>
      <c r="D3918" s="875" t="str">
        <f>B3905&amp;C3918</f>
        <v>B11x</v>
      </c>
      <c r="E3918" s="367">
        <v>13</v>
      </c>
      <c r="F3918" s="370"/>
      <c r="G3918" s="368"/>
      <c r="H3918" s="368"/>
      <c r="I3918" s="368"/>
      <c r="J3918" s="368"/>
      <c r="K3918" s="370"/>
      <c r="L3918" s="370"/>
      <c r="M3918" s="370"/>
      <c r="N3918" s="382"/>
      <c r="O3918" s="372"/>
      <c r="P3918" s="380"/>
      <c r="Q3918" s="381"/>
      <c r="R3918" s="381"/>
      <c r="S3918" s="361"/>
      <c r="T3918" s="361"/>
      <c r="U3918" s="361"/>
      <c r="V3918" s="366"/>
      <c r="W3918" s="366"/>
    </row>
    <row r="3919" spans="1:23" ht="18.75" customHeight="1">
      <c r="A3919" s="1410"/>
      <c r="B3919" s="1413"/>
      <c r="C3919" s="1206" t="s">
        <v>732</v>
      </c>
      <c r="D3919" s="875" t="str">
        <f>B3905&amp;C3919</f>
        <v>B11y</v>
      </c>
      <c r="E3919" s="367">
        <v>14</v>
      </c>
      <c r="F3919" s="370"/>
      <c r="G3919" s="368"/>
      <c r="H3919" s="368"/>
      <c r="I3919" s="368"/>
      <c r="J3919" s="368"/>
      <c r="K3919" s="370"/>
      <c r="L3919" s="370"/>
      <c r="M3919" s="370"/>
      <c r="N3919" s="382"/>
      <c r="O3919" s="372"/>
      <c r="P3919" s="380"/>
      <c r="Q3919" s="381"/>
      <c r="R3919" s="381"/>
      <c r="S3919" s="361"/>
      <c r="T3919" s="361"/>
      <c r="U3919" s="362"/>
      <c r="V3919" s="366"/>
      <c r="W3919" s="366"/>
    </row>
    <row r="3920" spans="1:23" ht="18.75" customHeight="1">
      <c r="A3920" s="1411"/>
      <c r="B3920" s="1414"/>
      <c r="C3920" s="1207" t="s">
        <v>996</v>
      </c>
      <c r="D3920" s="876" t="str">
        <f>B3905&amp;C3920</f>
        <v>B11z</v>
      </c>
      <c r="E3920" s="847">
        <v>15</v>
      </c>
      <c r="F3920" s="370"/>
      <c r="G3920" s="368"/>
      <c r="H3920" s="368"/>
      <c r="I3920" s="368"/>
      <c r="J3920" s="368"/>
      <c r="K3920" s="370"/>
      <c r="L3920" s="370"/>
      <c r="M3920" s="370"/>
      <c r="N3920" s="850"/>
      <c r="O3920" s="851"/>
      <c r="P3920" s="380"/>
      <c r="Q3920" s="852"/>
      <c r="R3920" s="383"/>
      <c r="S3920" s="361"/>
      <c r="T3920" s="1204"/>
      <c r="U3920" s="1203"/>
      <c r="V3920" s="366"/>
      <c r="W3920" s="366"/>
    </row>
    <row r="3921" spans="1:23">
      <c r="A3921" s="1400" t="s">
        <v>939</v>
      </c>
      <c r="B3921" s="1400"/>
      <c r="C3921" s="1200"/>
      <c r="D3921" s="871"/>
      <c r="E3921" s="1400" t="s">
        <v>177</v>
      </c>
      <c r="F3921" s="1400" t="s">
        <v>18</v>
      </c>
      <c r="G3921" s="1389" t="s">
        <v>19</v>
      </c>
      <c r="H3921" s="1390"/>
      <c r="I3921" s="1389" t="s">
        <v>22</v>
      </c>
      <c r="J3921" s="1390"/>
      <c r="K3921" s="1393" t="s">
        <v>26</v>
      </c>
      <c r="L3921" s="1390"/>
      <c r="M3921" s="1389" t="s">
        <v>392</v>
      </c>
      <c r="N3921" s="1390"/>
      <c r="O3921" s="1389" t="s">
        <v>28</v>
      </c>
      <c r="P3921" s="1393"/>
      <c r="Q3921" s="1390"/>
      <c r="R3921" s="1400" t="s">
        <v>36</v>
      </c>
      <c r="S3921" s="361"/>
      <c r="T3921" s="361">
        <f>MAX(J3925:J3939)-MIN(I3925:I3939)</f>
        <v>5.2083333333333343E-2</v>
      </c>
      <c r="U3921" s="361"/>
      <c r="V3921" s="853" t="str">
        <f t="shared" ref="V3921" si="486">B3925</f>
        <v>A162</v>
      </c>
      <c r="W3921" s="361">
        <f t="shared" ref="W3921" si="487">COUNTIF(K3926:K3940,"&gt;0")</f>
        <v>4</v>
      </c>
    </row>
    <row r="3922" spans="1:23">
      <c r="A3922" s="1401"/>
      <c r="B3922" s="1401"/>
      <c r="C3922" s="1202"/>
      <c r="D3922" s="872"/>
      <c r="E3922" s="1401"/>
      <c r="F3922" s="1401"/>
      <c r="G3922" s="1391"/>
      <c r="H3922" s="1392"/>
      <c r="I3922" s="1391"/>
      <c r="J3922" s="1392"/>
      <c r="K3922" s="1394"/>
      <c r="L3922" s="1392"/>
      <c r="M3922" s="1391"/>
      <c r="N3922" s="1392"/>
      <c r="O3922" s="1391"/>
      <c r="P3922" s="1394"/>
      <c r="Q3922" s="1392"/>
      <c r="R3922" s="1401"/>
      <c r="S3922" s="361"/>
      <c r="T3922" s="361"/>
      <c r="U3922" s="361"/>
      <c r="V3922" s="361"/>
      <c r="W3922" s="361"/>
    </row>
    <row r="3923" spans="1:23">
      <c r="A3923" s="1401"/>
      <c r="B3923" s="1401"/>
      <c r="C3923" s="1202"/>
      <c r="D3923" s="872"/>
      <c r="E3923" s="1401"/>
      <c r="F3923" s="1401"/>
      <c r="G3923" s="1400" t="s">
        <v>20</v>
      </c>
      <c r="H3923" s="1400" t="s">
        <v>21</v>
      </c>
      <c r="I3923" s="1400" t="s">
        <v>361</v>
      </c>
      <c r="J3923" s="1400" t="s">
        <v>353</v>
      </c>
      <c r="K3923" s="1400" t="s">
        <v>23</v>
      </c>
      <c r="L3923" s="1400" t="s">
        <v>24</v>
      </c>
      <c r="M3923" s="1400" t="s">
        <v>27</v>
      </c>
      <c r="N3923" s="1400" t="s">
        <v>178</v>
      </c>
      <c r="O3923" s="1400" t="s">
        <v>1</v>
      </c>
      <c r="P3923" s="1400" t="s">
        <v>29</v>
      </c>
      <c r="Q3923" s="1400" t="s">
        <v>33</v>
      </c>
      <c r="R3923" s="1401"/>
      <c r="S3923" s="361"/>
      <c r="T3923" s="361" t="s">
        <v>39</v>
      </c>
      <c r="U3923" s="362">
        <f>VLOOKUP(B3925,'[8]Thong tin'!$A:$M,13,0)</f>
        <v>1200</v>
      </c>
      <c r="V3923" s="361"/>
      <c r="W3923" s="361"/>
    </row>
    <row r="3924" spans="1:23">
      <c r="A3924" s="1402"/>
      <c r="B3924" s="1402"/>
      <c r="C3924" s="1201"/>
      <c r="D3924" s="873"/>
      <c r="E3924" s="1402"/>
      <c r="F3924" s="1402"/>
      <c r="G3924" s="1402"/>
      <c r="H3924" s="1402"/>
      <c r="I3924" s="1402"/>
      <c r="J3924" s="1402"/>
      <c r="K3924" s="1402"/>
      <c r="L3924" s="1402"/>
      <c r="M3924" s="1402"/>
      <c r="N3924" s="1402"/>
      <c r="O3924" s="1402"/>
      <c r="P3924" s="1402"/>
      <c r="Q3924" s="1402"/>
      <c r="R3924" s="1402"/>
      <c r="S3924" s="361"/>
      <c r="T3924" s="1399" t="s">
        <v>393</v>
      </c>
      <c r="U3924" s="1397">
        <f>VLOOKUP(B3925,[8]DT.NK!$B:$AZ,45,0)</f>
        <v>32.619999999999997</v>
      </c>
      <c r="V3924" s="361"/>
      <c r="W3924" s="361"/>
    </row>
    <row r="3925" spans="1:23" ht="18.75" customHeight="1">
      <c r="A3925" s="1409">
        <f>A3905+1</f>
        <v>197</v>
      </c>
      <c r="B3925" s="1412" t="s">
        <v>621</v>
      </c>
      <c r="C3925" s="1205" t="s">
        <v>983</v>
      </c>
      <c r="D3925" s="874" t="str">
        <f>B3925&amp;C3925</f>
        <v>A162a</v>
      </c>
      <c r="E3925" s="363"/>
      <c r="F3925" s="364"/>
      <c r="G3925" s="364"/>
      <c r="H3925" s="364"/>
      <c r="I3925" s="364"/>
      <c r="J3925" s="364"/>
      <c r="K3925" s="364"/>
      <c r="L3925" s="364"/>
      <c r="M3925" s="674"/>
      <c r="N3925" s="670"/>
      <c r="O3925" s="670">
        <f>U3924</f>
        <v>32.619999999999997</v>
      </c>
      <c r="P3925" s="670">
        <f>O3925</f>
        <v>32.619999999999997</v>
      </c>
      <c r="Q3925" s="670">
        <v>0</v>
      </c>
      <c r="R3925" s="365"/>
      <c r="S3925" s="366"/>
      <c r="T3925" s="1399"/>
      <c r="U3925" s="1398"/>
      <c r="V3925" s="361"/>
      <c r="W3925" s="361"/>
    </row>
    <row r="3926" spans="1:23" ht="18.75" customHeight="1">
      <c r="A3926" s="1410"/>
      <c r="B3926" s="1413"/>
      <c r="C3926" s="1206" t="s">
        <v>984</v>
      </c>
      <c r="D3926" s="875" t="str">
        <f>B3925&amp;C3926</f>
        <v>A162b</v>
      </c>
      <c r="E3926" s="367">
        <v>1</v>
      </c>
      <c r="F3926" s="669" t="s">
        <v>1156</v>
      </c>
      <c r="G3926" s="369">
        <v>0.97291666666666676</v>
      </c>
      <c r="H3926" s="368">
        <v>2.0833333333333332E-2</v>
      </c>
      <c r="I3926" s="368">
        <v>3.4722222222222224E-2</v>
      </c>
      <c r="J3926" s="368">
        <v>4.1666666666666664E-2</v>
      </c>
      <c r="K3926" s="669">
        <v>11</v>
      </c>
      <c r="L3926" s="669">
        <v>19</v>
      </c>
      <c r="M3926" s="675">
        <v>28.35</v>
      </c>
      <c r="N3926" s="671">
        <f>IF(M3926-P3926&gt;0,M3926-P3926,0)</f>
        <v>4.3000000000000007</v>
      </c>
      <c r="O3926" s="671">
        <f>O3925-K3926/(PI()*(U3923/2000)^2)</f>
        <v>22.893864588828613</v>
      </c>
      <c r="P3926" s="672">
        <v>24.05</v>
      </c>
      <c r="Q3926" s="673">
        <f>ABS(O3926-P3926)</f>
        <v>1.1561354111713875</v>
      </c>
      <c r="R3926" s="375" t="s">
        <v>188</v>
      </c>
      <c r="S3926" s="366"/>
      <c r="T3926" s="376"/>
      <c r="U3926" s="376"/>
      <c r="V3926" s="366"/>
      <c r="W3926" s="366"/>
    </row>
    <row r="3927" spans="1:23" ht="18.75" customHeight="1">
      <c r="A3927" s="1410"/>
      <c r="B3927" s="1413"/>
      <c r="C3927" s="1206" t="s">
        <v>985</v>
      </c>
      <c r="D3927" s="875" t="str">
        <f>B3925&amp;C3927</f>
        <v>A162c</v>
      </c>
      <c r="E3927" s="367">
        <v>2</v>
      </c>
      <c r="F3927" s="669" t="s">
        <v>1159</v>
      </c>
      <c r="G3927" s="368">
        <v>0.98611111111111116</v>
      </c>
      <c r="H3927" s="368">
        <v>3.125E-2</v>
      </c>
      <c r="I3927" s="368">
        <v>4.1666666666666664E-2</v>
      </c>
      <c r="J3927" s="368">
        <v>4.8611111111111112E-2</v>
      </c>
      <c r="K3927" s="370">
        <v>11</v>
      </c>
      <c r="L3927" s="370">
        <v>19</v>
      </c>
      <c r="M3927" s="371">
        <v>25.2</v>
      </c>
      <c r="N3927" s="671">
        <f t="shared" ref="N3927" si="488">IF(M3927-P3927&gt;0,M3927-P3927,0)</f>
        <v>4.0999999999999979</v>
      </c>
      <c r="O3927" s="671">
        <f>O3926-K3927/(PI()*(U3923/2000)^2)</f>
        <v>13.167729177657231</v>
      </c>
      <c r="P3927" s="373">
        <v>21.1</v>
      </c>
      <c r="Q3927" s="673">
        <f t="shared" ref="Q3927" si="489">ABS(O3927-P3927)</f>
        <v>7.9322708223427707</v>
      </c>
      <c r="R3927" s="958" t="s">
        <v>188</v>
      </c>
      <c r="S3927" s="366"/>
      <c r="T3927" s="376"/>
      <c r="U3927" s="376"/>
      <c r="V3927" s="366"/>
      <c r="W3927" s="366"/>
    </row>
    <row r="3928" spans="1:23" ht="18.75" customHeight="1">
      <c r="A3928" s="1410"/>
      <c r="B3928" s="1413"/>
      <c r="C3928" s="1206" t="s">
        <v>986</v>
      </c>
      <c r="D3928" s="875" t="str">
        <f>B3925&amp;C3928</f>
        <v>A162d</v>
      </c>
      <c r="E3928" s="367">
        <v>3</v>
      </c>
      <c r="F3928" s="669" t="s">
        <v>1160</v>
      </c>
      <c r="G3928" s="368">
        <v>0.99930555555555556</v>
      </c>
      <c r="H3928" s="368">
        <v>4.5138888888888888E-2</v>
      </c>
      <c r="I3928" s="368">
        <v>5.5555555555555552E-2</v>
      </c>
      <c r="J3928" s="368">
        <v>6.25E-2</v>
      </c>
      <c r="K3928" s="370">
        <v>10</v>
      </c>
      <c r="L3928" s="370">
        <v>19</v>
      </c>
      <c r="M3928" s="371">
        <v>18.899999999999999</v>
      </c>
      <c r="N3928" s="671"/>
      <c r="O3928" s="671"/>
      <c r="P3928" s="373">
        <v>12.5</v>
      </c>
      <c r="Q3928" s="673"/>
      <c r="R3928" s="958" t="s">
        <v>188</v>
      </c>
      <c r="S3928" s="366"/>
      <c r="T3928" s="376"/>
      <c r="U3928" s="376"/>
      <c r="V3928" s="366"/>
      <c r="W3928" s="366"/>
    </row>
    <row r="3929" spans="1:23" ht="18.75" customHeight="1">
      <c r="A3929" s="1410"/>
      <c r="B3929" s="1413"/>
      <c r="C3929" s="1206" t="s">
        <v>987</v>
      </c>
      <c r="D3929" s="875" t="str">
        <f>B3925&amp;C3929</f>
        <v>A162e</v>
      </c>
      <c r="E3929" s="367">
        <v>4</v>
      </c>
      <c r="F3929" s="669" t="s">
        <v>1156</v>
      </c>
      <c r="G3929" s="368">
        <v>5.9722222222222225E-2</v>
      </c>
      <c r="H3929" s="368">
        <v>7.9861111111111105E-2</v>
      </c>
      <c r="I3929" s="368">
        <v>8.3333333333333329E-2</v>
      </c>
      <c r="J3929" s="368">
        <v>8.6805555555555566E-2</v>
      </c>
      <c r="K3929" s="370">
        <v>8</v>
      </c>
      <c r="L3929" s="370">
        <v>19</v>
      </c>
      <c r="M3929" s="371">
        <v>12.6</v>
      </c>
      <c r="N3929" s="671"/>
      <c r="O3929" s="671"/>
      <c r="P3929" s="373">
        <v>6.4</v>
      </c>
      <c r="Q3929" s="673"/>
      <c r="R3929" s="958"/>
      <c r="S3929" s="366"/>
      <c r="T3929" s="376"/>
      <c r="U3929" s="376"/>
      <c r="V3929" s="366"/>
      <c r="W3929" s="366"/>
    </row>
    <row r="3930" spans="1:23" ht="18.75" customHeight="1">
      <c r="A3930" s="1410"/>
      <c r="B3930" s="1413"/>
      <c r="C3930" s="1206" t="s">
        <v>988</v>
      </c>
      <c r="D3930" s="875" t="str">
        <f>B3925&amp;C3930</f>
        <v>A162f</v>
      </c>
      <c r="E3930" s="367">
        <v>5</v>
      </c>
      <c r="F3930" s="370"/>
      <c r="G3930" s="368"/>
      <c r="H3930" s="368"/>
      <c r="I3930" s="368"/>
      <c r="J3930" s="368"/>
      <c r="K3930" s="370"/>
      <c r="L3930" s="370"/>
      <c r="M3930" s="371"/>
      <c r="N3930" s="671"/>
      <c r="O3930" s="671"/>
      <c r="P3930" s="373"/>
      <c r="Q3930" s="673"/>
      <c r="R3930" s="958"/>
      <c r="S3930" s="366" t="s">
        <v>190</v>
      </c>
      <c r="T3930" s="376"/>
      <c r="U3930" s="376"/>
      <c r="V3930" s="366"/>
      <c r="W3930" s="366"/>
    </row>
    <row r="3931" spans="1:23" ht="18.75" customHeight="1">
      <c r="A3931" s="1410"/>
      <c r="B3931" s="1413"/>
      <c r="C3931" s="1206" t="s">
        <v>989</v>
      </c>
      <c r="D3931" s="875" t="str">
        <f>B3925&amp;C3931</f>
        <v>A162g</v>
      </c>
      <c r="E3931" s="367">
        <v>6</v>
      </c>
      <c r="F3931" s="370"/>
      <c r="G3931" s="368"/>
      <c r="H3931" s="368"/>
      <c r="I3931" s="368"/>
      <c r="J3931" s="368"/>
      <c r="K3931" s="370"/>
      <c r="L3931" s="370"/>
      <c r="M3931" s="371"/>
      <c r="N3931" s="671"/>
      <c r="O3931" s="671"/>
      <c r="P3931" s="373"/>
      <c r="Q3931" s="673"/>
      <c r="R3931" s="958"/>
      <c r="S3931" s="366" t="s">
        <v>190</v>
      </c>
      <c r="T3931" s="366"/>
      <c r="U3931" s="366"/>
      <c r="V3931" s="366"/>
      <c r="W3931" s="366"/>
    </row>
    <row r="3932" spans="1:23" ht="18.75" customHeight="1">
      <c r="A3932" s="1410"/>
      <c r="B3932" s="1413"/>
      <c r="C3932" s="1206" t="s">
        <v>990</v>
      </c>
      <c r="D3932" s="875" t="str">
        <f>B3925&amp;C3932</f>
        <v>A162h</v>
      </c>
      <c r="E3932" s="367">
        <v>7</v>
      </c>
      <c r="F3932" s="370"/>
      <c r="G3932" s="368"/>
      <c r="H3932" s="368"/>
      <c r="I3932" s="368"/>
      <c r="J3932" s="368"/>
      <c r="K3932" s="370"/>
      <c r="L3932" s="370"/>
      <c r="M3932" s="371"/>
      <c r="N3932" s="671"/>
      <c r="O3932" s="671"/>
      <c r="P3932" s="373"/>
      <c r="Q3932" s="673"/>
      <c r="R3932" s="958"/>
      <c r="S3932" s="366" t="s">
        <v>190</v>
      </c>
      <c r="T3932" s="366"/>
      <c r="U3932" s="366"/>
      <c r="V3932" s="366"/>
      <c r="W3932" s="366"/>
    </row>
    <row r="3933" spans="1:23" ht="18.75" customHeight="1">
      <c r="A3933" s="1410"/>
      <c r="B3933" s="1413"/>
      <c r="C3933" s="1206" t="s">
        <v>991</v>
      </c>
      <c r="D3933" s="875" t="str">
        <f>B3925&amp;C3933</f>
        <v>A162i</v>
      </c>
      <c r="E3933" s="367">
        <v>8</v>
      </c>
      <c r="F3933" s="370"/>
      <c r="G3933" s="368"/>
      <c r="H3933" s="368"/>
      <c r="I3933" s="368"/>
      <c r="J3933" s="368"/>
      <c r="K3933" s="370"/>
      <c r="L3933" s="370"/>
      <c r="M3933" s="371"/>
      <c r="N3933" s="671"/>
      <c r="O3933" s="671"/>
      <c r="P3933" s="373"/>
      <c r="Q3933" s="673"/>
      <c r="R3933" s="958"/>
      <c r="S3933" s="366"/>
      <c r="T3933" s="366"/>
      <c r="U3933" s="366"/>
      <c r="V3933" s="366"/>
      <c r="W3933" s="366"/>
    </row>
    <row r="3934" spans="1:23" ht="18.75" customHeight="1">
      <c r="A3934" s="1410"/>
      <c r="B3934" s="1413"/>
      <c r="C3934" s="1206" t="s">
        <v>992</v>
      </c>
      <c r="D3934" s="875" t="str">
        <f>B3925&amp;C3934</f>
        <v>A162k</v>
      </c>
      <c r="E3934" s="367">
        <v>9</v>
      </c>
      <c r="F3934" s="370"/>
      <c r="G3934" s="368"/>
      <c r="H3934" s="368"/>
      <c r="I3934" s="368"/>
      <c r="J3934" s="368"/>
      <c r="K3934" s="370"/>
      <c r="L3934" s="370"/>
      <c r="M3934" s="371"/>
      <c r="N3934" s="372"/>
      <c r="O3934" s="372"/>
      <c r="P3934" s="373"/>
      <c r="Q3934" s="374"/>
      <c r="R3934" s="378"/>
      <c r="S3934" s="379"/>
      <c r="T3934" s="366"/>
      <c r="U3934" s="366"/>
      <c r="V3934" s="366"/>
      <c r="W3934" s="366"/>
    </row>
    <row r="3935" spans="1:23" ht="18.75" customHeight="1">
      <c r="A3935" s="1410"/>
      <c r="B3935" s="1413"/>
      <c r="C3935" s="1206" t="s">
        <v>993</v>
      </c>
      <c r="D3935" s="875" t="str">
        <f>B3925&amp;C3935</f>
        <v>A162l</v>
      </c>
      <c r="E3935" s="367">
        <v>10</v>
      </c>
      <c r="F3935" s="370"/>
      <c r="G3935" s="368"/>
      <c r="H3935" s="368"/>
      <c r="I3935" s="368"/>
      <c r="J3935" s="368"/>
      <c r="K3935" s="370"/>
      <c r="L3935" s="370"/>
      <c r="M3935" s="370"/>
      <c r="N3935" s="372"/>
      <c r="O3935" s="372"/>
      <c r="P3935" s="373"/>
      <c r="Q3935" s="374"/>
      <c r="R3935" s="378"/>
      <c r="S3935" s="379"/>
      <c r="T3935" s="366"/>
      <c r="U3935" s="366"/>
      <c r="V3935" s="366"/>
      <c r="W3935" s="366"/>
    </row>
    <row r="3936" spans="1:23" ht="18.75" customHeight="1">
      <c r="A3936" s="1410"/>
      <c r="B3936" s="1413"/>
      <c r="C3936" s="1206" t="s">
        <v>994</v>
      </c>
      <c r="D3936" s="875" t="str">
        <f>B3925&amp;C3936</f>
        <v>A162m</v>
      </c>
      <c r="E3936" s="367">
        <v>11</v>
      </c>
      <c r="F3936" s="370"/>
      <c r="G3936" s="368"/>
      <c r="H3936" s="368"/>
      <c r="I3936" s="368"/>
      <c r="J3936" s="368"/>
      <c r="K3936" s="370"/>
      <c r="L3936" s="370"/>
      <c r="M3936" s="370"/>
      <c r="N3936" s="372"/>
      <c r="O3936" s="372"/>
      <c r="P3936" s="380"/>
      <c r="Q3936" s="374"/>
      <c r="R3936" s="381"/>
      <c r="S3936" s="379"/>
      <c r="T3936" s="366"/>
      <c r="U3936" s="366"/>
      <c r="V3936" s="366"/>
      <c r="W3936" s="366"/>
    </row>
    <row r="3937" spans="1:23" ht="18.75" customHeight="1">
      <c r="A3937" s="1410"/>
      <c r="B3937" s="1413"/>
      <c r="C3937" s="1206" t="s">
        <v>995</v>
      </c>
      <c r="D3937" s="875" t="str">
        <f>B3925&amp;C3937</f>
        <v>A162n</v>
      </c>
      <c r="E3937" s="367">
        <v>12</v>
      </c>
      <c r="F3937" s="370"/>
      <c r="G3937" s="368"/>
      <c r="H3937" s="368"/>
      <c r="I3937" s="368"/>
      <c r="J3937" s="368"/>
      <c r="K3937" s="370"/>
      <c r="L3937" s="370"/>
      <c r="M3937" s="370"/>
      <c r="N3937" s="372"/>
      <c r="O3937" s="372"/>
      <c r="P3937" s="380"/>
      <c r="Q3937" s="374"/>
      <c r="R3937" s="381"/>
      <c r="S3937" s="361"/>
      <c r="T3937" s="361"/>
      <c r="U3937" s="361"/>
      <c r="V3937" s="366"/>
      <c r="W3937" s="366"/>
    </row>
    <row r="3938" spans="1:23" ht="18.75" customHeight="1">
      <c r="A3938" s="1410"/>
      <c r="B3938" s="1413"/>
      <c r="C3938" s="1206" t="s">
        <v>471</v>
      </c>
      <c r="D3938" s="875" t="str">
        <f>B3925&amp;C3938</f>
        <v>A162x</v>
      </c>
      <c r="E3938" s="367">
        <v>13</v>
      </c>
      <c r="F3938" s="370"/>
      <c r="G3938" s="368"/>
      <c r="H3938" s="368"/>
      <c r="I3938" s="368"/>
      <c r="J3938" s="368"/>
      <c r="K3938" s="370"/>
      <c r="L3938" s="370"/>
      <c r="M3938" s="370"/>
      <c r="N3938" s="382"/>
      <c r="O3938" s="372"/>
      <c r="P3938" s="380"/>
      <c r="Q3938" s="381"/>
      <c r="R3938" s="381"/>
      <c r="S3938" s="361"/>
      <c r="T3938" s="361"/>
      <c r="U3938" s="361"/>
      <c r="V3938" s="366"/>
      <c r="W3938" s="366"/>
    </row>
    <row r="3939" spans="1:23" ht="18.75" customHeight="1">
      <c r="A3939" s="1410"/>
      <c r="B3939" s="1413"/>
      <c r="C3939" s="1206" t="s">
        <v>732</v>
      </c>
      <c r="D3939" s="875" t="str">
        <f>B3925&amp;C3939</f>
        <v>A162y</v>
      </c>
      <c r="E3939" s="367">
        <v>14</v>
      </c>
      <c r="F3939" s="370"/>
      <c r="G3939" s="368"/>
      <c r="H3939" s="368"/>
      <c r="I3939" s="368"/>
      <c r="J3939" s="368"/>
      <c r="K3939" s="370"/>
      <c r="L3939" s="370"/>
      <c r="M3939" s="370"/>
      <c r="N3939" s="382"/>
      <c r="O3939" s="372"/>
      <c r="P3939" s="380"/>
      <c r="Q3939" s="381"/>
      <c r="R3939" s="381"/>
      <c r="S3939" s="361"/>
      <c r="T3939" s="361"/>
      <c r="U3939" s="362"/>
      <c r="V3939" s="366"/>
      <c r="W3939" s="366"/>
    </row>
    <row r="3940" spans="1:23" ht="18.75" customHeight="1">
      <c r="A3940" s="1411"/>
      <c r="B3940" s="1414"/>
      <c r="C3940" s="1207" t="s">
        <v>996</v>
      </c>
      <c r="D3940" s="876" t="str">
        <f>B3925&amp;C3940</f>
        <v>A162z</v>
      </c>
      <c r="E3940" s="847">
        <v>15</v>
      </c>
      <c r="F3940" s="370"/>
      <c r="G3940" s="368"/>
      <c r="H3940" s="368"/>
      <c r="I3940" s="368"/>
      <c r="J3940" s="368"/>
      <c r="K3940" s="370"/>
      <c r="L3940" s="370"/>
      <c r="M3940" s="370"/>
      <c r="N3940" s="850"/>
      <c r="O3940" s="851"/>
      <c r="P3940" s="380"/>
      <c r="Q3940" s="852"/>
      <c r="R3940" s="383"/>
      <c r="S3940" s="361"/>
      <c r="T3940" s="1204"/>
      <c r="U3940" s="1203"/>
      <c r="V3940" s="366"/>
      <c r="W3940" s="366"/>
    </row>
    <row r="3941" spans="1:23">
      <c r="A3941" s="1400" t="s">
        <v>939</v>
      </c>
      <c r="B3941" s="1400"/>
      <c r="C3941" s="1200"/>
      <c r="D3941" s="871"/>
      <c r="E3941" s="1400" t="s">
        <v>177</v>
      </c>
      <c r="F3941" s="1400" t="s">
        <v>18</v>
      </c>
      <c r="G3941" s="1389" t="s">
        <v>19</v>
      </c>
      <c r="H3941" s="1390"/>
      <c r="I3941" s="1389" t="s">
        <v>22</v>
      </c>
      <c r="J3941" s="1390"/>
      <c r="K3941" s="1393" t="s">
        <v>26</v>
      </c>
      <c r="L3941" s="1390"/>
      <c r="M3941" s="1389" t="s">
        <v>392</v>
      </c>
      <c r="N3941" s="1390"/>
      <c r="O3941" s="1389" t="s">
        <v>28</v>
      </c>
      <c r="P3941" s="1393"/>
      <c r="Q3941" s="1390"/>
      <c r="R3941" s="1400" t="s">
        <v>36</v>
      </c>
      <c r="S3941" s="361"/>
      <c r="T3941" s="361">
        <f>MAX(J3945:J3959)-MIN(I3945:I3959)</f>
        <v>1.736111111111116E-2</v>
      </c>
      <c r="U3941" s="361"/>
      <c r="V3941" s="853" t="str">
        <f t="shared" ref="V3941" si="490">B3945</f>
        <v>B21</v>
      </c>
      <c r="W3941" s="361">
        <f t="shared" ref="W3941" si="491">COUNTIF(K3946:K3960,"&gt;0")</f>
        <v>2</v>
      </c>
    </row>
    <row r="3942" spans="1:23">
      <c r="A3942" s="1401"/>
      <c r="B3942" s="1401"/>
      <c r="C3942" s="1202"/>
      <c r="D3942" s="872"/>
      <c r="E3942" s="1401"/>
      <c r="F3942" s="1401"/>
      <c r="G3942" s="1391"/>
      <c r="H3942" s="1392"/>
      <c r="I3942" s="1391"/>
      <c r="J3942" s="1392"/>
      <c r="K3942" s="1394"/>
      <c r="L3942" s="1392"/>
      <c r="M3942" s="1391"/>
      <c r="N3942" s="1392"/>
      <c r="O3942" s="1391"/>
      <c r="P3942" s="1394"/>
      <c r="Q3942" s="1392"/>
      <c r="R3942" s="1401"/>
      <c r="S3942" s="361"/>
      <c r="T3942" s="361"/>
      <c r="U3942" s="361"/>
      <c r="V3942" s="361"/>
      <c r="W3942" s="361"/>
    </row>
    <row r="3943" spans="1:23">
      <c r="A3943" s="1401"/>
      <c r="B3943" s="1401"/>
      <c r="C3943" s="1202"/>
      <c r="D3943" s="872"/>
      <c r="E3943" s="1401"/>
      <c r="F3943" s="1401"/>
      <c r="G3943" s="1400" t="s">
        <v>20</v>
      </c>
      <c r="H3943" s="1400" t="s">
        <v>21</v>
      </c>
      <c r="I3943" s="1400" t="s">
        <v>361</v>
      </c>
      <c r="J3943" s="1400" t="s">
        <v>353</v>
      </c>
      <c r="K3943" s="1400" t="s">
        <v>23</v>
      </c>
      <c r="L3943" s="1400" t="s">
        <v>24</v>
      </c>
      <c r="M3943" s="1400" t="s">
        <v>27</v>
      </c>
      <c r="N3943" s="1400" t="s">
        <v>178</v>
      </c>
      <c r="O3943" s="1400" t="s">
        <v>1</v>
      </c>
      <c r="P3943" s="1400" t="s">
        <v>29</v>
      </c>
      <c r="Q3943" s="1400" t="s">
        <v>33</v>
      </c>
      <c r="R3943" s="1401"/>
      <c r="S3943" s="361"/>
      <c r="T3943" s="361" t="s">
        <v>39</v>
      </c>
      <c r="U3943" s="362">
        <f>VLOOKUP(B3945,'[8]Thong tin'!$A:$M,13,0)</f>
        <v>800</v>
      </c>
      <c r="V3943" s="361"/>
      <c r="W3943" s="361"/>
    </row>
    <row r="3944" spans="1:23">
      <c r="A3944" s="1402"/>
      <c r="B3944" s="1402"/>
      <c r="C3944" s="1201"/>
      <c r="D3944" s="873"/>
      <c r="E3944" s="1402"/>
      <c r="F3944" s="1402"/>
      <c r="G3944" s="1402"/>
      <c r="H3944" s="1402"/>
      <c r="I3944" s="1402"/>
      <c r="J3944" s="1402"/>
      <c r="K3944" s="1402"/>
      <c r="L3944" s="1402"/>
      <c r="M3944" s="1402"/>
      <c r="N3944" s="1402"/>
      <c r="O3944" s="1402"/>
      <c r="P3944" s="1402"/>
      <c r="Q3944" s="1402"/>
      <c r="R3944" s="1402"/>
      <c r="S3944" s="361"/>
      <c r="T3944" s="1399" t="s">
        <v>393</v>
      </c>
      <c r="U3944" s="1397">
        <f>VLOOKUP(B3945,[8]DT.NK!$B:$AZ,45,0)</f>
        <v>32.409999999999997</v>
      </c>
      <c r="V3944" s="361"/>
      <c r="W3944" s="361"/>
    </row>
    <row r="3945" spans="1:23" ht="18.75" customHeight="1">
      <c r="A3945" s="1409">
        <f>A3925+1</f>
        <v>198</v>
      </c>
      <c r="B3945" s="1412" t="s">
        <v>513</v>
      </c>
      <c r="C3945" s="1205" t="s">
        <v>983</v>
      </c>
      <c r="D3945" s="874" t="str">
        <f>B3945&amp;C3945</f>
        <v>B21a</v>
      </c>
      <c r="E3945" s="363"/>
      <c r="F3945" s="364"/>
      <c r="G3945" s="364"/>
      <c r="H3945" s="364"/>
      <c r="I3945" s="364"/>
      <c r="J3945" s="364"/>
      <c r="K3945" s="364"/>
      <c r="L3945" s="364"/>
      <c r="M3945" s="674"/>
      <c r="N3945" s="670"/>
      <c r="O3945" s="670">
        <f>U3944</f>
        <v>32.409999999999997</v>
      </c>
      <c r="P3945" s="670">
        <f>O3945</f>
        <v>32.409999999999997</v>
      </c>
      <c r="Q3945" s="670">
        <v>0</v>
      </c>
      <c r="R3945" s="365"/>
      <c r="S3945" s="366"/>
      <c r="T3945" s="1399"/>
      <c r="U3945" s="1398"/>
      <c r="V3945" s="361"/>
      <c r="W3945" s="361"/>
    </row>
    <row r="3946" spans="1:23" ht="18.75" customHeight="1">
      <c r="A3946" s="1410"/>
      <c r="B3946" s="1413"/>
      <c r="C3946" s="1206" t="s">
        <v>984</v>
      </c>
      <c r="D3946" s="875" t="str">
        <f>B3945&amp;C3946</f>
        <v>B21b</v>
      </c>
      <c r="E3946" s="367">
        <v>1</v>
      </c>
      <c r="F3946" s="669" t="s">
        <v>1160</v>
      </c>
      <c r="G3946" s="369">
        <v>0.89930555555555547</v>
      </c>
      <c r="H3946" s="368">
        <v>0.92361111111111116</v>
      </c>
      <c r="I3946" s="368">
        <v>0.94097222222222221</v>
      </c>
      <c r="J3946" s="368">
        <v>0.94444444444444453</v>
      </c>
      <c r="K3946" s="669">
        <v>9</v>
      </c>
      <c r="L3946" s="669">
        <v>19</v>
      </c>
      <c r="M3946" s="675">
        <v>25.2</v>
      </c>
      <c r="N3946" s="671">
        <f>IF(M3946-P3946&gt;0,M3946-P3946,0)</f>
        <v>5.8900000000000006</v>
      </c>
      <c r="O3946" s="671">
        <f>O3945-K3946/(PI()*(U3943/2000)^2)</f>
        <v>14.505068902161771</v>
      </c>
      <c r="P3946" s="672">
        <v>19.309999999999999</v>
      </c>
      <c r="Q3946" s="673">
        <f>ABS(O3946-P3946)</f>
        <v>4.804931097838228</v>
      </c>
      <c r="R3946" s="375" t="s">
        <v>188</v>
      </c>
      <c r="S3946" s="366"/>
      <c r="T3946" s="376"/>
      <c r="U3946" s="376"/>
      <c r="V3946" s="366"/>
      <c r="W3946" s="366"/>
    </row>
    <row r="3947" spans="1:23" ht="18.75" customHeight="1">
      <c r="A3947" s="1410"/>
      <c r="B3947" s="1413"/>
      <c r="C3947" s="1206" t="s">
        <v>985</v>
      </c>
      <c r="D3947" s="875" t="str">
        <f>B3945&amp;C3947</f>
        <v>B21c</v>
      </c>
      <c r="E3947" s="367">
        <v>2</v>
      </c>
      <c r="F3947" s="669" t="s">
        <v>1156</v>
      </c>
      <c r="G3947" s="368">
        <v>0.90833333333333333</v>
      </c>
      <c r="H3947" s="368">
        <v>0.93055555555555547</v>
      </c>
      <c r="I3947" s="368">
        <v>0.95486111111111116</v>
      </c>
      <c r="J3947" s="368">
        <v>0.95833333333333337</v>
      </c>
      <c r="K3947" s="370">
        <v>8</v>
      </c>
      <c r="L3947" s="370">
        <v>19</v>
      </c>
      <c r="M3947" s="371">
        <v>9.4499999999999993</v>
      </c>
      <c r="N3947" s="671">
        <f t="shared" ref="N3947" si="492">IF(M3947-P3947&gt;0,M3947-P3947,0)</f>
        <v>4.9499999999999993</v>
      </c>
      <c r="O3947" s="671">
        <f>O3946-K3947/(PI()*(U3943/2000)^2)</f>
        <v>-1.4104254070277626</v>
      </c>
      <c r="P3947" s="373">
        <v>4.5</v>
      </c>
      <c r="Q3947" s="673">
        <f t="shared" ref="Q3947" si="493">ABS(O3947-P3947)</f>
        <v>5.9104254070277626</v>
      </c>
      <c r="R3947" s="958" t="s">
        <v>188</v>
      </c>
      <c r="S3947" s="366"/>
      <c r="T3947" s="376"/>
      <c r="U3947" s="376"/>
      <c r="V3947" s="366"/>
      <c r="W3947" s="366"/>
    </row>
    <row r="3948" spans="1:23" ht="18.75" customHeight="1">
      <c r="A3948" s="1410"/>
      <c r="B3948" s="1413"/>
      <c r="C3948" s="1206" t="s">
        <v>986</v>
      </c>
      <c r="D3948" s="875" t="str">
        <f>B3945&amp;C3948</f>
        <v>B21d</v>
      </c>
      <c r="E3948" s="367">
        <v>3</v>
      </c>
      <c r="F3948" s="370"/>
      <c r="G3948" s="368"/>
      <c r="H3948" s="368"/>
      <c r="I3948" s="368"/>
      <c r="J3948" s="368"/>
      <c r="K3948" s="370"/>
      <c r="L3948" s="370"/>
      <c r="M3948" s="371"/>
      <c r="N3948" s="671"/>
      <c r="O3948" s="671"/>
      <c r="P3948" s="373"/>
      <c r="Q3948" s="673"/>
      <c r="R3948" s="958"/>
      <c r="S3948" s="366"/>
      <c r="T3948" s="376"/>
      <c r="U3948" s="376"/>
      <c r="V3948" s="366"/>
      <c r="W3948" s="366"/>
    </row>
    <row r="3949" spans="1:23" ht="18.75" customHeight="1">
      <c r="A3949" s="1410"/>
      <c r="B3949" s="1413"/>
      <c r="C3949" s="1206" t="s">
        <v>987</v>
      </c>
      <c r="D3949" s="875" t="str">
        <f>B3945&amp;C3949</f>
        <v>B21e</v>
      </c>
      <c r="E3949" s="367">
        <v>4</v>
      </c>
      <c r="F3949" s="370"/>
      <c r="G3949" s="368"/>
      <c r="H3949" s="368"/>
      <c r="I3949" s="368"/>
      <c r="J3949" s="368"/>
      <c r="K3949" s="370"/>
      <c r="L3949" s="370"/>
      <c r="M3949" s="371"/>
      <c r="N3949" s="671"/>
      <c r="O3949" s="671"/>
      <c r="P3949" s="373"/>
      <c r="Q3949" s="673"/>
      <c r="R3949" s="958"/>
      <c r="S3949" s="366"/>
      <c r="T3949" s="376"/>
      <c r="U3949" s="376"/>
      <c r="V3949" s="366"/>
      <c r="W3949" s="366"/>
    </row>
    <row r="3950" spans="1:23" ht="18.75" customHeight="1">
      <c r="A3950" s="1410"/>
      <c r="B3950" s="1413"/>
      <c r="C3950" s="1206" t="s">
        <v>988</v>
      </c>
      <c r="D3950" s="875" t="str">
        <f>B3945&amp;C3950</f>
        <v>B21f</v>
      </c>
      <c r="E3950" s="367">
        <v>5</v>
      </c>
      <c r="F3950" s="370"/>
      <c r="G3950" s="368"/>
      <c r="H3950" s="368"/>
      <c r="I3950" s="368"/>
      <c r="J3950" s="368"/>
      <c r="K3950" s="370"/>
      <c r="L3950" s="370"/>
      <c r="M3950" s="371"/>
      <c r="N3950" s="671"/>
      <c r="O3950" s="671"/>
      <c r="P3950" s="373"/>
      <c r="Q3950" s="673"/>
      <c r="R3950" s="958"/>
      <c r="S3950" s="366" t="s">
        <v>190</v>
      </c>
      <c r="T3950" s="376"/>
      <c r="U3950" s="376"/>
      <c r="V3950" s="366"/>
      <c r="W3950" s="366"/>
    </row>
    <row r="3951" spans="1:23" ht="18.75" customHeight="1">
      <c r="A3951" s="1410"/>
      <c r="B3951" s="1413"/>
      <c r="C3951" s="1206" t="s">
        <v>989</v>
      </c>
      <c r="D3951" s="875" t="str">
        <f>B3945&amp;C3951</f>
        <v>B21g</v>
      </c>
      <c r="E3951" s="367">
        <v>6</v>
      </c>
      <c r="F3951" s="370"/>
      <c r="G3951" s="368"/>
      <c r="H3951" s="368"/>
      <c r="I3951" s="368"/>
      <c r="J3951" s="368"/>
      <c r="K3951" s="370"/>
      <c r="L3951" s="370"/>
      <c r="M3951" s="371"/>
      <c r="N3951" s="671"/>
      <c r="O3951" s="671"/>
      <c r="P3951" s="373"/>
      <c r="Q3951" s="673"/>
      <c r="R3951" s="958"/>
      <c r="S3951" s="366" t="s">
        <v>190</v>
      </c>
      <c r="T3951" s="366"/>
      <c r="U3951" s="366"/>
      <c r="V3951" s="366"/>
      <c r="W3951" s="366"/>
    </row>
    <row r="3952" spans="1:23" ht="18.75" customHeight="1">
      <c r="A3952" s="1410"/>
      <c r="B3952" s="1413"/>
      <c r="C3952" s="1206" t="s">
        <v>990</v>
      </c>
      <c r="D3952" s="875" t="str">
        <f>B3945&amp;C3952</f>
        <v>B21h</v>
      </c>
      <c r="E3952" s="367">
        <v>7</v>
      </c>
      <c r="F3952" s="370"/>
      <c r="G3952" s="368"/>
      <c r="H3952" s="368"/>
      <c r="I3952" s="368"/>
      <c r="J3952" s="368"/>
      <c r="K3952" s="370"/>
      <c r="L3952" s="370"/>
      <c r="M3952" s="371"/>
      <c r="N3952" s="671"/>
      <c r="O3952" s="671"/>
      <c r="P3952" s="373"/>
      <c r="Q3952" s="673"/>
      <c r="R3952" s="958"/>
      <c r="S3952" s="366" t="s">
        <v>190</v>
      </c>
      <c r="T3952" s="366"/>
      <c r="U3952" s="366"/>
      <c r="V3952" s="366"/>
      <c r="W3952" s="366"/>
    </row>
    <row r="3953" spans="1:23" ht="18.75" customHeight="1">
      <c r="A3953" s="1410"/>
      <c r="B3953" s="1413"/>
      <c r="C3953" s="1206" t="s">
        <v>991</v>
      </c>
      <c r="D3953" s="875" t="str">
        <f>B3945&amp;C3953</f>
        <v>B21i</v>
      </c>
      <c r="E3953" s="367">
        <v>8</v>
      </c>
      <c r="F3953" s="370"/>
      <c r="G3953" s="368"/>
      <c r="H3953" s="368"/>
      <c r="I3953" s="368"/>
      <c r="J3953" s="368"/>
      <c r="K3953" s="370"/>
      <c r="L3953" s="370"/>
      <c r="M3953" s="371"/>
      <c r="N3953" s="671"/>
      <c r="O3953" s="671"/>
      <c r="P3953" s="373"/>
      <c r="Q3953" s="673"/>
      <c r="R3953" s="958"/>
      <c r="S3953" s="366"/>
      <c r="T3953" s="366"/>
      <c r="U3953" s="366"/>
      <c r="V3953" s="366"/>
      <c r="W3953" s="366"/>
    </row>
    <row r="3954" spans="1:23" ht="18.75" customHeight="1">
      <c r="A3954" s="1410"/>
      <c r="B3954" s="1413"/>
      <c r="C3954" s="1206" t="s">
        <v>992</v>
      </c>
      <c r="D3954" s="875" t="str">
        <f>B3945&amp;C3954</f>
        <v>B21k</v>
      </c>
      <c r="E3954" s="367">
        <v>9</v>
      </c>
      <c r="F3954" s="370"/>
      <c r="G3954" s="368"/>
      <c r="H3954" s="368"/>
      <c r="I3954" s="368"/>
      <c r="J3954" s="368"/>
      <c r="K3954" s="370"/>
      <c r="L3954" s="370"/>
      <c r="M3954" s="371"/>
      <c r="N3954" s="372"/>
      <c r="O3954" s="372"/>
      <c r="P3954" s="373"/>
      <c r="Q3954" s="374"/>
      <c r="R3954" s="378"/>
      <c r="S3954" s="379"/>
      <c r="T3954" s="366"/>
      <c r="U3954" s="366"/>
      <c r="V3954" s="366"/>
      <c r="W3954" s="366"/>
    </row>
    <row r="3955" spans="1:23" ht="18.75" customHeight="1">
      <c r="A3955" s="1410"/>
      <c r="B3955" s="1413"/>
      <c r="C3955" s="1206" t="s">
        <v>993</v>
      </c>
      <c r="D3955" s="875" t="str">
        <f>B3945&amp;C3955</f>
        <v>B21l</v>
      </c>
      <c r="E3955" s="367">
        <v>10</v>
      </c>
      <c r="F3955" s="370"/>
      <c r="G3955" s="368"/>
      <c r="H3955" s="368"/>
      <c r="I3955" s="368"/>
      <c r="J3955" s="368"/>
      <c r="K3955" s="370"/>
      <c r="L3955" s="370"/>
      <c r="M3955" s="370"/>
      <c r="N3955" s="372"/>
      <c r="O3955" s="372"/>
      <c r="P3955" s="373"/>
      <c r="Q3955" s="374"/>
      <c r="R3955" s="378"/>
      <c r="S3955" s="379"/>
      <c r="T3955" s="366"/>
      <c r="U3955" s="366"/>
      <c r="V3955" s="366"/>
      <c r="W3955" s="366"/>
    </row>
    <row r="3956" spans="1:23" ht="18.75" customHeight="1">
      <c r="A3956" s="1410"/>
      <c r="B3956" s="1413"/>
      <c r="C3956" s="1206" t="s">
        <v>994</v>
      </c>
      <c r="D3956" s="875" t="str">
        <f>B3945&amp;C3956</f>
        <v>B21m</v>
      </c>
      <c r="E3956" s="367">
        <v>11</v>
      </c>
      <c r="F3956" s="370"/>
      <c r="G3956" s="368"/>
      <c r="H3956" s="368"/>
      <c r="I3956" s="368"/>
      <c r="J3956" s="368"/>
      <c r="K3956" s="370"/>
      <c r="L3956" s="370"/>
      <c r="M3956" s="370"/>
      <c r="N3956" s="372"/>
      <c r="O3956" s="372"/>
      <c r="P3956" s="380"/>
      <c r="Q3956" s="374"/>
      <c r="R3956" s="381"/>
      <c r="S3956" s="379"/>
      <c r="T3956" s="366"/>
      <c r="U3956" s="366"/>
      <c r="V3956" s="366"/>
      <c r="W3956" s="366"/>
    </row>
    <row r="3957" spans="1:23" ht="18.75" customHeight="1">
      <c r="A3957" s="1410"/>
      <c r="B3957" s="1413"/>
      <c r="C3957" s="1206" t="s">
        <v>995</v>
      </c>
      <c r="D3957" s="875" t="str">
        <f>B3945&amp;C3957</f>
        <v>B21n</v>
      </c>
      <c r="E3957" s="367">
        <v>12</v>
      </c>
      <c r="F3957" s="370"/>
      <c r="G3957" s="368"/>
      <c r="H3957" s="368"/>
      <c r="I3957" s="368"/>
      <c r="J3957" s="368"/>
      <c r="K3957" s="370"/>
      <c r="L3957" s="370"/>
      <c r="M3957" s="370"/>
      <c r="N3957" s="372"/>
      <c r="O3957" s="372"/>
      <c r="P3957" s="380"/>
      <c r="Q3957" s="374"/>
      <c r="R3957" s="381"/>
      <c r="S3957" s="361"/>
      <c r="T3957" s="361"/>
      <c r="U3957" s="361"/>
      <c r="V3957" s="366"/>
      <c r="W3957" s="366"/>
    </row>
    <row r="3958" spans="1:23" ht="18.75" customHeight="1">
      <c r="A3958" s="1410"/>
      <c r="B3958" s="1413"/>
      <c r="C3958" s="1206" t="s">
        <v>471</v>
      </c>
      <c r="D3958" s="875" t="str">
        <f>B3945&amp;C3958</f>
        <v>B21x</v>
      </c>
      <c r="E3958" s="367">
        <v>13</v>
      </c>
      <c r="F3958" s="370"/>
      <c r="G3958" s="368"/>
      <c r="H3958" s="368"/>
      <c r="I3958" s="368"/>
      <c r="J3958" s="368"/>
      <c r="K3958" s="370"/>
      <c r="L3958" s="370"/>
      <c r="M3958" s="370"/>
      <c r="N3958" s="382"/>
      <c r="O3958" s="372"/>
      <c r="P3958" s="380"/>
      <c r="Q3958" s="381"/>
      <c r="R3958" s="381"/>
      <c r="S3958" s="361"/>
      <c r="T3958" s="361"/>
      <c r="U3958" s="361"/>
      <c r="V3958" s="366"/>
      <c r="W3958" s="366"/>
    </row>
    <row r="3959" spans="1:23" ht="18.75" customHeight="1">
      <c r="A3959" s="1410"/>
      <c r="B3959" s="1413"/>
      <c r="C3959" s="1206" t="s">
        <v>732</v>
      </c>
      <c r="D3959" s="875" t="str">
        <f>B3945&amp;C3959</f>
        <v>B21y</v>
      </c>
      <c r="E3959" s="367">
        <v>14</v>
      </c>
      <c r="F3959" s="370"/>
      <c r="G3959" s="368"/>
      <c r="H3959" s="368"/>
      <c r="I3959" s="368"/>
      <c r="J3959" s="368"/>
      <c r="K3959" s="370"/>
      <c r="L3959" s="370"/>
      <c r="M3959" s="370"/>
      <c r="N3959" s="382"/>
      <c r="O3959" s="372"/>
      <c r="P3959" s="380"/>
      <c r="Q3959" s="381"/>
      <c r="R3959" s="381"/>
      <c r="S3959" s="361"/>
      <c r="T3959" s="361"/>
      <c r="U3959" s="362"/>
      <c r="V3959" s="366"/>
      <c r="W3959" s="366"/>
    </row>
    <row r="3960" spans="1:23" ht="18.75" customHeight="1">
      <c r="A3960" s="1411"/>
      <c r="B3960" s="1414"/>
      <c r="C3960" s="1207" t="s">
        <v>996</v>
      </c>
      <c r="D3960" s="876" t="str">
        <f>B3945&amp;C3960</f>
        <v>B21z</v>
      </c>
      <c r="E3960" s="847">
        <v>15</v>
      </c>
      <c r="F3960" s="370"/>
      <c r="G3960" s="368"/>
      <c r="H3960" s="368"/>
      <c r="I3960" s="368"/>
      <c r="J3960" s="368"/>
      <c r="K3960" s="370"/>
      <c r="L3960" s="370"/>
      <c r="M3960" s="370"/>
      <c r="N3960" s="850"/>
      <c r="O3960" s="851"/>
      <c r="P3960" s="380"/>
      <c r="Q3960" s="852"/>
      <c r="R3960" s="383"/>
      <c r="S3960" s="361"/>
      <c r="T3960" s="1204"/>
      <c r="U3960" s="1203"/>
      <c r="V3960" s="366"/>
      <c r="W3960" s="366"/>
    </row>
    <row r="3961" spans="1:23">
      <c r="A3961" s="1400" t="s">
        <v>939</v>
      </c>
      <c r="B3961" s="1400"/>
      <c r="C3961" s="1200"/>
      <c r="D3961" s="871"/>
      <c r="E3961" s="1400" t="s">
        <v>177</v>
      </c>
      <c r="F3961" s="1400" t="s">
        <v>18</v>
      </c>
      <c r="G3961" s="1389" t="s">
        <v>19</v>
      </c>
      <c r="H3961" s="1390"/>
      <c r="I3961" s="1389" t="s">
        <v>22</v>
      </c>
      <c r="J3961" s="1390"/>
      <c r="K3961" s="1393" t="s">
        <v>26</v>
      </c>
      <c r="L3961" s="1390"/>
      <c r="M3961" s="1389" t="s">
        <v>392</v>
      </c>
      <c r="N3961" s="1390"/>
      <c r="O3961" s="1389" t="s">
        <v>28</v>
      </c>
      <c r="P3961" s="1393"/>
      <c r="Q3961" s="1390"/>
      <c r="R3961" s="1400" t="s">
        <v>36</v>
      </c>
      <c r="S3961" s="361"/>
      <c r="T3961" s="361">
        <f>MAX(J3965:J3979)-MIN(I3965:I3979)</f>
        <v>2.4305555555555566E-2</v>
      </c>
      <c r="U3961" s="361"/>
      <c r="V3961" s="853" t="str">
        <f t="shared" ref="V3961" si="494">B3965</f>
        <v>A106</v>
      </c>
      <c r="W3961" s="361">
        <f t="shared" ref="W3961" si="495">COUNTIF(K3966:K3980,"&gt;0")</f>
        <v>3</v>
      </c>
    </row>
    <row r="3962" spans="1:23">
      <c r="A3962" s="1401"/>
      <c r="B3962" s="1401"/>
      <c r="C3962" s="1202"/>
      <c r="D3962" s="872"/>
      <c r="E3962" s="1401"/>
      <c r="F3962" s="1401"/>
      <c r="G3962" s="1391"/>
      <c r="H3962" s="1392"/>
      <c r="I3962" s="1391"/>
      <c r="J3962" s="1392"/>
      <c r="K3962" s="1394"/>
      <c r="L3962" s="1392"/>
      <c r="M3962" s="1391"/>
      <c r="N3962" s="1392"/>
      <c r="O3962" s="1391"/>
      <c r="P3962" s="1394"/>
      <c r="Q3962" s="1392"/>
      <c r="R3962" s="1401"/>
      <c r="S3962" s="361"/>
      <c r="T3962" s="361"/>
      <c r="U3962" s="361"/>
      <c r="V3962" s="361"/>
      <c r="W3962" s="361"/>
    </row>
    <row r="3963" spans="1:23">
      <c r="A3963" s="1401"/>
      <c r="B3963" s="1401"/>
      <c r="C3963" s="1202"/>
      <c r="D3963" s="872"/>
      <c r="E3963" s="1401"/>
      <c r="F3963" s="1401"/>
      <c r="G3963" s="1400" t="s">
        <v>20</v>
      </c>
      <c r="H3963" s="1400" t="s">
        <v>21</v>
      </c>
      <c r="I3963" s="1400" t="s">
        <v>361</v>
      </c>
      <c r="J3963" s="1400" t="s">
        <v>353</v>
      </c>
      <c r="K3963" s="1400" t="s">
        <v>23</v>
      </c>
      <c r="L3963" s="1400" t="s">
        <v>24</v>
      </c>
      <c r="M3963" s="1400" t="s">
        <v>27</v>
      </c>
      <c r="N3963" s="1400" t="s">
        <v>178</v>
      </c>
      <c r="O3963" s="1400" t="s">
        <v>1</v>
      </c>
      <c r="P3963" s="1400" t="s">
        <v>29</v>
      </c>
      <c r="Q3963" s="1400" t="s">
        <v>33</v>
      </c>
      <c r="R3963" s="1401"/>
      <c r="S3963" s="361"/>
      <c r="T3963" s="361" t="s">
        <v>39</v>
      </c>
      <c r="U3963" s="362">
        <f>VLOOKUP(B3965,'[8]Thong tin'!$A:$M,13,0)</f>
        <v>1200</v>
      </c>
      <c r="V3963" s="361"/>
      <c r="W3963" s="361"/>
    </row>
    <row r="3964" spans="1:23">
      <c r="A3964" s="1402"/>
      <c r="B3964" s="1402"/>
      <c r="C3964" s="1201"/>
      <c r="D3964" s="873"/>
      <c r="E3964" s="1402"/>
      <c r="F3964" s="1402"/>
      <c r="G3964" s="1402"/>
      <c r="H3964" s="1402"/>
      <c r="I3964" s="1402"/>
      <c r="J3964" s="1402"/>
      <c r="K3964" s="1402"/>
      <c r="L3964" s="1402"/>
      <c r="M3964" s="1402"/>
      <c r="N3964" s="1402"/>
      <c r="O3964" s="1402"/>
      <c r="P3964" s="1402"/>
      <c r="Q3964" s="1402"/>
      <c r="R3964" s="1402"/>
      <c r="S3964" s="361"/>
      <c r="T3964" s="1399" t="s">
        <v>393</v>
      </c>
      <c r="U3964" s="1397">
        <f>VLOOKUP(B3965,[8]DT.NK!$B:$AZ,45,0)</f>
        <v>34.42</v>
      </c>
      <c r="V3964" s="361"/>
      <c r="W3964" s="361"/>
    </row>
    <row r="3965" spans="1:23" ht="18.75" customHeight="1">
      <c r="A3965" s="1409">
        <f>A3945+1</f>
        <v>199</v>
      </c>
      <c r="B3965" s="1412" t="s">
        <v>565</v>
      </c>
      <c r="C3965" s="1205" t="s">
        <v>983</v>
      </c>
      <c r="D3965" s="874" t="str">
        <f>B3965&amp;C3965</f>
        <v>A106a</v>
      </c>
      <c r="E3965" s="363"/>
      <c r="F3965" s="364"/>
      <c r="G3965" s="364"/>
      <c r="H3965" s="364"/>
      <c r="I3965" s="364"/>
      <c r="J3965" s="364"/>
      <c r="K3965" s="364"/>
      <c r="L3965" s="364"/>
      <c r="M3965" s="674"/>
      <c r="N3965" s="670"/>
      <c r="O3965" s="670">
        <f>U3964</f>
        <v>34.42</v>
      </c>
      <c r="P3965" s="670">
        <f>O3965</f>
        <v>34.42</v>
      </c>
      <c r="Q3965" s="670">
        <v>0</v>
      </c>
      <c r="R3965" s="365"/>
      <c r="S3965" s="366"/>
      <c r="T3965" s="1399"/>
      <c r="U3965" s="1398"/>
      <c r="V3965" s="361"/>
      <c r="W3965" s="361"/>
    </row>
    <row r="3966" spans="1:23" ht="18.75" customHeight="1">
      <c r="A3966" s="1410"/>
      <c r="B3966" s="1413"/>
      <c r="C3966" s="1206" t="s">
        <v>984</v>
      </c>
      <c r="D3966" s="875" t="str">
        <f>B3965&amp;C3966</f>
        <v>A106b</v>
      </c>
      <c r="E3966" s="367">
        <v>1</v>
      </c>
      <c r="F3966" s="669" t="s">
        <v>1156</v>
      </c>
      <c r="G3966" s="369">
        <v>5.5555555555555552E-2</v>
      </c>
      <c r="H3966" s="368">
        <v>8.3333333333333329E-2</v>
      </c>
      <c r="I3966" s="368">
        <v>9.375E-2</v>
      </c>
      <c r="J3966" s="368">
        <v>0.10069444444444443</v>
      </c>
      <c r="K3966" s="669">
        <v>12</v>
      </c>
      <c r="L3966" s="669">
        <v>19</v>
      </c>
      <c r="M3966" s="675">
        <v>31.5</v>
      </c>
      <c r="N3966" s="671">
        <f>IF(M3966-P3966&gt;0,M3966-P3966,0)</f>
        <v>5.9499999999999993</v>
      </c>
      <c r="O3966" s="671">
        <f>O3965-K3966/(PI()*(U3963/2000)^2)</f>
        <v>23.80967046054031</v>
      </c>
      <c r="P3966" s="672">
        <v>25.55</v>
      </c>
      <c r="Q3966" s="673">
        <f>ABS(O3966-P3966)</f>
        <v>1.7403295394596903</v>
      </c>
      <c r="R3966" s="375" t="s">
        <v>188</v>
      </c>
      <c r="S3966" s="366"/>
      <c r="T3966" s="376"/>
      <c r="U3966" s="376"/>
      <c r="V3966" s="366"/>
      <c r="W3966" s="366"/>
    </row>
    <row r="3967" spans="1:23" ht="18.75" customHeight="1">
      <c r="A3967" s="1410"/>
      <c r="B3967" s="1413"/>
      <c r="C3967" s="1206" t="s">
        <v>985</v>
      </c>
      <c r="D3967" s="875" t="str">
        <f>B3965&amp;C3967</f>
        <v>A106c</v>
      </c>
      <c r="E3967" s="367">
        <v>2</v>
      </c>
      <c r="F3967" s="669" t="s">
        <v>1159</v>
      </c>
      <c r="G3967" s="368">
        <v>6.25E-2</v>
      </c>
      <c r="H3967" s="368">
        <v>9.0277777777777776E-2</v>
      </c>
      <c r="I3967" s="368">
        <v>0.1076388888888889</v>
      </c>
      <c r="J3967" s="368">
        <v>0.11319444444444444</v>
      </c>
      <c r="K3967" s="370">
        <v>11</v>
      </c>
      <c r="L3967" s="370">
        <v>19</v>
      </c>
      <c r="M3967" s="371">
        <v>22.05</v>
      </c>
      <c r="N3967" s="671">
        <f t="shared" ref="N3967" si="496">IF(M3967-P3967&gt;0,M3967-P3967,0)</f>
        <v>5.6400000000000006</v>
      </c>
      <c r="O3967" s="671">
        <f>O3966-K3967/(PI()*(U3963/2000)^2)</f>
        <v>14.083535049368928</v>
      </c>
      <c r="P3967" s="373">
        <v>16.41</v>
      </c>
      <c r="Q3967" s="673">
        <f t="shared" ref="Q3967" si="497">ABS(O3967-P3967)</f>
        <v>2.3264649506310722</v>
      </c>
      <c r="R3967" s="958" t="s">
        <v>188</v>
      </c>
      <c r="S3967" s="366"/>
      <c r="T3967" s="376"/>
      <c r="U3967" s="376"/>
      <c r="V3967" s="366"/>
      <c r="W3967" s="366"/>
    </row>
    <row r="3968" spans="1:23" ht="18.75" customHeight="1">
      <c r="A3968" s="1410"/>
      <c r="B3968" s="1413"/>
      <c r="C3968" s="1206" t="s">
        <v>986</v>
      </c>
      <c r="D3968" s="875" t="str">
        <f>B3965&amp;C3968</f>
        <v>A106d</v>
      </c>
      <c r="E3968" s="367">
        <v>3</v>
      </c>
      <c r="F3968" s="669" t="s">
        <v>1160</v>
      </c>
      <c r="G3968" s="368">
        <v>7.2916666666666671E-2</v>
      </c>
      <c r="H3968" s="368">
        <v>0.10416666666666667</v>
      </c>
      <c r="I3968" s="368">
        <v>0.1111111111111111</v>
      </c>
      <c r="J3968" s="368">
        <v>0.11805555555555557</v>
      </c>
      <c r="K3968" s="370">
        <v>12</v>
      </c>
      <c r="L3968" s="370">
        <v>19</v>
      </c>
      <c r="M3968" s="371">
        <v>9.4499999999999993</v>
      </c>
      <c r="N3968" s="671"/>
      <c r="O3968" s="671"/>
      <c r="P3968" s="373">
        <v>6.2</v>
      </c>
      <c r="Q3968" s="673"/>
      <c r="R3968" s="958"/>
      <c r="S3968" s="366"/>
      <c r="T3968" s="376"/>
      <c r="U3968" s="376"/>
      <c r="V3968" s="366"/>
      <c r="W3968" s="366"/>
    </row>
    <row r="3969" spans="1:23" ht="18.75" customHeight="1">
      <c r="A3969" s="1410"/>
      <c r="B3969" s="1413"/>
      <c r="C3969" s="1206" t="s">
        <v>987</v>
      </c>
      <c r="D3969" s="875" t="str">
        <f>B3965&amp;C3969</f>
        <v>A106e</v>
      </c>
      <c r="E3969" s="367">
        <v>4</v>
      </c>
      <c r="F3969" s="370"/>
      <c r="G3969" s="368"/>
      <c r="H3969" s="368"/>
      <c r="I3969" s="368"/>
      <c r="J3969" s="368"/>
      <c r="K3969" s="370"/>
      <c r="L3969" s="370"/>
      <c r="M3969" s="371"/>
      <c r="N3969" s="671"/>
      <c r="O3969" s="671"/>
      <c r="P3969" s="373"/>
      <c r="Q3969" s="673"/>
      <c r="R3969" s="958"/>
      <c r="S3969" s="366"/>
      <c r="T3969" s="376"/>
      <c r="U3969" s="376"/>
      <c r="V3969" s="366"/>
      <c r="W3969" s="366"/>
    </row>
    <row r="3970" spans="1:23" ht="18.75" customHeight="1">
      <c r="A3970" s="1410"/>
      <c r="B3970" s="1413"/>
      <c r="C3970" s="1206" t="s">
        <v>988</v>
      </c>
      <c r="D3970" s="875" t="str">
        <f>B3965&amp;C3970</f>
        <v>A106f</v>
      </c>
      <c r="E3970" s="367">
        <v>5</v>
      </c>
      <c r="F3970" s="370"/>
      <c r="G3970" s="368"/>
      <c r="H3970" s="368"/>
      <c r="I3970" s="368"/>
      <c r="J3970" s="368"/>
      <c r="K3970" s="370"/>
      <c r="L3970" s="370"/>
      <c r="M3970" s="371"/>
      <c r="N3970" s="671"/>
      <c r="O3970" s="671"/>
      <c r="P3970" s="373"/>
      <c r="Q3970" s="673"/>
      <c r="R3970" s="958"/>
      <c r="S3970" s="366" t="s">
        <v>190</v>
      </c>
      <c r="T3970" s="376"/>
      <c r="U3970" s="376"/>
      <c r="V3970" s="366"/>
      <c r="W3970" s="366"/>
    </row>
    <row r="3971" spans="1:23" ht="18.75" customHeight="1">
      <c r="A3971" s="1410"/>
      <c r="B3971" s="1413"/>
      <c r="C3971" s="1206" t="s">
        <v>989</v>
      </c>
      <c r="D3971" s="875" t="str">
        <f>B3965&amp;C3971</f>
        <v>A106g</v>
      </c>
      <c r="E3971" s="367">
        <v>6</v>
      </c>
      <c r="F3971" s="370"/>
      <c r="G3971" s="368"/>
      <c r="H3971" s="368"/>
      <c r="I3971" s="368"/>
      <c r="J3971" s="368"/>
      <c r="K3971" s="370"/>
      <c r="L3971" s="370"/>
      <c r="M3971" s="371"/>
      <c r="N3971" s="671"/>
      <c r="O3971" s="671"/>
      <c r="P3971" s="373"/>
      <c r="Q3971" s="673"/>
      <c r="R3971" s="958"/>
      <c r="S3971" s="366" t="s">
        <v>190</v>
      </c>
      <c r="T3971" s="366"/>
      <c r="U3971" s="366"/>
      <c r="V3971" s="366"/>
      <c r="W3971" s="366"/>
    </row>
    <row r="3972" spans="1:23" ht="18.75" customHeight="1">
      <c r="A3972" s="1410"/>
      <c r="B3972" s="1413"/>
      <c r="C3972" s="1206" t="s">
        <v>990</v>
      </c>
      <c r="D3972" s="875" t="str">
        <f>B3965&amp;C3972</f>
        <v>A106h</v>
      </c>
      <c r="E3972" s="367">
        <v>7</v>
      </c>
      <c r="F3972" s="370"/>
      <c r="G3972" s="368"/>
      <c r="H3972" s="368"/>
      <c r="I3972" s="368"/>
      <c r="J3972" s="368"/>
      <c r="K3972" s="370"/>
      <c r="L3972" s="370"/>
      <c r="M3972" s="371"/>
      <c r="N3972" s="671"/>
      <c r="O3972" s="671"/>
      <c r="P3972" s="373"/>
      <c r="Q3972" s="673"/>
      <c r="R3972" s="958"/>
      <c r="S3972" s="366" t="s">
        <v>190</v>
      </c>
      <c r="T3972" s="366"/>
      <c r="U3972" s="366"/>
      <c r="V3972" s="366"/>
      <c r="W3972" s="366"/>
    </row>
    <row r="3973" spans="1:23" ht="18.75" customHeight="1">
      <c r="A3973" s="1410"/>
      <c r="B3973" s="1413"/>
      <c r="C3973" s="1206" t="s">
        <v>991</v>
      </c>
      <c r="D3973" s="875" t="str">
        <f>B3965&amp;C3973</f>
        <v>A106i</v>
      </c>
      <c r="E3973" s="367">
        <v>8</v>
      </c>
      <c r="F3973" s="370"/>
      <c r="G3973" s="368"/>
      <c r="H3973" s="368"/>
      <c r="I3973" s="368"/>
      <c r="J3973" s="368"/>
      <c r="K3973" s="370"/>
      <c r="L3973" s="370"/>
      <c r="M3973" s="371"/>
      <c r="N3973" s="671"/>
      <c r="O3973" s="671"/>
      <c r="P3973" s="373"/>
      <c r="Q3973" s="673"/>
      <c r="R3973" s="958"/>
      <c r="S3973" s="366"/>
      <c r="T3973" s="366"/>
      <c r="U3973" s="366"/>
      <c r="V3973" s="366"/>
      <c r="W3973" s="366"/>
    </row>
    <row r="3974" spans="1:23" ht="18.75" customHeight="1">
      <c r="A3974" s="1410"/>
      <c r="B3974" s="1413"/>
      <c r="C3974" s="1206" t="s">
        <v>992</v>
      </c>
      <c r="D3974" s="875" t="str">
        <f>B3965&amp;C3974</f>
        <v>A106k</v>
      </c>
      <c r="E3974" s="367">
        <v>9</v>
      </c>
      <c r="F3974" s="370"/>
      <c r="G3974" s="368"/>
      <c r="H3974" s="368"/>
      <c r="I3974" s="368"/>
      <c r="J3974" s="368"/>
      <c r="K3974" s="370"/>
      <c r="L3974" s="370"/>
      <c r="M3974" s="371"/>
      <c r="N3974" s="372"/>
      <c r="O3974" s="372"/>
      <c r="P3974" s="373"/>
      <c r="Q3974" s="374"/>
      <c r="R3974" s="378"/>
      <c r="S3974" s="379"/>
      <c r="T3974" s="366"/>
      <c r="U3974" s="366"/>
      <c r="V3974" s="366"/>
      <c r="W3974" s="366"/>
    </row>
    <row r="3975" spans="1:23" ht="18.75" customHeight="1">
      <c r="A3975" s="1410"/>
      <c r="B3975" s="1413"/>
      <c r="C3975" s="1206" t="s">
        <v>993</v>
      </c>
      <c r="D3975" s="875" t="str">
        <f>B3965&amp;C3975</f>
        <v>A106l</v>
      </c>
      <c r="E3975" s="367">
        <v>10</v>
      </c>
      <c r="F3975" s="370"/>
      <c r="G3975" s="368"/>
      <c r="H3975" s="368"/>
      <c r="I3975" s="368"/>
      <c r="J3975" s="368"/>
      <c r="K3975" s="370"/>
      <c r="L3975" s="370"/>
      <c r="M3975" s="370"/>
      <c r="N3975" s="372"/>
      <c r="O3975" s="372"/>
      <c r="P3975" s="373"/>
      <c r="Q3975" s="374"/>
      <c r="R3975" s="378"/>
      <c r="S3975" s="379"/>
      <c r="T3975" s="366"/>
      <c r="U3975" s="366"/>
      <c r="V3975" s="366"/>
      <c r="W3975" s="366"/>
    </row>
    <row r="3976" spans="1:23" ht="18.75" customHeight="1">
      <c r="A3976" s="1410"/>
      <c r="B3976" s="1413"/>
      <c r="C3976" s="1206" t="s">
        <v>994</v>
      </c>
      <c r="D3976" s="875" t="str">
        <f>B3965&amp;C3976</f>
        <v>A106m</v>
      </c>
      <c r="E3976" s="367">
        <v>11</v>
      </c>
      <c r="F3976" s="370"/>
      <c r="G3976" s="368"/>
      <c r="H3976" s="368"/>
      <c r="I3976" s="368"/>
      <c r="J3976" s="368"/>
      <c r="K3976" s="370"/>
      <c r="L3976" s="370"/>
      <c r="M3976" s="370"/>
      <c r="N3976" s="372"/>
      <c r="O3976" s="372"/>
      <c r="P3976" s="380"/>
      <c r="Q3976" s="374"/>
      <c r="R3976" s="381"/>
      <c r="S3976" s="379"/>
      <c r="T3976" s="366"/>
      <c r="U3976" s="366"/>
      <c r="V3976" s="366"/>
      <c r="W3976" s="366"/>
    </row>
    <row r="3977" spans="1:23" ht="18.75" customHeight="1">
      <c r="A3977" s="1410"/>
      <c r="B3977" s="1413"/>
      <c r="C3977" s="1206" t="s">
        <v>995</v>
      </c>
      <c r="D3977" s="875" t="str">
        <f>B3965&amp;C3977</f>
        <v>A106n</v>
      </c>
      <c r="E3977" s="367">
        <v>12</v>
      </c>
      <c r="F3977" s="370"/>
      <c r="G3977" s="368"/>
      <c r="H3977" s="368"/>
      <c r="I3977" s="368"/>
      <c r="J3977" s="368"/>
      <c r="K3977" s="370"/>
      <c r="L3977" s="370"/>
      <c r="M3977" s="370"/>
      <c r="N3977" s="372"/>
      <c r="O3977" s="372"/>
      <c r="P3977" s="380"/>
      <c r="Q3977" s="374"/>
      <c r="R3977" s="381"/>
      <c r="S3977" s="361"/>
      <c r="T3977" s="361"/>
      <c r="U3977" s="361"/>
      <c r="V3977" s="366"/>
      <c r="W3977" s="366"/>
    </row>
    <row r="3978" spans="1:23" ht="18.75" customHeight="1">
      <c r="A3978" s="1410"/>
      <c r="B3978" s="1413"/>
      <c r="C3978" s="1206" t="s">
        <v>471</v>
      </c>
      <c r="D3978" s="875" t="str">
        <f>B3965&amp;C3978</f>
        <v>A106x</v>
      </c>
      <c r="E3978" s="367">
        <v>13</v>
      </c>
      <c r="F3978" s="370"/>
      <c r="G3978" s="368"/>
      <c r="H3978" s="368"/>
      <c r="I3978" s="368"/>
      <c r="J3978" s="368"/>
      <c r="K3978" s="370"/>
      <c r="L3978" s="370"/>
      <c r="M3978" s="370"/>
      <c r="N3978" s="382"/>
      <c r="O3978" s="372"/>
      <c r="P3978" s="380"/>
      <c r="Q3978" s="381"/>
      <c r="R3978" s="381"/>
      <c r="S3978" s="361"/>
      <c r="T3978" s="361"/>
      <c r="U3978" s="361"/>
      <c r="V3978" s="366"/>
      <c r="W3978" s="366"/>
    </row>
    <row r="3979" spans="1:23" ht="18.75" customHeight="1">
      <c r="A3979" s="1410"/>
      <c r="B3979" s="1413"/>
      <c r="C3979" s="1206" t="s">
        <v>732</v>
      </c>
      <c r="D3979" s="875" t="str">
        <f>B3965&amp;C3979</f>
        <v>A106y</v>
      </c>
      <c r="E3979" s="367">
        <v>14</v>
      </c>
      <c r="F3979" s="370"/>
      <c r="G3979" s="368"/>
      <c r="H3979" s="368"/>
      <c r="I3979" s="368"/>
      <c r="J3979" s="368"/>
      <c r="K3979" s="370"/>
      <c r="L3979" s="370"/>
      <c r="M3979" s="370"/>
      <c r="N3979" s="382"/>
      <c r="O3979" s="372"/>
      <c r="P3979" s="380"/>
      <c r="Q3979" s="381"/>
      <c r="R3979" s="381"/>
      <c r="S3979" s="361"/>
      <c r="T3979" s="361"/>
      <c r="U3979" s="362"/>
      <c r="V3979" s="366"/>
      <c r="W3979" s="366"/>
    </row>
    <row r="3980" spans="1:23" ht="18.75" customHeight="1">
      <c r="A3980" s="1411"/>
      <c r="B3980" s="1414"/>
      <c r="C3980" s="1207" t="s">
        <v>996</v>
      </c>
      <c r="D3980" s="876" t="str">
        <f>B3965&amp;C3980</f>
        <v>A106z</v>
      </c>
      <c r="E3980" s="847">
        <v>15</v>
      </c>
      <c r="F3980" s="370"/>
      <c r="G3980" s="368"/>
      <c r="H3980" s="368"/>
      <c r="I3980" s="368"/>
      <c r="J3980" s="368"/>
      <c r="K3980" s="370"/>
      <c r="L3980" s="370"/>
      <c r="M3980" s="370"/>
      <c r="N3980" s="850"/>
      <c r="O3980" s="851"/>
      <c r="P3980" s="380"/>
      <c r="Q3980" s="852"/>
      <c r="R3980" s="383"/>
      <c r="S3980" s="361"/>
      <c r="T3980" s="1204"/>
      <c r="U3980" s="1203"/>
      <c r="V3980" s="366"/>
      <c r="W3980" s="366"/>
    </row>
    <row r="3981" spans="1:23">
      <c r="A3981" s="1400" t="s">
        <v>939</v>
      </c>
      <c r="B3981" s="1400"/>
      <c r="C3981" s="1200"/>
      <c r="D3981" s="871"/>
      <c r="E3981" s="1400" t="s">
        <v>177</v>
      </c>
      <c r="F3981" s="1400" t="s">
        <v>18</v>
      </c>
      <c r="G3981" s="1389" t="s">
        <v>19</v>
      </c>
      <c r="H3981" s="1390"/>
      <c r="I3981" s="1389" t="s">
        <v>22</v>
      </c>
      <c r="J3981" s="1390"/>
      <c r="K3981" s="1393" t="s">
        <v>26</v>
      </c>
      <c r="L3981" s="1390"/>
      <c r="M3981" s="1389" t="s">
        <v>392</v>
      </c>
      <c r="N3981" s="1390"/>
      <c r="O3981" s="1389" t="s">
        <v>28</v>
      </c>
      <c r="P3981" s="1393"/>
      <c r="Q3981" s="1390"/>
      <c r="R3981" s="1400" t="s">
        <v>36</v>
      </c>
      <c r="S3981" s="361"/>
      <c r="T3981" s="361">
        <f>MAX(J3985:J3999)-MIN(I3985:I3999)</f>
        <v>4.8611111111111049E-2</v>
      </c>
      <c r="U3981" s="361"/>
      <c r="V3981" s="853" t="str">
        <f t="shared" ref="V3981" si="498">B3985</f>
        <v>B20</v>
      </c>
      <c r="W3981" s="361">
        <f t="shared" ref="W3981" si="499">COUNTIF(K3986:K4000,"&gt;0")</f>
        <v>3</v>
      </c>
    </row>
    <row r="3982" spans="1:23">
      <c r="A3982" s="1401"/>
      <c r="B3982" s="1401"/>
      <c r="C3982" s="1202"/>
      <c r="D3982" s="872"/>
      <c r="E3982" s="1401"/>
      <c r="F3982" s="1401"/>
      <c r="G3982" s="1391"/>
      <c r="H3982" s="1392"/>
      <c r="I3982" s="1391"/>
      <c r="J3982" s="1392"/>
      <c r="K3982" s="1394"/>
      <c r="L3982" s="1392"/>
      <c r="M3982" s="1391"/>
      <c r="N3982" s="1392"/>
      <c r="O3982" s="1391"/>
      <c r="P3982" s="1394"/>
      <c r="Q3982" s="1392"/>
      <c r="R3982" s="1401"/>
      <c r="S3982" s="361"/>
      <c r="T3982" s="361"/>
      <c r="U3982" s="361"/>
      <c r="V3982" s="361"/>
      <c r="W3982" s="361"/>
    </row>
    <row r="3983" spans="1:23">
      <c r="A3983" s="1401"/>
      <c r="B3983" s="1401"/>
      <c r="C3983" s="1202"/>
      <c r="D3983" s="872"/>
      <c r="E3983" s="1401"/>
      <c r="F3983" s="1401"/>
      <c r="G3983" s="1400" t="s">
        <v>20</v>
      </c>
      <c r="H3983" s="1400" t="s">
        <v>21</v>
      </c>
      <c r="I3983" s="1400" t="s">
        <v>361</v>
      </c>
      <c r="J3983" s="1400" t="s">
        <v>353</v>
      </c>
      <c r="K3983" s="1400" t="s">
        <v>23</v>
      </c>
      <c r="L3983" s="1400" t="s">
        <v>24</v>
      </c>
      <c r="M3983" s="1400" t="s">
        <v>27</v>
      </c>
      <c r="N3983" s="1400" t="s">
        <v>178</v>
      </c>
      <c r="O3983" s="1400" t="s">
        <v>1</v>
      </c>
      <c r="P3983" s="1400" t="s">
        <v>29</v>
      </c>
      <c r="Q3983" s="1400" t="s">
        <v>33</v>
      </c>
      <c r="R3983" s="1401"/>
      <c r="S3983" s="361"/>
      <c r="T3983" s="361" t="s">
        <v>39</v>
      </c>
      <c r="U3983" s="362">
        <f>VLOOKUP(B3985,'[8]Thong tin'!$A:$M,13,0)</f>
        <v>800</v>
      </c>
      <c r="V3983" s="361"/>
      <c r="W3983" s="361"/>
    </row>
    <row r="3984" spans="1:23">
      <c r="A3984" s="1402"/>
      <c r="B3984" s="1402"/>
      <c r="C3984" s="1201"/>
      <c r="D3984" s="873"/>
      <c r="E3984" s="1402"/>
      <c r="F3984" s="1402"/>
      <c r="G3984" s="1402"/>
      <c r="H3984" s="1402"/>
      <c r="I3984" s="1402"/>
      <c r="J3984" s="1402"/>
      <c r="K3984" s="1402"/>
      <c r="L3984" s="1402"/>
      <c r="M3984" s="1402"/>
      <c r="N3984" s="1402"/>
      <c r="O3984" s="1402"/>
      <c r="P3984" s="1402"/>
      <c r="Q3984" s="1402"/>
      <c r="R3984" s="1402"/>
      <c r="S3984" s="361"/>
      <c r="T3984" s="1399" t="s">
        <v>393</v>
      </c>
      <c r="U3984" s="1397">
        <f>VLOOKUP(B3985,[8]DT.NK!$B:$AZ,45,0)</f>
        <v>30.88</v>
      </c>
      <c r="V3984" s="361"/>
      <c r="W3984" s="361"/>
    </row>
    <row r="3985" spans="1:23" ht="18.75" customHeight="1">
      <c r="A3985" s="1409">
        <f>A3965+1</f>
        <v>200</v>
      </c>
      <c r="B3985" s="1412" t="s">
        <v>508</v>
      </c>
      <c r="C3985" s="1205" t="s">
        <v>983</v>
      </c>
      <c r="D3985" s="874" t="str">
        <f>B3985&amp;C3985</f>
        <v>B20a</v>
      </c>
      <c r="E3985" s="363"/>
      <c r="F3985" s="364"/>
      <c r="G3985" s="364"/>
      <c r="H3985" s="364"/>
      <c r="I3985" s="364"/>
      <c r="J3985" s="364"/>
      <c r="K3985" s="364"/>
      <c r="L3985" s="364"/>
      <c r="M3985" s="674"/>
      <c r="N3985" s="670"/>
      <c r="O3985" s="670">
        <f>U3984</f>
        <v>30.88</v>
      </c>
      <c r="P3985" s="670">
        <f>O3985</f>
        <v>30.88</v>
      </c>
      <c r="Q3985" s="670">
        <v>0</v>
      </c>
      <c r="R3985" s="365"/>
      <c r="S3985" s="366"/>
      <c r="T3985" s="1399"/>
      <c r="U3985" s="1398"/>
      <c r="V3985" s="361"/>
      <c r="W3985" s="361"/>
    </row>
    <row r="3986" spans="1:23" ht="18.75" customHeight="1">
      <c r="A3986" s="1410"/>
      <c r="B3986" s="1413"/>
      <c r="C3986" s="1206" t="s">
        <v>984</v>
      </c>
      <c r="D3986" s="875" t="str">
        <f>B3985&amp;C3986</f>
        <v>B20b</v>
      </c>
      <c r="E3986" s="367">
        <v>1</v>
      </c>
      <c r="F3986" s="669" t="s">
        <v>1156</v>
      </c>
      <c r="G3986" s="369">
        <v>0.20833333333333334</v>
      </c>
      <c r="H3986" s="368">
        <v>0.23958333333333334</v>
      </c>
      <c r="I3986" s="368">
        <v>0.25694444444444448</v>
      </c>
      <c r="J3986" s="368">
        <v>0.26041666666666669</v>
      </c>
      <c r="K3986" s="669">
        <v>8</v>
      </c>
      <c r="L3986" s="669">
        <v>19</v>
      </c>
      <c r="M3986" s="675">
        <v>22.05</v>
      </c>
      <c r="N3986" s="671">
        <f>IF(M3986-P3986&gt;0,M3986-P3986,0)</f>
        <v>3</v>
      </c>
      <c r="O3986" s="671">
        <f>O3985-K3986/(PI()*(U3983/2000)^2)</f>
        <v>14.964505690810466</v>
      </c>
      <c r="P3986" s="672">
        <v>19.05</v>
      </c>
      <c r="Q3986" s="673">
        <f>ABS(O3986-P3986)</f>
        <v>4.085494309189535</v>
      </c>
      <c r="R3986" s="375" t="s">
        <v>188</v>
      </c>
      <c r="S3986" s="366"/>
      <c r="T3986" s="376"/>
      <c r="U3986" s="376"/>
      <c r="V3986" s="366"/>
      <c r="W3986" s="366"/>
    </row>
    <row r="3987" spans="1:23" ht="18.75" customHeight="1">
      <c r="A3987" s="1410"/>
      <c r="B3987" s="1413"/>
      <c r="C3987" s="1206" t="s">
        <v>985</v>
      </c>
      <c r="D3987" s="875" t="str">
        <f>B3985&amp;C3987</f>
        <v>B20c</v>
      </c>
      <c r="E3987" s="367">
        <v>2</v>
      </c>
      <c r="F3987" s="669" t="s">
        <v>1159</v>
      </c>
      <c r="G3987" s="368">
        <v>0.21875</v>
      </c>
      <c r="H3987" s="368">
        <v>0.25138888888888888</v>
      </c>
      <c r="I3987" s="368">
        <v>0.2673611111111111</v>
      </c>
      <c r="J3987" s="368">
        <v>0.27083333333333331</v>
      </c>
      <c r="K3987" s="370">
        <v>7</v>
      </c>
      <c r="L3987" s="370">
        <v>19</v>
      </c>
      <c r="M3987" s="371">
        <v>9.4499999999999993</v>
      </c>
      <c r="N3987" s="671">
        <f t="shared" ref="N3987" si="500">IF(M3987-P3987&gt;0,M3987-P3987,0)</f>
        <v>3.3499999999999996</v>
      </c>
      <c r="O3987" s="671">
        <f>O3986-K3987/(PI()*(U3983/2000)^2)</f>
        <v>1.0384481702696249</v>
      </c>
      <c r="P3987" s="373">
        <v>6.1</v>
      </c>
      <c r="Q3987" s="673">
        <f t="shared" ref="Q3987" si="501">ABS(O3987-P3987)</f>
        <v>5.0615518297303748</v>
      </c>
      <c r="R3987" s="958"/>
      <c r="S3987" s="366"/>
      <c r="T3987" s="376"/>
      <c r="U3987" s="376"/>
      <c r="V3987" s="366"/>
      <c r="W3987" s="366"/>
    </row>
    <row r="3988" spans="1:23" ht="18.75" customHeight="1">
      <c r="A3988" s="1410"/>
      <c r="B3988" s="1413"/>
      <c r="C3988" s="1206" t="s">
        <v>986</v>
      </c>
      <c r="D3988" s="875" t="str">
        <f>B3985&amp;C3988</f>
        <v>B20d</v>
      </c>
      <c r="E3988" s="367">
        <v>3</v>
      </c>
      <c r="F3988" s="669" t="s">
        <v>1160</v>
      </c>
      <c r="G3988" s="368">
        <v>0.27638888888888885</v>
      </c>
      <c r="H3988" s="368">
        <v>0.2986111111111111</v>
      </c>
      <c r="I3988" s="368">
        <v>0.30208333333333331</v>
      </c>
      <c r="J3988" s="368">
        <v>0.30555555555555552</v>
      </c>
      <c r="K3988" s="370">
        <v>1</v>
      </c>
      <c r="L3988" s="370">
        <v>19</v>
      </c>
      <c r="M3988" s="371">
        <v>9.4499999999999993</v>
      </c>
      <c r="N3988" s="671"/>
      <c r="O3988" s="671"/>
      <c r="P3988" s="373">
        <v>4.3</v>
      </c>
      <c r="Q3988" s="673"/>
      <c r="R3988" s="958"/>
      <c r="S3988" s="366"/>
      <c r="T3988" s="376"/>
      <c r="U3988" s="376"/>
      <c r="V3988" s="366"/>
      <c r="W3988" s="366"/>
    </row>
    <row r="3989" spans="1:23" ht="18.75" customHeight="1">
      <c r="A3989" s="1410"/>
      <c r="B3989" s="1413"/>
      <c r="C3989" s="1206" t="s">
        <v>987</v>
      </c>
      <c r="D3989" s="875" t="str">
        <f>B3985&amp;C3989</f>
        <v>B20e</v>
      </c>
      <c r="E3989" s="367">
        <v>4</v>
      </c>
      <c r="F3989" s="370"/>
      <c r="G3989" s="368"/>
      <c r="H3989" s="368"/>
      <c r="I3989" s="368"/>
      <c r="J3989" s="368"/>
      <c r="K3989" s="370"/>
      <c r="L3989" s="370"/>
      <c r="M3989" s="371"/>
      <c r="N3989" s="671"/>
      <c r="O3989" s="671"/>
      <c r="P3989" s="373"/>
      <c r="Q3989" s="673"/>
      <c r="R3989" s="958"/>
      <c r="S3989" s="366"/>
      <c r="T3989" s="376"/>
      <c r="U3989" s="376"/>
      <c r="V3989" s="366"/>
      <c r="W3989" s="366"/>
    </row>
    <row r="3990" spans="1:23" ht="18.75" customHeight="1">
      <c r="A3990" s="1410"/>
      <c r="B3990" s="1413"/>
      <c r="C3990" s="1206" t="s">
        <v>988</v>
      </c>
      <c r="D3990" s="875" t="str">
        <f>B3985&amp;C3990</f>
        <v>B20f</v>
      </c>
      <c r="E3990" s="367">
        <v>5</v>
      </c>
      <c r="F3990" s="370"/>
      <c r="G3990" s="368"/>
      <c r="H3990" s="368"/>
      <c r="I3990" s="368"/>
      <c r="J3990" s="368"/>
      <c r="K3990" s="370"/>
      <c r="L3990" s="370"/>
      <c r="M3990" s="371"/>
      <c r="N3990" s="671"/>
      <c r="O3990" s="671"/>
      <c r="P3990" s="373"/>
      <c r="Q3990" s="673"/>
      <c r="R3990" s="958"/>
      <c r="S3990" s="366" t="s">
        <v>190</v>
      </c>
      <c r="T3990" s="376"/>
      <c r="U3990" s="376"/>
      <c r="V3990" s="366"/>
      <c r="W3990" s="366"/>
    </row>
    <row r="3991" spans="1:23" ht="18.75" customHeight="1">
      <c r="A3991" s="1410"/>
      <c r="B3991" s="1413"/>
      <c r="C3991" s="1206" t="s">
        <v>989</v>
      </c>
      <c r="D3991" s="875" t="str">
        <f>B3985&amp;C3991</f>
        <v>B20g</v>
      </c>
      <c r="E3991" s="367">
        <v>6</v>
      </c>
      <c r="F3991" s="370"/>
      <c r="G3991" s="368"/>
      <c r="H3991" s="368"/>
      <c r="I3991" s="368"/>
      <c r="J3991" s="368"/>
      <c r="K3991" s="370"/>
      <c r="L3991" s="370"/>
      <c r="M3991" s="371"/>
      <c r="N3991" s="671"/>
      <c r="O3991" s="671"/>
      <c r="P3991" s="373"/>
      <c r="Q3991" s="673"/>
      <c r="R3991" s="958"/>
      <c r="S3991" s="366" t="s">
        <v>190</v>
      </c>
      <c r="T3991" s="366"/>
      <c r="U3991" s="366"/>
      <c r="V3991" s="366"/>
      <c r="W3991" s="366"/>
    </row>
    <row r="3992" spans="1:23" ht="18.75" customHeight="1">
      <c r="A3992" s="1410"/>
      <c r="B3992" s="1413"/>
      <c r="C3992" s="1206" t="s">
        <v>990</v>
      </c>
      <c r="D3992" s="875" t="str">
        <f>B3985&amp;C3992</f>
        <v>B20h</v>
      </c>
      <c r="E3992" s="367">
        <v>7</v>
      </c>
      <c r="F3992" s="370"/>
      <c r="G3992" s="368"/>
      <c r="H3992" s="368"/>
      <c r="I3992" s="368"/>
      <c r="J3992" s="368"/>
      <c r="K3992" s="370"/>
      <c r="L3992" s="370"/>
      <c r="M3992" s="371"/>
      <c r="N3992" s="671"/>
      <c r="O3992" s="671"/>
      <c r="P3992" s="373"/>
      <c r="Q3992" s="673"/>
      <c r="R3992" s="958"/>
      <c r="S3992" s="366" t="s">
        <v>190</v>
      </c>
      <c r="T3992" s="366"/>
      <c r="U3992" s="366"/>
      <c r="V3992" s="366"/>
      <c r="W3992" s="366"/>
    </row>
    <row r="3993" spans="1:23" ht="18.75" customHeight="1">
      <c r="A3993" s="1410"/>
      <c r="B3993" s="1413"/>
      <c r="C3993" s="1206" t="s">
        <v>991</v>
      </c>
      <c r="D3993" s="875" t="str">
        <f>B3985&amp;C3993</f>
        <v>B20i</v>
      </c>
      <c r="E3993" s="367">
        <v>8</v>
      </c>
      <c r="F3993" s="370"/>
      <c r="G3993" s="368"/>
      <c r="H3993" s="368"/>
      <c r="I3993" s="368"/>
      <c r="J3993" s="368"/>
      <c r="K3993" s="370"/>
      <c r="L3993" s="370"/>
      <c r="M3993" s="371"/>
      <c r="N3993" s="671"/>
      <c r="O3993" s="671"/>
      <c r="P3993" s="373"/>
      <c r="Q3993" s="673"/>
      <c r="R3993" s="958"/>
      <c r="S3993" s="366"/>
      <c r="T3993" s="366"/>
      <c r="U3993" s="366"/>
      <c r="V3993" s="366"/>
      <c r="W3993" s="366"/>
    </row>
    <row r="3994" spans="1:23" ht="18.75" customHeight="1">
      <c r="A3994" s="1410"/>
      <c r="B3994" s="1413"/>
      <c r="C3994" s="1206" t="s">
        <v>992</v>
      </c>
      <c r="D3994" s="875" t="str">
        <f>B3985&amp;C3994</f>
        <v>B20k</v>
      </c>
      <c r="E3994" s="367">
        <v>9</v>
      </c>
      <c r="F3994" s="370"/>
      <c r="G3994" s="368"/>
      <c r="H3994" s="368"/>
      <c r="I3994" s="368"/>
      <c r="J3994" s="368"/>
      <c r="K3994" s="370"/>
      <c r="L3994" s="370"/>
      <c r="M3994" s="371"/>
      <c r="N3994" s="372"/>
      <c r="O3994" s="372"/>
      <c r="P3994" s="373"/>
      <c r="Q3994" s="374"/>
      <c r="R3994" s="378"/>
      <c r="S3994" s="379"/>
      <c r="T3994" s="366"/>
      <c r="U3994" s="366"/>
      <c r="V3994" s="366"/>
      <c r="W3994" s="366"/>
    </row>
    <row r="3995" spans="1:23" ht="18.75" customHeight="1">
      <c r="A3995" s="1410"/>
      <c r="B3995" s="1413"/>
      <c r="C3995" s="1206" t="s">
        <v>993</v>
      </c>
      <c r="D3995" s="875" t="str">
        <f>B3985&amp;C3995</f>
        <v>B20l</v>
      </c>
      <c r="E3995" s="367">
        <v>10</v>
      </c>
      <c r="F3995" s="370"/>
      <c r="G3995" s="368"/>
      <c r="H3995" s="368"/>
      <c r="I3995" s="368"/>
      <c r="J3995" s="368"/>
      <c r="K3995" s="370"/>
      <c r="L3995" s="370"/>
      <c r="M3995" s="370"/>
      <c r="N3995" s="372"/>
      <c r="O3995" s="372"/>
      <c r="P3995" s="373"/>
      <c r="Q3995" s="374"/>
      <c r="R3995" s="378"/>
      <c r="S3995" s="379"/>
      <c r="T3995" s="366"/>
      <c r="U3995" s="366"/>
      <c r="V3995" s="366"/>
      <c r="W3995" s="366"/>
    </row>
    <row r="3996" spans="1:23" ht="18.75" customHeight="1">
      <c r="A3996" s="1410"/>
      <c r="B3996" s="1413"/>
      <c r="C3996" s="1206" t="s">
        <v>994</v>
      </c>
      <c r="D3996" s="875" t="str">
        <f>B3985&amp;C3996</f>
        <v>B20m</v>
      </c>
      <c r="E3996" s="367">
        <v>11</v>
      </c>
      <c r="F3996" s="370"/>
      <c r="G3996" s="368"/>
      <c r="H3996" s="368"/>
      <c r="I3996" s="368"/>
      <c r="J3996" s="368"/>
      <c r="K3996" s="370"/>
      <c r="L3996" s="370"/>
      <c r="M3996" s="370"/>
      <c r="N3996" s="372"/>
      <c r="O3996" s="372"/>
      <c r="P3996" s="380"/>
      <c r="Q3996" s="374"/>
      <c r="R3996" s="381"/>
      <c r="S3996" s="379"/>
      <c r="T3996" s="366"/>
      <c r="U3996" s="366"/>
      <c r="V3996" s="366"/>
      <c r="W3996" s="366"/>
    </row>
    <row r="3997" spans="1:23" ht="18.75" customHeight="1">
      <c r="A3997" s="1410"/>
      <c r="B3997" s="1413"/>
      <c r="C3997" s="1206" t="s">
        <v>995</v>
      </c>
      <c r="D3997" s="875" t="str">
        <f>B3985&amp;C3997</f>
        <v>B20n</v>
      </c>
      <c r="E3997" s="367">
        <v>12</v>
      </c>
      <c r="F3997" s="370"/>
      <c r="G3997" s="368"/>
      <c r="H3997" s="368"/>
      <c r="I3997" s="368"/>
      <c r="J3997" s="368"/>
      <c r="K3997" s="370"/>
      <c r="L3997" s="370"/>
      <c r="M3997" s="370"/>
      <c r="N3997" s="372"/>
      <c r="O3997" s="372"/>
      <c r="P3997" s="380"/>
      <c r="Q3997" s="374"/>
      <c r="R3997" s="381"/>
      <c r="S3997" s="361"/>
      <c r="T3997" s="361"/>
      <c r="U3997" s="361"/>
      <c r="V3997" s="366"/>
      <c r="W3997" s="366"/>
    </row>
    <row r="3998" spans="1:23" ht="18.75" customHeight="1">
      <c r="A3998" s="1410"/>
      <c r="B3998" s="1413"/>
      <c r="C3998" s="1206" t="s">
        <v>471</v>
      </c>
      <c r="D3998" s="875" t="str">
        <f>B3985&amp;C3998</f>
        <v>B20x</v>
      </c>
      <c r="E3998" s="367">
        <v>13</v>
      </c>
      <c r="F3998" s="370"/>
      <c r="G3998" s="368"/>
      <c r="H3998" s="368"/>
      <c r="I3998" s="368"/>
      <c r="J3998" s="368"/>
      <c r="K3998" s="370"/>
      <c r="L3998" s="370"/>
      <c r="M3998" s="370"/>
      <c r="N3998" s="382"/>
      <c r="O3998" s="372"/>
      <c r="P3998" s="380"/>
      <c r="Q3998" s="381"/>
      <c r="R3998" s="381"/>
      <c r="S3998" s="361"/>
      <c r="T3998" s="361"/>
      <c r="U3998" s="361"/>
      <c r="V3998" s="366"/>
      <c r="W3998" s="366"/>
    </row>
    <row r="3999" spans="1:23" ht="18.75" customHeight="1">
      <c r="A3999" s="1410"/>
      <c r="B3999" s="1413"/>
      <c r="C3999" s="1206" t="s">
        <v>732</v>
      </c>
      <c r="D3999" s="875" t="str">
        <f>B3985&amp;C3999</f>
        <v>B20y</v>
      </c>
      <c r="E3999" s="367">
        <v>14</v>
      </c>
      <c r="F3999" s="370"/>
      <c r="G3999" s="368"/>
      <c r="H3999" s="368"/>
      <c r="I3999" s="368"/>
      <c r="J3999" s="368"/>
      <c r="K3999" s="370"/>
      <c r="L3999" s="370"/>
      <c r="M3999" s="370"/>
      <c r="N3999" s="382"/>
      <c r="O3999" s="372"/>
      <c r="P3999" s="380"/>
      <c r="Q3999" s="381"/>
      <c r="R3999" s="381"/>
      <c r="S3999" s="361"/>
      <c r="T3999" s="361"/>
      <c r="U3999" s="362"/>
      <c r="V3999" s="366"/>
      <c r="W3999" s="366"/>
    </row>
    <row r="4000" spans="1:23" ht="18.75" customHeight="1">
      <c r="A4000" s="1411"/>
      <c r="B4000" s="1414"/>
      <c r="C4000" s="1207" t="s">
        <v>996</v>
      </c>
      <c r="D4000" s="876" t="str">
        <f>B3985&amp;C4000</f>
        <v>B20z</v>
      </c>
      <c r="E4000" s="847">
        <v>15</v>
      </c>
      <c r="F4000" s="370"/>
      <c r="G4000" s="368"/>
      <c r="H4000" s="368"/>
      <c r="I4000" s="368"/>
      <c r="J4000" s="368"/>
      <c r="K4000" s="370"/>
      <c r="L4000" s="370"/>
      <c r="M4000" s="370"/>
      <c r="N4000" s="850"/>
      <c r="O4000" s="851"/>
      <c r="P4000" s="380"/>
      <c r="Q4000" s="852"/>
      <c r="R4000" s="383"/>
      <c r="S4000" s="361"/>
      <c r="T4000" s="1204"/>
      <c r="U4000" s="1203"/>
      <c r="V4000" s="366"/>
      <c r="W4000" s="366"/>
    </row>
    <row r="4001" spans="1:23">
      <c r="A4001" s="1400" t="s">
        <v>939</v>
      </c>
      <c r="B4001" s="1400"/>
      <c r="C4001" s="1200"/>
      <c r="D4001" s="871"/>
      <c r="E4001" s="1400" t="s">
        <v>177</v>
      </c>
      <c r="F4001" s="1400" t="s">
        <v>18</v>
      </c>
      <c r="G4001" s="1389" t="s">
        <v>19</v>
      </c>
      <c r="H4001" s="1390"/>
      <c r="I4001" s="1389" t="s">
        <v>22</v>
      </c>
      <c r="J4001" s="1390"/>
      <c r="K4001" s="1393" t="s">
        <v>26</v>
      </c>
      <c r="L4001" s="1390"/>
      <c r="M4001" s="1389" t="s">
        <v>392</v>
      </c>
      <c r="N4001" s="1390"/>
      <c r="O4001" s="1389" t="s">
        <v>28</v>
      </c>
      <c r="P4001" s="1393"/>
      <c r="Q4001" s="1390"/>
      <c r="R4001" s="1400" t="s">
        <v>36</v>
      </c>
      <c r="S4001" s="361"/>
      <c r="T4001" s="361">
        <f>MAX(J4005:J4019)-MIN(I4005:I4019)</f>
        <v>1.7361111111111049E-2</v>
      </c>
      <c r="U4001" s="361"/>
      <c r="V4001" s="853" t="str">
        <f t="shared" ref="V4001" si="502">B4005</f>
        <v>B49</v>
      </c>
      <c r="W4001" s="361">
        <f t="shared" ref="W4001" si="503">COUNTIF(K4006:K4020,"&gt;0")</f>
        <v>2</v>
      </c>
    </row>
    <row r="4002" spans="1:23">
      <c r="A4002" s="1401"/>
      <c r="B4002" s="1401"/>
      <c r="C4002" s="1202"/>
      <c r="D4002" s="872"/>
      <c r="E4002" s="1401"/>
      <c r="F4002" s="1401"/>
      <c r="G4002" s="1391"/>
      <c r="H4002" s="1392"/>
      <c r="I4002" s="1391"/>
      <c r="J4002" s="1392"/>
      <c r="K4002" s="1394"/>
      <c r="L4002" s="1392"/>
      <c r="M4002" s="1391"/>
      <c r="N4002" s="1392"/>
      <c r="O4002" s="1391"/>
      <c r="P4002" s="1394"/>
      <c r="Q4002" s="1392"/>
      <c r="R4002" s="1401"/>
      <c r="S4002" s="361"/>
      <c r="T4002" s="361"/>
      <c r="U4002" s="361"/>
      <c r="V4002" s="361"/>
      <c r="W4002" s="361"/>
    </row>
    <row r="4003" spans="1:23">
      <c r="A4003" s="1401"/>
      <c r="B4003" s="1401"/>
      <c r="C4003" s="1202"/>
      <c r="D4003" s="872"/>
      <c r="E4003" s="1401"/>
      <c r="F4003" s="1401"/>
      <c r="G4003" s="1400" t="s">
        <v>20</v>
      </c>
      <c r="H4003" s="1400" t="s">
        <v>21</v>
      </c>
      <c r="I4003" s="1400" t="s">
        <v>361</v>
      </c>
      <c r="J4003" s="1400" t="s">
        <v>353</v>
      </c>
      <c r="K4003" s="1400" t="s">
        <v>23</v>
      </c>
      <c r="L4003" s="1400" t="s">
        <v>24</v>
      </c>
      <c r="M4003" s="1400" t="s">
        <v>27</v>
      </c>
      <c r="N4003" s="1400" t="s">
        <v>178</v>
      </c>
      <c r="O4003" s="1400" t="s">
        <v>1</v>
      </c>
      <c r="P4003" s="1400" t="s">
        <v>29</v>
      </c>
      <c r="Q4003" s="1400" t="s">
        <v>33</v>
      </c>
      <c r="R4003" s="1401"/>
      <c r="S4003" s="361"/>
      <c r="T4003" s="361" t="s">
        <v>39</v>
      </c>
      <c r="U4003" s="362">
        <f>VLOOKUP(B4005,'[8]Thong tin'!$A:$M,13,0)</f>
        <v>800</v>
      </c>
      <c r="V4003" s="361"/>
      <c r="W4003" s="361"/>
    </row>
    <row r="4004" spans="1:23">
      <c r="A4004" s="1402"/>
      <c r="B4004" s="1402"/>
      <c r="C4004" s="1201"/>
      <c r="D4004" s="873"/>
      <c r="E4004" s="1402"/>
      <c r="F4004" s="1402"/>
      <c r="G4004" s="1402"/>
      <c r="H4004" s="1402"/>
      <c r="I4004" s="1402"/>
      <c r="J4004" s="1402"/>
      <c r="K4004" s="1402"/>
      <c r="L4004" s="1402"/>
      <c r="M4004" s="1402"/>
      <c r="N4004" s="1402"/>
      <c r="O4004" s="1402"/>
      <c r="P4004" s="1402"/>
      <c r="Q4004" s="1402"/>
      <c r="R4004" s="1402"/>
      <c r="S4004" s="361"/>
      <c r="T4004" s="1399" t="s">
        <v>393</v>
      </c>
      <c r="U4004" s="1397">
        <f>VLOOKUP(B4005,[8]DT.NK!$B:$AZ,45,0)</f>
        <v>27.31</v>
      </c>
      <c r="V4004" s="361"/>
      <c r="W4004" s="361"/>
    </row>
    <row r="4005" spans="1:23" ht="18.75" customHeight="1">
      <c r="A4005" s="1409">
        <f>A3985+1</f>
        <v>201</v>
      </c>
      <c r="B4005" s="1412" t="s">
        <v>651</v>
      </c>
      <c r="C4005" s="1205" t="s">
        <v>983</v>
      </c>
      <c r="D4005" s="874" t="str">
        <f>B4005&amp;C4005</f>
        <v>B49a</v>
      </c>
      <c r="E4005" s="363"/>
      <c r="F4005" s="364"/>
      <c r="G4005" s="364"/>
      <c r="H4005" s="364"/>
      <c r="I4005" s="364"/>
      <c r="J4005" s="364"/>
      <c r="K4005" s="364"/>
      <c r="L4005" s="364"/>
      <c r="M4005" s="674"/>
      <c r="N4005" s="670"/>
      <c r="O4005" s="670">
        <f>U4004</f>
        <v>27.31</v>
      </c>
      <c r="P4005" s="670">
        <f>O4005</f>
        <v>27.31</v>
      </c>
      <c r="Q4005" s="670">
        <v>0</v>
      </c>
      <c r="R4005" s="365"/>
      <c r="S4005" s="366"/>
      <c r="T4005" s="1399"/>
      <c r="U4005" s="1398"/>
      <c r="V4005" s="361"/>
      <c r="W4005" s="361"/>
    </row>
    <row r="4006" spans="1:23" ht="18.75" customHeight="1">
      <c r="A4006" s="1410"/>
      <c r="B4006" s="1413"/>
      <c r="C4006" s="1206" t="s">
        <v>984</v>
      </c>
      <c r="D4006" s="875" t="str">
        <f>B4005&amp;C4006</f>
        <v>B49b</v>
      </c>
      <c r="E4006" s="367">
        <v>1</v>
      </c>
      <c r="F4006" s="669" t="s">
        <v>1160</v>
      </c>
      <c r="G4006" s="369">
        <v>0.73611111111111116</v>
      </c>
      <c r="H4006" s="368">
        <v>0.78125</v>
      </c>
      <c r="I4006" s="368">
        <v>0.79861111111111116</v>
      </c>
      <c r="J4006" s="368">
        <v>0.80208333333333337</v>
      </c>
      <c r="K4006" s="669">
        <v>8</v>
      </c>
      <c r="L4006" s="669">
        <v>19</v>
      </c>
      <c r="M4006" s="675">
        <v>15.75</v>
      </c>
      <c r="N4006" s="671">
        <f>IF(M4006-P4006&gt;0,M4006-P4006,0)</f>
        <v>5.33</v>
      </c>
      <c r="O4006" s="671">
        <f>O4005-K4006/(PI()*(U4003/2000)^2)</f>
        <v>11.394505690810465</v>
      </c>
      <c r="P4006" s="672">
        <v>10.42</v>
      </c>
      <c r="Q4006" s="673">
        <f>ABS(O4006-P4006)</f>
        <v>0.97450569081046545</v>
      </c>
      <c r="R4006" s="375" t="s">
        <v>188</v>
      </c>
      <c r="S4006" s="366"/>
      <c r="T4006" s="376"/>
      <c r="U4006" s="376"/>
      <c r="V4006" s="366"/>
      <c r="W4006" s="366"/>
    </row>
    <row r="4007" spans="1:23" ht="18.75" customHeight="1">
      <c r="A4007" s="1410"/>
      <c r="B4007" s="1413"/>
      <c r="C4007" s="1206" t="s">
        <v>985</v>
      </c>
      <c r="D4007" s="875" t="str">
        <f>B4005&amp;C4007</f>
        <v>B49c</v>
      </c>
      <c r="E4007" s="367">
        <v>2</v>
      </c>
      <c r="F4007" s="669" t="s">
        <v>1019</v>
      </c>
      <c r="G4007" s="368">
        <v>0.74861111111111101</v>
      </c>
      <c r="H4007" s="368">
        <v>0.78819444444444453</v>
      </c>
      <c r="I4007" s="368">
        <v>0.8125</v>
      </c>
      <c r="J4007" s="368">
        <v>0.81597222222222221</v>
      </c>
      <c r="K4007" s="370">
        <v>7</v>
      </c>
      <c r="L4007" s="370">
        <v>19</v>
      </c>
      <c r="M4007" s="371">
        <v>9.4499999999999993</v>
      </c>
      <c r="N4007" s="671">
        <f t="shared" ref="N4007" si="504">IF(M4007-P4007&gt;0,M4007-P4007,0)</f>
        <v>4.9499999999999993</v>
      </c>
      <c r="O4007" s="671">
        <f>O4006-K4007/(PI()*(U4003/2000)^2)</f>
        <v>-2.5315518297303754</v>
      </c>
      <c r="P4007" s="373">
        <v>4.5</v>
      </c>
      <c r="Q4007" s="673">
        <f t="shared" ref="Q4007" si="505">ABS(O4007-P4007)</f>
        <v>7.0315518297303754</v>
      </c>
      <c r="R4007" s="958" t="s">
        <v>188</v>
      </c>
      <c r="S4007" s="366"/>
      <c r="T4007" s="376"/>
      <c r="U4007" s="376"/>
      <c r="V4007" s="366"/>
      <c r="W4007" s="366"/>
    </row>
    <row r="4008" spans="1:23" ht="18.75" customHeight="1">
      <c r="A4008" s="1410"/>
      <c r="B4008" s="1413"/>
      <c r="C4008" s="1206" t="s">
        <v>986</v>
      </c>
      <c r="D4008" s="875" t="str">
        <f>B4005&amp;C4008</f>
        <v>B49d</v>
      </c>
      <c r="E4008" s="367">
        <v>3</v>
      </c>
      <c r="F4008" s="370"/>
      <c r="G4008" s="368"/>
      <c r="H4008" s="368"/>
      <c r="I4008" s="368"/>
      <c r="J4008" s="368"/>
      <c r="K4008" s="370"/>
      <c r="L4008" s="370"/>
      <c r="M4008" s="371"/>
      <c r="N4008" s="671"/>
      <c r="O4008" s="671"/>
      <c r="P4008" s="373"/>
      <c r="Q4008" s="673"/>
      <c r="R4008" s="958"/>
      <c r="S4008" s="366"/>
      <c r="T4008" s="376"/>
      <c r="U4008" s="376"/>
      <c r="V4008" s="366"/>
      <c r="W4008" s="366"/>
    </row>
    <row r="4009" spans="1:23" ht="18.75" customHeight="1">
      <c r="A4009" s="1410"/>
      <c r="B4009" s="1413"/>
      <c r="C4009" s="1206" t="s">
        <v>987</v>
      </c>
      <c r="D4009" s="875" t="str">
        <f>B4005&amp;C4009</f>
        <v>B49e</v>
      </c>
      <c r="E4009" s="367">
        <v>4</v>
      </c>
      <c r="F4009" s="370"/>
      <c r="G4009" s="368"/>
      <c r="H4009" s="368"/>
      <c r="I4009" s="368"/>
      <c r="J4009" s="368"/>
      <c r="K4009" s="370"/>
      <c r="L4009" s="370"/>
      <c r="M4009" s="371"/>
      <c r="N4009" s="671"/>
      <c r="O4009" s="671"/>
      <c r="P4009" s="373"/>
      <c r="Q4009" s="673"/>
      <c r="R4009" s="958"/>
      <c r="S4009" s="366"/>
      <c r="T4009" s="376"/>
      <c r="U4009" s="376"/>
      <c r="V4009" s="366"/>
      <c r="W4009" s="366"/>
    </row>
    <row r="4010" spans="1:23" ht="18.75" customHeight="1">
      <c r="A4010" s="1410"/>
      <c r="B4010" s="1413"/>
      <c r="C4010" s="1206" t="s">
        <v>988</v>
      </c>
      <c r="D4010" s="875" t="str">
        <f>B4005&amp;C4010</f>
        <v>B49f</v>
      </c>
      <c r="E4010" s="367">
        <v>5</v>
      </c>
      <c r="F4010" s="370"/>
      <c r="G4010" s="368"/>
      <c r="H4010" s="368"/>
      <c r="I4010" s="368"/>
      <c r="J4010" s="368"/>
      <c r="K4010" s="370"/>
      <c r="L4010" s="370"/>
      <c r="M4010" s="371"/>
      <c r="N4010" s="671"/>
      <c r="O4010" s="671"/>
      <c r="P4010" s="373"/>
      <c r="Q4010" s="673"/>
      <c r="R4010" s="958"/>
      <c r="S4010" s="366" t="s">
        <v>190</v>
      </c>
      <c r="T4010" s="376"/>
      <c r="U4010" s="376"/>
      <c r="V4010" s="366"/>
      <c r="W4010" s="366"/>
    </row>
    <row r="4011" spans="1:23" ht="18.75" customHeight="1">
      <c r="A4011" s="1410"/>
      <c r="B4011" s="1413"/>
      <c r="C4011" s="1206" t="s">
        <v>989</v>
      </c>
      <c r="D4011" s="875" t="str">
        <f>B4005&amp;C4011</f>
        <v>B49g</v>
      </c>
      <c r="E4011" s="367">
        <v>6</v>
      </c>
      <c r="F4011" s="370"/>
      <c r="G4011" s="368"/>
      <c r="H4011" s="368"/>
      <c r="I4011" s="368"/>
      <c r="J4011" s="368"/>
      <c r="K4011" s="370"/>
      <c r="L4011" s="370"/>
      <c r="M4011" s="371"/>
      <c r="N4011" s="671"/>
      <c r="O4011" s="671"/>
      <c r="P4011" s="373"/>
      <c r="Q4011" s="673"/>
      <c r="R4011" s="958"/>
      <c r="S4011" s="366" t="s">
        <v>190</v>
      </c>
      <c r="T4011" s="366"/>
      <c r="U4011" s="366"/>
      <c r="V4011" s="366"/>
      <c r="W4011" s="366"/>
    </row>
    <row r="4012" spans="1:23" ht="18.75" customHeight="1">
      <c r="A4012" s="1410"/>
      <c r="B4012" s="1413"/>
      <c r="C4012" s="1206" t="s">
        <v>990</v>
      </c>
      <c r="D4012" s="875" t="str">
        <f>B4005&amp;C4012</f>
        <v>B49h</v>
      </c>
      <c r="E4012" s="367">
        <v>7</v>
      </c>
      <c r="F4012" s="370"/>
      <c r="G4012" s="368"/>
      <c r="H4012" s="368"/>
      <c r="I4012" s="368"/>
      <c r="J4012" s="368"/>
      <c r="K4012" s="370"/>
      <c r="L4012" s="370"/>
      <c r="M4012" s="371"/>
      <c r="N4012" s="671"/>
      <c r="O4012" s="671"/>
      <c r="P4012" s="373"/>
      <c r="Q4012" s="673"/>
      <c r="R4012" s="958"/>
      <c r="S4012" s="366" t="s">
        <v>190</v>
      </c>
      <c r="T4012" s="366"/>
      <c r="U4012" s="366"/>
      <c r="V4012" s="366"/>
      <c r="W4012" s="366"/>
    </row>
    <row r="4013" spans="1:23" ht="18.75" customHeight="1">
      <c r="A4013" s="1410"/>
      <c r="B4013" s="1413"/>
      <c r="C4013" s="1206" t="s">
        <v>991</v>
      </c>
      <c r="D4013" s="875" t="str">
        <f>B4005&amp;C4013</f>
        <v>B49i</v>
      </c>
      <c r="E4013" s="367">
        <v>8</v>
      </c>
      <c r="F4013" s="370"/>
      <c r="G4013" s="368"/>
      <c r="H4013" s="368"/>
      <c r="I4013" s="368"/>
      <c r="J4013" s="368"/>
      <c r="K4013" s="370"/>
      <c r="L4013" s="370"/>
      <c r="M4013" s="371"/>
      <c r="N4013" s="671"/>
      <c r="O4013" s="671"/>
      <c r="P4013" s="373"/>
      <c r="Q4013" s="673"/>
      <c r="R4013" s="958"/>
      <c r="S4013" s="366"/>
      <c r="T4013" s="366"/>
      <c r="U4013" s="366"/>
      <c r="V4013" s="366"/>
      <c r="W4013" s="366"/>
    </row>
    <row r="4014" spans="1:23" ht="18.75" customHeight="1">
      <c r="A4014" s="1410"/>
      <c r="B4014" s="1413"/>
      <c r="C4014" s="1206" t="s">
        <v>992</v>
      </c>
      <c r="D4014" s="875" t="str">
        <f>B4005&amp;C4014</f>
        <v>B49k</v>
      </c>
      <c r="E4014" s="367">
        <v>9</v>
      </c>
      <c r="F4014" s="370"/>
      <c r="G4014" s="368"/>
      <c r="H4014" s="368"/>
      <c r="I4014" s="368"/>
      <c r="J4014" s="368"/>
      <c r="K4014" s="370"/>
      <c r="L4014" s="370"/>
      <c r="M4014" s="371"/>
      <c r="N4014" s="372"/>
      <c r="O4014" s="372"/>
      <c r="P4014" s="373"/>
      <c r="Q4014" s="374"/>
      <c r="R4014" s="378"/>
      <c r="S4014" s="379"/>
      <c r="T4014" s="366"/>
      <c r="U4014" s="366"/>
      <c r="V4014" s="366"/>
      <c r="W4014" s="366"/>
    </row>
    <row r="4015" spans="1:23" ht="18.75" customHeight="1">
      <c r="A4015" s="1410"/>
      <c r="B4015" s="1413"/>
      <c r="C4015" s="1206" t="s">
        <v>993</v>
      </c>
      <c r="D4015" s="875" t="str">
        <f>B4005&amp;C4015</f>
        <v>B49l</v>
      </c>
      <c r="E4015" s="367">
        <v>10</v>
      </c>
      <c r="F4015" s="370"/>
      <c r="G4015" s="368"/>
      <c r="H4015" s="368"/>
      <c r="I4015" s="368"/>
      <c r="J4015" s="368"/>
      <c r="K4015" s="370"/>
      <c r="L4015" s="370"/>
      <c r="M4015" s="370"/>
      <c r="N4015" s="372"/>
      <c r="O4015" s="372"/>
      <c r="P4015" s="373"/>
      <c r="Q4015" s="374"/>
      <c r="R4015" s="378"/>
      <c r="S4015" s="379"/>
      <c r="T4015" s="366"/>
      <c r="U4015" s="366"/>
      <c r="V4015" s="366"/>
      <c r="W4015" s="366"/>
    </row>
    <row r="4016" spans="1:23" ht="18.75" customHeight="1">
      <c r="A4016" s="1410"/>
      <c r="B4016" s="1413"/>
      <c r="C4016" s="1206" t="s">
        <v>994</v>
      </c>
      <c r="D4016" s="875" t="str">
        <f>B4005&amp;C4016</f>
        <v>B49m</v>
      </c>
      <c r="E4016" s="367">
        <v>11</v>
      </c>
      <c r="F4016" s="370"/>
      <c r="G4016" s="368"/>
      <c r="H4016" s="368"/>
      <c r="I4016" s="368"/>
      <c r="J4016" s="368"/>
      <c r="K4016" s="370"/>
      <c r="L4016" s="370"/>
      <c r="M4016" s="370"/>
      <c r="N4016" s="372"/>
      <c r="O4016" s="372"/>
      <c r="P4016" s="380"/>
      <c r="Q4016" s="374"/>
      <c r="R4016" s="381"/>
      <c r="S4016" s="379"/>
      <c r="T4016" s="366"/>
      <c r="U4016" s="366"/>
      <c r="V4016" s="366"/>
      <c r="W4016" s="366"/>
    </row>
    <row r="4017" spans="1:23" ht="18.75" customHeight="1">
      <c r="A4017" s="1410"/>
      <c r="B4017" s="1413"/>
      <c r="C4017" s="1206" t="s">
        <v>995</v>
      </c>
      <c r="D4017" s="875" t="str">
        <f>B4005&amp;C4017</f>
        <v>B49n</v>
      </c>
      <c r="E4017" s="367">
        <v>12</v>
      </c>
      <c r="F4017" s="370"/>
      <c r="G4017" s="368"/>
      <c r="H4017" s="368"/>
      <c r="I4017" s="368"/>
      <c r="J4017" s="368"/>
      <c r="K4017" s="370"/>
      <c r="L4017" s="370"/>
      <c r="M4017" s="370"/>
      <c r="N4017" s="372"/>
      <c r="O4017" s="372"/>
      <c r="P4017" s="380"/>
      <c r="Q4017" s="374"/>
      <c r="R4017" s="381"/>
      <c r="S4017" s="361"/>
      <c r="T4017" s="361"/>
      <c r="U4017" s="361"/>
      <c r="V4017" s="366"/>
      <c r="W4017" s="366"/>
    </row>
    <row r="4018" spans="1:23" ht="18.75" customHeight="1">
      <c r="A4018" s="1410"/>
      <c r="B4018" s="1413"/>
      <c r="C4018" s="1206" t="s">
        <v>471</v>
      </c>
      <c r="D4018" s="875" t="str">
        <f>B4005&amp;C4018</f>
        <v>B49x</v>
      </c>
      <c r="E4018" s="367">
        <v>13</v>
      </c>
      <c r="F4018" s="370"/>
      <c r="G4018" s="368"/>
      <c r="H4018" s="368"/>
      <c r="I4018" s="368"/>
      <c r="J4018" s="368"/>
      <c r="K4018" s="370"/>
      <c r="L4018" s="370"/>
      <c r="M4018" s="370"/>
      <c r="N4018" s="382"/>
      <c r="O4018" s="372"/>
      <c r="P4018" s="380"/>
      <c r="Q4018" s="381"/>
      <c r="R4018" s="381"/>
      <c r="S4018" s="361"/>
      <c r="T4018" s="361"/>
      <c r="U4018" s="361"/>
      <c r="V4018" s="366"/>
      <c r="W4018" s="366"/>
    </row>
    <row r="4019" spans="1:23" ht="18.75" customHeight="1">
      <c r="A4019" s="1410"/>
      <c r="B4019" s="1413"/>
      <c r="C4019" s="1206" t="s">
        <v>732</v>
      </c>
      <c r="D4019" s="875" t="str">
        <f>B4005&amp;C4019</f>
        <v>B49y</v>
      </c>
      <c r="E4019" s="367">
        <v>14</v>
      </c>
      <c r="F4019" s="370"/>
      <c r="G4019" s="368"/>
      <c r="H4019" s="368"/>
      <c r="I4019" s="368"/>
      <c r="J4019" s="368"/>
      <c r="K4019" s="370"/>
      <c r="L4019" s="370"/>
      <c r="M4019" s="370"/>
      <c r="N4019" s="382"/>
      <c r="O4019" s="372"/>
      <c r="P4019" s="380"/>
      <c r="Q4019" s="381"/>
      <c r="R4019" s="381"/>
      <c r="S4019" s="361"/>
      <c r="T4019" s="361"/>
      <c r="U4019" s="362"/>
      <c r="V4019" s="366"/>
      <c r="W4019" s="366"/>
    </row>
    <row r="4020" spans="1:23" ht="18.75" customHeight="1">
      <c r="A4020" s="1411"/>
      <c r="B4020" s="1414"/>
      <c r="C4020" s="1207" t="s">
        <v>996</v>
      </c>
      <c r="D4020" s="876" t="str">
        <f>B4005&amp;C4020</f>
        <v>B49z</v>
      </c>
      <c r="E4020" s="847">
        <v>15</v>
      </c>
      <c r="F4020" s="370"/>
      <c r="G4020" s="368"/>
      <c r="H4020" s="368"/>
      <c r="I4020" s="368"/>
      <c r="J4020" s="368"/>
      <c r="K4020" s="370"/>
      <c r="L4020" s="370"/>
      <c r="M4020" s="370"/>
      <c r="N4020" s="850"/>
      <c r="O4020" s="851"/>
      <c r="P4020" s="380"/>
      <c r="Q4020" s="852"/>
      <c r="R4020" s="383"/>
      <c r="S4020" s="361"/>
      <c r="T4020" s="1204"/>
      <c r="U4020" s="1203"/>
      <c r="V4020" s="366"/>
      <c r="W4020" s="366"/>
    </row>
    <row r="4021" spans="1:23">
      <c r="A4021" s="1400" t="s">
        <v>939</v>
      </c>
      <c r="B4021" s="1400"/>
      <c r="C4021" s="1200"/>
      <c r="D4021" s="871"/>
      <c r="E4021" s="1400" t="s">
        <v>177</v>
      </c>
      <c r="F4021" s="1400" t="s">
        <v>18</v>
      </c>
      <c r="G4021" s="1389" t="s">
        <v>19</v>
      </c>
      <c r="H4021" s="1390"/>
      <c r="I4021" s="1389" t="s">
        <v>22</v>
      </c>
      <c r="J4021" s="1390"/>
      <c r="K4021" s="1393" t="s">
        <v>26</v>
      </c>
      <c r="L4021" s="1390"/>
      <c r="M4021" s="1389" t="s">
        <v>392</v>
      </c>
      <c r="N4021" s="1390"/>
      <c r="O4021" s="1389" t="s">
        <v>28</v>
      </c>
      <c r="P4021" s="1393"/>
      <c r="Q4021" s="1390"/>
      <c r="R4021" s="1400" t="s">
        <v>36</v>
      </c>
      <c r="S4021" s="361"/>
      <c r="T4021" s="361">
        <f>MAX(J4025:J4039)-MIN(I4025:I4039)</f>
        <v>6.25E-2</v>
      </c>
      <c r="U4021" s="361"/>
      <c r="V4021" s="853" t="str">
        <f t="shared" ref="V4021" si="506">B4025</f>
        <v>A117</v>
      </c>
      <c r="W4021" s="361">
        <f t="shared" ref="W4021" si="507">COUNTIF(K4026:K4040,"&gt;0")</f>
        <v>4</v>
      </c>
    </row>
    <row r="4022" spans="1:23">
      <c r="A4022" s="1401"/>
      <c r="B4022" s="1401"/>
      <c r="C4022" s="1202"/>
      <c r="D4022" s="872"/>
      <c r="E4022" s="1401"/>
      <c r="F4022" s="1401"/>
      <c r="G4022" s="1391"/>
      <c r="H4022" s="1392"/>
      <c r="I4022" s="1391"/>
      <c r="J4022" s="1392"/>
      <c r="K4022" s="1394"/>
      <c r="L4022" s="1392"/>
      <c r="M4022" s="1391"/>
      <c r="N4022" s="1392"/>
      <c r="O4022" s="1391"/>
      <c r="P4022" s="1394"/>
      <c r="Q4022" s="1392"/>
      <c r="R4022" s="1401"/>
      <c r="S4022" s="361"/>
      <c r="T4022" s="361"/>
      <c r="U4022" s="361"/>
      <c r="V4022" s="361"/>
      <c r="W4022" s="361"/>
    </row>
    <row r="4023" spans="1:23">
      <c r="A4023" s="1401"/>
      <c r="B4023" s="1401"/>
      <c r="C4023" s="1202"/>
      <c r="D4023" s="872"/>
      <c r="E4023" s="1401"/>
      <c r="F4023" s="1401"/>
      <c r="G4023" s="1400" t="s">
        <v>20</v>
      </c>
      <c r="H4023" s="1400" t="s">
        <v>21</v>
      </c>
      <c r="I4023" s="1400" t="s">
        <v>361</v>
      </c>
      <c r="J4023" s="1400" t="s">
        <v>353</v>
      </c>
      <c r="K4023" s="1400" t="s">
        <v>23</v>
      </c>
      <c r="L4023" s="1400" t="s">
        <v>24</v>
      </c>
      <c r="M4023" s="1400" t="s">
        <v>27</v>
      </c>
      <c r="N4023" s="1400" t="s">
        <v>178</v>
      </c>
      <c r="O4023" s="1400" t="s">
        <v>1</v>
      </c>
      <c r="P4023" s="1400" t="s">
        <v>29</v>
      </c>
      <c r="Q4023" s="1400" t="s">
        <v>33</v>
      </c>
      <c r="R4023" s="1401"/>
      <c r="S4023" s="361"/>
      <c r="T4023" s="361" t="s">
        <v>39</v>
      </c>
      <c r="U4023" s="362">
        <f>VLOOKUP(B4025,'[8]Thong tin'!$A:$M,13,0)</f>
        <v>1200</v>
      </c>
      <c r="V4023" s="361"/>
      <c r="W4023" s="361"/>
    </row>
    <row r="4024" spans="1:23">
      <c r="A4024" s="1402"/>
      <c r="B4024" s="1402"/>
      <c r="C4024" s="1201"/>
      <c r="D4024" s="873"/>
      <c r="E4024" s="1402"/>
      <c r="F4024" s="1402"/>
      <c r="G4024" s="1402"/>
      <c r="H4024" s="1402"/>
      <c r="I4024" s="1402"/>
      <c r="J4024" s="1402"/>
      <c r="K4024" s="1402"/>
      <c r="L4024" s="1402"/>
      <c r="M4024" s="1402"/>
      <c r="N4024" s="1402"/>
      <c r="O4024" s="1402"/>
      <c r="P4024" s="1402"/>
      <c r="Q4024" s="1402"/>
      <c r="R4024" s="1402"/>
      <c r="S4024" s="361"/>
      <c r="T4024" s="1399" t="s">
        <v>393</v>
      </c>
      <c r="U4024" s="1397">
        <f>VLOOKUP(B4025,[8]DT.NK!$B:$AZ,45,0)</f>
        <v>41.73</v>
      </c>
      <c r="V4024" s="361"/>
      <c r="W4024" s="361"/>
    </row>
    <row r="4025" spans="1:23" ht="18.75" customHeight="1">
      <c r="A4025" s="1409">
        <f>A4005+1</f>
        <v>202</v>
      </c>
      <c r="B4025" s="1412" t="s">
        <v>620</v>
      </c>
      <c r="C4025" s="1205" t="s">
        <v>983</v>
      </c>
      <c r="D4025" s="874" t="str">
        <f>B4025&amp;C4025</f>
        <v>A117a</v>
      </c>
      <c r="E4025" s="363"/>
      <c r="F4025" s="364"/>
      <c r="G4025" s="364"/>
      <c r="H4025" s="364"/>
      <c r="I4025" s="364"/>
      <c r="J4025" s="364"/>
      <c r="K4025" s="364"/>
      <c r="L4025" s="364"/>
      <c r="M4025" s="674"/>
      <c r="N4025" s="670"/>
      <c r="O4025" s="670">
        <f>U4024</f>
        <v>41.73</v>
      </c>
      <c r="P4025" s="670">
        <f>O4025</f>
        <v>41.73</v>
      </c>
      <c r="Q4025" s="670">
        <v>0</v>
      </c>
      <c r="R4025" s="365"/>
      <c r="S4025" s="366"/>
      <c r="T4025" s="1399"/>
      <c r="U4025" s="1398"/>
      <c r="V4025" s="361"/>
      <c r="W4025" s="361"/>
    </row>
    <row r="4026" spans="1:23" ht="18.75" customHeight="1">
      <c r="A4026" s="1410"/>
      <c r="B4026" s="1413"/>
      <c r="C4026" s="1206" t="s">
        <v>984</v>
      </c>
      <c r="D4026" s="875" t="str">
        <f>B4025&amp;C4026</f>
        <v>A117b</v>
      </c>
      <c r="E4026" s="367">
        <v>1</v>
      </c>
      <c r="F4026" s="669" t="s">
        <v>1156</v>
      </c>
      <c r="G4026" s="369">
        <v>0.3263888888888889</v>
      </c>
      <c r="H4026" s="368">
        <v>0.38541666666666669</v>
      </c>
      <c r="I4026" s="368">
        <v>0.39583333333333331</v>
      </c>
      <c r="J4026" s="368">
        <v>0.39930555555555558</v>
      </c>
      <c r="K4026" s="669">
        <v>11</v>
      </c>
      <c r="L4026" s="669">
        <v>19</v>
      </c>
      <c r="M4026" s="675">
        <v>37.799999999999997</v>
      </c>
      <c r="N4026" s="671">
        <f>IF(M4026-P4026&gt;0,M4026-P4026,0)</f>
        <v>3.6299999999999955</v>
      </c>
      <c r="O4026" s="671">
        <f>O4025-K4026/(PI()*(U4023/2000)^2)</f>
        <v>32.003864588828613</v>
      </c>
      <c r="P4026" s="672">
        <v>34.17</v>
      </c>
      <c r="Q4026" s="673">
        <f>ABS(O4026-P4026)</f>
        <v>2.1661354111713891</v>
      </c>
      <c r="R4026" s="375" t="s">
        <v>188</v>
      </c>
      <c r="S4026" s="366"/>
      <c r="T4026" s="376"/>
      <c r="U4026" s="376"/>
      <c r="V4026" s="366"/>
      <c r="W4026" s="366"/>
    </row>
    <row r="4027" spans="1:23" ht="18.75" customHeight="1">
      <c r="A4027" s="1410"/>
      <c r="B4027" s="1413"/>
      <c r="C4027" s="1206" t="s">
        <v>985</v>
      </c>
      <c r="D4027" s="875" t="str">
        <f>B4025&amp;C4027</f>
        <v>A117c</v>
      </c>
      <c r="E4027" s="367">
        <v>2</v>
      </c>
      <c r="F4027" s="669" t="s">
        <v>1159</v>
      </c>
      <c r="G4027" s="368">
        <v>0.34027777777777773</v>
      </c>
      <c r="H4027" s="368">
        <v>0.3923611111111111</v>
      </c>
      <c r="I4027" s="368">
        <v>0.40625</v>
      </c>
      <c r="J4027" s="368">
        <v>0.40972222222222227</v>
      </c>
      <c r="K4027" s="370">
        <v>11</v>
      </c>
      <c r="L4027" s="370">
        <v>20</v>
      </c>
      <c r="M4027" s="371">
        <v>28.35</v>
      </c>
      <c r="N4027" s="671">
        <f t="shared" ref="N4027" si="508">IF(M4027-P4027&gt;0,M4027-P4027,0)</f>
        <v>3.5300000000000011</v>
      </c>
      <c r="O4027" s="671">
        <f>O4026-K4027/(PI()*(U4023/2000)^2)</f>
        <v>22.277729177657228</v>
      </c>
      <c r="P4027" s="373">
        <v>24.82</v>
      </c>
      <c r="Q4027" s="673">
        <f t="shared" ref="Q4027" si="509">ABS(O4027-P4027)</f>
        <v>2.5422708223427719</v>
      </c>
      <c r="R4027" s="958" t="s">
        <v>188</v>
      </c>
      <c r="S4027" s="366"/>
      <c r="T4027" s="376"/>
      <c r="U4027" s="376"/>
      <c r="V4027" s="366"/>
      <c r="W4027" s="366"/>
    </row>
    <row r="4028" spans="1:23" ht="18.75" customHeight="1">
      <c r="A4028" s="1410"/>
      <c r="B4028" s="1413"/>
      <c r="C4028" s="1206" t="s">
        <v>986</v>
      </c>
      <c r="D4028" s="875" t="str">
        <f>B4025&amp;C4028</f>
        <v>A117d</v>
      </c>
      <c r="E4028" s="367">
        <v>3</v>
      </c>
      <c r="F4028" s="669" t="s">
        <v>1019</v>
      </c>
      <c r="G4028" s="368">
        <v>0.36805555555555558</v>
      </c>
      <c r="H4028" s="368">
        <v>0.40625</v>
      </c>
      <c r="I4028" s="368">
        <v>0.4201388888888889</v>
      </c>
      <c r="J4028" s="368">
        <v>0.4236111111111111</v>
      </c>
      <c r="K4028" s="370">
        <v>10</v>
      </c>
      <c r="L4028" s="370">
        <v>19</v>
      </c>
      <c r="M4028" s="371">
        <v>18.899999999999999</v>
      </c>
      <c r="N4028" s="671"/>
      <c r="O4028" s="671"/>
      <c r="P4028" s="373">
        <v>16</v>
      </c>
      <c r="Q4028" s="673"/>
      <c r="R4028" s="958" t="s">
        <v>188</v>
      </c>
      <c r="S4028" s="366"/>
      <c r="T4028" s="376"/>
      <c r="U4028" s="376"/>
      <c r="V4028" s="366"/>
      <c r="W4028" s="366"/>
    </row>
    <row r="4029" spans="1:23" ht="18.75" customHeight="1">
      <c r="A4029" s="1410"/>
      <c r="B4029" s="1413"/>
      <c r="C4029" s="1206" t="s">
        <v>987</v>
      </c>
      <c r="D4029" s="875" t="str">
        <f>B4025&amp;C4029</f>
        <v>A117e</v>
      </c>
      <c r="E4029" s="367">
        <v>4</v>
      </c>
      <c r="F4029" s="669" t="s">
        <v>1160</v>
      </c>
      <c r="G4029" s="368">
        <v>0.4152777777777778</v>
      </c>
      <c r="H4029" s="368">
        <v>0.4513888888888889</v>
      </c>
      <c r="I4029" s="368">
        <v>0.4548611111111111</v>
      </c>
      <c r="J4029" s="368">
        <v>0.45833333333333331</v>
      </c>
      <c r="K4029" s="370">
        <v>11</v>
      </c>
      <c r="L4029" s="370">
        <v>19.5</v>
      </c>
      <c r="M4029" s="371"/>
      <c r="N4029" s="671"/>
      <c r="O4029" s="671"/>
      <c r="P4029" s="373">
        <v>6.5</v>
      </c>
      <c r="Q4029" s="673"/>
      <c r="R4029" s="958"/>
      <c r="S4029" s="366"/>
      <c r="T4029" s="376"/>
      <c r="U4029" s="376"/>
      <c r="V4029" s="366"/>
      <c r="W4029" s="366"/>
    </row>
    <row r="4030" spans="1:23" ht="18.75" customHeight="1">
      <c r="A4030" s="1410"/>
      <c r="B4030" s="1413"/>
      <c r="C4030" s="1206" t="s">
        <v>988</v>
      </c>
      <c r="D4030" s="875" t="str">
        <f>B4025&amp;C4030</f>
        <v>A117f</v>
      </c>
      <c r="E4030" s="367">
        <v>5</v>
      </c>
      <c r="F4030" s="370"/>
      <c r="G4030" s="368"/>
      <c r="H4030" s="368"/>
      <c r="I4030" s="368"/>
      <c r="J4030" s="368"/>
      <c r="K4030" s="370"/>
      <c r="L4030" s="370"/>
      <c r="M4030" s="371"/>
      <c r="N4030" s="671"/>
      <c r="O4030" s="671"/>
      <c r="P4030" s="373"/>
      <c r="Q4030" s="673"/>
      <c r="R4030" s="958"/>
      <c r="S4030" s="366" t="s">
        <v>190</v>
      </c>
      <c r="T4030" s="376"/>
      <c r="U4030" s="376"/>
      <c r="V4030" s="366"/>
      <c r="W4030" s="366"/>
    </row>
    <row r="4031" spans="1:23" ht="18.75" customHeight="1">
      <c r="A4031" s="1410"/>
      <c r="B4031" s="1413"/>
      <c r="C4031" s="1206" t="s">
        <v>989</v>
      </c>
      <c r="D4031" s="875" t="str">
        <f>B4025&amp;C4031</f>
        <v>A117g</v>
      </c>
      <c r="E4031" s="367">
        <v>6</v>
      </c>
      <c r="F4031" s="370"/>
      <c r="G4031" s="368"/>
      <c r="H4031" s="368"/>
      <c r="I4031" s="368"/>
      <c r="J4031" s="368"/>
      <c r="K4031" s="370"/>
      <c r="L4031" s="370"/>
      <c r="M4031" s="371"/>
      <c r="N4031" s="671"/>
      <c r="O4031" s="671"/>
      <c r="P4031" s="373"/>
      <c r="Q4031" s="673"/>
      <c r="R4031" s="958"/>
      <c r="S4031" s="366" t="s">
        <v>190</v>
      </c>
      <c r="T4031" s="366"/>
      <c r="U4031" s="366"/>
      <c r="V4031" s="366"/>
      <c r="W4031" s="366"/>
    </row>
    <row r="4032" spans="1:23" ht="18.75" customHeight="1">
      <c r="A4032" s="1410"/>
      <c r="B4032" s="1413"/>
      <c r="C4032" s="1206" t="s">
        <v>990</v>
      </c>
      <c r="D4032" s="875" t="str">
        <f>B4025&amp;C4032</f>
        <v>A117h</v>
      </c>
      <c r="E4032" s="367">
        <v>7</v>
      </c>
      <c r="F4032" s="370"/>
      <c r="G4032" s="368"/>
      <c r="H4032" s="368"/>
      <c r="I4032" s="368"/>
      <c r="J4032" s="368"/>
      <c r="K4032" s="370"/>
      <c r="L4032" s="370"/>
      <c r="M4032" s="371"/>
      <c r="N4032" s="671"/>
      <c r="O4032" s="671"/>
      <c r="P4032" s="373"/>
      <c r="Q4032" s="673"/>
      <c r="R4032" s="958"/>
      <c r="S4032" s="366" t="s">
        <v>190</v>
      </c>
      <c r="T4032" s="366"/>
      <c r="U4032" s="366"/>
      <c r="V4032" s="366"/>
      <c r="W4032" s="366"/>
    </row>
    <row r="4033" spans="1:23" ht="18.75" customHeight="1">
      <c r="A4033" s="1410"/>
      <c r="B4033" s="1413"/>
      <c r="C4033" s="1206" t="s">
        <v>991</v>
      </c>
      <c r="D4033" s="875" t="str">
        <f>B4025&amp;C4033</f>
        <v>A117i</v>
      </c>
      <c r="E4033" s="367">
        <v>8</v>
      </c>
      <c r="F4033" s="370"/>
      <c r="G4033" s="368"/>
      <c r="H4033" s="368"/>
      <c r="I4033" s="368"/>
      <c r="J4033" s="368"/>
      <c r="K4033" s="370"/>
      <c r="L4033" s="370"/>
      <c r="M4033" s="371"/>
      <c r="N4033" s="671"/>
      <c r="O4033" s="671"/>
      <c r="P4033" s="373"/>
      <c r="Q4033" s="673"/>
      <c r="R4033" s="958"/>
      <c r="S4033" s="366"/>
      <c r="T4033" s="366"/>
      <c r="U4033" s="366"/>
      <c r="V4033" s="366"/>
      <c r="W4033" s="366"/>
    </row>
    <row r="4034" spans="1:23" ht="18.75" customHeight="1">
      <c r="A4034" s="1410"/>
      <c r="B4034" s="1413"/>
      <c r="C4034" s="1206" t="s">
        <v>992</v>
      </c>
      <c r="D4034" s="875" t="str">
        <f>B4025&amp;C4034</f>
        <v>A117k</v>
      </c>
      <c r="E4034" s="367">
        <v>9</v>
      </c>
      <c r="F4034" s="370"/>
      <c r="G4034" s="368"/>
      <c r="H4034" s="368"/>
      <c r="I4034" s="368"/>
      <c r="J4034" s="368"/>
      <c r="K4034" s="370"/>
      <c r="L4034" s="370"/>
      <c r="M4034" s="371"/>
      <c r="N4034" s="372"/>
      <c r="O4034" s="372"/>
      <c r="P4034" s="373"/>
      <c r="Q4034" s="374"/>
      <c r="R4034" s="378"/>
      <c r="S4034" s="379"/>
      <c r="T4034" s="366"/>
      <c r="U4034" s="366"/>
      <c r="V4034" s="366"/>
      <c r="W4034" s="366"/>
    </row>
    <row r="4035" spans="1:23" ht="18.75" customHeight="1">
      <c r="A4035" s="1410"/>
      <c r="B4035" s="1413"/>
      <c r="C4035" s="1206" t="s">
        <v>993</v>
      </c>
      <c r="D4035" s="875" t="str">
        <f>B4025&amp;C4035</f>
        <v>A117l</v>
      </c>
      <c r="E4035" s="367">
        <v>10</v>
      </c>
      <c r="F4035" s="370"/>
      <c r="G4035" s="368"/>
      <c r="H4035" s="368"/>
      <c r="I4035" s="368"/>
      <c r="J4035" s="368"/>
      <c r="K4035" s="370"/>
      <c r="L4035" s="370"/>
      <c r="M4035" s="370"/>
      <c r="N4035" s="372"/>
      <c r="O4035" s="372"/>
      <c r="P4035" s="373"/>
      <c r="Q4035" s="374"/>
      <c r="R4035" s="378"/>
      <c r="S4035" s="379"/>
      <c r="T4035" s="366"/>
      <c r="U4035" s="366"/>
      <c r="V4035" s="366"/>
      <c r="W4035" s="366"/>
    </row>
    <row r="4036" spans="1:23" ht="18.75" customHeight="1">
      <c r="A4036" s="1410"/>
      <c r="B4036" s="1413"/>
      <c r="C4036" s="1206" t="s">
        <v>994</v>
      </c>
      <c r="D4036" s="875" t="str">
        <f>B4025&amp;C4036</f>
        <v>A117m</v>
      </c>
      <c r="E4036" s="367">
        <v>11</v>
      </c>
      <c r="F4036" s="370"/>
      <c r="G4036" s="368"/>
      <c r="H4036" s="368"/>
      <c r="I4036" s="368"/>
      <c r="J4036" s="368"/>
      <c r="K4036" s="370"/>
      <c r="L4036" s="370"/>
      <c r="M4036" s="370"/>
      <c r="N4036" s="372"/>
      <c r="O4036" s="372"/>
      <c r="P4036" s="380"/>
      <c r="Q4036" s="374"/>
      <c r="R4036" s="381"/>
      <c r="S4036" s="379"/>
      <c r="T4036" s="366"/>
      <c r="U4036" s="366"/>
      <c r="V4036" s="366"/>
      <c r="W4036" s="366"/>
    </row>
    <row r="4037" spans="1:23" ht="18.75" customHeight="1">
      <c r="A4037" s="1410"/>
      <c r="B4037" s="1413"/>
      <c r="C4037" s="1206" t="s">
        <v>995</v>
      </c>
      <c r="D4037" s="875" t="str">
        <f>B4025&amp;C4037</f>
        <v>A117n</v>
      </c>
      <c r="E4037" s="367">
        <v>12</v>
      </c>
      <c r="F4037" s="370"/>
      <c r="G4037" s="368"/>
      <c r="H4037" s="368"/>
      <c r="I4037" s="368"/>
      <c r="J4037" s="368"/>
      <c r="K4037" s="370"/>
      <c r="L4037" s="370"/>
      <c r="M4037" s="370"/>
      <c r="N4037" s="372"/>
      <c r="O4037" s="372"/>
      <c r="P4037" s="380"/>
      <c r="Q4037" s="374"/>
      <c r="R4037" s="381"/>
      <c r="S4037" s="361"/>
      <c r="T4037" s="361"/>
      <c r="U4037" s="361"/>
      <c r="V4037" s="366"/>
      <c r="W4037" s="366"/>
    </row>
    <row r="4038" spans="1:23" ht="18.75" customHeight="1">
      <c r="A4038" s="1410"/>
      <c r="B4038" s="1413"/>
      <c r="C4038" s="1206" t="s">
        <v>471</v>
      </c>
      <c r="D4038" s="875" t="str">
        <f>B4025&amp;C4038</f>
        <v>A117x</v>
      </c>
      <c r="E4038" s="367">
        <v>13</v>
      </c>
      <c r="F4038" s="370"/>
      <c r="G4038" s="368"/>
      <c r="H4038" s="368"/>
      <c r="I4038" s="368"/>
      <c r="J4038" s="368"/>
      <c r="K4038" s="370"/>
      <c r="L4038" s="370"/>
      <c r="M4038" s="370"/>
      <c r="N4038" s="382"/>
      <c r="O4038" s="372"/>
      <c r="P4038" s="380"/>
      <c r="Q4038" s="381"/>
      <c r="R4038" s="381"/>
      <c r="S4038" s="361"/>
      <c r="T4038" s="361"/>
      <c r="U4038" s="361"/>
      <c r="V4038" s="366"/>
      <c r="W4038" s="366"/>
    </row>
    <row r="4039" spans="1:23" ht="18.75" customHeight="1">
      <c r="A4039" s="1410"/>
      <c r="B4039" s="1413"/>
      <c r="C4039" s="1206" t="s">
        <v>732</v>
      </c>
      <c r="D4039" s="875" t="str">
        <f>B4025&amp;C4039</f>
        <v>A117y</v>
      </c>
      <c r="E4039" s="367">
        <v>14</v>
      </c>
      <c r="F4039" s="370"/>
      <c r="G4039" s="368"/>
      <c r="H4039" s="368"/>
      <c r="I4039" s="368"/>
      <c r="J4039" s="368"/>
      <c r="K4039" s="370"/>
      <c r="L4039" s="370"/>
      <c r="M4039" s="370"/>
      <c r="N4039" s="382"/>
      <c r="O4039" s="372"/>
      <c r="P4039" s="380"/>
      <c r="Q4039" s="381"/>
      <c r="R4039" s="381"/>
      <c r="S4039" s="361"/>
      <c r="T4039" s="361"/>
      <c r="U4039" s="362"/>
      <c r="V4039" s="366"/>
      <c r="W4039" s="366"/>
    </row>
    <row r="4040" spans="1:23" ht="18.75" customHeight="1">
      <c r="A4040" s="1411"/>
      <c r="B4040" s="1414"/>
      <c r="C4040" s="1207" t="s">
        <v>996</v>
      </c>
      <c r="D4040" s="876" t="str">
        <f>B4025&amp;C4040</f>
        <v>A117z</v>
      </c>
      <c r="E4040" s="847">
        <v>15</v>
      </c>
      <c r="F4040" s="370"/>
      <c r="G4040" s="368"/>
      <c r="H4040" s="368"/>
      <c r="I4040" s="368"/>
      <c r="J4040" s="368"/>
      <c r="K4040" s="370"/>
      <c r="L4040" s="370"/>
      <c r="M4040" s="370"/>
      <c r="N4040" s="850"/>
      <c r="O4040" s="851"/>
      <c r="P4040" s="380"/>
      <c r="Q4040" s="852"/>
      <c r="R4040" s="383"/>
      <c r="S4040" s="361"/>
      <c r="T4040" s="1204"/>
      <c r="U4040" s="1203"/>
      <c r="V4040" s="366"/>
      <c r="W4040" s="366"/>
    </row>
    <row r="4041" spans="1:23">
      <c r="A4041" s="1400" t="s">
        <v>939</v>
      </c>
      <c r="B4041" s="1400"/>
      <c r="C4041" s="1200"/>
      <c r="D4041" s="871"/>
      <c r="E4041" s="1400" t="s">
        <v>177</v>
      </c>
      <c r="F4041" s="1400" t="s">
        <v>18</v>
      </c>
      <c r="G4041" s="1389" t="s">
        <v>19</v>
      </c>
      <c r="H4041" s="1390"/>
      <c r="I4041" s="1389" t="s">
        <v>22</v>
      </c>
      <c r="J4041" s="1390"/>
      <c r="K4041" s="1393" t="s">
        <v>26</v>
      </c>
      <c r="L4041" s="1390"/>
      <c r="M4041" s="1389" t="s">
        <v>392</v>
      </c>
      <c r="N4041" s="1390"/>
      <c r="O4041" s="1389" t="s">
        <v>28</v>
      </c>
      <c r="P4041" s="1393"/>
      <c r="Q4041" s="1390"/>
      <c r="R4041" s="1400" t="s">
        <v>36</v>
      </c>
      <c r="S4041" s="361"/>
      <c r="T4041" s="361">
        <f>MAX(J4045:J4059)-MIN(I4045:I4059)</f>
        <v>3.819444444444442E-2</v>
      </c>
      <c r="U4041" s="361"/>
      <c r="V4041" s="853" t="str">
        <f t="shared" ref="V4041" si="510">B4045</f>
        <v>B19</v>
      </c>
      <c r="W4041" s="361">
        <f t="shared" ref="W4041" si="511">COUNTIF(K4046:K4060,"&gt;0")</f>
        <v>2</v>
      </c>
    </row>
    <row r="4042" spans="1:23">
      <c r="A4042" s="1401"/>
      <c r="B4042" s="1401"/>
      <c r="C4042" s="1202"/>
      <c r="D4042" s="872"/>
      <c r="E4042" s="1401"/>
      <c r="F4042" s="1401"/>
      <c r="G4042" s="1391"/>
      <c r="H4042" s="1392"/>
      <c r="I4042" s="1391"/>
      <c r="J4042" s="1392"/>
      <c r="K4042" s="1394"/>
      <c r="L4042" s="1392"/>
      <c r="M4042" s="1391"/>
      <c r="N4042" s="1392"/>
      <c r="O4042" s="1391"/>
      <c r="P4042" s="1394"/>
      <c r="Q4042" s="1392"/>
      <c r="R4042" s="1401"/>
      <c r="S4042" s="361"/>
      <c r="T4042" s="361"/>
      <c r="U4042" s="361"/>
      <c r="V4042" s="361"/>
      <c r="W4042" s="361"/>
    </row>
    <row r="4043" spans="1:23">
      <c r="A4043" s="1401"/>
      <c r="B4043" s="1401"/>
      <c r="C4043" s="1202"/>
      <c r="D4043" s="872"/>
      <c r="E4043" s="1401"/>
      <c r="F4043" s="1401"/>
      <c r="G4043" s="1400" t="s">
        <v>20</v>
      </c>
      <c r="H4043" s="1400" t="s">
        <v>21</v>
      </c>
      <c r="I4043" s="1400" t="s">
        <v>361</v>
      </c>
      <c r="J4043" s="1400" t="s">
        <v>353</v>
      </c>
      <c r="K4043" s="1400" t="s">
        <v>23</v>
      </c>
      <c r="L4043" s="1400" t="s">
        <v>24</v>
      </c>
      <c r="M4043" s="1400" t="s">
        <v>27</v>
      </c>
      <c r="N4043" s="1400" t="s">
        <v>178</v>
      </c>
      <c r="O4043" s="1400" t="s">
        <v>1</v>
      </c>
      <c r="P4043" s="1400" t="s">
        <v>29</v>
      </c>
      <c r="Q4043" s="1400" t="s">
        <v>33</v>
      </c>
      <c r="R4043" s="1401"/>
      <c r="S4043" s="361"/>
      <c r="T4043" s="361" t="s">
        <v>39</v>
      </c>
      <c r="U4043" s="362">
        <f>VLOOKUP(B4045,'[8]Thong tin'!$A:$M,13,0)</f>
        <v>800</v>
      </c>
      <c r="V4043" s="361"/>
      <c r="W4043" s="361"/>
    </row>
    <row r="4044" spans="1:23">
      <c r="A4044" s="1402"/>
      <c r="B4044" s="1402"/>
      <c r="C4044" s="1201"/>
      <c r="D4044" s="873"/>
      <c r="E4044" s="1402"/>
      <c r="F4044" s="1402"/>
      <c r="G4044" s="1402"/>
      <c r="H4044" s="1402"/>
      <c r="I4044" s="1402"/>
      <c r="J4044" s="1402"/>
      <c r="K4044" s="1402"/>
      <c r="L4044" s="1402"/>
      <c r="M4044" s="1402"/>
      <c r="N4044" s="1402"/>
      <c r="O4044" s="1402"/>
      <c r="P4044" s="1402"/>
      <c r="Q4044" s="1402"/>
      <c r="R4044" s="1402"/>
      <c r="S4044" s="361"/>
      <c r="T4044" s="1399" t="s">
        <v>393</v>
      </c>
      <c r="U4044" s="1397">
        <f>VLOOKUP(B4045,[8]DT.NK!$B:$AZ,45,0)</f>
        <v>31.05</v>
      </c>
      <c r="V4044" s="361"/>
      <c r="W4044" s="361"/>
    </row>
    <row r="4045" spans="1:23" ht="18.75" customHeight="1">
      <c r="A4045" s="1409">
        <f>A4025+1</f>
        <v>203</v>
      </c>
      <c r="B4045" s="1412" t="s">
        <v>503</v>
      </c>
      <c r="C4045" s="1205" t="s">
        <v>983</v>
      </c>
      <c r="D4045" s="874" t="str">
        <f>B4045&amp;C4045</f>
        <v>B19a</v>
      </c>
      <c r="E4045" s="363"/>
      <c r="F4045" s="364"/>
      <c r="G4045" s="364"/>
      <c r="H4045" s="364"/>
      <c r="I4045" s="364"/>
      <c r="J4045" s="364"/>
      <c r="K4045" s="364"/>
      <c r="L4045" s="364"/>
      <c r="M4045" s="674"/>
      <c r="N4045" s="670"/>
      <c r="O4045" s="670">
        <f>U4044</f>
        <v>31.05</v>
      </c>
      <c r="P4045" s="670">
        <f>O4045</f>
        <v>31.05</v>
      </c>
      <c r="Q4045" s="670">
        <v>0</v>
      </c>
      <c r="R4045" s="365"/>
      <c r="S4045" s="366"/>
      <c r="T4045" s="1399"/>
      <c r="U4045" s="1398"/>
      <c r="V4045" s="361"/>
      <c r="W4045" s="361"/>
    </row>
    <row r="4046" spans="1:23" ht="18.75" customHeight="1">
      <c r="A4046" s="1410"/>
      <c r="B4046" s="1413"/>
      <c r="C4046" s="1206" t="s">
        <v>984</v>
      </c>
      <c r="D4046" s="875" t="str">
        <f>B4045&amp;C4046</f>
        <v>B19b</v>
      </c>
      <c r="E4046" s="367">
        <v>1</v>
      </c>
      <c r="F4046" s="669" t="s">
        <v>1156</v>
      </c>
      <c r="G4046" s="369">
        <v>0.4680555555555555</v>
      </c>
      <c r="H4046" s="368">
        <v>0.5</v>
      </c>
      <c r="I4046" s="368">
        <v>0.51041666666666663</v>
      </c>
      <c r="J4046" s="368">
        <v>0.51388888888888895</v>
      </c>
      <c r="K4046" s="669">
        <v>8.5</v>
      </c>
      <c r="L4046" s="669">
        <v>19</v>
      </c>
      <c r="M4046" s="675">
        <v>24.05</v>
      </c>
      <c r="N4046" s="671">
        <f>IF(M4046-P4046&gt;0,M4046-P4046,0)</f>
        <v>3.1500000000000021</v>
      </c>
      <c r="O4046" s="671">
        <f>O4045-K4046/(PI()*(U4043/2000)^2)</f>
        <v>14.139787296486123</v>
      </c>
      <c r="P4046" s="672">
        <v>20.9</v>
      </c>
      <c r="Q4046" s="673">
        <f>ABS(O4046-P4046)</f>
        <v>6.7602127035138757</v>
      </c>
      <c r="R4046" s="375" t="s">
        <v>188</v>
      </c>
      <c r="S4046" s="366"/>
      <c r="T4046" s="376"/>
      <c r="U4046" s="376"/>
      <c r="V4046" s="366"/>
      <c r="W4046" s="366"/>
    </row>
    <row r="4047" spans="1:23" ht="18.75" customHeight="1">
      <c r="A4047" s="1410"/>
      <c r="B4047" s="1413"/>
      <c r="C4047" s="1206" t="s">
        <v>985</v>
      </c>
      <c r="D4047" s="875" t="str">
        <f>B4045&amp;C4047</f>
        <v>B19c</v>
      </c>
      <c r="E4047" s="367">
        <v>2</v>
      </c>
      <c r="F4047" s="669" t="s">
        <v>1160</v>
      </c>
      <c r="G4047" s="368">
        <v>0.47638888888888892</v>
      </c>
      <c r="H4047" s="368">
        <v>0.53472222222222221</v>
      </c>
      <c r="I4047" s="368">
        <v>0.54513888888888895</v>
      </c>
      <c r="J4047" s="368">
        <v>0.54861111111111105</v>
      </c>
      <c r="K4047" s="370">
        <v>8.5</v>
      </c>
      <c r="L4047" s="370">
        <v>19</v>
      </c>
      <c r="M4047" s="371"/>
      <c r="N4047" s="671">
        <f t="shared" ref="N4047" si="512">IF(M4047-P4047&gt;0,M4047-P4047,0)</f>
        <v>0</v>
      </c>
      <c r="O4047" s="671">
        <f>O4046-K4047/(PI()*(U4043/2000)^2)</f>
        <v>-2.770425407027755</v>
      </c>
      <c r="P4047" s="373">
        <v>4.4000000000000004</v>
      </c>
      <c r="Q4047" s="673">
        <f t="shared" ref="Q4047" si="513">ABS(O4047-P4047)</f>
        <v>7.1704254070277553</v>
      </c>
      <c r="R4047" s="958" t="s">
        <v>188</v>
      </c>
      <c r="S4047" s="366"/>
      <c r="T4047" s="376"/>
      <c r="U4047" s="376"/>
      <c r="V4047" s="366"/>
      <c r="W4047" s="366"/>
    </row>
    <row r="4048" spans="1:23" ht="18.75" customHeight="1">
      <c r="A4048" s="1410"/>
      <c r="B4048" s="1413"/>
      <c r="C4048" s="1206" t="s">
        <v>986</v>
      </c>
      <c r="D4048" s="875" t="str">
        <f>B4045&amp;C4048</f>
        <v>B19d</v>
      </c>
      <c r="E4048" s="367">
        <v>3</v>
      </c>
      <c r="F4048" s="370"/>
      <c r="G4048" s="368"/>
      <c r="H4048" s="368"/>
      <c r="I4048" s="368"/>
      <c r="J4048" s="368"/>
      <c r="K4048" s="370"/>
      <c r="L4048" s="370"/>
      <c r="M4048" s="371"/>
      <c r="N4048" s="671"/>
      <c r="O4048" s="671"/>
      <c r="P4048" s="373"/>
      <c r="Q4048" s="673"/>
      <c r="R4048" s="958"/>
      <c r="S4048" s="366"/>
      <c r="T4048" s="376"/>
      <c r="U4048" s="376"/>
      <c r="V4048" s="366"/>
      <c r="W4048" s="366"/>
    </row>
    <row r="4049" spans="1:23" ht="18.75" customHeight="1">
      <c r="A4049" s="1410"/>
      <c r="B4049" s="1413"/>
      <c r="C4049" s="1206" t="s">
        <v>987</v>
      </c>
      <c r="D4049" s="875" t="str">
        <f>B4045&amp;C4049</f>
        <v>B19e</v>
      </c>
      <c r="E4049" s="367">
        <v>4</v>
      </c>
      <c r="F4049" s="370"/>
      <c r="G4049" s="368"/>
      <c r="H4049" s="368"/>
      <c r="I4049" s="368"/>
      <c r="J4049" s="368"/>
      <c r="K4049" s="370"/>
      <c r="L4049" s="370"/>
      <c r="M4049" s="371"/>
      <c r="N4049" s="671"/>
      <c r="O4049" s="671"/>
      <c r="P4049" s="373"/>
      <c r="Q4049" s="673"/>
      <c r="R4049" s="958"/>
      <c r="S4049" s="366"/>
      <c r="T4049" s="376"/>
      <c r="U4049" s="376"/>
      <c r="V4049" s="366"/>
      <c r="W4049" s="366"/>
    </row>
    <row r="4050" spans="1:23" ht="18.75" customHeight="1">
      <c r="A4050" s="1410"/>
      <c r="B4050" s="1413"/>
      <c r="C4050" s="1206" t="s">
        <v>988</v>
      </c>
      <c r="D4050" s="875" t="str">
        <f>B4045&amp;C4050</f>
        <v>B19f</v>
      </c>
      <c r="E4050" s="367">
        <v>5</v>
      </c>
      <c r="F4050" s="370"/>
      <c r="G4050" s="368"/>
      <c r="H4050" s="368"/>
      <c r="I4050" s="368"/>
      <c r="J4050" s="368"/>
      <c r="K4050" s="370"/>
      <c r="L4050" s="370"/>
      <c r="M4050" s="371"/>
      <c r="N4050" s="671"/>
      <c r="O4050" s="671"/>
      <c r="P4050" s="373"/>
      <c r="Q4050" s="673"/>
      <c r="R4050" s="958"/>
      <c r="S4050" s="366" t="s">
        <v>190</v>
      </c>
      <c r="T4050" s="376"/>
      <c r="U4050" s="376"/>
      <c r="V4050" s="366"/>
      <c r="W4050" s="366"/>
    </row>
    <row r="4051" spans="1:23" ht="18.75" customHeight="1">
      <c r="A4051" s="1410"/>
      <c r="B4051" s="1413"/>
      <c r="C4051" s="1206" t="s">
        <v>989</v>
      </c>
      <c r="D4051" s="875" t="str">
        <f>B4045&amp;C4051</f>
        <v>B19g</v>
      </c>
      <c r="E4051" s="367">
        <v>6</v>
      </c>
      <c r="F4051" s="370"/>
      <c r="G4051" s="368"/>
      <c r="H4051" s="368"/>
      <c r="I4051" s="368"/>
      <c r="J4051" s="368"/>
      <c r="K4051" s="370"/>
      <c r="L4051" s="370"/>
      <c r="M4051" s="371"/>
      <c r="N4051" s="671"/>
      <c r="O4051" s="671"/>
      <c r="P4051" s="373"/>
      <c r="Q4051" s="673"/>
      <c r="R4051" s="958"/>
      <c r="S4051" s="366" t="s">
        <v>190</v>
      </c>
      <c r="T4051" s="366"/>
      <c r="U4051" s="366"/>
      <c r="V4051" s="366"/>
      <c r="W4051" s="366"/>
    </row>
    <row r="4052" spans="1:23" ht="18.75" customHeight="1">
      <c r="A4052" s="1410"/>
      <c r="B4052" s="1413"/>
      <c r="C4052" s="1206" t="s">
        <v>990</v>
      </c>
      <c r="D4052" s="875" t="str">
        <f>B4045&amp;C4052</f>
        <v>B19h</v>
      </c>
      <c r="E4052" s="367">
        <v>7</v>
      </c>
      <c r="F4052" s="370"/>
      <c r="G4052" s="368"/>
      <c r="H4052" s="368"/>
      <c r="I4052" s="368"/>
      <c r="J4052" s="368"/>
      <c r="K4052" s="370"/>
      <c r="L4052" s="370"/>
      <c r="M4052" s="371"/>
      <c r="N4052" s="671"/>
      <c r="O4052" s="671"/>
      <c r="P4052" s="373"/>
      <c r="Q4052" s="673"/>
      <c r="R4052" s="958"/>
      <c r="S4052" s="366" t="s">
        <v>190</v>
      </c>
      <c r="T4052" s="366"/>
      <c r="U4052" s="366"/>
      <c r="V4052" s="366"/>
      <c r="W4052" s="366"/>
    </row>
    <row r="4053" spans="1:23" ht="18.75" customHeight="1">
      <c r="A4053" s="1410"/>
      <c r="B4053" s="1413"/>
      <c r="C4053" s="1206" t="s">
        <v>991</v>
      </c>
      <c r="D4053" s="875" t="str">
        <f>B4045&amp;C4053</f>
        <v>B19i</v>
      </c>
      <c r="E4053" s="367">
        <v>8</v>
      </c>
      <c r="F4053" s="370"/>
      <c r="G4053" s="368"/>
      <c r="H4053" s="368"/>
      <c r="I4053" s="368"/>
      <c r="J4053" s="368"/>
      <c r="K4053" s="370"/>
      <c r="L4053" s="370"/>
      <c r="M4053" s="371"/>
      <c r="N4053" s="671"/>
      <c r="O4053" s="671"/>
      <c r="P4053" s="373"/>
      <c r="Q4053" s="673"/>
      <c r="R4053" s="958"/>
      <c r="S4053" s="366"/>
      <c r="T4053" s="366"/>
      <c r="U4053" s="366"/>
      <c r="V4053" s="366"/>
      <c r="W4053" s="366"/>
    </row>
    <row r="4054" spans="1:23" ht="18.75" customHeight="1">
      <c r="A4054" s="1410"/>
      <c r="B4054" s="1413"/>
      <c r="C4054" s="1206" t="s">
        <v>992</v>
      </c>
      <c r="D4054" s="875" t="str">
        <f>B4045&amp;C4054</f>
        <v>B19k</v>
      </c>
      <c r="E4054" s="367">
        <v>9</v>
      </c>
      <c r="F4054" s="370"/>
      <c r="G4054" s="368"/>
      <c r="H4054" s="368"/>
      <c r="I4054" s="368"/>
      <c r="J4054" s="368"/>
      <c r="K4054" s="370"/>
      <c r="L4054" s="370"/>
      <c r="M4054" s="371"/>
      <c r="N4054" s="372"/>
      <c r="O4054" s="372"/>
      <c r="P4054" s="373"/>
      <c r="Q4054" s="374"/>
      <c r="R4054" s="378"/>
      <c r="S4054" s="379"/>
      <c r="T4054" s="366"/>
      <c r="U4054" s="366"/>
      <c r="V4054" s="366"/>
      <c r="W4054" s="366"/>
    </row>
    <row r="4055" spans="1:23" ht="18.75" customHeight="1">
      <c r="A4055" s="1410"/>
      <c r="B4055" s="1413"/>
      <c r="C4055" s="1206" t="s">
        <v>993</v>
      </c>
      <c r="D4055" s="875" t="str">
        <f>B4045&amp;C4055</f>
        <v>B19l</v>
      </c>
      <c r="E4055" s="367">
        <v>10</v>
      </c>
      <c r="F4055" s="370"/>
      <c r="G4055" s="368"/>
      <c r="H4055" s="368"/>
      <c r="I4055" s="368"/>
      <c r="J4055" s="368"/>
      <c r="K4055" s="370"/>
      <c r="L4055" s="370"/>
      <c r="M4055" s="370"/>
      <c r="N4055" s="372"/>
      <c r="O4055" s="372"/>
      <c r="P4055" s="373"/>
      <c r="Q4055" s="374"/>
      <c r="R4055" s="378"/>
      <c r="S4055" s="379"/>
      <c r="T4055" s="366"/>
      <c r="U4055" s="366"/>
      <c r="V4055" s="366"/>
      <c r="W4055" s="366"/>
    </row>
    <row r="4056" spans="1:23" ht="18.75" customHeight="1">
      <c r="A4056" s="1410"/>
      <c r="B4056" s="1413"/>
      <c r="C4056" s="1206" t="s">
        <v>994</v>
      </c>
      <c r="D4056" s="875" t="str">
        <f>B4045&amp;C4056</f>
        <v>B19m</v>
      </c>
      <c r="E4056" s="367">
        <v>11</v>
      </c>
      <c r="F4056" s="370"/>
      <c r="G4056" s="368"/>
      <c r="H4056" s="368"/>
      <c r="I4056" s="368"/>
      <c r="J4056" s="368"/>
      <c r="K4056" s="370"/>
      <c r="L4056" s="370"/>
      <c r="M4056" s="370"/>
      <c r="N4056" s="372"/>
      <c r="O4056" s="372"/>
      <c r="P4056" s="380"/>
      <c r="Q4056" s="374"/>
      <c r="R4056" s="381"/>
      <c r="S4056" s="379"/>
      <c r="T4056" s="366"/>
      <c r="U4056" s="366"/>
      <c r="V4056" s="366"/>
      <c r="W4056" s="366"/>
    </row>
    <row r="4057" spans="1:23" ht="18.75" customHeight="1">
      <c r="A4057" s="1410"/>
      <c r="B4057" s="1413"/>
      <c r="C4057" s="1206" t="s">
        <v>995</v>
      </c>
      <c r="D4057" s="875" t="str">
        <f>B4045&amp;C4057</f>
        <v>B19n</v>
      </c>
      <c r="E4057" s="367">
        <v>12</v>
      </c>
      <c r="F4057" s="370"/>
      <c r="G4057" s="368"/>
      <c r="H4057" s="368"/>
      <c r="I4057" s="368"/>
      <c r="J4057" s="368"/>
      <c r="K4057" s="370"/>
      <c r="L4057" s="370"/>
      <c r="M4057" s="370"/>
      <c r="N4057" s="372"/>
      <c r="O4057" s="372"/>
      <c r="P4057" s="380"/>
      <c r="Q4057" s="374"/>
      <c r="R4057" s="381"/>
      <c r="S4057" s="361"/>
      <c r="T4057" s="361"/>
      <c r="U4057" s="361"/>
      <c r="V4057" s="366"/>
      <c r="W4057" s="366"/>
    </row>
    <row r="4058" spans="1:23" ht="18.75" customHeight="1">
      <c r="A4058" s="1410"/>
      <c r="B4058" s="1413"/>
      <c r="C4058" s="1206" t="s">
        <v>471</v>
      </c>
      <c r="D4058" s="875" t="str">
        <f>B4045&amp;C4058</f>
        <v>B19x</v>
      </c>
      <c r="E4058" s="367">
        <v>13</v>
      </c>
      <c r="F4058" s="370"/>
      <c r="G4058" s="368"/>
      <c r="H4058" s="368"/>
      <c r="I4058" s="368"/>
      <c r="J4058" s="368"/>
      <c r="K4058" s="370"/>
      <c r="L4058" s="370"/>
      <c r="M4058" s="370"/>
      <c r="N4058" s="382"/>
      <c r="O4058" s="372"/>
      <c r="P4058" s="380"/>
      <c r="Q4058" s="381"/>
      <c r="R4058" s="381"/>
      <c r="S4058" s="361"/>
      <c r="T4058" s="361"/>
      <c r="U4058" s="361"/>
      <c r="V4058" s="366"/>
      <c r="W4058" s="366"/>
    </row>
    <row r="4059" spans="1:23" ht="18.75" customHeight="1">
      <c r="A4059" s="1410"/>
      <c r="B4059" s="1413"/>
      <c r="C4059" s="1206" t="s">
        <v>732</v>
      </c>
      <c r="D4059" s="875" t="str">
        <f>B4045&amp;C4059</f>
        <v>B19y</v>
      </c>
      <c r="E4059" s="367">
        <v>14</v>
      </c>
      <c r="F4059" s="370"/>
      <c r="G4059" s="368"/>
      <c r="H4059" s="368"/>
      <c r="I4059" s="368"/>
      <c r="J4059" s="368"/>
      <c r="K4059" s="370"/>
      <c r="L4059" s="370"/>
      <c r="M4059" s="370"/>
      <c r="N4059" s="382"/>
      <c r="O4059" s="372"/>
      <c r="P4059" s="380"/>
      <c r="Q4059" s="381"/>
      <c r="R4059" s="381"/>
      <c r="S4059" s="361"/>
      <c r="T4059" s="361"/>
      <c r="U4059" s="362"/>
      <c r="V4059" s="366"/>
      <c r="W4059" s="366"/>
    </row>
    <row r="4060" spans="1:23" ht="18.75" customHeight="1">
      <c r="A4060" s="1411"/>
      <c r="B4060" s="1414"/>
      <c r="C4060" s="1207" t="s">
        <v>996</v>
      </c>
      <c r="D4060" s="876" t="str">
        <f>B4045&amp;C4060</f>
        <v>B19z</v>
      </c>
      <c r="E4060" s="847">
        <v>15</v>
      </c>
      <c r="F4060" s="370"/>
      <c r="G4060" s="368"/>
      <c r="H4060" s="368"/>
      <c r="I4060" s="368"/>
      <c r="J4060" s="368"/>
      <c r="K4060" s="370"/>
      <c r="L4060" s="370"/>
      <c r="M4060" s="370"/>
      <c r="N4060" s="850"/>
      <c r="O4060" s="851"/>
      <c r="P4060" s="380"/>
      <c r="Q4060" s="852"/>
      <c r="R4060" s="383"/>
      <c r="S4060" s="361"/>
      <c r="T4060" s="1204"/>
      <c r="U4060" s="1203"/>
      <c r="V4060" s="366"/>
      <c r="W4060" s="366"/>
    </row>
    <row r="4061" spans="1:23">
      <c r="A4061" s="1400" t="s">
        <v>939</v>
      </c>
      <c r="B4061" s="1400"/>
      <c r="C4061" s="1200"/>
      <c r="D4061" s="871"/>
      <c r="E4061" s="1400" t="s">
        <v>177</v>
      </c>
      <c r="F4061" s="1400" t="s">
        <v>18</v>
      </c>
      <c r="G4061" s="1389" t="s">
        <v>19</v>
      </c>
      <c r="H4061" s="1390"/>
      <c r="I4061" s="1389" t="s">
        <v>22</v>
      </c>
      <c r="J4061" s="1390"/>
      <c r="K4061" s="1393" t="s">
        <v>26</v>
      </c>
      <c r="L4061" s="1390"/>
      <c r="M4061" s="1389" t="s">
        <v>392</v>
      </c>
      <c r="N4061" s="1390"/>
      <c r="O4061" s="1389" t="s">
        <v>28</v>
      </c>
      <c r="P4061" s="1393"/>
      <c r="Q4061" s="1390"/>
      <c r="R4061" s="1400" t="s">
        <v>36</v>
      </c>
      <c r="S4061" s="361"/>
      <c r="T4061" s="361">
        <f>MAX(J4065:J4079)-MIN(I4065:I4079)</f>
        <v>3.819444444444442E-2</v>
      </c>
      <c r="U4061" s="361"/>
      <c r="V4061" s="853" t="str">
        <f t="shared" ref="V4061" si="514">B4065</f>
        <v>A163</v>
      </c>
      <c r="W4061" s="361">
        <f t="shared" ref="W4061" si="515">COUNTIF(K4066:K4080,"&gt;0")</f>
        <v>3</v>
      </c>
    </row>
    <row r="4062" spans="1:23">
      <c r="A4062" s="1401"/>
      <c r="B4062" s="1401"/>
      <c r="C4062" s="1202"/>
      <c r="D4062" s="872"/>
      <c r="E4062" s="1401"/>
      <c r="F4062" s="1401"/>
      <c r="G4062" s="1391"/>
      <c r="H4062" s="1392"/>
      <c r="I4062" s="1391"/>
      <c r="J4062" s="1392"/>
      <c r="K4062" s="1394"/>
      <c r="L4062" s="1392"/>
      <c r="M4062" s="1391"/>
      <c r="N4062" s="1392"/>
      <c r="O4062" s="1391"/>
      <c r="P4062" s="1394"/>
      <c r="Q4062" s="1392"/>
      <c r="R4062" s="1401"/>
      <c r="S4062" s="361"/>
      <c r="T4062" s="361"/>
      <c r="U4062" s="361"/>
      <c r="V4062" s="361"/>
      <c r="W4062" s="361"/>
    </row>
    <row r="4063" spans="1:23">
      <c r="A4063" s="1401"/>
      <c r="B4063" s="1401"/>
      <c r="C4063" s="1202"/>
      <c r="D4063" s="872"/>
      <c r="E4063" s="1401"/>
      <c r="F4063" s="1401"/>
      <c r="G4063" s="1400" t="s">
        <v>20</v>
      </c>
      <c r="H4063" s="1400" t="s">
        <v>21</v>
      </c>
      <c r="I4063" s="1400" t="s">
        <v>361</v>
      </c>
      <c r="J4063" s="1400" t="s">
        <v>353</v>
      </c>
      <c r="K4063" s="1400" t="s">
        <v>23</v>
      </c>
      <c r="L4063" s="1400" t="s">
        <v>24</v>
      </c>
      <c r="M4063" s="1400" t="s">
        <v>27</v>
      </c>
      <c r="N4063" s="1400" t="s">
        <v>178</v>
      </c>
      <c r="O4063" s="1400" t="s">
        <v>1</v>
      </c>
      <c r="P4063" s="1400" t="s">
        <v>29</v>
      </c>
      <c r="Q4063" s="1400" t="s">
        <v>33</v>
      </c>
      <c r="R4063" s="1401"/>
      <c r="S4063" s="361"/>
      <c r="T4063" s="361" t="s">
        <v>39</v>
      </c>
      <c r="U4063" s="362">
        <f>VLOOKUP(B4065,'[8]Thong tin'!$A:$M,13,0)</f>
        <v>1200</v>
      </c>
      <c r="V4063" s="361"/>
      <c r="W4063" s="361"/>
    </row>
    <row r="4064" spans="1:23">
      <c r="A4064" s="1402"/>
      <c r="B4064" s="1402"/>
      <c r="C4064" s="1201"/>
      <c r="D4064" s="873"/>
      <c r="E4064" s="1402"/>
      <c r="F4064" s="1402"/>
      <c r="G4064" s="1402"/>
      <c r="H4064" s="1402"/>
      <c r="I4064" s="1402"/>
      <c r="J4064" s="1402"/>
      <c r="K4064" s="1402"/>
      <c r="L4064" s="1402"/>
      <c r="M4064" s="1402"/>
      <c r="N4064" s="1402"/>
      <c r="O4064" s="1402"/>
      <c r="P4064" s="1402"/>
      <c r="Q4064" s="1402"/>
      <c r="R4064" s="1402"/>
      <c r="S4064" s="361"/>
      <c r="T4064" s="1399" t="s">
        <v>393</v>
      </c>
      <c r="U4064" s="1397">
        <f>VLOOKUP(B4065,[8]DT.NK!$B:$AZ,45,0)</f>
        <v>32.89</v>
      </c>
      <c r="V4064" s="361"/>
      <c r="W4064" s="361"/>
    </row>
    <row r="4065" spans="1:23" ht="18.75" customHeight="1">
      <c r="A4065" s="1409">
        <f>A4045+1</f>
        <v>204</v>
      </c>
      <c r="B4065" s="1412" t="s">
        <v>626</v>
      </c>
      <c r="C4065" s="1205" t="s">
        <v>983</v>
      </c>
      <c r="D4065" s="874" t="str">
        <f>B4065&amp;C4065</f>
        <v>A163a</v>
      </c>
      <c r="E4065" s="363"/>
      <c r="F4065" s="364"/>
      <c r="G4065" s="364"/>
      <c r="H4065" s="364"/>
      <c r="I4065" s="364"/>
      <c r="J4065" s="364"/>
      <c r="K4065" s="364"/>
      <c r="L4065" s="364"/>
      <c r="M4065" s="674"/>
      <c r="N4065" s="670"/>
      <c r="O4065" s="670">
        <f>U4064</f>
        <v>32.89</v>
      </c>
      <c r="P4065" s="670">
        <f>O4065</f>
        <v>32.89</v>
      </c>
      <c r="Q4065" s="670">
        <v>0</v>
      </c>
      <c r="R4065" s="365"/>
      <c r="S4065" s="366"/>
      <c r="T4065" s="1399"/>
      <c r="U4065" s="1398"/>
      <c r="V4065" s="361"/>
      <c r="W4065" s="361"/>
    </row>
    <row r="4066" spans="1:23" ht="18.75" customHeight="1">
      <c r="A4066" s="1410"/>
      <c r="B4066" s="1413"/>
      <c r="C4066" s="1206" t="s">
        <v>984</v>
      </c>
      <c r="D4066" s="875" t="str">
        <f>B4065&amp;C4066</f>
        <v>A163b</v>
      </c>
      <c r="E4066" s="367">
        <v>1</v>
      </c>
      <c r="F4066" s="669" t="s">
        <v>1159</v>
      </c>
      <c r="G4066" s="369">
        <v>0.59027777777777779</v>
      </c>
      <c r="H4066" s="368">
        <v>0.64583333333333337</v>
      </c>
      <c r="I4066" s="368">
        <v>0.65972222222222221</v>
      </c>
      <c r="J4066" s="368">
        <v>0.66319444444444442</v>
      </c>
      <c r="K4066" s="669">
        <v>11</v>
      </c>
      <c r="L4066" s="669">
        <v>19</v>
      </c>
      <c r="M4066" s="675">
        <v>28.35</v>
      </c>
      <c r="N4066" s="671">
        <f>IF(M4066-P4066&gt;0,M4066-P4066,0)</f>
        <v>3.1500000000000021</v>
      </c>
      <c r="O4066" s="671">
        <f>O4065-K4066/(PI()*(U4063/2000)^2)</f>
        <v>23.163864588828616</v>
      </c>
      <c r="P4066" s="672">
        <v>25.2</v>
      </c>
      <c r="Q4066" s="673">
        <f>ABS(O4066-P4066)</f>
        <v>2.036135411171383</v>
      </c>
      <c r="R4066" s="375" t="s">
        <v>188</v>
      </c>
      <c r="S4066" s="366"/>
      <c r="T4066" s="376"/>
      <c r="U4066" s="376"/>
      <c r="V4066" s="366"/>
      <c r="W4066" s="366"/>
    </row>
    <row r="4067" spans="1:23" ht="18.75" customHeight="1">
      <c r="A4067" s="1410"/>
      <c r="B4067" s="1413"/>
      <c r="C4067" s="1206" t="s">
        <v>985</v>
      </c>
      <c r="D4067" s="875" t="str">
        <f>B4065&amp;C4067</f>
        <v>A163c</v>
      </c>
      <c r="E4067" s="367">
        <v>2</v>
      </c>
      <c r="F4067" s="669" t="s">
        <v>1019</v>
      </c>
      <c r="G4067" s="368">
        <v>0.59722222222222221</v>
      </c>
      <c r="H4067" s="368">
        <v>0.66319444444444442</v>
      </c>
      <c r="I4067" s="368">
        <v>0.67361111111111116</v>
      </c>
      <c r="J4067" s="368">
        <v>0.67708333333333337</v>
      </c>
      <c r="K4067" s="370">
        <v>10</v>
      </c>
      <c r="L4067" s="370">
        <v>20</v>
      </c>
      <c r="M4067" s="371">
        <v>16.48</v>
      </c>
      <c r="N4067" s="671">
        <f t="shared" ref="N4067" si="516">IF(M4067-P4067&gt;0,M4067-P4067,0)</f>
        <v>0</v>
      </c>
      <c r="O4067" s="671">
        <f>O4066-K4067/(PI()*(U4063/2000)^2)</f>
        <v>14.321923305945543</v>
      </c>
      <c r="P4067" s="373">
        <v>16.48</v>
      </c>
      <c r="Q4067" s="673">
        <f t="shared" ref="Q4067" si="517">ABS(O4067-P4067)</f>
        <v>2.1580766940544578</v>
      </c>
      <c r="R4067" s="958" t="s">
        <v>188</v>
      </c>
      <c r="S4067" s="366"/>
      <c r="T4067" s="376"/>
      <c r="U4067" s="376"/>
      <c r="V4067" s="366"/>
      <c r="W4067" s="366"/>
    </row>
    <row r="4068" spans="1:23" ht="18.75" customHeight="1">
      <c r="A4068" s="1410"/>
      <c r="B4068" s="1413"/>
      <c r="C4068" s="1206" t="s">
        <v>986</v>
      </c>
      <c r="D4068" s="875" t="str">
        <f>B4065&amp;C4068</f>
        <v>A163d</v>
      </c>
      <c r="E4068" s="367">
        <v>3</v>
      </c>
      <c r="F4068" s="669" t="s">
        <v>1156</v>
      </c>
      <c r="G4068" s="368">
        <v>0.625</v>
      </c>
      <c r="H4068" s="368">
        <v>0.67708333333333337</v>
      </c>
      <c r="I4068" s="368">
        <v>0.69444444444444453</v>
      </c>
      <c r="J4068" s="368">
        <v>0.69791666666666663</v>
      </c>
      <c r="K4068" s="370">
        <v>11</v>
      </c>
      <c r="L4068" s="370">
        <v>19</v>
      </c>
      <c r="M4068" s="371"/>
      <c r="N4068" s="671"/>
      <c r="O4068" s="671"/>
      <c r="P4068" s="373">
        <v>6.8</v>
      </c>
      <c r="Q4068" s="673"/>
      <c r="R4068" s="958" t="s">
        <v>188</v>
      </c>
      <c r="S4068" s="366"/>
      <c r="T4068" s="376"/>
      <c r="U4068" s="376"/>
      <c r="V4068" s="366"/>
      <c r="W4068" s="366"/>
    </row>
    <row r="4069" spans="1:23" ht="18.75" customHeight="1">
      <c r="A4069" s="1410"/>
      <c r="B4069" s="1413"/>
      <c r="C4069" s="1206" t="s">
        <v>987</v>
      </c>
      <c r="D4069" s="875" t="str">
        <f>B4065&amp;C4069</f>
        <v>A163e</v>
      </c>
      <c r="E4069" s="367">
        <v>4</v>
      </c>
      <c r="F4069" s="370"/>
      <c r="G4069" s="368"/>
      <c r="H4069" s="368"/>
      <c r="I4069" s="368"/>
      <c r="J4069" s="368"/>
      <c r="K4069" s="370"/>
      <c r="L4069" s="370"/>
      <c r="M4069" s="371"/>
      <c r="N4069" s="671"/>
      <c r="O4069" s="671"/>
      <c r="P4069" s="373"/>
      <c r="Q4069" s="673"/>
      <c r="R4069" s="958"/>
      <c r="S4069" s="366"/>
      <c r="T4069" s="376"/>
      <c r="U4069" s="376"/>
      <c r="V4069" s="366"/>
      <c r="W4069" s="366"/>
    </row>
    <row r="4070" spans="1:23" ht="18.75" customHeight="1">
      <c r="A4070" s="1410"/>
      <c r="B4070" s="1413"/>
      <c r="C4070" s="1206" t="s">
        <v>988</v>
      </c>
      <c r="D4070" s="875" t="str">
        <f>B4065&amp;C4070</f>
        <v>A163f</v>
      </c>
      <c r="E4070" s="367">
        <v>5</v>
      </c>
      <c r="F4070" s="370"/>
      <c r="G4070" s="368"/>
      <c r="H4070" s="368"/>
      <c r="I4070" s="368"/>
      <c r="J4070" s="368"/>
      <c r="K4070" s="370"/>
      <c r="L4070" s="370"/>
      <c r="M4070" s="371"/>
      <c r="N4070" s="671"/>
      <c r="O4070" s="671"/>
      <c r="P4070" s="373"/>
      <c r="Q4070" s="673"/>
      <c r="R4070" s="958"/>
      <c r="S4070" s="366" t="s">
        <v>190</v>
      </c>
      <c r="T4070" s="376"/>
      <c r="U4070" s="376"/>
      <c r="V4070" s="366"/>
      <c r="W4070" s="366"/>
    </row>
    <row r="4071" spans="1:23" ht="18.75" customHeight="1">
      <c r="A4071" s="1410"/>
      <c r="B4071" s="1413"/>
      <c r="C4071" s="1206" t="s">
        <v>989</v>
      </c>
      <c r="D4071" s="875" t="str">
        <f>B4065&amp;C4071</f>
        <v>A163g</v>
      </c>
      <c r="E4071" s="367">
        <v>6</v>
      </c>
      <c r="F4071" s="370"/>
      <c r="G4071" s="368"/>
      <c r="H4071" s="368"/>
      <c r="I4071" s="368"/>
      <c r="J4071" s="368"/>
      <c r="K4071" s="370"/>
      <c r="L4071" s="370"/>
      <c r="M4071" s="371"/>
      <c r="N4071" s="671"/>
      <c r="O4071" s="671"/>
      <c r="P4071" s="373"/>
      <c r="Q4071" s="673"/>
      <c r="R4071" s="958"/>
      <c r="S4071" s="366" t="s">
        <v>190</v>
      </c>
      <c r="T4071" s="366"/>
      <c r="U4071" s="366"/>
      <c r="V4071" s="366"/>
      <c r="W4071" s="366"/>
    </row>
    <row r="4072" spans="1:23" ht="18.75" customHeight="1">
      <c r="A4072" s="1410"/>
      <c r="B4072" s="1413"/>
      <c r="C4072" s="1206" t="s">
        <v>990</v>
      </c>
      <c r="D4072" s="875" t="str">
        <f>B4065&amp;C4072</f>
        <v>A163h</v>
      </c>
      <c r="E4072" s="367">
        <v>7</v>
      </c>
      <c r="F4072" s="370"/>
      <c r="G4072" s="368"/>
      <c r="H4072" s="368"/>
      <c r="I4072" s="368"/>
      <c r="J4072" s="368"/>
      <c r="K4072" s="370"/>
      <c r="L4072" s="370"/>
      <c r="M4072" s="371"/>
      <c r="N4072" s="671"/>
      <c r="O4072" s="671"/>
      <c r="P4072" s="373"/>
      <c r="Q4072" s="673"/>
      <c r="R4072" s="958"/>
      <c r="S4072" s="366" t="s">
        <v>190</v>
      </c>
      <c r="T4072" s="366"/>
      <c r="U4072" s="366"/>
      <c r="V4072" s="366"/>
      <c r="W4072" s="366"/>
    </row>
    <row r="4073" spans="1:23" ht="18.75" customHeight="1">
      <c r="A4073" s="1410"/>
      <c r="B4073" s="1413"/>
      <c r="C4073" s="1206" t="s">
        <v>991</v>
      </c>
      <c r="D4073" s="875" t="str">
        <f>B4065&amp;C4073</f>
        <v>A163i</v>
      </c>
      <c r="E4073" s="367">
        <v>8</v>
      </c>
      <c r="F4073" s="370"/>
      <c r="G4073" s="368"/>
      <c r="H4073" s="368"/>
      <c r="I4073" s="368"/>
      <c r="J4073" s="368"/>
      <c r="K4073" s="370"/>
      <c r="L4073" s="370"/>
      <c r="M4073" s="371"/>
      <c r="N4073" s="671"/>
      <c r="O4073" s="671"/>
      <c r="P4073" s="373"/>
      <c r="Q4073" s="673"/>
      <c r="R4073" s="958"/>
      <c r="S4073" s="366"/>
      <c r="T4073" s="366"/>
      <c r="U4073" s="366"/>
      <c r="V4073" s="366"/>
      <c r="W4073" s="366"/>
    </row>
    <row r="4074" spans="1:23" ht="18.75" customHeight="1">
      <c r="A4074" s="1410"/>
      <c r="B4074" s="1413"/>
      <c r="C4074" s="1206" t="s">
        <v>992</v>
      </c>
      <c r="D4074" s="875" t="str">
        <f>B4065&amp;C4074</f>
        <v>A163k</v>
      </c>
      <c r="E4074" s="367">
        <v>9</v>
      </c>
      <c r="F4074" s="370"/>
      <c r="G4074" s="368"/>
      <c r="H4074" s="368"/>
      <c r="I4074" s="368"/>
      <c r="J4074" s="368"/>
      <c r="K4074" s="370"/>
      <c r="L4074" s="370"/>
      <c r="M4074" s="371"/>
      <c r="N4074" s="372"/>
      <c r="O4074" s="372"/>
      <c r="P4074" s="373"/>
      <c r="Q4074" s="374"/>
      <c r="R4074" s="378"/>
      <c r="S4074" s="379"/>
      <c r="T4074" s="366"/>
      <c r="U4074" s="366"/>
      <c r="V4074" s="366"/>
      <c r="W4074" s="366"/>
    </row>
    <row r="4075" spans="1:23" ht="18.75" customHeight="1">
      <c r="A4075" s="1410"/>
      <c r="B4075" s="1413"/>
      <c r="C4075" s="1206" t="s">
        <v>993</v>
      </c>
      <c r="D4075" s="875" t="str">
        <f>B4065&amp;C4075</f>
        <v>A163l</v>
      </c>
      <c r="E4075" s="367">
        <v>10</v>
      </c>
      <c r="F4075" s="370"/>
      <c r="G4075" s="368"/>
      <c r="H4075" s="368"/>
      <c r="I4075" s="368"/>
      <c r="J4075" s="368"/>
      <c r="K4075" s="370"/>
      <c r="L4075" s="370"/>
      <c r="M4075" s="370"/>
      <c r="N4075" s="372"/>
      <c r="O4075" s="372"/>
      <c r="P4075" s="373"/>
      <c r="Q4075" s="374"/>
      <c r="R4075" s="378"/>
      <c r="S4075" s="379"/>
      <c r="T4075" s="366"/>
      <c r="U4075" s="366"/>
      <c r="V4075" s="366"/>
      <c r="W4075" s="366"/>
    </row>
    <row r="4076" spans="1:23" ht="18.75" customHeight="1">
      <c r="A4076" s="1410"/>
      <c r="B4076" s="1413"/>
      <c r="C4076" s="1206" t="s">
        <v>994</v>
      </c>
      <c r="D4076" s="875" t="str">
        <f>B4065&amp;C4076</f>
        <v>A163m</v>
      </c>
      <c r="E4076" s="367">
        <v>11</v>
      </c>
      <c r="F4076" s="370"/>
      <c r="G4076" s="368"/>
      <c r="H4076" s="368"/>
      <c r="I4076" s="368"/>
      <c r="J4076" s="368"/>
      <c r="K4076" s="370"/>
      <c r="L4076" s="370"/>
      <c r="M4076" s="370"/>
      <c r="N4076" s="372"/>
      <c r="O4076" s="372"/>
      <c r="P4076" s="380"/>
      <c r="Q4076" s="374"/>
      <c r="R4076" s="381"/>
      <c r="S4076" s="379"/>
      <c r="T4076" s="366"/>
      <c r="U4076" s="366"/>
      <c r="V4076" s="366"/>
      <c r="W4076" s="366"/>
    </row>
    <row r="4077" spans="1:23" ht="18.75" customHeight="1">
      <c r="A4077" s="1410"/>
      <c r="B4077" s="1413"/>
      <c r="C4077" s="1206" t="s">
        <v>995</v>
      </c>
      <c r="D4077" s="875" t="str">
        <f>B4065&amp;C4077</f>
        <v>A163n</v>
      </c>
      <c r="E4077" s="367">
        <v>12</v>
      </c>
      <c r="F4077" s="370"/>
      <c r="G4077" s="368"/>
      <c r="H4077" s="368"/>
      <c r="I4077" s="368"/>
      <c r="J4077" s="368"/>
      <c r="K4077" s="370"/>
      <c r="L4077" s="370"/>
      <c r="M4077" s="370"/>
      <c r="N4077" s="372"/>
      <c r="O4077" s="372"/>
      <c r="P4077" s="380"/>
      <c r="Q4077" s="374"/>
      <c r="R4077" s="381"/>
      <c r="S4077" s="361"/>
      <c r="T4077" s="361"/>
      <c r="U4077" s="361"/>
      <c r="V4077" s="366"/>
      <c r="W4077" s="366"/>
    </row>
    <row r="4078" spans="1:23" ht="18.75" customHeight="1">
      <c r="A4078" s="1410"/>
      <c r="B4078" s="1413"/>
      <c r="C4078" s="1206" t="s">
        <v>471</v>
      </c>
      <c r="D4078" s="875" t="str">
        <f>B4065&amp;C4078</f>
        <v>A163x</v>
      </c>
      <c r="E4078" s="367">
        <v>13</v>
      </c>
      <c r="F4078" s="370"/>
      <c r="G4078" s="368"/>
      <c r="H4078" s="368"/>
      <c r="I4078" s="368"/>
      <c r="J4078" s="368"/>
      <c r="K4078" s="370"/>
      <c r="L4078" s="370"/>
      <c r="M4078" s="370"/>
      <c r="N4078" s="382"/>
      <c r="O4078" s="372"/>
      <c r="P4078" s="380"/>
      <c r="Q4078" s="381"/>
      <c r="R4078" s="381"/>
      <c r="S4078" s="361"/>
      <c r="T4078" s="361"/>
      <c r="U4078" s="361"/>
      <c r="V4078" s="366"/>
      <c r="W4078" s="366"/>
    </row>
    <row r="4079" spans="1:23" ht="18.75" customHeight="1">
      <c r="A4079" s="1410"/>
      <c r="B4079" s="1413"/>
      <c r="C4079" s="1206" t="s">
        <v>732</v>
      </c>
      <c r="D4079" s="875" t="str">
        <f>B4065&amp;C4079</f>
        <v>A163y</v>
      </c>
      <c r="E4079" s="367">
        <v>14</v>
      </c>
      <c r="F4079" s="370"/>
      <c r="G4079" s="368"/>
      <c r="H4079" s="368"/>
      <c r="I4079" s="368"/>
      <c r="J4079" s="368"/>
      <c r="K4079" s="370"/>
      <c r="L4079" s="370"/>
      <c r="M4079" s="370"/>
      <c r="N4079" s="382"/>
      <c r="O4079" s="372"/>
      <c r="P4079" s="380"/>
      <c r="Q4079" s="381"/>
      <c r="R4079" s="381"/>
      <c r="S4079" s="361"/>
      <c r="T4079" s="361"/>
      <c r="U4079" s="362"/>
      <c r="V4079" s="366"/>
      <c r="W4079" s="366"/>
    </row>
    <row r="4080" spans="1:23" ht="18.75" customHeight="1">
      <c r="A4080" s="1411"/>
      <c r="B4080" s="1414"/>
      <c r="C4080" s="1207" t="s">
        <v>996</v>
      </c>
      <c r="D4080" s="876" t="str">
        <f>B4065&amp;C4080</f>
        <v>A163z</v>
      </c>
      <c r="E4080" s="847">
        <v>15</v>
      </c>
      <c r="F4080" s="370"/>
      <c r="G4080" s="368"/>
      <c r="H4080" s="368"/>
      <c r="I4080" s="368"/>
      <c r="J4080" s="368"/>
      <c r="K4080" s="370"/>
      <c r="L4080" s="370"/>
      <c r="M4080" s="370"/>
      <c r="N4080" s="850"/>
      <c r="O4080" s="851"/>
      <c r="P4080" s="380"/>
      <c r="Q4080" s="852"/>
      <c r="R4080" s="383"/>
      <c r="S4080" s="361"/>
      <c r="T4080" s="1204"/>
      <c r="U4080" s="1203"/>
      <c r="V4080" s="366"/>
      <c r="W4080" s="366"/>
    </row>
    <row r="4081" spans="1:23">
      <c r="A4081" s="1400" t="s">
        <v>939</v>
      </c>
      <c r="B4081" s="1400"/>
      <c r="C4081" s="1200"/>
      <c r="D4081" s="871"/>
      <c r="E4081" s="1400" t="s">
        <v>177</v>
      </c>
      <c r="F4081" s="1400" t="s">
        <v>18</v>
      </c>
      <c r="G4081" s="1389" t="s">
        <v>19</v>
      </c>
      <c r="H4081" s="1390"/>
      <c r="I4081" s="1389" t="s">
        <v>22</v>
      </c>
      <c r="J4081" s="1390"/>
      <c r="K4081" s="1393" t="s">
        <v>26</v>
      </c>
      <c r="L4081" s="1390"/>
      <c r="M4081" s="1389" t="s">
        <v>392</v>
      </c>
      <c r="N4081" s="1390"/>
      <c r="O4081" s="1389" t="s">
        <v>28</v>
      </c>
      <c r="P4081" s="1393"/>
      <c r="Q4081" s="1390"/>
      <c r="R4081" s="1400" t="s">
        <v>36</v>
      </c>
      <c r="S4081" s="361"/>
      <c r="T4081" s="361">
        <f>MAX(J4085:J4099)-MIN(I4085:I4099)</f>
        <v>1.388888888888884E-2</v>
      </c>
      <c r="U4081" s="361"/>
      <c r="V4081" s="853" t="str">
        <f t="shared" ref="V4081" si="518">B4085</f>
        <v>B10</v>
      </c>
      <c r="W4081" s="361">
        <f t="shared" ref="W4081" si="519">COUNTIF(K4086:K4100,"&gt;0")</f>
        <v>1</v>
      </c>
    </row>
    <row r="4082" spans="1:23">
      <c r="A4082" s="1401"/>
      <c r="B4082" s="1401"/>
      <c r="C4082" s="1202"/>
      <c r="D4082" s="872"/>
      <c r="E4082" s="1401"/>
      <c r="F4082" s="1401"/>
      <c r="G4082" s="1391"/>
      <c r="H4082" s="1392"/>
      <c r="I4082" s="1391"/>
      <c r="J4082" s="1392"/>
      <c r="K4082" s="1394"/>
      <c r="L4082" s="1392"/>
      <c r="M4082" s="1391"/>
      <c r="N4082" s="1392"/>
      <c r="O4082" s="1391"/>
      <c r="P4082" s="1394"/>
      <c r="Q4082" s="1392"/>
      <c r="R4082" s="1401"/>
      <c r="S4082" s="361"/>
      <c r="T4082" s="361"/>
      <c r="U4082" s="361"/>
      <c r="V4082" s="361"/>
      <c r="W4082" s="361"/>
    </row>
    <row r="4083" spans="1:23">
      <c r="A4083" s="1401"/>
      <c r="B4083" s="1401"/>
      <c r="C4083" s="1202"/>
      <c r="D4083" s="872"/>
      <c r="E4083" s="1401"/>
      <c r="F4083" s="1401"/>
      <c r="G4083" s="1400" t="s">
        <v>20</v>
      </c>
      <c r="H4083" s="1400" t="s">
        <v>21</v>
      </c>
      <c r="I4083" s="1400" t="s">
        <v>361</v>
      </c>
      <c r="J4083" s="1400" t="s">
        <v>353</v>
      </c>
      <c r="K4083" s="1400" t="s">
        <v>23</v>
      </c>
      <c r="L4083" s="1400" t="s">
        <v>24</v>
      </c>
      <c r="M4083" s="1400" t="s">
        <v>27</v>
      </c>
      <c r="N4083" s="1400" t="s">
        <v>178</v>
      </c>
      <c r="O4083" s="1400" t="s">
        <v>1</v>
      </c>
      <c r="P4083" s="1400" t="s">
        <v>29</v>
      </c>
      <c r="Q4083" s="1400" t="s">
        <v>33</v>
      </c>
      <c r="R4083" s="1401"/>
      <c r="S4083" s="361"/>
      <c r="T4083" s="361" t="s">
        <v>39</v>
      </c>
      <c r="U4083" s="362">
        <f>VLOOKUP(B4085,'[8]Thong tin'!$A:$M,13,0)</f>
        <v>800</v>
      </c>
      <c r="V4083" s="361"/>
      <c r="W4083" s="361"/>
    </row>
    <row r="4084" spans="1:23">
      <c r="A4084" s="1402"/>
      <c r="B4084" s="1402"/>
      <c r="C4084" s="1201"/>
      <c r="D4084" s="873"/>
      <c r="E4084" s="1402"/>
      <c r="F4084" s="1402"/>
      <c r="G4084" s="1402"/>
      <c r="H4084" s="1402"/>
      <c r="I4084" s="1402"/>
      <c r="J4084" s="1402"/>
      <c r="K4084" s="1402"/>
      <c r="L4084" s="1402"/>
      <c r="M4084" s="1402"/>
      <c r="N4084" s="1402"/>
      <c r="O4084" s="1402"/>
      <c r="P4084" s="1402"/>
      <c r="Q4084" s="1402"/>
      <c r="R4084" s="1402"/>
      <c r="S4084" s="361"/>
      <c r="T4084" s="1399" t="s">
        <v>393</v>
      </c>
      <c r="U4084" s="1397">
        <f>VLOOKUP(B4085,[8]DT.NK!$B:$AZ,45,0)</f>
        <v>27.18</v>
      </c>
      <c r="V4084" s="361"/>
      <c r="W4084" s="361"/>
    </row>
    <row r="4085" spans="1:23" ht="18.75" customHeight="1">
      <c r="A4085" s="1409">
        <f>A4065+1</f>
        <v>205</v>
      </c>
      <c r="B4085" s="1412" t="s">
        <v>679</v>
      </c>
      <c r="C4085" s="1205" t="s">
        <v>983</v>
      </c>
      <c r="D4085" s="874" t="str">
        <f>B4085&amp;C4085</f>
        <v>B10a</v>
      </c>
      <c r="E4085" s="363"/>
      <c r="F4085" s="364"/>
      <c r="G4085" s="364"/>
      <c r="H4085" s="364"/>
      <c r="I4085" s="364"/>
      <c r="J4085" s="364"/>
      <c r="K4085" s="364"/>
      <c r="L4085" s="364"/>
      <c r="M4085" s="674"/>
      <c r="N4085" s="670"/>
      <c r="O4085" s="670">
        <f>U4084</f>
        <v>27.18</v>
      </c>
      <c r="P4085" s="670">
        <f>O4085</f>
        <v>27.18</v>
      </c>
      <c r="Q4085" s="670">
        <v>0</v>
      </c>
      <c r="R4085" s="365"/>
      <c r="S4085" s="366"/>
      <c r="T4085" s="1399"/>
      <c r="U4085" s="1398"/>
      <c r="V4085" s="361"/>
      <c r="W4085" s="361"/>
    </row>
    <row r="4086" spans="1:23" ht="18.75" customHeight="1">
      <c r="A4086" s="1410"/>
      <c r="B4086" s="1413"/>
      <c r="C4086" s="1206" t="s">
        <v>984</v>
      </c>
      <c r="D4086" s="875" t="str">
        <f>B4085&amp;C4086</f>
        <v>B10b</v>
      </c>
      <c r="E4086" s="367">
        <v>1</v>
      </c>
      <c r="F4086" s="669" t="s">
        <v>1160</v>
      </c>
      <c r="G4086" s="369">
        <v>0.95486111111111116</v>
      </c>
      <c r="H4086" s="368">
        <v>0.97222222222222221</v>
      </c>
      <c r="I4086" s="368">
        <v>0.97916666666666663</v>
      </c>
      <c r="J4086" s="368">
        <v>0.99305555555555547</v>
      </c>
      <c r="K4086" s="669">
        <v>13</v>
      </c>
      <c r="L4086" s="669">
        <v>19</v>
      </c>
      <c r="M4086" s="675">
        <v>26.7</v>
      </c>
      <c r="N4086" s="671">
        <f>IF(M4086-P4086&gt;0,M4086-P4086,0)</f>
        <v>19.899999999999999</v>
      </c>
      <c r="O4086" s="671">
        <f>O4085-K4086/(PI()*(U4083/2000)^2)</f>
        <v>1.3173217475670107</v>
      </c>
      <c r="P4086" s="672">
        <v>6.8</v>
      </c>
      <c r="Q4086" s="673">
        <f>ABS(O4086-P4086)</f>
        <v>5.4826782524329891</v>
      </c>
      <c r="R4086" s="375" t="s">
        <v>188</v>
      </c>
      <c r="S4086" s="366"/>
      <c r="T4086" s="376"/>
      <c r="U4086" s="376"/>
      <c r="V4086" s="366"/>
      <c r="W4086" s="366"/>
    </row>
    <row r="4087" spans="1:23" ht="18.75" customHeight="1">
      <c r="A4087" s="1410"/>
      <c r="B4087" s="1413"/>
      <c r="C4087" s="1206" t="s">
        <v>985</v>
      </c>
      <c r="D4087" s="875" t="str">
        <f>B4085&amp;C4087</f>
        <v>B10c</v>
      </c>
      <c r="E4087" s="367">
        <v>2</v>
      </c>
      <c r="F4087" s="370"/>
      <c r="G4087" s="368"/>
      <c r="H4087" s="368"/>
      <c r="I4087" s="368"/>
      <c r="J4087" s="368"/>
      <c r="K4087" s="370"/>
      <c r="L4087" s="370"/>
      <c r="M4087" s="371"/>
      <c r="N4087" s="671"/>
      <c r="O4087" s="671"/>
      <c r="P4087" s="373"/>
      <c r="Q4087" s="673"/>
      <c r="R4087" s="958"/>
      <c r="S4087" s="366"/>
      <c r="T4087" s="376"/>
      <c r="U4087" s="376"/>
      <c r="V4087" s="366"/>
      <c r="W4087" s="366"/>
    </row>
    <row r="4088" spans="1:23" ht="18.75" customHeight="1">
      <c r="A4088" s="1410"/>
      <c r="B4088" s="1413"/>
      <c r="C4088" s="1206" t="s">
        <v>986</v>
      </c>
      <c r="D4088" s="875" t="str">
        <f>B4085&amp;C4088</f>
        <v>B10d</v>
      </c>
      <c r="E4088" s="367">
        <v>3</v>
      </c>
      <c r="F4088" s="370"/>
      <c r="G4088" s="368"/>
      <c r="H4088" s="368"/>
      <c r="I4088" s="368"/>
      <c r="J4088" s="368"/>
      <c r="K4088" s="370"/>
      <c r="L4088" s="370"/>
      <c r="M4088" s="371"/>
      <c r="N4088" s="671"/>
      <c r="O4088" s="671"/>
      <c r="P4088" s="373"/>
      <c r="Q4088" s="673"/>
      <c r="R4088" s="958"/>
      <c r="S4088" s="366"/>
      <c r="T4088" s="376"/>
      <c r="U4088" s="376"/>
      <c r="V4088" s="366"/>
      <c r="W4088" s="366"/>
    </row>
    <row r="4089" spans="1:23" ht="18.75" customHeight="1">
      <c r="A4089" s="1410"/>
      <c r="B4089" s="1413"/>
      <c r="C4089" s="1206" t="s">
        <v>987</v>
      </c>
      <c r="D4089" s="875" t="str">
        <f>B4085&amp;C4089</f>
        <v>B10e</v>
      </c>
      <c r="E4089" s="367">
        <v>4</v>
      </c>
      <c r="F4089" s="370"/>
      <c r="G4089" s="368"/>
      <c r="H4089" s="368"/>
      <c r="I4089" s="368"/>
      <c r="J4089" s="368"/>
      <c r="K4089" s="370"/>
      <c r="L4089" s="370"/>
      <c r="M4089" s="371"/>
      <c r="N4089" s="671"/>
      <c r="O4089" s="671"/>
      <c r="P4089" s="373"/>
      <c r="Q4089" s="673"/>
      <c r="R4089" s="958"/>
      <c r="S4089" s="366"/>
      <c r="T4089" s="376"/>
      <c r="U4089" s="376"/>
      <c r="V4089" s="366"/>
      <c r="W4089" s="366"/>
    </row>
    <row r="4090" spans="1:23" ht="18.75" customHeight="1">
      <c r="A4090" s="1410"/>
      <c r="B4090" s="1413"/>
      <c r="C4090" s="1206" t="s">
        <v>988</v>
      </c>
      <c r="D4090" s="875" t="str">
        <f>B4085&amp;C4090</f>
        <v>B10f</v>
      </c>
      <c r="E4090" s="367">
        <v>5</v>
      </c>
      <c r="F4090" s="370"/>
      <c r="G4090" s="368"/>
      <c r="H4090" s="368"/>
      <c r="I4090" s="368"/>
      <c r="J4090" s="368"/>
      <c r="K4090" s="370"/>
      <c r="L4090" s="370"/>
      <c r="M4090" s="371"/>
      <c r="N4090" s="671"/>
      <c r="O4090" s="671"/>
      <c r="P4090" s="373"/>
      <c r="Q4090" s="673"/>
      <c r="R4090" s="958"/>
      <c r="S4090" s="366" t="s">
        <v>190</v>
      </c>
      <c r="T4090" s="376"/>
      <c r="U4090" s="376"/>
      <c r="V4090" s="366"/>
      <c r="W4090" s="366"/>
    </row>
    <row r="4091" spans="1:23" ht="18.75" customHeight="1">
      <c r="A4091" s="1410"/>
      <c r="B4091" s="1413"/>
      <c r="C4091" s="1206" t="s">
        <v>989</v>
      </c>
      <c r="D4091" s="875" t="str">
        <f>B4085&amp;C4091</f>
        <v>B10g</v>
      </c>
      <c r="E4091" s="367">
        <v>6</v>
      </c>
      <c r="F4091" s="370"/>
      <c r="G4091" s="368"/>
      <c r="H4091" s="368"/>
      <c r="I4091" s="368"/>
      <c r="J4091" s="368"/>
      <c r="K4091" s="370"/>
      <c r="L4091" s="370"/>
      <c r="M4091" s="371"/>
      <c r="N4091" s="671"/>
      <c r="O4091" s="671"/>
      <c r="P4091" s="373"/>
      <c r="Q4091" s="673"/>
      <c r="R4091" s="958"/>
      <c r="S4091" s="366" t="s">
        <v>190</v>
      </c>
      <c r="T4091" s="366"/>
      <c r="U4091" s="366"/>
      <c r="V4091" s="366"/>
      <c r="W4091" s="366"/>
    </row>
    <row r="4092" spans="1:23" ht="18.75" customHeight="1">
      <c r="A4092" s="1410"/>
      <c r="B4092" s="1413"/>
      <c r="C4092" s="1206" t="s">
        <v>990</v>
      </c>
      <c r="D4092" s="875" t="str">
        <f>B4085&amp;C4092</f>
        <v>B10h</v>
      </c>
      <c r="E4092" s="367">
        <v>7</v>
      </c>
      <c r="F4092" s="370"/>
      <c r="G4092" s="368"/>
      <c r="H4092" s="368"/>
      <c r="I4092" s="368"/>
      <c r="J4092" s="368"/>
      <c r="K4092" s="370"/>
      <c r="L4092" s="370"/>
      <c r="M4092" s="371"/>
      <c r="N4092" s="671"/>
      <c r="O4092" s="671"/>
      <c r="P4092" s="373"/>
      <c r="Q4092" s="673"/>
      <c r="R4092" s="958"/>
      <c r="S4092" s="366" t="s">
        <v>190</v>
      </c>
      <c r="T4092" s="366"/>
      <c r="U4092" s="366"/>
      <c r="V4092" s="366"/>
      <c r="W4092" s="366"/>
    </row>
    <row r="4093" spans="1:23" ht="18.75" customHeight="1">
      <c r="A4093" s="1410"/>
      <c r="B4093" s="1413"/>
      <c r="C4093" s="1206" t="s">
        <v>991</v>
      </c>
      <c r="D4093" s="875" t="str">
        <f>B4085&amp;C4093</f>
        <v>B10i</v>
      </c>
      <c r="E4093" s="367">
        <v>8</v>
      </c>
      <c r="F4093" s="370"/>
      <c r="G4093" s="368"/>
      <c r="H4093" s="368"/>
      <c r="I4093" s="368"/>
      <c r="J4093" s="368"/>
      <c r="K4093" s="370"/>
      <c r="L4093" s="370"/>
      <c r="M4093" s="371"/>
      <c r="N4093" s="671"/>
      <c r="O4093" s="671"/>
      <c r="P4093" s="373"/>
      <c r="Q4093" s="673"/>
      <c r="R4093" s="958"/>
      <c r="S4093" s="366"/>
      <c r="T4093" s="366"/>
      <c r="U4093" s="366"/>
      <c r="V4093" s="366"/>
      <c r="W4093" s="366"/>
    </row>
    <row r="4094" spans="1:23" ht="18.75" customHeight="1">
      <c r="A4094" s="1410"/>
      <c r="B4094" s="1413"/>
      <c r="C4094" s="1206" t="s">
        <v>992</v>
      </c>
      <c r="D4094" s="875" t="str">
        <f>B4085&amp;C4094</f>
        <v>B10k</v>
      </c>
      <c r="E4094" s="367">
        <v>9</v>
      </c>
      <c r="F4094" s="370"/>
      <c r="G4094" s="368"/>
      <c r="H4094" s="368"/>
      <c r="I4094" s="368"/>
      <c r="J4094" s="368"/>
      <c r="K4094" s="370"/>
      <c r="L4094" s="370"/>
      <c r="M4094" s="371"/>
      <c r="N4094" s="372"/>
      <c r="O4094" s="372"/>
      <c r="P4094" s="373"/>
      <c r="Q4094" s="374"/>
      <c r="R4094" s="378"/>
      <c r="S4094" s="379"/>
      <c r="T4094" s="366"/>
      <c r="U4094" s="366"/>
      <c r="V4094" s="366"/>
      <c r="W4094" s="366"/>
    </row>
    <row r="4095" spans="1:23" ht="18.75" customHeight="1">
      <c r="A4095" s="1410"/>
      <c r="B4095" s="1413"/>
      <c r="C4095" s="1206" t="s">
        <v>993</v>
      </c>
      <c r="D4095" s="875" t="str">
        <f>B4085&amp;C4095</f>
        <v>B10l</v>
      </c>
      <c r="E4095" s="367">
        <v>10</v>
      </c>
      <c r="F4095" s="370"/>
      <c r="G4095" s="368"/>
      <c r="H4095" s="368"/>
      <c r="I4095" s="368"/>
      <c r="J4095" s="368"/>
      <c r="K4095" s="370"/>
      <c r="L4095" s="370"/>
      <c r="M4095" s="370"/>
      <c r="N4095" s="372"/>
      <c r="O4095" s="372"/>
      <c r="P4095" s="373"/>
      <c r="Q4095" s="374"/>
      <c r="R4095" s="378"/>
      <c r="S4095" s="379"/>
      <c r="T4095" s="366"/>
      <c r="U4095" s="366"/>
      <c r="V4095" s="366"/>
      <c r="W4095" s="366"/>
    </row>
    <row r="4096" spans="1:23" ht="18.75" customHeight="1">
      <c r="A4096" s="1410"/>
      <c r="B4096" s="1413"/>
      <c r="C4096" s="1206" t="s">
        <v>994</v>
      </c>
      <c r="D4096" s="875" t="str">
        <f>B4085&amp;C4096</f>
        <v>B10m</v>
      </c>
      <c r="E4096" s="367">
        <v>11</v>
      </c>
      <c r="F4096" s="370"/>
      <c r="G4096" s="368"/>
      <c r="H4096" s="368"/>
      <c r="I4096" s="368"/>
      <c r="J4096" s="368"/>
      <c r="K4096" s="370"/>
      <c r="L4096" s="370"/>
      <c r="M4096" s="370"/>
      <c r="N4096" s="372"/>
      <c r="O4096" s="372"/>
      <c r="P4096" s="380"/>
      <c r="Q4096" s="374"/>
      <c r="R4096" s="381"/>
      <c r="S4096" s="379"/>
      <c r="T4096" s="366"/>
      <c r="U4096" s="366"/>
      <c r="V4096" s="366"/>
      <c r="W4096" s="366"/>
    </row>
    <row r="4097" spans="1:23" ht="18.75" customHeight="1">
      <c r="A4097" s="1410"/>
      <c r="B4097" s="1413"/>
      <c r="C4097" s="1206" t="s">
        <v>995</v>
      </c>
      <c r="D4097" s="875" t="str">
        <f>B4085&amp;C4097</f>
        <v>B10n</v>
      </c>
      <c r="E4097" s="367">
        <v>12</v>
      </c>
      <c r="F4097" s="370"/>
      <c r="G4097" s="368"/>
      <c r="H4097" s="368"/>
      <c r="I4097" s="368"/>
      <c r="J4097" s="368"/>
      <c r="K4097" s="370"/>
      <c r="L4097" s="370"/>
      <c r="M4097" s="370"/>
      <c r="N4097" s="372"/>
      <c r="O4097" s="372"/>
      <c r="P4097" s="380"/>
      <c r="Q4097" s="374"/>
      <c r="R4097" s="381"/>
      <c r="S4097" s="361"/>
      <c r="T4097" s="361"/>
      <c r="U4097" s="361"/>
      <c r="V4097" s="366"/>
      <c r="W4097" s="366"/>
    </row>
    <row r="4098" spans="1:23" ht="18.75" customHeight="1">
      <c r="A4098" s="1410"/>
      <c r="B4098" s="1413"/>
      <c r="C4098" s="1206" t="s">
        <v>471</v>
      </c>
      <c r="D4098" s="875" t="str">
        <f>B4085&amp;C4098</f>
        <v>B10x</v>
      </c>
      <c r="E4098" s="367">
        <v>13</v>
      </c>
      <c r="F4098" s="370"/>
      <c r="G4098" s="368"/>
      <c r="H4098" s="368"/>
      <c r="I4098" s="368"/>
      <c r="J4098" s="368"/>
      <c r="K4098" s="370"/>
      <c r="L4098" s="370"/>
      <c r="M4098" s="370"/>
      <c r="N4098" s="382"/>
      <c r="O4098" s="372"/>
      <c r="P4098" s="380"/>
      <c r="Q4098" s="381"/>
      <c r="R4098" s="381"/>
      <c r="S4098" s="361"/>
      <c r="T4098" s="361"/>
      <c r="U4098" s="361"/>
      <c r="V4098" s="366"/>
      <c r="W4098" s="366"/>
    </row>
    <row r="4099" spans="1:23" ht="18.75" customHeight="1">
      <c r="A4099" s="1410"/>
      <c r="B4099" s="1413"/>
      <c r="C4099" s="1206" t="s">
        <v>732</v>
      </c>
      <c r="D4099" s="875" t="str">
        <f>B4085&amp;C4099</f>
        <v>B10y</v>
      </c>
      <c r="E4099" s="367">
        <v>14</v>
      </c>
      <c r="F4099" s="370"/>
      <c r="G4099" s="368"/>
      <c r="H4099" s="368"/>
      <c r="I4099" s="368"/>
      <c r="J4099" s="368"/>
      <c r="K4099" s="370"/>
      <c r="L4099" s="370"/>
      <c r="M4099" s="370"/>
      <c r="N4099" s="382"/>
      <c r="O4099" s="372"/>
      <c r="P4099" s="380"/>
      <c r="Q4099" s="381"/>
      <c r="R4099" s="381"/>
      <c r="S4099" s="361"/>
      <c r="T4099" s="361"/>
      <c r="U4099" s="362"/>
      <c r="V4099" s="366"/>
      <c r="W4099" s="366"/>
    </row>
    <row r="4100" spans="1:23" ht="18.75" customHeight="1">
      <c r="A4100" s="1411"/>
      <c r="B4100" s="1414"/>
      <c r="C4100" s="1207" t="s">
        <v>996</v>
      </c>
      <c r="D4100" s="876" t="str">
        <f>B4085&amp;C4100</f>
        <v>B10z</v>
      </c>
      <c r="E4100" s="847">
        <v>15</v>
      </c>
      <c r="F4100" s="370"/>
      <c r="G4100" s="368"/>
      <c r="H4100" s="368"/>
      <c r="I4100" s="368"/>
      <c r="J4100" s="368"/>
      <c r="K4100" s="370"/>
      <c r="L4100" s="370"/>
      <c r="M4100" s="370"/>
      <c r="N4100" s="850"/>
      <c r="O4100" s="851"/>
      <c r="P4100" s="380"/>
      <c r="Q4100" s="852"/>
      <c r="R4100" s="383"/>
      <c r="S4100" s="361"/>
      <c r="T4100" s="1204"/>
      <c r="U4100" s="1203"/>
      <c r="V4100" s="366"/>
      <c r="W4100" s="366"/>
    </row>
    <row r="4101" spans="1:23">
      <c r="A4101" s="1400" t="s">
        <v>939</v>
      </c>
      <c r="B4101" s="1400"/>
      <c r="C4101" s="1200"/>
      <c r="D4101" s="871"/>
      <c r="E4101" s="1400" t="s">
        <v>177</v>
      </c>
      <c r="F4101" s="1400" t="s">
        <v>18</v>
      </c>
      <c r="G4101" s="1389" t="s">
        <v>19</v>
      </c>
      <c r="H4101" s="1390"/>
      <c r="I4101" s="1389" t="s">
        <v>22</v>
      </c>
      <c r="J4101" s="1390"/>
      <c r="K4101" s="1393" t="s">
        <v>26</v>
      </c>
      <c r="L4101" s="1390"/>
      <c r="M4101" s="1389" t="s">
        <v>392</v>
      </c>
      <c r="N4101" s="1390"/>
      <c r="O4101" s="1389" t="s">
        <v>28</v>
      </c>
      <c r="P4101" s="1393"/>
      <c r="Q4101" s="1390"/>
      <c r="R4101" s="1400" t="s">
        <v>36</v>
      </c>
      <c r="S4101" s="361"/>
      <c r="T4101" s="361">
        <f>MAX(J4105:J4119)-MIN(I4105:I4119)</f>
        <v>2.777777777777779E-2</v>
      </c>
      <c r="U4101" s="361"/>
      <c r="V4101" s="853" t="str">
        <f t="shared" ref="V4101" si="520">B4105</f>
        <v>B5</v>
      </c>
      <c r="W4101" s="361">
        <f t="shared" ref="W4101" si="521">COUNTIF(K4106:K4120,"&gt;0")</f>
        <v>2</v>
      </c>
    </row>
    <row r="4102" spans="1:23">
      <c r="A4102" s="1401"/>
      <c r="B4102" s="1401"/>
      <c r="C4102" s="1202"/>
      <c r="D4102" s="872"/>
      <c r="E4102" s="1401"/>
      <c r="F4102" s="1401"/>
      <c r="G4102" s="1391"/>
      <c r="H4102" s="1392"/>
      <c r="I4102" s="1391"/>
      <c r="J4102" s="1392"/>
      <c r="K4102" s="1394"/>
      <c r="L4102" s="1392"/>
      <c r="M4102" s="1391"/>
      <c r="N4102" s="1392"/>
      <c r="O4102" s="1391"/>
      <c r="P4102" s="1394"/>
      <c r="Q4102" s="1392"/>
      <c r="R4102" s="1401"/>
      <c r="S4102" s="361"/>
      <c r="T4102" s="361"/>
      <c r="U4102" s="361"/>
      <c r="V4102" s="361"/>
      <c r="W4102" s="361"/>
    </row>
    <row r="4103" spans="1:23">
      <c r="A4103" s="1401"/>
      <c r="B4103" s="1401"/>
      <c r="C4103" s="1202"/>
      <c r="D4103" s="872"/>
      <c r="E4103" s="1401"/>
      <c r="F4103" s="1401"/>
      <c r="G4103" s="1400" t="s">
        <v>20</v>
      </c>
      <c r="H4103" s="1400" t="s">
        <v>21</v>
      </c>
      <c r="I4103" s="1400" t="s">
        <v>361</v>
      </c>
      <c r="J4103" s="1400" t="s">
        <v>353</v>
      </c>
      <c r="K4103" s="1400" t="s">
        <v>23</v>
      </c>
      <c r="L4103" s="1400" t="s">
        <v>24</v>
      </c>
      <c r="M4103" s="1400" t="s">
        <v>27</v>
      </c>
      <c r="N4103" s="1400" t="s">
        <v>178</v>
      </c>
      <c r="O4103" s="1400" t="s">
        <v>1</v>
      </c>
      <c r="P4103" s="1400" t="s">
        <v>29</v>
      </c>
      <c r="Q4103" s="1400" t="s">
        <v>33</v>
      </c>
      <c r="R4103" s="1401"/>
      <c r="S4103" s="361"/>
      <c r="T4103" s="361" t="s">
        <v>39</v>
      </c>
      <c r="U4103" s="362">
        <f>VLOOKUP(B4105,'[8]Thong tin'!$A:$M,13,0)</f>
        <v>800</v>
      </c>
      <c r="V4103" s="361"/>
      <c r="W4103" s="361"/>
    </row>
    <row r="4104" spans="1:23">
      <c r="A4104" s="1402"/>
      <c r="B4104" s="1402"/>
      <c r="C4104" s="1201"/>
      <c r="D4104" s="873"/>
      <c r="E4104" s="1402"/>
      <c r="F4104" s="1402"/>
      <c r="G4104" s="1402"/>
      <c r="H4104" s="1402"/>
      <c r="I4104" s="1402"/>
      <c r="J4104" s="1402"/>
      <c r="K4104" s="1402"/>
      <c r="L4104" s="1402"/>
      <c r="M4104" s="1402"/>
      <c r="N4104" s="1402"/>
      <c r="O4104" s="1402"/>
      <c r="P4104" s="1402"/>
      <c r="Q4104" s="1402"/>
      <c r="R4104" s="1402"/>
      <c r="S4104" s="361"/>
      <c r="T4104" s="1399" t="s">
        <v>393</v>
      </c>
      <c r="U4104" s="1397">
        <f>VLOOKUP(B4105,[8]DT.NK!$B:$AZ,45,0)</f>
        <v>31.35</v>
      </c>
      <c r="V4104" s="361"/>
      <c r="W4104" s="361"/>
    </row>
    <row r="4105" spans="1:23" ht="18.75" customHeight="1">
      <c r="A4105" s="1409">
        <f>A4085+1</f>
        <v>206</v>
      </c>
      <c r="B4105" s="1412" t="s">
        <v>655</v>
      </c>
      <c r="C4105" s="1205" t="s">
        <v>983</v>
      </c>
      <c r="D4105" s="874" t="str">
        <f>B4105&amp;C4105</f>
        <v>B5a</v>
      </c>
      <c r="E4105" s="363"/>
      <c r="F4105" s="364"/>
      <c r="G4105" s="364"/>
      <c r="H4105" s="364"/>
      <c r="I4105" s="364"/>
      <c r="J4105" s="364"/>
      <c r="K4105" s="364"/>
      <c r="L4105" s="364"/>
      <c r="M4105" s="674"/>
      <c r="N4105" s="670"/>
      <c r="O4105" s="670">
        <f>U4104</f>
        <v>31.35</v>
      </c>
      <c r="P4105" s="670">
        <f>O4105</f>
        <v>31.35</v>
      </c>
      <c r="Q4105" s="670">
        <v>0</v>
      </c>
      <c r="R4105" s="365"/>
      <c r="S4105" s="366"/>
      <c r="T4105" s="1399"/>
      <c r="U4105" s="1398"/>
      <c r="V4105" s="361"/>
      <c r="W4105" s="361"/>
    </row>
    <row r="4106" spans="1:23" ht="18.75" customHeight="1">
      <c r="A4106" s="1410"/>
      <c r="B4106" s="1413"/>
      <c r="C4106" s="1206" t="s">
        <v>984</v>
      </c>
      <c r="D4106" s="875" t="str">
        <f>B4105&amp;C4106</f>
        <v>B5b</v>
      </c>
      <c r="E4106" s="367">
        <v>1</v>
      </c>
      <c r="F4106" s="669" t="s">
        <v>1184</v>
      </c>
      <c r="G4106" s="369">
        <v>0.31527777777777777</v>
      </c>
      <c r="H4106" s="368">
        <v>0.375</v>
      </c>
      <c r="I4106" s="368">
        <v>0.3888888888888889</v>
      </c>
      <c r="J4106" s="368">
        <v>0.3923611111111111</v>
      </c>
      <c r="K4106" s="669">
        <v>8</v>
      </c>
      <c r="L4106" s="669">
        <v>19</v>
      </c>
      <c r="M4106" s="675">
        <v>24.05</v>
      </c>
      <c r="N4106" s="671">
        <f>IF(M4106-P4106&gt;0,M4106-P4106,0)</f>
        <v>1.4499999999999993</v>
      </c>
      <c r="O4106" s="671">
        <f>O4105-K4106/(PI()*(U4103/2000)^2)</f>
        <v>15.434505690810468</v>
      </c>
      <c r="P4106" s="672">
        <v>22.6</v>
      </c>
      <c r="Q4106" s="673">
        <f>ABS(O4106-P4106)</f>
        <v>7.1654943091895333</v>
      </c>
      <c r="R4106" s="375" t="s">
        <v>188</v>
      </c>
      <c r="S4106" s="366"/>
      <c r="T4106" s="376"/>
      <c r="U4106" s="376"/>
      <c r="V4106" s="366"/>
      <c r="W4106" s="366"/>
    </row>
    <row r="4107" spans="1:23" ht="18.75" customHeight="1">
      <c r="A4107" s="1410"/>
      <c r="B4107" s="1413"/>
      <c r="C4107" s="1206" t="s">
        <v>985</v>
      </c>
      <c r="D4107" s="875" t="str">
        <f>B4105&amp;C4107</f>
        <v>B5c</v>
      </c>
      <c r="E4107" s="367">
        <v>2</v>
      </c>
      <c r="F4107" s="669" t="s">
        <v>1019</v>
      </c>
      <c r="G4107" s="368">
        <v>0.31944444444444448</v>
      </c>
      <c r="H4107" s="368">
        <v>0.38194444444444442</v>
      </c>
      <c r="I4107" s="368">
        <v>0.41319444444444442</v>
      </c>
      <c r="J4107" s="368">
        <v>0.41666666666666669</v>
      </c>
      <c r="K4107" s="370">
        <v>8</v>
      </c>
      <c r="L4107" s="370">
        <v>20</v>
      </c>
      <c r="M4107" s="371"/>
      <c r="N4107" s="671"/>
      <c r="O4107" s="671"/>
      <c r="P4107" s="373">
        <v>6.8</v>
      </c>
      <c r="Q4107" s="673"/>
      <c r="R4107" s="958"/>
      <c r="S4107" s="366"/>
      <c r="T4107" s="376"/>
      <c r="U4107" s="376"/>
      <c r="V4107" s="366"/>
      <c r="W4107" s="366"/>
    </row>
    <row r="4108" spans="1:23" ht="18.75" customHeight="1">
      <c r="A4108" s="1410"/>
      <c r="B4108" s="1413"/>
      <c r="C4108" s="1206" t="s">
        <v>986</v>
      </c>
      <c r="D4108" s="875" t="str">
        <f>B4105&amp;C4108</f>
        <v>B5d</v>
      </c>
      <c r="E4108" s="367">
        <v>3</v>
      </c>
      <c r="F4108" s="370"/>
      <c r="G4108" s="368"/>
      <c r="H4108" s="368"/>
      <c r="I4108" s="368"/>
      <c r="J4108" s="368"/>
      <c r="K4108" s="370"/>
      <c r="L4108" s="370"/>
      <c r="M4108" s="371"/>
      <c r="N4108" s="671"/>
      <c r="O4108" s="671"/>
      <c r="P4108" s="373"/>
      <c r="Q4108" s="673"/>
      <c r="R4108" s="958"/>
      <c r="S4108" s="366"/>
      <c r="T4108" s="376"/>
      <c r="U4108" s="376"/>
      <c r="V4108" s="366"/>
      <c r="W4108" s="366"/>
    </row>
    <row r="4109" spans="1:23" ht="18.75" customHeight="1">
      <c r="A4109" s="1410"/>
      <c r="B4109" s="1413"/>
      <c r="C4109" s="1206" t="s">
        <v>987</v>
      </c>
      <c r="D4109" s="875" t="str">
        <f>B4105&amp;C4109</f>
        <v>B5e</v>
      </c>
      <c r="E4109" s="367">
        <v>4</v>
      </c>
      <c r="F4109" s="370"/>
      <c r="G4109" s="368"/>
      <c r="H4109" s="368"/>
      <c r="I4109" s="368"/>
      <c r="J4109" s="368"/>
      <c r="K4109" s="370"/>
      <c r="L4109" s="370"/>
      <c r="M4109" s="371"/>
      <c r="N4109" s="671"/>
      <c r="O4109" s="671"/>
      <c r="P4109" s="373"/>
      <c r="Q4109" s="673"/>
      <c r="R4109" s="958"/>
      <c r="S4109" s="366"/>
      <c r="T4109" s="376"/>
      <c r="U4109" s="376"/>
      <c r="V4109" s="366"/>
      <c r="W4109" s="366"/>
    </row>
    <row r="4110" spans="1:23" ht="18.75" customHeight="1">
      <c r="A4110" s="1410"/>
      <c r="B4110" s="1413"/>
      <c r="C4110" s="1206" t="s">
        <v>988</v>
      </c>
      <c r="D4110" s="875" t="str">
        <f>B4105&amp;C4110</f>
        <v>B5f</v>
      </c>
      <c r="E4110" s="367">
        <v>5</v>
      </c>
      <c r="F4110" s="370"/>
      <c r="G4110" s="368"/>
      <c r="H4110" s="368"/>
      <c r="I4110" s="368"/>
      <c r="J4110" s="368"/>
      <c r="K4110" s="370"/>
      <c r="L4110" s="370"/>
      <c r="M4110" s="371"/>
      <c r="N4110" s="671"/>
      <c r="O4110" s="671"/>
      <c r="P4110" s="373"/>
      <c r="Q4110" s="673"/>
      <c r="R4110" s="958"/>
      <c r="S4110" s="366" t="s">
        <v>190</v>
      </c>
      <c r="T4110" s="376"/>
      <c r="U4110" s="376"/>
      <c r="V4110" s="366"/>
      <c r="W4110" s="366"/>
    </row>
    <row r="4111" spans="1:23" ht="18.75" customHeight="1">
      <c r="A4111" s="1410"/>
      <c r="B4111" s="1413"/>
      <c r="C4111" s="1206" t="s">
        <v>989</v>
      </c>
      <c r="D4111" s="875" t="str">
        <f>B4105&amp;C4111</f>
        <v>B5g</v>
      </c>
      <c r="E4111" s="367">
        <v>6</v>
      </c>
      <c r="F4111" s="370"/>
      <c r="G4111" s="368"/>
      <c r="H4111" s="368"/>
      <c r="I4111" s="368"/>
      <c r="J4111" s="368"/>
      <c r="K4111" s="370"/>
      <c r="L4111" s="370"/>
      <c r="M4111" s="371"/>
      <c r="N4111" s="671"/>
      <c r="O4111" s="671"/>
      <c r="P4111" s="373"/>
      <c r="Q4111" s="673"/>
      <c r="R4111" s="958"/>
      <c r="S4111" s="366" t="s">
        <v>190</v>
      </c>
      <c r="T4111" s="366"/>
      <c r="U4111" s="366"/>
      <c r="V4111" s="366"/>
      <c r="W4111" s="366"/>
    </row>
    <row r="4112" spans="1:23" ht="18.75" customHeight="1">
      <c r="A4112" s="1410"/>
      <c r="B4112" s="1413"/>
      <c r="C4112" s="1206" t="s">
        <v>990</v>
      </c>
      <c r="D4112" s="875" t="str">
        <f>B4105&amp;C4112</f>
        <v>B5h</v>
      </c>
      <c r="E4112" s="367">
        <v>7</v>
      </c>
      <c r="F4112" s="370"/>
      <c r="G4112" s="368"/>
      <c r="H4112" s="368"/>
      <c r="I4112" s="368"/>
      <c r="J4112" s="368"/>
      <c r="K4112" s="370"/>
      <c r="L4112" s="370"/>
      <c r="M4112" s="371"/>
      <c r="N4112" s="671"/>
      <c r="O4112" s="671"/>
      <c r="P4112" s="373"/>
      <c r="Q4112" s="673"/>
      <c r="R4112" s="958"/>
      <c r="S4112" s="366" t="s">
        <v>190</v>
      </c>
      <c r="T4112" s="366"/>
      <c r="U4112" s="366"/>
      <c r="V4112" s="366"/>
      <c r="W4112" s="366"/>
    </row>
    <row r="4113" spans="1:23" ht="18.75" customHeight="1">
      <c r="A4113" s="1410"/>
      <c r="B4113" s="1413"/>
      <c r="C4113" s="1206" t="s">
        <v>991</v>
      </c>
      <c r="D4113" s="875" t="str">
        <f>B4105&amp;C4113</f>
        <v>B5i</v>
      </c>
      <c r="E4113" s="367">
        <v>8</v>
      </c>
      <c r="F4113" s="370"/>
      <c r="G4113" s="368"/>
      <c r="H4113" s="368"/>
      <c r="I4113" s="368"/>
      <c r="J4113" s="368"/>
      <c r="K4113" s="370"/>
      <c r="L4113" s="370"/>
      <c r="M4113" s="371"/>
      <c r="N4113" s="671"/>
      <c r="O4113" s="671"/>
      <c r="P4113" s="373"/>
      <c r="Q4113" s="673"/>
      <c r="R4113" s="958"/>
      <c r="S4113" s="366"/>
      <c r="T4113" s="366"/>
      <c r="U4113" s="366"/>
      <c r="V4113" s="366"/>
      <c r="W4113" s="366"/>
    </row>
    <row r="4114" spans="1:23" ht="18.75" customHeight="1">
      <c r="A4114" s="1410"/>
      <c r="B4114" s="1413"/>
      <c r="C4114" s="1206" t="s">
        <v>992</v>
      </c>
      <c r="D4114" s="875" t="str">
        <f>B4105&amp;C4114</f>
        <v>B5k</v>
      </c>
      <c r="E4114" s="367">
        <v>9</v>
      </c>
      <c r="F4114" s="370"/>
      <c r="G4114" s="368"/>
      <c r="H4114" s="368"/>
      <c r="I4114" s="368"/>
      <c r="J4114" s="368"/>
      <c r="K4114" s="370"/>
      <c r="L4114" s="370"/>
      <c r="M4114" s="371"/>
      <c r="N4114" s="372"/>
      <c r="O4114" s="372"/>
      <c r="P4114" s="373"/>
      <c r="Q4114" s="374"/>
      <c r="R4114" s="378"/>
      <c r="S4114" s="379"/>
      <c r="T4114" s="366"/>
      <c r="U4114" s="366"/>
      <c r="V4114" s="366"/>
      <c r="W4114" s="366"/>
    </row>
    <row r="4115" spans="1:23" ht="18.75" customHeight="1">
      <c r="A4115" s="1410"/>
      <c r="B4115" s="1413"/>
      <c r="C4115" s="1206" t="s">
        <v>993</v>
      </c>
      <c r="D4115" s="875" t="str">
        <f>B4105&amp;C4115</f>
        <v>B5l</v>
      </c>
      <c r="E4115" s="367">
        <v>10</v>
      </c>
      <c r="F4115" s="370"/>
      <c r="G4115" s="368"/>
      <c r="H4115" s="368"/>
      <c r="I4115" s="368"/>
      <c r="J4115" s="368"/>
      <c r="K4115" s="370"/>
      <c r="L4115" s="370"/>
      <c r="M4115" s="370"/>
      <c r="N4115" s="372"/>
      <c r="O4115" s="372"/>
      <c r="P4115" s="373"/>
      <c r="Q4115" s="374"/>
      <c r="R4115" s="378"/>
      <c r="S4115" s="379"/>
      <c r="T4115" s="366"/>
      <c r="U4115" s="366"/>
      <c r="V4115" s="366"/>
      <c r="W4115" s="366"/>
    </row>
    <row r="4116" spans="1:23" ht="18.75" customHeight="1">
      <c r="A4116" s="1410"/>
      <c r="B4116" s="1413"/>
      <c r="C4116" s="1206" t="s">
        <v>994</v>
      </c>
      <c r="D4116" s="875" t="str">
        <f>B4105&amp;C4116</f>
        <v>B5m</v>
      </c>
      <c r="E4116" s="367">
        <v>11</v>
      </c>
      <c r="F4116" s="370"/>
      <c r="G4116" s="368"/>
      <c r="H4116" s="368"/>
      <c r="I4116" s="368"/>
      <c r="J4116" s="368"/>
      <c r="K4116" s="370"/>
      <c r="L4116" s="370"/>
      <c r="M4116" s="370"/>
      <c r="N4116" s="372"/>
      <c r="O4116" s="372"/>
      <c r="P4116" s="380"/>
      <c r="Q4116" s="374"/>
      <c r="R4116" s="381"/>
      <c r="S4116" s="379"/>
      <c r="T4116" s="366"/>
      <c r="U4116" s="366"/>
      <c r="V4116" s="366"/>
      <c r="W4116" s="366"/>
    </row>
    <row r="4117" spans="1:23" ht="18.75" customHeight="1">
      <c r="A4117" s="1410"/>
      <c r="B4117" s="1413"/>
      <c r="C4117" s="1206" t="s">
        <v>995</v>
      </c>
      <c r="D4117" s="875" t="str">
        <f>B4105&amp;C4117</f>
        <v>B5n</v>
      </c>
      <c r="E4117" s="367">
        <v>12</v>
      </c>
      <c r="F4117" s="370"/>
      <c r="G4117" s="368"/>
      <c r="H4117" s="368"/>
      <c r="I4117" s="368"/>
      <c r="J4117" s="368"/>
      <c r="K4117" s="370"/>
      <c r="L4117" s="370"/>
      <c r="M4117" s="370"/>
      <c r="N4117" s="372"/>
      <c r="O4117" s="372"/>
      <c r="P4117" s="380"/>
      <c r="Q4117" s="374"/>
      <c r="R4117" s="381"/>
      <c r="S4117" s="361"/>
      <c r="T4117" s="361"/>
      <c r="U4117" s="361"/>
      <c r="V4117" s="366"/>
      <c r="W4117" s="366"/>
    </row>
    <row r="4118" spans="1:23" ht="18.75" customHeight="1">
      <c r="A4118" s="1410"/>
      <c r="B4118" s="1413"/>
      <c r="C4118" s="1206" t="s">
        <v>471</v>
      </c>
      <c r="D4118" s="875" t="str">
        <f>B4105&amp;C4118</f>
        <v>B5x</v>
      </c>
      <c r="E4118" s="367">
        <v>13</v>
      </c>
      <c r="F4118" s="370"/>
      <c r="G4118" s="368"/>
      <c r="H4118" s="368"/>
      <c r="I4118" s="368"/>
      <c r="J4118" s="368"/>
      <c r="K4118" s="370"/>
      <c r="L4118" s="370"/>
      <c r="M4118" s="370"/>
      <c r="N4118" s="382"/>
      <c r="O4118" s="372"/>
      <c r="P4118" s="380"/>
      <c r="Q4118" s="381"/>
      <c r="R4118" s="381"/>
      <c r="S4118" s="361"/>
      <c r="T4118" s="361"/>
      <c r="U4118" s="361"/>
      <c r="V4118" s="366"/>
      <c r="W4118" s="366"/>
    </row>
    <row r="4119" spans="1:23" ht="18.75" customHeight="1">
      <c r="A4119" s="1410"/>
      <c r="B4119" s="1413"/>
      <c r="C4119" s="1206" t="s">
        <v>732</v>
      </c>
      <c r="D4119" s="875" t="str">
        <f>B4105&amp;C4119</f>
        <v>B5y</v>
      </c>
      <c r="E4119" s="367">
        <v>14</v>
      </c>
      <c r="F4119" s="370"/>
      <c r="G4119" s="368"/>
      <c r="H4119" s="368"/>
      <c r="I4119" s="368"/>
      <c r="J4119" s="368"/>
      <c r="K4119" s="370"/>
      <c r="L4119" s="370"/>
      <c r="M4119" s="370"/>
      <c r="N4119" s="382"/>
      <c r="O4119" s="372"/>
      <c r="P4119" s="380"/>
      <c r="Q4119" s="381"/>
      <c r="R4119" s="381"/>
      <c r="S4119" s="361"/>
      <c r="T4119" s="361"/>
      <c r="U4119" s="362"/>
      <c r="V4119" s="366"/>
      <c r="W4119" s="366"/>
    </row>
    <row r="4120" spans="1:23" ht="18.75" customHeight="1">
      <c r="A4120" s="1411"/>
      <c r="B4120" s="1414"/>
      <c r="C4120" s="1207" t="s">
        <v>996</v>
      </c>
      <c r="D4120" s="876" t="str">
        <f>B4105&amp;C4120</f>
        <v>B5z</v>
      </c>
      <c r="E4120" s="847">
        <v>15</v>
      </c>
      <c r="F4120" s="370"/>
      <c r="G4120" s="368"/>
      <c r="H4120" s="368"/>
      <c r="I4120" s="368"/>
      <c r="J4120" s="368"/>
      <c r="K4120" s="370"/>
      <c r="L4120" s="370"/>
      <c r="M4120" s="370"/>
      <c r="N4120" s="850"/>
      <c r="O4120" s="851"/>
      <c r="P4120" s="380"/>
      <c r="Q4120" s="852"/>
      <c r="R4120" s="383"/>
      <c r="S4120" s="361"/>
      <c r="T4120" s="1204"/>
      <c r="U4120" s="1203"/>
      <c r="V4120" s="366"/>
      <c r="W4120" s="366"/>
    </row>
    <row r="4121" spans="1:23">
      <c r="A4121" s="1400" t="s">
        <v>939</v>
      </c>
      <c r="B4121" s="1400"/>
      <c r="C4121" s="1200"/>
      <c r="D4121" s="871"/>
      <c r="E4121" s="1400" t="s">
        <v>177</v>
      </c>
      <c r="F4121" s="1400" t="s">
        <v>18</v>
      </c>
      <c r="G4121" s="1389" t="s">
        <v>19</v>
      </c>
      <c r="H4121" s="1390"/>
      <c r="I4121" s="1389" t="s">
        <v>22</v>
      </c>
      <c r="J4121" s="1390"/>
      <c r="K4121" s="1393" t="s">
        <v>26</v>
      </c>
      <c r="L4121" s="1390"/>
      <c r="M4121" s="1389" t="s">
        <v>392</v>
      </c>
      <c r="N4121" s="1390"/>
      <c r="O4121" s="1389" t="s">
        <v>28</v>
      </c>
      <c r="P4121" s="1393"/>
      <c r="Q4121" s="1390"/>
      <c r="R4121" s="1400" t="s">
        <v>36</v>
      </c>
      <c r="S4121" s="361"/>
      <c r="T4121" s="361">
        <f>MAX(J4125:J4139)-MIN(I4125:I4139)</f>
        <v>6.25E-2</v>
      </c>
      <c r="U4121" s="361"/>
      <c r="V4121" s="853" t="str">
        <f t="shared" ref="V4121" si="522">B4125</f>
        <v>A143</v>
      </c>
      <c r="W4121" s="361">
        <f t="shared" ref="W4121" si="523">COUNTIF(K4126:K4140,"&gt;0")</f>
        <v>4</v>
      </c>
    </row>
    <row r="4122" spans="1:23">
      <c r="A4122" s="1401"/>
      <c r="B4122" s="1401"/>
      <c r="C4122" s="1202"/>
      <c r="D4122" s="872"/>
      <c r="E4122" s="1401"/>
      <c r="F4122" s="1401"/>
      <c r="G4122" s="1391"/>
      <c r="H4122" s="1392"/>
      <c r="I4122" s="1391"/>
      <c r="J4122" s="1392"/>
      <c r="K4122" s="1394"/>
      <c r="L4122" s="1392"/>
      <c r="M4122" s="1391"/>
      <c r="N4122" s="1392"/>
      <c r="O4122" s="1391"/>
      <c r="P4122" s="1394"/>
      <c r="Q4122" s="1392"/>
      <c r="R4122" s="1401"/>
      <c r="S4122" s="361"/>
      <c r="T4122" s="361"/>
      <c r="U4122" s="361"/>
      <c r="V4122" s="361"/>
      <c r="W4122" s="361"/>
    </row>
    <row r="4123" spans="1:23">
      <c r="A4123" s="1401"/>
      <c r="B4123" s="1401"/>
      <c r="C4123" s="1202"/>
      <c r="D4123" s="872"/>
      <c r="E4123" s="1401"/>
      <c r="F4123" s="1401"/>
      <c r="G4123" s="1400" t="s">
        <v>20</v>
      </c>
      <c r="H4123" s="1400" t="s">
        <v>21</v>
      </c>
      <c r="I4123" s="1400" t="s">
        <v>361</v>
      </c>
      <c r="J4123" s="1400" t="s">
        <v>353</v>
      </c>
      <c r="K4123" s="1400" t="s">
        <v>23</v>
      </c>
      <c r="L4123" s="1400" t="s">
        <v>24</v>
      </c>
      <c r="M4123" s="1400" t="s">
        <v>27</v>
      </c>
      <c r="N4123" s="1400" t="s">
        <v>178</v>
      </c>
      <c r="O4123" s="1400" t="s">
        <v>1</v>
      </c>
      <c r="P4123" s="1400" t="s">
        <v>29</v>
      </c>
      <c r="Q4123" s="1400" t="s">
        <v>33</v>
      </c>
      <c r="R4123" s="1401"/>
      <c r="S4123" s="361"/>
      <c r="T4123" s="361" t="s">
        <v>39</v>
      </c>
      <c r="U4123" s="362">
        <f>VLOOKUP(B4125,'[8]Thong tin'!$A:$M,13,0)</f>
        <v>1200</v>
      </c>
      <c r="V4123" s="361"/>
      <c r="W4123" s="361"/>
    </row>
    <row r="4124" spans="1:23">
      <c r="A4124" s="1402"/>
      <c r="B4124" s="1402"/>
      <c r="C4124" s="1201"/>
      <c r="D4124" s="873"/>
      <c r="E4124" s="1402"/>
      <c r="F4124" s="1402"/>
      <c r="G4124" s="1402"/>
      <c r="H4124" s="1402"/>
      <c r="I4124" s="1402"/>
      <c r="J4124" s="1402"/>
      <c r="K4124" s="1402"/>
      <c r="L4124" s="1402"/>
      <c r="M4124" s="1402"/>
      <c r="N4124" s="1402"/>
      <c r="O4124" s="1402"/>
      <c r="P4124" s="1402"/>
      <c r="Q4124" s="1402"/>
      <c r="R4124" s="1402"/>
      <c r="S4124" s="361"/>
      <c r="T4124" s="1399" t="s">
        <v>393</v>
      </c>
      <c r="U4124" s="1397">
        <f>VLOOKUP(B4125,[8]DT.NK!$B:$AZ,45,0)</f>
        <v>41.66</v>
      </c>
      <c r="V4124" s="361"/>
      <c r="W4124" s="361"/>
    </row>
    <row r="4125" spans="1:23" ht="18.75" customHeight="1">
      <c r="A4125" s="1409">
        <f>A4105+1</f>
        <v>207</v>
      </c>
      <c r="B4125" s="1412" t="s">
        <v>527</v>
      </c>
      <c r="C4125" s="1205" t="s">
        <v>983</v>
      </c>
      <c r="D4125" s="874" t="str">
        <f>B4125&amp;C4125</f>
        <v>A143a</v>
      </c>
      <c r="E4125" s="363"/>
      <c r="F4125" s="364"/>
      <c r="G4125" s="364"/>
      <c r="H4125" s="364"/>
      <c r="I4125" s="364"/>
      <c r="J4125" s="364"/>
      <c r="K4125" s="364"/>
      <c r="L4125" s="364"/>
      <c r="M4125" s="674"/>
      <c r="N4125" s="670"/>
      <c r="O4125" s="670">
        <f>U4124</f>
        <v>41.66</v>
      </c>
      <c r="P4125" s="670">
        <f>O4125</f>
        <v>41.66</v>
      </c>
      <c r="Q4125" s="670">
        <v>0</v>
      </c>
      <c r="R4125" s="365"/>
      <c r="S4125" s="366"/>
      <c r="T4125" s="1399"/>
      <c r="U4125" s="1398"/>
      <c r="V4125" s="361"/>
      <c r="W4125" s="361"/>
    </row>
    <row r="4126" spans="1:23" ht="18.75" customHeight="1">
      <c r="A4126" s="1410"/>
      <c r="B4126" s="1413"/>
      <c r="C4126" s="1206" t="s">
        <v>984</v>
      </c>
      <c r="D4126" s="875" t="str">
        <f>B4125&amp;C4126</f>
        <v>A143b</v>
      </c>
      <c r="E4126" s="367">
        <v>1</v>
      </c>
      <c r="F4126" s="669" t="s">
        <v>1019</v>
      </c>
      <c r="G4126" s="369">
        <v>0.39861111111111108</v>
      </c>
      <c r="H4126" s="368">
        <v>0.4236111111111111</v>
      </c>
      <c r="I4126" s="368">
        <v>0.4375</v>
      </c>
      <c r="J4126" s="368">
        <v>0.44097222222222227</v>
      </c>
      <c r="K4126" s="669">
        <v>11</v>
      </c>
      <c r="L4126" s="669">
        <v>19.5</v>
      </c>
      <c r="M4126" s="675">
        <v>36.799999999999997</v>
      </c>
      <c r="N4126" s="671">
        <f>IF(M4126-P4126&gt;0,M4126-P4126,0)</f>
        <v>3.1999999999999957</v>
      </c>
      <c r="O4126" s="671">
        <f>O4125-K4126/(PI()*(U4123/2000)^2)</f>
        <v>31.933864588828612</v>
      </c>
      <c r="P4126" s="672">
        <v>33.6</v>
      </c>
      <c r="Q4126" s="673">
        <f>ABS(O4126-P4126)</f>
        <v>1.6661354111713891</v>
      </c>
      <c r="R4126" s="375" t="s">
        <v>188</v>
      </c>
      <c r="S4126" s="366"/>
      <c r="T4126" s="376"/>
      <c r="U4126" s="376"/>
      <c r="V4126" s="366"/>
      <c r="W4126" s="366"/>
    </row>
    <row r="4127" spans="1:23" ht="18.75" customHeight="1">
      <c r="A4127" s="1410"/>
      <c r="B4127" s="1413"/>
      <c r="C4127" s="1206" t="s">
        <v>985</v>
      </c>
      <c r="D4127" s="875" t="str">
        <f>B4125&amp;C4127</f>
        <v>A143c</v>
      </c>
      <c r="E4127" s="367">
        <v>2</v>
      </c>
      <c r="F4127" s="669" t="s">
        <v>1160</v>
      </c>
      <c r="G4127" s="368">
        <v>0.40833333333333338</v>
      </c>
      <c r="H4127" s="368">
        <v>0.4375</v>
      </c>
      <c r="I4127" s="368">
        <v>0.46875</v>
      </c>
      <c r="J4127" s="368">
        <v>0.47222222222222227</v>
      </c>
      <c r="K4127" s="370">
        <v>11</v>
      </c>
      <c r="L4127" s="370">
        <v>19.5</v>
      </c>
      <c r="M4127" s="371">
        <v>27.35</v>
      </c>
      <c r="N4127" s="671"/>
      <c r="O4127" s="671"/>
      <c r="P4127" s="373">
        <v>24.84</v>
      </c>
      <c r="Q4127" s="673"/>
      <c r="R4127" s="958" t="s">
        <v>188</v>
      </c>
      <c r="S4127" s="366"/>
      <c r="T4127" s="376"/>
      <c r="U4127" s="376"/>
      <c r="V4127" s="366"/>
      <c r="W4127" s="366"/>
    </row>
    <row r="4128" spans="1:23" ht="18.75" customHeight="1">
      <c r="A4128" s="1410"/>
      <c r="B4128" s="1413"/>
      <c r="C4128" s="1206" t="s">
        <v>986</v>
      </c>
      <c r="D4128" s="875" t="str">
        <f>B4125&amp;C4128</f>
        <v>A143d</v>
      </c>
      <c r="E4128" s="367">
        <v>3</v>
      </c>
      <c r="F4128" s="370" t="s">
        <v>1159</v>
      </c>
      <c r="G4128" s="368">
        <v>0.41666666666666669</v>
      </c>
      <c r="H4128" s="368">
        <v>0.4548611111111111</v>
      </c>
      <c r="I4128" s="368">
        <v>0.47916666666666669</v>
      </c>
      <c r="J4128" s="368">
        <v>0.4826388888888889</v>
      </c>
      <c r="K4128" s="370">
        <v>11</v>
      </c>
      <c r="L4128" s="370">
        <v>20</v>
      </c>
      <c r="M4128" s="371">
        <v>17.899999999999999</v>
      </c>
      <c r="N4128" s="671"/>
      <c r="O4128" s="671"/>
      <c r="P4128" s="373">
        <v>15.21</v>
      </c>
      <c r="Q4128" s="673"/>
      <c r="R4128" s="958" t="s">
        <v>188</v>
      </c>
      <c r="S4128" s="366"/>
      <c r="T4128" s="376"/>
      <c r="U4128" s="376"/>
      <c r="V4128" s="366"/>
      <c r="W4128" s="366"/>
    </row>
    <row r="4129" spans="1:23" ht="18.75" customHeight="1">
      <c r="A4129" s="1410"/>
      <c r="B4129" s="1413"/>
      <c r="C4129" s="1206" t="s">
        <v>987</v>
      </c>
      <c r="D4129" s="875" t="str">
        <f>B4125&amp;C4129</f>
        <v>A143e</v>
      </c>
      <c r="E4129" s="367">
        <v>4</v>
      </c>
      <c r="F4129" s="669" t="s">
        <v>1019</v>
      </c>
      <c r="G4129" s="368">
        <v>0.43402777777777773</v>
      </c>
      <c r="H4129" s="368">
        <v>0.47916666666666669</v>
      </c>
      <c r="I4129" s="368">
        <v>0.49652777777777773</v>
      </c>
      <c r="J4129" s="368">
        <v>0.5</v>
      </c>
      <c r="K4129" s="370">
        <v>10</v>
      </c>
      <c r="L4129" s="370">
        <v>18</v>
      </c>
      <c r="M4129" s="371"/>
      <c r="N4129" s="671"/>
      <c r="O4129" s="671"/>
      <c r="P4129" s="373">
        <v>6.7</v>
      </c>
      <c r="Q4129" s="673"/>
      <c r="R4129" s="958"/>
      <c r="S4129" s="366"/>
      <c r="T4129" s="376"/>
      <c r="U4129" s="376"/>
      <c r="V4129" s="366"/>
      <c r="W4129" s="366"/>
    </row>
    <row r="4130" spans="1:23" ht="18.75" customHeight="1">
      <c r="A4130" s="1410"/>
      <c r="B4130" s="1413"/>
      <c r="C4130" s="1206" t="s">
        <v>988</v>
      </c>
      <c r="D4130" s="875" t="str">
        <f>B4125&amp;C4130</f>
        <v>A143f</v>
      </c>
      <c r="E4130" s="367">
        <v>5</v>
      </c>
      <c r="F4130" s="370"/>
      <c r="G4130" s="368"/>
      <c r="H4130" s="368"/>
      <c r="I4130" s="368"/>
      <c r="J4130" s="368"/>
      <c r="K4130" s="370"/>
      <c r="L4130" s="370"/>
      <c r="M4130" s="371"/>
      <c r="N4130" s="671"/>
      <c r="O4130" s="671"/>
      <c r="P4130" s="373"/>
      <c r="Q4130" s="673"/>
      <c r="R4130" s="958"/>
      <c r="S4130" s="366" t="s">
        <v>190</v>
      </c>
      <c r="T4130" s="376"/>
      <c r="U4130" s="376"/>
      <c r="V4130" s="366"/>
      <c r="W4130" s="366"/>
    </row>
    <row r="4131" spans="1:23" ht="18.75" customHeight="1">
      <c r="A4131" s="1410"/>
      <c r="B4131" s="1413"/>
      <c r="C4131" s="1206" t="s">
        <v>989</v>
      </c>
      <c r="D4131" s="875" t="str">
        <f>B4125&amp;C4131</f>
        <v>A143g</v>
      </c>
      <c r="E4131" s="367">
        <v>6</v>
      </c>
      <c r="F4131" s="370"/>
      <c r="G4131" s="368"/>
      <c r="H4131" s="368"/>
      <c r="I4131" s="368"/>
      <c r="J4131" s="368"/>
      <c r="K4131" s="370"/>
      <c r="L4131" s="370"/>
      <c r="M4131" s="371"/>
      <c r="N4131" s="671"/>
      <c r="O4131" s="671"/>
      <c r="P4131" s="373"/>
      <c r="Q4131" s="673"/>
      <c r="R4131" s="958"/>
      <c r="S4131" s="366" t="s">
        <v>190</v>
      </c>
      <c r="T4131" s="366"/>
      <c r="U4131" s="366"/>
      <c r="V4131" s="366"/>
      <c r="W4131" s="366"/>
    </row>
    <row r="4132" spans="1:23" ht="18.75" customHeight="1">
      <c r="A4132" s="1410"/>
      <c r="B4132" s="1413"/>
      <c r="C4132" s="1206" t="s">
        <v>990</v>
      </c>
      <c r="D4132" s="875" t="str">
        <f>B4125&amp;C4132</f>
        <v>A143h</v>
      </c>
      <c r="E4132" s="367">
        <v>7</v>
      </c>
      <c r="F4132" s="370"/>
      <c r="G4132" s="368"/>
      <c r="H4132" s="368"/>
      <c r="I4132" s="368"/>
      <c r="J4132" s="368"/>
      <c r="K4132" s="370"/>
      <c r="L4132" s="370"/>
      <c r="M4132" s="371"/>
      <c r="N4132" s="671"/>
      <c r="O4132" s="671"/>
      <c r="P4132" s="373"/>
      <c r="Q4132" s="673"/>
      <c r="R4132" s="958"/>
      <c r="S4132" s="366" t="s">
        <v>190</v>
      </c>
      <c r="T4132" s="366"/>
      <c r="U4132" s="366"/>
      <c r="V4132" s="366"/>
      <c r="W4132" s="366"/>
    </row>
    <row r="4133" spans="1:23" ht="18.75" customHeight="1">
      <c r="A4133" s="1410"/>
      <c r="B4133" s="1413"/>
      <c r="C4133" s="1206" t="s">
        <v>991</v>
      </c>
      <c r="D4133" s="875" t="str">
        <f>B4125&amp;C4133</f>
        <v>A143i</v>
      </c>
      <c r="E4133" s="367">
        <v>8</v>
      </c>
      <c r="F4133" s="370"/>
      <c r="G4133" s="368"/>
      <c r="H4133" s="368"/>
      <c r="I4133" s="368"/>
      <c r="J4133" s="368"/>
      <c r="K4133" s="370"/>
      <c r="L4133" s="370"/>
      <c r="M4133" s="371"/>
      <c r="N4133" s="671"/>
      <c r="O4133" s="671"/>
      <c r="P4133" s="373"/>
      <c r="Q4133" s="673"/>
      <c r="R4133" s="958"/>
      <c r="S4133" s="366"/>
      <c r="T4133" s="366"/>
      <c r="U4133" s="366"/>
      <c r="V4133" s="366"/>
      <c r="W4133" s="366"/>
    </row>
    <row r="4134" spans="1:23" ht="18.75" customHeight="1">
      <c r="A4134" s="1410"/>
      <c r="B4134" s="1413"/>
      <c r="C4134" s="1206" t="s">
        <v>992</v>
      </c>
      <c r="D4134" s="875" t="str">
        <f>B4125&amp;C4134</f>
        <v>A143k</v>
      </c>
      <c r="E4134" s="367">
        <v>9</v>
      </c>
      <c r="F4134" s="370"/>
      <c r="G4134" s="368"/>
      <c r="H4134" s="368"/>
      <c r="I4134" s="368"/>
      <c r="J4134" s="368"/>
      <c r="K4134" s="370"/>
      <c r="L4134" s="370"/>
      <c r="M4134" s="371"/>
      <c r="N4134" s="372"/>
      <c r="O4134" s="372"/>
      <c r="P4134" s="373"/>
      <c r="Q4134" s="374"/>
      <c r="R4134" s="378"/>
      <c r="S4134" s="379"/>
      <c r="T4134" s="366"/>
      <c r="U4134" s="366"/>
      <c r="V4134" s="366"/>
      <c r="W4134" s="366"/>
    </row>
    <row r="4135" spans="1:23" ht="18.75" customHeight="1">
      <c r="A4135" s="1410"/>
      <c r="B4135" s="1413"/>
      <c r="C4135" s="1206" t="s">
        <v>993</v>
      </c>
      <c r="D4135" s="875" t="str">
        <f>B4125&amp;C4135</f>
        <v>A143l</v>
      </c>
      <c r="E4135" s="367">
        <v>10</v>
      </c>
      <c r="F4135" s="370"/>
      <c r="G4135" s="368"/>
      <c r="H4135" s="368"/>
      <c r="I4135" s="368"/>
      <c r="J4135" s="368"/>
      <c r="K4135" s="370"/>
      <c r="L4135" s="370"/>
      <c r="M4135" s="370"/>
      <c r="N4135" s="372"/>
      <c r="O4135" s="372"/>
      <c r="P4135" s="373"/>
      <c r="Q4135" s="374"/>
      <c r="R4135" s="378"/>
      <c r="S4135" s="379"/>
      <c r="T4135" s="366"/>
      <c r="U4135" s="366"/>
      <c r="V4135" s="366"/>
      <c r="W4135" s="366"/>
    </row>
    <row r="4136" spans="1:23" ht="18.75" customHeight="1">
      <c r="A4136" s="1410"/>
      <c r="B4136" s="1413"/>
      <c r="C4136" s="1206" t="s">
        <v>994</v>
      </c>
      <c r="D4136" s="875" t="str">
        <f>B4125&amp;C4136</f>
        <v>A143m</v>
      </c>
      <c r="E4136" s="367">
        <v>11</v>
      </c>
      <c r="F4136" s="370"/>
      <c r="G4136" s="368"/>
      <c r="H4136" s="368"/>
      <c r="I4136" s="368"/>
      <c r="J4136" s="368"/>
      <c r="K4136" s="370"/>
      <c r="L4136" s="370"/>
      <c r="M4136" s="370"/>
      <c r="N4136" s="372"/>
      <c r="O4136" s="372"/>
      <c r="P4136" s="380"/>
      <c r="Q4136" s="374"/>
      <c r="R4136" s="381"/>
      <c r="S4136" s="379"/>
      <c r="T4136" s="366"/>
      <c r="U4136" s="366"/>
      <c r="V4136" s="366"/>
      <c r="W4136" s="366"/>
    </row>
    <row r="4137" spans="1:23" ht="18.75" customHeight="1">
      <c r="A4137" s="1410"/>
      <c r="B4137" s="1413"/>
      <c r="C4137" s="1206" t="s">
        <v>995</v>
      </c>
      <c r="D4137" s="875" t="str">
        <f>B4125&amp;C4137</f>
        <v>A143n</v>
      </c>
      <c r="E4137" s="367">
        <v>12</v>
      </c>
      <c r="F4137" s="370"/>
      <c r="G4137" s="368"/>
      <c r="H4137" s="368"/>
      <c r="I4137" s="368"/>
      <c r="J4137" s="368"/>
      <c r="K4137" s="370"/>
      <c r="L4137" s="370"/>
      <c r="M4137" s="370"/>
      <c r="N4137" s="372"/>
      <c r="O4137" s="372"/>
      <c r="P4137" s="380"/>
      <c r="Q4137" s="374"/>
      <c r="R4137" s="381"/>
      <c r="S4137" s="361"/>
      <c r="T4137" s="361"/>
      <c r="U4137" s="361"/>
      <c r="V4137" s="366"/>
      <c r="W4137" s="366"/>
    </row>
    <row r="4138" spans="1:23" ht="18.75" customHeight="1">
      <c r="A4138" s="1410"/>
      <c r="B4138" s="1413"/>
      <c r="C4138" s="1206" t="s">
        <v>471</v>
      </c>
      <c r="D4138" s="875" t="str">
        <f>B4125&amp;C4138</f>
        <v>A143x</v>
      </c>
      <c r="E4138" s="367">
        <v>13</v>
      </c>
      <c r="F4138" s="370"/>
      <c r="G4138" s="368"/>
      <c r="H4138" s="368"/>
      <c r="I4138" s="368"/>
      <c r="J4138" s="368"/>
      <c r="K4138" s="370"/>
      <c r="L4138" s="370"/>
      <c r="M4138" s="370"/>
      <c r="N4138" s="382"/>
      <c r="O4138" s="372"/>
      <c r="P4138" s="380"/>
      <c r="Q4138" s="381"/>
      <c r="R4138" s="381"/>
      <c r="S4138" s="361"/>
      <c r="T4138" s="361"/>
      <c r="U4138" s="361"/>
      <c r="V4138" s="366"/>
      <c r="W4138" s="366"/>
    </row>
    <row r="4139" spans="1:23" ht="18.75" customHeight="1">
      <c r="A4139" s="1410"/>
      <c r="B4139" s="1413"/>
      <c r="C4139" s="1206" t="s">
        <v>732</v>
      </c>
      <c r="D4139" s="875" t="str">
        <f>B4125&amp;C4139</f>
        <v>A143y</v>
      </c>
      <c r="E4139" s="367">
        <v>14</v>
      </c>
      <c r="F4139" s="370"/>
      <c r="G4139" s="368"/>
      <c r="H4139" s="368"/>
      <c r="I4139" s="368"/>
      <c r="J4139" s="368"/>
      <c r="K4139" s="370"/>
      <c r="L4139" s="370"/>
      <c r="M4139" s="370"/>
      <c r="N4139" s="382"/>
      <c r="O4139" s="372"/>
      <c r="P4139" s="380"/>
      <c r="Q4139" s="381"/>
      <c r="R4139" s="381"/>
      <c r="S4139" s="361"/>
      <c r="T4139" s="361"/>
      <c r="U4139" s="362"/>
      <c r="V4139" s="366"/>
      <c r="W4139" s="366"/>
    </row>
    <row r="4140" spans="1:23" ht="18.75" customHeight="1">
      <c r="A4140" s="1411"/>
      <c r="B4140" s="1414"/>
      <c r="C4140" s="1207" t="s">
        <v>996</v>
      </c>
      <c r="D4140" s="876" t="str">
        <f>B4125&amp;C4140</f>
        <v>A143z</v>
      </c>
      <c r="E4140" s="847">
        <v>15</v>
      </c>
      <c r="F4140" s="370"/>
      <c r="G4140" s="368"/>
      <c r="H4140" s="368"/>
      <c r="I4140" s="368"/>
      <c r="J4140" s="368"/>
      <c r="K4140" s="370"/>
      <c r="L4140" s="370"/>
      <c r="M4140" s="370"/>
      <c r="N4140" s="850"/>
      <c r="O4140" s="851"/>
      <c r="P4140" s="380"/>
      <c r="Q4140" s="852"/>
      <c r="R4140" s="383"/>
      <c r="S4140" s="361"/>
      <c r="T4140" s="1204"/>
      <c r="U4140" s="1203"/>
      <c r="V4140" s="366"/>
      <c r="W4140" s="366"/>
    </row>
    <row r="4141" spans="1:23">
      <c r="A4141" s="1400" t="s">
        <v>939</v>
      </c>
      <c r="B4141" s="1400"/>
      <c r="C4141" s="1200"/>
      <c r="D4141" s="871"/>
      <c r="E4141" s="1400" t="s">
        <v>177</v>
      </c>
      <c r="F4141" s="1400" t="s">
        <v>18</v>
      </c>
      <c r="G4141" s="1389" t="s">
        <v>19</v>
      </c>
      <c r="H4141" s="1390"/>
      <c r="I4141" s="1389" t="s">
        <v>22</v>
      </c>
      <c r="J4141" s="1390"/>
      <c r="K4141" s="1393" t="s">
        <v>26</v>
      </c>
      <c r="L4141" s="1390"/>
      <c r="M4141" s="1389" t="s">
        <v>392</v>
      </c>
      <c r="N4141" s="1390"/>
      <c r="O4141" s="1389" t="s">
        <v>28</v>
      </c>
      <c r="P4141" s="1393"/>
      <c r="Q4141" s="1390"/>
      <c r="R4141" s="1400" t="s">
        <v>36</v>
      </c>
      <c r="S4141" s="361"/>
      <c r="T4141" s="361">
        <f>MAX(J4145:J4159)-MIN(I4145:I4159)</f>
        <v>1.388888888888884E-2</v>
      </c>
      <c r="U4141" s="361"/>
      <c r="V4141" s="853" t="str">
        <f t="shared" ref="V4141" si="524">B4145</f>
        <v>B4</v>
      </c>
      <c r="W4141" s="361">
        <f t="shared" ref="W4141" si="525">COUNTIF(K4146:K4160,"&gt;0")</f>
        <v>1</v>
      </c>
    </row>
    <row r="4142" spans="1:23">
      <c r="A4142" s="1401"/>
      <c r="B4142" s="1401"/>
      <c r="C4142" s="1202"/>
      <c r="D4142" s="872"/>
      <c r="E4142" s="1401"/>
      <c r="F4142" s="1401"/>
      <c r="G4142" s="1391"/>
      <c r="H4142" s="1392"/>
      <c r="I4142" s="1391"/>
      <c r="J4142" s="1392"/>
      <c r="K4142" s="1394"/>
      <c r="L4142" s="1392"/>
      <c r="M4142" s="1391"/>
      <c r="N4142" s="1392"/>
      <c r="O4142" s="1391"/>
      <c r="P4142" s="1394"/>
      <c r="Q4142" s="1392"/>
      <c r="R4142" s="1401"/>
      <c r="S4142" s="361"/>
      <c r="T4142" s="361"/>
      <c r="U4142" s="361"/>
      <c r="V4142" s="361"/>
      <c r="W4142" s="361"/>
    </row>
    <row r="4143" spans="1:23">
      <c r="A4143" s="1401"/>
      <c r="B4143" s="1401"/>
      <c r="C4143" s="1202"/>
      <c r="D4143" s="872"/>
      <c r="E4143" s="1401"/>
      <c r="F4143" s="1401"/>
      <c r="G4143" s="1400" t="s">
        <v>20</v>
      </c>
      <c r="H4143" s="1400" t="s">
        <v>21</v>
      </c>
      <c r="I4143" s="1400" t="s">
        <v>361</v>
      </c>
      <c r="J4143" s="1400" t="s">
        <v>353</v>
      </c>
      <c r="K4143" s="1400" t="s">
        <v>23</v>
      </c>
      <c r="L4143" s="1400" t="s">
        <v>24</v>
      </c>
      <c r="M4143" s="1400" t="s">
        <v>27</v>
      </c>
      <c r="N4143" s="1400" t="s">
        <v>178</v>
      </c>
      <c r="O4143" s="1400" t="s">
        <v>1</v>
      </c>
      <c r="P4143" s="1400" t="s">
        <v>29</v>
      </c>
      <c r="Q4143" s="1400" t="s">
        <v>33</v>
      </c>
      <c r="R4143" s="1401"/>
      <c r="S4143" s="361"/>
      <c r="T4143" s="361" t="s">
        <v>39</v>
      </c>
      <c r="U4143" s="362">
        <f>VLOOKUP(B4145,'[8]Thong tin'!$A:$M,13,0)</f>
        <v>800</v>
      </c>
      <c r="V4143" s="361"/>
      <c r="W4143" s="361"/>
    </row>
    <row r="4144" spans="1:23">
      <c r="A4144" s="1402"/>
      <c r="B4144" s="1402"/>
      <c r="C4144" s="1201"/>
      <c r="D4144" s="873"/>
      <c r="E4144" s="1402"/>
      <c r="F4144" s="1402"/>
      <c r="G4144" s="1402"/>
      <c r="H4144" s="1402"/>
      <c r="I4144" s="1402"/>
      <c r="J4144" s="1402"/>
      <c r="K4144" s="1402"/>
      <c r="L4144" s="1402"/>
      <c r="M4144" s="1402"/>
      <c r="N4144" s="1402"/>
      <c r="O4144" s="1402"/>
      <c r="P4144" s="1402"/>
      <c r="Q4144" s="1402"/>
      <c r="R4144" s="1402"/>
      <c r="S4144" s="361"/>
      <c r="T4144" s="1399" t="s">
        <v>393</v>
      </c>
      <c r="U4144" s="1397">
        <f>VLOOKUP(B4145,[8]DT.NK!$B:$AZ,45,0)</f>
        <v>28.71</v>
      </c>
      <c r="V4144" s="361"/>
      <c r="W4144" s="361"/>
    </row>
    <row r="4145" spans="1:23" ht="18.75" customHeight="1">
      <c r="A4145" s="1409">
        <f>A4125+1</f>
        <v>208</v>
      </c>
      <c r="B4145" s="1412" t="s">
        <v>650</v>
      </c>
      <c r="C4145" s="1205" t="s">
        <v>983</v>
      </c>
      <c r="D4145" s="874" t="str">
        <f>B4145&amp;C4145</f>
        <v>B4a</v>
      </c>
      <c r="E4145" s="363"/>
      <c r="F4145" s="364"/>
      <c r="G4145" s="364"/>
      <c r="H4145" s="364"/>
      <c r="I4145" s="364"/>
      <c r="J4145" s="364"/>
      <c r="K4145" s="364"/>
      <c r="L4145" s="364"/>
      <c r="M4145" s="674"/>
      <c r="N4145" s="670"/>
      <c r="O4145" s="670">
        <f>U4144</f>
        <v>28.71</v>
      </c>
      <c r="P4145" s="670">
        <f>O4145</f>
        <v>28.71</v>
      </c>
      <c r="Q4145" s="670">
        <v>0</v>
      </c>
      <c r="R4145" s="365"/>
      <c r="S4145" s="366"/>
      <c r="T4145" s="1399"/>
      <c r="U4145" s="1398"/>
      <c r="V4145" s="361"/>
      <c r="W4145" s="361"/>
    </row>
    <row r="4146" spans="1:23" ht="18.75" customHeight="1">
      <c r="A4146" s="1410"/>
      <c r="B4146" s="1413"/>
      <c r="C4146" s="1206" t="s">
        <v>984</v>
      </c>
      <c r="D4146" s="875" t="str">
        <f>B4145&amp;C4146</f>
        <v>B4b</v>
      </c>
      <c r="E4146" s="367">
        <v>1</v>
      </c>
      <c r="F4146" s="669" t="s">
        <v>1159</v>
      </c>
      <c r="G4146" s="369">
        <v>0.89930555555555547</v>
      </c>
      <c r="H4146" s="368">
        <v>0.93402777777777779</v>
      </c>
      <c r="I4146" s="368">
        <v>0.94444444444444453</v>
      </c>
      <c r="J4146" s="368">
        <v>0.95833333333333337</v>
      </c>
      <c r="K4146" s="669">
        <v>14</v>
      </c>
      <c r="L4146" s="669">
        <v>19</v>
      </c>
      <c r="M4146" s="675">
        <v>28.35</v>
      </c>
      <c r="N4146" s="671">
        <f>IF(M4146-P4146&gt;0,M4146-P4146,0)</f>
        <v>20.75</v>
      </c>
      <c r="O4146" s="671">
        <f>O4145-K4146/(PI()*(U4143/2000)^2)</f>
        <v>0.85788495891831928</v>
      </c>
      <c r="P4146" s="672">
        <v>7.6</v>
      </c>
      <c r="Q4146" s="673">
        <f>ABS(O4146-P4146)</f>
        <v>6.7421150410816804</v>
      </c>
      <c r="R4146" s="375" t="s">
        <v>188</v>
      </c>
      <c r="S4146" s="366"/>
      <c r="T4146" s="376"/>
      <c r="U4146" s="376"/>
      <c r="V4146" s="366"/>
      <c r="W4146" s="366"/>
    </row>
    <row r="4147" spans="1:23" ht="18.75" customHeight="1">
      <c r="A4147" s="1410"/>
      <c r="B4147" s="1413"/>
      <c r="C4147" s="1206" t="s">
        <v>985</v>
      </c>
      <c r="D4147" s="875" t="str">
        <f>B4145&amp;C4147</f>
        <v>B4c</v>
      </c>
      <c r="E4147" s="367">
        <v>2</v>
      </c>
      <c r="F4147" s="370"/>
      <c r="G4147" s="368"/>
      <c r="H4147" s="368"/>
      <c r="I4147" s="368"/>
      <c r="J4147" s="368"/>
      <c r="K4147" s="370"/>
      <c r="L4147" s="370"/>
      <c r="M4147" s="371"/>
      <c r="N4147" s="671"/>
      <c r="O4147" s="671"/>
      <c r="P4147" s="373"/>
      <c r="Q4147" s="673"/>
      <c r="R4147" s="958"/>
      <c r="S4147" s="366"/>
      <c r="T4147" s="376"/>
      <c r="U4147" s="376"/>
      <c r="V4147" s="366"/>
      <c r="W4147" s="366"/>
    </row>
    <row r="4148" spans="1:23" ht="18.75" customHeight="1">
      <c r="A4148" s="1410"/>
      <c r="B4148" s="1413"/>
      <c r="C4148" s="1206" t="s">
        <v>986</v>
      </c>
      <c r="D4148" s="875" t="str">
        <f>B4145&amp;C4148</f>
        <v>B4d</v>
      </c>
      <c r="E4148" s="367">
        <v>3</v>
      </c>
      <c r="F4148" s="370"/>
      <c r="G4148" s="368"/>
      <c r="H4148" s="368"/>
      <c r="I4148" s="368"/>
      <c r="J4148" s="368"/>
      <c r="K4148" s="370"/>
      <c r="L4148" s="370"/>
      <c r="M4148" s="371"/>
      <c r="N4148" s="671"/>
      <c r="O4148" s="671"/>
      <c r="P4148" s="373"/>
      <c r="Q4148" s="673"/>
      <c r="R4148" s="958"/>
      <c r="S4148" s="366"/>
      <c r="T4148" s="376"/>
      <c r="U4148" s="376"/>
      <c r="V4148" s="366"/>
      <c r="W4148" s="366"/>
    </row>
    <row r="4149" spans="1:23" ht="18.75" customHeight="1">
      <c r="A4149" s="1410"/>
      <c r="B4149" s="1413"/>
      <c r="C4149" s="1206" t="s">
        <v>987</v>
      </c>
      <c r="D4149" s="875" t="str">
        <f>B4145&amp;C4149</f>
        <v>B4e</v>
      </c>
      <c r="E4149" s="367">
        <v>4</v>
      </c>
      <c r="F4149" s="370"/>
      <c r="G4149" s="368"/>
      <c r="H4149" s="368"/>
      <c r="I4149" s="368"/>
      <c r="J4149" s="368"/>
      <c r="K4149" s="370"/>
      <c r="L4149" s="370"/>
      <c r="M4149" s="371"/>
      <c r="N4149" s="671"/>
      <c r="O4149" s="671"/>
      <c r="P4149" s="373"/>
      <c r="Q4149" s="673"/>
      <c r="R4149" s="958"/>
      <c r="S4149" s="366"/>
      <c r="T4149" s="376"/>
      <c r="U4149" s="376"/>
      <c r="V4149" s="366"/>
      <c r="W4149" s="366"/>
    </row>
    <row r="4150" spans="1:23" ht="18.75" customHeight="1">
      <c r="A4150" s="1410"/>
      <c r="B4150" s="1413"/>
      <c r="C4150" s="1206" t="s">
        <v>988</v>
      </c>
      <c r="D4150" s="875" t="str">
        <f>B4145&amp;C4150</f>
        <v>B4f</v>
      </c>
      <c r="E4150" s="367">
        <v>5</v>
      </c>
      <c r="F4150" s="370"/>
      <c r="G4150" s="368"/>
      <c r="H4150" s="368"/>
      <c r="I4150" s="368"/>
      <c r="J4150" s="368"/>
      <c r="K4150" s="370"/>
      <c r="L4150" s="370"/>
      <c r="M4150" s="371"/>
      <c r="N4150" s="671"/>
      <c r="O4150" s="671"/>
      <c r="P4150" s="373"/>
      <c r="Q4150" s="673"/>
      <c r="R4150" s="958"/>
      <c r="S4150" s="366" t="s">
        <v>190</v>
      </c>
      <c r="T4150" s="376"/>
      <c r="U4150" s="376"/>
      <c r="V4150" s="366"/>
      <c r="W4150" s="366"/>
    </row>
    <row r="4151" spans="1:23" ht="18.75" customHeight="1">
      <c r="A4151" s="1410"/>
      <c r="B4151" s="1413"/>
      <c r="C4151" s="1206" t="s">
        <v>989</v>
      </c>
      <c r="D4151" s="875" t="str">
        <f>B4145&amp;C4151</f>
        <v>B4g</v>
      </c>
      <c r="E4151" s="367">
        <v>6</v>
      </c>
      <c r="F4151" s="370"/>
      <c r="G4151" s="368"/>
      <c r="H4151" s="368"/>
      <c r="I4151" s="368"/>
      <c r="J4151" s="368"/>
      <c r="K4151" s="370"/>
      <c r="L4151" s="370"/>
      <c r="M4151" s="371"/>
      <c r="N4151" s="671"/>
      <c r="O4151" s="671"/>
      <c r="P4151" s="373"/>
      <c r="Q4151" s="673"/>
      <c r="R4151" s="958"/>
      <c r="S4151" s="366" t="s">
        <v>190</v>
      </c>
      <c r="T4151" s="366"/>
      <c r="U4151" s="366"/>
      <c r="V4151" s="366"/>
      <c r="W4151" s="366"/>
    </row>
    <row r="4152" spans="1:23" ht="18.75" customHeight="1">
      <c r="A4152" s="1410"/>
      <c r="B4152" s="1413"/>
      <c r="C4152" s="1206" t="s">
        <v>990</v>
      </c>
      <c r="D4152" s="875" t="str">
        <f>B4145&amp;C4152</f>
        <v>B4h</v>
      </c>
      <c r="E4152" s="367">
        <v>7</v>
      </c>
      <c r="F4152" s="370"/>
      <c r="G4152" s="368"/>
      <c r="H4152" s="368"/>
      <c r="I4152" s="368"/>
      <c r="J4152" s="368"/>
      <c r="K4152" s="370"/>
      <c r="L4152" s="370"/>
      <c r="M4152" s="371"/>
      <c r="N4152" s="671"/>
      <c r="O4152" s="671"/>
      <c r="P4152" s="373"/>
      <c r="Q4152" s="673"/>
      <c r="R4152" s="958"/>
      <c r="S4152" s="366" t="s">
        <v>190</v>
      </c>
      <c r="T4152" s="366"/>
      <c r="U4152" s="366"/>
      <c r="V4152" s="366"/>
      <c r="W4152" s="366"/>
    </row>
    <row r="4153" spans="1:23" ht="18.75" customHeight="1">
      <c r="A4153" s="1410"/>
      <c r="B4153" s="1413"/>
      <c r="C4153" s="1206" t="s">
        <v>991</v>
      </c>
      <c r="D4153" s="875" t="str">
        <f>B4145&amp;C4153</f>
        <v>B4i</v>
      </c>
      <c r="E4153" s="367">
        <v>8</v>
      </c>
      <c r="F4153" s="370"/>
      <c r="G4153" s="368"/>
      <c r="H4153" s="368"/>
      <c r="I4153" s="368"/>
      <c r="J4153" s="368"/>
      <c r="K4153" s="370"/>
      <c r="L4153" s="370"/>
      <c r="M4153" s="371"/>
      <c r="N4153" s="671"/>
      <c r="O4153" s="671"/>
      <c r="P4153" s="373"/>
      <c r="Q4153" s="673"/>
      <c r="R4153" s="958"/>
      <c r="S4153" s="366"/>
      <c r="T4153" s="366"/>
      <c r="U4153" s="366"/>
      <c r="V4153" s="366"/>
      <c r="W4153" s="366"/>
    </row>
    <row r="4154" spans="1:23" ht="18.75" customHeight="1">
      <c r="A4154" s="1410"/>
      <c r="B4154" s="1413"/>
      <c r="C4154" s="1206" t="s">
        <v>992</v>
      </c>
      <c r="D4154" s="875" t="str">
        <f>B4145&amp;C4154</f>
        <v>B4k</v>
      </c>
      <c r="E4154" s="367">
        <v>9</v>
      </c>
      <c r="F4154" s="370"/>
      <c r="G4154" s="368"/>
      <c r="H4154" s="368"/>
      <c r="I4154" s="368"/>
      <c r="J4154" s="368"/>
      <c r="K4154" s="370"/>
      <c r="L4154" s="370"/>
      <c r="M4154" s="371"/>
      <c r="N4154" s="372"/>
      <c r="O4154" s="372"/>
      <c r="P4154" s="373"/>
      <c r="Q4154" s="374"/>
      <c r="R4154" s="378"/>
      <c r="S4154" s="379"/>
      <c r="T4154" s="366"/>
      <c r="U4154" s="366"/>
      <c r="V4154" s="366"/>
      <c r="W4154" s="366"/>
    </row>
    <row r="4155" spans="1:23" ht="18.75" customHeight="1">
      <c r="A4155" s="1410"/>
      <c r="B4155" s="1413"/>
      <c r="C4155" s="1206" t="s">
        <v>993</v>
      </c>
      <c r="D4155" s="875" t="str">
        <f>B4145&amp;C4155</f>
        <v>B4l</v>
      </c>
      <c r="E4155" s="367">
        <v>10</v>
      </c>
      <c r="F4155" s="370"/>
      <c r="G4155" s="368"/>
      <c r="H4155" s="368"/>
      <c r="I4155" s="368"/>
      <c r="J4155" s="368"/>
      <c r="K4155" s="370"/>
      <c r="L4155" s="370"/>
      <c r="M4155" s="370"/>
      <c r="N4155" s="372"/>
      <c r="O4155" s="372"/>
      <c r="P4155" s="373"/>
      <c r="Q4155" s="374"/>
      <c r="R4155" s="378"/>
      <c r="S4155" s="379"/>
      <c r="T4155" s="366"/>
      <c r="U4155" s="366"/>
      <c r="V4155" s="366"/>
      <c r="W4155" s="366"/>
    </row>
    <row r="4156" spans="1:23" ht="18.75" customHeight="1">
      <c r="A4156" s="1410"/>
      <c r="B4156" s="1413"/>
      <c r="C4156" s="1206" t="s">
        <v>994</v>
      </c>
      <c r="D4156" s="875" t="str">
        <f>B4145&amp;C4156</f>
        <v>B4m</v>
      </c>
      <c r="E4156" s="367">
        <v>11</v>
      </c>
      <c r="F4156" s="370"/>
      <c r="G4156" s="368"/>
      <c r="H4156" s="368"/>
      <c r="I4156" s="368"/>
      <c r="J4156" s="368"/>
      <c r="K4156" s="370"/>
      <c r="L4156" s="370"/>
      <c r="M4156" s="370"/>
      <c r="N4156" s="372"/>
      <c r="O4156" s="372"/>
      <c r="P4156" s="380"/>
      <c r="Q4156" s="374"/>
      <c r="R4156" s="381"/>
      <c r="S4156" s="379"/>
      <c r="T4156" s="366"/>
      <c r="U4156" s="366"/>
      <c r="V4156" s="366"/>
      <c r="W4156" s="366"/>
    </row>
    <row r="4157" spans="1:23" ht="18.75" customHeight="1">
      <c r="A4157" s="1410"/>
      <c r="B4157" s="1413"/>
      <c r="C4157" s="1206" t="s">
        <v>995</v>
      </c>
      <c r="D4157" s="875" t="str">
        <f>B4145&amp;C4157</f>
        <v>B4n</v>
      </c>
      <c r="E4157" s="367">
        <v>12</v>
      </c>
      <c r="F4157" s="370"/>
      <c r="G4157" s="368"/>
      <c r="H4157" s="368"/>
      <c r="I4157" s="368"/>
      <c r="J4157" s="368"/>
      <c r="K4157" s="370"/>
      <c r="L4157" s="370"/>
      <c r="M4157" s="370"/>
      <c r="N4157" s="372"/>
      <c r="O4157" s="372"/>
      <c r="P4157" s="380"/>
      <c r="Q4157" s="374"/>
      <c r="R4157" s="381"/>
      <c r="S4157" s="361"/>
      <c r="T4157" s="361"/>
      <c r="U4157" s="361"/>
      <c r="V4157" s="366"/>
      <c r="W4157" s="366"/>
    </row>
    <row r="4158" spans="1:23" ht="18.75" customHeight="1">
      <c r="A4158" s="1410"/>
      <c r="B4158" s="1413"/>
      <c r="C4158" s="1206" t="s">
        <v>471</v>
      </c>
      <c r="D4158" s="875" t="str">
        <f>B4145&amp;C4158</f>
        <v>B4x</v>
      </c>
      <c r="E4158" s="367">
        <v>13</v>
      </c>
      <c r="F4158" s="370"/>
      <c r="G4158" s="368"/>
      <c r="H4158" s="368"/>
      <c r="I4158" s="368"/>
      <c r="J4158" s="368"/>
      <c r="K4158" s="370"/>
      <c r="L4158" s="370"/>
      <c r="M4158" s="370"/>
      <c r="N4158" s="382"/>
      <c r="O4158" s="372"/>
      <c r="P4158" s="380"/>
      <c r="Q4158" s="381"/>
      <c r="R4158" s="381"/>
      <c r="S4158" s="361"/>
      <c r="T4158" s="361"/>
      <c r="U4158" s="361"/>
      <c r="V4158" s="366"/>
      <c r="W4158" s="366"/>
    </row>
    <row r="4159" spans="1:23" ht="18.75" customHeight="1">
      <c r="A4159" s="1410"/>
      <c r="B4159" s="1413"/>
      <c r="C4159" s="1206" t="s">
        <v>732</v>
      </c>
      <c r="D4159" s="875" t="str">
        <f>B4145&amp;C4159</f>
        <v>B4y</v>
      </c>
      <c r="E4159" s="367">
        <v>14</v>
      </c>
      <c r="F4159" s="370"/>
      <c r="G4159" s="368"/>
      <c r="H4159" s="368"/>
      <c r="I4159" s="368"/>
      <c r="J4159" s="368"/>
      <c r="K4159" s="370"/>
      <c r="L4159" s="370"/>
      <c r="M4159" s="370"/>
      <c r="N4159" s="382"/>
      <c r="O4159" s="372"/>
      <c r="P4159" s="380"/>
      <c r="Q4159" s="381"/>
      <c r="R4159" s="381"/>
      <c r="S4159" s="361"/>
      <c r="T4159" s="361"/>
      <c r="U4159" s="362"/>
      <c r="V4159" s="366"/>
      <c r="W4159" s="366"/>
    </row>
    <row r="4160" spans="1:23" ht="17.25" customHeight="1">
      <c r="A4160" s="1411"/>
      <c r="B4160" s="1414"/>
      <c r="C4160" s="1207" t="s">
        <v>996</v>
      </c>
      <c r="D4160" s="876" t="str">
        <f>B4145&amp;C4160</f>
        <v>B4z</v>
      </c>
      <c r="E4160" s="847">
        <v>15</v>
      </c>
      <c r="F4160" s="370"/>
      <c r="G4160" s="368"/>
      <c r="H4160" s="368"/>
      <c r="I4160" s="368"/>
      <c r="J4160" s="368"/>
      <c r="K4160" s="370"/>
      <c r="L4160" s="370"/>
      <c r="M4160" s="370"/>
      <c r="N4160" s="850"/>
      <c r="O4160" s="851"/>
      <c r="P4160" s="380"/>
      <c r="Q4160" s="852"/>
      <c r="R4160" s="383"/>
      <c r="S4160" s="361"/>
      <c r="T4160" s="1204"/>
      <c r="U4160" s="1203"/>
      <c r="V4160" s="366"/>
      <c r="W4160" s="366"/>
    </row>
    <row r="4161" spans="1:23">
      <c r="A4161" s="1400" t="s">
        <v>939</v>
      </c>
      <c r="B4161" s="1400"/>
      <c r="C4161" s="1200"/>
      <c r="D4161" s="871"/>
      <c r="E4161" s="1400" t="s">
        <v>177</v>
      </c>
      <c r="F4161" s="1400" t="s">
        <v>18</v>
      </c>
      <c r="G4161" s="1389" t="s">
        <v>19</v>
      </c>
      <c r="H4161" s="1390"/>
      <c r="I4161" s="1389" t="s">
        <v>22</v>
      </c>
      <c r="J4161" s="1390"/>
      <c r="K4161" s="1393" t="s">
        <v>26</v>
      </c>
      <c r="L4161" s="1390"/>
      <c r="M4161" s="1389" t="s">
        <v>392</v>
      </c>
      <c r="N4161" s="1390"/>
      <c r="O4161" s="1389" t="s">
        <v>28</v>
      </c>
      <c r="P4161" s="1393"/>
      <c r="Q4161" s="1390"/>
      <c r="R4161" s="1400" t="s">
        <v>36</v>
      </c>
      <c r="S4161" s="361"/>
      <c r="T4161" s="361">
        <f>MAX(J4165:J4179)-MIN(I4165:I4179)</f>
        <v>3.4722222222222238E-2</v>
      </c>
      <c r="U4161" s="361"/>
      <c r="V4161" s="853" t="str">
        <f t="shared" ref="V4161" si="526">B4165</f>
        <v>A118</v>
      </c>
      <c r="W4161" s="361">
        <f t="shared" ref="W4161" si="527">COUNTIF(K4166:K4180,"&gt;0")</f>
        <v>4</v>
      </c>
    </row>
    <row r="4162" spans="1:23">
      <c r="A4162" s="1401"/>
      <c r="B4162" s="1401"/>
      <c r="C4162" s="1202"/>
      <c r="D4162" s="872"/>
      <c r="E4162" s="1401"/>
      <c r="F4162" s="1401"/>
      <c r="G4162" s="1391"/>
      <c r="H4162" s="1392"/>
      <c r="I4162" s="1391"/>
      <c r="J4162" s="1392"/>
      <c r="K4162" s="1394"/>
      <c r="L4162" s="1392"/>
      <c r="M4162" s="1391"/>
      <c r="N4162" s="1392"/>
      <c r="O4162" s="1391"/>
      <c r="P4162" s="1394"/>
      <c r="Q4162" s="1392"/>
      <c r="R4162" s="1401"/>
      <c r="S4162" s="361"/>
      <c r="T4162" s="361"/>
      <c r="U4162" s="361"/>
      <c r="V4162" s="361"/>
      <c r="W4162" s="361"/>
    </row>
    <row r="4163" spans="1:23">
      <c r="A4163" s="1401"/>
      <c r="B4163" s="1401"/>
      <c r="C4163" s="1202"/>
      <c r="D4163" s="872"/>
      <c r="E4163" s="1401"/>
      <c r="F4163" s="1401"/>
      <c r="G4163" s="1400" t="s">
        <v>20</v>
      </c>
      <c r="H4163" s="1400" t="s">
        <v>21</v>
      </c>
      <c r="I4163" s="1400" t="s">
        <v>361</v>
      </c>
      <c r="J4163" s="1400" t="s">
        <v>353</v>
      </c>
      <c r="K4163" s="1400" t="s">
        <v>23</v>
      </c>
      <c r="L4163" s="1400" t="s">
        <v>24</v>
      </c>
      <c r="M4163" s="1400" t="s">
        <v>27</v>
      </c>
      <c r="N4163" s="1400" t="s">
        <v>178</v>
      </c>
      <c r="O4163" s="1400" t="s">
        <v>1</v>
      </c>
      <c r="P4163" s="1400" t="s">
        <v>29</v>
      </c>
      <c r="Q4163" s="1400" t="s">
        <v>33</v>
      </c>
      <c r="R4163" s="1401"/>
      <c r="S4163" s="361"/>
      <c r="T4163" s="361" t="s">
        <v>39</v>
      </c>
      <c r="U4163" s="362">
        <f>VLOOKUP(B4165,'[8]Thong tin'!$A:$M,13,0)</f>
        <v>1200</v>
      </c>
      <c r="V4163" s="361"/>
      <c r="W4163" s="361"/>
    </row>
    <row r="4164" spans="1:23">
      <c r="A4164" s="1402"/>
      <c r="B4164" s="1402"/>
      <c r="C4164" s="1201"/>
      <c r="D4164" s="873"/>
      <c r="E4164" s="1402"/>
      <c r="F4164" s="1402"/>
      <c r="G4164" s="1402"/>
      <c r="H4164" s="1402"/>
      <c r="I4164" s="1402"/>
      <c r="J4164" s="1402"/>
      <c r="K4164" s="1402"/>
      <c r="L4164" s="1402"/>
      <c r="M4164" s="1402"/>
      <c r="N4164" s="1402"/>
      <c r="O4164" s="1402"/>
      <c r="P4164" s="1402"/>
      <c r="Q4164" s="1402"/>
      <c r="R4164" s="1402"/>
      <c r="S4164" s="361"/>
      <c r="T4164" s="1399" t="s">
        <v>393</v>
      </c>
      <c r="U4164" s="1397">
        <f>VLOOKUP(B4165,[8]DT.NK!$B:$AZ,45,0)</f>
        <v>41.87</v>
      </c>
      <c r="V4164" s="361"/>
      <c r="W4164" s="361"/>
    </row>
    <row r="4165" spans="1:23" ht="18.75" customHeight="1">
      <c r="A4165" s="1409">
        <f>A4145+1</f>
        <v>209</v>
      </c>
      <c r="B4165" s="1412" t="s">
        <v>625</v>
      </c>
      <c r="C4165" s="1205" t="s">
        <v>983</v>
      </c>
      <c r="D4165" s="874" t="str">
        <f>B4165&amp;C4165</f>
        <v>A118a</v>
      </c>
      <c r="E4165" s="363"/>
      <c r="F4165" s="364"/>
      <c r="G4165" s="364"/>
      <c r="H4165" s="364"/>
      <c r="I4165" s="364"/>
      <c r="J4165" s="364"/>
      <c r="K4165" s="364"/>
      <c r="L4165" s="364"/>
      <c r="M4165" s="674"/>
      <c r="N4165" s="670"/>
      <c r="O4165" s="670">
        <f>U4164</f>
        <v>41.87</v>
      </c>
      <c r="P4165" s="670">
        <f>O4165</f>
        <v>41.87</v>
      </c>
      <c r="Q4165" s="670">
        <v>0</v>
      </c>
      <c r="R4165" s="365"/>
      <c r="S4165" s="366"/>
      <c r="T4165" s="1399"/>
      <c r="U4165" s="1398"/>
      <c r="V4165" s="361"/>
      <c r="W4165" s="361"/>
    </row>
    <row r="4166" spans="1:23" ht="18.75" customHeight="1">
      <c r="A4166" s="1410"/>
      <c r="B4166" s="1413"/>
      <c r="C4166" s="1206" t="s">
        <v>984</v>
      </c>
      <c r="D4166" s="875" t="str">
        <f>B4165&amp;C4166</f>
        <v>A118b</v>
      </c>
      <c r="E4166" s="367">
        <v>1</v>
      </c>
      <c r="F4166" s="669" t="s">
        <v>1184</v>
      </c>
      <c r="G4166" s="369">
        <v>1.8055555555555557E-2</v>
      </c>
      <c r="H4166" s="368">
        <v>6.5972222222222224E-2</v>
      </c>
      <c r="I4166" s="368">
        <v>6.9444444444444434E-2</v>
      </c>
      <c r="J4166" s="368">
        <v>7.2916666666666671E-2</v>
      </c>
      <c r="K4166" s="669">
        <v>11</v>
      </c>
      <c r="L4166" s="669">
        <v>18.5</v>
      </c>
      <c r="M4166" s="675">
        <v>37.799999999999997</v>
      </c>
      <c r="N4166" s="671">
        <f>IF(M4166-P4166&gt;0,M4166-P4166,0)</f>
        <v>3.1999999999999957</v>
      </c>
      <c r="O4166" s="671">
        <f>O4165-K4166/(PI()*(U4163/2000)^2)</f>
        <v>32.143864588828613</v>
      </c>
      <c r="P4166" s="672">
        <v>34.6</v>
      </c>
      <c r="Q4166" s="673">
        <f>ABS(O4166-P4166)</f>
        <v>2.4561354111713882</v>
      </c>
      <c r="R4166" s="375" t="s">
        <v>188</v>
      </c>
      <c r="S4166" s="366"/>
      <c r="T4166" s="376"/>
      <c r="U4166" s="376"/>
      <c r="V4166" s="366"/>
      <c r="W4166" s="366"/>
    </row>
    <row r="4167" spans="1:23" ht="18.75" customHeight="1">
      <c r="A4167" s="1410"/>
      <c r="B4167" s="1413"/>
      <c r="C4167" s="1206" t="s">
        <v>985</v>
      </c>
      <c r="D4167" s="875" t="str">
        <f>B4165&amp;C4167</f>
        <v>A118c</v>
      </c>
      <c r="E4167" s="367">
        <v>2</v>
      </c>
      <c r="F4167" s="669" t="s">
        <v>1019</v>
      </c>
      <c r="G4167" s="368">
        <v>3.1944444444444449E-2</v>
      </c>
      <c r="H4167" s="368">
        <v>7.2916666666666671E-2</v>
      </c>
      <c r="I4167" s="368">
        <v>8.3333333333333329E-2</v>
      </c>
      <c r="J4167" s="368">
        <v>8.6805555555555566E-2</v>
      </c>
      <c r="K4167" s="370">
        <v>10</v>
      </c>
      <c r="L4167" s="370">
        <v>19</v>
      </c>
      <c r="M4167" s="371">
        <v>28.35</v>
      </c>
      <c r="N4167" s="671"/>
      <c r="O4167" s="671"/>
      <c r="P4167" s="373">
        <v>25.84</v>
      </c>
      <c r="Q4167" s="673"/>
      <c r="R4167" s="958" t="s">
        <v>188</v>
      </c>
      <c r="S4167" s="366"/>
      <c r="T4167" s="376"/>
      <c r="U4167" s="376"/>
      <c r="V4167" s="366"/>
      <c r="W4167" s="366"/>
    </row>
    <row r="4168" spans="1:23" ht="18.75" customHeight="1">
      <c r="A4168" s="1410"/>
      <c r="B4168" s="1413"/>
      <c r="C4168" s="1206" t="s">
        <v>986</v>
      </c>
      <c r="D4168" s="875" t="str">
        <f>B4165&amp;C4168</f>
        <v>A118d</v>
      </c>
      <c r="E4168" s="367">
        <v>3</v>
      </c>
      <c r="F4168" s="669" t="s">
        <v>1159</v>
      </c>
      <c r="G4168" s="368">
        <v>3.8194444444444441E-2</v>
      </c>
      <c r="H4168" s="368">
        <v>7.9861111111111105E-2</v>
      </c>
      <c r="I4168" s="368">
        <v>9.0277777777777776E-2</v>
      </c>
      <c r="J4168" s="368">
        <v>9.375E-2</v>
      </c>
      <c r="K4168" s="370">
        <v>11</v>
      </c>
      <c r="L4168" s="370">
        <v>18.5</v>
      </c>
      <c r="M4168" s="371">
        <v>18.899999999999999</v>
      </c>
      <c r="N4168" s="671"/>
      <c r="O4168" s="671"/>
      <c r="P4168" s="373">
        <v>16.100000000000001</v>
      </c>
      <c r="Q4168" s="673"/>
      <c r="R4168" s="958" t="s">
        <v>188</v>
      </c>
      <c r="S4168" s="366"/>
      <c r="T4168" s="376"/>
      <c r="U4168" s="376"/>
      <c r="V4168" s="366"/>
      <c r="W4168" s="366"/>
    </row>
    <row r="4169" spans="1:23" ht="18.75" customHeight="1">
      <c r="A4169" s="1410"/>
      <c r="B4169" s="1413"/>
      <c r="C4169" s="1206" t="s">
        <v>987</v>
      </c>
      <c r="D4169" s="875" t="str">
        <f>B4165&amp;C4169</f>
        <v>A118e</v>
      </c>
      <c r="E4169" s="367">
        <v>4</v>
      </c>
      <c r="F4169" s="669" t="s">
        <v>1160</v>
      </c>
      <c r="G4169" s="368">
        <v>4.8611111111111112E-2</v>
      </c>
      <c r="H4169" s="368">
        <v>8.3333333333333329E-2</v>
      </c>
      <c r="I4169" s="368">
        <v>0.10069444444444443</v>
      </c>
      <c r="J4169" s="368">
        <v>0.10416666666666667</v>
      </c>
      <c r="K4169" s="370">
        <v>11</v>
      </c>
      <c r="L4169" s="370">
        <v>20</v>
      </c>
      <c r="M4169" s="371"/>
      <c r="N4169" s="671"/>
      <c r="O4169" s="671"/>
      <c r="P4169" s="373">
        <v>6.5</v>
      </c>
      <c r="Q4169" s="673"/>
      <c r="R4169" s="958"/>
      <c r="S4169" s="366"/>
      <c r="T4169" s="376"/>
      <c r="U4169" s="376"/>
      <c r="V4169" s="366"/>
      <c r="W4169" s="366"/>
    </row>
    <row r="4170" spans="1:23" ht="18.75" customHeight="1">
      <c r="A4170" s="1410"/>
      <c r="B4170" s="1413"/>
      <c r="C4170" s="1206" t="s">
        <v>988</v>
      </c>
      <c r="D4170" s="875" t="str">
        <f>B4165&amp;C4170</f>
        <v>A118f</v>
      </c>
      <c r="E4170" s="367">
        <v>5</v>
      </c>
      <c r="F4170" s="370"/>
      <c r="G4170" s="368"/>
      <c r="H4170" s="368"/>
      <c r="I4170" s="368"/>
      <c r="J4170" s="368"/>
      <c r="K4170" s="370"/>
      <c r="L4170" s="370"/>
      <c r="M4170" s="371"/>
      <c r="N4170" s="671"/>
      <c r="O4170" s="671"/>
      <c r="P4170" s="373"/>
      <c r="Q4170" s="673"/>
      <c r="R4170" s="958"/>
      <c r="S4170" s="366" t="s">
        <v>190</v>
      </c>
      <c r="T4170" s="376"/>
      <c r="U4170" s="376"/>
      <c r="V4170" s="366"/>
      <c r="W4170" s="366"/>
    </row>
    <row r="4171" spans="1:23" ht="18.75" customHeight="1">
      <c r="A4171" s="1410"/>
      <c r="B4171" s="1413"/>
      <c r="C4171" s="1206" t="s">
        <v>989</v>
      </c>
      <c r="D4171" s="875" t="str">
        <f>B4165&amp;C4171</f>
        <v>A118g</v>
      </c>
      <c r="E4171" s="367">
        <v>6</v>
      </c>
      <c r="F4171" s="370"/>
      <c r="G4171" s="368"/>
      <c r="H4171" s="368"/>
      <c r="I4171" s="368"/>
      <c r="J4171" s="368"/>
      <c r="K4171" s="370"/>
      <c r="L4171" s="370"/>
      <c r="M4171" s="371"/>
      <c r="N4171" s="671"/>
      <c r="O4171" s="671"/>
      <c r="P4171" s="373"/>
      <c r="Q4171" s="673"/>
      <c r="R4171" s="958"/>
      <c r="S4171" s="366" t="s">
        <v>190</v>
      </c>
      <c r="T4171" s="366"/>
      <c r="U4171" s="366"/>
      <c r="V4171" s="366"/>
      <c r="W4171" s="366"/>
    </row>
    <row r="4172" spans="1:23" ht="18.75" customHeight="1">
      <c r="A4172" s="1410"/>
      <c r="B4172" s="1413"/>
      <c r="C4172" s="1206" t="s">
        <v>990</v>
      </c>
      <c r="D4172" s="875" t="str">
        <f>B4165&amp;C4172</f>
        <v>A118h</v>
      </c>
      <c r="E4172" s="367">
        <v>7</v>
      </c>
      <c r="F4172" s="370"/>
      <c r="G4172" s="368"/>
      <c r="H4172" s="368"/>
      <c r="I4172" s="368"/>
      <c r="J4172" s="368"/>
      <c r="K4172" s="370"/>
      <c r="L4172" s="370"/>
      <c r="M4172" s="371"/>
      <c r="N4172" s="671"/>
      <c r="O4172" s="671"/>
      <c r="P4172" s="373"/>
      <c r="Q4172" s="673"/>
      <c r="R4172" s="958"/>
      <c r="S4172" s="366" t="s">
        <v>190</v>
      </c>
      <c r="T4172" s="366"/>
      <c r="U4172" s="366"/>
      <c r="V4172" s="366"/>
      <c r="W4172" s="366"/>
    </row>
    <row r="4173" spans="1:23" ht="18.75" customHeight="1">
      <c r="A4173" s="1410"/>
      <c r="B4173" s="1413"/>
      <c r="C4173" s="1206" t="s">
        <v>991</v>
      </c>
      <c r="D4173" s="875" t="str">
        <f>B4165&amp;C4173</f>
        <v>A118i</v>
      </c>
      <c r="E4173" s="367">
        <v>8</v>
      </c>
      <c r="F4173" s="370"/>
      <c r="G4173" s="368"/>
      <c r="H4173" s="368"/>
      <c r="I4173" s="368"/>
      <c r="J4173" s="368"/>
      <c r="K4173" s="370"/>
      <c r="L4173" s="370"/>
      <c r="M4173" s="371"/>
      <c r="N4173" s="671"/>
      <c r="O4173" s="671"/>
      <c r="P4173" s="373"/>
      <c r="Q4173" s="673"/>
      <c r="R4173" s="958"/>
      <c r="S4173" s="366"/>
      <c r="T4173" s="366"/>
      <c r="U4173" s="366"/>
      <c r="V4173" s="366"/>
      <c r="W4173" s="366"/>
    </row>
    <row r="4174" spans="1:23" ht="18.75" customHeight="1">
      <c r="A4174" s="1410"/>
      <c r="B4174" s="1413"/>
      <c r="C4174" s="1206" t="s">
        <v>992</v>
      </c>
      <c r="D4174" s="875" t="str">
        <f>B4165&amp;C4174</f>
        <v>A118k</v>
      </c>
      <c r="E4174" s="367">
        <v>9</v>
      </c>
      <c r="F4174" s="370"/>
      <c r="G4174" s="368"/>
      <c r="H4174" s="368"/>
      <c r="I4174" s="368"/>
      <c r="J4174" s="368"/>
      <c r="K4174" s="370"/>
      <c r="L4174" s="370"/>
      <c r="M4174" s="371"/>
      <c r="N4174" s="372"/>
      <c r="O4174" s="372"/>
      <c r="P4174" s="373"/>
      <c r="Q4174" s="374"/>
      <c r="R4174" s="378"/>
      <c r="S4174" s="379"/>
      <c r="T4174" s="366"/>
      <c r="U4174" s="366"/>
      <c r="V4174" s="366"/>
      <c r="W4174" s="366"/>
    </row>
    <row r="4175" spans="1:23" ht="18.75" customHeight="1">
      <c r="A4175" s="1410"/>
      <c r="B4175" s="1413"/>
      <c r="C4175" s="1206" t="s">
        <v>993</v>
      </c>
      <c r="D4175" s="875" t="str">
        <f>B4165&amp;C4175</f>
        <v>A118l</v>
      </c>
      <c r="E4175" s="367">
        <v>10</v>
      </c>
      <c r="F4175" s="370"/>
      <c r="G4175" s="368"/>
      <c r="H4175" s="368"/>
      <c r="I4175" s="368"/>
      <c r="J4175" s="368"/>
      <c r="K4175" s="370"/>
      <c r="L4175" s="370"/>
      <c r="M4175" s="370"/>
      <c r="N4175" s="372"/>
      <c r="O4175" s="372"/>
      <c r="P4175" s="373"/>
      <c r="Q4175" s="374"/>
      <c r="R4175" s="378"/>
      <c r="S4175" s="379"/>
      <c r="T4175" s="366"/>
      <c r="U4175" s="366"/>
      <c r="V4175" s="366"/>
      <c r="W4175" s="366"/>
    </row>
    <row r="4176" spans="1:23" ht="18.75" customHeight="1">
      <c r="A4176" s="1410"/>
      <c r="B4176" s="1413"/>
      <c r="C4176" s="1206" t="s">
        <v>994</v>
      </c>
      <c r="D4176" s="875" t="str">
        <f>B4165&amp;C4176</f>
        <v>A118m</v>
      </c>
      <c r="E4176" s="367">
        <v>11</v>
      </c>
      <c r="F4176" s="370"/>
      <c r="G4176" s="368"/>
      <c r="H4176" s="368"/>
      <c r="I4176" s="368"/>
      <c r="J4176" s="368"/>
      <c r="K4176" s="370"/>
      <c r="L4176" s="370"/>
      <c r="M4176" s="370"/>
      <c r="N4176" s="372"/>
      <c r="O4176" s="372"/>
      <c r="P4176" s="380"/>
      <c r="Q4176" s="374"/>
      <c r="R4176" s="381"/>
      <c r="S4176" s="379"/>
      <c r="T4176" s="366"/>
      <c r="U4176" s="366"/>
      <c r="V4176" s="366"/>
      <c r="W4176" s="366"/>
    </row>
    <row r="4177" spans="1:23" ht="18.75" customHeight="1">
      <c r="A4177" s="1410"/>
      <c r="B4177" s="1413"/>
      <c r="C4177" s="1206" t="s">
        <v>995</v>
      </c>
      <c r="D4177" s="875" t="str">
        <f>B4165&amp;C4177</f>
        <v>A118n</v>
      </c>
      <c r="E4177" s="367">
        <v>12</v>
      </c>
      <c r="F4177" s="370"/>
      <c r="G4177" s="368"/>
      <c r="H4177" s="368"/>
      <c r="I4177" s="368"/>
      <c r="J4177" s="368"/>
      <c r="K4177" s="370"/>
      <c r="L4177" s="370"/>
      <c r="M4177" s="370"/>
      <c r="N4177" s="372"/>
      <c r="O4177" s="372"/>
      <c r="P4177" s="380"/>
      <c r="Q4177" s="374"/>
      <c r="R4177" s="381"/>
      <c r="S4177" s="361"/>
      <c r="T4177" s="361"/>
      <c r="U4177" s="361"/>
      <c r="V4177" s="366"/>
      <c r="W4177" s="366"/>
    </row>
    <row r="4178" spans="1:23" ht="18.75" customHeight="1">
      <c r="A4178" s="1410"/>
      <c r="B4178" s="1413"/>
      <c r="C4178" s="1206" t="s">
        <v>471</v>
      </c>
      <c r="D4178" s="875" t="str">
        <f>B4165&amp;C4178</f>
        <v>A118x</v>
      </c>
      <c r="E4178" s="367">
        <v>13</v>
      </c>
      <c r="F4178" s="370"/>
      <c r="G4178" s="368"/>
      <c r="H4178" s="368"/>
      <c r="I4178" s="368"/>
      <c r="J4178" s="368"/>
      <c r="K4178" s="370"/>
      <c r="L4178" s="370"/>
      <c r="M4178" s="370"/>
      <c r="N4178" s="382"/>
      <c r="O4178" s="372"/>
      <c r="P4178" s="380"/>
      <c r="Q4178" s="381"/>
      <c r="R4178" s="381"/>
      <c r="S4178" s="361"/>
      <c r="T4178" s="361"/>
      <c r="U4178" s="361"/>
      <c r="V4178" s="366"/>
      <c r="W4178" s="366"/>
    </row>
    <row r="4179" spans="1:23" ht="18.75" customHeight="1">
      <c r="A4179" s="1410"/>
      <c r="B4179" s="1413"/>
      <c r="C4179" s="1206" t="s">
        <v>732</v>
      </c>
      <c r="D4179" s="875" t="str">
        <f>B4165&amp;C4179</f>
        <v>A118y</v>
      </c>
      <c r="E4179" s="367">
        <v>14</v>
      </c>
      <c r="F4179" s="370"/>
      <c r="G4179" s="368"/>
      <c r="H4179" s="368"/>
      <c r="I4179" s="368"/>
      <c r="J4179" s="368"/>
      <c r="K4179" s="370"/>
      <c r="L4179" s="370"/>
      <c r="M4179" s="370"/>
      <c r="N4179" s="382"/>
      <c r="O4179" s="372"/>
      <c r="P4179" s="380"/>
      <c r="Q4179" s="381"/>
      <c r="R4179" s="381"/>
      <c r="S4179" s="361"/>
      <c r="T4179" s="361"/>
      <c r="U4179" s="362"/>
      <c r="V4179" s="366"/>
      <c r="W4179" s="366"/>
    </row>
    <row r="4180" spans="1:23" ht="18.75" customHeight="1">
      <c r="A4180" s="1411"/>
      <c r="B4180" s="1414"/>
      <c r="C4180" s="1207" t="s">
        <v>996</v>
      </c>
      <c r="D4180" s="876" t="str">
        <f>B4165&amp;C4180</f>
        <v>A118z</v>
      </c>
      <c r="E4180" s="847">
        <v>15</v>
      </c>
      <c r="F4180" s="370"/>
      <c r="G4180" s="368"/>
      <c r="H4180" s="368"/>
      <c r="I4180" s="368"/>
      <c r="J4180" s="368"/>
      <c r="K4180" s="370"/>
      <c r="L4180" s="370"/>
      <c r="M4180" s="370"/>
      <c r="N4180" s="850"/>
      <c r="O4180" s="851"/>
      <c r="P4180" s="380"/>
      <c r="Q4180" s="852"/>
      <c r="R4180" s="383"/>
      <c r="S4180" s="361"/>
      <c r="T4180" s="1204"/>
      <c r="U4180" s="1203"/>
      <c r="V4180" s="366"/>
      <c r="W4180" s="366"/>
    </row>
    <row r="4181" spans="1:23">
      <c r="A4181" s="1400" t="s">
        <v>939</v>
      </c>
      <c r="B4181" s="1400"/>
      <c r="C4181" s="1200"/>
      <c r="D4181" s="871"/>
      <c r="E4181" s="1400" t="s">
        <v>177</v>
      </c>
      <c r="F4181" s="1400" t="s">
        <v>18</v>
      </c>
      <c r="G4181" s="1389" t="s">
        <v>19</v>
      </c>
      <c r="H4181" s="1390"/>
      <c r="I4181" s="1389" t="s">
        <v>22</v>
      </c>
      <c r="J4181" s="1390"/>
      <c r="K4181" s="1393" t="s">
        <v>26</v>
      </c>
      <c r="L4181" s="1390"/>
      <c r="M4181" s="1389" t="s">
        <v>392</v>
      </c>
      <c r="N4181" s="1390"/>
      <c r="O4181" s="1389" t="s">
        <v>28</v>
      </c>
      <c r="P4181" s="1393"/>
      <c r="Q4181" s="1390"/>
      <c r="R4181" s="1400" t="s">
        <v>36</v>
      </c>
      <c r="S4181" s="361"/>
      <c r="T4181" s="361">
        <f>MAX(J4185:J4199)-MIN(I4185:I4199)</f>
        <v>6.25E-2</v>
      </c>
      <c r="U4181" s="361"/>
      <c r="V4181" s="853" t="str">
        <f t="shared" ref="V4181" si="528">B4185</f>
        <v>A119</v>
      </c>
      <c r="W4181" s="361">
        <f t="shared" ref="W4181" si="529">COUNTIF(K4186:K4200,"&gt;0")</f>
        <v>4</v>
      </c>
    </row>
    <row r="4182" spans="1:23">
      <c r="A4182" s="1401"/>
      <c r="B4182" s="1401"/>
      <c r="C4182" s="1202"/>
      <c r="D4182" s="872"/>
      <c r="E4182" s="1401"/>
      <c r="F4182" s="1401"/>
      <c r="G4182" s="1391"/>
      <c r="H4182" s="1392"/>
      <c r="I4182" s="1391"/>
      <c r="J4182" s="1392"/>
      <c r="K4182" s="1394"/>
      <c r="L4182" s="1392"/>
      <c r="M4182" s="1391"/>
      <c r="N4182" s="1392"/>
      <c r="O4182" s="1391"/>
      <c r="P4182" s="1394"/>
      <c r="Q4182" s="1392"/>
      <c r="R4182" s="1401"/>
      <c r="S4182" s="361"/>
      <c r="T4182" s="361"/>
      <c r="U4182" s="361"/>
      <c r="V4182" s="361"/>
      <c r="W4182" s="361"/>
    </row>
    <row r="4183" spans="1:23">
      <c r="A4183" s="1401"/>
      <c r="B4183" s="1401"/>
      <c r="C4183" s="1202"/>
      <c r="D4183" s="872"/>
      <c r="E4183" s="1401"/>
      <c r="F4183" s="1401"/>
      <c r="G4183" s="1400" t="s">
        <v>20</v>
      </c>
      <c r="H4183" s="1400" t="s">
        <v>21</v>
      </c>
      <c r="I4183" s="1400" t="s">
        <v>361</v>
      </c>
      <c r="J4183" s="1400" t="s">
        <v>353</v>
      </c>
      <c r="K4183" s="1400" t="s">
        <v>23</v>
      </c>
      <c r="L4183" s="1400" t="s">
        <v>24</v>
      </c>
      <c r="M4183" s="1400" t="s">
        <v>27</v>
      </c>
      <c r="N4183" s="1400" t="s">
        <v>178</v>
      </c>
      <c r="O4183" s="1400" t="s">
        <v>1</v>
      </c>
      <c r="P4183" s="1400" t="s">
        <v>29</v>
      </c>
      <c r="Q4183" s="1400" t="s">
        <v>33</v>
      </c>
      <c r="R4183" s="1401"/>
      <c r="S4183" s="361"/>
      <c r="T4183" s="361" t="s">
        <v>39</v>
      </c>
      <c r="U4183" s="362">
        <f>VLOOKUP(B4185,'[8]Thong tin'!$A:$M,13,0)</f>
        <v>1200</v>
      </c>
      <c r="V4183" s="361"/>
      <c r="W4183" s="361"/>
    </row>
    <row r="4184" spans="1:23">
      <c r="A4184" s="1402"/>
      <c r="B4184" s="1402"/>
      <c r="C4184" s="1201"/>
      <c r="D4184" s="873"/>
      <c r="E4184" s="1402"/>
      <c r="F4184" s="1402"/>
      <c r="G4184" s="1402"/>
      <c r="H4184" s="1402"/>
      <c r="I4184" s="1402"/>
      <c r="J4184" s="1402"/>
      <c r="K4184" s="1402"/>
      <c r="L4184" s="1402"/>
      <c r="M4184" s="1402"/>
      <c r="N4184" s="1402"/>
      <c r="O4184" s="1402"/>
      <c r="P4184" s="1402"/>
      <c r="Q4184" s="1402"/>
      <c r="R4184" s="1402"/>
      <c r="S4184" s="361"/>
      <c r="T4184" s="1399" t="s">
        <v>393</v>
      </c>
      <c r="U4184" s="1397">
        <f>VLOOKUP(B4185,[8]DT.NK!$B:$AZ,45,0)</f>
        <v>41.68</v>
      </c>
      <c r="V4184" s="361"/>
      <c r="W4184" s="361"/>
    </row>
    <row r="4185" spans="1:23" ht="18.75" customHeight="1">
      <c r="A4185" s="1409">
        <f>A4165+1</f>
        <v>210</v>
      </c>
      <c r="B4185" s="1412" t="s">
        <v>630</v>
      </c>
      <c r="C4185" s="1205" t="s">
        <v>983</v>
      </c>
      <c r="D4185" s="874" t="str">
        <f>B4185&amp;C4185</f>
        <v>A119a</v>
      </c>
      <c r="E4185" s="363"/>
      <c r="F4185" s="364"/>
      <c r="G4185" s="364"/>
      <c r="H4185" s="364"/>
      <c r="I4185" s="364"/>
      <c r="J4185" s="364"/>
      <c r="K4185" s="364"/>
      <c r="L4185" s="364"/>
      <c r="M4185" s="674"/>
      <c r="N4185" s="670"/>
      <c r="O4185" s="670">
        <f>U4184</f>
        <v>41.68</v>
      </c>
      <c r="P4185" s="670">
        <f>O4185</f>
        <v>41.68</v>
      </c>
      <c r="Q4185" s="670">
        <v>0</v>
      </c>
      <c r="R4185" s="365"/>
      <c r="S4185" s="366"/>
      <c r="T4185" s="1399"/>
      <c r="U4185" s="1398"/>
      <c r="V4185" s="361"/>
      <c r="W4185" s="361"/>
    </row>
    <row r="4186" spans="1:23" ht="18.75" customHeight="1">
      <c r="A4186" s="1410"/>
      <c r="B4186" s="1413"/>
      <c r="C4186" s="1206" t="s">
        <v>984</v>
      </c>
      <c r="D4186" s="875" t="str">
        <f>B4185&amp;C4186</f>
        <v>A119b</v>
      </c>
      <c r="E4186" s="367">
        <v>1</v>
      </c>
      <c r="F4186" s="669" t="s">
        <v>1160</v>
      </c>
      <c r="G4186" s="369">
        <v>0.12361111111111112</v>
      </c>
      <c r="H4186" s="368">
        <v>0.16319444444444445</v>
      </c>
      <c r="I4186" s="368">
        <v>0.1875</v>
      </c>
      <c r="J4186" s="368">
        <v>0.19097222222222221</v>
      </c>
      <c r="K4186" s="669">
        <v>13</v>
      </c>
      <c r="L4186" s="669">
        <v>19</v>
      </c>
      <c r="M4186" s="675">
        <v>34.65</v>
      </c>
      <c r="N4186" s="671">
        <f>IF(M4186-P4186&gt;0,M4186-P4186,0)</f>
        <v>2.0499999999999972</v>
      </c>
      <c r="O4186" s="671">
        <f>O4185-K4186/(PI()*(U4183/2000)^2)</f>
        <v>30.185476332252001</v>
      </c>
      <c r="P4186" s="672">
        <v>32.6</v>
      </c>
      <c r="Q4186" s="673">
        <f>ABS(O4186-P4186)</f>
        <v>2.414523667748</v>
      </c>
      <c r="R4186" s="375" t="s">
        <v>188</v>
      </c>
      <c r="S4186" s="366"/>
      <c r="T4186" s="376"/>
      <c r="U4186" s="376"/>
      <c r="V4186" s="366"/>
      <c r="W4186" s="366"/>
    </row>
    <row r="4187" spans="1:23" ht="18.75" customHeight="1">
      <c r="A4187" s="1410"/>
      <c r="B4187" s="1413"/>
      <c r="C4187" s="1206" t="s">
        <v>985</v>
      </c>
      <c r="D4187" s="875" t="str">
        <f>B4185&amp;C4187</f>
        <v>A119c</v>
      </c>
      <c r="E4187" s="367">
        <v>2</v>
      </c>
      <c r="F4187" s="669" t="s">
        <v>1159</v>
      </c>
      <c r="G4187" s="368">
        <v>0.14930555555555555</v>
      </c>
      <c r="H4187" s="368">
        <v>0.17013888888888887</v>
      </c>
      <c r="I4187" s="368">
        <v>0.19791666666666666</v>
      </c>
      <c r="J4187" s="368">
        <v>0.20138888888888887</v>
      </c>
      <c r="K4187" s="370">
        <v>13</v>
      </c>
      <c r="L4187" s="370">
        <v>19.5</v>
      </c>
      <c r="M4187" s="371">
        <v>25.2</v>
      </c>
      <c r="N4187" s="671"/>
      <c r="O4187" s="671"/>
      <c r="P4187" s="373">
        <v>21.1</v>
      </c>
      <c r="Q4187" s="673"/>
      <c r="R4187" s="958" t="s">
        <v>188</v>
      </c>
      <c r="S4187" s="366"/>
      <c r="T4187" s="376"/>
      <c r="U4187" s="376"/>
      <c r="V4187" s="366"/>
      <c r="W4187" s="366"/>
    </row>
    <row r="4188" spans="1:23" ht="18.75" customHeight="1">
      <c r="A4188" s="1410"/>
      <c r="B4188" s="1413"/>
      <c r="C4188" s="1206" t="s">
        <v>986</v>
      </c>
      <c r="D4188" s="875" t="str">
        <f>B4185&amp;C4188</f>
        <v>A119d</v>
      </c>
      <c r="E4188" s="367">
        <v>3</v>
      </c>
      <c r="F4188" s="669" t="s">
        <v>1156</v>
      </c>
      <c r="G4188" s="368">
        <v>0.17013888888888887</v>
      </c>
      <c r="H4188" s="368">
        <v>0.20138888888888887</v>
      </c>
      <c r="I4188" s="368">
        <v>0.21875</v>
      </c>
      <c r="J4188" s="368">
        <v>0.22708333333333333</v>
      </c>
      <c r="K4188" s="370">
        <v>13</v>
      </c>
      <c r="L4188" s="370">
        <v>20</v>
      </c>
      <c r="M4188" s="371">
        <v>12.6</v>
      </c>
      <c r="N4188" s="671"/>
      <c r="O4188" s="671"/>
      <c r="P4188" s="373">
        <v>9.8000000000000007</v>
      </c>
      <c r="Q4188" s="673"/>
      <c r="R4188" s="958" t="s">
        <v>188</v>
      </c>
      <c r="S4188" s="366"/>
      <c r="T4188" s="376"/>
      <c r="U4188" s="376"/>
      <c r="V4188" s="366"/>
      <c r="W4188" s="366"/>
    </row>
    <row r="4189" spans="1:23" ht="18.75" customHeight="1">
      <c r="A4189" s="1410"/>
      <c r="B4189" s="1413"/>
      <c r="C4189" s="1206" t="s">
        <v>987</v>
      </c>
      <c r="D4189" s="875" t="str">
        <f>B4185&amp;C4189</f>
        <v>A119e</v>
      </c>
      <c r="E4189" s="367">
        <v>4</v>
      </c>
      <c r="F4189" s="669" t="s">
        <v>1019</v>
      </c>
      <c r="G4189" s="368">
        <v>0.20833333333333334</v>
      </c>
      <c r="H4189" s="368">
        <v>0.23958333333333334</v>
      </c>
      <c r="I4189" s="368">
        <v>0.24513888888888888</v>
      </c>
      <c r="J4189" s="368">
        <v>0.25</v>
      </c>
      <c r="K4189" s="370">
        <v>4</v>
      </c>
      <c r="L4189" s="370">
        <v>19</v>
      </c>
      <c r="M4189" s="371"/>
      <c r="N4189" s="671"/>
      <c r="O4189" s="671"/>
      <c r="P4189" s="373">
        <v>6.3</v>
      </c>
      <c r="Q4189" s="673"/>
      <c r="R4189" s="958"/>
      <c r="S4189" s="366"/>
      <c r="T4189" s="376"/>
      <c r="U4189" s="376"/>
      <c r="V4189" s="366"/>
      <c r="W4189" s="366"/>
    </row>
    <row r="4190" spans="1:23" ht="18.75" customHeight="1">
      <c r="A4190" s="1410"/>
      <c r="B4190" s="1413"/>
      <c r="C4190" s="1206" t="s">
        <v>988</v>
      </c>
      <c r="D4190" s="875" t="str">
        <f>B4185&amp;C4190</f>
        <v>A119f</v>
      </c>
      <c r="E4190" s="367">
        <v>5</v>
      </c>
      <c r="F4190" s="370"/>
      <c r="G4190" s="368"/>
      <c r="H4190" s="368"/>
      <c r="I4190" s="368"/>
      <c r="J4190" s="368"/>
      <c r="K4190" s="370"/>
      <c r="L4190" s="370"/>
      <c r="M4190" s="371"/>
      <c r="N4190" s="671"/>
      <c r="O4190" s="671"/>
      <c r="P4190" s="373"/>
      <c r="Q4190" s="673"/>
      <c r="R4190" s="958"/>
      <c r="S4190" s="366" t="s">
        <v>190</v>
      </c>
      <c r="T4190" s="376"/>
      <c r="U4190" s="376"/>
      <c r="V4190" s="366"/>
      <c r="W4190" s="366"/>
    </row>
    <row r="4191" spans="1:23" ht="18.75" customHeight="1">
      <c r="A4191" s="1410"/>
      <c r="B4191" s="1413"/>
      <c r="C4191" s="1206" t="s">
        <v>989</v>
      </c>
      <c r="D4191" s="875" t="str">
        <f>B4185&amp;C4191</f>
        <v>A119g</v>
      </c>
      <c r="E4191" s="367">
        <v>6</v>
      </c>
      <c r="F4191" s="370"/>
      <c r="G4191" s="368"/>
      <c r="H4191" s="368"/>
      <c r="I4191" s="368"/>
      <c r="J4191" s="368"/>
      <c r="K4191" s="370"/>
      <c r="L4191" s="370"/>
      <c r="M4191" s="371"/>
      <c r="N4191" s="671"/>
      <c r="O4191" s="671"/>
      <c r="P4191" s="373"/>
      <c r="Q4191" s="673"/>
      <c r="R4191" s="958"/>
      <c r="S4191" s="366" t="s">
        <v>190</v>
      </c>
      <c r="T4191" s="366"/>
      <c r="U4191" s="366"/>
      <c r="V4191" s="366"/>
      <c r="W4191" s="366"/>
    </row>
    <row r="4192" spans="1:23" ht="18.75" customHeight="1">
      <c r="A4192" s="1410"/>
      <c r="B4192" s="1413"/>
      <c r="C4192" s="1206" t="s">
        <v>990</v>
      </c>
      <c r="D4192" s="875" t="str">
        <f>B4185&amp;C4192</f>
        <v>A119h</v>
      </c>
      <c r="E4192" s="367">
        <v>7</v>
      </c>
      <c r="F4192" s="370"/>
      <c r="G4192" s="368"/>
      <c r="H4192" s="368"/>
      <c r="I4192" s="368"/>
      <c r="J4192" s="368"/>
      <c r="K4192" s="370"/>
      <c r="L4192" s="370"/>
      <c r="M4192" s="371"/>
      <c r="N4192" s="671"/>
      <c r="O4192" s="671"/>
      <c r="P4192" s="373"/>
      <c r="Q4192" s="673"/>
      <c r="R4192" s="958"/>
      <c r="S4192" s="366" t="s">
        <v>190</v>
      </c>
      <c r="T4192" s="366"/>
      <c r="U4192" s="366"/>
      <c r="V4192" s="366"/>
      <c r="W4192" s="366"/>
    </row>
    <row r="4193" spans="1:23" ht="18.75" customHeight="1">
      <c r="A4193" s="1410"/>
      <c r="B4193" s="1413"/>
      <c r="C4193" s="1206" t="s">
        <v>991</v>
      </c>
      <c r="D4193" s="875" t="str">
        <f>B4185&amp;C4193</f>
        <v>A119i</v>
      </c>
      <c r="E4193" s="367">
        <v>8</v>
      </c>
      <c r="F4193" s="370"/>
      <c r="G4193" s="368"/>
      <c r="H4193" s="368"/>
      <c r="I4193" s="368"/>
      <c r="J4193" s="368"/>
      <c r="K4193" s="370"/>
      <c r="L4193" s="370"/>
      <c r="M4193" s="371"/>
      <c r="N4193" s="671"/>
      <c r="O4193" s="671"/>
      <c r="P4193" s="373"/>
      <c r="Q4193" s="673"/>
      <c r="R4193" s="958"/>
      <c r="S4193" s="366"/>
      <c r="T4193" s="366"/>
      <c r="U4193" s="366"/>
      <c r="V4193" s="366"/>
      <c r="W4193" s="366"/>
    </row>
    <row r="4194" spans="1:23" ht="18.75" customHeight="1">
      <c r="A4194" s="1410"/>
      <c r="B4194" s="1413"/>
      <c r="C4194" s="1206" t="s">
        <v>992</v>
      </c>
      <c r="D4194" s="875" t="str">
        <f>B4185&amp;C4194</f>
        <v>A119k</v>
      </c>
      <c r="E4194" s="367">
        <v>9</v>
      </c>
      <c r="F4194" s="370"/>
      <c r="G4194" s="368"/>
      <c r="H4194" s="368"/>
      <c r="I4194" s="368"/>
      <c r="J4194" s="368"/>
      <c r="K4194" s="370"/>
      <c r="L4194" s="370"/>
      <c r="M4194" s="371"/>
      <c r="N4194" s="372"/>
      <c r="O4194" s="372"/>
      <c r="P4194" s="373"/>
      <c r="Q4194" s="374"/>
      <c r="R4194" s="378"/>
      <c r="S4194" s="379"/>
      <c r="T4194" s="366"/>
      <c r="U4194" s="366"/>
      <c r="V4194" s="366"/>
      <c r="W4194" s="366"/>
    </row>
    <row r="4195" spans="1:23" ht="18.75" customHeight="1">
      <c r="A4195" s="1410"/>
      <c r="B4195" s="1413"/>
      <c r="C4195" s="1206" t="s">
        <v>993</v>
      </c>
      <c r="D4195" s="875" t="str">
        <f>B4185&amp;C4195</f>
        <v>A119l</v>
      </c>
      <c r="E4195" s="367">
        <v>10</v>
      </c>
      <c r="F4195" s="370"/>
      <c r="G4195" s="368"/>
      <c r="H4195" s="368"/>
      <c r="I4195" s="368"/>
      <c r="J4195" s="368"/>
      <c r="K4195" s="370"/>
      <c r="L4195" s="370"/>
      <c r="M4195" s="370"/>
      <c r="N4195" s="372"/>
      <c r="O4195" s="372"/>
      <c r="P4195" s="373"/>
      <c r="Q4195" s="374"/>
      <c r="R4195" s="378"/>
      <c r="S4195" s="379"/>
      <c r="T4195" s="366"/>
      <c r="U4195" s="366"/>
      <c r="V4195" s="366"/>
      <c r="W4195" s="366"/>
    </row>
    <row r="4196" spans="1:23" ht="18.75" customHeight="1">
      <c r="A4196" s="1410"/>
      <c r="B4196" s="1413"/>
      <c r="C4196" s="1206" t="s">
        <v>994</v>
      </c>
      <c r="D4196" s="875" t="str">
        <f>B4185&amp;C4196</f>
        <v>A119m</v>
      </c>
      <c r="E4196" s="367">
        <v>11</v>
      </c>
      <c r="F4196" s="370"/>
      <c r="G4196" s="368"/>
      <c r="H4196" s="368"/>
      <c r="I4196" s="368"/>
      <c r="J4196" s="368"/>
      <c r="K4196" s="370"/>
      <c r="L4196" s="370"/>
      <c r="M4196" s="370"/>
      <c r="N4196" s="372"/>
      <c r="O4196" s="372"/>
      <c r="P4196" s="380"/>
      <c r="Q4196" s="374"/>
      <c r="R4196" s="381"/>
      <c r="S4196" s="379"/>
      <c r="T4196" s="366"/>
      <c r="U4196" s="366"/>
      <c r="V4196" s="366"/>
      <c r="W4196" s="366"/>
    </row>
    <row r="4197" spans="1:23" ht="18.75" customHeight="1">
      <c r="A4197" s="1410"/>
      <c r="B4197" s="1413"/>
      <c r="C4197" s="1206" t="s">
        <v>995</v>
      </c>
      <c r="D4197" s="875" t="str">
        <f>B4185&amp;C4197</f>
        <v>A119n</v>
      </c>
      <c r="E4197" s="367">
        <v>12</v>
      </c>
      <c r="F4197" s="370"/>
      <c r="G4197" s="368"/>
      <c r="H4197" s="368"/>
      <c r="I4197" s="368"/>
      <c r="J4197" s="368"/>
      <c r="K4197" s="370"/>
      <c r="L4197" s="370"/>
      <c r="M4197" s="370"/>
      <c r="N4197" s="372"/>
      <c r="O4197" s="372"/>
      <c r="P4197" s="380"/>
      <c r="Q4197" s="374"/>
      <c r="R4197" s="381"/>
      <c r="S4197" s="361"/>
      <c r="T4197" s="361"/>
      <c r="U4197" s="361"/>
      <c r="V4197" s="366"/>
      <c r="W4197" s="366"/>
    </row>
    <row r="4198" spans="1:23" ht="18.75" customHeight="1">
      <c r="A4198" s="1410"/>
      <c r="B4198" s="1413"/>
      <c r="C4198" s="1206" t="s">
        <v>471</v>
      </c>
      <c r="D4198" s="875" t="str">
        <f>B4185&amp;C4198</f>
        <v>A119x</v>
      </c>
      <c r="E4198" s="367">
        <v>13</v>
      </c>
      <c r="F4198" s="370"/>
      <c r="G4198" s="368"/>
      <c r="H4198" s="368"/>
      <c r="I4198" s="368"/>
      <c r="J4198" s="368"/>
      <c r="K4198" s="370"/>
      <c r="L4198" s="370"/>
      <c r="M4198" s="370"/>
      <c r="N4198" s="382"/>
      <c r="O4198" s="372"/>
      <c r="P4198" s="380"/>
      <c r="Q4198" s="381"/>
      <c r="R4198" s="381"/>
      <c r="S4198" s="361"/>
      <c r="T4198" s="361"/>
      <c r="U4198" s="361"/>
      <c r="V4198" s="366"/>
      <c r="W4198" s="366"/>
    </row>
    <row r="4199" spans="1:23" ht="18.75" customHeight="1">
      <c r="A4199" s="1410"/>
      <c r="B4199" s="1413"/>
      <c r="C4199" s="1206" t="s">
        <v>732</v>
      </c>
      <c r="D4199" s="875" t="str">
        <f>B4185&amp;C4199</f>
        <v>A119y</v>
      </c>
      <c r="E4199" s="367">
        <v>14</v>
      </c>
      <c r="F4199" s="370"/>
      <c r="G4199" s="368"/>
      <c r="H4199" s="368"/>
      <c r="I4199" s="368"/>
      <c r="J4199" s="368"/>
      <c r="K4199" s="370"/>
      <c r="L4199" s="370"/>
      <c r="M4199" s="370"/>
      <c r="N4199" s="382"/>
      <c r="O4199" s="372"/>
      <c r="P4199" s="380"/>
      <c r="Q4199" s="381"/>
      <c r="R4199" s="381"/>
      <c r="S4199" s="361"/>
      <c r="T4199" s="361"/>
      <c r="U4199" s="362"/>
      <c r="V4199" s="366"/>
      <c r="W4199" s="366"/>
    </row>
    <row r="4200" spans="1:23" ht="18.75" customHeight="1">
      <c r="A4200" s="1411"/>
      <c r="B4200" s="1414"/>
      <c r="C4200" s="1207" t="s">
        <v>996</v>
      </c>
      <c r="D4200" s="876" t="str">
        <f>B4185&amp;C4200</f>
        <v>A119z</v>
      </c>
      <c r="E4200" s="847">
        <v>15</v>
      </c>
      <c r="F4200" s="370"/>
      <c r="G4200" s="368"/>
      <c r="H4200" s="368"/>
      <c r="I4200" s="368"/>
      <c r="J4200" s="368"/>
      <c r="K4200" s="370"/>
      <c r="L4200" s="370"/>
      <c r="M4200" s="370"/>
      <c r="N4200" s="850"/>
      <c r="O4200" s="851"/>
      <c r="P4200" s="380"/>
      <c r="Q4200" s="852"/>
      <c r="R4200" s="383"/>
      <c r="S4200" s="361"/>
      <c r="T4200" s="1204"/>
      <c r="U4200" s="1203"/>
      <c r="V4200" s="366"/>
      <c r="W4200" s="366"/>
    </row>
    <row r="4201" spans="1:23">
      <c r="A4201" s="1400" t="s">
        <v>939</v>
      </c>
      <c r="B4201" s="1400"/>
      <c r="C4201" s="1200"/>
      <c r="D4201" s="871"/>
      <c r="E4201" s="1400" t="s">
        <v>177</v>
      </c>
      <c r="F4201" s="1400" t="s">
        <v>18</v>
      </c>
      <c r="G4201" s="1389" t="s">
        <v>19</v>
      </c>
      <c r="H4201" s="1390"/>
      <c r="I4201" s="1389" t="s">
        <v>22</v>
      </c>
      <c r="J4201" s="1390"/>
      <c r="K4201" s="1393" t="s">
        <v>26</v>
      </c>
      <c r="L4201" s="1390"/>
      <c r="M4201" s="1389" t="s">
        <v>392</v>
      </c>
      <c r="N4201" s="1390"/>
      <c r="O4201" s="1389" t="s">
        <v>28</v>
      </c>
      <c r="P4201" s="1393"/>
      <c r="Q4201" s="1390"/>
      <c r="R4201" s="1400" t="s">
        <v>36</v>
      </c>
      <c r="S4201" s="361"/>
      <c r="T4201" s="361">
        <f>MAX(J4205:J4219)-MIN(I4205:I4219)</f>
        <v>2.430555555555558E-2</v>
      </c>
      <c r="U4201" s="361"/>
      <c r="V4201" s="853" t="str">
        <f t="shared" ref="V4201" si="530">B4205</f>
        <v>B48</v>
      </c>
      <c r="W4201" s="361">
        <f t="shared" ref="W4201" si="531">COUNTIF(K4206:K4220,"&gt;0")</f>
        <v>1</v>
      </c>
    </row>
    <row r="4202" spans="1:23">
      <c r="A4202" s="1401"/>
      <c r="B4202" s="1401"/>
      <c r="C4202" s="1202"/>
      <c r="D4202" s="872"/>
      <c r="E4202" s="1401"/>
      <c r="F4202" s="1401"/>
      <c r="G4202" s="1391"/>
      <c r="H4202" s="1392"/>
      <c r="I4202" s="1391"/>
      <c r="J4202" s="1392"/>
      <c r="K4202" s="1394"/>
      <c r="L4202" s="1392"/>
      <c r="M4202" s="1391"/>
      <c r="N4202" s="1392"/>
      <c r="O4202" s="1391"/>
      <c r="P4202" s="1394"/>
      <c r="Q4202" s="1392"/>
      <c r="R4202" s="1401"/>
      <c r="S4202" s="361"/>
      <c r="T4202" s="361"/>
      <c r="U4202" s="361"/>
      <c r="V4202" s="361"/>
      <c r="W4202" s="361"/>
    </row>
    <row r="4203" spans="1:23">
      <c r="A4203" s="1401"/>
      <c r="B4203" s="1401"/>
      <c r="C4203" s="1202"/>
      <c r="D4203" s="872"/>
      <c r="E4203" s="1401"/>
      <c r="F4203" s="1401"/>
      <c r="G4203" s="1400" t="s">
        <v>20</v>
      </c>
      <c r="H4203" s="1400" t="s">
        <v>21</v>
      </c>
      <c r="I4203" s="1400" t="s">
        <v>361</v>
      </c>
      <c r="J4203" s="1400" t="s">
        <v>353</v>
      </c>
      <c r="K4203" s="1400" t="s">
        <v>23</v>
      </c>
      <c r="L4203" s="1400" t="s">
        <v>24</v>
      </c>
      <c r="M4203" s="1400" t="s">
        <v>27</v>
      </c>
      <c r="N4203" s="1400" t="s">
        <v>178</v>
      </c>
      <c r="O4203" s="1400" t="s">
        <v>1</v>
      </c>
      <c r="P4203" s="1400" t="s">
        <v>29</v>
      </c>
      <c r="Q4203" s="1400" t="s">
        <v>33</v>
      </c>
      <c r="R4203" s="1401"/>
      <c r="S4203" s="361"/>
      <c r="T4203" s="361" t="s">
        <v>39</v>
      </c>
      <c r="U4203" s="362">
        <f>VLOOKUP(B4205,'[8]Thong tin'!$A:$M,13,0)</f>
        <v>800</v>
      </c>
      <c r="V4203" s="361"/>
      <c r="W4203" s="361"/>
    </row>
    <row r="4204" spans="1:23">
      <c r="A4204" s="1402"/>
      <c r="B4204" s="1402"/>
      <c r="C4204" s="1201"/>
      <c r="D4204" s="873"/>
      <c r="E4204" s="1402"/>
      <c r="F4204" s="1402"/>
      <c r="G4204" s="1402"/>
      <c r="H4204" s="1402"/>
      <c r="I4204" s="1402"/>
      <c r="J4204" s="1402"/>
      <c r="K4204" s="1402"/>
      <c r="L4204" s="1402"/>
      <c r="M4204" s="1402"/>
      <c r="N4204" s="1402"/>
      <c r="O4204" s="1402"/>
      <c r="P4204" s="1402"/>
      <c r="Q4204" s="1402"/>
      <c r="R4204" s="1402"/>
      <c r="S4204" s="361"/>
      <c r="T4204" s="1399" t="s">
        <v>393</v>
      </c>
      <c r="U4204" s="1397">
        <f>VLOOKUP(B4205,[8]DT.NK!$B:$AZ,45,0)</f>
        <v>26.17</v>
      </c>
      <c r="V4204" s="361"/>
      <c r="W4204" s="361"/>
    </row>
    <row r="4205" spans="1:23" ht="18.75" customHeight="1">
      <c r="A4205" s="1409">
        <f>A4185+1</f>
        <v>211</v>
      </c>
      <c r="B4205" s="1412" t="s">
        <v>646</v>
      </c>
      <c r="C4205" s="1205" t="s">
        <v>983</v>
      </c>
      <c r="D4205" s="874" t="str">
        <f>B4205&amp;C4205</f>
        <v>B48a</v>
      </c>
      <c r="E4205" s="363"/>
      <c r="F4205" s="364"/>
      <c r="G4205" s="364"/>
      <c r="H4205" s="364"/>
      <c r="I4205" s="364"/>
      <c r="J4205" s="364"/>
      <c r="K4205" s="364"/>
      <c r="L4205" s="364"/>
      <c r="M4205" s="674"/>
      <c r="N4205" s="670"/>
      <c r="O4205" s="670">
        <f>U4204</f>
        <v>26.17</v>
      </c>
      <c r="P4205" s="670">
        <f>O4205</f>
        <v>26.17</v>
      </c>
      <c r="Q4205" s="670">
        <v>0</v>
      </c>
      <c r="R4205" s="365"/>
      <c r="S4205" s="366"/>
      <c r="T4205" s="1399"/>
      <c r="U4205" s="1398"/>
      <c r="V4205" s="361"/>
      <c r="W4205" s="361"/>
    </row>
    <row r="4206" spans="1:23" ht="18.75" customHeight="1">
      <c r="A4206" s="1410"/>
      <c r="B4206" s="1413"/>
      <c r="C4206" s="1206" t="s">
        <v>984</v>
      </c>
      <c r="D4206" s="875" t="str">
        <f>B4205&amp;C4206</f>
        <v>B48b</v>
      </c>
      <c r="E4206" s="367">
        <v>1</v>
      </c>
      <c r="F4206" s="669" t="s">
        <v>1156</v>
      </c>
      <c r="G4206" s="369">
        <v>0.86805555555555547</v>
      </c>
      <c r="H4206" s="368">
        <v>0.89583333333333337</v>
      </c>
      <c r="I4206" s="368">
        <v>0.90277777777777779</v>
      </c>
      <c r="J4206" s="368">
        <v>0.92708333333333337</v>
      </c>
      <c r="K4206" s="669">
        <v>13</v>
      </c>
      <c r="L4206" s="669">
        <v>20</v>
      </c>
      <c r="M4206" s="675">
        <v>25.7</v>
      </c>
      <c r="N4206" s="671">
        <f>IF(M4206-P4206&gt;0,M4206-P4206,0)</f>
        <v>20.7</v>
      </c>
      <c r="O4206" s="671">
        <f>O4205-K4206/(PI()*(U4203/2000)^2)</f>
        <v>0.30732174756701269</v>
      </c>
      <c r="P4206" s="672">
        <v>5</v>
      </c>
      <c r="Q4206" s="673">
        <f>ABS(O4206-P4206)</f>
        <v>4.6926782524329873</v>
      </c>
      <c r="R4206" s="375" t="s">
        <v>188</v>
      </c>
      <c r="S4206" s="366"/>
      <c r="T4206" s="376"/>
      <c r="U4206" s="376"/>
      <c r="V4206" s="366"/>
      <c r="W4206" s="366"/>
    </row>
    <row r="4207" spans="1:23" ht="18.75" customHeight="1">
      <c r="A4207" s="1410"/>
      <c r="B4207" s="1413"/>
      <c r="C4207" s="1206" t="s">
        <v>985</v>
      </c>
      <c r="D4207" s="875" t="str">
        <f>B4205&amp;C4207</f>
        <v>B48c</v>
      </c>
      <c r="E4207" s="367">
        <v>2</v>
      </c>
      <c r="F4207" s="370"/>
      <c r="G4207" s="368"/>
      <c r="H4207" s="368"/>
      <c r="I4207" s="368"/>
      <c r="J4207" s="368"/>
      <c r="K4207" s="370"/>
      <c r="L4207" s="370"/>
      <c r="M4207" s="371"/>
      <c r="N4207" s="671"/>
      <c r="O4207" s="671"/>
      <c r="P4207" s="373"/>
      <c r="Q4207" s="673"/>
      <c r="R4207" s="958"/>
      <c r="S4207" s="366"/>
      <c r="T4207" s="376"/>
      <c r="U4207" s="376"/>
      <c r="V4207" s="366"/>
      <c r="W4207" s="366"/>
    </row>
    <row r="4208" spans="1:23" ht="18.75" customHeight="1">
      <c r="A4208" s="1410"/>
      <c r="B4208" s="1413"/>
      <c r="C4208" s="1206" t="s">
        <v>986</v>
      </c>
      <c r="D4208" s="875" t="str">
        <f>B4205&amp;C4208</f>
        <v>B48d</v>
      </c>
      <c r="E4208" s="367">
        <v>3</v>
      </c>
      <c r="F4208" s="370"/>
      <c r="G4208" s="368"/>
      <c r="H4208" s="368"/>
      <c r="I4208" s="368"/>
      <c r="J4208" s="368"/>
      <c r="K4208" s="370"/>
      <c r="L4208" s="370"/>
      <c r="M4208" s="371"/>
      <c r="N4208" s="671"/>
      <c r="O4208" s="671"/>
      <c r="P4208" s="373"/>
      <c r="Q4208" s="673"/>
      <c r="R4208" s="958"/>
      <c r="S4208" s="366"/>
      <c r="T4208" s="376"/>
      <c r="U4208" s="376"/>
      <c r="V4208" s="366"/>
      <c r="W4208" s="366"/>
    </row>
    <row r="4209" spans="1:23" ht="18.75" customHeight="1">
      <c r="A4209" s="1410"/>
      <c r="B4209" s="1413"/>
      <c r="C4209" s="1206" t="s">
        <v>987</v>
      </c>
      <c r="D4209" s="875" t="str">
        <f>B4205&amp;C4209</f>
        <v>B48e</v>
      </c>
      <c r="E4209" s="367">
        <v>4</v>
      </c>
      <c r="F4209" s="370"/>
      <c r="G4209" s="368"/>
      <c r="H4209" s="368"/>
      <c r="I4209" s="368"/>
      <c r="J4209" s="368"/>
      <c r="K4209" s="370"/>
      <c r="L4209" s="370"/>
      <c r="M4209" s="371"/>
      <c r="N4209" s="671"/>
      <c r="O4209" s="671"/>
      <c r="P4209" s="373"/>
      <c r="Q4209" s="673"/>
      <c r="R4209" s="958"/>
      <c r="S4209" s="366"/>
      <c r="T4209" s="376"/>
      <c r="U4209" s="376"/>
      <c r="V4209" s="366"/>
      <c r="W4209" s="366"/>
    </row>
    <row r="4210" spans="1:23" ht="18.75" customHeight="1">
      <c r="A4210" s="1410"/>
      <c r="B4210" s="1413"/>
      <c r="C4210" s="1206" t="s">
        <v>988</v>
      </c>
      <c r="D4210" s="875" t="str">
        <f>B4205&amp;C4210</f>
        <v>B48f</v>
      </c>
      <c r="E4210" s="367">
        <v>5</v>
      </c>
      <c r="F4210" s="370"/>
      <c r="G4210" s="368"/>
      <c r="H4210" s="368"/>
      <c r="I4210" s="368"/>
      <c r="J4210" s="368"/>
      <c r="K4210" s="370"/>
      <c r="L4210" s="370"/>
      <c r="M4210" s="371"/>
      <c r="N4210" s="671"/>
      <c r="O4210" s="671"/>
      <c r="P4210" s="373"/>
      <c r="Q4210" s="673"/>
      <c r="R4210" s="958"/>
      <c r="S4210" s="366" t="s">
        <v>190</v>
      </c>
      <c r="T4210" s="376"/>
      <c r="U4210" s="376"/>
      <c r="V4210" s="366"/>
      <c r="W4210" s="366"/>
    </row>
    <row r="4211" spans="1:23" ht="18.75" customHeight="1">
      <c r="A4211" s="1410"/>
      <c r="B4211" s="1413"/>
      <c r="C4211" s="1206" t="s">
        <v>989</v>
      </c>
      <c r="D4211" s="875" t="str">
        <f>B4205&amp;C4211</f>
        <v>B48g</v>
      </c>
      <c r="E4211" s="367">
        <v>6</v>
      </c>
      <c r="F4211" s="370"/>
      <c r="G4211" s="368"/>
      <c r="H4211" s="368"/>
      <c r="I4211" s="368"/>
      <c r="J4211" s="368"/>
      <c r="K4211" s="370"/>
      <c r="L4211" s="370"/>
      <c r="M4211" s="371"/>
      <c r="N4211" s="671"/>
      <c r="O4211" s="671"/>
      <c r="P4211" s="373"/>
      <c r="Q4211" s="673"/>
      <c r="R4211" s="958"/>
      <c r="S4211" s="366" t="s">
        <v>190</v>
      </c>
      <c r="T4211" s="366"/>
      <c r="U4211" s="366"/>
      <c r="V4211" s="366"/>
      <c r="W4211" s="366"/>
    </row>
    <row r="4212" spans="1:23" ht="18.75" customHeight="1">
      <c r="A4212" s="1410"/>
      <c r="B4212" s="1413"/>
      <c r="C4212" s="1206" t="s">
        <v>990</v>
      </c>
      <c r="D4212" s="875" t="str">
        <f>B4205&amp;C4212</f>
        <v>B48h</v>
      </c>
      <c r="E4212" s="367">
        <v>7</v>
      </c>
      <c r="F4212" s="370"/>
      <c r="G4212" s="368"/>
      <c r="H4212" s="368"/>
      <c r="I4212" s="368"/>
      <c r="J4212" s="368"/>
      <c r="K4212" s="370"/>
      <c r="L4212" s="370"/>
      <c r="M4212" s="371"/>
      <c r="N4212" s="671"/>
      <c r="O4212" s="671"/>
      <c r="P4212" s="373"/>
      <c r="Q4212" s="673"/>
      <c r="R4212" s="958"/>
      <c r="S4212" s="366" t="s">
        <v>190</v>
      </c>
      <c r="T4212" s="366"/>
      <c r="U4212" s="366"/>
      <c r="V4212" s="366"/>
      <c r="W4212" s="366"/>
    </row>
    <row r="4213" spans="1:23" ht="18.75" customHeight="1">
      <c r="A4213" s="1410"/>
      <c r="B4213" s="1413"/>
      <c r="C4213" s="1206" t="s">
        <v>991</v>
      </c>
      <c r="D4213" s="875" t="str">
        <f>B4205&amp;C4213</f>
        <v>B48i</v>
      </c>
      <c r="E4213" s="367">
        <v>8</v>
      </c>
      <c r="F4213" s="370"/>
      <c r="G4213" s="368"/>
      <c r="H4213" s="368"/>
      <c r="I4213" s="368"/>
      <c r="J4213" s="368"/>
      <c r="K4213" s="370"/>
      <c r="L4213" s="370"/>
      <c r="M4213" s="371"/>
      <c r="N4213" s="671"/>
      <c r="O4213" s="671"/>
      <c r="P4213" s="373"/>
      <c r="Q4213" s="673"/>
      <c r="R4213" s="958"/>
      <c r="S4213" s="366"/>
      <c r="T4213" s="366"/>
      <c r="U4213" s="366"/>
      <c r="V4213" s="366"/>
      <c r="W4213" s="366"/>
    </row>
    <row r="4214" spans="1:23" ht="18.75" customHeight="1">
      <c r="A4214" s="1410"/>
      <c r="B4214" s="1413"/>
      <c r="C4214" s="1206" t="s">
        <v>992</v>
      </c>
      <c r="D4214" s="875" t="str">
        <f>B4205&amp;C4214</f>
        <v>B48k</v>
      </c>
      <c r="E4214" s="367">
        <v>9</v>
      </c>
      <c r="F4214" s="370"/>
      <c r="G4214" s="368"/>
      <c r="H4214" s="368"/>
      <c r="I4214" s="368"/>
      <c r="J4214" s="368"/>
      <c r="K4214" s="370"/>
      <c r="L4214" s="370"/>
      <c r="M4214" s="371"/>
      <c r="N4214" s="372"/>
      <c r="O4214" s="372"/>
      <c r="P4214" s="373"/>
      <c r="Q4214" s="374"/>
      <c r="R4214" s="378"/>
      <c r="S4214" s="379"/>
      <c r="T4214" s="366"/>
      <c r="U4214" s="366"/>
      <c r="V4214" s="366"/>
      <c r="W4214" s="366"/>
    </row>
    <row r="4215" spans="1:23" ht="18.75" customHeight="1">
      <c r="A4215" s="1410"/>
      <c r="B4215" s="1413"/>
      <c r="C4215" s="1206" t="s">
        <v>993</v>
      </c>
      <c r="D4215" s="875" t="str">
        <f>B4205&amp;C4215</f>
        <v>B48l</v>
      </c>
      <c r="E4215" s="367">
        <v>10</v>
      </c>
      <c r="F4215" s="370"/>
      <c r="G4215" s="368"/>
      <c r="H4215" s="368"/>
      <c r="I4215" s="368"/>
      <c r="J4215" s="368"/>
      <c r="K4215" s="370"/>
      <c r="L4215" s="370"/>
      <c r="M4215" s="370"/>
      <c r="N4215" s="372"/>
      <c r="O4215" s="372"/>
      <c r="P4215" s="373"/>
      <c r="Q4215" s="374"/>
      <c r="R4215" s="378"/>
      <c r="S4215" s="379"/>
      <c r="T4215" s="366"/>
      <c r="U4215" s="366"/>
      <c r="V4215" s="366"/>
      <c r="W4215" s="366"/>
    </row>
    <row r="4216" spans="1:23" ht="18.75" customHeight="1">
      <c r="A4216" s="1410"/>
      <c r="B4216" s="1413"/>
      <c r="C4216" s="1206" t="s">
        <v>994</v>
      </c>
      <c r="D4216" s="875" t="str">
        <f>B4205&amp;C4216</f>
        <v>B48m</v>
      </c>
      <c r="E4216" s="367">
        <v>11</v>
      </c>
      <c r="F4216" s="370"/>
      <c r="G4216" s="368"/>
      <c r="H4216" s="368"/>
      <c r="I4216" s="368"/>
      <c r="J4216" s="368"/>
      <c r="K4216" s="370"/>
      <c r="L4216" s="370"/>
      <c r="M4216" s="370"/>
      <c r="N4216" s="372"/>
      <c r="O4216" s="372"/>
      <c r="P4216" s="380"/>
      <c r="Q4216" s="374"/>
      <c r="R4216" s="381"/>
      <c r="S4216" s="379"/>
      <c r="T4216" s="366"/>
      <c r="U4216" s="366"/>
      <c r="V4216" s="366"/>
      <c r="W4216" s="366"/>
    </row>
    <row r="4217" spans="1:23" ht="18.75" customHeight="1">
      <c r="A4217" s="1410"/>
      <c r="B4217" s="1413"/>
      <c r="C4217" s="1206" t="s">
        <v>995</v>
      </c>
      <c r="D4217" s="875" t="str">
        <f>B4205&amp;C4217</f>
        <v>B48n</v>
      </c>
      <c r="E4217" s="367">
        <v>12</v>
      </c>
      <c r="F4217" s="370"/>
      <c r="G4217" s="368"/>
      <c r="H4217" s="368"/>
      <c r="I4217" s="368"/>
      <c r="J4217" s="368"/>
      <c r="K4217" s="370"/>
      <c r="L4217" s="370"/>
      <c r="M4217" s="370"/>
      <c r="N4217" s="372"/>
      <c r="O4217" s="372"/>
      <c r="P4217" s="380"/>
      <c r="Q4217" s="374"/>
      <c r="R4217" s="381"/>
      <c r="S4217" s="361"/>
      <c r="T4217" s="361"/>
      <c r="U4217" s="361"/>
      <c r="V4217" s="366"/>
      <c r="W4217" s="366"/>
    </row>
    <row r="4218" spans="1:23" ht="18.75" customHeight="1">
      <c r="A4218" s="1410"/>
      <c r="B4218" s="1413"/>
      <c r="C4218" s="1206" t="s">
        <v>471</v>
      </c>
      <c r="D4218" s="875" t="str">
        <f>B4205&amp;C4218</f>
        <v>B48x</v>
      </c>
      <c r="E4218" s="367">
        <v>13</v>
      </c>
      <c r="F4218" s="370"/>
      <c r="G4218" s="368"/>
      <c r="H4218" s="368"/>
      <c r="I4218" s="368"/>
      <c r="J4218" s="368"/>
      <c r="K4218" s="370"/>
      <c r="L4218" s="370"/>
      <c r="M4218" s="370"/>
      <c r="N4218" s="382"/>
      <c r="O4218" s="372"/>
      <c r="P4218" s="380"/>
      <c r="Q4218" s="381"/>
      <c r="R4218" s="381"/>
      <c r="S4218" s="361"/>
      <c r="T4218" s="361"/>
      <c r="U4218" s="361"/>
      <c r="V4218" s="366"/>
      <c r="W4218" s="366"/>
    </row>
    <row r="4219" spans="1:23" ht="18.75" customHeight="1">
      <c r="A4219" s="1410"/>
      <c r="B4219" s="1413"/>
      <c r="C4219" s="1206" t="s">
        <v>732</v>
      </c>
      <c r="D4219" s="875" t="str">
        <f>B4205&amp;C4219</f>
        <v>B48y</v>
      </c>
      <c r="E4219" s="367">
        <v>14</v>
      </c>
      <c r="F4219" s="370"/>
      <c r="G4219" s="368"/>
      <c r="H4219" s="368"/>
      <c r="I4219" s="368"/>
      <c r="J4219" s="368"/>
      <c r="K4219" s="370"/>
      <c r="L4219" s="370"/>
      <c r="M4219" s="370"/>
      <c r="N4219" s="382"/>
      <c r="O4219" s="372"/>
      <c r="P4219" s="380"/>
      <c r="Q4219" s="381"/>
      <c r="R4219" s="381"/>
      <c r="S4219" s="361"/>
      <c r="T4219" s="361"/>
      <c r="U4219" s="362"/>
      <c r="V4219" s="366"/>
      <c r="W4219" s="366"/>
    </row>
    <row r="4220" spans="1:23" ht="18.75" customHeight="1">
      <c r="A4220" s="1411"/>
      <c r="B4220" s="1414"/>
      <c r="C4220" s="1207" t="s">
        <v>996</v>
      </c>
      <c r="D4220" s="876" t="str">
        <f>B4205&amp;C4220</f>
        <v>B48z</v>
      </c>
      <c r="E4220" s="847">
        <v>15</v>
      </c>
      <c r="F4220" s="370"/>
      <c r="G4220" s="368"/>
      <c r="H4220" s="368"/>
      <c r="I4220" s="368"/>
      <c r="J4220" s="368"/>
      <c r="K4220" s="370"/>
      <c r="L4220" s="370"/>
      <c r="M4220" s="370"/>
      <c r="N4220" s="850"/>
      <c r="O4220" s="851"/>
      <c r="P4220" s="380"/>
      <c r="Q4220" s="852"/>
      <c r="R4220" s="383"/>
      <c r="S4220" s="361"/>
      <c r="T4220" s="1204"/>
      <c r="U4220" s="1203"/>
      <c r="V4220" s="366"/>
      <c r="W4220" s="366"/>
    </row>
    <row r="4221" spans="1:23">
      <c r="A4221" s="1400" t="s">
        <v>939</v>
      </c>
      <c r="B4221" s="1400"/>
      <c r="C4221" s="1200"/>
      <c r="D4221" s="871"/>
      <c r="E4221" s="1400" t="s">
        <v>177</v>
      </c>
      <c r="F4221" s="1400" t="s">
        <v>18</v>
      </c>
      <c r="G4221" s="1389" t="s">
        <v>19</v>
      </c>
      <c r="H4221" s="1390"/>
      <c r="I4221" s="1389" t="s">
        <v>22</v>
      </c>
      <c r="J4221" s="1390"/>
      <c r="K4221" s="1393" t="s">
        <v>26</v>
      </c>
      <c r="L4221" s="1390"/>
      <c r="M4221" s="1389" t="s">
        <v>392</v>
      </c>
      <c r="N4221" s="1390"/>
      <c r="O4221" s="1389" t="s">
        <v>28</v>
      </c>
      <c r="P4221" s="1393"/>
      <c r="Q4221" s="1390"/>
      <c r="R4221" s="1400" t="s">
        <v>36</v>
      </c>
      <c r="S4221" s="361"/>
      <c r="T4221" s="361">
        <f>MAX(J4225:J4239)-MIN(I4225:I4239)</f>
        <v>3.8194444444444475E-2</v>
      </c>
      <c r="U4221" s="361"/>
      <c r="V4221" s="853" t="str">
        <f t="shared" ref="V4221" si="532">B4225</f>
        <v>A108</v>
      </c>
      <c r="W4221" s="361">
        <f t="shared" ref="W4221" si="533">COUNTIF(K4226:K4240,"&gt;0")</f>
        <v>3</v>
      </c>
    </row>
    <row r="4222" spans="1:23">
      <c r="A4222" s="1401"/>
      <c r="B4222" s="1401"/>
      <c r="C4222" s="1202"/>
      <c r="D4222" s="872"/>
      <c r="E4222" s="1401"/>
      <c r="F4222" s="1401"/>
      <c r="G4222" s="1391"/>
      <c r="H4222" s="1392"/>
      <c r="I4222" s="1391"/>
      <c r="J4222" s="1392"/>
      <c r="K4222" s="1394"/>
      <c r="L4222" s="1392"/>
      <c r="M4222" s="1391"/>
      <c r="N4222" s="1392"/>
      <c r="O4222" s="1391"/>
      <c r="P4222" s="1394"/>
      <c r="Q4222" s="1392"/>
      <c r="R4222" s="1401"/>
      <c r="S4222" s="361"/>
      <c r="T4222" s="361"/>
      <c r="U4222" s="361"/>
      <c r="V4222" s="361"/>
      <c r="W4222" s="361"/>
    </row>
    <row r="4223" spans="1:23">
      <c r="A4223" s="1401"/>
      <c r="B4223" s="1401"/>
      <c r="C4223" s="1202"/>
      <c r="D4223" s="872"/>
      <c r="E4223" s="1401"/>
      <c r="F4223" s="1401"/>
      <c r="G4223" s="1400" t="s">
        <v>20</v>
      </c>
      <c r="H4223" s="1400" t="s">
        <v>21</v>
      </c>
      <c r="I4223" s="1400" t="s">
        <v>361</v>
      </c>
      <c r="J4223" s="1400" t="s">
        <v>353</v>
      </c>
      <c r="K4223" s="1400" t="s">
        <v>23</v>
      </c>
      <c r="L4223" s="1400" t="s">
        <v>24</v>
      </c>
      <c r="M4223" s="1400" t="s">
        <v>27</v>
      </c>
      <c r="N4223" s="1400" t="s">
        <v>178</v>
      </c>
      <c r="O4223" s="1400" t="s">
        <v>1</v>
      </c>
      <c r="P4223" s="1400" t="s">
        <v>29</v>
      </c>
      <c r="Q4223" s="1400" t="s">
        <v>33</v>
      </c>
      <c r="R4223" s="1401"/>
      <c r="S4223" s="361"/>
      <c r="T4223" s="361" t="s">
        <v>39</v>
      </c>
      <c r="U4223" s="362">
        <f>VLOOKUP(B4225,'[8]Thong tin'!$A:$M,13,0)</f>
        <v>1200</v>
      </c>
      <c r="V4223" s="361"/>
      <c r="W4223" s="361"/>
    </row>
    <row r="4224" spans="1:23">
      <c r="A4224" s="1402"/>
      <c r="B4224" s="1402"/>
      <c r="C4224" s="1201"/>
      <c r="D4224" s="873"/>
      <c r="E4224" s="1402"/>
      <c r="F4224" s="1402"/>
      <c r="G4224" s="1402"/>
      <c r="H4224" s="1402"/>
      <c r="I4224" s="1402"/>
      <c r="J4224" s="1402"/>
      <c r="K4224" s="1402"/>
      <c r="L4224" s="1402"/>
      <c r="M4224" s="1402"/>
      <c r="N4224" s="1402"/>
      <c r="O4224" s="1402"/>
      <c r="P4224" s="1402"/>
      <c r="Q4224" s="1402"/>
      <c r="R4224" s="1402"/>
      <c r="S4224" s="361"/>
      <c r="T4224" s="1399" t="s">
        <v>393</v>
      </c>
      <c r="U4224" s="1397">
        <f>VLOOKUP(B4225,[8]DT.NK!$B:$AZ,45,0)</f>
        <v>34.43</v>
      </c>
      <c r="V4224" s="361"/>
      <c r="W4224" s="361"/>
    </row>
    <row r="4225" spans="1:23" ht="18.75" customHeight="1">
      <c r="A4225" s="1409">
        <f>A4205+1</f>
        <v>212</v>
      </c>
      <c r="B4225" s="1412" t="s">
        <v>575</v>
      </c>
      <c r="C4225" s="1205" t="s">
        <v>983</v>
      </c>
      <c r="D4225" s="874" t="str">
        <f>B4225&amp;C4225</f>
        <v>A108a</v>
      </c>
      <c r="E4225" s="363"/>
      <c r="F4225" s="364"/>
      <c r="G4225" s="364"/>
      <c r="H4225" s="364"/>
      <c r="I4225" s="364"/>
      <c r="J4225" s="364"/>
      <c r="K4225" s="364"/>
      <c r="L4225" s="364"/>
      <c r="M4225" s="674"/>
      <c r="N4225" s="670"/>
      <c r="O4225" s="670">
        <f>U4224</f>
        <v>34.43</v>
      </c>
      <c r="P4225" s="670">
        <f>O4225</f>
        <v>34.43</v>
      </c>
      <c r="Q4225" s="670">
        <v>0</v>
      </c>
      <c r="R4225" s="365"/>
      <c r="S4225" s="366"/>
      <c r="T4225" s="1399"/>
      <c r="U4225" s="1398"/>
      <c r="V4225" s="361"/>
      <c r="W4225" s="361"/>
    </row>
    <row r="4226" spans="1:23" ht="18.75" customHeight="1">
      <c r="A4226" s="1410"/>
      <c r="B4226" s="1413"/>
      <c r="C4226" s="1206" t="s">
        <v>984</v>
      </c>
      <c r="D4226" s="875" t="str">
        <f>B4225&amp;C4226</f>
        <v>A108b</v>
      </c>
      <c r="E4226" s="367">
        <v>1</v>
      </c>
      <c r="F4226" s="669" t="s">
        <v>1160</v>
      </c>
      <c r="G4226" s="369">
        <v>0.12847222222222224</v>
      </c>
      <c r="H4226" s="368">
        <v>0.19097222222222221</v>
      </c>
      <c r="I4226" s="368">
        <v>0.19791666666666666</v>
      </c>
      <c r="J4226" s="368">
        <v>0.20347222222222219</v>
      </c>
      <c r="K4226" s="669">
        <v>13</v>
      </c>
      <c r="L4226" s="669">
        <v>20</v>
      </c>
      <c r="M4226" s="675">
        <v>30.85</v>
      </c>
      <c r="N4226" s="671">
        <f>IF(M4226-P4226&gt;0,M4226-P4226,0)</f>
        <v>2.4500000000000028</v>
      </c>
      <c r="O4226" s="671">
        <f>O4225-K4226/(PI()*(U4223/2000)^2)</f>
        <v>22.935476332252001</v>
      </c>
      <c r="P4226" s="672">
        <v>28.4</v>
      </c>
      <c r="Q4226" s="673">
        <f>ABS(O4226-P4226)</f>
        <v>5.4645236677479971</v>
      </c>
      <c r="R4226" s="375" t="s">
        <v>188</v>
      </c>
      <c r="S4226" s="366"/>
      <c r="T4226" s="376"/>
      <c r="U4226" s="376"/>
      <c r="V4226" s="366"/>
      <c r="W4226" s="366"/>
    </row>
    <row r="4227" spans="1:23" ht="18.75" customHeight="1">
      <c r="A4227" s="1410"/>
      <c r="B4227" s="1413"/>
      <c r="C4227" s="1206" t="s">
        <v>985</v>
      </c>
      <c r="D4227" s="875" t="str">
        <f>B4225&amp;C4227</f>
        <v>A108c</v>
      </c>
      <c r="E4227" s="367">
        <v>2</v>
      </c>
      <c r="F4227" s="669" t="s">
        <v>1156</v>
      </c>
      <c r="G4227" s="368">
        <v>0.13194444444444445</v>
      </c>
      <c r="H4227" s="368">
        <v>0.20138888888888887</v>
      </c>
      <c r="I4227" s="368">
        <v>0.21875</v>
      </c>
      <c r="J4227" s="368">
        <v>0.22500000000000001</v>
      </c>
      <c r="K4227" s="370">
        <v>13</v>
      </c>
      <c r="L4227" s="370">
        <v>19</v>
      </c>
      <c r="M4227" s="371">
        <v>21.4</v>
      </c>
      <c r="N4227" s="671"/>
      <c r="O4227" s="671"/>
      <c r="P4227" s="373">
        <v>17.7</v>
      </c>
      <c r="Q4227" s="673"/>
      <c r="R4227" s="958" t="s">
        <v>188</v>
      </c>
      <c r="S4227" s="366"/>
      <c r="T4227" s="376"/>
      <c r="U4227" s="376"/>
      <c r="V4227" s="366"/>
      <c r="W4227" s="366"/>
    </row>
    <row r="4228" spans="1:23" ht="18.75" customHeight="1">
      <c r="A4228" s="1410"/>
      <c r="B4228" s="1413"/>
      <c r="C4228" s="1206" t="s">
        <v>986</v>
      </c>
      <c r="D4228" s="875" t="str">
        <f>B4225&amp;C4228</f>
        <v>A108d</v>
      </c>
      <c r="E4228" s="367">
        <v>3</v>
      </c>
      <c r="F4228" s="669" t="s">
        <v>1159</v>
      </c>
      <c r="G4228" s="368">
        <v>0.1388888888888889</v>
      </c>
      <c r="H4228" s="368">
        <v>0.21180555555555555</v>
      </c>
      <c r="I4228" s="368">
        <v>0.23124999999999998</v>
      </c>
      <c r="J4228" s="368">
        <v>0.23611111111111113</v>
      </c>
      <c r="K4228" s="370">
        <v>13</v>
      </c>
      <c r="L4228" s="370">
        <v>19</v>
      </c>
      <c r="M4228" s="371"/>
      <c r="N4228" s="671"/>
      <c r="O4228" s="671"/>
      <c r="P4228" s="373">
        <v>6.4</v>
      </c>
      <c r="Q4228" s="673"/>
      <c r="R4228" s="958" t="s">
        <v>188</v>
      </c>
      <c r="S4228" s="366"/>
      <c r="T4228" s="376"/>
      <c r="U4228" s="376"/>
      <c r="V4228" s="366"/>
      <c r="W4228" s="366"/>
    </row>
    <row r="4229" spans="1:23" ht="18.75" customHeight="1">
      <c r="A4229" s="1410"/>
      <c r="B4229" s="1413"/>
      <c r="C4229" s="1206" t="s">
        <v>987</v>
      </c>
      <c r="D4229" s="875" t="str">
        <f>B4225&amp;C4229</f>
        <v>A108e</v>
      </c>
      <c r="E4229" s="367">
        <v>4</v>
      </c>
      <c r="F4229" s="370"/>
      <c r="G4229" s="368"/>
      <c r="H4229" s="368"/>
      <c r="I4229" s="368"/>
      <c r="J4229" s="368"/>
      <c r="K4229" s="370"/>
      <c r="L4229" s="370"/>
      <c r="M4229" s="371"/>
      <c r="N4229" s="671"/>
      <c r="O4229" s="671"/>
      <c r="P4229" s="373"/>
      <c r="Q4229" s="673"/>
      <c r="R4229" s="958"/>
      <c r="S4229" s="366"/>
      <c r="T4229" s="376"/>
      <c r="U4229" s="376"/>
      <c r="V4229" s="366"/>
      <c r="W4229" s="366"/>
    </row>
    <row r="4230" spans="1:23" ht="18.75" customHeight="1">
      <c r="A4230" s="1410"/>
      <c r="B4230" s="1413"/>
      <c r="C4230" s="1206" t="s">
        <v>988</v>
      </c>
      <c r="D4230" s="875" t="str">
        <f>B4225&amp;C4230</f>
        <v>A108f</v>
      </c>
      <c r="E4230" s="367">
        <v>5</v>
      </c>
      <c r="F4230" s="370"/>
      <c r="G4230" s="368"/>
      <c r="H4230" s="368"/>
      <c r="I4230" s="368"/>
      <c r="J4230" s="368"/>
      <c r="K4230" s="370"/>
      <c r="L4230" s="370"/>
      <c r="M4230" s="371"/>
      <c r="N4230" s="671"/>
      <c r="O4230" s="671"/>
      <c r="P4230" s="373"/>
      <c r="Q4230" s="673"/>
      <c r="R4230" s="958"/>
      <c r="S4230" s="366" t="s">
        <v>190</v>
      </c>
      <c r="T4230" s="376"/>
      <c r="U4230" s="376"/>
      <c r="V4230" s="366"/>
      <c r="W4230" s="366"/>
    </row>
    <row r="4231" spans="1:23" ht="18.75" customHeight="1">
      <c r="A4231" s="1410"/>
      <c r="B4231" s="1413"/>
      <c r="C4231" s="1206" t="s">
        <v>989</v>
      </c>
      <c r="D4231" s="875" t="str">
        <f>B4225&amp;C4231</f>
        <v>A108g</v>
      </c>
      <c r="E4231" s="367">
        <v>6</v>
      </c>
      <c r="F4231" s="370"/>
      <c r="G4231" s="368"/>
      <c r="H4231" s="368"/>
      <c r="I4231" s="368"/>
      <c r="J4231" s="368"/>
      <c r="K4231" s="370"/>
      <c r="L4231" s="370"/>
      <c r="M4231" s="371"/>
      <c r="N4231" s="671"/>
      <c r="O4231" s="671"/>
      <c r="P4231" s="373"/>
      <c r="Q4231" s="673"/>
      <c r="R4231" s="958"/>
      <c r="S4231" s="366" t="s">
        <v>190</v>
      </c>
      <c r="T4231" s="366"/>
      <c r="U4231" s="366"/>
      <c r="V4231" s="366"/>
      <c r="W4231" s="366"/>
    </row>
    <row r="4232" spans="1:23" ht="18.75" customHeight="1">
      <c r="A4232" s="1410"/>
      <c r="B4232" s="1413"/>
      <c r="C4232" s="1206" t="s">
        <v>990</v>
      </c>
      <c r="D4232" s="875" t="str">
        <f>B4225&amp;C4232</f>
        <v>A108h</v>
      </c>
      <c r="E4232" s="367">
        <v>7</v>
      </c>
      <c r="F4232" s="370"/>
      <c r="G4232" s="368"/>
      <c r="H4232" s="368"/>
      <c r="I4232" s="368"/>
      <c r="J4232" s="368"/>
      <c r="K4232" s="370"/>
      <c r="L4232" s="370"/>
      <c r="M4232" s="371"/>
      <c r="N4232" s="671"/>
      <c r="O4232" s="671"/>
      <c r="P4232" s="373"/>
      <c r="Q4232" s="673"/>
      <c r="R4232" s="958"/>
      <c r="S4232" s="366" t="s">
        <v>190</v>
      </c>
      <c r="T4232" s="366"/>
      <c r="U4232" s="366"/>
      <c r="V4232" s="366"/>
      <c r="W4232" s="366"/>
    </row>
    <row r="4233" spans="1:23" ht="18.75" customHeight="1">
      <c r="A4233" s="1410"/>
      <c r="B4233" s="1413"/>
      <c r="C4233" s="1206" t="s">
        <v>991</v>
      </c>
      <c r="D4233" s="875" t="str">
        <f>B4225&amp;C4233</f>
        <v>A108i</v>
      </c>
      <c r="E4233" s="367">
        <v>8</v>
      </c>
      <c r="F4233" s="370"/>
      <c r="G4233" s="368"/>
      <c r="H4233" s="368"/>
      <c r="I4233" s="368"/>
      <c r="J4233" s="368"/>
      <c r="K4233" s="370"/>
      <c r="L4233" s="370"/>
      <c r="M4233" s="371"/>
      <c r="N4233" s="671"/>
      <c r="O4233" s="671"/>
      <c r="P4233" s="373"/>
      <c r="Q4233" s="673"/>
      <c r="R4233" s="958"/>
      <c r="S4233" s="366"/>
      <c r="T4233" s="366"/>
      <c r="U4233" s="366"/>
      <c r="V4233" s="366"/>
      <c r="W4233" s="366"/>
    </row>
    <row r="4234" spans="1:23" ht="18.75" customHeight="1">
      <c r="A4234" s="1410"/>
      <c r="B4234" s="1413"/>
      <c r="C4234" s="1206" t="s">
        <v>992</v>
      </c>
      <c r="D4234" s="875" t="str">
        <f>B4225&amp;C4234</f>
        <v>A108k</v>
      </c>
      <c r="E4234" s="367">
        <v>9</v>
      </c>
      <c r="F4234" s="370"/>
      <c r="G4234" s="368"/>
      <c r="H4234" s="368"/>
      <c r="I4234" s="368"/>
      <c r="J4234" s="368"/>
      <c r="K4234" s="370"/>
      <c r="L4234" s="370"/>
      <c r="M4234" s="371"/>
      <c r="N4234" s="372"/>
      <c r="O4234" s="372"/>
      <c r="P4234" s="373"/>
      <c r="Q4234" s="374"/>
      <c r="R4234" s="378"/>
      <c r="S4234" s="379"/>
      <c r="T4234" s="366"/>
      <c r="U4234" s="366"/>
      <c r="V4234" s="366"/>
      <c r="W4234" s="366"/>
    </row>
    <row r="4235" spans="1:23" ht="18.75" customHeight="1">
      <c r="A4235" s="1410"/>
      <c r="B4235" s="1413"/>
      <c r="C4235" s="1206" t="s">
        <v>993</v>
      </c>
      <c r="D4235" s="875" t="str">
        <f>B4225&amp;C4235</f>
        <v>A108l</v>
      </c>
      <c r="E4235" s="367">
        <v>10</v>
      </c>
      <c r="F4235" s="370"/>
      <c r="G4235" s="368"/>
      <c r="H4235" s="368"/>
      <c r="I4235" s="368"/>
      <c r="J4235" s="368"/>
      <c r="K4235" s="370"/>
      <c r="L4235" s="370"/>
      <c r="M4235" s="370"/>
      <c r="N4235" s="372"/>
      <c r="O4235" s="372"/>
      <c r="P4235" s="373"/>
      <c r="Q4235" s="374"/>
      <c r="R4235" s="378"/>
      <c r="S4235" s="379"/>
      <c r="T4235" s="366"/>
      <c r="U4235" s="366"/>
      <c r="V4235" s="366"/>
      <c r="W4235" s="366"/>
    </row>
    <row r="4236" spans="1:23" ht="18.75" customHeight="1">
      <c r="A4236" s="1410"/>
      <c r="B4236" s="1413"/>
      <c r="C4236" s="1206" t="s">
        <v>994</v>
      </c>
      <c r="D4236" s="875" t="str">
        <f>B4225&amp;C4236</f>
        <v>A108m</v>
      </c>
      <c r="E4236" s="367">
        <v>11</v>
      </c>
      <c r="F4236" s="370"/>
      <c r="G4236" s="368"/>
      <c r="H4236" s="368"/>
      <c r="I4236" s="368"/>
      <c r="J4236" s="368"/>
      <c r="K4236" s="370"/>
      <c r="L4236" s="370"/>
      <c r="M4236" s="370"/>
      <c r="N4236" s="372"/>
      <c r="O4236" s="372"/>
      <c r="P4236" s="380"/>
      <c r="Q4236" s="374"/>
      <c r="R4236" s="381"/>
      <c r="S4236" s="379"/>
      <c r="T4236" s="366"/>
      <c r="U4236" s="366"/>
      <c r="V4236" s="366"/>
      <c r="W4236" s="366"/>
    </row>
    <row r="4237" spans="1:23" ht="18.75" customHeight="1">
      <c r="A4237" s="1410"/>
      <c r="B4237" s="1413"/>
      <c r="C4237" s="1206" t="s">
        <v>995</v>
      </c>
      <c r="D4237" s="875" t="str">
        <f>B4225&amp;C4237</f>
        <v>A108n</v>
      </c>
      <c r="E4237" s="367">
        <v>12</v>
      </c>
      <c r="F4237" s="370"/>
      <c r="G4237" s="368"/>
      <c r="H4237" s="368"/>
      <c r="I4237" s="368"/>
      <c r="J4237" s="368"/>
      <c r="K4237" s="370"/>
      <c r="L4237" s="370"/>
      <c r="M4237" s="370"/>
      <c r="N4237" s="372"/>
      <c r="O4237" s="372"/>
      <c r="P4237" s="380"/>
      <c r="Q4237" s="374"/>
      <c r="R4237" s="381"/>
      <c r="S4237" s="361"/>
      <c r="T4237" s="361"/>
      <c r="U4237" s="361"/>
      <c r="V4237" s="366"/>
      <c r="W4237" s="366"/>
    </row>
    <row r="4238" spans="1:23" ht="18.75" customHeight="1">
      <c r="A4238" s="1410"/>
      <c r="B4238" s="1413"/>
      <c r="C4238" s="1206" t="s">
        <v>471</v>
      </c>
      <c r="D4238" s="875" t="str">
        <f>B4225&amp;C4238</f>
        <v>A108x</v>
      </c>
      <c r="E4238" s="367">
        <v>13</v>
      </c>
      <c r="F4238" s="370"/>
      <c r="G4238" s="368"/>
      <c r="H4238" s="368"/>
      <c r="I4238" s="368"/>
      <c r="J4238" s="368"/>
      <c r="K4238" s="370"/>
      <c r="L4238" s="370"/>
      <c r="M4238" s="370"/>
      <c r="N4238" s="382"/>
      <c r="O4238" s="372"/>
      <c r="P4238" s="380"/>
      <c r="Q4238" s="381"/>
      <c r="R4238" s="381"/>
      <c r="S4238" s="361"/>
      <c r="T4238" s="361"/>
      <c r="U4238" s="361"/>
      <c r="V4238" s="366"/>
      <c r="W4238" s="366"/>
    </row>
    <row r="4239" spans="1:23" ht="18.75" customHeight="1">
      <c r="A4239" s="1410"/>
      <c r="B4239" s="1413"/>
      <c r="C4239" s="1206" t="s">
        <v>732</v>
      </c>
      <c r="D4239" s="875" t="str">
        <f>B4225&amp;C4239</f>
        <v>A108y</v>
      </c>
      <c r="E4239" s="367">
        <v>14</v>
      </c>
      <c r="F4239" s="370"/>
      <c r="G4239" s="368"/>
      <c r="H4239" s="368"/>
      <c r="I4239" s="368"/>
      <c r="J4239" s="368"/>
      <c r="K4239" s="370"/>
      <c r="L4239" s="370"/>
      <c r="M4239" s="370"/>
      <c r="N4239" s="382"/>
      <c r="O4239" s="372"/>
      <c r="P4239" s="380"/>
      <c r="Q4239" s="381"/>
      <c r="R4239" s="381"/>
      <c r="S4239" s="361"/>
      <c r="T4239" s="361"/>
      <c r="U4239" s="362"/>
      <c r="V4239" s="366"/>
      <c r="W4239" s="366"/>
    </row>
    <row r="4240" spans="1:23" ht="18.75" customHeight="1">
      <c r="A4240" s="1411"/>
      <c r="B4240" s="1414"/>
      <c r="C4240" s="1207" t="s">
        <v>996</v>
      </c>
      <c r="D4240" s="876" t="str">
        <f>B4225&amp;C4240</f>
        <v>A108z</v>
      </c>
      <c r="E4240" s="847">
        <v>15</v>
      </c>
      <c r="F4240" s="370"/>
      <c r="G4240" s="368"/>
      <c r="H4240" s="368"/>
      <c r="I4240" s="368"/>
      <c r="J4240" s="368"/>
      <c r="K4240" s="370"/>
      <c r="L4240" s="370"/>
      <c r="M4240" s="370"/>
      <c r="N4240" s="850"/>
      <c r="O4240" s="851"/>
      <c r="P4240" s="380"/>
      <c r="Q4240" s="852"/>
      <c r="R4240" s="383"/>
      <c r="S4240" s="361"/>
      <c r="T4240" s="1204"/>
      <c r="U4240" s="1203"/>
      <c r="V4240" s="366"/>
      <c r="W4240" s="366"/>
    </row>
    <row r="4241" spans="1:23">
      <c r="A4241" s="1400" t="s">
        <v>939</v>
      </c>
      <c r="B4241" s="1400"/>
      <c r="C4241" s="1200"/>
      <c r="D4241" s="871"/>
      <c r="E4241" s="1400" t="s">
        <v>177</v>
      </c>
      <c r="F4241" s="1400" t="s">
        <v>18</v>
      </c>
      <c r="G4241" s="1389" t="s">
        <v>19</v>
      </c>
      <c r="H4241" s="1390"/>
      <c r="I4241" s="1389" t="s">
        <v>22</v>
      </c>
      <c r="J4241" s="1390"/>
      <c r="K4241" s="1393" t="s">
        <v>26</v>
      </c>
      <c r="L4241" s="1390"/>
      <c r="M4241" s="1389" t="s">
        <v>392</v>
      </c>
      <c r="N4241" s="1390"/>
      <c r="O4241" s="1389" t="s">
        <v>28</v>
      </c>
      <c r="P4241" s="1393"/>
      <c r="Q4241" s="1390"/>
      <c r="R4241" s="1400" t="s">
        <v>36</v>
      </c>
      <c r="S4241" s="361"/>
      <c r="T4241" s="361">
        <f>MAX(J4245:J4259)-MIN(I4245:I4259)</f>
        <v>1.6666666666666718E-2</v>
      </c>
      <c r="U4241" s="361"/>
      <c r="V4241" s="853" t="str">
        <f t="shared" ref="V4241" si="534">B4245</f>
        <v>B2</v>
      </c>
      <c r="W4241" s="361">
        <f t="shared" ref="W4241" si="535">COUNTIF(K4246:K4260,"&gt;0")</f>
        <v>2</v>
      </c>
    </row>
    <row r="4242" spans="1:23">
      <c r="A4242" s="1401"/>
      <c r="B4242" s="1401"/>
      <c r="C4242" s="1202"/>
      <c r="D4242" s="872"/>
      <c r="E4242" s="1401"/>
      <c r="F4242" s="1401"/>
      <c r="G4242" s="1391"/>
      <c r="H4242" s="1392"/>
      <c r="I4242" s="1391"/>
      <c r="J4242" s="1392"/>
      <c r="K4242" s="1394"/>
      <c r="L4242" s="1392"/>
      <c r="M4242" s="1391"/>
      <c r="N4242" s="1392"/>
      <c r="O4242" s="1391"/>
      <c r="P4242" s="1394"/>
      <c r="Q4242" s="1392"/>
      <c r="R4242" s="1401"/>
      <c r="S4242" s="361"/>
      <c r="T4242" s="361"/>
      <c r="U4242" s="361"/>
      <c r="V4242" s="361"/>
      <c r="W4242" s="361"/>
    </row>
    <row r="4243" spans="1:23">
      <c r="A4243" s="1401"/>
      <c r="B4243" s="1401"/>
      <c r="C4243" s="1202"/>
      <c r="D4243" s="872"/>
      <c r="E4243" s="1401"/>
      <c r="F4243" s="1401"/>
      <c r="G4243" s="1400" t="s">
        <v>20</v>
      </c>
      <c r="H4243" s="1400" t="s">
        <v>21</v>
      </c>
      <c r="I4243" s="1400" t="s">
        <v>361</v>
      </c>
      <c r="J4243" s="1400" t="s">
        <v>353</v>
      </c>
      <c r="K4243" s="1400" t="s">
        <v>23</v>
      </c>
      <c r="L4243" s="1400" t="s">
        <v>24</v>
      </c>
      <c r="M4243" s="1400" t="s">
        <v>27</v>
      </c>
      <c r="N4243" s="1400" t="s">
        <v>178</v>
      </c>
      <c r="O4243" s="1400" t="s">
        <v>1</v>
      </c>
      <c r="P4243" s="1400" t="s">
        <v>29</v>
      </c>
      <c r="Q4243" s="1400" t="s">
        <v>33</v>
      </c>
      <c r="R4243" s="1401"/>
      <c r="S4243" s="361"/>
      <c r="T4243" s="361" t="s">
        <v>39</v>
      </c>
      <c r="U4243" s="362">
        <f>VLOOKUP(B4245,'[8]Thong tin'!$A:$M,13,0)</f>
        <v>800</v>
      </c>
      <c r="V4243" s="361"/>
      <c r="W4243" s="361"/>
    </row>
    <row r="4244" spans="1:23">
      <c r="A4244" s="1402"/>
      <c r="B4244" s="1402"/>
      <c r="C4244" s="1201"/>
      <c r="D4244" s="873"/>
      <c r="E4244" s="1402"/>
      <c r="F4244" s="1402"/>
      <c r="G4244" s="1402"/>
      <c r="H4244" s="1402"/>
      <c r="I4244" s="1402"/>
      <c r="J4244" s="1402"/>
      <c r="K4244" s="1402"/>
      <c r="L4244" s="1402"/>
      <c r="M4244" s="1402"/>
      <c r="N4244" s="1402"/>
      <c r="O4244" s="1402"/>
      <c r="P4244" s="1402"/>
      <c r="Q4244" s="1402"/>
      <c r="R4244" s="1402"/>
      <c r="S4244" s="361"/>
      <c r="T4244" s="1399" t="s">
        <v>393</v>
      </c>
      <c r="U4244" s="1397">
        <f>VLOOKUP(B4245,[8]DT.NK!$B:$AZ,45,0)</f>
        <v>29.78</v>
      </c>
      <c r="V4244" s="361"/>
      <c r="W4244" s="361"/>
    </row>
    <row r="4245" spans="1:23" ht="18.75" customHeight="1">
      <c r="A4245" s="1409">
        <f>A4225+1</f>
        <v>213</v>
      </c>
      <c r="B4245" s="1412" t="s">
        <v>640</v>
      </c>
      <c r="C4245" s="1205" t="s">
        <v>983</v>
      </c>
      <c r="D4245" s="874" t="str">
        <f>B4245&amp;C4245</f>
        <v>B2a</v>
      </c>
      <c r="E4245" s="363"/>
      <c r="F4245" s="364"/>
      <c r="G4245" s="364"/>
      <c r="H4245" s="364"/>
      <c r="I4245" s="364"/>
      <c r="J4245" s="364"/>
      <c r="K4245" s="364"/>
      <c r="L4245" s="364"/>
      <c r="M4245" s="674"/>
      <c r="N4245" s="670"/>
      <c r="O4245" s="670">
        <f>U4244</f>
        <v>29.78</v>
      </c>
      <c r="P4245" s="670">
        <f>O4245</f>
        <v>29.78</v>
      </c>
      <c r="Q4245" s="670">
        <v>0</v>
      </c>
      <c r="R4245" s="365"/>
      <c r="S4245" s="366"/>
      <c r="T4245" s="1399"/>
      <c r="U4245" s="1398"/>
      <c r="V4245" s="361"/>
      <c r="W4245" s="361"/>
    </row>
    <row r="4246" spans="1:23" ht="18.75" customHeight="1">
      <c r="A4246" s="1410"/>
      <c r="B4246" s="1413"/>
      <c r="C4246" s="1206" t="s">
        <v>984</v>
      </c>
      <c r="D4246" s="875" t="str">
        <f>B4245&amp;C4246</f>
        <v>B2b</v>
      </c>
      <c r="E4246" s="367">
        <v>1</v>
      </c>
      <c r="F4246" s="669" t="s">
        <v>1160</v>
      </c>
      <c r="G4246" s="369">
        <v>0.56666666666666665</v>
      </c>
      <c r="H4246" s="368">
        <v>0.59722222222222221</v>
      </c>
      <c r="I4246" s="368">
        <v>0.60833333333333328</v>
      </c>
      <c r="J4246" s="368">
        <v>0.60763888888888895</v>
      </c>
      <c r="K4246" s="669">
        <v>7.5</v>
      </c>
      <c r="L4246" s="669">
        <v>19</v>
      </c>
      <c r="M4246" s="675">
        <v>23.05</v>
      </c>
      <c r="N4246" s="671">
        <f>IF(M4246-P4246&gt;0,M4246-P4246,0)</f>
        <v>2.4499999999999993</v>
      </c>
      <c r="O4246" s="671">
        <f>O4245-K4246/(PI()*(U4243/2000)^2)</f>
        <v>14.859224085134814</v>
      </c>
      <c r="P4246" s="672">
        <v>20.6</v>
      </c>
      <c r="Q4246" s="673">
        <f>ABS(O4246-P4246)</f>
        <v>5.7407759148651873</v>
      </c>
      <c r="R4246" s="375" t="s">
        <v>188</v>
      </c>
      <c r="S4246" s="366"/>
      <c r="T4246" s="376"/>
      <c r="U4246" s="376"/>
      <c r="V4246" s="366"/>
      <c r="W4246" s="366"/>
    </row>
    <row r="4247" spans="1:23" ht="18.75" customHeight="1">
      <c r="A4247" s="1410"/>
      <c r="B4247" s="1413"/>
      <c r="C4247" s="1206" t="s">
        <v>985</v>
      </c>
      <c r="D4247" s="875" t="str">
        <f>B4245&amp;C4247</f>
        <v>B2c</v>
      </c>
      <c r="E4247" s="367">
        <v>2</v>
      </c>
      <c r="F4247" s="669" t="s">
        <v>1019</v>
      </c>
      <c r="G4247" s="368">
        <v>0.56944444444444442</v>
      </c>
      <c r="H4247" s="368">
        <v>0.60416666666666663</v>
      </c>
      <c r="I4247" s="368">
        <v>0.62152777777777779</v>
      </c>
      <c r="J4247" s="368">
        <v>0.625</v>
      </c>
      <c r="K4247" s="370">
        <v>7.5</v>
      </c>
      <c r="L4247" s="370">
        <v>19</v>
      </c>
      <c r="M4247" s="371"/>
      <c r="N4247" s="671"/>
      <c r="O4247" s="671"/>
      <c r="P4247" s="373">
        <v>6.6</v>
      </c>
      <c r="Q4247" s="673"/>
      <c r="R4247" s="958" t="s">
        <v>188</v>
      </c>
      <c r="S4247" s="366"/>
      <c r="T4247" s="376"/>
      <c r="U4247" s="376"/>
      <c r="V4247" s="366"/>
      <c r="W4247" s="366"/>
    </row>
    <row r="4248" spans="1:23" ht="18.75" customHeight="1">
      <c r="A4248" s="1410"/>
      <c r="B4248" s="1413"/>
      <c r="C4248" s="1206" t="s">
        <v>986</v>
      </c>
      <c r="D4248" s="875" t="str">
        <f>B4245&amp;C4248</f>
        <v>B2d</v>
      </c>
      <c r="E4248" s="367">
        <v>3</v>
      </c>
      <c r="F4248" s="370"/>
      <c r="G4248" s="368"/>
      <c r="H4248" s="368"/>
      <c r="I4248" s="368"/>
      <c r="J4248" s="368"/>
      <c r="K4248" s="370"/>
      <c r="L4248" s="370"/>
      <c r="M4248" s="371"/>
      <c r="N4248" s="671"/>
      <c r="O4248" s="671"/>
      <c r="P4248" s="373"/>
      <c r="Q4248" s="673"/>
      <c r="R4248" s="958"/>
      <c r="S4248" s="366"/>
      <c r="T4248" s="376"/>
      <c r="U4248" s="376"/>
      <c r="V4248" s="366"/>
      <c r="W4248" s="366"/>
    </row>
    <row r="4249" spans="1:23" ht="18.75" customHeight="1">
      <c r="A4249" s="1410"/>
      <c r="B4249" s="1413"/>
      <c r="C4249" s="1206" t="s">
        <v>987</v>
      </c>
      <c r="D4249" s="875" t="str">
        <f>B4245&amp;C4249</f>
        <v>B2e</v>
      </c>
      <c r="E4249" s="367">
        <v>4</v>
      </c>
      <c r="F4249" s="370"/>
      <c r="G4249" s="368"/>
      <c r="H4249" s="368"/>
      <c r="I4249" s="368"/>
      <c r="J4249" s="368"/>
      <c r="K4249" s="370"/>
      <c r="L4249" s="370"/>
      <c r="M4249" s="371"/>
      <c r="N4249" s="671"/>
      <c r="O4249" s="671"/>
      <c r="P4249" s="373"/>
      <c r="Q4249" s="673"/>
      <c r="R4249" s="958"/>
      <c r="S4249" s="366"/>
      <c r="T4249" s="376"/>
      <c r="U4249" s="376"/>
      <c r="V4249" s="366"/>
      <c r="W4249" s="366"/>
    </row>
    <row r="4250" spans="1:23" ht="18.75" customHeight="1">
      <c r="A4250" s="1410"/>
      <c r="B4250" s="1413"/>
      <c r="C4250" s="1206" t="s">
        <v>988</v>
      </c>
      <c r="D4250" s="875" t="str">
        <f>B4245&amp;C4250</f>
        <v>B2f</v>
      </c>
      <c r="E4250" s="367">
        <v>5</v>
      </c>
      <c r="F4250" s="370"/>
      <c r="G4250" s="368"/>
      <c r="H4250" s="368"/>
      <c r="I4250" s="368"/>
      <c r="J4250" s="368"/>
      <c r="K4250" s="370"/>
      <c r="L4250" s="370"/>
      <c r="M4250" s="371"/>
      <c r="N4250" s="671"/>
      <c r="O4250" s="671"/>
      <c r="P4250" s="373"/>
      <c r="Q4250" s="673"/>
      <c r="R4250" s="958"/>
      <c r="S4250" s="366" t="s">
        <v>190</v>
      </c>
      <c r="T4250" s="376"/>
      <c r="U4250" s="376"/>
      <c r="V4250" s="366"/>
      <c r="W4250" s="366"/>
    </row>
    <row r="4251" spans="1:23" ht="18.75" customHeight="1">
      <c r="A4251" s="1410"/>
      <c r="B4251" s="1413"/>
      <c r="C4251" s="1206" t="s">
        <v>989</v>
      </c>
      <c r="D4251" s="875" t="str">
        <f>B4245&amp;C4251</f>
        <v>B2g</v>
      </c>
      <c r="E4251" s="367">
        <v>6</v>
      </c>
      <c r="F4251" s="370"/>
      <c r="G4251" s="368"/>
      <c r="H4251" s="368"/>
      <c r="I4251" s="368"/>
      <c r="J4251" s="368"/>
      <c r="K4251" s="370"/>
      <c r="L4251" s="370"/>
      <c r="M4251" s="371"/>
      <c r="N4251" s="671"/>
      <c r="O4251" s="671"/>
      <c r="P4251" s="373"/>
      <c r="Q4251" s="673"/>
      <c r="R4251" s="958"/>
      <c r="S4251" s="366" t="s">
        <v>190</v>
      </c>
      <c r="T4251" s="366"/>
      <c r="U4251" s="366"/>
      <c r="V4251" s="366"/>
      <c r="W4251" s="366"/>
    </row>
    <row r="4252" spans="1:23" ht="18.75" customHeight="1">
      <c r="A4252" s="1410"/>
      <c r="B4252" s="1413"/>
      <c r="C4252" s="1206" t="s">
        <v>990</v>
      </c>
      <c r="D4252" s="875" t="str">
        <f>B4245&amp;C4252</f>
        <v>B2h</v>
      </c>
      <c r="E4252" s="367">
        <v>7</v>
      </c>
      <c r="F4252" s="370"/>
      <c r="G4252" s="368"/>
      <c r="H4252" s="368"/>
      <c r="I4252" s="368"/>
      <c r="J4252" s="368"/>
      <c r="K4252" s="370"/>
      <c r="L4252" s="370"/>
      <c r="M4252" s="371"/>
      <c r="N4252" s="671"/>
      <c r="O4252" s="671"/>
      <c r="P4252" s="373"/>
      <c r="Q4252" s="673"/>
      <c r="R4252" s="958"/>
      <c r="S4252" s="366" t="s">
        <v>190</v>
      </c>
      <c r="T4252" s="366"/>
      <c r="U4252" s="366"/>
      <c r="V4252" s="366"/>
      <c r="W4252" s="366"/>
    </row>
    <row r="4253" spans="1:23" ht="18.75" customHeight="1">
      <c r="A4253" s="1410"/>
      <c r="B4253" s="1413"/>
      <c r="C4253" s="1206" t="s">
        <v>991</v>
      </c>
      <c r="D4253" s="875" t="str">
        <f>B4245&amp;C4253</f>
        <v>B2i</v>
      </c>
      <c r="E4253" s="367">
        <v>8</v>
      </c>
      <c r="F4253" s="370"/>
      <c r="G4253" s="368"/>
      <c r="H4253" s="368"/>
      <c r="I4253" s="368"/>
      <c r="J4253" s="368"/>
      <c r="K4253" s="370"/>
      <c r="L4253" s="370"/>
      <c r="M4253" s="371"/>
      <c r="N4253" s="671"/>
      <c r="O4253" s="671"/>
      <c r="P4253" s="373"/>
      <c r="Q4253" s="673"/>
      <c r="R4253" s="958"/>
      <c r="S4253" s="366"/>
      <c r="T4253" s="366"/>
      <c r="U4253" s="366"/>
      <c r="V4253" s="366"/>
      <c r="W4253" s="366"/>
    </row>
    <row r="4254" spans="1:23" ht="18.75" customHeight="1">
      <c r="A4254" s="1410"/>
      <c r="B4254" s="1413"/>
      <c r="C4254" s="1206" t="s">
        <v>992</v>
      </c>
      <c r="D4254" s="875" t="str">
        <f>B4245&amp;C4254</f>
        <v>B2k</v>
      </c>
      <c r="E4254" s="367">
        <v>9</v>
      </c>
      <c r="F4254" s="370"/>
      <c r="G4254" s="368"/>
      <c r="H4254" s="368"/>
      <c r="I4254" s="368"/>
      <c r="J4254" s="368"/>
      <c r="K4254" s="370"/>
      <c r="L4254" s="370"/>
      <c r="M4254" s="371"/>
      <c r="N4254" s="372"/>
      <c r="O4254" s="372"/>
      <c r="P4254" s="373"/>
      <c r="Q4254" s="374"/>
      <c r="R4254" s="378"/>
      <c r="S4254" s="379"/>
      <c r="T4254" s="366"/>
      <c r="U4254" s="366"/>
      <c r="V4254" s="366"/>
      <c r="W4254" s="366"/>
    </row>
    <row r="4255" spans="1:23" ht="18.75" customHeight="1">
      <c r="A4255" s="1410"/>
      <c r="B4255" s="1413"/>
      <c r="C4255" s="1206" t="s">
        <v>993</v>
      </c>
      <c r="D4255" s="875" t="str">
        <f>B4245&amp;C4255</f>
        <v>B2l</v>
      </c>
      <c r="E4255" s="367">
        <v>10</v>
      </c>
      <c r="F4255" s="370"/>
      <c r="G4255" s="368"/>
      <c r="H4255" s="368"/>
      <c r="I4255" s="368"/>
      <c r="J4255" s="368"/>
      <c r="K4255" s="370"/>
      <c r="L4255" s="370"/>
      <c r="M4255" s="370"/>
      <c r="N4255" s="372"/>
      <c r="O4255" s="372"/>
      <c r="P4255" s="373"/>
      <c r="Q4255" s="374"/>
      <c r="R4255" s="378"/>
      <c r="S4255" s="379"/>
      <c r="T4255" s="366"/>
      <c r="U4255" s="366"/>
      <c r="V4255" s="366"/>
      <c r="W4255" s="366"/>
    </row>
    <row r="4256" spans="1:23" ht="18.75" customHeight="1">
      <c r="A4256" s="1410"/>
      <c r="B4256" s="1413"/>
      <c r="C4256" s="1206" t="s">
        <v>994</v>
      </c>
      <c r="D4256" s="875" t="str">
        <f>B4245&amp;C4256</f>
        <v>B2m</v>
      </c>
      <c r="E4256" s="367">
        <v>11</v>
      </c>
      <c r="F4256" s="370"/>
      <c r="G4256" s="368"/>
      <c r="H4256" s="368"/>
      <c r="I4256" s="368"/>
      <c r="J4256" s="368"/>
      <c r="K4256" s="370"/>
      <c r="L4256" s="370"/>
      <c r="M4256" s="370"/>
      <c r="N4256" s="372"/>
      <c r="O4256" s="372"/>
      <c r="P4256" s="380"/>
      <c r="Q4256" s="374"/>
      <c r="R4256" s="381"/>
      <c r="S4256" s="379"/>
      <c r="T4256" s="366"/>
      <c r="U4256" s="366"/>
      <c r="V4256" s="366"/>
      <c r="W4256" s="366"/>
    </row>
    <row r="4257" spans="1:23" ht="18.75" customHeight="1">
      <c r="A4257" s="1410"/>
      <c r="B4257" s="1413"/>
      <c r="C4257" s="1206" t="s">
        <v>995</v>
      </c>
      <c r="D4257" s="875" t="str">
        <f>B4245&amp;C4257</f>
        <v>B2n</v>
      </c>
      <c r="E4257" s="367">
        <v>12</v>
      </c>
      <c r="F4257" s="370"/>
      <c r="G4257" s="368"/>
      <c r="H4257" s="368"/>
      <c r="I4257" s="368"/>
      <c r="J4257" s="368"/>
      <c r="K4257" s="370"/>
      <c r="L4257" s="370"/>
      <c r="M4257" s="370"/>
      <c r="N4257" s="372"/>
      <c r="O4257" s="372"/>
      <c r="P4257" s="380"/>
      <c r="Q4257" s="374"/>
      <c r="R4257" s="381"/>
      <c r="S4257" s="361"/>
      <c r="T4257" s="361"/>
      <c r="U4257" s="361"/>
      <c r="V4257" s="366"/>
      <c r="W4257" s="366"/>
    </row>
    <row r="4258" spans="1:23" ht="18.75" customHeight="1">
      <c r="A4258" s="1410"/>
      <c r="B4258" s="1413"/>
      <c r="C4258" s="1206" t="s">
        <v>471</v>
      </c>
      <c r="D4258" s="875" t="str">
        <f>B4245&amp;C4258</f>
        <v>B2x</v>
      </c>
      <c r="E4258" s="367">
        <v>13</v>
      </c>
      <c r="F4258" s="370"/>
      <c r="G4258" s="368"/>
      <c r="H4258" s="368"/>
      <c r="I4258" s="368"/>
      <c r="J4258" s="368"/>
      <c r="K4258" s="370"/>
      <c r="L4258" s="370"/>
      <c r="M4258" s="370"/>
      <c r="N4258" s="382"/>
      <c r="O4258" s="372"/>
      <c r="P4258" s="380"/>
      <c r="Q4258" s="381"/>
      <c r="R4258" s="381"/>
      <c r="S4258" s="361"/>
      <c r="T4258" s="361"/>
      <c r="U4258" s="361"/>
      <c r="V4258" s="366"/>
      <c r="W4258" s="366"/>
    </row>
    <row r="4259" spans="1:23" ht="18.75" customHeight="1">
      <c r="A4259" s="1410"/>
      <c r="B4259" s="1413"/>
      <c r="C4259" s="1206" t="s">
        <v>732</v>
      </c>
      <c r="D4259" s="875" t="str">
        <f>B4245&amp;C4259</f>
        <v>B2y</v>
      </c>
      <c r="E4259" s="367">
        <v>14</v>
      </c>
      <c r="F4259" s="370"/>
      <c r="G4259" s="368"/>
      <c r="H4259" s="368"/>
      <c r="I4259" s="368"/>
      <c r="J4259" s="368"/>
      <c r="K4259" s="370"/>
      <c r="L4259" s="370"/>
      <c r="M4259" s="370"/>
      <c r="N4259" s="382"/>
      <c r="O4259" s="372"/>
      <c r="P4259" s="380"/>
      <c r="Q4259" s="381"/>
      <c r="R4259" s="381"/>
      <c r="S4259" s="361"/>
      <c r="T4259" s="361"/>
      <c r="U4259" s="362"/>
      <c r="V4259" s="366"/>
      <c r="W4259" s="366"/>
    </row>
    <row r="4260" spans="1:23" ht="18.75" customHeight="1">
      <c r="A4260" s="1411"/>
      <c r="B4260" s="1414"/>
      <c r="C4260" s="1207" t="s">
        <v>996</v>
      </c>
      <c r="D4260" s="876" t="str">
        <f>B4245&amp;C4260</f>
        <v>B2z</v>
      </c>
      <c r="E4260" s="847">
        <v>15</v>
      </c>
      <c r="F4260" s="370"/>
      <c r="G4260" s="368"/>
      <c r="H4260" s="368"/>
      <c r="I4260" s="368"/>
      <c r="J4260" s="368"/>
      <c r="K4260" s="370"/>
      <c r="L4260" s="370"/>
      <c r="M4260" s="370"/>
      <c r="N4260" s="850"/>
      <c r="O4260" s="851"/>
      <c r="P4260" s="380"/>
      <c r="Q4260" s="852"/>
      <c r="R4260" s="383"/>
      <c r="S4260" s="361"/>
      <c r="T4260" s="1204"/>
      <c r="U4260" s="1203"/>
      <c r="V4260" s="366"/>
      <c r="W4260" s="366"/>
    </row>
    <row r="4261" spans="1:23">
      <c r="A4261" s="1400" t="s">
        <v>939</v>
      </c>
      <c r="B4261" s="1400"/>
      <c r="C4261" s="1200"/>
      <c r="D4261" s="871"/>
      <c r="E4261" s="1400" t="s">
        <v>177</v>
      </c>
      <c r="F4261" s="1400" t="s">
        <v>18</v>
      </c>
      <c r="G4261" s="1389" t="s">
        <v>19</v>
      </c>
      <c r="H4261" s="1390"/>
      <c r="I4261" s="1389" t="s">
        <v>22</v>
      </c>
      <c r="J4261" s="1390"/>
      <c r="K4261" s="1393" t="s">
        <v>26</v>
      </c>
      <c r="L4261" s="1390"/>
      <c r="M4261" s="1389" t="s">
        <v>392</v>
      </c>
      <c r="N4261" s="1390"/>
      <c r="O4261" s="1389" t="s">
        <v>28</v>
      </c>
      <c r="P4261" s="1393"/>
      <c r="Q4261" s="1390"/>
      <c r="R4261" s="1400" t="s">
        <v>36</v>
      </c>
      <c r="S4261" s="361"/>
      <c r="T4261" s="361">
        <f>MAX(J4265:J4279)-MIN(I4265:I4279)</f>
        <v>1.0416666666666741E-2</v>
      </c>
      <c r="U4261" s="361"/>
      <c r="V4261" s="853" t="str">
        <f t="shared" ref="V4261" si="536">B4265</f>
        <v>B3</v>
      </c>
      <c r="W4261" s="361">
        <f t="shared" ref="W4261" si="537">COUNTIF(K4266:K4280,"&gt;0")</f>
        <v>1</v>
      </c>
    </row>
    <row r="4262" spans="1:23">
      <c r="A4262" s="1401"/>
      <c r="B4262" s="1401"/>
      <c r="C4262" s="1202"/>
      <c r="D4262" s="872"/>
      <c r="E4262" s="1401"/>
      <c r="F4262" s="1401"/>
      <c r="G4262" s="1391"/>
      <c r="H4262" s="1392"/>
      <c r="I4262" s="1391"/>
      <c r="J4262" s="1392"/>
      <c r="K4262" s="1394"/>
      <c r="L4262" s="1392"/>
      <c r="M4262" s="1391"/>
      <c r="N4262" s="1392"/>
      <c r="O4262" s="1391"/>
      <c r="P4262" s="1394"/>
      <c r="Q4262" s="1392"/>
      <c r="R4262" s="1401"/>
      <c r="S4262" s="361"/>
      <c r="T4262" s="361"/>
      <c r="U4262" s="361"/>
      <c r="V4262" s="361"/>
      <c r="W4262" s="361"/>
    </row>
    <row r="4263" spans="1:23">
      <c r="A4263" s="1401"/>
      <c r="B4263" s="1401"/>
      <c r="C4263" s="1202"/>
      <c r="D4263" s="872"/>
      <c r="E4263" s="1401"/>
      <c r="F4263" s="1401"/>
      <c r="G4263" s="1400" t="s">
        <v>20</v>
      </c>
      <c r="H4263" s="1400" t="s">
        <v>21</v>
      </c>
      <c r="I4263" s="1400" t="s">
        <v>361</v>
      </c>
      <c r="J4263" s="1400" t="s">
        <v>353</v>
      </c>
      <c r="K4263" s="1400" t="s">
        <v>23</v>
      </c>
      <c r="L4263" s="1400" t="s">
        <v>24</v>
      </c>
      <c r="M4263" s="1400" t="s">
        <v>27</v>
      </c>
      <c r="N4263" s="1400" t="s">
        <v>178</v>
      </c>
      <c r="O4263" s="1400" t="s">
        <v>1</v>
      </c>
      <c r="P4263" s="1400" t="s">
        <v>29</v>
      </c>
      <c r="Q4263" s="1400" t="s">
        <v>33</v>
      </c>
      <c r="R4263" s="1401"/>
      <c r="S4263" s="361"/>
      <c r="T4263" s="361" t="s">
        <v>39</v>
      </c>
      <c r="U4263" s="362">
        <f>VLOOKUP(B4265,'[8]Thong tin'!$A:$M,13,0)</f>
        <v>800</v>
      </c>
      <c r="V4263" s="361"/>
      <c r="W4263" s="361"/>
    </row>
    <row r="4264" spans="1:23">
      <c r="A4264" s="1402"/>
      <c r="B4264" s="1402"/>
      <c r="C4264" s="1201"/>
      <c r="D4264" s="873"/>
      <c r="E4264" s="1402"/>
      <c r="F4264" s="1402"/>
      <c r="G4264" s="1402"/>
      <c r="H4264" s="1402"/>
      <c r="I4264" s="1402"/>
      <c r="J4264" s="1402"/>
      <c r="K4264" s="1402"/>
      <c r="L4264" s="1402"/>
      <c r="M4264" s="1402"/>
      <c r="N4264" s="1402"/>
      <c r="O4264" s="1402"/>
      <c r="P4264" s="1402"/>
      <c r="Q4264" s="1402"/>
      <c r="R4264" s="1402"/>
      <c r="S4264" s="361"/>
      <c r="T4264" s="1399" t="s">
        <v>393</v>
      </c>
      <c r="U4264" s="1397">
        <f>VLOOKUP(B4265,[8]DT.NK!$B:$AZ,45,0)</f>
        <v>28.61</v>
      </c>
      <c r="V4264" s="361"/>
      <c r="W4264" s="361"/>
    </row>
    <row r="4265" spans="1:23" ht="18.75" customHeight="1">
      <c r="A4265" s="1409">
        <f>A4245+1</f>
        <v>214</v>
      </c>
      <c r="B4265" s="1412" t="s">
        <v>645</v>
      </c>
      <c r="C4265" s="1205" t="s">
        <v>983</v>
      </c>
      <c r="D4265" s="874" t="str">
        <f>B4265&amp;C4265</f>
        <v>B3a</v>
      </c>
      <c r="E4265" s="363"/>
      <c r="F4265" s="364"/>
      <c r="G4265" s="364"/>
      <c r="H4265" s="364"/>
      <c r="I4265" s="364"/>
      <c r="J4265" s="364"/>
      <c r="K4265" s="364"/>
      <c r="L4265" s="364"/>
      <c r="M4265" s="674"/>
      <c r="N4265" s="670"/>
      <c r="O4265" s="670">
        <f>U4264</f>
        <v>28.61</v>
      </c>
      <c r="P4265" s="670">
        <f>O4265</f>
        <v>28.61</v>
      </c>
      <c r="Q4265" s="670">
        <v>0</v>
      </c>
      <c r="R4265" s="365"/>
      <c r="S4265" s="366"/>
      <c r="T4265" s="1399"/>
      <c r="U4265" s="1398"/>
      <c r="V4265" s="361"/>
      <c r="W4265" s="361"/>
    </row>
    <row r="4266" spans="1:23" ht="18.75" customHeight="1">
      <c r="A4266" s="1410"/>
      <c r="B4266" s="1413"/>
      <c r="C4266" s="1206" t="s">
        <v>984</v>
      </c>
      <c r="D4266" s="875" t="str">
        <f>B4265&amp;C4266</f>
        <v>B3b</v>
      </c>
      <c r="E4266" s="367">
        <v>1</v>
      </c>
      <c r="F4266" s="669" t="s">
        <v>1156</v>
      </c>
      <c r="G4266" s="369">
        <v>0.82638888888888884</v>
      </c>
      <c r="H4266" s="368">
        <v>0.85069444444444453</v>
      </c>
      <c r="I4266" s="368">
        <v>0.85416666666666663</v>
      </c>
      <c r="J4266" s="368">
        <v>0.86458333333333337</v>
      </c>
      <c r="K4266" s="669">
        <v>14</v>
      </c>
      <c r="L4266" s="669">
        <v>19</v>
      </c>
      <c r="M4266" s="675">
        <v>20.350000000000001</v>
      </c>
      <c r="N4266" s="671">
        <f>IF(M4266-P4266&gt;0,M4266-P4266,0)</f>
        <v>13.850000000000001</v>
      </c>
      <c r="O4266" s="671">
        <f>O4265-K4266/(PI()*(U4263/2000)^2)</f>
        <v>0.75788495891831786</v>
      </c>
      <c r="P4266" s="672">
        <v>6.5</v>
      </c>
      <c r="Q4266" s="673">
        <f>ABS(O4266-P4266)</f>
        <v>5.7421150410816821</v>
      </c>
      <c r="R4266" s="375" t="s">
        <v>188</v>
      </c>
      <c r="S4266" s="366"/>
      <c r="T4266" s="376"/>
      <c r="U4266" s="376"/>
      <c r="V4266" s="366"/>
      <c r="W4266" s="366"/>
    </row>
    <row r="4267" spans="1:23" ht="18.75" customHeight="1">
      <c r="A4267" s="1410"/>
      <c r="B4267" s="1413"/>
      <c r="C4267" s="1206" t="s">
        <v>985</v>
      </c>
      <c r="D4267" s="875" t="str">
        <f>B4265&amp;C4267</f>
        <v>B3c</v>
      </c>
      <c r="E4267" s="367">
        <v>2</v>
      </c>
      <c r="F4267" s="370"/>
      <c r="G4267" s="368"/>
      <c r="H4267" s="368"/>
      <c r="I4267" s="368"/>
      <c r="J4267" s="368"/>
      <c r="K4267" s="370"/>
      <c r="L4267" s="370"/>
      <c r="M4267" s="371"/>
      <c r="N4267" s="671"/>
      <c r="O4267" s="671"/>
      <c r="P4267" s="373"/>
      <c r="Q4267" s="673"/>
      <c r="R4267" s="958"/>
      <c r="S4267" s="366"/>
      <c r="T4267" s="376"/>
      <c r="U4267" s="376"/>
      <c r="V4267" s="366"/>
      <c r="W4267" s="366"/>
    </row>
    <row r="4268" spans="1:23" ht="18.75" customHeight="1">
      <c r="A4268" s="1410"/>
      <c r="B4268" s="1413"/>
      <c r="C4268" s="1206" t="s">
        <v>986</v>
      </c>
      <c r="D4268" s="875" t="str">
        <f>B4265&amp;C4268</f>
        <v>B3d</v>
      </c>
      <c r="E4268" s="367">
        <v>3</v>
      </c>
      <c r="F4268" s="370"/>
      <c r="G4268" s="368"/>
      <c r="H4268" s="368"/>
      <c r="I4268" s="368"/>
      <c r="J4268" s="368"/>
      <c r="K4268" s="370"/>
      <c r="L4268" s="370"/>
      <c r="M4268" s="371"/>
      <c r="N4268" s="671"/>
      <c r="O4268" s="671"/>
      <c r="P4268" s="373"/>
      <c r="Q4268" s="673"/>
      <c r="R4268" s="958"/>
      <c r="S4268" s="366"/>
      <c r="T4268" s="376"/>
      <c r="U4268" s="376"/>
      <c r="V4268" s="366"/>
      <c r="W4268" s="366"/>
    </row>
    <row r="4269" spans="1:23" ht="18.75" customHeight="1">
      <c r="A4269" s="1410"/>
      <c r="B4269" s="1413"/>
      <c r="C4269" s="1206" t="s">
        <v>987</v>
      </c>
      <c r="D4269" s="875" t="str">
        <f>B4265&amp;C4269</f>
        <v>B3e</v>
      </c>
      <c r="E4269" s="367">
        <v>4</v>
      </c>
      <c r="F4269" s="370"/>
      <c r="G4269" s="368"/>
      <c r="H4269" s="368"/>
      <c r="I4269" s="368"/>
      <c r="J4269" s="368"/>
      <c r="K4269" s="370"/>
      <c r="L4269" s="370"/>
      <c r="M4269" s="371"/>
      <c r="N4269" s="671"/>
      <c r="O4269" s="671"/>
      <c r="P4269" s="373"/>
      <c r="Q4269" s="673"/>
      <c r="R4269" s="958"/>
      <c r="S4269" s="366"/>
      <c r="T4269" s="376"/>
      <c r="U4269" s="376"/>
      <c r="V4269" s="366"/>
      <c r="W4269" s="366"/>
    </row>
    <row r="4270" spans="1:23" ht="18.75" customHeight="1">
      <c r="A4270" s="1410"/>
      <c r="B4270" s="1413"/>
      <c r="C4270" s="1206" t="s">
        <v>988</v>
      </c>
      <c r="D4270" s="875" t="str">
        <f>B4265&amp;C4270</f>
        <v>B3f</v>
      </c>
      <c r="E4270" s="367">
        <v>5</v>
      </c>
      <c r="F4270" s="370"/>
      <c r="G4270" s="368"/>
      <c r="H4270" s="368"/>
      <c r="I4270" s="368"/>
      <c r="J4270" s="368"/>
      <c r="K4270" s="370"/>
      <c r="L4270" s="370"/>
      <c r="M4270" s="371"/>
      <c r="N4270" s="671"/>
      <c r="O4270" s="671"/>
      <c r="P4270" s="373"/>
      <c r="Q4270" s="673"/>
      <c r="R4270" s="958"/>
      <c r="S4270" s="366" t="s">
        <v>190</v>
      </c>
      <c r="T4270" s="376"/>
      <c r="U4270" s="376"/>
      <c r="V4270" s="366"/>
      <c r="W4270" s="366"/>
    </row>
    <row r="4271" spans="1:23" ht="18.75" customHeight="1">
      <c r="A4271" s="1410"/>
      <c r="B4271" s="1413"/>
      <c r="C4271" s="1206" t="s">
        <v>989</v>
      </c>
      <c r="D4271" s="875" t="str">
        <f>B4265&amp;C4271</f>
        <v>B3g</v>
      </c>
      <c r="E4271" s="367">
        <v>6</v>
      </c>
      <c r="F4271" s="370"/>
      <c r="G4271" s="368"/>
      <c r="H4271" s="368"/>
      <c r="I4271" s="368"/>
      <c r="J4271" s="368"/>
      <c r="K4271" s="370"/>
      <c r="L4271" s="370"/>
      <c r="M4271" s="371"/>
      <c r="N4271" s="671"/>
      <c r="O4271" s="671"/>
      <c r="P4271" s="373"/>
      <c r="Q4271" s="673"/>
      <c r="R4271" s="958"/>
      <c r="S4271" s="366" t="s">
        <v>190</v>
      </c>
      <c r="T4271" s="366"/>
      <c r="U4271" s="366"/>
      <c r="V4271" s="366"/>
      <c r="W4271" s="366"/>
    </row>
    <row r="4272" spans="1:23" ht="18.75" customHeight="1">
      <c r="A4272" s="1410"/>
      <c r="B4272" s="1413"/>
      <c r="C4272" s="1206" t="s">
        <v>990</v>
      </c>
      <c r="D4272" s="875" t="str">
        <f>B4265&amp;C4272</f>
        <v>B3h</v>
      </c>
      <c r="E4272" s="367">
        <v>7</v>
      </c>
      <c r="F4272" s="370"/>
      <c r="G4272" s="368"/>
      <c r="H4272" s="368"/>
      <c r="I4272" s="368"/>
      <c r="J4272" s="368"/>
      <c r="K4272" s="370"/>
      <c r="L4272" s="370"/>
      <c r="M4272" s="371"/>
      <c r="N4272" s="671"/>
      <c r="O4272" s="671"/>
      <c r="P4272" s="373"/>
      <c r="Q4272" s="673"/>
      <c r="R4272" s="958"/>
      <c r="S4272" s="366" t="s">
        <v>190</v>
      </c>
      <c r="T4272" s="366"/>
      <c r="U4272" s="366"/>
      <c r="V4272" s="366"/>
      <c r="W4272" s="366"/>
    </row>
    <row r="4273" spans="1:23" ht="18.75" customHeight="1">
      <c r="A4273" s="1410"/>
      <c r="B4273" s="1413"/>
      <c r="C4273" s="1206" t="s">
        <v>991</v>
      </c>
      <c r="D4273" s="875" t="str">
        <f>B4265&amp;C4273</f>
        <v>B3i</v>
      </c>
      <c r="E4273" s="367">
        <v>8</v>
      </c>
      <c r="F4273" s="370"/>
      <c r="G4273" s="368"/>
      <c r="H4273" s="368"/>
      <c r="I4273" s="368"/>
      <c r="J4273" s="368"/>
      <c r="K4273" s="370"/>
      <c r="L4273" s="370"/>
      <c r="M4273" s="371"/>
      <c r="N4273" s="671"/>
      <c r="O4273" s="671"/>
      <c r="P4273" s="373"/>
      <c r="Q4273" s="673"/>
      <c r="R4273" s="958"/>
      <c r="S4273" s="366"/>
      <c r="T4273" s="366"/>
      <c r="U4273" s="366"/>
      <c r="V4273" s="366"/>
      <c r="W4273" s="366"/>
    </row>
    <row r="4274" spans="1:23" ht="18.75" customHeight="1">
      <c r="A4274" s="1410"/>
      <c r="B4274" s="1413"/>
      <c r="C4274" s="1206" t="s">
        <v>992</v>
      </c>
      <c r="D4274" s="875" t="str">
        <f>B4265&amp;C4274</f>
        <v>B3k</v>
      </c>
      <c r="E4274" s="367">
        <v>9</v>
      </c>
      <c r="F4274" s="370"/>
      <c r="G4274" s="368"/>
      <c r="H4274" s="368"/>
      <c r="I4274" s="368"/>
      <c r="J4274" s="368"/>
      <c r="K4274" s="370"/>
      <c r="L4274" s="370"/>
      <c r="M4274" s="371"/>
      <c r="N4274" s="372"/>
      <c r="O4274" s="372"/>
      <c r="P4274" s="373"/>
      <c r="Q4274" s="374"/>
      <c r="R4274" s="378"/>
      <c r="S4274" s="379"/>
      <c r="T4274" s="366"/>
      <c r="U4274" s="366"/>
      <c r="V4274" s="366"/>
      <c r="W4274" s="366"/>
    </row>
    <row r="4275" spans="1:23" ht="18.75" customHeight="1">
      <c r="A4275" s="1410"/>
      <c r="B4275" s="1413"/>
      <c r="C4275" s="1206" t="s">
        <v>993</v>
      </c>
      <c r="D4275" s="875" t="str">
        <f>B4265&amp;C4275</f>
        <v>B3l</v>
      </c>
      <c r="E4275" s="367">
        <v>10</v>
      </c>
      <c r="F4275" s="370"/>
      <c r="G4275" s="368"/>
      <c r="H4275" s="368"/>
      <c r="I4275" s="368"/>
      <c r="J4275" s="368"/>
      <c r="K4275" s="370"/>
      <c r="L4275" s="370"/>
      <c r="M4275" s="370"/>
      <c r="N4275" s="372"/>
      <c r="O4275" s="372"/>
      <c r="P4275" s="373"/>
      <c r="Q4275" s="374"/>
      <c r="R4275" s="378"/>
      <c r="S4275" s="379"/>
      <c r="T4275" s="366"/>
      <c r="U4275" s="366"/>
      <c r="V4275" s="366"/>
      <c r="W4275" s="366"/>
    </row>
    <row r="4276" spans="1:23" ht="18.75" customHeight="1">
      <c r="A4276" s="1410"/>
      <c r="B4276" s="1413"/>
      <c r="C4276" s="1206" t="s">
        <v>994</v>
      </c>
      <c r="D4276" s="875" t="str">
        <f>B4265&amp;C4276</f>
        <v>B3m</v>
      </c>
      <c r="E4276" s="367">
        <v>11</v>
      </c>
      <c r="F4276" s="370"/>
      <c r="G4276" s="368"/>
      <c r="H4276" s="368"/>
      <c r="I4276" s="368"/>
      <c r="J4276" s="368"/>
      <c r="K4276" s="370"/>
      <c r="L4276" s="370"/>
      <c r="M4276" s="370"/>
      <c r="N4276" s="372"/>
      <c r="O4276" s="372"/>
      <c r="P4276" s="380"/>
      <c r="Q4276" s="374"/>
      <c r="R4276" s="381"/>
      <c r="S4276" s="379"/>
      <c r="T4276" s="366"/>
      <c r="U4276" s="366"/>
      <c r="V4276" s="366"/>
      <c r="W4276" s="366"/>
    </row>
    <row r="4277" spans="1:23" ht="18.75" customHeight="1">
      <c r="A4277" s="1410"/>
      <c r="B4277" s="1413"/>
      <c r="C4277" s="1206" t="s">
        <v>995</v>
      </c>
      <c r="D4277" s="875" t="str">
        <f>B4265&amp;C4277</f>
        <v>B3n</v>
      </c>
      <c r="E4277" s="367">
        <v>12</v>
      </c>
      <c r="F4277" s="370"/>
      <c r="G4277" s="368"/>
      <c r="H4277" s="368"/>
      <c r="I4277" s="368"/>
      <c r="J4277" s="368"/>
      <c r="K4277" s="370"/>
      <c r="L4277" s="370"/>
      <c r="M4277" s="370"/>
      <c r="N4277" s="372"/>
      <c r="O4277" s="372"/>
      <c r="P4277" s="380"/>
      <c r="Q4277" s="374"/>
      <c r="R4277" s="381"/>
      <c r="S4277" s="361"/>
      <c r="T4277" s="361"/>
      <c r="U4277" s="361"/>
      <c r="V4277" s="366"/>
      <c r="W4277" s="366"/>
    </row>
    <row r="4278" spans="1:23" ht="18.75" customHeight="1">
      <c r="A4278" s="1410"/>
      <c r="B4278" s="1413"/>
      <c r="C4278" s="1206" t="s">
        <v>471</v>
      </c>
      <c r="D4278" s="875" t="str">
        <f>B4265&amp;C4278</f>
        <v>B3x</v>
      </c>
      <c r="E4278" s="367">
        <v>13</v>
      </c>
      <c r="F4278" s="370"/>
      <c r="G4278" s="368"/>
      <c r="H4278" s="368"/>
      <c r="I4278" s="368"/>
      <c r="J4278" s="368"/>
      <c r="K4278" s="370"/>
      <c r="L4278" s="370"/>
      <c r="M4278" s="370"/>
      <c r="N4278" s="382"/>
      <c r="O4278" s="372"/>
      <c r="P4278" s="380"/>
      <c r="Q4278" s="381"/>
      <c r="R4278" s="381"/>
      <c r="S4278" s="361"/>
      <c r="T4278" s="361"/>
      <c r="U4278" s="361"/>
      <c r="V4278" s="366"/>
      <c r="W4278" s="366"/>
    </row>
    <row r="4279" spans="1:23" ht="18.75" customHeight="1">
      <c r="A4279" s="1410"/>
      <c r="B4279" s="1413"/>
      <c r="C4279" s="1206" t="s">
        <v>732</v>
      </c>
      <c r="D4279" s="875" t="str">
        <f>B4265&amp;C4279</f>
        <v>B3y</v>
      </c>
      <c r="E4279" s="367">
        <v>14</v>
      </c>
      <c r="F4279" s="370"/>
      <c r="G4279" s="368"/>
      <c r="H4279" s="368"/>
      <c r="I4279" s="368"/>
      <c r="J4279" s="368"/>
      <c r="K4279" s="370"/>
      <c r="L4279" s="370"/>
      <c r="M4279" s="370"/>
      <c r="N4279" s="382"/>
      <c r="O4279" s="372"/>
      <c r="P4279" s="380"/>
      <c r="Q4279" s="381"/>
      <c r="R4279" s="381"/>
      <c r="S4279" s="361"/>
      <c r="T4279" s="361"/>
      <c r="U4279" s="362"/>
      <c r="V4279" s="366"/>
      <c r="W4279" s="366"/>
    </row>
    <row r="4280" spans="1:23" ht="18.75" customHeight="1">
      <c r="A4280" s="1411"/>
      <c r="B4280" s="1414"/>
      <c r="C4280" s="1207" t="s">
        <v>996</v>
      </c>
      <c r="D4280" s="876" t="str">
        <f>B4265&amp;C4280</f>
        <v>B3z</v>
      </c>
      <c r="E4280" s="847">
        <v>15</v>
      </c>
      <c r="F4280" s="370"/>
      <c r="G4280" s="368"/>
      <c r="H4280" s="368"/>
      <c r="I4280" s="368"/>
      <c r="J4280" s="368"/>
      <c r="K4280" s="370"/>
      <c r="L4280" s="370"/>
      <c r="M4280" s="370"/>
      <c r="N4280" s="850"/>
      <c r="O4280" s="851"/>
      <c r="P4280" s="380"/>
      <c r="Q4280" s="852"/>
      <c r="R4280" s="383"/>
      <c r="S4280" s="361"/>
      <c r="T4280" s="1204"/>
      <c r="U4280" s="1203"/>
      <c r="V4280" s="366"/>
      <c r="W4280" s="366"/>
    </row>
    <row r="4281" spans="1:23">
      <c r="A4281" s="1400" t="s">
        <v>939</v>
      </c>
      <c r="B4281" s="1400"/>
      <c r="C4281" s="1200"/>
      <c r="D4281" s="871"/>
      <c r="E4281" s="1400" t="s">
        <v>177</v>
      </c>
      <c r="F4281" s="1400" t="s">
        <v>18</v>
      </c>
      <c r="G4281" s="1389" t="s">
        <v>19</v>
      </c>
      <c r="H4281" s="1390"/>
      <c r="I4281" s="1389" t="s">
        <v>22</v>
      </c>
      <c r="J4281" s="1390"/>
      <c r="K4281" s="1393" t="s">
        <v>26</v>
      </c>
      <c r="L4281" s="1390"/>
      <c r="M4281" s="1389" t="s">
        <v>392</v>
      </c>
      <c r="N4281" s="1390"/>
      <c r="O4281" s="1389" t="s">
        <v>28</v>
      </c>
      <c r="P4281" s="1393"/>
      <c r="Q4281" s="1390"/>
      <c r="R4281" s="1400" t="s">
        <v>36</v>
      </c>
      <c r="S4281" s="361"/>
      <c r="T4281" s="361">
        <f>MAX(J4285:J4299)-MIN(I4285:I4299)</f>
        <v>1.3888888888888895E-2</v>
      </c>
      <c r="U4281" s="361"/>
      <c r="V4281" s="853" t="str">
        <f t="shared" ref="V4281" si="538">B4285</f>
        <v>B46</v>
      </c>
      <c r="W4281" s="361">
        <f t="shared" ref="W4281" si="539">COUNTIF(K4286:K4300,"&gt;0")</f>
        <v>2</v>
      </c>
    </row>
    <row r="4282" spans="1:23">
      <c r="A4282" s="1401"/>
      <c r="B4282" s="1401"/>
      <c r="C4282" s="1202"/>
      <c r="D4282" s="872"/>
      <c r="E4282" s="1401"/>
      <c r="F4282" s="1401"/>
      <c r="G4282" s="1391"/>
      <c r="H4282" s="1392"/>
      <c r="I4282" s="1391"/>
      <c r="J4282" s="1392"/>
      <c r="K4282" s="1394"/>
      <c r="L4282" s="1392"/>
      <c r="M4282" s="1391"/>
      <c r="N4282" s="1392"/>
      <c r="O4282" s="1391"/>
      <c r="P4282" s="1394"/>
      <c r="Q4282" s="1392"/>
      <c r="R4282" s="1401"/>
      <c r="S4282" s="361"/>
      <c r="T4282" s="361"/>
      <c r="U4282" s="361"/>
      <c r="V4282" s="361"/>
      <c r="W4282" s="361"/>
    </row>
    <row r="4283" spans="1:23">
      <c r="A4283" s="1401"/>
      <c r="B4283" s="1401"/>
      <c r="C4283" s="1202"/>
      <c r="D4283" s="872"/>
      <c r="E4283" s="1401"/>
      <c r="F4283" s="1401"/>
      <c r="G4283" s="1400" t="s">
        <v>20</v>
      </c>
      <c r="H4283" s="1400" t="s">
        <v>21</v>
      </c>
      <c r="I4283" s="1400" t="s">
        <v>361</v>
      </c>
      <c r="J4283" s="1400" t="s">
        <v>353</v>
      </c>
      <c r="K4283" s="1400" t="s">
        <v>23</v>
      </c>
      <c r="L4283" s="1400" t="s">
        <v>24</v>
      </c>
      <c r="M4283" s="1400" t="s">
        <v>27</v>
      </c>
      <c r="N4283" s="1400" t="s">
        <v>178</v>
      </c>
      <c r="O4283" s="1400" t="s">
        <v>1</v>
      </c>
      <c r="P4283" s="1400" t="s">
        <v>29</v>
      </c>
      <c r="Q4283" s="1400" t="s">
        <v>33</v>
      </c>
      <c r="R4283" s="1401"/>
      <c r="S4283" s="361"/>
      <c r="T4283" s="361" t="s">
        <v>39</v>
      </c>
      <c r="U4283" s="362">
        <f>VLOOKUP(B4285,'[8]Thong tin'!$A:$M,13,0)</f>
        <v>800</v>
      </c>
      <c r="V4283" s="361"/>
      <c r="W4283" s="361"/>
    </row>
    <row r="4284" spans="1:23">
      <c r="A4284" s="1402"/>
      <c r="B4284" s="1402"/>
      <c r="C4284" s="1201"/>
      <c r="D4284" s="873"/>
      <c r="E4284" s="1402"/>
      <c r="F4284" s="1402"/>
      <c r="G4284" s="1402"/>
      <c r="H4284" s="1402"/>
      <c r="I4284" s="1402"/>
      <c r="J4284" s="1402"/>
      <c r="K4284" s="1402"/>
      <c r="L4284" s="1402"/>
      <c r="M4284" s="1402"/>
      <c r="N4284" s="1402"/>
      <c r="O4284" s="1402"/>
      <c r="P4284" s="1402"/>
      <c r="Q4284" s="1402"/>
      <c r="R4284" s="1402"/>
      <c r="S4284" s="361"/>
      <c r="T4284" s="1399" t="s">
        <v>393</v>
      </c>
      <c r="U4284" s="1397">
        <f>VLOOKUP(B4285,[8]DT.NK!$B:$AZ,45,0)</f>
        <v>28.27</v>
      </c>
      <c r="V4284" s="361"/>
      <c r="W4284" s="361"/>
    </row>
    <row r="4285" spans="1:23" ht="18.75" customHeight="1">
      <c r="A4285" s="1409">
        <f>A4265+1</f>
        <v>215</v>
      </c>
      <c r="B4285" s="1412" t="s">
        <v>636</v>
      </c>
      <c r="C4285" s="1205" t="s">
        <v>983</v>
      </c>
      <c r="D4285" s="874" t="str">
        <f>B4285&amp;C4285</f>
        <v>B46a</v>
      </c>
      <c r="E4285" s="363"/>
      <c r="F4285" s="364"/>
      <c r="G4285" s="364"/>
      <c r="H4285" s="364"/>
      <c r="I4285" s="364"/>
      <c r="J4285" s="364"/>
      <c r="K4285" s="364"/>
      <c r="L4285" s="364"/>
      <c r="M4285" s="674"/>
      <c r="N4285" s="670"/>
      <c r="O4285" s="670">
        <f>U4284</f>
        <v>28.27</v>
      </c>
      <c r="P4285" s="670">
        <f>O4285</f>
        <v>28.27</v>
      </c>
      <c r="Q4285" s="670">
        <v>0</v>
      </c>
      <c r="R4285" s="365"/>
      <c r="S4285" s="366"/>
      <c r="T4285" s="1399"/>
      <c r="U4285" s="1398"/>
      <c r="V4285" s="361"/>
      <c r="W4285" s="361"/>
    </row>
    <row r="4286" spans="1:23" ht="18.75" customHeight="1">
      <c r="A4286" s="1410"/>
      <c r="B4286" s="1413"/>
      <c r="C4286" s="1206" t="s">
        <v>984</v>
      </c>
      <c r="D4286" s="875" t="str">
        <f>B4285&amp;C4286</f>
        <v>B46b</v>
      </c>
      <c r="E4286" s="367">
        <v>1</v>
      </c>
      <c r="F4286" s="669" t="s">
        <v>1019</v>
      </c>
      <c r="G4286" s="369">
        <v>3.4722222222222224E-2</v>
      </c>
      <c r="H4286" s="368">
        <v>9.0277777777777776E-2</v>
      </c>
      <c r="I4286" s="368">
        <v>0.10416666666666667</v>
      </c>
      <c r="J4286" s="368">
        <v>0.1076388888888889</v>
      </c>
      <c r="K4286" s="669">
        <v>7.5</v>
      </c>
      <c r="L4286" s="669">
        <v>19</v>
      </c>
      <c r="M4286" s="675">
        <v>21.4</v>
      </c>
      <c r="N4286" s="671">
        <f>IF(M4286-P4286&gt;0,M4286-P4286,0)</f>
        <v>2.2899999999999991</v>
      </c>
      <c r="O4286" s="671">
        <f>O4285-K4286/(PI()*(U4283/2000)^2)</f>
        <v>13.349224085134813</v>
      </c>
      <c r="P4286" s="672">
        <v>19.11</v>
      </c>
      <c r="Q4286" s="673">
        <f>ABS(O4286-P4286)</f>
        <v>5.7607759148651869</v>
      </c>
      <c r="R4286" s="375" t="s">
        <v>188</v>
      </c>
      <c r="S4286" s="366"/>
      <c r="T4286" s="376"/>
      <c r="U4286" s="376"/>
      <c r="V4286" s="366"/>
      <c r="W4286" s="366"/>
    </row>
    <row r="4287" spans="1:23" ht="18.75" customHeight="1">
      <c r="A4287" s="1410"/>
      <c r="B4287" s="1413"/>
      <c r="C4287" s="1206" t="s">
        <v>985</v>
      </c>
      <c r="D4287" s="875" t="str">
        <f>B4285&amp;C4287</f>
        <v>B46c</v>
      </c>
      <c r="E4287" s="367">
        <v>2</v>
      </c>
      <c r="F4287" s="669" t="s">
        <v>1156</v>
      </c>
      <c r="G4287" s="368">
        <v>4.5138888888888888E-2</v>
      </c>
      <c r="H4287" s="368">
        <v>9.7222222222222224E-2</v>
      </c>
      <c r="I4287" s="368">
        <v>0.11458333333333333</v>
      </c>
      <c r="J4287" s="368">
        <v>0.11805555555555557</v>
      </c>
      <c r="K4287" s="370">
        <v>7.5</v>
      </c>
      <c r="L4287" s="370">
        <v>19</v>
      </c>
      <c r="M4287" s="371"/>
      <c r="N4287" s="671"/>
      <c r="O4287" s="671"/>
      <c r="P4287" s="373" t="s">
        <v>1185</v>
      </c>
      <c r="Q4287" s="673"/>
      <c r="R4287" s="958" t="s">
        <v>188</v>
      </c>
      <c r="S4287" s="366"/>
      <c r="T4287" s="376"/>
      <c r="U4287" s="376"/>
      <c r="V4287" s="366"/>
      <c r="W4287" s="366"/>
    </row>
    <row r="4288" spans="1:23" ht="18.75" customHeight="1">
      <c r="A4288" s="1410"/>
      <c r="B4288" s="1413"/>
      <c r="C4288" s="1206" t="s">
        <v>986</v>
      </c>
      <c r="D4288" s="875" t="str">
        <f>B4285&amp;C4288</f>
        <v>B46d</v>
      </c>
      <c r="E4288" s="367">
        <v>3</v>
      </c>
      <c r="F4288" s="370"/>
      <c r="G4288" s="368"/>
      <c r="H4288" s="368"/>
      <c r="I4288" s="368"/>
      <c r="J4288" s="368"/>
      <c r="K4288" s="370"/>
      <c r="L4288" s="370"/>
      <c r="M4288" s="371"/>
      <c r="N4288" s="671"/>
      <c r="O4288" s="671"/>
      <c r="P4288" s="373"/>
      <c r="Q4288" s="673"/>
      <c r="R4288" s="958"/>
      <c r="S4288" s="366"/>
      <c r="T4288" s="376"/>
      <c r="U4288" s="376"/>
      <c r="V4288" s="366"/>
      <c r="W4288" s="366"/>
    </row>
    <row r="4289" spans="1:23" ht="18.75" customHeight="1">
      <c r="A4289" s="1410"/>
      <c r="B4289" s="1413"/>
      <c r="C4289" s="1206" t="s">
        <v>987</v>
      </c>
      <c r="D4289" s="875" t="str">
        <f>B4285&amp;C4289</f>
        <v>B46e</v>
      </c>
      <c r="E4289" s="367">
        <v>4</v>
      </c>
      <c r="F4289" s="370"/>
      <c r="G4289" s="368"/>
      <c r="H4289" s="368"/>
      <c r="I4289" s="368"/>
      <c r="J4289" s="368"/>
      <c r="K4289" s="370"/>
      <c r="L4289" s="370"/>
      <c r="M4289" s="371"/>
      <c r="N4289" s="671"/>
      <c r="O4289" s="671"/>
      <c r="P4289" s="373"/>
      <c r="Q4289" s="673"/>
      <c r="R4289" s="958"/>
      <c r="S4289" s="366"/>
      <c r="T4289" s="376"/>
      <c r="U4289" s="376"/>
      <c r="V4289" s="366"/>
      <c r="W4289" s="366"/>
    </row>
    <row r="4290" spans="1:23" ht="18.75" customHeight="1">
      <c r="A4290" s="1410"/>
      <c r="B4290" s="1413"/>
      <c r="C4290" s="1206" t="s">
        <v>988</v>
      </c>
      <c r="D4290" s="875" t="str">
        <f>B4285&amp;C4290</f>
        <v>B46f</v>
      </c>
      <c r="E4290" s="367">
        <v>5</v>
      </c>
      <c r="F4290" s="370"/>
      <c r="G4290" s="368"/>
      <c r="H4290" s="368"/>
      <c r="I4290" s="368"/>
      <c r="J4290" s="368"/>
      <c r="K4290" s="370"/>
      <c r="L4290" s="370"/>
      <c r="M4290" s="371"/>
      <c r="N4290" s="671"/>
      <c r="O4290" s="671"/>
      <c r="P4290" s="373"/>
      <c r="Q4290" s="673"/>
      <c r="R4290" s="958"/>
      <c r="S4290" s="366" t="s">
        <v>190</v>
      </c>
      <c r="T4290" s="376"/>
      <c r="U4290" s="376"/>
      <c r="V4290" s="366"/>
      <c r="W4290" s="366"/>
    </row>
    <row r="4291" spans="1:23" ht="18.75" customHeight="1">
      <c r="A4291" s="1410"/>
      <c r="B4291" s="1413"/>
      <c r="C4291" s="1206" t="s">
        <v>989</v>
      </c>
      <c r="D4291" s="875" t="str">
        <f>B4285&amp;C4291</f>
        <v>B46g</v>
      </c>
      <c r="E4291" s="367">
        <v>6</v>
      </c>
      <c r="F4291" s="370"/>
      <c r="G4291" s="368"/>
      <c r="H4291" s="368"/>
      <c r="I4291" s="368"/>
      <c r="J4291" s="368"/>
      <c r="K4291" s="370"/>
      <c r="L4291" s="370"/>
      <c r="M4291" s="371"/>
      <c r="N4291" s="671"/>
      <c r="O4291" s="671"/>
      <c r="P4291" s="373"/>
      <c r="Q4291" s="673"/>
      <c r="R4291" s="958"/>
      <c r="S4291" s="366" t="s">
        <v>190</v>
      </c>
      <c r="T4291" s="366"/>
      <c r="U4291" s="366"/>
      <c r="V4291" s="366"/>
      <c r="W4291" s="366"/>
    </row>
    <row r="4292" spans="1:23" ht="18.75" customHeight="1">
      <c r="A4292" s="1410"/>
      <c r="B4292" s="1413"/>
      <c r="C4292" s="1206" t="s">
        <v>990</v>
      </c>
      <c r="D4292" s="875" t="str">
        <f>B4285&amp;C4292</f>
        <v>B46h</v>
      </c>
      <c r="E4292" s="367">
        <v>7</v>
      </c>
      <c r="F4292" s="370"/>
      <c r="G4292" s="368"/>
      <c r="H4292" s="368"/>
      <c r="I4292" s="368"/>
      <c r="J4292" s="368"/>
      <c r="K4292" s="370"/>
      <c r="L4292" s="370"/>
      <c r="M4292" s="371"/>
      <c r="N4292" s="671"/>
      <c r="O4292" s="671"/>
      <c r="P4292" s="373"/>
      <c r="Q4292" s="673"/>
      <c r="R4292" s="958"/>
      <c r="S4292" s="366" t="s">
        <v>190</v>
      </c>
      <c r="T4292" s="366"/>
      <c r="U4292" s="366"/>
      <c r="V4292" s="366"/>
      <c r="W4292" s="366"/>
    </row>
    <row r="4293" spans="1:23" ht="18.75" customHeight="1">
      <c r="A4293" s="1410"/>
      <c r="B4293" s="1413"/>
      <c r="C4293" s="1206" t="s">
        <v>991</v>
      </c>
      <c r="D4293" s="875" t="str">
        <f>B4285&amp;C4293</f>
        <v>B46i</v>
      </c>
      <c r="E4293" s="367">
        <v>8</v>
      </c>
      <c r="F4293" s="370"/>
      <c r="G4293" s="368"/>
      <c r="H4293" s="368"/>
      <c r="I4293" s="368"/>
      <c r="J4293" s="368"/>
      <c r="K4293" s="370"/>
      <c r="L4293" s="370"/>
      <c r="M4293" s="371"/>
      <c r="N4293" s="671"/>
      <c r="O4293" s="671"/>
      <c r="P4293" s="373"/>
      <c r="Q4293" s="673"/>
      <c r="R4293" s="958"/>
      <c r="S4293" s="366"/>
      <c r="T4293" s="366"/>
      <c r="U4293" s="366"/>
      <c r="V4293" s="366"/>
      <c r="W4293" s="366"/>
    </row>
    <row r="4294" spans="1:23" ht="18.75" customHeight="1">
      <c r="A4294" s="1410"/>
      <c r="B4294" s="1413"/>
      <c r="C4294" s="1206" t="s">
        <v>992</v>
      </c>
      <c r="D4294" s="875" t="str">
        <f>B4285&amp;C4294</f>
        <v>B46k</v>
      </c>
      <c r="E4294" s="367">
        <v>9</v>
      </c>
      <c r="F4294" s="370"/>
      <c r="G4294" s="368"/>
      <c r="H4294" s="368"/>
      <c r="I4294" s="368"/>
      <c r="J4294" s="368"/>
      <c r="K4294" s="370"/>
      <c r="L4294" s="370"/>
      <c r="M4294" s="371"/>
      <c r="N4294" s="372"/>
      <c r="O4294" s="372"/>
      <c r="P4294" s="373"/>
      <c r="Q4294" s="374"/>
      <c r="R4294" s="378"/>
      <c r="S4294" s="379"/>
      <c r="T4294" s="366"/>
      <c r="U4294" s="366"/>
      <c r="V4294" s="366"/>
      <c r="W4294" s="366"/>
    </row>
    <row r="4295" spans="1:23" ht="18.75" customHeight="1">
      <c r="A4295" s="1410"/>
      <c r="B4295" s="1413"/>
      <c r="C4295" s="1206" t="s">
        <v>993</v>
      </c>
      <c r="D4295" s="875" t="str">
        <f>B4285&amp;C4295</f>
        <v>B46l</v>
      </c>
      <c r="E4295" s="367">
        <v>10</v>
      </c>
      <c r="F4295" s="370"/>
      <c r="G4295" s="368"/>
      <c r="H4295" s="368"/>
      <c r="I4295" s="368"/>
      <c r="J4295" s="368"/>
      <c r="K4295" s="370"/>
      <c r="L4295" s="370"/>
      <c r="M4295" s="370"/>
      <c r="N4295" s="372"/>
      <c r="O4295" s="372"/>
      <c r="P4295" s="373"/>
      <c r="Q4295" s="374"/>
      <c r="R4295" s="378"/>
      <c r="S4295" s="379"/>
      <c r="T4295" s="366"/>
      <c r="U4295" s="366"/>
      <c r="V4295" s="366"/>
      <c r="W4295" s="366"/>
    </row>
    <row r="4296" spans="1:23" ht="18.75" customHeight="1">
      <c r="A4296" s="1410"/>
      <c r="B4296" s="1413"/>
      <c r="C4296" s="1206" t="s">
        <v>994</v>
      </c>
      <c r="D4296" s="875" t="str">
        <f>B4285&amp;C4296</f>
        <v>B46m</v>
      </c>
      <c r="E4296" s="367">
        <v>11</v>
      </c>
      <c r="F4296" s="370"/>
      <c r="G4296" s="368"/>
      <c r="H4296" s="368"/>
      <c r="I4296" s="368"/>
      <c r="J4296" s="368"/>
      <c r="K4296" s="370"/>
      <c r="L4296" s="370"/>
      <c r="M4296" s="370"/>
      <c r="N4296" s="372"/>
      <c r="O4296" s="372"/>
      <c r="P4296" s="380"/>
      <c r="Q4296" s="374"/>
      <c r="R4296" s="381"/>
      <c r="S4296" s="379"/>
      <c r="T4296" s="366"/>
      <c r="U4296" s="366"/>
      <c r="V4296" s="366"/>
      <c r="W4296" s="366"/>
    </row>
    <row r="4297" spans="1:23" ht="18.75" customHeight="1">
      <c r="A4297" s="1410"/>
      <c r="B4297" s="1413"/>
      <c r="C4297" s="1206" t="s">
        <v>995</v>
      </c>
      <c r="D4297" s="875" t="str">
        <f>B4285&amp;C4297</f>
        <v>B46n</v>
      </c>
      <c r="E4297" s="367">
        <v>12</v>
      </c>
      <c r="F4297" s="370"/>
      <c r="G4297" s="368"/>
      <c r="H4297" s="368"/>
      <c r="I4297" s="368"/>
      <c r="J4297" s="368"/>
      <c r="K4297" s="370"/>
      <c r="L4297" s="370"/>
      <c r="M4297" s="370"/>
      <c r="N4297" s="372"/>
      <c r="O4297" s="372"/>
      <c r="P4297" s="380"/>
      <c r="Q4297" s="374"/>
      <c r="R4297" s="381"/>
      <c r="S4297" s="361"/>
      <c r="T4297" s="361"/>
      <c r="U4297" s="361"/>
      <c r="V4297" s="366"/>
      <c r="W4297" s="366"/>
    </row>
    <row r="4298" spans="1:23" ht="18.75" customHeight="1">
      <c r="A4298" s="1410"/>
      <c r="B4298" s="1413"/>
      <c r="C4298" s="1206" t="s">
        <v>471</v>
      </c>
      <c r="D4298" s="875" t="str">
        <f>B4285&amp;C4298</f>
        <v>B46x</v>
      </c>
      <c r="E4298" s="367">
        <v>13</v>
      </c>
      <c r="F4298" s="370"/>
      <c r="G4298" s="368"/>
      <c r="H4298" s="368"/>
      <c r="I4298" s="368"/>
      <c r="J4298" s="368"/>
      <c r="K4298" s="370"/>
      <c r="L4298" s="370"/>
      <c r="M4298" s="370"/>
      <c r="N4298" s="382"/>
      <c r="O4298" s="372"/>
      <c r="P4298" s="380"/>
      <c r="Q4298" s="381"/>
      <c r="R4298" s="381"/>
      <c r="S4298" s="361"/>
      <c r="T4298" s="361"/>
      <c r="U4298" s="361"/>
      <c r="V4298" s="366"/>
      <c r="W4298" s="366"/>
    </row>
    <row r="4299" spans="1:23" ht="18.75" customHeight="1">
      <c r="A4299" s="1410"/>
      <c r="B4299" s="1413"/>
      <c r="C4299" s="1206" t="s">
        <v>732</v>
      </c>
      <c r="D4299" s="875" t="str">
        <f>B4285&amp;C4299</f>
        <v>B46y</v>
      </c>
      <c r="E4299" s="367">
        <v>14</v>
      </c>
      <c r="F4299" s="370"/>
      <c r="G4299" s="368"/>
      <c r="H4299" s="368"/>
      <c r="I4299" s="368"/>
      <c r="J4299" s="368"/>
      <c r="K4299" s="370"/>
      <c r="L4299" s="370"/>
      <c r="M4299" s="370"/>
      <c r="N4299" s="382"/>
      <c r="O4299" s="372"/>
      <c r="P4299" s="380"/>
      <c r="Q4299" s="381"/>
      <c r="R4299" s="381"/>
      <c r="S4299" s="361"/>
      <c r="T4299" s="361"/>
      <c r="U4299" s="362"/>
      <c r="V4299" s="366"/>
      <c r="W4299" s="366"/>
    </row>
    <row r="4300" spans="1:23" ht="18.75" customHeight="1">
      <c r="A4300" s="1411"/>
      <c r="B4300" s="1414"/>
      <c r="C4300" s="1207" t="s">
        <v>996</v>
      </c>
      <c r="D4300" s="876" t="str">
        <f>B4285&amp;C4300</f>
        <v>B46z</v>
      </c>
      <c r="E4300" s="847">
        <v>15</v>
      </c>
      <c r="F4300" s="370"/>
      <c r="G4300" s="368"/>
      <c r="H4300" s="368"/>
      <c r="I4300" s="368"/>
      <c r="J4300" s="368"/>
      <c r="K4300" s="370"/>
      <c r="L4300" s="370"/>
      <c r="M4300" s="370"/>
      <c r="N4300" s="850"/>
      <c r="O4300" s="851"/>
      <c r="P4300" s="380"/>
      <c r="Q4300" s="852"/>
      <c r="R4300" s="383"/>
      <c r="S4300" s="361"/>
      <c r="T4300" s="1204"/>
      <c r="U4300" s="1203"/>
      <c r="V4300" s="366"/>
      <c r="W4300" s="366"/>
    </row>
    <row r="4301" spans="1:23">
      <c r="A4301" s="1400" t="s">
        <v>939</v>
      </c>
      <c r="B4301" s="1400"/>
      <c r="C4301" s="1200"/>
      <c r="D4301" s="871"/>
      <c r="E4301" s="1400" t="s">
        <v>177</v>
      </c>
      <c r="F4301" s="1400" t="s">
        <v>18</v>
      </c>
      <c r="G4301" s="1389" t="s">
        <v>19</v>
      </c>
      <c r="H4301" s="1390"/>
      <c r="I4301" s="1389" t="s">
        <v>22</v>
      </c>
      <c r="J4301" s="1390"/>
      <c r="K4301" s="1393" t="s">
        <v>26</v>
      </c>
      <c r="L4301" s="1390"/>
      <c r="M4301" s="1389" t="s">
        <v>392</v>
      </c>
      <c r="N4301" s="1390"/>
      <c r="O4301" s="1389" t="s">
        <v>28</v>
      </c>
      <c r="P4301" s="1393"/>
      <c r="Q4301" s="1390"/>
      <c r="R4301" s="1400" t="s">
        <v>36</v>
      </c>
      <c r="S4301" s="361"/>
      <c r="T4301" s="361">
        <f>MAX(J4305:J4319)-MIN(I4305:I4319)</f>
        <v>9.0277777777777776E-2</v>
      </c>
      <c r="U4301" s="361"/>
      <c r="V4301" s="853" t="str">
        <f t="shared" ref="V4301" si="540">B4305</f>
        <v>B47</v>
      </c>
      <c r="W4301" s="361">
        <f t="shared" ref="W4301" si="541">COUNTIF(K4306:K4320,"&gt;0")</f>
        <v>3</v>
      </c>
    </row>
    <row r="4302" spans="1:23">
      <c r="A4302" s="1401"/>
      <c r="B4302" s="1401"/>
      <c r="C4302" s="1202"/>
      <c r="D4302" s="872"/>
      <c r="E4302" s="1401"/>
      <c r="F4302" s="1401"/>
      <c r="G4302" s="1391"/>
      <c r="H4302" s="1392"/>
      <c r="I4302" s="1391"/>
      <c r="J4302" s="1392"/>
      <c r="K4302" s="1394"/>
      <c r="L4302" s="1392"/>
      <c r="M4302" s="1391"/>
      <c r="N4302" s="1392"/>
      <c r="O4302" s="1391"/>
      <c r="P4302" s="1394"/>
      <c r="Q4302" s="1392"/>
      <c r="R4302" s="1401"/>
      <c r="S4302" s="361"/>
      <c r="T4302" s="361"/>
      <c r="U4302" s="361"/>
      <c r="V4302" s="361"/>
      <c r="W4302" s="361"/>
    </row>
    <row r="4303" spans="1:23">
      <c r="A4303" s="1401"/>
      <c r="B4303" s="1401"/>
      <c r="C4303" s="1202"/>
      <c r="D4303" s="872"/>
      <c r="E4303" s="1401"/>
      <c r="F4303" s="1401"/>
      <c r="G4303" s="1400" t="s">
        <v>20</v>
      </c>
      <c r="H4303" s="1400" t="s">
        <v>21</v>
      </c>
      <c r="I4303" s="1400" t="s">
        <v>361</v>
      </c>
      <c r="J4303" s="1400" t="s">
        <v>353</v>
      </c>
      <c r="K4303" s="1400" t="s">
        <v>23</v>
      </c>
      <c r="L4303" s="1400" t="s">
        <v>24</v>
      </c>
      <c r="M4303" s="1400" t="s">
        <v>27</v>
      </c>
      <c r="N4303" s="1400" t="s">
        <v>178</v>
      </c>
      <c r="O4303" s="1400" t="s">
        <v>1</v>
      </c>
      <c r="P4303" s="1400" t="s">
        <v>29</v>
      </c>
      <c r="Q4303" s="1400" t="s">
        <v>33</v>
      </c>
      <c r="R4303" s="1401"/>
      <c r="S4303" s="361"/>
      <c r="T4303" s="361" t="s">
        <v>39</v>
      </c>
      <c r="U4303" s="362">
        <f>VLOOKUP(B4305,'[8]Thong tin'!$A:$M,13,0)</f>
        <v>800</v>
      </c>
      <c r="V4303" s="361"/>
      <c r="W4303" s="361"/>
    </row>
    <row r="4304" spans="1:23">
      <c r="A4304" s="1402"/>
      <c r="B4304" s="1402"/>
      <c r="C4304" s="1201"/>
      <c r="D4304" s="873"/>
      <c r="E4304" s="1402"/>
      <c r="F4304" s="1402"/>
      <c r="G4304" s="1402"/>
      <c r="H4304" s="1402"/>
      <c r="I4304" s="1402"/>
      <c r="J4304" s="1402"/>
      <c r="K4304" s="1402"/>
      <c r="L4304" s="1402"/>
      <c r="M4304" s="1402"/>
      <c r="N4304" s="1402"/>
      <c r="O4304" s="1402"/>
      <c r="P4304" s="1402"/>
      <c r="Q4304" s="1402"/>
      <c r="R4304" s="1402"/>
      <c r="S4304" s="361"/>
      <c r="T4304" s="1399" t="s">
        <v>393</v>
      </c>
      <c r="U4304" s="1397">
        <f>VLOOKUP(B4305,[8]DT.NK!$B:$AZ,45,0)</f>
        <v>28.63</v>
      </c>
      <c r="V4304" s="361"/>
      <c r="W4304" s="361"/>
    </row>
    <row r="4305" spans="1:23" ht="18.75" customHeight="1">
      <c r="A4305" s="1409">
        <f>A4285+1</f>
        <v>216</v>
      </c>
      <c r="B4305" s="1412" t="s">
        <v>641</v>
      </c>
      <c r="C4305" s="1205" t="s">
        <v>983</v>
      </c>
      <c r="D4305" s="874" t="str">
        <f>B4305&amp;C4305</f>
        <v>B47a</v>
      </c>
      <c r="E4305" s="363"/>
      <c r="F4305" s="364"/>
      <c r="G4305" s="364"/>
      <c r="H4305" s="364"/>
      <c r="I4305" s="364"/>
      <c r="J4305" s="364"/>
      <c r="K4305" s="364"/>
      <c r="L4305" s="364"/>
      <c r="M4305" s="674"/>
      <c r="N4305" s="670"/>
      <c r="O4305" s="670">
        <f>U4304</f>
        <v>28.63</v>
      </c>
      <c r="P4305" s="670">
        <f>O4305</f>
        <v>28.63</v>
      </c>
      <c r="Q4305" s="670">
        <v>0</v>
      </c>
      <c r="R4305" s="365"/>
      <c r="S4305" s="366"/>
      <c r="T4305" s="1399"/>
      <c r="U4305" s="1398"/>
      <c r="V4305" s="361"/>
      <c r="W4305" s="361"/>
    </row>
    <row r="4306" spans="1:23" ht="18.75" customHeight="1">
      <c r="A4306" s="1410"/>
      <c r="B4306" s="1413"/>
      <c r="C4306" s="1206" t="s">
        <v>984</v>
      </c>
      <c r="D4306" s="875" t="str">
        <f>B4305&amp;C4306</f>
        <v>B47b</v>
      </c>
      <c r="E4306" s="367">
        <v>1</v>
      </c>
      <c r="F4306" s="669" t="s">
        <v>1156</v>
      </c>
      <c r="G4306" s="369">
        <v>0.95694444444444438</v>
      </c>
      <c r="H4306" s="368">
        <v>1.0416666666666666E-2</v>
      </c>
      <c r="I4306" s="368">
        <v>3.4722222222222224E-2</v>
      </c>
      <c r="J4306" s="368">
        <v>3.9583333333333331E-2</v>
      </c>
      <c r="K4306" s="669">
        <v>14</v>
      </c>
      <c r="L4306" s="669">
        <v>20</v>
      </c>
      <c r="M4306" s="675">
        <v>27.35</v>
      </c>
      <c r="N4306" s="671">
        <f>IF(M4306-P4306&gt;0,M4306-P4306,0)</f>
        <v>1.6300000000000026</v>
      </c>
      <c r="O4306" s="671">
        <f>O4305-K4306/(PI()*(U4303/2000)^2)</f>
        <v>0.77788495891831744</v>
      </c>
      <c r="P4306" s="672">
        <v>25.72</v>
      </c>
      <c r="Q4306" s="673">
        <f>ABS(O4306-P4306)</f>
        <v>24.942115041081681</v>
      </c>
      <c r="R4306" s="375" t="s">
        <v>188</v>
      </c>
      <c r="S4306" s="366"/>
      <c r="T4306" s="376"/>
      <c r="U4306" s="376"/>
      <c r="V4306" s="366"/>
      <c r="W4306" s="366"/>
    </row>
    <row r="4307" spans="1:23" ht="18.75" customHeight="1">
      <c r="A4307" s="1410"/>
      <c r="B4307" s="1413"/>
      <c r="C4307" s="1206" t="s">
        <v>985</v>
      </c>
      <c r="D4307" s="875" t="str">
        <f>B4305&amp;C4307</f>
        <v>B47c</v>
      </c>
      <c r="E4307" s="367">
        <v>2</v>
      </c>
      <c r="F4307" s="669" t="s">
        <v>1159</v>
      </c>
      <c r="G4307" s="368">
        <v>0.96180555555555547</v>
      </c>
      <c r="H4307" s="368">
        <v>2.7777777777777776E-2</v>
      </c>
      <c r="I4307" s="368">
        <v>5.2083333333333336E-2</v>
      </c>
      <c r="J4307" s="368">
        <v>6.0416666666666667E-2</v>
      </c>
      <c r="K4307" s="370">
        <v>6</v>
      </c>
      <c r="L4307" s="370">
        <v>20</v>
      </c>
      <c r="M4307" s="371">
        <v>25.2</v>
      </c>
      <c r="N4307" s="671"/>
      <c r="O4307" s="671"/>
      <c r="P4307" s="373">
        <v>22.5</v>
      </c>
      <c r="Q4307" s="673"/>
      <c r="R4307" s="958" t="s">
        <v>188</v>
      </c>
      <c r="S4307" s="366"/>
      <c r="T4307" s="376"/>
      <c r="U4307" s="376"/>
      <c r="V4307" s="366"/>
      <c r="W4307" s="366"/>
    </row>
    <row r="4308" spans="1:23" ht="18.75" customHeight="1">
      <c r="A4308" s="1410"/>
      <c r="B4308" s="1413"/>
      <c r="C4308" s="1206" t="s">
        <v>986</v>
      </c>
      <c r="D4308" s="875" t="str">
        <f>B4305&amp;C4308</f>
        <v>B47d</v>
      </c>
      <c r="E4308" s="367">
        <v>3</v>
      </c>
      <c r="F4308" s="669" t="s">
        <v>1156</v>
      </c>
      <c r="G4308" s="368">
        <v>9.375E-2</v>
      </c>
      <c r="H4308" s="368">
        <v>0.11805555555555557</v>
      </c>
      <c r="I4308" s="368">
        <v>0.12152777777777778</v>
      </c>
      <c r="J4308" s="368">
        <v>0.125</v>
      </c>
      <c r="K4308" s="370">
        <v>9</v>
      </c>
      <c r="L4308" s="370">
        <v>19</v>
      </c>
      <c r="M4308" s="371"/>
      <c r="N4308" s="671"/>
      <c r="O4308" s="671"/>
      <c r="P4308" s="373">
        <v>5</v>
      </c>
      <c r="Q4308" s="673"/>
      <c r="R4308" s="958" t="s">
        <v>188</v>
      </c>
      <c r="S4308" s="366"/>
      <c r="T4308" s="376"/>
      <c r="U4308" s="376"/>
      <c r="V4308" s="366"/>
      <c r="W4308" s="366"/>
    </row>
    <row r="4309" spans="1:23" ht="18.75" customHeight="1">
      <c r="A4309" s="1410"/>
      <c r="B4309" s="1413"/>
      <c r="C4309" s="1206" t="s">
        <v>987</v>
      </c>
      <c r="D4309" s="875" t="str">
        <f>B4305&amp;C4309</f>
        <v>B47e</v>
      </c>
      <c r="E4309" s="367">
        <v>4</v>
      </c>
      <c r="F4309" s="370"/>
      <c r="G4309" s="368"/>
      <c r="H4309" s="368"/>
      <c r="I4309" s="368"/>
      <c r="J4309" s="368"/>
      <c r="K4309" s="370"/>
      <c r="L4309" s="370"/>
      <c r="M4309" s="371"/>
      <c r="N4309" s="671"/>
      <c r="O4309" s="671"/>
      <c r="P4309" s="373"/>
      <c r="Q4309" s="673"/>
      <c r="R4309" s="958"/>
      <c r="S4309" s="366"/>
      <c r="T4309" s="376"/>
      <c r="U4309" s="376"/>
      <c r="V4309" s="366"/>
      <c r="W4309" s="366"/>
    </row>
    <row r="4310" spans="1:23" ht="18.75" customHeight="1">
      <c r="A4310" s="1410"/>
      <c r="B4310" s="1413"/>
      <c r="C4310" s="1206" t="s">
        <v>988</v>
      </c>
      <c r="D4310" s="875" t="str">
        <f>B4305&amp;C4310</f>
        <v>B47f</v>
      </c>
      <c r="E4310" s="367">
        <v>5</v>
      </c>
      <c r="F4310" s="370"/>
      <c r="G4310" s="368"/>
      <c r="H4310" s="368"/>
      <c r="I4310" s="368"/>
      <c r="J4310" s="368"/>
      <c r="K4310" s="370"/>
      <c r="L4310" s="370"/>
      <c r="M4310" s="371"/>
      <c r="N4310" s="671"/>
      <c r="O4310" s="671"/>
      <c r="P4310" s="373"/>
      <c r="Q4310" s="673"/>
      <c r="R4310" s="958"/>
      <c r="S4310" s="366" t="s">
        <v>190</v>
      </c>
      <c r="T4310" s="376"/>
      <c r="U4310" s="376"/>
      <c r="V4310" s="366"/>
      <c r="W4310" s="366"/>
    </row>
    <row r="4311" spans="1:23" ht="18.75" customHeight="1">
      <c r="A4311" s="1410"/>
      <c r="B4311" s="1413"/>
      <c r="C4311" s="1206" t="s">
        <v>989</v>
      </c>
      <c r="D4311" s="875" t="str">
        <f>B4305&amp;C4311</f>
        <v>B47g</v>
      </c>
      <c r="E4311" s="367">
        <v>6</v>
      </c>
      <c r="F4311" s="370"/>
      <c r="G4311" s="368"/>
      <c r="H4311" s="368"/>
      <c r="I4311" s="368"/>
      <c r="J4311" s="368"/>
      <c r="K4311" s="370"/>
      <c r="L4311" s="370"/>
      <c r="M4311" s="371"/>
      <c r="N4311" s="671"/>
      <c r="O4311" s="671"/>
      <c r="P4311" s="373"/>
      <c r="Q4311" s="673"/>
      <c r="R4311" s="958"/>
      <c r="S4311" s="366" t="s">
        <v>190</v>
      </c>
      <c r="T4311" s="366"/>
      <c r="U4311" s="366"/>
      <c r="V4311" s="366"/>
      <c r="W4311" s="366"/>
    </row>
    <row r="4312" spans="1:23" ht="18.75" customHeight="1">
      <c r="A4312" s="1410"/>
      <c r="B4312" s="1413"/>
      <c r="C4312" s="1206" t="s">
        <v>990</v>
      </c>
      <c r="D4312" s="875" t="str">
        <f>B4305&amp;C4312</f>
        <v>B47h</v>
      </c>
      <c r="E4312" s="367">
        <v>7</v>
      </c>
      <c r="F4312" s="370"/>
      <c r="G4312" s="368"/>
      <c r="H4312" s="368"/>
      <c r="I4312" s="368"/>
      <c r="J4312" s="368"/>
      <c r="K4312" s="370"/>
      <c r="L4312" s="370"/>
      <c r="M4312" s="371"/>
      <c r="N4312" s="671"/>
      <c r="O4312" s="671"/>
      <c r="P4312" s="373"/>
      <c r="Q4312" s="673"/>
      <c r="R4312" s="958"/>
      <c r="S4312" s="366" t="s">
        <v>190</v>
      </c>
      <c r="T4312" s="366"/>
      <c r="U4312" s="366"/>
      <c r="V4312" s="366"/>
      <c r="W4312" s="366"/>
    </row>
    <row r="4313" spans="1:23" ht="18.75" customHeight="1">
      <c r="A4313" s="1410"/>
      <c r="B4313" s="1413"/>
      <c r="C4313" s="1206" t="s">
        <v>991</v>
      </c>
      <c r="D4313" s="875" t="str">
        <f>B4305&amp;C4313</f>
        <v>B47i</v>
      </c>
      <c r="E4313" s="367">
        <v>8</v>
      </c>
      <c r="F4313" s="370"/>
      <c r="G4313" s="368"/>
      <c r="H4313" s="368"/>
      <c r="I4313" s="368"/>
      <c r="J4313" s="368"/>
      <c r="K4313" s="370"/>
      <c r="L4313" s="370"/>
      <c r="M4313" s="371"/>
      <c r="N4313" s="671"/>
      <c r="O4313" s="671"/>
      <c r="P4313" s="373"/>
      <c r="Q4313" s="673"/>
      <c r="R4313" s="958"/>
      <c r="S4313" s="366"/>
      <c r="T4313" s="366"/>
      <c r="U4313" s="366"/>
      <c r="V4313" s="366"/>
      <c r="W4313" s="366"/>
    </row>
    <row r="4314" spans="1:23" ht="18.75" customHeight="1">
      <c r="A4314" s="1410"/>
      <c r="B4314" s="1413"/>
      <c r="C4314" s="1206" t="s">
        <v>992</v>
      </c>
      <c r="D4314" s="875" t="str">
        <f>B4305&amp;C4314</f>
        <v>B47k</v>
      </c>
      <c r="E4314" s="367">
        <v>9</v>
      </c>
      <c r="F4314" s="370"/>
      <c r="G4314" s="368"/>
      <c r="H4314" s="368"/>
      <c r="I4314" s="368"/>
      <c r="J4314" s="368"/>
      <c r="K4314" s="370"/>
      <c r="L4314" s="370"/>
      <c r="M4314" s="371"/>
      <c r="N4314" s="372"/>
      <c r="O4314" s="372"/>
      <c r="P4314" s="373"/>
      <c r="Q4314" s="374"/>
      <c r="R4314" s="378"/>
      <c r="S4314" s="379"/>
      <c r="T4314" s="366"/>
      <c r="U4314" s="366"/>
      <c r="V4314" s="366"/>
      <c r="W4314" s="366"/>
    </row>
    <row r="4315" spans="1:23" ht="18.75" customHeight="1">
      <c r="A4315" s="1410"/>
      <c r="B4315" s="1413"/>
      <c r="C4315" s="1206" t="s">
        <v>993</v>
      </c>
      <c r="D4315" s="875" t="str">
        <f>B4305&amp;C4315</f>
        <v>B47l</v>
      </c>
      <c r="E4315" s="367">
        <v>10</v>
      </c>
      <c r="F4315" s="370"/>
      <c r="G4315" s="368"/>
      <c r="H4315" s="368"/>
      <c r="I4315" s="368"/>
      <c r="J4315" s="368"/>
      <c r="K4315" s="370"/>
      <c r="L4315" s="370"/>
      <c r="M4315" s="370"/>
      <c r="N4315" s="372"/>
      <c r="O4315" s="372"/>
      <c r="P4315" s="373"/>
      <c r="Q4315" s="374"/>
      <c r="R4315" s="378"/>
      <c r="S4315" s="379"/>
      <c r="T4315" s="366"/>
      <c r="U4315" s="366"/>
      <c r="V4315" s="366"/>
      <c r="W4315" s="366"/>
    </row>
    <row r="4316" spans="1:23" ht="18.75" customHeight="1">
      <c r="A4316" s="1410"/>
      <c r="B4316" s="1413"/>
      <c r="C4316" s="1206" t="s">
        <v>994</v>
      </c>
      <c r="D4316" s="875" t="str">
        <f>B4305&amp;C4316</f>
        <v>B47m</v>
      </c>
      <c r="E4316" s="367">
        <v>11</v>
      </c>
      <c r="F4316" s="370"/>
      <c r="G4316" s="368"/>
      <c r="H4316" s="368"/>
      <c r="I4316" s="368"/>
      <c r="J4316" s="368"/>
      <c r="K4316" s="370"/>
      <c r="L4316" s="370"/>
      <c r="M4316" s="370"/>
      <c r="N4316" s="372"/>
      <c r="O4316" s="372"/>
      <c r="P4316" s="380"/>
      <c r="Q4316" s="374"/>
      <c r="R4316" s="381"/>
      <c r="S4316" s="379"/>
      <c r="T4316" s="366"/>
      <c r="U4316" s="366"/>
      <c r="V4316" s="366"/>
      <c r="W4316" s="366"/>
    </row>
    <row r="4317" spans="1:23" ht="18.75" customHeight="1">
      <c r="A4317" s="1410"/>
      <c r="B4317" s="1413"/>
      <c r="C4317" s="1206" t="s">
        <v>995</v>
      </c>
      <c r="D4317" s="875" t="str">
        <f>B4305&amp;C4317</f>
        <v>B47n</v>
      </c>
      <c r="E4317" s="367">
        <v>12</v>
      </c>
      <c r="F4317" s="370"/>
      <c r="G4317" s="368"/>
      <c r="H4317" s="368"/>
      <c r="I4317" s="368"/>
      <c r="J4317" s="368"/>
      <c r="K4317" s="370"/>
      <c r="L4317" s="370"/>
      <c r="M4317" s="370"/>
      <c r="N4317" s="372"/>
      <c r="O4317" s="372"/>
      <c r="P4317" s="380"/>
      <c r="Q4317" s="374"/>
      <c r="R4317" s="381"/>
      <c r="S4317" s="361"/>
      <c r="T4317" s="361"/>
      <c r="U4317" s="361"/>
      <c r="V4317" s="366"/>
      <c r="W4317" s="366"/>
    </row>
    <row r="4318" spans="1:23" ht="18.75" customHeight="1">
      <c r="A4318" s="1410"/>
      <c r="B4318" s="1413"/>
      <c r="C4318" s="1206" t="s">
        <v>471</v>
      </c>
      <c r="D4318" s="875" t="str">
        <f>B4305&amp;C4318</f>
        <v>B47x</v>
      </c>
      <c r="E4318" s="367">
        <v>13</v>
      </c>
      <c r="F4318" s="370"/>
      <c r="G4318" s="368"/>
      <c r="H4318" s="368"/>
      <c r="I4318" s="368"/>
      <c r="J4318" s="368"/>
      <c r="K4318" s="370"/>
      <c r="L4318" s="370"/>
      <c r="M4318" s="370"/>
      <c r="N4318" s="382"/>
      <c r="O4318" s="372"/>
      <c r="P4318" s="380"/>
      <c r="Q4318" s="381"/>
      <c r="R4318" s="381"/>
      <c r="S4318" s="361"/>
      <c r="T4318" s="361"/>
      <c r="U4318" s="361"/>
      <c r="V4318" s="366"/>
      <c r="W4318" s="366"/>
    </row>
    <row r="4319" spans="1:23" ht="18.75" customHeight="1">
      <c r="A4319" s="1410"/>
      <c r="B4319" s="1413"/>
      <c r="C4319" s="1206" t="s">
        <v>732</v>
      </c>
      <c r="D4319" s="875" t="str">
        <f>B4305&amp;C4319</f>
        <v>B47y</v>
      </c>
      <c r="E4319" s="367">
        <v>14</v>
      </c>
      <c r="F4319" s="370"/>
      <c r="G4319" s="368"/>
      <c r="H4319" s="368"/>
      <c r="I4319" s="368"/>
      <c r="J4319" s="368"/>
      <c r="K4319" s="370"/>
      <c r="L4319" s="370"/>
      <c r="M4319" s="370"/>
      <c r="N4319" s="382"/>
      <c r="O4319" s="372"/>
      <c r="P4319" s="380"/>
      <c r="Q4319" s="381"/>
      <c r="R4319" s="381"/>
      <c r="S4319" s="361"/>
      <c r="T4319" s="361"/>
      <c r="U4319" s="362"/>
      <c r="V4319" s="366"/>
      <c r="W4319" s="366"/>
    </row>
    <row r="4320" spans="1:23" ht="18.75" customHeight="1">
      <c r="A4320" s="1411"/>
      <c r="B4320" s="1414"/>
      <c r="C4320" s="1207" t="s">
        <v>996</v>
      </c>
      <c r="D4320" s="876" t="str">
        <f>B4305&amp;C4320</f>
        <v>B47z</v>
      </c>
      <c r="E4320" s="847">
        <v>15</v>
      </c>
      <c r="F4320" s="370"/>
      <c r="G4320" s="368"/>
      <c r="H4320" s="368"/>
      <c r="I4320" s="368"/>
      <c r="J4320" s="368"/>
      <c r="K4320" s="370"/>
      <c r="L4320" s="370"/>
      <c r="M4320" s="370"/>
      <c r="N4320" s="850"/>
      <c r="O4320" s="851"/>
      <c r="P4320" s="380"/>
      <c r="Q4320" s="852"/>
      <c r="R4320" s="383"/>
      <c r="S4320" s="361"/>
      <c r="T4320" s="1204"/>
      <c r="U4320" s="1203"/>
      <c r="V4320" s="366"/>
      <c r="W4320" s="366"/>
    </row>
  </sheetData>
  <mergeCells count="5400">
    <mergeCell ref="T4284:T4285"/>
    <mergeCell ref="U4284:U4285"/>
    <mergeCell ref="A4285:A4300"/>
    <mergeCell ref="B4285:B4300"/>
    <mergeCell ref="A4301:A4304"/>
    <mergeCell ref="B4301:B4304"/>
    <mergeCell ref="E4301:E4304"/>
    <mergeCell ref="F4301:F4304"/>
    <mergeCell ref="G4301:H4302"/>
    <mergeCell ref="I4301:J4302"/>
    <mergeCell ref="K4301:L4302"/>
    <mergeCell ref="M4301:N4302"/>
    <mergeCell ref="O4301:Q4302"/>
    <mergeCell ref="R4301:R4304"/>
    <mergeCell ref="G4303:G4304"/>
    <mergeCell ref="H4303:H4304"/>
    <mergeCell ref="I4303:I4304"/>
    <mergeCell ref="J4303:J4304"/>
    <mergeCell ref="K4303:K4304"/>
    <mergeCell ref="L4303:L4304"/>
    <mergeCell ref="M4303:M4304"/>
    <mergeCell ref="N4303:N4304"/>
    <mergeCell ref="O4303:O4304"/>
    <mergeCell ref="P4303:P4304"/>
    <mergeCell ref="Q4303:Q4304"/>
    <mergeCell ref="T4304:T4305"/>
    <mergeCell ref="U4304:U4305"/>
    <mergeCell ref="A4305:A4320"/>
    <mergeCell ref="B4305:B4320"/>
    <mergeCell ref="A4281:A4284"/>
    <mergeCell ref="B4281:B4284"/>
    <mergeCell ref="E4281:E4284"/>
    <mergeCell ref="F4281:F4284"/>
    <mergeCell ref="G4281:H4282"/>
    <mergeCell ref="I4281:J4282"/>
    <mergeCell ref="K4281:L4282"/>
    <mergeCell ref="M4281:N4282"/>
    <mergeCell ref="O4281:Q4282"/>
    <mergeCell ref="R4281:R4284"/>
    <mergeCell ref="G4283:G4284"/>
    <mergeCell ref="H4283:H4284"/>
    <mergeCell ref="I4283:I4284"/>
    <mergeCell ref="J4283:J4284"/>
    <mergeCell ref="K4283:K4284"/>
    <mergeCell ref="L4283:L4284"/>
    <mergeCell ref="M4283:M4284"/>
    <mergeCell ref="N4283:N4284"/>
    <mergeCell ref="O4283:O4284"/>
    <mergeCell ref="P4283:P4284"/>
    <mergeCell ref="Q4283:Q4284"/>
    <mergeCell ref="T4244:T4245"/>
    <mergeCell ref="U4244:U4245"/>
    <mergeCell ref="A4245:A4260"/>
    <mergeCell ref="B4245:B4260"/>
    <mergeCell ref="A4261:A4264"/>
    <mergeCell ref="B4261:B4264"/>
    <mergeCell ref="E4261:E4264"/>
    <mergeCell ref="F4261:F4264"/>
    <mergeCell ref="G4261:H4262"/>
    <mergeCell ref="I4261:J4262"/>
    <mergeCell ref="K4261:L4262"/>
    <mergeCell ref="M4261:N4262"/>
    <mergeCell ref="O4261:Q4262"/>
    <mergeCell ref="R4261:R4264"/>
    <mergeCell ref="G4263:G4264"/>
    <mergeCell ref="H4263:H4264"/>
    <mergeCell ref="I4263:I4264"/>
    <mergeCell ref="J4263:J4264"/>
    <mergeCell ref="K4263:K4264"/>
    <mergeCell ref="L4263:L4264"/>
    <mergeCell ref="M4263:M4264"/>
    <mergeCell ref="N4263:N4264"/>
    <mergeCell ref="O4263:O4264"/>
    <mergeCell ref="P4263:P4264"/>
    <mergeCell ref="Q4263:Q4264"/>
    <mergeCell ref="T4264:T4265"/>
    <mergeCell ref="U4264:U4265"/>
    <mergeCell ref="A4265:A4280"/>
    <mergeCell ref="B4265:B4280"/>
    <mergeCell ref="A4241:A4244"/>
    <mergeCell ref="B4241:B4244"/>
    <mergeCell ref="E4241:E4244"/>
    <mergeCell ref="F4241:F4244"/>
    <mergeCell ref="G4241:H4242"/>
    <mergeCell ref="I4241:J4242"/>
    <mergeCell ref="K4241:L4242"/>
    <mergeCell ref="M4241:N4242"/>
    <mergeCell ref="O4241:Q4242"/>
    <mergeCell ref="R4241:R4244"/>
    <mergeCell ref="G4243:G4244"/>
    <mergeCell ref="H4243:H4244"/>
    <mergeCell ref="I4243:I4244"/>
    <mergeCell ref="J4243:J4244"/>
    <mergeCell ref="K4243:K4244"/>
    <mergeCell ref="L4243:L4244"/>
    <mergeCell ref="M4243:M4244"/>
    <mergeCell ref="N4243:N4244"/>
    <mergeCell ref="O4243:O4244"/>
    <mergeCell ref="P4243:P4244"/>
    <mergeCell ref="Q4243:Q4244"/>
    <mergeCell ref="T4204:T4205"/>
    <mergeCell ref="U4204:U4205"/>
    <mergeCell ref="A4205:A4220"/>
    <mergeCell ref="B4205:B4220"/>
    <mergeCell ref="A4221:A4224"/>
    <mergeCell ref="B4221:B4224"/>
    <mergeCell ref="E4221:E4224"/>
    <mergeCell ref="F4221:F4224"/>
    <mergeCell ref="G4221:H4222"/>
    <mergeCell ref="I4221:J4222"/>
    <mergeCell ref="K4221:L4222"/>
    <mergeCell ref="M4221:N4222"/>
    <mergeCell ref="O4221:Q4222"/>
    <mergeCell ref="R4221:R4224"/>
    <mergeCell ref="G4223:G4224"/>
    <mergeCell ref="H4223:H4224"/>
    <mergeCell ref="I4223:I4224"/>
    <mergeCell ref="J4223:J4224"/>
    <mergeCell ref="K4223:K4224"/>
    <mergeCell ref="L4223:L4224"/>
    <mergeCell ref="M4223:M4224"/>
    <mergeCell ref="N4223:N4224"/>
    <mergeCell ref="O4223:O4224"/>
    <mergeCell ref="P4223:P4224"/>
    <mergeCell ref="Q4223:Q4224"/>
    <mergeCell ref="T4224:T4225"/>
    <mergeCell ref="U4224:U4225"/>
    <mergeCell ref="A4225:A4240"/>
    <mergeCell ref="B4225:B4240"/>
    <mergeCell ref="A4201:A4204"/>
    <mergeCell ref="B4201:B4204"/>
    <mergeCell ref="E4201:E4204"/>
    <mergeCell ref="F4201:F4204"/>
    <mergeCell ref="G4201:H4202"/>
    <mergeCell ref="I4201:J4202"/>
    <mergeCell ref="K4201:L4202"/>
    <mergeCell ref="M4201:N4202"/>
    <mergeCell ref="O4201:Q4202"/>
    <mergeCell ref="R4201:R4204"/>
    <mergeCell ref="G4203:G4204"/>
    <mergeCell ref="H4203:H4204"/>
    <mergeCell ref="I4203:I4204"/>
    <mergeCell ref="J4203:J4204"/>
    <mergeCell ref="K4203:K4204"/>
    <mergeCell ref="L4203:L4204"/>
    <mergeCell ref="M4203:M4204"/>
    <mergeCell ref="N4203:N4204"/>
    <mergeCell ref="O4203:O4204"/>
    <mergeCell ref="P4203:P4204"/>
    <mergeCell ref="Q4203:Q4204"/>
    <mergeCell ref="T4164:T4165"/>
    <mergeCell ref="U4164:U4165"/>
    <mergeCell ref="A4165:A4180"/>
    <mergeCell ref="B4165:B4180"/>
    <mergeCell ref="A4181:A4184"/>
    <mergeCell ref="B4181:B4184"/>
    <mergeCell ref="E4181:E4184"/>
    <mergeCell ref="F4181:F4184"/>
    <mergeCell ref="G4181:H4182"/>
    <mergeCell ref="I4181:J4182"/>
    <mergeCell ref="K4181:L4182"/>
    <mergeCell ref="M4181:N4182"/>
    <mergeCell ref="O4181:Q4182"/>
    <mergeCell ref="R4181:R4184"/>
    <mergeCell ref="G4183:G4184"/>
    <mergeCell ref="H4183:H4184"/>
    <mergeCell ref="I4183:I4184"/>
    <mergeCell ref="J4183:J4184"/>
    <mergeCell ref="K4183:K4184"/>
    <mergeCell ref="L4183:L4184"/>
    <mergeCell ref="M4183:M4184"/>
    <mergeCell ref="N4183:N4184"/>
    <mergeCell ref="O4183:O4184"/>
    <mergeCell ref="P4183:P4184"/>
    <mergeCell ref="Q4183:Q4184"/>
    <mergeCell ref="T4184:T4185"/>
    <mergeCell ref="U4184:U4185"/>
    <mergeCell ref="A4185:A4200"/>
    <mergeCell ref="B4185:B4200"/>
    <mergeCell ref="A4161:A4164"/>
    <mergeCell ref="B4161:B4164"/>
    <mergeCell ref="E4161:E4164"/>
    <mergeCell ref="F4161:F4164"/>
    <mergeCell ref="G4161:H4162"/>
    <mergeCell ref="I4161:J4162"/>
    <mergeCell ref="K4161:L4162"/>
    <mergeCell ref="M4161:N4162"/>
    <mergeCell ref="O4161:Q4162"/>
    <mergeCell ref="R4161:R4164"/>
    <mergeCell ref="G4163:G4164"/>
    <mergeCell ref="H4163:H4164"/>
    <mergeCell ref="I4163:I4164"/>
    <mergeCell ref="J4163:J4164"/>
    <mergeCell ref="K4163:K4164"/>
    <mergeCell ref="L4163:L4164"/>
    <mergeCell ref="M4163:M4164"/>
    <mergeCell ref="N4163:N4164"/>
    <mergeCell ref="O4163:O4164"/>
    <mergeCell ref="P4163:P4164"/>
    <mergeCell ref="Q4163:Q4164"/>
    <mergeCell ref="T4124:T4125"/>
    <mergeCell ref="U4124:U4125"/>
    <mergeCell ref="A4125:A4140"/>
    <mergeCell ref="B4125:B4140"/>
    <mergeCell ref="A4141:A4144"/>
    <mergeCell ref="B4141:B4144"/>
    <mergeCell ref="E4141:E4144"/>
    <mergeCell ref="F4141:F4144"/>
    <mergeCell ref="G4141:H4142"/>
    <mergeCell ref="I4141:J4142"/>
    <mergeCell ref="K4141:L4142"/>
    <mergeCell ref="M4141:N4142"/>
    <mergeCell ref="O4141:Q4142"/>
    <mergeCell ref="R4141:R4144"/>
    <mergeCell ref="G4143:G4144"/>
    <mergeCell ref="H4143:H4144"/>
    <mergeCell ref="I4143:I4144"/>
    <mergeCell ref="J4143:J4144"/>
    <mergeCell ref="K4143:K4144"/>
    <mergeCell ref="L4143:L4144"/>
    <mergeCell ref="M4143:M4144"/>
    <mergeCell ref="N4143:N4144"/>
    <mergeCell ref="O4143:O4144"/>
    <mergeCell ref="P4143:P4144"/>
    <mergeCell ref="Q4143:Q4144"/>
    <mergeCell ref="T4144:T4145"/>
    <mergeCell ref="U4144:U4145"/>
    <mergeCell ref="A4145:A4160"/>
    <mergeCell ref="B4145:B4160"/>
    <mergeCell ref="A4121:A4124"/>
    <mergeCell ref="B4121:B4124"/>
    <mergeCell ref="E4121:E4124"/>
    <mergeCell ref="F4121:F4124"/>
    <mergeCell ref="G4121:H4122"/>
    <mergeCell ref="I4121:J4122"/>
    <mergeCell ref="K4121:L4122"/>
    <mergeCell ref="M4121:N4122"/>
    <mergeCell ref="O4121:Q4122"/>
    <mergeCell ref="R4121:R4124"/>
    <mergeCell ref="G4123:G4124"/>
    <mergeCell ref="H4123:H4124"/>
    <mergeCell ref="I4123:I4124"/>
    <mergeCell ref="J4123:J4124"/>
    <mergeCell ref="K4123:K4124"/>
    <mergeCell ref="L4123:L4124"/>
    <mergeCell ref="M4123:M4124"/>
    <mergeCell ref="N4123:N4124"/>
    <mergeCell ref="O4123:O4124"/>
    <mergeCell ref="P4123:P4124"/>
    <mergeCell ref="Q4123:Q4124"/>
    <mergeCell ref="T4084:T4085"/>
    <mergeCell ref="U4084:U4085"/>
    <mergeCell ref="A4085:A4100"/>
    <mergeCell ref="B4085:B4100"/>
    <mergeCell ref="A4101:A4104"/>
    <mergeCell ref="B4101:B4104"/>
    <mergeCell ref="E4101:E4104"/>
    <mergeCell ref="F4101:F4104"/>
    <mergeCell ref="G4101:H4102"/>
    <mergeCell ref="I4101:J4102"/>
    <mergeCell ref="K4101:L4102"/>
    <mergeCell ref="M4101:N4102"/>
    <mergeCell ref="O4101:Q4102"/>
    <mergeCell ref="R4101:R4104"/>
    <mergeCell ref="G4103:G4104"/>
    <mergeCell ref="H4103:H4104"/>
    <mergeCell ref="I4103:I4104"/>
    <mergeCell ref="J4103:J4104"/>
    <mergeCell ref="K4103:K4104"/>
    <mergeCell ref="L4103:L4104"/>
    <mergeCell ref="M4103:M4104"/>
    <mergeCell ref="N4103:N4104"/>
    <mergeCell ref="O4103:O4104"/>
    <mergeCell ref="P4103:P4104"/>
    <mergeCell ref="Q4103:Q4104"/>
    <mergeCell ref="T4104:T4105"/>
    <mergeCell ref="U4104:U4105"/>
    <mergeCell ref="A4105:A4120"/>
    <mergeCell ref="B4105:B4120"/>
    <mergeCell ref="A4081:A4084"/>
    <mergeCell ref="B4081:B4084"/>
    <mergeCell ref="E4081:E4084"/>
    <mergeCell ref="F4081:F4084"/>
    <mergeCell ref="G4081:H4082"/>
    <mergeCell ref="I4081:J4082"/>
    <mergeCell ref="K4081:L4082"/>
    <mergeCell ref="M4081:N4082"/>
    <mergeCell ref="O4081:Q4082"/>
    <mergeCell ref="R4081:R4084"/>
    <mergeCell ref="G4083:G4084"/>
    <mergeCell ref="H4083:H4084"/>
    <mergeCell ref="I4083:I4084"/>
    <mergeCell ref="J4083:J4084"/>
    <mergeCell ref="K4083:K4084"/>
    <mergeCell ref="L4083:L4084"/>
    <mergeCell ref="M4083:M4084"/>
    <mergeCell ref="N4083:N4084"/>
    <mergeCell ref="O4083:O4084"/>
    <mergeCell ref="P4083:P4084"/>
    <mergeCell ref="Q4083:Q4084"/>
    <mergeCell ref="T4044:T4045"/>
    <mergeCell ref="U4044:U4045"/>
    <mergeCell ref="A4045:A4060"/>
    <mergeCell ref="B4045:B4060"/>
    <mergeCell ref="A4061:A4064"/>
    <mergeCell ref="B4061:B4064"/>
    <mergeCell ref="E4061:E4064"/>
    <mergeCell ref="F4061:F4064"/>
    <mergeCell ref="G4061:H4062"/>
    <mergeCell ref="I4061:J4062"/>
    <mergeCell ref="K4061:L4062"/>
    <mergeCell ref="M4061:N4062"/>
    <mergeCell ref="O4061:Q4062"/>
    <mergeCell ref="R4061:R4064"/>
    <mergeCell ref="G4063:G4064"/>
    <mergeCell ref="H4063:H4064"/>
    <mergeCell ref="I4063:I4064"/>
    <mergeCell ref="J4063:J4064"/>
    <mergeCell ref="K4063:K4064"/>
    <mergeCell ref="L4063:L4064"/>
    <mergeCell ref="M4063:M4064"/>
    <mergeCell ref="N4063:N4064"/>
    <mergeCell ref="O4063:O4064"/>
    <mergeCell ref="P4063:P4064"/>
    <mergeCell ref="Q4063:Q4064"/>
    <mergeCell ref="T4064:T4065"/>
    <mergeCell ref="U4064:U4065"/>
    <mergeCell ref="A4065:A4080"/>
    <mergeCell ref="B4065:B4080"/>
    <mergeCell ref="A4041:A4044"/>
    <mergeCell ref="B4041:B4044"/>
    <mergeCell ref="E4041:E4044"/>
    <mergeCell ref="F4041:F4044"/>
    <mergeCell ref="G4041:H4042"/>
    <mergeCell ref="I4041:J4042"/>
    <mergeCell ref="K4041:L4042"/>
    <mergeCell ref="M4041:N4042"/>
    <mergeCell ref="O4041:Q4042"/>
    <mergeCell ref="R4041:R4044"/>
    <mergeCell ref="G4043:G4044"/>
    <mergeCell ref="H4043:H4044"/>
    <mergeCell ref="I4043:I4044"/>
    <mergeCell ref="J4043:J4044"/>
    <mergeCell ref="K4043:K4044"/>
    <mergeCell ref="L4043:L4044"/>
    <mergeCell ref="M4043:M4044"/>
    <mergeCell ref="N4043:N4044"/>
    <mergeCell ref="O4043:O4044"/>
    <mergeCell ref="P4043:P4044"/>
    <mergeCell ref="Q4043:Q4044"/>
    <mergeCell ref="T4004:T4005"/>
    <mergeCell ref="U4004:U4005"/>
    <mergeCell ref="A4005:A4020"/>
    <mergeCell ref="B4005:B4020"/>
    <mergeCell ref="A4021:A4024"/>
    <mergeCell ref="B4021:B4024"/>
    <mergeCell ref="E4021:E4024"/>
    <mergeCell ref="F4021:F4024"/>
    <mergeCell ref="G4021:H4022"/>
    <mergeCell ref="I4021:J4022"/>
    <mergeCell ref="K4021:L4022"/>
    <mergeCell ref="M4021:N4022"/>
    <mergeCell ref="O4021:Q4022"/>
    <mergeCell ref="R4021:R4024"/>
    <mergeCell ref="G4023:G4024"/>
    <mergeCell ref="H4023:H4024"/>
    <mergeCell ref="I4023:I4024"/>
    <mergeCell ref="J4023:J4024"/>
    <mergeCell ref="K4023:K4024"/>
    <mergeCell ref="L4023:L4024"/>
    <mergeCell ref="M4023:M4024"/>
    <mergeCell ref="N4023:N4024"/>
    <mergeCell ref="O4023:O4024"/>
    <mergeCell ref="P4023:P4024"/>
    <mergeCell ref="Q4023:Q4024"/>
    <mergeCell ref="T4024:T4025"/>
    <mergeCell ref="U4024:U4025"/>
    <mergeCell ref="A4025:A4040"/>
    <mergeCell ref="B4025:B4040"/>
    <mergeCell ref="A4001:A4004"/>
    <mergeCell ref="B4001:B4004"/>
    <mergeCell ref="E4001:E4004"/>
    <mergeCell ref="F4001:F4004"/>
    <mergeCell ref="G4001:H4002"/>
    <mergeCell ref="I4001:J4002"/>
    <mergeCell ref="K4001:L4002"/>
    <mergeCell ref="M4001:N4002"/>
    <mergeCell ref="O4001:Q4002"/>
    <mergeCell ref="R4001:R4004"/>
    <mergeCell ref="G4003:G4004"/>
    <mergeCell ref="H4003:H4004"/>
    <mergeCell ref="I4003:I4004"/>
    <mergeCell ref="J4003:J4004"/>
    <mergeCell ref="K4003:K4004"/>
    <mergeCell ref="L4003:L4004"/>
    <mergeCell ref="M4003:M4004"/>
    <mergeCell ref="N4003:N4004"/>
    <mergeCell ref="O4003:O4004"/>
    <mergeCell ref="P4003:P4004"/>
    <mergeCell ref="Q4003:Q4004"/>
    <mergeCell ref="T3964:T3965"/>
    <mergeCell ref="U3964:U3965"/>
    <mergeCell ref="A3965:A3980"/>
    <mergeCell ref="B3965:B3980"/>
    <mergeCell ref="A3981:A3984"/>
    <mergeCell ref="B3981:B3984"/>
    <mergeCell ref="E3981:E3984"/>
    <mergeCell ref="F3981:F3984"/>
    <mergeCell ref="G3981:H3982"/>
    <mergeCell ref="I3981:J3982"/>
    <mergeCell ref="K3981:L3982"/>
    <mergeCell ref="M3981:N3982"/>
    <mergeCell ref="O3981:Q3982"/>
    <mergeCell ref="R3981:R3984"/>
    <mergeCell ref="G3983:G3984"/>
    <mergeCell ref="H3983:H3984"/>
    <mergeCell ref="I3983:I3984"/>
    <mergeCell ref="J3983:J3984"/>
    <mergeCell ref="K3983:K3984"/>
    <mergeCell ref="L3983:L3984"/>
    <mergeCell ref="M3983:M3984"/>
    <mergeCell ref="N3983:N3984"/>
    <mergeCell ref="O3983:O3984"/>
    <mergeCell ref="P3983:P3984"/>
    <mergeCell ref="Q3983:Q3984"/>
    <mergeCell ref="T3984:T3985"/>
    <mergeCell ref="U3984:U3985"/>
    <mergeCell ref="A3985:A4000"/>
    <mergeCell ref="B3985:B4000"/>
    <mergeCell ref="A3961:A3964"/>
    <mergeCell ref="B3961:B3964"/>
    <mergeCell ref="E3961:E3964"/>
    <mergeCell ref="F3961:F3964"/>
    <mergeCell ref="G3961:H3962"/>
    <mergeCell ref="I3961:J3962"/>
    <mergeCell ref="K3961:L3962"/>
    <mergeCell ref="M3961:N3962"/>
    <mergeCell ref="O3961:Q3962"/>
    <mergeCell ref="R3961:R3964"/>
    <mergeCell ref="G3963:G3964"/>
    <mergeCell ref="H3963:H3964"/>
    <mergeCell ref="I3963:I3964"/>
    <mergeCell ref="J3963:J3964"/>
    <mergeCell ref="K3963:K3964"/>
    <mergeCell ref="L3963:L3964"/>
    <mergeCell ref="M3963:M3964"/>
    <mergeCell ref="N3963:N3964"/>
    <mergeCell ref="O3963:O3964"/>
    <mergeCell ref="P3963:P3964"/>
    <mergeCell ref="Q3963:Q3964"/>
    <mergeCell ref="T3924:T3925"/>
    <mergeCell ref="U3924:U3925"/>
    <mergeCell ref="A3925:A3940"/>
    <mergeCell ref="B3925:B3940"/>
    <mergeCell ref="A3941:A3944"/>
    <mergeCell ref="B3941:B3944"/>
    <mergeCell ref="E3941:E3944"/>
    <mergeCell ref="F3941:F3944"/>
    <mergeCell ref="G3941:H3942"/>
    <mergeCell ref="I3941:J3942"/>
    <mergeCell ref="K3941:L3942"/>
    <mergeCell ref="M3941:N3942"/>
    <mergeCell ref="O3941:Q3942"/>
    <mergeCell ref="R3941:R3944"/>
    <mergeCell ref="G3943:G3944"/>
    <mergeCell ref="H3943:H3944"/>
    <mergeCell ref="I3943:I3944"/>
    <mergeCell ref="J3943:J3944"/>
    <mergeCell ref="K3943:K3944"/>
    <mergeCell ref="L3943:L3944"/>
    <mergeCell ref="M3943:M3944"/>
    <mergeCell ref="N3943:N3944"/>
    <mergeCell ref="O3943:O3944"/>
    <mergeCell ref="P3943:P3944"/>
    <mergeCell ref="Q3943:Q3944"/>
    <mergeCell ref="T3944:T3945"/>
    <mergeCell ref="U3944:U3945"/>
    <mergeCell ref="A3945:A3960"/>
    <mergeCell ref="B3945:B3960"/>
    <mergeCell ref="A3921:A3924"/>
    <mergeCell ref="B3921:B3924"/>
    <mergeCell ref="E3921:E3924"/>
    <mergeCell ref="F3921:F3924"/>
    <mergeCell ref="G3921:H3922"/>
    <mergeCell ref="I3921:J3922"/>
    <mergeCell ref="K3921:L3922"/>
    <mergeCell ref="M3921:N3922"/>
    <mergeCell ref="O3921:Q3922"/>
    <mergeCell ref="R3921:R3924"/>
    <mergeCell ref="G3923:G3924"/>
    <mergeCell ref="H3923:H3924"/>
    <mergeCell ref="I3923:I3924"/>
    <mergeCell ref="J3923:J3924"/>
    <mergeCell ref="K3923:K3924"/>
    <mergeCell ref="L3923:L3924"/>
    <mergeCell ref="M3923:M3924"/>
    <mergeCell ref="N3923:N3924"/>
    <mergeCell ref="O3923:O3924"/>
    <mergeCell ref="P3923:P3924"/>
    <mergeCell ref="Q3923:Q3924"/>
    <mergeCell ref="T3884:T3885"/>
    <mergeCell ref="U3884:U3885"/>
    <mergeCell ref="A3885:A3900"/>
    <mergeCell ref="B3885:B3900"/>
    <mergeCell ref="A3901:A3904"/>
    <mergeCell ref="B3901:B3904"/>
    <mergeCell ref="E3901:E3904"/>
    <mergeCell ref="F3901:F3904"/>
    <mergeCell ref="G3901:H3902"/>
    <mergeCell ref="I3901:J3902"/>
    <mergeCell ref="K3901:L3902"/>
    <mergeCell ref="M3901:N3902"/>
    <mergeCell ref="O3901:Q3902"/>
    <mergeCell ref="R3901:R3904"/>
    <mergeCell ref="G3903:G3904"/>
    <mergeCell ref="H3903:H3904"/>
    <mergeCell ref="I3903:I3904"/>
    <mergeCell ref="J3903:J3904"/>
    <mergeCell ref="K3903:K3904"/>
    <mergeCell ref="L3903:L3904"/>
    <mergeCell ref="M3903:M3904"/>
    <mergeCell ref="N3903:N3904"/>
    <mergeCell ref="O3903:O3904"/>
    <mergeCell ref="P3903:P3904"/>
    <mergeCell ref="Q3903:Q3904"/>
    <mergeCell ref="T3904:T3905"/>
    <mergeCell ref="U3904:U3905"/>
    <mergeCell ref="A3905:A3920"/>
    <mergeCell ref="B3905:B3920"/>
    <mergeCell ref="A3881:A3884"/>
    <mergeCell ref="B3881:B3884"/>
    <mergeCell ref="E3881:E3884"/>
    <mergeCell ref="F3881:F3884"/>
    <mergeCell ref="G3881:H3882"/>
    <mergeCell ref="I3881:J3882"/>
    <mergeCell ref="K3881:L3882"/>
    <mergeCell ref="M3881:N3882"/>
    <mergeCell ref="O3881:Q3882"/>
    <mergeCell ref="R3881:R3884"/>
    <mergeCell ref="G3883:G3884"/>
    <mergeCell ref="H3883:H3884"/>
    <mergeCell ref="I3883:I3884"/>
    <mergeCell ref="J3883:J3884"/>
    <mergeCell ref="K3883:K3884"/>
    <mergeCell ref="L3883:L3884"/>
    <mergeCell ref="M3883:M3884"/>
    <mergeCell ref="N3883:N3884"/>
    <mergeCell ref="O3883:O3884"/>
    <mergeCell ref="P3883:P3884"/>
    <mergeCell ref="Q3883:Q3884"/>
    <mergeCell ref="T3844:T3845"/>
    <mergeCell ref="U3844:U3845"/>
    <mergeCell ref="A3845:A3860"/>
    <mergeCell ref="B3845:B3860"/>
    <mergeCell ref="A3861:A3864"/>
    <mergeCell ref="B3861:B3864"/>
    <mergeCell ref="E3861:E3864"/>
    <mergeCell ref="F3861:F3864"/>
    <mergeCell ref="G3861:H3862"/>
    <mergeCell ref="I3861:J3862"/>
    <mergeCell ref="K3861:L3862"/>
    <mergeCell ref="M3861:N3862"/>
    <mergeCell ref="O3861:Q3862"/>
    <mergeCell ref="R3861:R3864"/>
    <mergeCell ref="G3863:G3864"/>
    <mergeCell ref="H3863:H3864"/>
    <mergeCell ref="I3863:I3864"/>
    <mergeCell ref="J3863:J3864"/>
    <mergeCell ref="K3863:K3864"/>
    <mergeCell ref="L3863:L3864"/>
    <mergeCell ref="M3863:M3864"/>
    <mergeCell ref="N3863:N3864"/>
    <mergeCell ref="O3863:O3864"/>
    <mergeCell ref="P3863:P3864"/>
    <mergeCell ref="Q3863:Q3864"/>
    <mergeCell ref="T3864:T3865"/>
    <mergeCell ref="U3864:U3865"/>
    <mergeCell ref="A3865:A3880"/>
    <mergeCell ref="B3865:B3880"/>
    <mergeCell ref="A3841:A3844"/>
    <mergeCell ref="B3841:B3844"/>
    <mergeCell ref="E3841:E3844"/>
    <mergeCell ref="F3841:F3844"/>
    <mergeCell ref="G3841:H3842"/>
    <mergeCell ref="I3841:J3842"/>
    <mergeCell ref="K3841:L3842"/>
    <mergeCell ref="M3841:N3842"/>
    <mergeCell ref="O3841:Q3842"/>
    <mergeCell ref="R3841:R3844"/>
    <mergeCell ref="G3843:G3844"/>
    <mergeCell ref="H3843:H3844"/>
    <mergeCell ref="I3843:I3844"/>
    <mergeCell ref="J3843:J3844"/>
    <mergeCell ref="K3843:K3844"/>
    <mergeCell ref="L3843:L3844"/>
    <mergeCell ref="M3843:M3844"/>
    <mergeCell ref="N3843:N3844"/>
    <mergeCell ref="O3843:O3844"/>
    <mergeCell ref="P3843:P3844"/>
    <mergeCell ref="Q3843:Q3844"/>
    <mergeCell ref="T3804:T3805"/>
    <mergeCell ref="U3804:U3805"/>
    <mergeCell ref="A3805:A3820"/>
    <mergeCell ref="B3805:B3820"/>
    <mergeCell ref="A3821:A3824"/>
    <mergeCell ref="B3821:B3824"/>
    <mergeCell ref="E3821:E3824"/>
    <mergeCell ref="F3821:F3824"/>
    <mergeCell ref="G3821:H3822"/>
    <mergeCell ref="I3821:J3822"/>
    <mergeCell ref="K3821:L3822"/>
    <mergeCell ref="M3821:N3822"/>
    <mergeCell ref="O3821:Q3822"/>
    <mergeCell ref="R3821:R3824"/>
    <mergeCell ref="G3823:G3824"/>
    <mergeCell ref="H3823:H3824"/>
    <mergeCell ref="I3823:I3824"/>
    <mergeCell ref="J3823:J3824"/>
    <mergeCell ref="K3823:K3824"/>
    <mergeCell ref="L3823:L3824"/>
    <mergeCell ref="M3823:M3824"/>
    <mergeCell ref="N3823:N3824"/>
    <mergeCell ref="O3823:O3824"/>
    <mergeCell ref="P3823:P3824"/>
    <mergeCell ref="Q3823:Q3824"/>
    <mergeCell ref="T3824:T3825"/>
    <mergeCell ref="U3824:U3825"/>
    <mergeCell ref="A3825:A3840"/>
    <mergeCell ref="B3825:B3840"/>
    <mergeCell ref="A3801:A3804"/>
    <mergeCell ref="B3801:B3804"/>
    <mergeCell ref="E3801:E3804"/>
    <mergeCell ref="F3801:F3804"/>
    <mergeCell ref="G3801:H3802"/>
    <mergeCell ref="I3801:J3802"/>
    <mergeCell ref="K3801:L3802"/>
    <mergeCell ref="M3801:N3802"/>
    <mergeCell ref="O3801:Q3802"/>
    <mergeCell ref="R3801:R3804"/>
    <mergeCell ref="G3803:G3804"/>
    <mergeCell ref="H3803:H3804"/>
    <mergeCell ref="I3803:I3804"/>
    <mergeCell ref="J3803:J3804"/>
    <mergeCell ref="K3803:K3804"/>
    <mergeCell ref="L3803:L3804"/>
    <mergeCell ref="M3803:M3804"/>
    <mergeCell ref="N3803:N3804"/>
    <mergeCell ref="O3803:O3804"/>
    <mergeCell ref="P3803:P3804"/>
    <mergeCell ref="Q3803:Q3804"/>
    <mergeCell ref="T3764:T3765"/>
    <mergeCell ref="U3764:U3765"/>
    <mergeCell ref="A3765:A3780"/>
    <mergeCell ref="B3765:B3780"/>
    <mergeCell ref="A3781:A3784"/>
    <mergeCell ref="B3781:B3784"/>
    <mergeCell ref="E3781:E3784"/>
    <mergeCell ref="F3781:F3784"/>
    <mergeCell ref="G3781:H3782"/>
    <mergeCell ref="I3781:J3782"/>
    <mergeCell ref="K3781:L3782"/>
    <mergeCell ref="M3781:N3782"/>
    <mergeCell ref="O3781:Q3782"/>
    <mergeCell ref="R3781:R3784"/>
    <mergeCell ref="G3783:G3784"/>
    <mergeCell ref="H3783:H3784"/>
    <mergeCell ref="I3783:I3784"/>
    <mergeCell ref="J3783:J3784"/>
    <mergeCell ref="K3783:K3784"/>
    <mergeCell ref="L3783:L3784"/>
    <mergeCell ref="M3783:M3784"/>
    <mergeCell ref="N3783:N3784"/>
    <mergeCell ref="O3783:O3784"/>
    <mergeCell ref="P3783:P3784"/>
    <mergeCell ref="Q3783:Q3784"/>
    <mergeCell ref="T3784:T3785"/>
    <mergeCell ref="U3784:U3785"/>
    <mergeCell ref="A3785:A3800"/>
    <mergeCell ref="B3785:B3800"/>
    <mergeCell ref="A3761:A3764"/>
    <mergeCell ref="B3761:B3764"/>
    <mergeCell ref="E3761:E3764"/>
    <mergeCell ref="F3761:F3764"/>
    <mergeCell ref="G3761:H3762"/>
    <mergeCell ref="I3761:J3762"/>
    <mergeCell ref="K3761:L3762"/>
    <mergeCell ref="M3761:N3762"/>
    <mergeCell ref="O3761:Q3762"/>
    <mergeCell ref="R3761:R3764"/>
    <mergeCell ref="G3763:G3764"/>
    <mergeCell ref="H3763:H3764"/>
    <mergeCell ref="I3763:I3764"/>
    <mergeCell ref="J3763:J3764"/>
    <mergeCell ref="K3763:K3764"/>
    <mergeCell ref="L3763:L3764"/>
    <mergeCell ref="M3763:M3764"/>
    <mergeCell ref="N3763:N3764"/>
    <mergeCell ref="O3763:O3764"/>
    <mergeCell ref="P3763:P3764"/>
    <mergeCell ref="Q3763:Q3764"/>
    <mergeCell ref="T3724:T3725"/>
    <mergeCell ref="U3724:U3725"/>
    <mergeCell ref="A3725:A3740"/>
    <mergeCell ref="B3725:B3740"/>
    <mergeCell ref="A3741:A3744"/>
    <mergeCell ref="B3741:B3744"/>
    <mergeCell ref="E3741:E3744"/>
    <mergeCell ref="F3741:F3744"/>
    <mergeCell ref="G3741:H3742"/>
    <mergeCell ref="I3741:J3742"/>
    <mergeCell ref="K3741:L3742"/>
    <mergeCell ref="M3741:N3742"/>
    <mergeCell ref="O3741:Q3742"/>
    <mergeCell ref="R3741:R3744"/>
    <mergeCell ref="G3743:G3744"/>
    <mergeCell ref="H3743:H3744"/>
    <mergeCell ref="I3743:I3744"/>
    <mergeCell ref="J3743:J3744"/>
    <mergeCell ref="K3743:K3744"/>
    <mergeCell ref="L3743:L3744"/>
    <mergeCell ref="M3743:M3744"/>
    <mergeCell ref="N3743:N3744"/>
    <mergeCell ref="O3743:O3744"/>
    <mergeCell ref="P3743:P3744"/>
    <mergeCell ref="Q3743:Q3744"/>
    <mergeCell ref="T3744:T3745"/>
    <mergeCell ref="U3744:U3745"/>
    <mergeCell ref="A3745:A3760"/>
    <mergeCell ref="B3745:B3760"/>
    <mergeCell ref="A3721:A3724"/>
    <mergeCell ref="B3721:B3724"/>
    <mergeCell ref="E3721:E3724"/>
    <mergeCell ref="F3721:F3724"/>
    <mergeCell ref="G3721:H3722"/>
    <mergeCell ref="I3721:J3722"/>
    <mergeCell ref="K3721:L3722"/>
    <mergeCell ref="M3721:N3722"/>
    <mergeCell ref="O3721:Q3722"/>
    <mergeCell ref="R3721:R3724"/>
    <mergeCell ref="G3723:G3724"/>
    <mergeCell ref="H3723:H3724"/>
    <mergeCell ref="I3723:I3724"/>
    <mergeCell ref="J3723:J3724"/>
    <mergeCell ref="K3723:K3724"/>
    <mergeCell ref="L3723:L3724"/>
    <mergeCell ref="M3723:M3724"/>
    <mergeCell ref="N3723:N3724"/>
    <mergeCell ref="O3723:O3724"/>
    <mergeCell ref="P3723:P3724"/>
    <mergeCell ref="Q3723:Q3724"/>
    <mergeCell ref="T3684:T3685"/>
    <mergeCell ref="U3684:U3685"/>
    <mergeCell ref="A3685:A3700"/>
    <mergeCell ref="B3685:B3700"/>
    <mergeCell ref="A3701:A3704"/>
    <mergeCell ref="B3701:B3704"/>
    <mergeCell ref="E3701:E3704"/>
    <mergeCell ref="F3701:F3704"/>
    <mergeCell ref="G3701:H3702"/>
    <mergeCell ref="I3701:J3702"/>
    <mergeCell ref="K3701:L3702"/>
    <mergeCell ref="M3701:N3702"/>
    <mergeCell ref="O3701:Q3702"/>
    <mergeCell ref="R3701:R3704"/>
    <mergeCell ref="G3703:G3704"/>
    <mergeCell ref="H3703:H3704"/>
    <mergeCell ref="I3703:I3704"/>
    <mergeCell ref="J3703:J3704"/>
    <mergeCell ref="K3703:K3704"/>
    <mergeCell ref="L3703:L3704"/>
    <mergeCell ref="M3703:M3704"/>
    <mergeCell ref="N3703:N3704"/>
    <mergeCell ref="O3703:O3704"/>
    <mergeCell ref="P3703:P3704"/>
    <mergeCell ref="Q3703:Q3704"/>
    <mergeCell ref="T3704:T3705"/>
    <mergeCell ref="U3704:U3705"/>
    <mergeCell ref="A3705:A3720"/>
    <mergeCell ref="B3705:B3720"/>
    <mergeCell ref="A3681:A3684"/>
    <mergeCell ref="B3681:B3684"/>
    <mergeCell ref="E3681:E3684"/>
    <mergeCell ref="F3681:F3684"/>
    <mergeCell ref="G3681:H3682"/>
    <mergeCell ref="I3681:J3682"/>
    <mergeCell ref="K3681:L3682"/>
    <mergeCell ref="M3681:N3682"/>
    <mergeCell ref="O3681:Q3682"/>
    <mergeCell ref="R3681:R3684"/>
    <mergeCell ref="G3683:G3684"/>
    <mergeCell ref="H3683:H3684"/>
    <mergeCell ref="I3683:I3684"/>
    <mergeCell ref="J3683:J3684"/>
    <mergeCell ref="K3683:K3684"/>
    <mergeCell ref="L3683:L3684"/>
    <mergeCell ref="M3683:M3684"/>
    <mergeCell ref="N3683:N3684"/>
    <mergeCell ref="O3683:O3684"/>
    <mergeCell ref="P3683:P3684"/>
    <mergeCell ref="Q3683:Q3684"/>
    <mergeCell ref="T3644:T3645"/>
    <mergeCell ref="U3644:U3645"/>
    <mergeCell ref="A3645:A3660"/>
    <mergeCell ref="B3645:B3660"/>
    <mergeCell ref="A3661:A3664"/>
    <mergeCell ref="B3661:B3664"/>
    <mergeCell ref="E3661:E3664"/>
    <mergeCell ref="F3661:F3664"/>
    <mergeCell ref="G3661:H3662"/>
    <mergeCell ref="I3661:J3662"/>
    <mergeCell ref="K3661:L3662"/>
    <mergeCell ref="M3661:N3662"/>
    <mergeCell ref="O3661:Q3662"/>
    <mergeCell ref="R3661:R3664"/>
    <mergeCell ref="G3663:G3664"/>
    <mergeCell ref="H3663:H3664"/>
    <mergeCell ref="I3663:I3664"/>
    <mergeCell ref="J3663:J3664"/>
    <mergeCell ref="K3663:K3664"/>
    <mergeCell ref="L3663:L3664"/>
    <mergeCell ref="M3663:M3664"/>
    <mergeCell ref="N3663:N3664"/>
    <mergeCell ref="O3663:O3664"/>
    <mergeCell ref="P3663:P3664"/>
    <mergeCell ref="Q3663:Q3664"/>
    <mergeCell ref="T3664:T3665"/>
    <mergeCell ref="U3664:U3665"/>
    <mergeCell ref="A3665:A3680"/>
    <mergeCell ref="B3665:B3680"/>
    <mergeCell ref="A3641:A3644"/>
    <mergeCell ref="B3641:B3644"/>
    <mergeCell ref="E3641:E3644"/>
    <mergeCell ref="F3641:F3644"/>
    <mergeCell ref="G3641:H3642"/>
    <mergeCell ref="I3641:J3642"/>
    <mergeCell ref="K3641:L3642"/>
    <mergeCell ref="M3641:N3642"/>
    <mergeCell ref="O3641:Q3642"/>
    <mergeCell ref="R3641:R3644"/>
    <mergeCell ref="G3643:G3644"/>
    <mergeCell ref="H3643:H3644"/>
    <mergeCell ref="I3643:I3644"/>
    <mergeCell ref="J3643:J3644"/>
    <mergeCell ref="K3643:K3644"/>
    <mergeCell ref="L3643:L3644"/>
    <mergeCell ref="M3643:M3644"/>
    <mergeCell ref="N3643:N3644"/>
    <mergeCell ref="O3643:O3644"/>
    <mergeCell ref="P3643:P3644"/>
    <mergeCell ref="Q3643:Q3644"/>
    <mergeCell ref="T3304:T3305"/>
    <mergeCell ref="U3304:U3305"/>
    <mergeCell ref="A3305:A3320"/>
    <mergeCell ref="B3305:B3320"/>
    <mergeCell ref="A3301:A3304"/>
    <mergeCell ref="B3301:B3304"/>
    <mergeCell ref="E3301:E3304"/>
    <mergeCell ref="F3301:F3304"/>
    <mergeCell ref="G3301:H3302"/>
    <mergeCell ref="I3301:J3302"/>
    <mergeCell ref="K3301:L3302"/>
    <mergeCell ref="M3301:N3302"/>
    <mergeCell ref="O3301:Q3302"/>
    <mergeCell ref="R3301:R3304"/>
    <mergeCell ref="G3303:G3304"/>
    <mergeCell ref="H3303:H3304"/>
    <mergeCell ref="I3303:I3304"/>
    <mergeCell ref="J3303:J3304"/>
    <mergeCell ref="K3303:K3304"/>
    <mergeCell ref="L3303:L3304"/>
    <mergeCell ref="M3303:M3304"/>
    <mergeCell ref="N3303:N3304"/>
    <mergeCell ref="O3303:O3304"/>
    <mergeCell ref="P3303:P3304"/>
    <mergeCell ref="Q3303:Q3304"/>
    <mergeCell ref="T3124:T3125"/>
    <mergeCell ref="U3124:U3125"/>
    <mergeCell ref="A3125:A3140"/>
    <mergeCell ref="B3125:B3140"/>
    <mergeCell ref="A3141:A3144"/>
    <mergeCell ref="B3141:B3144"/>
    <mergeCell ref="E3141:E3144"/>
    <mergeCell ref="F3141:F3144"/>
    <mergeCell ref="G3141:H3142"/>
    <mergeCell ref="I3141:J3142"/>
    <mergeCell ref="K3141:L3142"/>
    <mergeCell ref="M3141:N3142"/>
    <mergeCell ref="O3141:Q3142"/>
    <mergeCell ref="R3141:R3144"/>
    <mergeCell ref="G3143:G3144"/>
    <mergeCell ref="H3143:H3144"/>
    <mergeCell ref="I3143:I3144"/>
    <mergeCell ref="J3143:J3144"/>
    <mergeCell ref="K3143:K3144"/>
    <mergeCell ref="L3143:L3144"/>
    <mergeCell ref="M3143:M3144"/>
    <mergeCell ref="N3143:N3144"/>
    <mergeCell ref="O3143:O3144"/>
    <mergeCell ref="P3143:P3144"/>
    <mergeCell ref="Q3143:Q3144"/>
    <mergeCell ref="T3144:T3145"/>
    <mergeCell ref="U3144:U3145"/>
    <mergeCell ref="A3145:A3160"/>
    <mergeCell ref="B3145:B3160"/>
    <mergeCell ref="A3121:A3124"/>
    <mergeCell ref="B3121:B3124"/>
    <mergeCell ref="E3121:E3124"/>
    <mergeCell ref="F3121:F3124"/>
    <mergeCell ref="G3121:H3122"/>
    <mergeCell ref="I3121:J3122"/>
    <mergeCell ref="K3121:L3122"/>
    <mergeCell ref="M3121:N3122"/>
    <mergeCell ref="O3121:Q3122"/>
    <mergeCell ref="R3121:R3124"/>
    <mergeCell ref="G3123:G3124"/>
    <mergeCell ref="H3123:H3124"/>
    <mergeCell ref="I3123:I3124"/>
    <mergeCell ref="J3123:J3124"/>
    <mergeCell ref="K3123:K3124"/>
    <mergeCell ref="L3123:L3124"/>
    <mergeCell ref="M3123:M3124"/>
    <mergeCell ref="N3123:N3124"/>
    <mergeCell ref="O3123:O3124"/>
    <mergeCell ref="P3123:P3124"/>
    <mergeCell ref="Q3123:Q3124"/>
    <mergeCell ref="T3084:T3085"/>
    <mergeCell ref="U3084:U3085"/>
    <mergeCell ref="A3085:A3100"/>
    <mergeCell ref="B3085:B3100"/>
    <mergeCell ref="A3101:A3104"/>
    <mergeCell ref="B3101:B3104"/>
    <mergeCell ref="E3101:E3104"/>
    <mergeCell ref="F3101:F3104"/>
    <mergeCell ref="G3101:H3102"/>
    <mergeCell ref="I3101:J3102"/>
    <mergeCell ref="K3101:L3102"/>
    <mergeCell ref="M3101:N3102"/>
    <mergeCell ref="O3101:Q3102"/>
    <mergeCell ref="R3101:R3104"/>
    <mergeCell ref="G3103:G3104"/>
    <mergeCell ref="H3103:H3104"/>
    <mergeCell ref="I3103:I3104"/>
    <mergeCell ref="J3103:J3104"/>
    <mergeCell ref="K3103:K3104"/>
    <mergeCell ref="L3103:L3104"/>
    <mergeCell ref="M3103:M3104"/>
    <mergeCell ref="N3103:N3104"/>
    <mergeCell ref="O3103:O3104"/>
    <mergeCell ref="P3103:P3104"/>
    <mergeCell ref="Q3103:Q3104"/>
    <mergeCell ref="T3104:T3105"/>
    <mergeCell ref="U3104:U3105"/>
    <mergeCell ref="A3105:A3120"/>
    <mergeCell ref="B3105:B3120"/>
    <mergeCell ref="A3081:A3084"/>
    <mergeCell ref="B3081:B3084"/>
    <mergeCell ref="E3081:E3084"/>
    <mergeCell ref="F3081:F3084"/>
    <mergeCell ref="G3081:H3082"/>
    <mergeCell ref="I3081:J3082"/>
    <mergeCell ref="K3081:L3082"/>
    <mergeCell ref="M3081:N3082"/>
    <mergeCell ref="O3081:Q3082"/>
    <mergeCell ref="R3081:R3084"/>
    <mergeCell ref="G3083:G3084"/>
    <mergeCell ref="H3083:H3084"/>
    <mergeCell ref="I3083:I3084"/>
    <mergeCell ref="J3083:J3084"/>
    <mergeCell ref="K3083:K3084"/>
    <mergeCell ref="L3083:L3084"/>
    <mergeCell ref="M3083:M3084"/>
    <mergeCell ref="N3083:N3084"/>
    <mergeCell ref="O3083:O3084"/>
    <mergeCell ref="P3083:P3084"/>
    <mergeCell ref="Q3083:Q3084"/>
    <mergeCell ref="T3044:T3045"/>
    <mergeCell ref="U3044:U3045"/>
    <mergeCell ref="A3045:A3060"/>
    <mergeCell ref="B3045:B3060"/>
    <mergeCell ref="A3061:A3064"/>
    <mergeCell ref="B3061:B3064"/>
    <mergeCell ref="E3061:E3064"/>
    <mergeCell ref="F3061:F3064"/>
    <mergeCell ref="G3061:H3062"/>
    <mergeCell ref="I3061:J3062"/>
    <mergeCell ref="K3061:L3062"/>
    <mergeCell ref="M3061:N3062"/>
    <mergeCell ref="O3061:Q3062"/>
    <mergeCell ref="R3061:R3064"/>
    <mergeCell ref="G3063:G3064"/>
    <mergeCell ref="H3063:H3064"/>
    <mergeCell ref="I3063:I3064"/>
    <mergeCell ref="J3063:J3064"/>
    <mergeCell ref="K3063:K3064"/>
    <mergeCell ref="L3063:L3064"/>
    <mergeCell ref="M3063:M3064"/>
    <mergeCell ref="N3063:N3064"/>
    <mergeCell ref="O3063:O3064"/>
    <mergeCell ref="P3063:P3064"/>
    <mergeCell ref="Q3063:Q3064"/>
    <mergeCell ref="T3064:T3065"/>
    <mergeCell ref="U3064:U3065"/>
    <mergeCell ref="A3065:A3080"/>
    <mergeCell ref="B3065:B3080"/>
    <mergeCell ref="A3041:A3044"/>
    <mergeCell ref="B3041:B3044"/>
    <mergeCell ref="E3041:E3044"/>
    <mergeCell ref="F3041:F3044"/>
    <mergeCell ref="G3041:H3042"/>
    <mergeCell ref="I3041:J3042"/>
    <mergeCell ref="K3041:L3042"/>
    <mergeCell ref="M3041:N3042"/>
    <mergeCell ref="O3041:Q3042"/>
    <mergeCell ref="R3041:R3044"/>
    <mergeCell ref="G3043:G3044"/>
    <mergeCell ref="H3043:H3044"/>
    <mergeCell ref="I3043:I3044"/>
    <mergeCell ref="J3043:J3044"/>
    <mergeCell ref="K3043:K3044"/>
    <mergeCell ref="L3043:L3044"/>
    <mergeCell ref="M3043:M3044"/>
    <mergeCell ref="N3043:N3044"/>
    <mergeCell ref="O3043:O3044"/>
    <mergeCell ref="P3043:P3044"/>
    <mergeCell ref="Q3043:Q3044"/>
    <mergeCell ref="T3024:T3025"/>
    <mergeCell ref="U3024:U3025"/>
    <mergeCell ref="A3025:A3040"/>
    <mergeCell ref="B3025:B3040"/>
    <mergeCell ref="A3021:A3024"/>
    <mergeCell ref="B3021:B3024"/>
    <mergeCell ref="E3021:E3024"/>
    <mergeCell ref="F3021:F3024"/>
    <mergeCell ref="G3021:H3022"/>
    <mergeCell ref="I3021:J3022"/>
    <mergeCell ref="K3021:L3022"/>
    <mergeCell ref="M3021:N3022"/>
    <mergeCell ref="O3021:Q3022"/>
    <mergeCell ref="R3021:R3024"/>
    <mergeCell ref="G3023:G3024"/>
    <mergeCell ref="H3023:H3024"/>
    <mergeCell ref="I3023:I3024"/>
    <mergeCell ref="J3023:J3024"/>
    <mergeCell ref="K3023:K3024"/>
    <mergeCell ref="L3023:L3024"/>
    <mergeCell ref="M3023:M3024"/>
    <mergeCell ref="N3023:N3024"/>
    <mergeCell ref="O3023:O3024"/>
    <mergeCell ref="P3023:P3024"/>
    <mergeCell ref="Q3023:Q3024"/>
    <mergeCell ref="T2844:T2845"/>
    <mergeCell ref="U2844:U2845"/>
    <mergeCell ref="A2845:A2860"/>
    <mergeCell ref="B2845:B2860"/>
    <mergeCell ref="A2841:A2844"/>
    <mergeCell ref="B2841:B2844"/>
    <mergeCell ref="E2841:E2844"/>
    <mergeCell ref="F2841:F2844"/>
    <mergeCell ref="G2841:H2842"/>
    <mergeCell ref="I2841:J2842"/>
    <mergeCell ref="K2841:L2842"/>
    <mergeCell ref="M2841:N2842"/>
    <mergeCell ref="O2841:Q2842"/>
    <mergeCell ref="R2841:R2844"/>
    <mergeCell ref="G2843:G2844"/>
    <mergeCell ref="H2843:H2844"/>
    <mergeCell ref="I2843:I2844"/>
    <mergeCell ref="J2843:J2844"/>
    <mergeCell ref="K2843:K2844"/>
    <mergeCell ref="L2843:L2844"/>
    <mergeCell ref="M2843:M2844"/>
    <mergeCell ref="N2843:N2844"/>
    <mergeCell ref="O2843:O2844"/>
    <mergeCell ref="P2843:P2844"/>
    <mergeCell ref="Q2843:Q2844"/>
    <mergeCell ref="T2664:T2665"/>
    <mergeCell ref="U2664:U2665"/>
    <mergeCell ref="A2665:A2680"/>
    <mergeCell ref="B2665:B2680"/>
    <mergeCell ref="A2645:A2660"/>
    <mergeCell ref="B2645:B2660"/>
    <mergeCell ref="A2661:A2664"/>
    <mergeCell ref="B2661:B2664"/>
    <mergeCell ref="E2661:E2664"/>
    <mergeCell ref="F2661:F2664"/>
    <mergeCell ref="G2661:H2662"/>
    <mergeCell ref="I2661:J2662"/>
    <mergeCell ref="K2661:L2662"/>
    <mergeCell ref="M2661:N2662"/>
    <mergeCell ref="O2661:Q2662"/>
    <mergeCell ref="R2661:R2664"/>
    <mergeCell ref="G2663:G2664"/>
    <mergeCell ref="H2663:H2664"/>
    <mergeCell ref="I2663:I2664"/>
    <mergeCell ref="J2663:J2664"/>
    <mergeCell ref="K2663:K2664"/>
    <mergeCell ref="L2663:L2664"/>
    <mergeCell ref="M2663:M2664"/>
    <mergeCell ref="N2663:N2664"/>
    <mergeCell ref="O2663:O2664"/>
    <mergeCell ref="P2663:P2664"/>
    <mergeCell ref="Q2663:Q2664"/>
    <mergeCell ref="M2623:M2624"/>
    <mergeCell ref="N2623:N2624"/>
    <mergeCell ref="O2623:O2624"/>
    <mergeCell ref="P2623:P2624"/>
    <mergeCell ref="Q2623:Q2624"/>
    <mergeCell ref="T2624:T2625"/>
    <mergeCell ref="U2624:U2625"/>
    <mergeCell ref="A2625:A2640"/>
    <mergeCell ref="B2625:B2640"/>
    <mergeCell ref="A2641:A2644"/>
    <mergeCell ref="B2641:B2644"/>
    <mergeCell ref="E2641:E2644"/>
    <mergeCell ref="F2641:F2644"/>
    <mergeCell ref="G2641:H2642"/>
    <mergeCell ref="I2641:J2642"/>
    <mergeCell ref="K2641:L2642"/>
    <mergeCell ref="M2641:N2642"/>
    <mergeCell ref="O2641:Q2642"/>
    <mergeCell ref="R2641:R2644"/>
    <mergeCell ref="G2643:G2644"/>
    <mergeCell ref="H2643:H2644"/>
    <mergeCell ref="I2643:I2644"/>
    <mergeCell ref="J2643:J2644"/>
    <mergeCell ref="K2643:K2644"/>
    <mergeCell ref="L2643:L2644"/>
    <mergeCell ref="M2643:M2644"/>
    <mergeCell ref="N2643:N2644"/>
    <mergeCell ref="O2643:O2644"/>
    <mergeCell ref="P2643:P2644"/>
    <mergeCell ref="Q2643:Q2644"/>
    <mergeCell ref="T2644:T2645"/>
    <mergeCell ref="U2644:U2645"/>
    <mergeCell ref="R2601:R2604"/>
    <mergeCell ref="G2603:G2604"/>
    <mergeCell ref="H2603:H2604"/>
    <mergeCell ref="I2603:I2604"/>
    <mergeCell ref="J2603:J2604"/>
    <mergeCell ref="K2603:K2604"/>
    <mergeCell ref="L2603:L2604"/>
    <mergeCell ref="M2603:M2604"/>
    <mergeCell ref="N2603:N2604"/>
    <mergeCell ref="O2603:O2604"/>
    <mergeCell ref="P2603:P2604"/>
    <mergeCell ref="Q2603:Q2604"/>
    <mergeCell ref="T2604:T2605"/>
    <mergeCell ref="U2604:U2605"/>
    <mergeCell ref="A2605:A2620"/>
    <mergeCell ref="B2605:B2620"/>
    <mergeCell ref="A2621:A2624"/>
    <mergeCell ref="B2621:B2624"/>
    <mergeCell ref="E2621:E2624"/>
    <mergeCell ref="F2621:F2624"/>
    <mergeCell ref="G2621:H2622"/>
    <mergeCell ref="I2621:J2622"/>
    <mergeCell ref="K2621:L2622"/>
    <mergeCell ref="M2621:N2622"/>
    <mergeCell ref="O2621:Q2622"/>
    <mergeCell ref="R2621:R2624"/>
    <mergeCell ref="G2623:G2624"/>
    <mergeCell ref="H2623:H2624"/>
    <mergeCell ref="I2623:I2624"/>
    <mergeCell ref="J2623:J2624"/>
    <mergeCell ref="K2623:K2624"/>
    <mergeCell ref="L2623:L2624"/>
    <mergeCell ref="A2441:A2444"/>
    <mergeCell ref="B2441:B2444"/>
    <mergeCell ref="E2441:E2444"/>
    <mergeCell ref="F2441:F2444"/>
    <mergeCell ref="N2423:N2424"/>
    <mergeCell ref="O2423:O2424"/>
    <mergeCell ref="P2423:P2424"/>
    <mergeCell ref="Q2423:Q2424"/>
    <mergeCell ref="A2601:A2604"/>
    <mergeCell ref="B2601:B2604"/>
    <mergeCell ref="E2601:E2604"/>
    <mergeCell ref="F2601:F2604"/>
    <mergeCell ref="G2601:H2602"/>
    <mergeCell ref="I2601:J2602"/>
    <mergeCell ref="K2601:L2602"/>
    <mergeCell ref="M2601:N2602"/>
    <mergeCell ref="O2601:Q2602"/>
    <mergeCell ref="A2445:A2460"/>
    <mergeCell ref="B2445:B2460"/>
    <mergeCell ref="A2461:A2464"/>
    <mergeCell ref="B2461:B2464"/>
    <mergeCell ref="E2461:E2464"/>
    <mergeCell ref="F2461:F2464"/>
    <mergeCell ref="G2461:H2462"/>
    <mergeCell ref="I2461:J2462"/>
    <mergeCell ref="K2461:L2462"/>
    <mergeCell ref="M2461:N2462"/>
    <mergeCell ref="O2461:Q2462"/>
    <mergeCell ref="K2483:K2484"/>
    <mergeCell ref="A2485:A2500"/>
    <mergeCell ref="B2485:B2500"/>
    <mergeCell ref="N2483:N2484"/>
    <mergeCell ref="B2425:B2440"/>
    <mergeCell ref="R2441:R2444"/>
    <mergeCell ref="G2443:G2444"/>
    <mergeCell ref="H2443:H2444"/>
    <mergeCell ref="U2424:U2425"/>
    <mergeCell ref="M2421:N2422"/>
    <mergeCell ref="O2421:Q2422"/>
    <mergeCell ref="R2421:R2424"/>
    <mergeCell ref="G2423:G2424"/>
    <mergeCell ref="H2423:H2424"/>
    <mergeCell ref="I2423:I2424"/>
    <mergeCell ref="J2423:J2424"/>
    <mergeCell ref="K2423:K2424"/>
    <mergeCell ref="L2423:L2424"/>
    <mergeCell ref="T2444:T2445"/>
    <mergeCell ref="U2444:U2445"/>
    <mergeCell ref="O2443:O2444"/>
    <mergeCell ref="P2443:P2444"/>
    <mergeCell ref="G2441:H2442"/>
    <mergeCell ref="I2441:J2442"/>
    <mergeCell ref="K2441:L2442"/>
    <mergeCell ref="M2441:N2442"/>
    <mergeCell ref="O2441:Q2442"/>
    <mergeCell ref="Q2443:Q2444"/>
    <mergeCell ref="I2443:I2444"/>
    <mergeCell ref="J2443:J2444"/>
    <mergeCell ref="K2443:K2444"/>
    <mergeCell ref="L2443:L2444"/>
    <mergeCell ref="M2443:M2444"/>
    <mergeCell ref="N2443:N2444"/>
    <mergeCell ref="K2343:K2344"/>
    <mergeCell ref="U2404:U2405"/>
    <mergeCell ref="A2405:A2420"/>
    <mergeCell ref="B2405:B2420"/>
    <mergeCell ref="A2421:A2424"/>
    <mergeCell ref="B2421:B2424"/>
    <mergeCell ref="E2421:E2424"/>
    <mergeCell ref="F2421:F2424"/>
    <mergeCell ref="G2421:H2422"/>
    <mergeCell ref="I2421:J2422"/>
    <mergeCell ref="K2421:L2422"/>
    <mergeCell ref="M2403:M2404"/>
    <mergeCell ref="N2403:N2404"/>
    <mergeCell ref="O2403:O2404"/>
    <mergeCell ref="G2403:G2404"/>
    <mergeCell ref="H2403:H2404"/>
    <mergeCell ref="I2403:I2404"/>
    <mergeCell ref="J2403:J2404"/>
    <mergeCell ref="P2403:P2404"/>
    <mergeCell ref="Q2403:Q2404"/>
    <mergeCell ref="T2404:T2405"/>
    <mergeCell ref="R2401:R2404"/>
    <mergeCell ref="K2403:K2404"/>
    <mergeCell ref="L2403:L2404"/>
    <mergeCell ref="A2401:A2404"/>
    <mergeCell ref="B2401:B2404"/>
    <mergeCell ref="E2401:E2404"/>
    <mergeCell ref="F2401:F2404"/>
    <mergeCell ref="G2401:H2402"/>
    <mergeCell ref="I2401:J2402"/>
    <mergeCell ref="T2424:T2425"/>
    <mergeCell ref="M2423:M2424"/>
    <mergeCell ref="A2385:A2400"/>
    <mergeCell ref="B2385:B2400"/>
    <mergeCell ref="N2383:N2384"/>
    <mergeCell ref="O2383:O2384"/>
    <mergeCell ref="P2383:P2384"/>
    <mergeCell ref="Q2383:Q2384"/>
    <mergeCell ref="L2383:L2384"/>
    <mergeCell ref="M2383:M2384"/>
    <mergeCell ref="T2384:T2385"/>
    <mergeCell ref="U2384:U2385"/>
    <mergeCell ref="M2381:N2382"/>
    <mergeCell ref="O2381:Q2382"/>
    <mergeCell ref="R2381:R2384"/>
    <mergeCell ref="G2383:G2384"/>
    <mergeCell ref="H2383:H2384"/>
    <mergeCell ref="I2383:I2384"/>
    <mergeCell ref="J2383:J2384"/>
    <mergeCell ref="K2383:K2384"/>
    <mergeCell ref="A2381:A2384"/>
    <mergeCell ref="B2381:B2384"/>
    <mergeCell ref="E2381:E2384"/>
    <mergeCell ref="F2381:F2384"/>
    <mergeCell ref="G2381:H2382"/>
    <mergeCell ref="I2381:J2382"/>
    <mergeCell ref="K2381:L2382"/>
    <mergeCell ref="T2304:T2305"/>
    <mergeCell ref="U2304:U2305"/>
    <mergeCell ref="M2363:M2364"/>
    <mergeCell ref="N2363:N2364"/>
    <mergeCell ref="O2363:O2364"/>
    <mergeCell ref="P2363:P2364"/>
    <mergeCell ref="Q2363:Q2364"/>
    <mergeCell ref="T2364:T2365"/>
    <mergeCell ref="T2324:T2325"/>
    <mergeCell ref="U2324:U2325"/>
    <mergeCell ref="A2325:A2340"/>
    <mergeCell ref="B2325:B2340"/>
    <mergeCell ref="A2341:A2344"/>
    <mergeCell ref="B2341:B2344"/>
    <mergeCell ref="E2341:E2344"/>
    <mergeCell ref="F2341:F2344"/>
    <mergeCell ref="G2341:H2342"/>
    <mergeCell ref="K2323:K2324"/>
    <mergeCell ref="L2323:L2324"/>
    <mergeCell ref="M2323:M2324"/>
    <mergeCell ref="N2323:N2324"/>
    <mergeCell ref="O2323:O2324"/>
    <mergeCell ref="P2323:P2324"/>
    <mergeCell ref="K2361:L2362"/>
    <mergeCell ref="M2361:N2362"/>
    <mergeCell ref="O2361:Q2362"/>
    <mergeCell ref="R2361:R2364"/>
    <mergeCell ref="G2363:G2364"/>
    <mergeCell ref="H2363:H2364"/>
    <mergeCell ref="I2363:I2364"/>
    <mergeCell ref="J2363:J2364"/>
    <mergeCell ref="K2363:K2364"/>
    <mergeCell ref="Q2323:Q2324"/>
    <mergeCell ref="L2343:L2344"/>
    <mergeCell ref="M2343:M2344"/>
    <mergeCell ref="N2343:N2344"/>
    <mergeCell ref="O2343:O2344"/>
    <mergeCell ref="P2343:P2344"/>
    <mergeCell ref="Q2343:Q2344"/>
    <mergeCell ref="U2344:U2345"/>
    <mergeCell ref="A2345:A2360"/>
    <mergeCell ref="B2345:B2360"/>
    <mergeCell ref="A2361:A2364"/>
    <mergeCell ref="B2361:B2364"/>
    <mergeCell ref="E2361:E2364"/>
    <mergeCell ref="R2321:R2324"/>
    <mergeCell ref="G2323:G2324"/>
    <mergeCell ref="H2323:H2324"/>
    <mergeCell ref="I2323:I2324"/>
    <mergeCell ref="J2323:J2324"/>
    <mergeCell ref="U2364:U2365"/>
    <mergeCell ref="A2365:A2380"/>
    <mergeCell ref="B2365:B2380"/>
    <mergeCell ref="A2321:A2324"/>
    <mergeCell ref="B2321:B2324"/>
    <mergeCell ref="E2321:E2324"/>
    <mergeCell ref="F2321:F2324"/>
    <mergeCell ref="L2363:L2364"/>
    <mergeCell ref="T2344:T2345"/>
    <mergeCell ref="R2341:R2344"/>
    <mergeCell ref="G2343:G2344"/>
    <mergeCell ref="H2343:H2344"/>
    <mergeCell ref="I2343:I2344"/>
    <mergeCell ref="J2343:J2344"/>
    <mergeCell ref="R2301:R2304"/>
    <mergeCell ref="G2303:G2304"/>
    <mergeCell ref="H2303:H2304"/>
    <mergeCell ref="I2303:I2304"/>
    <mergeCell ref="J2303:J2304"/>
    <mergeCell ref="K2303:K2304"/>
    <mergeCell ref="L2303:L2304"/>
    <mergeCell ref="M2303:M2304"/>
    <mergeCell ref="U2284:U2285"/>
    <mergeCell ref="A2285:A2300"/>
    <mergeCell ref="B2285:B2300"/>
    <mergeCell ref="A2301:A2304"/>
    <mergeCell ref="B2301:B2304"/>
    <mergeCell ref="E2301:E2304"/>
    <mergeCell ref="F2301:F2304"/>
    <mergeCell ref="G2301:H2302"/>
    <mergeCell ref="I2301:J2302"/>
    <mergeCell ref="K2301:L2302"/>
    <mergeCell ref="M2283:M2284"/>
    <mergeCell ref="N2283:N2284"/>
    <mergeCell ref="O2283:O2284"/>
    <mergeCell ref="P2283:P2284"/>
    <mergeCell ref="Q2283:Q2284"/>
    <mergeCell ref="T2284:T2285"/>
    <mergeCell ref="R2281:R2284"/>
    <mergeCell ref="G2283:G2284"/>
    <mergeCell ref="H2283:H2284"/>
    <mergeCell ref="I2283:I2284"/>
    <mergeCell ref="I2281:J2282"/>
    <mergeCell ref="K2281:L2282"/>
    <mergeCell ref="N2303:N2304"/>
    <mergeCell ref="O2303:O2304"/>
    <mergeCell ref="A2221:A2224"/>
    <mergeCell ref="B2221:B2224"/>
    <mergeCell ref="E2221:E2224"/>
    <mergeCell ref="F2221:F2224"/>
    <mergeCell ref="G2221:H2222"/>
    <mergeCell ref="I2221:J2222"/>
    <mergeCell ref="P2223:P2224"/>
    <mergeCell ref="Q2223:Q2224"/>
    <mergeCell ref="T2224:T2225"/>
    <mergeCell ref="K2221:L2222"/>
    <mergeCell ref="M2221:N2222"/>
    <mergeCell ref="O2221:Q2222"/>
    <mergeCell ref="R2221:R2224"/>
    <mergeCell ref="K2223:K2224"/>
    <mergeCell ref="L2223:L2224"/>
    <mergeCell ref="G2241:H2242"/>
    <mergeCell ref="I2241:J2242"/>
    <mergeCell ref="K2241:L2242"/>
    <mergeCell ref="M2223:M2224"/>
    <mergeCell ref="N2223:N2224"/>
    <mergeCell ref="O2223:O2224"/>
    <mergeCell ref="G2223:G2224"/>
    <mergeCell ref="H2223:H2224"/>
    <mergeCell ref="I2223:I2224"/>
    <mergeCell ref="J2223:J2224"/>
    <mergeCell ref="U2164:U2165"/>
    <mergeCell ref="A2165:A2180"/>
    <mergeCell ref="B2165:B2180"/>
    <mergeCell ref="L2163:L2164"/>
    <mergeCell ref="M2163:M2164"/>
    <mergeCell ref="N2163:N2164"/>
    <mergeCell ref="O2163:O2164"/>
    <mergeCell ref="P2163:P2164"/>
    <mergeCell ref="Q2163:Q2164"/>
    <mergeCell ref="I2161:J2162"/>
    <mergeCell ref="K2161:L2162"/>
    <mergeCell ref="M2161:N2162"/>
    <mergeCell ref="O2161:Q2162"/>
    <mergeCell ref="R2161:R2164"/>
    <mergeCell ref="G2163:G2164"/>
    <mergeCell ref="H2163:H2164"/>
    <mergeCell ref="I2163:I2164"/>
    <mergeCell ref="J2163:J2164"/>
    <mergeCell ref="K2163:K2164"/>
    <mergeCell ref="T2164:T2165"/>
    <mergeCell ref="A2145:A2160"/>
    <mergeCell ref="B2145:B2160"/>
    <mergeCell ref="A2161:A2164"/>
    <mergeCell ref="B2161:B2164"/>
    <mergeCell ref="E2161:E2164"/>
    <mergeCell ref="F2161:F2164"/>
    <mergeCell ref="G2161:H2162"/>
    <mergeCell ref="K2143:K2144"/>
    <mergeCell ref="L2143:L2144"/>
    <mergeCell ref="M2143:M2144"/>
    <mergeCell ref="N2143:N2144"/>
    <mergeCell ref="O2143:O2144"/>
    <mergeCell ref="P2143:P2144"/>
    <mergeCell ref="G2141:H2142"/>
    <mergeCell ref="I2141:J2142"/>
    <mergeCell ref="K2141:L2142"/>
    <mergeCell ref="M2141:N2142"/>
    <mergeCell ref="O2141:Q2142"/>
    <mergeCell ref="G2143:G2144"/>
    <mergeCell ref="H2143:H2144"/>
    <mergeCell ref="I2143:I2144"/>
    <mergeCell ref="J2143:J2144"/>
    <mergeCell ref="N2123:N2124"/>
    <mergeCell ref="O2123:O2124"/>
    <mergeCell ref="P2123:P2124"/>
    <mergeCell ref="Q2123:Q2124"/>
    <mergeCell ref="T2124:T2125"/>
    <mergeCell ref="U2124:U2125"/>
    <mergeCell ref="M2121:N2122"/>
    <mergeCell ref="O2121:Q2122"/>
    <mergeCell ref="R2121:R2124"/>
    <mergeCell ref="G2123:G2124"/>
    <mergeCell ref="H2123:H2124"/>
    <mergeCell ref="I2123:I2124"/>
    <mergeCell ref="J2123:J2124"/>
    <mergeCell ref="K2123:K2124"/>
    <mergeCell ref="L2123:L2124"/>
    <mergeCell ref="M2123:M2124"/>
    <mergeCell ref="Q2143:Q2144"/>
    <mergeCell ref="T2144:T2145"/>
    <mergeCell ref="U2144:U2145"/>
    <mergeCell ref="R2141:R2144"/>
    <mergeCell ref="H2103:H2104"/>
    <mergeCell ref="I2103:I2104"/>
    <mergeCell ref="J2103:J2104"/>
    <mergeCell ref="K2103:K2104"/>
    <mergeCell ref="L2103:L2104"/>
    <mergeCell ref="A2101:A2104"/>
    <mergeCell ref="B2101:B2104"/>
    <mergeCell ref="E2101:E2104"/>
    <mergeCell ref="F2101:F2104"/>
    <mergeCell ref="G2101:H2102"/>
    <mergeCell ref="I2101:J2102"/>
    <mergeCell ref="A2125:A2140"/>
    <mergeCell ref="B2125:B2140"/>
    <mergeCell ref="A2141:A2144"/>
    <mergeCell ref="B2141:B2144"/>
    <mergeCell ref="E2141:E2144"/>
    <mergeCell ref="F2141:F2144"/>
    <mergeCell ref="N2063:N2064"/>
    <mergeCell ref="O2063:O2064"/>
    <mergeCell ref="P2063:P2064"/>
    <mergeCell ref="G2061:H2062"/>
    <mergeCell ref="I2061:J2062"/>
    <mergeCell ref="K2061:L2062"/>
    <mergeCell ref="M2061:N2062"/>
    <mergeCell ref="O2061:Q2062"/>
    <mergeCell ref="Q2063:Q2064"/>
    <mergeCell ref="I2063:I2064"/>
    <mergeCell ref="J2063:J2064"/>
    <mergeCell ref="U2104:U2105"/>
    <mergeCell ref="A2105:A2120"/>
    <mergeCell ref="B2105:B2120"/>
    <mergeCell ref="A2121:A2124"/>
    <mergeCell ref="B2121:B2124"/>
    <mergeCell ref="E2121:E2124"/>
    <mergeCell ref="F2121:F2124"/>
    <mergeCell ref="G2121:H2122"/>
    <mergeCell ref="I2121:J2122"/>
    <mergeCell ref="K2121:L2122"/>
    <mergeCell ref="M2103:M2104"/>
    <mergeCell ref="N2103:N2104"/>
    <mergeCell ref="O2103:O2104"/>
    <mergeCell ref="P2103:P2104"/>
    <mergeCell ref="Q2103:Q2104"/>
    <mergeCell ref="T2104:T2105"/>
    <mergeCell ref="K2101:L2102"/>
    <mergeCell ref="M2101:N2102"/>
    <mergeCell ref="O2101:Q2102"/>
    <mergeCell ref="R2101:R2104"/>
    <mergeCell ref="G2103:G2104"/>
    <mergeCell ref="A2045:A2060"/>
    <mergeCell ref="B2045:B2060"/>
    <mergeCell ref="A2061:A2064"/>
    <mergeCell ref="B2061:B2064"/>
    <mergeCell ref="E2061:E2064"/>
    <mergeCell ref="F2061:F2064"/>
    <mergeCell ref="N2043:N2044"/>
    <mergeCell ref="O2043:O2044"/>
    <mergeCell ref="P2043:P2044"/>
    <mergeCell ref="Q2043:Q2044"/>
    <mergeCell ref="T2044:T2045"/>
    <mergeCell ref="M2043:M2044"/>
    <mergeCell ref="R2061:R2064"/>
    <mergeCell ref="G2063:G2064"/>
    <mergeCell ref="H2063:H2064"/>
    <mergeCell ref="U2044:U2045"/>
    <mergeCell ref="M2041:N2042"/>
    <mergeCell ref="O2041:Q2042"/>
    <mergeCell ref="R2041:R2044"/>
    <mergeCell ref="G2043:G2044"/>
    <mergeCell ref="H2043:H2044"/>
    <mergeCell ref="I2043:I2044"/>
    <mergeCell ref="J2043:J2044"/>
    <mergeCell ref="K2043:K2044"/>
    <mergeCell ref="L2043:L2044"/>
    <mergeCell ref="T2064:T2065"/>
    <mergeCell ref="U2064:U2065"/>
    <mergeCell ref="A2065:A2080"/>
    <mergeCell ref="B2065:B2080"/>
    <mergeCell ref="K2063:K2064"/>
    <mergeCell ref="L2063:L2064"/>
    <mergeCell ref="M2063:M2064"/>
    <mergeCell ref="U2024:U2025"/>
    <mergeCell ref="A2025:A2040"/>
    <mergeCell ref="B2025:B2040"/>
    <mergeCell ref="A2041:A2044"/>
    <mergeCell ref="B2041:B2044"/>
    <mergeCell ref="E2041:E2044"/>
    <mergeCell ref="F2041:F2044"/>
    <mergeCell ref="G2041:H2042"/>
    <mergeCell ref="I2041:J2042"/>
    <mergeCell ref="K2041:L2042"/>
    <mergeCell ref="M2023:M2024"/>
    <mergeCell ref="N2023:N2024"/>
    <mergeCell ref="O2023:O2024"/>
    <mergeCell ref="G2023:G2024"/>
    <mergeCell ref="H2023:H2024"/>
    <mergeCell ref="I2023:I2024"/>
    <mergeCell ref="J2023:J2024"/>
    <mergeCell ref="P2023:P2024"/>
    <mergeCell ref="Q2023:Q2024"/>
    <mergeCell ref="T2024:T2025"/>
    <mergeCell ref="K2021:L2022"/>
    <mergeCell ref="M2021:N2022"/>
    <mergeCell ref="O2021:Q2022"/>
    <mergeCell ref="R2021:R2024"/>
    <mergeCell ref="K2023:K2024"/>
    <mergeCell ref="L2023:L2024"/>
    <mergeCell ref="A2021:A2024"/>
    <mergeCell ref="B2021:B2024"/>
    <mergeCell ref="E2021:E2024"/>
    <mergeCell ref="F2021:F2024"/>
    <mergeCell ref="G2021:H2022"/>
    <mergeCell ref="I2021:J2022"/>
    <mergeCell ref="U2004:U2005"/>
    <mergeCell ref="A2005:A2020"/>
    <mergeCell ref="B2005:B2020"/>
    <mergeCell ref="M2003:M2004"/>
    <mergeCell ref="N2003:N2004"/>
    <mergeCell ref="O2003:O2004"/>
    <mergeCell ref="P2003:P2004"/>
    <mergeCell ref="Q2003:Q2004"/>
    <mergeCell ref="T2004:T2005"/>
    <mergeCell ref="A2001:A2004"/>
    <mergeCell ref="K2001:L2002"/>
    <mergeCell ref="M2001:N2002"/>
    <mergeCell ref="O2001:Q2002"/>
    <mergeCell ref="R2001:R2004"/>
    <mergeCell ref="G2003:G2004"/>
    <mergeCell ref="H2003:H2004"/>
    <mergeCell ref="I2003:I2004"/>
    <mergeCell ref="J2003:J2004"/>
    <mergeCell ref="K2003:K2004"/>
    <mergeCell ref="L2003:L2004"/>
    <mergeCell ref="F2001:F2004"/>
    <mergeCell ref="G2001:H2002"/>
    <mergeCell ref="I2001:J2002"/>
    <mergeCell ref="U1984:U1985"/>
    <mergeCell ref="Q1983:Q1984"/>
    <mergeCell ref="T1984:T1985"/>
    <mergeCell ref="J1983:J1984"/>
    <mergeCell ref="K1983:K1984"/>
    <mergeCell ref="N1983:N1984"/>
    <mergeCell ref="O1983:O1984"/>
    <mergeCell ref="P1983:P1984"/>
    <mergeCell ref="A1981:A1984"/>
    <mergeCell ref="G1983:G1984"/>
    <mergeCell ref="H1983:H1984"/>
    <mergeCell ref="I1983:I1984"/>
    <mergeCell ref="B1981:B1984"/>
    <mergeCell ref="E1981:E1984"/>
    <mergeCell ref="F1981:F1984"/>
    <mergeCell ref="G1981:H1982"/>
    <mergeCell ref="I1981:J1982"/>
    <mergeCell ref="A1985:A2000"/>
    <mergeCell ref="B1985:B2000"/>
    <mergeCell ref="L1983:L1984"/>
    <mergeCell ref="M1983:M1984"/>
    <mergeCell ref="A1965:A1980"/>
    <mergeCell ref="B1965:B1980"/>
    <mergeCell ref="L1963:L1964"/>
    <mergeCell ref="M1963:M1964"/>
    <mergeCell ref="N1963:N1964"/>
    <mergeCell ref="M1961:N1962"/>
    <mergeCell ref="O1961:Q1962"/>
    <mergeCell ref="R1961:R1964"/>
    <mergeCell ref="G1963:G1964"/>
    <mergeCell ref="H1963:H1964"/>
    <mergeCell ref="I1963:I1964"/>
    <mergeCell ref="J1963:J1964"/>
    <mergeCell ref="K1963:K1964"/>
    <mergeCell ref="A1961:A1964"/>
    <mergeCell ref="B1961:B1964"/>
    <mergeCell ref="E1961:E1964"/>
    <mergeCell ref="F1961:F1964"/>
    <mergeCell ref="G1961:H1962"/>
    <mergeCell ref="I1961:J1962"/>
    <mergeCell ref="K1961:L1962"/>
    <mergeCell ref="Q1943:Q1944"/>
    <mergeCell ref="T1944:T1945"/>
    <mergeCell ref="K1941:L1942"/>
    <mergeCell ref="M1941:N1942"/>
    <mergeCell ref="O1941:Q1942"/>
    <mergeCell ref="R1941:R1944"/>
    <mergeCell ref="G1943:G1944"/>
    <mergeCell ref="H1943:H1944"/>
    <mergeCell ref="I1943:I1944"/>
    <mergeCell ref="J1943:J1944"/>
    <mergeCell ref="K1943:K1944"/>
    <mergeCell ref="L1943:L1944"/>
    <mergeCell ref="T1964:T1965"/>
    <mergeCell ref="O1963:O1964"/>
    <mergeCell ref="U1964:U1965"/>
    <mergeCell ref="P1963:P1964"/>
    <mergeCell ref="Q1963:Q1964"/>
    <mergeCell ref="U1924:U1925"/>
    <mergeCell ref="A1925:A1940"/>
    <mergeCell ref="B1925:B1940"/>
    <mergeCell ref="A1941:A1944"/>
    <mergeCell ref="B1941:B1944"/>
    <mergeCell ref="E1941:E1944"/>
    <mergeCell ref="F1941:F1944"/>
    <mergeCell ref="G1941:H1942"/>
    <mergeCell ref="I1941:J1942"/>
    <mergeCell ref="L1923:L1924"/>
    <mergeCell ref="M1923:M1924"/>
    <mergeCell ref="N1923:N1924"/>
    <mergeCell ref="O1923:O1924"/>
    <mergeCell ref="P1923:P1924"/>
    <mergeCell ref="Q1923:Q1924"/>
    <mergeCell ref="I1921:J1922"/>
    <mergeCell ref="K1921:L1922"/>
    <mergeCell ref="M1921:N1922"/>
    <mergeCell ref="O1921:Q1922"/>
    <mergeCell ref="R1921:R1924"/>
    <mergeCell ref="G1923:G1924"/>
    <mergeCell ref="H1923:H1924"/>
    <mergeCell ref="I1923:I1924"/>
    <mergeCell ref="J1923:J1924"/>
    <mergeCell ref="K1923:K1924"/>
    <mergeCell ref="U1944:U1945"/>
    <mergeCell ref="A1945:A1960"/>
    <mergeCell ref="B1945:B1960"/>
    <mergeCell ref="M1943:M1944"/>
    <mergeCell ref="N1943:N1944"/>
    <mergeCell ref="O1943:O1944"/>
    <mergeCell ref="P1943:P1944"/>
    <mergeCell ref="N1683:N1684"/>
    <mergeCell ref="O1683:O1684"/>
    <mergeCell ref="P1683:P1684"/>
    <mergeCell ref="G1681:H1682"/>
    <mergeCell ref="I1681:J1682"/>
    <mergeCell ref="K1681:L1682"/>
    <mergeCell ref="M1681:N1682"/>
    <mergeCell ref="O1681:Q1682"/>
    <mergeCell ref="Q1683:Q1684"/>
    <mergeCell ref="I1683:I1684"/>
    <mergeCell ref="J1683:J1684"/>
    <mergeCell ref="Q1903:Q1904"/>
    <mergeCell ref="T1904:T1905"/>
    <mergeCell ref="U1904:U1905"/>
    <mergeCell ref="A1905:A1920"/>
    <mergeCell ref="B1905:B1920"/>
    <mergeCell ref="A1921:A1924"/>
    <mergeCell ref="B1921:B1924"/>
    <mergeCell ref="E1921:E1924"/>
    <mergeCell ref="F1921:F1924"/>
    <mergeCell ref="G1921:H1922"/>
    <mergeCell ref="K1903:K1904"/>
    <mergeCell ref="L1903:L1904"/>
    <mergeCell ref="M1903:M1904"/>
    <mergeCell ref="N1903:N1904"/>
    <mergeCell ref="O1903:O1904"/>
    <mergeCell ref="P1903:P1904"/>
    <mergeCell ref="A1901:A1904"/>
    <mergeCell ref="B1901:B1904"/>
    <mergeCell ref="E1901:E1904"/>
    <mergeCell ref="F1901:F1904"/>
    <mergeCell ref="G1901:H1902"/>
    <mergeCell ref="A1665:A1680"/>
    <mergeCell ref="B1665:B1680"/>
    <mergeCell ref="A1681:A1684"/>
    <mergeCell ref="B1681:B1684"/>
    <mergeCell ref="E1681:E1684"/>
    <mergeCell ref="F1681:F1684"/>
    <mergeCell ref="N1663:N1664"/>
    <mergeCell ref="O1663:O1664"/>
    <mergeCell ref="P1663:P1664"/>
    <mergeCell ref="Q1663:Q1664"/>
    <mergeCell ref="T1664:T1665"/>
    <mergeCell ref="M1663:M1664"/>
    <mergeCell ref="R1681:R1684"/>
    <mergeCell ref="G1683:G1684"/>
    <mergeCell ref="H1683:H1684"/>
    <mergeCell ref="U1664:U1665"/>
    <mergeCell ref="M1661:N1662"/>
    <mergeCell ref="O1661:Q1662"/>
    <mergeCell ref="R1661:R1664"/>
    <mergeCell ref="G1663:G1664"/>
    <mergeCell ref="H1663:H1664"/>
    <mergeCell ref="I1663:I1664"/>
    <mergeCell ref="J1663:J1664"/>
    <mergeCell ref="K1663:K1664"/>
    <mergeCell ref="L1663:L1664"/>
    <mergeCell ref="T1684:T1685"/>
    <mergeCell ref="U1684:U1685"/>
    <mergeCell ref="A1685:A1700"/>
    <mergeCell ref="B1685:B1700"/>
    <mergeCell ref="K1683:K1684"/>
    <mergeCell ref="L1683:L1684"/>
    <mergeCell ref="M1683:M1684"/>
    <mergeCell ref="U1644:U1645"/>
    <mergeCell ref="A1645:A1660"/>
    <mergeCell ref="B1645:B1660"/>
    <mergeCell ref="A1661:A1664"/>
    <mergeCell ref="B1661:B1664"/>
    <mergeCell ref="E1661:E1664"/>
    <mergeCell ref="F1661:F1664"/>
    <mergeCell ref="G1661:H1662"/>
    <mergeCell ref="I1661:J1662"/>
    <mergeCell ref="K1661:L1662"/>
    <mergeCell ref="M1643:M1644"/>
    <mergeCell ref="N1643:N1644"/>
    <mergeCell ref="O1643:O1644"/>
    <mergeCell ref="G1643:G1644"/>
    <mergeCell ref="H1643:H1644"/>
    <mergeCell ref="I1643:I1644"/>
    <mergeCell ref="J1643:J1644"/>
    <mergeCell ref="P1643:P1644"/>
    <mergeCell ref="Q1643:Q1644"/>
    <mergeCell ref="T1644:T1645"/>
    <mergeCell ref="K1641:L1642"/>
    <mergeCell ref="M1641:N1642"/>
    <mergeCell ref="O1641:Q1642"/>
    <mergeCell ref="R1641:R1644"/>
    <mergeCell ref="K1643:K1644"/>
    <mergeCell ref="L1643:L1644"/>
    <mergeCell ref="A1641:A1644"/>
    <mergeCell ref="B1641:B1644"/>
    <mergeCell ref="E1641:E1644"/>
    <mergeCell ref="F1641:F1644"/>
    <mergeCell ref="G1641:H1642"/>
    <mergeCell ref="I1641:J1642"/>
    <mergeCell ref="A1625:A1640"/>
    <mergeCell ref="B1625:B1640"/>
    <mergeCell ref="N1623:N1624"/>
    <mergeCell ref="O1623:O1624"/>
    <mergeCell ref="P1623:P1624"/>
    <mergeCell ref="Q1623:Q1624"/>
    <mergeCell ref="L1623:L1624"/>
    <mergeCell ref="M1623:M1624"/>
    <mergeCell ref="T1624:T1625"/>
    <mergeCell ref="U1624:U1625"/>
    <mergeCell ref="M1621:N1622"/>
    <mergeCell ref="O1621:Q1622"/>
    <mergeCell ref="R1621:R1624"/>
    <mergeCell ref="G1623:G1624"/>
    <mergeCell ref="H1623:H1624"/>
    <mergeCell ref="I1623:I1624"/>
    <mergeCell ref="J1623:J1624"/>
    <mergeCell ref="K1623:K1624"/>
    <mergeCell ref="U1604:U1605"/>
    <mergeCell ref="A1605:A1620"/>
    <mergeCell ref="B1605:B1620"/>
    <mergeCell ref="A1621:A1624"/>
    <mergeCell ref="B1621:B1624"/>
    <mergeCell ref="E1621:E1624"/>
    <mergeCell ref="F1621:F1624"/>
    <mergeCell ref="G1621:H1622"/>
    <mergeCell ref="I1621:J1622"/>
    <mergeCell ref="K1621:L1622"/>
    <mergeCell ref="M1603:M1604"/>
    <mergeCell ref="N1603:N1604"/>
    <mergeCell ref="O1603:O1604"/>
    <mergeCell ref="P1603:P1604"/>
    <mergeCell ref="Q1603:Q1604"/>
    <mergeCell ref="T1604:T1605"/>
    <mergeCell ref="K1601:L1602"/>
    <mergeCell ref="M1601:N1602"/>
    <mergeCell ref="O1601:Q1602"/>
    <mergeCell ref="R1601:R1604"/>
    <mergeCell ref="G1603:G1604"/>
    <mergeCell ref="H1603:H1604"/>
    <mergeCell ref="I1603:I1604"/>
    <mergeCell ref="J1603:J1604"/>
    <mergeCell ref="K1603:K1604"/>
    <mergeCell ref="L1603:L1604"/>
    <mergeCell ref="A1601:A1604"/>
    <mergeCell ref="B1601:B1604"/>
    <mergeCell ref="E1601:E1604"/>
    <mergeCell ref="F1601:F1604"/>
    <mergeCell ref="G1601:H1602"/>
    <mergeCell ref="I1601:J1602"/>
    <mergeCell ref="T1464:T1465"/>
    <mergeCell ref="A1481:A1484"/>
    <mergeCell ref="B1481:B1484"/>
    <mergeCell ref="E1481:E1484"/>
    <mergeCell ref="F1481:F1484"/>
    <mergeCell ref="G1481:H1482"/>
    <mergeCell ref="I1481:J1482"/>
    <mergeCell ref="K1481:L1482"/>
    <mergeCell ref="M1481:N1482"/>
    <mergeCell ref="O1481:Q1482"/>
    <mergeCell ref="R1481:R1484"/>
    <mergeCell ref="G1483:G1484"/>
    <mergeCell ref="H1483:H1484"/>
    <mergeCell ref="I1483:I1484"/>
    <mergeCell ref="J1483:J1484"/>
    <mergeCell ref="K1483:K1484"/>
    <mergeCell ref="J1443:J1444"/>
    <mergeCell ref="A1425:A1440"/>
    <mergeCell ref="B1425:B1440"/>
    <mergeCell ref="A1441:A1444"/>
    <mergeCell ref="B1441:B1444"/>
    <mergeCell ref="E1441:E1444"/>
    <mergeCell ref="F1441:F1444"/>
    <mergeCell ref="U1464:U1465"/>
    <mergeCell ref="A1465:A1480"/>
    <mergeCell ref="B1465:B1480"/>
    <mergeCell ref="L1463:L1464"/>
    <mergeCell ref="M1463:M1464"/>
    <mergeCell ref="N1463:N1464"/>
    <mergeCell ref="O1463:O1464"/>
    <mergeCell ref="P1463:P1464"/>
    <mergeCell ref="Q1463:Q1464"/>
    <mergeCell ref="I1461:J1462"/>
    <mergeCell ref="K1461:L1462"/>
    <mergeCell ref="M1461:N1462"/>
    <mergeCell ref="O1461:Q1462"/>
    <mergeCell ref="R1461:R1464"/>
    <mergeCell ref="G1463:G1464"/>
    <mergeCell ref="H1463:H1464"/>
    <mergeCell ref="I1463:I1464"/>
    <mergeCell ref="J1463:J1464"/>
    <mergeCell ref="K1463:K1464"/>
    <mergeCell ref="A1461:A1464"/>
    <mergeCell ref="B1461:B1464"/>
    <mergeCell ref="E1461:E1464"/>
    <mergeCell ref="F1461:F1464"/>
    <mergeCell ref="G1461:H1462"/>
    <mergeCell ref="P1423:P1424"/>
    <mergeCell ref="Q1423:Q1424"/>
    <mergeCell ref="T1424:T1425"/>
    <mergeCell ref="U1424:U1425"/>
    <mergeCell ref="M1421:N1422"/>
    <mergeCell ref="O1421:Q1422"/>
    <mergeCell ref="R1421:R1424"/>
    <mergeCell ref="G1423:G1424"/>
    <mergeCell ref="H1423:H1424"/>
    <mergeCell ref="I1423:I1424"/>
    <mergeCell ref="J1423:J1424"/>
    <mergeCell ref="K1423:K1424"/>
    <mergeCell ref="L1423:L1424"/>
    <mergeCell ref="M1423:M1424"/>
    <mergeCell ref="Q1443:Q1444"/>
    <mergeCell ref="T1444:T1445"/>
    <mergeCell ref="U1444:U1445"/>
    <mergeCell ref="K1443:K1444"/>
    <mergeCell ref="L1443:L1444"/>
    <mergeCell ref="M1443:M1444"/>
    <mergeCell ref="N1443:N1444"/>
    <mergeCell ref="O1443:O1444"/>
    <mergeCell ref="P1443:P1444"/>
    <mergeCell ref="G1441:H1442"/>
    <mergeCell ref="I1441:J1442"/>
    <mergeCell ref="K1441:L1442"/>
    <mergeCell ref="M1441:N1442"/>
    <mergeCell ref="O1441:Q1442"/>
    <mergeCell ref="R1441:R1444"/>
    <mergeCell ref="G1443:G1444"/>
    <mergeCell ref="H1443:H1444"/>
    <mergeCell ref="I1443:I1444"/>
    <mergeCell ref="U1404:U1405"/>
    <mergeCell ref="A1405:A1420"/>
    <mergeCell ref="B1405:B1420"/>
    <mergeCell ref="A1381:A1384"/>
    <mergeCell ref="B1381:B1384"/>
    <mergeCell ref="A1445:A1460"/>
    <mergeCell ref="B1445:B1460"/>
    <mergeCell ref="A1421:A1424"/>
    <mergeCell ref="B1421:B1424"/>
    <mergeCell ref="E1421:E1424"/>
    <mergeCell ref="F1421:F1424"/>
    <mergeCell ref="G1421:H1422"/>
    <mergeCell ref="I1421:J1422"/>
    <mergeCell ref="K1421:L1422"/>
    <mergeCell ref="M1403:M1404"/>
    <mergeCell ref="N1403:N1404"/>
    <mergeCell ref="O1403:O1404"/>
    <mergeCell ref="P1403:P1404"/>
    <mergeCell ref="Q1403:Q1404"/>
    <mergeCell ref="T1404:T1405"/>
    <mergeCell ref="K1401:L1402"/>
    <mergeCell ref="M1401:N1402"/>
    <mergeCell ref="O1401:Q1402"/>
    <mergeCell ref="R1401:R1404"/>
    <mergeCell ref="G1403:G1404"/>
    <mergeCell ref="H1403:H1404"/>
    <mergeCell ref="I1403:I1404"/>
    <mergeCell ref="J1403:J1404"/>
    <mergeCell ref="K1403:K1404"/>
    <mergeCell ref="L1403:L1404"/>
    <mergeCell ref="N1423:N1424"/>
    <mergeCell ref="O1423:O1424"/>
    <mergeCell ref="A1361:A1364"/>
    <mergeCell ref="B1361:B1364"/>
    <mergeCell ref="E1361:E1364"/>
    <mergeCell ref="F1361:F1364"/>
    <mergeCell ref="A1365:A1380"/>
    <mergeCell ref="B1365:B1380"/>
    <mergeCell ref="T1384:T1385"/>
    <mergeCell ref="U1384:U1385"/>
    <mergeCell ref="A1385:A1400"/>
    <mergeCell ref="B1385:B1400"/>
    <mergeCell ref="A1401:A1404"/>
    <mergeCell ref="B1401:B1404"/>
    <mergeCell ref="E1401:E1404"/>
    <mergeCell ref="F1401:F1404"/>
    <mergeCell ref="G1401:H1402"/>
    <mergeCell ref="I1401:J1402"/>
    <mergeCell ref="R1381:R1384"/>
    <mergeCell ref="G1383:G1384"/>
    <mergeCell ref="H1383:H1384"/>
    <mergeCell ref="I1383:I1384"/>
    <mergeCell ref="J1383:J1384"/>
    <mergeCell ref="K1383:K1384"/>
    <mergeCell ref="L1383:L1384"/>
    <mergeCell ref="M1383:M1384"/>
    <mergeCell ref="N1383:N1384"/>
    <mergeCell ref="O1383:O1384"/>
    <mergeCell ref="G1381:H1382"/>
    <mergeCell ref="I1381:J1382"/>
    <mergeCell ref="K1381:L1382"/>
    <mergeCell ref="M1381:N1382"/>
    <mergeCell ref="O1381:Q1382"/>
    <mergeCell ref="P1383:P1384"/>
    <mergeCell ref="R1361:R1364"/>
    <mergeCell ref="G1363:G1364"/>
    <mergeCell ref="H1363:H1364"/>
    <mergeCell ref="U1344:U1345"/>
    <mergeCell ref="M1341:N1342"/>
    <mergeCell ref="O1341:Q1342"/>
    <mergeCell ref="R1341:R1344"/>
    <mergeCell ref="G1343:G1344"/>
    <mergeCell ref="H1343:H1344"/>
    <mergeCell ref="I1343:I1344"/>
    <mergeCell ref="J1343:J1344"/>
    <mergeCell ref="K1343:K1344"/>
    <mergeCell ref="L1343:L1344"/>
    <mergeCell ref="T1364:T1365"/>
    <mergeCell ref="U1364:U1365"/>
    <mergeCell ref="E1381:E1384"/>
    <mergeCell ref="K1363:K1364"/>
    <mergeCell ref="L1363:L1364"/>
    <mergeCell ref="F1381:F1384"/>
    <mergeCell ref="M1363:M1364"/>
    <mergeCell ref="N1363:N1364"/>
    <mergeCell ref="O1363:O1364"/>
    <mergeCell ref="P1363:P1364"/>
    <mergeCell ref="G1361:H1362"/>
    <mergeCell ref="I1361:J1362"/>
    <mergeCell ref="K1361:L1362"/>
    <mergeCell ref="M1361:N1362"/>
    <mergeCell ref="O1361:Q1362"/>
    <mergeCell ref="Q1363:Q1364"/>
    <mergeCell ref="I1363:I1364"/>
    <mergeCell ref="J1363:J1364"/>
    <mergeCell ref="Q1383:Q1384"/>
    <mergeCell ref="A1341:A1344"/>
    <mergeCell ref="B1341:B1344"/>
    <mergeCell ref="E1341:E1344"/>
    <mergeCell ref="F1341:F1344"/>
    <mergeCell ref="G1341:H1342"/>
    <mergeCell ref="I1341:J1342"/>
    <mergeCell ref="K1341:L1342"/>
    <mergeCell ref="M1323:M1324"/>
    <mergeCell ref="N1323:N1324"/>
    <mergeCell ref="O1323:O1324"/>
    <mergeCell ref="G1323:G1324"/>
    <mergeCell ref="H1323:H1324"/>
    <mergeCell ref="I1323:I1324"/>
    <mergeCell ref="J1323:J1324"/>
    <mergeCell ref="P1323:P1324"/>
    <mergeCell ref="Q1323:Q1324"/>
    <mergeCell ref="T1324:T1325"/>
    <mergeCell ref="N1343:N1344"/>
    <mergeCell ref="O1343:O1344"/>
    <mergeCell ref="P1343:P1344"/>
    <mergeCell ref="Q1343:Q1344"/>
    <mergeCell ref="T1344:T1345"/>
    <mergeCell ref="M1343:M1344"/>
    <mergeCell ref="A1345:A1360"/>
    <mergeCell ref="B1345:B1360"/>
    <mergeCell ref="K1321:L1322"/>
    <mergeCell ref="M1321:N1322"/>
    <mergeCell ref="O1321:Q1322"/>
    <mergeCell ref="R1321:R1324"/>
    <mergeCell ref="K1323:K1324"/>
    <mergeCell ref="L1323:L1324"/>
    <mergeCell ref="T1304:T1305"/>
    <mergeCell ref="U1304:U1305"/>
    <mergeCell ref="A1305:A1320"/>
    <mergeCell ref="B1305:B1320"/>
    <mergeCell ref="A1321:A1324"/>
    <mergeCell ref="B1321:B1324"/>
    <mergeCell ref="E1321:E1324"/>
    <mergeCell ref="F1321:F1324"/>
    <mergeCell ref="G1321:H1322"/>
    <mergeCell ref="I1321:J1322"/>
    <mergeCell ref="L1303:L1304"/>
    <mergeCell ref="M1303:M1304"/>
    <mergeCell ref="N1303:N1304"/>
    <mergeCell ref="O1303:O1304"/>
    <mergeCell ref="P1303:P1304"/>
    <mergeCell ref="Q1303:Q1304"/>
    <mergeCell ref="U1324:U1325"/>
    <mergeCell ref="A1325:A1340"/>
    <mergeCell ref="B1325:B1340"/>
    <mergeCell ref="I1301:J1302"/>
    <mergeCell ref="K1301:L1302"/>
    <mergeCell ref="M1301:N1302"/>
    <mergeCell ref="O1301:Q1302"/>
    <mergeCell ref="R1301:R1304"/>
    <mergeCell ref="G1303:G1304"/>
    <mergeCell ref="H1303:H1304"/>
    <mergeCell ref="I1303:I1304"/>
    <mergeCell ref="J1303:J1304"/>
    <mergeCell ref="K1303:K1304"/>
    <mergeCell ref="Q1283:Q1284"/>
    <mergeCell ref="T1284:T1285"/>
    <mergeCell ref="U1284:U1285"/>
    <mergeCell ref="A1285:A1300"/>
    <mergeCell ref="B1285:B1300"/>
    <mergeCell ref="A1301:A1304"/>
    <mergeCell ref="B1301:B1304"/>
    <mergeCell ref="E1301:E1304"/>
    <mergeCell ref="F1301:F1304"/>
    <mergeCell ref="G1301:H1302"/>
    <mergeCell ref="K1283:K1284"/>
    <mergeCell ref="L1283:L1284"/>
    <mergeCell ref="M1283:M1284"/>
    <mergeCell ref="N1283:N1284"/>
    <mergeCell ref="O1283:O1284"/>
    <mergeCell ref="P1283:P1284"/>
    <mergeCell ref="G1281:H1282"/>
    <mergeCell ref="I1281:J1282"/>
    <mergeCell ref="K1281:L1282"/>
    <mergeCell ref="M1281:N1282"/>
    <mergeCell ref="O1281:Q1282"/>
    <mergeCell ref="R1281:R1284"/>
    <mergeCell ref="G1283:G1284"/>
    <mergeCell ref="H1283:H1284"/>
    <mergeCell ref="I1283:I1284"/>
    <mergeCell ref="J1283:J1284"/>
    <mergeCell ref="A1265:A1280"/>
    <mergeCell ref="B1265:B1280"/>
    <mergeCell ref="A1281:A1284"/>
    <mergeCell ref="B1281:B1284"/>
    <mergeCell ref="E1281:E1284"/>
    <mergeCell ref="F1281:F1284"/>
    <mergeCell ref="N1263:N1264"/>
    <mergeCell ref="O1263:O1264"/>
    <mergeCell ref="P1263:P1264"/>
    <mergeCell ref="Q1263:Q1264"/>
    <mergeCell ref="T1264:T1265"/>
    <mergeCell ref="U1264:U1265"/>
    <mergeCell ref="M1261:N1262"/>
    <mergeCell ref="O1261:Q1262"/>
    <mergeCell ref="R1261:R1264"/>
    <mergeCell ref="G1263:G1264"/>
    <mergeCell ref="H1263:H1264"/>
    <mergeCell ref="I1263:I1264"/>
    <mergeCell ref="J1263:J1264"/>
    <mergeCell ref="K1263:K1264"/>
    <mergeCell ref="L1263:L1264"/>
    <mergeCell ref="M1263:M1264"/>
    <mergeCell ref="U1244:U1245"/>
    <mergeCell ref="A1245:A1260"/>
    <mergeCell ref="B1245:B1260"/>
    <mergeCell ref="A1261:A1264"/>
    <mergeCell ref="B1261:B1264"/>
    <mergeCell ref="E1261:E1264"/>
    <mergeCell ref="F1261:F1264"/>
    <mergeCell ref="G1261:H1262"/>
    <mergeCell ref="I1261:J1262"/>
    <mergeCell ref="K1261:L1262"/>
    <mergeCell ref="M1243:M1244"/>
    <mergeCell ref="N1243:N1244"/>
    <mergeCell ref="O1243:O1244"/>
    <mergeCell ref="P1243:P1244"/>
    <mergeCell ref="Q1243:Q1244"/>
    <mergeCell ref="T1244:T1245"/>
    <mergeCell ref="A1241:A1244"/>
    <mergeCell ref="B1241:B1244"/>
    <mergeCell ref="E1241:E1244"/>
    <mergeCell ref="F1241:F1244"/>
    <mergeCell ref="G1241:H1242"/>
    <mergeCell ref="I1241:J1242"/>
    <mergeCell ref="T864:T865"/>
    <mergeCell ref="T884:T885"/>
    <mergeCell ref="A921:A924"/>
    <mergeCell ref="B921:B924"/>
    <mergeCell ref="E921:E924"/>
    <mergeCell ref="F921:F924"/>
    <mergeCell ref="G921:H922"/>
    <mergeCell ref="I921:J922"/>
    <mergeCell ref="K921:L922"/>
    <mergeCell ref="M921:N922"/>
    <mergeCell ref="O921:Q922"/>
    <mergeCell ref="R921:R924"/>
    <mergeCell ref="G923:G924"/>
    <mergeCell ref="H923:H924"/>
    <mergeCell ref="I923:I924"/>
    <mergeCell ref="J923:J924"/>
    <mergeCell ref="O863:O864"/>
    <mergeCell ref="P863:P864"/>
    <mergeCell ref="A881:A884"/>
    <mergeCell ref="B881:B884"/>
    <mergeCell ref="E881:E884"/>
    <mergeCell ref="F881:F884"/>
    <mergeCell ref="O883:O884"/>
    <mergeCell ref="P883:P884"/>
    <mergeCell ref="Q883:Q884"/>
    <mergeCell ref="K923:K924"/>
    <mergeCell ref="L923:L924"/>
    <mergeCell ref="M923:M924"/>
    <mergeCell ref="N923:N924"/>
    <mergeCell ref="O923:O924"/>
    <mergeCell ref="G861:H862"/>
    <mergeCell ref="I861:J862"/>
    <mergeCell ref="K861:L862"/>
    <mergeCell ref="M861:N862"/>
    <mergeCell ref="O861:Q862"/>
    <mergeCell ref="Q863:Q864"/>
    <mergeCell ref="I863:I864"/>
    <mergeCell ref="J863:J864"/>
    <mergeCell ref="K1241:L1242"/>
    <mergeCell ref="M1241:N1242"/>
    <mergeCell ref="O1241:Q1242"/>
    <mergeCell ref="R1241:R1244"/>
    <mergeCell ref="G1243:G1244"/>
    <mergeCell ref="H1243:H1244"/>
    <mergeCell ref="I1243:I1244"/>
    <mergeCell ref="J1243:J1244"/>
    <mergeCell ref="K1243:K1244"/>
    <mergeCell ref="L1243:L1244"/>
    <mergeCell ref="G881:H882"/>
    <mergeCell ref="I881:J882"/>
    <mergeCell ref="K881:L882"/>
    <mergeCell ref="M881:N882"/>
    <mergeCell ref="O881:Q882"/>
    <mergeCell ref="R881:R884"/>
    <mergeCell ref="G883:G884"/>
    <mergeCell ref="H883:H884"/>
    <mergeCell ref="I883:I884"/>
    <mergeCell ref="J883:J884"/>
    <mergeCell ref="K883:K884"/>
    <mergeCell ref="L883:L884"/>
    <mergeCell ref="M883:M884"/>
    <mergeCell ref="N883:N884"/>
    <mergeCell ref="A845:A860"/>
    <mergeCell ref="B845:B860"/>
    <mergeCell ref="A861:A864"/>
    <mergeCell ref="B861:B864"/>
    <mergeCell ref="E861:E864"/>
    <mergeCell ref="F861:F864"/>
    <mergeCell ref="N843:N844"/>
    <mergeCell ref="O843:O844"/>
    <mergeCell ref="P843:P844"/>
    <mergeCell ref="Q843:Q844"/>
    <mergeCell ref="T844:T845"/>
    <mergeCell ref="M843:M844"/>
    <mergeCell ref="R861:R864"/>
    <mergeCell ref="G863:G864"/>
    <mergeCell ref="H863:H864"/>
    <mergeCell ref="U844:U845"/>
    <mergeCell ref="M841:N842"/>
    <mergeCell ref="O841:Q842"/>
    <mergeCell ref="R841:R844"/>
    <mergeCell ref="G843:G844"/>
    <mergeCell ref="H843:H844"/>
    <mergeCell ref="I843:I844"/>
    <mergeCell ref="J843:J844"/>
    <mergeCell ref="K843:K844"/>
    <mergeCell ref="L843:L844"/>
    <mergeCell ref="U864:U865"/>
    <mergeCell ref="A865:A880"/>
    <mergeCell ref="B865:B880"/>
    <mergeCell ref="K863:K864"/>
    <mergeCell ref="L863:L864"/>
    <mergeCell ref="M863:M864"/>
    <mergeCell ref="N863:N864"/>
    <mergeCell ref="A841:A844"/>
    <mergeCell ref="B841:B844"/>
    <mergeCell ref="E841:E844"/>
    <mergeCell ref="F841:F844"/>
    <mergeCell ref="G841:H842"/>
    <mergeCell ref="I841:J842"/>
    <mergeCell ref="K841:L842"/>
    <mergeCell ref="M823:M824"/>
    <mergeCell ref="N823:N824"/>
    <mergeCell ref="O823:O824"/>
    <mergeCell ref="G823:G824"/>
    <mergeCell ref="H823:H824"/>
    <mergeCell ref="I823:I824"/>
    <mergeCell ref="J823:J824"/>
    <mergeCell ref="P823:P824"/>
    <mergeCell ref="Q823:Q824"/>
    <mergeCell ref="T824:T825"/>
    <mergeCell ref="K821:L822"/>
    <mergeCell ref="M821:N822"/>
    <mergeCell ref="O821:Q822"/>
    <mergeCell ref="R821:R824"/>
    <mergeCell ref="K823:K824"/>
    <mergeCell ref="L823:L824"/>
    <mergeCell ref="T804:T805"/>
    <mergeCell ref="U804:U805"/>
    <mergeCell ref="A805:A820"/>
    <mergeCell ref="B805:B820"/>
    <mergeCell ref="A821:A824"/>
    <mergeCell ref="B821:B824"/>
    <mergeCell ref="E821:E824"/>
    <mergeCell ref="F821:F824"/>
    <mergeCell ref="G821:H822"/>
    <mergeCell ref="I821:J822"/>
    <mergeCell ref="L803:L804"/>
    <mergeCell ref="M803:M804"/>
    <mergeCell ref="N803:N804"/>
    <mergeCell ref="O803:O804"/>
    <mergeCell ref="P803:P804"/>
    <mergeCell ref="Q803:Q804"/>
    <mergeCell ref="U824:U825"/>
    <mergeCell ref="A825:A840"/>
    <mergeCell ref="B825:B840"/>
    <mergeCell ref="I801:J802"/>
    <mergeCell ref="K801:L802"/>
    <mergeCell ref="M801:N802"/>
    <mergeCell ref="O801:Q802"/>
    <mergeCell ref="R801:R804"/>
    <mergeCell ref="G803:G804"/>
    <mergeCell ref="H803:H804"/>
    <mergeCell ref="I803:I804"/>
    <mergeCell ref="J803:J804"/>
    <mergeCell ref="K803:K804"/>
    <mergeCell ref="Q783:Q784"/>
    <mergeCell ref="T784:T785"/>
    <mergeCell ref="U784:U785"/>
    <mergeCell ref="A785:A800"/>
    <mergeCell ref="B785:B800"/>
    <mergeCell ref="A801:A804"/>
    <mergeCell ref="B801:B804"/>
    <mergeCell ref="E801:E804"/>
    <mergeCell ref="F801:F804"/>
    <mergeCell ref="G801:H802"/>
    <mergeCell ref="K783:K784"/>
    <mergeCell ref="L783:L784"/>
    <mergeCell ref="M783:M784"/>
    <mergeCell ref="N783:N784"/>
    <mergeCell ref="O783:O784"/>
    <mergeCell ref="P783:P784"/>
    <mergeCell ref="G781:H782"/>
    <mergeCell ref="I781:J782"/>
    <mergeCell ref="K781:L782"/>
    <mergeCell ref="M781:N782"/>
    <mergeCell ref="O781:Q782"/>
    <mergeCell ref="R781:R784"/>
    <mergeCell ref="G783:G784"/>
    <mergeCell ref="H783:H784"/>
    <mergeCell ref="I783:I784"/>
    <mergeCell ref="J783:J784"/>
    <mergeCell ref="A765:A780"/>
    <mergeCell ref="B765:B780"/>
    <mergeCell ref="A781:A784"/>
    <mergeCell ref="B781:B784"/>
    <mergeCell ref="E781:E784"/>
    <mergeCell ref="F781:F784"/>
    <mergeCell ref="N763:N764"/>
    <mergeCell ref="O763:O764"/>
    <mergeCell ref="P763:P764"/>
    <mergeCell ref="Q763:Q764"/>
    <mergeCell ref="T764:T765"/>
    <mergeCell ref="U764:U765"/>
    <mergeCell ref="M761:N762"/>
    <mergeCell ref="O761:Q762"/>
    <mergeCell ref="R761:R764"/>
    <mergeCell ref="G763:G764"/>
    <mergeCell ref="H763:H764"/>
    <mergeCell ref="I763:I764"/>
    <mergeCell ref="J763:J764"/>
    <mergeCell ref="K763:K764"/>
    <mergeCell ref="L763:L764"/>
    <mergeCell ref="M763:M764"/>
    <mergeCell ref="U744:U745"/>
    <mergeCell ref="A745:A760"/>
    <mergeCell ref="B745:B760"/>
    <mergeCell ref="A761:A764"/>
    <mergeCell ref="B761:B764"/>
    <mergeCell ref="E761:E764"/>
    <mergeCell ref="F761:F764"/>
    <mergeCell ref="G761:H762"/>
    <mergeCell ref="I761:J762"/>
    <mergeCell ref="K761:L762"/>
    <mergeCell ref="M743:M744"/>
    <mergeCell ref="N743:N744"/>
    <mergeCell ref="O743:O744"/>
    <mergeCell ref="P743:P744"/>
    <mergeCell ref="Q743:Q744"/>
    <mergeCell ref="T744:T745"/>
    <mergeCell ref="K741:L742"/>
    <mergeCell ref="M741:N742"/>
    <mergeCell ref="O741:Q742"/>
    <mergeCell ref="R741:R744"/>
    <mergeCell ref="G743:G744"/>
    <mergeCell ref="H743:H744"/>
    <mergeCell ref="I743:I744"/>
    <mergeCell ref="J743:J744"/>
    <mergeCell ref="K743:K744"/>
    <mergeCell ref="L743:L744"/>
    <mergeCell ref="T724:T725"/>
    <mergeCell ref="U724:U725"/>
    <mergeCell ref="A725:A740"/>
    <mergeCell ref="B725:B740"/>
    <mergeCell ref="A741:A744"/>
    <mergeCell ref="B741:B744"/>
    <mergeCell ref="E741:E744"/>
    <mergeCell ref="F741:F744"/>
    <mergeCell ref="G741:H742"/>
    <mergeCell ref="I741:J742"/>
    <mergeCell ref="L723:L724"/>
    <mergeCell ref="M723:M724"/>
    <mergeCell ref="N723:N724"/>
    <mergeCell ref="O723:O724"/>
    <mergeCell ref="P723:P724"/>
    <mergeCell ref="Q723:Q724"/>
    <mergeCell ref="I721:J722"/>
    <mergeCell ref="K721:L722"/>
    <mergeCell ref="M721:N722"/>
    <mergeCell ref="O721:Q722"/>
    <mergeCell ref="R721:R724"/>
    <mergeCell ref="G723:G724"/>
    <mergeCell ref="H723:H724"/>
    <mergeCell ref="I723:I724"/>
    <mergeCell ref="J723:J724"/>
    <mergeCell ref="K723:K724"/>
    <mergeCell ref="Q703:Q704"/>
    <mergeCell ref="T704:T705"/>
    <mergeCell ref="U704:U705"/>
    <mergeCell ref="A705:A720"/>
    <mergeCell ref="B705:B720"/>
    <mergeCell ref="A721:A724"/>
    <mergeCell ref="B721:B724"/>
    <mergeCell ref="E721:E724"/>
    <mergeCell ref="F721:F724"/>
    <mergeCell ref="G721:H722"/>
    <mergeCell ref="K703:K704"/>
    <mergeCell ref="L703:L704"/>
    <mergeCell ref="M703:M704"/>
    <mergeCell ref="N703:N704"/>
    <mergeCell ref="O703:O704"/>
    <mergeCell ref="P703:P704"/>
    <mergeCell ref="G701:H702"/>
    <mergeCell ref="I701:J702"/>
    <mergeCell ref="K701:L702"/>
    <mergeCell ref="M701:N702"/>
    <mergeCell ref="O701:Q702"/>
    <mergeCell ref="R701:R704"/>
    <mergeCell ref="G703:G704"/>
    <mergeCell ref="H703:H704"/>
    <mergeCell ref="I703:I704"/>
    <mergeCell ref="J703:J704"/>
    <mergeCell ref="A685:A700"/>
    <mergeCell ref="B685:B700"/>
    <mergeCell ref="A701:A704"/>
    <mergeCell ref="B701:B704"/>
    <mergeCell ref="E701:E704"/>
    <mergeCell ref="F701:F704"/>
    <mergeCell ref="N683:N684"/>
    <mergeCell ref="O683:O684"/>
    <mergeCell ref="P683:P684"/>
    <mergeCell ref="Q683:Q684"/>
    <mergeCell ref="T684:T685"/>
    <mergeCell ref="U684:U685"/>
    <mergeCell ref="M681:N682"/>
    <mergeCell ref="O681:Q682"/>
    <mergeCell ref="R681:R684"/>
    <mergeCell ref="G683:G684"/>
    <mergeCell ref="H683:H684"/>
    <mergeCell ref="I683:I684"/>
    <mergeCell ref="J683:J684"/>
    <mergeCell ref="K683:K684"/>
    <mergeCell ref="L683:L684"/>
    <mergeCell ref="M683:M684"/>
    <mergeCell ref="U664:U665"/>
    <mergeCell ref="A665:A680"/>
    <mergeCell ref="B665:B680"/>
    <mergeCell ref="A681:A684"/>
    <mergeCell ref="B681:B684"/>
    <mergeCell ref="E681:E684"/>
    <mergeCell ref="F681:F684"/>
    <mergeCell ref="G681:H682"/>
    <mergeCell ref="I681:J682"/>
    <mergeCell ref="K681:L682"/>
    <mergeCell ref="M663:M664"/>
    <mergeCell ref="N663:N664"/>
    <mergeCell ref="O663:O664"/>
    <mergeCell ref="P663:P664"/>
    <mergeCell ref="Q663:Q664"/>
    <mergeCell ref="T664:T665"/>
    <mergeCell ref="K661:L662"/>
    <mergeCell ref="M661:N662"/>
    <mergeCell ref="O661:Q662"/>
    <mergeCell ref="R661:R664"/>
    <mergeCell ref="G663:G664"/>
    <mergeCell ref="H663:H664"/>
    <mergeCell ref="I663:I664"/>
    <mergeCell ref="J663:J664"/>
    <mergeCell ref="K663:K664"/>
    <mergeCell ref="L663:L664"/>
    <mergeCell ref="T644:T645"/>
    <mergeCell ref="U644:U645"/>
    <mergeCell ref="A645:A660"/>
    <mergeCell ref="B645:B660"/>
    <mergeCell ref="A661:A664"/>
    <mergeCell ref="B661:B664"/>
    <mergeCell ref="E661:E664"/>
    <mergeCell ref="F661:F664"/>
    <mergeCell ref="G661:H662"/>
    <mergeCell ref="I661:J662"/>
    <mergeCell ref="L643:L644"/>
    <mergeCell ref="M643:M644"/>
    <mergeCell ref="N643:N644"/>
    <mergeCell ref="O643:O644"/>
    <mergeCell ref="P643:P644"/>
    <mergeCell ref="Q643:Q644"/>
    <mergeCell ref="I641:J642"/>
    <mergeCell ref="K641:L642"/>
    <mergeCell ref="M641:N642"/>
    <mergeCell ref="O641:Q642"/>
    <mergeCell ref="R641:R644"/>
    <mergeCell ref="G643:G644"/>
    <mergeCell ref="H643:H644"/>
    <mergeCell ref="I643:I644"/>
    <mergeCell ref="J643:J644"/>
    <mergeCell ref="K643:K644"/>
    <mergeCell ref="Q623:Q624"/>
    <mergeCell ref="T624:T625"/>
    <mergeCell ref="U624:U625"/>
    <mergeCell ref="A625:A640"/>
    <mergeCell ref="B625:B640"/>
    <mergeCell ref="A641:A644"/>
    <mergeCell ref="B641:B644"/>
    <mergeCell ref="E641:E644"/>
    <mergeCell ref="F641:F644"/>
    <mergeCell ref="G641:H642"/>
    <mergeCell ref="K623:K624"/>
    <mergeCell ref="L623:L624"/>
    <mergeCell ref="M623:M624"/>
    <mergeCell ref="N623:N624"/>
    <mergeCell ref="O623:O624"/>
    <mergeCell ref="P623:P624"/>
    <mergeCell ref="G621:H622"/>
    <mergeCell ref="I621:J622"/>
    <mergeCell ref="K621:L622"/>
    <mergeCell ref="M621:N622"/>
    <mergeCell ref="O621:Q622"/>
    <mergeCell ref="R621:R624"/>
    <mergeCell ref="G623:G624"/>
    <mergeCell ref="H623:H624"/>
    <mergeCell ref="I623:I624"/>
    <mergeCell ref="J623:J624"/>
    <mergeCell ref="A605:A620"/>
    <mergeCell ref="B605:B620"/>
    <mergeCell ref="A621:A624"/>
    <mergeCell ref="B621:B624"/>
    <mergeCell ref="E621:E624"/>
    <mergeCell ref="F621:F624"/>
    <mergeCell ref="N603:N604"/>
    <mergeCell ref="O603:O604"/>
    <mergeCell ref="P603:P604"/>
    <mergeCell ref="Q603:Q604"/>
    <mergeCell ref="T604:T605"/>
    <mergeCell ref="U604:U605"/>
    <mergeCell ref="M601:N602"/>
    <mergeCell ref="O601:Q602"/>
    <mergeCell ref="R601:R604"/>
    <mergeCell ref="G603:G604"/>
    <mergeCell ref="H603:H604"/>
    <mergeCell ref="I603:I604"/>
    <mergeCell ref="J603:J604"/>
    <mergeCell ref="K603:K604"/>
    <mergeCell ref="L603:L604"/>
    <mergeCell ref="M603:M604"/>
    <mergeCell ref="U584:U585"/>
    <mergeCell ref="A585:A600"/>
    <mergeCell ref="B585:B600"/>
    <mergeCell ref="A601:A604"/>
    <mergeCell ref="B601:B604"/>
    <mergeCell ref="E601:E604"/>
    <mergeCell ref="F601:F604"/>
    <mergeCell ref="G601:H602"/>
    <mergeCell ref="I601:J602"/>
    <mergeCell ref="K601:L602"/>
    <mergeCell ref="M583:M584"/>
    <mergeCell ref="N583:N584"/>
    <mergeCell ref="O583:O584"/>
    <mergeCell ref="P583:P584"/>
    <mergeCell ref="Q583:Q584"/>
    <mergeCell ref="T584:T585"/>
    <mergeCell ref="K581:L582"/>
    <mergeCell ref="M581:N582"/>
    <mergeCell ref="O581:Q582"/>
    <mergeCell ref="R581:R584"/>
    <mergeCell ref="G583:G584"/>
    <mergeCell ref="H583:H584"/>
    <mergeCell ref="I583:I584"/>
    <mergeCell ref="J583:J584"/>
    <mergeCell ref="K583:K584"/>
    <mergeCell ref="L583:L584"/>
    <mergeCell ref="A581:A584"/>
    <mergeCell ref="B581:B584"/>
    <mergeCell ref="E581:E584"/>
    <mergeCell ref="F581:F584"/>
    <mergeCell ref="G581:H582"/>
    <mergeCell ref="I581:J582"/>
    <mergeCell ref="U564:U565"/>
    <mergeCell ref="A565:A580"/>
    <mergeCell ref="B565:B580"/>
    <mergeCell ref="M563:M564"/>
    <mergeCell ref="N563:N564"/>
    <mergeCell ref="O563:O564"/>
    <mergeCell ref="P563:P564"/>
    <mergeCell ref="Q563:Q564"/>
    <mergeCell ref="T564:T565"/>
    <mergeCell ref="A561:A564"/>
    <mergeCell ref="O561:Q562"/>
    <mergeCell ref="R561:R564"/>
    <mergeCell ref="G563:G564"/>
    <mergeCell ref="H563:H564"/>
    <mergeCell ref="I563:I564"/>
    <mergeCell ref="J563:J564"/>
    <mergeCell ref="K563:K564"/>
    <mergeCell ref="L563:L564"/>
    <mergeCell ref="B561:B564"/>
    <mergeCell ref="E561:E564"/>
    <mergeCell ref="F561:F564"/>
    <mergeCell ref="G561:H562"/>
    <mergeCell ref="I561:J562"/>
    <mergeCell ref="U544:U545"/>
    <mergeCell ref="Q543:Q544"/>
    <mergeCell ref="T544:T545"/>
    <mergeCell ref="K561:L562"/>
    <mergeCell ref="M561:N562"/>
    <mergeCell ref="A545:A560"/>
    <mergeCell ref="B545:B560"/>
    <mergeCell ref="M543:M544"/>
    <mergeCell ref="N543:N544"/>
    <mergeCell ref="O543:O544"/>
    <mergeCell ref="P543:P544"/>
    <mergeCell ref="K541:L542"/>
    <mergeCell ref="M541:N542"/>
    <mergeCell ref="O541:Q542"/>
    <mergeCell ref="R541:R544"/>
    <mergeCell ref="G543:G544"/>
    <mergeCell ref="H543:H544"/>
    <mergeCell ref="I543:I544"/>
    <mergeCell ref="J543:J544"/>
    <mergeCell ref="K543:K544"/>
    <mergeCell ref="L543:L544"/>
    <mergeCell ref="T524:T525"/>
    <mergeCell ref="U524:U525"/>
    <mergeCell ref="A525:A540"/>
    <mergeCell ref="B525:B540"/>
    <mergeCell ref="A541:A544"/>
    <mergeCell ref="B541:B544"/>
    <mergeCell ref="E541:E544"/>
    <mergeCell ref="F541:F544"/>
    <mergeCell ref="G541:H542"/>
    <mergeCell ref="I541:J542"/>
    <mergeCell ref="L523:L524"/>
    <mergeCell ref="M523:M524"/>
    <mergeCell ref="N523:N524"/>
    <mergeCell ref="O523:O524"/>
    <mergeCell ref="P523:P524"/>
    <mergeCell ref="Q523:Q524"/>
    <mergeCell ref="I521:J522"/>
    <mergeCell ref="K521:L522"/>
    <mergeCell ref="M521:N522"/>
    <mergeCell ref="O521:Q522"/>
    <mergeCell ref="R521:R524"/>
    <mergeCell ref="G523:G524"/>
    <mergeCell ref="H523:H524"/>
    <mergeCell ref="I523:I524"/>
    <mergeCell ref="J523:J524"/>
    <mergeCell ref="K523:K524"/>
    <mergeCell ref="Q503:Q504"/>
    <mergeCell ref="T504:T505"/>
    <mergeCell ref="U504:U505"/>
    <mergeCell ref="A505:A520"/>
    <mergeCell ref="B505:B520"/>
    <mergeCell ref="A521:A524"/>
    <mergeCell ref="B521:B524"/>
    <mergeCell ref="E521:E524"/>
    <mergeCell ref="F521:F524"/>
    <mergeCell ref="G521:H522"/>
    <mergeCell ref="K503:K504"/>
    <mergeCell ref="L503:L504"/>
    <mergeCell ref="M503:M504"/>
    <mergeCell ref="N503:N504"/>
    <mergeCell ref="O503:O504"/>
    <mergeCell ref="P503:P504"/>
    <mergeCell ref="G501:H502"/>
    <mergeCell ref="I501:J502"/>
    <mergeCell ref="K501:L502"/>
    <mergeCell ref="M501:N502"/>
    <mergeCell ref="O501:Q502"/>
    <mergeCell ref="R501:R504"/>
    <mergeCell ref="G503:G504"/>
    <mergeCell ref="H503:H504"/>
    <mergeCell ref="I503:I504"/>
    <mergeCell ref="J503:J504"/>
    <mergeCell ref="A485:A500"/>
    <mergeCell ref="B485:B500"/>
    <mergeCell ref="A501:A504"/>
    <mergeCell ref="B501:B504"/>
    <mergeCell ref="E501:E504"/>
    <mergeCell ref="F501:F504"/>
    <mergeCell ref="N483:N484"/>
    <mergeCell ref="O483:O484"/>
    <mergeCell ref="P483:P484"/>
    <mergeCell ref="Q483:Q484"/>
    <mergeCell ref="T484:T485"/>
    <mergeCell ref="U484:U485"/>
    <mergeCell ref="M481:N482"/>
    <mergeCell ref="O481:Q482"/>
    <mergeCell ref="R481:R484"/>
    <mergeCell ref="G483:G484"/>
    <mergeCell ref="H483:H484"/>
    <mergeCell ref="I483:I484"/>
    <mergeCell ref="J483:J484"/>
    <mergeCell ref="K483:K484"/>
    <mergeCell ref="L483:L484"/>
    <mergeCell ref="M483:M484"/>
    <mergeCell ref="U464:U465"/>
    <mergeCell ref="A465:A480"/>
    <mergeCell ref="B465:B480"/>
    <mergeCell ref="A481:A484"/>
    <mergeCell ref="B481:B484"/>
    <mergeCell ref="E481:E484"/>
    <mergeCell ref="F481:F484"/>
    <mergeCell ref="G481:H482"/>
    <mergeCell ref="I481:J482"/>
    <mergeCell ref="K481:L482"/>
    <mergeCell ref="M463:M464"/>
    <mergeCell ref="N463:N464"/>
    <mergeCell ref="O463:O464"/>
    <mergeCell ref="P463:P464"/>
    <mergeCell ref="Q463:Q464"/>
    <mergeCell ref="T464:T465"/>
    <mergeCell ref="I463:I464"/>
    <mergeCell ref="J463:J464"/>
    <mergeCell ref="K463:K464"/>
    <mergeCell ref="L463:L464"/>
    <mergeCell ref="A461:A464"/>
    <mergeCell ref="B461:B464"/>
    <mergeCell ref="E461:E464"/>
    <mergeCell ref="F461:F464"/>
    <mergeCell ref="G461:H462"/>
    <mergeCell ref="I461:J462"/>
    <mergeCell ref="A365:A380"/>
    <mergeCell ref="B365:B380"/>
    <mergeCell ref="R381:R384"/>
    <mergeCell ref="A421:A424"/>
    <mergeCell ref="B421:B424"/>
    <mergeCell ref="E421:E424"/>
    <mergeCell ref="F421:F424"/>
    <mergeCell ref="G421:H422"/>
    <mergeCell ref="I421:J422"/>
    <mergeCell ref="K421:L422"/>
    <mergeCell ref="M421:N422"/>
    <mergeCell ref="O421:Q422"/>
    <mergeCell ref="R421:R424"/>
    <mergeCell ref="G423:G424"/>
    <mergeCell ref="H423:H424"/>
    <mergeCell ref="I423:I424"/>
    <mergeCell ref="J423:J424"/>
    <mergeCell ref="K423:K424"/>
    <mergeCell ref="L423:L424"/>
    <mergeCell ref="M423:M424"/>
    <mergeCell ref="N423:N424"/>
    <mergeCell ref="O423:O424"/>
    <mergeCell ref="P423:P424"/>
    <mergeCell ref="Q423:Q424"/>
    <mergeCell ref="K461:L462"/>
    <mergeCell ref="M461:N462"/>
    <mergeCell ref="N363:N364"/>
    <mergeCell ref="O363:O364"/>
    <mergeCell ref="P363:P364"/>
    <mergeCell ref="Q363:Q364"/>
    <mergeCell ref="A361:A364"/>
    <mergeCell ref="B361:B364"/>
    <mergeCell ref="E361:E364"/>
    <mergeCell ref="F361:F364"/>
    <mergeCell ref="T364:T365"/>
    <mergeCell ref="U364:U365"/>
    <mergeCell ref="G363:G364"/>
    <mergeCell ref="H363:H364"/>
    <mergeCell ref="I363:I364"/>
    <mergeCell ref="J363:J364"/>
    <mergeCell ref="K363:K364"/>
    <mergeCell ref="L363:L364"/>
    <mergeCell ref="G361:H362"/>
    <mergeCell ref="I361:J362"/>
    <mergeCell ref="K361:L362"/>
    <mergeCell ref="M361:N362"/>
    <mergeCell ref="O361:Q362"/>
    <mergeCell ref="R361:R364"/>
    <mergeCell ref="M363:M364"/>
    <mergeCell ref="T344:T345"/>
    <mergeCell ref="U344:U345"/>
    <mergeCell ref="A345:A360"/>
    <mergeCell ref="B345:B360"/>
    <mergeCell ref="L343:L344"/>
    <mergeCell ref="M343:M344"/>
    <mergeCell ref="N343:N344"/>
    <mergeCell ref="O343:O344"/>
    <mergeCell ref="P343:P344"/>
    <mergeCell ref="Q343:Q344"/>
    <mergeCell ref="I341:J342"/>
    <mergeCell ref="K341:L342"/>
    <mergeCell ref="M341:N342"/>
    <mergeCell ref="O341:Q342"/>
    <mergeCell ref="R341:R344"/>
    <mergeCell ref="G343:G344"/>
    <mergeCell ref="H343:H344"/>
    <mergeCell ref="I343:I344"/>
    <mergeCell ref="J343:J344"/>
    <mergeCell ref="K343:K344"/>
    <mergeCell ref="A341:A344"/>
    <mergeCell ref="B341:B344"/>
    <mergeCell ref="E341:E344"/>
    <mergeCell ref="F341:F344"/>
    <mergeCell ref="G341:H342"/>
    <mergeCell ref="R301:R304"/>
    <mergeCell ref="G303:G304"/>
    <mergeCell ref="H303:H304"/>
    <mergeCell ref="I303:I304"/>
    <mergeCell ref="J303:J304"/>
    <mergeCell ref="K303:K304"/>
    <mergeCell ref="L303:L304"/>
    <mergeCell ref="M303:M304"/>
    <mergeCell ref="Q323:Q324"/>
    <mergeCell ref="T324:T325"/>
    <mergeCell ref="U324:U325"/>
    <mergeCell ref="A325:A340"/>
    <mergeCell ref="B325:B340"/>
    <mergeCell ref="K323:K324"/>
    <mergeCell ref="L323:L324"/>
    <mergeCell ref="M323:M324"/>
    <mergeCell ref="N323:N324"/>
    <mergeCell ref="O323:O324"/>
    <mergeCell ref="P323:P324"/>
    <mergeCell ref="G321:H322"/>
    <mergeCell ref="I321:J322"/>
    <mergeCell ref="K321:L322"/>
    <mergeCell ref="M321:N322"/>
    <mergeCell ref="O321:Q322"/>
    <mergeCell ref="R321:R324"/>
    <mergeCell ref="G323:G324"/>
    <mergeCell ref="H323:H324"/>
    <mergeCell ref="I323:I324"/>
    <mergeCell ref="Q303:Q304"/>
    <mergeCell ref="T304:T305"/>
    <mergeCell ref="U304:U305"/>
    <mergeCell ref="K283:K284"/>
    <mergeCell ref="L283:L284"/>
    <mergeCell ref="A281:A284"/>
    <mergeCell ref="B281:B284"/>
    <mergeCell ref="E281:E284"/>
    <mergeCell ref="F281:F284"/>
    <mergeCell ref="G281:H282"/>
    <mergeCell ref="I281:J282"/>
    <mergeCell ref="A305:A320"/>
    <mergeCell ref="B305:B320"/>
    <mergeCell ref="A321:A324"/>
    <mergeCell ref="B321:B324"/>
    <mergeCell ref="E321:E324"/>
    <mergeCell ref="F321:F324"/>
    <mergeCell ref="N303:N304"/>
    <mergeCell ref="O303:O304"/>
    <mergeCell ref="P303:P304"/>
    <mergeCell ref="J323:J324"/>
    <mergeCell ref="M301:N302"/>
    <mergeCell ref="O301:Q302"/>
    <mergeCell ref="B225:B240"/>
    <mergeCell ref="K221:L222"/>
    <mergeCell ref="T224:T225"/>
    <mergeCell ref="U224:U225"/>
    <mergeCell ref="M221:N222"/>
    <mergeCell ref="O221:Q222"/>
    <mergeCell ref="R221:R224"/>
    <mergeCell ref="N223:N224"/>
    <mergeCell ref="O223:O224"/>
    <mergeCell ref="P223:P224"/>
    <mergeCell ref="Q223:Q224"/>
    <mergeCell ref="U284:U285"/>
    <mergeCell ref="A285:A300"/>
    <mergeCell ref="B285:B300"/>
    <mergeCell ref="A301:A304"/>
    <mergeCell ref="B301:B304"/>
    <mergeCell ref="E301:E304"/>
    <mergeCell ref="F301:F304"/>
    <mergeCell ref="G301:H302"/>
    <mergeCell ref="I301:J302"/>
    <mergeCell ref="K301:L302"/>
    <mergeCell ref="M283:M284"/>
    <mergeCell ref="N283:N284"/>
    <mergeCell ref="O283:O284"/>
    <mergeCell ref="P283:P284"/>
    <mergeCell ref="Q283:Q284"/>
    <mergeCell ref="T284:T285"/>
    <mergeCell ref="K281:L282"/>
    <mergeCell ref="M281:N282"/>
    <mergeCell ref="O281:Q282"/>
    <mergeCell ref="R281:R284"/>
    <mergeCell ref="G283:G284"/>
    <mergeCell ref="T204:T205"/>
    <mergeCell ref="U204:U205"/>
    <mergeCell ref="A205:A220"/>
    <mergeCell ref="B205:B220"/>
    <mergeCell ref="A221:A224"/>
    <mergeCell ref="B221:B224"/>
    <mergeCell ref="E221:E224"/>
    <mergeCell ref="F221:F224"/>
    <mergeCell ref="M201:N202"/>
    <mergeCell ref="O201:Q202"/>
    <mergeCell ref="G221:H222"/>
    <mergeCell ref="I221:J222"/>
    <mergeCell ref="L203:L204"/>
    <mergeCell ref="M203:M204"/>
    <mergeCell ref="N203:N204"/>
    <mergeCell ref="O203:O204"/>
    <mergeCell ref="R201:R204"/>
    <mergeCell ref="G203:G204"/>
    <mergeCell ref="H203:H204"/>
    <mergeCell ref="I203:I204"/>
    <mergeCell ref="J203:J204"/>
    <mergeCell ref="K203:K204"/>
    <mergeCell ref="P203:P204"/>
    <mergeCell ref="Q203:Q204"/>
    <mergeCell ref="I201:J202"/>
    <mergeCell ref="K201:L202"/>
    <mergeCell ref="L223:L224"/>
    <mergeCell ref="M223:M224"/>
    <mergeCell ref="G223:G224"/>
    <mergeCell ref="H223:H224"/>
    <mergeCell ref="I223:I224"/>
    <mergeCell ref="J223:J224"/>
    <mergeCell ref="R161:R164"/>
    <mergeCell ref="G163:G164"/>
    <mergeCell ref="H163:H164"/>
    <mergeCell ref="I163:I164"/>
    <mergeCell ref="J163:J164"/>
    <mergeCell ref="K163:K164"/>
    <mergeCell ref="L163:L164"/>
    <mergeCell ref="M163:M164"/>
    <mergeCell ref="Q183:Q184"/>
    <mergeCell ref="T184:T185"/>
    <mergeCell ref="U184:U185"/>
    <mergeCell ref="A185:A200"/>
    <mergeCell ref="B185:B200"/>
    <mergeCell ref="A201:A204"/>
    <mergeCell ref="B201:B204"/>
    <mergeCell ref="E201:E204"/>
    <mergeCell ref="F201:F204"/>
    <mergeCell ref="G201:H202"/>
    <mergeCell ref="K183:K184"/>
    <mergeCell ref="L183:L184"/>
    <mergeCell ref="M183:M184"/>
    <mergeCell ref="N183:N184"/>
    <mergeCell ref="O183:O184"/>
    <mergeCell ref="P183:P184"/>
    <mergeCell ref="G181:H182"/>
    <mergeCell ref="I181:J182"/>
    <mergeCell ref="K181:L182"/>
    <mergeCell ref="M181:N182"/>
    <mergeCell ref="O181:Q182"/>
    <mergeCell ref="R181:R184"/>
    <mergeCell ref="G183:G184"/>
    <mergeCell ref="H183:H184"/>
    <mergeCell ref="U144:U145"/>
    <mergeCell ref="A145:A160"/>
    <mergeCell ref="B145:B160"/>
    <mergeCell ref="A161:A164"/>
    <mergeCell ref="B161:B164"/>
    <mergeCell ref="E161:E164"/>
    <mergeCell ref="F161:F164"/>
    <mergeCell ref="G161:H162"/>
    <mergeCell ref="I161:J162"/>
    <mergeCell ref="K161:L162"/>
    <mergeCell ref="M143:M144"/>
    <mergeCell ref="N143:N144"/>
    <mergeCell ref="O143:O144"/>
    <mergeCell ref="P143:P144"/>
    <mergeCell ref="Q143:Q144"/>
    <mergeCell ref="T144:T145"/>
    <mergeCell ref="K141:L142"/>
    <mergeCell ref="M141:N142"/>
    <mergeCell ref="O141:Q142"/>
    <mergeCell ref="R141:R144"/>
    <mergeCell ref="G143:G144"/>
    <mergeCell ref="H143:H144"/>
    <mergeCell ref="I143:I144"/>
    <mergeCell ref="J143:J144"/>
    <mergeCell ref="K143:K144"/>
    <mergeCell ref="L143:L144"/>
    <mergeCell ref="N163:N164"/>
    <mergeCell ref="O163:O164"/>
    <mergeCell ref="P163:P164"/>
    <mergeCell ref="Q163:Q164"/>
    <mergeCell ref="T164:T165"/>
    <mergeCell ref="U164:U165"/>
    <mergeCell ref="B1:B4"/>
    <mergeCell ref="E1:E4"/>
    <mergeCell ref="R1:R4"/>
    <mergeCell ref="G3:G4"/>
    <mergeCell ref="H3:H4"/>
    <mergeCell ref="J3:J4"/>
    <mergeCell ref="L3:L4"/>
    <mergeCell ref="O23:O24"/>
    <mergeCell ref="A21:A24"/>
    <mergeCell ref="T124:T125"/>
    <mergeCell ref="U124:U125"/>
    <mergeCell ref="A125:A140"/>
    <mergeCell ref="B125:B140"/>
    <mergeCell ref="A141:A144"/>
    <mergeCell ref="B141:B144"/>
    <mergeCell ref="E141:E144"/>
    <mergeCell ref="F141:F144"/>
    <mergeCell ref="G141:H142"/>
    <mergeCell ref="I141:J142"/>
    <mergeCell ref="L123:L124"/>
    <mergeCell ref="M123:M124"/>
    <mergeCell ref="N123:N124"/>
    <mergeCell ref="O123:O124"/>
    <mergeCell ref="P123:P124"/>
    <mergeCell ref="Q123:Q124"/>
    <mergeCell ref="I121:J122"/>
    <mergeCell ref="K121:L122"/>
    <mergeCell ref="M121:N122"/>
    <mergeCell ref="O121:Q122"/>
    <mergeCell ref="R121:R124"/>
    <mergeCell ref="G123:G124"/>
    <mergeCell ref="H123:H124"/>
    <mergeCell ref="T24:T25"/>
    <mergeCell ref="U24:U25"/>
    <mergeCell ref="A25:A40"/>
    <mergeCell ref="B25:B40"/>
    <mergeCell ref="R21:R24"/>
    <mergeCell ref="G23:G24"/>
    <mergeCell ref="H23:H24"/>
    <mergeCell ref="I23:I24"/>
    <mergeCell ref="J23:J24"/>
    <mergeCell ref="O1:Q2"/>
    <mergeCell ref="P3:P4"/>
    <mergeCell ref="Q3:Q4"/>
    <mergeCell ref="I3:I4"/>
    <mergeCell ref="K3:K4"/>
    <mergeCell ref="A121:A124"/>
    <mergeCell ref="B121:B124"/>
    <mergeCell ref="E121:E124"/>
    <mergeCell ref="F121:F124"/>
    <mergeCell ref="G121:H122"/>
    <mergeCell ref="M3:M4"/>
    <mergeCell ref="N3:N4"/>
    <mergeCell ref="T4:T5"/>
    <mergeCell ref="O3:O4"/>
    <mergeCell ref="U4:U5"/>
    <mergeCell ref="F1:F4"/>
    <mergeCell ref="G1:H2"/>
    <mergeCell ref="I1:J2"/>
    <mergeCell ref="K1:L2"/>
    <mergeCell ref="M1:N2"/>
    <mergeCell ref="A5:A20"/>
    <mergeCell ref="B5:B20"/>
    <mergeCell ref="A1:A4"/>
    <mergeCell ref="P23:P24"/>
    <mergeCell ref="K23:K24"/>
    <mergeCell ref="L23:L24"/>
    <mergeCell ref="M23:M24"/>
    <mergeCell ref="N23:N24"/>
    <mergeCell ref="K41:L42"/>
    <mergeCell ref="M41:N42"/>
    <mergeCell ref="O41:Q42"/>
    <mergeCell ref="R41:R44"/>
    <mergeCell ref="G43:G44"/>
    <mergeCell ref="H43:H44"/>
    <mergeCell ref="I43:I44"/>
    <mergeCell ref="J43:J44"/>
    <mergeCell ref="K43:K44"/>
    <mergeCell ref="L43:L44"/>
    <mergeCell ref="B21:B24"/>
    <mergeCell ref="E21:E24"/>
    <mergeCell ref="F21:F24"/>
    <mergeCell ref="G21:H22"/>
    <mergeCell ref="I21:J22"/>
    <mergeCell ref="K21:L22"/>
    <mergeCell ref="M21:N22"/>
    <mergeCell ref="O21:Q22"/>
    <mergeCell ref="Q23:Q24"/>
    <mergeCell ref="U44:U45"/>
    <mergeCell ref="A45:A60"/>
    <mergeCell ref="B45:B60"/>
    <mergeCell ref="M43:M44"/>
    <mergeCell ref="N43:N44"/>
    <mergeCell ref="O43:O44"/>
    <mergeCell ref="P43:P44"/>
    <mergeCell ref="Q43:Q44"/>
    <mergeCell ref="T44:T45"/>
    <mergeCell ref="A41:A44"/>
    <mergeCell ref="A61:A64"/>
    <mergeCell ref="B61:B64"/>
    <mergeCell ref="E61:E64"/>
    <mergeCell ref="F61:F64"/>
    <mergeCell ref="G61:H62"/>
    <mergeCell ref="I61:J62"/>
    <mergeCell ref="P63:P64"/>
    <mergeCell ref="Q63:Q64"/>
    <mergeCell ref="T64:T65"/>
    <mergeCell ref="K61:L62"/>
    <mergeCell ref="M61:N62"/>
    <mergeCell ref="O61:Q62"/>
    <mergeCell ref="R61:R64"/>
    <mergeCell ref="K63:K64"/>
    <mergeCell ref="L63:L64"/>
    <mergeCell ref="B41:B44"/>
    <mergeCell ref="E41:E44"/>
    <mergeCell ref="F41:F44"/>
    <mergeCell ref="G41:H42"/>
    <mergeCell ref="I41:J42"/>
    <mergeCell ref="G81:H82"/>
    <mergeCell ref="I81:J82"/>
    <mergeCell ref="K81:L82"/>
    <mergeCell ref="M63:M64"/>
    <mergeCell ref="N63:N64"/>
    <mergeCell ref="O63:O64"/>
    <mergeCell ref="G63:G64"/>
    <mergeCell ref="H63:H64"/>
    <mergeCell ref="I63:I64"/>
    <mergeCell ref="J63:J64"/>
    <mergeCell ref="J83:J84"/>
    <mergeCell ref="K83:K84"/>
    <mergeCell ref="L83:L84"/>
    <mergeCell ref="U64:U65"/>
    <mergeCell ref="A65:A80"/>
    <mergeCell ref="B65:B80"/>
    <mergeCell ref="A81:A84"/>
    <mergeCell ref="B81:B84"/>
    <mergeCell ref="E81:E84"/>
    <mergeCell ref="F81:F84"/>
    <mergeCell ref="R101:R104"/>
    <mergeCell ref="G103:G104"/>
    <mergeCell ref="H103:H104"/>
    <mergeCell ref="U84:U85"/>
    <mergeCell ref="M81:N82"/>
    <mergeCell ref="O81:Q82"/>
    <mergeCell ref="R81:R84"/>
    <mergeCell ref="G83:G84"/>
    <mergeCell ref="H83:H84"/>
    <mergeCell ref="I83:I84"/>
    <mergeCell ref="N83:N84"/>
    <mergeCell ref="O83:O84"/>
    <mergeCell ref="P83:P84"/>
    <mergeCell ref="Q83:Q84"/>
    <mergeCell ref="T84:T85"/>
    <mergeCell ref="M83:M84"/>
    <mergeCell ref="A85:A100"/>
    <mergeCell ref="B85:B100"/>
    <mergeCell ref="A101:A104"/>
    <mergeCell ref="B101:B104"/>
    <mergeCell ref="E101:E104"/>
    <mergeCell ref="F101:F104"/>
    <mergeCell ref="G101:H102"/>
    <mergeCell ref="I101:J102"/>
    <mergeCell ref="K101:L102"/>
    <mergeCell ref="M101:N102"/>
    <mergeCell ref="O101:Q102"/>
    <mergeCell ref="Q103:Q104"/>
    <mergeCell ref="I103:I104"/>
    <mergeCell ref="J103:J104"/>
    <mergeCell ref="T104:T105"/>
    <mergeCell ref="U104:U105"/>
    <mergeCell ref="A105:A120"/>
    <mergeCell ref="B105:B120"/>
    <mergeCell ref="K103:K104"/>
    <mergeCell ref="L103:L104"/>
    <mergeCell ref="M103:M104"/>
    <mergeCell ref="N103:N104"/>
    <mergeCell ref="O103:O104"/>
    <mergeCell ref="P103:P104"/>
    <mergeCell ref="A241:A244"/>
    <mergeCell ref="B241:B244"/>
    <mergeCell ref="E241:E244"/>
    <mergeCell ref="F241:F244"/>
    <mergeCell ref="G241:H242"/>
    <mergeCell ref="I241:J242"/>
    <mergeCell ref="K241:L242"/>
    <mergeCell ref="M241:N242"/>
    <mergeCell ref="O241:Q242"/>
    <mergeCell ref="I123:I124"/>
    <mergeCell ref="J123:J124"/>
    <mergeCell ref="K123:K124"/>
    <mergeCell ref="A165:A180"/>
    <mergeCell ref="B165:B180"/>
    <mergeCell ref="A181:A184"/>
    <mergeCell ref="B181:B184"/>
    <mergeCell ref="E181:E184"/>
    <mergeCell ref="F181:F184"/>
    <mergeCell ref="M161:N162"/>
    <mergeCell ref="O161:Q162"/>
    <mergeCell ref="I183:I184"/>
    <mergeCell ref="J183:J184"/>
    <mergeCell ref="K223:K224"/>
    <mergeCell ref="A225:A240"/>
    <mergeCell ref="R241:R244"/>
    <mergeCell ref="G243:G244"/>
    <mergeCell ref="H243:H244"/>
    <mergeCell ref="I243:I244"/>
    <mergeCell ref="J243:J244"/>
    <mergeCell ref="K243:K244"/>
    <mergeCell ref="L243:L244"/>
    <mergeCell ref="M243:M244"/>
    <mergeCell ref="N243:N244"/>
    <mergeCell ref="O243:O244"/>
    <mergeCell ref="P243:P244"/>
    <mergeCell ref="Q243:Q244"/>
    <mergeCell ref="T244:T245"/>
    <mergeCell ref="U244:U245"/>
    <mergeCell ref="A245:A260"/>
    <mergeCell ref="B245:B260"/>
    <mergeCell ref="A261:A264"/>
    <mergeCell ref="B261:B264"/>
    <mergeCell ref="E261:E264"/>
    <mergeCell ref="F261:F264"/>
    <mergeCell ref="G261:H262"/>
    <mergeCell ref="I261:J262"/>
    <mergeCell ref="K261:L262"/>
    <mergeCell ref="T264:T265"/>
    <mergeCell ref="U264:U265"/>
    <mergeCell ref="M261:N262"/>
    <mergeCell ref="O261:Q262"/>
    <mergeCell ref="R261:R264"/>
    <mergeCell ref="G263:G264"/>
    <mergeCell ref="H263:H264"/>
    <mergeCell ref="I263:I264"/>
    <mergeCell ref="J263:J264"/>
    <mergeCell ref="K263:K264"/>
    <mergeCell ref="A265:A280"/>
    <mergeCell ref="B265:B280"/>
    <mergeCell ref="N263:N264"/>
    <mergeCell ref="O263:O264"/>
    <mergeCell ref="P263:P264"/>
    <mergeCell ref="Q263:Q264"/>
    <mergeCell ref="L263:L264"/>
    <mergeCell ref="M263:M264"/>
    <mergeCell ref="A381:A384"/>
    <mergeCell ref="B381:B384"/>
    <mergeCell ref="E381:E384"/>
    <mergeCell ref="F381:F384"/>
    <mergeCell ref="G381:H382"/>
    <mergeCell ref="I381:J382"/>
    <mergeCell ref="K381:L382"/>
    <mergeCell ref="M381:N382"/>
    <mergeCell ref="O381:Q382"/>
    <mergeCell ref="G383:G384"/>
    <mergeCell ref="H383:H384"/>
    <mergeCell ref="I383:I384"/>
    <mergeCell ref="J383:J384"/>
    <mergeCell ref="K383:K384"/>
    <mergeCell ref="L383:L384"/>
    <mergeCell ref="M383:M384"/>
    <mergeCell ref="N383:N384"/>
    <mergeCell ref="O383:O384"/>
    <mergeCell ref="P383:P384"/>
    <mergeCell ref="Q383:Q384"/>
    <mergeCell ref="H283:H284"/>
    <mergeCell ref="I283:I284"/>
    <mergeCell ref="J283:J284"/>
    <mergeCell ref="T384:T385"/>
    <mergeCell ref="U384:U385"/>
    <mergeCell ref="A385:A400"/>
    <mergeCell ref="B385:B400"/>
    <mergeCell ref="A401:A404"/>
    <mergeCell ref="B401:B404"/>
    <mergeCell ref="E401:E404"/>
    <mergeCell ref="F401:F404"/>
    <mergeCell ref="G401:H402"/>
    <mergeCell ref="I401:J402"/>
    <mergeCell ref="K401:L402"/>
    <mergeCell ref="M401:N402"/>
    <mergeCell ref="O401:Q402"/>
    <mergeCell ref="R401:R404"/>
    <mergeCell ref="G403:G404"/>
    <mergeCell ref="H403:H404"/>
    <mergeCell ref="I403:I404"/>
    <mergeCell ref="J403:J404"/>
    <mergeCell ref="K403:K404"/>
    <mergeCell ref="L403:L404"/>
    <mergeCell ref="M403:M404"/>
    <mergeCell ref="N403:N404"/>
    <mergeCell ref="O403:O404"/>
    <mergeCell ref="P403:P404"/>
    <mergeCell ref="Q403:Q404"/>
    <mergeCell ref="T404:T405"/>
    <mergeCell ref="U404:U405"/>
    <mergeCell ref="A405:A420"/>
    <mergeCell ref="B405:B420"/>
    <mergeCell ref="T424:T425"/>
    <mergeCell ref="U424:U425"/>
    <mergeCell ref="A425:A440"/>
    <mergeCell ref="B425:B440"/>
    <mergeCell ref="A441:A444"/>
    <mergeCell ref="B441:B444"/>
    <mergeCell ref="E441:E444"/>
    <mergeCell ref="F441:F444"/>
    <mergeCell ref="G441:H442"/>
    <mergeCell ref="I441:J442"/>
    <mergeCell ref="K441:L442"/>
    <mergeCell ref="M441:N442"/>
    <mergeCell ref="O441:Q442"/>
    <mergeCell ref="R441:R444"/>
    <mergeCell ref="G443:G444"/>
    <mergeCell ref="H443:H444"/>
    <mergeCell ref="I443:I444"/>
    <mergeCell ref="J443:J444"/>
    <mergeCell ref="K443:K444"/>
    <mergeCell ref="T444:T445"/>
    <mergeCell ref="U444:U445"/>
    <mergeCell ref="A445:A460"/>
    <mergeCell ref="B445:B460"/>
    <mergeCell ref="L443:L444"/>
    <mergeCell ref="M443:M444"/>
    <mergeCell ref="N443:N444"/>
    <mergeCell ref="O443:O444"/>
    <mergeCell ref="P443:P444"/>
    <mergeCell ref="Q443:Q444"/>
    <mergeCell ref="O461:Q462"/>
    <mergeCell ref="R461:R464"/>
    <mergeCell ref="G463:G464"/>
    <mergeCell ref="H463:H464"/>
    <mergeCell ref="U884:U885"/>
    <mergeCell ref="A885:A900"/>
    <mergeCell ref="B885:B900"/>
    <mergeCell ref="A901:A904"/>
    <mergeCell ref="B901:B904"/>
    <mergeCell ref="E901:E904"/>
    <mergeCell ref="F901:F904"/>
    <mergeCell ref="G901:H902"/>
    <mergeCell ref="I901:J902"/>
    <mergeCell ref="K901:L902"/>
    <mergeCell ref="M901:N902"/>
    <mergeCell ref="O901:Q902"/>
    <mergeCell ref="R901:R904"/>
    <mergeCell ref="G903:G904"/>
    <mergeCell ref="H903:H904"/>
    <mergeCell ref="I903:I904"/>
    <mergeCell ref="J903:J904"/>
    <mergeCell ref="K903:K904"/>
    <mergeCell ref="L903:L904"/>
    <mergeCell ref="M903:M904"/>
    <mergeCell ref="N903:N904"/>
    <mergeCell ref="O903:O904"/>
    <mergeCell ref="P903:P904"/>
    <mergeCell ref="Q903:Q904"/>
    <mergeCell ref="T904:T905"/>
    <mergeCell ref="U904:U905"/>
    <mergeCell ref="A905:A920"/>
    <mergeCell ref="B905:B920"/>
    <mergeCell ref="T924:T925"/>
    <mergeCell ref="U924:U925"/>
    <mergeCell ref="A925:A940"/>
    <mergeCell ref="B925:B940"/>
    <mergeCell ref="A941:A944"/>
    <mergeCell ref="B941:B944"/>
    <mergeCell ref="E941:E944"/>
    <mergeCell ref="F941:F944"/>
    <mergeCell ref="G941:H942"/>
    <mergeCell ref="I941:J942"/>
    <mergeCell ref="K941:L942"/>
    <mergeCell ref="M941:N942"/>
    <mergeCell ref="O941:Q942"/>
    <mergeCell ref="R941:R944"/>
    <mergeCell ref="G943:G944"/>
    <mergeCell ref="H943:H944"/>
    <mergeCell ref="I943:I944"/>
    <mergeCell ref="J943:J944"/>
    <mergeCell ref="K943:K944"/>
    <mergeCell ref="L943:L944"/>
    <mergeCell ref="M943:M944"/>
    <mergeCell ref="N943:N944"/>
    <mergeCell ref="O943:O944"/>
    <mergeCell ref="P943:P944"/>
    <mergeCell ref="Q943:Q944"/>
    <mergeCell ref="T944:T945"/>
    <mergeCell ref="U944:U945"/>
    <mergeCell ref="A945:A960"/>
    <mergeCell ref="B945:B960"/>
    <mergeCell ref="K961:L962"/>
    <mergeCell ref="M961:N962"/>
    <mergeCell ref="O961:Q962"/>
    <mergeCell ref="R961:R964"/>
    <mergeCell ref="G963:G964"/>
    <mergeCell ref="H963:H964"/>
    <mergeCell ref="I963:I964"/>
    <mergeCell ref="J963:J964"/>
    <mergeCell ref="K963:K964"/>
    <mergeCell ref="L963:L964"/>
    <mergeCell ref="M963:M964"/>
    <mergeCell ref="N963:N964"/>
    <mergeCell ref="O963:O964"/>
    <mergeCell ref="P963:P964"/>
    <mergeCell ref="Q963:Q964"/>
    <mergeCell ref="P923:P924"/>
    <mergeCell ref="Q923:Q924"/>
    <mergeCell ref="T964:T965"/>
    <mergeCell ref="U964:U965"/>
    <mergeCell ref="A965:A980"/>
    <mergeCell ref="B965:B980"/>
    <mergeCell ref="F981:F984"/>
    <mergeCell ref="G981:H982"/>
    <mergeCell ref="I981:J982"/>
    <mergeCell ref="K981:L982"/>
    <mergeCell ref="M981:N982"/>
    <mergeCell ref="O981:Q982"/>
    <mergeCell ref="R981:R984"/>
    <mergeCell ref="G983:G984"/>
    <mergeCell ref="H983:H984"/>
    <mergeCell ref="I983:I984"/>
    <mergeCell ref="J983:J984"/>
    <mergeCell ref="K983:K984"/>
    <mergeCell ref="L983:L984"/>
    <mergeCell ref="M983:M984"/>
    <mergeCell ref="N983:N984"/>
    <mergeCell ref="O983:O984"/>
    <mergeCell ref="P983:P984"/>
    <mergeCell ref="Q983:Q984"/>
    <mergeCell ref="T984:T985"/>
    <mergeCell ref="U984:U985"/>
    <mergeCell ref="A985:A1000"/>
    <mergeCell ref="B985:B1000"/>
    <mergeCell ref="A961:A964"/>
    <mergeCell ref="B961:B964"/>
    <mergeCell ref="E961:E964"/>
    <mergeCell ref="F961:F964"/>
    <mergeCell ref="G961:H962"/>
    <mergeCell ref="I961:J962"/>
    <mergeCell ref="F1001:F1004"/>
    <mergeCell ref="G1001:H1002"/>
    <mergeCell ref="I1001:J1002"/>
    <mergeCell ref="K1001:L1002"/>
    <mergeCell ref="M1001:N1002"/>
    <mergeCell ref="O1001:Q1002"/>
    <mergeCell ref="R1001:R1004"/>
    <mergeCell ref="G1003:G1004"/>
    <mergeCell ref="H1003:H1004"/>
    <mergeCell ref="I1003:I1004"/>
    <mergeCell ref="J1003:J1004"/>
    <mergeCell ref="K1003:K1004"/>
    <mergeCell ref="L1003:L1004"/>
    <mergeCell ref="M1003:M1004"/>
    <mergeCell ref="N1003:N1004"/>
    <mergeCell ref="O1003:O1004"/>
    <mergeCell ref="P1003:P1004"/>
    <mergeCell ref="Q1003:Q1004"/>
    <mergeCell ref="T1004:T1005"/>
    <mergeCell ref="U1004:U1005"/>
    <mergeCell ref="A1005:A1020"/>
    <mergeCell ref="B1005:B1020"/>
    <mergeCell ref="A981:A984"/>
    <mergeCell ref="B981:B984"/>
    <mergeCell ref="E981:E984"/>
    <mergeCell ref="F1021:F1024"/>
    <mergeCell ref="G1021:H1022"/>
    <mergeCell ref="I1021:J1022"/>
    <mergeCell ref="K1021:L1022"/>
    <mergeCell ref="M1021:N1022"/>
    <mergeCell ref="O1021:Q1022"/>
    <mergeCell ref="R1021:R1024"/>
    <mergeCell ref="G1023:G1024"/>
    <mergeCell ref="H1023:H1024"/>
    <mergeCell ref="I1023:I1024"/>
    <mergeCell ref="J1023:J1024"/>
    <mergeCell ref="K1023:K1024"/>
    <mergeCell ref="L1023:L1024"/>
    <mergeCell ref="M1023:M1024"/>
    <mergeCell ref="N1023:N1024"/>
    <mergeCell ref="O1023:O1024"/>
    <mergeCell ref="P1023:P1024"/>
    <mergeCell ref="Q1023:Q1024"/>
    <mergeCell ref="T1024:T1025"/>
    <mergeCell ref="U1024:U1025"/>
    <mergeCell ref="A1025:A1040"/>
    <mergeCell ref="B1025:B1040"/>
    <mergeCell ref="A1001:A1004"/>
    <mergeCell ref="B1001:B1004"/>
    <mergeCell ref="E1001:E1004"/>
    <mergeCell ref="F1041:F1044"/>
    <mergeCell ref="G1041:H1042"/>
    <mergeCell ref="I1041:J1042"/>
    <mergeCell ref="K1041:L1042"/>
    <mergeCell ref="M1041:N1042"/>
    <mergeCell ref="O1041:Q1042"/>
    <mergeCell ref="R1041:R1044"/>
    <mergeCell ref="G1043:G1044"/>
    <mergeCell ref="H1043:H1044"/>
    <mergeCell ref="I1043:I1044"/>
    <mergeCell ref="J1043:J1044"/>
    <mergeCell ref="K1043:K1044"/>
    <mergeCell ref="L1043:L1044"/>
    <mergeCell ref="M1043:M1044"/>
    <mergeCell ref="N1043:N1044"/>
    <mergeCell ref="O1043:O1044"/>
    <mergeCell ref="P1043:P1044"/>
    <mergeCell ref="Q1043:Q1044"/>
    <mergeCell ref="T1044:T1045"/>
    <mergeCell ref="U1044:U1045"/>
    <mergeCell ref="A1045:A1060"/>
    <mergeCell ref="B1045:B1060"/>
    <mergeCell ref="A1021:A1024"/>
    <mergeCell ref="B1021:B1024"/>
    <mergeCell ref="E1021:E1024"/>
    <mergeCell ref="F1061:F1064"/>
    <mergeCell ref="G1061:H1062"/>
    <mergeCell ref="I1061:J1062"/>
    <mergeCell ref="K1061:L1062"/>
    <mergeCell ref="M1061:N1062"/>
    <mergeCell ref="O1061:Q1062"/>
    <mergeCell ref="R1061:R1064"/>
    <mergeCell ref="G1063:G1064"/>
    <mergeCell ref="H1063:H1064"/>
    <mergeCell ref="I1063:I1064"/>
    <mergeCell ref="J1063:J1064"/>
    <mergeCell ref="K1063:K1064"/>
    <mergeCell ref="L1063:L1064"/>
    <mergeCell ref="M1063:M1064"/>
    <mergeCell ref="N1063:N1064"/>
    <mergeCell ref="O1063:O1064"/>
    <mergeCell ref="P1063:P1064"/>
    <mergeCell ref="Q1063:Q1064"/>
    <mergeCell ref="T1064:T1065"/>
    <mergeCell ref="U1064:U1065"/>
    <mergeCell ref="A1065:A1080"/>
    <mergeCell ref="B1065:B1080"/>
    <mergeCell ref="A1041:A1044"/>
    <mergeCell ref="B1041:B1044"/>
    <mergeCell ref="E1041:E1044"/>
    <mergeCell ref="F1081:F1084"/>
    <mergeCell ref="G1081:H1082"/>
    <mergeCell ref="I1081:J1082"/>
    <mergeCell ref="K1081:L1082"/>
    <mergeCell ref="M1081:N1082"/>
    <mergeCell ref="O1081:Q1082"/>
    <mergeCell ref="R1081:R1084"/>
    <mergeCell ref="G1083:G1084"/>
    <mergeCell ref="H1083:H1084"/>
    <mergeCell ref="I1083:I1084"/>
    <mergeCell ref="J1083:J1084"/>
    <mergeCell ref="K1083:K1084"/>
    <mergeCell ref="L1083:L1084"/>
    <mergeCell ref="M1083:M1084"/>
    <mergeCell ref="N1083:N1084"/>
    <mergeCell ref="O1083:O1084"/>
    <mergeCell ref="P1083:P1084"/>
    <mergeCell ref="Q1083:Q1084"/>
    <mergeCell ref="T1084:T1085"/>
    <mergeCell ref="U1084:U1085"/>
    <mergeCell ref="A1085:A1100"/>
    <mergeCell ref="B1085:B1100"/>
    <mergeCell ref="A1061:A1064"/>
    <mergeCell ref="B1061:B1064"/>
    <mergeCell ref="E1061:E1064"/>
    <mergeCell ref="F1101:F1104"/>
    <mergeCell ref="G1101:H1102"/>
    <mergeCell ref="I1101:J1102"/>
    <mergeCell ref="K1101:L1102"/>
    <mergeCell ref="M1101:N1102"/>
    <mergeCell ref="O1101:Q1102"/>
    <mergeCell ref="R1101:R1104"/>
    <mergeCell ref="G1103:G1104"/>
    <mergeCell ref="H1103:H1104"/>
    <mergeCell ref="I1103:I1104"/>
    <mergeCell ref="J1103:J1104"/>
    <mergeCell ref="K1103:K1104"/>
    <mergeCell ref="L1103:L1104"/>
    <mergeCell ref="M1103:M1104"/>
    <mergeCell ref="N1103:N1104"/>
    <mergeCell ref="O1103:O1104"/>
    <mergeCell ref="P1103:P1104"/>
    <mergeCell ref="Q1103:Q1104"/>
    <mergeCell ref="T1104:T1105"/>
    <mergeCell ref="U1104:U1105"/>
    <mergeCell ref="A1105:A1120"/>
    <mergeCell ref="B1105:B1120"/>
    <mergeCell ref="A1081:A1084"/>
    <mergeCell ref="B1081:B1084"/>
    <mergeCell ref="E1081:E1084"/>
    <mergeCell ref="F1121:F1124"/>
    <mergeCell ref="G1121:H1122"/>
    <mergeCell ref="I1121:J1122"/>
    <mergeCell ref="K1121:L1122"/>
    <mergeCell ref="M1121:N1122"/>
    <mergeCell ref="O1121:Q1122"/>
    <mergeCell ref="R1121:R1124"/>
    <mergeCell ref="G1123:G1124"/>
    <mergeCell ref="H1123:H1124"/>
    <mergeCell ref="I1123:I1124"/>
    <mergeCell ref="J1123:J1124"/>
    <mergeCell ref="K1123:K1124"/>
    <mergeCell ref="L1123:L1124"/>
    <mergeCell ref="M1123:M1124"/>
    <mergeCell ref="N1123:N1124"/>
    <mergeCell ref="O1123:O1124"/>
    <mergeCell ref="P1123:P1124"/>
    <mergeCell ref="Q1123:Q1124"/>
    <mergeCell ref="T1124:T1125"/>
    <mergeCell ref="U1124:U1125"/>
    <mergeCell ref="A1125:A1140"/>
    <mergeCell ref="B1125:B1140"/>
    <mergeCell ref="A1101:A1104"/>
    <mergeCell ref="B1101:B1104"/>
    <mergeCell ref="E1101:E1104"/>
    <mergeCell ref="F1141:F1144"/>
    <mergeCell ref="G1141:H1142"/>
    <mergeCell ref="I1141:J1142"/>
    <mergeCell ref="K1141:L1142"/>
    <mergeCell ref="M1141:N1142"/>
    <mergeCell ref="O1141:Q1142"/>
    <mergeCell ref="R1141:R1144"/>
    <mergeCell ref="G1143:G1144"/>
    <mergeCell ref="H1143:H1144"/>
    <mergeCell ref="I1143:I1144"/>
    <mergeCell ref="J1143:J1144"/>
    <mergeCell ref="K1143:K1144"/>
    <mergeCell ref="L1143:L1144"/>
    <mergeCell ref="M1143:M1144"/>
    <mergeCell ref="N1143:N1144"/>
    <mergeCell ref="O1143:O1144"/>
    <mergeCell ref="P1143:P1144"/>
    <mergeCell ref="Q1143:Q1144"/>
    <mergeCell ref="T1144:T1145"/>
    <mergeCell ref="U1144:U1145"/>
    <mergeCell ref="A1145:A1160"/>
    <mergeCell ref="B1145:B1160"/>
    <mergeCell ref="A1121:A1124"/>
    <mergeCell ref="B1121:B1124"/>
    <mergeCell ref="E1121:E1124"/>
    <mergeCell ref="F1161:F1164"/>
    <mergeCell ref="G1161:H1162"/>
    <mergeCell ref="I1161:J1162"/>
    <mergeCell ref="K1161:L1162"/>
    <mergeCell ref="M1161:N1162"/>
    <mergeCell ref="O1161:Q1162"/>
    <mergeCell ref="R1161:R1164"/>
    <mergeCell ref="G1163:G1164"/>
    <mergeCell ref="H1163:H1164"/>
    <mergeCell ref="I1163:I1164"/>
    <mergeCell ref="J1163:J1164"/>
    <mergeCell ref="K1163:K1164"/>
    <mergeCell ref="L1163:L1164"/>
    <mergeCell ref="M1163:M1164"/>
    <mergeCell ref="N1163:N1164"/>
    <mergeCell ref="O1163:O1164"/>
    <mergeCell ref="P1163:P1164"/>
    <mergeCell ref="Q1163:Q1164"/>
    <mergeCell ref="T1164:T1165"/>
    <mergeCell ref="U1164:U1165"/>
    <mergeCell ref="A1165:A1180"/>
    <mergeCell ref="B1165:B1180"/>
    <mergeCell ref="A1141:A1144"/>
    <mergeCell ref="B1141:B1144"/>
    <mergeCell ref="E1141:E1144"/>
    <mergeCell ref="F1181:F1184"/>
    <mergeCell ref="G1181:H1182"/>
    <mergeCell ref="I1181:J1182"/>
    <mergeCell ref="K1181:L1182"/>
    <mergeCell ref="M1181:N1182"/>
    <mergeCell ref="O1181:Q1182"/>
    <mergeCell ref="R1181:R1184"/>
    <mergeCell ref="G1183:G1184"/>
    <mergeCell ref="H1183:H1184"/>
    <mergeCell ref="I1183:I1184"/>
    <mergeCell ref="J1183:J1184"/>
    <mergeCell ref="K1183:K1184"/>
    <mergeCell ref="L1183:L1184"/>
    <mergeCell ref="M1183:M1184"/>
    <mergeCell ref="N1183:N1184"/>
    <mergeCell ref="O1183:O1184"/>
    <mergeCell ref="P1183:P1184"/>
    <mergeCell ref="Q1183:Q1184"/>
    <mergeCell ref="T1184:T1185"/>
    <mergeCell ref="U1184:U1185"/>
    <mergeCell ref="A1185:A1200"/>
    <mergeCell ref="B1185:B1200"/>
    <mergeCell ref="A1161:A1164"/>
    <mergeCell ref="B1161:B1164"/>
    <mergeCell ref="E1161:E1164"/>
    <mergeCell ref="A1201:A1204"/>
    <mergeCell ref="B1201:B1204"/>
    <mergeCell ref="E1201:E1204"/>
    <mergeCell ref="F1201:F1204"/>
    <mergeCell ref="G1201:H1202"/>
    <mergeCell ref="I1201:J1202"/>
    <mergeCell ref="K1201:L1202"/>
    <mergeCell ref="M1201:N1202"/>
    <mergeCell ref="O1201:Q1202"/>
    <mergeCell ref="R1201:R1204"/>
    <mergeCell ref="G1203:G1204"/>
    <mergeCell ref="H1203:H1204"/>
    <mergeCell ref="I1203:I1204"/>
    <mergeCell ref="J1203:J1204"/>
    <mergeCell ref="K1203:K1204"/>
    <mergeCell ref="L1203:L1204"/>
    <mergeCell ref="M1203:M1204"/>
    <mergeCell ref="N1203:N1204"/>
    <mergeCell ref="O1203:O1204"/>
    <mergeCell ref="P1203:P1204"/>
    <mergeCell ref="Q1203:Q1204"/>
    <mergeCell ref="T1204:T1205"/>
    <mergeCell ref="U1204:U1205"/>
    <mergeCell ref="A1205:A1220"/>
    <mergeCell ref="B1205:B1220"/>
    <mergeCell ref="A1181:A1184"/>
    <mergeCell ref="B1181:B1184"/>
    <mergeCell ref="E1181:E1184"/>
    <mergeCell ref="A1221:A1224"/>
    <mergeCell ref="B1221:B1224"/>
    <mergeCell ref="E1221:E1224"/>
    <mergeCell ref="F1221:F1224"/>
    <mergeCell ref="G1221:H1222"/>
    <mergeCell ref="I1221:J1222"/>
    <mergeCell ref="K1221:L1222"/>
    <mergeCell ref="T1224:T1225"/>
    <mergeCell ref="U1224:U1225"/>
    <mergeCell ref="M1221:N1222"/>
    <mergeCell ref="O1221:Q1222"/>
    <mergeCell ref="R1221:R1224"/>
    <mergeCell ref="G1223:G1224"/>
    <mergeCell ref="H1223:H1224"/>
    <mergeCell ref="I1223:I1224"/>
    <mergeCell ref="J1223:J1224"/>
    <mergeCell ref="K1223:K1224"/>
    <mergeCell ref="A1225:A1240"/>
    <mergeCell ref="B1225:B1240"/>
    <mergeCell ref="N1223:N1224"/>
    <mergeCell ref="O1223:O1224"/>
    <mergeCell ref="P1223:P1224"/>
    <mergeCell ref="Q1223:Q1224"/>
    <mergeCell ref="L1223:L1224"/>
    <mergeCell ref="M1223:M1224"/>
    <mergeCell ref="L1483:L1484"/>
    <mergeCell ref="M1483:M1484"/>
    <mergeCell ref="N1483:N1484"/>
    <mergeCell ref="O1483:O1484"/>
    <mergeCell ref="P1483:P1484"/>
    <mergeCell ref="Q1483:Q1484"/>
    <mergeCell ref="T1484:T1485"/>
    <mergeCell ref="U1484:U1485"/>
    <mergeCell ref="A1485:A1500"/>
    <mergeCell ref="B1485:B1500"/>
    <mergeCell ref="A1501:A1504"/>
    <mergeCell ref="B1501:B1504"/>
    <mergeCell ref="E1501:E1504"/>
    <mergeCell ref="F1501:F1504"/>
    <mergeCell ref="G1501:H1502"/>
    <mergeCell ref="I1501:J1502"/>
    <mergeCell ref="K1501:L1502"/>
    <mergeCell ref="M1501:N1502"/>
    <mergeCell ref="O1501:Q1502"/>
    <mergeCell ref="R1501:R1504"/>
    <mergeCell ref="G1503:G1504"/>
    <mergeCell ref="H1503:H1504"/>
    <mergeCell ref="I1503:I1504"/>
    <mergeCell ref="J1503:J1504"/>
    <mergeCell ref="K1503:K1504"/>
    <mergeCell ref="L1503:L1504"/>
    <mergeCell ref="M1503:M1504"/>
    <mergeCell ref="N1503:N1504"/>
    <mergeCell ref="O1503:O1504"/>
    <mergeCell ref="P1503:P1504"/>
    <mergeCell ref="Q1503:Q1504"/>
    <mergeCell ref="T1504:T1505"/>
    <mergeCell ref="U1504:U1505"/>
    <mergeCell ref="A1505:A1520"/>
    <mergeCell ref="B1505:B1520"/>
    <mergeCell ref="A1521:A1524"/>
    <mergeCell ref="B1521:B1524"/>
    <mergeCell ref="E1521:E1524"/>
    <mergeCell ref="F1521:F1524"/>
    <mergeCell ref="G1521:H1522"/>
    <mergeCell ref="I1521:J1522"/>
    <mergeCell ref="K1521:L1522"/>
    <mergeCell ref="M1521:N1522"/>
    <mergeCell ref="O1521:Q1522"/>
    <mergeCell ref="R1521:R1524"/>
    <mergeCell ref="G1523:G1524"/>
    <mergeCell ref="H1523:H1524"/>
    <mergeCell ref="I1523:I1524"/>
    <mergeCell ref="J1523:J1524"/>
    <mergeCell ref="K1523:K1524"/>
    <mergeCell ref="L1523:L1524"/>
    <mergeCell ref="M1523:M1524"/>
    <mergeCell ref="N1523:N1524"/>
    <mergeCell ref="O1523:O1524"/>
    <mergeCell ref="P1523:P1524"/>
    <mergeCell ref="Q1523:Q1524"/>
    <mergeCell ref="T1524:T1525"/>
    <mergeCell ref="U1524:U1525"/>
    <mergeCell ref="A1525:A1540"/>
    <mergeCell ref="B1525:B1540"/>
    <mergeCell ref="F1541:F1544"/>
    <mergeCell ref="G1541:H1542"/>
    <mergeCell ref="I1541:J1542"/>
    <mergeCell ref="K1541:L1542"/>
    <mergeCell ref="M1541:N1542"/>
    <mergeCell ref="O1541:Q1542"/>
    <mergeCell ref="R1541:R1544"/>
    <mergeCell ref="G1543:G1544"/>
    <mergeCell ref="H1543:H1544"/>
    <mergeCell ref="I1543:I1544"/>
    <mergeCell ref="J1543:J1544"/>
    <mergeCell ref="K1543:K1544"/>
    <mergeCell ref="L1543:L1544"/>
    <mergeCell ref="M1543:M1544"/>
    <mergeCell ref="N1543:N1544"/>
    <mergeCell ref="O1543:O1544"/>
    <mergeCell ref="P1543:P1544"/>
    <mergeCell ref="Q1543:Q1544"/>
    <mergeCell ref="T1544:T1545"/>
    <mergeCell ref="U1544:U1545"/>
    <mergeCell ref="A1545:A1560"/>
    <mergeCell ref="B1545:B1560"/>
    <mergeCell ref="A1561:A1564"/>
    <mergeCell ref="B1561:B1564"/>
    <mergeCell ref="E1561:E1564"/>
    <mergeCell ref="F1561:F1564"/>
    <mergeCell ref="G1561:H1562"/>
    <mergeCell ref="I1561:J1562"/>
    <mergeCell ref="K1561:L1562"/>
    <mergeCell ref="M1561:N1562"/>
    <mergeCell ref="O1561:Q1562"/>
    <mergeCell ref="R1561:R1564"/>
    <mergeCell ref="G1563:G1564"/>
    <mergeCell ref="H1563:H1564"/>
    <mergeCell ref="I1563:I1564"/>
    <mergeCell ref="J1563:J1564"/>
    <mergeCell ref="K1563:K1564"/>
    <mergeCell ref="L1563:L1564"/>
    <mergeCell ref="M1563:M1564"/>
    <mergeCell ref="N1563:N1564"/>
    <mergeCell ref="O1563:O1564"/>
    <mergeCell ref="P1563:P1564"/>
    <mergeCell ref="Q1563:Q1564"/>
    <mergeCell ref="T1564:T1565"/>
    <mergeCell ref="U1564:U1565"/>
    <mergeCell ref="A1565:A1580"/>
    <mergeCell ref="B1565:B1580"/>
    <mergeCell ref="A1541:A1544"/>
    <mergeCell ref="B1541:B1544"/>
    <mergeCell ref="E1541:E1544"/>
    <mergeCell ref="A1581:A1584"/>
    <mergeCell ref="B1581:B1584"/>
    <mergeCell ref="E1581:E1584"/>
    <mergeCell ref="F1581:F1584"/>
    <mergeCell ref="G1581:H1582"/>
    <mergeCell ref="I1581:J1582"/>
    <mergeCell ref="K1581:L1582"/>
    <mergeCell ref="T1584:T1585"/>
    <mergeCell ref="U1584:U1585"/>
    <mergeCell ref="M1581:N1582"/>
    <mergeCell ref="O1581:Q1582"/>
    <mergeCell ref="R1581:R1584"/>
    <mergeCell ref="G1583:G1584"/>
    <mergeCell ref="H1583:H1584"/>
    <mergeCell ref="I1583:I1584"/>
    <mergeCell ref="J1583:J1584"/>
    <mergeCell ref="K1583:K1584"/>
    <mergeCell ref="A1585:A1600"/>
    <mergeCell ref="B1585:B1600"/>
    <mergeCell ref="N1583:N1584"/>
    <mergeCell ref="O1583:O1584"/>
    <mergeCell ref="P1583:P1584"/>
    <mergeCell ref="Q1583:Q1584"/>
    <mergeCell ref="L1583:L1584"/>
    <mergeCell ref="M1583:M1584"/>
    <mergeCell ref="A1701:A1704"/>
    <mergeCell ref="B1701:B1704"/>
    <mergeCell ref="E1701:E1704"/>
    <mergeCell ref="F1701:F1704"/>
    <mergeCell ref="G1701:H1702"/>
    <mergeCell ref="I1701:J1702"/>
    <mergeCell ref="K1701:L1702"/>
    <mergeCell ref="M1701:N1702"/>
    <mergeCell ref="O1701:Q1702"/>
    <mergeCell ref="R1701:R1704"/>
    <mergeCell ref="G1703:G1704"/>
    <mergeCell ref="H1703:H1704"/>
    <mergeCell ref="I1703:I1704"/>
    <mergeCell ref="J1703:J1704"/>
    <mergeCell ref="K1703:K1704"/>
    <mergeCell ref="L1703:L1704"/>
    <mergeCell ref="M1703:M1704"/>
    <mergeCell ref="N1703:N1704"/>
    <mergeCell ref="O1703:O1704"/>
    <mergeCell ref="P1703:P1704"/>
    <mergeCell ref="Q1703:Q1704"/>
    <mergeCell ref="A1705:A1720"/>
    <mergeCell ref="B1705:B1720"/>
    <mergeCell ref="A1741:A1744"/>
    <mergeCell ref="B1741:B1744"/>
    <mergeCell ref="E1741:E1744"/>
    <mergeCell ref="F1741:F1744"/>
    <mergeCell ref="G1741:H1742"/>
    <mergeCell ref="I1741:J1742"/>
    <mergeCell ref="K1741:L1742"/>
    <mergeCell ref="T1744:T1745"/>
    <mergeCell ref="U1744:U1745"/>
    <mergeCell ref="M1741:N1742"/>
    <mergeCell ref="O1741:Q1742"/>
    <mergeCell ref="R1741:R1744"/>
    <mergeCell ref="G1743:G1744"/>
    <mergeCell ref="H1743:H1744"/>
    <mergeCell ref="I1743:I1744"/>
    <mergeCell ref="J1743:J1744"/>
    <mergeCell ref="K1743:K1744"/>
    <mergeCell ref="A1745:A1760"/>
    <mergeCell ref="B1745:B1760"/>
    <mergeCell ref="N1743:N1744"/>
    <mergeCell ref="O1743:O1744"/>
    <mergeCell ref="P1743:P1744"/>
    <mergeCell ref="Q1743:Q1744"/>
    <mergeCell ref="L1743:L1744"/>
    <mergeCell ref="M1743:M1744"/>
    <mergeCell ref="A1721:A1724"/>
    <mergeCell ref="B1721:B1724"/>
    <mergeCell ref="E1721:E1724"/>
    <mergeCell ref="K1721:L1722"/>
    <mergeCell ref="M1721:N1722"/>
    <mergeCell ref="O1721:Q1722"/>
    <mergeCell ref="R1721:R1724"/>
    <mergeCell ref="G1723:G1724"/>
    <mergeCell ref="H1723:H1724"/>
    <mergeCell ref="I1723:I1724"/>
    <mergeCell ref="J1723:J1724"/>
    <mergeCell ref="K1723:K1724"/>
    <mergeCell ref="L1723:L1724"/>
    <mergeCell ref="M1723:M1724"/>
    <mergeCell ref="N1723:N1724"/>
    <mergeCell ref="O1723:O1724"/>
    <mergeCell ref="P1723:P1724"/>
    <mergeCell ref="Q1723:Q1724"/>
    <mergeCell ref="T1704:T1705"/>
    <mergeCell ref="U1704:U1705"/>
    <mergeCell ref="T1724:T1725"/>
    <mergeCell ref="U1724:U1725"/>
    <mergeCell ref="B1761:B1764"/>
    <mergeCell ref="E1761:E1764"/>
    <mergeCell ref="F1761:F1764"/>
    <mergeCell ref="G1761:H1762"/>
    <mergeCell ref="I1761:J1762"/>
    <mergeCell ref="K1761:L1762"/>
    <mergeCell ref="M1761:N1762"/>
    <mergeCell ref="O1761:Q1762"/>
    <mergeCell ref="R1761:R1764"/>
    <mergeCell ref="G1763:G1764"/>
    <mergeCell ref="H1763:H1764"/>
    <mergeCell ref="I1763:I1764"/>
    <mergeCell ref="J1763:J1764"/>
    <mergeCell ref="K1763:K1764"/>
    <mergeCell ref="L1763:L1764"/>
    <mergeCell ref="M1763:M1764"/>
    <mergeCell ref="N1763:N1764"/>
    <mergeCell ref="O1763:O1764"/>
    <mergeCell ref="P1763:P1764"/>
    <mergeCell ref="Q1763:Q1764"/>
    <mergeCell ref="T1764:T1765"/>
    <mergeCell ref="U1764:U1765"/>
    <mergeCell ref="A1765:A1780"/>
    <mergeCell ref="B1765:B1780"/>
    <mergeCell ref="F1721:F1724"/>
    <mergeCell ref="G1721:H1722"/>
    <mergeCell ref="I1721:J1722"/>
    <mergeCell ref="F1781:F1784"/>
    <mergeCell ref="G1781:H1782"/>
    <mergeCell ref="I1781:J1782"/>
    <mergeCell ref="K1781:L1782"/>
    <mergeCell ref="M1781:N1782"/>
    <mergeCell ref="O1781:Q1782"/>
    <mergeCell ref="R1781:R1784"/>
    <mergeCell ref="G1783:G1784"/>
    <mergeCell ref="H1783:H1784"/>
    <mergeCell ref="I1783:I1784"/>
    <mergeCell ref="J1783:J1784"/>
    <mergeCell ref="K1783:K1784"/>
    <mergeCell ref="L1783:L1784"/>
    <mergeCell ref="M1783:M1784"/>
    <mergeCell ref="N1783:N1784"/>
    <mergeCell ref="O1783:O1784"/>
    <mergeCell ref="P1783:P1784"/>
    <mergeCell ref="Q1783:Q1784"/>
    <mergeCell ref="T1784:T1785"/>
    <mergeCell ref="U1784:U1785"/>
    <mergeCell ref="A1785:A1800"/>
    <mergeCell ref="B1785:B1800"/>
    <mergeCell ref="A1725:A1740"/>
    <mergeCell ref="B1725:B1740"/>
    <mergeCell ref="A1761:A1764"/>
    <mergeCell ref="F1801:F1804"/>
    <mergeCell ref="G1801:H1802"/>
    <mergeCell ref="I1801:J1802"/>
    <mergeCell ref="K1801:L1802"/>
    <mergeCell ref="M1801:N1802"/>
    <mergeCell ref="O1801:Q1802"/>
    <mergeCell ref="R1801:R1804"/>
    <mergeCell ref="G1803:G1804"/>
    <mergeCell ref="H1803:H1804"/>
    <mergeCell ref="I1803:I1804"/>
    <mergeCell ref="J1803:J1804"/>
    <mergeCell ref="K1803:K1804"/>
    <mergeCell ref="L1803:L1804"/>
    <mergeCell ref="M1803:M1804"/>
    <mergeCell ref="N1803:N1804"/>
    <mergeCell ref="O1803:O1804"/>
    <mergeCell ref="P1803:P1804"/>
    <mergeCell ref="Q1803:Q1804"/>
    <mergeCell ref="T1804:T1805"/>
    <mergeCell ref="U1804:U1805"/>
    <mergeCell ref="A1805:A1820"/>
    <mergeCell ref="B1805:B1820"/>
    <mergeCell ref="A1781:A1784"/>
    <mergeCell ref="B1781:B1784"/>
    <mergeCell ref="E1781:E1784"/>
    <mergeCell ref="F1821:F1824"/>
    <mergeCell ref="G1821:H1822"/>
    <mergeCell ref="I1821:J1822"/>
    <mergeCell ref="K1821:L1822"/>
    <mergeCell ref="M1821:N1822"/>
    <mergeCell ref="O1821:Q1822"/>
    <mergeCell ref="R1821:R1824"/>
    <mergeCell ref="G1823:G1824"/>
    <mergeCell ref="H1823:H1824"/>
    <mergeCell ref="I1823:I1824"/>
    <mergeCell ref="J1823:J1824"/>
    <mergeCell ref="K1823:K1824"/>
    <mergeCell ref="L1823:L1824"/>
    <mergeCell ref="M1823:M1824"/>
    <mergeCell ref="N1823:N1824"/>
    <mergeCell ref="O1823:O1824"/>
    <mergeCell ref="P1823:P1824"/>
    <mergeCell ref="Q1823:Q1824"/>
    <mergeCell ref="T1824:T1825"/>
    <mergeCell ref="U1824:U1825"/>
    <mergeCell ref="A1825:A1840"/>
    <mergeCell ref="B1825:B1840"/>
    <mergeCell ref="A1801:A1804"/>
    <mergeCell ref="B1801:B1804"/>
    <mergeCell ref="E1801:E1804"/>
    <mergeCell ref="A1841:A1844"/>
    <mergeCell ref="B1841:B1844"/>
    <mergeCell ref="E1841:E1844"/>
    <mergeCell ref="F1841:F1844"/>
    <mergeCell ref="G1841:H1842"/>
    <mergeCell ref="I1841:J1842"/>
    <mergeCell ref="K1841:L1842"/>
    <mergeCell ref="M1841:N1842"/>
    <mergeCell ref="O1841:Q1842"/>
    <mergeCell ref="R1841:R1844"/>
    <mergeCell ref="G1843:G1844"/>
    <mergeCell ref="H1843:H1844"/>
    <mergeCell ref="I1843:I1844"/>
    <mergeCell ref="J1843:J1844"/>
    <mergeCell ref="K1843:K1844"/>
    <mergeCell ref="L1843:L1844"/>
    <mergeCell ref="M1843:M1844"/>
    <mergeCell ref="N1843:N1844"/>
    <mergeCell ref="O1843:O1844"/>
    <mergeCell ref="P1843:P1844"/>
    <mergeCell ref="Q1843:Q1844"/>
    <mergeCell ref="T1844:T1845"/>
    <mergeCell ref="U1844:U1845"/>
    <mergeCell ref="A1845:A1860"/>
    <mergeCell ref="B1845:B1860"/>
    <mergeCell ref="A1821:A1824"/>
    <mergeCell ref="B1821:B1824"/>
    <mergeCell ref="E1821:E1824"/>
    <mergeCell ref="G1861:H1862"/>
    <mergeCell ref="I1861:J1862"/>
    <mergeCell ref="K1861:L1862"/>
    <mergeCell ref="M1861:N1862"/>
    <mergeCell ref="O1861:Q1862"/>
    <mergeCell ref="R1861:R1864"/>
    <mergeCell ref="G1863:G1864"/>
    <mergeCell ref="H1863:H1864"/>
    <mergeCell ref="I1863:I1864"/>
    <mergeCell ref="J1863:J1864"/>
    <mergeCell ref="K1863:K1864"/>
    <mergeCell ref="L1863:L1864"/>
    <mergeCell ref="M1863:M1864"/>
    <mergeCell ref="N1863:N1864"/>
    <mergeCell ref="O1863:O1864"/>
    <mergeCell ref="P1863:P1864"/>
    <mergeCell ref="Q1863:Q1864"/>
    <mergeCell ref="T1864:T1865"/>
    <mergeCell ref="U1864:U1865"/>
    <mergeCell ref="A1865:A1880"/>
    <mergeCell ref="B1865:B1880"/>
    <mergeCell ref="A1861:A1864"/>
    <mergeCell ref="B1861:B1864"/>
    <mergeCell ref="E1861:E1864"/>
    <mergeCell ref="F1861:F1864"/>
    <mergeCell ref="A1881:A1884"/>
    <mergeCell ref="B1881:B1884"/>
    <mergeCell ref="E1881:E1884"/>
    <mergeCell ref="F1881:F1884"/>
    <mergeCell ref="G1881:H1882"/>
    <mergeCell ref="I1881:J1882"/>
    <mergeCell ref="K1881:L1882"/>
    <mergeCell ref="M1881:N1882"/>
    <mergeCell ref="O1881:Q1882"/>
    <mergeCell ref="R1881:R1884"/>
    <mergeCell ref="G1883:G1884"/>
    <mergeCell ref="H1883:H1884"/>
    <mergeCell ref="I1883:I1884"/>
    <mergeCell ref="J1883:J1884"/>
    <mergeCell ref="K1883:K1884"/>
    <mergeCell ref="U1884:U1885"/>
    <mergeCell ref="A1885:A1900"/>
    <mergeCell ref="B1885:B1900"/>
    <mergeCell ref="L1883:L1884"/>
    <mergeCell ref="M1883:M1884"/>
    <mergeCell ref="N1883:N1884"/>
    <mergeCell ref="O1883:O1884"/>
    <mergeCell ref="P1883:P1884"/>
    <mergeCell ref="Q1883:Q1884"/>
    <mergeCell ref="B2081:B2084"/>
    <mergeCell ref="E2081:E2084"/>
    <mergeCell ref="F2081:F2084"/>
    <mergeCell ref="G2081:H2082"/>
    <mergeCell ref="I2081:J2082"/>
    <mergeCell ref="T1884:T1885"/>
    <mergeCell ref="K1901:L1902"/>
    <mergeCell ref="M1901:N1902"/>
    <mergeCell ref="O1901:Q1902"/>
    <mergeCell ref="R1901:R1904"/>
    <mergeCell ref="K2081:L2082"/>
    <mergeCell ref="M2081:N2082"/>
    <mergeCell ref="O2081:Q2082"/>
    <mergeCell ref="R2081:R2084"/>
    <mergeCell ref="G2083:G2084"/>
    <mergeCell ref="H2083:H2084"/>
    <mergeCell ref="I2083:I2084"/>
    <mergeCell ref="J2083:J2084"/>
    <mergeCell ref="K2083:K2084"/>
    <mergeCell ref="L2083:L2084"/>
    <mergeCell ref="I1901:J1902"/>
    <mergeCell ref="G1903:G1904"/>
    <mergeCell ref="H1903:H1904"/>
    <mergeCell ref="I1903:I1904"/>
    <mergeCell ref="J1903:J1904"/>
    <mergeCell ref="T1924:T1925"/>
    <mergeCell ref="K1981:L1982"/>
    <mergeCell ref="M1981:N1982"/>
    <mergeCell ref="O1981:Q1982"/>
    <mergeCell ref="R1981:R1984"/>
    <mergeCell ref="B2001:B2004"/>
    <mergeCell ref="E2001:E2004"/>
    <mergeCell ref="U2084:U2085"/>
    <mergeCell ref="A2085:A2100"/>
    <mergeCell ref="B2085:B2100"/>
    <mergeCell ref="M2083:M2084"/>
    <mergeCell ref="N2083:N2084"/>
    <mergeCell ref="O2083:O2084"/>
    <mergeCell ref="P2083:P2084"/>
    <mergeCell ref="Q2083:Q2084"/>
    <mergeCell ref="T2084:T2085"/>
    <mergeCell ref="A2081:A2084"/>
    <mergeCell ref="A2181:A2184"/>
    <mergeCell ref="B2181:B2184"/>
    <mergeCell ref="E2181:E2184"/>
    <mergeCell ref="F2181:F2184"/>
    <mergeCell ref="G2181:H2182"/>
    <mergeCell ref="I2181:J2182"/>
    <mergeCell ref="K2181:L2182"/>
    <mergeCell ref="M2181:N2182"/>
    <mergeCell ref="O2181:Q2182"/>
    <mergeCell ref="R2181:R2184"/>
    <mergeCell ref="G2183:G2184"/>
    <mergeCell ref="H2183:H2184"/>
    <mergeCell ref="I2183:I2184"/>
    <mergeCell ref="J2183:J2184"/>
    <mergeCell ref="K2183:K2184"/>
    <mergeCell ref="L2183:L2184"/>
    <mergeCell ref="M2183:M2184"/>
    <mergeCell ref="N2183:N2184"/>
    <mergeCell ref="O2183:O2184"/>
    <mergeCell ref="P2183:P2184"/>
    <mergeCell ref="Q2183:Q2184"/>
    <mergeCell ref="T2184:T2185"/>
    <mergeCell ref="U2184:U2185"/>
    <mergeCell ref="A2185:A2200"/>
    <mergeCell ref="B2185:B2200"/>
    <mergeCell ref="A2201:A2204"/>
    <mergeCell ref="B2201:B2204"/>
    <mergeCell ref="E2201:E2204"/>
    <mergeCell ref="F2201:F2204"/>
    <mergeCell ref="G2201:H2202"/>
    <mergeCell ref="I2201:J2202"/>
    <mergeCell ref="K2201:L2202"/>
    <mergeCell ref="T2204:T2205"/>
    <mergeCell ref="U2204:U2205"/>
    <mergeCell ref="M2201:N2202"/>
    <mergeCell ref="O2201:Q2202"/>
    <mergeCell ref="R2201:R2204"/>
    <mergeCell ref="G2203:G2204"/>
    <mergeCell ref="H2203:H2204"/>
    <mergeCell ref="I2203:I2204"/>
    <mergeCell ref="J2203:J2204"/>
    <mergeCell ref="K2203:K2204"/>
    <mergeCell ref="A2205:A2220"/>
    <mergeCell ref="B2205:B2220"/>
    <mergeCell ref="N2203:N2204"/>
    <mergeCell ref="O2203:O2204"/>
    <mergeCell ref="P2203:P2204"/>
    <mergeCell ref="Q2203:Q2204"/>
    <mergeCell ref="L2203:L2204"/>
    <mergeCell ref="M2203:M2204"/>
    <mergeCell ref="J2243:J2244"/>
    <mergeCell ref="K2243:K2244"/>
    <mergeCell ref="L2243:L2244"/>
    <mergeCell ref="U2224:U2225"/>
    <mergeCell ref="A2225:A2240"/>
    <mergeCell ref="B2225:B2240"/>
    <mergeCell ref="A2241:A2244"/>
    <mergeCell ref="B2241:B2244"/>
    <mergeCell ref="E2241:E2244"/>
    <mergeCell ref="F2241:F2244"/>
    <mergeCell ref="R2261:R2264"/>
    <mergeCell ref="G2263:G2264"/>
    <mergeCell ref="H2263:H2264"/>
    <mergeCell ref="U2244:U2245"/>
    <mergeCell ref="M2241:N2242"/>
    <mergeCell ref="O2241:Q2242"/>
    <mergeCell ref="R2241:R2244"/>
    <mergeCell ref="G2243:G2244"/>
    <mergeCell ref="H2243:H2244"/>
    <mergeCell ref="I2243:I2244"/>
    <mergeCell ref="N2243:N2244"/>
    <mergeCell ref="O2243:O2244"/>
    <mergeCell ref="P2243:P2244"/>
    <mergeCell ref="Q2243:Q2244"/>
    <mergeCell ref="T2244:T2245"/>
    <mergeCell ref="M2243:M2244"/>
    <mergeCell ref="A2245:A2260"/>
    <mergeCell ref="B2245:B2260"/>
    <mergeCell ref="A2261:A2264"/>
    <mergeCell ref="B2261:B2264"/>
    <mergeCell ref="E2261:E2264"/>
    <mergeCell ref="F2261:F2264"/>
    <mergeCell ref="G2261:H2262"/>
    <mergeCell ref="I2261:J2262"/>
    <mergeCell ref="K2261:L2262"/>
    <mergeCell ref="M2261:N2262"/>
    <mergeCell ref="O2261:Q2262"/>
    <mergeCell ref="Q2263:Q2264"/>
    <mergeCell ref="I2263:I2264"/>
    <mergeCell ref="J2263:J2264"/>
    <mergeCell ref="T2264:T2265"/>
    <mergeCell ref="U2264:U2265"/>
    <mergeCell ref="A2265:A2280"/>
    <mergeCell ref="B2265:B2280"/>
    <mergeCell ref="K2263:K2264"/>
    <mergeCell ref="L2263:L2264"/>
    <mergeCell ref="M2263:M2264"/>
    <mergeCell ref="N2263:N2264"/>
    <mergeCell ref="O2263:O2264"/>
    <mergeCell ref="P2263:P2264"/>
    <mergeCell ref="M2281:N2282"/>
    <mergeCell ref="O2281:Q2282"/>
    <mergeCell ref="G2321:H2322"/>
    <mergeCell ref="I2321:J2322"/>
    <mergeCell ref="K2321:L2322"/>
    <mergeCell ref="M2321:N2322"/>
    <mergeCell ref="O2321:Q2322"/>
    <mergeCell ref="F2361:F2364"/>
    <mergeCell ref="G2361:H2362"/>
    <mergeCell ref="I2361:J2362"/>
    <mergeCell ref="K2401:L2402"/>
    <mergeCell ref="M2401:N2402"/>
    <mergeCell ref="O2401:Q2402"/>
    <mergeCell ref="A2425:A2440"/>
    <mergeCell ref="J2283:J2284"/>
    <mergeCell ref="K2283:K2284"/>
    <mergeCell ref="L2283:L2284"/>
    <mergeCell ref="A2281:A2284"/>
    <mergeCell ref="B2281:B2284"/>
    <mergeCell ref="E2281:E2284"/>
    <mergeCell ref="F2281:F2284"/>
    <mergeCell ref="G2281:H2282"/>
    <mergeCell ref="M2301:N2302"/>
    <mergeCell ref="O2301:Q2302"/>
    <mergeCell ref="P2303:P2304"/>
    <mergeCell ref="Q2303:Q2304"/>
    <mergeCell ref="I2341:J2342"/>
    <mergeCell ref="K2341:L2342"/>
    <mergeCell ref="M2341:N2342"/>
    <mergeCell ref="O2341:Q2342"/>
    <mergeCell ref="A2305:A2320"/>
    <mergeCell ref="B2305:B2320"/>
    <mergeCell ref="R2461:R2464"/>
    <mergeCell ref="G2463:G2464"/>
    <mergeCell ref="H2463:H2464"/>
    <mergeCell ref="I2463:I2464"/>
    <mergeCell ref="J2463:J2464"/>
    <mergeCell ref="K2463:K2464"/>
    <mergeCell ref="L2463:L2464"/>
    <mergeCell ref="M2463:M2464"/>
    <mergeCell ref="N2463:N2464"/>
    <mergeCell ref="O2463:O2464"/>
    <mergeCell ref="P2463:P2464"/>
    <mergeCell ref="Q2463:Q2464"/>
    <mergeCell ref="T2464:T2465"/>
    <mergeCell ref="U2464:U2465"/>
    <mergeCell ref="A2465:A2480"/>
    <mergeCell ref="B2465:B2480"/>
    <mergeCell ref="A2481:A2484"/>
    <mergeCell ref="B2481:B2484"/>
    <mergeCell ref="E2481:E2484"/>
    <mergeCell ref="F2481:F2484"/>
    <mergeCell ref="G2481:H2482"/>
    <mergeCell ref="I2481:J2482"/>
    <mergeCell ref="K2481:L2482"/>
    <mergeCell ref="T2484:T2485"/>
    <mergeCell ref="U2484:U2485"/>
    <mergeCell ref="M2481:N2482"/>
    <mergeCell ref="O2481:Q2482"/>
    <mergeCell ref="R2481:R2484"/>
    <mergeCell ref="G2483:G2484"/>
    <mergeCell ref="H2483:H2484"/>
    <mergeCell ref="I2483:I2484"/>
    <mergeCell ref="J2483:J2484"/>
    <mergeCell ref="O2483:O2484"/>
    <mergeCell ref="P2483:P2484"/>
    <mergeCell ref="Q2483:Q2484"/>
    <mergeCell ref="L2483:L2484"/>
    <mergeCell ref="M2483:M2484"/>
    <mergeCell ref="A2501:A2504"/>
    <mergeCell ref="B2501:B2504"/>
    <mergeCell ref="E2501:E2504"/>
    <mergeCell ref="F2501:F2504"/>
    <mergeCell ref="G2501:H2502"/>
    <mergeCell ref="I2501:J2502"/>
    <mergeCell ref="K2501:L2502"/>
    <mergeCell ref="M2501:N2502"/>
    <mergeCell ref="O2501:Q2502"/>
    <mergeCell ref="R2501:R2504"/>
    <mergeCell ref="G2503:G2504"/>
    <mergeCell ref="H2503:H2504"/>
    <mergeCell ref="I2503:I2504"/>
    <mergeCell ref="J2503:J2504"/>
    <mergeCell ref="K2503:K2504"/>
    <mergeCell ref="L2503:L2504"/>
    <mergeCell ref="M2503:M2504"/>
    <mergeCell ref="N2503:N2504"/>
    <mergeCell ref="O2503:O2504"/>
    <mergeCell ref="P2503:P2504"/>
    <mergeCell ref="Q2503:Q2504"/>
    <mergeCell ref="T2504:T2505"/>
    <mergeCell ref="U2504:U2505"/>
    <mergeCell ref="A2505:A2520"/>
    <mergeCell ref="B2505:B2520"/>
    <mergeCell ref="A2521:A2524"/>
    <mergeCell ref="B2521:B2524"/>
    <mergeCell ref="E2521:E2524"/>
    <mergeCell ref="F2521:F2524"/>
    <mergeCell ref="G2521:H2522"/>
    <mergeCell ref="I2521:J2522"/>
    <mergeCell ref="K2521:L2522"/>
    <mergeCell ref="M2521:N2522"/>
    <mergeCell ref="O2521:Q2522"/>
    <mergeCell ref="R2521:R2524"/>
    <mergeCell ref="G2523:G2524"/>
    <mergeCell ref="H2523:H2524"/>
    <mergeCell ref="I2523:I2524"/>
    <mergeCell ref="J2523:J2524"/>
    <mergeCell ref="K2523:K2524"/>
    <mergeCell ref="L2523:L2524"/>
    <mergeCell ref="M2523:M2524"/>
    <mergeCell ref="N2523:N2524"/>
    <mergeCell ref="O2523:O2524"/>
    <mergeCell ref="P2523:P2524"/>
    <mergeCell ref="Q2523:Q2524"/>
    <mergeCell ref="T2524:T2525"/>
    <mergeCell ref="U2524:U2525"/>
    <mergeCell ref="A2525:A2540"/>
    <mergeCell ref="B2525:B2540"/>
    <mergeCell ref="F2541:F2544"/>
    <mergeCell ref="G2541:H2542"/>
    <mergeCell ref="I2541:J2542"/>
    <mergeCell ref="K2541:L2542"/>
    <mergeCell ref="M2541:N2542"/>
    <mergeCell ref="O2541:Q2542"/>
    <mergeCell ref="R2541:R2544"/>
    <mergeCell ref="G2543:G2544"/>
    <mergeCell ref="H2543:H2544"/>
    <mergeCell ref="I2543:I2544"/>
    <mergeCell ref="J2543:J2544"/>
    <mergeCell ref="K2543:K2544"/>
    <mergeCell ref="L2543:L2544"/>
    <mergeCell ref="M2543:M2544"/>
    <mergeCell ref="N2543:N2544"/>
    <mergeCell ref="O2543:O2544"/>
    <mergeCell ref="P2543:P2544"/>
    <mergeCell ref="Q2543:Q2544"/>
    <mergeCell ref="T2544:T2545"/>
    <mergeCell ref="U2544:U2545"/>
    <mergeCell ref="A2545:A2560"/>
    <mergeCell ref="B2545:B2560"/>
    <mergeCell ref="A2561:A2564"/>
    <mergeCell ref="B2561:B2564"/>
    <mergeCell ref="E2561:E2564"/>
    <mergeCell ref="F2561:F2564"/>
    <mergeCell ref="G2561:H2562"/>
    <mergeCell ref="I2561:J2562"/>
    <mergeCell ref="K2561:L2562"/>
    <mergeCell ref="M2561:N2562"/>
    <mergeCell ref="O2561:Q2562"/>
    <mergeCell ref="R2561:R2564"/>
    <mergeCell ref="G2563:G2564"/>
    <mergeCell ref="H2563:H2564"/>
    <mergeCell ref="I2563:I2564"/>
    <mergeCell ref="J2563:J2564"/>
    <mergeCell ref="K2563:K2564"/>
    <mergeCell ref="L2563:L2564"/>
    <mergeCell ref="M2563:M2564"/>
    <mergeCell ref="N2563:N2564"/>
    <mergeCell ref="O2563:O2564"/>
    <mergeCell ref="P2563:P2564"/>
    <mergeCell ref="Q2563:Q2564"/>
    <mergeCell ref="T2564:T2565"/>
    <mergeCell ref="U2564:U2565"/>
    <mergeCell ref="A2565:A2580"/>
    <mergeCell ref="B2565:B2580"/>
    <mergeCell ref="A2541:A2544"/>
    <mergeCell ref="B2541:B2544"/>
    <mergeCell ref="E2541:E2544"/>
    <mergeCell ref="F2581:F2584"/>
    <mergeCell ref="G2581:H2582"/>
    <mergeCell ref="I2581:J2582"/>
    <mergeCell ref="K2581:L2582"/>
    <mergeCell ref="M2581:N2582"/>
    <mergeCell ref="O2581:Q2582"/>
    <mergeCell ref="R2581:R2584"/>
    <mergeCell ref="G2583:G2584"/>
    <mergeCell ref="H2583:H2584"/>
    <mergeCell ref="I2583:I2584"/>
    <mergeCell ref="J2583:J2584"/>
    <mergeCell ref="K2583:K2584"/>
    <mergeCell ref="L2583:L2584"/>
    <mergeCell ref="M2583:M2584"/>
    <mergeCell ref="N2583:N2584"/>
    <mergeCell ref="O2583:O2584"/>
    <mergeCell ref="P2583:P2584"/>
    <mergeCell ref="Q2583:Q2584"/>
    <mergeCell ref="T2584:T2585"/>
    <mergeCell ref="U2584:U2585"/>
    <mergeCell ref="A2585:A2600"/>
    <mergeCell ref="B2585:B2600"/>
    <mergeCell ref="A2681:A2684"/>
    <mergeCell ref="B2681:B2684"/>
    <mergeCell ref="E2681:E2684"/>
    <mergeCell ref="F2681:F2684"/>
    <mergeCell ref="G2681:H2682"/>
    <mergeCell ref="I2681:J2682"/>
    <mergeCell ref="K2681:L2682"/>
    <mergeCell ref="M2681:N2682"/>
    <mergeCell ref="O2681:Q2682"/>
    <mergeCell ref="R2681:R2684"/>
    <mergeCell ref="G2683:G2684"/>
    <mergeCell ref="H2683:H2684"/>
    <mergeCell ref="I2683:I2684"/>
    <mergeCell ref="J2683:J2684"/>
    <mergeCell ref="K2683:K2684"/>
    <mergeCell ref="L2683:L2684"/>
    <mergeCell ref="M2683:M2684"/>
    <mergeCell ref="N2683:N2684"/>
    <mergeCell ref="O2683:O2684"/>
    <mergeCell ref="P2683:P2684"/>
    <mergeCell ref="Q2683:Q2684"/>
    <mergeCell ref="T2684:T2685"/>
    <mergeCell ref="U2684:U2685"/>
    <mergeCell ref="A2685:A2700"/>
    <mergeCell ref="B2685:B2700"/>
    <mergeCell ref="A2581:A2584"/>
    <mergeCell ref="B2581:B2584"/>
    <mergeCell ref="E2581:E2584"/>
    <mergeCell ref="F2701:F2704"/>
    <mergeCell ref="G2701:H2702"/>
    <mergeCell ref="I2701:J2702"/>
    <mergeCell ref="K2701:L2702"/>
    <mergeCell ref="M2701:N2702"/>
    <mergeCell ref="O2701:Q2702"/>
    <mergeCell ref="R2701:R2704"/>
    <mergeCell ref="G2703:G2704"/>
    <mergeCell ref="H2703:H2704"/>
    <mergeCell ref="I2703:I2704"/>
    <mergeCell ref="J2703:J2704"/>
    <mergeCell ref="K2703:K2704"/>
    <mergeCell ref="L2703:L2704"/>
    <mergeCell ref="M2703:M2704"/>
    <mergeCell ref="N2703:N2704"/>
    <mergeCell ref="O2703:O2704"/>
    <mergeCell ref="P2703:P2704"/>
    <mergeCell ref="Q2703:Q2704"/>
    <mergeCell ref="T2704:T2705"/>
    <mergeCell ref="U2704:U2705"/>
    <mergeCell ref="A2705:A2720"/>
    <mergeCell ref="B2705:B2720"/>
    <mergeCell ref="A2721:A2724"/>
    <mergeCell ref="B2721:B2724"/>
    <mergeCell ref="E2721:E2724"/>
    <mergeCell ref="F2721:F2724"/>
    <mergeCell ref="G2721:H2722"/>
    <mergeCell ref="I2721:J2722"/>
    <mergeCell ref="K2721:L2722"/>
    <mergeCell ref="M2721:N2722"/>
    <mergeCell ref="O2721:Q2722"/>
    <mergeCell ref="R2721:R2724"/>
    <mergeCell ref="G2723:G2724"/>
    <mergeCell ref="H2723:H2724"/>
    <mergeCell ref="I2723:I2724"/>
    <mergeCell ref="J2723:J2724"/>
    <mergeCell ref="K2723:K2724"/>
    <mergeCell ref="L2723:L2724"/>
    <mergeCell ref="M2723:M2724"/>
    <mergeCell ref="N2723:N2724"/>
    <mergeCell ref="O2723:O2724"/>
    <mergeCell ref="P2723:P2724"/>
    <mergeCell ref="Q2723:Q2724"/>
    <mergeCell ref="T2724:T2725"/>
    <mergeCell ref="U2724:U2725"/>
    <mergeCell ref="A2725:A2740"/>
    <mergeCell ref="B2725:B2740"/>
    <mergeCell ref="A2701:A2704"/>
    <mergeCell ref="B2701:B2704"/>
    <mergeCell ref="E2701:E2704"/>
    <mergeCell ref="F2741:F2744"/>
    <mergeCell ref="G2741:H2742"/>
    <mergeCell ref="I2741:J2742"/>
    <mergeCell ref="K2741:L2742"/>
    <mergeCell ref="M2741:N2742"/>
    <mergeCell ref="O2741:Q2742"/>
    <mergeCell ref="R2741:R2744"/>
    <mergeCell ref="G2743:G2744"/>
    <mergeCell ref="H2743:H2744"/>
    <mergeCell ref="I2743:I2744"/>
    <mergeCell ref="J2743:J2744"/>
    <mergeCell ref="K2743:K2744"/>
    <mergeCell ref="L2743:L2744"/>
    <mergeCell ref="M2743:M2744"/>
    <mergeCell ref="N2743:N2744"/>
    <mergeCell ref="O2743:O2744"/>
    <mergeCell ref="P2743:P2744"/>
    <mergeCell ref="Q2743:Q2744"/>
    <mergeCell ref="T2744:T2745"/>
    <mergeCell ref="U2744:U2745"/>
    <mergeCell ref="A2745:A2760"/>
    <mergeCell ref="B2745:B2760"/>
    <mergeCell ref="A2761:A2764"/>
    <mergeCell ref="B2761:B2764"/>
    <mergeCell ref="E2761:E2764"/>
    <mergeCell ref="F2761:F2764"/>
    <mergeCell ref="G2761:H2762"/>
    <mergeCell ref="I2761:J2762"/>
    <mergeCell ref="K2761:L2762"/>
    <mergeCell ref="M2761:N2762"/>
    <mergeCell ref="O2761:Q2762"/>
    <mergeCell ref="R2761:R2764"/>
    <mergeCell ref="G2763:G2764"/>
    <mergeCell ref="H2763:H2764"/>
    <mergeCell ref="I2763:I2764"/>
    <mergeCell ref="J2763:J2764"/>
    <mergeCell ref="K2763:K2764"/>
    <mergeCell ref="L2763:L2764"/>
    <mergeCell ref="M2763:M2764"/>
    <mergeCell ref="N2763:N2764"/>
    <mergeCell ref="O2763:O2764"/>
    <mergeCell ref="P2763:P2764"/>
    <mergeCell ref="Q2763:Q2764"/>
    <mergeCell ref="T2764:T2765"/>
    <mergeCell ref="U2764:U2765"/>
    <mergeCell ref="A2765:A2780"/>
    <mergeCell ref="B2765:B2780"/>
    <mergeCell ref="A2741:A2744"/>
    <mergeCell ref="B2741:B2744"/>
    <mergeCell ref="E2741:E2744"/>
    <mergeCell ref="F2781:F2784"/>
    <mergeCell ref="G2781:H2782"/>
    <mergeCell ref="I2781:J2782"/>
    <mergeCell ref="K2781:L2782"/>
    <mergeCell ref="M2781:N2782"/>
    <mergeCell ref="O2781:Q2782"/>
    <mergeCell ref="R2781:R2784"/>
    <mergeCell ref="G2783:G2784"/>
    <mergeCell ref="H2783:H2784"/>
    <mergeCell ref="I2783:I2784"/>
    <mergeCell ref="J2783:J2784"/>
    <mergeCell ref="K2783:K2784"/>
    <mergeCell ref="L2783:L2784"/>
    <mergeCell ref="M2783:M2784"/>
    <mergeCell ref="N2783:N2784"/>
    <mergeCell ref="O2783:O2784"/>
    <mergeCell ref="P2783:P2784"/>
    <mergeCell ref="Q2783:Q2784"/>
    <mergeCell ref="T2784:T2785"/>
    <mergeCell ref="U2784:U2785"/>
    <mergeCell ref="A2785:A2800"/>
    <mergeCell ref="B2785:B2800"/>
    <mergeCell ref="A2801:A2804"/>
    <mergeCell ref="B2801:B2804"/>
    <mergeCell ref="E2801:E2804"/>
    <mergeCell ref="F2801:F2804"/>
    <mergeCell ref="G2801:H2802"/>
    <mergeCell ref="I2801:J2802"/>
    <mergeCell ref="K2801:L2802"/>
    <mergeCell ref="M2801:N2802"/>
    <mergeCell ref="O2801:Q2802"/>
    <mergeCell ref="R2801:R2804"/>
    <mergeCell ref="G2803:G2804"/>
    <mergeCell ref="H2803:H2804"/>
    <mergeCell ref="I2803:I2804"/>
    <mergeCell ref="J2803:J2804"/>
    <mergeCell ref="K2803:K2804"/>
    <mergeCell ref="L2803:L2804"/>
    <mergeCell ref="M2803:M2804"/>
    <mergeCell ref="N2803:N2804"/>
    <mergeCell ref="O2803:O2804"/>
    <mergeCell ref="P2803:P2804"/>
    <mergeCell ref="Q2803:Q2804"/>
    <mergeCell ref="T2804:T2805"/>
    <mergeCell ref="U2804:U2805"/>
    <mergeCell ref="A2805:A2820"/>
    <mergeCell ref="B2805:B2820"/>
    <mergeCell ref="A2781:A2784"/>
    <mergeCell ref="B2781:B2784"/>
    <mergeCell ref="E2781:E2784"/>
    <mergeCell ref="T2824:T2825"/>
    <mergeCell ref="U2824:U2825"/>
    <mergeCell ref="A2825:A2840"/>
    <mergeCell ref="B2825:B2840"/>
    <mergeCell ref="A2821:A2824"/>
    <mergeCell ref="B2821:B2824"/>
    <mergeCell ref="E2821:E2824"/>
    <mergeCell ref="F2821:F2824"/>
    <mergeCell ref="G2821:H2822"/>
    <mergeCell ref="I2821:J2822"/>
    <mergeCell ref="K2821:L2822"/>
    <mergeCell ref="M2821:N2822"/>
    <mergeCell ref="O2821:Q2822"/>
    <mergeCell ref="R2821:R2824"/>
    <mergeCell ref="G2823:G2824"/>
    <mergeCell ref="H2823:H2824"/>
    <mergeCell ref="I2823:I2824"/>
    <mergeCell ref="J2823:J2824"/>
    <mergeCell ref="K2823:K2824"/>
    <mergeCell ref="L2823:L2824"/>
    <mergeCell ref="M2823:M2824"/>
    <mergeCell ref="N2823:N2824"/>
    <mergeCell ref="O2823:O2824"/>
    <mergeCell ref="P2823:P2824"/>
    <mergeCell ref="Q2823:Q2824"/>
    <mergeCell ref="F2861:F2864"/>
    <mergeCell ref="G2861:H2862"/>
    <mergeCell ref="I2861:J2862"/>
    <mergeCell ref="K2861:L2862"/>
    <mergeCell ref="M2861:N2862"/>
    <mergeCell ref="O2861:Q2862"/>
    <mergeCell ref="R2861:R2864"/>
    <mergeCell ref="G2863:G2864"/>
    <mergeCell ref="H2863:H2864"/>
    <mergeCell ref="I2863:I2864"/>
    <mergeCell ref="J2863:J2864"/>
    <mergeCell ref="K2863:K2864"/>
    <mergeCell ref="L2863:L2864"/>
    <mergeCell ref="M2863:M2864"/>
    <mergeCell ref="N2863:N2864"/>
    <mergeCell ref="O2863:O2864"/>
    <mergeCell ref="P2863:P2864"/>
    <mergeCell ref="Q2863:Q2864"/>
    <mergeCell ref="T2864:T2865"/>
    <mergeCell ref="U2864:U2865"/>
    <mergeCell ref="A2865:A2880"/>
    <mergeCell ref="B2865:B2880"/>
    <mergeCell ref="A2881:A2884"/>
    <mergeCell ref="B2881:B2884"/>
    <mergeCell ref="E2881:E2884"/>
    <mergeCell ref="F2881:F2884"/>
    <mergeCell ref="G2881:H2882"/>
    <mergeCell ref="I2881:J2882"/>
    <mergeCell ref="K2881:L2882"/>
    <mergeCell ref="M2881:N2882"/>
    <mergeCell ref="O2881:Q2882"/>
    <mergeCell ref="R2881:R2884"/>
    <mergeCell ref="G2883:G2884"/>
    <mergeCell ref="H2883:H2884"/>
    <mergeCell ref="I2883:I2884"/>
    <mergeCell ref="J2883:J2884"/>
    <mergeCell ref="K2883:K2884"/>
    <mergeCell ref="L2883:L2884"/>
    <mergeCell ref="M2883:M2884"/>
    <mergeCell ref="N2883:N2884"/>
    <mergeCell ref="O2883:O2884"/>
    <mergeCell ref="P2883:P2884"/>
    <mergeCell ref="Q2883:Q2884"/>
    <mergeCell ref="T2884:T2885"/>
    <mergeCell ref="U2884:U2885"/>
    <mergeCell ref="A2885:A2900"/>
    <mergeCell ref="B2885:B2900"/>
    <mergeCell ref="A2861:A2864"/>
    <mergeCell ref="B2861:B2864"/>
    <mergeCell ref="E2861:E2864"/>
    <mergeCell ref="F2901:F2904"/>
    <mergeCell ref="G2901:H2902"/>
    <mergeCell ref="I2901:J2902"/>
    <mergeCell ref="K2901:L2902"/>
    <mergeCell ref="M2901:N2902"/>
    <mergeCell ref="O2901:Q2902"/>
    <mergeCell ref="R2901:R2904"/>
    <mergeCell ref="G2903:G2904"/>
    <mergeCell ref="H2903:H2904"/>
    <mergeCell ref="I2903:I2904"/>
    <mergeCell ref="J2903:J2904"/>
    <mergeCell ref="K2903:K2904"/>
    <mergeCell ref="L2903:L2904"/>
    <mergeCell ref="M2903:M2904"/>
    <mergeCell ref="N2903:N2904"/>
    <mergeCell ref="O2903:O2904"/>
    <mergeCell ref="P2903:P2904"/>
    <mergeCell ref="Q2903:Q2904"/>
    <mergeCell ref="T2904:T2905"/>
    <mergeCell ref="U2904:U2905"/>
    <mergeCell ref="A2905:A2920"/>
    <mergeCell ref="B2905:B2920"/>
    <mergeCell ref="A2921:A2924"/>
    <mergeCell ref="B2921:B2924"/>
    <mergeCell ref="E2921:E2924"/>
    <mergeCell ref="F2921:F2924"/>
    <mergeCell ref="G2921:H2922"/>
    <mergeCell ref="I2921:J2922"/>
    <mergeCell ref="K2921:L2922"/>
    <mergeCell ref="M2921:N2922"/>
    <mergeCell ref="O2921:Q2922"/>
    <mergeCell ref="R2921:R2924"/>
    <mergeCell ref="G2923:G2924"/>
    <mergeCell ref="H2923:H2924"/>
    <mergeCell ref="I2923:I2924"/>
    <mergeCell ref="J2923:J2924"/>
    <mergeCell ref="K2923:K2924"/>
    <mergeCell ref="L2923:L2924"/>
    <mergeCell ref="M2923:M2924"/>
    <mergeCell ref="N2923:N2924"/>
    <mergeCell ref="O2923:O2924"/>
    <mergeCell ref="P2923:P2924"/>
    <mergeCell ref="Q2923:Q2924"/>
    <mergeCell ref="T2924:T2925"/>
    <mergeCell ref="U2924:U2925"/>
    <mergeCell ref="A2925:A2940"/>
    <mergeCell ref="B2925:B2940"/>
    <mergeCell ref="A2901:A2904"/>
    <mergeCell ref="B2901:B2904"/>
    <mergeCell ref="E2901:E2904"/>
    <mergeCell ref="F2941:F2944"/>
    <mergeCell ref="G2941:H2942"/>
    <mergeCell ref="I2941:J2942"/>
    <mergeCell ref="K2941:L2942"/>
    <mergeCell ref="M2941:N2942"/>
    <mergeCell ref="O2941:Q2942"/>
    <mergeCell ref="R2941:R2944"/>
    <mergeCell ref="G2943:G2944"/>
    <mergeCell ref="H2943:H2944"/>
    <mergeCell ref="I2943:I2944"/>
    <mergeCell ref="J2943:J2944"/>
    <mergeCell ref="K2943:K2944"/>
    <mergeCell ref="L2943:L2944"/>
    <mergeCell ref="M2943:M2944"/>
    <mergeCell ref="N2943:N2944"/>
    <mergeCell ref="O2943:O2944"/>
    <mergeCell ref="P2943:P2944"/>
    <mergeCell ref="Q2943:Q2944"/>
    <mergeCell ref="T2944:T2945"/>
    <mergeCell ref="U2944:U2945"/>
    <mergeCell ref="A2945:A2960"/>
    <mergeCell ref="B2945:B2960"/>
    <mergeCell ref="A2961:A2964"/>
    <mergeCell ref="B2961:B2964"/>
    <mergeCell ref="E2961:E2964"/>
    <mergeCell ref="F2961:F2964"/>
    <mergeCell ref="G2961:H2962"/>
    <mergeCell ref="I2961:J2962"/>
    <mergeCell ref="K2961:L2962"/>
    <mergeCell ref="M2961:N2962"/>
    <mergeCell ref="O2961:Q2962"/>
    <mergeCell ref="R2961:R2964"/>
    <mergeCell ref="G2963:G2964"/>
    <mergeCell ref="H2963:H2964"/>
    <mergeCell ref="I2963:I2964"/>
    <mergeCell ref="J2963:J2964"/>
    <mergeCell ref="K2963:K2964"/>
    <mergeCell ref="L2963:L2964"/>
    <mergeCell ref="M2963:M2964"/>
    <mergeCell ref="N2963:N2964"/>
    <mergeCell ref="O2963:O2964"/>
    <mergeCell ref="P2963:P2964"/>
    <mergeCell ref="Q2963:Q2964"/>
    <mergeCell ref="T2964:T2965"/>
    <mergeCell ref="U2964:U2965"/>
    <mergeCell ref="A2965:A2980"/>
    <mergeCell ref="B2965:B2980"/>
    <mergeCell ref="A2941:A2944"/>
    <mergeCell ref="B2941:B2944"/>
    <mergeCell ref="E2941:E2944"/>
    <mergeCell ref="T2984:T2985"/>
    <mergeCell ref="U2984:U2985"/>
    <mergeCell ref="A2985:A3000"/>
    <mergeCell ref="B2985:B3000"/>
    <mergeCell ref="A2981:A2984"/>
    <mergeCell ref="B2981:B2984"/>
    <mergeCell ref="E2981:E2984"/>
    <mergeCell ref="F2981:F2984"/>
    <mergeCell ref="G2981:H2982"/>
    <mergeCell ref="I2981:J2982"/>
    <mergeCell ref="K2981:L2982"/>
    <mergeCell ref="M2981:N2982"/>
    <mergeCell ref="O2981:Q2982"/>
    <mergeCell ref="R2981:R2984"/>
    <mergeCell ref="G2983:G2984"/>
    <mergeCell ref="H2983:H2984"/>
    <mergeCell ref="I2983:I2984"/>
    <mergeCell ref="J2983:J2984"/>
    <mergeCell ref="K2983:K2984"/>
    <mergeCell ref="L2983:L2984"/>
    <mergeCell ref="M2983:M2984"/>
    <mergeCell ref="N2983:N2984"/>
    <mergeCell ref="O2983:O2984"/>
    <mergeCell ref="P2983:P2984"/>
    <mergeCell ref="Q2983:Q2984"/>
    <mergeCell ref="T3004:T3005"/>
    <mergeCell ref="U3004:U3005"/>
    <mergeCell ref="A3005:A3020"/>
    <mergeCell ref="B3005:B3020"/>
    <mergeCell ref="A3001:A3004"/>
    <mergeCell ref="B3001:B3004"/>
    <mergeCell ref="E3001:E3004"/>
    <mergeCell ref="F3001:F3004"/>
    <mergeCell ref="G3001:H3002"/>
    <mergeCell ref="I3001:J3002"/>
    <mergeCell ref="K3001:L3002"/>
    <mergeCell ref="M3001:N3002"/>
    <mergeCell ref="O3001:Q3002"/>
    <mergeCell ref="R3001:R3004"/>
    <mergeCell ref="G3003:G3004"/>
    <mergeCell ref="H3003:H3004"/>
    <mergeCell ref="I3003:I3004"/>
    <mergeCell ref="J3003:J3004"/>
    <mergeCell ref="K3003:K3004"/>
    <mergeCell ref="L3003:L3004"/>
    <mergeCell ref="M3003:M3004"/>
    <mergeCell ref="N3003:N3004"/>
    <mergeCell ref="O3003:O3004"/>
    <mergeCell ref="P3003:P3004"/>
    <mergeCell ref="Q3003:Q3004"/>
    <mergeCell ref="F3161:F3164"/>
    <mergeCell ref="G3161:H3162"/>
    <mergeCell ref="I3161:J3162"/>
    <mergeCell ref="K3161:L3162"/>
    <mergeCell ref="M3161:N3162"/>
    <mergeCell ref="O3161:Q3162"/>
    <mergeCell ref="R3161:R3164"/>
    <mergeCell ref="G3163:G3164"/>
    <mergeCell ref="H3163:H3164"/>
    <mergeCell ref="I3163:I3164"/>
    <mergeCell ref="J3163:J3164"/>
    <mergeCell ref="K3163:K3164"/>
    <mergeCell ref="L3163:L3164"/>
    <mergeCell ref="M3163:M3164"/>
    <mergeCell ref="N3163:N3164"/>
    <mergeCell ref="O3163:O3164"/>
    <mergeCell ref="P3163:P3164"/>
    <mergeCell ref="Q3163:Q3164"/>
    <mergeCell ref="T3164:T3165"/>
    <mergeCell ref="U3164:U3165"/>
    <mergeCell ref="A3165:A3180"/>
    <mergeCell ref="B3165:B3180"/>
    <mergeCell ref="A3181:A3184"/>
    <mergeCell ref="B3181:B3184"/>
    <mergeCell ref="E3181:E3184"/>
    <mergeCell ref="F3181:F3184"/>
    <mergeCell ref="G3181:H3182"/>
    <mergeCell ref="I3181:J3182"/>
    <mergeCell ref="K3181:L3182"/>
    <mergeCell ref="M3181:N3182"/>
    <mergeCell ref="O3181:Q3182"/>
    <mergeCell ref="R3181:R3184"/>
    <mergeCell ref="G3183:G3184"/>
    <mergeCell ref="H3183:H3184"/>
    <mergeCell ref="I3183:I3184"/>
    <mergeCell ref="J3183:J3184"/>
    <mergeCell ref="K3183:K3184"/>
    <mergeCell ref="L3183:L3184"/>
    <mergeCell ref="M3183:M3184"/>
    <mergeCell ref="N3183:N3184"/>
    <mergeCell ref="O3183:O3184"/>
    <mergeCell ref="P3183:P3184"/>
    <mergeCell ref="Q3183:Q3184"/>
    <mergeCell ref="T3184:T3185"/>
    <mergeCell ref="U3184:U3185"/>
    <mergeCell ref="A3185:A3200"/>
    <mergeCell ref="B3185:B3200"/>
    <mergeCell ref="A3161:A3164"/>
    <mergeCell ref="B3161:B3164"/>
    <mergeCell ref="E3161:E3164"/>
    <mergeCell ref="F3201:F3204"/>
    <mergeCell ref="G3201:H3202"/>
    <mergeCell ref="I3201:J3202"/>
    <mergeCell ref="K3201:L3202"/>
    <mergeCell ref="M3201:N3202"/>
    <mergeCell ref="O3201:Q3202"/>
    <mergeCell ref="R3201:R3204"/>
    <mergeCell ref="G3203:G3204"/>
    <mergeCell ref="H3203:H3204"/>
    <mergeCell ref="I3203:I3204"/>
    <mergeCell ref="J3203:J3204"/>
    <mergeCell ref="K3203:K3204"/>
    <mergeCell ref="L3203:L3204"/>
    <mergeCell ref="M3203:M3204"/>
    <mergeCell ref="N3203:N3204"/>
    <mergeCell ref="O3203:O3204"/>
    <mergeCell ref="P3203:P3204"/>
    <mergeCell ref="Q3203:Q3204"/>
    <mergeCell ref="T3204:T3205"/>
    <mergeCell ref="U3204:U3205"/>
    <mergeCell ref="A3205:A3220"/>
    <mergeCell ref="B3205:B3220"/>
    <mergeCell ref="A3221:A3224"/>
    <mergeCell ref="B3221:B3224"/>
    <mergeCell ref="E3221:E3224"/>
    <mergeCell ref="F3221:F3224"/>
    <mergeCell ref="G3221:H3222"/>
    <mergeCell ref="I3221:J3222"/>
    <mergeCell ref="K3221:L3222"/>
    <mergeCell ref="M3221:N3222"/>
    <mergeCell ref="O3221:Q3222"/>
    <mergeCell ref="R3221:R3224"/>
    <mergeCell ref="G3223:G3224"/>
    <mergeCell ref="H3223:H3224"/>
    <mergeCell ref="I3223:I3224"/>
    <mergeCell ref="J3223:J3224"/>
    <mergeCell ref="K3223:K3224"/>
    <mergeCell ref="L3223:L3224"/>
    <mergeCell ref="M3223:M3224"/>
    <mergeCell ref="N3223:N3224"/>
    <mergeCell ref="O3223:O3224"/>
    <mergeCell ref="P3223:P3224"/>
    <mergeCell ref="Q3223:Q3224"/>
    <mergeCell ref="T3224:T3225"/>
    <mergeCell ref="U3224:U3225"/>
    <mergeCell ref="A3225:A3240"/>
    <mergeCell ref="B3225:B3240"/>
    <mergeCell ref="A3201:A3204"/>
    <mergeCell ref="B3201:B3204"/>
    <mergeCell ref="E3201:E3204"/>
    <mergeCell ref="F3241:F3244"/>
    <mergeCell ref="G3241:H3242"/>
    <mergeCell ref="I3241:J3242"/>
    <mergeCell ref="K3241:L3242"/>
    <mergeCell ref="M3241:N3242"/>
    <mergeCell ref="O3241:Q3242"/>
    <mergeCell ref="R3241:R3244"/>
    <mergeCell ref="G3243:G3244"/>
    <mergeCell ref="H3243:H3244"/>
    <mergeCell ref="I3243:I3244"/>
    <mergeCell ref="J3243:J3244"/>
    <mergeCell ref="K3243:K3244"/>
    <mergeCell ref="L3243:L3244"/>
    <mergeCell ref="M3243:M3244"/>
    <mergeCell ref="N3243:N3244"/>
    <mergeCell ref="O3243:O3244"/>
    <mergeCell ref="P3243:P3244"/>
    <mergeCell ref="Q3243:Q3244"/>
    <mergeCell ref="T3244:T3245"/>
    <mergeCell ref="U3244:U3245"/>
    <mergeCell ref="A3245:A3260"/>
    <mergeCell ref="B3245:B3260"/>
    <mergeCell ref="A3261:A3264"/>
    <mergeCell ref="B3261:B3264"/>
    <mergeCell ref="E3261:E3264"/>
    <mergeCell ref="F3261:F3264"/>
    <mergeCell ref="G3261:H3262"/>
    <mergeCell ref="I3261:J3262"/>
    <mergeCell ref="K3261:L3262"/>
    <mergeCell ref="M3261:N3262"/>
    <mergeCell ref="O3261:Q3262"/>
    <mergeCell ref="R3261:R3264"/>
    <mergeCell ref="G3263:G3264"/>
    <mergeCell ref="H3263:H3264"/>
    <mergeCell ref="I3263:I3264"/>
    <mergeCell ref="J3263:J3264"/>
    <mergeCell ref="K3263:K3264"/>
    <mergeCell ref="L3263:L3264"/>
    <mergeCell ref="M3263:M3264"/>
    <mergeCell ref="N3263:N3264"/>
    <mergeCell ref="O3263:O3264"/>
    <mergeCell ref="P3263:P3264"/>
    <mergeCell ref="Q3263:Q3264"/>
    <mergeCell ref="T3264:T3265"/>
    <mergeCell ref="U3264:U3265"/>
    <mergeCell ref="A3265:A3280"/>
    <mergeCell ref="B3265:B3280"/>
    <mergeCell ref="A3241:A3244"/>
    <mergeCell ref="B3241:B3244"/>
    <mergeCell ref="E3241:E3244"/>
    <mergeCell ref="T3284:T3285"/>
    <mergeCell ref="U3284:U3285"/>
    <mergeCell ref="A3285:A3300"/>
    <mergeCell ref="B3285:B3300"/>
    <mergeCell ref="A3281:A3284"/>
    <mergeCell ref="B3281:B3284"/>
    <mergeCell ref="E3281:E3284"/>
    <mergeCell ref="F3281:F3284"/>
    <mergeCell ref="G3281:H3282"/>
    <mergeCell ref="I3281:J3282"/>
    <mergeCell ref="K3281:L3282"/>
    <mergeCell ref="M3281:N3282"/>
    <mergeCell ref="O3281:Q3282"/>
    <mergeCell ref="R3281:R3284"/>
    <mergeCell ref="G3283:G3284"/>
    <mergeCell ref="H3283:H3284"/>
    <mergeCell ref="I3283:I3284"/>
    <mergeCell ref="J3283:J3284"/>
    <mergeCell ref="K3283:K3284"/>
    <mergeCell ref="L3283:L3284"/>
    <mergeCell ref="M3283:M3284"/>
    <mergeCell ref="N3283:N3284"/>
    <mergeCell ref="O3283:O3284"/>
    <mergeCell ref="P3283:P3284"/>
    <mergeCell ref="Q3283:Q3284"/>
    <mergeCell ref="F3321:F3324"/>
    <mergeCell ref="G3321:H3322"/>
    <mergeCell ref="I3321:J3322"/>
    <mergeCell ref="K3321:L3322"/>
    <mergeCell ref="M3321:N3322"/>
    <mergeCell ref="O3321:Q3322"/>
    <mergeCell ref="R3321:R3324"/>
    <mergeCell ref="G3323:G3324"/>
    <mergeCell ref="H3323:H3324"/>
    <mergeCell ref="I3323:I3324"/>
    <mergeCell ref="J3323:J3324"/>
    <mergeCell ref="K3323:K3324"/>
    <mergeCell ref="L3323:L3324"/>
    <mergeCell ref="M3323:M3324"/>
    <mergeCell ref="N3323:N3324"/>
    <mergeCell ref="O3323:O3324"/>
    <mergeCell ref="P3323:P3324"/>
    <mergeCell ref="Q3323:Q3324"/>
    <mergeCell ref="T3324:T3325"/>
    <mergeCell ref="U3324:U3325"/>
    <mergeCell ref="A3325:A3340"/>
    <mergeCell ref="B3325:B3340"/>
    <mergeCell ref="A3341:A3344"/>
    <mergeCell ref="B3341:B3344"/>
    <mergeCell ref="E3341:E3344"/>
    <mergeCell ref="F3341:F3344"/>
    <mergeCell ref="G3341:H3342"/>
    <mergeCell ref="I3341:J3342"/>
    <mergeCell ref="K3341:L3342"/>
    <mergeCell ref="M3341:N3342"/>
    <mergeCell ref="O3341:Q3342"/>
    <mergeCell ref="R3341:R3344"/>
    <mergeCell ref="G3343:G3344"/>
    <mergeCell ref="H3343:H3344"/>
    <mergeCell ref="I3343:I3344"/>
    <mergeCell ref="J3343:J3344"/>
    <mergeCell ref="K3343:K3344"/>
    <mergeCell ref="L3343:L3344"/>
    <mergeCell ref="M3343:M3344"/>
    <mergeCell ref="N3343:N3344"/>
    <mergeCell ref="O3343:O3344"/>
    <mergeCell ref="P3343:P3344"/>
    <mergeCell ref="Q3343:Q3344"/>
    <mergeCell ref="T3344:T3345"/>
    <mergeCell ref="U3344:U3345"/>
    <mergeCell ref="A3345:A3360"/>
    <mergeCell ref="B3345:B3360"/>
    <mergeCell ref="A3321:A3324"/>
    <mergeCell ref="B3321:B3324"/>
    <mergeCell ref="E3321:E3324"/>
    <mergeCell ref="F3361:F3364"/>
    <mergeCell ref="G3361:H3362"/>
    <mergeCell ref="I3361:J3362"/>
    <mergeCell ref="K3361:L3362"/>
    <mergeCell ref="M3361:N3362"/>
    <mergeCell ref="O3361:Q3362"/>
    <mergeCell ref="R3361:R3364"/>
    <mergeCell ref="G3363:G3364"/>
    <mergeCell ref="H3363:H3364"/>
    <mergeCell ref="I3363:I3364"/>
    <mergeCell ref="J3363:J3364"/>
    <mergeCell ref="K3363:K3364"/>
    <mergeCell ref="L3363:L3364"/>
    <mergeCell ref="M3363:M3364"/>
    <mergeCell ref="N3363:N3364"/>
    <mergeCell ref="O3363:O3364"/>
    <mergeCell ref="P3363:P3364"/>
    <mergeCell ref="Q3363:Q3364"/>
    <mergeCell ref="T3364:T3365"/>
    <mergeCell ref="U3364:U3365"/>
    <mergeCell ref="A3365:A3380"/>
    <mergeCell ref="B3365:B3380"/>
    <mergeCell ref="A3381:A3384"/>
    <mergeCell ref="B3381:B3384"/>
    <mergeCell ref="E3381:E3384"/>
    <mergeCell ref="F3381:F3384"/>
    <mergeCell ref="G3381:H3382"/>
    <mergeCell ref="I3381:J3382"/>
    <mergeCell ref="K3381:L3382"/>
    <mergeCell ref="M3381:N3382"/>
    <mergeCell ref="O3381:Q3382"/>
    <mergeCell ref="R3381:R3384"/>
    <mergeCell ref="G3383:G3384"/>
    <mergeCell ref="H3383:H3384"/>
    <mergeCell ref="I3383:I3384"/>
    <mergeCell ref="J3383:J3384"/>
    <mergeCell ref="K3383:K3384"/>
    <mergeCell ref="L3383:L3384"/>
    <mergeCell ref="M3383:M3384"/>
    <mergeCell ref="N3383:N3384"/>
    <mergeCell ref="O3383:O3384"/>
    <mergeCell ref="P3383:P3384"/>
    <mergeCell ref="Q3383:Q3384"/>
    <mergeCell ref="T3384:T3385"/>
    <mergeCell ref="U3384:U3385"/>
    <mergeCell ref="A3385:A3400"/>
    <mergeCell ref="B3385:B3400"/>
    <mergeCell ref="A3361:A3364"/>
    <mergeCell ref="B3361:B3364"/>
    <mergeCell ref="E3361:E3364"/>
    <mergeCell ref="F3401:F3404"/>
    <mergeCell ref="G3401:H3402"/>
    <mergeCell ref="I3401:J3402"/>
    <mergeCell ref="K3401:L3402"/>
    <mergeCell ref="M3401:N3402"/>
    <mergeCell ref="O3401:Q3402"/>
    <mergeCell ref="R3401:R3404"/>
    <mergeCell ref="G3403:G3404"/>
    <mergeCell ref="H3403:H3404"/>
    <mergeCell ref="I3403:I3404"/>
    <mergeCell ref="J3403:J3404"/>
    <mergeCell ref="K3403:K3404"/>
    <mergeCell ref="L3403:L3404"/>
    <mergeCell ref="M3403:M3404"/>
    <mergeCell ref="N3403:N3404"/>
    <mergeCell ref="O3403:O3404"/>
    <mergeCell ref="P3403:P3404"/>
    <mergeCell ref="Q3403:Q3404"/>
    <mergeCell ref="T3404:T3405"/>
    <mergeCell ref="U3404:U3405"/>
    <mergeCell ref="A3405:A3420"/>
    <mergeCell ref="B3405:B3420"/>
    <mergeCell ref="A3421:A3424"/>
    <mergeCell ref="B3421:B3424"/>
    <mergeCell ref="E3421:E3424"/>
    <mergeCell ref="F3421:F3424"/>
    <mergeCell ref="G3421:H3422"/>
    <mergeCell ref="I3421:J3422"/>
    <mergeCell ref="K3421:L3422"/>
    <mergeCell ref="M3421:N3422"/>
    <mergeCell ref="O3421:Q3422"/>
    <mergeCell ref="R3421:R3424"/>
    <mergeCell ref="G3423:G3424"/>
    <mergeCell ref="H3423:H3424"/>
    <mergeCell ref="I3423:I3424"/>
    <mergeCell ref="J3423:J3424"/>
    <mergeCell ref="K3423:K3424"/>
    <mergeCell ref="L3423:L3424"/>
    <mergeCell ref="M3423:M3424"/>
    <mergeCell ref="N3423:N3424"/>
    <mergeCell ref="O3423:O3424"/>
    <mergeCell ref="P3423:P3424"/>
    <mergeCell ref="Q3423:Q3424"/>
    <mergeCell ref="T3424:T3425"/>
    <mergeCell ref="U3424:U3425"/>
    <mergeCell ref="A3425:A3440"/>
    <mergeCell ref="B3425:B3440"/>
    <mergeCell ref="A3401:A3404"/>
    <mergeCell ref="B3401:B3404"/>
    <mergeCell ref="E3401:E3404"/>
    <mergeCell ref="F3441:F3444"/>
    <mergeCell ref="G3441:H3442"/>
    <mergeCell ref="I3441:J3442"/>
    <mergeCell ref="K3441:L3442"/>
    <mergeCell ref="M3441:N3442"/>
    <mergeCell ref="O3441:Q3442"/>
    <mergeCell ref="R3441:R3444"/>
    <mergeCell ref="G3443:G3444"/>
    <mergeCell ref="H3443:H3444"/>
    <mergeCell ref="I3443:I3444"/>
    <mergeCell ref="J3443:J3444"/>
    <mergeCell ref="K3443:K3444"/>
    <mergeCell ref="L3443:L3444"/>
    <mergeCell ref="M3443:M3444"/>
    <mergeCell ref="N3443:N3444"/>
    <mergeCell ref="O3443:O3444"/>
    <mergeCell ref="P3443:P3444"/>
    <mergeCell ref="Q3443:Q3444"/>
    <mergeCell ref="T3444:T3445"/>
    <mergeCell ref="U3444:U3445"/>
    <mergeCell ref="A3445:A3460"/>
    <mergeCell ref="B3445:B3460"/>
    <mergeCell ref="A3461:A3464"/>
    <mergeCell ref="B3461:B3464"/>
    <mergeCell ref="E3461:E3464"/>
    <mergeCell ref="F3461:F3464"/>
    <mergeCell ref="G3461:H3462"/>
    <mergeCell ref="I3461:J3462"/>
    <mergeCell ref="K3461:L3462"/>
    <mergeCell ref="M3461:N3462"/>
    <mergeCell ref="O3461:Q3462"/>
    <mergeCell ref="R3461:R3464"/>
    <mergeCell ref="G3463:G3464"/>
    <mergeCell ref="H3463:H3464"/>
    <mergeCell ref="I3463:I3464"/>
    <mergeCell ref="J3463:J3464"/>
    <mergeCell ref="K3463:K3464"/>
    <mergeCell ref="L3463:L3464"/>
    <mergeCell ref="M3463:M3464"/>
    <mergeCell ref="N3463:N3464"/>
    <mergeCell ref="O3463:O3464"/>
    <mergeCell ref="P3463:P3464"/>
    <mergeCell ref="Q3463:Q3464"/>
    <mergeCell ref="T3464:T3465"/>
    <mergeCell ref="U3464:U3465"/>
    <mergeCell ref="A3465:A3480"/>
    <mergeCell ref="B3465:B3480"/>
    <mergeCell ref="A3441:A3444"/>
    <mergeCell ref="B3441:B3444"/>
    <mergeCell ref="E3441:E3444"/>
    <mergeCell ref="F3481:F3484"/>
    <mergeCell ref="G3481:H3482"/>
    <mergeCell ref="I3481:J3482"/>
    <mergeCell ref="K3481:L3482"/>
    <mergeCell ref="M3481:N3482"/>
    <mergeCell ref="O3481:Q3482"/>
    <mergeCell ref="R3481:R3484"/>
    <mergeCell ref="G3483:G3484"/>
    <mergeCell ref="H3483:H3484"/>
    <mergeCell ref="I3483:I3484"/>
    <mergeCell ref="J3483:J3484"/>
    <mergeCell ref="K3483:K3484"/>
    <mergeCell ref="L3483:L3484"/>
    <mergeCell ref="M3483:M3484"/>
    <mergeCell ref="N3483:N3484"/>
    <mergeCell ref="O3483:O3484"/>
    <mergeCell ref="P3483:P3484"/>
    <mergeCell ref="Q3483:Q3484"/>
    <mergeCell ref="T3484:T3485"/>
    <mergeCell ref="U3484:U3485"/>
    <mergeCell ref="A3485:A3500"/>
    <mergeCell ref="B3485:B3500"/>
    <mergeCell ref="A3501:A3504"/>
    <mergeCell ref="B3501:B3504"/>
    <mergeCell ref="E3501:E3504"/>
    <mergeCell ref="F3501:F3504"/>
    <mergeCell ref="G3501:H3502"/>
    <mergeCell ref="I3501:J3502"/>
    <mergeCell ref="K3501:L3502"/>
    <mergeCell ref="M3501:N3502"/>
    <mergeCell ref="O3501:Q3502"/>
    <mergeCell ref="R3501:R3504"/>
    <mergeCell ref="G3503:G3504"/>
    <mergeCell ref="H3503:H3504"/>
    <mergeCell ref="I3503:I3504"/>
    <mergeCell ref="J3503:J3504"/>
    <mergeCell ref="K3503:K3504"/>
    <mergeCell ref="L3503:L3504"/>
    <mergeCell ref="M3503:M3504"/>
    <mergeCell ref="N3503:N3504"/>
    <mergeCell ref="O3503:O3504"/>
    <mergeCell ref="P3503:P3504"/>
    <mergeCell ref="Q3503:Q3504"/>
    <mergeCell ref="T3504:T3505"/>
    <mergeCell ref="U3504:U3505"/>
    <mergeCell ref="A3505:A3520"/>
    <mergeCell ref="B3505:B3520"/>
    <mergeCell ref="A3481:A3484"/>
    <mergeCell ref="B3481:B3484"/>
    <mergeCell ref="E3481:E3484"/>
    <mergeCell ref="F3521:F3524"/>
    <mergeCell ref="G3521:H3522"/>
    <mergeCell ref="I3521:J3522"/>
    <mergeCell ref="K3521:L3522"/>
    <mergeCell ref="M3521:N3522"/>
    <mergeCell ref="O3521:Q3522"/>
    <mergeCell ref="R3521:R3524"/>
    <mergeCell ref="G3523:G3524"/>
    <mergeCell ref="H3523:H3524"/>
    <mergeCell ref="I3523:I3524"/>
    <mergeCell ref="J3523:J3524"/>
    <mergeCell ref="K3523:K3524"/>
    <mergeCell ref="L3523:L3524"/>
    <mergeCell ref="M3523:M3524"/>
    <mergeCell ref="N3523:N3524"/>
    <mergeCell ref="O3523:O3524"/>
    <mergeCell ref="P3523:P3524"/>
    <mergeCell ref="Q3523:Q3524"/>
    <mergeCell ref="T3524:T3525"/>
    <mergeCell ref="U3524:U3525"/>
    <mergeCell ref="A3525:A3540"/>
    <mergeCell ref="B3525:B3540"/>
    <mergeCell ref="A3541:A3544"/>
    <mergeCell ref="B3541:B3544"/>
    <mergeCell ref="E3541:E3544"/>
    <mergeCell ref="F3541:F3544"/>
    <mergeCell ref="G3541:H3542"/>
    <mergeCell ref="I3541:J3542"/>
    <mergeCell ref="K3541:L3542"/>
    <mergeCell ref="M3541:N3542"/>
    <mergeCell ref="O3541:Q3542"/>
    <mergeCell ref="R3541:R3544"/>
    <mergeCell ref="G3543:G3544"/>
    <mergeCell ref="H3543:H3544"/>
    <mergeCell ref="I3543:I3544"/>
    <mergeCell ref="J3543:J3544"/>
    <mergeCell ref="K3543:K3544"/>
    <mergeCell ref="L3543:L3544"/>
    <mergeCell ref="M3543:M3544"/>
    <mergeCell ref="N3543:N3544"/>
    <mergeCell ref="O3543:O3544"/>
    <mergeCell ref="P3543:P3544"/>
    <mergeCell ref="Q3543:Q3544"/>
    <mergeCell ref="T3544:T3545"/>
    <mergeCell ref="U3544:U3545"/>
    <mergeCell ref="A3545:A3560"/>
    <mergeCell ref="B3545:B3560"/>
    <mergeCell ref="A3521:A3524"/>
    <mergeCell ref="B3521:B3524"/>
    <mergeCell ref="E3521:E3524"/>
    <mergeCell ref="F3561:F3564"/>
    <mergeCell ref="G3561:H3562"/>
    <mergeCell ref="I3561:J3562"/>
    <mergeCell ref="K3561:L3562"/>
    <mergeCell ref="M3561:N3562"/>
    <mergeCell ref="O3561:Q3562"/>
    <mergeCell ref="R3561:R3564"/>
    <mergeCell ref="G3563:G3564"/>
    <mergeCell ref="H3563:H3564"/>
    <mergeCell ref="I3563:I3564"/>
    <mergeCell ref="J3563:J3564"/>
    <mergeCell ref="K3563:K3564"/>
    <mergeCell ref="L3563:L3564"/>
    <mergeCell ref="M3563:M3564"/>
    <mergeCell ref="N3563:N3564"/>
    <mergeCell ref="O3563:O3564"/>
    <mergeCell ref="P3563:P3564"/>
    <mergeCell ref="Q3563:Q3564"/>
    <mergeCell ref="T3564:T3565"/>
    <mergeCell ref="U3564:U3565"/>
    <mergeCell ref="A3565:A3580"/>
    <mergeCell ref="B3565:B3580"/>
    <mergeCell ref="A3581:A3584"/>
    <mergeCell ref="B3581:B3584"/>
    <mergeCell ref="E3581:E3584"/>
    <mergeCell ref="F3581:F3584"/>
    <mergeCell ref="G3581:H3582"/>
    <mergeCell ref="I3581:J3582"/>
    <mergeCell ref="K3581:L3582"/>
    <mergeCell ref="M3581:N3582"/>
    <mergeCell ref="O3581:Q3582"/>
    <mergeCell ref="R3581:R3584"/>
    <mergeCell ref="G3583:G3584"/>
    <mergeCell ref="H3583:H3584"/>
    <mergeCell ref="I3583:I3584"/>
    <mergeCell ref="J3583:J3584"/>
    <mergeCell ref="K3583:K3584"/>
    <mergeCell ref="L3583:L3584"/>
    <mergeCell ref="M3583:M3584"/>
    <mergeCell ref="N3583:N3584"/>
    <mergeCell ref="O3583:O3584"/>
    <mergeCell ref="P3583:P3584"/>
    <mergeCell ref="Q3583:Q3584"/>
    <mergeCell ref="T3584:T3585"/>
    <mergeCell ref="U3584:U3585"/>
    <mergeCell ref="A3585:A3600"/>
    <mergeCell ref="B3585:B3600"/>
    <mergeCell ref="A3561:A3564"/>
    <mergeCell ref="B3561:B3564"/>
    <mergeCell ref="E3561:E3564"/>
    <mergeCell ref="F3601:F3604"/>
    <mergeCell ref="G3601:H3602"/>
    <mergeCell ref="I3601:J3602"/>
    <mergeCell ref="K3601:L3602"/>
    <mergeCell ref="M3601:N3602"/>
    <mergeCell ref="O3601:Q3602"/>
    <mergeCell ref="R3601:R3604"/>
    <mergeCell ref="G3603:G3604"/>
    <mergeCell ref="H3603:H3604"/>
    <mergeCell ref="I3603:I3604"/>
    <mergeCell ref="J3603:J3604"/>
    <mergeCell ref="K3603:K3604"/>
    <mergeCell ref="L3603:L3604"/>
    <mergeCell ref="M3603:M3604"/>
    <mergeCell ref="N3603:N3604"/>
    <mergeCell ref="O3603:O3604"/>
    <mergeCell ref="P3603:P3604"/>
    <mergeCell ref="Q3603:Q3604"/>
    <mergeCell ref="T3604:T3605"/>
    <mergeCell ref="U3604:U3605"/>
    <mergeCell ref="A3605:A3620"/>
    <mergeCell ref="B3605:B3620"/>
    <mergeCell ref="A3621:A3624"/>
    <mergeCell ref="B3621:B3624"/>
    <mergeCell ref="E3621:E3624"/>
    <mergeCell ref="F3621:F3624"/>
    <mergeCell ref="G3621:H3622"/>
    <mergeCell ref="I3621:J3622"/>
    <mergeCell ref="K3621:L3622"/>
    <mergeCell ref="M3621:N3622"/>
    <mergeCell ref="O3621:Q3622"/>
    <mergeCell ref="R3621:R3624"/>
    <mergeCell ref="G3623:G3624"/>
    <mergeCell ref="H3623:H3624"/>
    <mergeCell ref="I3623:I3624"/>
    <mergeCell ref="J3623:J3624"/>
    <mergeCell ref="K3623:K3624"/>
    <mergeCell ref="L3623:L3624"/>
    <mergeCell ref="M3623:M3624"/>
    <mergeCell ref="N3623:N3624"/>
    <mergeCell ref="O3623:O3624"/>
    <mergeCell ref="P3623:P3624"/>
    <mergeCell ref="Q3623:Q3624"/>
    <mergeCell ref="T3624:T3625"/>
    <mergeCell ref="U3624:U3625"/>
    <mergeCell ref="A3625:A3640"/>
    <mergeCell ref="B3625:B3640"/>
    <mergeCell ref="A3601:A3604"/>
    <mergeCell ref="B3601:B3604"/>
    <mergeCell ref="E3601:E3604"/>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0"/>
  <sheetViews>
    <sheetView view="pageBreakPreview" topLeftCell="A7" zoomScaleNormal="100" zoomScaleSheetLayoutView="100" workbookViewId="0">
      <selection activeCell="G32" sqref="G32"/>
    </sheetView>
  </sheetViews>
  <sheetFormatPr defaultRowHeight="15.75"/>
  <cols>
    <col min="1" max="1" width="16.140625" style="702" customWidth="1"/>
    <col min="2" max="2" width="11.28515625" style="702" customWidth="1"/>
    <col min="3" max="3" width="15.28515625" style="1185" customWidth="1"/>
    <col min="4" max="4" width="15.5703125" style="702" customWidth="1"/>
    <col min="5" max="5" width="9.140625" style="702"/>
    <col min="6" max="6" width="12.85546875" style="702" customWidth="1"/>
    <col min="7" max="7" width="13" style="702" customWidth="1"/>
    <col min="8" max="16384" width="9.140625" style="702"/>
  </cols>
  <sheetData>
    <row r="1" spans="1:18" s="396" customFormat="1" ht="16.5" customHeight="1">
      <c r="A1" s="1423" t="s">
        <v>336</v>
      </c>
      <c r="B1" s="1423"/>
      <c r="C1" s="1423"/>
      <c r="D1" s="1423"/>
      <c r="E1" s="1423"/>
      <c r="F1" s="1423"/>
      <c r="G1" s="1423"/>
      <c r="I1" s="207"/>
      <c r="J1" s="207"/>
      <c r="K1" s="207"/>
      <c r="L1" s="207"/>
      <c r="M1" s="207"/>
      <c r="N1" s="1184"/>
      <c r="O1" s="397"/>
      <c r="P1" s="397"/>
    </row>
    <row r="2" spans="1:18" s="396" customFormat="1" ht="15" customHeight="1">
      <c r="A2" s="1424" t="s">
        <v>344</v>
      </c>
      <c r="B2" s="1424"/>
      <c r="C2" s="1424"/>
      <c r="D2" s="1424"/>
      <c r="E2" s="1424"/>
      <c r="F2" s="1424"/>
      <c r="G2" s="1424"/>
      <c r="I2" s="204"/>
      <c r="J2" s="204"/>
      <c r="K2" s="204"/>
      <c r="L2" s="204"/>
      <c r="M2" s="204"/>
      <c r="N2" s="1183"/>
      <c r="O2" s="397"/>
      <c r="P2" s="397"/>
      <c r="R2" s="396" t="s">
        <v>1132</v>
      </c>
    </row>
    <row r="3" spans="1:18" s="396" customFormat="1" ht="15" customHeight="1">
      <c r="A3" s="1425" t="s">
        <v>155</v>
      </c>
      <c r="B3" s="1425"/>
      <c r="C3" s="1425"/>
      <c r="D3" s="1425"/>
      <c r="E3" s="1425"/>
      <c r="F3" s="1425"/>
      <c r="G3" s="1425"/>
      <c r="I3" s="207"/>
      <c r="J3" s="207"/>
      <c r="K3" s="207"/>
      <c r="L3" s="207"/>
      <c r="M3" s="207"/>
      <c r="N3" s="1184"/>
      <c r="O3" s="397"/>
      <c r="P3" s="397"/>
    </row>
    <row r="4" spans="1:18" ht="17.25" customHeight="1">
      <c r="A4" s="701"/>
      <c r="B4" s="701"/>
      <c r="C4" s="701"/>
      <c r="D4" s="1426">
        <f>'2. NK'!G52</f>
        <v>42466</v>
      </c>
      <c r="E4" s="1426"/>
      <c r="F4" s="1426"/>
      <c r="G4" s="1426"/>
    </row>
    <row r="5" spans="1:18" ht="9.75" customHeight="1">
      <c r="A5" s="1427"/>
      <c r="B5" s="1427"/>
      <c r="C5" s="1427"/>
      <c r="D5" s="1427"/>
      <c r="E5" s="1427"/>
      <c r="F5" s="1427"/>
      <c r="G5" s="1427"/>
    </row>
    <row r="6" spans="1:18" ht="21.75" customHeight="1">
      <c r="A6" s="1428" t="s">
        <v>40</v>
      </c>
      <c r="B6" s="1428"/>
      <c r="C6" s="1428"/>
      <c r="D6" s="1428"/>
      <c r="E6" s="1428"/>
      <c r="F6" s="1428"/>
      <c r="G6" s="1428"/>
    </row>
    <row r="7" spans="1:18" ht="21.75" customHeight="1">
      <c r="A7" s="1186"/>
      <c r="B7" s="1186"/>
      <c r="C7" s="705" t="str">
        <f>"SỐ:TGHL-HT-"&amp;'2. NK'!D10&amp;"/"&amp;'2. NK'!H10&amp;"/LMTN"</f>
        <v>SỐ:TGHL-HT-B1/800/LMTN</v>
      </c>
      <c r="D7" s="706"/>
      <c r="E7" s="707"/>
      <c r="F7" s="1186"/>
      <c r="G7" s="1186"/>
    </row>
    <row r="8" spans="1:18" ht="14.25" customHeight="1">
      <c r="A8" s="1186"/>
      <c r="B8" s="1186"/>
      <c r="C8" s="705"/>
      <c r="D8" s="706"/>
      <c r="E8" s="707"/>
      <c r="F8" s="1186"/>
      <c r="G8" s="1186"/>
    </row>
    <row r="9" spans="1:18" s="710" customFormat="1" ht="31.5" customHeight="1">
      <c r="A9" s="708" t="s">
        <v>897</v>
      </c>
      <c r="B9" s="1418" t="str">
        <f>'[9]Du lieu'!C4</f>
        <v>KHU HỖN HỢP CHUNG CƯ, VĂN PHÒNG, TRUNG TÂM THƯƠNG MẠI VÀ NHÀ Ở KẾT HỢP KHU MUA SẮM</v>
      </c>
      <c r="C9" s="1418"/>
      <c r="D9" s="1418"/>
      <c r="E9" s="1418"/>
      <c r="F9" s="1418"/>
      <c r="G9" s="1418"/>
    </row>
    <row r="10" spans="1:18" s="710" customFormat="1" ht="15">
      <c r="A10" s="708" t="s">
        <v>480</v>
      </c>
      <c r="B10" s="711" t="s">
        <v>898</v>
      </c>
      <c r="C10" s="1187"/>
      <c r="D10" s="1187"/>
      <c r="E10" s="1187"/>
      <c r="F10" s="1187"/>
      <c r="G10" s="1187"/>
    </row>
    <row r="11" spans="1:18" s="710" customFormat="1" ht="15">
      <c r="A11" s="712" t="s">
        <v>857</v>
      </c>
      <c r="B11" s="713" t="s">
        <v>899</v>
      </c>
      <c r="C11" s="714"/>
      <c r="E11" s="715"/>
      <c r="F11" s="715"/>
      <c r="G11" s="715"/>
    </row>
    <row r="12" spans="1:18" s="710" customFormat="1" ht="15">
      <c r="A12" s="716" t="s">
        <v>858</v>
      </c>
      <c r="B12" s="717" t="s">
        <v>900</v>
      </c>
      <c r="C12" s="714"/>
      <c r="E12" s="715"/>
      <c r="F12" s="715"/>
      <c r="G12" s="715"/>
    </row>
    <row r="13" spans="1:18">
      <c r="A13" s="718" t="s">
        <v>335</v>
      </c>
      <c r="B13" s="719" t="str">
        <f>'2. NK'!D10</f>
        <v>B1</v>
      </c>
    </row>
    <row r="14" spans="1:18" ht="22.5" customHeight="1">
      <c r="A14" s="1419">
        <f>D4</f>
        <v>42466</v>
      </c>
      <c r="B14" s="1419"/>
      <c r="C14" s="1419"/>
      <c r="D14" s="1419"/>
      <c r="E14" s="1419"/>
      <c r="F14" s="1419"/>
      <c r="G14" s="1419"/>
    </row>
    <row r="15" spans="1:18" ht="20.100000000000001" customHeight="1">
      <c r="A15" s="1420" t="str">
        <f>I15</f>
        <v>1 - Đại diện chủ đầu tư : Ban QLDA Times garden Hạ Long</v>
      </c>
      <c r="B15" s="1420"/>
      <c r="C15" s="1420"/>
      <c r="D15" s="1420"/>
      <c r="E15" s="1420"/>
      <c r="F15" s="1420"/>
      <c r="G15" s="1420"/>
      <c r="I15" s="1189" t="s">
        <v>1021</v>
      </c>
    </row>
    <row r="16" spans="1:18" ht="22.5" customHeight="1">
      <c r="A16" s="720" t="s">
        <v>41</v>
      </c>
      <c r="B16" s="785" t="s">
        <v>436</v>
      </c>
      <c r="D16" s="702" t="s">
        <v>43</v>
      </c>
      <c r="E16" s="785" t="s">
        <v>436</v>
      </c>
    </row>
    <row r="17" spans="1:17" ht="22.5" customHeight="1">
      <c r="A17" s="720" t="s">
        <v>41</v>
      </c>
      <c r="B17" s="785" t="s">
        <v>436</v>
      </c>
      <c r="D17" s="702" t="s">
        <v>43</v>
      </c>
      <c r="E17" s="785" t="s">
        <v>436</v>
      </c>
      <c r="F17" s="720"/>
    </row>
    <row r="18" spans="1:17" ht="20.100000000000001" customHeight="1">
      <c r="A18" s="721" t="s">
        <v>1022</v>
      </c>
      <c r="J18" s="1421" t="s">
        <v>852</v>
      </c>
      <c r="K18" s="1421"/>
      <c r="L18" s="1421"/>
      <c r="M18" s="1421"/>
      <c r="N18" s="1421"/>
      <c r="O18" s="1421"/>
    </row>
    <row r="19" spans="1:17" ht="22.5" customHeight="1">
      <c r="A19" s="720" t="s">
        <v>41</v>
      </c>
      <c r="B19" s="785" t="s">
        <v>436</v>
      </c>
      <c r="D19" s="702" t="s">
        <v>43</v>
      </c>
      <c r="E19" s="785" t="s">
        <v>436</v>
      </c>
    </row>
    <row r="20" spans="1:17" ht="22.5" customHeight="1">
      <c r="A20" s="720" t="s">
        <v>41</v>
      </c>
      <c r="B20" s="785" t="s">
        <v>436</v>
      </c>
      <c r="D20" s="702" t="s">
        <v>43</v>
      </c>
      <c r="E20" s="785" t="s">
        <v>436</v>
      </c>
      <c r="F20" s="720"/>
    </row>
    <row r="21" spans="1:17" ht="22.5" customHeight="1">
      <c r="A21" s="719" t="s">
        <v>871</v>
      </c>
      <c r="K21" s="1422" t="str">
        <f>'[9]Du lieu'!C15</f>
        <v>CÔNG TY TRÁCH NHIỆM HỮU HẠN MỘT THÀNH VIÊN HANTECH</v>
      </c>
      <c r="L21" s="1422"/>
      <c r="M21" s="1422"/>
      <c r="N21" s="1422"/>
      <c r="O21" s="1422"/>
    </row>
    <row r="22" spans="1:17" ht="22.5" customHeight="1">
      <c r="A22" s="702" t="s">
        <v>42</v>
      </c>
      <c r="B22" s="785" t="s">
        <v>436</v>
      </c>
      <c r="D22" s="702" t="s">
        <v>44</v>
      </c>
      <c r="E22" s="785" t="s">
        <v>436</v>
      </c>
    </row>
    <row r="23" spans="1:17" ht="22.5" customHeight="1">
      <c r="A23" s="720" t="s">
        <v>41</v>
      </c>
      <c r="B23" s="785" t="s">
        <v>436</v>
      </c>
      <c r="D23" s="720" t="s">
        <v>44</v>
      </c>
      <c r="E23" s="785" t="s">
        <v>436</v>
      </c>
      <c r="F23" s="720"/>
      <c r="J23" s="190"/>
      <c r="K23" s="399" t="s">
        <v>883</v>
      </c>
      <c r="L23" s="190"/>
      <c r="M23" s="399" t="s">
        <v>327</v>
      </c>
      <c r="N23" s="399"/>
      <c r="O23" s="399"/>
      <c r="P23" s="190"/>
      <c r="Q23" s="190"/>
    </row>
    <row r="24" spans="1:17" ht="22.5" customHeight="1">
      <c r="A24" s="719" t="s">
        <v>1023</v>
      </c>
      <c r="B24" s="722"/>
      <c r="C24" s="1247" t="s">
        <v>1188</v>
      </c>
      <c r="D24" s="719"/>
      <c r="J24" s="190"/>
      <c r="K24" s="190" t="s">
        <v>884</v>
      </c>
      <c r="L24" s="190"/>
      <c r="M24" s="399" t="s">
        <v>327</v>
      </c>
      <c r="N24" s="190"/>
      <c r="O24" s="190"/>
      <c r="P24" s="190"/>
      <c r="Q24" s="190"/>
    </row>
    <row r="25" spans="1:17" ht="22.5" customHeight="1">
      <c r="A25" s="702" t="s">
        <v>42</v>
      </c>
      <c r="B25" s="785" t="s">
        <v>436</v>
      </c>
      <c r="D25" s="702" t="s">
        <v>44</v>
      </c>
      <c r="E25" s="785" t="s">
        <v>436</v>
      </c>
      <c r="J25" s="190" t="s">
        <v>436</v>
      </c>
      <c r="K25" s="399" t="s">
        <v>885</v>
      </c>
      <c r="L25" s="190"/>
      <c r="M25" s="399" t="s">
        <v>197</v>
      </c>
      <c r="N25" s="190"/>
      <c r="O25" s="700" t="s">
        <v>886</v>
      </c>
      <c r="P25" s="700"/>
      <c r="Q25" s="190"/>
    </row>
    <row r="26" spans="1:17" ht="22.5" customHeight="1">
      <c r="A26" s="702" t="s">
        <v>45</v>
      </c>
      <c r="G26" s="702" t="s">
        <v>1189</v>
      </c>
      <c r="J26" s="190" t="s">
        <v>436</v>
      </c>
      <c r="K26" s="190" t="s">
        <v>887</v>
      </c>
      <c r="L26" s="190"/>
      <c r="M26" s="399" t="s">
        <v>197</v>
      </c>
      <c r="N26" s="190"/>
      <c r="O26" s="700" t="s">
        <v>888</v>
      </c>
      <c r="P26" s="1348" t="s">
        <v>889</v>
      </c>
      <c r="Q26" s="190"/>
    </row>
    <row r="27" spans="1:17" ht="22.5" customHeight="1">
      <c r="A27" s="702" t="s">
        <v>896</v>
      </c>
      <c r="J27" s="190" t="s">
        <v>436</v>
      </c>
      <c r="K27" s="399" t="s">
        <v>890</v>
      </c>
      <c r="L27" s="190"/>
      <c r="M27" s="399" t="s">
        <v>124</v>
      </c>
      <c r="N27" s="190"/>
      <c r="O27" s="700" t="s">
        <v>891</v>
      </c>
      <c r="P27" s="1349"/>
      <c r="Q27" s="190"/>
    </row>
    <row r="28" spans="1:17" ht="48.75" customHeight="1">
      <c r="A28" s="723" t="s">
        <v>184</v>
      </c>
      <c r="B28" s="723" t="s">
        <v>46</v>
      </c>
      <c r="C28" s="723" t="s">
        <v>47</v>
      </c>
      <c r="D28" s="723" t="s">
        <v>48</v>
      </c>
      <c r="E28" s="723" t="s">
        <v>49</v>
      </c>
      <c r="F28" s="723" t="s">
        <v>50</v>
      </c>
      <c r="G28" s="723" t="s">
        <v>321</v>
      </c>
      <c r="J28" s="190" t="s">
        <v>436</v>
      </c>
      <c r="K28" s="190" t="s">
        <v>892</v>
      </c>
      <c r="L28" s="190"/>
      <c r="M28" s="399" t="s">
        <v>124</v>
      </c>
      <c r="N28" s="190"/>
      <c r="O28" s="700" t="s">
        <v>893</v>
      </c>
      <c r="P28" s="1350"/>
      <c r="Q28" s="190"/>
    </row>
    <row r="29" spans="1:17" s="727" customFormat="1" ht="24.95" customHeight="1">
      <c r="A29" s="724">
        <v>1</v>
      </c>
      <c r="B29" s="725" t="str">
        <f>IF(I29="","",VLOOKUP(I29,'4. PTDBT'!$C$2:$P$21,2,0))</f>
        <v>14C-00534</v>
      </c>
      <c r="C29" s="821">
        <f>IF(I29="","",VLOOKUP($I29,'4. PTDBT'!$C$7:$O$21,5,0)-$J$34)</f>
        <v>0.82986111111111072</v>
      </c>
      <c r="D29" s="400" t="str">
        <f>IF(I29="","","1-1;1-2;1-3")</f>
        <v>1-1;1-2;1-3</v>
      </c>
      <c r="E29" s="400">
        <f>IF(I29="","",VLOOKUP(I29,'4. PTDBT'!$C$6:$P$21,8,0))</f>
        <v>19</v>
      </c>
      <c r="F29" s="912">
        <f>IF(I29="","",9)</f>
        <v>9</v>
      </c>
      <c r="G29" s="726"/>
      <c r="I29" s="402">
        <f>IF(VLOOKUP($B$13,ĐTBBLMBT!$B:$AC,17,0)="","",VLOOKUP($B$13,ĐTBBLMBT!$B:$AC,17,0))</f>
        <v>1</v>
      </c>
      <c r="J29" s="190" t="s">
        <v>436</v>
      </c>
      <c r="K29" s="190" t="s">
        <v>922</v>
      </c>
      <c r="L29" s="190"/>
      <c r="M29" s="399" t="s">
        <v>124</v>
      </c>
      <c r="N29" s="190"/>
      <c r="O29" s="700" t="s">
        <v>891</v>
      </c>
      <c r="P29" s="700"/>
      <c r="Q29" s="190"/>
    </row>
    <row r="30" spans="1:17" s="727" customFormat="1" ht="24.95" customHeight="1">
      <c r="A30" s="724">
        <f>IF(I30="","",2)</f>
        <v>2</v>
      </c>
      <c r="B30" s="725" t="str">
        <f>IF(I30="","",VLOOKUP(I30,'4. PTDBT'!$C$2:$P$21,2,0))</f>
        <v>14P-0582</v>
      </c>
      <c r="C30" s="821">
        <f>IF(I30="","",VLOOKUP($I30,'4. PTDBT'!$C$7:$O$21,5,0)-$J$34)</f>
        <v>0.844907407407407</v>
      </c>
      <c r="D30" s="400" t="str">
        <f>IF(I30="","","2-1;2-2;2-3")</f>
        <v>2-1;2-2;2-3</v>
      </c>
      <c r="E30" s="400">
        <f>IF(I30="","",VLOOKUP(I30,'4. PTDBT'!$C$6:$P$21,8,0))</f>
        <v>18.5</v>
      </c>
      <c r="F30" s="912">
        <f>IF(I30="","",9)</f>
        <v>9</v>
      </c>
      <c r="G30" s="726"/>
      <c r="I30" s="402">
        <f>IF(VLOOKUP($B$13,ĐTBBLMBT!$B:$AC,18,0)="","",VLOOKUP($B$13,ĐTBBLMBT!$B:$AC,18,0))</f>
        <v>2</v>
      </c>
      <c r="J30" s="190" t="s">
        <v>436</v>
      </c>
      <c r="K30" s="190" t="s">
        <v>923</v>
      </c>
      <c r="L30" s="190"/>
      <c r="M30" s="399" t="s">
        <v>124</v>
      </c>
      <c r="N30" s="190"/>
      <c r="O30" s="700"/>
      <c r="P30" s="700"/>
      <c r="Q30" s="190"/>
    </row>
    <row r="31" spans="1:17" s="727" customFormat="1" ht="24.95" customHeight="1">
      <c r="A31" s="724">
        <f>IF(I31="","",3)</f>
        <v>3</v>
      </c>
      <c r="B31" s="725" t="str">
        <f>IF(I31="","",VLOOKUP(I31,'4. PTDBT'!$C$2:$P$21,2,0))</f>
        <v>14C-10388</v>
      </c>
      <c r="C31" s="821">
        <f>IF(I31="","",VLOOKUP($I31,'4. PTDBT'!$C$7:$O$21,5,0)-$J$34)</f>
        <v>0.86805555555555514</v>
      </c>
      <c r="D31" s="400" t="str">
        <f>IF(I31="","","3-1;3-2;3-3")</f>
        <v>3-1;3-2;3-3</v>
      </c>
      <c r="E31" s="400">
        <f>IF(I31="","",VLOOKUP(I31,'4. PTDBT'!$C$6:$P$21,8,0))</f>
        <v>19.5</v>
      </c>
      <c r="F31" s="912">
        <f>IF(I31="","",9)</f>
        <v>9</v>
      </c>
      <c r="G31" s="726"/>
      <c r="I31" s="402">
        <f>IF(VLOOKUP($B$13,ĐTBBLMBT!$B:$AC,19,0)="","",VLOOKUP($B$13,ĐTBBLMBT!$B:$AC,19,0))</f>
        <v>3</v>
      </c>
      <c r="J31" s="190" t="s">
        <v>436</v>
      </c>
      <c r="K31" s="190"/>
      <c r="L31" s="398" t="s">
        <v>878</v>
      </c>
      <c r="M31" s="190"/>
      <c r="N31" s="190"/>
      <c r="O31" s="190"/>
      <c r="P31" s="190"/>
      <c r="Q31" s="190"/>
    </row>
    <row r="32" spans="1:17" s="727" customFormat="1" ht="11.25" customHeight="1">
      <c r="A32" s="755" t="str">
        <f>IF(I32="","",4)</f>
        <v/>
      </c>
      <c r="B32" s="756" t="str">
        <f>IF(I32="","",VLOOKUP(I32,'4. PTDBT'!$C$2:$P$21,2,0))</f>
        <v/>
      </c>
      <c r="C32" s="757" t="str">
        <f>IF(I32="","",VLOOKUP($B$13,ĐTBBLMBT!$B:$AC,24,0))</f>
        <v/>
      </c>
      <c r="D32" s="755" t="str">
        <f>IF(I32="","","4-1;4-2;4-3")</f>
        <v/>
      </c>
      <c r="E32" s="755" t="str">
        <f>IF(I32="","",VLOOKUP(I32,'4. PTDBT'!$C$6:$P$21,8,0))</f>
        <v/>
      </c>
      <c r="F32" s="755" t="str">
        <f>IF(I32="","",9)</f>
        <v/>
      </c>
      <c r="G32" s="758"/>
      <c r="I32" s="402" t="str">
        <f>IF(VLOOKUP($B$13,ĐTBBLMBT!$B:$AC,20,0)="","",VLOOKUP($B$13,ĐTBBLMBT!$B:$AC,20,0))</f>
        <v/>
      </c>
      <c r="J32" s="190"/>
      <c r="K32" s="190"/>
      <c r="L32" s="398"/>
      <c r="M32" s="190"/>
      <c r="N32" s="190"/>
      <c r="O32" s="190"/>
      <c r="P32" s="190"/>
      <c r="Q32" s="190"/>
    </row>
    <row r="33" spans="1:17" ht="25.5" customHeight="1">
      <c r="A33" s="702" t="s">
        <v>51</v>
      </c>
      <c r="C33" s="884" t="s">
        <v>53</v>
      </c>
      <c r="D33" s="728"/>
      <c r="E33" s="728"/>
      <c r="F33" s="728"/>
      <c r="G33" s="728"/>
      <c r="J33" s="190"/>
      <c r="K33" s="190"/>
      <c r="L33" s="398" t="s">
        <v>894</v>
      </c>
      <c r="M33" s="190"/>
      <c r="N33" s="190"/>
      <c r="O33" s="190"/>
      <c r="P33" s="190"/>
      <c r="Q33" s="190"/>
    </row>
    <row r="34" spans="1:17" ht="24.95" customHeight="1">
      <c r="A34" s="702" t="s">
        <v>52</v>
      </c>
      <c r="C34" s="884" t="s">
        <v>439</v>
      </c>
      <c r="D34" s="728"/>
      <c r="E34" s="728"/>
      <c r="F34" s="728"/>
      <c r="G34" s="728"/>
      <c r="I34" s="1196">
        <v>3.472222222222222E-3</v>
      </c>
      <c r="J34" s="190">
        <v>3.472222222222222E-3</v>
      </c>
      <c r="K34" s="190"/>
      <c r="L34" s="190" t="s">
        <v>895</v>
      </c>
      <c r="M34" s="190"/>
      <c r="N34" s="190"/>
      <c r="O34" s="190"/>
      <c r="P34" s="190"/>
      <c r="Q34" s="190"/>
    </row>
    <row r="35" spans="1:17" ht="31.5" customHeight="1">
      <c r="A35" s="721" t="s">
        <v>901</v>
      </c>
      <c r="B35" s="721"/>
      <c r="C35" s="721"/>
      <c r="D35" s="721" t="s">
        <v>5</v>
      </c>
      <c r="E35" s="721"/>
      <c r="F35" s="1415" t="s">
        <v>902</v>
      </c>
      <c r="G35" s="1415"/>
      <c r="J35" s="190"/>
      <c r="K35" s="190"/>
      <c r="L35" s="190"/>
      <c r="M35" s="190"/>
      <c r="N35" s="190"/>
      <c r="O35" s="190"/>
      <c r="P35" s="190"/>
      <c r="Q35" s="190"/>
    </row>
    <row r="36" spans="1:17">
      <c r="J36" s="190"/>
      <c r="K36" s="190"/>
      <c r="L36" s="190"/>
      <c r="M36" s="190"/>
      <c r="N36" s="190"/>
      <c r="O36" s="190"/>
      <c r="P36" s="190"/>
      <c r="Q36" s="190"/>
    </row>
    <row r="40" spans="1:17">
      <c r="A40" s="1416"/>
      <c r="B40" s="1416"/>
      <c r="C40" s="1416"/>
      <c r="D40" s="1416"/>
      <c r="E40" s="1416"/>
      <c r="F40" s="1417"/>
      <c r="G40" s="1417"/>
    </row>
  </sheetData>
  <mergeCells count="16">
    <mergeCell ref="J18:O18"/>
    <mergeCell ref="K21:O21"/>
    <mergeCell ref="P26:P28"/>
    <mergeCell ref="A1:G1"/>
    <mergeCell ref="A2:G2"/>
    <mergeCell ref="A3:G3"/>
    <mergeCell ref="D4:G4"/>
    <mergeCell ref="A5:G5"/>
    <mergeCell ref="A6:G6"/>
    <mergeCell ref="F35:G35"/>
    <mergeCell ref="A40:B40"/>
    <mergeCell ref="C40:E40"/>
    <mergeCell ref="F40:G40"/>
    <mergeCell ref="B9:G9"/>
    <mergeCell ref="A14:G14"/>
    <mergeCell ref="A15:G15"/>
  </mergeCells>
  <conditionalFormatting sqref="A32:G32">
    <cfRule type="cellIs" dxfId="7" priority="1" stopIfTrue="1" operator="equal">
      <formula>4</formula>
    </cfRule>
  </conditionalFormatting>
  <printOptions horizontalCentered="1"/>
  <pageMargins left="0.70866141732283472" right="0" top="0.51181102362204722" bottom="0.51181102362204722"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40"/>
  <sheetViews>
    <sheetView view="pageBreakPreview" topLeftCell="A16" zoomScaleNormal="100" zoomScaleSheetLayoutView="100" workbookViewId="0">
      <selection activeCell="C29" sqref="C29"/>
    </sheetView>
  </sheetViews>
  <sheetFormatPr defaultRowHeight="15.75"/>
  <cols>
    <col min="1" max="1" width="16.140625" style="702" customWidth="1"/>
    <col min="2" max="2" width="11.28515625" style="702" customWidth="1"/>
    <col min="3" max="3" width="15.28515625" style="703" customWidth="1"/>
    <col min="4" max="4" width="15.5703125" style="702" customWidth="1"/>
    <col min="5" max="5" width="9.140625" style="702"/>
    <col min="6" max="6" width="12.85546875" style="702" customWidth="1"/>
    <col min="7" max="7" width="13" style="702" customWidth="1"/>
    <col min="8" max="16384" width="9.140625" style="702"/>
  </cols>
  <sheetData>
    <row r="1" spans="1:16" s="396" customFormat="1" ht="16.5" customHeight="1">
      <c r="A1" s="1423" t="s">
        <v>336</v>
      </c>
      <c r="B1" s="1423"/>
      <c r="C1" s="1423"/>
      <c r="D1" s="1423"/>
      <c r="E1" s="1423"/>
      <c r="F1" s="1423"/>
      <c r="G1" s="1423"/>
      <c r="I1" s="207"/>
      <c r="J1" s="207"/>
      <c r="K1" s="207"/>
      <c r="L1" s="207"/>
      <c r="M1" s="207"/>
      <c r="N1" s="174"/>
      <c r="O1" s="397"/>
      <c r="P1" s="397"/>
    </row>
    <row r="2" spans="1:16" s="396" customFormat="1" ht="15" customHeight="1">
      <c r="A2" s="1424" t="s">
        <v>344</v>
      </c>
      <c r="B2" s="1424"/>
      <c r="C2" s="1424"/>
      <c r="D2" s="1424"/>
      <c r="E2" s="1424"/>
      <c r="F2" s="1424"/>
      <c r="G2" s="1424"/>
      <c r="I2" s="204"/>
      <c r="J2" s="204"/>
      <c r="K2" s="204"/>
      <c r="L2" s="204"/>
      <c r="M2" s="204"/>
      <c r="N2" s="176"/>
      <c r="O2" s="397"/>
      <c r="P2" s="397"/>
    </row>
    <row r="3" spans="1:16" s="396" customFormat="1" ht="15" customHeight="1">
      <c r="A3" s="1425" t="s">
        <v>155</v>
      </c>
      <c r="B3" s="1425"/>
      <c r="C3" s="1425"/>
      <c r="D3" s="1425"/>
      <c r="E3" s="1425"/>
      <c r="F3" s="1425"/>
      <c r="G3" s="1425"/>
      <c r="I3" s="207"/>
      <c r="J3" s="207"/>
      <c r="K3" s="207"/>
      <c r="L3" s="207"/>
      <c r="M3" s="207"/>
      <c r="N3" s="174"/>
      <c r="O3" s="397"/>
      <c r="P3" s="397"/>
    </row>
    <row r="4" spans="1:16" ht="17.25" customHeight="1">
      <c r="A4" s="701"/>
      <c r="B4" s="701"/>
      <c r="C4" s="701"/>
      <c r="D4" s="1426">
        <f>'2. NK'!G52</f>
        <v>42466</v>
      </c>
      <c r="E4" s="1426"/>
      <c r="F4" s="1426"/>
      <c r="G4" s="1426"/>
    </row>
    <row r="5" spans="1:16">
      <c r="A5" s="1427"/>
      <c r="B5" s="1427"/>
      <c r="C5" s="1427"/>
      <c r="D5" s="1427"/>
      <c r="E5" s="1427"/>
      <c r="F5" s="1427"/>
      <c r="G5" s="1427"/>
    </row>
    <row r="6" spans="1:16" ht="25.5" customHeight="1">
      <c r="A6" s="1428" t="s">
        <v>40</v>
      </c>
      <c r="B6" s="1428"/>
      <c r="C6" s="1428"/>
      <c r="D6" s="1428"/>
      <c r="E6" s="1428"/>
      <c r="F6" s="1428"/>
      <c r="G6" s="1428"/>
    </row>
    <row r="7" spans="1:16" ht="21.75" customHeight="1">
      <c r="A7" s="704"/>
      <c r="B7" s="704"/>
      <c r="C7" s="705" t="str">
        <f>"SỐ:TGHL-HT-"&amp;'2. NK'!D10&amp;"/"&amp;'2. NK'!H10&amp;"/LMTN"</f>
        <v>SỐ:TGHL-HT-B1/800/LMTN</v>
      </c>
      <c r="D7" s="706"/>
      <c r="E7" s="707"/>
      <c r="F7" s="704"/>
      <c r="G7" s="704"/>
    </row>
    <row r="8" spans="1:16" ht="14.25" customHeight="1">
      <c r="A8" s="704"/>
      <c r="B8" s="704"/>
      <c r="C8" s="705"/>
      <c r="D8" s="706"/>
      <c r="E8" s="707"/>
      <c r="F8" s="704"/>
      <c r="G8" s="704"/>
    </row>
    <row r="9" spans="1:16" s="710" customFormat="1" ht="31.5" customHeight="1">
      <c r="A9" s="708" t="s">
        <v>897</v>
      </c>
      <c r="B9" s="1418" t="str">
        <f>'[9]Du lieu'!C4</f>
        <v>KHU HỖN HỢP CHUNG CƯ, VĂN PHÒNG, TRUNG TÂM THƯƠNG MẠI VÀ NHÀ Ở KẾT HỢP KHU MUA SẮM</v>
      </c>
      <c r="C9" s="1418"/>
      <c r="D9" s="1418"/>
      <c r="E9" s="1418"/>
      <c r="F9" s="1418"/>
      <c r="G9" s="1418"/>
    </row>
    <row r="10" spans="1:16" s="710" customFormat="1" ht="15">
      <c r="A10" s="708" t="s">
        <v>480</v>
      </c>
      <c r="B10" s="711" t="s">
        <v>898</v>
      </c>
      <c r="C10" s="709"/>
      <c r="D10" s="709"/>
      <c r="E10" s="709"/>
      <c r="F10" s="709"/>
      <c r="G10" s="709"/>
    </row>
    <row r="11" spans="1:16" s="710" customFormat="1" ht="15">
      <c r="A11" s="712" t="s">
        <v>857</v>
      </c>
      <c r="B11" s="713" t="s">
        <v>899</v>
      </c>
      <c r="C11" s="714"/>
      <c r="E11" s="715"/>
      <c r="F11" s="715"/>
      <c r="G11" s="715"/>
    </row>
    <row r="12" spans="1:16" s="710" customFormat="1" ht="15">
      <c r="A12" s="716" t="s">
        <v>858</v>
      </c>
      <c r="B12" s="717" t="s">
        <v>900</v>
      </c>
      <c r="C12" s="714"/>
      <c r="E12" s="715"/>
      <c r="F12" s="715"/>
      <c r="G12" s="715"/>
    </row>
    <row r="13" spans="1:16">
      <c r="A13" s="718" t="s">
        <v>335</v>
      </c>
      <c r="B13" s="719" t="str">
        <f>'2. NK'!D10</f>
        <v>B1</v>
      </c>
    </row>
    <row r="14" spans="1:16" ht="22.5" customHeight="1">
      <c r="A14" s="1419">
        <f>D4</f>
        <v>42466</v>
      </c>
      <c r="B14" s="1419"/>
      <c r="C14" s="1419"/>
      <c r="D14" s="1419"/>
      <c r="E14" s="1419"/>
      <c r="F14" s="1419"/>
      <c r="G14" s="1419"/>
    </row>
    <row r="15" spans="1:16" ht="20.100000000000001" customHeight="1">
      <c r="A15" s="1420" t="str">
        <f>I15</f>
        <v>1 - Đại diện chủ đầu tư : Ban QLDA Times garden Hạ Long</v>
      </c>
      <c r="B15" s="1420"/>
      <c r="C15" s="1420"/>
      <c r="D15" s="1420"/>
      <c r="E15" s="1420"/>
      <c r="F15" s="1420"/>
      <c r="G15" s="1420"/>
      <c r="I15" s="482" t="s">
        <v>1021</v>
      </c>
    </row>
    <row r="16" spans="1:16" ht="22.5" customHeight="1">
      <c r="A16" s="720" t="s">
        <v>41</v>
      </c>
      <c r="B16" s="785" t="str">
        <f>VLOOKUP($B$13,ĐTBBLMBT!$B:$AC,2,0)</f>
        <v>.....................................</v>
      </c>
      <c r="D16" s="702" t="s">
        <v>43</v>
      </c>
      <c r="E16" s="785" t="str">
        <f>VLOOKUP($B$13,ĐTBBLMBT!$B:$AC,3,0)</f>
        <v>.....................................</v>
      </c>
    </row>
    <row r="17" spans="1:17" ht="22.5" customHeight="1">
      <c r="A17" s="720" t="s">
        <v>41</v>
      </c>
      <c r="B17" s="785" t="str">
        <f>VLOOKUP($B$13,ĐTBBLMBT!$B:$AC,4,0)</f>
        <v>.....................................</v>
      </c>
      <c r="D17" s="702" t="s">
        <v>43</v>
      </c>
      <c r="E17" s="785" t="str">
        <f>VLOOKUP($B$13,ĐTBBLMBT!$B:$AC,5,0)</f>
        <v>.....................................</v>
      </c>
      <c r="F17" s="720"/>
    </row>
    <row r="18" spans="1:17" ht="20.100000000000001" customHeight="1">
      <c r="A18" s="721" t="s">
        <v>1022</v>
      </c>
      <c r="J18" s="1421" t="s">
        <v>852</v>
      </c>
      <c r="K18" s="1421"/>
      <c r="L18" s="1421"/>
      <c r="M18" s="1421"/>
      <c r="N18" s="1421"/>
      <c r="O18" s="1421"/>
    </row>
    <row r="19" spans="1:17" ht="22.5" customHeight="1">
      <c r="A19" s="720" t="s">
        <v>41</v>
      </c>
      <c r="B19" s="785" t="str">
        <f>VLOOKUP($B$13,ĐTBBLMBT!$B:$AC,6,0)</f>
        <v>.....................................</v>
      </c>
      <c r="D19" s="702" t="s">
        <v>43</v>
      </c>
      <c r="E19" s="785" t="str">
        <f>VLOOKUP($B$13,ĐTBBLMBT!$B:$AC,7,0)</f>
        <v>.....................................</v>
      </c>
    </row>
    <row r="20" spans="1:17" ht="22.5" customHeight="1">
      <c r="A20" s="720" t="s">
        <v>41</v>
      </c>
      <c r="B20" s="785" t="str">
        <f>VLOOKUP($B$13,ĐTBBLMBT!$B:$AC,8,0)</f>
        <v>.....................................</v>
      </c>
      <c r="D20" s="702" t="s">
        <v>43</v>
      </c>
      <c r="E20" s="785" t="str">
        <f>VLOOKUP($B$13,ĐTBBLMBT!$B:$AC,9,0)</f>
        <v>.....................................</v>
      </c>
      <c r="F20" s="720"/>
    </row>
    <row r="21" spans="1:17" ht="22.5" customHeight="1">
      <c r="A21" s="719" t="s">
        <v>871</v>
      </c>
      <c r="K21" s="1422" t="str">
        <f>'[9]Du lieu'!C15</f>
        <v>CÔNG TY TRÁCH NHIỆM HỮU HẠN MỘT THÀNH VIÊN HANTECH</v>
      </c>
      <c r="L21" s="1422"/>
      <c r="M21" s="1422"/>
      <c r="N21" s="1422"/>
      <c r="O21" s="1422"/>
    </row>
    <row r="22" spans="1:17" ht="22.5" customHeight="1">
      <c r="A22" s="702" t="s">
        <v>42</v>
      </c>
      <c r="B22" s="785" t="str">
        <f>VLOOKUP($B$13,ĐTBBLMBT!$B:$AC,10,0)</f>
        <v>Nguyễn Duy Long</v>
      </c>
      <c r="D22" s="702" t="s">
        <v>44</v>
      </c>
      <c r="E22" s="785" t="str">
        <f>VLOOKUP($B$13,ĐTBBLMBT!$B:$AC,11,0)</f>
        <v>CBKT</v>
      </c>
    </row>
    <row r="23" spans="1:17" ht="22.5" customHeight="1">
      <c r="A23" s="720" t="s">
        <v>41</v>
      </c>
      <c r="B23" s="785" t="str">
        <f>VLOOKUP($B$13,ĐTBBLMBT!$B:$AC,12,0)</f>
        <v>.....................................</v>
      </c>
      <c r="D23" s="720" t="s">
        <v>44</v>
      </c>
      <c r="E23" s="785" t="str">
        <f>VLOOKUP($B$13,ĐTBBLMBT!$B:$AC,13,0)</f>
        <v>.....................................</v>
      </c>
      <c r="F23" s="720"/>
      <c r="J23" s="190"/>
      <c r="K23" s="399" t="s">
        <v>883</v>
      </c>
      <c r="L23" s="190"/>
      <c r="M23" s="399" t="s">
        <v>327</v>
      </c>
      <c r="N23" s="399"/>
      <c r="O23" s="399"/>
      <c r="P23" s="190"/>
      <c r="Q23" s="190"/>
    </row>
    <row r="24" spans="1:17" ht="22.5" customHeight="1">
      <c r="A24" s="719" t="s">
        <v>1023</v>
      </c>
      <c r="B24" s="722"/>
      <c r="C24" s="786" t="str">
        <f>VLOOKUP($B$13,ĐTBBLMBT!$B:$AC,16,0)</f>
        <v>Công ty Cổ phần và Xây dựng Quảng Ninh</v>
      </c>
      <c r="D24" s="719"/>
      <c r="J24" s="190"/>
      <c r="K24" s="190" t="s">
        <v>884</v>
      </c>
      <c r="L24" s="190"/>
      <c r="M24" s="399" t="s">
        <v>327</v>
      </c>
      <c r="N24" s="190"/>
      <c r="O24" s="190"/>
      <c r="P24" s="190"/>
      <c r="Q24" s="190"/>
    </row>
    <row r="25" spans="1:17" ht="22.5" customHeight="1">
      <c r="A25" s="702" t="s">
        <v>42</v>
      </c>
      <c r="B25" s="785" t="str">
        <f>VLOOKUP($B$13,ĐTBBLMBT!$B:$AC,14,0)</f>
        <v>.....................................</v>
      </c>
      <c r="D25" s="702" t="s">
        <v>44</v>
      </c>
      <c r="E25" s="785" t="str">
        <f>VLOOKUP($B$13,ĐTBBLMBT!$B:$AC,15,0)</f>
        <v>.....................................</v>
      </c>
      <c r="J25" s="190" t="s">
        <v>436</v>
      </c>
      <c r="K25" s="399" t="s">
        <v>885</v>
      </c>
      <c r="L25" s="190"/>
      <c r="M25" s="399" t="s">
        <v>197</v>
      </c>
      <c r="N25" s="190"/>
      <c r="O25" s="700" t="s">
        <v>886</v>
      </c>
      <c r="P25" s="700"/>
      <c r="Q25" s="190"/>
    </row>
    <row r="26" spans="1:17" ht="22.5" customHeight="1">
      <c r="A26" s="702" t="s">
        <v>45</v>
      </c>
      <c r="J26" s="190" t="s">
        <v>436</v>
      </c>
      <c r="K26" s="190" t="s">
        <v>887</v>
      </c>
      <c r="L26" s="190"/>
      <c r="M26" s="399" t="s">
        <v>197</v>
      </c>
      <c r="N26" s="190"/>
      <c r="O26" s="700" t="s">
        <v>888</v>
      </c>
      <c r="P26" s="1348" t="s">
        <v>889</v>
      </c>
      <c r="Q26" s="190"/>
    </row>
    <row r="27" spans="1:17" ht="22.5" customHeight="1">
      <c r="A27" s="702" t="s">
        <v>896</v>
      </c>
      <c r="J27" s="190" t="s">
        <v>436</v>
      </c>
      <c r="K27" s="399" t="s">
        <v>890</v>
      </c>
      <c r="L27" s="190"/>
      <c r="M27" s="399" t="s">
        <v>124</v>
      </c>
      <c r="N27" s="190"/>
      <c r="O27" s="700" t="s">
        <v>891</v>
      </c>
      <c r="P27" s="1349"/>
      <c r="Q27" s="190"/>
    </row>
    <row r="28" spans="1:17" ht="48.75" customHeight="1">
      <c r="A28" s="723" t="s">
        <v>184</v>
      </c>
      <c r="B28" s="723" t="s">
        <v>46</v>
      </c>
      <c r="C28" s="723" t="s">
        <v>47</v>
      </c>
      <c r="D28" s="723" t="s">
        <v>48</v>
      </c>
      <c r="E28" s="723" t="s">
        <v>49</v>
      </c>
      <c r="F28" s="723" t="s">
        <v>50</v>
      </c>
      <c r="G28" s="723" t="s">
        <v>321</v>
      </c>
      <c r="J28" s="190" t="s">
        <v>436</v>
      </c>
      <c r="K28" s="190" t="s">
        <v>892</v>
      </c>
      <c r="L28" s="190"/>
      <c r="M28" s="399" t="s">
        <v>124</v>
      </c>
      <c r="N28" s="190"/>
      <c r="O28" s="700" t="s">
        <v>893</v>
      </c>
      <c r="P28" s="1350"/>
      <c r="Q28" s="190"/>
    </row>
    <row r="29" spans="1:17" s="727" customFormat="1" ht="24.95" customHeight="1">
      <c r="A29" s="724">
        <v>1</v>
      </c>
      <c r="B29" s="725" t="str">
        <f>IF(I29="","",VLOOKUP(I29,'4. PTDBT'!$C$2:$P$21,2,0))</f>
        <v>14C-00534</v>
      </c>
      <c r="C29" s="821">
        <f>IF(I29="","",VLOOKUP($B$13,ĐTBBLMBT!$B:$AC,21,0))</f>
        <v>0.1388888888888889</v>
      </c>
      <c r="D29" s="400" t="str">
        <f>IF(I29="","","1-1;1-2;1-3")</f>
        <v>1-1;1-2;1-3</v>
      </c>
      <c r="E29" s="400">
        <f>IF(I29="","",VLOOKUP(I29,'4. PTDBT'!$C$6:$P$21,8,0))</f>
        <v>19</v>
      </c>
      <c r="F29" s="912">
        <f>IF(I29="","",9)</f>
        <v>9</v>
      </c>
      <c r="G29" s="726"/>
      <c r="I29" s="402">
        <f>IF(VLOOKUP($B$13,ĐTBBLMBT!$B:$AC,17,0)="","",VLOOKUP($B$13,ĐTBBLMBT!$B:$AC,17,0))</f>
        <v>1</v>
      </c>
      <c r="J29" s="190" t="s">
        <v>436</v>
      </c>
      <c r="K29" s="190" t="s">
        <v>922</v>
      </c>
      <c r="L29" s="190"/>
      <c r="M29" s="399" t="s">
        <v>124</v>
      </c>
      <c r="N29" s="190"/>
      <c r="O29" s="700" t="s">
        <v>891</v>
      </c>
      <c r="P29" s="700"/>
      <c r="Q29" s="190"/>
    </row>
    <row r="30" spans="1:17" s="727" customFormat="1" ht="24.95" customHeight="1">
      <c r="A30" s="724">
        <f>IF(I30="","",2)</f>
        <v>2</v>
      </c>
      <c r="B30" s="725" t="str">
        <f>IF(I30="","",VLOOKUP(I30,'4. PTDBT'!$C$2:$P$21,2,0))</f>
        <v>14P-0582</v>
      </c>
      <c r="C30" s="821">
        <f>IF(I30="","",VLOOKUP($B$13,ĐTBBLMBT!$B:$AC,22,0))</f>
        <v>0.14583333333333334</v>
      </c>
      <c r="D30" s="400" t="str">
        <f>IF(I30="","","2-1;2-2;2-3")</f>
        <v>2-1;2-2;2-3</v>
      </c>
      <c r="E30" s="400">
        <f>IF(I30="","",VLOOKUP(I30,'4. PTDBT'!$C$6:$P$21,8,0))</f>
        <v>18.5</v>
      </c>
      <c r="F30" s="912">
        <f>IF(I30="","",9)</f>
        <v>9</v>
      </c>
      <c r="G30" s="726"/>
      <c r="I30" s="402">
        <f>IF(VLOOKUP($B$13,ĐTBBLMBT!$B:$AC,18,0)="","",VLOOKUP($B$13,ĐTBBLMBT!$B:$AC,18,0))</f>
        <v>2</v>
      </c>
      <c r="J30" s="190" t="s">
        <v>436</v>
      </c>
      <c r="K30" s="190" t="s">
        <v>923</v>
      </c>
      <c r="L30" s="190"/>
      <c r="M30" s="399" t="s">
        <v>124</v>
      </c>
      <c r="N30" s="190"/>
      <c r="O30" s="700"/>
      <c r="P30" s="700"/>
      <c r="Q30" s="190"/>
    </row>
    <row r="31" spans="1:17" s="727" customFormat="1" ht="24.95" customHeight="1">
      <c r="A31" s="724">
        <f>IF(I31="","",3)</f>
        <v>3</v>
      </c>
      <c r="B31" s="725" t="str">
        <f>IF(I31="","",VLOOKUP(I31,'4. PTDBT'!$C$2:$P$21,2,0))</f>
        <v>14C-10388</v>
      </c>
      <c r="C31" s="821">
        <f>IF(I31="","",VLOOKUP($B$13,ĐTBBLMBT!$B:$AC,23,0))</f>
        <v>0.18055555555555555</v>
      </c>
      <c r="D31" s="400" t="str">
        <f>IF(I31="","","3-1;3-2;3-3")</f>
        <v>3-1;3-2;3-3</v>
      </c>
      <c r="E31" s="400">
        <f>IF(I31="","",VLOOKUP(I31,'4. PTDBT'!$C$6:$P$21,8,0))</f>
        <v>19.5</v>
      </c>
      <c r="F31" s="912">
        <f>IF(I31="","",9)</f>
        <v>9</v>
      </c>
      <c r="G31" s="726"/>
      <c r="I31" s="402">
        <f>IF(VLOOKUP($B$13,ĐTBBLMBT!$B:$AC,19,0)="","",VLOOKUP($B$13,ĐTBBLMBT!$B:$AC,19,0))</f>
        <v>3</v>
      </c>
      <c r="J31" s="190" t="s">
        <v>436</v>
      </c>
      <c r="K31" s="190"/>
      <c r="L31" s="398" t="s">
        <v>878</v>
      </c>
      <c r="M31" s="190"/>
      <c r="N31" s="190"/>
      <c r="O31" s="190"/>
      <c r="P31" s="190"/>
      <c r="Q31" s="190"/>
    </row>
    <row r="32" spans="1:17" s="727" customFormat="1" ht="24.95" customHeight="1">
      <c r="A32" s="755" t="str">
        <f>IF(I32="","",4)</f>
        <v/>
      </c>
      <c r="B32" s="756" t="str">
        <f>IF(I32="","",VLOOKUP(I32,'4. PTDBT'!$C$2:$P$21,2,0))</f>
        <v/>
      </c>
      <c r="C32" s="757" t="str">
        <f>IF(I32="","",VLOOKUP($B$13,ĐTBBLMBT!$B:$AC,24,0))</f>
        <v/>
      </c>
      <c r="D32" s="755" t="str">
        <f>IF(I32="","","4-1;4-2;4-3")</f>
        <v/>
      </c>
      <c r="E32" s="755" t="str">
        <f>IF(I32="","",VLOOKUP(I32,'4. PTDBT'!$C$6:$P$21,8,0))</f>
        <v/>
      </c>
      <c r="F32" s="755" t="str">
        <f>IF(I32="","",9)</f>
        <v/>
      </c>
      <c r="G32" s="758"/>
      <c r="I32" s="402" t="str">
        <f>IF(VLOOKUP($B$13,ĐTBBLMBT!$B:$AC,20,0)="","",VLOOKUP($B$13,ĐTBBLMBT!$B:$AC,20,0))</f>
        <v/>
      </c>
      <c r="J32" s="190"/>
      <c r="K32" s="190"/>
      <c r="L32" s="398"/>
      <c r="M32" s="190"/>
      <c r="N32" s="190"/>
      <c r="O32" s="190"/>
      <c r="P32" s="190"/>
      <c r="Q32" s="190"/>
    </row>
    <row r="33" spans="1:17" ht="25.5" customHeight="1">
      <c r="A33" s="702" t="s">
        <v>51</v>
      </c>
      <c r="C33" s="884" t="s">
        <v>53</v>
      </c>
      <c r="D33" s="728"/>
      <c r="E33" s="728"/>
      <c r="F33" s="728"/>
      <c r="G33" s="728"/>
      <c r="J33" s="190"/>
      <c r="K33" s="190"/>
      <c r="L33" s="398" t="s">
        <v>894</v>
      </c>
      <c r="M33" s="190"/>
      <c r="N33" s="190"/>
      <c r="O33" s="190"/>
      <c r="P33" s="190"/>
      <c r="Q33" s="190"/>
    </row>
    <row r="34" spans="1:17" ht="24.95" customHeight="1">
      <c r="A34" s="702" t="s">
        <v>52</v>
      </c>
      <c r="C34" s="884" t="s">
        <v>439</v>
      </c>
      <c r="D34" s="728"/>
      <c r="E34" s="728"/>
      <c r="F34" s="728"/>
      <c r="G34" s="728"/>
      <c r="J34" s="190"/>
      <c r="K34" s="190"/>
      <c r="L34" s="190" t="s">
        <v>895</v>
      </c>
      <c r="M34" s="190"/>
      <c r="N34" s="190"/>
      <c r="O34" s="190"/>
      <c r="P34" s="190"/>
      <c r="Q34" s="190"/>
    </row>
    <row r="35" spans="1:17" ht="31.5" customHeight="1">
      <c r="A35" s="721" t="s">
        <v>901</v>
      </c>
      <c r="B35" s="721"/>
      <c r="C35" s="721"/>
      <c r="D35" s="721" t="s">
        <v>5</v>
      </c>
      <c r="E35" s="721"/>
      <c r="F35" s="1415" t="s">
        <v>902</v>
      </c>
      <c r="G35" s="1415"/>
      <c r="J35" s="190"/>
      <c r="K35" s="190"/>
      <c r="L35" s="190"/>
      <c r="M35" s="190"/>
      <c r="N35" s="190"/>
      <c r="O35" s="190"/>
      <c r="P35" s="190"/>
      <c r="Q35" s="190"/>
    </row>
    <row r="36" spans="1:17">
      <c r="J36" s="190"/>
      <c r="K36" s="190"/>
      <c r="L36" s="190"/>
      <c r="M36" s="190"/>
      <c r="N36" s="190"/>
      <c r="O36" s="190"/>
      <c r="P36" s="190"/>
      <c r="Q36" s="190"/>
    </row>
    <row r="40" spans="1:17">
      <c r="A40" s="1416"/>
      <c r="B40" s="1416"/>
      <c r="C40" s="1416"/>
      <c r="D40" s="1416"/>
      <c r="E40" s="1416"/>
      <c r="F40" s="1417"/>
      <c r="G40" s="1417"/>
    </row>
  </sheetData>
  <mergeCells count="16">
    <mergeCell ref="F35:G35"/>
    <mergeCell ref="A40:B40"/>
    <mergeCell ref="C40:E40"/>
    <mergeCell ref="F40:G40"/>
    <mergeCell ref="B9:G9"/>
    <mergeCell ref="A14:G14"/>
    <mergeCell ref="A15:G15"/>
    <mergeCell ref="J18:O18"/>
    <mergeCell ref="K21:O21"/>
    <mergeCell ref="P26:P28"/>
    <mergeCell ref="A1:G1"/>
    <mergeCell ref="A2:G2"/>
    <mergeCell ref="A3:G3"/>
    <mergeCell ref="D4:G4"/>
    <mergeCell ref="A5:G5"/>
    <mergeCell ref="A6:G6"/>
  </mergeCells>
  <conditionalFormatting sqref="A32:G32">
    <cfRule type="cellIs" dxfId="6" priority="1" stopIfTrue="1" operator="equal">
      <formula>4</formula>
    </cfRule>
  </conditionalFormatting>
  <printOptions horizontalCentered="1"/>
  <pageMargins left="0.70866141732283472" right="0" top="0.51181102362204722" bottom="0.51181102362204722"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J220"/>
  <sheetViews>
    <sheetView zoomScaleNormal="100" workbookViewId="0">
      <pane ySplit="3" topLeftCell="A85" activePane="bottomLeft" state="frozen"/>
      <selection activeCell="I1" sqref="I1"/>
      <selection pane="bottomLeft" activeCell="B91" sqref="B91"/>
    </sheetView>
  </sheetViews>
  <sheetFormatPr defaultRowHeight="12.75"/>
  <cols>
    <col min="1" max="2" width="9.140625" style="825"/>
    <col min="3" max="3" width="16.42578125" style="825" customWidth="1"/>
    <col min="4" max="4" width="13.42578125" style="825" customWidth="1"/>
    <col min="5" max="5" width="10.28515625" style="825" customWidth="1"/>
    <col min="6" max="16" width="9.140625" style="825"/>
    <col min="17" max="17" width="26.7109375" style="825" customWidth="1"/>
    <col min="18" max="28" width="9.140625" style="825"/>
  </cols>
  <sheetData>
    <row r="1" spans="1:36">
      <c r="A1" s="1430" t="s">
        <v>939</v>
      </c>
      <c r="B1" s="1430" t="s">
        <v>938</v>
      </c>
      <c r="C1" s="1433" t="s">
        <v>997</v>
      </c>
      <c r="D1" s="1433"/>
      <c r="E1" s="1433"/>
      <c r="F1" s="1433"/>
      <c r="G1" s="1433" t="s">
        <v>197</v>
      </c>
      <c r="H1" s="1433"/>
      <c r="I1" s="1433"/>
      <c r="J1" s="1433"/>
      <c r="K1" s="1433" t="s">
        <v>998</v>
      </c>
      <c r="L1" s="1433"/>
      <c r="M1" s="1433"/>
      <c r="N1" s="1433"/>
      <c r="O1" s="1433" t="s">
        <v>999</v>
      </c>
      <c r="P1" s="1433"/>
      <c r="Q1" s="859"/>
      <c r="R1" s="1433" t="s">
        <v>1003</v>
      </c>
      <c r="S1" s="1433"/>
      <c r="T1" s="1433"/>
      <c r="U1" s="1433"/>
      <c r="V1" s="1433" t="s">
        <v>1004</v>
      </c>
      <c r="W1" s="1433"/>
      <c r="X1" s="1433"/>
      <c r="Y1" s="1433"/>
      <c r="Z1" s="1429" t="s">
        <v>1005</v>
      </c>
      <c r="AA1" s="1429"/>
      <c r="AB1" s="1429"/>
      <c r="AC1" s="1429"/>
    </row>
    <row r="2" spans="1:36" ht="15.75">
      <c r="A2" s="1431"/>
      <c r="B2" s="1432"/>
      <c r="C2" s="859" t="s">
        <v>1000</v>
      </c>
      <c r="D2" s="859" t="s">
        <v>1001</v>
      </c>
      <c r="E2" s="859" t="s">
        <v>1000</v>
      </c>
      <c r="F2" s="859" t="s">
        <v>1001</v>
      </c>
      <c r="G2" s="859" t="s">
        <v>1000</v>
      </c>
      <c r="H2" s="859" t="s">
        <v>1001</v>
      </c>
      <c r="I2" s="859" t="s">
        <v>1000</v>
      </c>
      <c r="J2" s="859" t="s">
        <v>1001</v>
      </c>
      <c r="K2" s="859" t="s">
        <v>1000</v>
      </c>
      <c r="L2" s="859" t="s">
        <v>1001</v>
      </c>
      <c r="M2" s="859" t="s">
        <v>1000</v>
      </c>
      <c r="N2" s="859" t="s">
        <v>1001</v>
      </c>
      <c r="O2" s="859" t="s">
        <v>1000</v>
      </c>
      <c r="P2" s="859" t="s">
        <v>1001</v>
      </c>
      <c r="Q2" s="859" t="s">
        <v>1002</v>
      </c>
      <c r="R2" s="859">
        <v>1</v>
      </c>
      <c r="S2" s="859">
        <v>2</v>
      </c>
      <c r="T2" s="859">
        <v>3</v>
      </c>
      <c r="U2" s="859">
        <v>4</v>
      </c>
      <c r="V2" s="859">
        <v>1</v>
      </c>
      <c r="W2" s="859">
        <v>2</v>
      </c>
      <c r="X2" s="859">
        <v>3</v>
      </c>
      <c r="Y2" s="859">
        <v>4</v>
      </c>
      <c r="Z2" s="859">
        <v>1</v>
      </c>
      <c r="AA2" s="859">
        <v>2</v>
      </c>
      <c r="AB2" s="859">
        <v>3</v>
      </c>
      <c r="AC2" s="859">
        <v>4</v>
      </c>
      <c r="AD2" s="398" t="s">
        <v>878</v>
      </c>
      <c r="AE2" s="190"/>
      <c r="AF2" s="190"/>
      <c r="AG2" s="190"/>
      <c r="AH2" s="190"/>
    </row>
    <row r="3" spans="1:36" ht="15.75">
      <c r="A3" s="1432"/>
      <c r="B3" s="838">
        <v>1</v>
      </c>
      <c r="C3" s="838">
        <v>2</v>
      </c>
      <c r="D3" s="838">
        <v>3</v>
      </c>
      <c r="E3" s="838">
        <v>4</v>
      </c>
      <c r="F3" s="838">
        <v>5</v>
      </c>
      <c r="G3" s="838">
        <v>6</v>
      </c>
      <c r="H3" s="838">
        <v>7</v>
      </c>
      <c r="I3" s="838">
        <v>8</v>
      </c>
      <c r="J3" s="838">
        <v>9</v>
      </c>
      <c r="K3" s="838">
        <v>10</v>
      </c>
      <c r="L3" s="838">
        <v>11</v>
      </c>
      <c r="M3" s="838">
        <v>12</v>
      </c>
      <c r="N3" s="838">
        <v>13</v>
      </c>
      <c r="O3" s="838">
        <v>14</v>
      </c>
      <c r="P3" s="838">
        <v>15</v>
      </c>
      <c r="Q3" s="838">
        <v>16</v>
      </c>
      <c r="R3" s="838">
        <v>17</v>
      </c>
      <c r="S3" s="838">
        <v>18</v>
      </c>
      <c r="T3" s="838">
        <v>19</v>
      </c>
      <c r="U3" s="838">
        <v>20</v>
      </c>
      <c r="V3" s="838">
        <v>21</v>
      </c>
      <c r="W3" s="838">
        <v>22</v>
      </c>
      <c r="X3" s="838">
        <v>23</v>
      </c>
      <c r="Y3" s="838">
        <v>24</v>
      </c>
      <c r="Z3" s="838">
        <v>25</v>
      </c>
      <c r="AA3" s="838">
        <v>26</v>
      </c>
      <c r="AB3" s="838">
        <v>27</v>
      </c>
      <c r="AC3" s="838">
        <v>28</v>
      </c>
      <c r="AD3" s="398"/>
      <c r="AE3" s="190"/>
      <c r="AF3" s="190"/>
      <c r="AG3" s="190"/>
      <c r="AH3" s="190"/>
    </row>
    <row r="4" spans="1:36" ht="25.5">
      <c r="A4" s="838">
        <f>IF(B4="","",COUNTA($R$4:R4))</f>
        <v>1</v>
      </c>
      <c r="B4" s="839" t="s">
        <v>559</v>
      </c>
      <c r="C4" s="838" t="str">
        <f>$AD$13</f>
        <v>Nguyễn Văn Mạnh</v>
      </c>
      <c r="D4" s="838" t="str">
        <f>$AF$13</f>
        <v>Cán bộ BQLDA</v>
      </c>
      <c r="E4" s="838" t="str">
        <f>$AD$6</f>
        <v>.....................................</v>
      </c>
      <c r="F4" s="838" t="str">
        <f>$E$4</f>
        <v>.....................................</v>
      </c>
      <c r="G4" s="838" t="str">
        <f>$AD$17</f>
        <v>Trinh Duy Hạnh</v>
      </c>
      <c r="H4" s="838" t="str">
        <f>$AF$17</f>
        <v>TVGS</v>
      </c>
      <c r="I4" s="838" t="str">
        <f t="shared" ref="G4:J107" si="0">$AD$6</f>
        <v>.....................................</v>
      </c>
      <c r="J4" s="838" t="str">
        <f t="shared" si="0"/>
        <v>.....................................</v>
      </c>
      <c r="K4" s="838" t="str">
        <f>$AD$19</f>
        <v>Đinh Văn Hưởng</v>
      </c>
      <c r="L4" s="838" t="str">
        <f>$AF$19</f>
        <v>CBKT</v>
      </c>
      <c r="M4" s="838" t="str">
        <f>$AD$6</f>
        <v>.....................................</v>
      </c>
      <c r="N4" s="838" t="str">
        <f>$AD$6</f>
        <v>.....................................</v>
      </c>
      <c r="O4" s="838" t="str">
        <f>$AD$26</f>
        <v>Đinh Mạnh Toàn</v>
      </c>
      <c r="P4" s="838" t="str">
        <f>$AF$26</f>
        <v>CBKT</v>
      </c>
      <c r="Q4" s="860" t="str">
        <f>$AD$5</f>
        <v>Công ty TNHH đầu tư và phát triển KD Vượng Phát</v>
      </c>
      <c r="R4" s="839">
        <v>1</v>
      </c>
      <c r="S4" s="839">
        <v>2</v>
      </c>
      <c r="T4" s="839">
        <v>3</v>
      </c>
      <c r="U4" s="838"/>
      <c r="V4" s="861">
        <v>6.7361111111111108E-2</v>
      </c>
      <c r="W4" s="861">
        <v>8.5416666666666655E-2</v>
      </c>
      <c r="X4" s="861">
        <v>0.12986111111111112</v>
      </c>
      <c r="Y4" s="838"/>
      <c r="Z4" s="838">
        <v>19</v>
      </c>
      <c r="AA4" s="838">
        <v>20</v>
      </c>
      <c r="AB4" s="838">
        <v>20</v>
      </c>
      <c r="AC4" s="833"/>
      <c r="AD4" s="398" t="s">
        <v>894</v>
      </c>
      <c r="AE4" s="190"/>
      <c r="AF4" s="190"/>
      <c r="AG4" s="190"/>
      <c r="AH4" s="190"/>
      <c r="AJ4">
        <f>COUNTA(R4:U4)</f>
        <v>3</v>
      </c>
    </row>
    <row r="5" spans="1:36" ht="25.5">
      <c r="A5" s="838">
        <f>IF(B5="","",COUNTA($R$4:R5))</f>
        <v>2</v>
      </c>
      <c r="B5" s="838" t="s">
        <v>602</v>
      </c>
      <c r="C5" s="838" t="str">
        <f>$AD$13</f>
        <v>Nguyễn Văn Mạnh</v>
      </c>
      <c r="D5" s="838" t="str">
        <f>$AF$13</f>
        <v>Cán bộ BQLDA</v>
      </c>
      <c r="E5" s="838" t="str">
        <f>$AD$6</f>
        <v>.....................................</v>
      </c>
      <c r="F5" s="838" t="str">
        <f>$AD$6</f>
        <v>.....................................</v>
      </c>
      <c r="G5" s="838" t="str">
        <f>$AD$17</f>
        <v>Trinh Duy Hạnh</v>
      </c>
      <c r="H5" s="838" t="str">
        <f>$AF$17</f>
        <v>TVGS</v>
      </c>
      <c r="I5" s="838" t="str">
        <f t="shared" si="0"/>
        <v>.....................................</v>
      </c>
      <c r="J5" s="838" t="str">
        <f t="shared" si="0"/>
        <v>.....................................</v>
      </c>
      <c r="K5" s="838" t="str">
        <f>$AD$18</f>
        <v>Phạm Văn Trà</v>
      </c>
      <c r="L5" s="838" t="str">
        <f>$AF$18</f>
        <v>CBKT</v>
      </c>
      <c r="M5" s="838" t="str">
        <f t="shared" ref="M5:N8" si="1">$AD$6</f>
        <v>.....................................</v>
      </c>
      <c r="N5" s="838" t="str">
        <f t="shared" si="1"/>
        <v>.....................................</v>
      </c>
      <c r="O5" s="838" t="str">
        <f>$AD$26</f>
        <v>Đinh Mạnh Toàn</v>
      </c>
      <c r="P5" s="838" t="str">
        <f t="shared" ref="P5:P10" si="2">$AF$22</f>
        <v>CBKT</v>
      </c>
      <c r="Q5" s="860" t="str">
        <f>$AD$5</f>
        <v>Công ty TNHH đầu tư và phát triển KD Vượng Phát</v>
      </c>
      <c r="R5" s="838">
        <v>1</v>
      </c>
      <c r="S5" s="838"/>
      <c r="T5" s="838"/>
      <c r="U5" s="838"/>
      <c r="V5" s="861">
        <v>0.25694444444444448</v>
      </c>
      <c r="W5" s="838"/>
      <c r="X5" s="838"/>
      <c r="Y5" s="838"/>
      <c r="Z5" s="838">
        <v>19</v>
      </c>
      <c r="AA5" s="838"/>
      <c r="AB5" s="838"/>
      <c r="AC5" s="833"/>
      <c r="AD5" s="190" t="s">
        <v>1114</v>
      </c>
      <c r="AE5" s="190"/>
      <c r="AF5" s="190"/>
      <c r="AG5" s="190"/>
      <c r="AH5" s="190"/>
      <c r="AJ5">
        <f t="shared" ref="AJ5:AJ59" si="3">COUNTA(R5:U5)</f>
        <v>1</v>
      </c>
    </row>
    <row r="6" spans="1:36" ht="25.5">
      <c r="A6" s="838">
        <f>IF(B6="","",COUNTA($R$4:R6))</f>
        <v>3</v>
      </c>
      <c r="B6" s="839" t="s">
        <v>572</v>
      </c>
      <c r="C6" s="838" t="str">
        <f>$AD$12</f>
        <v>Hoàng Hữu Luân</v>
      </c>
      <c r="D6" s="838" t="str">
        <f>$AF$12</f>
        <v>Cán bộ BQLDA</v>
      </c>
      <c r="E6" s="838" t="str">
        <f>$AD$6</f>
        <v>.....................................</v>
      </c>
      <c r="F6" s="838" t="str">
        <f>$AD$6</f>
        <v>.....................................</v>
      </c>
      <c r="G6" s="838" t="str">
        <f>$AD$16</f>
        <v>Lê Minh Châu</v>
      </c>
      <c r="H6" s="838" t="str">
        <f>$AF$16</f>
        <v>Trưởng đoàn TVGS</v>
      </c>
      <c r="I6" s="838" t="str">
        <f t="shared" si="0"/>
        <v>.....................................</v>
      </c>
      <c r="J6" s="838" t="str">
        <f t="shared" si="0"/>
        <v>.....................................</v>
      </c>
      <c r="K6" s="838" t="str">
        <f>$AD$19</f>
        <v>Đinh Văn Hưởng</v>
      </c>
      <c r="L6" s="838" t="str">
        <f>$AF$19</f>
        <v>CBKT</v>
      </c>
      <c r="M6" s="838" t="str">
        <f t="shared" si="1"/>
        <v>.....................................</v>
      </c>
      <c r="N6" s="838" t="str">
        <f t="shared" si="1"/>
        <v>.....................................</v>
      </c>
      <c r="O6" s="838" t="str">
        <f t="shared" ref="O6:O16" si="4">$AD$26</f>
        <v>Đinh Mạnh Toàn</v>
      </c>
      <c r="P6" s="838" t="str">
        <f t="shared" si="2"/>
        <v>CBKT</v>
      </c>
      <c r="Q6" s="860" t="str">
        <f>$AD$5</f>
        <v>Công ty TNHH đầu tư và phát triển KD Vượng Phát</v>
      </c>
      <c r="R6" s="838">
        <v>1</v>
      </c>
      <c r="S6" s="838">
        <v>2</v>
      </c>
      <c r="T6" s="838"/>
      <c r="U6" s="838"/>
      <c r="V6" s="861">
        <v>0.90625</v>
      </c>
      <c r="W6" s="838"/>
      <c r="X6" s="838"/>
      <c r="Y6" s="838"/>
      <c r="Z6" s="838">
        <v>18</v>
      </c>
      <c r="AA6" s="838">
        <v>19</v>
      </c>
      <c r="AB6" s="838"/>
      <c r="AC6" s="833"/>
      <c r="AD6" t="s">
        <v>436</v>
      </c>
      <c r="AJ6">
        <f t="shared" si="3"/>
        <v>2</v>
      </c>
    </row>
    <row r="7" spans="1:36" ht="25.5">
      <c r="A7" s="838">
        <f>IF(B7="","",COUNTA($R$4:R7))</f>
        <v>4</v>
      </c>
      <c r="B7" s="838" t="s">
        <v>694</v>
      </c>
      <c r="C7" s="838" t="str">
        <f>$AD$12</f>
        <v>Hoàng Hữu Luân</v>
      </c>
      <c r="D7" s="838" t="str">
        <f>$AF$12</f>
        <v>Cán bộ BQLDA</v>
      </c>
      <c r="E7" s="838" t="str">
        <f>$AD$6</f>
        <v>.....................................</v>
      </c>
      <c r="F7" s="838" t="str">
        <f>$AD$6</f>
        <v>.....................................</v>
      </c>
      <c r="G7" s="838" t="str">
        <f>$AD$16</f>
        <v>Lê Minh Châu</v>
      </c>
      <c r="H7" s="838" t="str">
        <f>$AF$16</f>
        <v>Trưởng đoàn TVGS</v>
      </c>
      <c r="I7" s="838" t="str">
        <f t="shared" si="0"/>
        <v>.....................................</v>
      </c>
      <c r="J7" s="838" t="str">
        <f t="shared" si="0"/>
        <v>.....................................</v>
      </c>
      <c r="K7" s="838" t="str">
        <f>$AD$19</f>
        <v>Đinh Văn Hưởng</v>
      </c>
      <c r="L7" s="838" t="str">
        <f>$AF$19</f>
        <v>CBKT</v>
      </c>
      <c r="M7" s="838" t="str">
        <f t="shared" si="1"/>
        <v>.....................................</v>
      </c>
      <c r="N7" s="838" t="str">
        <f t="shared" si="1"/>
        <v>.....................................</v>
      </c>
      <c r="O7" s="838" t="str">
        <f t="shared" si="4"/>
        <v>Đinh Mạnh Toàn</v>
      </c>
      <c r="P7" s="838" t="str">
        <f t="shared" si="2"/>
        <v>CBKT</v>
      </c>
      <c r="Q7" s="860" t="str">
        <f>$AD$5</f>
        <v>Công ty TNHH đầu tư và phát triển KD Vượng Phát</v>
      </c>
      <c r="R7" s="838">
        <v>1</v>
      </c>
      <c r="S7" s="838">
        <v>2</v>
      </c>
      <c r="T7" s="838">
        <v>3</v>
      </c>
      <c r="U7" s="838"/>
      <c r="V7" s="861">
        <v>5.5555555555555552E-2</v>
      </c>
      <c r="W7" s="861">
        <v>6.25E-2</v>
      </c>
      <c r="X7" s="861">
        <v>7.2916666666666671E-2</v>
      </c>
      <c r="Y7" s="838"/>
      <c r="Z7" s="838">
        <v>19</v>
      </c>
      <c r="AA7" s="838">
        <v>20</v>
      </c>
      <c r="AB7" s="838">
        <v>18.5</v>
      </c>
      <c r="AC7" s="833"/>
      <c r="AJ7">
        <f t="shared" si="3"/>
        <v>3</v>
      </c>
    </row>
    <row r="8" spans="1:36" ht="25.5">
      <c r="A8" s="838">
        <f>IF(B8="","",COUNTA($R$4:R8))</f>
        <v>5</v>
      </c>
      <c r="B8" s="838" t="s">
        <v>562</v>
      </c>
      <c r="C8" s="838" t="str">
        <f>$AD$13</f>
        <v>Nguyễn Văn Mạnh</v>
      </c>
      <c r="D8" s="838" t="str">
        <f>$AF$13</f>
        <v>Cán bộ BQLDA</v>
      </c>
      <c r="E8" s="838" t="str">
        <f>$AD$6</f>
        <v>.....................................</v>
      </c>
      <c r="F8" s="838" t="str">
        <f>$AD$6</f>
        <v>.....................................</v>
      </c>
      <c r="G8" s="838" t="str">
        <f>$AD$17</f>
        <v>Trinh Duy Hạnh</v>
      </c>
      <c r="H8" s="838" t="str">
        <f>$AF$17</f>
        <v>TVGS</v>
      </c>
      <c r="I8" s="838" t="str">
        <f t="shared" si="0"/>
        <v>.....................................</v>
      </c>
      <c r="J8" s="838" t="str">
        <f t="shared" si="0"/>
        <v>.....................................</v>
      </c>
      <c r="K8" s="838" t="str">
        <f>$AD$19</f>
        <v>Đinh Văn Hưởng</v>
      </c>
      <c r="L8" s="838" t="str">
        <f>$AF$19</f>
        <v>CBKT</v>
      </c>
      <c r="M8" s="838" t="str">
        <f t="shared" si="1"/>
        <v>.....................................</v>
      </c>
      <c r="N8" s="838" t="str">
        <f t="shared" si="1"/>
        <v>.....................................</v>
      </c>
      <c r="O8" s="838" t="str">
        <f t="shared" si="4"/>
        <v>Đinh Mạnh Toàn</v>
      </c>
      <c r="P8" s="838" t="str">
        <f t="shared" si="2"/>
        <v>CBKT</v>
      </c>
      <c r="Q8" s="860" t="str">
        <f>$AD$5</f>
        <v>Công ty TNHH đầu tư và phát triển KD Vượng Phát</v>
      </c>
      <c r="R8" s="838">
        <v>1</v>
      </c>
      <c r="S8" s="838">
        <v>2</v>
      </c>
      <c r="T8" s="838"/>
      <c r="U8" s="838"/>
      <c r="V8" s="861">
        <v>0.14027777777777778</v>
      </c>
      <c r="W8" s="861">
        <v>0.14722222222222223</v>
      </c>
      <c r="X8" s="838"/>
      <c r="Y8" s="838"/>
      <c r="Z8" s="838"/>
      <c r="AA8" s="838"/>
      <c r="AB8" s="838"/>
      <c r="AC8" s="833"/>
      <c r="AJ8">
        <f t="shared" si="3"/>
        <v>2</v>
      </c>
    </row>
    <row r="9" spans="1:36" ht="25.5">
      <c r="A9" s="838">
        <f>IF(B9="","",COUNTA($R$4:R9))</f>
        <v>6</v>
      </c>
      <c r="B9" s="838" t="s">
        <v>574</v>
      </c>
      <c r="C9" s="838" t="str">
        <f t="shared" ref="C9:C16" si="5">$AD$12</f>
        <v>Hoàng Hữu Luân</v>
      </c>
      <c r="D9" s="838" t="str">
        <f t="shared" ref="D9:D16" si="6">$AF$12</f>
        <v>Cán bộ BQLDA</v>
      </c>
      <c r="E9" s="838" t="str">
        <f t="shared" ref="E9:F16" si="7">$AD$6</f>
        <v>.....................................</v>
      </c>
      <c r="F9" s="838" t="str">
        <f t="shared" si="7"/>
        <v>.....................................</v>
      </c>
      <c r="G9" s="838" t="str">
        <f>$AD$17</f>
        <v>Trinh Duy Hạnh</v>
      </c>
      <c r="H9" s="838" t="str">
        <f>$AF$17</f>
        <v>TVGS</v>
      </c>
      <c r="I9" s="838" t="str">
        <f t="shared" si="0"/>
        <v>.....................................</v>
      </c>
      <c r="J9" s="838" t="str">
        <f t="shared" si="0"/>
        <v>.....................................</v>
      </c>
      <c r="K9" s="838" t="str">
        <f>$AD$18</f>
        <v>Phạm Văn Trà</v>
      </c>
      <c r="L9" s="838" t="str">
        <f>$AF$18</f>
        <v>CBKT</v>
      </c>
      <c r="M9" s="838" t="str">
        <f t="shared" ref="M9:P53" si="8">$AD$6</f>
        <v>.....................................</v>
      </c>
      <c r="N9" s="838" t="str">
        <f t="shared" si="8"/>
        <v>.....................................</v>
      </c>
      <c r="O9" s="838" t="str">
        <f t="shared" si="4"/>
        <v>Đinh Mạnh Toàn</v>
      </c>
      <c r="P9" s="838" t="str">
        <f t="shared" si="2"/>
        <v>CBKT</v>
      </c>
      <c r="Q9" s="860" t="str">
        <f t="shared" ref="Q9:Q17" si="9">$AD$5</f>
        <v>Công ty TNHH đầu tư và phát triển KD Vượng Phát</v>
      </c>
      <c r="R9" s="838">
        <v>1</v>
      </c>
      <c r="S9" s="838">
        <v>2</v>
      </c>
      <c r="T9" s="838">
        <v>3</v>
      </c>
      <c r="U9" s="838"/>
      <c r="V9" s="861">
        <v>0.38194444444444442</v>
      </c>
      <c r="W9" s="861">
        <v>0.3888888888888889</v>
      </c>
      <c r="X9" s="861">
        <v>0.4236111111111111</v>
      </c>
      <c r="Y9" s="838"/>
      <c r="Z9" s="838">
        <v>18</v>
      </c>
      <c r="AA9" s="838">
        <v>19</v>
      </c>
      <c r="AB9" s="838">
        <v>19</v>
      </c>
      <c r="AC9" s="833"/>
      <c r="AJ9">
        <f t="shared" si="3"/>
        <v>3</v>
      </c>
    </row>
    <row r="10" spans="1:36" ht="25.5">
      <c r="A10" s="838">
        <f>IF(B10="","",COUNTA($R$4:R10))</f>
        <v>7</v>
      </c>
      <c r="B10" s="838" t="s">
        <v>567</v>
      </c>
      <c r="C10" s="838" t="str">
        <f t="shared" si="5"/>
        <v>Hoàng Hữu Luân</v>
      </c>
      <c r="D10" s="838" t="str">
        <f t="shared" si="6"/>
        <v>Cán bộ BQLDA</v>
      </c>
      <c r="E10" s="838" t="str">
        <f t="shared" si="7"/>
        <v>.....................................</v>
      </c>
      <c r="F10" s="838" t="str">
        <f t="shared" si="7"/>
        <v>.....................................</v>
      </c>
      <c r="G10" s="838" t="str">
        <f>$AD$16</f>
        <v>Lê Minh Châu</v>
      </c>
      <c r="H10" s="838" t="str">
        <f>$AF$16</f>
        <v>Trưởng đoàn TVGS</v>
      </c>
      <c r="I10" s="838" t="str">
        <f t="shared" si="0"/>
        <v>.....................................</v>
      </c>
      <c r="J10" s="838" t="str">
        <f t="shared" si="0"/>
        <v>.....................................</v>
      </c>
      <c r="K10" s="838" t="str">
        <f>$AD$19</f>
        <v>Đinh Văn Hưởng</v>
      </c>
      <c r="L10" s="838" t="str">
        <f>$AF$19</f>
        <v>CBKT</v>
      </c>
      <c r="M10" s="838" t="str">
        <f t="shared" si="8"/>
        <v>.....................................</v>
      </c>
      <c r="N10" s="838" t="str">
        <f t="shared" si="8"/>
        <v>.....................................</v>
      </c>
      <c r="O10" s="838" t="str">
        <f t="shared" si="4"/>
        <v>Đinh Mạnh Toàn</v>
      </c>
      <c r="P10" s="838" t="str">
        <f t="shared" si="2"/>
        <v>CBKT</v>
      </c>
      <c r="Q10" s="860" t="str">
        <f t="shared" si="9"/>
        <v>Công ty TNHH đầu tư và phát triển KD Vượng Phát</v>
      </c>
      <c r="R10" s="838">
        <v>1</v>
      </c>
      <c r="S10" s="838">
        <v>2</v>
      </c>
      <c r="T10" s="838"/>
      <c r="U10" s="838"/>
      <c r="V10" s="861">
        <v>0.93402777777777779</v>
      </c>
      <c r="W10" s="861">
        <v>0.9604166666666667</v>
      </c>
      <c r="X10" s="838"/>
      <c r="Y10" s="838"/>
      <c r="Z10" s="838">
        <v>19</v>
      </c>
      <c r="AA10" s="838">
        <v>20</v>
      </c>
      <c r="AB10" s="838"/>
      <c r="AC10" s="833"/>
      <c r="AJ10">
        <f t="shared" si="3"/>
        <v>2</v>
      </c>
    </row>
    <row r="11" spans="1:36" ht="25.5">
      <c r="A11" s="838">
        <f>IF(B11="","",COUNTA($R$4:R11))</f>
        <v>8</v>
      </c>
      <c r="B11" s="838" t="s">
        <v>490</v>
      </c>
      <c r="C11" s="838" t="str">
        <f t="shared" si="5"/>
        <v>Hoàng Hữu Luân</v>
      </c>
      <c r="D11" s="838" t="str">
        <f t="shared" si="6"/>
        <v>Cán bộ BQLDA</v>
      </c>
      <c r="E11" s="838" t="str">
        <f t="shared" si="7"/>
        <v>.....................................</v>
      </c>
      <c r="F11" s="838" t="str">
        <f t="shared" si="7"/>
        <v>.....................................</v>
      </c>
      <c r="G11" s="838" t="str">
        <f>$AD$17</f>
        <v>Trinh Duy Hạnh</v>
      </c>
      <c r="H11" s="838" t="str">
        <f>$AF$17</f>
        <v>TVGS</v>
      </c>
      <c r="I11" s="838" t="str">
        <f t="shared" si="0"/>
        <v>.....................................</v>
      </c>
      <c r="J11" s="838" t="str">
        <f t="shared" si="0"/>
        <v>.....................................</v>
      </c>
      <c r="K11" s="838" t="str">
        <f t="shared" ref="K11:K17" si="10">$AD$18</f>
        <v>Phạm Văn Trà</v>
      </c>
      <c r="L11" s="838" t="str">
        <f t="shared" ref="L11:L17" si="11">$AF$18</f>
        <v>CBKT</v>
      </c>
      <c r="M11" s="838" t="str">
        <f t="shared" si="8"/>
        <v>.....................................</v>
      </c>
      <c r="N11" s="838" t="str">
        <f t="shared" si="8"/>
        <v>.....................................</v>
      </c>
      <c r="O11" s="838" t="str">
        <f>AD23</f>
        <v>Đinh Văn Thế</v>
      </c>
      <c r="P11" s="838" t="str">
        <f>AF23</f>
        <v>CBKT</v>
      </c>
      <c r="Q11" s="860" t="str">
        <f t="shared" si="9"/>
        <v>Công ty TNHH đầu tư và phát triển KD Vượng Phát</v>
      </c>
      <c r="R11" s="838">
        <v>1</v>
      </c>
      <c r="S11" s="838">
        <v>2</v>
      </c>
      <c r="T11" s="838">
        <v>3</v>
      </c>
      <c r="U11" s="838"/>
      <c r="V11" s="861">
        <v>0.24305555555555555</v>
      </c>
      <c r="W11" s="861">
        <v>0.25</v>
      </c>
      <c r="X11" s="861">
        <v>0.2638888888888889</v>
      </c>
      <c r="Y11" s="838"/>
      <c r="Z11" s="838">
        <v>19</v>
      </c>
      <c r="AA11" s="838">
        <v>19</v>
      </c>
      <c r="AB11" s="838">
        <v>18.5</v>
      </c>
      <c r="AC11" s="833"/>
      <c r="AJ11">
        <f t="shared" si="3"/>
        <v>3</v>
      </c>
    </row>
    <row r="12" spans="1:36" ht="25.5">
      <c r="A12" s="838">
        <f>IF(B12="","",COUNTA($R$4:R12))</f>
        <v>9</v>
      </c>
      <c r="B12" s="838" t="s">
        <v>594</v>
      </c>
      <c r="C12" s="838" t="str">
        <f t="shared" si="5"/>
        <v>Hoàng Hữu Luân</v>
      </c>
      <c r="D12" s="838" t="str">
        <f t="shared" si="6"/>
        <v>Cán bộ BQLDA</v>
      </c>
      <c r="E12" s="838" t="str">
        <f t="shared" si="7"/>
        <v>.....................................</v>
      </c>
      <c r="F12" s="838" t="str">
        <f t="shared" si="7"/>
        <v>.....................................</v>
      </c>
      <c r="G12" s="838" t="str">
        <f>$AD$17</f>
        <v>Trinh Duy Hạnh</v>
      </c>
      <c r="H12" s="838" t="str">
        <f>$AF$17</f>
        <v>TVGS</v>
      </c>
      <c r="I12" s="838" t="str">
        <f t="shared" si="0"/>
        <v>.....................................</v>
      </c>
      <c r="J12" s="838" t="str">
        <f t="shared" si="0"/>
        <v>.....................................</v>
      </c>
      <c r="K12" s="838" t="str">
        <f t="shared" si="10"/>
        <v>Phạm Văn Trà</v>
      </c>
      <c r="L12" s="838" t="str">
        <f t="shared" si="11"/>
        <v>CBKT</v>
      </c>
      <c r="M12" s="838" t="str">
        <f t="shared" si="8"/>
        <v>.....................................</v>
      </c>
      <c r="N12" s="838" t="str">
        <f t="shared" si="8"/>
        <v>.....................................</v>
      </c>
      <c r="O12" s="838" t="str">
        <f t="shared" si="4"/>
        <v>Đinh Mạnh Toàn</v>
      </c>
      <c r="P12" s="838" t="str">
        <f>$AF$22</f>
        <v>CBKT</v>
      </c>
      <c r="Q12" s="860" t="str">
        <f t="shared" si="9"/>
        <v>Công ty TNHH đầu tư và phát triển KD Vượng Phát</v>
      </c>
      <c r="R12" s="838">
        <v>1</v>
      </c>
      <c r="S12" s="838">
        <v>2</v>
      </c>
      <c r="T12" s="838">
        <v>3</v>
      </c>
      <c r="U12" s="838"/>
      <c r="V12" s="861">
        <v>0.58680555555555558</v>
      </c>
      <c r="W12" s="861">
        <v>0.59375</v>
      </c>
      <c r="X12" s="861">
        <v>0.67361111111111116</v>
      </c>
      <c r="Y12" s="838"/>
      <c r="Z12" s="838">
        <v>19</v>
      </c>
      <c r="AA12" s="838">
        <v>19</v>
      </c>
      <c r="AB12" s="838">
        <v>18</v>
      </c>
      <c r="AC12" s="833"/>
      <c r="AD12" s="867" t="s">
        <v>1009</v>
      </c>
      <c r="AF12" s="399" t="s">
        <v>327</v>
      </c>
      <c r="AJ12">
        <f t="shared" si="3"/>
        <v>3</v>
      </c>
    </row>
    <row r="13" spans="1:36" ht="25.5">
      <c r="A13" s="838">
        <f>IF(B13="","",COUNTA($R$4:R13))</f>
        <v>10</v>
      </c>
      <c r="B13" s="838" t="s">
        <v>577</v>
      </c>
      <c r="C13" s="838" t="str">
        <f t="shared" si="5"/>
        <v>Hoàng Hữu Luân</v>
      </c>
      <c r="D13" s="838" t="str">
        <f t="shared" si="6"/>
        <v>Cán bộ BQLDA</v>
      </c>
      <c r="E13" s="838" t="str">
        <f t="shared" si="7"/>
        <v>.....................................</v>
      </c>
      <c r="F13" s="838" t="str">
        <f t="shared" si="7"/>
        <v>.....................................</v>
      </c>
      <c r="G13" s="838" t="str">
        <f>$AD$17</f>
        <v>Trinh Duy Hạnh</v>
      </c>
      <c r="H13" s="838" t="str">
        <f>$AF$17</f>
        <v>TVGS</v>
      </c>
      <c r="I13" s="838" t="str">
        <f t="shared" si="0"/>
        <v>.....................................</v>
      </c>
      <c r="J13" s="838" t="str">
        <f t="shared" si="0"/>
        <v>.....................................</v>
      </c>
      <c r="K13" s="838" t="str">
        <f t="shared" si="10"/>
        <v>Phạm Văn Trà</v>
      </c>
      <c r="L13" s="838" t="str">
        <f t="shared" si="11"/>
        <v>CBKT</v>
      </c>
      <c r="M13" s="838" t="str">
        <f t="shared" si="8"/>
        <v>.....................................</v>
      </c>
      <c r="N13" s="838" t="str">
        <f t="shared" si="8"/>
        <v>.....................................</v>
      </c>
      <c r="O13" s="838" t="str">
        <f t="shared" si="4"/>
        <v>Đinh Mạnh Toàn</v>
      </c>
      <c r="P13" s="838" t="str">
        <f>$AF$22</f>
        <v>CBKT</v>
      </c>
      <c r="Q13" s="860" t="str">
        <f t="shared" si="9"/>
        <v>Công ty TNHH đầu tư và phát triển KD Vượng Phát</v>
      </c>
      <c r="R13" s="838">
        <v>1</v>
      </c>
      <c r="S13" s="838">
        <v>2</v>
      </c>
      <c r="T13" s="838"/>
      <c r="U13" s="838"/>
      <c r="V13" s="861">
        <v>3.4722222222222224E-2</v>
      </c>
      <c r="W13" s="861">
        <v>4.8611111111111112E-2</v>
      </c>
      <c r="X13" s="838"/>
      <c r="Y13" s="838"/>
      <c r="Z13" s="838">
        <v>18.5</v>
      </c>
      <c r="AA13" s="838">
        <v>18.5</v>
      </c>
      <c r="AB13" s="838"/>
      <c r="AC13" s="833"/>
      <c r="AD13" s="399" t="s">
        <v>883</v>
      </c>
      <c r="AE13" s="190"/>
      <c r="AF13" s="399" t="s">
        <v>327</v>
      </c>
      <c r="AG13" s="399"/>
      <c r="AH13" s="399"/>
      <c r="AI13" s="190"/>
      <c r="AJ13">
        <f t="shared" si="3"/>
        <v>2</v>
      </c>
    </row>
    <row r="14" spans="1:36" ht="25.5">
      <c r="A14" s="838">
        <f>IF(B14="","",COUNTA($R$4:R14))</f>
        <v>11</v>
      </c>
      <c r="B14" s="839" t="s">
        <v>582</v>
      </c>
      <c r="C14" s="838" t="str">
        <f t="shared" si="5"/>
        <v>Hoàng Hữu Luân</v>
      </c>
      <c r="D14" s="838" t="str">
        <f t="shared" si="6"/>
        <v>Cán bộ BQLDA</v>
      </c>
      <c r="E14" s="838" t="str">
        <f t="shared" si="7"/>
        <v>.....................................</v>
      </c>
      <c r="F14" s="838" t="str">
        <f t="shared" si="7"/>
        <v>.....................................</v>
      </c>
      <c r="G14" s="838" t="str">
        <f>$AD$17</f>
        <v>Trinh Duy Hạnh</v>
      </c>
      <c r="H14" s="838" t="str">
        <f>$AF$17</f>
        <v>TVGS</v>
      </c>
      <c r="I14" s="838" t="str">
        <f t="shared" si="0"/>
        <v>.....................................</v>
      </c>
      <c r="J14" s="838" t="str">
        <f t="shared" si="0"/>
        <v>.....................................</v>
      </c>
      <c r="K14" s="838" t="str">
        <f t="shared" si="10"/>
        <v>Phạm Văn Trà</v>
      </c>
      <c r="L14" s="838" t="str">
        <f t="shared" si="11"/>
        <v>CBKT</v>
      </c>
      <c r="M14" s="838" t="str">
        <f t="shared" si="8"/>
        <v>.....................................</v>
      </c>
      <c r="N14" s="838" t="str">
        <f t="shared" si="8"/>
        <v>.....................................</v>
      </c>
      <c r="O14" s="838" t="str">
        <f t="shared" si="4"/>
        <v>Đinh Mạnh Toàn</v>
      </c>
      <c r="P14" s="838" t="str">
        <f>$AF$22</f>
        <v>CBKT</v>
      </c>
      <c r="Q14" s="860" t="str">
        <f t="shared" si="9"/>
        <v>Công ty TNHH đầu tư và phát triển KD Vượng Phát</v>
      </c>
      <c r="R14" s="838">
        <v>1</v>
      </c>
      <c r="S14" s="838">
        <v>2</v>
      </c>
      <c r="T14" s="838"/>
      <c r="U14" s="838"/>
      <c r="V14" s="861">
        <v>0.24652777777777779</v>
      </c>
      <c r="W14" s="861">
        <v>0.25</v>
      </c>
      <c r="X14" s="838"/>
      <c r="Y14" s="838"/>
      <c r="Z14" s="838">
        <v>19</v>
      </c>
      <c r="AA14" s="838">
        <v>19</v>
      </c>
      <c r="AB14" s="838"/>
      <c r="AC14" s="833"/>
      <c r="AD14" s="190" t="s">
        <v>884</v>
      </c>
      <c r="AE14" s="190"/>
      <c r="AF14" s="399" t="s">
        <v>327</v>
      </c>
      <c r="AG14" s="190"/>
      <c r="AH14" s="190"/>
      <c r="AI14" s="190"/>
      <c r="AJ14">
        <f t="shared" si="3"/>
        <v>2</v>
      </c>
    </row>
    <row r="15" spans="1:36" ht="25.5">
      <c r="A15" s="838">
        <f>IF(B15="","",COUNTA($R$4:R15))</f>
        <v>12</v>
      </c>
      <c r="B15" s="839" t="s">
        <v>592</v>
      </c>
      <c r="C15" s="838" t="str">
        <f t="shared" si="5"/>
        <v>Hoàng Hữu Luân</v>
      </c>
      <c r="D15" s="838" t="str">
        <f t="shared" si="6"/>
        <v>Cán bộ BQLDA</v>
      </c>
      <c r="E15" s="838" t="str">
        <f t="shared" si="7"/>
        <v>.....................................</v>
      </c>
      <c r="F15" s="838" t="str">
        <f t="shared" si="7"/>
        <v>.....................................</v>
      </c>
      <c r="G15" s="838" t="str">
        <f>$AD$17</f>
        <v>Trinh Duy Hạnh</v>
      </c>
      <c r="H15" s="838" t="str">
        <f>$AF$17</f>
        <v>TVGS</v>
      </c>
      <c r="I15" s="838" t="str">
        <f t="shared" si="0"/>
        <v>.....................................</v>
      </c>
      <c r="J15" s="838" t="str">
        <f t="shared" si="0"/>
        <v>.....................................</v>
      </c>
      <c r="K15" s="838" t="str">
        <f t="shared" si="10"/>
        <v>Phạm Văn Trà</v>
      </c>
      <c r="L15" s="838" t="str">
        <f t="shared" si="11"/>
        <v>CBKT</v>
      </c>
      <c r="M15" s="838" t="str">
        <f t="shared" si="8"/>
        <v>.....................................</v>
      </c>
      <c r="N15" s="838" t="str">
        <f t="shared" si="8"/>
        <v>.....................................</v>
      </c>
      <c r="O15" s="838" t="str">
        <f t="shared" si="4"/>
        <v>Đinh Mạnh Toàn</v>
      </c>
      <c r="P15" s="838" t="str">
        <f>$AF$22</f>
        <v>CBKT</v>
      </c>
      <c r="Q15" s="860" t="str">
        <f t="shared" si="9"/>
        <v>Công ty TNHH đầu tư và phát triển KD Vượng Phát</v>
      </c>
      <c r="R15" s="838">
        <v>1</v>
      </c>
      <c r="S15" s="838">
        <v>2</v>
      </c>
      <c r="T15" s="838"/>
      <c r="U15" s="838"/>
      <c r="V15" s="861">
        <v>0.17361111111111113</v>
      </c>
      <c r="W15" s="861">
        <v>0.17708333333333334</v>
      </c>
      <c r="X15" s="838"/>
      <c r="Y15" s="838"/>
      <c r="Z15" s="838">
        <v>19</v>
      </c>
      <c r="AA15" s="838">
        <v>19</v>
      </c>
      <c r="AB15" s="838"/>
      <c r="AC15" s="833"/>
      <c r="AD15" s="399" t="s">
        <v>885</v>
      </c>
      <c r="AE15" s="190"/>
      <c r="AF15" s="399" t="s">
        <v>197</v>
      </c>
      <c r="AG15" s="190"/>
      <c r="AH15" s="700"/>
      <c r="AI15" s="700"/>
      <c r="AJ15">
        <f t="shared" si="3"/>
        <v>2</v>
      </c>
    </row>
    <row r="16" spans="1:36" ht="25.5">
      <c r="A16" s="838">
        <f>IF(B16="","",COUNTA($R$4:R16))</f>
        <v>13</v>
      </c>
      <c r="B16" s="838" t="s">
        <v>678</v>
      </c>
      <c r="C16" s="838" t="str">
        <f t="shared" si="5"/>
        <v>Hoàng Hữu Luân</v>
      </c>
      <c r="D16" s="838" t="str">
        <f t="shared" si="6"/>
        <v>Cán bộ BQLDA</v>
      </c>
      <c r="E16" s="838" t="str">
        <f t="shared" si="7"/>
        <v>.....................................</v>
      </c>
      <c r="F16" s="838" t="str">
        <f t="shared" si="7"/>
        <v>.....................................</v>
      </c>
      <c r="G16" s="838" t="str">
        <f>$AD$16</f>
        <v>Lê Minh Châu</v>
      </c>
      <c r="H16" s="838" t="str">
        <f>$AF$16</f>
        <v>Trưởng đoàn TVGS</v>
      </c>
      <c r="I16" s="838" t="str">
        <f t="shared" si="0"/>
        <v>.....................................</v>
      </c>
      <c r="J16" s="838" t="str">
        <f t="shared" si="0"/>
        <v>.....................................</v>
      </c>
      <c r="K16" s="838" t="str">
        <f t="shared" si="10"/>
        <v>Phạm Văn Trà</v>
      </c>
      <c r="L16" s="838" t="str">
        <f t="shared" si="11"/>
        <v>CBKT</v>
      </c>
      <c r="M16" s="838" t="str">
        <f t="shared" si="8"/>
        <v>.....................................</v>
      </c>
      <c r="N16" s="838" t="str">
        <f t="shared" si="8"/>
        <v>.....................................</v>
      </c>
      <c r="O16" s="838" t="str">
        <f t="shared" si="4"/>
        <v>Đinh Mạnh Toàn</v>
      </c>
      <c r="P16" s="838" t="str">
        <f>$AF$22</f>
        <v>CBKT</v>
      </c>
      <c r="Q16" s="860" t="str">
        <f t="shared" si="9"/>
        <v>Công ty TNHH đầu tư và phát triển KD Vượng Phát</v>
      </c>
      <c r="R16" s="838">
        <v>1</v>
      </c>
      <c r="S16" s="838">
        <v>2</v>
      </c>
      <c r="T16" s="838">
        <v>3</v>
      </c>
      <c r="U16" s="838"/>
      <c r="V16" s="861">
        <v>0.25833333333333336</v>
      </c>
      <c r="W16" s="861">
        <v>0.26597222222222222</v>
      </c>
      <c r="X16" s="861">
        <v>0.29930555555555555</v>
      </c>
      <c r="Y16" s="838"/>
      <c r="Z16" s="838">
        <v>18.5</v>
      </c>
      <c r="AA16" s="838">
        <v>19</v>
      </c>
      <c r="AB16" s="838">
        <v>19.5</v>
      </c>
      <c r="AC16" s="833"/>
      <c r="AD16" s="190" t="s">
        <v>887</v>
      </c>
      <c r="AE16" s="190"/>
      <c r="AF16" s="399" t="s">
        <v>1087</v>
      </c>
      <c r="AG16" s="190"/>
      <c r="AH16" s="700" t="s">
        <v>197</v>
      </c>
      <c r="AI16" s="855"/>
      <c r="AJ16">
        <f t="shared" si="3"/>
        <v>3</v>
      </c>
    </row>
    <row r="17" spans="1:36" ht="25.5">
      <c r="A17" s="838">
        <f>IF(B17="","",COUNTA($R$4:R17))</f>
        <v>14</v>
      </c>
      <c r="B17" s="839" t="s">
        <v>597</v>
      </c>
      <c r="C17" s="838" t="str">
        <f t="shared" ref="C17:F18" si="12">$AD$6</f>
        <v>.....................................</v>
      </c>
      <c r="D17" s="838" t="str">
        <f t="shared" si="12"/>
        <v>.....................................</v>
      </c>
      <c r="E17" s="838" t="str">
        <f t="shared" si="12"/>
        <v>.....................................</v>
      </c>
      <c r="F17" s="838" t="str">
        <f t="shared" si="12"/>
        <v>.....................................</v>
      </c>
      <c r="G17" s="838" t="str">
        <f>$AD$16</f>
        <v>Lê Minh Châu</v>
      </c>
      <c r="H17" s="838" t="str">
        <f>$AF$16</f>
        <v>Trưởng đoàn TVGS</v>
      </c>
      <c r="I17" s="838" t="str">
        <f t="shared" si="0"/>
        <v>.....................................</v>
      </c>
      <c r="J17" s="838" t="str">
        <f t="shared" si="0"/>
        <v>.....................................</v>
      </c>
      <c r="K17" s="838" t="str">
        <f t="shared" si="10"/>
        <v>Phạm Văn Trà</v>
      </c>
      <c r="L17" s="838" t="str">
        <f t="shared" si="11"/>
        <v>CBKT</v>
      </c>
      <c r="M17" s="838" t="str">
        <f t="shared" si="8"/>
        <v>.....................................</v>
      </c>
      <c r="N17" s="838" t="str">
        <f t="shared" si="8"/>
        <v>.....................................</v>
      </c>
      <c r="O17" s="838" t="str">
        <f t="shared" si="8"/>
        <v>.....................................</v>
      </c>
      <c r="P17" s="838" t="str">
        <f t="shared" si="8"/>
        <v>.....................................</v>
      </c>
      <c r="Q17" s="860" t="str">
        <f t="shared" si="9"/>
        <v>Công ty TNHH đầu tư và phát triển KD Vượng Phát</v>
      </c>
      <c r="R17" s="838">
        <v>1</v>
      </c>
      <c r="S17" s="838">
        <v>2</v>
      </c>
      <c r="T17" s="838"/>
      <c r="U17" s="838"/>
      <c r="V17" s="861">
        <v>0.15972222222222224</v>
      </c>
      <c r="W17" s="861">
        <v>0.16319444444444445</v>
      </c>
      <c r="X17" s="838"/>
      <c r="Y17" s="838"/>
      <c r="Z17" s="838"/>
      <c r="AA17" s="838"/>
      <c r="AB17" s="838"/>
      <c r="AC17" s="833"/>
      <c r="AD17" s="190" t="s">
        <v>1006</v>
      </c>
      <c r="AE17" s="190"/>
      <c r="AF17" s="399" t="s">
        <v>197</v>
      </c>
      <c r="AG17" s="190"/>
      <c r="AH17" s="700"/>
      <c r="AI17" s="856"/>
      <c r="AJ17">
        <f t="shared" si="3"/>
        <v>2</v>
      </c>
    </row>
    <row r="18" spans="1:36" ht="25.5">
      <c r="A18" s="838">
        <f>IF(B18="","",COUNTA($R$4:R18))</f>
        <v>15</v>
      </c>
      <c r="B18" s="911" t="s">
        <v>635</v>
      </c>
      <c r="C18" s="838" t="str">
        <f t="shared" si="12"/>
        <v>.....................................</v>
      </c>
      <c r="D18" s="838" t="str">
        <f t="shared" si="12"/>
        <v>.....................................</v>
      </c>
      <c r="E18" s="838" t="str">
        <f t="shared" si="12"/>
        <v>.....................................</v>
      </c>
      <c r="F18" s="838" t="str">
        <f t="shared" si="12"/>
        <v>.....................................</v>
      </c>
      <c r="G18" s="838" t="str">
        <f t="shared" si="0"/>
        <v>.....................................</v>
      </c>
      <c r="H18" s="838" t="str">
        <f t="shared" si="0"/>
        <v>.....................................</v>
      </c>
      <c r="I18" s="838" t="str">
        <f t="shared" si="0"/>
        <v>.....................................</v>
      </c>
      <c r="J18" s="838" t="str">
        <f t="shared" si="0"/>
        <v>.....................................</v>
      </c>
      <c r="K18" s="838" t="str">
        <f>$AD$20</f>
        <v>Nguyễn Duy Long</v>
      </c>
      <c r="L18" s="838" t="str">
        <f>$AF$20</f>
        <v>CBKT</v>
      </c>
      <c r="M18" s="838" t="str">
        <f t="shared" si="8"/>
        <v>.....................................</v>
      </c>
      <c r="N18" s="838" t="str">
        <f t="shared" si="8"/>
        <v>.....................................</v>
      </c>
      <c r="O18" s="838" t="str">
        <f t="shared" si="8"/>
        <v>.....................................</v>
      </c>
      <c r="P18" s="838" t="str">
        <f t="shared" si="8"/>
        <v>.....................................</v>
      </c>
      <c r="Q18" s="860" t="str">
        <f>$AD$4</f>
        <v>Công ty Cổ phần và Xây dựng Quảng Ninh</v>
      </c>
      <c r="R18" s="838">
        <v>1</v>
      </c>
      <c r="S18" s="838">
        <v>2</v>
      </c>
      <c r="T18" s="838">
        <v>3</v>
      </c>
      <c r="U18" s="838"/>
      <c r="V18" s="861">
        <v>0.1388888888888889</v>
      </c>
      <c r="W18" s="861">
        <v>0.14583333333333334</v>
      </c>
      <c r="X18" s="861">
        <v>0.18055555555555555</v>
      </c>
      <c r="Y18" s="838"/>
      <c r="Z18" s="838"/>
      <c r="AA18" s="838"/>
      <c r="AB18" s="838"/>
      <c r="AC18" s="833"/>
      <c r="AD18" s="399" t="s">
        <v>890</v>
      </c>
      <c r="AE18" s="190"/>
      <c r="AF18" s="399" t="s">
        <v>124</v>
      </c>
      <c r="AG18" s="190"/>
      <c r="AH18" s="700"/>
      <c r="AI18" s="856"/>
      <c r="AJ18">
        <f t="shared" si="3"/>
        <v>3</v>
      </c>
    </row>
    <row r="19" spans="1:36" ht="25.5">
      <c r="A19" s="838">
        <f>IF(B19="","",COUNTA($R$4:R19))</f>
        <v>16</v>
      </c>
      <c r="B19" s="911" t="s">
        <v>583</v>
      </c>
      <c r="C19" s="838" t="str">
        <f t="shared" ref="C19:C81" si="13">$AD$13</f>
        <v>Nguyễn Văn Mạnh</v>
      </c>
      <c r="D19" s="838" t="str">
        <f>$AF$13</f>
        <v>Cán bộ BQLDA</v>
      </c>
      <c r="E19" s="838" t="str">
        <f t="shared" ref="E19:F38" si="14">$AD$6</f>
        <v>.....................................</v>
      </c>
      <c r="F19" s="838" t="str">
        <f t="shared" si="14"/>
        <v>.....................................</v>
      </c>
      <c r="G19" s="838" t="str">
        <f>$AD$15</f>
        <v>Nguyễn Tiến Long</v>
      </c>
      <c r="H19" s="838" t="str">
        <f>$AF$15</f>
        <v>TVGS</v>
      </c>
      <c r="I19" s="838" t="str">
        <f t="shared" si="0"/>
        <v>.....................................</v>
      </c>
      <c r="J19" s="838" t="str">
        <f t="shared" si="0"/>
        <v>.....................................</v>
      </c>
      <c r="K19" s="838" t="str">
        <f>$AD$18</f>
        <v>Phạm Văn Trà</v>
      </c>
      <c r="L19" s="838" t="str">
        <f>$AF$18</f>
        <v>CBKT</v>
      </c>
      <c r="M19" s="838" t="str">
        <f t="shared" si="8"/>
        <v>.....................................</v>
      </c>
      <c r="N19" s="838" t="str">
        <f t="shared" si="8"/>
        <v>.....................................</v>
      </c>
      <c r="O19" s="838" t="str">
        <f t="shared" si="8"/>
        <v>.....................................</v>
      </c>
      <c r="P19" s="838" t="str">
        <f t="shared" si="8"/>
        <v>.....................................</v>
      </c>
      <c r="Q19" s="860" t="str">
        <f>$AD$2</f>
        <v>Công ty Cổ phần Đầu tư và Xây dựng số 18.1</v>
      </c>
      <c r="R19" s="838">
        <v>1</v>
      </c>
      <c r="S19" s="838">
        <v>2</v>
      </c>
      <c r="T19" s="838">
        <v>6</v>
      </c>
      <c r="U19" s="838"/>
      <c r="V19" s="861">
        <v>0.98611111111111116</v>
      </c>
      <c r="W19" s="861">
        <v>0.99305555555555547</v>
      </c>
      <c r="X19" s="861">
        <v>2.7777777777777776E-2</v>
      </c>
      <c r="Y19" s="838"/>
      <c r="Z19" s="838"/>
      <c r="AA19" s="838"/>
      <c r="AB19" s="838"/>
      <c r="AC19" s="833"/>
      <c r="AD19" s="190" t="s">
        <v>892</v>
      </c>
      <c r="AE19" s="190"/>
      <c r="AF19" s="399" t="s">
        <v>124</v>
      </c>
      <c r="AG19" s="190"/>
      <c r="AH19" s="700"/>
      <c r="AI19" s="857"/>
      <c r="AJ19">
        <f t="shared" si="3"/>
        <v>3</v>
      </c>
    </row>
    <row r="20" spans="1:36" ht="25.5">
      <c r="A20" s="838">
        <f>IF(B20="","",COUNTA($R$4:R20))</f>
        <v>17</v>
      </c>
      <c r="B20" s="911" t="s">
        <v>578</v>
      </c>
      <c r="C20" s="838" t="str">
        <f t="shared" si="13"/>
        <v>Nguyễn Văn Mạnh</v>
      </c>
      <c r="D20" s="838" t="str">
        <f t="shared" ref="D20:D81" si="15">$AF$13</f>
        <v>Cán bộ BQLDA</v>
      </c>
      <c r="E20" s="838" t="str">
        <f t="shared" si="14"/>
        <v>.....................................</v>
      </c>
      <c r="F20" s="838" t="str">
        <f t="shared" si="14"/>
        <v>.....................................</v>
      </c>
      <c r="G20" s="838" t="str">
        <f>$AD$16</f>
        <v>Lê Minh Châu</v>
      </c>
      <c r="H20" s="838" t="str">
        <f>$AH$16</f>
        <v>TVGS</v>
      </c>
      <c r="I20" s="838" t="str">
        <f t="shared" si="0"/>
        <v>.....................................</v>
      </c>
      <c r="J20" s="838" t="str">
        <f t="shared" si="0"/>
        <v>.....................................</v>
      </c>
      <c r="K20" s="838" t="str">
        <f>$AD$20</f>
        <v>Nguyễn Duy Long</v>
      </c>
      <c r="L20" s="838" t="str">
        <f>$AF$20</f>
        <v>CBKT</v>
      </c>
      <c r="M20" s="838" t="str">
        <f t="shared" si="8"/>
        <v>.....................................</v>
      </c>
      <c r="N20" s="838" t="str">
        <f t="shared" si="8"/>
        <v>.....................................</v>
      </c>
      <c r="O20" s="838" t="str">
        <f t="shared" si="8"/>
        <v>.....................................</v>
      </c>
      <c r="P20" s="838" t="str">
        <f t="shared" si="8"/>
        <v>.....................................</v>
      </c>
      <c r="Q20" s="860" t="str">
        <f>$AD$4</f>
        <v>Công ty Cổ phần và Xây dựng Quảng Ninh</v>
      </c>
      <c r="R20" s="838">
        <v>1</v>
      </c>
      <c r="S20" s="838">
        <v>2</v>
      </c>
      <c r="T20" s="838">
        <v>4</v>
      </c>
      <c r="U20" s="838"/>
      <c r="V20" s="861">
        <v>0.96527777777777779</v>
      </c>
      <c r="W20" s="861">
        <v>0.96875</v>
      </c>
      <c r="X20" s="861">
        <v>3.4722222222222224E-2</v>
      </c>
      <c r="Y20" s="838"/>
      <c r="Z20" s="838"/>
      <c r="AA20" s="838"/>
      <c r="AB20" s="838"/>
      <c r="AC20" s="833"/>
      <c r="AD20" s="190" t="s">
        <v>922</v>
      </c>
      <c r="AE20" s="190"/>
      <c r="AF20" s="399" t="s">
        <v>124</v>
      </c>
      <c r="AG20" s="190"/>
      <c r="AH20" s="700"/>
      <c r="AI20" s="700"/>
      <c r="AJ20">
        <f t="shared" si="3"/>
        <v>3</v>
      </c>
    </row>
    <row r="21" spans="1:36" ht="25.5">
      <c r="A21" s="838">
        <f>IF(B21="","",COUNTA($R$4:R21))</f>
        <v>18</v>
      </c>
      <c r="B21" s="911" t="s">
        <v>662</v>
      </c>
      <c r="C21" s="838" t="str">
        <f t="shared" si="13"/>
        <v>Nguyễn Văn Mạnh</v>
      </c>
      <c r="D21" s="838" t="str">
        <f t="shared" si="15"/>
        <v>Cán bộ BQLDA</v>
      </c>
      <c r="E21" s="838" t="str">
        <f t="shared" si="14"/>
        <v>.....................................</v>
      </c>
      <c r="F21" s="838" t="str">
        <f t="shared" si="14"/>
        <v>.....................................</v>
      </c>
      <c r="G21" s="838" t="str">
        <f>$AD$15</f>
        <v>Nguyễn Tiến Long</v>
      </c>
      <c r="H21" s="838" t="str">
        <f>$AF$15</f>
        <v>TVGS</v>
      </c>
      <c r="I21" s="838" t="str">
        <f t="shared" si="0"/>
        <v>.....................................</v>
      </c>
      <c r="J21" s="838" t="str">
        <f t="shared" si="0"/>
        <v>.....................................</v>
      </c>
      <c r="K21" s="838" t="str">
        <f>$AD$18</f>
        <v>Phạm Văn Trà</v>
      </c>
      <c r="L21" s="838" t="str">
        <f>$AF$18</f>
        <v>CBKT</v>
      </c>
      <c r="M21" s="838" t="str">
        <f t="shared" si="8"/>
        <v>.....................................</v>
      </c>
      <c r="N21" s="838" t="str">
        <f t="shared" si="8"/>
        <v>.....................................</v>
      </c>
      <c r="O21" s="838" t="str">
        <f t="shared" si="8"/>
        <v>.....................................</v>
      </c>
      <c r="P21" s="838" t="str">
        <f t="shared" si="8"/>
        <v>.....................................</v>
      </c>
      <c r="Q21" s="860" t="str">
        <f>$AD$2</f>
        <v>Công ty Cổ phần Đầu tư và Xây dựng số 18.1</v>
      </c>
      <c r="R21" s="838">
        <v>1</v>
      </c>
      <c r="S21" s="838">
        <v>2</v>
      </c>
      <c r="T21" s="838">
        <v>4</v>
      </c>
      <c r="U21" s="838"/>
      <c r="V21" s="861">
        <v>0.125</v>
      </c>
      <c r="W21" s="861">
        <v>0.13194444444444445</v>
      </c>
      <c r="X21" s="861">
        <v>0.15972222222222224</v>
      </c>
      <c r="Y21" s="838"/>
      <c r="Z21" s="838"/>
      <c r="AA21" s="838"/>
      <c r="AB21" s="838"/>
      <c r="AC21" s="833"/>
      <c r="AD21" s="190" t="s">
        <v>1092</v>
      </c>
      <c r="AE21" s="190"/>
      <c r="AF21" s="399" t="s">
        <v>124</v>
      </c>
      <c r="AG21" s="190"/>
      <c r="AH21" s="700"/>
      <c r="AI21" s="700"/>
      <c r="AJ21">
        <f t="shared" si="3"/>
        <v>3</v>
      </c>
    </row>
    <row r="22" spans="1:36" ht="25.5">
      <c r="A22" s="838">
        <f>IF(B22="","",COUNTA($R$4:R22))</f>
        <v>19</v>
      </c>
      <c r="B22" s="911" t="s">
        <v>566</v>
      </c>
      <c r="C22" s="838" t="str">
        <f t="shared" si="13"/>
        <v>Nguyễn Văn Mạnh</v>
      </c>
      <c r="D22" s="838" t="str">
        <f t="shared" si="15"/>
        <v>Cán bộ BQLDA</v>
      </c>
      <c r="E22" s="838" t="str">
        <f t="shared" si="14"/>
        <v>.....................................</v>
      </c>
      <c r="F22" s="838" t="str">
        <f t="shared" si="14"/>
        <v>.....................................</v>
      </c>
      <c r="G22" s="838" t="str">
        <f>$AD$15</f>
        <v>Nguyễn Tiến Long</v>
      </c>
      <c r="H22" s="838" t="str">
        <f>$AF$15</f>
        <v>TVGS</v>
      </c>
      <c r="I22" s="838" t="str">
        <f t="shared" si="0"/>
        <v>.....................................</v>
      </c>
      <c r="J22" s="838" t="str">
        <f t="shared" si="0"/>
        <v>.....................................</v>
      </c>
      <c r="K22" s="838" t="str">
        <f>$AD$18</f>
        <v>Phạm Văn Trà</v>
      </c>
      <c r="L22" s="838" t="str">
        <f>$AF$18</f>
        <v>CBKT</v>
      </c>
      <c r="M22" s="838" t="str">
        <f t="shared" si="8"/>
        <v>.....................................</v>
      </c>
      <c r="N22" s="838" t="str">
        <f t="shared" si="8"/>
        <v>.....................................</v>
      </c>
      <c r="O22" s="838" t="str">
        <f t="shared" si="8"/>
        <v>.....................................</v>
      </c>
      <c r="P22" s="838" t="str">
        <f t="shared" si="8"/>
        <v>.....................................</v>
      </c>
      <c r="Q22" s="860" t="str">
        <f>$AD$4</f>
        <v>Công ty Cổ phần và Xây dựng Quảng Ninh</v>
      </c>
      <c r="R22" s="838">
        <v>1</v>
      </c>
      <c r="S22" s="838">
        <v>2</v>
      </c>
      <c r="T22" s="838">
        <v>3</v>
      </c>
      <c r="U22" s="838"/>
      <c r="V22" s="913">
        <v>0.79166666666666663</v>
      </c>
      <c r="W22" s="913">
        <v>0.83333333333333337</v>
      </c>
      <c r="X22" s="913">
        <v>0.91319444444444453</v>
      </c>
      <c r="Y22" s="838"/>
      <c r="Z22" s="838"/>
      <c r="AA22" s="838"/>
      <c r="AB22" s="838"/>
      <c r="AC22" s="838"/>
      <c r="AD22" s="838" t="str">
        <f>$AD$6</f>
        <v>.....................................</v>
      </c>
      <c r="AF22" s="399" t="s">
        <v>124</v>
      </c>
      <c r="AJ22">
        <f t="shared" si="3"/>
        <v>3</v>
      </c>
    </row>
    <row r="23" spans="1:36" ht="25.5">
      <c r="A23" s="838">
        <f>IF(B23="","",COUNTA($R$4:R23))</f>
        <v>20</v>
      </c>
      <c r="B23" s="838" t="s">
        <v>547</v>
      </c>
      <c r="C23" s="838" t="str">
        <f t="shared" si="13"/>
        <v>Nguyễn Văn Mạnh</v>
      </c>
      <c r="D23" s="838" t="str">
        <f t="shared" si="15"/>
        <v>Cán bộ BQLDA</v>
      </c>
      <c r="E23" s="838" t="str">
        <f t="shared" si="14"/>
        <v>.....................................</v>
      </c>
      <c r="F23" s="838" t="str">
        <f t="shared" si="14"/>
        <v>.....................................</v>
      </c>
      <c r="G23" s="838" t="str">
        <f>$AD$15</f>
        <v>Nguyễn Tiến Long</v>
      </c>
      <c r="H23" s="838" t="str">
        <f>$AF$15</f>
        <v>TVGS</v>
      </c>
      <c r="I23" s="838" t="str">
        <f t="shared" si="0"/>
        <v>.....................................</v>
      </c>
      <c r="J23" s="838" t="str">
        <f t="shared" si="0"/>
        <v>.....................................</v>
      </c>
      <c r="K23" s="838" t="str">
        <f>$AD$18</f>
        <v>Phạm Văn Trà</v>
      </c>
      <c r="L23" s="838" t="str">
        <f>$AF$18</f>
        <v>CBKT</v>
      </c>
      <c r="M23" s="838" t="str">
        <f t="shared" si="8"/>
        <v>.....................................</v>
      </c>
      <c r="N23" s="838" t="str">
        <f t="shared" si="8"/>
        <v>.....................................</v>
      </c>
      <c r="O23" s="838" t="str">
        <f t="shared" si="8"/>
        <v>.....................................</v>
      </c>
      <c r="P23" s="838" t="str">
        <f t="shared" si="8"/>
        <v>.....................................</v>
      </c>
      <c r="Q23" s="860" t="str">
        <f>$AD$2</f>
        <v>Công ty Cổ phần Đầu tư và Xây dựng số 18.1</v>
      </c>
      <c r="R23" s="838">
        <v>1</v>
      </c>
      <c r="S23" s="838"/>
      <c r="T23" s="838"/>
      <c r="U23" s="838"/>
      <c r="V23" s="861">
        <v>4.1666666666666664E-2</v>
      </c>
      <c r="W23" s="838"/>
      <c r="X23" s="838"/>
      <c r="Y23" s="838"/>
      <c r="Z23" s="838"/>
      <c r="AA23" s="838"/>
      <c r="AB23" s="838"/>
      <c r="AC23" s="833"/>
      <c r="AD23" s="190" t="s">
        <v>1015</v>
      </c>
      <c r="AF23" s="399" t="s">
        <v>124</v>
      </c>
      <c r="AJ23">
        <f t="shared" si="3"/>
        <v>1</v>
      </c>
    </row>
    <row r="24" spans="1:36" ht="25.5">
      <c r="A24" s="838">
        <f>IF(B24="","",COUNTA($R$4:R24))</f>
        <v>21</v>
      </c>
      <c r="B24" s="838" t="s">
        <v>489</v>
      </c>
      <c r="C24" s="838" t="str">
        <f t="shared" si="13"/>
        <v>Nguyễn Văn Mạnh</v>
      </c>
      <c r="D24" s="838" t="str">
        <f t="shared" si="15"/>
        <v>Cán bộ BQLDA</v>
      </c>
      <c r="E24" s="838" t="str">
        <f t="shared" si="14"/>
        <v>.....................................</v>
      </c>
      <c r="F24" s="838" t="str">
        <f t="shared" si="14"/>
        <v>.....................................</v>
      </c>
      <c r="G24" s="838" t="str">
        <f>$AD$15</f>
        <v>Nguyễn Tiến Long</v>
      </c>
      <c r="H24" s="838" t="str">
        <f>$AF$15</f>
        <v>TVGS</v>
      </c>
      <c r="I24" s="838" t="str">
        <f t="shared" si="0"/>
        <v>.....................................</v>
      </c>
      <c r="J24" s="838" t="str">
        <f t="shared" si="0"/>
        <v>.....................................</v>
      </c>
      <c r="K24" s="838" t="str">
        <f>$AD$18</f>
        <v>Phạm Văn Trà</v>
      </c>
      <c r="L24" s="838" t="str">
        <f>$AF$18</f>
        <v>CBKT</v>
      </c>
      <c r="M24" s="838" t="str">
        <f t="shared" si="8"/>
        <v>.....................................</v>
      </c>
      <c r="N24" s="838" t="str">
        <f t="shared" si="8"/>
        <v>.....................................</v>
      </c>
      <c r="O24" s="838" t="str">
        <f t="shared" si="8"/>
        <v>.....................................</v>
      </c>
      <c r="P24" s="838" t="str">
        <f t="shared" si="8"/>
        <v>.....................................</v>
      </c>
      <c r="Q24" s="860" t="str">
        <f>$AD$2</f>
        <v>Công ty Cổ phần Đầu tư và Xây dựng số 18.1</v>
      </c>
      <c r="R24" s="838">
        <v>1</v>
      </c>
      <c r="S24" s="838">
        <v>2</v>
      </c>
      <c r="T24" s="838">
        <v>3</v>
      </c>
      <c r="U24" s="838"/>
      <c r="V24" s="861">
        <v>0.40277777777777773</v>
      </c>
      <c r="W24" s="861">
        <v>0.40972222222222227</v>
      </c>
      <c r="X24" s="861">
        <v>0.41666666666666669</v>
      </c>
      <c r="Y24" s="838"/>
      <c r="Z24" s="838"/>
      <c r="AA24" s="838"/>
      <c r="AB24" s="838"/>
      <c r="AC24" s="833"/>
      <c r="AD24" s="190" t="s">
        <v>1079</v>
      </c>
      <c r="AF24" s="399" t="s">
        <v>1087</v>
      </c>
      <c r="AJ24">
        <f t="shared" si="3"/>
        <v>3</v>
      </c>
    </row>
    <row r="25" spans="1:36" ht="25.5">
      <c r="A25" s="838">
        <f>IF(B25="","",COUNTA($R$4:R25))</f>
        <v>22</v>
      </c>
      <c r="B25" s="838" t="s">
        <v>618</v>
      </c>
      <c r="C25" s="838" t="str">
        <f t="shared" si="13"/>
        <v>Nguyễn Văn Mạnh</v>
      </c>
      <c r="D25" s="838" t="str">
        <f t="shared" si="15"/>
        <v>Cán bộ BQLDA</v>
      </c>
      <c r="E25" s="838" t="str">
        <f t="shared" si="14"/>
        <v>.....................................</v>
      </c>
      <c r="F25" s="838" t="str">
        <f t="shared" si="14"/>
        <v>.....................................</v>
      </c>
      <c r="G25" s="838" t="str">
        <f>$AD$15</f>
        <v>Nguyễn Tiến Long</v>
      </c>
      <c r="H25" s="838" t="str">
        <f>$AF$15</f>
        <v>TVGS</v>
      </c>
      <c r="I25" s="838" t="str">
        <f t="shared" si="0"/>
        <v>.....................................</v>
      </c>
      <c r="J25" s="838" t="str">
        <f t="shared" si="0"/>
        <v>.....................................</v>
      </c>
      <c r="K25" s="838" t="str">
        <f>$AD$18</f>
        <v>Phạm Văn Trà</v>
      </c>
      <c r="L25" s="838" t="str">
        <f>$AF$18</f>
        <v>CBKT</v>
      </c>
      <c r="M25" s="838" t="str">
        <f t="shared" si="8"/>
        <v>.....................................</v>
      </c>
      <c r="N25" s="838" t="str">
        <f t="shared" si="8"/>
        <v>.....................................</v>
      </c>
      <c r="O25" s="838" t="str">
        <f t="shared" si="8"/>
        <v>.....................................</v>
      </c>
      <c r="P25" s="838" t="str">
        <f t="shared" si="8"/>
        <v>.....................................</v>
      </c>
      <c r="Q25" s="860" t="str">
        <f>$AD$2</f>
        <v>Công ty Cổ phần Đầu tư và Xây dựng số 18.1</v>
      </c>
      <c r="R25" s="838">
        <v>1</v>
      </c>
      <c r="S25" s="838">
        <v>2</v>
      </c>
      <c r="T25" s="838">
        <v>4</v>
      </c>
      <c r="U25" s="838"/>
      <c r="V25" s="861">
        <v>0.68055555555555547</v>
      </c>
      <c r="W25" s="861">
        <v>0.6875</v>
      </c>
      <c r="X25" s="861">
        <v>0.72916666666666663</v>
      </c>
      <c r="Y25" s="838"/>
      <c r="Z25" s="838"/>
      <c r="AA25" s="838"/>
      <c r="AB25" s="838"/>
      <c r="AC25" s="833"/>
      <c r="AD25" s="190" t="s">
        <v>1086</v>
      </c>
      <c r="AE25" s="190"/>
      <c r="AF25" s="190" t="s">
        <v>1088</v>
      </c>
      <c r="AG25" s="190"/>
      <c r="AH25" s="190"/>
      <c r="AI25" s="190"/>
      <c r="AJ25">
        <f t="shared" si="3"/>
        <v>3</v>
      </c>
    </row>
    <row r="26" spans="1:36" ht="25.5">
      <c r="A26" s="838">
        <f>IF(B26="","",COUNTA($R$4:R26))</f>
        <v>23</v>
      </c>
      <c r="B26" s="838" t="s">
        <v>499</v>
      </c>
      <c r="C26" s="838" t="str">
        <f t="shared" si="13"/>
        <v>Nguyễn Văn Mạnh</v>
      </c>
      <c r="D26" s="838" t="str">
        <f t="shared" si="15"/>
        <v>Cán bộ BQLDA</v>
      </c>
      <c r="E26" s="838" t="str">
        <f t="shared" si="14"/>
        <v>.....................................</v>
      </c>
      <c r="F26" s="838" t="str">
        <f t="shared" si="14"/>
        <v>.....................................</v>
      </c>
      <c r="G26" s="838" t="str">
        <f>$AD$16</f>
        <v>Lê Minh Châu</v>
      </c>
      <c r="H26" s="838" t="str">
        <f>$AH$16</f>
        <v>TVGS</v>
      </c>
      <c r="I26" s="838" t="str">
        <f t="shared" si="0"/>
        <v>.....................................</v>
      </c>
      <c r="J26" s="838" t="str">
        <f t="shared" si="0"/>
        <v>.....................................</v>
      </c>
      <c r="K26" s="838" t="str">
        <f>$AD$20</f>
        <v>Nguyễn Duy Long</v>
      </c>
      <c r="L26" s="838" t="str">
        <f>$AF$20</f>
        <v>CBKT</v>
      </c>
      <c r="M26" s="838" t="str">
        <f t="shared" si="8"/>
        <v>.....................................</v>
      </c>
      <c r="N26" s="838" t="str">
        <f t="shared" si="8"/>
        <v>.....................................</v>
      </c>
      <c r="O26" s="838" t="str">
        <f t="shared" si="8"/>
        <v>.....................................</v>
      </c>
      <c r="P26" s="838" t="str">
        <f t="shared" si="8"/>
        <v>.....................................</v>
      </c>
      <c r="Q26" s="860" t="str">
        <f>$AD$2</f>
        <v>Công ty Cổ phần Đầu tư và Xây dựng số 18.1</v>
      </c>
      <c r="R26" s="838">
        <v>1</v>
      </c>
      <c r="S26" s="838">
        <v>2</v>
      </c>
      <c r="T26" s="838">
        <v>3</v>
      </c>
      <c r="U26" s="838"/>
      <c r="V26" s="861">
        <v>0.79861111111111116</v>
      </c>
      <c r="W26" s="861">
        <v>0.80555555555555547</v>
      </c>
      <c r="X26" s="861">
        <v>0.81944444444444453</v>
      </c>
      <c r="Y26" s="838"/>
      <c r="Z26" s="838"/>
      <c r="AA26" s="838"/>
      <c r="AB26" s="838"/>
      <c r="AC26" s="833"/>
      <c r="AD26" s="417" t="s">
        <v>1090</v>
      </c>
      <c r="AF26" s="399" t="s">
        <v>124</v>
      </c>
      <c r="AJ26">
        <f t="shared" si="3"/>
        <v>3</v>
      </c>
    </row>
    <row r="27" spans="1:36" ht="25.5">
      <c r="A27" s="838">
        <f>IF(B27="","",COUNTA($R$4:R27))</f>
        <v>24</v>
      </c>
      <c r="B27" s="838" t="s">
        <v>639</v>
      </c>
      <c r="C27" s="838" t="str">
        <f t="shared" si="13"/>
        <v>Nguyễn Văn Mạnh</v>
      </c>
      <c r="D27" s="838" t="str">
        <f t="shared" si="15"/>
        <v>Cán bộ BQLDA</v>
      </c>
      <c r="E27" s="838" t="str">
        <f t="shared" si="14"/>
        <v>.....................................</v>
      </c>
      <c r="F27" s="838" t="str">
        <f t="shared" si="14"/>
        <v>.....................................</v>
      </c>
      <c r="G27" s="838" t="str">
        <f>$AD$16</f>
        <v>Lê Minh Châu</v>
      </c>
      <c r="H27" s="838" t="str">
        <f>$AH$16</f>
        <v>TVGS</v>
      </c>
      <c r="I27" s="838" t="str">
        <f t="shared" si="0"/>
        <v>.....................................</v>
      </c>
      <c r="J27" s="838" t="str">
        <f t="shared" si="0"/>
        <v>.....................................</v>
      </c>
      <c r="K27" s="838" t="str">
        <f>$AD$19</f>
        <v>Đinh Văn Hưởng</v>
      </c>
      <c r="L27" s="838" t="str">
        <f>$AF$19</f>
        <v>CBKT</v>
      </c>
      <c r="M27" s="838" t="str">
        <f>$AD$6</f>
        <v>.....................................</v>
      </c>
      <c r="N27" s="838" t="str">
        <f>$AD$6</f>
        <v>.....................................</v>
      </c>
      <c r="O27" s="838" t="str">
        <f t="shared" si="8"/>
        <v>.....................................</v>
      </c>
      <c r="P27" s="838" t="str">
        <f t="shared" si="8"/>
        <v>.....................................</v>
      </c>
      <c r="Q27" s="860" t="str">
        <f>$AD$2</f>
        <v>Công ty Cổ phần Đầu tư và Xây dựng số 18.1</v>
      </c>
      <c r="R27" s="838">
        <v>1</v>
      </c>
      <c r="S27" s="838">
        <v>3</v>
      </c>
      <c r="T27" s="838"/>
      <c r="U27" s="838"/>
      <c r="V27" s="861">
        <v>9.0277777777777776E-2</v>
      </c>
      <c r="W27" s="861">
        <v>0.12847222222222224</v>
      </c>
      <c r="X27" s="838"/>
      <c r="Y27" s="838"/>
      <c r="Z27" s="838"/>
      <c r="AA27" s="838"/>
      <c r="AB27" s="838"/>
      <c r="AC27" s="833"/>
      <c r="AD27" s="417" t="s">
        <v>1093</v>
      </c>
      <c r="AF27" s="399" t="s">
        <v>327</v>
      </c>
      <c r="AJ27">
        <f t="shared" si="3"/>
        <v>2</v>
      </c>
    </row>
    <row r="28" spans="1:36" ht="25.5">
      <c r="A28" s="838">
        <f>IF(B28="","",COUNTA($R$4:R28))</f>
        <v>25</v>
      </c>
      <c r="B28" s="838" t="s">
        <v>557</v>
      </c>
      <c r="C28" s="838" t="str">
        <f t="shared" si="13"/>
        <v>Nguyễn Văn Mạnh</v>
      </c>
      <c r="D28" s="838" t="str">
        <f t="shared" si="15"/>
        <v>Cán bộ BQLDA</v>
      </c>
      <c r="E28" s="838" t="str">
        <f t="shared" si="14"/>
        <v>.....................................</v>
      </c>
      <c r="F28" s="838" t="str">
        <f t="shared" si="14"/>
        <v>.....................................</v>
      </c>
      <c r="G28" s="838" t="str">
        <f>$AD$16</f>
        <v>Lê Minh Châu</v>
      </c>
      <c r="H28" s="838" t="str">
        <f>$AH$16</f>
        <v>TVGS</v>
      </c>
      <c r="I28" s="838" t="str">
        <f t="shared" si="0"/>
        <v>.....................................</v>
      </c>
      <c r="J28" s="838" t="str">
        <f t="shared" si="0"/>
        <v>.....................................</v>
      </c>
      <c r="K28" s="838" t="str">
        <f>$AD$18</f>
        <v>Phạm Văn Trà</v>
      </c>
      <c r="L28" s="838" t="str">
        <f>$AF$18</f>
        <v>CBKT</v>
      </c>
      <c r="M28" s="838" t="str">
        <f t="shared" si="8"/>
        <v>.....................................</v>
      </c>
      <c r="N28" s="838" t="str">
        <f t="shared" si="8"/>
        <v>.....................................</v>
      </c>
      <c r="O28" s="838" t="str">
        <f t="shared" si="8"/>
        <v>.....................................</v>
      </c>
      <c r="P28" s="838" t="str">
        <f t="shared" si="8"/>
        <v>.....................................</v>
      </c>
      <c r="Q28" s="860" t="str">
        <f>$AD$4</f>
        <v>Công ty Cổ phần và Xây dựng Quảng Ninh</v>
      </c>
      <c r="R28" s="838">
        <v>1</v>
      </c>
      <c r="S28" s="838">
        <v>2</v>
      </c>
      <c r="T28" s="838">
        <v>3</v>
      </c>
      <c r="U28" s="838"/>
      <c r="V28" s="861">
        <v>0.4375</v>
      </c>
      <c r="W28" s="861">
        <v>0.44444444444444442</v>
      </c>
      <c r="X28" s="861">
        <v>0.4826388888888889</v>
      </c>
      <c r="Y28" s="838"/>
      <c r="Z28" s="838"/>
      <c r="AA28" s="838"/>
      <c r="AB28" s="838"/>
      <c r="AC28" s="833"/>
      <c r="AD28" s="417" t="s">
        <v>1110</v>
      </c>
      <c r="AF28" s="399" t="s">
        <v>124</v>
      </c>
      <c r="AJ28">
        <f t="shared" si="3"/>
        <v>3</v>
      </c>
    </row>
    <row r="29" spans="1:36" ht="25.5">
      <c r="A29" s="838">
        <f>IF(B29="","",COUNTA($R$4:R29))</f>
        <v>26</v>
      </c>
      <c r="B29" s="911" t="s">
        <v>647</v>
      </c>
      <c r="C29" s="838" t="str">
        <f t="shared" si="13"/>
        <v>Nguyễn Văn Mạnh</v>
      </c>
      <c r="D29" s="838" t="str">
        <f t="shared" si="15"/>
        <v>Cán bộ BQLDA</v>
      </c>
      <c r="E29" s="838" t="str">
        <f t="shared" si="14"/>
        <v>.....................................</v>
      </c>
      <c r="F29" s="838" t="str">
        <f t="shared" si="14"/>
        <v>.....................................</v>
      </c>
      <c r="G29" s="838" t="str">
        <f>$AD$16</f>
        <v>Lê Minh Châu</v>
      </c>
      <c r="H29" s="838" t="str">
        <f>$AH$16</f>
        <v>TVGS</v>
      </c>
      <c r="I29" s="838" t="str">
        <f t="shared" si="0"/>
        <v>.....................................</v>
      </c>
      <c r="J29" s="838" t="str">
        <f t="shared" si="0"/>
        <v>.....................................</v>
      </c>
      <c r="K29" s="838" t="str">
        <f>$AD$18</f>
        <v>Phạm Văn Trà</v>
      </c>
      <c r="L29" s="838" t="str">
        <f>$AF$18</f>
        <v>CBKT</v>
      </c>
      <c r="M29" s="838" t="str">
        <f t="shared" si="8"/>
        <v>.....................................</v>
      </c>
      <c r="N29" s="838" t="str">
        <f t="shared" si="8"/>
        <v>.....................................</v>
      </c>
      <c r="O29" s="838" t="str">
        <f t="shared" si="8"/>
        <v>.....................................</v>
      </c>
      <c r="P29" s="838" t="str">
        <f t="shared" si="8"/>
        <v>.....................................</v>
      </c>
      <c r="Q29" s="860" t="str">
        <f>$AD$5</f>
        <v>Công ty TNHH đầu tư và phát triển KD Vượng Phát</v>
      </c>
      <c r="R29" s="838">
        <v>1</v>
      </c>
      <c r="S29" s="838">
        <v>2</v>
      </c>
      <c r="T29" s="838"/>
      <c r="U29" s="838"/>
      <c r="V29" s="861">
        <v>0.28472222222222221</v>
      </c>
      <c r="W29" s="861">
        <v>0.2951388888888889</v>
      </c>
      <c r="X29" s="838"/>
      <c r="Y29" s="838"/>
      <c r="Z29" s="838"/>
      <c r="AA29" s="838"/>
      <c r="AB29" s="838"/>
      <c r="AC29" s="833"/>
      <c r="AD29" s="417" t="s">
        <v>1115</v>
      </c>
      <c r="AF29" s="399" t="s">
        <v>124</v>
      </c>
      <c r="AJ29">
        <f t="shared" si="3"/>
        <v>2</v>
      </c>
    </row>
    <row r="30" spans="1:36" ht="25.5">
      <c r="A30" s="838">
        <f>IF(B30="","",COUNTA($R$4:R30))</f>
        <v>27</v>
      </c>
      <c r="B30" s="911" t="s">
        <v>494</v>
      </c>
      <c r="C30" s="838" t="str">
        <f t="shared" si="13"/>
        <v>Nguyễn Văn Mạnh</v>
      </c>
      <c r="D30" s="838" t="str">
        <f t="shared" si="15"/>
        <v>Cán bộ BQLDA</v>
      </c>
      <c r="E30" s="838" t="str">
        <f t="shared" si="14"/>
        <v>.....................................</v>
      </c>
      <c r="F30" s="838" t="str">
        <f t="shared" si="14"/>
        <v>.....................................</v>
      </c>
      <c r="G30" s="838" t="str">
        <f>$AD$16</f>
        <v>Lê Minh Châu</v>
      </c>
      <c r="H30" s="838" t="str">
        <f>$AH$16</f>
        <v>TVGS</v>
      </c>
      <c r="I30" s="838" t="str">
        <f t="shared" si="0"/>
        <v>.....................................</v>
      </c>
      <c r="J30" s="838" t="str">
        <f t="shared" si="0"/>
        <v>.....................................</v>
      </c>
      <c r="K30" s="838" t="str">
        <f>$AD$18</f>
        <v>Phạm Văn Trà</v>
      </c>
      <c r="L30" s="838" t="str">
        <f>$AF$18</f>
        <v>CBKT</v>
      </c>
      <c r="M30" s="838" t="str">
        <f t="shared" si="8"/>
        <v>.....................................</v>
      </c>
      <c r="N30" s="838" t="str">
        <f t="shared" si="8"/>
        <v>.....................................</v>
      </c>
      <c r="O30" s="838" t="str">
        <f t="shared" si="8"/>
        <v>.....................................</v>
      </c>
      <c r="P30" s="838" t="str">
        <f t="shared" si="8"/>
        <v>.....................................</v>
      </c>
      <c r="Q30" s="860" t="str">
        <f t="shared" ref="Q30:Q35" si="16">$AD$4</f>
        <v>Công ty Cổ phần và Xây dựng Quảng Ninh</v>
      </c>
      <c r="R30" s="838">
        <v>1</v>
      </c>
      <c r="S30" s="838">
        <v>2</v>
      </c>
      <c r="T30" s="838">
        <v>3</v>
      </c>
      <c r="U30" s="838"/>
      <c r="V30" s="861">
        <v>0.41666666666666669</v>
      </c>
      <c r="W30" s="861">
        <v>0.4236111111111111</v>
      </c>
      <c r="X30" s="861">
        <v>0.46875</v>
      </c>
      <c r="Y30" s="838"/>
      <c r="Z30" s="838"/>
      <c r="AA30" s="838"/>
      <c r="AB30" s="838"/>
      <c r="AC30" s="833"/>
      <c r="AD30" s="417" t="s">
        <v>1117</v>
      </c>
      <c r="AF30" s="399" t="s">
        <v>197</v>
      </c>
      <c r="AJ30">
        <f t="shared" si="3"/>
        <v>3</v>
      </c>
    </row>
    <row r="31" spans="1:36" ht="25.5">
      <c r="A31" s="838">
        <f>IF(B31="","",COUNTA($R$4:R31))</f>
        <v>28</v>
      </c>
      <c r="B31" s="911" t="s">
        <v>504</v>
      </c>
      <c r="C31" s="838" t="str">
        <f t="shared" si="13"/>
        <v>Nguyễn Văn Mạnh</v>
      </c>
      <c r="D31" s="838" t="str">
        <f t="shared" si="15"/>
        <v>Cán bộ BQLDA</v>
      </c>
      <c r="E31" s="838" t="str">
        <f t="shared" si="14"/>
        <v>.....................................</v>
      </c>
      <c r="F31" s="838" t="str">
        <f t="shared" si="14"/>
        <v>.....................................</v>
      </c>
      <c r="G31" s="838" t="str">
        <f>$AD$15</f>
        <v>Nguyễn Tiến Long</v>
      </c>
      <c r="H31" s="838" t="str">
        <f>$AF$15</f>
        <v>TVGS</v>
      </c>
      <c r="I31" s="838" t="str">
        <f t="shared" si="0"/>
        <v>.....................................</v>
      </c>
      <c r="J31" s="838" t="str">
        <f t="shared" si="0"/>
        <v>.....................................</v>
      </c>
      <c r="K31" s="838" t="str">
        <f>$AD$18</f>
        <v>Phạm Văn Trà</v>
      </c>
      <c r="L31" s="838" t="str">
        <f>$AF$18</f>
        <v>CBKT</v>
      </c>
      <c r="M31" s="838" t="str">
        <f t="shared" si="8"/>
        <v>.....................................</v>
      </c>
      <c r="N31" s="838" t="str">
        <f t="shared" si="8"/>
        <v>.....................................</v>
      </c>
      <c r="O31" s="838" t="str">
        <f t="shared" si="8"/>
        <v>.....................................</v>
      </c>
      <c r="P31" s="838" t="str">
        <f t="shared" si="8"/>
        <v>.....................................</v>
      </c>
      <c r="Q31" s="860" t="str">
        <f t="shared" si="16"/>
        <v>Công ty Cổ phần và Xây dựng Quảng Ninh</v>
      </c>
      <c r="R31" s="838">
        <v>1</v>
      </c>
      <c r="S31" s="838">
        <v>2</v>
      </c>
      <c r="T31" s="838">
        <v>3</v>
      </c>
      <c r="U31" s="838"/>
      <c r="V31" s="861">
        <v>0.58333333333333337</v>
      </c>
      <c r="W31" s="861">
        <v>0.59722222222222221</v>
      </c>
      <c r="X31" s="861">
        <v>0.60763888888888895</v>
      </c>
      <c r="Y31" s="838"/>
      <c r="Z31" s="838"/>
      <c r="AA31" s="838"/>
      <c r="AB31" s="838"/>
      <c r="AC31" s="833"/>
      <c r="AD31" s="417" t="s">
        <v>1151</v>
      </c>
      <c r="AF31" s="399" t="s">
        <v>197</v>
      </c>
      <c r="AJ31">
        <f t="shared" si="3"/>
        <v>3</v>
      </c>
    </row>
    <row r="32" spans="1:36" ht="25.5">
      <c r="A32" s="838">
        <f>IF(B32="","",COUNTA($R$4:R32))</f>
        <v>29</v>
      </c>
      <c r="B32" s="911" t="s">
        <v>628</v>
      </c>
      <c r="C32" s="838" t="str">
        <f t="shared" si="13"/>
        <v>Nguyễn Văn Mạnh</v>
      </c>
      <c r="D32" s="838" t="str">
        <f t="shared" si="15"/>
        <v>Cán bộ BQLDA</v>
      </c>
      <c r="E32" s="838" t="str">
        <f t="shared" si="14"/>
        <v>.....................................</v>
      </c>
      <c r="F32" s="838" t="str">
        <f t="shared" si="14"/>
        <v>.....................................</v>
      </c>
      <c r="G32" s="838" t="str">
        <f>$AD$15</f>
        <v>Nguyễn Tiến Long</v>
      </c>
      <c r="H32" s="838" t="str">
        <f>$AF$15</f>
        <v>TVGS</v>
      </c>
      <c r="I32" s="838" t="str">
        <f t="shared" si="0"/>
        <v>.....................................</v>
      </c>
      <c r="J32" s="838" t="str">
        <f t="shared" si="0"/>
        <v>.....................................</v>
      </c>
      <c r="K32" s="838" t="str">
        <f>$AD$18</f>
        <v>Phạm Văn Trà</v>
      </c>
      <c r="L32" s="838" t="str">
        <f>$AF$18</f>
        <v>CBKT</v>
      </c>
      <c r="M32" s="838" t="str">
        <f t="shared" si="8"/>
        <v>.....................................</v>
      </c>
      <c r="N32" s="838" t="str">
        <f t="shared" si="8"/>
        <v>.....................................</v>
      </c>
      <c r="O32" s="838" t="str">
        <f t="shared" si="8"/>
        <v>.....................................</v>
      </c>
      <c r="P32" s="838" t="str">
        <f t="shared" si="8"/>
        <v>.....................................</v>
      </c>
      <c r="Q32" s="860" t="str">
        <f t="shared" si="16"/>
        <v>Công ty Cổ phần và Xây dựng Quảng Ninh</v>
      </c>
      <c r="R32" s="838">
        <v>1</v>
      </c>
      <c r="S32" s="838">
        <v>2</v>
      </c>
      <c r="T32" s="838">
        <v>3</v>
      </c>
      <c r="U32" s="838"/>
      <c r="V32" s="861">
        <v>0.91319444444444453</v>
      </c>
      <c r="W32" s="861">
        <v>0.93402777777777779</v>
      </c>
      <c r="X32" s="861">
        <v>0.94097222222222221</v>
      </c>
      <c r="Y32" s="838"/>
      <c r="Z32" s="838"/>
      <c r="AA32" s="838"/>
      <c r="AB32" s="838"/>
      <c r="AC32" s="833"/>
      <c r="AJ32">
        <f t="shared" si="3"/>
        <v>3</v>
      </c>
    </row>
    <row r="33" spans="1:36" ht="25.5">
      <c r="A33" s="838">
        <f>IF(B33="","",COUNTA($R$4:R33))</f>
        <v>30</v>
      </c>
      <c r="B33" s="838" t="s">
        <v>634</v>
      </c>
      <c r="C33" s="838" t="str">
        <f t="shared" si="13"/>
        <v>Nguyễn Văn Mạnh</v>
      </c>
      <c r="D33" s="838" t="str">
        <f t="shared" si="15"/>
        <v>Cán bộ BQLDA</v>
      </c>
      <c r="E33" s="838" t="str">
        <f t="shared" si="14"/>
        <v>.....................................</v>
      </c>
      <c r="F33" s="838" t="str">
        <f t="shared" si="14"/>
        <v>.....................................</v>
      </c>
      <c r="G33" s="838" t="str">
        <f>$AD$16</f>
        <v>Lê Minh Châu</v>
      </c>
      <c r="H33" s="838" t="str">
        <f>$AH$16</f>
        <v>TVGS</v>
      </c>
      <c r="I33" s="838" t="str">
        <f t="shared" si="0"/>
        <v>.....................................</v>
      </c>
      <c r="J33" s="838" t="str">
        <f t="shared" si="0"/>
        <v>.....................................</v>
      </c>
      <c r="K33" s="838" t="str">
        <f>$AD$20</f>
        <v>Nguyễn Duy Long</v>
      </c>
      <c r="L33" s="838" t="str">
        <f>$AF$20</f>
        <v>CBKT</v>
      </c>
      <c r="M33" s="838" t="str">
        <f t="shared" si="8"/>
        <v>.....................................</v>
      </c>
      <c r="N33" s="838" t="str">
        <f t="shared" si="8"/>
        <v>.....................................</v>
      </c>
      <c r="O33" s="838" t="str">
        <f t="shared" si="8"/>
        <v>.....................................</v>
      </c>
      <c r="P33" s="838" t="str">
        <f t="shared" si="8"/>
        <v>.....................................</v>
      </c>
      <c r="Q33" s="860" t="str">
        <f t="shared" si="16"/>
        <v>Công ty Cổ phần và Xây dựng Quảng Ninh</v>
      </c>
      <c r="R33" s="838">
        <v>1</v>
      </c>
      <c r="S33" s="838">
        <v>2</v>
      </c>
      <c r="T33" s="838">
        <v>3</v>
      </c>
      <c r="U33" s="838"/>
      <c r="V33" s="861">
        <v>0.38194444444444442</v>
      </c>
      <c r="W33" s="861">
        <v>0.3923611111111111</v>
      </c>
      <c r="X33" s="861">
        <v>0.40277777777777773</v>
      </c>
      <c r="Y33" s="838"/>
      <c r="Z33" s="838"/>
      <c r="AA33" s="838"/>
      <c r="AB33" s="838"/>
      <c r="AC33" s="833"/>
      <c r="AJ33">
        <f t="shared" si="3"/>
        <v>3</v>
      </c>
    </row>
    <row r="34" spans="1:36" ht="25.5">
      <c r="A34" s="838">
        <f>IF(B34="","",COUNTA($R$4:R34))</f>
        <v>31</v>
      </c>
      <c r="B34" s="838" t="s">
        <v>532</v>
      </c>
      <c r="C34" s="838" t="str">
        <f t="shared" si="13"/>
        <v>Nguyễn Văn Mạnh</v>
      </c>
      <c r="D34" s="838" t="str">
        <f t="shared" si="15"/>
        <v>Cán bộ BQLDA</v>
      </c>
      <c r="E34" s="838" t="str">
        <f t="shared" si="14"/>
        <v>.....................................</v>
      </c>
      <c r="F34" s="838" t="str">
        <f t="shared" si="14"/>
        <v>.....................................</v>
      </c>
      <c r="G34" s="838" t="str">
        <f>$AD$16</f>
        <v>Lê Minh Châu</v>
      </c>
      <c r="H34" s="838" t="str">
        <f>$AH$16</f>
        <v>TVGS</v>
      </c>
      <c r="I34" s="838" t="str">
        <f t="shared" si="0"/>
        <v>.....................................</v>
      </c>
      <c r="J34" s="838" t="str">
        <f t="shared" si="0"/>
        <v>.....................................</v>
      </c>
      <c r="K34" s="838" t="str">
        <f>$AD$18</f>
        <v>Phạm Văn Trà</v>
      </c>
      <c r="L34" s="838" t="str">
        <f>$AF$18</f>
        <v>CBKT</v>
      </c>
      <c r="M34" s="838" t="str">
        <f t="shared" si="8"/>
        <v>.....................................</v>
      </c>
      <c r="N34" s="838" t="str">
        <f t="shared" si="8"/>
        <v>.....................................</v>
      </c>
      <c r="O34" s="838" t="str">
        <f t="shared" si="8"/>
        <v>.....................................</v>
      </c>
      <c r="P34" s="838" t="str">
        <f t="shared" si="8"/>
        <v>.....................................</v>
      </c>
      <c r="Q34" s="860" t="str">
        <f t="shared" si="16"/>
        <v>Công ty Cổ phần và Xây dựng Quảng Ninh</v>
      </c>
      <c r="R34" s="838">
        <v>1</v>
      </c>
      <c r="S34" s="838">
        <v>2</v>
      </c>
      <c r="T34" s="838">
        <v>3</v>
      </c>
      <c r="U34" s="838"/>
      <c r="V34" s="861">
        <v>0.79166666666666663</v>
      </c>
      <c r="W34" s="861">
        <v>0.78125</v>
      </c>
      <c r="X34" s="861">
        <v>0.80555555555555547</v>
      </c>
      <c r="Y34" s="838"/>
      <c r="Z34" s="838"/>
      <c r="AA34" s="838"/>
      <c r="AB34" s="838"/>
      <c r="AC34" s="833"/>
      <c r="AJ34">
        <f t="shared" si="3"/>
        <v>3</v>
      </c>
    </row>
    <row r="35" spans="1:36" ht="25.5">
      <c r="A35" s="838">
        <f>IF(B35="","",COUNTA($R$4:R35))</f>
        <v>32</v>
      </c>
      <c r="B35" s="838" t="s">
        <v>632</v>
      </c>
      <c r="C35" s="838" t="str">
        <f t="shared" si="13"/>
        <v>Nguyễn Văn Mạnh</v>
      </c>
      <c r="D35" s="838" t="str">
        <f t="shared" si="15"/>
        <v>Cán bộ BQLDA</v>
      </c>
      <c r="E35" s="838" t="str">
        <f t="shared" si="14"/>
        <v>.....................................</v>
      </c>
      <c r="F35" s="838" t="str">
        <f t="shared" si="14"/>
        <v>.....................................</v>
      </c>
      <c r="G35" s="838" t="str">
        <f>$AD$16</f>
        <v>Lê Minh Châu</v>
      </c>
      <c r="H35" s="838" t="str">
        <f>$AH$16</f>
        <v>TVGS</v>
      </c>
      <c r="I35" s="838" t="str">
        <f t="shared" si="0"/>
        <v>.....................................</v>
      </c>
      <c r="J35" s="838" t="str">
        <f t="shared" si="0"/>
        <v>.....................................</v>
      </c>
      <c r="K35" s="838" t="str">
        <f>$AD$18</f>
        <v>Phạm Văn Trà</v>
      </c>
      <c r="L35" s="838" t="str">
        <f>$AF$18</f>
        <v>CBKT</v>
      </c>
      <c r="M35" s="838" t="str">
        <f t="shared" si="8"/>
        <v>.....................................</v>
      </c>
      <c r="N35" s="838" t="str">
        <f t="shared" si="8"/>
        <v>.....................................</v>
      </c>
      <c r="O35" s="838" t="str">
        <f t="shared" si="8"/>
        <v>.....................................</v>
      </c>
      <c r="P35" s="838" t="str">
        <f t="shared" si="8"/>
        <v>.....................................</v>
      </c>
      <c r="Q35" s="860" t="str">
        <f t="shared" si="16"/>
        <v>Công ty Cổ phần và Xây dựng Quảng Ninh</v>
      </c>
      <c r="R35" s="838">
        <v>1</v>
      </c>
      <c r="S35" s="838">
        <v>2</v>
      </c>
      <c r="T35" s="838">
        <v>3</v>
      </c>
      <c r="U35" s="838"/>
      <c r="V35" s="861">
        <v>0.37847222222222227</v>
      </c>
      <c r="W35" s="861">
        <v>0.38750000000000001</v>
      </c>
      <c r="X35" s="861">
        <v>0.39583333333333331</v>
      </c>
      <c r="Y35" s="838"/>
      <c r="Z35" s="838"/>
      <c r="AA35" s="838"/>
      <c r="AB35" s="838"/>
      <c r="AC35" s="833"/>
      <c r="AJ35">
        <f t="shared" si="3"/>
        <v>3</v>
      </c>
    </row>
    <row r="36" spans="1:36" ht="25.5">
      <c r="A36" s="838">
        <f>IF(B36="","",COUNTA($R$4:R36))</f>
        <v>33</v>
      </c>
      <c r="B36" s="838" t="s">
        <v>509</v>
      </c>
      <c r="C36" s="838" t="str">
        <f t="shared" si="13"/>
        <v>Nguyễn Văn Mạnh</v>
      </c>
      <c r="D36" s="838" t="str">
        <f t="shared" si="15"/>
        <v>Cán bộ BQLDA</v>
      </c>
      <c r="E36" s="838" t="str">
        <f t="shared" si="14"/>
        <v>.....................................</v>
      </c>
      <c r="F36" s="838" t="str">
        <f t="shared" si="14"/>
        <v>.....................................</v>
      </c>
      <c r="G36" s="838" t="str">
        <f>$AD$15</f>
        <v>Nguyễn Tiến Long</v>
      </c>
      <c r="H36" s="838" t="str">
        <f>$AF$15</f>
        <v>TVGS</v>
      </c>
      <c r="I36" s="838" t="str">
        <f t="shared" si="0"/>
        <v>.....................................</v>
      </c>
      <c r="J36" s="838" t="str">
        <f t="shared" si="0"/>
        <v>.....................................</v>
      </c>
      <c r="K36" s="838" t="str">
        <f>$AD$19</f>
        <v>Đinh Văn Hưởng</v>
      </c>
      <c r="L36" s="838" t="str">
        <f>$AF$19</f>
        <v>CBKT</v>
      </c>
      <c r="M36" s="838" t="str">
        <f>$AD$6</f>
        <v>.....................................</v>
      </c>
      <c r="N36" s="838" t="str">
        <f>$AD$6</f>
        <v>.....................................</v>
      </c>
      <c r="O36" s="838" t="str">
        <f t="shared" si="8"/>
        <v>.....................................</v>
      </c>
      <c r="P36" s="838" t="str">
        <f t="shared" si="8"/>
        <v>.....................................</v>
      </c>
      <c r="Q36" s="860" t="str">
        <f>$AD$2</f>
        <v>Công ty Cổ phần Đầu tư và Xây dựng số 18.1</v>
      </c>
      <c r="R36" s="838">
        <v>1</v>
      </c>
      <c r="S36" s="838">
        <v>2</v>
      </c>
      <c r="T36" s="838">
        <v>3</v>
      </c>
      <c r="U36" s="838"/>
      <c r="V36" s="861">
        <v>7.2916666666666671E-2</v>
      </c>
      <c r="W36" s="861">
        <v>8.3333333333333329E-2</v>
      </c>
      <c r="X36" s="861">
        <v>9.0277777777777776E-2</v>
      </c>
      <c r="Y36" s="838"/>
      <c r="Z36" s="838"/>
      <c r="AA36" s="838"/>
      <c r="AB36" s="838"/>
      <c r="AC36" s="833"/>
      <c r="AJ36">
        <f t="shared" si="3"/>
        <v>3</v>
      </c>
    </row>
    <row r="37" spans="1:36" ht="25.5">
      <c r="A37" s="838">
        <f>IF(B37="","",COUNTA($R$4:R37))</f>
        <v>34</v>
      </c>
      <c r="B37" s="838" t="s">
        <v>552</v>
      </c>
      <c r="C37" s="838" t="str">
        <f t="shared" si="13"/>
        <v>Nguyễn Văn Mạnh</v>
      </c>
      <c r="D37" s="838" t="str">
        <f t="shared" si="15"/>
        <v>Cán bộ BQLDA</v>
      </c>
      <c r="E37" s="838" t="str">
        <f t="shared" si="14"/>
        <v>.....................................</v>
      </c>
      <c r="F37" s="838" t="str">
        <f t="shared" si="14"/>
        <v>.....................................</v>
      </c>
      <c r="G37" s="838" t="str">
        <f>$AD$16</f>
        <v>Lê Minh Châu</v>
      </c>
      <c r="H37" s="838" t="str">
        <f>$AH$16</f>
        <v>TVGS</v>
      </c>
      <c r="I37" s="838" t="str">
        <f t="shared" si="0"/>
        <v>.....................................</v>
      </c>
      <c r="J37" s="838" t="str">
        <f t="shared" si="0"/>
        <v>.....................................</v>
      </c>
      <c r="K37" s="838" t="str">
        <f t="shared" ref="K37:K45" si="17">$AD$18</f>
        <v>Phạm Văn Trà</v>
      </c>
      <c r="L37" s="838" t="str">
        <f t="shared" ref="L37:L45" si="18">$AF$18</f>
        <v>CBKT</v>
      </c>
      <c r="M37" s="838" t="str">
        <f t="shared" si="8"/>
        <v>.....................................</v>
      </c>
      <c r="N37" s="838" t="str">
        <f t="shared" si="8"/>
        <v>.....................................</v>
      </c>
      <c r="O37" s="838" t="str">
        <f t="shared" si="8"/>
        <v>.....................................</v>
      </c>
      <c r="P37" s="838" t="str">
        <f t="shared" si="8"/>
        <v>.....................................</v>
      </c>
      <c r="Q37" s="860" t="str">
        <f>$AD$2</f>
        <v>Công ty Cổ phần Đầu tư và Xây dựng số 18.1</v>
      </c>
      <c r="R37" s="838">
        <v>1</v>
      </c>
      <c r="S37" s="838">
        <v>2</v>
      </c>
      <c r="T37" s="838"/>
      <c r="U37" s="838"/>
      <c r="V37" s="861">
        <v>0.77777777777777779</v>
      </c>
      <c r="W37" s="861">
        <v>0.80694444444444446</v>
      </c>
      <c r="X37" s="838"/>
      <c r="Y37" s="838"/>
      <c r="Z37" s="838"/>
      <c r="AA37" s="838"/>
      <c r="AB37" s="838"/>
      <c r="AC37" s="833"/>
      <c r="AJ37">
        <f t="shared" si="3"/>
        <v>2</v>
      </c>
    </row>
    <row r="38" spans="1:36" ht="25.5">
      <c r="A38" s="838">
        <f>IF(B38="","",COUNTA($R$4:R38))</f>
        <v>35</v>
      </c>
      <c r="B38" s="838" t="s">
        <v>591</v>
      </c>
      <c r="C38" s="838" t="str">
        <f t="shared" si="13"/>
        <v>Nguyễn Văn Mạnh</v>
      </c>
      <c r="D38" s="838" t="str">
        <f t="shared" si="15"/>
        <v>Cán bộ BQLDA</v>
      </c>
      <c r="E38" s="838" t="str">
        <f t="shared" si="14"/>
        <v>.....................................</v>
      </c>
      <c r="F38" s="838" t="str">
        <f t="shared" si="14"/>
        <v>.....................................</v>
      </c>
      <c r="G38" s="838" t="str">
        <f>$AD$16</f>
        <v>Lê Minh Châu</v>
      </c>
      <c r="H38" s="838" t="str">
        <f>$AH$16</f>
        <v>TVGS</v>
      </c>
      <c r="I38" s="838" t="str">
        <f t="shared" si="0"/>
        <v>.....................................</v>
      </c>
      <c r="J38" s="838" t="str">
        <f t="shared" si="0"/>
        <v>.....................................</v>
      </c>
      <c r="K38" s="838" t="str">
        <f t="shared" si="17"/>
        <v>Phạm Văn Trà</v>
      </c>
      <c r="L38" s="838" t="str">
        <f t="shared" si="18"/>
        <v>CBKT</v>
      </c>
      <c r="M38" s="838" t="str">
        <f t="shared" si="8"/>
        <v>.....................................</v>
      </c>
      <c r="N38" s="838" t="str">
        <f t="shared" si="8"/>
        <v>.....................................</v>
      </c>
      <c r="O38" s="838" t="str">
        <f t="shared" si="8"/>
        <v>.....................................</v>
      </c>
      <c r="P38" s="838" t="str">
        <f t="shared" si="8"/>
        <v>.....................................</v>
      </c>
      <c r="Q38" s="860" t="str">
        <f>$AD$4</f>
        <v>Công ty Cổ phần và Xây dựng Quảng Ninh</v>
      </c>
      <c r="R38" s="838">
        <v>1</v>
      </c>
      <c r="S38" s="838">
        <v>2</v>
      </c>
      <c r="T38" s="838">
        <v>4</v>
      </c>
      <c r="U38" s="838"/>
      <c r="V38" s="913">
        <v>0.97916666666666663</v>
      </c>
      <c r="W38" s="913">
        <v>0.99305555555555547</v>
      </c>
      <c r="X38" s="913">
        <v>1.3888888888888888E-2</v>
      </c>
      <c r="Y38" s="838"/>
      <c r="Z38" s="838"/>
      <c r="AA38" s="838"/>
      <c r="AB38" s="838"/>
      <c r="AC38" s="833"/>
      <c r="AJ38">
        <f t="shared" si="3"/>
        <v>3</v>
      </c>
    </row>
    <row r="39" spans="1:36" ht="25.5">
      <c r="A39" s="838">
        <f>IF(B39="","",COUNTA($R$4:R39))</f>
        <v>36</v>
      </c>
      <c r="B39" s="838" t="s">
        <v>623</v>
      </c>
      <c r="C39" s="838" t="str">
        <f t="shared" si="13"/>
        <v>Nguyễn Văn Mạnh</v>
      </c>
      <c r="D39" s="838" t="str">
        <f t="shared" si="15"/>
        <v>Cán bộ BQLDA</v>
      </c>
      <c r="E39" s="838" t="str">
        <f t="shared" ref="E39:F58" si="19">$AD$6</f>
        <v>.....................................</v>
      </c>
      <c r="F39" s="838" t="str">
        <f t="shared" si="19"/>
        <v>.....................................</v>
      </c>
      <c r="G39" s="838" t="str">
        <f>$AD$16</f>
        <v>Lê Minh Châu</v>
      </c>
      <c r="H39" s="838" t="str">
        <f>$AH$16</f>
        <v>TVGS</v>
      </c>
      <c r="I39" s="838" t="str">
        <f t="shared" si="0"/>
        <v>.....................................</v>
      </c>
      <c r="J39" s="838" t="str">
        <f t="shared" si="0"/>
        <v>.....................................</v>
      </c>
      <c r="K39" s="838" t="str">
        <f t="shared" si="17"/>
        <v>Phạm Văn Trà</v>
      </c>
      <c r="L39" s="838" t="str">
        <f t="shared" si="18"/>
        <v>CBKT</v>
      </c>
      <c r="M39" s="838" t="str">
        <f t="shared" si="8"/>
        <v>.....................................</v>
      </c>
      <c r="N39" s="838" t="str">
        <f t="shared" si="8"/>
        <v>.....................................</v>
      </c>
      <c r="O39" s="838" t="str">
        <f t="shared" si="8"/>
        <v>.....................................</v>
      </c>
      <c r="P39" s="838" t="str">
        <f t="shared" si="8"/>
        <v>.....................................</v>
      </c>
      <c r="Q39" s="860" t="str">
        <f>$AD$4</f>
        <v>Công ty Cổ phần và Xây dựng Quảng Ninh</v>
      </c>
      <c r="R39" s="838">
        <v>1</v>
      </c>
      <c r="S39" s="838">
        <v>2</v>
      </c>
      <c r="T39" s="838">
        <v>3</v>
      </c>
      <c r="U39" s="838"/>
      <c r="V39" s="913">
        <v>0.65625</v>
      </c>
      <c r="W39" s="913">
        <v>0.66666666666666663</v>
      </c>
      <c r="X39" s="913">
        <v>0.67013888888888884</v>
      </c>
      <c r="Y39" s="838"/>
      <c r="Z39" s="838"/>
      <c r="AA39" s="838"/>
      <c r="AB39" s="838"/>
      <c r="AC39" s="833"/>
      <c r="AJ39">
        <f t="shared" si="3"/>
        <v>3</v>
      </c>
    </row>
    <row r="40" spans="1:36" ht="25.5">
      <c r="A40" s="838">
        <f>IF(B40="","",COUNTA($R$4:R40))</f>
        <v>37</v>
      </c>
      <c r="B40" s="838" t="s">
        <v>536</v>
      </c>
      <c r="C40" s="838" t="str">
        <f t="shared" si="13"/>
        <v>Nguyễn Văn Mạnh</v>
      </c>
      <c r="D40" s="838" t="str">
        <f t="shared" si="15"/>
        <v>Cán bộ BQLDA</v>
      </c>
      <c r="E40" s="838" t="str">
        <f t="shared" si="19"/>
        <v>.....................................</v>
      </c>
      <c r="F40" s="838" t="str">
        <f t="shared" si="19"/>
        <v>.....................................</v>
      </c>
      <c r="G40" s="838" t="str">
        <f>$AD$15</f>
        <v>Nguyễn Tiến Long</v>
      </c>
      <c r="H40" s="838" t="str">
        <f>$AF$15</f>
        <v>TVGS</v>
      </c>
      <c r="I40" s="838" t="str">
        <f t="shared" si="0"/>
        <v>.....................................</v>
      </c>
      <c r="J40" s="838" t="str">
        <f t="shared" si="0"/>
        <v>.....................................</v>
      </c>
      <c r="K40" s="838" t="str">
        <f t="shared" si="17"/>
        <v>Phạm Văn Trà</v>
      </c>
      <c r="L40" s="838" t="str">
        <f t="shared" si="18"/>
        <v>CBKT</v>
      </c>
      <c r="M40" s="838" t="str">
        <f t="shared" si="8"/>
        <v>.....................................</v>
      </c>
      <c r="N40" s="838" t="str">
        <f t="shared" si="8"/>
        <v>.....................................</v>
      </c>
      <c r="O40" s="838" t="str">
        <f t="shared" si="8"/>
        <v>.....................................</v>
      </c>
      <c r="P40" s="838" t="str">
        <f t="shared" si="8"/>
        <v>.....................................</v>
      </c>
      <c r="Q40" s="860" t="str">
        <f>$AD$4</f>
        <v>Công ty Cổ phần và Xây dựng Quảng Ninh</v>
      </c>
      <c r="R40" s="838">
        <v>1</v>
      </c>
      <c r="S40" s="838">
        <v>2</v>
      </c>
      <c r="T40" s="838">
        <v>3</v>
      </c>
      <c r="U40" s="838"/>
      <c r="V40" s="913">
        <v>0.69444444444444453</v>
      </c>
      <c r="W40" s="913">
        <v>0.70138888888888884</v>
      </c>
      <c r="X40" s="913">
        <v>0.71527777777777779</v>
      </c>
      <c r="Y40" s="838"/>
      <c r="Z40" s="838"/>
      <c r="AA40" s="838"/>
      <c r="AB40" s="838"/>
      <c r="AC40" s="833"/>
      <c r="AJ40">
        <f t="shared" si="3"/>
        <v>3</v>
      </c>
    </row>
    <row r="41" spans="1:36" ht="25.5">
      <c r="A41" s="838">
        <f>IF(B41="","",COUNTA($R$4:R41))</f>
        <v>38</v>
      </c>
      <c r="B41" s="838" t="s">
        <v>637</v>
      </c>
      <c r="C41" s="838" t="str">
        <f t="shared" si="13"/>
        <v>Nguyễn Văn Mạnh</v>
      </c>
      <c r="D41" s="838" t="str">
        <f t="shared" si="15"/>
        <v>Cán bộ BQLDA</v>
      </c>
      <c r="E41" s="838" t="str">
        <f t="shared" si="19"/>
        <v>.....................................</v>
      </c>
      <c r="F41" s="838" t="str">
        <f t="shared" si="19"/>
        <v>.....................................</v>
      </c>
      <c r="G41" s="838" t="str">
        <f>$AD$16</f>
        <v>Lê Minh Châu</v>
      </c>
      <c r="H41" s="838" t="str">
        <f>$AH$16</f>
        <v>TVGS</v>
      </c>
      <c r="I41" s="838" t="str">
        <f t="shared" si="0"/>
        <v>.....................................</v>
      </c>
      <c r="J41" s="838" t="str">
        <f t="shared" si="0"/>
        <v>.....................................</v>
      </c>
      <c r="K41" s="838" t="str">
        <f t="shared" si="17"/>
        <v>Phạm Văn Trà</v>
      </c>
      <c r="L41" s="838" t="str">
        <f t="shared" si="18"/>
        <v>CBKT</v>
      </c>
      <c r="M41" s="838" t="str">
        <f t="shared" si="8"/>
        <v>.....................................</v>
      </c>
      <c r="N41" s="838" t="str">
        <f t="shared" si="8"/>
        <v>.....................................</v>
      </c>
      <c r="O41" s="838" t="str">
        <f t="shared" si="8"/>
        <v>.....................................</v>
      </c>
      <c r="P41" s="838" t="str">
        <f t="shared" si="8"/>
        <v>.....................................</v>
      </c>
      <c r="Q41" s="860" t="str">
        <f t="shared" ref="Q41:Q46" si="20">$AD$5</f>
        <v>Công ty TNHH đầu tư và phát triển KD Vượng Phát</v>
      </c>
      <c r="R41" s="838">
        <v>1</v>
      </c>
      <c r="S41" s="838">
        <v>2</v>
      </c>
      <c r="T41" s="838">
        <v>3</v>
      </c>
      <c r="U41" s="838"/>
      <c r="V41" s="913">
        <v>0.1388888888888889</v>
      </c>
      <c r="W41" s="913">
        <v>0.16319444444444445</v>
      </c>
      <c r="X41" s="913">
        <v>0.17326388888888888</v>
      </c>
      <c r="Y41" s="838"/>
      <c r="Z41" s="838"/>
      <c r="AA41" s="838"/>
      <c r="AB41" s="838"/>
      <c r="AC41" s="833"/>
      <c r="AJ41">
        <f t="shared" si="3"/>
        <v>3</v>
      </c>
    </row>
    <row r="42" spans="1:36" ht="25.5">
      <c r="A42" s="838">
        <f>IF(B42="","",COUNTA($R$4:R42))</f>
        <v>39</v>
      </c>
      <c r="B42" s="838" t="s">
        <v>514</v>
      </c>
      <c r="C42" s="838" t="str">
        <f t="shared" si="13"/>
        <v>Nguyễn Văn Mạnh</v>
      </c>
      <c r="D42" s="838" t="str">
        <f t="shared" si="15"/>
        <v>Cán bộ BQLDA</v>
      </c>
      <c r="E42" s="838" t="str">
        <f t="shared" si="19"/>
        <v>.....................................</v>
      </c>
      <c r="F42" s="838" t="str">
        <f t="shared" si="19"/>
        <v>.....................................</v>
      </c>
      <c r="G42" s="838" t="str">
        <f t="shared" si="0"/>
        <v>.....................................</v>
      </c>
      <c r="H42" s="838" t="str">
        <f t="shared" si="0"/>
        <v>.....................................</v>
      </c>
      <c r="I42" s="838" t="str">
        <f t="shared" si="0"/>
        <v>.....................................</v>
      </c>
      <c r="J42" s="838" t="str">
        <f t="shared" si="0"/>
        <v>.....................................</v>
      </c>
      <c r="K42" s="838" t="str">
        <f t="shared" si="17"/>
        <v>Phạm Văn Trà</v>
      </c>
      <c r="L42" s="838" t="str">
        <f t="shared" si="18"/>
        <v>CBKT</v>
      </c>
      <c r="M42" s="838" t="str">
        <f t="shared" si="8"/>
        <v>.....................................</v>
      </c>
      <c r="N42" s="838" t="str">
        <f t="shared" si="8"/>
        <v>.....................................</v>
      </c>
      <c r="O42" s="838" t="str">
        <f t="shared" si="8"/>
        <v>.....................................</v>
      </c>
      <c r="P42" s="838" t="str">
        <f t="shared" si="8"/>
        <v>.....................................</v>
      </c>
      <c r="Q42" s="860" t="str">
        <f t="shared" si="20"/>
        <v>Công ty TNHH đầu tư và phát triển KD Vượng Phát</v>
      </c>
      <c r="R42" s="838">
        <v>1</v>
      </c>
      <c r="S42" s="838">
        <v>2</v>
      </c>
      <c r="T42" s="838">
        <v>3</v>
      </c>
      <c r="U42" s="838"/>
      <c r="V42" s="913">
        <v>0.47222222222222227</v>
      </c>
      <c r="W42" s="913">
        <v>0.4861111111111111</v>
      </c>
      <c r="X42" s="913">
        <v>0.59722222222222221</v>
      </c>
      <c r="Y42" s="838"/>
      <c r="Z42" s="838"/>
      <c r="AA42" s="838"/>
      <c r="AB42" s="838"/>
      <c r="AC42" s="833"/>
      <c r="AJ42">
        <f t="shared" si="3"/>
        <v>3</v>
      </c>
    </row>
    <row r="43" spans="1:36" ht="25.5">
      <c r="A43" s="838">
        <f>IF(B43="","",COUNTA($R$4:R43))</f>
        <v>40</v>
      </c>
      <c r="B43" s="839" t="s">
        <v>542</v>
      </c>
      <c r="C43" s="838" t="str">
        <f t="shared" si="13"/>
        <v>Nguyễn Văn Mạnh</v>
      </c>
      <c r="D43" s="838" t="str">
        <f t="shared" si="15"/>
        <v>Cán bộ BQLDA</v>
      </c>
      <c r="E43" s="838" t="str">
        <f t="shared" si="19"/>
        <v>.....................................</v>
      </c>
      <c r="F43" s="838" t="str">
        <f t="shared" si="19"/>
        <v>.....................................</v>
      </c>
      <c r="G43" s="838" t="str">
        <f>$AD$16</f>
        <v>Lê Minh Châu</v>
      </c>
      <c r="H43" s="838" t="str">
        <f>$AH$16</f>
        <v>TVGS</v>
      </c>
      <c r="I43" s="838" t="str">
        <f t="shared" si="0"/>
        <v>.....................................</v>
      </c>
      <c r="J43" s="838" t="str">
        <f t="shared" si="0"/>
        <v>.....................................</v>
      </c>
      <c r="K43" s="838" t="str">
        <f t="shared" si="17"/>
        <v>Phạm Văn Trà</v>
      </c>
      <c r="L43" s="838" t="str">
        <f t="shared" si="18"/>
        <v>CBKT</v>
      </c>
      <c r="M43" s="838" t="str">
        <f t="shared" si="8"/>
        <v>.....................................</v>
      </c>
      <c r="N43" s="838" t="str">
        <f t="shared" si="8"/>
        <v>.....................................</v>
      </c>
      <c r="O43" s="838" t="str">
        <f t="shared" si="8"/>
        <v>.....................................</v>
      </c>
      <c r="P43" s="838" t="str">
        <f t="shared" si="8"/>
        <v>.....................................</v>
      </c>
      <c r="Q43" s="860" t="str">
        <f>$AD$4</f>
        <v>Công ty Cổ phần và Xây dựng Quảng Ninh</v>
      </c>
      <c r="R43" s="838">
        <v>1</v>
      </c>
      <c r="S43" s="838">
        <v>2</v>
      </c>
      <c r="T43" s="838"/>
      <c r="U43" s="838"/>
      <c r="V43" s="913">
        <v>0.9375</v>
      </c>
      <c r="W43" s="913">
        <v>0.95277777777777783</v>
      </c>
      <c r="X43" s="838"/>
      <c r="Y43" s="838"/>
      <c r="Z43" s="838"/>
      <c r="AA43" s="838"/>
      <c r="AB43" s="838"/>
      <c r="AC43" s="833"/>
      <c r="AJ43">
        <f t="shared" si="3"/>
        <v>2</v>
      </c>
    </row>
    <row r="44" spans="1:36" ht="25.5">
      <c r="A44" s="838">
        <f>IF(B44="","",COUNTA($R$4:R44))</f>
        <v>41</v>
      </c>
      <c r="B44" s="839" t="s">
        <v>644</v>
      </c>
      <c r="C44" s="838" t="str">
        <f t="shared" si="13"/>
        <v>Nguyễn Văn Mạnh</v>
      </c>
      <c r="D44" s="838" t="str">
        <f t="shared" si="15"/>
        <v>Cán bộ BQLDA</v>
      </c>
      <c r="E44" s="838" t="str">
        <f t="shared" si="19"/>
        <v>.....................................</v>
      </c>
      <c r="F44" s="838" t="str">
        <f t="shared" si="19"/>
        <v>.....................................</v>
      </c>
      <c r="G44" s="838" t="str">
        <f>$AD$16</f>
        <v>Lê Minh Châu</v>
      </c>
      <c r="H44" s="838" t="str">
        <f>$AH$16</f>
        <v>TVGS</v>
      </c>
      <c r="I44" s="838" t="str">
        <f t="shared" si="0"/>
        <v>.....................................</v>
      </c>
      <c r="J44" s="838" t="str">
        <f t="shared" si="0"/>
        <v>.....................................</v>
      </c>
      <c r="K44" s="838" t="str">
        <f t="shared" si="17"/>
        <v>Phạm Văn Trà</v>
      </c>
      <c r="L44" s="838" t="str">
        <f t="shared" si="18"/>
        <v>CBKT</v>
      </c>
      <c r="M44" s="838" t="str">
        <f t="shared" si="8"/>
        <v>.....................................</v>
      </c>
      <c r="N44" s="838" t="str">
        <f t="shared" si="8"/>
        <v>.....................................</v>
      </c>
      <c r="O44" s="838" t="str">
        <f t="shared" si="8"/>
        <v>.....................................</v>
      </c>
      <c r="P44" s="838" t="str">
        <f t="shared" si="8"/>
        <v>.....................................</v>
      </c>
      <c r="Q44" s="860" t="str">
        <f t="shared" si="20"/>
        <v>Công ty TNHH đầu tư và phát triển KD Vượng Phát</v>
      </c>
      <c r="R44" s="838">
        <v>1</v>
      </c>
      <c r="S44" s="838">
        <v>2</v>
      </c>
      <c r="T44" s="838"/>
      <c r="U44" s="838"/>
      <c r="V44" s="913">
        <v>0.23090277777777779</v>
      </c>
      <c r="W44" s="913">
        <v>0.24652777777777779</v>
      </c>
      <c r="X44" s="838"/>
      <c r="Y44" s="838"/>
      <c r="Z44" s="838"/>
      <c r="AA44" s="838"/>
      <c r="AB44" s="838"/>
      <c r="AC44" s="833"/>
      <c r="AJ44">
        <f t="shared" si="3"/>
        <v>2</v>
      </c>
    </row>
    <row r="45" spans="1:36" ht="25.5">
      <c r="A45" s="838">
        <f>IF(B45="","",COUNTA($R$4:R45))</f>
        <v>42</v>
      </c>
      <c r="B45" s="839" t="s">
        <v>524</v>
      </c>
      <c r="C45" s="838" t="str">
        <f t="shared" si="13"/>
        <v>Nguyễn Văn Mạnh</v>
      </c>
      <c r="D45" s="838" t="str">
        <f t="shared" si="15"/>
        <v>Cán bộ BQLDA</v>
      </c>
      <c r="E45" s="838" t="str">
        <f t="shared" si="19"/>
        <v>.....................................</v>
      </c>
      <c r="F45" s="838" t="str">
        <f t="shared" si="19"/>
        <v>.....................................</v>
      </c>
      <c r="G45" s="838" t="str">
        <f>$AD$16</f>
        <v>Lê Minh Châu</v>
      </c>
      <c r="H45" s="838" t="str">
        <f>$AH$16</f>
        <v>TVGS</v>
      </c>
      <c r="I45" s="838" t="str">
        <f t="shared" si="0"/>
        <v>.....................................</v>
      </c>
      <c r="J45" s="838" t="str">
        <f t="shared" si="0"/>
        <v>.....................................</v>
      </c>
      <c r="K45" s="838" t="str">
        <f t="shared" si="17"/>
        <v>Phạm Văn Trà</v>
      </c>
      <c r="L45" s="838" t="str">
        <f t="shared" si="18"/>
        <v>CBKT</v>
      </c>
      <c r="M45" s="838" t="str">
        <f t="shared" si="8"/>
        <v>.....................................</v>
      </c>
      <c r="N45" s="838" t="str">
        <f t="shared" si="8"/>
        <v>.....................................</v>
      </c>
      <c r="O45" s="838" t="str">
        <f t="shared" si="8"/>
        <v>.....................................</v>
      </c>
      <c r="P45" s="838" t="str">
        <f t="shared" si="8"/>
        <v>.....................................</v>
      </c>
      <c r="Q45" s="860" t="str">
        <f t="shared" si="20"/>
        <v>Công ty TNHH đầu tư và phát triển KD Vượng Phát</v>
      </c>
      <c r="R45" s="838">
        <v>1</v>
      </c>
      <c r="S45" s="838">
        <v>2</v>
      </c>
      <c r="T45" s="838">
        <v>3</v>
      </c>
      <c r="U45" s="838"/>
      <c r="V45" s="913">
        <v>9.0277777777777776E-2</v>
      </c>
      <c r="W45" s="913">
        <v>0.10416666666666667</v>
      </c>
      <c r="X45" s="913">
        <v>0.1423611111111111</v>
      </c>
      <c r="Y45" s="838"/>
      <c r="Z45" s="838"/>
      <c r="AA45" s="838"/>
      <c r="AB45" s="838"/>
      <c r="AC45" s="833"/>
      <c r="AJ45">
        <f t="shared" si="3"/>
        <v>3</v>
      </c>
    </row>
    <row r="46" spans="1:36" ht="25.5">
      <c r="A46" s="838">
        <f>IF(B46="","",COUNTA($R$4:R46))</f>
        <v>43</v>
      </c>
      <c r="B46" s="839" t="s">
        <v>541</v>
      </c>
      <c r="C46" s="838" t="str">
        <f t="shared" si="13"/>
        <v>Nguyễn Văn Mạnh</v>
      </c>
      <c r="D46" s="838" t="str">
        <f t="shared" si="15"/>
        <v>Cán bộ BQLDA</v>
      </c>
      <c r="E46" s="838" t="str">
        <f t="shared" si="19"/>
        <v>.....................................</v>
      </c>
      <c r="F46" s="838" t="str">
        <f t="shared" si="19"/>
        <v>.....................................</v>
      </c>
      <c r="G46" s="838" t="str">
        <f>$AD$15</f>
        <v>Nguyễn Tiến Long</v>
      </c>
      <c r="H46" s="838" t="str">
        <f>$AF$15</f>
        <v>TVGS</v>
      </c>
      <c r="I46" s="838" t="str">
        <f t="shared" si="0"/>
        <v>.....................................</v>
      </c>
      <c r="J46" s="838" t="str">
        <f t="shared" si="0"/>
        <v>.....................................</v>
      </c>
      <c r="K46" s="838" t="str">
        <f>$AD$19</f>
        <v>Đinh Văn Hưởng</v>
      </c>
      <c r="L46" s="838" t="str">
        <f>$AF$19</f>
        <v>CBKT</v>
      </c>
      <c r="M46" s="838" t="str">
        <f>$AD$6</f>
        <v>.....................................</v>
      </c>
      <c r="N46" s="838" t="str">
        <f>$AD$6</f>
        <v>.....................................</v>
      </c>
      <c r="O46" s="838" t="str">
        <f>$AD$22</f>
        <v>.....................................</v>
      </c>
      <c r="P46" s="838" t="str">
        <f>$AD$22</f>
        <v>.....................................</v>
      </c>
      <c r="Q46" s="860" t="str">
        <f t="shared" si="20"/>
        <v>Công ty TNHH đầu tư và phát triển KD Vượng Phát</v>
      </c>
      <c r="R46" s="838">
        <v>1</v>
      </c>
      <c r="S46" s="838">
        <v>2</v>
      </c>
      <c r="T46" s="838">
        <v>3</v>
      </c>
      <c r="U46" s="838"/>
      <c r="V46" s="913">
        <v>0.34027777777777773</v>
      </c>
      <c r="W46" s="913">
        <v>0.35069444444444442</v>
      </c>
      <c r="X46" s="913">
        <v>0.38194444444444442</v>
      </c>
      <c r="Y46" s="838"/>
      <c r="Z46" s="838"/>
      <c r="AA46" s="838"/>
      <c r="AB46" s="838"/>
      <c r="AC46" s="833"/>
      <c r="AJ46">
        <f t="shared" si="3"/>
        <v>3</v>
      </c>
    </row>
    <row r="47" spans="1:36" ht="25.5">
      <c r="A47" s="838">
        <f>IF(B47="","",COUNTA($R$4:R47))</f>
        <v>44</v>
      </c>
      <c r="B47" s="839" t="s">
        <v>654</v>
      </c>
      <c r="C47" s="838" t="str">
        <f t="shared" si="13"/>
        <v>Nguyễn Văn Mạnh</v>
      </c>
      <c r="D47" s="838" t="str">
        <f t="shared" si="15"/>
        <v>Cán bộ BQLDA</v>
      </c>
      <c r="E47" s="838" t="str">
        <f t="shared" si="19"/>
        <v>.....................................</v>
      </c>
      <c r="F47" s="838" t="str">
        <f t="shared" si="19"/>
        <v>.....................................</v>
      </c>
      <c r="G47" s="838" t="str">
        <f>$AD$16</f>
        <v>Lê Minh Châu</v>
      </c>
      <c r="H47" s="838" t="str">
        <f>$AH$16</f>
        <v>TVGS</v>
      </c>
      <c r="I47" s="838" t="str">
        <f t="shared" si="0"/>
        <v>.....................................</v>
      </c>
      <c r="J47" s="838" t="str">
        <f t="shared" si="0"/>
        <v>.....................................</v>
      </c>
      <c r="K47" s="838" t="str">
        <f>$AD$18</f>
        <v>Phạm Văn Trà</v>
      </c>
      <c r="L47" s="838" t="str">
        <f>$AF$18</f>
        <v>CBKT</v>
      </c>
      <c r="M47" s="838" t="str">
        <f t="shared" si="8"/>
        <v>.....................................</v>
      </c>
      <c r="N47" s="838" t="str">
        <f t="shared" si="8"/>
        <v>.....................................</v>
      </c>
      <c r="O47" s="838" t="str">
        <f t="shared" si="8"/>
        <v>.....................................</v>
      </c>
      <c r="P47" s="838" t="str">
        <f t="shared" si="8"/>
        <v>.....................................</v>
      </c>
      <c r="Q47" s="860" t="str">
        <f t="shared" ref="Q47:Q53" si="21">$AD$4</f>
        <v>Công ty Cổ phần và Xây dựng Quảng Ninh</v>
      </c>
      <c r="R47" s="838">
        <v>1</v>
      </c>
      <c r="S47" s="838">
        <v>2</v>
      </c>
      <c r="T47" s="838">
        <v>3</v>
      </c>
      <c r="U47" s="838"/>
      <c r="V47" s="913">
        <v>2.7777777777777776E-2</v>
      </c>
      <c r="W47" s="913">
        <v>3.4722222222222224E-2</v>
      </c>
      <c r="X47" s="913">
        <v>5.9027777777777783E-2</v>
      </c>
      <c r="Y47" s="838"/>
      <c r="Z47" s="838"/>
      <c r="AA47" s="838"/>
      <c r="AB47" s="838"/>
      <c r="AC47" s="833"/>
      <c r="AJ47">
        <f t="shared" si="3"/>
        <v>3</v>
      </c>
    </row>
    <row r="48" spans="1:36" ht="25.5">
      <c r="A48" s="838">
        <f>IF(B48="","",COUNTA($R$4:R48))</f>
        <v>45</v>
      </c>
      <c r="B48" s="838" t="s">
        <v>519</v>
      </c>
      <c r="C48" s="838" t="str">
        <f t="shared" si="13"/>
        <v>Nguyễn Văn Mạnh</v>
      </c>
      <c r="D48" s="838" t="str">
        <f t="shared" si="15"/>
        <v>Cán bộ BQLDA</v>
      </c>
      <c r="E48" s="838" t="str">
        <f t="shared" si="19"/>
        <v>.....................................</v>
      </c>
      <c r="F48" s="838" t="str">
        <f t="shared" si="19"/>
        <v>.....................................</v>
      </c>
      <c r="G48" s="838" t="str">
        <f>$AD$16</f>
        <v>Lê Minh Châu</v>
      </c>
      <c r="H48" s="838" t="str">
        <f>$AH$16</f>
        <v>TVGS</v>
      </c>
      <c r="I48" s="838" t="str">
        <f t="shared" si="0"/>
        <v>.....................................</v>
      </c>
      <c r="J48" s="838" t="str">
        <f t="shared" si="0"/>
        <v>.....................................</v>
      </c>
      <c r="K48" s="838" t="str">
        <f>$AD$18</f>
        <v>Phạm Văn Trà</v>
      </c>
      <c r="L48" s="838" t="str">
        <f>$AF$18</f>
        <v>CBKT</v>
      </c>
      <c r="M48" s="838" t="str">
        <f t="shared" si="8"/>
        <v>.....................................</v>
      </c>
      <c r="N48" s="838" t="str">
        <f t="shared" si="8"/>
        <v>.....................................</v>
      </c>
      <c r="O48" s="838" t="str">
        <f t="shared" si="8"/>
        <v>.....................................</v>
      </c>
      <c r="P48" s="838" t="str">
        <f t="shared" si="8"/>
        <v>.....................................</v>
      </c>
      <c r="Q48" s="860" t="str">
        <f t="shared" si="21"/>
        <v>Công ty Cổ phần và Xây dựng Quảng Ninh</v>
      </c>
      <c r="R48" s="838">
        <v>1</v>
      </c>
      <c r="S48" s="838">
        <v>2</v>
      </c>
      <c r="T48" s="838">
        <v>3</v>
      </c>
      <c r="U48" s="838"/>
      <c r="V48" s="913">
        <v>0.14722222222222223</v>
      </c>
      <c r="W48" s="913">
        <v>0.1545138888888889</v>
      </c>
      <c r="X48" s="913">
        <v>0.171875</v>
      </c>
      <c r="Y48" s="838"/>
      <c r="Z48" s="838"/>
      <c r="AA48" s="838"/>
      <c r="AB48" s="838"/>
      <c r="AC48" s="833"/>
      <c r="AJ48">
        <f t="shared" si="3"/>
        <v>3</v>
      </c>
    </row>
    <row r="49" spans="1:36" ht="25.5">
      <c r="A49" s="838">
        <f>IF(B49="","",COUNTA($R$4:R49))</f>
        <v>46</v>
      </c>
      <c r="B49" s="838" t="s">
        <v>671</v>
      </c>
      <c r="C49" s="838" t="str">
        <f t="shared" si="13"/>
        <v>Nguyễn Văn Mạnh</v>
      </c>
      <c r="D49" s="838" t="str">
        <f t="shared" si="15"/>
        <v>Cán bộ BQLDA</v>
      </c>
      <c r="E49" s="838" t="str">
        <f t="shared" si="19"/>
        <v>.....................................</v>
      </c>
      <c r="F49" s="838" t="str">
        <f t="shared" si="19"/>
        <v>.....................................</v>
      </c>
      <c r="G49" s="838" t="str">
        <f>$AD$16</f>
        <v>Lê Minh Châu</v>
      </c>
      <c r="H49" s="838" t="str">
        <f>$AH$16</f>
        <v>TVGS</v>
      </c>
      <c r="I49" s="838" t="str">
        <f t="shared" si="0"/>
        <v>.....................................</v>
      </c>
      <c r="J49" s="838" t="str">
        <f t="shared" si="0"/>
        <v>.....................................</v>
      </c>
      <c r="K49" s="838" t="str">
        <f>$AD$18</f>
        <v>Phạm Văn Trà</v>
      </c>
      <c r="L49" s="838" t="str">
        <f>$AF$18</f>
        <v>CBKT</v>
      </c>
      <c r="M49" s="838" t="str">
        <f t="shared" si="8"/>
        <v>.....................................</v>
      </c>
      <c r="N49" s="838" t="str">
        <f t="shared" si="8"/>
        <v>.....................................</v>
      </c>
      <c r="O49" s="838" t="str">
        <f t="shared" si="8"/>
        <v>.....................................</v>
      </c>
      <c r="P49" s="838" t="str">
        <f t="shared" si="8"/>
        <v>.....................................</v>
      </c>
      <c r="Q49" s="860" t="str">
        <f t="shared" si="21"/>
        <v>Công ty Cổ phần và Xây dựng Quảng Ninh</v>
      </c>
      <c r="R49" s="838">
        <v>1</v>
      </c>
      <c r="S49" s="838">
        <v>2</v>
      </c>
      <c r="T49" s="838"/>
      <c r="U49" s="838"/>
      <c r="V49" s="913">
        <v>0.15972222222222224</v>
      </c>
      <c r="W49" s="913">
        <v>0.17708333333333334</v>
      </c>
      <c r="X49" s="838"/>
      <c r="Y49" s="838"/>
      <c r="Z49" s="838"/>
      <c r="AA49" s="838"/>
      <c r="AB49" s="838"/>
      <c r="AC49" s="833"/>
      <c r="AJ49">
        <f t="shared" si="3"/>
        <v>2</v>
      </c>
    </row>
    <row r="50" spans="1:36" ht="25.5">
      <c r="A50" s="838">
        <f>IF(B50="","",COUNTA($R$4:R50))</f>
        <v>47</v>
      </c>
      <c r="B50" s="838" t="s">
        <v>652</v>
      </c>
      <c r="C50" s="838" t="str">
        <f t="shared" si="13"/>
        <v>Nguyễn Văn Mạnh</v>
      </c>
      <c r="D50" s="838" t="str">
        <f t="shared" si="15"/>
        <v>Cán bộ BQLDA</v>
      </c>
      <c r="E50" s="838" t="str">
        <f t="shared" si="19"/>
        <v>.....................................</v>
      </c>
      <c r="F50" s="838" t="str">
        <f t="shared" si="19"/>
        <v>.....................................</v>
      </c>
      <c r="G50" s="838" t="str">
        <f>$AD$16</f>
        <v>Lê Minh Châu</v>
      </c>
      <c r="H50" s="838" t="str">
        <f>$AH$16</f>
        <v>TVGS</v>
      </c>
      <c r="I50" s="838" t="str">
        <f t="shared" si="0"/>
        <v>.....................................</v>
      </c>
      <c r="J50" s="838" t="str">
        <f t="shared" si="0"/>
        <v>.....................................</v>
      </c>
      <c r="K50" s="838" t="str">
        <f>$AD$20</f>
        <v>Nguyễn Duy Long</v>
      </c>
      <c r="L50" s="838" t="str">
        <f>$AF$20</f>
        <v>CBKT</v>
      </c>
      <c r="M50" s="838" t="str">
        <f t="shared" si="8"/>
        <v>.....................................</v>
      </c>
      <c r="N50" s="838" t="str">
        <f t="shared" si="8"/>
        <v>.....................................</v>
      </c>
      <c r="O50" s="838" t="str">
        <f t="shared" si="8"/>
        <v>.....................................</v>
      </c>
      <c r="P50" s="838" t="str">
        <f t="shared" si="8"/>
        <v>.....................................</v>
      </c>
      <c r="Q50" s="860" t="str">
        <f t="shared" si="21"/>
        <v>Công ty Cổ phần và Xây dựng Quảng Ninh</v>
      </c>
      <c r="R50" s="838">
        <v>1</v>
      </c>
      <c r="S50" s="838">
        <v>2</v>
      </c>
      <c r="T50" s="838">
        <v>3</v>
      </c>
      <c r="U50" s="838">
        <v>7</v>
      </c>
      <c r="V50" s="821">
        <v>0.2986111111111111</v>
      </c>
      <c r="W50" s="821">
        <v>0.30555555555555552</v>
      </c>
      <c r="X50" s="821">
        <v>0.3125</v>
      </c>
      <c r="Y50" s="821">
        <v>0.34027777777777773</v>
      </c>
      <c r="Z50" s="838"/>
      <c r="AA50" s="838"/>
      <c r="AB50" s="838"/>
      <c r="AC50" s="833"/>
      <c r="AJ50">
        <f t="shared" si="3"/>
        <v>4</v>
      </c>
    </row>
    <row r="51" spans="1:36" ht="25.5">
      <c r="A51" s="838">
        <f>IF(B51="","",COUNTA($R$4:R51))</f>
        <v>48</v>
      </c>
      <c r="B51" s="838" t="s">
        <v>658</v>
      </c>
      <c r="C51" s="838" t="str">
        <f t="shared" si="13"/>
        <v>Nguyễn Văn Mạnh</v>
      </c>
      <c r="D51" s="838" t="str">
        <f t="shared" si="15"/>
        <v>Cán bộ BQLDA</v>
      </c>
      <c r="E51" s="838" t="str">
        <f t="shared" si="19"/>
        <v>.....................................</v>
      </c>
      <c r="F51" s="838" t="str">
        <f t="shared" si="19"/>
        <v>.....................................</v>
      </c>
      <c r="G51" s="838" t="str">
        <f>$AD$15</f>
        <v>Nguyễn Tiến Long</v>
      </c>
      <c r="H51" s="838" t="str">
        <f>$AF$15</f>
        <v>TVGS</v>
      </c>
      <c r="I51" s="838" t="str">
        <f t="shared" si="0"/>
        <v>.....................................</v>
      </c>
      <c r="J51" s="838" t="str">
        <f t="shared" si="0"/>
        <v>.....................................</v>
      </c>
      <c r="K51" s="838" t="str">
        <f>$AD$19</f>
        <v>Đinh Văn Hưởng</v>
      </c>
      <c r="L51" s="838" t="str">
        <f>$AF$19</f>
        <v>CBKT</v>
      </c>
      <c r="M51" s="838" t="str">
        <f>$AD$6</f>
        <v>.....................................</v>
      </c>
      <c r="N51" s="838" t="str">
        <f>$AD$6</f>
        <v>.....................................</v>
      </c>
      <c r="O51" s="838" t="str">
        <f t="shared" si="8"/>
        <v>.....................................</v>
      </c>
      <c r="P51" s="838" t="str">
        <f t="shared" si="8"/>
        <v>.....................................</v>
      </c>
      <c r="Q51" s="860" t="str">
        <f t="shared" si="21"/>
        <v>Công ty Cổ phần và Xây dựng Quảng Ninh</v>
      </c>
      <c r="R51" s="838">
        <v>1</v>
      </c>
      <c r="S51" s="838">
        <v>2</v>
      </c>
      <c r="T51" s="838"/>
      <c r="U51" s="838"/>
      <c r="V51" s="913">
        <v>0.67013888888888884</v>
      </c>
      <c r="W51" s="913">
        <v>0.68402777777777779</v>
      </c>
      <c r="X51" s="838"/>
      <c r="Y51" s="838"/>
      <c r="Z51" s="838"/>
      <c r="AA51" s="838"/>
      <c r="AB51" s="838"/>
      <c r="AC51" s="833"/>
      <c r="AJ51">
        <f t="shared" si="3"/>
        <v>2</v>
      </c>
    </row>
    <row r="52" spans="1:36" ht="25.5">
      <c r="A52" s="838">
        <f>IF(B52="","",COUNTA($R$4:R52))</f>
        <v>49</v>
      </c>
      <c r="B52" s="838" t="s">
        <v>551</v>
      </c>
      <c r="C52" s="838" t="str">
        <f t="shared" si="13"/>
        <v>Nguyễn Văn Mạnh</v>
      </c>
      <c r="D52" s="838" t="str">
        <f t="shared" si="15"/>
        <v>Cán bộ BQLDA</v>
      </c>
      <c r="E52" s="838" t="str">
        <f t="shared" si="19"/>
        <v>.....................................</v>
      </c>
      <c r="F52" s="838" t="str">
        <f t="shared" si="19"/>
        <v>.....................................</v>
      </c>
      <c r="G52" s="838" t="str">
        <f>$H$52</f>
        <v>Trưởng đoàn TVGS</v>
      </c>
      <c r="H52" s="838" t="str">
        <f>AF24</f>
        <v>Trưởng đoàn TVGS</v>
      </c>
      <c r="I52" s="838" t="str">
        <f t="shared" si="0"/>
        <v>.....................................</v>
      </c>
      <c r="J52" s="838" t="str">
        <f t="shared" si="0"/>
        <v>.....................................</v>
      </c>
      <c r="K52" s="838" t="str">
        <f>$AD$20</f>
        <v>Nguyễn Duy Long</v>
      </c>
      <c r="L52" s="838" t="str">
        <f>$AF$20</f>
        <v>CBKT</v>
      </c>
      <c r="M52" s="838" t="str">
        <f t="shared" si="8"/>
        <v>.....................................</v>
      </c>
      <c r="N52" s="838" t="str">
        <f t="shared" si="8"/>
        <v>.....................................</v>
      </c>
      <c r="O52" s="838" t="str">
        <f t="shared" si="8"/>
        <v>.....................................</v>
      </c>
      <c r="P52" s="838" t="str">
        <f t="shared" si="8"/>
        <v>.....................................</v>
      </c>
      <c r="Q52" s="860" t="str">
        <f t="shared" si="21"/>
        <v>Công ty Cổ phần và Xây dựng Quảng Ninh</v>
      </c>
      <c r="R52" s="838">
        <v>1</v>
      </c>
      <c r="S52" s="838">
        <v>2</v>
      </c>
      <c r="T52" s="838">
        <v>3</v>
      </c>
      <c r="U52" s="838"/>
      <c r="V52" s="913">
        <v>0.87847222222222221</v>
      </c>
      <c r="W52" s="913">
        <v>0.89930555555555547</v>
      </c>
      <c r="X52" s="913">
        <v>0.91493055555555558</v>
      </c>
      <c r="Y52" s="838"/>
      <c r="Z52" s="838"/>
      <c r="AA52" s="838"/>
      <c r="AB52" s="838"/>
      <c r="AC52" s="833"/>
      <c r="AJ52">
        <f t="shared" si="3"/>
        <v>3</v>
      </c>
    </row>
    <row r="53" spans="1:36" ht="25.5">
      <c r="A53" s="838">
        <f>IF(B53="","",COUNTA($R$4:R53))</f>
        <v>50</v>
      </c>
      <c r="B53" s="838" t="s">
        <v>666</v>
      </c>
      <c r="C53" s="838" t="str">
        <f t="shared" si="13"/>
        <v>Nguyễn Văn Mạnh</v>
      </c>
      <c r="D53" s="838" t="str">
        <f t="shared" si="15"/>
        <v>Cán bộ BQLDA</v>
      </c>
      <c r="E53" s="838" t="str">
        <f t="shared" si="19"/>
        <v>.....................................</v>
      </c>
      <c r="F53" s="838" t="str">
        <f t="shared" si="19"/>
        <v>.....................................</v>
      </c>
      <c r="G53" s="838" t="str">
        <f>$AD$16</f>
        <v>Lê Minh Châu</v>
      </c>
      <c r="H53" s="838" t="str">
        <f>$AH$16</f>
        <v>TVGS</v>
      </c>
      <c r="I53" s="838" t="str">
        <f t="shared" si="0"/>
        <v>.....................................</v>
      </c>
      <c r="J53" s="838" t="str">
        <f t="shared" si="0"/>
        <v>.....................................</v>
      </c>
      <c r="K53" s="838" t="str">
        <f>$AD$18</f>
        <v>Phạm Văn Trà</v>
      </c>
      <c r="L53" s="838" t="str">
        <f>$AF$18</f>
        <v>CBKT</v>
      </c>
      <c r="M53" s="838" t="str">
        <f t="shared" si="8"/>
        <v>.....................................</v>
      </c>
      <c r="N53" s="838" t="str">
        <f t="shared" si="8"/>
        <v>.....................................</v>
      </c>
      <c r="O53" s="838" t="str">
        <f t="shared" si="8"/>
        <v>.....................................</v>
      </c>
      <c r="P53" s="838" t="str">
        <f t="shared" si="8"/>
        <v>.....................................</v>
      </c>
      <c r="Q53" s="860" t="str">
        <f t="shared" si="21"/>
        <v>Công ty Cổ phần và Xây dựng Quảng Ninh</v>
      </c>
      <c r="R53" s="838">
        <v>1</v>
      </c>
      <c r="S53" s="838">
        <v>2</v>
      </c>
      <c r="T53" s="838">
        <v>3</v>
      </c>
      <c r="U53" s="838"/>
      <c r="V53" s="913">
        <v>0.92534722222222232</v>
      </c>
      <c r="W53" s="913">
        <v>0.93576388888888884</v>
      </c>
      <c r="X53" s="913">
        <v>0.97395833333333337</v>
      </c>
      <c r="Y53" s="838"/>
      <c r="Z53" s="838"/>
      <c r="AA53" s="838"/>
      <c r="AB53" s="838"/>
      <c r="AC53" s="833"/>
      <c r="AJ53">
        <f t="shared" si="3"/>
        <v>3</v>
      </c>
    </row>
    <row r="54" spans="1:36" ht="25.5">
      <c r="A54" s="838">
        <f>IF(B54="","",COUNTA($R$4:R54))</f>
        <v>51</v>
      </c>
      <c r="B54" s="838" t="s">
        <v>642</v>
      </c>
      <c r="C54" s="838" t="str">
        <f t="shared" si="13"/>
        <v>Nguyễn Văn Mạnh</v>
      </c>
      <c r="D54" s="838" t="str">
        <f t="shared" si="15"/>
        <v>Cán bộ BQLDA</v>
      </c>
      <c r="E54" s="838" t="str">
        <f t="shared" si="19"/>
        <v>.....................................</v>
      </c>
      <c r="F54" s="838" t="str">
        <f t="shared" si="19"/>
        <v>.....................................</v>
      </c>
      <c r="G54" s="838" t="str">
        <f t="shared" ref="G54:G59" si="22">$AD$15</f>
        <v>Nguyễn Tiến Long</v>
      </c>
      <c r="H54" s="838" t="str">
        <f t="shared" ref="H54:H59" si="23">$AF$15</f>
        <v>TVGS</v>
      </c>
      <c r="I54" s="838" t="str">
        <f t="shared" si="0"/>
        <v>.....................................</v>
      </c>
      <c r="J54" s="838" t="str">
        <f t="shared" si="0"/>
        <v>.....................................</v>
      </c>
      <c r="K54" s="838" t="str">
        <f>$AD$19</f>
        <v>Đinh Văn Hưởng</v>
      </c>
      <c r="L54" s="838" t="str">
        <f>$AF$19</f>
        <v>CBKT</v>
      </c>
      <c r="M54" s="838" t="str">
        <f t="shared" ref="M54:N59" si="24">$AD$6</f>
        <v>.....................................</v>
      </c>
      <c r="N54" s="838" t="str">
        <f t="shared" si="24"/>
        <v>.....................................</v>
      </c>
      <c r="O54" s="838" t="str">
        <f t="shared" ref="O54:P57" si="25">$AD$22</f>
        <v>.....................................</v>
      </c>
      <c r="P54" s="838" t="str">
        <f t="shared" si="25"/>
        <v>.....................................</v>
      </c>
      <c r="Q54" s="860" t="str">
        <f t="shared" ref="Q54:Q73" si="26">$AD$5</f>
        <v>Công ty TNHH đầu tư và phát triển KD Vượng Phát</v>
      </c>
      <c r="R54" s="838">
        <v>1</v>
      </c>
      <c r="S54" s="838">
        <v>2</v>
      </c>
      <c r="T54" s="838">
        <v>3</v>
      </c>
      <c r="U54" s="838"/>
      <c r="V54" s="913">
        <v>0.92708333333333337</v>
      </c>
      <c r="W54" s="913">
        <v>0.93055555555555547</v>
      </c>
      <c r="X54" s="913">
        <v>0.9375</v>
      </c>
      <c r="Y54" s="838"/>
      <c r="Z54" s="838"/>
      <c r="AA54" s="838"/>
      <c r="AB54" s="838"/>
      <c r="AC54" s="833"/>
      <c r="AJ54">
        <f t="shared" si="3"/>
        <v>3</v>
      </c>
    </row>
    <row r="55" spans="1:36" ht="25.5">
      <c r="A55" s="838">
        <f>IF(B55="","",COUNTA($R$4:R55))</f>
        <v>52</v>
      </c>
      <c r="B55" s="838" t="s">
        <v>649</v>
      </c>
      <c r="C55" s="838" t="str">
        <f t="shared" si="13"/>
        <v>Nguyễn Văn Mạnh</v>
      </c>
      <c r="D55" s="838" t="str">
        <f t="shared" si="15"/>
        <v>Cán bộ BQLDA</v>
      </c>
      <c r="E55" s="838" t="str">
        <f t="shared" si="19"/>
        <v>.....................................</v>
      </c>
      <c r="F55" s="838" t="str">
        <f t="shared" si="19"/>
        <v>.....................................</v>
      </c>
      <c r="G55" s="838" t="str">
        <f t="shared" si="22"/>
        <v>Nguyễn Tiến Long</v>
      </c>
      <c r="H55" s="838" t="str">
        <f t="shared" si="23"/>
        <v>TVGS</v>
      </c>
      <c r="I55" s="838" t="str">
        <f t="shared" si="0"/>
        <v>.....................................</v>
      </c>
      <c r="J55" s="838" t="str">
        <f t="shared" si="0"/>
        <v>.....................................</v>
      </c>
      <c r="K55" s="838" t="str">
        <f>$AD$19</f>
        <v>Đinh Văn Hưởng</v>
      </c>
      <c r="L55" s="838" t="str">
        <f>$AF$19</f>
        <v>CBKT</v>
      </c>
      <c r="M55" s="838" t="str">
        <f t="shared" si="24"/>
        <v>.....................................</v>
      </c>
      <c r="N55" s="838" t="str">
        <f t="shared" si="24"/>
        <v>.....................................</v>
      </c>
      <c r="O55" s="838" t="str">
        <f t="shared" si="25"/>
        <v>.....................................</v>
      </c>
      <c r="P55" s="838" t="str">
        <f t="shared" si="25"/>
        <v>.....................................</v>
      </c>
      <c r="Q55" s="860" t="str">
        <f t="shared" si="26"/>
        <v>Công ty TNHH đầu tư và phát triển KD Vượng Phát</v>
      </c>
      <c r="R55" s="838">
        <v>1</v>
      </c>
      <c r="S55" s="838">
        <v>2</v>
      </c>
      <c r="T55" s="838">
        <v>3</v>
      </c>
      <c r="U55" s="838"/>
      <c r="V55" s="913">
        <v>0.1111111111111111</v>
      </c>
      <c r="W55" s="913">
        <v>0.1701388888888889</v>
      </c>
      <c r="X55" s="913">
        <v>0.265625</v>
      </c>
      <c r="Y55" s="838"/>
      <c r="Z55" s="838"/>
      <c r="AA55" s="838"/>
      <c r="AB55" s="838"/>
      <c r="AC55" s="833"/>
      <c r="AJ55">
        <f t="shared" si="3"/>
        <v>3</v>
      </c>
    </row>
    <row r="56" spans="1:36" ht="25.5">
      <c r="A56" s="838">
        <f>IF(B56="","",COUNTA($R$4:R56))</f>
        <v>53</v>
      </c>
      <c r="B56" s="838" t="s">
        <v>656</v>
      </c>
      <c r="C56" s="838" t="str">
        <f t="shared" si="13"/>
        <v>Nguyễn Văn Mạnh</v>
      </c>
      <c r="D56" s="838" t="str">
        <f t="shared" si="15"/>
        <v>Cán bộ BQLDA</v>
      </c>
      <c r="E56" s="838" t="str">
        <f t="shared" si="19"/>
        <v>.....................................</v>
      </c>
      <c r="F56" s="838" t="str">
        <f t="shared" si="19"/>
        <v>.....................................</v>
      </c>
      <c r="G56" s="838" t="str">
        <f t="shared" si="22"/>
        <v>Nguyễn Tiến Long</v>
      </c>
      <c r="H56" s="838" t="str">
        <f t="shared" si="23"/>
        <v>TVGS</v>
      </c>
      <c r="I56" s="838" t="str">
        <f t="shared" si="0"/>
        <v>.....................................</v>
      </c>
      <c r="J56" s="838" t="str">
        <f t="shared" si="0"/>
        <v>.....................................</v>
      </c>
      <c r="K56" s="838" t="str">
        <f>$AD$19</f>
        <v>Đinh Văn Hưởng</v>
      </c>
      <c r="L56" s="838" t="str">
        <f>$AF$19</f>
        <v>CBKT</v>
      </c>
      <c r="M56" s="838" t="str">
        <f t="shared" si="24"/>
        <v>.....................................</v>
      </c>
      <c r="N56" s="838" t="str">
        <f t="shared" si="24"/>
        <v>.....................................</v>
      </c>
      <c r="O56" s="838" t="str">
        <f t="shared" si="25"/>
        <v>.....................................</v>
      </c>
      <c r="P56" s="838" t="str">
        <f t="shared" si="25"/>
        <v>.....................................</v>
      </c>
      <c r="Q56" s="860" t="str">
        <f t="shared" si="26"/>
        <v>Công ty TNHH đầu tư và phát triển KD Vượng Phát</v>
      </c>
      <c r="R56" s="838">
        <v>1</v>
      </c>
      <c r="S56" s="838">
        <v>2</v>
      </c>
      <c r="T56" s="838"/>
      <c r="U56" s="838"/>
      <c r="V56" s="913">
        <v>9.0277777777777776E-2</v>
      </c>
      <c r="W56" s="913">
        <v>0.10069444444444443</v>
      </c>
      <c r="X56" s="838"/>
      <c r="Y56" s="838"/>
      <c r="Z56" s="838"/>
      <c r="AA56" s="838"/>
      <c r="AB56" s="838"/>
      <c r="AC56" s="833"/>
      <c r="AJ56">
        <f t="shared" si="3"/>
        <v>2</v>
      </c>
    </row>
    <row r="57" spans="1:36" ht="25.5">
      <c r="A57" s="838">
        <f>IF(B57="","",COUNTA($R$4:R57))</f>
        <v>54</v>
      </c>
      <c r="B57" s="838" t="s">
        <v>546</v>
      </c>
      <c r="C57" s="838" t="str">
        <f t="shared" si="13"/>
        <v>Nguyễn Văn Mạnh</v>
      </c>
      <c r="D57" s="838" t="str">
        <f t="shared" si="15"/>
        <v>Cán bộ BQLDA</v>
      </c>
      <c r="E57" s="838" t="str">
        <f t="shared" si="19"/>
        <v>.....................................</v>
      </c>
      <c r="F57" s="838" t="str">
        <f t="shared" si="19"/>
        <v>.....................................</v>
      </c>
      <c r="G57" s="838" t="str">
        <f t="shared" si="22"/>
        <v>Nguyễn Tiến Long</v>
      </c>
      <c r="H57" s="838" t="str">
        <f t="shared" si="23"/>
        <v>TVGS</v>
      </c>
      <c r="I57" s="838" t="str">
        <f t="shared" si="0"/>
        <v>.....................................</v>
      </c>
      <c r="J57" s="838" t="str">
        <f t="shared" si="0"/>
        <v>.....................................</v>
      </c>
      <c r="K57" s="838" t="str">
        <f>$AD$19</f>
        <v>Đinh Văn Hưởng</v>
      </c>
      <c r="L57" s="838" t="str">
        <f>$AF$19</f>
        <v>CBKT</v>
      </c>
      <c r="M57" s="838" t="str">
        <f t="shared" si="24"/>
        <v>.....................................</v>
      </c>
      <c r="N57" s="838" t="str">
        <f t="shared" si="24"/>
        <v>.....................................</v>
      </c>
      <c r="O57" s="838" t="str">
        <f t="shared" si="25"/>
        <v>.....................................</v>
      </c>
      <c r="P57" s="838" t="str">
        <f t="shared" si="25"/>
        <v>.....................................</v>
      </c>
      <c r="Q57" s="860" t="str">
        <f t="shared" si="26"/>
        <v>Công ty TNHH đầu tư và phát triển KD Vượng Phát</v>
      </c>
      <c r="R57" s="838">
        <v>1</v>
      </c>
      <c r="S57" s="838">
        <v>2</v>
      </c>
      <c r="T57" s="838">
        <v>3</v>
      </c>
      <c r="U57" s="838"/>
      <c r="V57" s="913">
        <v>0.95138888888888884</v>
      </c>
      <c r="W57" s="913">
        <v>0.95833333333333337</v>
      </c>
      <c r="X57" s="913">
        <v>0.97222222222222221</v>
      </c>
      <c r="Y57" s="838"/>
      <c r="Z57" s="838"/>
      <c r="AA57" s="838"/>
      <c r="AB57" s="838"/>
      <c r="AC57" s="833"/>
      <c r="AJ57">
        <f t="shared" si="3"/>
        <v>3</v>
      </c>
    </row>
    <row r="58" spans="1:36" ht="25.5">
      <c r="A58" s="838">
        <f>IF(B58="","",COUNTA($R$4:R58))</f>
        <v>55</v>
      </c>
      <c r="B58" s="838" t="s">
        <v>660</v>
      </c>
      <c r="C58" s="838" t="str">
        <f t="shared" si="13"/>
        <v>Nguyễn Văn Mạnh</v>
      </c>
      <c r="D58" s="838" t="str">
        <f t="shared" si="15"/>
        <v>Cán bộ BQLDA</v>
      </c>
      <c r="E58" s="838" t="str">
        <f t="shared" si="19"/>
        <v>.....................................</v>
      </c>
      <c r="F58" s="838" t="str">
        <f t="shared" si="19"/>
        <v>.....................................</v>
      </c>
      <c r="G58" s="838" t="str">
        <f t="shared" si="22"/>
        <v>Nguyễn Tiến Long</v>
      </c>
      <c r="H58" s="838" t="str">
        <f t="shared" si="23"/>
        <v>TVGS</v>
      </c>
      <c r="I58" s="838" t="str">
        <f t="shared" si="0"/>
        <v>.....................................</v>
      </c>
      <c r="J58" s="838" t="str">
        <f t="shared" si="0"/>
        <v>.....................................</v>
      </c>
      <c r="K58" s="838" t="str">
        <f>$AD$20</f>
        <v>Nguyễn Duy Long</v>
      </c>
      <c r="L58" s="838" t="str">
        <f>$AF$20</f>
        <v>CBKT</v>
      </c>
      <c r="M58" s="838" t="str">
        <f t="shared" si="24"/>
        <v>.....................................</v>
      </c>
      <c r="N58" s="838" t="str">
        <f t="shared" si="24"/>
        <v>.....................................</v>
      </c>
      <c r="O58" s="838" t="str">
        <f>$AD$6</f>
        <v>.....................................</v>
      </c>
      <c r="P58" s="838" t="str">
        <f>$AD$6</f>
        <v>.....................................</v>
      </c>
      <c r="Q58" s="860" t="str">
        <f t="shared" si="26"/>
        <v>Công ty TNHH đầu tư và phát triển KD Vượng Phát</v>
      </c>
      <c r="R58" s="838">
        <v>1</v>
      </c>
      <c r="S58" s="838">
        <v>2</v>
      </c>
      <c r="T58" s="838"/>
      <c r="U58" s="838"/>
      <c r="V58" s="913">
        <v>0.12847222222222224</v>
      </c>
      <c r="W58" s="913">
        <v>0.13541666666666666</v>
      </c>
      <c r="X58" s="838"/>
      <c r="Y58" s="838"/>
      <c r="Z58" s="838"/>
      <c r="AA58" s="838"/>
      <c r="AB58" s="838"/>
      <c r="AC58" s="833"/>
      <c r="AJ58">
        <f t="shared" si="3"/>
        <v>2</v>
      </c>
    </row>
    <row r="59" spans="1:36" ht="25.5">
      <c r="A59" s="838">
        <f>IF(B59="","",COUNTA($R$4:R59))</f>
        <v>56</v>
      </c>
      <c r="B59" s="838" t="s">
        <v>702</v>
      </c>
      <c r="C59" s="838" t="str">
        <f t="shared" si="13"/>
        <v>Nguyễn Văn Mạnh</v>
      </c>
      <c r="D59" s="838" t="str">
        <f t="shared" si="15"/>
        <v>Cán bộ BQLDA</v>
      </c>
      <c r="E59" s="838" t="str">
        <f t="shared" ref="E59:F78" si="27">$AD$6</f>
        <v>.....................................</v>
      </c>
      <c r="F59" s="838" t="str">
        <f t="shared" si="27"/>
        <v>.....................................</v>
      </c>
      <c r="G59" s="838" t="str">
        <f t="shared" si="22"/>
        <v>Nguyễn Tiến Long</v>
      </c>
      <c r="H59" s="838" t="str">
        <f t="shared" si="23"/>
        <v>TVGS</v>
      </c>
      <c r="I59" s="838" t="str">
        <f t="shared" si="0"/>
        <v>.....................................</v>
      </c>
      <c r="J59" s="838" t="str">
        <f t="shared" si="0"/>
        <v>.....................................</v>
      </c>
      <c r="K59" s="838" t="str">
        <f>$AD$19</f>
        <v>Đinh Văn Hưởng</v>
      </c>
      <c r="L59" s="838" t="str">
        <f>$AF$19</f>
        <v>CBKT</v>
      </c>
      <c r="M59" s="838" t="str">
        <f t="shared" si="24"/>
        <v>.....................................</v>
      </c>
      <c r="N59" s="838" t="str">
        <f t="shared" si="24"/>
        <v>.....................................</v>
      </c>
      <c r="O59" s="838" t="str">
        <f>$AD$22</f>
        <v>.....................................</v>
      </c>
      <c r="P59" s="838" t="str">
        <f>$AD$22</f>
        <v>.....................................</v>
      </c>
      <c r="Q59" s="860" t="str">
        <f t="shared" si="26"/>
        <v>Công ty TNHH đầu tư và phát triển KD Vượng Phát</v>
      </c>
      <c r="R59" s="838">
        <v>1</v>
      </c>
      <c r="S59" s="838">
        <v>2</v>
      </c>
      <c r="T59" s="838">
        <v>3</v>
      </c>
      <c r="U59" s="838"/>
      <c r="V59" s="913">
        <v>0.13194444444444445</v>
      </c>
      <c r="W59" s="913">
        <v>0.14583333333333334</v>
      </c>
      <c r="X59" s="913">
        <v>0.18055555555555555</v>
      </c>
      <c r="Y59" s="838"/>
      <c r="Z59" s="838"/>
      <c r="AA59" s="838"/>
      <c r="AB59" s="838"/>
      <c r="AC59" s="833"/>
      <c r="AJ59">
        <f t="shared" si="3"/>
        <v>3</v>
      </c>
    </row>
    <row r="60" spans="1:36" ht="25.5">
      <c r="A60" s="838">
        <f>IF(B60="","",COUNTA($R$4:R60))</f>
        <v>57</v>
      </c>
      <c r="B60" s="838" t="s">
        <v>664</v>
      </c>
      <c r="C60" s="838" t="str">
        <f t="shared" si="13"/>
        <v>Nguyễn Văn Mạnh</v>
      </c>
      <c r="D60" s="838" t="str">
        <f t="shared" si="15"/>
        <v>Cán bộ BQLDA</v>
      </c>
      <c r="E60" s="838" t="str">
        <f t="shared" si="27"/>
        <v>.....................................</v>
      </c>
      <c r="F60" s="838" t="str">
        <f t="shared" si="27"/>
        <v>.....................................</v>
      </c>
      <c r="G60" s="838" t="str">
        <f>$AD$16</f>
        <v>Lê Minh Châu</v>
      </c>
      <c r="H60" s="838" t="str">
        <f>$AH$16</f>
        <v>TVGS</v>
      </c>
      <c r="I60" s="838" t="str">
        <f t="shared" si="0"/>
        <v>.....................................</v>
      </c>
      <c r="J60" s="838" t="str">
        <f t="shared" si="0"/>
        <v>.....................................</v>
      </c>
      <c r="K60" s="838" t="str">
        <f>$AD$18</f>
        <v>Phạm Văn Trà</v>
      </c>
      <c r="L60" s="838" t="str">
        <f>$AF$18</f>
        <v>CBKT</v>
      </c>
      <c r="M60" s="838" t="str">
        <f t="shared" ref="M60:P71" si="28">$AD$6</f>
        <v>.....................................</v>
      </c>
      <c r="N60" s="838" t="str">
        <f t="shared" si="28"/>
        <v>.....................................</v>
      </c>
      <c r="O60" s="838" t="str">
        <f t="shared" si="28"/>
        <v>.....................................</v>
      </c>
      <c r="P60" s="838" t="str">
        <f t="shared" si="28"/>
        <v>.....................................</v>
      </c>
      <c r="Q60" s="860" t="str">
        <f t="shared" si="26"/>
        <v>Công ty TNHH đầu tư và phát triển KD Vượng Phát</v>
      </c>
      <c r="R60" s="838">
        <v>1</v>
      </c>
      <c r="S60" s="838">
        <v>2</v>
      </c>
      <c r="T60" s="838">
        <v>3</v>
      </c>
      <c r="U60" s="838"/>
      <c r="V60" s="913">
        <v>0.72395833333333326</v>
      </c>
      <c r="W60" s="913">
        <v>0.73263888888888884</v>
      </c>
      <c r="X60" s="913">
        <v>0.81423611111111116</v>
      </c>
      <c r="Y60" s="838"/>
      <c r="Z60" s="838"/>
      <c r="AA60" s="838"/>
      <c r="AB60" s="838"/>
      <c r="AC60" s="833"/>
      <c r="AJ60">
        <f>COUNTA($R60:$U60)</f>
        <v>3</v>
      </c>
    </row>
    <row r="61" spans="1:36" ht="25.5">
      <c r="A61" s="838">
        <f>IF(B61="","",COUNTA($R$4:R61))</f>
        <v>58</v>
      </c>
      <c r="B61" s="838" t="s">
        <v>533</v>
      </c>
      <c r="C61" s="838" t="str">
        <f t="shared" si="13"/>
        <v>Nguyễn Văn Mạnh</v>
      </c>
      <c r="D61" s="838" t="str">
        <f t="shared" si="15"/>
        <v>Cán bộ BQLDA</v>
      </c>
      <c r="E61" s="838" t="str">
        <f t="shared" si="27"/>
        <v>.....................................</v>
      </c>
      <c r="F61" s="838" t="str">
        <f t="shared" si="27"/>
        <v>.....................................</v>
      </c>
      <c r="G61" s="838" t="str">
        <f>$AD$16</f>
        <v>Lê Minh Châu</v>
      </c>
      <c r="H61" s="838" t="str">
        <f>$AH$16</f>
        <v>TVGS</v>
      </c>
      <c r="I61" s="838" t="str">
        <f t="shared" si="0"/>
        <v>.....................................</v>
      </c>
      <c r="J61" s="838" t="str">
        <f t="shared" si="0"/>
        <v>.....................................</v>
      </c>
      <c r="K61" s="838" t="str">
        <f>$AD$18</f>
        <v>Phạm Văn Trà</v>
      </c>
      <c r="L61" s="838" t="str">
        <f>$AF$18</f>
        <v>CBKT</v>
      </c>
      <c r="M61" s="838" t="str">
        <f t="shared" si="28"/>
        <v>.....................................</v>
      </c>
      <c r="N61" s="838" t="str">
        <f t="shared" si="28"/>
        <v>.....................................</v>
      </c>
      <c r="O61" s="838" t="str">
        <f t="shared" si="28"/>
        <v>.....................................</v>
      </c>
      <c r="P61" s="838" t="str">
        <f t="shared" si="28"/>
        <v>.....................................</v>
      </c>
      <c r="Q61" s="860" t="str">
        <f t="shared" si="26"/>
        <v>Công ty TNHH đầu tư và phát triển KD Vượng Phát</v>
      </c>
      <c r="R61" s="838">
        <v>1</v>
      </c>
      <c r="S61" s="838">
        <v>2</v>
      </c>
      <c r="T61" s="838"/>
      <c r="U61" s="838"/>
      <c r="V61" s="913">
        <v>0.11631944444444445</v>
      </c>
      <c r="W61" s="913">
        <v>0.13368055555555555</v>
      </c>
      <c r="X61" s="838"/>
      <c r="Y61" s="838"/>
      <c r="Z61" s="838"/>
      <c r="AA61" s="838"/>
      <c r="AB61" s="838"/>
      <c r="AC61" s="833"/>
      <c r="AJ61">
        <f t="shared" ref="AJ61:AJ124" si="29">COUNTA($R61:$U61)</f>
        <v>2</v>
      </c>
    </row>
    <row r="62" spans="1:36" ht="25.5">
      <c r="A62" s="838">
        <f>IF(B62="","",COUNTA($R$4:R62))</f>
        <v>59</v>
      </c>
      <c r="B62" s="838" t="s">
        <v>556</v>
      </c>
      <c r="C62" s="838" t="str">
        <f t="shared" si="13"/>
        <v>Nguyễn Văn Mạnh</v>
      </c>
      <c r="D62" s="838" t="str">
        <f t="shared" si="15"/>
        <v>Cán bộ BQLDA</v>
      </c>
      <c r="E62" s="838" t="str">
        <f t="shared" si="27"/>
        <v>.....................................</v>
      </c>
      <c r="F62" s="838" t="str">
        <f t="shared" si="27"/>
        <v>.....................................</v>
      </c>
      <c r="G62" s="838" t="str">
        <f>$AD$16</f>
        <v>Lê Minh Châu</v>
      </c>
      <c r="H62" s="838" t="str">
        <f>$AH$16</f>
        <v>TVGS</v>
      </c>
      <c r="I62" s="838" t="str">
        <f t="shared" si="0"/>
        <v>.....................................</v>
      </c>
      <c r="J62" s="838" t="str">
        <f t="shared" si="0"/>
        <v>.....................................</v>
      </c>
      <c r="K62" s="838" t="str">
        <f>$AD$18</f>
        <v>Phạm Văn Trà</v>
      </c>
      <c r="L62" s="838" t="str">
        <f>$AF$18</f>
        <v>CBKT</v>
      </c>
      <c r="M62" s="838" t="str">
        <f t="shared" si="28"/>
        <v>.....................................</v>
      </c>
      <c r="N62" s="838" t="str">
        <f t="shared" si="28"/>
        <v>.....................................</v>
      </c>
      <c r="O62" s="838" t="str">
        <f t="shared" si="28"/>
        <v>.....................................</v>
      </c>
      <c r="P62" s="838" t="str">
        <f t="shared" si="28"/>
        <v>.....................................</v>
      </c>
      <c r="Q62" s="860" t="str">
        <f t="shared" si="26"/>
        <v>Công ty TNHH đầu tư và phát triển KD Vượng Phát</v>
      </c>
      <c r="R62" s="838">
        <v>1</v>
      </c>
      <c r="S62" s="838">
        <v>2</v>
      </c>
      <c r="T62" s="838">
        <v>3</v>
      </c>
      <c r="U62" s="838"/>
      <c r="V62" s="913">
        <v>0.97222222222222221</v>
      </c>
      <c r="W62" s="913">
        <v>0.98611111111111116</v>
      </c>
      <c r="X62" s="913">
        <v>0</v>
      </c>
      <c r="Y62" s="838"/>
      <c r="Z62" s="838"/>
      <c r="AA62" s="838"/>
      <c r="AB62" s="838"/>
      <c r="AC62" s="833"/>
      <c r="AJ62">
        <f t="shared" si="29"/>
        <v>3</v>
      </c>
    </row>
    <row r="63" spans="1:36" ht="25.5">
      <c r="A63" s="838">
        <f>IF(B63="","",COUNTA($R$4:R63))</f>
        <v>60</v>
      </c>
      <c r="B63" s="838" t="s">
        <v>698</v>
      </c>
      <c r="C63" s="838" t="str">
        <f t="shared" si="13"/>
        <v>Nguyễn Văn Mạnh</v>
      </c>
      <c r="D63" s="838" t="str">
        <f t="shared" si="15"/>
        <v>Cán bộ BQLDA</v>
      </c>
      <c r="E63" s="838" t="str">
        <f t="shared" si="27"/>
        <v>.....................................</v>
      </c>
      <c r="F63" s="838" t="str">
        <f t="shared" si="27"/>
        <v>.....................................</v>
      </c>
      <c r="G63" s="838" t="str">
        <f>$AD$16</f>
        <v>Lê Minh Châu</v>
      </c>
      <c r="H63" s="838" t="str">
        <f>$AH$16</f>
        <v>TVGS</v>
      </c>
      <c r="I63" s="838" t="str">
        <f t="shared" si="0"/>
        <v>.....................................</v>
      </c>
      <c r="J63" s="838" t="str">
        <f t="shared" si="0"/>
        <v>.....................................</v>
      </c>
      <c r="K63" s="838" t="str">
        <f>$AD$18</f>
        <v>Phạm Văn Trà</v>
      </c>
      <c r="L63" s="838" t="str">
        <f>$AF$18</f>
        <v>CBKT</v>
      </c>
      <c r="M63" s="838" t="str">
        <f t="shared" si="28"/>
        <v>.....................................</v>
      </c>
      <c r="N63" s="838" t="str">
        <f t="shared" si="28"/>
        <v>.....................................</v>
      </c>
      <c r="O63" s="838" t="str">
        <f t="shared" si="28"/>
        <v>.....................................</v>
      </c>
      <c r="P63" s="838" t="str">
        <f t="shared" si="28"/>
        <v>.....................................</v>
      </c>
      <c r="Q63" s="860" t="str">
        <f t="shared" si="26"/>
        <v>Công ty TNHH đầu tư và phát triển KD Vượng Phát</v>
      </c>
      <c r="R63" s="838">
        <v>1</v>
      </c>
      <c r="S63" s="838">
        <v>2</v>
      </c>
      <c r="T63" s="838"/>
      <c r="U63" s="838"/>
      <c r="V63" s="913">
        <v>0.49999999999999994</v>
      </c>
      <c r="W63" s="913">
        <v>1.2152777777777776E-2</v>
      </c>
      <c r="X63" s="838"/>
      <c r="Y63" s="838"/>
      <c r="Z63" s="838"/>
      <c r="AA63" s="838"/>
      <c r="AB63" s="838"/>
      <c r="AC63" s="833"/>
      <c r="AJ63">
        <f t="shared" si="29"/>
        <v>2</v>
      </c>
    </row>
    <row r="64" spans="1:36" ht="25.5">
      <c r="A64" s="838">
        <f>IF(B64="","",COUNTA($R$4:R64))</f>
        <v>61</v>
      </c>
      <c r="B64" s="838" t="s">
        <v>681</v>
      </c>
      <c r="C64" s="838" t="str">
        <f t="shared" si="13"/>
        <v>Nguyễn Văn Mạnh</v>
      </c>
      <c r="D64" s="838" t="str">
        <f t="shared" si="15"/>
        <v>Cán bộ BQLDA</v>
      </c>
      <c r="E64" s="838" t="str">
        <f t="shared" si="27"/>
        <v>.....................................</v>
      </c>
      <c r="F64" s="838" t="str">
        <f t="shared" si="27"/>
        <v>.....................................</v>
      </c>
      <c r="G64" s="838" t="str">
        <f>$AD$16</f>
        <v>Lê Minh Châu</v>
      </c>
      <c r="H64" s="838" t="str">
        <f>$AH$16</f>
        <v>TVGS</v>
      </c>
      <c r="I64" s="838" t="str">
        <f t="shared" si="0"/>
        <v>.....................................</v>
      </c>
      <c r="J64" s="838" t="str">
        <f t="shared" si="0"/>
        <v>.....................................</v>
      </c>
      <c r="K64" s="838" t="str">
        <f>$AD$18</f>
        <v>Phạm Văn Trà</v>
      </c>
      <c r="L64" s="838" t="str">
        <f>$AF$18</f>
        <v>CBKT</v>
      </c>
      <c r="M64" s="838" t="str">
        <f t="shared" si="28"/>
        <v>.....................................</v>
      </c>
      <c r="N64" s="838" t="str">
        <f t="shared" si="28"/>
        <v>.....................................</v>
      </c>
      <c r="O64" s="838" t="str">
        <f t="shared" si="28"/>
        <v>.....................................</v>
      </c>
      <c r="P64" s="838" t="str">
        <f t="shared" si="28"/>
        <v>.....................................</v>
      </c>
      <c r="Q64" s="860" t="str">
        <f t="shared" si="26"/>
        <v>Công ty TNHH đầu tư và phát triển KD Vượng Phát</v>
      </c>
      <c r="R64" s="838">
        <v>1</v>
      </c>
      <c r="S64" s="838">
        <v>2</v>
      </c>
      <c r="T64" s="838">
        <v>3</v>
      </c>
      <c r="U64" s="838"/>
      <c r="V64" s="913">
        <v>0.16666666666666666</v>
      </c>
      <c r="W64" s="913">
        <v>0.17013888888888887</v>
      </c>
      <c r="X64" s="913">
        <v>0.17708333333333334</v>
      </c>
      <c r="Y64" s="838"/>
      <c r="Z64" s="838"/>
      <c r="AA64" s="838"/>
      <c r="AB64" s="838"/>
      <c r="AC64" s="833"/>
      <c r="AJ64">
        <f t="shared" si="29"/>
        <v>3</v>
      </c>
    </row>
    <row r="65" spans="1:36" ht="25.5">
      <c r="A65" s="838">
        <f>IF(B65="","",COUNTA($R$4:R65))</f>
        <v>62</v>
      </c>
      <c r="B65" s="838" t="s">
        <v>669</v>
      </c>
      <c r="C65" s="838" t="str">
        <f t="shared" si="13"/>
        <v>Nguyễn Văn Mạnh</v>
      </c>
      <c r="D65" s="838" t="str">
        <f t="shared" si="15"/>
        <v>Cán bộ BQLDA</v>
      </c>
      <c r="E65" s="838" t="str">
        <f t="shared" si="27"/>
        <v>.....................................</v>
      </c>
      <c r="F65" s="838" t="str">
        <f t="shared" si="27"/>
        <v>.....................................</v>
      </c>
      <c r="G65" s="838" t="str">
        <f t="shared" ref="G65:G70" si="30">$AD$15</f>
        <v>Nguyễn Tiến Long</v>
      </c>
      <c r="H65" s="838" t="str">
        <f t="shared" ref="H65:H70" si="31">$AF$15</f>
        <v>TVGS</v>
      </c>
      <c r="I65" s="838" t="str">
        <f t="shared" si="0"/>
        <v>.....................................</v>
      </c>
      <c r="J65" s="838" t="str">
        <f t="shared" si="0"/>
        <v>.....................................</v>
      </c>
      <c r="K65" s="838" t="str">
        <f>$AD$19</f>
        <v>Đinh Văn Hưởng</v>
      </c>
      <c r="L65" s="838" t="str">
        <f>$AF$19</f>
        <v>CBKT</v>
      </c>
      <c r="M65" s="838" t="str">
        <f>$AD$6</f>
        <v>.....................................</v>
      </c>
      <c r="N65" s="838" t="str">
        <f>$AD$6</f>
        <v>.....................................</v>
      </c>
      <c r="O65" s="838" t="str">
        <f>$AD$22</f>
        <v>.....................................</v>
      </c>
      <c r="P65" s="838" t="str">
        <f>$AD$22</f>
        <v>.....................................</v>
      </c>
      <c r="Q65" s="860" t="str">
        <f t="shared" si="26"/>
        <v>Công ty TNHH đầu tư và phát triển KD Vượng Phát</v>
      </c>
      <c r="R65" s="838">
        <v>1</v>
      </c>
      <c r="S65" s="838">
        <v>2</v>
      </c>
      <c r="T65" s="838"/>
      <c r="U65" s="838"/>
      <c r="V65" s="913">
        <v>0.64236111111111116</v>
      </c>
      <c r="W65" s="913">
        <v>0.69097222222222221</v>
      </c>
      <c r="X65" s="838"/>
      <c r="Y65" s="838"/>
      <c r="Z65" s="838"/>
      <c r="AA65" s="838"/>
      <c r="AB65" s="838"/>
      <c r="AC65" s="833"/>
      <c r="AJ65">
        <f t="shared" si="29"/>
        <v>2</v>
      </c>
    </row>
    <row r="66" spans="1:36" ht="25.5">
      <c r="A66" s="838">
        <f>IF(B66="","",COUNTA($R$4:R66))</f>
        <v>63</v>
      </c>
      <c r="B66" s="838" t="s">
        <v>576</v>
      </c>
      <c r="C66" s="838" t="str">
        <f t="shared" si="13"/>
        <v>Nguyễn Văn Mạnh</v>
      </c>
      <c r="D66" s="838" t="str">
        <f t="shared" si="15"/>
        <v>Cán bộ BQLDA</v>
      </c>
      <c r="E66" s="838" t="str">
        <f t="shared" si="27"/>
        <v>.....................................</v>
      </c>
      <c r="F66" s="838" t="str">
        <f t="shared" si="27"/>
        <v>.....................................</v>
      </c>
      <c r="G66" s="838" t="str">
        <f t="shared" si="30"/>
        <v>Nguyễn Tiến Long</v>
      </c>
      <c r="H66" s="838" t="str">
        <f t="shared" si="31"/>
        <v>TVGS</v>
      </c>
      <c r="I66" s="838" t="str">
        <f t="shared" si="0"/>
        <v>.....................................</v>
      </c>
      <c r="J66" s="838" t="str">
        <f t="shared" si="0"/>
        <v>.....................................</v>
      </c>
      <c r="K66" s="838" t="str">
        <f>$AD$18</f>
        <v>Phạm Văn Trà</v>
      </c>
      <c r="L66" s="838" t="str">
        <f>$AF$18</f>
        <v>CBKT</v>
      </c>
      <c r="M66" s="838" t="str">
        <f t="shared" si="28"/>
        <v>.....................................</v>
      </c>
      <c r="N66" s="838" t="str">
        <f t="shared" si="28"/>
        <v>.....................................</v>
      </c>
      <c r="O66" s="838" t="str">
        <f t="shared" si="28"/>
        <v>.....................................</v>
      </c>
      <c r="P66" s="838" t="str">
        <f t="shared" si="28"/>
        <v>.....................................</v>
      </c>
      <c r="Q66" s="860" t="str">
        <f t="shared" si="26"/>
        <v>Công ty TNHH đầu tư và phát triển KD Vượng Phát</v>
      </c>
      <c r="R66" s="838">
        <v>1</v>
      </c>
      <c r="S66" s="838">
        <v>2</v>
      </c>
      <c r="T66" s="838">
        <v>3</v>
      </c>
      <c r="U66" s="838"/>
      <c r="V66" s="913">
        <v>0.88888888888888884</v>
      </c>
      <c r="W66" s="913">
        <v>0.89583333333333337</v>
      </c>
      <c r="X66" s="913">
        <v>0.92083333333333339</v>
      </c>
      <c r="Y66" s="838"/>
      <c r="Z66" s="838"/>
      <c r="AA66" s="838"/>
      <c r="AB66" s="838"/>
      <c r="AC66" s="833"/>
      <c r="AJ66">
        <f t="shared" si="29"/>
        <v>3</v>
      </c>
    </row>
    <row r="67" spans="1:36" ht="25.5">
      <c r="A67" s="838">
        <f>IF(B67="","",COUNTA($R$4:R67))</f>
        <v>64</v>
      </c>
      <c r="B67" s="838" t="s">
        <v>520</v>
      </c>
      <c r="C67" s="838" t="str">
        <f t="shared" si="13"/>
        <v>Nguyễn Văn Mạnh</v>
      </c>
      <c r="D67" s="838" t="str">
        <f t="shared" si="15"/>
        <v>Cán bộ BQLDA</v>
      </c>
      <c r="E67" s="838" t="str">
        <f t="shared" si="27"/>
        <v>.....................................</v>
      </c>
      <c r="F67" s="838" t="str">
        <f t="shared" si="27"/>
        <v>.....................................</v>
      </c>
      <c r="G67" s="838" t="str">
        <f t="shared" si="30"/>
        <v>Nguyễn Tiến Long</v>
      </c>
      <c r="H67" s="838" t="str">
        <f t="shared" si="31"/>
        <v>TVGS</v>
      </c>
      <c r="I67" s="838" t="str">
        <f t="shared" si="0"/>
        <v>.....................................</v>
      </c>
      <c r="J67" s="838" t="str">
        <f t="shared" si="0"/>
        <v>.....................................</v>
      </c>
      <c r="K67" s="838" t="str">
        <f>$AD$18</f>
        <v>Phạm Văn Trà</v>
      </c>
      <c r="L67" s="838" t="str">
        <f>$AF$18</f>
        <v>CBKT</v>
      </c>
      <c r="M67" s="838" t="str">
        <f t="shared" si="28"/>
        <v>.....................................</v>
      </c>
      <c r="N67" s="838" t="str">
        <f t="shared" si="28"/>
        <v>.....................................</v>
      </c>
      <c r="O67" s="838" t="str">
        <f t="shared" si="28"/>
        <v>.....................................</v>
      </c>
      <c r="P67" s="838" t="str">
        <f t="shared" si="28"/>
        <v>.....................................</v>
      </c>
      <c r="Q67" s="860" t="str">
        <f t="shared" si="26"/>
        <v>Công ty TNHH đầu tư và phát triển KD Vượng Phát</v>
      </c>
      <c r="R67" s="838">
        <v>1</v>
      </c>
      <c r="S67" s="838">
        <v>2</v>
      </c>
      <c r="T67" s="838">
        <v>3</v>
      </c>
      <c r="U67" s="838"/>
      <c r="V67" s="913">
        <v>0.21388888888888891</v>
      </c>
      <c r="W67" s="913">
        <v>0.2482638888888889</v>
      </c>
      <c r="X67" s="913">
        <v>0.27152777777777776</v>
      </c>
      <c r="Y67" s="838"/>
      <c r="Z67" s="838"/>
      <c r="AA67" s="838"/>
      <c r="AB67" s="838"/>
      <c r="AC67" s="833"/>
      <c r="AJ67">
        <f t="shared" si="29"/>
        <v>3</v>
      </c>
    </row>
    <row r="68" spans="1:36" ht="25.5">
      <c r="A68" s="838">
        <f>IF(B68="","",COUNTA($R$4:R68))</f>
        <v>65</v>
      </c>
      <c r="B68" s="838" t="s">
        <v>561</v>
      </c>
      <c r="C68" s="838" t="str">
        <f t="shared" si="13"/>
        <v>Nguyễn Văn Mạnh</v>
      </c>
      <c r="D68" s="838" t="str">
        <f t="shared" si="15"/>
        <v>Cán bộ BQLDA</v>
      </c>
      <c r="E68" s="838" t="str">
        <f t="shared" si="27"/>
        <v>.....................................</v>
      </c>
      <c r="F68" s="838" t="str">
        <f t="shared" si="27"/>
        <v>.....................................</v>
      </c>
      <c r="G68" s="838" t="str">
        <f t="shared" si="30"/>
        <v>Nguyễn Tiến Long</v>
      </c>
      <c r="H68" s="838" t="str">
        <f t="shared" si="31"/>
        <v>TVGS</v>
      </c>
      <c r="I68" s="838" t="str">
        <f t="shared" si="0"/>
        <v>.....................................</v>
      </c>
      <c r="J68" s="838" t="str">
        <f t="shared" si="0"/>
        <v>.....................................</v>
      </c>
      <c r="K68" s="838" t="str">
        <f>$AD$18</f>
        <v>Phạm Văn Trà</v>
      </c>
      <c r="L68" s="838" t="str">
        <f>$AF$18</f>
        <v>CBKT</v>
      </c>
      <c r="M68" s="838" t="str">
        <f t="shared" si="28"/>
        <v>.....................................</v>
      </c>
      <c r="N68" s="838" t="str">
        <f t="shared" si="28"/>
        <v>.....................................</v>
      </c>
      <c r="O68" s="838" t="str">
        <f t="shared" si="28"/>
        <v>.....................................</v>
      </c>
      <c r="P68" s="838" t="str">
        <f t="shared" si="28"/>
        <v>.....................................</v>
      </c>
      <c r="Q68" s="860" t="str">
        <f t="shared" si="26"/>
        <v>Công ty TNHH đầu tư và phát triển KD Vượng Phát</v>
      </c>
      <c r="R68" s="838">
        <v>1</v>
      </c>
      <c r="S68" s="838">
        <v>2</v>
      </c>
      <c r="T68" s="838">
        <v>3</v>
      </c>
      <c r="U68" s="838"/>
      <c r="V68" s="913">
        <v>0.92013888888888884</v>
      </c>
      <c r="W68" s="913">
        <v>0.95833333333333337</v>
      </c>
      <c r="X68" s="913">
        <v>0.97222222222222221</v>
      </c>
      <c r="Y68" s="838"/>
      <c r="Z68" s="838"/>
      <c r="AA68" s="838"/>
      <c r="AB68" s="838"/>
      <c r="AC68" s="833"/>
      <c r="AJ68">
        <f t="shared" si="29"/>
        <v>3</v>
      </c>
    </row>
    <row r="69" spans="1:36" ht="25.5">
      <c r="A69" s="838">
        <f>IF(B69="","",COUNTA($R$4:R69))</f>
        <v>66</v>
      </c>
      <c r="B69" s="838" t="s">
        <v>569</v>
      </c>
      <c r="C69" s="838" t="str">
        <f t="shared" si="13"/>
        <v>Nguyễn Văn Mạnh</v>
      </c>
      <c r="D69" s="838" t="str">
        <f t="shared" si="15"/>
        <v>Cán bộ BQLDA</v>
      </c>
      <c r="E69" s="838" t="str">
        <f t="shared" si="27"/>
        <v>.....................................</v>
      </c>
      <c r="F69" s="838" t="str">
        <f t="shared" si="27"/>
        <v>.....................................</v>
      </c>
      <c r="G69" s="838" t="str">
        <f t="shared" si="30"/>
        <v>Nguyễn Tiến Long</v>
      </c>
      <c r="H69" s="838" t="str">
        <f t="shared" si="31"/>
        <v>TVGS</v>
      </c>
      <c r="I69" s="838" t="str">
        <f t="shared" si="0"/>
        <v>.....................................</v>
      </c>
      <c r="J69" s="838" t="str">
        <f t="shared" si="0"/>
        <v>.....................................</v>
      </c>
      <c r="K69" s="838" t="str">
        <f>$AD$18</f>
        <v>Phạm Văn Trà</v>
      </c>
      <c r="L69" s="838" t="str">
        <f>$AF$18</f>
        <v>CBKT</v>
      </c>
      <c r="M69" s="838" t="str">
        <f t="shared" si="28"/>
        <v>.....................................</v>
      </c>
      <c r="N69" s="838" t="str">
        <f t="shared" si="28"/>
        <v>.....................................</v>
      </c>
      <c r="O69" s="838" t="str">
        <f t="shared" si="28"/>
        <v>.....................................</v>
      </c>
      <c r="P69" s="838" t="str">
        <f t="shared" si="28"/>
        <v>.....................................</v>
      </c>
      <c r="Q69" s="860" t="str">
        <f t="shared" si="26"/>
        <v>Công ty TNHH đầu tư và phát triển KD Vượng Phát</v>
      </c>
      <c r="R69" s="838">
        <v>1</v>
      </c>
      <c r="S69" s="838">
        <v>2</v>
      </c>
      <c r="T69" s="838"/>
      <c r="U69" s="838"/>
      <c r="V69" s="913">
        <v>0.13541666666666666</v>
      </c>
      <c r="W69" s="913">
        <v>0.14930555555555555</v>
      </c>
      <c r="X69" s="838"/>
      <c r="Y69" s="838"/>
      <c r="Z69" s="838"/>
      <c r="AA69" s="838"/>
      <c r="AB69" s="838"/>
      <c r="AC69" s="833"/>
      <c r="AJ69">
        <f t="shared" si="29"/>
        <v>2</v>
      </c>
    </row>
    <row r="70" spans="1:36" ht="25.5">
      <c r="A70" s="838">
        <f>IF(B70="","",COUNTA($R$4:R70))</f>
        <v>67</v>
      </c>
      <c r="B70" s="838" t="s">
        <v>686</v>
      </c>
      <c r="C70" s="838" t="str">
        <f t="shared" si="13"/>
        <v>Nguyễn Văn Mạnh</v>
      </c>
      <c r="D70" s="838" t="str">
        <f t="shared" si="15"/>
        <v>Cán bộ BQLDA</v>
      </c>
      <c r="E70" s="838" t="str">
        <f t="shared" si="27"/>
        <v>.....................................</v>
      </c>
      <c r="F70" s="838" t="str">
        <f t="shared" si="27"/>
        <v>.....................................</v>
      </c>
      <c r="G70" s="838" t="str">
        <f t="shared" si="30"/>
        <v>Nguyễn Tiến Long</v>
      </c>
      <c r="H70" s="838" t="str">
        <f t="shared" si="31"/>
        <v>TVGS</v>
      </c>
      <c r="I70" s="838" t="str">
        <f t="shared" si="0"/>
        <v>.....................................</v>
      </c>
      <c r="J70" s="838" t="str">
        <f t="shared" si="0"/>
        <v>.....................................</v>
      </c>
      <c r="K70" s="838" t="str">
        <f>$AD$19</f>
        <v>Đinh Văn Hưởng</v>
      </c>
      <c r="L70" s="838" t="str">
        <f>$AF$19</f>
        <v>CBKT</v>
      </c>
      <c r="M70" s="838" t="str">
        <f>$AD$6</f>
        <v>.....................................</v>
      </c>
      <c r="N70" s="838" t="str">
        <f>$AD$6</f>
        <v>.....................................</v>
      </c>
      <c r="O70" s="838" t="str">
        <f>$AD$22</f>
        <v>.....................................</v>
      </c>
      <c r="P70" s="838" t="str">
        <f>$AD$22</f>
        <v>.....................................</v>
      </c>
      <c r="Q70" s="860" t="str">
        <f t="shared" si="26"/>
        <v>Công ty TNHH đầu tư và phát triển KD Vượng Phát</v>
      </c>
      <c r="R70" s="838">
        <v>1</v>
      </c>
      <c r="S70" s="838">
        <v>2</v>
      </c>
      <c r="T70" s="838">
        <v>3</v>
      </c>
      <c r="U70" s="838"/>
      <c r="V70" s="913">
        <v>0.765625</v>
      </c>
      <c r="W70" s="913">
        <v>0.77951388888888884</v>
      </c>
      <c r="X70" s="913">
        <v>0.82118055555555558</v>
      </c>
      <c r="Y70" s="838"/>
      <c r="Z70" s="838"/>
      <c r="AA70" s="838"/>
      <c r="AB70" s="838"/>
      <c r="AC70" s="833"/>
      <c r="AJ70">
        <f t="shared" si="29"/>
        <v>3</v>
      </c>
    </row>
    <row r="71" spans="1:36" ht="25.5">
      <c r="A71" s="838">
        <f>IF(B71="","",COUNTA($R$4:R71))</f>
        <v>68</v>
      </c>
      <c r="B71" s="839" t="s">
        <v>564</v>
      </c>
      <c r="C71" s="838" t="str">
        <f t="shared" si="13"/>
        <v>Nguyễn Văn Mạnh</v>
      </c>
      <c r="D71" s="838" t="str">
        <f t="shared" si="15"/>
        <v>Cán bộ BQLDA</v>
      </c>
      <c r="E71" s="838" t="str">
        <f t="shared" si="27"/>
        <v>.....................................</v>
      </c>
      <c r="F71" s="838" t="str">
        <f t="shared" si="27"/>
        <v>.....................................</v>
      </c>
      <c r="G71" s="838" t="str">
        <f t="shared" ref="G71:G77" si="32">$AD$16</f>
        <v>Lê Minh Châu</v>
      </c>
      <c r="H71" s="838" t="str">
        <f t="shared" ref="H71:H77" si="33">$AH$16</f>
        <v>TVGS</v>
      </c>
      <c r="I71" s="838" t="str">
        <f t="shared" si="0"/>
        <v>.....................................</v>
      </c>
      <c r="J71" s="838" t="str">
        <f t="shared" si="0"/>
        <v>.....................................</v>
      </c>
      <c r="K71" s="838" t="str">
        <f>$AD$18</f>
        <v>Phạm Văn Trà</v>
      </c>
      <c r="L71" s="838" t="str">
        <f>$AF$18</f>
        <v>CBKT</v>
      </c>
      <c r="M71" s="838" t="str">
        <f t="shared" si="28"/>
        <v>.....................................</v>
      </c>
      <c r="N71" s="838" t="str">
        <f t="shared" si="28"/>
        <v>.....................................</v>
      </c>
      <c r="O71" s="838" t="str">
        <f t="shared" si="28"/>
        <v>.....................................</v>
      </c>
      <c r="P71" s="838" t="str">
        <f t="shared" si="28"/>
        <v>.....................................</v>
      </c>
      <c r="Q71" s="860" t="str">
        <f t="shared" si="26"/>
        <v>Công ty TNHH đầu tư và phát triển KD Vượng Phát</v>
      </c>
      <c r="R71" s="838">
        <v>1</v>
      </c>
      <c r="S71" s="838">
        <v>2</v>
      </c>
      <c r="T71" s="838"/>
      <c r="U71" s="838"/>
      <c r="V71" s="913">
        <v>0.59027777777777779</v>
      </c>
      <c r="W71" s="913">
        <v>0.60243055555555558</v>
      </c>
      <c r="X71" s="838"/>
      <c r="Y71" s="838"/>
      <c r="Z71" s="838"/>
      <c r="AA71" s="838"/>
      <c r="AB71" s="838"/>
      <c r="AC71" s="833"/>
      <c r="AJ71">
        <f t="shared" si="29"/>
        <v>2</v>
      </c>
    </row>
    <row r="72" spans="1:36" ht="25.5">
      <c r="A72" s="838">
        <f>IF(B72="","",COUNTA($R$4:R72))</f>
        <v>69</v>
      </c>
      <c r="B72" s="839" t="s">
        <v>571</v>
      </c>
      <c r="C72" s="838" t="str">
        <f t="shared" si="13"/>
        <v>Nguyễn Văn Mạnh</v>
      </c>
      <c r="D72" s="838" t="str">
        <f t="shared" si="15"/>
        <v>Cán bộ BQLDA</v>
      </c>
      <c r="E72" s="838" t="str">
        <f t="shared" si="27"/>
        <v>.....................................</v>
      </c>
      <c r="F72" s="838" t="str">
        <f t="shared" si="27"/>
        <v>.....................................</v>
      </c>
      <c r="G72" s="838" t="str">
        <f t="shared" si="32"/>
        <v>Lê Minh Châu</v>
      </c>
      <c r="H72" s="838" t="str">
        <f t="shared" si="33"/>
        <v>TVGS</v>
      </c>
      <c r="I72" s="838" t="str">
        <f t="shared" si="0"/>
        <v>.....................................</v>
      </c>
      <c r="J72" s="838" t="str">
        <f t="shared" si="0"/>
        <v>.....................................</v>
      </c>
      <c r="K72" s="838" t="str">
        <f>$AD$19</f>
        <v>Đinh Văn Hưởng</v>
      </c>
      <c r="L72" s="838" t="str">
        <f>$AF$19</f>
        <v>CBKT</v>
      </c>
      <c r="M72" s="838" t="str">
        <f>$AD$6</f>
        <v>.....................................</v>
      </c>
      <c r="N72" s="838" t="str">
        <f>$AD$6</f>
        <v>.....................................</v>
      </c>
      <c r="O72" s="838" t="str">
        <f>$AD$22</f>
        <v>.....................................</v>
      </c>
      <c r="P72" s="838" t="str">
        <f>$AD$22</f>
        <v>.....................................</v>
      </c>
      <c r="Q72" s="860" t="str">
        <f t="shared" si="26"/>
        <v>Công ty TNHH đầu tư và phát triển KD Vượng Phát</v>
      </c>
      <c r="R72" s="838">
        <v>1</v>
      </c>
      <c r="S72" s="838">
        <v>2</v>
      </c>
      <c r="T72" s="838">
        <v>3</v>
      </c>
      <c r="U72" s="838"/>
      <c r="V72" s="913">
        <v>0.14930555555555555</v>
      </c>
      <c r="W72" s="913">
        <v>0.20486111111111113</v>
      </c>
      <c r="X72" s="913">
        <v>0.24305555555555555</v>
      </c>
      <c r="Y72" s="838"/>
      <c r="Z72" s="838"/>
      <c r="AA72" s="838"/>
      <c r="AB72" s="838"/>
      <c r="AC72" s="833"/>
      <c r="AJ72">
        <f t="shared" si="29"/>
        <v>3</v>
      </c>
    </row>
    <row r="73" spans="1:36" ht="25.5">
      <c r="A73" s="838">
        <f>IF(B73="","",COUNTA($R$4:R73))</f>
        <v>70</v>
      </c>
      <c r="B73" s="839" t="s">
        <v>525</v>
      </c>
      <c r="C73" s="838" t="str">
        <f t="shared" si="13"/>
        <v>Nguyễn Văn Mạnh</v>
      </c>
      <c r="D73" s="838" t="str">
        <f t="shared" si="15"/>
        <v>Cán bộ BQLDA</v>
      </c>
      <c r="E73" s="838" t="str">
        <f t="shared" si="27"/>
        <v>.....................................</v>
      </c>
      <c r="F73" s="838" t="str">
        <f t="shared" si="27"/>
        <v>.....................................</v>
      </c>
      <c r="G73" s="838" t="str">
        <f t="shared" si="32"/>
        <v>Lê Minh Châu</v>
      </c>
      <c r="H73" s="838" t="str">
        <f t="shared" si="33"/>
        <v>TVGS</v>
      </c>
      <c r="I73" s="838" t="str">
        <f t="shared" si="0"/>
        <v>.....................................</v>
      </c>
      <c r="J73" s="838" t="str">
        <f t="shared" si="0"/>
        <v>.....................................</v>
      </c>
      <c r="K73" s="838" t="str">
        <f>$AD$19</f>
        <v>Đinh Văn Hưởng</v>
      </c>
      <c r="L73" s="838" t="str">
        <f>$AF$19</f>
        <v>CBKT</v>
      </c>
      <c r="M73" s="838" t="str">
        <f>$AD$6</f>
        <v>.....................................</v>
      </c>
      <c r="N73" s="838" t="str">
        <f>$AD$6</f>
        <v>.....................................</v>
      </c>
      <c r="O73" s="838" t="str">
        <f>$AD$22</f>
        <v>.....................................</v>
      </c>
      <c r="P73" s="838" t="str">
        <f>$AD$22</f>
        <v>.....................................</v>
      </c>
      <c r="Q73" s="860" t="str">
        <f t="shared" si="26"/>
        <v>Công ty TNHH đầu tư và phát triển KD Vượng Phát</v>
      </c>
      <c r="R73" s="838">
        <v>1</v>
      </c>
      <c r="S73" s="838">
        <v>2</v>
      </c>
      <c r="T73" s="838">
        <v>3</v>
      </c>
      <c r="U73" s="838"/>
      <c r="V73" s="913">
        <v>0.765625</v>
      </c>
      <c r="W73" s="913">
        <v>0.77951388888888884</v>
      </c>
      <c r="X73" s="913">
        <v>0.82118055555555558</v>
      </c>
      <c r="Y73" s="838"/>
      <c r="Z73" s="838"/>
      <c r="AA73" s="838"/>
      <c r="AB73" s="838"/>
      <c r="AC73" s="833"/>
      <c r="AJ73">
        <f t="shared" si="29"/>
        <v>3</v>
      </c>
    </row>
    <row r="74" spans="1:36" ht="25.5">
      <c r="A74" s="838">
        <f>IF(B74="","",COUNTA($R$4:R74))</f>
        <v>71</v>
      </c>
      <c r="B74" s="839" t="s">
        <v>500</v>
      </c>
      <c r="C74" s="838" t="str">
        <f t="shared" si="13"/>
        <v>Nguyễn Văn Mạnh</v>
      </c>
      <c r="D74" s="838" t="str">
        <f t="shared" si="15"/>
        <v>Cán bộ BQLDA</v>
      </c>
      <c r="E74" s="838" t="str">
        <f t="shared" si="27"/>
        <v>.....................................</v>
      </c>
      <c r="F74" s="838" t="str">
        <f t="shared" si="27"/>
        <v>.....................................</v>
      </c>
      <c r="G74" s="838" t="str">
        <f t="shared" si="32"/>
        <v>Lê Minh Châu</v>
      </c>
      <c r="H74" s="838" t="str">
        <f t="shared" si="33"/>
        <v>TVGS</v>
      </c>
      <c r="I74" s="838" t="str">
        <f t="shared" si="0"/>
        <v>.....................................</v>
      </c>
      <c r="J74" s="838" t="str">
        <f t="shared" si="0"/>
        <v>.....................................</v>
      </c>
      <c r="K74" s="838" t="str">
        <f>$AD$20</f>
        <v>Nguyễn Duy Long</v>
      </c>
      <c r="L74" s="838" t="str">
        <f>$AF$20</f>
        <v>CBKT</v>
      </c>
      <c r="M74" s="838" t="str">
        <f t="shared" ref="M74:P104" si="34">$AD$6</f>
        <v>.....................................</v>
      </c>
      <c r="N74" s="838" t="str">
        <f t="shared" si="34"/>
        <v>.....................................</v>
      </c>
      <c r="O74" s="838" t="str">
        <f t="shared" si="34"/>
        <v>.....................................</v>
      </c>
      <c r="P74" s="838" t="str">
        <f t="shared" si="34"/>
        <v>.....................................</v>
      </c>
      <c r="Q74" s="860" t="str">
        <f>$AD$4</f>
        <v>Công ty Cổ phần và Xây dựng Quảng Ninh</v>
      </c>
      <c r="R74" s="838">
        <v>1</v>
      </c>
      <c r="S74" s="838">
        <v>2</v>
      </c>
      <c r="T74" s="838">
        <v>3</v>
      </c>
      <c r="U74" s="838"/>
      <c r="V74" s="913">
        <v>0.77430555555555547</v>
      </c>
      <c r="W74" s="913">
        <v>0.81388888888888899</v>
      </c>
      <c r="X74" s="913">
        <v>0.83124999999999993</v>
      </c>
      <c r="Y74" s="838"/>
      <c r="Z74" s="838"/>
      <c r="AA74" s="838"/>
      <c r="AB74" s="838"/>
      <c r="AC74" s="833"/>
      <c r="AJ74">
        <f t="shared" si="29"/>
        <v>3</v>
      </c>
    </row>
    <row r="75" spans="1:36" ht="25.5">
      <c r="A75" s="838">
        <f>IF(B75="","",COUNTA($R$4:R75))</f>
        <v>72</v>
      </c>
      <c r="B75" s="839" t="s">
        <v>529</v>
      </c>
      <c r="C75" s="838" t="str">
        <f t="shared" si="13"/>
        <v>Nguyễn Văn Mạnh</v>
      </c>
      <c r="D75" s="838" t="str">
        <f t="shared" si="15"/>
        <v>Cán bộ BQLDA</v>
      </c>
      <c r="E75" s="838" t="str">
        <f t="shared" si="27"/>
        <v>.....................................</v>
      </c>
      <c r="F75" s="838" t="str">
        <f t="shared" si="27"/>
        <v>.....................................</v>
      </c>
      <c r="G75" s="838" t="str">
        <f t="shared" si="32"/>
        <v>Lê Minh Châu</v>
      </c>
      <c r="H75" s="838" t="str">
        <f t="shared" si="33"/>
        <v>TVGS</v>
      </c>
      <c r="I75" s="838" t="str">
        <f t="shared" si="0"/>
        <v>.....................................</v>
      </c>
      <c r="J75" s="838" t="str">
        <f t="shared" si="0"/>
        <v>.....................................</v>
      </c>
      <c r="K75" s="838" t="str">
        <f>$AD$18</f>
        <v>Phạm Văn Trà</v>
      </c>
      <c r="L75" s="838" t="str">
        <f>$AF$18</f>
        <v>CBKT</v>
      </c>
      <c r="M75" s="838" t="str">
        <f t="shared" si="34"/>
        <v>.....................................</v>
      </c>
      <c r="N75" s="838" t="str">
        <f t="shared" si="34"/>
        <v>.....................................</v>
      </c>
      <c r="O75" s="838" t="str">
        <f t="shared" si="34"/>
        <v>.....................................</v>
      </c>
      <c r="P75" s="838" t="str">
        <f t="shared" si="34"/>
        <v>.....................................</v>
      </c>
      <c r="Q75" s="860" t="str">
        <f t="shared" ref="Q75:Q169" si="35">$AD$5</f>
        <v>Công ty TNHH đầu tư và phát triển KD Vượng Phát</v>
      </c>
      <c r="R75" s="838">
        <v>1</v>
      </c>
      <c r="S75" s="838">
        <v>2</v>
      </c>
      <c r="T75" s="838"/>
      <c r="U75" s="838"/>
      <c r="V75" s="821">
        <v>4.2013888888888892E-2</v>
      </c>
      <c r="W75" s="821">
        <v>5.3819444444444448E-2</v>
      </c>
      <c r="X75" s="838"/>
      <c r="Y75" s="838"/>
      <c r="Z75" s="838"/>
      <c r="AA75" s="838"/>
      <c r="AB75" s="838"/>
      <c r="AC75" s="833"/>
      <c r="AJ75">
        <f t="shared" si="29"/>
        <v>2</v>
      </c>
    </row>
    <row r="76" spans="1:36" ht="25.5">
      <c r="A76" s="838">
        <f>IF(B76="","",COUNTA($R$4:R76))</f>
        <v>73</v>
      </c>
      <c r="B76" s="839" t="s">
        <v>688</v>
      </c>
      <c r="C76" s="838" t="str">
        <f t="shared" si="13"/>
        <v>Nguyễn Văn Mạnh</v>
      </c>
      <c r="D76" s="838" t="str">
        <f t="shared" si="15"/>
        <v>Cán bộ BQLDA</v>
      </c>
      <c r="E76" s="838" t="str">
        <f t="shared" si="27"/>
        <v>.....................................</v>
      </c>
      <c r="F76" s="838" t="str">
        <f t="shared" si="27"/>
        <v>.....................................</v>
      </c>
      <c r="G76" s="838" t="str">
        <f t="shared" si="32"/>
        <v>Lê Minh Châu</v>
      </c>
      <c r="H76" s="838" t="str">
        <f t="shared" si="33"/>
        <v>TVGS</v>
      </c>
      <c r="I76" s="838" t="str">
        <f t="shared" si="0"/>
        <v>.....................................</v>
      </c>
      <c r="J76" s="838" t="str">
        <f t="shared" si="0"/>
        <v>.....................................</v>
      </c>
      <c r="K76" s="838" t="str">
        <f>$AD$18</f>
        <v>Phạm Văn Trà</v>
      </c>
      <c r="L76" s="838" t="str">
        <f>$AF$18</f>
        <v>CBKT</v>
      </c>
      <c r="M76" s="838" t="str">
        <f t="shared" si="34"/>
        <v>.....................................</v>
      </c>
      <c r="N76" s="838" t="str">
        <f t="shared" si="34"/>
        <v>.....................................</v>
      </c>
      <c r="O76" s="838" t="str">
        <f t="shared" si="34"/>
        <v>.....................................</v>
      </c>
      <c r="P76" s="838" t="str">
        <f t="shared" si="34"/>
        <v>.....................................</v>
      </c>
      <c r="Q76" s="860" t="str">
        <f t="shared" si="35"/>
        <v>Công ty TNHH đầu tư và phát triển KD Vượng Phát</v>
      </c>
      <c r="R76" s="838">
        <v>1</v>
      </c>
      <c r="S76" s="838">
        <v>2</v>
      </c>
      <c r="T76" s="838">
        <v>3</v>
      </c>
      <c r="U76" s="838"/>
      <c r="V76" s="913">
        <v>0.97916666666666674</v>
      </c>
      <c r="W76" s="913">
        <v>0.98958333333333326</v>
      </c>
      <c r="X76" s="913">
        <v>0.49722222222222218</v>
      </c>
      <c r="Y76" s="838"/>
      <c r="Z76" s="838"/>
      <c r="AA76" s="838"/>
      <c r="AB76" s="838"/>
      <c r="AC76" s="833"/>
      <c r="AJ76">
        <f t="shared" si="29"/>
        <v>3</v>
      </c>
    </row>
    <row r="77" spans="1:36" ht="25.5">
      <c r="A77" s="838">
        <f>IF(B77="","",COUNTA($R$4:R77))</f>
        <v>74</v>
      </c>
      <c r="B77" s="839" t="s">
        <v>676</v>
      </c>
      <c r="C77" s="838" t="str">
        <f t="shared" si="13"/>
        <v>Nguyễn Văn Mạnh</v>
      </c>
      <c r="D77" s="838" t="str">
        <f t="shared" si="15"/>
        <v>Cán bộ BQLDA</v>
      </c>
      <c r="E77" s="838" t="str">
        <f t="shared" si="27"/>
        <v>.....................................</v>
      </c>
      <c r="F77" s="838" t="str">
        <f t="shared" si="27"/>
        <v>.....................................</v>
      </c>
      <c r="G77" s="838" t="str">
        <f t="shared" si="32"/>
        <v>Lê Minh Châu</v>
      </c>
      <c r="H77" s="838" t="str">
        <f t="shared" si="33"/>
        <v>TVGS</v>
      </c>
      <c r="I77" s="838" t="str">
        <f t="shared" si="0"/>
        <v>.....................................</v>
      </c>
      <c r="J77" s="838" t="str">
        <f t="shared" si="0"/>
        <v>.....................................</v>
      </c>
      <c r="K77" s="838" t="str">
        <f>$AD$21</f>
        <v>Tạ Văn Tú</v>
      </c>
      <c r="L77" s="838" t="str">
        <f t="shared" ref="L77:L104" si="36">$AF$21</f>
        <v>CBKT</v>
      </c>
      <c r="M77" s="838" t="str">
        <f t="shared" si="34"/>
        <v>.....................................</v>
      </c>
      <c r="N77" s="838" t="str">
        <f t="shared" si="34"/>
        <v>.....................................</v>
      </c>
      <c r="O77" s="838" t="str">
        <f t="shared" si="34"/>
        <v>.....................................</v>
      </c>
      <c r="P77" s="838" t="str">
        <f t="shared" si="34"/>
        <v>.....................................</v>
      </c>
      <c r="Q77" s="860" t="str">
        <f t="shared" si="35"/>
        <v>Công ty TNHH đầu tư và phát triển KD Vượng Phát</v>
      </c>
      <c r="R77" s="838">
        <v>1</v>
      </c>
      <c r="S77" s="838">
        <v>2</v>
      </c>
      <c r="T77" s="838">
        <v>4</v>
      </c>
      <c r="U77" s="838"/>
      <c r="V77" s="913">
        <v>0.95833333333333337</v>
      </c>
      <c r="W77" s="913">
        <v>0.96527777777777779</v>
      </c>
      <c r="X77" s="913">
        <v>3.125E-2</v>
      </c>
      <c r="Y77" s="838"/>
      <c r="Z77" s="838"/>
      <c r="AA77" s="838"/>
      <c r="AB77" s="838"/>
      <c r="AC77" s="833"/>
      <c r="AJ77">
        <f t="shared" si="29"/>
        <v>3</v>
      </c>
    </row>
    <row r="78" spans="1:36" ht="25.5">
      <c r="A78" s="838">
        <f>IF(B78="","",COUNTA($R$4:R78))</f>
        <v>75</v>
      </c>
      <c r="B78" s="838" t="s">
        <v>691</v>
      </c>
      <c r="C78" s="838" t="str">
        <f t="shared" si="13"/>
        <v>Nguyễn Văn Mạnh</v>
      </c>
      <c r="D78" s="838" t="str">
        <f t="shared" si="15"/>
        <v>Cán bộ BQLDA</v>
      </c>
      <c r="E78" s="838" t="str">
        <f t="shared" si="27"/>
        <v>.....................................</v>
      </c>
      <c r="F78" s="838" t="str">
        <f t="shared" si="27"/>
        <v>.....................................</v>
      </c>
      <c r="G78" s="838" t="str">
        <f>$AD$25</f>
        <v>Đặng Văn Huấn</v>
      </c>
      <c r="H78" s="838" t="str">
        <f>$AF$25</f>
        <v>Phó đoàn TVGS</v>
      </c>
      <c r="I78" s="838" t="str">
        <f t="shared" si="0"/>
        <v>.....................................</v>
      </c>
      <c r="J78" s="838" t="str">
        <f t="shared" si="0"/>
        <v>.....................................</v>
      </c>
      <c r="K78" s="838" t="str">
        <f t="shared" ref="K78:K104" si="37">$AD$18</f>
        <v>Phạm Văn Trà</v>
      </c>
      <c r="L78" s="838" t="str">
        <f t="shared" si="36"/>
        <v>CBKT</v>
      </c>
      <c r="M78" s="838" t="str">
        <f t="shared" si="34"/>
        <v>.....................................</v>
      </c>
      <c r="N78" s="838" t="str">
        <f t="shared" si="34"/>
        <v>.....................................</v>
      </c>
      <c r="O78" s="838" t="str">
        <f>$AD$23</f>
        <v>Đinh Văn Thế</v>
      </c>
      <c r="P78" s="838" t="str">
        <f>$AF$23</f>
        <v>CBKT</v>
      </c>
      <c r="Q78" s="860" t="str">
        <f t="shared" si="35"/>
        <v>Công ty TNHH đầu tư và phát triển KD Vượng Phát</v>
      </c>
      <c r="R78" s="838">
        <v>1</v>
      </c>
      <c r="S78" s="838">
        <v>2</v>
      </c>
      <c r="T78" s="838">
        <v>3</v>
      </c>
      <c r="U78" s="838"/>
      <c r="V78" s="861">
        <v>3.4722222222222224E-2</v>
      </c>
      <c r="W78" s="861">
        <v>4.1666666666666664E-2</v>
      </c>
      <c r="X78" s="861">
        <v>7.6388888888888895E-2</v>
      </c>
      <c r="Y78" s="838"/>
      <c r="Z78" s="838"/>
      <c r="AA78" s="838"/>
      <c r="AB78" s="838"/>
      <c r="AC78" s="833"/>
      <c r="AJ78">
        <f t="shared" si="29"/>
        <v>3</v>
      </c>
    </row>
    <row r="79" spans="1:36" ht="25.5">
      <c r="A79" s="838">
        <f>IF(B79="","",COUNTA($R$4:R79))</f>
        <v>76</v>
      </c>
      <c r="B79" s="838" t="s">
        <v>587</v>
      </c>
      <c r="C79" s="838" t="str">
        <f t="shared" si="13"/>
        <v>Nguyễn Văn Mạnh</v>
      </c>
      <c r="D79" s="838" t="str">
        <f t="shared" si="15"/>
        <v>Cán bộ BQLDA</v>
      </c>
      <c r="E79" s="838" t="str">
        <f t="shared" ref="E79:F98" si="38">$AD$6</f>
        <v>.....................................</v>
      </c>
      <c r="F79" s="838" t="str">
        <f t="shared" si="38"/>
        <v>.....................................</v>
      </c>
      <c r="G79" s="838" t="str">
        <f>$AD$25</f>
        <v>Đặng Văn Huấn</v>
      </c>
      <c r="H79" s="838" t="str">
        <f>$AF$25</f>
        <v>Phó đoàn TVGS</v>
      </c>
      <c r="I79" s="838" t="str">
        <f t="shared" si="0"/>
        <v>.....................................</v>
      </c>
      <c r="J79" s="838" t="str">
        <f t="shared" si="0"/>
        <v>.....................................</v>
      </c>
      <c r="K79" s="838" t="str">
        <f t="shared" si="37"/>
        <v>Phạm Văn Trà</v>
      </c>
      <c r="L79" s="838" t="str">
        <f t="shared" si="36"/>
        <v>CBKT</v>
      </c>
      <c r="M79" s="838" t="str">
        <f t="shared" si="34"/>
        <v>.....................................</v>
      </c>
      <c r="N79" s="838" t="str">
        <f t="shared" si="34"/>
        <v>.....................................</v>
      </c>
      <c r="O79" s="838" t="str">
        <f t="shared" ref="O79:O88" si="39">$AD$26</f>
        <v>Đinh Mạnh Toàn</v>
      </c>
      <c r="P79" s="838" t="str">
        <f t="shared" ref="P79:P88" si="40">$AF$26</f>
        <v>CBKT</v>
      </c>
      <c r="Q79" s="860" t="str">
        <f t="shared" si="35"/>
        <v>Công ty TNHH đầu tư và phát triển KD Vượng Phát</v>
      </c>
      <c r="R79" s="838">
        <v>1</v>
      </c>
      <c r="S79" s="838">
        <v>2</v>
      </c>
      <c r="T79" s="838"/>
      <c r="U79" s="838"/>
      <c r="V79" s="861">
        <v>0.11805555555555557</v>
      </c>
      <c r="W79" s="861">
        <v>0.12152777777777778</v>
      </c>
      <c r="X79" s="838"/>
      <c r="Y79" s="838"/>
      <c r="Z79" s="838"/>
      <c r="AA79" s="838"/>
      <c r="AB79" s="838"/>
      <c r="AC79" s="833"/>
      <c r="AJ79">
        <f t="shared" si="29"/>
        <v>2</v>
      </c>
    </row>
    <row r="80" spans="1:36" ht="25.5">
      <c r="A80" s="838">
        <f>IF(B80="","",COUNTA($R$4:R80))</f>
        <v>77</v>
      </c>
      <c r="B80" s="838" t="s">
        <v>607</v>
      </c>
      <c r="C80" s="838" t="str">
        <f t="shared" si="13"/>
        <v>Nguyễn Văn Mạnh</v>
      </c>
      <c r="D80" s="838" t="str">
        <f t="shared" si="15"/>
        <v>Cán bộ BQLDA</v>
      </c>
      <c r="E80" s="838" t="str">
        <f t="shared" si="38"/>
        <v>.....................................</v>
      </c>
      <c r="F80" s="838" t="str">
        <f t="shared" si="38"/>
        <v>.....................................</v>
      </c>
      <c r="G80" s="838" t="str">
        <f>$AD$16</f>
        <v>Lê Minh Châu</v>
      </c>
      <c r="H80" s="838" t="str">
        <f>$AF$16</f>
        <v>Trưởng đoàn TVGS</v>
      </c>
      <c r="I80" s="838" t="str">
        <f t="shared" si="0"/>
        <v>.....................................</v>
      </c>
      <c r="J80" s="838" t="str">
        <f t="shared" si="0"/>
        <v>.....................................</v>
      </c>
      <c r="K80" s="838" t="str">
        <f t="shared" si="37"/>
        <v>Phạm Văn Trà</v>
      </c>
      <c r="L80" s="838" t="str">
        <f t="shared" si="36"/>
        <v>CBKT</v>
      </c>
      <c r="M80" s="838" t="str">
        <f t="shared" si="34"/>
        <v>.....................................</v>
      </c>
      <c r="N80" s="838" t="str">
        <f t="shared" si="34"/>
        <v>.....................................</v>
      </c>
      <c r="O80" s="838" t="str">
        <f t="shared" si="39"/>
        <v>Đinh Mạnh Toàn</v>
      </c>
      <c r="P80" s="838" t="str">
        <f t="shared" si="40"/>
        <v>CBKT</v>
      </c>
      <c r="Q80" s="860" t="str">
        <f t="shared" si="35"/>
        <v>Công ty TNHH đầu tư và phát triển KD Vượng Phát</v>
      </c>
      <c r="R80" s="838">
        <v>1</v>
      </c>
      <c r="S80" s="838">
        <v>2</v>
      </c>
      <c r="T80" s="838"/>
      <c r="U80" s="838"/>
      <c r="V80" s="861">
        <v>0.49305555555555558</v>
      </c>
      <c r="W80" s="861">
        <v>0.50347222222222221</v>
      </c>
      <c r="X80" s="838"/>
      <c r="Y80" s="838"/>
      <c r="Z80" s="838"/>
      <c r="AA80" s="838"/>
      <c r="AB80" s="838"/>
      <c r="AC80" s="833"/>
      <c r="AJ80">
        <f t="shared" si="29"/>
        <v>2</v>
      </c>
    </row>
    <row r="81" spans="1:36" ht="25.5">
      <c r="A81" s="838">
        <f>IF(B81="","",COUNTA($R$4:R81))</f>
        <v>78</v>
      </c>
      <c r="B81" s="838" t="s">
        <v>495</v>
      </c>
      <c r="C81" s="838" t="str">
        <f t="shared" si="13"/>
        <v>Nguyễn Văn Mạnh</v>
      </c>
      <c r="D81" s="838" t="str">
        <f t="shared" si="15"/>
        <v>Cán bộ BQLDA</v>
      </c>
      <c r="E81" s="838" t="str">
        <f t="shared" si="38"/>
        <v>.....................................</v>
      </c>
      <c r="F81" s="838" t="str">
        <f t="shared" si="38"/>
        <v>.....................................</v>
      </c>
      <c r="G81" s="838" t="str">
        <f>$AD$16</f>
        <v>Lê Minh Châu</v>
      </c>
      <c r="H81" s="838" t="str">
        <f>$AF$16</f>
        <v>Trưởng đoàn TVGS</v>
      </c>
      <c r="I81" s="838" t="str">
        <f t="shared" si="0"/>
        <v>.....................................</v>
      </c>
      <c r="J81" s="838" t="str">
        <f t="shared" si="0"/>
        <v>.....................................</v>
      </c>
      <c r="K81" s="838" t="str">
        <f>$AD$21</f>
        <v>Tạ Văn Tú</v>
      </c>
      <c r="L81" s="838" t="str">
        <f t="shared" si="36"/>
        <v>CBKT</v>
      </c>
      <c r="M81" s="838" t="str">
        <f t="shared" si="34"/>
        <v>.....................................</v>
      </c>
      <c r="N81" s="838" t="str">
        <f t="shared" si="34"/>
        <v>.....................................</v>
      </c>
      <c r="O81" s="838" t="str">
        <f t="shared" si="39"/>
        <v>Đinh Mạnh Toàn</v>
      </c>
      <c r="P81" s="838" t="str">
        <f t="shared" si="40"/>
        <v>CBKT</v>
      </c>
      <c r="Q81" s="860" t="str">
        <f t="shared" si="35"/>
        <v>Công ty TNHH đầu tư và phát triển KD Vượng Phát</v>
      </c>
      <c r="R81" s="838">
        <v>1</v>
      </c>
      <c r="S81" s="838">
        <v>2</v>
      </c>
      <c r="T81" s="838">
        <v>3</v>
      </c>
      <c r="U81" s="838"/>
      <c r="V81" s="861">
        <v>0.92013888888888884</v>
      </c>
      <c r="W81" s="861">
        <v>0.92708333333333337</v>
      </c>
      <c r="X81" s="861">
        <v>0.95138888888888884</v>
      </c>
      <c r="Y81" s="838"/>
      <c r="Z81" s="838"/>
      <c r="AA81" s="838"/>
      <c r="AB81" s="838"/>
      <c r="AC81" s="833"/>
      <c r="AJ81">
        <f t="shared" si="29"/>
        <v>3</v>
      </c>
    </row>
    <row r="82" spans="1:36" ht="25.5">
      <c r="A82" s="838">
        <f>IF(B82="","",COUNTA($R$4:R82))</f>
        <v>79</v>
      </c>
      <c r="B82" s="838" t="s">
        <v>496</v>
      </c>
      <c r="C82" s="838" t="str">
        <f t="shared" ref="C82:C109" si="41">$AD$27</f>
        <v xml:space="preserve">Vũ Đình Chiến </v>
      </c>
      <c r="D82" s="838" t="str">
        <f t="shared" ref="D82:D109" si="42">$AF$27</f>
        <v>Cán bộ BQLDA</v>
      </c>
      <c r="E82" s="838" t="str">
        <f t="shared" si="38"/>
        <v>.....................................</v>
      </c>
      <c r="F82" s="838" t="str">
        <f t="shared" si="38"/>
        <v>.....................................</v>
      </c>
      <c r="G82" s="838" t="str">
        <f>$AD$16</f>
        <v>Lê Minh Châu</v>
      </c>
      <c r="H82" s="838" t="str">
        <f>$AF$16</f>
        <v>Trưởng đoàn TVGS</v>
      </c>
      <c r="I82" s="838" t="str">
        <f t="shared" si="0"/>
        <v>.....................................</v>
      </c>
      <c r="J82" s="838" t="str">
        <f t="shared" si="0"/>
        <v>.....................................</v>
      </c>
      <c r="K82" s="838" t="str">
        <f t="shared" si="37"/>
        <v>Phạm Văn Trà</v>
      </c>
      <c r="L82" s="838" t="str">
        <f t="shared" si="36"/>
        <v>CBKT</v>
      </c>
      <c r="M82" s="838" t="str">
        <f t="shared" si="34"/>
        <v>.....................................</v>
      </c>
      <c r="N82" s="838" t="str">
        <f t="shared" si="34"/>
        <v>.....................................</v>
      </c>
      <c r="O82" s="838" t="str">
        <f t="shared" si="39"/>
        <v>Đinh Mạnh Toàn</v>
      </c>
      <c r="P82" s="838" t="str">
        <f t="shared" si="40"/>
        <v>CBKT</v>
      </c>
      <c r="Q82" s="860" t="str">
        <f t="shared" si="35"/>
        <v>Công ty TNHH đầu tư và phát triển KD Vượng Phát</v>
      </c>
      <c r="R82" s="838">
        <v>1</v>
      </c>
      <c r="S82" s="838">
        <v>2</v>
      </c>
      <c r="T82" s="838">
        <v>3</v>
      </c>
      <c r="U82" s="838"/>
      <c r="V82" s="861">
        <v>0.53472222222222221</v>
      </c>
      <c r="W82" s="861">
        <v>0.53819444444444442</v>
      </c>
      <c r="X82" s="861">
        <v>0.54513888888888895</v>
      </c>
      <c r="Y82" s="838"/>
      <c r="Z82" s="838"/>
      <c r="AA82" s="838"/>
      <c r="AB82" s="838"/>
      <c r="AC82" s="833"/>
      <c r="AJ82">
        <f t="shared" si="29"/>
        <v>3</v>
      </c>
    </row>
    <row r="83" spans="1:36" ht="25.5">
      <c r="A83" s="838">
        <f>IF(B83="","",COUNTA($R$4:R83))</f>
        <v>80</v>
      </c>
      <c r="B83" s="838" t="s">
        <v>515</v>
      </c>
      <c r="C83" s="838" t="str">
        <f t="shared" si="41"/>
        <v xml:space="preserve">Vũ Đình Chiến </v>
      </c>
      <c r="D83" s="838" t="str">
        <f t="shared" si="42"/>
        <v>Cán bộ BQLDA</v>
      </c>
      <c r="E83" s="838" t="str">
        <f t="shared" si="38"/>
        <v>.....................................</v>
      </c>
      <c r="F83" s="838" t="str">
        <f t="shared" si="38"/>
        <v>.....................................</v>
      </c>
      <c r="G83" s="838" t="str">
        <f t="shared" ref="G83:G104" si="43">$AD$25</f>
        <v>Đặng Văn Huấn</v>
      </c>
      <c r="H83" s="838" t="str">
        <f t="shared" ref="H83:H104" si="44">$AF$25</f>
        <v>Phó đoàn TVGS</v>
      </c>
      <c r="I83" s="838" t="str">
        <f t="shared" si="0"/>
        <v>.....................................</v>
      </c>
      <c r="J83" s="838" t="str">
        <f t="shared" si="0"/>
        <v>.....................................</v>
      </c>
      <c r="K83" s="838" t="str">
        <f t="shared" si="37"/>
        <v>Phạm Văn Trà</v>
      </c>
      <c r="L83" s="838" t="str">
        <f t="shared" si="36"/>
        <v>CBKT</v>
      </c>
      <c r="M83" s="838" t="str">
        <f t="shared" si="34"/>
        <v>.....................................</v>
      </c>
      <c r="N83" s="838" t="str">
        <f t="shared" si="34"/>
        <v>.....................................</v>
      </c>
      <c r="O83" s="838" t="str">
        <f t="shared" si="39"/>
        <v>Đinh Mạnh Toàn</v>
      </c>
      <c r="P83" s="838" t="str">
        <f t="shared" si="40"/>
        <v>CBKT</v>
      </c>
      <c r="Q83" s="860" t="str">
        <f t="shared" si="35"/>
        <v>Công ty TNHH đầu tư và phát triển KD Vượng Phát</v>
      </c>
      <c r="R83" s="838">
        <v>1</v>
      </c>
      <c r="S83" s="838">
        <v>2</v>
      </c>
      <c r="T83" s="838">
        <v>3</v>
      </c>
      <c r="U83" s="838"/>
      <c r="V83" s="861">
        <v>0.4826388888888889</v>
      </c>
      <c r="W83" s="861">
        <v>0.4861111111111111</v>
      </c>
      <c r="X83" s="861">
        <v>0.49652777777777773</v>
      </c>
      <c r="Y83" s="838"/>
      <c r="Z83" s="838"/>
      <c r="AA83" s="838"/>
      <c r="AB83" s="838"/>
      <c r="AC83" s="833"/>
      <c r="AJ83">
        <f t="shared" si="29"/>
        <v>3</v>
      </c>
    </row>
    <row r="84" spans="1:36" ht="25.5">
      <c r="A84" s="838">
        <f>IF(B84="","",COUNTA($R$4:R84))</f>
        <v>81</v>
      </c>
      <c r="B84" s="838" t="s">
        <v>612</v>
      </c>
      <c r="C84" s="838" t="str">
        <f t="shared" si="41"/>
        <v xml:space="preserve">Vũ Đình Chiến </v>
      </c>
      <c r="D84" s="838" t="str">
        <f t="shared" si="42"/>
        <v>Cán bộ BQLDA</v>
      </c>
      <c r="E84" s="838" t="str">
        <f t="shared" si="38"/>
        <v>.....................................</v>
      </c>
      <c r="F84" s="838" t="str">
        <f t="shared" si="38"/>
        <v>.....................................</v>
      </c>
      <c r="G84" s="838" t="str">
        <f t="shared" si="43"/>
        <v>Đặng Văn Huấn</v>
      </c>
      <c r="H84" s="838" t="str">
        <f t="shared" si="44"/>
        <v>Phó đoàn TVGS</v>
      </c>
      <c r="I84" s="838" t="str">
        <f t="shared" si="0"/>
        <v>.....................................</v>
      </c>
      <c r="J84" s="838" t="str">
        <f t="shared" si="0"/>
        <v>.....................................</v>
      </c>
      <c r="K84" s="838" t="str">
        <f t="shared" si="37"/>
        <v>Phạm Văn Trà</v>
      </c>
      <c r="L84" s="838" t="str">
        <f t="shared" si="36"/>
        <v>CBKT</v>
      </c>
      <c r="M84" s="838" t="str">
        <f t="shared" si="34"/>
        <v>.....................................</v>
      </c>
      <c r="N84" s="838" t="str">
        <f t="shared" si="34"/>
        <v>.....................................</v>
      </c>
      <c r="O84" s="838" t="str">
        <f t="shared" si="39"/>
        <v>Đinh Mạnh Toàn</v>
      </c>
      <c r="P84" s="838" t="str">
        <f t="shared" si="40"/>
        <v>CBKT</v>
      </c>
      <c r="Q84" s="860" t="str">
        <f t="shared" si="35"/>
        <v>Công ty TNHH đầu tư và phát triển KD Vượng Phát</v>
      </c>
      <c r="R84" s="838">
        <v>1</v>
      </c>
      <c r="S84" s="838">
        <v>2</v>
      </c>
      <c r="T84" s="838"/>
      <c r="U84" s="838"/>
      <c r="V84" s="861">
        <v>0.27777777777777779</v>
      </c>
      <c r="W84" s="861">
        <v>0.30902777777777779</v>
      </c>
      <c r="X84" s="838"/>
      <c r="Y84" s="838"/>
      <c r="Z84" s="838"/>
      <c r="AA84" s="838"/>
      <c r="AB84" s="838"/>
      <c r="AC84" s="833"/>
      <c r="AJ84">
        <f t="shared" si="29"/>
        <v>2</v>
      </c>
    </row>
    <row r="85" spans="1:36" ht="25.5">
      <c r="A85" s="838">
        <f>IF(B85="","",COUNTA($R$4:R85))</f>
        <v>82</v>
      </c>
      <c r="B85" s="838" t="s">
        <v>507</v>
      </c>
      <c r="C85" s="838" t="str">
        <f t="shared" si="41"/>
        <v xml:space="preserve">Vũ Đình Chiến </v>
      </c>
      <c r="D85" s="838" t="str">
        <f t="shared" si="42"/>
        <v>Cán bộ BQLDA</v>
      </c>
      <c r="E85" s="838" t="str">
        <f t="shared" si="38"/>
        <v>.....................................</v>
      </c>
      <c r="F85" s="838" t="str">
        <f t="shared" si="38"/>
        <v>.....................................</v>
      </c>
      <c r="G85" s="838" t="str">
        <f t="shared" si="43"/>
        <v>Đặng Văn Huấn</v>
      </c>
      <c r="H85" s="838" t="str">
        <f t="shared" si="44"/>
        <v>Phó đoàn TVGS</v>
      </c>
      <c r="I85" s="838" t="str">
        <f t="shared" si="0"/>
        <v>.....................................</v>
      </c>
      <c r="J85" s="838" t="str">
        <f t="shared" si="0"/>
        <v>.....................................</v>
      </c>
      <c r="K85" s="838" t="str">
        <f>$AD$19</f>
        <v>Đinh Văn Hưởng</v>
      </c>
      <c r="L85" s="838" t="str">
        <f>$AF$19</f>
        <v>CBKT</v>
      </c>
      <c r="M85" s="838" t="str">
        <f>$AD$6</f>
        <v>.....................................</v>
      </c>
      <c r="N85" s="838" t="str">
        <f>$AD$6</f>
        <v>.....................................</v>
      </c>
      <c r="O85" s="838" t="str">
        <f t="shared" si="39"/>
        <v>Đinh Mạnh Toàn</v>
      </c>
      <c r="P85" s="838" t="str">
        <f t="shared" si="40"/>
        <v>CBKT</v>
      </c>
      <c r="Q85" s="860" t="str">
        <f t="shared" si="35"/>
        <v>Công ty TNHH đầu tư và phát triển KD Vượng Phát</v>
      </c>
      <c r="R85" s="838">
        <v>1</v>
      </c>
      <c r="S85" s="838">
        <v>2</v>
      </c>
      <c r="T85" s="838">
        <v>3</v>
      </c>
      <c r="U85" s="838"/>
      <c r="V85" s="861">
        <v>0.12222222222222223</v>
      </c>
      <c r="W85" s="861">
        <v>0.12847222222222224</v>
      </c>
      <c r="X85" s="861">
        <v>0.15416666666666667</v>
      </c>
      <c r="Y85" s="838"/>
      <c r="Z85" s="838"/>
      <c r="AA85" s="838"/>
      <c r="AB85" s="838"/>
      <c r="AC85" s="833"/>
      <c r="AJ85">
        <f t="shared" si="29"/>
        <v>3</v>
      </c>
    </row>
    <row r="86" spans="1:36" ht="25.5">
      <c r="A86" s="838">
        <f>IF(B86="","",COUNTA($R$4:R86))</f>
        <v>83</v>
      </c>
      <c r="B86" s="838" t="s">
        <v>505</v>
      </c>
      <c r="C86" s="838" t="str">
        <f t="shared" si="41"/>
        <v xml:space="preserve">Vũ Đình Chiến </v>
      </c>
      <c r="D86" s="838" t="str">
        <f t="shared" si="42"/>
        <v>Cán bộ BQLDA</v>
      </c>
      <c r="E86" s="838" t="str">
        <f t="shared" si="38"/>
        <v>.....................................</v>
      </c>
      <c r="F86" s="838" t="str">
        <f t="shared" si="38"/>
        <v>.....................................</v>
      </c>
      <c r="G86" s="838" t="str">
        <f t="shared" si="43"/>
        <v>Đặng Văn Huấn</v>
      </c>
      <c r="H86" s="838" t="str">
        <f t="shared" si="44"/>
        <v>Phó đoàn TVGS</v>
      </c>
      <c r="I86" s="838" t="str">
        <f t="shared" si="0"/>
        <v>.....................................</v>
      </c>
      <c r="J86" s="838" t="str">
        <f t="shared" si="0"/>
        <v>.....................................</v>
      </c>
      <c r="K86" s="838" t="str">
        <f t="shared" si="37"/>
        <v>Phạm Văn Trà</v>
      </c>
      <c r="L86" s="838" t="str">
        <f t="shared" si="36"/>
        <v>CBKT</v>
      </c>
      <c r="M86" s="838" t="str">
        <f t="shared" si="34"/>
        <v>.....................................</v>
      </c>
      <c r="N86" s="838" t="str">
        <f t="shared" si="34"/>
        <v>.....................................</v>
      </c>
      <c r="O86" s="838" t="str">
        <f t="shared" si="39"/>
        <v>Đinh Mạnh Toàn</v>
      </c>
      <c r="P86" s="838" t="str">
        <f t="shared" si="40"/>
        <v>CBKT</v>
      </c>
      <c r="Q86" s="860" t="str">
        <f t="shared" si="35"/>
        <v>Công ty TNHH đầu tư và phát triển KD Vượng Phát</v>
      </c>
      <c r="R86" s="838">
        <v>1</v>
      </c>
      <c r="S86" s="838">
        <v>2</v>
      </c>
      <c r="T86" s="838">
        <v>3</v>
      </c>
      <c r="U86" s="838"/>
      <c r="V86" s="861">
        <v>0.58680555555555558</v>
      </c>
      <c r="W86" s="861">
        <v>0.59027777777777779</v>
      </c>
      <c r="X86" s="861">
        <v>0.59722222222222221</v>
      </c>
      <c r="Y86" s="838"/>
      <c r="Z86" s="838"/>
      <c r="AA86" s="838"/>
      <c r="AB86" s="838"/>
      <c r="AC86" s="833"/>
      <c r="AJ86">
        <f t="shared" si="29"/>
        <v>3</v>
      </c>
    </row>
    <row r="87" spans="1:36" ht="25.5">
      <c r="A87" s="838">
        <f>IF(B87="","",COUNTA($R$4:R87))</f>
        <v>84</v>
      </c>
      <c r="B87" s="838" t="s">
        <v>537</v>
      </c>
      <c r="C87" s="838" t="str">
        <f t="shared" si="41"/>
        <v xml:space="preserve">Vũ Đình Chiến </v>
      </c>
      <c r="D87" s="838" t="str">
        <f t="shared" si="42"/>
        <v>Cán bộ BQLDA</v>
      </c>
      <c r="E87" s="838" t="str">
        <f t="shared" si="38"/>
        <v>.....................................</v>
      </c>
      <c r="F87" s="838" t="str">
        <f t="shared" si="38"/>
        <v>.....................................</v>
      </c>
      <c r="G87" s="838" t="str">
        <f t="shared" si="43"/>
        <v>Đặng Văn Huấn</v>
      </c>
      <c r="H87" s="838" t="str">
        <f t="shared" si="44"/>
        <v>Phó đoàn TVGS</v>
      </c>
      <c r="I87" s="838" t="str">
        <f t="shared" si="0"/>
        <v>.....................................</v>
      </c>
      <c r="J87" s="838" t="str">
        <f t="shared" si="0"/>
        <v>.....................................</v>
      </c>
      <c r="K87" s="838" t="str">
        <f t="shared" si="37"/>
        <v>Phạm Văn Trà</v>
      </c>
      <c r="L87" s="838" t="str">
        <f t="shared" si="36"/>
        <v>CBKT</v>
      </c>
      <c r="M87" s="838" t="str">
        <f t="shared" si="34"/>
        <v>.....................................</v>
      </c>
      <c r="N87" s="838" t="str">
        <f t="shared" si="34"/>
        <v>.....................................</v>
      </c>
      <c r="O87" s="838" t="str">
        <f t="shared" si="39"/>
        <v>Đinh Mạnh Toàn</v>
      </c>
      <c r="P87" s="838" t="str">
        <f t="shared" si="40"/>
        <v>CBKT</v>
      </c>
      <c r="Q87" s="860" t="str">
        <f t="shared" si="35"/>
        <v>Công ty TNHH đầu tư và phát triển KD Vượng Phát</v>
      </c>
      <c r="R87" s="838">
        <v>1</v>
      </c>
      <c r="S87" s="838">
        <v>2</v>
      </c>
      <c r="T87" s="838"/>
      <c r="U87" s="838"/>
      <c r="V87" s="861">
        <v>0.86805555555555547</v>
      </c>
      <c r="W87" s="861">
        <v>0.87847222222222221</v>
      </c>
      <c r="X87" s="838"/>
      <c r="Y87" s="838"/>
      <c r="Z87" s="838"/>
      <c r="AA87" s="838"/>
      <c r="AB87" s="838"/>
      <c r="AC87" s="833"/>
      <c r="AJ87">
        <f t="shared" si="29"/>
        <v>2</v>
      </c>
    </row>
    <row r="88" spans="1:36" ht="25.5">
      <c r="A88" s="838">
        <f>IF(B88="","",COUNTA($R$4:R88))</f>
        <v>85</v>
      </c>
      <c r="B88" s="838" t="s">
        <v>670</v>
      </c>
      <c r="C88" s="838" t="str">
        <f t="shared" si="41"/>
        <v xml:space="preserve">Vũ Đình Chiến </v>
      </c>
      <c r="D88" s="838" t="str">
        <f t="shared" si="42"/>
        <v>Cán bộ BQLDA</v>
      </c>
      <c r="E88" s="838" t="str">
        <f t="shared" si="38"/>
        <v>.....................................</v>
      </c>
      <c r="F88" s="838" t="str">
        <f t="shared" si="38"/>
        <v>.....................................</v>
      </c>
      <c r="G88" s="838" t="str">
        <f t="shared" si="43"/>
        <v>Đặng Văn Huấn</v>
      </c>
      <c r="H88" s="838" t="str">
        <f t="shared" si="44"/>
        <v>Phó đoàn TVGS</v>
      </c>
      <c r="I88" s="838" t="str">
        <f t="shared" si="0"/>
        <v>.....................................</v>
      </c>
      <c r="J88" s="838" t="str">
        <f t="shared" si="0"/>
        <v>.....................................</v>
      </c>
      <c r="K88" s="838" t="str">
        <f t="shared" si="37"/>
        <v>Phạm Văn Trà</v>
      </c>
      <c r="L88" s="838" t="str">
        <f t="shared" si="36"/>
        <v>CBKT</v>
      </c>
      <c r="M88" s="838" t="str">
        <f t="shared" si="34"/>
        <v>.....................................</v>
      </c>
      <c r="N88" s="838" t="str">
        <f t="shared" si="34"/>
        <v>.....................................</v>
      </c>
      <c r="O88" s="838" t="str">
        <f t="shared" si="39"/>
        <v>Đinh Mạnh Toàn</v>
      </c>
      <c r="P88" s="838" t="str">
        <f t="shared" si="40"/>
        <v>CBKT</v>
      </c>
      <c r="Q88" s="860" t="str">
        <f t="shared" si="35"/>
        <v>Công ty TNHH đầu tư và phát triển KD Vượng Phát</v>
      </c>
      <c r="R88" s="838">
        <v>1</v>
      </c>
      <c r="S88" s="838">
        <v>2</v>
      </c>
      <c r="T88" s="838">
        <v>3</v>
      </c>
      <c r="U88" s="838"/>
      <c r="V88" s="861">
        <v>9.0277777777777776E-2</v>
      </c>
      <c r="W88" s="861">
        <v>9.7222222222222224E-2</v>
      </c>
      <c r="X88" s="861">
        <v>0.11458333333333333</v>
      </c>
      <c r="Y88" s="838"/>
      <c r="Z88" s="838"/>
      <c r="AA88" s="838"/>
      <c r="AB88" s="838"/>
      <c r="AC88" s="833"/>
      <c r="AJ88">
        <f t="shared" si="29"/>
        <v>3</v>
      </c>
    </row>
    <row r="89" spans="1:36" ht="25.5">
      <c r="A89" s="838">
        <f>IF(B89="","",COUNTA($R$4:R89))</f>
        <v>86</v>
      </c>
      <c r="B89" s="839" t="s">
        <v>617</v>
      </c>
      <c r="C89" s="838" t="str">
        <f t="shared" si="41"/>
        <v xml:space="preserve">Vũ Đình Chiến </v>
      </c>
      <c r="D89" s="838" t="str">
        <f t="shared" si="42"/>
        <v>Cán bộ BQLDA</v>
      </c>
      <c r="E89" s="838" t="str">
        <f t="shared" si="38"/>
        <v>.....................................</v>
      </c>
      <c r="F89" s="838" t="str">
        <f t="shared" si="38"/>
        <v>.....................................</v>
      </c>
      <c r="G89" s="838" t="str">
        <f t="shared" si="43"/>
        <v>Đặng Văn Huấn</v>
      </c>
      <c r="H89" s="838" t="str">
        <f t="shared" si="44"/>
        <v>Phó đoàn TVGS</v>
      </c>
      <c r="I89" s="838" t="str">
        <f t="shared" si="0"/>
        <v>.....................................</v>
      </c>
      <c r="J89" s="838" t="str">
        <f t="shared" si="0"/>
        <v>.....................................</v>
      </c>
      <c r="K89" s="838" t="str">
        <f>$AD$19</f>
        <v>Đinh Văn Hưởng</v>
      </c>
      <c r="L89" s="838" t="str">
        <f>$AF$19</f>
        <v>CBKT</v>
      </c>
      <c r="M89" s="838" t="str">
        <f>$AD$6</f>
        <v>.....................................</v>
      </c>
      <c r="N89" s="838" t="str">
        <f>$AD$6</f>
        <v>.....................................</v>
      </c>
      <c r="O89" s="838" t="str">
        <f>$AD$28</f>
        <v>Phạm Văn Vương</v>
      </c>
      <c r="P89" s="838" t="str">
        <f>$AF$28</f>
        <v>CBKT</v>
      </c>
      <c r="Q89" s="860" t="str">
        <f t="shared" si="35"/>
        <v>Công ty TNHH đầu tư và phát triển KD Vượng Phát</v>
      </c>
      <c r="R89" s="838">
        <v>1</v>
      </c>
      <c r="S89" s="838"/>
      <c r="T89" s="838"/>
      <c r="U89" s="838"/>
      <c r="V89" s="932">
        <v>0.59375</v>
      </c>
      <c r="W89" s="838"/>
      <c r="X89" s="838"/>
      <c r="Y89" s="838"/>
      <c r="Z89" s="838"/>
      <c r="AA89" s="838"/>
      <c r="AB89" s="838"/>
      <c r="AC89" s="833"/>
      <c r="AJ89">
        <f t="shared" si="29"/>
        <v>1</v>
      </c>
    </row>
    <row r="90" spans="1:36" ht="25.5">
      <c r="A90" s="838">
        <f>IF(B90="","",COUNTA($R$4:R90))</f>
        <v>87</v>
      </c>
      <c r="B90" s="839" t="s">
        <v>683</v>
      </c>
      <c r="C90" s="838" t="str">
        <f t="shared" si="41"/>
        <v xml:space="preserve">Vũ Đình Chiến </v>
      </c>
      <c r="D90" s="838" t="str">
        <f t="shared" si="42"/>
        <v>Cán bộ BQLDA</v>
      </c>
      <c r="E90" s="838" t="str">
        <f t="shared" si="38"/>
        <v>.....................................</v>
      </c>
      <c r="F90" s="838" t="str">
        <f t="shared" si="38"/>
        <v>.....................................</v>
      </c>
      <c r="G90" s="838" t="str">
        <f t="shared" si="43"/>
        <v>Đặng Văn Huấn</v>
      </c>
      <c r="H90" s="838" t="str">
        <f t="shared" si="44"/>
        <v>Phó đoàn TVGS</v>
      </c>
      <c r="I90" s="838" t="str">
        <f t="shared" si="0"/>
        <v>.....................................</v>
      </c>
      <c r="J90" s="838" t="str">
        <f t="shared" si="0"/>
        <v>.....................................</v>
      </c>
      <c r="K90" s="838" t="str">
        <f t="shared" si="37"/>
        <v>Phạm Văn Trà</v>
      </c>
      <c r="L90" s="838" t="str">
        <f t="shared" si="36"/>
        <v>CBKT</v>
      </c>
      <c r="M90" s="838" t="str">
        <f t="shared" si="34"/>
        <v>.....................................</v>
      </c>
      <c r="N90" s="838" t="str">
        <f t="shared" si="34"/>
        <v>.....................................</v>
      </c>
      <c r="O90" s="838" t="str">
        <f>$AD$26</f>
        <v>Đinh Mạnh Toàn</v>
      </c>
      <c r="P90" s="838" t="str">
        <f>$AF$26</f>
        <v>CBKT</v>
      </c>
      <c r="Q90" s="860" t="str">
        <f t="shared" si="35"/>
        <v>Công ty TNHH đầu tư và phát triển KD Vượng Phát</v>
      </c>
      <c r="R90" s="838">
        <v>1</v>
      </c>
      <c r="S90" s="838">
        <v>2</v>
      </c>
      <c r="T90" s="838">
        <v>3</v>
      </c>
      <c r="U90" s="838"/>
      <c r="V90" s="861">
        <v>0.1111111111111111</v>
      </c>
      <c r="W90" s="861">
        <v>0.11458333333333333</v>
      </c>
      <c r="X90" s="861">
        <v>0.125</v>
      </c>
      <c r="Y90" s="838"/>
      <c r="Z90" s="838"/>
      <c r="AA90" s="838"/>
      <c r="AB90" s="838"/>
      <c r="AC90" s="833"/>
      <c r="AJ90">
        <f t="shared" si="29"/>
        <v>3</v>
      </c>
    </row>
    <row r="91" spans="1:36" ht="25.5">
      <c r="A91" s="838">
        <f>IF(B91="","",COUNTA($R$4:R91))</f>
        <v>88</v>
      </c>
      <c r="B91" s="839" t="s">
        <v>1112</v>
      </c>
      <c r="C91" s="838" t="str">
        <f t="shared" si="41"/>
        <v xml:space="preserve">Vũ Đình Chiến </v>
      </c>
      <c r="D91" s="838" t="str">
        <f t="shared" si="42"/>
        <v>Cán bộ BQLDA</v>
      </c>
      <c r="E91" s="838" t="str">
        <f t="shared" si="38"/>
        <v>.....................................</v>
      </c>
      <c r="F91" s="838" t="str">
        <f t="shared" si="38"/>
        <v>.....................................</v>
      </c>
      <c r="G91" s="838" t="str">
        <f t="shared" si="43"/>
        <v>Đặng Văn Huấn</v>
      </c>
      <c r="H91" s="838" t="str">
        <f t="shared" si="44"/>
        <v>Phó đoàn TVGS</v>
      </c>
      <c r="I91" s="838" t="str">
        <f t="shared" si="0"/>
        <v>.....................................</v>
      </c>
      <c r="J91" s="838" t="str">
        <f t="shared" si="0"/>
        <v>.....................................</v>
      </c>
      <c r="K91" s="838" t="str">
        <f t="shared" si="37"/>
        <v>Phạm Văn Trà</v>
      </c>
      <c r="L91" s="838" t="str">
        <f t="shared" si="36"/>
        <v>CBKT</v>
      </c>
      <c r="M91" s="838" t="str">
        <f t="shared" si="34"/>
        <v>.....................................</v>
      </c>
      <c r="N91" s="838" t="str">
        <f t="shared" si="34"/>
        <v>.....................................</v>
      </c>
      <c r="O91" s="838" t="str">
        <f>$AD$26</f>
        <v>Đinh Mạnh Toàn</v>
      </c>
      <c r="P91" s="838" t="str">
        <f>$AF$26</f>
        <v>CBKT</v>
      </c>
      <c r="Q91" s="860" t="str">
        <f t="shared" si="35"/>
        <v>Công ty TNHH đầu tư và phát triển KD Vượng Phát</v>
      </c>
      <c r="R91" s="838">
        <v>1</v>
      </c>
      <c r="S91" s="838">
        <v>2</v>
      </c>
      <c r="T91" s="838">
        <v>3</v>
      </c>
      <c r="U91" s="838"/>
      <c r="V91" s="861">
        <v>0.86458333333333337</v>
      </c>
      <c r="W91" s="861">
        <v>0.86805555555555547</v>
      </c>
      <c r="X91" s="861">
        <v>0.875</v>
      </c>
      <c r="Y91" s="838"/>
      <c r="Z91" s="838"/>
      <c r="AA91" s="838"/>
      <c r="AB91" s="838"/>
      <c r="AC91" s="833"/>
      <c r="AJ91">
        <f t="shared" si="29"/>
        <v>3</v>
      </c>
    </row>
    <row r="92" spans="1:36" ht="25.5">
      <c r="A92" s="838">
        <f>IF(B92="","",COUNTA($R$4:R92))</f>
        <v>89</v>
      </c>
      <c r="B92" s="839" t="s">
        <v>682</v>
      </c>
      <c r="C92" s="838" t="str">
        <f t="shared" si="41"/>
        <v xml:space="preserve">Vũ Đình Chiến </v>
      </c>
      <c r="D92" s="838" t="str">
        <f t="shared" si="42"/>
        <v>Cán bộ BQLDA</v>
      </c>
      <c r="E92" s="838" t="str">
        <f t="shared" si="38"/>
        <v>.....................................</v>
      </c>
      <c r="F92" s="838" t="str">
        <f t="shared" si="38"/>
        <v>.....................................</v>
      </c>
      <c r="G92" s="838" t="str">
        <f t="shared" si="43"/>
        <v>Đặng Văn Huấn</v>
      </c>
      <c r="H92" s="838" t="str">
        <f t="shared" si="44"/>
        <v>Phó đoàn TVGS</v>
      </c>
      <c r="I92" s="838" t="str">
        <f t="shared" si="0"/>
        <v>.....................................</v>
      </c>
      <c r="J92" s="838" t="str">
        <f t="shared" si="0"/>
        <v>.....................................</v>
      </c>
      <c r="K92" s="838" t="str">
        <f>$AD$19</f>
        <v>Đinh Văn Hưởng</v>
      </c>
      <c r="L92" s="838" t="str">
        <f>$AF$19</f>
        <v>CBKT</v>
      </c>
      <c r="M92" s="838" t="str">
        <f>$AD$6</f>
        <v>.....................................</v>
      </c>
      <c r="N92" s="838" t="str">
        <f>$AD$6</f>
        <v>.....................................</v>
      </c>
      <c r="O92" s="838" t="str">
        <f>$AD$29</f>
        <v>Đặng Văn Trình</v>
      </c>
      <c r="P92" s="838" t="str">
        <f>$AF$29</f>
        <v>CBKT</v>
      </c>
      <c r="Q92" s="860" t="str">
        <f t="shared" si="35"/>
        <v>Công ty TNHH đầu tư và phát triển KD Vượng Phát</v>
      </c>
      <c r="R92" s="838">
        <v>1</v>
      </c>
      <c r="S92" s="838">
        <v>2</v>
      </c>
      <c r="T92" s="838">
        <v>3</v>
      </c>
      <c r="U92" s="838"/>
      <c r="V92" s="861">
        <v>0.59027777777777779</v>
      </c>
      <c r="W92" s="861">
        <v>0.59722222222222221</v>
      </c>
      <c r="X92" s="861">
        <v>0.60625000000000007</v>
      </c>
      <c r="Y92" s="838"/>
      <c r="Z92" s="838"/>
      <c r="AA92" s="838"/>
      <c r="AB92" s="838"/>
      <c r="AC92" s="833"/>
      <c r="AJ92">
        <f t="shared" si="29"/>
        <v>3</v>
      </c>
    </row>
    <row r="93" spans="1:36" ht="25.5">
      <c r="A93" s="838">
        <f>IF(B93="","",COUNTA($R$4:R93))</f>
        <v>90</v>
      </c>
      <c r="B93" s="839" t="s">
        <v>510</v>
      </c>
      <c r="C93" s="838" t="str">
        <f t="shared" si="41"/>
        <v xml:space="preserve">Vũ Đình Chiến </v>
      </c>
      <c r="D93" s="838" t="str">
        <f t="shared" si="42"/>
        <v>Cán bộ BQLDA</v>
      </c>
      <c r="E93" s="838" t="str">
        <f t="shared" si="38"/>
        <v>.....................................</v>
      </c>
      <c r="F93" s="838" t="str">
        <f t="shared" si="38"/>
        <v>.....................................</v>
      </c>
      <c r="G93" s="838" t="str">
        <f t="shared" si="43"/>
        <v>Đặng Văn Huấn</v>
      </c>
      <c r="H93" s="838" t="str">
        <f t="shared" si="44"/>
        <v>Phó đoàn TVGS</v>
      </c>
      <c r="I93" s="838" t="str">
        <f t="shared" si="0"/>
        <v>.....................................</v>
      </c>
      <c r="J93" s="838" t="str">
        <f t="shared" si="0"/>
        <v>.....................................</v>
      </c>
      <c r="K93" s="838" t="str">
        <f t="shared" si="37"/>
        <v>Phạm Văn Trà</v>
      </c>
      <c r="L93" s="838" t="str">
        <f t="shared" si="36"/>
        <v>CBKT</v>
      </c>
      <c r="M93" s="838" t="str">
        <f t="shared" si="34"/>
        <v>.....................................</v>
      </c>
      <c r="N93" s="838" t="str">
        <f t="shared" si="34"/>
        <v>.....................................</v>
      </c>
      <c r="O93" s="838" t="str">
        <f t="shared" ref="O93:O169" si="45">$AD$26</f>
        <v>Đinh Mạnh Toàn</v>
      </c>
      <c r="P93" s="838" t="str">
        <f t="shared" ref="P93:P169" si="46">$AF$26</f>
        <v>CBKT</v>
      </c>
      <c r="Q93" s="860" t="str">
        <f t="shared" si="35"/>
        <v>Công ty TNHH đầu tư và phát triển KD Vượng Phát</v>
      </c>
      <c r="R93" s="838">
        <v>1</v>
      </c>
      <c r="S93" s="838">
        <v>2</v>
      </c>
      <c r="T93" s="838">
        <v>3</v>
      </c>
      <c r="U93" s="838"/>
      <c r="V93" s="861">
        <v>0.77430555555555547</v>
      </c>
      <c r="W93" s="861">
        <v>0.78125</v>
      </c>
      <c r="X93" s="861">
        <v>0.79861111111111116</v>
      </c>
      <c r="Y93" s="838"/>
      <c r="Z93" s="838"/>
      <c r="AA93" s="838"/>
      <c r="AB93" s="838"/>
      <c r="AC93" s="833"/>
      <c r="AJ93">
        <f t="shared" si="29"/>
        <v>3</v>
      </c>
    </row>
    <row r="94" spans="1:36" ht="25.5">
      <c r="A94" s="838">
        <f>IF(B94="","",COUNTA($R$4:R94))</f>
        <v>91</v>
      </c>
      <c r="B94" s="839" t="s">
        <v>530</v>
      </c>
      <c r="C94" s="838" t="str">
        <f t="shared" si="41"/>
        <v xml:space="preserve">Vũ Đình Chiến </v>
      </c>
      <c r="D94" s="838" t="str">
        <f t="shared" si="42"/>
        <v>Cán bộ BQLDA</v>
      </c>
      <c r="E94" s="838" t="str">
        <f t="shared" si="38"/>
        <v>.....................................</v>
      </c>
      <c r="F94" s="838" t="str">
        <f t="shared" si="38"/>
        <v>.....................................</v>
      </c>
      <c r="G94" s="838" t="str">
        <f t="shared" si="43"/>
        <v>Đặng Văn Huấn</v>
      </c>
      <c r="H94" s="838" t="str">
        <f t="shared" si="44"/>
        <v>Phó đoàn TVGS</v>
      </c>
      <c r="I94" s="838" t="str">
        <f t="shared" si="0"/>
        <v>.....................................</v>
      </c>
      <c r="J94" s="838" t="str">
        <f t="shared" si="0"/>
        <v>.....................................</v>
      </c>
      <c r="K94" s="838" t="str">
        <f t="shared" si="37"/>
        <v>Phạm Văn Trà</v>
      </c>
      <c r="L94" s="838" t="str">
        <f t="shared" si="36"/>
        <v>CBKT</v>
      </c>
      <c r="M94" s="838" t="str">
        <f t="shared" si="34"/>
        <v>.....................................</v>
      </c>
      <c r="N94" s="838" t="str">
        <f t="shared" si="34"/>
        <v>.....................................</v>
      </c>
      <c r="O94" s="838" t="str">
        <f t="shared" si="45"/>
        <v>Đinh Mạnh Toàn</v>
      </c>
      <c r="P94" s="838" t="str">
        <f t="shared" si="46"/>
        <v>CBKT</v>
      </c>
      <c r="Q94" s="860" t="str">
        <f t="shared" si="35"/>
        <v>Công ty TNHH đầu tư và phát triển KD Vượng Phát</v>
      </c>
      <c r="R94" s="838">
        <v>1</v>
      </c>
      <c r="S94" s="838">
        <v>2</v>
      </c>
      <c r="T94" s="838"/>
      <c r="U94" s="838"/>
      <c r="V94" s="861">
        <v>4.8611111111111112E-2</v>
      </c>
      <c r="W94" s="861">
        <v>5.5555555555555552E-2</v>
      </c>
      <c r="X94" s="838"/>
      <c r="Y94" s="838"/>
      <c r="Z94" s="838"/>
      <c r="AA94" s="838"/>
      <c r="AB94" s="838"/>
      <c r="AC94" s="833"/>
      <c r="AJ94">
        <f t="shared" si="29"/>
        <v>2</v>
      </c>
    </row>
    <row r="95" spans="1:36" ht="25.5">
      <c r="A95" s="838">
        <f>IF(B95="","",COUNTA($R$4:R95))</f>
        <v>92</v>
      </c>
      <c r="B95" s="839" t="s">
        <v>512</v>
      </c>
      <c r="C95" s="838" t="str">
        <f t="shared" si="41"/>
        <v xml:space="preserve">Vũ Đình Chiến </v>
      </c>
      <c r="D95" s="838" t="str">
        <f t="shared" si="42"/>
        <v>Cán bộ BQLDA</v>
      </c>
      <c r="E95" s="838" t="str">
        <f t="shared" si="38"/>
        <v>.....................................</v>
      </c>
      <c r="F95" s="838" t="str">
        <f t="shared" si="38"/>
        <v>.....................................</v>
      </c>
      <c r="G95" s="838" t="str">
        <f t="shared" si="43"/>
        <v>Đặng Văn Huấn</v>
      </c>
      <c r="H95" s="838" t="str">
        <f t="shared" si="44"/>
        <v>Phó đoàn TVGS</v>
      </c>
      <c r="I95" s="838" t="str">
        <f t="shared" si="0"/>
        <v>.....................................</v>
      </c>
      <c r="J95" s="838" t="str">
        <f t="shared" si="0"/>
        <v>.....................................</v>
      </c>
      <c r="K95" s="838" t="str">
        <f t="shared" si="37"/>
        <v>Phạm Văn Trà</v>
      </c>
      <c r="L95" s="838" t="str">
        <f t="shared" si="36"/>
        <v>CBKT</v>
      </c>
      <c r="M95" s="838" t="str">
        <f t="shared" si="34"/>
        <v>.....................................</v>
      </c>
      <c r="N95" s="838" t="str">
        <f t="shared" si="34"/>
        <v>.....................................</v>
      </c>
      <c r="O95" s="838" t="str">
        <f t="shared" si="45"/>
        <v>Đinh Mạnh Toàn</v>
      </c>
      <c r="P95" s="838" t="str">
        <f t="shared" si="46"/>
        <v>CBKT</v>
      </c>
      <c r="Q95" s="860" t="str">
        <f t="shared" si="35"/>
        <v>Công ty TNHH đầu tư và phát triển KD Vượng Phát</v>
      </c>
      <c r="R95" s="838">
        <v>1</v>
      </c>
      <c r="S95" s="838">
        <v>2</v>
      </c>
      <c r="T95" s="838">
        <v>3</v>
      </c>
      <c r="U95" s="838"/>
      <c r="V95" s="861">
        <v>0.92708333333333337</v>
      </c>
      <c r="W95" s="861">
        <v>0.93402777777777779</v>
      </c>
      <c r="X95" s="861">
        <v>0.94444444444444453</v>
      </c>
      <c r="Y95" s="838"/>
      <c r="Z95" s="838"/>
      <c r="AA95" s="838"/>
      <c r="AB95" s="838"/>
      <c r="AC95" s="833"/>
      <c r="AJ95">
        <f t="shared" si="29"/>
        <v>3</v>
      </c>
    </row>
    <row r="96" spans="1:36" ht="25.5">
      <c r="A96" s="838">
        <f>IF(B96="","",COUNTA($R$4:R96))</f>
        <v>93</v>
      </c>
      <c r="B96" s="839" t="s">
        <v>665</v>
      </c>
      <c r="C96" s="838" t="str">
        <f t="shared" si="41"/>
        <v xml:space="preserve">Vũ Đình Chiến </v>
      </c>
      <c r="D96" s="838" t="str">
        <f t="shared" si="42"/>
        <v>Cán bộ BQLDA</v>
      </c>
      <c r="E96" s="838" t="str">
        <f t="shared" si="38"/>
        <v>.....................................</v>
      </c>
      <c r="F96" s="838" t="str">
        <f t="shared" si="38"/>
        <v>.....................................</v>
      </c>
      <c r="G96" s="838" t="str">
        <f t="shared" si="43"/>
        <v>Đặng Văn Huấn</v>
      </c>
      <c r="H96" s="838" t="str">
        <f t="shared" si="44"/>
        <v>Phó đoàn TVGS</v>
      </c>
      <c r="I96" s="838" t="str">
        <f t="shared" si="0"/>
        <v>.....................................</v>
      </c>
      <c r="J96" s="838" t="str">
        <f t="shared" si="0"/>
        <v>.....................................</v>
      </c>
      <c r="K96" s="838" t="str">
        <f t="shared" si="37"/>
        <v>Phạm Văn Trà</v>
      </c>
      <c r="L96" s="838" t="str">
        <f t="shared" si="36"/>
        <v>CBKT</v>
      </c>
      <c r="M96" s="838" t="str">
        <f t="shared" si="34"/>
        <v>.....................................</v>
      </c>
      <c r="N96" s="838" t="str">
        <f t="shared" si="34"/>
        <v>.....................................</v>
      </c>
      <c r="O96" s="838" t="str">
        <f t="shared" si="45"/>
        <v>Đinh Mạnh Toàn</v>
      </c>
      <c r="P96" s="838" t="str">
        <f t="shared" si="46"/>
        <v>CBKT</v>
      </c>
      <c r="Q96" s="860" t="str">
        <f t="shared" si="35"/>
        <v>Công ty TNHH đầu tư và phát triển KD Vượng Phát</v>
      </c>
      <c r="R96" s="838">
        <v>1</v>
      </c>
      <c r="S96" s="838">
        <v>2</v>
      </c>
      <c r="T96" s="838">
        <v>3</v>
      </c>
      <c r="U96" s="838"/>
      <c r="V96" s="861">
        <v>0.15972222222222224</v>
      </c>
      <c r="W96" s="861">
        <v>0.16666666666666666</v>
      </c>
      <c r="X96" s="861">
        <v>0.17361111111111113</v>
      </c>
      <c r="Y96" s="838"/>
      <c r="Z96" s="838"/>
      <c r="AA96" s="838"/>
      <c r="AB96" s="838"/>
      <c r="AC96" s="833"/>
      <c r="AJ96">
        <f t="shared" si="29"/>
        <v>3</v>
      </c>
    </row>
    <row r="97" spans="1:36" ht="25.5">
      <c r="A97" s="838">
        <f>IF(B97="","",COUNTA($R$4:R97))</f>
        <v>94</v>
      </c>
      <c r="B97" s="839" t="s">
        <v>554</v>
      </c>
      <c r="C97" s="838" t="str">
        <f t="shared" si="41"/>
        <v xml:space="preserve">Vũ Đình Chiến </v>
      </c>
      <c r="D97" s="838" t="str">
        <f t="shared" si="42"/>
        <v>Cán bộ BQLDA</v>
      </c>
      <c r="E97" s="838" t="str">
        <f t="shared" si="38"/>
        <v>.....................................</v>
      </c>
      <c r="F97" s="838" t="str">
        <f t="shared" si="38"/>
        <v>.....................................</v>
      </c>
      <c r="G97" s="838" t="str">
        <f t="shared" si="43"/>
        <v>Đặng Văn Huấn</v>
      </c>
      <c r="H97" s="838" t="str">
        <f t="shared" si="44"/>
        <v>Phó đoàn TVGS</v>
      </c>
      <c r="I97" s="838" t="str">
        <f t="shared" si="0"/>
        <v>.....................................</v>
      </c>
      <c r="J97" s="838" t="str">
        <f t="shared" si="0"/>
        <v>.....................................</v>
      </c>
      <c r="K97" s="838" t="str">
        <f t="shared" si="37"/>
        <v>Phạm Văn Trà</v>
      </c>
      <c r="L97" s="838" t="str">
        <f t="shared" si="36"/>
        <v>CBKT</v>
      </c>
      <c r="M97" s="838" t="str">
        <f t="shared" si="34"/>
        <v>.....................................</v>
      </c>
      <c r="N97" s="838" t="str">
        <f t="shared" si="34"/>
        <v>.....................................</v>
      </c>
      <c r="O97" s="838" t="str">
        <f t="shared" si="45"/>
        <v>Đinh Mạnh Toàn</v>
      </c>
      <c r="P97" s="838" t="str">
        <f t="shared" si="46"/>
        <v>CBKT</v>
      </c>
      <c r="Q97" s="860" t="str">
        <f t="shared" si="35"/>
        <v>Công ty TNHH đầu tư và phát triển KD Vượng Phát</v>
      </c>
      <c r="R97" s="838">
        <v>1</v>
      </c>
      <c r="S97" s="838">
        <v>2</v>
      </c>
      <c r="T97" s="838"/>
      <c r="U97" s="838"/>
      <c r="V97" s="861">
        <v>5.2083333333333336E-2</v>
      </c>
      <c r="W97" s="861">
        <v>5.9027777777777783E-2</v>
      </c>
      <c r="X97" s="838"/>
      <c r="Y97" s="838"/>
      <c r="Z97" s="838"/>
      <c r="AA97" s="838"/>
      <c r="AB97" s="838"/>
      <c r="AC97" s="833"/>
      <c r="AJ97">
        <f t="shared" si="29"/>
        <v>2</v>
      </c>
    </row>
    <row r="98" spans="1:36" ht="25.5">
      <c r="A98" s="838">
        <f>IF(B98="","",COUNTA($R$4:R98))</f>
        <v>95</v>
      </c>
      <c r="B98" s="839" t="s">
        <v>534</v>
      </c>
      <c r="C98" s="838" t="str">
        <f t="shared" si="41"/>
        <v xml:space="preserve">Vũ Đình Chiến </v>
      </c>
      <c r="D98" s="838" t="str">
        <f t="shared" si="42"/>
        <v>Cán bộ BQLDA</v>
      </c>
      <c r="E98" s="838" t="str">
        <f t="shared" si="38"/>
        <v>.....................................</v>
      </c>
      <c r="F98" s="838" t="str">
        <f t="shared" si="38"/>
        <v>.....................................</v>
      </c>
      <c r="G98" s="838" t="str">
        <f>$AD$16</f>
        <v>Lê Minh Châu</v>
      </c>
      <c r="H98" s="838" t="str">
        <f>$AF$16</f>
        <v>Trưởng đoàn TVGS</v>
      </c>
      <c r="I98" s="838" t="str">
        <f t="shared" si="0"/>
        <v>.....................................</v>
      </c>
      <c r="J98" s="838" t="str">
        <f t="shared" si="0"/>
        <v>.....................................</v>
      </c>
      <c r="K98" s="838" t="str">
        <f>$AD$19</f>
        <v>Đinh Văn Hưởng</v>
      </c>
      <c r="L98" s="838" t="str">
        <f>$AF$19</f>
        <v>CBKT</v>
      </c>
      <c r="M98" s="838" t="str">
        <f>$AD$6</f>
        <v>.....................................</v>
      </c>
      <c r="N98" s="838" t="str">
        <f>$AD$6</f>
        <v>.....................................</v>
      </c>
      <c r="O98" s="838" t="str">
        <f t="shared" si="45"/>
        <v>Đinh Mạnh Toàn</v>
      </c>
      <c r="P98" s="838" t="str">
        <f t="shared" si="46"/>
        <v>CBKT</v>
      </c>
      <c r="Q98" s="860" t="str">
        <f t="shared" si="35"/>
        <v>Công ty TNHH đầu tư và phát triển KD Vượng Phát</v>
      </c>
      <c r="R98" s="838">
        <v>1</v>
      </c>
      <c r="S98" s="838">
        <v>2</v>
      </c>
      <c r="T98" s="838">
        <v>3</v>
      </c>
      <c r="U98" s="838"/>
      <c r="V98" s="861">
        <v>0.59375</v>
      </c>
      <c r="W98" s="861">
        <v>0.60763888888888895</v>
      </c>
      <c r="X98" s="861">
        <v>0.625</v>
      </c>
      <c r="Y98" s="838"/>
      <c r="Z98" s="838"/>
      <c r="AA98" s="838"/>
      <c r="AB98" s="838"/>
      <c r="AC98" s="833"/>
      <c r="AJ98">
        <f t="shared" si="29"/>
        <v>3</v>
      </c>
    </row>
    <row r="99" spans="1:36" ht="25.5">
      <c r="A99" s="838">
        <f>IF(B99="","",COUNTA($R$4:R99))</f>
        <v>96</v>
      </c>
      <c r="B99" s="838" t="s">
        <v>497</v>
      </c>
      <c r="C99" s="838" t="str">
        <f t="shared" si="41"/>
        <v xml:space="preserve">Vũ Đình Chiến </v>
      </c>
      <c r="D99" s="838" t="str">
        <f t="shared" si="42"/>
        <v>Cán bộ BQLDA</v>
      </c>
      <c r="E99" s="838" t="str">
        <f t="shared" ref="E99:F109" si="47">$AD$6</f>
        <v>.....................................</v>
      </c>
      <c r="F99" s="838" t="str">
        <f t="shared" si="47"/>
        <v>.....................................</v>
      </c>
      <c r="G99" s="838" t="str">
        <f t="shared" si="43"/>
        <v>Đặng Văn Huấn</v>
      </c>
      <c r="H99" s="838" t="str">
        <f t="shared" si="44"/>
        <v>Phó đoàn TVGS</v>
      </c>
      <c r="I99" s="838" t="str">
        <f t="shared" si="0"/>
        <v>.....................................</v>
      </c>
      <c r="J99" s="838" t="str">
        <f t="shared" si="0"/>
        <v>.....................................</v>
      </c>
      <c r="K99" s="838" t="str">
        <f t="shared" si="37"/>
        <v>Phạm Văn Trà</v>
      </c>
      <c r="L99" s="838" t="str">
        <f t="shared" si="36"/>
        <v>CBKT</v>
      </c>
      <c r="M99" s="838" t="str">
        <f t="shared" si="34"/>
        <v>.....................................</v>
      </c>
      <c r="N99" s="838" t="str">
        <f t="shared" si="34"/>
        <v>.....................................</v>
      </c>
      <c r="O99" s="838" t="str">
        <f t="shared" si="45"/>
        <v>Đinh Mạnh Toàn</v>
      </c>
      <c r="P99" s="838" t="str">
        <f t="shared" si="46"/>
        <v>CBKT</v>
      </c>
      <c r="Q99" s="860" t="str">
        <f t="shared" si="35"/>
        <v>Công ty TNHH đầu tư và phát triển KD Vượng Phát</v>
      </c>
      <c r="R99" s="838">
        <v>1</v>
      </c>
      <c r="S99" s="838">
        <v>2</v>
      </c>
      <c r="T99" s="838">
        <v>3</v>
      </c>
      <c r="U99" s="838"/>
      <c r="V99" s="861">
        <v>0.96875</v>
      </c>
      <c r="W99" s="861">
        <v>0.97569444444444453</v>
      </c>
      <c r="X99" s="861">
        <v>0.98611111111111116</v>
      </c>
      <c r="Y99" s="838"/>
      <c r="Z99" s="838"/>
      <c r="AA99" s="838"/>
      <c r="AB99" s="838"/>
      <c r="AC99" s="833"/>
      <c r="AJ99">
        <f t="shared" si="29"/>
        <v>3</v>
      </c>
    </row>
    <row r="100" spans="1:36" ht="25.5">
      <c r="A100" s="838">
        <f>IF(B100="","",COUNTA($R$4:R100))</f>
        <v>97</v>
      </c>
      <c r="B100" s="838" t="s">
        <v>599</v>
      </c>
      <c r="C100" s="838" t="str">
        <f t="shared" si="41"/>
        <v xml:space="preserve">Vũ Đình Chiến </v>
      </c>
      <c r="D100" s="838" t="str">
        <f t="shared" si="42"/>
        <v>Cán bộ BQLDA</v>
      </c>
      <c r="E100" s="838" t="str">
        <f t="shared" si="47"/>
        <v>.....................................</v>
      </c>
      <c r="F100" s="838" t="str">
        <f t="shared" si="47"/>
        <v>.....................................</v>
      </c>
      <c r="G100" s="838" t="str">
        <f t="shared" si="43"/>
        <v>Đặng Văn Huấn</v>
      </c>
      <c r="H100" s="838" t="str">
        <f t="shared" si="44"/>
        <v>Phó đoàn TVGS</v>
      </c>
      <c r="I100" s="838" t="str">
        <f t="shared" si="0"/>
        <v>.....................................</v>
      </c>
      <c r="J100" s="838" t="str">
        <f t="shared" si="0"/>
        <v>.....................................</v>
      </c>
      <c r="K100" s="838" t="str">
        <f t="shared" si="37"/>
        <v>Phạm Văn Trà</v>
      </c>
      <c r="L100" s="838" t="str">
        <f t="shared" si="36"/>
        <v>CBKT</v>
      </c>
      <c r="M100" s="838" t="str">
        <f t="shared" si="34"/>
        <v>.....................................</v>
      </c>
      <c r="N100" s="838" t="str">
        <f t="shared" si="34"/>
        <v>.....................................</v>
      </c>
      <c r="O100" s="838" t="str">
        <f t="shared" si="45"/>
        <v>Đinh Mạnh Toàn</v>
      </c>
      <c r="P100" s="838" t="str">
        <f t="shared" si="46"/>
        <v>CBKT</v>
      </c>
      <c r="Q100" s="860" t="str">
        <f t="shared" si="35"/>
        <v>Công ty TNHH đầu tư và phát triển KD Vượng Phát</v>
      </c>
      <c r="R100" s="838">
        <v>1</v>
      </c>
      <c r="S100" s="838">
        <v>2</v>
      </c>
      <c r="T100" s="838">
        <v>3</v>
      </c>
      <c r="U100" s="838"/>
      <c r="V100" s="861">
        <v>0.81597222222222221</v>
      </c>
      <c r="W100" s="861">
        <v>0.82638888888888884</v>
      </c>
      <c r="X100" s="861">
        <v>0.83333333333333337</v>
      </c>
      <c r="Y100" s="838"/>
      <c r="Z100" s="838"/>
      <c r="AA100" s="838"/>
      <c r="AB100" s="838"/>
      <c r="AC100" s="833"/>
      <c r="AJ100">
        <f t="shared" si="29"/>
        <v>3</v>
      </c>
    </row>
    <row r="101" spans="1:36" ht="25.5">
      <c r="A101" s="838">
        <f>IF(B101="","",COUNTA($R$4:R101))</f>
        <v>98</v>
      </c>
      <c r="B101" s="839" t="s">
        <v>539</v>
      </c>
      <c r="C101" s="838" t="str">
        <f t="shared" si="41"/>
        <v xml:space="preserve">Vũ Đình Chiến </v>
      </c>
      <c r="D101" s="838" t="str">
        <f t="shared" si="42"/>
        <v>Cán bộ BQLDA</v>
      </c>
      <c r="E101" s="838" t="str">
        <f t="shared" si="47"/>
        <v>.....................................</v>
      </c>
      <c r="F101" s="838" t="str">
        <f t="shared" si="47"/>
        <v>.....................................</v>
      </c>
      <c r="G101" s="838" t="str">
        <f t="shared" si="43"/>
        <v>Đặng Văn Huấn</v>
      </c>
      <c r="H101" s="838" t="str">
        <f t="shared" si="44"/>
        <v>Phó đoàn TVGS</v>
      </c>
      <c r="I101" s="838" t="str">
        <f t="shared" si="0"/>
        <v>.....................................</v>
      </c>
      <c r="J101" s="838" t="str">
        <f t="shared" si="0"/>
        <v>.....................................</v>
      </c>
      <c r="K101" s="838" t="str">
        <f t="shared" si="37"/>
        <v>Phạm Văn Trà</v>
      </c>
      <c r="L101" s="838" t="str">
        <f t="shared" si="36"/>
        <v>CBKT</v>
      </c>
      <c r="M101" s="838" t="str">
        <f t="shared" si="34"/>
        <v>.....................................</v>
      </c>
      <c r="N101" s="838" t="str">
        <f t="shared" si="34"/>
        <v>.....................................</v>
      </c>
      <c r="O101" s="838" t="str">
        <f t="shared" si="45"/>
        <v>Đinh Mạnh Toàn</v>
      </c>
      <c r="P101" s="838" t="str">
        <f t="shared" si="46"/>
        <v>CBKT</v>
      </c>
      <c r="Q101" s="860" t="str">
        <f t="shared" si="35"/>
        <v>Công ty TNHH đầu tư và phát triển KD Vượng Phát</v>
      </c>
      <c r="R101" s="838">
        <v>1</v>
      </c>
      <c r="S101" s="838">
        <v>2</v>
      </c>
      <c r="T101" s="838">
        <v>3</v>
      </c>
      <c r="U101" s="838"/>
      <c r="V101" s="861">
        <v>1.0416666666666666E-2</v>
      </c>
      <c r="W101" s="861">
        <v>1.7361111111111112E-2</v>
      </c>
      <c r="X101" s="861">
        <v>2.7777777777777776E-2</v>
      </c>
      <c r="Y101" s="838"/>
      <c r="Z101" s="838"/>
      <c r="AA101" s="838"/>
      <c r="AB101" s="838"/>
      <c r="AC101" s="833"/>
      <c r="AJ101">
        <f t="shared" si="29"/>
        <v>3</v>
      </c>
    </row>
    <row r="102" spans="1:36" ht="25.5">
      <c r="A102" s="838">
        <f>IF(B102="","",COUNTA($R$4:R102))</f>
        <v>99</v>
      </c>
      <c r="B102" s="839" t="s">
        <v>549</v>
      </c>
      <c r="C102" s="838" t="str">
        <f t="shared" si="41"/>
        <v xml:space="preserve">Vũ Đình Chiến </v>
      </c>
      <c r="D102" s="838" t="str">
        <f t="shared" si="42"/>
        <v>Cán bộ BQLDA</v>
      </c>
      <c r="E102" s="838" t="str">
        <f t="shared" si="47"/>
        <v>.....................................</v>
      </c>
      <c r="F102" s="838" t="str">
        <f t="shared" si="47"/>
        <v>.....................................</v>
      </c>
      <c r="G102" s="838" t="str">
        <f t="shared" si="43"/>
        <v>Đặng Văn Huấn</v>
      </c>
      <c r="H102" s="838" t="str">
        <f t="shared" si="44"/>
        <v>Phó đoàn TVGS</v>
      </c>
      <c r="I102" s="838" t="str">
        <f t="shared" si="0"/>
        <v>.....................................</v>
      </c>
      <c r="J102" s="838" t="str">
        <f t="shared" si="0"/>
        <v>.....................................</v>
      </c>
      <c r="K102" s="838" t="str">
        <f t="shared" si="37"/>
        <v>Phạm Văn Trà</v>
      </c>
      <c r="L102" s="838" t="str">
        <f t="shared" si="36"/>
        <v>CBKT</v>
      </c>
      <c r="M102" s="838" t="str">
        <f t="shared" si="34"/>
        <v>.....................................</v>
      </c>
      <c r="N102" s="838" t="str">
        <f t="shared" si="34"/>
        <v>.....................................</v>
      </c>
      <c r="O102" s="838" t="str">
        <f t="shared" si="45"/>
        <v>Đinh Mạnh Toàn</v>
      </c>
      <c r="P102" s="838" t="str">
        <f t="shared" si="46"/>
        <v>CBKT</v>
      </c>
      <c r="Q102" s="860" t="str">
        <f t="shared" si="35"/>
        <v>Công ty TNHH đầu tư và phát triển KD Vượng Phát</v>
      </c>
      <c r="R102" s="838">
        <v>1</v>
      </c>
      <c r="S102" s="838">
        <v>2</v>
      </c>
      <c r="T102" s="838">
        <v>3</v>
      </c>
      <c r="U102" s="838"/>
      <c r="V102" s="861">
        <v>0.10069444444444443</v>
      </c>
      <c r="W102" s="861">
        <v>0.1076388888888889</v>
      </c>
      <c r="X102" s="861">
        <v>0.11805555555555557</v>
      </c>
      <c r="Y102" s="838"/>
      <c r="Z102" s="838"/>
      <c r="AA102" s="838"/>
      <c r="AB102" s="838"/>
      <c r="AC102" s="833"/>
      <c r="AJ102">
        <f t="shared" si="29"/>
        <v>3</v>
      </c>
    </row>
    <row r="103" spans="1:36" ht="25.5">
      <c r="A103" s="838">
        <f>IF(B103="","",COUNTA($R$4:R103))</f>
        <v>100</v>
      </c>
      <c r="B103" s="838" t="s">
        <v>502</v>
      </c>
      <c r="C103" s="838" t="str">
        <f t="shared" si="41"/>
        <v xml:space="preserve">Vũ Đình Chiến </v>
      </c>
      <c r="D103" s="838" t="str">
        <f t="shared" si="42"/>
        <v>Cán bộ BQLDA</v>
      </c>
      <c r="E103" s="838" t="str">
        <f t="shared" si="47"/>
        <v>.....................................</v>
      </c>
      <c r="F103" s="838" t="str">
        <f t="shared" si="47"/>
        <v>.....................................</v>
      </c>
      <c r="G103" s="838" t="str">
        <f t="shared" si="43"/>
        <v>Đặng Văn Huấn</v>
      </c>
      <c r="H103" s="838" t="str">
        <f t="shared" si="44"/>
        <v>Phó đoàn TVGS</v>
      </c>
      <c r="I103" s="838" t="str">
        <f t="shared" si="0"/>
        <v>.....................................</v>
      </c>
      <c r="J103" s="838" t="str">
        <f t="shared" si="0"/>
        <v>.....................................</v>
      </c>
      <c r="K103" s="838" t="str">
        <f>$AD$20</f>
        <v>Nguyễn Duy Long</v>
      </c>
      <c r="L103" s="838" t="str">
        <f>$AF$20</f>
        <v>CBKT</v>
      </c>
      <c r="M103" s="838" t="str">
        <f t="shared" si="34"/>
        <v>.....................................</v>
      </c>
      <c r="N103" s="838" t="str">
        <f t="shared" si="34"/>
        <v>.....................................</v>
      </c>
      <c r="O103" s="838" t="str">
        <f t="shared" si="45"/>
        <v>Đinh Mạnh Toàn</v>
      </c>
      <c r="P103" s="838" t="str">
        <f t="shared" si="46"/>
        <v>CBKT</v>
      </c>
      <c r="Q103" s="860" t="str">
        <f t="shared" si="35"/>
        <v>Công ty TNHH đầu tư và phát triển KD Vượng Phát</v>
      </c>
      <c r="R103" s="838">
        <v>1</v>
      </c>
      <c r="S103" s="838">
        <v>2</v>
      </c>
      <c r="T103" s="838">
        <v>3</v>
      </c>
      <c r="U103" s="838"/>
      <c r="V103" s="861">
        <v>0.43055555555555558</v>
      </c>
      <c r="W103" s="861">
        <v>0.4375</v>
      </c>
      <c r="X103" s="861">
        <v>0.4513888888888889</v>
      </c>
      <c r="Y103" s="838"/>
      <c r="Z103" s="838"/>
      <c r="AA103" s="838"/>
      <c r="AB103" s="838"/>
      <c r="AC103" s="833"/>
      <c r="AJ103">
        <f t="shared" si="29"/>
        <v>3</v>
      </c>
    </row>
    <row r="104" spans="1:36" ht="25.5">
      <c r="A104" s="838">
        <f>IF(B104="","",COUNTA($R$4:R104))</f>
        <v>101</v>
      </c>
      <c r="B104" s="838" t="s">
        <v>538</v>
      </c>
      <c r="C104" s="838" t="str">
        <f t="shared" si="41"/>
        <v xml:space="preserve">Vũ Đình Chiến </v>
      </c>
      <c r="D104" s="838" t="str">
        <f t="shared" si="42"/>
        <v>Cán bộ BQLDA</v>
      </c>
      <c r="E104" s="838" t="str">
        <f t="shared" si="47"/>
        <v>.....................................</v>
      </c>
      <c r="F104" s="838" t="str">
        <f t="shared" si="47"/>
        <v>.....................................</v>
      </c>
      <c r="G104" s="838" t="str">
        <f t="shared" si="43"/>
        <v>Đặng Văn Huấn</v>
      </c>
      <c r="H104" s="838" t="str">
        <f t="shared" si="44"/>
        <v>Phó đoàn TVGS</v>
      </c>
      <c r="I104" s="838" t="str">
        <f t="shared" si="0"/>
        <v>.....................................</v>
      </c>
      <c r="J104" s="838" t="str">
        <f t="shared" si="0"/>
        <v>.....................................</v>
      </c>
      <c r="K104" s="838" t="str">
        <f t="shared" si="37"/>
        <v>Phạm Văn Trà</v>
      </c>
      <c r="L104" s="838" t="str">
        <f t="shared" si="36"/>
        <v>CBKT</v>
      </c>
      <c r="M104" s="838" t="str">
        <f t="shared" si="34"/>
        <v>.....................................</v>
      </c>
      <c r="N104" s="838" t="str">
        <f t="shared" si="34"/>
        <v>.....................................</v>
      </c>
      <c r="O104" s="838" t="str">
        <f t="shared" si="45"/>
        <v>Đinh Mạnh Toàn</v>
      </c>
      <c r="P104" s="838" t="str">
        <f t="shared" si="46"/>
        <v>CBKT</v>
      </c>
      <c r="Q104" s="860" t="str">
        <f t="shared" si="35"/>
        <v>Công ty TNHH đầu tư và phát triển KD Vượng Phát</v>
      </c>
      <c r="R104" s="838">
        <v>1</v>
      </c>
      <c r="S104" s="838">
        <v>2</v>
      </c>
      <c r="T104" s="838"/>
      <c r="U104" s="838"/>
      <c r="V104" s="861">
        <v>0.69097222222222221</v>
      </c>
      <c r="W104" s="861">
        <v>0.70138888888888884</v>
      </c>
      <c r="X104" s="838"/>
      <c r="Y104" s="838"/>
      <c r="Z104" s="838"/>
      <c r="AA104" s="838"/>
      <c r="AB104" s="838"/>
      <c r="AC104" s="833"/>
      <c r="AJ104">
        <f t="shared" si="29"/>
        <v>2</v>
      </c>
    </row>
    <row r="105" spans="1:36" ht="25.5">
      <c r="A105" s="838">
        <f>IF(B105="","",COUNTA($R$4:R105))</f>
        <v>102</v>
      </c>
      <c r="B105" s="838" t="s">
        <v>544</v>
      </c>
      <c r="C105" s="838" t="str">
        <f t="shared" si="41"/>
        <v xml:space="preserve">Vũ Đình Chiến </v>
      </c>
      <c r="D105" s="838" t="str">
        <f t="shared" si="42"/>
        <v>Cán bộ BQLDA</v>
      </c>
      <c r="E105" s="838" t="str">
        <f t="shared" si="47"/>
        <v>.....................................</v>
      </c>
      <c r="F105" s="838" t="str">
        <f t="shared" si="47"/>
        <v>.....................................</v>
      </c>
      <c r="G105" s="838" t="str">
        <f>$AD$16</f>
        <v>Lê Minh Châu</v>
      </c>
      <c r="H105" s="838" t="str">
        <f>$AF$16</f>
        <v>Trưởng đoàn TVGS</v>
      </c>
      <c r="I105" s="838" t="str">
        <f t="shared" si="0"/>
        <v>.....................................</v>
      </c>
      <c r="J105" s="838" t="str">
        <f t="shared" si="0"/>
        <v>.....................................</v>
      </c>
      <c r="K105" s="838" t="str">
        <f>$AD$19</f>
        <v>Đinh Văn Hưởng</v>
      </c>
      <c r="L105" s="838" t="str">
        <f>$AF$19</f>
        <v>CBKT</v>
      </c>
      <c r="M105" s="838" t="str">
        <f t="shared" ref="M105:N109" si="48">$AD$6</f>
        <v>.....................................</v>
      </c>
      <c r="N105" s="838" t="str">
        <f t="shared" si="48"/>
        <v>.....................................</v>
      </c>
      <c r="O105" s="838" t="str">
        <f t="shared" si="45"/>
        <v>Đinh Mạnh Toàn</v>
      </c>
      <c r="P105" s="838" t="str">
        <f t="shared" si="46"/>
        <v>CBKT</v>
      </c>
      <c r="Q105" s="860" t="str">
        <f t="shared" si="35"/>
        <v>Công ty TNHH đầu tư và phát triển KD Vượng Phát</v>
      </c>
      <c r="R105" s="838">
        <v>1</v>
      </c>
      <c r="S105" s="838">
        <v>2</v>
      </c>
      <c r="T105" s="838"/>
      <c r="U105" s="838"/>
      <c r="V105" s="861">
        <v>0.76041666666666663</v>
      </c>
      <c r="W105" s="861">
        <v>0.76736111111111116</v>
      </c>
      <c r="X105" s="838"/>
      <c r="Y105" s="838"/>
      <c r="Z105" s="838"/>
      <c r="AA105" s="838"/>
      <c r="AB105" s="838"/>
      <c r="AC105" s="833"/>
      <c r="AJ105">
        <f t="shared" si="29"/>
        <v>2</v>
      </c>
    </row>
    <row r="106" spans="1:36" ht="25.5">
      <c r="A106" s="838">
        <f>IF(B106="","",COUNTA($R$4:R106))</f>
        <v>103</v>
      </c>
      <c r="B106" s="838" t="s">
        <v>543</v>
      </c>
      <c r="C106" s="838" t="str">
        <f t="shared" si="41"/>
        <v xml:space="preserve">Vũ Đình Chiến </v>
      </c>
      <c r="D106" s="838" t="str">
        <f t="shared" si="42"/>
        <v>Cán bộ BQLDA</v>
      </c>
      <c r="E106" s="838" t="str">
        <f t="shared" si="47"/>
        <v>.....................................</v>
      </c>
      <c r="F106" s="838" t="str">
        <f t="shared" si="47"/>
        <v>.....................................</v>
      </c>
      <c r="G106" s="838" t="str">
        <f>$AD$16</f>
        <v>Lê Minh Châu</v>
      </c>
      <c r="H106" s="838" t="str">
        <f>$AF$16</f>
        <v>Trưởng đoàn TVGS</v>
      </c>
      <c r="I106" s="838" t="str">
        <f t="shared" si="0"/>
        <v>.....................................</v>
      </c>
      <c r="J106" s="838" t="str">
        <f t="shared" si="0"/>
        <v>.....................................</v>
      </c>
      <c r="K106" s="838" t="str">
        <f>$AD$19</f>
        <v>Đinh Văn Hưởng</v>
      </c>
      <c r="L106" s="838" t="str">
        <f>$AF$19</f>
        <v>CBKT</v>
      </c>
      <c r="M106" s="838" t="str">
        <f t="shared" si="48"/>
        <v>.....................................</v>
      </c>
      <c r="N106" s="838" t="str">
        <f t="shared" si="48"/>
        <v>.....................................</v>
      </c>
      <c r="O106" s="838" t="str">
        <f t="shared" si="45"/>
        <v>Đinh Mạnh Toàn</v>
      </c>
      <c r="P106" s="838" t="str">
        <f t="shared" si="46"/>
        <v>CBKT</v>
      </c>
      <c r="Q106" s="860" t="str">
        <f t="shared" si="35"/>
        <v>Công ty TNHH đầu tư và phát triển KD Vượng Phát</v>
      </c>
      <c r="R106" s="838">
        <v>1</v>
      </c>
      <c r="S106" s="838">
        <v>2</v>
      </c>
      <c r="T106" s="838">
        <v>3</v>
      </c>
      <c r="U106" s="838"/>
      <c r="V106" s="861">
        <v>9.5138888888888884E-2</v>
      </c>
      <c r="W106" s="861">
        <v>0.10625</v>
      </c>
      <c r="X106" s="861">
        <v>0.11458333333333333</v>
      </c>
      <c r="Y106" s="838"/>
      <c r="Z106" s="838"/>
      <c r="AA106" s="838"/>
      <c r="AB106" s="838"/>
      <c r="AC106" s="833"/>
      <c r="AJ106">
        <f t="shared" si="29"/>
        <v>3</v>
      </c>
    </row>
    <row r="107" spans="1:36" ht="25.5">
      <c r="A107" s="838">
        <f>IF(B107="","",COUNTA($R$4:R107))</f>
        <v>104</v>
      </c>
      <c r="B107" s="838" t="s">
        <v>501</v>
      </c>
      <c r="C107" s="838" t="str">
        <f t="shared" si="41"/>
        <v xml:space="preserve">Vũ Đình Chiến </v>
      </c>
      <c r="D107" s="838" t="str">
        <f t="shared" si="42"/>
        <v>Cán bộ BQLDA</v>
      </c>
      <c r="E107" s="838" t="str">
        <f t="shared" si="47"/>
        <v>.....................................</v>
      </c>
      <c r="F107" s="838" t="str">
        <f t="shared" si="47"/>
        <v>.....................................</v>
      </c>
      <c r="G107" s="838" t="str">
        <f>$AD$16</f>
        <v>Lê Minh Châu</v>
      </c>
      <c r="H107" s="838" t="str">
        <f>$AF$16</f>
        <v>Trưởng đoàn TVGS</v>
      </c>
      <c r="I107" s="838" t="str">
        <f t="shared" si="0"/>
        <v>.....................................</v>
      </c>
      <c r="J107" s="838" t="str">
        <f t="shared" si="0"/>
        <v>.....................................</v>
      </c>
      <c r="K107" s="838" t="str">
        <f>$AD$19</f>
        <v>Đinh Văn Hưởng</v>
      </c>
      <c r="L107" s="838" t="str">
        <f>$AF$19</f>
        <v>CBKT</v>
      </c>
      <c r="M107" s="838" t="str">
        <f t="shared" si="48"/>
        <v>.....................................</v>
      </c>
      <c r="N107" s="838" t="str">
        <f t="shared" si="48"/>
        <v>.....................................</v>
      </c>
      <c r="O107" s="838" t="str">
        <f t="shared" si="45"/>
        <v>Đinh Mạnh Toàn</v>
      </c>
      <c r="P107" s="838" t="str">
        <f t="shared" si="46"/>
        <v>CBKT</v>
      </c>
      <c r="Q107" s="860" t="str">
        <f t="shared" si="35"/>
        <v>Công ty TNHH đầu tư và phát triển KD Vượng Phát</v>
      </c>
      <c r="R107" s="838">
        <v>1</v>
      </c>
      <c r="S107" s="838">
        <v>2</v>
      </c>
      <c r="T107" s="838"/>
      <c r="U107" s="838"/>
      <c r="V107" s="861">
        <v>0.16874999999999998</v>
      </c>
      <c r="W107" s="861">
        <v>0.17777777777777778</v>
      </c>
      <c r="X107" s="838"/>
      <c r="Y107" s="838"/>
      <c r="Z107" s="838"/>
      <c r="AA107" s="838"/>
      <c r="AB107" s="838"/>
      <c r="AC107" s="833"/>
      <c r="AJ107">
        <f t="shared" si="29"/>
        <v>2</v>
      </c>
    </row>
    <row r="108" spans="1:36" ht="25.5">
      <c r="A108" s="838">
        <f>IF(B108="","",COUNTA($R$4:R108))</f>
        <v>105</v>
      </c>
      <c r="B108" s="838" t="s">
        <v>643</v>
      </c>
      <c r="C108" s="838" t="str">
        <f t="shared" si="41"/>
        <v xml:space="preserve">Vũ Đình Chiến </v>
      </c>
      <c r="D108" s="838" t="str">
        <f t="shared" si="42"/>
        <v>Cán bộ BQLDA</v>
      </c>
      <c r="E108" s="838" t="str">
        <f t="shared" si="47"/>
        <v>.....................................</v>
      </c>
      <c r="F108" s="838" t="str">
        <f t="shared" si="47"/>
        <v>.....................................</v>
      </c>
      <c r="G108" s="838" t="str">
        <f>$AD$16</f>
        <v>Lê Minh Châu</v>
      </c>
      <c r="H108" s="838" t="str">
        <f>$AF$16</f>
        <v>Trưởng đoàn TVGS</v>
      </c>
      <c r="I108" s="838" t="str">
        <f>$AD$30</f>
        <v>Lê Minh Ngọc</v>
      </c>
      <c r="J108" s="838" t="str">
        <f>$AF$30</f>
        <v>TVGS</v>
      </c>
      <c r="K108" s="838" t="str">
        <f>$AD$19</f>
        <v>Đinh Văn Hưởng</v>
      </c>
      <c r="L108" s="838" t="str">
        <f>$AF$19</f>
        <v>CBKT</v>
      </c>
      <c r="M108" s="838" t="str">
        <f t="shared" si="48"/>
        <v>.....................................</v>
      </c>
      <c r="N108" s="838" t="str">
        <f t="shared" si="48"/>
        <v>.....................................</v>
      </c>
      <c r="O108" s="838" t="str">
        <f t="shared" si="45"/>
        <v>Đinh Mạnh Toàn</v>
      </c>
      <c r="P108" s="838" t="str">
        <f t="shared" si="46"/>
        <v>CBKT</v>
      </c>
      <c r="Q108" s="860" t="str">
        <f t="shared" si="35"/>
        <v>Công ty TNHH đầu tư và phát triển KD Vượng Phát</v>
      </c>
      <c r="R108" s="838">
        <v>1</v>
      </c>
      <c r="S108" s="838">
        <v>2</v>
      </c>
      <c r="T108" s="838"/>
      <c r="U108" s="838"/>
      <c r="V108" s="861">
        <v>0.125</v>
      </c>
      <c r="W108" s="861">
        <v>0.13541666666666666</v>
      </c>
      <c r="X108" s="838"/>
      <c r="Y108" s="838"/>
      <c r="Z108" s="838"/>
      <c r="AA108" s="838"/>
      <c r="AB108" s="838"/>
      <c r="AC108" s="833"/>
      <c r="AJ108">
        <f t="shared" si="29"/>
        <v>2</v>
      </c>
    </row>
    <row r="109" spans="1:36" ht="25.5">
      <c r="A109" s="838">
        <f>IF(B109="","",COUNTA($R$4:R109))</f>
        <v>106</v>
      </c>
      <c r="B109" s="838" t="s">
        <v>492</v>
      </c>
      <c r="C109" s="838" t="str">
        <f t="shared" si="41"/>
        <v xml:space="preserve">Vũ Đình Chiến </v>
      </c>
      <c r="D109" s="838" t="str">
        <f t="shared" si="42"/>
        <v>Cán bộ BQLDA</v>
      </c>
      <c r="E109" s="838" t="str">
        <f t="shared" si="47"/>
        <v>.....................................</v>
      </c>
      <c r="F109" s="838" t="str">
        <f t="shared" si="47"/>
        <v>.....................................</v>
      </c>
      <c r="G109" s="838" t="str">
        <f t="shared" ref="G109:H113" si="49">$AD$6</f>
        <v>.....................................</v>
      </c>
      <c r="H109" s="838" t="str">
        <f t="shared" si="49"/>
        <v>.....................................</v>
      </c>
      <c r="I109" s="838" t="str">
        <f>$AD$30</f>
        <v>Lê Minh Ngọc</v>
      </c>
      <c r="J109" s="838" t="str">
        <f>$AF$30</f>
        <v>TVGS</v>
      </c>
      <c r="K109" s="838" t="str">
        <f>$AD$19</f>
        <v>Đinh Văn Hưởng</v>
      </c>
      <c r="L109" s="838" t="str">
        <f>$AF$19</f>
        <v>CBKT</v>
      </c>
      <c r="M109" s="838" t="str">
        <f t="shared" si="48"/>
        <v>.....................................</v>
      </c>
      <c r="N109" s="838" t="str">
        <f t="shared" si="48"/>
        <v>.....................................</v>
      </c>
      <c r="O109" s="838" t="str">
        <f t="shared" si="45"/>
        <v>Đinh Mạnh Toàn</v>
      </c>
      <c r="P109" s="838" t="str">
        <f t="shared" si="46"/>
        <v>CBKT</v>
      </c>
      <c r="Q109" s="860" t="str">
        <f t="shared" si="35"/>
        <v>Công ty TNHH đầu tư và phát triển KD Vượng Phát</v>
      </c>
      <c r="R109" s="838">
        <v>1</v>
      </c>
      <c r="S109" s="838">
        <v>2</v>
      </c>
      <c r="T109" s="838">
        <v>3</v>
      </c>
      <c r="U109" s="838"/>
      <c r="V109" s="861">
        <v>6.5972222222222224E-2</v>
      </c>
      <c r="W109" s="861">
        <v>7.2916666666666671E-2</v>
      </c>
      <c r="X109" s="861">
        <v>8.3333333333333329E-2</v>
      </c>
      <c r="Y109" s="838"/>
      <c r="Z109" s="838"/>
      <c r="AA109" s="838"/>
      <c r="AB109" s="838"/>
      <c r="AC109" s="833"/>
      <c r="AJ109">
        <f t="shared" si="29"/>
        <v>3</v>
      </c>
    </row>
    <row r="110" spans="1:36" ht="25.5">
      <c r="A110" s="838">
        <f>IF(B110="","",COUNTA($R$4:R110))</f>
        <v>107</v>
      </c>
      <c r="B110" s="838" t="s">
        <v>661</v>
      </c>
      <c r="C110" s="838" t="str">
        <f>$AD$6</f>
        <v>.....................................</v>
      </c>
      <c r="D110" s="838" t="str">
        <f>$AD$6</f>
        <v>.....................................</v>
      </c>
      <c r="E110" s="838" t="str">
        <f>$AD$27</f>
        <v xml:space="preserve">Vũ Đình Chiến </v>
      </c>
      <c r="F110" s="838" t="str">
        <f>$AF$27</f>
        <v>Cán bộ BQLDA</v>
      </c>
      <c r="G110" s="838" t="str">
        <f t="shared" si="49"/>
        <v>.....................................</v>
      </c>
      <c r="H110" s="838" t="str">
        <f t="shared" si="49"/>
        <v>.....................................</v>
      </c>
      <c r="I110" s="838" t="str">
        <f>$AD$30</f>
        <v>Lê Minh Ngọc</v>
      </c>
      <c r="J110" s="838" t="str">
        <f>$AF$30</f>
        <v>TVGS</v>
      </c>
      <c r="K110" s="838" t="str">
        <f>$AD$6</f>
        <v>.....................................</v>
      </c>
      <c r="L110" s="838" t="str">
        <f>$AD$6</f>
        <v>.....................................</v>
      </c>
      <c r="M110" s="838" t="str">
        <f>$AD$19</f>
        <v>Đinh Văn Hưởng</v>
      </c>
      <c r="N110" s="838" t="str">
        <f>$AF$19</f>
        <v>CBKT</v>
      </c>
      <c r="O110" s="838" t="str">
        <f t="shared" si="45"/>
        <v>Đinh Mạnh Toàn</v>
      </c>
      <c r="P110" s="838" t="str">
        <f t="shared" si="46"/>
        <v>CBKT</v>
      </c>
      <c r="Q110" s="860" t="str">
        <f t="shared" si="35"/>
        <v>Công ty TNHH đầu tư và phát triển KD Vượng Phát</v>
      </c>
      <c r="R110" s="838">
        <v>1</v>
      </c>
      <c r="S110" s="838">
        <v>2</v>
      </c>
      <c r="T110" s="838">
        <v>3</v>
      </c>
      <c r="U110" s="838"/>
      <c r="V110" s="861">
        <v>0.16458333333333333</v>
      </c>
      <c r="W110" s="861">
        <v>0.17083333333333331</v>
      </c>
      <c r="X110" s="861">
        <v>0.22222222222222221</v>
      </c>
      <c r="Y110" s="838"/>
      <c r="Z110" s="838"/>
      <c r="AA110" s="838"/>
      <c r="AB110" s="838"/>
      <c r="AC110" s="833"/>
      <c r="AJ110">
        <f t="shared" si="29"/>
        <v>3</v>
      </c>
    </row>
    <row r="111" spans="1:36" ht="25.5">
      <c r="A111" s="838">
        <f>IF(B111="","",COUNTA($R$4:R111))</f>
        <v>108</v>
      </c>
      <c r="B111" s="838" t="s">
        <v>589</v>
      </c>
      <c r="C111" s="838" t="str">
        <f>$AD$6</f>
        <v>.....................................</v>
      </c>
      <c r="D111" s="838" t="str">
        <f>$AD$6</f>
        <v>.....................................</v>
      </c>
      <c r="E111" s="838" t="str">
        <f>$AD$27</f>
        <v xml:space="preserve">Vũ Đình Chiến </v>
      </c>
      <c r="F111" s="838" t="str">
        <f>$AF$27</f>
        <v>Cán bộ BQLDA</v>
      </c>
      <c r="G111" s="838" t="str">
        <f t="shared" si="49"/>
        <v>.....................................</v>
      </c>
      <c r="H111" s="838" t="str">
        <f t="shared" si="49"/>
        <v>.....................................</v>
      </c>
      <c r="I111" s="838" t="str">
        <f>$AD$30</f>
        <v>Lê Minh Ngọc</v>
      </c>
      <c r="J111" s="838" t="str">
        <f>$AF$30</f>
        <v>TVGS</v>
      </c>
      <c r="K111" s="838" t="str">
        <f>$AD$6</f>
        <v>.....................................</v>
      </c>
      <c r="L111" s="838" t="str">
        <f>$AD$6</f>
        <v>.....................................</v>
      </c>
      <c r="M111" s="838" t="str">
        <f>$AD$20</f>
        <v>Nguyễn Duy Long</v>
      </c>
      <c r="N111" s="838" t="str">
        <f>$AF$20</f>
        <v>CBKT</v>
      </c>
      <c r="O111" s="838" t="str">
        <f t="shared" si="45"/>
        <v>Đinh Mạnh Toàn</v>
      </c>
      <c r="P111" s="838" t="str">
        <f t="shared" si="46"/>
        <v>CBKT</v>
      </c>
      <c r="Q111" s="860" t="str">
        <f t="shared" si="35"/>
        <v>Công ty TNHH đầu tư và phát triển KD Vượng Phát</v>
      </c>
      <c r="R111" s="838">
        <v>1</v>
      </c>
      <c r="S111" s="838">
        <v>2</v>
      </c>
      <c r="T111" s="838">
        <v>3</v>
      </c>
      <c r="U111" s="838"/>
      <c r="V111" s="861">
        <v>0.26458333333333334</v>
      </c>
      <c r="W111" s="861">
        <v>0.2673611111111111</v>
      </c>
      <c r="X111" s="861">
        <v>0.27083333333333331</v>
      </c>
      <c r="Y111" s="838"/>
      <c r="Z111" s="838"/>
      <c r="AA111" s="838"/>
      <c r="AB111" s="838"/>
      <c r="AC111" s="833"/>
      <c r="AJ111">
        <f t="shared" si="29"/>
        <v>3</v>
      </c>
    </row>
    <row r="112" spans="1:36" ht="25.5">
      <c r="A112" s="838">
        <f>IF(B112="","",COUNTA($R$4:R112))</f>
        <v>109</v>
      </c>
      <c r="B112" s="838" t="s">
        <v>464</v>
      </c>
      <c r="C112" s="838" t="str">
        <f>$AD$27</f>
        <v xml:space="preserve">Vũ Đình Chiến </v>
      </c>
      <c r="D112" s="838" t="str">
        <f>$AF$27</f>
        <v>Cán bộ BQLDA</v>
      </c>
      <c r="E112" s="838" t="str">
        <f>$AD$6</f>
        <v>.....................................</v>
      </c>
      <c r="F112" s="838" t="str">
        <f>$AD$6</f>
        <v>.....................................</v>
      </c>
      <c r="G112" s="838" t="str">
        <f>$AD$25</f>
        <v>Đặng Văn Huấn</v>
      </c>
      <c r="H112" s="838" t="str">
        <f>$AF$25</f>
        <v>Phó đoàn TVGS</v>
      </c>
      <c r="I112" s="838" t="str">
        <f>$AD$6</f>
        <v>.....................................</v>
      </c>
      <c r="J112" s="838" t="str">
        <f>$AD$6</f>
        <v>.....................................</v>
      </c>
      <c r="K112" s="838" t="str">
        <f>$AD$18</f>
        <v>Phạm Văn Trà</v>
      </c>
      <c r="L112" s="838" t="str">
        <f>$AF$21</f>
        <v>CBKT</v>
      </c>
      <c r="M112" s="838" t="str">
        <f>$AD$6</f>
        <v>.....................................</v>
      </c>
      <c r="N112" s="838" t="str">
        <f>$AD$6</f>
        <v>.....................................</v>
      </c>
      <c r="O112" s="838" t="str">
        <f t="shared" si="45"/>
        <v>Đinh Mạnh Toàn</v>
      </c>
      <c r="P112" s="838" t="str">
        <f t="shared" si="46"/>
        <v>CBKT</v>
      </c>
      <c r="Q112" s="860" t="str">
        <f t="shared" si="35"/>
        <v>Công ty TNHH đầu tư và phát triển KD Vượng Phát</v>
      </c>
      <c r="R112" s="838">
        <v>1</v>
      </c>
      <c r="S112" s="838">
        <v>2</v>
      </c>
      <c r="T112" s="838"/>
      <c r="U112" s="838"/>
      <c r="V112" s="861">
        <v>0.55902777777777779</v>
      </c>
      <c r="W112" s="861">
        <v>0.56597222222222221</v>
      </c>
      <c r="X112" s="838"/>
      <c r="Y112" s="838"/>
      <c r="Z112" s="838"/>
      <c r="AA112" s="838"/>
      <c r="AB112" s="838"/>
      <c r="AC112" s="833"/>
      <c r="AJ112">
        <f t="shared" si="29"/>
        <v>2</v>
      </c>
    </row>
    <row r="113" spans="1:36" ht="25.5">
      <c r="A113" s="838">
        <f>IF(B113="","",COUNTA($R$4:R113))</f>
        <v>110</v>
      </c>
      <c r="B113" s="838" t="s">
        <v>548</v>
      </c>
      <c r="C113" s="838" t="str">
        <f>$AD$6</f>
        <v>.....................................</v>
      </c>
      <c r="D113" s="838" t="str">
        <f>$AD$6</f>
        <v>.....................................</v>
      </c>
      <c r="E113" s="838" t="str">
        <f>$AD$27</f>
        <v xml:space="preserve">Vũ Đình Chiến </v>
      </c>
      <c r="F113" s="838" t="str">
        <f>$AF$27</f>
        <v>Cán bộ BQLDA</v>
      </c>
      <c r="G113" s="838" t="str">
        <f t="shared" si="49"/>
        <v>.....................................</v>
      </c>
      <c r="H113" s="838" t="str">
        <f t="shared" si="49"/>
        <v>.....................................</v>
      </c>
      <c r="I113" s="838" t="str">
        <f>$AD$30</f>
        <v>Lê Minh Ngọc</v>
      </c>
      <c r="J113" s="838" t="str">
        <f>$AF$30</f>
        <v>TVGS</v>
      </c>
      <c r="K113" s="838" t="str">
        <f>$AD$6</f>
        <v>.....................................</v>
      </c>
      <c r="L113" s="838" t="str">
        <f>$AD$6</f>
        <v>.....................................</v>
      </c>
      <c r="M113" s="838" t="str">
        <f>$AD$19</f>
        <v>Đinh Văn Hưởng</v>
      </c>
      <c r="N113" s="838" t="str">
        <f>$AF$19</f>
        <v>CBKT</v>
      </c>
      <c r="O113" s="838" t="str">
        <f t="shared" si="45"/>
        <v>Đinh Mạnh Toàn</v>
      </c>
      <c r="P113" s="838" t="str">
        <f t="shared" si="46"/>
        <v>CBKT</v>
      </c>
      <c r="Q113" s="860" t="str">
        <f t="shared" si="35"/>
        <v>Công ty TNHH đầu tư và phát triển KD Vượng Phát</v>
      </c>
      <c r="R113" s="838">
        <v>1</v>
      </c>
      <c r="S113" s="838">
        <v>2</v>
      </c>
      <c r="T113" s="838">
        <v>3</v>
      </c>
      <c r="U113" s="838"/>
      <c r="V113" s="861">
        <v>0.78472222222222221</v>
      </c>
      <c r="W113" s="861">
        <v>0.79166666666666663</v>
      </c>
      <c r="X113" s="861">
        <v>0.80208333333333337</v>
      </c>
      <c r="Y113" s="838"/>
      <c r="Z113" s="838"/>
      <c r="AA113" s="838"/>
      <c r="AB113" s="838"/>
      <c r="AC113" s="833"/>
      <c r="AJ113">
        <f t="shared" si="29"/>
        <v>3</v>
      </c>
    </row>
    <row r="114" spans="1:36" ht="25.5">
      <c r="A114" s="838">
        <f>IF(B114="","",COUNTA($R$4:R114))</f>
        <v>111</v>
      </c>
      <c r="B114" s="838" t="s">
        <v>586</v>
      </c>
      <c r="C114" s="838" t="str">
        <f t="shared" ref="C114:C177" si="50">$AD$27</f>
        <v xml:space="preserve">Vũ Đình Chiến </v>
      </c>
      <c r="D114" s="838" t="str">
        <f t="shared" ref="D114:D177" si="51">$AF$27</f>
        <v>Cán bộ BQLDA</v>
      </c>
      <c r="E114" s="838" t="str">
        <f t="shared" ref="E114:H169" si="52">$AD$6</f>
        <v>.....................................</v>
      </c>
      <c r="F114" s="838" t="str">
        <f t="shared" si="52"/>
        <v>.....................................</v>
      </c>
      <c r="G114" s="838" t="str">
        <f>$AD$25</f>
        <v>Đặng Văn Huấn</v>
      </c>
      <c r="H114" s="838" t="str">
        <f>$AF$25</f>
        <v>Phó đoàn TVGS</v>
      </c>
      <c r="I114" s="838" t="str">
        <f t="shared" ref="I114:J116" si="53">$AD$6</f>
        <v>.....................................</v>
      </c>
      <c r="J114" s="838" t="str">
        <f t="shared" si="53"/>
        <v>.....................................</v>
      </c>
      <c r="K114" s="838" t="str">
        <f t="shared" ref="K114:K120" si="54">$AD$18</f>
        <v>Phạm Văn Trà</v>
      </c>
      <c r="L114" s="838" t="str">
        <f t="shared" ref="L114:L120" si="55">$AF$21</f>
        <v>CBKT</v>
      </c>
      <c r="M114" s="838" t="str">
        <f t="shared" ref="M114:N169" si="56">$AD$6</f>
        <v>.....................................</v>
      </c>
      <c r="N114" s="838" t="str">
        <f t="shared" si="56"/>
        <v>.....................................</v>
      </c>
      <c r="O114" s="838" t="str">
        <f t="shared" si="45"/>
        <v>Đinh Mạnh Toàn</v>
      </c>
      <c r="P114" s="838" t="str">
        <f t="shared" si="46"/>
        <v>CBKT</v>
      </c>
      <c r="Q114" s="860" t="str">
        <f t="shared" si="35"/>
        <v>Công ty TNHH đầu tư và phát triển KD Vượng Phát</v>
      </c>
      <c r="R114" s="838">
        <v>1</v>
      </c>
      <c r="S114" s="838">
        <v>2</v>
      </c>
      <c r="T114" s="838">
        <v>3</v>
      </c>
      <c r="U114" s="838"/>
      <c r="V114" s="861">
        <v>6.5972222222222224E-2</v>
      </c>
      <c r="W114" s="861">
        <v>7.6388888888888895E-2</v>
      </c>
      <c r="X114" s="861">
        <v>8.6805555555555566E-2</v>
      </c>
      <c r="Y114" s="838"/>
      <c r="Z114" s="838"/>
      <c r="AA114" s="838"/>
      <c r="AB114" s="838"/>
      <c r="AC114" s="833"/>
      <c r="AJ114">
        <f t="shared" si="29"/>
        <v>3</v>
      </c>
    </row>
    <row r="115" spans="1:36" ht="25.5">
      <c r="A115" s="838">
        <f>IF(B115="","",COUNTA($R$4:R115))</f>
        <v>112</v>
      </c>
      <c r="B115" s="838" t="s">
        <v>622</v>
      </c>
      <c r="C115" s="838" t="str">
        <f t="shared" si="50"/>
        <v xml:space="preserve">Vũ Đình Chiến </v>
      </c>
      <c r="D115" s="838" t="str">
        <f t="shared" si="51"/>
        <v>Cán bộ BQLDA</v>
      </c>
      <c r="E115" s="838" t="str">
        <f t="shared" si="52"/>
        <v>.....................................</v>
      </c>
      <c r="F115" s="838" t="str">
        <f t="shared" si="52"/>
        <v>.....................................</v>
      </c>
      <c r="G115" s="838" t="str">
        <f>$AD$25</f>
        <v>Đặng Văn Huấn</v>
      </c>
      <c r="H115" s="838" t="str">
        <f>$AF$25</f>
        <v>Phó đoàn TVGS</v>
      </c>
      <c r="I115" s="838" t="str">
        <f t="shared" si="53"/>
        <v>.....................................</v>
      </c>
      <c r="J115" s="838" t="str">
        <f t="shared" si="53"/>
        <v>.....................................</v>
      </c>
      <c r="K115" s="838" t="str">
        <f t="shared" si="54"/>
        <v>Phạm Văn Trà</v>
      </c>
      <c r="L115" s="838" t="str">
        <f t="shared" si="55"/>
        <v>CBKT</v>
      </c>
      <c r="M115" s="838" t="str">
        <f t="shared" si="56"/>
        <v>.....................................</v>
      </c>
      <c r="N115" s="838" t="str">
        <f t="shared" si="56"/>
        <v>.....................................</v>
      </c>
      <c r="O115" s="838" t="str">
        <f t="shared" si="45"/>
        <v>Đinh Mạnh Toàn</v>
      </c>
      <c r="P115" s="838" t="str">
        <f t="shared" si="46"/>
        <v>CBKT</v>
      </c>
      <c r="Q115" s="860" t="str">
        <f t="shared" si="35"/>
        <v>Công ty TNHH đầu tư và phát triển KD Vượng Phát</v>
      </c>
      <c r="R115" s="838">
        <v>2</v>
      </c>
      <c r="S115" s="838"/>
      <c r="T115" s="838"/>
      <c r="U115" s="838"/>
      <c r="V115" s="861">
        <v>0.5625</v>
      </c>
      <c r="W115" s="838"/>
      <c r="X115" s="838"/>
      <c r="Y115" s="838"/>
      <c r="Z115" s="838"/>
      <c r="AA115" s="838"/>
      <c r="AB115" s="838"/>
      <c r="AC115" s="833"/>
      <c r="AJ115">
        <f t="shared" si="29"/>
        <v>1</v>
      </c>
    </row>
    <row r="116" spans="1:36" ht="25.5">
      <c r="A116" s="838">
        <f>IF(B116="","",COUNTA($R$4:R116))</f>
        <v>113</v>
      </c>
      <c r="B116" s="838" t="s">
        <v>704</v>
      </c>
      <c r="C116" s="838" t="str">
        <f t="shared" si="50"/>
        <v xml:space="preserve">Vũ Đình Chiến </v>
      </c>
      <c r="D116" s="838" t="str">
        <f t="shared" si="51"/>
        <v>Cán bộ BQLDA</v>
      </c>
      <c r="E116" s="838" t="str">
        <f t="shared" si="52"/>
        <v>.....................................</v>
      </c>
      <c r="F116" s="838" t="str">
        <f t="shared" si="52"/>
        <v>.....................................</v>
      </c>
      <c r="G116" s="838" t="str">
        <f>$AD$25</f>
        <v>Đặng Văn Huấn</v>
      </c>
      <c r="H116" s="838" t="str">
        <f>$AF$25</f>
        <v>Phó đoàn TVGS</v>
      </c>
      <c r="I116" s="838" t="str">
        <f t="shared" si="53"/>
        <v>.....................................</v>
      </c>
      <c r="J116" s="838" t="str">
        <f t="shared" si="53"/>
        <v>.....................................</v>
      </c>
      <c r="K116" s="838" t="str">
        <f t="shared" si="54"/>
        <v>Phạm Văn Trà</v>
      </c>
      <c r="L116" s="838" t="str">
        <f t="shared" si="55"/>
        <v>CBKT</v>
      </c>
      <c r="M116" s="838" t="str">
        <f t="shared" si="56"/>
        <v>.....................................</v>
      </c>
      <c r="N116" s="838" t="str">
        <f t="shared" si="56"/>
        <v>.....................................</v>
      </c>
      <c r="O116" s="838" t="str">
        <f t="shared" si="45"/>
        <v>Đinh Mạnh Toàn</v>
      </c>
      <c r="P116" s="838" t="str">
        <f t="shared" si="46"/>
        <v>CBKT</v>
      </c>
      <c r="Q116" s="860" t="str">
        <f t="shared" si="35"/>
        <v>Công ty TNHH đầu tư và phát triển KD Vượng Phát</v>
      </c>
      <c r="R116" s="838">
        <v>1</v>
      </c>
      <c r="S116" s="838">
        <v>2</v>
      </c>
      <c r="T116" s="838">
        <v>3</v>
      </c>
      <c r="U116" s="838"/>
      <c r="V116" s="861">
        <v>9.7222222222222224E-2</v>
      </c>
      <c r="W116" s="861">
        <v>0.1076388888888889</v>
      </c>
      <c r="X116" s="861">
        <v>0.11458333333333333</v>
      </c>
      <c r="Y116" s="838"/>
      <c r="Z116" s="838"/>
      <c r="AA116" s="838"/>
      <c r="AB116" s="838"/>
      <c r="AC116" s="833"/>
      <c r="AJ116">
        <f t="shared" si="29"/>
        <v>3</v>
      </c>
    </row>
    <row r="117" spans="1:36" ht="25.5">
      <c r="A117" s="838">
        <f>IF(B117="","",COUNTA($R$4:R117))</f>
        <v>114</v>
      </c>
      <c r="B117" s="838" t="s">
        <v>528</v>
      </c>
      <c r="C117" s="838" t="str">
        <f t="shared" si="50"/>
        <v xml:space="preserve">Vũ Đình Chiến </v>
      </c>
      <c r="D117" s="838" t="str">
        <f t="shared" si="51"/>
        <v>Cán bộ BQLDA</v>
      </c>
      <c r="E117" s="838" t="str">
        <f t="shared" si="52"/>
        <v>.....................................</v>
      </c>
      <c r="F117" s="838" t="str">
        <f t="shared" si="52"/>
        <v>.....................................</v>
      </c>
      <c r="G117" s="838" t="str">
        <f t="shared" ref="G117:H120" si="57">$AD$6</f>
        <v>.....................................</v>
      </c>
      <c r="H117" s="838" t="str">
        <f t="shared" si="57"/>
        <v>.....................................</v>
      </c>
      <c r="I117" s="838" t="str">
        <f>$AD$30</f>
        <v>Lê Minh Ngọc</v>
      </c>
      <c r="J117" s="838" t="str">
        <f>$AF$30</f>
        <v>TVGS</v>
      </c>
      <c r="K117" s="838" t="str">
        <f t="shared" si="54"/>
        <v>Phạm Văn Trà</v>
      </c>
      <c r="L117" s="838" t="str">
        <f t="shared" si="55"/>
        <v>CBKT</v>
      </c>
      <c r="M117" s="838" t="str">
        <f t="shared" si="56"/>
        <v>.....................................</v>
      </c>
      <c r="N117" s="838" t="str">
        <f t="shared" si="56"/>
        <v>.....................................</v>
      </c>
      <c r="O117" s="838" t="str">
        <f t="shared" si="45"/>
        <v>Đinh Mạnh Toàn</v>
      </c>
      <c r="P117" s="838" t="str">
        <f t="shared" si="46"/>
        <v>CBKT</v>
      </c>
      <c r="Q117" s="860" t="str">
        <f t="shared" si="35"/>
        <v>Công ty TNHH đầu tư và phát triển KD Vượng Phát</v>
      </c>
      <c r="R117" s="838">
        <v>1</v>
      </c>
      <c r="S117" s="838">
        <v>2</v>
      </c>
      <c r="T117" s="838"/>
      <c r="U117" s="838"/>
      <c r="V117" s="861">
        <v>0.10416666666666667</v>
      </c>
      <c r="W117" s="861">
        <v>0.1076388888888889</v>
      </c>
      <c r="X117" s="838"/>
      <c r="Y117" s="838"/>
      <c r="Z117" s="838"/>
      <c r="AA117" s="838"/>
      <c r="AB117" s="838"/>
      <c r="AC117" s="833"/>
      <c r="AJ117">
        <f t="shared" si="29"/>
        <v>2</v>
      </c>
    </row>
    <row r="118" spans="1:36" ht="25.5">
      <c r="A118" s="838">
        <f>IF(B118="","",COUNTA($R$4:R118))</f>
        <v>115</v>
      </c>
      <c r="B118" s="839" t="s">
        <v>581</v>
      </c>
      <c r="C118" s="838" t="str">
        <f t="shared" si="50"/>
        <v xml:space="preserve">Vũ Đình Chiến </v>
      </c>
      <c r="D118" s="838" t="str">
        <f t="shared" si="51"/>
        <v>Cán bộ BQLDA</v>
      </c>
      <c r="E118" s="838" t="str">
        <f t="shared" si="52"/>
        <v>.....................................</v>
      </c>
      <c r="F118" s="838" t="str">
        <f t="shared" si="52"/>
        <v>.....................................</v>
      </c>
      <c r="G118" s="838" t="str">
        <f t="shared" si="57"/>
        <v>.....................................</v>
      </c>
      <c r="H118" s="838" t="str">
        <f t="shared" si="57"/>
        <v>.....................................</v>
      </c>
      <c r="I118" s="838" t="str">
        <f>$AD$30</f>
        <v>Lê Minh Ngọc</v>
      </c>
      <c r="J118" s="838" t="str">
        <f>$AF$30</f>
        <v>TVGS</v>
      </c>
      <c r="K118" s="838" t="str">
        <f t="shared" si="54"/>
        <v>Phạm Văn Trà</v>
      </c>
      <c r="L118" s="838" t="str">
        <f t="shared" si="55"/>
        <v>CBKT</v>
      </c>
      <c r="M118" s="838" t="str">
        <f t="shared" si="56"/>
        <v>.....................................</v>
      </c>
      <c r="N118" s="838" t="str">
        <f t="shared" si="56"/>
        <v>.....................................</v>
      </c>
      <c r="O118" s="838" t="str">
        <f t="shared" si="45"/>
        <v>Đinh Mạnh Toàn</v>
      </c>
      <c r="P118" s="838" t="str">
        <f t="shared" si="46"/>
        <v>CBKT</v>
      </c>
      <c r="Q118" s="860" t="str">
        <f t="shared" si="35"/>
        <v>Công ty TNHH đầu tư và phát triển KD Vượng Phát</v>
      </c>
      <c r="R118" s="838">
        <v>1</v>
      </c>
      <c r="S118" s="838">
        <v>2</v>
      </c>
      <c r="T118" s="838">
        <v>3</v>
      </c>
      <c r="U118" s="838"/>
      <c r="V118" s="861">
        <v>0.82638888888888884</v>
      </c>
      <c r="W118" s="861">
        <v>0.84027777777777779</v>
      </c>
      <c r="X118" s="861">
        <v>0.84375</v>
      </c>
      <c r="Y118" s="838"/>
      <c r="Z118" s="838"/>
      <c r="AA118" s="838"/>
      <c r="AB118" s="838"/>
      <c r="AC118" s="833"/>
      <c r="AJ118">
        <f t="shared" si="29"/>
        <v>3</v>
      </c>
    </row>
    <row r="119" spans="1:36" ht="25.5">
      <c r="A119" s="838">
        <f>IF(B119="","",COUNTA($R$4:R119))</f>
        <v>116</v>
      </c>
      <c r="B119" s="839" t="s">
        <v>1129</v>
      </c>
      <c r="C119" s="838" t="str">
        <f t="shared" si="50"/>
        <v xml:space="preserve">Vũ Đình Chiến </v>
      </c>
      <c r="D119" s="838" t="str">
        <f t="shared" si="51"/>
        <v>Cán bộ BQLDA</v>
      </c>
      <c r="E119" s="838" t="str">
        <f t="shared" si="52"/>
        <v>.....................................</v>
      </c>
      <c r="F119" s="838" t="str">
        <f t="shared" si="52"/>
        <v>.....................................</v>
      </c>
      <c r="G119" s="838" t="str">
        <f t="shared" si="57"/>
        <v>.....................................</v>
      </c>
      <c r="H119" s="838" t="str">
        <f t="shared" si="57"/>
        <v>.....................................</v>
      </c>
      <c r="I119" s="838" t="str">
        <f>$AD$30</f>
        <v>Lê Minh Ngọc</v>
      </c>
      <c r="J119" s="838" t="str">
        <f>$AF$30</f>
        <v>TVGS</v>
      </c>
      <c r="K119" s="838" t="str">
        <f t="shared" si="54"/>
        <v>Phạm Văn Trà</v>
      </c>
      <c r="L119" s="838" t="str">
        <f t="shared" si="55"/>
        <v>CBKT</v>
      </c>
      <c r="M119" s="838" t="str">
        <f t="shared" si="56"/>
        <v>.....................................</v>
      </c>
      <c r="N119" s="838" t="str">
        <f t="shared" si="56"/>
        <v>.....................................</v>
      </c>
      <c r="O119" s="838" t="str">
        <f t="shared" si="45"/>
        <v>Đinh Mạnh Toàn</v>
      </c>
      <c r="P119" s="838" t="str">
        <f t="shared" si="46"/>
        <v>CBKT</v>
      </c>
      <c r="Q119" s="860" t="str">
        <f t="shared" si="35"/>
        <v>Công ty TNHH đầu tư và phát triển KD Vượng Phát</v>
      </c>
      <c r="R119" s="838">
        <v>1</v>
      </c>
      <c r="S119" s="838">
        <v>2</v>
      </c>
      <c r="T119" s="838"/>
      <c r="U119" s="838"/>
      <c r="V119" s="861">
        <v>9.0277777777777776E-2</v>
      </c>
      <c r="W119" s="861">
        <v>9.7222222222222224E-2</v>
      </c>
      <c r="X119" s="838"/>
      <c r="Y119" s="838"/>
      <c r="Z119" s="838"/>
      <c r="AA119" s="838"/>
      <c r="AB119" s="838"/>
      <c r="AC119" s="833"/>
      <c r="AJ119">
        <f t="shared" si="29"/>
        <v>2</v>
      </c>
    </row>
    <row r="120" spans="1:36" ht="25.5">
      <c r="A120" s="838">
        <f>IF(B120="","",COUNTA($R$4:R120))</f>
        <v>117</v>
      </c>
      <c r="B120" s="839" t="s">
        <v>584</v>
      </c>
      <c r="C120" s="838" t="str">
        <f t="shared" si="50"/>
        <v xml:space="preserve">Vũ Đình Chiến </v>
      </c>
      <c r="D120" s="838" t="str">
        <f t="shared" si="51"/>
        <v>Cán bộ BQLDA</v>
      </c>
      <c r="E120" s="838" t="str">
        <f t="shared" si="52"/>
        <v>.....................................</v>
      </c>
      <c r="F120" s="838" t="str">
        <f t="shared" si="52"/>
        <v>.....................................</v>
      </c>
      <c r="G120" s="838" t="str">
        <f t="shared" si="57"/>
        <v>.....................................</v>
      </c>
      <c r="H120" s="838" t="str">
        <f t="shared" si="57"/>
        <v>.....................................</v>
      </c>
      <c r="I120" s="838" t="str">
        <f>$AD$30</f>
        <v>Lê Minh Ngọc</v>
      </c>
      <c r="J120" s="838" t="str">
        <f>$AF$30</f>
        <v>TVGS</v>
      </c>
      <c r="K120" s="838" t="str">
        <f t="shared" si="54"/>
        <v>Phạm Văn Trà</v>
      </c>
      <c r="L120" s="838" t="str">
        <f t="shared" si="55"/>
        <v>CBKT</v>
      </c>
      <c r="M120" s="838" t="str">
        <f t="shared" si="56"/>
        <v>.....................................</v>
      </c>
      <c r="N120" s="838" t="str">
        <f t="shared" si="56"/>
        <v>.....................................</v>
      </c>
      <c r="O120" s="838" t="str">
        <f t="shared" si="45"/>
        <v>Đinh Mạnh Toàn</v>
      </c>
      <c r="P120" s="838" t="str">
        <f t="shared" si="46"/>
        <v>CBKT</v>
      </c>
      <c r="Q120" s="860" t="str">
        <f t="shared" si="35"/>
        <v>Công ty TNHH đầu tư và phát triển KD Vượng Phát</v>
      </c>
      <c r="R120" s="838">
        <v>1</v>
      </c>
      <c r="S120" s="838">
        <v>2</v>
      </c>
      <c r="T120" s="838">
        <v>3</v>
      </c>
      <c r="U120" s="838"/>
      <c r="V120" s="861">
        <v>0.23263888888888887</v>
      </c>
      <c r="W120" s="861">
        <v>0.24305555555555555</v>
      </c>
      <c r="X120" s="861">
        <v>0.2638888888888889</v>
      </c>
      <c r="Y120" s="838"/>
      <c r="Z120" s="838"/>
      <c r="AA120" s="838"/>
      <c r="AB120" s="838"/>
      <c r="AC120" s="833"/>
      <c r="AJ120">
        <f t="shared" si="29"/>
        <v>3</v>
      </c>
    </row>
    <row r="121" spans="1:36" ht="25.5">
      <c r="A121" s="838">
        <f>IF(B121="","",COUNTA($R$4:R121))</f>
        <v>118</v>
      </c>
      <c r="B121" s="839" t="s">
        <v>604</v>
      </c>
      <c r="C121" s="838" t="str">
        <f t="shared" si="50"/>
        <v xml:space="preserve">Vũ Đình Chiến </v>
      </c>
      <c r="D121" s="838" t="str">
        <f t="shared" si="51"/>
        <v>Cán bộ BQLDA</v>
      </c>
      <c r="E121" s="838" t="str">
        <f t="shared" si="52"/>
        <v>.....................................</v>
      </c>
      <c r="F121" s="838" t="str">
        <f t="shared" si="52"/>
        <v>.....................................</v>
      </c>
      <c r="G121" s="838" t="str">
        <f>$AD$16</f>
        <v>Lê Minh Châu</v>
      </c>
      <c r="H121" s="838" t="str">
        <f>$AF$16</f>
        <v>Trưởng đoàn TVGS</v>
      </c>
      <c r="I121" s="838" t="str">
        <f>$AD$6</f>
        <v>.....................................</v>
      </c>
      <c r="J121" s="838" t="str">
        <f>$AD$6</f>
        <v>.....................................</v>
      </c>
      <c r="K121" s="838" t="str">
        <f>$AD$19</f>
        <v>Đinh Văn Hưởng</v>
      </c>
      <c r="L121" s="838" t="str">
        <f>$AF$19</f>
        <v>CBKT</v>
      </c>
      <c r="M121" s="838" t="str">
        <f t="shared" si="56"/>
        <v>.....................................</v>
      </c>
      <c r="N121" s="838" t="str">
        <f t="shared" si="56"/>
        <v>.....................................</v>
      </c>
      <c r="O121" s="838" t="str">
        <f t="shared" si="45"/>
        <v>Đinh Mạnh Toàn</v>
      </c>
      <c r="P121" s="838" t="str">
        <f t="shared" si="46"/>
        <v>CBKT</v>
      </c>
      <c r="Q121" s="860" t="str">
        <f t="shared" si="35"/>
        <v>Công ty TNHH đầu tư và phát triển KD Vượng Phát</v>
      </c>
      <c r="R121" s="838">
        <v>1</v>
      </c>
      <c r="S121" s="838">
        <v>2</v>
      </c>
      <c r="T121" s="838"/>
      <c r="U121" s="838"/>
      <c r="V121" s="861">
        <v>0.60416666666666663</v>
      </c>
      <c r="W121" s="861">
        <v>0.64236111111111105</v>
      </c>
      <c r="X121" s="838"/>
      <c r="Y121" s="838"/>
      <c r="Z121" s="838"/>
      <c r="AA121" s="838"/>
      <c r="AB121" s="838"/>
      <c r="AC121" s="833"/>
      <c r="AJ121">
        <f t="shared" si="29"/>
        <v>2</v>
      </c>
    </row>
    <row r="122" spans="1:36" ht="25.5">
      <c r="A122" s="838">
        <f>IF(B122="","",COUNTA($R$4:R122))</f>
        <v>119</v>
      </c>
      <c r="B122" s="839" t="s">
        <v>601</v>
      </c>
      <c r="C122" s="838" t="str">
        <f t="shared" si="50"/>
        <v xml:space="preserve">Vũ Đình Chiến </v>
      </c>
      <c r="D122" s="838" t="str">
        <f t="shared" si="51"/>
        <v>Cán bộ BQLDA</v>
      </c>
      <c r="E122" s="838" t="str">
        <f t="shared" si="52"/>
        <v>.....................................</v>
      </c>
      <c r="F122" s="838" t="str">
        <f t="shared" si="52"/>
        <v>.....................................</v>
      </c>
      <c r="G122" s="838" t="str">
        <f>$AD$6</f>
        <v>.....................................</v>
      </c>
      <c r="H122" s="838" t="str">
        <f>$AD$6</f>
        <v>.....................................</v>
      </c>
      <c r="I122" s="838" t="str">
        <f>$AD$30</f>
        <v>Lê Minh Ngọc</v>
      </c>
      <c r="J122" s="838" t="str">
        <f>$AF$30</f>
        <v>TVGS</v>
      </c>
      <c r="K122" s="838" t="str">
        <f>$AD$18</f>
        <v>Phạm Văn Trà</v>
      </c>
      <c r="L122" s="838" t="str">
        <f>$AF$21</f>
        <v>CBKT</v>
      </c>
      <c r="M122" s="838" t="str">
        <f t="shared" si="56"/>
        <v>.....................................</v>
      </c>
      <c r="N122" s="838" t="str">
        <f t="shared" si="56"/>
        <v>.....................................</v>
      </c>
      <c r="O122" s="838" t="str">
        <f t="shared" si="45"/>
        <v>Đinh Mạnh Toàn</v>
      </c>
      <c r="P122" s="838" t="str">
        <f t="shared" si="46"/>
        <v>CBKT</v>
      </c>
      <c r="Q122" s="860" t="str">
        <f t="shared" si="35"/>
        <v>Công ty TNHH đầu tư và phát triển KD Vượng Phát</v>
      </c>
      <c r="R122" s="838">
        <v>1</v>
      </c>
      <c r="S122" s="838">
        <v>2</v>
      </c>
      <c r="T122" s="838"/>
      <c r="U122" s="838"/>
      <c r="V122" s="861">
        <v>0.97222222222222221</v>
      </c>
      <c r="W122" s="861">
        <v>0.97916666666666663</v>
      </c>
      <c r="X122" s="838"/>
      <c r="Y122" s="838"/>
      <c r="Z122" s="838"/>
      <c r="AA122" s="838"/>
      <c r="AB122" s="838"/>
      <c r="AC122" s="833"/>
      <c r="AJ122">
        <f t="shared" si="29"/>
        <v>2</v>
      </c>
    </row>
    <row r="123" spans="1:36" ht="25.5">
      <c r="A123" s="838">
        <f>IF(B123="","",COUNTA($R$4:R123))</f>
        <v>120</v>
      </c>
      <c r="B123" s="839" t="s">
        <v>627</v>
      </c>
      <c r="C123" s="838" t="str">
        <f t="shared" si="50"/>
        <v xml:space="preserve">Vũ Đình Chiến </v>
      </c>
      <c r="D123" s="838" t="str">
        <f t="shared" si="51"/>
        <v>Cán bộ BQLDA</v>
      </c>
      <c r="E123" s="838" t="str">
        <f t="shared" si="52"/>
        <v>.....................................</v>
      </c>
      <c r="F123" s="838" t="str">
        <f t="shared" si="52"/>
        <v>.....................................</v>
      </c>
      <c r="G123" s="838" t="str">
        <f>$AD$6</f>
        <v>.....................................</v>
      </c>
      <c r="H123" s="838" t="str">
        <f>$AD$6</f>
        <v>.....................................</v>
      </c>
      <c r="I123" s="838" t="str">
        <f>$AD$30</f>
        <v>Lê Minh Ngọc</v>
      </c>
      <c r="J123" s="838" t="str">
        <f>$AF$30</f>
        <v>TVGS</v>
      </c>
      <c r="K123" s="838" t="str">
        <f>$AD$18</f>
        <v>Phạm Văn Trà</v>
      </c>
      <c r="L123" s="838" t="str">
        <f>$AF$21</f>
        <v>CBKT</v>
      </c>
      <c r="M123" s="838" t="str">
        <f t="shared" si="56"/>
        <v>.....................................</v>
      </c>
      <c r="N123" s="838" t="str">
        <f t="shared" si="56"/>
        <v>.....................................</v>
      </c>
      <c r="O123" s="838" t="str">
        <f t="shared" si="45"/>
        <v>Đinh Mạnh Toàn</v>
      </c>
      <c r="P123" s="838" t="str">
        <f t="shared" si="46"/>
        <v>CBKT</v>
      </c>
      <c r="Q123" s="860" t="str">
        <f t="shared" si="35"/>
        <v>Công ty TNHH đầu tư và phát triển KD Vượng Phát</v>
      </c>
      <c r="R123" s="838">
        <v>1</v>
      </c>
      <c r="S123" s="838"/>
      <c r="T123" s="838"/>
      <c r="U123" s="838"/>
      <c r="V123" s="861">
        <v>4.8611111111111112E-2</v>
      </c>
      <c r="W123" s="838"/>
      <c r="X123" s="838"/>
      <c r="Y123" s="838"/>
      <c r="Z123" s="838"/>
      <c r="AA123" s="838"/>
      <c r="AB123" s="838"/>
      <c r="AC123" s="833"/>
      <c r="AJ123">
        <f t="shared" si="29"/>
        <v>1</v>
      </c>
    </row>
    <row r="124" spans="1:36" ht="25.5">
      <c r="A124" s="838">
        <f>IF(B124="","",COUNTA($R$4:R124))</f>
        <v>121</v>
      </c>
      <c r="B124" s="838" t="s">
        <v>624</v>
      </c>
      <c r="C124" s="838" t="str">
        <f t="shared" si="50"/>
        <v xml:space="preserve">Vũ Đình Chiến </v>
      </c>
      <c r="D124" s="838" t="str">
        <f t="shared" si="51"/>
        <v>Cán bộ BQLDA</v>
      </c>
      <c r="E124" s="838" t="str">
        <f t="shared" si="52"/>
        <v>.....................................</v>
      </c>
      <c r="F124" s="838" t="str">
        <f t="shared" si="52"/>
        <v>.....................................</v>
      </c>
      <c r="G124" s="838" t="str">
        <f>$AD$16</f>
        <v>Lê Minh Châu</v>
      </c>
      <c r="H124" s="838" t="str">
        <f>$AF$16</f>
        <v>Trưởng đoàn TVGS</v>
      </c>
      <c r="I124" s="838" t="str">
        <f>$AD$6</f>
        <v>.....................................</v>
      </c>
      <c r="J124" s="838" t="str">
        <f>$AD$6</f>
        <v>.....................................</v>
      </c>
      <c r="K124" s="838" t="str">
        <f>$AD$19</f>
        <v>Đinh Văn Hưởng</v>
      </c>
      <c r="L124" s="838" t="str">
        <f>$AF$19</f>
        <v>CBKT</v>
      </c>
      <c r="M124" s="838" t="str">
        <f t="shared" si="56"/>
        <v>.....................................</v>
      </c>
      <c r="N124" s="838" t="str">
        <f t="shared" si="56"/>
        <v>.....................................</v>
      </c>
      <c r="O124" s="838" t="str">
        <f t="shared" si="45"/>
        <v>Đinh Mạnh Toàn</v>
      </c>
      <c r="P124" s="838" t="str">
        <f t="shared" si="46"/>
        <v>CBKT</v>
      </c>
      <c r="Q124" s="860" t="str">
        <f t="shared" si="35"/>
        <v>Công ty TNHH đầu tư và phát triển KD Vượng Phát</v>
      </c>
      <c r="R124" s="838">
        <v>1</v>
      </c>
      <c r="S124" s="838">
        <v>2</v>
      </c>
      <c r="T124" s="838">
        <v>3</v>
      </c>
      <c r="U124" s="838"/>
      <c r="V124" s="861">
        <v>0.64583333333333337</v>
      </c>
      <c r="W124" s="861">
        <v>0.65625</v>
      </c>
      <c r="X124" s="861">
        <v>0.6333333333333333</v>
      </c>
      <c r="Y124" s="838"/>
      <c r="Z124" s="838"/>
      <c r="AA124" s="838"/>
      <c r="AB124" s="838"/>
      <c r="AC124" s="833"/>
      <c r="AJ124">
        <f t="shared" si="29"/>
        <v>3</v>
      </c>
    </row>
    <row r="125" spans="1:36" ht="25.5">
      <c r="A125" s="838">
        <f>IF(B125="","",COUNTA($R$4:R125))</f>
        <v>122</v>
      </c>
      <c r="B125" s="838" t="s">
        <v>553</v>
      </c>
      <c r="C125" s="838" t="str">
        <f t="shared" si="50"/>
        <v xml:space="preserve">Vũ Đình Chiến </v>
      </c>
      <c r="D125" s="838" t="str">
        <f t="shared" si="51"/>
        <v>Cán bộ BQLDA</v>
      </c>
      <c r="E125" s="838" t="str">
        <f t="shared" si="52"/>
        <v>.....................................</v>
      </c>
      <c r="F125" s="838" t="str">
        <f t="shared" si="52"/>
        <v>.....................................</v>
      </c>
      <c r="G125" s="838" t="str">
        <f t="shared" ref="G125:H128" si="58">$AD$6</f>
        <v>.....................................</v>
      </c>
      <c r="H125" s="838" t="str">
        <f t="shared" si="58"/>
        <v>.....................................</v>
      </c>
      <c r="I125" s="838" t="str">
        <f>$AD$30</f>
        <v>Lê Minh Ngọc</v>
      </c>
      <c r="J125" s="838" t="str">
        <f>$AF$30</f>
        <v>TVGS</v>
      </c>
      <c r="K125" s="838" t="str">
        <f>$AD$18</f>
        <v>Phạm Văn Trà</v>
      </c>
      <c r="L125" s="838" t="str">
        <f>$AF$21</f>
        <v>CBKT</v>
      </c>
      <c r="M125" s="838" t="str">
        <f t="shared" si="56"/>
        <v>.....................................</v>
      </c>
      <c r="N125" s="838" t="str">
        <f t="shared" si="56"/>
        <v>.....................................</v>
      </c>
      <c r="O125" s="838" t="str">
        <f t="shared" si="45"/>
        <v>Đinh Mạnh Toàn</v>
      </c>
      <c r="P125" s="838" t="str">
        <f t="shared" si="46"/>
        <v>CBKT</v>
      </c>
      <c r="Q125" s="860" t="str">
        <f t="shared" si="35"/>
        <v>Công ty TNHH đầu tư và phát triển KD Vượng Phát</v>
      </c>
      <c r="R125" s="838">
        <v>1</v>
      </c>
      <c r="S125" s="838">
        <v>2</v>
      </c>
      <c r="T125" s="838"/>
      <c r="U125" s="838"/>
      <c r="V125" s="861">
        <v>0.98611111111111116</v>
      </c>
      <c r="W125" s="861">
        <v>0.99652777777777779</v>
      </c>
      <c r="X125" s="838"/>
      <c r="Y125" s="838"/>
      <c r="Z125" s="838"/>
      <c r="AA125" s="838"/>
      <c r="AB125" s="838"/>
      <c r="AC125" s="833"/>
      <c r="AJ125">
        <f t="shared" ref="AJ125:AJ188" si="59">COUNTA($R125:$U125)</f>
        <v>2</v>
      </c>
    </row>
    <row r="126" spans="1:36" ht="25.5">
      <c r="A126" s="838">
        <f>IF(B126="","",COUNTA($R$4:R126))</f>
        <v>123</v>
      </c>
      <c r="B126" s="839" t="s">
        <v>1131</v>
      </c>
      <c r="C126" s="838" t="str">
        <f t="shared" si="50"/>
        <v xml:space="preserve">Vũ Đình Chiến </v>
      </c>
      <c r="D126" s="838" t="str">
        <f t="shared" si="51"/>
        <v>Cán bộ BQLDA</v>
      </c>
      <c r="E126" s="838" t="str">
        <f t="shared" si="52"/>
        <v>.....................................</v>
      </c>
      <c r="F126" s="838" t="str">
        <f t="shared" si="52"/>
        <v>.....................................</v>
      </c>
      <c r="G126" s="838" t="str">
        <f t="shared" si="58"/>
        <v>.....................................</v>
      </c>
      <c r="H126" s="838" t="str">
        <f t="shared" si="58"/>
        <v>.....................................</v>
      </c>
      <c r="I126" s="838" t="str">
        <f>$AD$30</f>
        <v>Lê Minh Ngọc</v>
      </c>
      <c r="J126" s="838" t="str">
        <f>$AF$30</f>
        <v>TVGS</v>
      </c>
      <c r="K126" s="838" t="str">
        <f>$AD$18</f>
        <v>Phạm Văn Trà</v>
      </c>
      <c r="L126" s="838" t="str">
        <f>$AF$21</f>
        <v>CBKT</v>
      </c>
      <c r="M126" s="838" t="str">
        <f t="shared" si="56"/>
        <v>.....................................</v>
      </c>
      <c r="N126" s="838" t="str">
        <f t="shared" si="56"/>
        <v>.....................................</v>
      </c>
      <c r="O126" s="838" t="str">
        <f t="shared" si="45"/>
        <v>Đinh Mạnh Toàn</v>
      </c>
      <c r="P126" s="838" t="str">
        <f t="shared" si="46"/>
        <v>CBKT</v>
      </c>
      <c r="Q126" s="860" t="str">
        <f t="shared" si="35"/>
        <v>Công ty TNHH đầu tư và phát triển KD Vượng Phát</v>
      </c>
      <c r="R126" s="838">
        <v>1</v>
      </c>
      <c r="S126" s="838">
        <v>2</v>
      </c>
      <c r="T126" s="838"/>
      <c r="U126" s="838"/>
      <c r="V126" s="861">
        <v>0.23263888888888887</v>
      </c>
      <c r="W126" s="861">
        <v>0.23958333333333334</v>
      </c>
      <c r="X126" s="838"/>
      <c r="Y126" s="838"/>
      <c r="Z126" s="838"/>
      <c r="AA126" s="838"/>
      <c r="AB126" s="838"/>
      <c r="AC126" s="833"/>
      <c r="AJ126">
        <f t="shared" si="59"/>
        <v>2</v>
      </c>
    </row>
    <row r="127" spans="1:36" ht="25.5">
      <c r="A127" s="838">
        <f>IF(B127="","",COUNTA($R$4:R127))</f>
        <v>124</v>
      </c>
      <c r="B127" s="838" t="s">
        <v>629</v>
      </c>
      <c r="C127" s="838" t="str">
        <f t="shared" si="50"/>
        <v xml:space="preserve">Vũ Đình Chiến </v>
      </c>
      <c r="D127" s="838" t="str">
        <f t="shared" si="51"/>
        <v>Cán bộ BQLDA</v>
      </c>
      <c r="E127" s="838" t="str">
        <f t="shared" si="52"/>
        <v>.....................................</v>
      </c>
      <c r="F127" s="838" t="str">
        <f t="shared" si="52"/>
        <v>.....................................</v>
      </c>
      <c r="G127" s="838" t="str">
        <f t="shared" si="58"/>
        <v>.....................................</v>
      </c>
      <c r="H127" s="838" t="str">
        <f t="shared" si="58"/>
        <v>.....................................</v>
      </c>
      <c r="I127" s="838" t="str">
        <f>$AD$30</f>
        <v>Lê Minh Ngọc</v>
      </c>
      <c r="J127" s="838" t="str">
        <f>$AF$30</f>
        <v>TVGS</v>
      </c>
      <c r="K127" s="838" t="str">
        <f>$AD$18</f>
        <v>Phạm Văn Trà</v>
      </c>
      <c r="L127" s="838" t="str">
        <f>$AF$21</f>
        <v>CBKT</v>
      </c>
      <c r="M127" s="838" t="str">
        <f t="shared" si="56"/>
        <v>.....................................</v>
      </c>
      <c r="N127" s="838" t="str">
        <f t="shared" si="56"/>
        <v>.....................................</v>
      </c>
      <c r="O127" s="838" t="str">
        <f t="shared" si="45"/>
        <v>Đinh Mạnh Toàn</v>
      </c>
      <c r="P127" s="838" t="str">
        <f t="shared" si="46"/>
        <v>CBKT</v>
      </c>
      <c r="Q127" s="860" t="str">
        <f t="shared" si="35"/>
        <v>Công ty TNHH đầu tư và phát triển KD Vượng Phát</v>
      </c>
      <c r="R127" s="838">
        <v>1</v>
      </c>
      <c r="S127" s="838">
        <v>2</v>
      </c>
      <c r="T127" s="838">
        <v>3</v>
      </c>
      <c r="U127" s="838"/>
      <c r="V127" s="861">
        <v>0.1076388888888889</v>
      </c>
      <c r="W127" s="861">
        <v>0.11458333333333333</v>
      </c>
      <c r="X127" s="861">
        <v>0.13194444444444445</v>
      </c>
      <c r="Y127" s="838"/>
      <c r="Z127" s="838"/>
      <c r="AA127" s="838"/>
      <c r="AB127" s="838"/>
      <c r="AC127" s="833"/>
      <c r="AJ127">
        <f t="shared" si="59"/>
        <v>3</v>
      </c>
    </row>
    <row r="128" spans="1:36" ht="25.5">
      <c r="A128" s="838">
        <f>IF(B128="","",COUNTA($R$4:R128))</f>
        <v>125</v>
      </c>
      <c r="B128" s="838" t="s">
        <v>638</v>
      </c>
      <c r="C128" s="838" t="str">
        <f t="shared" si="50"/>
        <v xml:space="preserve">Vũ Đình Chiến </v>
      </c>
      <c r="D128" s="838" t="str">
        <f t="shared" si="51"/>
        <v>Cán bộ BQLDA</v>
      </c>
      <c r="E128" s="838" t="str">
        <f t="shared" si="52"/>
        <v>.....................................</v>
      </c>
      <c r="F128" s="838" t="str">
        <f t="shared" si="52"/>
        <v>.....................................</v>
      </c>
      <c r="G128" s="838" t="str">
        <f t="shared" si="58"/>
        <v>.....................................</v>
      </c>
      <c r="H128" s="838" t="str">
        <f t="shared" si="58"/>
        <v>.....................................</v>
      </c>
      <c r="I128" s="838" t="str">
        <f>$AD$30</f>
        <v>Lê Minh Ngọc</v>
      </c>
      <c r="J128" s="838" t="str">
        <f>$AF$30</f>
        <v>TVGS</v>
      </c>
      <c r="K128" s="838" t="str">
        <f>$AD$20</f>
        <v>Nguyễn Duy Long</v>
      </c>
      <c r="L128" s="838" t="str">
        <f>$AF$20</f>
        <v>CBKT</v>
      </c>
      <c r="M128" s="838" t="str">
        <f t="shared" si="56"/>
        <v>.....................................</v>
      </c>
      <c r="N128" s="838" t="str">
        <f t="shared" si="56"/>
        <v>.....................................</v>
      </c>
      <c r="O128" s="838" t="str">
        <f t="shared" si="45"/>
        <v>Đinh Mạnh Toàn</v>
      </c>
      <c r="P128" s="838" t="str">
        <f t="shared" si="46"/>
        <v>CBKT</v>
      </c>
      <c r="Q128" s="860" t="str">
        <f t="shared" si="35"/>
        <v>Công ty TNHH đầu tư và phát triển KD Vượng Phát</v>
      </c>
      <c r="R128" s="838">
        <v>1</v>
      </c>
      <c r="S128" s="838">
        <v>2</v>
      </c>
      <c r="T128" s="838"/>
      <c r="U128" s="838"/>
      <c r="V128" s="861">
        <v>0.625</v>
      </c>
      <c r="W128" s="861">
        <v>0.63541666666666663</v>
      </c>
      <c r="X128" s="838"/>
      <c r="Y128" s="838"/>
      <c r="Z128" s="838"/>
      <c r="AA128" s="838"/>
      <c r="AB128" s="838"/>
      <c r="AC128" s="833"/>
      <c r="AJ128">
        <f t="shared" si="59"/>
        <v>2</v>
      </c>
    </row>
    <row r="129" spans="1:36" ht="25.5">
      <c r="A129" s="838">
        <f>IF(B129="","",COUNTA($R$4:R129))</f>
        <v>126</v>
      </c>
      <c r="B129" s="838" t="s">
        <v>596</v>
      </c>
      <c r="C129" s="838" t="str">
        <f t="shared" si="50"/>
        <v xml:space="preserve">Vũ Đình Chiến </v>
      </c>
      <c r="D129" s="838" t="str">
        <f t="shared" si="51"/>
        <v>Cán bộ BQLDA</v>
      </c>
      <c r="E129" s="838" t="str">
        <f t="shared" si="52"/>
        <v>.....................................</v>
      </c>
      <c r="F129" s="838" t="str">
        <f t="shared" si="52"/>
        <v>.....................................</v>
      </c>
      <c r="G129" s="838" t="str">
        <f>$AD$25</f>
        <v>Đặng Văn Huấn</v>
      </c>
      <c r="H129" s="838" t="str">
        <f>$AF$25</f>
        <v>Phó đoàn TVGS</v>
      </c>
      <c r="I129" s="838" t="str">
        <f t="shared" ref="I129:J130" si="60">$AD$6</f>
        <v>.....................................</v>
      </c>
      <c r="J129" s="838" t="str">
        <f t="shared" si="60"/>
        <v>.....................................</v>
      </c>
      <c r="K129" s="838" t="str">
        <f>$AD$21</f>
        <v>Tạ Văn Tú</v>
      </c>
      <c r="L129" s="838" t="str">
        <f>$AF$21</f>
        <v>CBKT</v>
      </c>
      <c r="M129" s="838" t="str">
        <f t="shared" si="56"/>
        <v>.....................................</v>
      </c>
      <c r="N129" s="838" t="str">
        <f t="shared" si="56"/>
        <v>.....................................</v>
      </c>
      <c r="O129" s="838" t="str">
        <f t="shared" si="45"/>
        <v>Đinh Mạnh Toàn</v>
      </c>
      <c r="P129" s="838" t="str">
        <f t="shared" si="46"/>
        <v>CBKT</v>
      </c>
      <c r="Q129" s="860" t="str">
        <f t="shared" si="35"/>
        <v>Công ty TNHH đầu tư và phát triển KD Vượng Phát</v>
      </c>
      <c r="R129" s="838">
        <v>1</v>
      </c>
      <c r="S129" s="838">
        <v>2</v>
      </c>
      <c r="T129" s="838">
        <v>3</v>
      </c>
      <c r="U129" s="838"/>
      <c r="V129" s="861">
        <v>0.51388888888888895</v>
      </c>
      <c r="W129" s="861">
        <v>0.52083333333333337</v>
      </c>
      <c r="X129" s="861">
        <v>0.55208333333333337</v>
      </c>
      <c r="Y129" s="838"/>
      <c r="Z129" s="838"/>
      <c r="AA129" s="838"/>
      <c r="AB129" s="838"/>
      <c r="AC129" s="833"/>
      <c r="AJ129">
        <f t="shared" si="59"/>
        <v>3</v>
      </c>
    </row>
    <row r="130" spans="1:36" ht="25.5">
      <c r="A130" s="838">
        <f>IF(B130="","",COUNTA($R$4:R130))</f>
        <v>127</v>
      </c>
      <c r="B130" s="838" t="s">
        <v>633</v>
      </c>
      <c r="C130" s="838" t="str">
        <f t="shared" si="50"/>
        <v xml:space="preserve">Vũ Đình Chiến </v>
      </c>
      <c r="D130" s="838" t="str">
        <f t="shared" si="51"/>
        <v>Cán bộ BQLDA</v>
      </c>
      <c r="E130" s="838" t="str">
        <f t="shared" si="52"/>
        <v>.....................................</v>
      </c>
      <c r="F130" s="838" t="str">
        <f t="shared" si="52"/>
        <v>.....................................</v>
      </c>
      <c r="G130" s="838" t="str">
        <f>$AD$25</f>
        <v>Đặng Văn Huấn</v>
      </c>
      <c r="H130" s="838" t="str">
        <f>$AF$25</f>
        <v>Phó đoàn TVGS</v>
      </c>
      <c r="I130" s="838" t="str">
        <f t="shared" si="60"/>
        <v>.....................................</v>
      </c>
      <c r="J130" s="838" t="str">
        <f t="shared" si="60"/>
        <v>.....................................</v>
      </c>
      <c r="K130" s="838" t="str">
        <f>$AD$21</f>
        <v>Tạ Văn Tú</v>
      </c>
      <c r="L130" s="838" t="str">
        <f>$AF$21</f>
        <v>CBKT</v>
      </c>
      <c r="M130" s="838" t="str">
        <f t="shared" si="56"/>
        <v>.....................................</v>
      </c>
      <c r="N130" s="838" t="str">
        <f t="shared" si="56"/>
        <v>.....................................</v>
      </c>
      <c r="O130" s="838" t="str">
        <f t="shared" si="45"/>
        <v>Đinh Mạnh Toàn</v>
      </c>
      <c r="P130" s="838" t="str">
        <f t="shared" si="46"/>
        <v>CBKT</v>
      </c>
      <c r="Q130" s="860" t="str">
        <f t="shared" si="35"/>
        <v>Công ty TNHH đầu tư và phát triển KD Vượng Phát</v>
      </c>
      <c r="R130" s="838">
        <v>1</v>
      </c>
      <c r="S130" s="838">
        <v>2</v>
      </c>
      <c r="T130" s="838">
        <v>3</v>
      </c>
      <c r="U130" s="838"/>
      <c r="V130" s="861">
        <v>0.3263888888888889</v>
      </c>
      <c r="W130" s="861">
        <v>0.33055555555555555</v>
      </c>
      <c r="X130" s="861">
        <v>0.33333333333333331</v>
      </c>
      <c r="Y130" s="838"/>
      <c r="Z130" s="838"/>
      <c r="AA130" s="838"/>
      <c r="AB130" s="838"/>
      <c r="AC130" s="833"/>
      <c r="AJ130">
        <f t="shared" si="59"/>
        <v>3</v>
      </c>
    </row>
    <row r="131" spans="1:36" ht="25.5">
      <c r="A131" s="838">
        <f>IF(B131="","",COUNTA($R$4:R131))</f>
        <v>128</v>
      </c>
      <c r="B131" s="838" t="s">
        <v>558</v>
      </c>
      <c r="C131" s="838" t="str">
        <f t="shared" si="50"/>
        <v xml:space="preserve">Vũ Đình Chiến </v>
      </c>
      <c r="D131" s="838" t="str">
        <f t="shared" si="51"/>
        <v>Cán bộ BQLDA</v>
      </c>
      <c r="E131" s="838" t="str">
        <f t="shared" si="52"/>
        <v>.....................................</v>
      </c>
      <c r="F131" s="838" t="str">
        <f t="shared" si="52"/>
        <v>.....................................</v>
      </c>
      <c r="G131" s="838" t="str">
        <f t="shared" si="52"/>
        <v>.....................................</v>
      </c>
      <c r="H131" s="838" t="str">
        <f t="shared" si="52"/>
        <v>.....................................</v>
      </c>
      <c r="I131" s="838" t="str">
        <f>$AD$30</f>
        <v>Lê Minh Ngọc</v>
      </c>
      <c r="J131" s="838" t="str">
        <f>$AF$30</f>
        <v>TVGS</v>
      </c>
      <c r="K131" s="838" t="str">
        <f>$AD$18</f>
        <v>Phạm Văn Trà</v>
      </c>
      <c r="L131" s="838" t="str">
        <f>$AF$21</f>
        <v>CBKT</v>
      </c>
      <c r="M131" s="838" t="str">
        <f t="shared" si="56"/>
        <v>.....................................</v>
      </c>
      <c r="N131" s="838" t="str">
        <f t="shared" si="56"/>
        <v>.....................................</v>
      </c>
      <c r="O131" s="838" t="str">
        <f t="shared" si="45"/>
        <v>Đinh Mạnh Toàn</v>
      </c>
      <c r="P131" s="838" t="str">
        <f t="shared" si="46"/>
        <v>CBKT</v>
      </c>
      <c r="Q131" s="860" t="str">
        <f t="shared" si="35"/>
        <v>Công ty TNHH đầu tư và phát triển KD Vượng Phát</v>
      </c>
      <c r="R131" s="838">
        <v>1</v>
      </c>
      <c r="S131" s="838">
        <v>2</v>
      </c>
      <c r="T131" s="838"/>
      <c r="U131" s="838"/>
      <c r="V131" s="861">
        <v>0.92708333333333337</v>
      </c>
      <c r="W131" s="861">
        <v>0.93402777777777779</v>
      </c>
      <c r="X131" s="838"/>
      <c r="Y131" s="838"/>
      <c r="Z131" s="838"/>
      <c r="AA131" s="838"/>
      <c r="AB131" s="838"/>
      <c r="AC131" s="833"/>
      <c r="AJ131">
        <f t="shared" si="59"/>
        <v>2</v>
      </c>
    </row>
    <row r="132" spans="1:36" ht="25.5">
      <c r="A132" s="838">
        <f>IF(B132="","",COUNTA($R$4:R132))</f>
        <v>129</v>
      </c>
      <c r="B132" s="838" t="s">
        <v>563</v>
      </c>
      <c r="C132" s="838" t="str">
        <f t="shared" si="50"/>
        <v xml:space="preserve">Vũ Đình Chiến </v>
      </c>
      <c r="D132" s="838" t="str">
        <f t="shared" si="51"/>
        <v>Cán bộ BQLDA</v>
      </c>
      <c r="E132" s="838" t="str">
        <f t="shared" si="52"/>
        <v>.....................................</v>
      </c>
      <c r="F132" s="838" t="str">
        <f t="shared" si="52"/>
        <v>.....................................</v>
      </c>
      <c r="G132" s="838" t="str">
        <f t="shared" si="52"/>
        <v>.....................................</v>
      </c>
      <c r="H132" s="838" t="str">
        <f t="shared" si="52"/>
        <v>.....................................</v>
      </c>
      <c r="I132" s="838" t="str">
        <f>$AD$30</f>
        <v>Lê Minh Ngọc</v>
      </c>
      <c r="J132" s="838" t="str">
        <f>$AF$30</f>
        <v>TVGS</v>
      </c>
      <c r="K132" s="838" t="str">
        <f>$AD$18</f>
        <v>Phạm Văn Trà</v>
      </c>
      <c r="L132" s="838" t="str">
        <f>$AF$21</f>
        <v>CBKT</v>
      </c>
      <c r="M132" s="838" t="str">
        <f t="shared" si="56"/>
        <v>.....................................</v>
      </c>
      <c r="N132" s="838" t="str">
        <f t="shared" si="56"/>
        <v>.....................................</v>
      </c>
      <c r="O132" s="838" t="str">
        <f t="shared" si="45"/>
        <v>Đinh Mạnh Toàn</v>
      </c>
      <c r="P132" s="838" t="str">
        <f t="shared" si="46"/>
        <v>CBKT</v>
      </c>
      <c r="Q132" s="860" t="str">
        <f t="shared" si="35"/>
        <v>Công ty TNHH đầu tư và phát triển KD Vượng Phát</v>
      </c>
      <c r="R132" s="838">
        <v>1</v>
      </c>
      <c r="S132" s="838">
        <v>2</v>
      </c>
      <c r="T132" s="838">
        <v>3</v>
      </c>
      <c r="U132" s="838"/>
      <c r="V132" s="861">
        <v>0.21875</v>
      </c>
      <c r="W132" s="861">
        <v>0.22569444444444445</v>
      </c>
      <c r="X132" s="861">
        <v>0.23958333333333334</v>
      </c>
      <c r="Y132" s="838"/>
      <c r="Z132" s="838"/>
      <c r="AA132" s="838"/>
      <c r="AB132" s="838"/>
      <c r="AC132" s="833"/>
      <c r="AJ132">
        <f t="shared" si="59"/>
        <v>3</v>
      </c>
    </row>
    <row r="133" spans="1:36" ht="25.5">
      <c r="A133" s="838">
        <f>IF(B133="","",COUNTA($R$4:R133))</f>
        <v>130</v>
      </c>
      <c r="B133" s="838" t="s">
        <v>606</v>
      </c>
      <c r="C133" s="838" t="str">
        <f t="shared" si="50"/>
        <v xml:space="preserve">Vũ Đình Chiến </v>
      </c>
      <c r="D133" s="838" t="str">
        <f t="shared" si="51"/>
        <v>Cán bộ BQLDA</v>
      </c>
      <c r="E133" s="838" t="str">
        <f t="shared" si="52"/>
        <v>.....................................</v>
      </c>
      <c r="F133" s="838" t="str">
        <f t="shared" si="52"/>
        <v>.....................................</v>
      </c>
      <c r="G133" s="838" t="str">
        <f t="shared" si="52"/>
        <v>.....................................</v>
      </c>
      <c r="H133" s="838" t="str">
        <f t="shared" si="52"/>
        <v>.....................................</v>
      </c>
      <c r="I133" s="838" t="str">
        <f>$AD$30</f>
        <v>Lê Minh Ngọc</v>
      </c>
      <c r="J133" s="838" t="str">
        <f>$AF$30</f>
        <v>TVGS</v>
      </c>
      <c r="K133" s="838" t="str">
        <f>$AD$18</f>
        <v>Phạm Văn Trà</v>
      </c>
      <c r="L133" s="838" t="str">
        <f>$AF$21</f>
        <v>CBKT</v>
      </c>
      <c r="M133" s="838" t="str">
        <f t="shared" si="56"/>
        <v>.....................................</v>
      </c>
      <c r="N133" s="838" t="str">
        <f t="shared" si="56"/>
        <v>.....................................</v>
      </c>
      <c r="O133" s="838" t="str">
        <f t="shared" si="45"/>
        <v>Đinh Mạnh Toàn</v>
      </c>
      <c r="P133" s="838" t="str">
        <f t="shared" si="46"/>
        <v>CBKT</v>
      </c>
      <c r="Q133" s="860" t="str">
        <f t="shared" si="35"/>
        <v>Công ty TNHH đầu tư và phát triển KD Vượng Phát</v>
      </c>
      <c r="R133" s="838">
        <v>1</v>
      </c>
      <c r="S133" s="838">
        <v>2</v>
      </c>
      <c r="T133" s="838">
        <v>3</v>
      </c>
      <c r="U133" s="838"/>
      <c r="V133" s="861">
        <v>7.2916666666666671E-2</v>
      </c>
      <c r="W133" s="861">
        <v>7.6388888888888895E-2</v>
      </c>
      <c r="X133" s="861">
        <v>9.375E-2</v>
      </c>
      <c r="Y133" s="838"/>
      <c r="Z133" s="838"/>
      <c r="AA133" s="838"/>
      <c r="AB133" s="838"/>
      <c r="AC133" s="833"/>
      <c r="AJ133">
        <f t="shared" si="59"/>
        <v>3</v>
      </c>
    </row>
    <row r="134" spans="1:36" ht="25.5">
      <c r="A134" s="838">
        <f>IF(B134="","",COUNTA($R$4:R134))</f>
        <v>131</v>
      </c>
      <c r="B134" s="838" t="s">
        <v>573</v>
      </c>
      <c r="C134" s="838" t="str">
        <f t="shared" si="50"/>
        <v xml:space="preserve">Vũ Đình Chiến </v>
      </c>
      <c r="D134" s="838" t="str">
        <f t="shared" si="51"/>
        <v>Cán bộ BQLDA</v>
      </c>
      <c r="E134" s="838" t="str">
        <f t="shared" si="52"/>
        <v>.....................................</v>
      </c>
      <c r="F134" s="838" t="str">
        <f t="shared" si="52"/>
        <v>.....................................</v>
      </c>
      <c r="G134" s="838" t="str">
        <f>$AD$25</f>
        <v>Đặng Văn Huấn</v>
      </c>
      <c r="H134" s="838" t="str">
        <f>$AF$25</f>
        <v>Phó đoàn TVGS</v>
      </c>
      <c r="I134" s="838" t="str">
        <f t="shared" ref="I134:J134" si="61">$AD$6</f>
        <v>.....................................</v>
      </c>
      <c r="J134" s="838" t="str">
        <f t="shared" si="61"/>
        <v>.....................................</v>
      </c>
      <c r="K134" s="838" t="str">
        <f>$AD$19</f>
        <v>Đinh Văn Hưởng</v>
      </c>
      <c r="L134" s="838" t="str">
        <f>$AF$19</f>
        <v>CBKT</v>
      </c>
      <c r="M134" s="838" t="str">
        <f t="shared" si="56"/>
        <v>.....................................</v>
      </c>
      <c r="N134" s="838" t="str">
        <f t="shared" si="56"/>
        <v>.....................................</v>
      </c>
      <c r="O134" s="838" t="str">
        <f t="shared" si="45"/>
        <v>Đinh Mạnh Toàn</v>
      </c>
      <c r="P134" s="838" t="str">
        <f t="shared" si="46"/>
        <v>CBKT</v>
      </c>
      <c r="Q134" s="860" t="str">
        <f t="shared" si="35"/>
        <v>Công ty TNHH đầu tư và phát triển KD Vượng Phát</v>
      </c>
      <c r="R134" s="838">
        <v>1</v>
      </c>
      <c r="S134" s="838">
        <v>2</v>
      </c>
      <c r="T134" s="838"/>
      <c r="U134" s="838"/>
      <c r="V134" s="861">
        <v>0.52777777777777779</v>
      </c>
      <c r="W134" s="861">
        <v>0.53472222222222221</v>
      </c>
      <c r="X134" s="838"/>
      <c r="Y134" s="838"/>
      <c r="Z134" s="838"/>
      <c r="AA134" s="838"/>
      <c r="AB134" s="838"/>
      <c r="AC134" s="833"/>
      <c r="AJ134">
        <f t="shared" si="59"/>
        <v>2</v>
      </c>
    </row>
    <row r="135" spans="1:36" ht="25.5">
      <c r="A135" s="838">
        <f>IF(B135="","",COUNTA($R$4:R135))</f>
        <v>132</v>
      </c>
      <c r="B135" s="838" t="s">
        <v>568</v>
      </c>
      <c r="C135" s="838" t="str">
        <f t="shared" si="50"/>
        <v xml:space="preserve">Vũ Đình Chiến </v>
      </c>
      <c r="D135" s="838" t="str">
        <f t="shared" si="51"/>
        <v>Cán bộ BQLDA</v>
      </c>
      <c r="E135" s="838" t="str">
        <f t="shared" si="52"/>
        <v>.....................................</v>
      </c>
      <c r="F135" s="838" t="str">
        <f t="shared" si="52"/>
        <v>.....................................</v>
      </c>
      <c r="G135" s="838" t="str">
        <f t="shared" si="52"/>
        <v>.....................................</v>
      </c>
      <c r="H135" s="838" t="str">
        <f t="shared" si="52"/>
        <v>.....................................</v>
      </c>
      <c r="I135" s="838" t="str">
        <f>$AD$30</f>
        <v>Lê Minh Ngọc</v>
      </c>
      <c r="J135" s="838" t="str">
        <f>$AF$30</f>
        <v>TVGS</v>
      </c>
      <c r="K135" s="838" t="str">
        <f>$AD$18</f>
        <v>Phạm Văn Trà</v>
      </c>
      <c r="L135" s="838" t="str">
        <f>$AF$21</f>
        <v>CBKT</v>
      </c>
      <c r="M135" s="838" t="str">
        <f t="shared" si="56"/>
        <v>.....................................</v>
      </c>
      <c r="N135" s="838" t="str">
        <f t="shared" si="56"/>
        <v>.....................................</v>
      </c>
      <c r="O135" s="838" t="str">
        <f t="shared" si="45"/>
        <v>Đinh Mạnh Toàn</v>
      </c>
      <c r="P135" s="838" t="str">
        <f t="shared" si="46"/>
        <v>CBKT</v>
      </c>
      <c r="Q135" s="860" t="str">
        <f t="shared" si="35"/>
        <v>Công ty TNHH đầu tư và phát triển KD Vượng Phát</v>
      </c>
      <c r="R135" s="838">
        <v>1</v>
      </c>
      <c r="S135" s="838">
        <v>2</v>
      </c>
      <c r="T135" s="838">
        <v>3</v>
      </c>
      <c r="U135" s="838"/>
      <c r="V135" s="861">
        <v>0.81944444444444453</v>
      </c>
      <c r="W135" s="861">
        <v>0.82986111111111116</v>
      </c>
      <c r="X135" s="861">
        <v>0.84722222222222221</v>
      </c>
      <c r="Y135" s="838"/>
      <c r="Z135" s="838"/>
      <c r="AA135" s="838"/>
      <c r="AB135" s="838"/>
      <c r="AC135" s="833"/>
      <c r="AJ135">
        <f t="shared" si="59"/>
        <v>3</v>
      </c>
    </row>
    <row r="136" spans="1:36" ht="25.5">
      <c r="A136" s="838">
        <f>IF(B136="","",COUNTA($R$4:R136))</f>
        <v>133</v>
      </c>
      <c r="B136" s="838" t="s">
        <v>648</v>
      </c>
      <c r="C136" s="838" t="str">
        <f t="shared" si="50"/>
        <v xml:space="preserve">Vũ Đình Chiến </v>
      </c>
      <c r="D136" s="838" t="str">
        <f t="shared" si="51"/>
        <v>Cán bộ BQLDA</v>
      </c>
      <c r="E136" s="838" t="str">
        <f t="shared" si="52"/>
        <v>.....................................</v>
      </c>
      <c r="F136" s="838" t="str">
        <f t="shared" si="52"/>
        <v>.....................................</v>
      </c>
      <c r="G136" s="838" t="str">
        <f t="shared" si="52"/>
        <v>.....................................</v>
      </c>
      <c r="H136" s="838" t="str">
        <f t="shared" si="52"/>
        <v>.....................................</v>
      </c>
      <c r="I136" s="838" t="str">
        <f>$AD$30</f>
        <v>Lê Minh Ngọc</v>
      </c>
      <c r="J136" s="838" t="str">
        <f>$AF$30</f>
        <v>TVGS</v>
      </c>
      <c r="K136" s="838" t="str">
        <f>$AD$18</f>
        <v>Phạm Văn Trà</v>
      </c>
      <c r="L136" s="838" t="str">
        <f>$AF$21</f>
        <v>CBKT</v>
      </c>
      <c r="M136" s="838" t="str">
        <f t="shared" si="56"/>
        <v>.....................................</v>
      </c>
      <c r="N136" s="838" t="str">
        <f t="shared" si="56"/>
        <v>.....................................</v>
      </c>
      <c r="O136" s="838" t="str">
        <f t="shared" si="45"/>
        <v>Đinh Mạnh Toàn</v>
      </c>
      <c r="P136" s="838" t="str">
        <f t="shared" si="46"/>
        <v>CBKT</v>
      </c>
      <c r="Q136" s="860" t="str">
        <f t="shared" si="35"/>
        <v>Công ty TNHH đầu tư và phát triển KD Vượng Phát</v>
      </c>
      <c r="R136" s="838">
        <v>1</v>
      </c>
      <c r="S136" s="838">
        <v>2</v>
      </c>
      <c r="T136" s="838">
        <v>3</v>
      </c>
      <c r="U136" s="838"/>
      <c r="V136" s="861">
        <v>7.2916666666666671E-2</v>
      </c>
      <c r="W136" s="861">
        <v>8.3333333333333329E-2</v>
      </c>
      <c r="X136" s="861">
        <v>9.0277777777777776E-2</v>
      </c>
      <c r="Y136" s="838"/>
      <c r="Z136" s="838"/>
      <c r="AA136" s="838"/>
      <c r="AB136" s="838"/>
      <c r="AC136" s="833"/>
      <c r="AJ136">
        <f t="shared" si="59"/>
        <v>3</v>
      </c>
    </row>
    <row r="137" spans="1:36" ht="25.5">
      <c r="A137" s="838">
        <f>IF(B137="","",COUNTA($R$4:R137))</f>
        <v>134</v>
      </c>
      <c r="B137" s="838" t="s">
        <v>614</v>
      </c>
      <c r="C137" s="838" t="str">
        <f t="shared" si="50"/>
        <v xml:space="preserve">Vũ Đình Chiến </v>
      </c>
      <c r="D137" s="838" t="str">
        <f t="shared" si="51"/>
        <v>Cán bộ BQLDA</v>
      </c>
      <c r="E137" s="838" t="str">
        <f t="shared" si="52"/>
        <v>.....................................</v>
      </c>
      <c r="F137" s="838" t="str">
        <f t="shared" si="52"/>
        <v>.....................................</v>
      </c>
      <c r="G137" s="838" t="str">
        <f t="shared" si="52"/>
        <v>.....................................</v>
      </c>
      <c r="H137" s="838" t="str">
        <f t="shared" si="52"/>
        <v>.....................................</v>
      </c>
      <c r="I137" s="838" t="str">
        <f>$AD$30</f>
        <v>Lê Minh Ngọc</v>
      </c>
      <c r="J137" s="838" t="str">
        <f>$AF$30</f>
        <v>TVGS</v>
      </c>
      <c r="K137" s="838" t="str">
        <f>$AD$18</f>
        <v>Phạm Văn Trà</v>
      </c>
      <c r="L137" s="838" t="str">
        <f>$AF$21</f>
        <v>CBKT</v>
      </c>
      <c r="M137" s="838" t="str">
        <f t="shared" si="56"/>
        <v>.....................................</v>
      </c>
      <c r="N137" s="838" t="str">
        <f t="shared" si="56"/>
        <v>.....................................</v>
      </c>
      <c r="O137" s="838" t="str">
        <f t="shared" si="45"/>
        <v>Đinh Mạnh Toàn</v>
      </c>
      <c r="P137" s="838" t="str">
        <f t="shared" si="46"/>
        <v>CBKT</v>
      </c>
      <c r="Q137" s="860" t="str">
        <f t="shared" si="35"/>
        <v>Công ty TNHH đầu tư và phát triển KD Vượng Phát</v>
      </c>
      <c r="R137" s="838">
        <v>1</v>
      </c>
      <c r="S137" s="838">
        <v>2</v>
      </c>
      <c r="T137" s="838">
        <v>3</v>
      </c>
      <c r="U137" s="838"/>
      <c r="V137" s="861">
        <v>0.21180555555555555</v>
      </c>
      <c r="W137" s="861">
        <v>0.21875</v>
      </c>
      <c r="X137" s="861">
        <v>0.22916666666666666</v>
      </c>
      <c r="Y137" s="838"/>
      <c r="Z137" s="838"/>
      <c r="AA137" s="838"/>
      <c r="AB137" s="838"/>
      <c r="AC137" s="833"/>
      <c r="AJ137">
        <f t="shared" si="59"/>
        <v>3</v>
      </c>
    </row>
    <row r="138" spans="1:36" ht="25.5">
      <c r="A138" s="838">
        <f>IF(B138="","",COUNTA($R$4:R138))</f>
        <v>135</v>
      </c>
      <c r="B138" s="838" t="s">
        <v>523</v>
      </c>
      <c r="C138" s="838" t="str">
        <f t="shared" si="50"/>
        <v xml:space="preserve">Vũ Đình Chiến </v>
      </c>
      <c r="D138" s="838" t="str">
        <f t="shared" si="51"/>
        <v>Cán bộ BQLDA</v>
      </c>
      <c r="E138" s="838" t="str">
        <f t="shared" si="52"/>
        <v>.....................................</v>
      </c>
      <c r="F138" s="838" t="str">
        <f t="shared" si="52"/>
        <v>.....................................</v>
      </c>
      <c r="G138" s="838" t="str">
        <f t="shared" si="52"/>
        <v>.....................................</v>
      </c>
      <c r="H138" s="838" t="str">
        <f t="shared" si="52"/>
        <v>.....................................</v>
      </c>
      <c r="I138" s="838" t="str">
        <f>$AD$30</f>
        <v>Lê Minh Ngọc</v>
      </c>
      <c r="J138" s="838" t="str">
        <f>$AF$30</f>
        <v>TVGS</v>
      </c>
      <c r="K138" s="838" t="str">
        <f>$AD$18</f>
        <v>Phạm Văn Trà</v>
      </c>
      <c r="L138" s="838" t="str">
        <f>$AF$21</f>
        <v>CBKT</v>
      </c>
      <c r="M138" s="838" t="str">
        <f t="shared" si="56"/>
        <v>.....................................</v>
      </c>
      <c r="N138" s="838" t="str">
        <f t="shared" si="56"/>
        <v>.....................................</v>
      </c>
      <c r="O138" s="838" t="str">
        <f t="shared" si="45"/>
        <v>Đinh Mạnh Toàn</v>
      </c>
      <c r="P138" s="838" t="str">
        <f t="shared" si="46"/>
        <v>CBKT</v>
      </c>
      <c r="Q138" s="860" t="str">
        <f t="shared" si="35"/>
        <v>Công ty TNHH đầu tư và phát triển KD Vượng Phát</v>
      </c>
      <c r="R138" s="838">
        <v>1</v>
      </c>
      <c r="S138" s="838">
        <v>2</v>
      </c>
      <c r="T138" s="838"/>
      <c r="U138" s="838"/>
      <c r="V138" s="861">
        <v>0.78472222222222221</v>
      </c>
      <c r="W138" s="861">
        <v>0.79861111111111116</v>
      </c>
      <c r="X138" s="838"/>
      <c r="Y138" s="838"/>
      <c r="Z138" s="838"/>
      <c r="AA138" s="838"/>
      <c r="AB138" s="838"/>
      <c r="AC138" s="833"/>
      <c r="AJ138">
        <f t="shared" si="59"/>
        <v>2</v>
      </c>
    </row>
    <row r="139" spans="1:36" ht="25.5">
      <c r="A139" s="838">
        <f>IF(B139="","",COUNTA($R$4:R139))</f>
        <v>136</v>
      </c>
      <c r="B139" s="838" t="s">
        <v>696</v>
      </c>
      <c r="C139" s="838" t="str">
        <f t="shared" si="50"/>
        <v xml:space="preserve">Vũ Đình Chiến </v>
      </c>
      <c r="D139" s="838" t="str">
        <f t="shared" si="51"/>
        <v>Cán bộ BQLDA</v>
      </c>
      <c r="E139" s="838" t="str">
        <f t="shared" si="52"/>
        <v>.....................................</v>
      </c>
      <c r="F139" s="838" t="str">
        <f t="shared" si="52"/>
        <v>.....................................</v>
      </c>
      <c r="G139" s="838" t="str">
        <f>$AD$25</f>
        <v>Đặng Văn Huấn</v>
      </c>
      <c r="H139" s="838" t="str">
        <f>$AF$25</f>
        <v>Phó đoàn TVGS</v>
      </c>
      <c r="I139" s="838" t="str">
        <f t="shared" ref="I139:J139" si="62">$AD$6</f>
        <v>.....................................</v>
      </c>
      <c r="J139" s="838" t="str">
        <f t="shared" si="62"/>
        <v>.....................................</v>
      </c>
      <c r="K139" s="838" t="str">
        <f>$AD$19</f>
        <v>Đinh Văn Hưởng</v>
      </c>
      <c r="L139" s="838" t="str">
        <f>$AF$19</f>
        <v>CBKT</v>
      </c>
      <c r="M139" s="838" t="str">
        <f t="shared" si="56"/>
        <v>.....................................</v>
      </c>
      <c r="N139" s="838" t="str">
        <f t="shared" si="56"/>
        <v>.....................................</v>
      </c>
      <c r="O139" s="838" t="str">
        <f t="shared" si="45"/>
        <v>Đinh Mạnh Toàn</v>
      </c>
      <c r="P139" s="838" t="str">
        <f t="shared" si="46"/>
        <v>CBKT</v>
      </c>
      <c r="Q139" s="860" t="str">
        <f t="shared" si="35"/>
        <v>Công ty TNHH đầu tư và phát triển KD Vượng Phát</v>
      </c>
      <c r="R139" s="838">
        <v>1</v>
      </c>
      <c r="S139" s="838">
        <v>2</v>
      </c>
      <c r="T139" s="838">
        <v>3</v>
      </c>
      <c r="U139" s="838"/>
      <c r="V139" s="861">
        <v>0.59722222222222221</v>
      </c>
      <c r="W139" s="861">
        <v>0.61111111111111105</v>
      </c>
      <c r="X139" s="861">
        <v>0.62638888888888888</v>
      </c>
      <c r="Y139" s="838"/>
      <c r="Z139" s="838"/>
      <c r="AA139" s="838"/>
      <c r="AB139" s="838"/>
      <c r="AC139" s="833"/>
      <c r="AJ139">
        <f t="shared" si="59"/>
        <v>3</v>
      </c>
    </row>
    <row r="140" spans="1:36" ht="25.5">
      <c r="A140" s="838">
        <f>IF(B140="","",COUNTA($R$4:R140))</f>
        <v>137</v>
      </c>
      <c r="B140" s="838" t="s">
        <v>609</v>
      </c>
      <c r="C140" s="838" t="str">
        <f t="shared" si="50"/>
        <v xml:space="preserve">Vũ Đình Chiến </v>
      </c>
      <c r="D140" s="838" t="str">
        <f t="shared" si="51"/>
        <v>Cán bộ BQLDA</v>
      </c>
      <c r="E140" s="838" t="str">
        <f t="shared" si="52"/>
        <v>.....................................</v>
      </c>
      <c r="F140" s="838" t="str">
        <f t="shared" si="52"/>
        <v>.....................................</v>
      </c>
      <c r="G140" s="838" t="str">
        <f t="shared" si="52"/>
        <v>.....................................</v>
      </c>
      <c r="H140" s="838" t="str">
        <f t="shared" si="52"/>
        <v>.....................................</v>
      </c>
      <c r="I140" s="838" t="str">
        <f>$AD$30</f>
        <v>Lê Minh Ngọc</v>
      </c>
      <c r="J140" s="838" t="str">
        <f>$AF$30</f>
        <v>TVGS</v>
      </c>
      <c r="K140" s="838" t="str">
        <f>$AD$19</f>
        <v>Đinh Văn Hưởng</v>
      </c>
      <c r="L140" s="838" t="str">
        <f>$AF$19</f>
        <v>CBKT</v>
      </c>
      <c r="M140" s="838" t="str">
        <f t="shared" si="56"/>
        <v>.....................................</v>
      </c>
      <c r="N140" s="838" t="str">
        <f t="shared" si="56"/>
        <v>.....................................</v>
      </c>
      <c r="O140" s="838" t="str">
        <f t="shared" si="45"/>
        <v>Đinh Mạnh Toàn</v>
      </c>
      <c r="P140" s="838" t="str">
        <f t="shared" si="46"/>
        <v>CBKT</v>
      </c>
      <c r="Q140" s="860" t="str">
        <f t="shared" si="35"/>
        <v>Công ty TNHH đầu tư và phát triển KD Vượng Phát</v>
      </c>
      <c r="R140" s="838">
        <v>1</v>
      </c>
      <c r="S140" s="838">
        <v>2</v>
      </c>
      <c r="T140" s="838"/>
      <c r="U140" s="838"/>
      <c r="V140" s="861">
        <v>0.81597222222222221</v>
      </c>
      <c r="W140" s="861">
        <v>0.82777777777777783</v>
      </c>
      <c r="X140" s="838"/>
      <c r="Y140" s="838"/>
      <c r="Z140" s="838"/>
      <c r="AA140" s="838"/>
      <c r="AB140" s="838"/>
      <c r="AC140" s="833"/>
      <c r="AJ140">
        <f t="shared" si="59"/>
        <v>2</v>
      </c>
    </row>
    <row r="141" spans="1:36" ht="25.5">
      <c r="A141" s="838">
        <f>IF(B141="","",COUNTA($R$4:R141))</f>
        <v>138</v>
      </c>
      <c r="B141" s="839" t="s">
        <v>653</v>
      </c>
      <c r="C141" s="838" t="str">
        <f t="shared" si="50"/>
        <v xml:space="preserve">Vũ Đình Chiến </v>
      </c>
      <c r="D141" s="838" t="str">
        <f t="shared" si="51"/>
        <v>Cán bộ BQLDA</v>
      </c>
      <c r="E141" s="838" t="str">
        <f t="shared" si="52"/>
        <v>.....................................</v>
      </c>
      <c r="F141" s="838" t="str">
        <f t="shared" si="52"/>
        <v>.....................................</v>
      </c>
      <c r="G141" s="838" t="str">
        <f t="shared" si="52"/>
        <v>.....................................</v>
      </c>
      <c r="H141" s="838" t="str">
        <f t="shared" si="52"/>
        <v>.....................................</v>
      </c>
      <c r="I141" s="838" t="str">
        <f>$AD$30</f>
        <v>Lê Minh Ngọc</v>
      </c>
      <c r="J141" s="838" t="str">
        <f>$AF$30</f>
        <v>TVGS</v>
      </c>
      <c r="K141" s="838" t="str">
        <f>$AD$18</f>
        <v>Phạm Văn Trà</v>
      </c>
      <c r="L141" s="838" t="str">
        <f>$AF$21</f>
        <v>CBKT</v>
      </c>
      <c r="M141" s="838" t="str">
        <f t="shared" si="56"/>
        <v>.....................................</v>
      </c>
      <c r="N141" s="838" t="str">
        <f t="shared" si="56"/>
        <v>.....................................</v>
      </c>
      <c r="O141" s="838" t="str">
        <f t="shared" si="45"/>
        <v>Đinh Mạnh Toàn</v>
      </c>
      <c r="P141" s="838" t="str">
        <f t="shared" si="46"/>
        <v>CBKT</v>
      </c>
      <c r="Q141" s="860" t="str">
        <f t="shared" si="35"/>
        <v>Công ty TNHH đầu tư và phát triển KD Vượng Phát</v>
      </c>
      <c r="R141" s="838">
        <v>1</v>
      </c>
      <c r="S141" s="838">
        <v>2</v>
      </c>
      <c r="T141" s="838">
        <v>3</v>
      </c>
      <c r="U141" s="838"/>
      <c r="V141" s="861">
        <v>0.67361111111111116</v>
      </c>
      <c r="W141" s="861">
        <v>0.67708333333333337</v>
      </c>
      <c r="X141" s="861">
        <v>0.6875</v>
      </c>
      <c r="Y141" s="838"/>
      <c r="Z141" s="838"/>
      <c r="AA141" s="838"/>
      <c r="AB141" s="838"/>
      <c r="AC141" s="833"/>
      <c r="AJ141">
        <f t="shared" si="59"/>
        <v>3</v>
      </c>
    </row>
    <row r="142" spans="1:36" ht="25.5">
      <c r="A142" s="838">
        <f>IF(B142="","",COUNTA($R$4:R142))</f>
        <v>139</v>
      </c>
      <c r="B142" s="839" t="s">
        <v>619</v>
      </c>
      <c r="C142" s="838" t="str">
        <f t="shared" si="50"/>
        <v xml:space="preserve">Vũ Đình Chiến </v>
      </c>
      <c r="D142" s="838" t="str">
        <f t="shared" si="51"/>
        <v>Cán bộ BQLDA</v>
      </c>
      <c r="E142" s="838" t="str">
        <f t="shared" si="52"/>
        <v>.....................................</v>
      </c>
      <c r="F142" s="838" t="str">
        <f t="shared" si="52"/>
        <v>.....................................</v>
      </c>
      <c r="G142" s="838" t="str">
        <f t="shared" si="52"/>
        <v>.....................................</v>
      </c>
      <c r="H142" s="838" t="str">
        <f t="shared" si="52"/>
        <v>.....................................</v>
      </c>
      <c r="I142" s="838" t="str">
        <f>$AD$30</f>
        <v>Lê Minh Ngọc</v>
      </c>
      <c r="J142" s="838" t="str">
        <f>$AF$30</f>
        <v>TVGS</v>
      </c>
      <c r="K142" s="838" t="str">
        <f>$AD$18</f>
        <v>Phạm Văn Trà</v>
      </c>
      <c r="L142" s="838" t="str">
        <f>$AF$21</f>
        <v>CBKT</v>
      </c>
      <c r="M142" s="838" t="str">
        <f t="shared" si="56"/>
        <v>.....................................</v>
      </c>
      <c r="N142" s="838" t="str">
        <f t="shared" si="56"/>
        <v>.....................................</v>
      </c>
      <c r="O142" s="838" t="str">
        <f t="shared" si="45"/>
        <v>Đinh Mạnh Toàn</v>
      </c>
      <c r="P142" s="838" t="str">
        <f t="shared" si="46"/>
        <v>CBKT</v>
      </c>
      <c r="Q142" s="860" t="str">
        <f t="shared" si="35"/>
        <v>Công ty TNHH đầu tư và phát triển KD Vượng Phát</v>
      </c>
      <c r="R142" s="838">
        <v>1</v>
      </c>
      <c r="S142" s="838">
        <v>2</v>
      </c>
      <c r="T142" s="838">
        <v>3</v>
      </c>
      <c r="U142" s="838"/>
      <c r="V142" s="861">
        <v>0.43055555555555558</v>
      </c>
      <c r="W142" s="861">
        <v>0.4375</v>
      </c>
      <c r="X142" s="861">
        <v>0.44791666666666669</v>
      </c>
      <c r="Y142" s="838"/>
      <c r="Z142" s="838"/>
      <c r="AA142" s="838"/>
      <c r="AB142" s="838"/>
      <c r="AC142" s="833"/>
      <c r="AJ142">
        <f t="shared" si="59"/>
        <v>3</v>
      </c>
    </row>
    <row r="143" spans="1:36" ht="25.5">
      <c r="A143" s="838">
        <f>IF(B143="","",COUNTA($R$4:R143))</f>
        <v>140</v>
      </c>
      <c r="B143" s="839" t="s">
        <v>657</v>
      </c>
      <c r="C143" s="838" t="str">
        <f t="shared" si="50"/>
        <v xml:space="preserve">Vũ Đình Chiến </v>
      </c>
      <c r="D143" s="838" t="str">
        <f t="shared" si="51"/>
        <v>Cán bộ BQLDA</v>
      </c>
      <c r="E143" s="838" t="str">
        <f t="shared" si="52"/>
        <v>.....................................</v>
      </c>
      <c r="F143" s="838" t="str">
        <f t="shared" si="52"/>
        <v>.....................................</v>
      </c>
      <c r="G143" s="838" t="str">
        <f>$AD$25</f>
        <v>Đặng Văn Huấn</v>
      </c>
      <c r="H143" s="838" t="str">
        <f>$AF$25</f>
        <v>Phó đoàn TVGS</v>
      </c>
      <c r="I143" s="838" t="str">
        <f t="shared" ref="I143:J143" si="63">$AD$6</f>
        <v>.....................................</v>
      </c>
      <c r="J143" s="838" t="str">
        <f t="shared" si="63"/>
        <v>.....................................</v>
      </c>
      <c r="K143" s="838" t="str">
        <f>$AD$19</f>
        <v>Đinh Văn Hưởng</v>
      </c>
      <c r="L143" s="838" t="str">
        <f>$AF$19</f>
        <v>CBKT</v>
      </c>
      <c r="M143" s="838" t="str">
        <f t="shared" si="56"/>
        <v>.....................................</v>
      </c>
      <c r="N143" s="838" t="str">
        <f t="shared" si="56"/>
        <v>.....................................</v>
      </c>
      <c r="O143" s="838" t="str">
        <f t="shared" si="45"/>
        <v>Đinh Mạnh Toàn</v>
      </c>
      <c r="P143" s="838" t="str">
        <f t="shared" si="46"/>
        <v>CBKT</v>
      </c>
      <c r="Q143" s="860" t="str">
        <f t="shared" si="35"/>
        <v>Công ty TNHH đầu tư và phát triển KD Vượng Phát</v>
      </c>
      <c r="R143" s="838">
        <v>1</v>
      </c>
      <c r="S143" s="838">
        <v>2</v>
      </c>
      <c r="T143" s="838">
        <v>3</v>
      </c>
      <c r="U143" s="838"/>
      <c r="V143" s="861">
        <v>0.10069444444444443</v>
      </c>
      <c r="W143" s="861">
        <v>0.11805555555555557</v>
      </c>
      <c r="X143" s="861">
        <v>0.12847222222222224</v>
      </c>
      <c r="Y143" s="838"/>
      <c r="Z143" s="838"/>
      <c r="AA143" s="838"/>
      <c r="AB143" s="838"/>
      <c r="AC143" s="833"/>
      <c r="AJ143">
        <f t="shared" si="59"/>
        <v>3</v>
      </c>
    </row>
    <row r="144" spans="1:36" ht="25.5">
      <c r="A144" s="838">
        <f>IF(B144="","",COUNTA($R$4:R144))</f>
        <v>141</v>
      </c>
      <c r="B144" s="839" t="s">
        <v>693</v>
      </c>
      <c r="C144" s="838" t="str">
        <f t="shared" si="50"/>
        <v xml:space="preserve">Vũ Đình Chiến </v>
      </c>
      <c r="D144" s="838" t="str">
        <f t="shared" si="51"/>
        <v>Cán bộ BQLDA</v>
      </c>
      <c r="E144" s="838" t="str">
        <f t="shared" si="52"/>
        <v>.....................................</v>
      </c>
      <c r="F144" s="838" t="str">
        <f t="shared" si="52"/>
        <v>.....................................</v>
      </c>
      <c r="G144" s="838" t="str">
        <f t="shared" si="52"/>
        <v>.....................................</v>
      </c>
      <c r="H144" s="838" t="str">
        <f t="shared" si="52"/>
        <v>.....................................</v>
      </c>
      <c r="I144" s="838" t="str">
        <f>$AD$30</f>
        <v>Lê Minh Ngọc</v>
      </c>
      <c r="J144" s="838" t="str">
        <f>$AF$30</f>
        <v>TVGS</v>
      </c>
      <c r="K144" s="838" t="str">
        <f>$AD$19</f>
        <v>Đinh Văn Hưởng</v>
      </c>
      <c r="L144" s="838" t="str">
        <f>$AF$19</f>
        <v>CBKT</v>
      </c>
      <c r="M144" s="838" t="str">
        <f t="shared" si="56"/>
        <v>.....................................</v>
      </c>
      <c r="N144" s="838" t="str">
        <f t="shared" si="56"/>
        <v>.....................................</v>
      </c>
      <c r="O144" s="838" t="str">
        <f t="shared" si="45"/>
        <v>Đinh Mạnh Toàn</v>
      </c>
      <c r="P144" s="838" t="str">
        <f t="shared" si="46"/>
        <v>CBKT</v>
      </c>
      <c r="Q144" s="860" t="str">
        <f t="shared" si="35"/>
        <v>Công ty TNHH đầu tư và phát triển KD Vượng Phát</v>
      </c>
      <c r="R144" s="838">
        <v>1</v>
      </c>
      <c r="S144" s="838">
        <v>2</v>
      </c>
      <c r="T144" s="838">
        <v>3</v>
      </c>
      <c r="U144" s="838"/>
      <c r="V144" s="861">
        <v>2.4305555555555556E-2</v>
      </c>
      <c r="W144" s="861">
        <v>3.8194444444444441E-2</v>
      </c>
      <c r="X144" s="861">
        <v>4.8611111111111112E-2</v>
      </c>
      <c r="Y144" s="838"/>
      <c r="Z144" s="838"/>
      <c r="AA144" s="838"/>
      <c r="AB144" s="838"/>
      <c r="AC144" s="833"/>
      <c r="AJ144">
        <f t="shared" si="59"/>
        <v>3</v>
      </c>
    </row>
    <row r="145" spans="1:36" ht="25.5">
      <c r="A145" s="838">
        <f>IF(B145="","",COUNTA($R$4:R145))</f>
        <v>142</v>
      </c>
      <c r="B145" s="838" t="s">
        <v>692</v>
      </c>
      <c r="C145" s="838" t="str">
        <f t="shared" si="50"/>
        <v xml:space="preserve">Vũ Đình Chiến </v>
      </c>
      <c r="D145" s="838" t="str">
        <f t="shared" si="51"/>
        <v>Cán bộ BQLDA</v>
      </c>
      <c r="E145" s="838" t="str">
        <f t="shared" si="52"/>
        <v>.....................................</v>
      </c>
      <c r="F145" s="838" t="str">
        <f t="shared" si="52"/>
        <v>.....................................</v>
      </c>
      <c r="G145" s="838" t="str">
        <f t="shared" si="52"/>
        <v>.....................................</v>
      </c>
      <c r="H145" s="838" t="str">
        <f t="shared" si="52"/>
        <v>.....................................</v>
      </c>
      <c r="I145" s="838" t="str">
        <f>$AD$30</f>
        <v>Lê Minh Ngọc</v>
      </c>
      <c r="J145" s="838" t="str">
        <f>$AF$30</f>
        <v>TVGS</v>
      </c>
      <c r="K145" s="838" t="str">
        <f>$AD$18</f>
        <v>Phạm Văn Trà</v>
      </c>
      <c r="L145" s="838" t="str">
        <f>$AF$21</f>
        <v>CBKT</v>
      </c>
      <c r="M145" s="838" t="str">
        <f t="shared" si="56"/>
        <v>.....................................</v>
      </c>
      <c r="N145" s="838" t="str">
        <f t="shared" si="56"/>
        <v>.....................................</v>
      </c>
      <c r="O145" s="838" t="str">
        <f t="shared" si="45"/>
        <v>Đinh Mạnh Toàn</v>
      </c>
      <c r="P145" s="838" t="str">
        <f t="shared" si="46"/>
        <v>CBKT</v>
      </c>
      <c r="Q145" s="860" t="str">
        <f t="shared" si="35"/>
        <v>Công ty TNHH đầu tư và phát triển KD Vượng Phát</v>
      </c>
      <c r="R145" s="838">
        <v>1</v>
      </c>
      <c r="S145" s="838">
        <v>2</v>
      </c>
      <c r="T145" s="838">
        <v>3</v>
      </c>
      <c r="U145" s="838"/>
      <c r="V145" s="861">
        <v>7.6388888888888895E-2</v>
      </c>
      <c r="W145" s="861">
        <v>8.6805555555555566E-2</v>
      </c>
      <c r="X145" s="861">
        <v>0.14930555555555555</v>
      </c>
      <c r="Y145" s="838"/>
      <c r="Z145" s="838"/>
      <c r="AA145" s="838"/>
      <c r="AB145" s="838"/>
      <c r="AC145" s="833"/>
      <c r="AJ145">
        <f t="shared" si="59"/>
        <v>3</v>
      </c>
    </row>
    <row r="146" spans="1:36" ht="25.5">
      <c r="A146" s="838">
        <f>IF(B146="","",COUNTA($R$4:R146))</f>
        <v>143</v>
      </c>
      <c r="B146" s="838" t="s">
        <v>579</v>
      </c>
      <c r="C146" s="838" t="str">
        <f t="shared" si="50"/>
        <v xml:space="preserve">Vũ Đình Chiến </v>
      </c>
      <c r="D146" s="838" t="str">
        <f t="shared" si="51"/>
        <v>Cán bộ BQLDA</v>
      </c>
      <c r="E146" s="838" t="str">
        <f t="shared" si="52"/>
        <v>.....................................</v>
      </c>
      <c r="F146" s="838" t="str">
        <f t="shared" si="52"/>
        <v>.....................................</v>
      </c>
      <c r="G146" s="838" t="str">
        <f t="shared" si="52"/>
        <v>.....................................</v>
      </c>
      <c r="H146" s="838" t="str">
        <f t="shared" si="52"/>
        <v>.....................................</v>
      </c>
      <c r="I146" s="838" t="str">
        <f>$AD$30</f>
        <v>Lê Minh Ngọc</v>
      </c>
      <c r="J146" s="838" t="str">
        <f>$AF$30</f>
        <v>TVGS</v>
      </c>
      <c r="K146" s="838" t="str">
        <f>$AD$18</f>
        <v>Phạm Văn Trà</v>
      </c>
      <c r="L146" s="838" t="str">
        <f>$AF$21</f>
        <v>CBKT</v>
      </c>
      <c r="M146" s="838" t="str">
        <f t="shared" si="56"/>
        <v>.....................................</v>
      </c>
      <c r="N146" s="838" t="str">
        <f t="shared" si="56"/>
        <v>.....................................</v>
      </c>
      <c r="O146" s="838" t="str">
        <f t="shared" si="45"/>
        <v>Đinh Mạnh Toàn</v>
      </c>
      <c r="P146" s="838" t="str">
        <f t="shared" si="46"/>
        <v>CBKT</v>
      </c>
      <c r="Q146" s="860" t="str">
        <f t="shared" si="35"/>
        <v>Công ty TNHH đầu tư và phát triển KD Vượng Phát</v>
      </c>
      <c r="R146" s="838">
        <v>1</v>
      </c>
      <c r="S146" s="838">
        <v>2</v>
      </c>
      <c r="T146" s="838">
        <v>3</v>
      </c>
      <c r="U146" s="838"/>
      <c r="V146" s="861">
        <v>0.20833333333333334</v>
      </c>
      <c r="W146" s="861">
        <v>0.21527777777777779</v>
      </c>
      <c r="X146" s="861">
        <v>0.22222222222222221</v>
      </c>
      <c r="Y146" s="838"/>
      <c r="Z146" s="838"/>
      <c r="AA146" s="838"/>
      <c r="AB146" s="838"/>
      <c r="AC146" s="833"/>
      <c r="AJ146">
        <f t="shared" si="59"/>
        <v>3</v>
      </c>
    </row>
    <row r="147" spans="1:36" ht="25.5">
      <c r="A147" s="838">
        <f>IF(B147="","",COUNTA($R$4:R147))</f>
        <v>144</v>
      </c>
      <c r="B147" s="838" t="s">
        <v>611</v>
      </c>
      <c r="C147" s="838" t="str">
        <f t="shared" si="50"/>
        <v xml:space="preserve">Vũ Đình Chiến </v>
      </c>
      <c r="D147" s="838" t="str">
        <f t="shared" si="51"/>
        <v>Cán bộ BQLDA</v>
      </c>
      <c r="E147" s="838" t="str">
        <f t="shared" si="52"/>
        <v>.....................................</v>
      </c>
      <c r="F147" s="838" t="str">
        <f t="shared" si="52"/>
        <v>.....................................</v>
      </c>
      <c r="G147" s="838" t="str">
        <f t="shared" si="52"/>
        <v>.....................................</v>
      </c>
      <c r="H147" s="838" t="str">
        <f t="shared" si="52"/>
        <v>.....................................</v>
      </c>
      <c r="I147" s="838" t="str">
        <f>$AD$31</f>
        <v>Nguyễn Tiến Thăng</v>
      </c>
      <c r="J147" s="838" t="str">
        <f>$AF$31</f>
        <v>TVGS</v>
      </c>
      <c r="K147" s="838" t="str">
        <f>$AD$19</f>
        <v>Đinh Văn Hưởng</v>
      </c>
      <c r="L147" s="838" t="str">
        <f>$AF$19</f>
        <v>CBKT</v>
      </c>
      <c r="M147" s="838" t="str">
        <f t="shared" si="56"/>
        <v>.....................................</v>
      </c>
      <c r="N147" s="838" t="str">
        <f t="shared" si="56"/>
        <v>.....................................</v>
      </c>
      <c r="O147" s="838" t="str">
        <f t="shared" si="45"/>
        <v>Đinh Mạnh Toàn</v>
      </c>
      <c r="P147" s="838" t="str">
        <f t="shared" si="46"/>
        <v>CBKT</v>
      </c>
      <c r="Q147" s="860" t="str">
        <f t="shared" si="35"/>
        <v>Công ty TNHH đầu tư và phát triển KD Vượng Phát</v>
      </c>
      <c r="R147" s="838">
        <v>1</v>
      </c>
      <c r="S147" s="838">
        <v>2</v>
      </c>
      <c r="T147" s="838">
        <v>3</v>
      </c>
      <c r="U147" s="838"/>
      <c r="V147" s="861">
        <v>0.625</v>
      </c>
      <c r="W147" s="861">
        <v>0.63888888888888895</v>
      </c>
      <c r="X147" s="861">
        <v>0.64583333333333337</v>
      </c>
      <c r="Y147" s="838"/>
      <c r="Z147" s="838"/>
      <c r="AA147" s="838"/>
      <c r="AB147" s="838"/>
      <c r="AC147" s="833"/>
      <c r="AJ147">
        <f t="shared" si="59"/>
        <v>3</v>
      </c>
    </row>
    <row r="148" spans="1:36" ht="25.5">
      <c r="A148" s="838">
        <f>IF(B148="","",COUNTA($R$4:R148))</f>
        <v>145</v>
      </c>
      <c r="B148" s="838" t="s">
        <v>700</v>
      </c>
      <c r="C148" s="838" t="str">
        <f t="shared" si="50"/>
        <v xml:space="preserve">Vũ Đình Chiến </v>
      </c>
      <c r="D148" s="838" t="str">
        <f t="shared" si="51"/>
        <v>Cán bộ BQLDA</v>
      </c>
      <c r="E148" s="838" t="str">
        <f t="shared" si="52"/>
        <v>.....................................</v>
      </c>
      <c r="F148" s="838" t="str">
        <f t="shared" si="52"/>
        <v>.....................................</v>
      </c>
      <c r="G148" s="838" t="str">
        <f t="shared" si="52"/>
        <v>.....................................</v>
      </c>
      <c r="H148" s="838" t="str">
        <f t="shared" si="52"/>
        <v>.....................................</v>
      </c>
      <c r="I148" s="838" t="str">
        <f>$AD$30</f>
        <v>Lê Minh Ngọc</v>
      </c>
      <c r="J148" s="838" t="str">
        <f>$AF$30</f>
        <v>TVGS</v>
      </c>
      <c r="K148" s="838" t="str">
        <f>$AD$18</f>
        <v>Phạm Văn Trà</v>
      </c>
      <c r="L148" s="838" t="str">
        <f>$AF$21</f>
        <v>CBKT</v>
      </c>
      <c r="M148" s="838" t="str">
        <f t="shared" si="56"/>
        <v>.....................................</v>
      </c>
      <c r="N148" s="838" t="str">
        <f t="shared" si="56"/>
        <v>.....................................</v>
      </c>
      <c r="O148" s="838" t="str">
        <f t="shared" si="45"/>
        <v>Đinh Mạnh Toàn</v>
      </c>
      <c r="P148" s="838" t="str">
        <f t="shared" si="46"/>
        <v>CBKT</v>
      </c>
      <c r="Q148" s="860" t="str">
        <f t="shared" si="35"/>
        <v>Công ty TNHH đầu tư và phát triển KD Vượng Phát</v>
      </c>
      <c r="R148" s="838">
        <v>1</v>
      </c>
      <c r="S148" s="838">
        <v>2</v>
      </c>
      <c r="T148" s="838">
        <v>3</v>
      </c>
      <c r="U148" s="838"/>
      <c r="V148" s="861">
        <v>0.13541666666666666</v>
      </c>
      <c r="W148" s="861">
        <v>0.1423611111111111</v>
      </c>
      <c r="X148" s="861">
        <v>0.15277777777777776</v>
      </c>
      <c r="Y148" s="838"/>
      <c r="Z148" s="838"/>
      <c r="AA148" s="838"/>
      <c r="AB148" s="838"/>
      <c r="AC148" s="833"/>
      <c r="AJ148">
        <f t="shared" si="59"/>
        <v>3</v>
      </c>
    </row>
    <row r="149" spans="1:36" ht="25.5">
      <c r="A149" s="838">
        <f>IF(B149="","",COUNTA($R$4:R149))</f>
        <v>146</v>
      </c>
      <c r="B149" s="838" t="s">
        <v>677</v>
      </c>
      <c r="C149" s="838" t="str">
        <f t="shared" si="50"/>
        <v xml:space="preserve">Vũ Đình Chiến </v>
      </c>
      <c r="D149" s="838" t="str">
        <f t="shared" si="51"/>
        <v>Cán bộ BQLDA</v>
      </c>
      <c r="E149" s="838" t="str">
        <f t="shared" si="52"/>
        <v>.....................................</v>
      </c>
      <c r="F149" s="838" t="str">
        <f t="shared" si="52"/>
        <v>.....................................</v>
      </c>
      <c r="G149" s="838" t="str">
        <f t="shared" si="52"/>
        <v>.....................................</v>
      </c>
      <c r="H149" s="838" t="str">
        <f t="shared" si="52"/>
        <v>.....................................</v>
      </c>
      <c r="I149" s="838" t="str">
        <f>$AD$30</f>
        <v>Lê Minh Ngọc</v>
      </c>
      <c r="J149" s="838" t="str">
        <f>$AF$30</f>
        <v>TVGS</v>
      </c>
      <c r="K149" s="838" t="str">
        <f>$AD$18</f>
        <v>Phạm Văn Trà</v>
      </c>
      <c r="L149" s="838" t="str">
        <f>$AF$21</f>
        <v>CBKT</v>
      </c>
      <c r="M149" s="838" t="str">
        <f t="shared" si="56"/>
        <v>.....................................</v>
      </c>
      <c r="N149" s="838" t="str">
        <f t="shared" si="56"/>
        <v>.....................................</v>
      </c>
      <c r="O149" s="838" t="str">
        <f t="shared" si="45"/>
        <v>Đinh Mạnh Toàn</v>
      </c>
      <c r="P149" s="838" t="str">
        <f t="shared" si="46"/>
        <v>CBKT</v>
      </c>
      <c r="Q149" s="860" t="str">
        <f t="shared" si="35"/>
        <v>Công ty TNHH đầu tư và phát triển KD Vượng Phát</v>
      </c>
      <c r="R149" s="838">
        <v>1</v>
      </c>
      <c r="S149" s="838">
        <v>2</v>
      </c>
      <c r="T149" s="838">
        <v>3</v>
      </c>
      <c r="U149" s="838"/>
      <c r="V149" s="861">
        <v>0.35416666666666669</v>
      </c>
      <c r="W149" s="861">
        <v>0.3611111111111111</v>
      </c>
      <c r="X149" s="861">
        <v>0.37847222222222227</v>
      </c>
      <c r="Y149" s="838"/>
      <c r="Z149" s="838"/>
      <c r="AA149" s="838"/>
      <c r="AB149" s="838"/>
      <c r="AC149" s="833"/>
      <c r="AJ149">
        <f t="shared" si="59"/>
        <v>3</v>
      </c>
    </row>
    <row r="150" spans="1:36" ht="25.5">
      <c r="A150" s="838">
        <f>IF(B150="","",COUNTA($R$4:R150))</f>
        <v>147</v>
      </c>
      <c r="B150" s="1071" t="s">
        <v>631</v>
      </c>
      <c r="C150" s="838" t="str">
        <f t="shared" si="50"/>
        <v xml:space="preserve">Vũ Đình Chiến </v>
      </c>
      <c r="D150" s="838" t="str">
        <f t="shared" si="51"/>
        <v>Cán bộ BQLDA</v>
      </c>
      <c r="E150" s="838" t="str">
        <f t="shared" si="52"/>
        <v>.....................................</v>
      </c>
      <c r="F150" s="838" t="str">
        <f t="shared" si="52"/>
        <v>.....................................</v>
      </c>
      <c r="G150" s="838" t="str">
        <f t="shared" si="52"/>
        <v>.....................................</v>
      </c>
      <c r="H150" s="838" t="str">
        <f t="shared" si="52"/>
        <v>.....................................</v>
      </c>
      <c r="I150" s="838" t="str">
        <f>$AD$30</f>
        <v>Lê Minh Ngọc</v>
      </c>
      <c r="J150" s="838" t="str">
        <f>$AF$30</f>
        <v>TVGS</v>
      </c>
      <c r="K150" s="838" t="str">
        <f>$AD$18</f>
        <v>Phạm Văn Trà</v>
      </c>
      <c r="L150" s="838" t="str">
        <f>$AF$21</f>
        <v>CBKT</v>
      </c>
      <c r="M150" s="838" t="str">
        <f t="shared" si="56"/>
        <v>.....................................</v>
      </c>
      <c r="N150" s="838" t="str">
        <f t="shared" si="56"/>
        <v>.....................................</v>
      </c>
      <c r="O150" s="838" t="str">
        <f t="shared" si="45"/>
        <v>Đinh Mạnh Toàn</v>
      </c>
      <c r="P150" s="838" t="str">
        <f t="shared" si="46"/>
        <v>CBKT</v>
      </c>
      <c r="Q150" s="860" t="str">
        <f t="shared" si="35"/>
        <v>Công ty TNHH đầu tư và phát triển KD Vượng Phát</v>
      </c>
      <c r="R150" s="838">
        <v>1</v>
      </c>
      <c r="S150" s="838">
        <v>2</v>
      </c>
      <c r="T150" s="838"/>
      <c r="U150" s="838"/>
      <c r="V150" s="861">
        <v>2.7777777777777776E-2</v>
      </c>
      <c r="W150" s="861">
        <v>3.125E-2</v>
      </c>
      <c r="X150" s="838"/>
      <c r="Y150" s="838"/>
      <c r="Z150" s="838"/>
      <c r="AA150" s="838"/>
      <c r="AB150" s="838"/>
      <c r="AC150" s="833"/>
      <c r="AJ150">
        <f t="shared" si="59"/>
        <v>2</v>
      </c>
    </row>
    <row r="151" spans="1:36" ht="25.5">
      <c r="A151" s="838">
        <f>IF(B151="","",COUNTA($R$4:R151))</f>
        <v>148</v>
      </c>
      <c r="B151" s="1071" t="s">
        <v>703</v>
      </c>
      <c r="C151" s="838" t="str">
        <f t="shared" si="50"/>
        <v xml:space="preserve">Vũ Đình Chiến </v>
      </c>
      <c r="D151" s="838" t="str">
        <f t="shared" si="51"/>
        <v>Cán bộ BQLDA</v>
      </c>
      <c r="E151" s="838" t="str">
        <f t="shared" si="52"/>
        <v>.....................................</v>
      </c>
      <c r="F151" s="838" t="str">
        <f t="shared" si="52"/>
        <v>.....................................</v>
      </c>
      <c r="G151" s="838" t="str">
        <f t="shared" si="52"/>
        <v>.....................................</v>
      </c>
      <c r="H151" s="838" t="str">
        <f t="shared" si="52"/>
        <v>.....................................</v>
      </c>
      <c r="I151" s="838" t="str">
        <f>$AD$30</f>
        <v>Lê Minh Ngọc</v>
      </c>
      <c r="J151" s="838" t="str">
        <f>$AF$30</f>
        <v>TVGS</v>
      </c>
      <c r="K151" s="838" t="str">
        <f>$AD$18</f>
        <v>Phạm Văn Trà</v>
      </c>
      <c r="L151" s="838" t="str">
        <f>$AF$21</f>
        <v>CBKT</v>
      </c>
      <c r="M151" s="838" t="str">
        <f t="shared" si="56"/>
        <v>.....................................</v>
      </c>
      <c r="N151" s="838" t="str">
        <f t="shared" si="56"/>
        <v>.....................................</v>
      </c>
      <c r="O151" s="838" t="str">
        <f t="shared" si="45"/>
        <v>Đinh Mạnh Toàn</v>
      </c>
      <c r="P151" s="838" t="str">
        <f t="shared" si="46"/>
        <v>CBKT</v>
      </c>
      <c r="Q151" s="860" t="str">
        <f t="shared" si="35"/>
        <v>Công ty TNHH đầu tư và phát triển KD Vượng Phát</v>
      </c>
      <c r="R151" s="838">
        <v>1</v>
      </c>
      <c r="S151" s="838">
        <v>2</v>
      </c>
      <c r="T151" s="838">
        <v>3</v>
      </c>
      <c r="U151" s="838"/>
      <c r="V151" s="861">
        <v>0.73611111111111116</v>
      </c>
      <c r="W151" s="861">
        <v>0.74652777777777779</v>
      </c>
      <c r="X151" s="861">
        <v>0.75694444444444453</v>
      </c>
      <c r="Y151" s="838"/>
      <c r="Z151" s="838"/>
      <c r="AA151" s="838"/>
      <c r="AB151" s="838"/>
      <c r="AC151" s="833"/>
      <c r="AJ151">
        <f t="shared" si="59"/>
        <v>3</v>
      </c>
    </row>
    <row r="152" spans="1:36" ht="25.5">
      <c r="A152" s="838">
        <f>IF(B152="","",COUNTA($R$4:R152))</f>
        <v>149</v>
      </c>
      <c r="B152" s="1071" t="s">
        <v>695</v>
      </c>
      <c r="C152" s="838" t="str">
        <f t="shared" si="50"/>
        <v xml:space="preserve">Vũ Đình Chiến </v>
      </c>
      <c r="D152" s="838" t="str">
        <f t="shared" si="51"/>
        <v>Cán bộ BQLDA</v>
      </c>
      <c r="E152" s="838" t="str">
        <f t="shared" si="52"/>
        <v>.....................................</v>
      </c>
      <c r="F152" s="838" t="str">
        <f t="shared" si="52"/>
        <v>.....................................</v>
      </c>
      <c r="G152" s="838" t="str">
        <f t="shared" si="52"/>
        <v>.....................................</v>
      </c>
      <c r="H152" s="838" t="str">
        <f t="shared" si="52"/>
        <v>.....................................</v>
      </c>
      <c r="I152" s="838" t="str">
        <f>$AD$30</f>
        <v>Lê Minh Ngọc</v>
      </c>
      <c r="J152" s="838" t="str">
        <f>$AF$30</f>
        <v>TVGS</v>
      </c>
      <c r="K152" s="838" t="str">
        <f>$AD$19</f>
        <v>Đinh Văn Hưởng</v>
      </c>
      <c r="L152" s="838" t="str">
        <f>$AF$19</f>
        <v>CBKT</v>
      </c>
      <c r="M152" s="838" t="str">
        <f t="shared" si="56"/>
        <v>.....................................</v>
      </c>
      <c r="N152" s="838" t="str">
        <f t="shared" si="56"/>
        <v>.....................................</v>
      </c>
      <c r="O152" s="838" t="str">
        <f t="shared" si="45"/>
        <v>Đinh Mạnh Toàn</v>
      </c>
      <c r="P152" s="838" t="str">
        <f t="shared" si="46"/>
        <v>CBKT</v>
      </c>
      <c r="Q152" s="860" t="str">
        <f t="shared" si="35"/>
        <v>Công ty TNHH đầu tư và phát triển KD Vượng Phát</v>
      </c>
      <c r="R152" s="838">
        <v>1</v>
      </c>
      <c r="S152" s="838">
        <v>2</v>
      </c>
      <c r="T152" s="838">
        <v>3</v>
      </c>
      <c r="U152" s="838"/>
      <c r="V152" s="861">
        <v>0.23958333333333334</v>
      </c>
      <c r="W152" s="861">
        <v>0.24305555555555555</v>
      </c>
      <c r="X152" s="861">
        <v>0.25694444444444448</v>
      </c>
      <c r="Y152" s="838"/>
      <c r="Z152" s="838"/>
      <c r="AA152" s="838"/>
      <c r="AB152" s="838"/>
      <c r="AC152" s="833"/>
      <c r="AJ152">
        <f t="shared" si="59"/>
        <v>3</v>
      </c>
    </row>
    <row r="153" spans="1:36" ht="25.5">
      <c r="A153" s="838">
        <f>IF(B153="","",COUNTA($R$4:R153))</f>
        <v>150</v>
      </c>
      <c r="B153" s="838" t="s">
        <v>588</v>
      </c>
      <c r="C153" s="838" t="str">
        <f t="shared" si="50"/>
        <v xml:space="preserve">Vũ Đình Chiến </v>
      </c>
      <c r="D153" s="838" t="str">
        <f t="shared" si="51"/>
        <v>Cán bộ BQLDA</v>
      </c>
      <c r="E153" s="838" t="str">
        <f t="shared" si="52"/>
        <v>.....................................</v>
      </c>
      <c r="F153" s="838" t="str">
        <f t="shared" si="52"/>
        <v>.....................................</v>
      </c>
      <c r="G153" s="838" t="str">
        <f t="shared" si="52"/>
        <v>.....................................</v>
      </c>
      <c r="H153" s="838" t="str">
        <f t="shared" si="52"/>
        <v>.....................................</v>
      </c>
      <c r="I153" s="838" t="str">
        <f>$AD$31</f>
        <v>Nguyễn Tiến Thăng</v>
      </c>
      <c r="J153" s="838" t="str">
        <f>$AF$31</f>
        <v>TVGS</v>
      </c>
      <c r="K153" s="838" t="str">
        <f>$AD$19</f>
        <v>Đinh Văn Hưởng</v>
      </c>
      <c r="L153" s="838" t="str">
        <f>$AF$19</f>
        <v>CBKT</v>
      </c>
      <c r="M153" s="838" t="str">
        <f t="shared" si="56"/>
        <v>.....................................</v>
      </c>
      <c r="N153" s="838" t="str">
        <f t="shared" si="56"/>
        <v>.....................................</v>
      </c>
      <c r="O153" s="838" t="str">
        <f t="shared" si="45"/>
        <v>Đinh Mạnh Toàn</v>
      </c>
      <c r="P153" s="838" t="str">
        <f t="shared" si="46"/>
        <v>CBKT</v>
      </c>
      <c r="Q153" s="860" t="str">
        <f t="shared" si="35"/>
        <v>Công ty TNHH đầu tư và phát triển KD Vượng Phát</v>
      </c>
      <c r="R153" s="838">
        <v>1</v>
      </c>
      <c r="S153" s="838">
        <v>2</v>
      </c>
      <c r="T153" s="838">
        <v>3</v>
      </c>
      <c r="U153" s="838"/>
      <c r="V153" s="861">
        <v>0.54166666666666663</v>
      </c>
      <c r="W153" s="861">
        <v>0.55208333333333337</v>
      </c>
      <c r="X153" s="861">
        <v>0.5625</v>
      </c>
      <c r="Y153" s="838"/>
      <c r="Z153" s="838"/>
      <c r="AA153" s="838"/>
      <c r="AB153" s="838"/>
      <c r="AC153" s="833"/>
      <c r="AJ153">
        <f t="shared" si="59"/>
        <v>3</v>
      </c>
    </row>
    <row r="154" spans="1:36" ht="25.5">
      <c r="A154" s="838">
        <f>IF(B154="","",COUNTA($R$4:R154))</f>
        <v>151</v>
      </c>
      <c r="B154" s="838" t="s">
        <v>491</v>
      </c>
      <c r="C154" s="838" t="str">
        <f t="shared" si="50"/>
        <v xml:space="preserve">Vũ Đình Chiến </v>
      </c>
      <c r="D154" s="838" t="str">
        <f t="shared" si="51"/>
        <v>Cán bộ BQLDA</v>
      </c>
      <c r="E154" s="838" t="str">
        <f t="shared" si="52"/>
        <v>.....................................</v>
      </c>
      <c r="F154" s="838" t="str">
        <f t="shared" si="52"/>
        <v>.....................................</v>
      </c>
      <c r="G154" s="838" t="str">
        <f>$AD$25</f>
        <v>Đặng Văn Huấn</v>
      </c>
      <c r="H154" s="838" t="str">
        <f>$AF$25</f>
        <v>Phó đoàn TVGS</v>
      </c>
      <c r="I154" s="838" t="str">
        <f t="shared" ref="I154:J169" si="64">$AD$6</f>
        <v>.....................................</v>
      </c>
      <c r="J154" s="838" t="str">
        <f t="shared" si="64"/>
        <v>.....................................</v>
      </c>
      <c r="K154" s="838" t="str">
        <f>$AD$18</f>
        <v>Phạm Văn Trà</v>
      </c>
      <c r="L154" s="838" t="str">
        <f>$AF$21</f>
        <v>CBKT</v>
      </c>
      <c r="M154" s="838" t="str">
        <f t="shared" si="56"/>
        <v>.....................................</v>
      </c>
      <c r="N154" s="838" t="str">
        <f t="shared" si="56"/>
        <v>.....................................</v>
      </c>
      <c r="O154" s="838" t="str">
        <f t="shared" si="45"/>
        <v>Đinh Mạnh Toàn</v>
      </c>
      <c r="P154" s="838" t="str">
        <f t="shared" si="46"/>
        <v>CBKT</v>
      </c>
      <c r="Q154" s="860" t="str">
        <f t="shared" si="35"/>
        <v>Công ty TNHH đầu tư và phát triển KD Vượng Phát</v>
      </c>
      <c r="R154" s="838">
        <v>1</v>
      </c>
      <c r="S154" s="838">
        <v>2</v>
      </c>
      <c r="T154" s="838">
        <v>3</v>
      </c>
      <c r="U154" s="838"/>
      <c r="V154" s="861">
        <v>0.73263888888888884</v>
      </c>
      <c r="W154" s="861">
        <v>0.73611111111111116</v>
      </c>
      <c r="X154" s="861">
        <v>0.75694444444444453</v>
      </c>
      <c r="Y154" s="838"/>
      <c r="Z154" s="838"/>
      <c r="AA154" s="838"/>
      <c r="AB154" s="838"/>
      <c r="AC154" s="833"/>
      <c r="AJ154">
        <f t="shared" si="59"/>
        <v>3</v>
      </c>
    </row>
    <row r="155" spans="1:36" ht="25.5">
      <c r="A155" s="838">
        <f>IF(B155="","",COUNTA($R$4:R155))</f>
        <v>152</v>
      </c>
      <c r="B155" s="838" t="s">
        <v>687</v>
      </c>
      <c r="C155" s="838" t="str">
        <f t="shared" si="50"/>
        <v xml:space="preserve">Vũ Đình Chiến </v>
      </c>
      <c r="D155" s="838" t="str">
        <f t="shared" si="51"/>
        <v>Cán bộ BQLDA</v>
      </c>
      <c r="E155" s="838" t="str">
        <f t="shared" si="52"/>
        <v>.....................................</v>
      </c>
      <c r="F155" s="838" t="str">
        <f t="shared" si="52"/>
        <v>.....................................</v>
      </c>
      <c r="G155" s="838" t="str">
        <f t="shared" si="52"/>
        <v>.....................................</v>
      </c>
      <c r="H155" s="838" t="str">
        <f t="shared" si="52"/>
        <v>.....................................</v>
      </c>
      <c r="I155" s="838" t="str">
        <f>$AD$30</f>
        <v>Lê Minh Ngọc</v>
      </c>
      <c r="J155" s="838" t="str">
        <f>$AF$30</f>
        <v>TVGS</v>
      </c>
      <c r="K155" s="838" t="str">
        <f>$AD$19</f>
        <v>Đinh Văn Hưởng</v>
      </c>
      <c r="L155" s="838" t="str">
        <f>$AF$19</f>
        <v>CBKT</v>
      </c>
      <c r="M155" s="838" t="str">
        <f t="shared" si="56"/>
        <v>.....................................</v>
      </c>
      <c r="N155" s="838" t="str">
        <f t="shared" si="56"/>
        <v>.....................................</v>
      </c>
      <c r="O155" s="838" t="str">
        <f t="shared" si="45"/>
        <v>Đinh Mạnh Toàn</v>
      </c>
      <c r="P155" s="838" t="str">
        <f t="shared" si="46"/>
        <v>CBKT</v>
      </c>
      <c r="Q155" s="860" t="str">
        <f t="shared" si="35"/>
        <v>Công ty TNHH đầu tư và phát triển KD Vượng Phát</v>
      </c>
      <c r="R155" s="838">
        <v>1</v>
      </c>
      <c r="S155" s="838">
        <v>2</v>
      </c>
      <c r="T155" s="838">
        <v>3</v>
      </c>
      <c r="U155" s="838"/>
      <c r="V155" s="861">
        <v>1.7361111111111112E-2</v>
      </c>
      <c r="W155" s="861">
        <v>2.0833333333333332E-2</v>
      </c>
      <c r="X155" s="861">
        <v>3.4722222222222224E-2</v>
      </c>
      <c r="Y155" s="838"/>
      <c r="Z155" s="838"/>
      <c r="AA155" s="838"/>
      <c r="AB155" s="838"/>
      <c r="AC155" s="833"/>
      <c r="AJ155">
        <f t="shared" si="59"/>
        <v>3</v>
      </c>
    </row>
    <row r="156" spans="1:36" ht="25.5">
      <c r="A156" s="838">
        <f>IF(B156="","",COUNTA($R$4:R156))</f>
        <v>153</v>
      </c>
      <c r="B156" s="838" t="s">
        <v>535</v>
      </c>
      <c r="C156" s="838" t="str">
        <f t="shared" si="50"/>
        <v xml:space="preserve">Vũ Đình Chiến </v>
      </c>
      <c r="D156" s="838" t="str">
        <f t="shared" si="51"/>
        <v>Cán bộ BQLDA</v>
      </c>
      <c r="E156" s="838" t="str">
        <f t="shared" si="52"/>
        <v>.....................................</v>
      </c>
      <c r="F156" s="838" t="str">
        <f t="shared" si="52"/>
        <v>.....................................</v>
      </c>
      <c r="G156" s="838" t="str">
        <f>$AD$25</f>
        <v>Đặng Văn Huấn</v>
      </c>
      <c r="H156" s="838" t="str">
        <f>$AF$25</f>
        <v>Phó đoàn TVGS</v>
      </c>
      <c r="I156" s="838" t="str">
        <f t="shared" si="64"/>
        <v>.....................................</v>
      </c>
      <c r="J156" s="838" t="str">
        <f t="shared" si="64"/>
        <v>.....................................</v>
      </c>
      <c r="K156" s="838" t="str">
        <f>$AD$18</f>
        <v>Phạm Văn Trà</v>
      </c>
      <c r="L156" s="838" t="str">
        <f>$AF$21</f>
        <v>CBKT</v>
      </c>
      <c r="M156" s="838" t="str">
        <f t="shared" si="56"/>
        <v>.....................................</v>
      </c>
      <c r="N156" s="838" t="str">
        <f t="shared" si="56"/>
        <v>.....................................</v>
      </c>
      <c r="O156" s="838" t="str">
        <f t="shared" si="45"/>
        <v>Đinh Mạnh Toàn</v>
      </c>
      <c r="P156" s="838" t="str">
        <f t="shared" si="46"/>
        <v>CBKT</v>
      </c>
      <c r="Q156" s="860" t="str">
        <f t="shared" si="35"/>
        <v>Công ty TNHH đầu tư và phát triển KD Vượng Phát</v>
      </c>
      <c r="R156" s="838">
        <v>1</v>
      </c>
      <c r="S156" s="838">
        <v>2</v>
      </c>
      <c r="T156" s="838"/>
      <c r="U156" s="838"/>
      <c r="V156" s="861">
        <v>0.55208333333333337</v>
      </c>
      <c r="W156" s="861">
        <v>0.55902777777777779</v>
      </c>
      <c r="X156" s="838"/>
      <c r="Y156" s="838"/>
      <c r="Z156" s="838"/>
      <c r="AA156" s="838"/>
      <c r="AB156" s="838"/>
      <c r="AC156" s="833"/>
      <c r="AJ156">
        <f t="shared" si="59"/>
        <v>2</v>
      </c>
    </row>
    <row r="157" spans="1:36" ht="25.5">
      <c r="A157" s="838">
        <f>IF(B157="","",COUNTA($R$4:R157))</f>
        <v>154</v>
      </c>
      <c r="B157" s="838" t="s">
        <v>517</v>
      </c>
      <c r="C157" s="838" t="str">
        <f t="shared" si="50"/>
        <v xml:space="preserve">Vũ Đình Chiến </v>
      </c>
      <c r="D157" s="838" t="str">
        <f t="shared" si="51"/>
        <v>Cán bộ BQLDA</v>
      </c>
      <c r="E157" s="838" t="str">
        <f t="shared" si="52"/>
        <v>.....................................</v>
      </c>
      <c r="F157" s="838" t="str">
        <f t="shared" si="52"/>
        <v>.....................................</v>
      </c>
      <c r="G157" s="838" t="str">
        <f t="shared" si="52"/>
        <v>.....................................</v>
      </c>
      <c r="H157" s="838" t="str">
        <f t="shared" si="52"/>
        <v>.....................................</v>
      </c>
      <c r="I157" s="838" t="str">
        <f>$AD$30</f>
        <v>Lê Minh Ngọc</v>
      </c>
      <c r="J157" s="838" t="str">
        <f>$AF$30</f>
        <v>TVGS</v>
      </c>
      <c r="K157" s="838" t="str">
        <f>$AD$19</f>
        <v>Đinh Văn Hưởng</v>
      </c>
      <c r="L157" s="838" t="str">
        <f>$AF$19</f>
        <v>CBKT</v>
      </c>
      <c r="M157" s="838" t="str">
        <f t="shared" si="56"/>
        <v>.....................................</v>
      </c>
      <c r="N157" s="838" t="str">
        <f t="shared" si="56"/>
        <v>.....................................</v>
      </c>
      <c r="O157" s="838" t="str">
        <f t="shared" si="45"/>
        <v>Đinh Mạnh Toàn</v>
      </c>
      <c r="P157" s="838" t="str">
        <f t="shared" si="46"/>
        <v>CBKT</v>
      </c>
      <c r="Q157" s="860" t="str">
        <f t="shared" si="35"/>
        <v>Công ty TNHH đầu tư và phát triển KD Vượng Phát</v>
      </c>
      <c r="R157" s="838">
        <v>1</v>
      </c>
      <c r="S157" s="838">
        <v>2</v>
      </c>
      <c r="T157" s="838">
        <v>3</v>
      </c>
      <c r="U157" s="838"/>
      <c r="V157" s="861">
        <v>0.12847222222222224</v>
      </c>
      <c r="W157" s="861">
        <v>0.14027777777777778</v>
      </c>
      <c r="X157" s="861">
        <v>0.17708333333333334</v>
      </c>
      <c r="Y157" s="838"/>
      <c r="Z157" s="838"/>
      <c r="AA157" s="838"/>
      <c r="AB157" s="838"/>
      <c r="AC157" s="833"/>
      <c r="AJ157">
        <f t="shared" si="59"/>
        <v>3</v>
      </c>
    </row>
    <row r="158" spans="1:36" ht="25.5">
      <c r="A158" s="838">
        <f>IF(B158="","",COUNTA($R$4:R158))</f>
        <v>155</v>
      </c>
      <c r="B158" s="838" t="s">
        <v>616</v>
      </c>
      <c r="C158" s="838" t="str">
        <f t="shared" si="50"/>
        <v xml:space="preserve">Vũ Đình Chiến </v>
      </c>
      <c r="D158" s="838" t="str">
        <f t="shared" si="51"/>
        <v>Cán bộ BQLDA</v>
      </c>
      <c r="E158" s="838" t="str">
        <f t="shared" si="52"/>
        <v>.....................................</v>
      </c>
      <c r="F158" s="838" t="str">
        <f t="shared" si="52"/>
        <v>.....................................</v>
      </c>
      <c r="G158" s="838" t="str">
        <f>$AD$25</f>
        <v>Đặng Văn Huấn</v>
      </c>
      <c r="H158" s="838" t="str">
        <f>$AF$25</f>
        <v>Phó đoàn TVGS</v>
      </c>
      <c r="I158" s="838" t="str">
        <f t="shared" si="64"/>
        <v>.....................................</v>
      </c>
      <c r="J158" s="838" t="str">
        <f t="shared" si="64"/>
        <v>.....................................</v>
      </c>
      <c r="K158" s="838" t="str">
        <f>$AD$18</f>
        <v>Phạm Văn Trà</v>
      </c>
      <c r="L158" s="838" t="str">
        <f>$AF$21</f>
        <v>CBKT</v>
      </c>
      <c r="M158" s="838" t="str">
        <f t="shared" si="56"/>
        <v>.....................................</v>
      </c>
      <c r="N158" s="838" t="str">
        <f t="shared" si="56"/>
        <v>.....................................</v>
      </c>
      <c r="O158" s="838" t="str">
        <f t="shared" si="45"/>
        <v>Đinh Mạnh Toàn</v>
      </c>
      <c r="P158" s="838" t="str">
        <f t="shared" si="46"/>
        <v>CBKT</v>
      </c>
      <c r="Q158" s="860" t="str">
        <f t="shared" si="35"/>
        <v>Công ty TNHH đầu tư và phát triển KD Vượng Phát</v>
      </c>
      <c r="R158" s="838">
        <v>1</v>
      </c>
      <c r="S158" s="838">
        <v>2</v>
      </c>
      <c r="T158" s="838">
        <v>3</v>
      </c>
      <c r="U158" s="838"/>
      <c r="V158" s="861">
        <v>0.4236111111111111</v>
      </c>
      <c r="W158" s="861">
        <v>0.43055555555555558</v>
      </c>
      <c r="X158" s="861">
        <v>0.4513888888888889</v>
      </c>
      <c r="Y158" s="838"/>
      <c r="Z158" s="838"/>
      <c r="AA158" s="838"/>
      <c r="AB158" s="838"/>
      <c r="AC158" s="833"/>
      <c r="AJ158">
        <f t="shared" si="59"/>
        <v>3</v>
      </c>
    </row>
    <row r="159" spans="1:36" ht="25.5">
      <c r="A159" s="838">
        <f>IF(B159="","",COUNTA($R$4:R159))</f>
        <v>156</v>
      </c>
      <c r="B159" s="838" t="s">
        <v>506</v>
      </c>
      <c r="C159" s="838" t="str">
        <f t="shared" si="50"/>
        <v xml:space="preserve">Vũ Đình Chiến </v>
      </c>
      <c r="D159" s="838" t="str">
        <f t="shared" si="51"/>
        <v>Cán bộ BQLDA</v>
      </c>
      <c r="E159" s="838" t="str">
        <f t="shared" si="52"/>
        <v>.....................................</v>
      </c>
      <c r="F159" s="838" t="str">
        <f t="shared" si="52"/>
        <v>.....................................</v>
      </c>
      <c r="G159" s="838" t="str">
        <f>$AD$25</f>
        <v>Đặng Văn Huấn</v>
      </c>
      <c r="H159" s="838" t="str">
        <f>$AF$25</f>
        <v>Phó đoàn TVGS</v>
      </c>
      <c r="I159" s="838" t="str">
        <f t="shared" si="64"/>
        <v>.....................................</v>
      </c>
      <c r="J159" s="838" t="str">
        <f t="shared" si="64"/>
        <v>.....................................</v>
      </c>
      <c r="K159" s="838" t="str">
        <f>$AD$18</f>
        <v>Phạm Văn Trà</v>
      </c>
      <c r="L159" s="838" t="str">
        <f>$AF$21</f>
        <v>CBKT</v>
      </c>
      <c r="M159" s="838" t="str">
        <f t="shared" si="56"/>
        <v>.....................................</v>
      </c>
      <c r="N159" s="838" t="str">
        <f t="shared" si="56"/>
        <v>.....................................</v>
      </c>
      <c r="O159" s="838" t="str">
        <f t="shared" si="45"/>
        <v>Đinh Mạnh Toàn</v>
      </c>
      <c r="P159" s="838" t="str">
        <f t="shared" si="46"/>
        <v>CBKT</v>
      </c>
      <c r="Q159" s="860" t="str">
        <f t="shared" si="35"/>
        <v>Công ty TNHH đầu tư và phát triển KD Vượng Phát</v>
      </c>
      <c r="R159" s="838">
        <v>1</v>
      </c>
      <c r="S159" s="838">
        <v>2</v>
      </c>
      <c r="T159" s="838"/>
      <c r="U159" s="838"/>
      <c r="V159" s="861">
        <v>0.71875</v>
      </c>
      <c r="W159" s="861">
        <v>0.72569444444444453</v>
      </c>
      <c r="X159" s="838"/>
      <c r="Y159" s="838"/>
      <c r="Z159" s="838"/>
      <c r="AA159" s="838"/>
      <c r="AB159" s="838"/>
      <c r="AC159" s="833"/>
      <c r="AJ159">
        <f t="shared" si="59"/>
        <v>2</v>
      </c>
    </row>
    <row r="160" spans="1:36" ht="25.5">
      <c r="A160" s="838">
        <f>IF(B160="","",COUNTA($R$4:R160))</f>
        <v>157</v>
      </c>
      <c r="B160" s="838" t="s">
        <v>511</v>
      </c>
      <c r="C160" s="838" t="str">
        <f t="shared" si="50"/>
        <v xml:space="preserve">Vũ Đình Chiến </v>
      </c>
      <c r="D160" s="838" t="str">
        <f t="shared" si="51"/>
        <v>Cán bộ BQLDA</v>
      </c>
      <c r="E160" s="838" t="str">
        <f t="shared" si="52"/>
        <v>.....................................</v>
      </c>
      <c r="F160" s="838" t="str">
        <f t="shared" si="52"/>
        <v>.....................................</v>
      </c>
      <c r="G160" s="838" t="str">
        <f t="shared" si="52"/>
        <v>.....................................</v>
      </c>
      <c r="H160" s="838" t="str">
        <f t="shared" si="52"/>
        <v>.....................................</v>
      </c>
      <c r="I160" s="838" t="str">
        <f>$AD$30</f>
        <v>Lê Minh Ngọc</v>
      </c>
      <c r="J160" s="838" t="str">
        <f>$AF$30</f>
        <v>TVGS</v>
      </c>
      <c r="K160" s="838" t="str">
        <f>$AD$19</f>
        <v>Đinh Văn Hưởng</v>
      </c>
      <c r="L160" s="838" t="str">
        <f>$AF$19</f>
        <v>CBKT</v>
      </c>
      <c r="M160" s="838" t="str">
        <f t="shared" si="56"/>
        <v>.....................................</v>
      </c>
      <c r="N160" s="838" t="str">
        <f t="shared" si="56"/>
        <v>.....................................</v>
      </c>
      <c r="O160" s="838" t="str">
        <f t="shared" si="45"/>
        <v>Đinh Mạnh Toàn</v>
      </c>
      <c r="P160" s="838" t="str">
        <f t="shared" si="46"/>
        <v>CBKT</v>
      </c>
      <c r="Q160" s="860" t="str">
        <f t="shared" si="35"/>
        <v>Công ty TNHH đầu tư và phát triển KD Vượng Phát</v>
      </c>
      <c r="R160" s="838">
        <v>1</v>
      </c>
      <c r="S160" s="838">
        <v>2</v>
      </c>
      <c r="T160" s="838">
        <v>3</v>
      </c>
      <c r="U160" s="838"/>
      <c r="V160" s="861">
        <v>0.14375000000000002</v>
      </c>
      <c r="W160" s="861">
        <v>0.15416666666666667</v>
      </c>
      <c r="X160" s="861">
        <v>0.15694444444444444</v>
      </c>
      <c r="Y160" s="838"/>
      <c r="Z160" s="838"/>
      <c r="AA160" s="838"/>
      <c r="AB160" s="838"/>
      <c r="AC160" s="833"/>
      <c r="AJ160">
        <f t="shared" si="59"/>
        <v>3</v>
      </c>
    </row>
    <row r="161" spans="1:36" ht="25.5">
      <c r="A161" s="838">
        <f>IF(B161="","",COUNTA($R$4:R161))</f>
        <v>158</v>
      </c>
      <c r="B161" s="838" t="s">
        <v>516</v>
      </c>
      <c r="C161" s="838" t="str">
        <f t="shared" si="50"/>
        <v xml:space="preserve">Vũ Đình Chiến </v>
      </c>
      <c r="D161" s="838" t="str">
        <f t="shared" si="51"/>
        <v>Cán bộ BQLDA</v>
      </c>
      <c r="E161" s="838" t="str">
        <f t="shared" si="52"/>
        <v>.....................................</v>
      </c>
      <c r="F161" s="838" t="str">
        <f t="shared" si="52"/>
        <v>.....................................</v>
      </c>
      <c r="G161" s="838" t="str">
        <f>$AD$25</f>
        <v>Đặng Văn Huấn</v>
      </c>
      <c r="H161" s="838" t="str">
        <f>$AF$25</f>
        <v>Phó đoàn TVGS</v>
      </c>
      <c r="I161" s="838" t="str">
        <f t="shared" si="64"/>
        <v>.....................................</v>
      </c>
      <c r="J161" s="838" t="str">
        <f t="shared" si="64"/>
        <v>.....................................</v>
      </c>
      <c r="K161" s="838" t="str">
        <f>$AD$18</f>
        <v>Phạm Văn Trà</v>
      </c>
      <c r="L161" s="838" t="str">
        <f>$AF$21</f>
        <v>CBKT</v>
      </c>
      <c r="M161" s="838" t="str">
        <f t="shared" si="56"/>
        <v>.....................................</v>
      </c>
      <c r="N161" s="838" t="str">
        <f t="shared" si="56"/>
        <v>.....................................</v>
      </c>
      <c r="O161" s="838" t="str">
        <f t="shared" si="45"/>
        <v>Đinh Mạnh Toàn</v>
      </c>
      <c r="P161" s="838" t="str">
        <f t="shared" si="46"/>
        <v>CBKT</v>
      </c>
      <c r="Q161" s="860" t="str">
        <f t="shared" si="35"/>
        <v>Công ty TNHH đầu tư và phát triển KD Vượng Phát</v>
      </c>
      <c r="R161" s="838">
        <v>1</v>
      </c>
      <c r="S161" s="838">
        <v>2</v>
      </c>
      <c r="T161" s="838"/>
      <c r="U161" s="838"/>
      <c r="V161" s="861">
        <v>0.2986111111111111</v>
      </c>
      <c r="W161" s="861">
        <v>0.30555555555555552</v>
      </c>
      <c r="X161" s="838"/>
      <c r="Y161" s="838"/>
      <c r="Z161" s="838"/>
      <c r="AA161" s="838"/>
      <c r="AB161" s="838"/>
      <c r="AC161" s="833"/>
      <c r="AJ161">
        <f t="shared" si="59"/>
        <v>2</v>
      </c>
    </row>
    <row r="162" spans="1:36" ht="25.5">
      <c r="A162" s="838">
        <f>IF(B162="","",COUNTA($R$4:R162))</f>
        <v>159</v>
      </c>
      <c r="B162" s="838" t="s">
        <v>593</v>
      </c>
      <c r="C162" s="838" t="str">
        <f t="shared" si="50"/>
        <v xml:space="preserve">Vũ Đình Chiến </v>
      </c>
      <c r="D162" s="838" t="str">
        <f t="shared" si="51"/>
        <v>Cán bộ BQLDA</v>
      </c>
      <c r="E162" s="838" t="str">
        <f t="shared" si="52"/>
        <v>.....................................</v>
      </c>
      <c r="F162" s="838" t="str">
        <f t="shared" si="52"/>
        <v>.....................................</v>
      </c>
      <c r="G162" s="838" t="str">
        <f t="shared" si="52"/>
        <v>.....................................</v>
      </c>
      <c r="H162" s="838" t="str">
        <f t="shared" si="52"/>
        <v>.....................................</v>
      </c>
      <c r="I162" s="838" t="str">
        <f>$AD$30</f>
        <v>Lê Minh Ngọc</v>
      </c>
      <c r="J162" s="838" t="str">
        <f>$AF$30</f>
        <v>TVGS</v>
      </c>
      <c r="K162" s="838" t="str">
        <f>$AD$19</f>
        <v>Đinh Văn Hưởng</v>
      </c>
      <c r="L162" s="838" t="str">
        <f>$AF$19</f>
        <v>CBKT</v>
      </c>
      <c r="M162" s="838" t="str">
        <f t="shared" si="56"/>
        <v>.....................................</v>
      </c>
      <c r="N162" s="838" t="str">
        <f t="shared" si="56"/>
        <v>.....................................</v>
      </c>
      <c r="O162" s="838" t="str">
        <f t="shared" si="45"/>
        <v>Đinh Mạnh Toàn</v>
      </c>
      <c r="P162" s="838" t="str">
        <f t="shared" si="46"/>
        <v>CBKT</v>
      </c>
      <c r="Q162" s="860" t="str">
        <f t="shared" si="35"/>
        <v>Công ty TNHH đầu tư và phát triển KD Vượng Phát</v>
      </c>
      <c r="R162" s="838">
        <v>1</v>
      </c>
      <c r="S162" s="838">
        <v>2</v>
      </c>
      <c r="T162" s="838">
        <v>3</v>
      </c>
      <c r="U162" s="838"/>
      <c r="V162" s="861">
        <v>0.75416666666666676</v>
      </c>
      <c r="W162" s="861">
        <v>0.76874999999999993</v>
      </c>
      <c r="X162" s="861">
        <v>0.80208333333333337</v>
      </c>
      <c r="Y162" s="838"/>
      <c r="Z162" s="838"/>
      <c r="AA162" s="838"/>
      <c r="AB162" s="838"/>
      <c r="AC162" s="833"/>
      <c r="AJ162">
        <f t="shared" si="59"/>
        <v>3</v>
      </c>
    </row>
    <row r="163" spans="1:36" ht="25.5">
      <c r="A163" s="838">
        <f>IF(B163="","",COUNTA($R$4:R163))</f>
        <v>160</v>
      </c>
      <c r="B163" s="1071" t="s">
        <v>699</v>
      </c>
      <c r="C163" s="838" t="str">
        <f t="shared" si="50"/>
        <v xml:space="preserve">Vũ Đình Chiến </v>
      </c>
      <c r="D163" s="838" t="str">
        <f t="shared" si="51"/>
        <v>Cán bộ BQLDA</v>
      </c>
      <c r="E163" s="838" t="str">
        <f t="shared" si="52"/>
        <v>.....................................</v>
      </c>
      <c r="F163" s="838" t="str">
        <f t="shared" si="52"/>
        <v>.....................................</v>
      </c>
      <c r="G163" s="838" t="str">
        <f t="shared" ref="G163:G194" si="65">$AD$25</f>
        <v>Đặng Văn Huấn</v>
      </c>
      <c r="H163" s="838" t="str">
        <f t="shared" ref="H163:H194" si="66">$AF$25</f>
        <v>Phó đoàn TVGS</v>
      </c>
      <c r="I163" s="838" t="str">
        <f t="shared" si="64"/>
        <v>.....................................</v>
      </c>
      <c r="J163" s="838" t="str">
        <f t="shared" si="64"/>
        <v>.....................................</v>
      </c>
      <c r="K163" s="838" t="str">
        <f t="shared" ref="K163:K182" si="67">$AD$18</f>
        <v>Phạm Văn Trà</v>
      </c>
      <c r="L163" s="838" t="str">
        <f t="shared" ref="L163:L182" si="68">$AF$21</f>
        <v>CBKT</v>
      </c>
      <c r="M163" s="838" t="str">
        <f t="shared" si="56"/>
        <v>.....................................</v>
      </c>
      <c r="N163" s="838" t="str">
        <f t="shared" si="56"/>
        <v>.....................................</v>
      </c>
      <c r="O163" s="838" t="str">
        <f t="shared" si="45"/>
        <v>Đinh Mạnh Toàn</v>
      </c>
      <c r="P163" s="838" t="str">
        <f t="shared" si="46"/>
        <v>CBKT</v>
      </c>
      <c r="Q163" s="860" t="str">
        <f t="shared" si="35"/>
        <v>Công ty TNHH đầu tư và phát triển KD Vượng Phát</v>
      </c>
      <c r="R163" s="838">
        <v>1</v>
      </c>
      <c r="S163" s="838">
        <v>2</v>
      </c>
      <c r="T163" s="838">
        <v>3</v>
      </c>
      <c r="U163" s="838"/>
      <c r="V163" s="861">
        <v>0.69791666666666663</v>
      </c>
      <c r="W163" s="861">
        <v>0.70138888888888884</v>
      </c>
      <c r="X163" s="861">
        <v>0.71527777777777779</v>
      </c>
      <c r="Y163" s="838"/>
      <c r="Z163" s="838"/>
      <c r="AA163" s="838"/>
      <c r="AB163" s="838"/>
      <c r="AC163" s="833"/>
      <c r="AJ163">
        <f t="shared" si="59"/>
        <v>3</v>
      </c>
    </row>
    <row r="164" spans="1:36" ht="25.5">
      <c r="A164" s="838">
        <f>IF(B164="","",COUNTA($R$4:R164))</f>
        <v>161</v>
      </c>
      <c r="B164" s="1071" t="s">
        <v>518</v>
      </c>
      <c r="C164" s="838" t="str">
        <f t="shared" si="50"/>
        <v xml:space="preserve">Vũ Đình Chiến </v>
      </c>
      <c r="D164" s="838" t="str">
        <f t="shared" si="51"/>
        <v>Cán bộ BQLDA</v>
      </c>
      <c r="E164" s="838" t="str">
        <f t="shared" si="52"/>
        <v>.....................................</v>
      </c>
      <c r="F164" s="838" t="str">
        <f t="shared" si="52"/>
        <v>.....................................</v>
      </c>
      <c r="G164" s="838" t="str">
        <f t="shared" si="65"/>
        <v>Đặng Văn Huấn</v>
      </c>
      <c r="H164" s="838" t="str">
        <f t="shared" si="66"/>
        <v>Phó đoàn TVGS</v>
      </c>
      <c r="I164" s="838" t="str">
        <f t="shared" si="64"/>
        <v>.....................................</v>
      </c>
      <c r="J164" s="838" t="str">
        <f t="shared" si="64"/>
        <v>.....................................</v>
      </c>
      <c r="K164" s="838" t="str">
        <f t="shared" si="67"/>
        <v>Phạm Văn Trà</v>
      </c>
      <c r="L164" s="838" t="str">
        <f t="shared" si="68"/>
        <v>CBKT</v>
      </c>
      <c r="M164" s="838" t="str">
        <f t="shared" si="56"/>
        <v>.....................................</v>
      </c>
      <c r="N164" s="838" t="str">
        <f t="shared" si="56"/>
        <v>.....................................</v>
      </c>
      <c r="O164" s="838" t="str">
        <f t="shared" si="45"/>
        <v>Đinh Mạnh Toàn</v>
      </c>
      <c r="P164" s="838" t="str">
        <f t="shared" si="46"/>
        <v>CBKT</v>
      </c>
      <c r="Q164" s="860" t="str">
        <f t="shared" si="35"/>
        <v>Công ty TNHH đầu tư và phát triển KD Vượng Phát</v>
      </c>
      <c r="R164" s="838">
        <v>1</v>
      </c>
      <c r="S164" s="838">
        <v>2</v>
      </c>
      <c r="T164" s="838"/>
      <c r="U164" s="838"/>
      <c r="V164" s="861">
        <v>0.90972222222222221</v>
      </c>
      <c r="W164" s="861">
        <v>0.91666666666666663</v>
      </c>
      <c r="X164" s="838"/>
      <c r="Y164" s="838"/>
      <c r="Z164" s="838"/>
      <c r="AA164" s="838"/>
      <c r="AB164" s="838"/>
      <c r="AC164" s="833"/>
      <c r="AJ164">
        <f t="shared" si="59"/>
        <v>2</v>
      </c>
    </row>
    <row r="165" spans="1:36" ht="25.5">
      <c r="A165" s="838">
        <f>IF(B165="","",COUNTA($R$4:R165))</f>
        <v>162</v>
      </c>
      <c r="B165" s="1071" t="s">
        <v>526</v>
      </c>
      <c r="C165" s="838" t="str">
        <f t="shared" si="50"/>
        <v xml:space="preserve">Vũ Đình Chiến </v>
      </c>
      <c r="D165" s="838" t="str">
        <f t="shared" si="51"/>
        <v>Cán bộ BQLDA</v>
      </c>
      <c r="E165" s="838" t="str">
        <f t="shared" si="52"/>
        <v>.....................................</v>
      </c>
      <c r="F165" s="838" t="str">
        <f t="shared" si="52"/>
        <v>.....................................</v>
      </c>
      <c r="G165" s="838" t="str">
        <f t="shared" si="65"/>
        <v>Đặng Văn Huấn</v>
      </c>
      <c r="H165" s="838" t="str">
        <f t="shared" si="66"/>
        <v>Phó đoàn TVGS</v>
      </c>
      <c r="I165" s="838" t="str">
        <f t="shared" si="64"/>
        <v>.....................................</v>
      </c>
      <c r="J165" s="838" t="str">
        <f t="shared" si="64"/>
        <v>.....................................</v>
      </c>
      <c r="K165" s="838" t="str">
        <f t="shared" si="67"/>
        <v>Phạm Văn Trà</v>
      </c>
      <c r="L165" s="838" t="str">
        <f t="shared" si="68"/>
        <v>CBKT</v>
      </c>
      <c r="M165" s="838" t="str">
        <f t="shared" si="56"/>
        <v>.....................................</v>
      </c>
      <c r="N165" s="838" t="str">
        <f t="shared" si="56"/>
        <v>.....................................</v>
      </c>
      <c r="O165" s="838" t="str">
        <f t="shared" si="45"/>
        <v>Đinh Mạnh Toàn</v>
      </c>
      <c r="P165" s="838" t="str">
        <f t="shared" si="46"/>
        <v>CBKT</v>
      </c>
      <c r="Q165" s="860" t="str">
        <f t="shared" si="35"/>
        <v>Công ty TNHH đầu tư và phát triển KD Vượng Phát</v>
      </c>
      <c r="R165" s="838">
        <v>1</v>
      </c>
      <c r="S165" s="838">
        <v>2</v>
      </c>
      <c r="T165" s="838"/>
      <c r="U165" s="838"/>
      <c r="V165" s="861">
        <v>0.47569444444444442</v>
      </c>
      <c r="W165" s="861">
        <v>0.4861111111111111</v>
      </c>
      <c r="X165" s="838"/>
      <c r="Y165" s="838"/>
      <c r="Z165" s="838"/>
      <c r="AA165" s="838"/>
      <c r="AB165" s="838"/>
      <c r="AC165" s="833"/>
      <c r="AJ165">
        <f t="shared" si="59"/>
        <v>2</v>
      </c>
    </row>
    <row r="166" spans="1:36" ht="25.5">
      <c r="A166" s="838">
        <f>IF(B166="","",COUNTA($R$4:R166))</f>
        <v>163</v>
      </c>
      <c r="B166" s="838" t="s">
        <v>521</v>
      </c>
      <c r="C166" s="838" t="str">
        <f t="shared" si="50"/>
        <v xml:space="preserve">Vũ Đình Chiến </v>
      </c>
      <c r="D166" s="838" t="str">
        <f t="shared" si="51"/>
        <v>Cán bộ BQLDA</v>
      </c>
      <c r="E166" s="838" t="str">
        <f t="shared" si="52"/>
        <v>.....................................</v>
      </c>
      <c r="F166" s="838" t="str">
        <f t="shared" si="52"/>
        <v>.....................................</v>
      </c>
      <c r="G166" s="838" t="str">
        <f t="shared" si="65"/>
        <v>Đặng Văn Huấn</v>
      </c>
      <c r="H166" s="838" t="str">
        <f t="shared" si="66"/>
        <v>Phó đoàn TVGS</v>
      </c>
      <c r="I166" s="838" t="str">
        <f t="shared" si="64"/>
        <v>.....................................</v>
      </c>
      <c r="J166" s="838" t="str">
        <f t="shared" si="64"/>
        <v>.....................................</v>
      </c>
      <c r="K166" s="838" t="str">
        <f t="shared" si="67"/>
        <v>Phạm Văn Trà</v>
      </c>
      <c r="L166" s="838" t="str">
        <f t="shared" si="68"/>
        <v>CBKT</v>
      </c>
      <c r="M166" s="838" t="str">
        <f t="shared" si="56"/>
        <v>.....................................</v>
      </c>
      <c r="N166" s="838" t="str">
        <f t="shared" si="56"/>
        <v>.....................................</v>
      </c>
      <c r="O166" s="838" t="str">
        <f t="shared" si="45"/>
        <v>Đinh Mạnh Toàn</v>
      </c>
      <c r="P166" s="838" t="str">
        <f t="shared" si="46"/>
        <v>CBKT</v>
      </c>
      <c r="Q166" s="860" t="str">
        <f t="shared" si="35"/>
        <v>Công ty TNHH đầu tư và phát triển KD Vượng Phát</v>
      </c>
      <c r="R166" s="838">
        <v>1</v>
      </c>
      <c r="S166" s="838">
        <v>2</v>
      </c>
      <c r="T166" s="838"/>
      <c r="U166" s="838"/>
      <c r="V166" s="861">
        <v>0.55208333333333337</v>
      </c>
      <c r="W166" s="861">
        <v>0.55555555555555558</v>
      </c>
      <c r="X166" s="838"/>
      <c r="Y166" s="838"/>
      <c r="Z166" s="838"/>
      <c r="AA166" s="838"/>
      <c r="AB166" s="838"/>
      <c r="AC166" s="833"/>
      <c r="AJ166">
        <f t="shared" si="59"/>
        <v>2</v>
      </c>
    </row>
    <row r="167" spans="1:36" ht="25.5">
      <c r="A167" s="838">
        <f>IF(B167="","",COUNTA($R$4:R167))</f>
        <v>164</v>
      </c>
      <c r="B167" s="1071" t="s">
        <v>585</v>
      </c>
      <c r="C167" s="838" t="str">
        <f t="shared" si="50"/>
        <v xml:space="preserve">Vũ Đình Chiến </v>
      </c>
      <c r="D167" s="838" t="str">
        <f t="shared" si="51"/>
        <v>Cán bộ BQLDA</v>
      </c>
      <c r="E167" s="838" t="str">
        <f t="shared" si="52"/>
        <v>.....................................</v>
      </c>
      <c r="F167" s="838" t="str">
        <f t="shared" si="52"/>
        <v>.....................................</v>
      </c>
      <c r="G167" s="838" t="str">
        <f t="shared" si="65"/>
        <v>Đặng Văn Huấn</v>
      </c>
      <c r="H167" s="838" t="str">
        <f t="shared" si="66"/>
        <v>Phó đoàn TVGS</v>
      </c>
      <c r="I167" s="838" t="str">
        <f t="shared" si="64"/>
        <v>.....................................</v>
      </c>
      <c r="J167" s="838" t="str">
        <f t="shared" si="64"/>
        <v>.....................................</v>
      </c>
      <c r="K167" s="838" t="str">
        <f t="shared" si="67"/>
        <v>Phạm Văn Trà</v>
      </c>
      <c r="L167" s="838" t="str">
        <f t="shared" si="68"/>
        <v>CBKT</v>
      </c>
      <c r="M167" s="838" t="str">
        <f t="shared" si="56"/>
        <v>.....................................</v>
      </c>
      <c r="N167" s="838" t="str">
        <f t="shared" si="56"/>
        <v>.....................................</v>
      </c>
      <c r="O167" s="838" t="str">
        <f t="shared" si="45"/>
        <v>Đinh Mạnh Toàn</v>
      </c>
      <c r="P167" s="838" t="str">
        <f t="shared" si="46"/>
        <v>CBKT</v>
      </c>
      <c r="Q167" s="860" t="str">
        <f t="shared" si="35"/>
        <v>Công ty TNHH đầu tư và phát triển KD Vượng Phát</v>
      </c>
      <c r="R167" s="838">
        <v>1</v>
      </c>
      <c r="S167" s="838">
        <v>2</v>
      </c>
      <c r="T167" s="838">
        <v>3</v>
      </c>
      <c r="U167" s="838"/>
      <c r="V167" s="861">
        <v>0.84722222222222221</v>
      </c>
      <c r="W167" s="861">
        <v>0.85069444444444453</v>
      </c>
      <c r="X167" s="861">
        <v>0.86111111111111116</v>
      </c>
      <c r="Y167" s="838"/>
      <c r="Z167" s="838"/>
      <c r="AA167" s="838"/>
      <c r="AB167" s="838"/>
      <c r="AC167" s="833"/>
      <c r="AJ167">
        <f t="shared" si="59"/>
        <v>3</v>
      </c>
    </row>
    <row r="168" spans="1:36" ht="25.5">
      <c r="A168" s="838">
        <f>IF(B168="","",COUNTA($R$4:R168))</f>
        <v>165</v>
      </c>
      <c r="B168" s="1071" t="s">
        <v>531</v>
      </c>
      <c r="C168" s="838" t="str">
        <f t="shared" si="50"/>
        <v xml:space="preserve">Vũ Đình Chiến </v>
      </c>
      <c r="D168" s="838" t="str">
        <f t="shared" si="51"/>
        <v>Cán bộ BQLDA</v>
      </c>
      <c r="E168" s="838" t="str">
        <f t="shared" si="52"/>
        <v>.....................................</v>
      </c>
      <c r="F168" s="838" t="str">
        <f t="shared" si="52"/>
        <v>.....................................</v>
      </c>
      <c r="G168" s="838" t="str">
        <f t="shared" si="65"/>
        <v>Đặng Văn Huấn</v>
      </c>
      <c r="H168" s="838" t="str">
        <f t="shared" si="66"/>
        <v>Phó đoàn TVGS</v>
      </c>
      <c r="I168" s="838" t="str">
        <f t="shared" si="64"/>
        <v>.....................................</v>
      </c>
      <c r="J168" s="838" t="str">
        <f t="shared" si="64"/>
        <v>.....................................</v>
      </c>
      <c r="K168" s="838" t="str">
        <f t="shared" si="67"/>
        <v>Phạm Văn Trà</v>
      </c>
      <c r="L168" s="838" t="str">
        <f t="shared" si="68"/>
        <v>CBKT</v>
      </c>
      <c r="M168" s="838" t="str">
        <f t="shared" si="56"/>
        <v>.....................................</v>
      </c>
      <c r="N168" s="838" t="str">
        <f t="shared" si="56"/>
        <v>.....................................</v>
      </c>
      <c r="O168" s="838" t="str">
        <f t="shared" si="45"/>
        <v>Đinh Mạnh Toàn</v>
      </c>
      <c r="P168" s="838" t="str">
        <f t="shared" si="46"/>
        <v>CBKT</v>
      </c>
      <c r="Q168" s="860" t="str">
        <f t="shared" si="35"/>
        <v>Công ty TNHH đầu tư và phát triển KD Vượng Phát</v>
      </c>
      <c r="R168" s="838">
        <v>1</v>
      </c>
      <c r="S168" s="838">
        <v>2</v>
      </c>
      <c r="T168" s="838"/>
      <c r="U168" s="838"/>
      <c r="V168" s="861">
        <v>0.84375</v>
      </c>
      <c r="W168" s="861">
        <v>0.85069444444444453</v>
      </c>
      <c r="X168" s="838"/>
      <c r="Y168" s="838"/>
      <c r="Z168" s="838"/>
      <c r="AA168" s="838"/>
      <c r="AB168" s="838"/>
      <c r="AC168" s="833"/>
      <c r="AJ168">
        <f t="shared" si="59"/>
        <v>2</v>
      </c>
    </row>
    <row r="169" spans="1:36" ht="25.5">
      <c r="A169" s="838">
        <f>IF(B169="","",COUNTA($R$4:R169))</f>
        <v>166</v>
      </c>
      <c r="B169" s="838" t="s">
        <v>493</v>
      </c>
      <c r="C169" s="838" t="str">
        <f t="shared" si="50"/>
        <v xml:space="preserve">Vũ Đình Chiến </v>
      </c>
      <c r="D169" s="838" t="str">
        <f t="shared" si="51"/>
        <v>Cán bộ BQLDA</v>
      </c>
      <c r="E169" s="838" t="str">
        <f t="shared" si="52"/>
        <v>.....................................</v>
      </c>
      <c r="F169" s="838" t="str">
        <f t="shared" si="52"/>
        <v>.....................................</v>
      </c>
      <c r="G169" s="838" t="str">
        <f t="shared" si="65"/>
        <v>Đặng Văn Huấn</v>
      </c>
      <c r="H169" s="838" t="str">
        <f t="shared" si="66"/>
        <v>Phó đoàn TVGS</v>
      </c>
      <c r="I169" s="838" t="str">
        <f t="shared" si="64"/>
        <v>.....................................</v>
      </c>
      <c r="J169" s="838" t="str">
        <f t="shared" si="64"/>
        <v>.....................................</v>
      </c>
      <c r="K169" s="838" t="str">
        <f t="shared" si="67"/>
        <v>Phạm Văn Trà</v>
      </c>
      <c r="L169" s="838" t="str">
        <f t="shared" si="68"/>
        <v>CBKT</v>
      </c>
      <c r="M169" s="838" t="str">
        <f t="shared" si="56"/>
        <v>.....................................</v>
      </c>
      <c r="N169" s="838" t="str">
        <f t="shared" si="56"/>
        <v>.....................................</v>
      </c>
      <c r="O169" s="838" t="str">
        <f t="shared" si="45"/>
        <v>Đinh Mạnh Toàn</v>
      </c>
      <c r="P169" s="838" t="str">
        <f t="shared" si="46"/>
        <v>CBKT</v>
      </c>
      <c r="Q169" s="860" t="str">
        <f t="shared" si="35"/>
        <v>Công ty TNHH đầu tư và phát triển KD Vượng Phát</v>
      </c>
      <c r="R169" s="838">
        <v>1</v>
      </c>
      <c r="S169" s="838">
        <v>2</v>
      </c>
      <c r="T169" s="838"/>
      <c r="U169" s="838"/>
      <c r="V169" s="861">
        <v>0.98611111111111116</v>
      </c>
      <c r="W169" s="861">
        <v>0.99305555555555547</v>
      </c>
      <c r="X169" s="838"/>
      <c r="Y169" s="838"/>
      <c r="Z169" s="838"/>
      <c r="AA169" s="838"/>
      <c r="AB169" s="838"/>
      <c r="AC169" s="833"/>
      <c r="AJ169">
        <f t="shared" si="59"/>
        <v>2</v>
      </c>
    </row>
    <row r="170" spans="1:36" s="1190" customFormat="1" ht="25.5">
      <c r="A170" s="838">
        <f>IF(B170="","",COUNTA($R$4:R170))</f>
        <v>167</v>
      </c>
      <c r="B170" s="838" t="s">
        <v>705</v>
      </c>
      <c r="C170" s="838" t="str">
        <f t="shared" si="50"/>
        <v xml:space="preserve">Vũ Đình Chiến </v>
      </c>
      <c r="D170" s="838" t="str">
        <f t="shared" si="51"/>
        <v>Cán bộ BQLDA</v>
      </c>
      <c r="E170" s="838" t="str">
        <f t="shared" ref="E170:F185" si="69">$AD$6</f>
        <v>.....................................</v>
      </c>
      <c r="F170" s="838" t="str">
        <f t="shared" si="69"/>
        <v>.....................................</v>
      </c>
      <c r="G170" s="838" t="str">
        <f t="shared" si="65"/>
        <v>Đặng Văn Huấn</v>
      </c>
      <c r="H170" s="838" t="str">
        <f t="shared" si="66"/>
        <v>Phó đoàn TVGS</v>
      </c>
      <c r="I170" s="838" t="str">
        <f t="shared" ref="I170:J185" si="70">$AD$6</f>
        <v>.....................................</v>
      </c>
      <c r="J170" s="838" t="str">
        <f t="shared" si="70"/>
        <v>.....................................</v>
      </c>
      <c r="K170" s="838" t="str">
        <f t="shared" si="67"/>
        <v>Phạm Văn Trà</v>
      </c>
      <c r="L170" s="838" t="str">
        <f t="shared" si="68"/>
        <v>CBKT</v>
      </c>
      <c r="M170" s="838" t="str">
        <f t="shared" ref="M170:N185" si="71">$AD$6</f>
        <v>.....................................</v>
      </c>
      <c r="N170" s="838" t="str">
        <f t="shared" si="71"/>
        <v>.....................................</v>
      </c>
      <c r="O170" s="838" t="str">
        <f t="shared" ref="O170:O188" si="72">$AD$26</f>
        <v>Đinh Mạnh Toàn</v>
      </c>
      <c r="P170" s="838" t="str">
        <f t="shared" ref="P170:P219" si="73">$AF$26</f>
        <v>CBKT</v>
      </c>
      <c r="Q170" s="860" t="str">
        <f t="shared" ref="Q170:Q219" si="74">$AD$5</f>
        <v>Công ty TNHH đầu tư và phát triển KD Vượng Phát</v>
      </c>
      <c r="R170" s="838">
        <v>1</v>
      </c>
      <c r="S170" s="838">
        <v>2</v>
      </c>
      <c r="T170" s="838"/>
      <c r="U170" s="838"/>
      <c r="V170" s="861">
        <v>0.82638888888888884</v>
      </c>
      <c r="W170" s="861">
        <v>0.83333333333333337</v>
      </c>
      <c r="X170" s="838"/>
      <c r="Y170" s="838"/>
      <c r="Z170" s="838"/>
      <c r="AA170" s="838"/>
      <c r="AB170" s="838"/>
      <c r="AC170" s="833"/>
      <c r="AJ170" s="1190">
        <f t="shared" si="59"/>
        <v>2</v>
      </c>
    </row>
    <row r="171" spans="1:36" s="1190" customFormat="1" ht="25.5">
      <c r="A171" s="838">
        <f>IF(B171="","",COUNTA($R$4:R171))</f>
        <v>168</v>
      </c>
      <c r="B171" s="838" t="s">
        <v>603</v>
      </c>
      <c r="C171" s="838" t="str">
        <f t="shared" si="50"/>
        <v xml:space="preserve">Vũ Đình Chiến </v>
      </c>
      <c r="D171" s="838" t="str">
        <f t="shared" si="51"/>
        <v>Cán bộ BQLDA</v>
      </c>
      <c r="E171" s="838" t="str">
        <f t="shared" si="69"/>
        <v>.....................................</v>
      </c>
      <c r="F171" s="838" t="str">
        <f t="shared" si="69"/>
        <v>.....................................</v>
      </c>
      <c r="G171" s="838" t="str">
        <f t="shared" si="65"/>
        <v>Đặng Văn Huấn</v>
      </c>
      <c r="H171" s="838" t="str">
        <f t="shared" si="66"/>
        <v>Phó đoàn TVGS</v>
      </c>
      <c r="I171" s="838" t="str">
        <f t="shared" si="70"/>
        <v>.....................................</v>
      </c>
      <c r="J171" s="838" t="str">
        <f t="shared" si="70"/>
        <v>.....................................</v>
      </c>
      <c r="K171" s="838" t="str">
        <f t="shared" si="67"/>
        <v>Phạm Văn Trà</v>
      </c>
      <c r="L171" s="838" t="str">
        <f t="shared" si="68"/>
        <v>CBKT</v>
      </c>
      <c r="M171" s="838" t="str">
        <f t="shared" si="71"/>
        <v>.....................................</v>
      </c>
      <c r="N171" s="838" t="str">
        <f t="shared" si="71"/>
        <v>.....................................</v>
      </c>
      <c r="O171" s="838" t="str">
        <f t="shared" si="72"/>
        <v>Đinh Mạnh Toàn</v>
      </c>
      <c r="P171" s="838" t="str">
        <f t="shared" si="73"/>
        <v>CBKT</v>
      </c>
      <c r="Q171" s="860" t="str">
        <f t="shared" si="74"/>
        <v>Công ty TNHH đầu tư và phát triển KD Vượng Phát</v>
      </c>
      <c r="R171" s="838">
        <v>1</v>
      </c>
      <c r="S171" s="838">
        <v>2</v>
      </c>
      <c r="T171" s="838"/>
      <c r="U171" s="838"/>
      <c r="V171" s="861">
        <v>6.9444444444444434E-2</v>
      </c>
      <c r="W171" s="861">
        <v>7.6388888888888895E-2</v>
      </c>
      <c r="X171" s="838"/>
      <c r="Y171" s="838"/>
      <c r="Z171" s="838"/>
      <c r="AA171" s="838"/>
      <c r="AB171" s="838"/>
      <c r="AC171" s="833"/>
      <c r="AJ171" s="1190">
        <f t="shared" si="59"/>
        <v>2</v>
      </c>
    </row>
    <row r="172" spans="1:36" s="1190" customFormat="1" ht="25.5">
      <c r="A172" s="838">
        <f>IF(B172="","",COUNTA($R$4:R172))</f>
        <v>169</v>
      </c>
      <c r="B172" s="838" t="s">
        <v>613</v>
      </c>
      <c r="C172" s="838" t="str">
        <f t="shared" si="50"/>
        <v xml:space="preserve">Vũ Đình Chiến </v>
      </c>
      <c r="D172" s="838" t="str">
        <f t="shared" si="51"/>
        <v>Cán bộ BQLDA</v>
      </c>
      <c r="E172" s="838" t="str">
        <f t="shared" si="69"/>
        <v>.....................................</v>
      </c>
      <c r="F172" s="838" t="str">
        <f t="shared" si="69"/>
        <v>.....................................</v>
      </c>
      <c r="G172" s="838" t="str">
        <f t="shared" si="65"/>
        <v>Đặng Văn Huấn</v>
      </c>
      <c r="H172" s="838" t="str">
        <f t="shared" si="66"/>
        <v>Phó đoàn TVGS</v>
      </c>
      <c r="I172" s="838" t="str">
        <f t="shared" si="70"/>
        <v>.....................................</v>
      </c>
      <c r="J172" s="838" t="str">
        <f t="shared" si="70"/>
        <v>.....................................</v>
      </c>
      <c r="K172" s="838" t="str">
        <f t="shared" si="67"/>
        <v>Phạm Văn Trà</v>
      </c>
      <c r="L172" s="838" t="str">
        <f t="shared" si="68"/>
        <v>CBKT</v>
      </c>
      <c r="M172" s="838" t="str">
        <f t="shared" si="71"/>
        <v>.....................................</v>
      </c>
      <c r="N172" s="838" t="str">
        <f t="shared" si="71"/>
        <v>.....................................</v>
      </c>
      <c r="O172" s="838" t="str">
        <f t="shared" si="72"/>
        <v>Đinh Mạnh Toàn</v>
      </c>
      <c r="P172" s="838" t="str">
        <f t="shared" si="73"/>
        <v>CBKT</v>
      </c>
      <c r="Q172" s="860" t="str">
        <f t="shared" si="74"/>
        <v>Công ty TNHH đầu tư và phát triển KD Vượng Phát</v>
      </c>
      <c r="R172" s="838">
        <v>1</v>
      </c>
      <c r="S172" s="838">
        <v>2</v>
      </c>
      <c r="T172" s="838">
        <v>3</v>
      </c>
      <c r="U172" s="838"/>
      <c r="V172" s="861">
        <v>0.88541666666666663</v>
      </c>
      <c r="W172" s="861">
        <v>0.88888888888888884</v>
      </c>
      <c r="X172" s="861">
        <v>0.91666666666666663</v>
      </c>
      <c r="Y172" s="838"/>
      <c r="Z172" s="838"/>
      <c r="AA172" s="838"/>
      <c r="AB172" s="838"/>
      <c r="AC172" s="833"/>
      <c r="AJ172" s="1190">
        <f t="shared" si="59"/>
        <v>3</v>
      </c>
    </row>
    <row r="173" spans="1:36" s="1190" customFormat="1" ht="25.5">
      <c r="A173" s="838">
        <f>IF(B173="","",COUNTA($R$4:R173))</f>
        <v>170</v>
      </c>
      <c r="B173" s="838" t="s">
        <v>580</v>
      </c>
      <c r="C173" s="838" t="str">
        <f t="shared" si="50"/>
        <v xml:space="preserve">Vũ Đình Chiến </v>
      </c>
      <c r="D173" s="838" t="str">
        <f t="shared" si="51"/>
        <v>Cán bộ BQLDA</v>
      </c>
      <c r="E173" s="838" t="str">
        <f t="shared" si="69"/>
        <v>.....................................</v>
      </c>
      <c r="F173" s="838" t="str">
        <f t="shared" si="69"/>
        <v>.....................................</v>
      </c>
      <c r="G173" s="838" t="str">
        <f t="shared" si="65"/>
        <v>Đặng Văn Huấn</v>
      </c>
      <c r="H173" s="838" t="str">
        <f t="shared" si="66"/>
        <v>Phó đoàn TVGS</v>
      </c>
      <c r="I173" s="838" t="str">
        <f t="shared" si="70"/>
        <v>.....................................</v>
      </c>
      <c r="J173" s="838" t="str">
        <f t="shared" si="70"/>
        <v>.....................................</v>
      </c>
      <c r="K173" s="838" t="str">
        <f t="shared" si="67"/>
        <v>Phạm Văn Trà</v>
      </c>
      <c r="L173" s="838" t="str">
        <f t="shared" si="68"/>
        <v>CBKT</v>
      </c>
      <c r="M173" s="838" t="str">
        <f t="shared" si="71"/>
        <v>.....................................</v>
      </c>
      <c r="N173" s="838" t="str">
        <f t="shared" si="71"/>
        <v>.....................................</v>
      </c>
      <c r="O173" s="838" t="str">
        <f t="shared" si="72"/>
        <v>Đinh Mạnh Toàn</v>
      </c>
      <c r="P173" s="838" t="str">
        <f t="shared" si="73"/>
        <v>CBKT</v>
      </c>
      <c r="Q173" s="860" t="str">
        <f t="shared" si="74"/>
        <v>Công ty TNHH đầu tư và phát triển KD Vượng Phát</v>
      </c>
      <c r="R173" s="838">
        <v>1</v>
      </c>
      <c r="S173" s="838">
        <v>2</v>
      </c>
      <c r="T173" s="838">
        <v>3</v>
      </c>
      <c r="U173" s="838"/>
      <c r="V173" s="861">
        <v>6.5972222222222224E-2</v>
      </c>
      <c r="W173" s="861">
        <v>6.9444444444444434E-2</v>
      </c>
      <c r="X173" s="861">
        <v>7.6388888888888895E-2</v>
      </c>
      <c r="Y173" s="838"/>
      <c r="Z173" s="838"/>
      <c r="AA173" s="838"/>
      <c r="AB173" s="838"/>
      <c r="AC173" s="833"/>
      <c r="AJ173" s="1190">
        <f t="shared" si="59"/>
        <v>3</v>
      </c>
    </row>
    <row r="174" spans="1:36" s="1190" customFormat="1" ht="25.5">
      <c r="A174" s="838">
        <f>IF(B174="","",COUNTA($R$4:R174))</f>
        <v>171</v>
      </c>
      <c r="B174" s="838" t="s">
        <v>570</v>
      </c>
      <c r="C174" s="838" t="str">
        <f t="shared" si="50"/>
        <v xml:space="preserve">Vũ Đình Chiến </v>
      </c>
      <c r="D174" s="838" t="str">
        <f t="shared" si="51"/>
        <v>Cán bộ BQLDA</v>
      </c>
      <c r="E174" s="838" t="str">
        <f t="shared" si="69"/>
        <v>.....................................</v>
      </c>
      <c r="F174" s="838" t="str">
        <f t="shared" si="69"/>
        <v>.....................................</v>
      </c>
      <c r="G174" s="838" t="str">
        <f t="shared" si="65"/>
        <v>Đặng Văn Huấn</v>
      </c>
      <c r="H174" s="838" t="str">
        <f t="shared" si="66"/>
        <v>Phó đoàn TVGS</v>
      </c>
      <c r="I174" s="838" t="str">
        <f t="shared" si="70"/>
        <v>.....................................</v>
      </c>
      <c r="J174" s="838" t="str">
        <f t="shared" si="70"/>
        <v>.....................................</v>
      </c>
      <c r="K174" s="838" t="str">
        <f>$AD$19</f>
        <v>Đinh Văn Hưởng</v>
      </c>
      <c r="L174" s="838" t="str">
        <f>$AF$19</f>
        <v>CBKT</v>
      </c>
      <c r="M174" s="838" t="str">
        <f t="shared" si="71"/>
        <v>.....................................</v>
      </c>
      <c r="N174" s="838" t="str">
        <f t="shared" si="71"/>
        <v>.....................................</v>
      </c>
      <c r="O174" s="838" t="str">
        <f t="shared" si="72"/>
        <v>Đinh Mạnh Toàn</v>
      </c>
      <c r="P174" s="838" t="str">
        <f t="shared" si="73"/>
        <v>CBKT</v>
      </c>
      <c r="Q174" s="860" t="str">
        <f t="shared" si="74"/>
        <v>Công ty TNHH đầu tư và phát triển KD Vượng Phát</v>
      </c>
      <c r="R174" s="838">
        <v>1</v>
      </c>
      <c r="S174" s="838">
        <v>2</v>
      </c>
      <c r="T174" s="838">
        <v>3</v>
      </c>
      <c r="U174" s="838"/>
      <c r="V174" s="861">
        <v>0.61111111111111105</v>
      </c>
      <c r="W174" s="861">
        <v>0.62847222222222221</v>
      </c>
      <c r="X174" s="861">
        <v>0.65069444444444446</v>
      </c>
      <c r="Y174" s="838"/>
      <c r="Z174" s="838"/>
      <c r="AA174" s="838"/>
      <c r="AB174" s="838"/>
      <c r="AC174" s="833"/>
      <c r="AJ174" s="1190">
        <f t="shared" si="59"/>
        <v>3</v>
      </c>
    </row>
    <row r="175" spans="1:36" s="1190" customFormat="1" ht="25.5">
      <c r="A175" s="838">
        <f>IF(B175="","",COUNTA($R$4:R175))</f>
        <v>172</v>
      </c>
      <c r="B175" s="838" t="s">
        <v>1132</v>
      </c>
      <c r="C175" s="838" t="str">
        <f t="shared" si="50"/>
        <v xml:space="preserve">Vũ Đình Chiến </v>
      </c>
      <c r="D175" s="838" t="str">
        <f t="shared" si="51"/>
        <v>Cán bộ BQLDA</v>
      </c>
      <c r="E175" s="838" t="str">
        <f t="shared" si="69"/>
        <v>.....................................</v>
      </c>
      <c r="F175" s="838" t="str">
        <f t="shared" si="69"/>
        <v>.....................................</v>
      </c>
      <c r="G175" s="838" t="str">
        <f t="shared" si="65"/>
        <v>Đặng Văn Huấn</v>
      </c>
      <c r="H175" s="838" t="str">
        <f t="shared" si="66"/>
        <v>Phó đoàn TVGS</v>
      </c>
      <c r="I175" s="838" t="str">
        <f t="shared" si="70"/>
        <v>.....................................</v>
      </c>
      <c r="J175" s="838" t="str">
        <f t="shared" si="70"/>
        <v>.....................................</v>
      </c>
      <c r="K175" s="838" t="str">
        <f t="shared" si="67"/>
        <v>Phạm Văn Trà</v>
      </c>
      <c r="L175" s="838" t="str">
        <f t="shared" si="68"/>
        <v>CBKT</v>
      </c>
      <c r="M175" s="838" t="str">
        <f t="shared" si="71"/>
        <v>.....................................</v>
      </c>
      <c r="N175" s="838" t="str">
        <f t="shared" si="71"/>
        <v>.....................................</v>
      </c>
      <c r="O175" s="838" t="str">
        <f t="shared" si="72"/>
        <v>Đinh Mạnh Toàn</v>
      </c>
      <c r="P175" s="838" t="str">
        <f t="shared" si="73"/>
        <v>CBKT</v>
      </c>
      <c r="Q175" s="860" t="str">
        <f t="shared" si="74"/>
        <v>Công ty TNHH đầu tư và phát triển KD Vượng Phát</v>
      </c>
      <c r="R175" s="838">
        <v>1</v>
      </c>
      <c r="S175" s="838">
        <v>2</v>
      </c>
      <c r="T175" s="838"/>
      <c r="U175" s="838"/>
      <c r="V175" s="861">
        <v>0.73611111111111116</v>
      </c>
      <c r="W175" s="861">
        <v>0.75347222222222221</v>
      </c>
      <c r="X175" s="838"/>
      <c r="Y175" s="838"/>
      <c r="Z175" s="838"/>
      <c r="AA175" s="838"/>
      <c r="AB175" s="838"/>
      <c r="AC175" s="833"/>
      <c r="AJ175" s="1190">
        <f t="shared" si="59"/>
        <v>2</v>
      </c>
    </row>
    <row r="176" spans="1:36" s="1190" customFormat="1" ht="25.5">
      <c r="A176" s="838">
        <f>IF(B176="","",COUNTA($R$4:R176))</f>
        <v>173</v>
      </c>
      <c r="B176" s="838" t="s">
        <v>498</v>
      </c>
      <c r="C176" s="838" t="str">
        <f t="shared" si="50"/>
        <v xml:space="preserve">Vũ Đình Chiến </v>
      </c>
      <c r="D176" s="838" t="str">
        <f t="shared" si="51"/>
        <v>Cán bộ BQLDA</v>
      </c>
      <c r="E176" s="838" t="str">
        <f t="shared" si="69"/>
        <v>.....................................</v>
      </c>
      <c r="F176" s="838" t="str">
        <f t="shared" si="69"/>
        <v>.....................................</v>
      </c>
      <c r="G176" s="838" t="str">
        <f t="shared" si="65"/>
        <v>Đặng Văn Huấn</v>
      </c>
      <c r="H176" s="838" t="str">
        <f t="shared" si="66"/>
        <v>Phó đoàn TVGS</v>
      </c>
      <c r="I176" s="838" t="str">
        <f t="shared" si="70"/>
        <v>.....................................</v>
      </c>
      <c r="J176" s="838" t="str">
        <f t="shared" si="70"/>
        <v>.....................................</v>
      </c>
      <c r="K176" s="838" t="str">
        <f t="shared" si="67"/>
        <v>Phạm Văn Trà</v>
      </c>
      <c r="L176" s="838" t="str">
        <f t="shared" si="68"/>
        <v>CBKT</v>
      </c>
      <c r="M176" s="838" t="str">
        <f t="shared" si="71"/>
        <v>.....................................</v>
      </c>
      <c r="N176" s="838" t="str">
        <f t="shared" si="71"/>
        <v>.....................................</v>
      </c>
      <c r="O176" s="838" t="str">
        <f t="shared" si="72"/>
        <v>Đinh Mạnh Toàn</v>
      </c>
      <c r="P176" s="838" t="str">
        <f t="shared" si="73"/>
        <v>CBKT</v>
      </c>
      <c r="Q176" s="860" t="str">
        <f t="shared" si="74"/>
        <v>Công ty TNHH đầu tư và phát triển KD Vượng Phát</v>
      </c>
      <c r="R176" s="838">
        <v>1</v>
      </c>
      <c r="S176" s="838">
        <v>2</v>
      </c>
      <c r="T176" s="838"/>
      <c r="U176" s="838"/>
      <c r="V176" s="861">
        <v>0.98263888888888884</v>
      </c>
      <c r="W176" s="861">
        <v>0.98611111111111116</v>
      </c>
      <c r="X176" s="838"/>
      <c r="Y176" s="838"/>
      <c r="Z176" s="838"/>
      <c r="AA176" s="838"/>
      <c r="AB176" s="838"/>
      <c r="AC176" s="833"/>
      <c r="AJ176" s="1190">
        <f t="shared" si="59"/>
        <v>2</v>
      </c>
    </row>
    <row r="177" spans="1:36" s="1190" customFormat="1" ht="25.5">
      <c r="A177" s="838">
        <f>IF(B177="","",COUNTA($R$4:R177))</f>
        <v>174</v>
      </c>
      <c r="B177" s="1071" t="s">
        <v>590</v>
      </c>
      <c r="C177" s="838" t="str">
        <f t="shared" si="50"/>
        <v xml:space="preserve">Vũ Đình Chiến </v>
      </c>
      <c r="D177" s="838" t="str">
        <f t="shared" si="51"/>
        <v>Cán bộ BQLDA</v>
      </c>
      <c r="E177" s="838" t="str">
        <f t="shared" si="69"/>
        <v>.....................................</v>
      </c>
      <c r="F177" s="838" t="str">
        <f t="shared" si="69"/>
        <v>.....................................</v>
      </c>
      <c r="G177" s="838" t="str">
        <f t="shared" si="65"/>
        <v>Đặng Văn Huấn</v>
      </c>
      <c r="H177" s="838" t="str">
        <f t="shared" si="66"/>
        <v>Phó đoàn TVGS</v>
      </c>
      <c r="I177" s="838" t="str">
        <f t="shared" si="70"/>
        <v>.....................................</v>
      </c>
      <c r="J177" s="838" t="str">
        <f t="shared" si="70"/>
        <v>.....................................</v>
      </c>
      <c r="K177" s="838" t="str">
        <f t="shared" si="67"/>
        <v>Phạm Văn Trà</v>
      </c>
      <c r="L177" s="838" t="str">
        <f t="shared" si="68"/>
        <v>CBKT</v>
      </c>
      <c r="M177" s="838" t="str">
        <f t="shared" si="71"/>
        <v>.....................................</v>
      </c>
      <c r="N177" s="838" t="str">
        <f t="shared" si="71"/>
        <v>.....................................</v>
      </c>
      <c r="O177" s="838" t="str">
        <f t="shared" si="72"/>
        <v>Đinh Mạnh Toàn</v>
      </c>
      <c r="P177" s="838" t="str">
        <f t="shared" si="73"/>
        <v>CBKT</v>
      </c>
      <c r="Q177" s="860" t="str">
        <f t="shared" si="74"/>
        <v>Công ty TNHH đầu tư và phát triển KD Vượng Phát</v>
      </c>
      <c r="R177" s="838">
        <v>1</v>
      </c>
      <c r="S177" s="838">
        <v>2</v>
      </c>
      <c r="T177" s="838">
        <v>3</v>
      </c>
      <c r="U177" s="838"/>
      <c r="V177" s="861">
        <v>0.13194444444444445</v>
      </c>
      <c r="W177" s="861">
        <v>0.13541666666666666</v>
      </c>
      <c r="X177" s="861">
        <v>0.15972222222222224</v>
      </c>
      <c r="Y177" s="838"/>
      <c r="Z177" s="838"/>
      <c r="AA177" s="838"/>
      <c r="AB177" s="838"/>
      <c r="AC177" s="833"/>
      <c r="AJ177" s="1190">
        <f t="shared" si="59"/>
        <v>3</v>
      </c>
    </row>
    <row r="178" spans="1:36" s="1190" customFormat="1" ht="25.5">
      <c r="A178" s="838">
        <f>IF(B178="","",COUNTA($R$4:R178))</f>
        <v>175</v>
      </c>
      <c r="B178" s="1071" t="s">
        <v>595</v>
      </c>
      <c r="C178" s="838" t="str">
        <f t="shared" ref="C178:C219" si="75">$AD$27</f>
        <v xml:space="preserve">Vũ Đình Chiến </v>
      </c>
      <c r="D178" s="838" t="str">
        <f t="shared" ref="D178:D219" si="76">$AF$27</f>
        <v>Cán bộ BQLDA</v>
      </c>
      <c r="E178" s="838" t="str">
        <f t="shared" si="69"/>
        <v>.....................................</v>
      </c>
      <c r="F178" s="838" t="str">
        <f t="shared" si="69"/>
        <v>.....................................</v>
      </c>
      <c r="G178" s="838" t="str">
        <f t="shared" si="65"/>
        <v>Đặng Văn Huấn</v>
      </c>
      <c r="H178" s="838" t="str">
        <f t="shared" si="66"/>
        <v>Phó đoàn TVGS</v>
      </c>
      <c r="I178" s="838" t="str">
        <f t="shared" si="70"/>
        <v>.....................................</v>
      </c>
      <c r="J178" s="838" t="str">
        <f t="shared" si="70"/>
        <v>.....................................</v>
      </c>
      <c r="K178" s="838" t="str">
        <f>$AD$19</f>
        <v>Đinh Văn Hưởng</v>
      </c>
      <c r="L178" s="838" t="str">
        <f>$AF$19</f>
        <v>CBKT</v>
      </c>
      <c r="M178" s="838" t="str">
        <f t="shared" si="71"/>
        <v>.....................................</v>
      </c>
      <c r="N178" s="838" t="str">
        <f t="shared" si="71"/>
        <v>.....................................</v>
      </c>
      <c r="O178" s="838" t="str">
        <f t="shared" si="72"/>
        <v>Đinh Mạnh Toàn</v>
      </c>
      <c r="P178" s="838" t="str">
        <f t="shared" si="73"/>
        <v>CBKT</v>
      </c>
      <c r="Q178" s="860" t="str">
        <f t="shared" si="74"/>
        <v>Công ty TNHH đầu tư và phát triển KD Vượng Phát</v>
      </c>
      <c r="R178" s="838">
        <v>1</v>
      </c>
      <c r="S178" s="838">
        <v>2</v>
      </c>
      <c r="T178" s="838">
        <v>3</v>
      </c>
      <c r="U178" s="838"/>
      <c r="V178" s="861">
        <v>0.45624999999999999</v>
      </c>
      <c r="W178" s="861">
        <v>0.47222222222222227</v>
      </c>
      <c r="X178" s="861">
        <v>0.49652777777777773</v>
      </c>
      <c r="Y178" s="838"/>
      <c r="Z178" s="838"/>
      <c r="AA178" s="838"/>
      <c r="AB178" s="838"/>
      <c r="AC178" s="833"/>
      <c r="AJ178" s="1190">
        <f t="shared" si="59"/>
        <v>3</v>
      </c>
    </row>
    <row r="179" spans="1:36" s="1190" customFormat="1" ht="25.5">
      <c r="A179" s="838">
        <f>IF(B179="","",COUNTA($R$4:R179))</f>
        <v>176</v>
      </c>
      <c r="B179" s="1071" t="s">
        <v>659</v>
      </c>
      <c r="C179" s="838" t="str">
        <f t="shared" si="75"/>
        <v xml:space="preserve">Vũ Đình Chiến </v>
      </c>
      <c r="D179" s="838" t="str">
        <f t="shared" si="76"/>
        <v>Cán bộ BQLDA</v>
      </c>
      <c r="E179" s="838" t="str">
        <f t="shared" si="69"/>
        <v>.....................................</v>
      </c>
      <c r="F179" s="838" t="str">
        <f t="shared" si="69"/>
        <v>.....................................</v>
      </c>
      <c r="G179" s="838" t="str">
        <f t="shared" si="65"/>
        <v>Đặng Văn Huấn</v>
      </c>
      <c r="H179" s="838" t="str">
        <f t="shared" si="66"/>
        <v>Phó đoàn TVGS</v>
      </c>
      <c r="I179" s="838" t="str">
        <f t="shared" si="70"/>
        <v>.....................................</v>
      </c>
      <c r="J179" s="838" t="str">
        <f t="shared" si="70"/>
        <v>.....................................</v>
      </c>
      <c r="K179" s="838" t="str">
        <f t="shared" si="67"/>
        <v>Phạm Văn Trà</v>
      </c>
      <c r="L179" s="838" t="str">
        <f t="shared" si="68"/>
        <v>CBKT</v>
      </c>
      <c r="M179" s="838" t="str">
        <f t="shared" si="71"/>
        <v>.....................................</v>
      </c>
      <c r="N179" s="838" t="str">
        <f t="shared" si="71"/>
        <v>.....................................</v>
      </c>
      <c r="O179" s="838" t="str">
        <f t="shared" si="72"/>
        <v>Đinh Mạnh Toàn</v>
      </c>
      <c r="P179" s="838" t="str">
        <f t="shared" si="73"/>
        <v>CBKT</v>
      </c>
      <c r="Q179" s="860" t="str">
        <f t="shared" si="74"/>
        <v>Công ty TNHH đầu tư và phát triển KD Vượng Phát</v>
      </c>
      <c r="R179" s="838">
        <v>1</v>
      </c>
      <c r="S179" s="838"/>
      <c r="T179" s="838"/>
      <c r="U179" s="838"/>
      <c r="V179" s="861">
        <v>6.9444444444444434E-2</v>
      </c>
      <c r="W179" s="838"/>
      <c r="X179" s="838"/>
      <c r="Y179" s="838"/>
      <c r="Z179" s="838"/>
      <c r="AA179" s="838"/>
      <c r="AB179" s="838"/>
      <c r="AC179" s="833"/>
      <c r="AJ179" s="1190">
        <f t="shared" si="59"/>
        <v>1</v>
      </c>
    </row>
    <row r="180" spans="1:36" s="1190" customFormat="1" ht="25.5">
      <c r="A180" s="838">
        <f>IF(B180="","",COUNTA($R$4:R180))</f>
        <v>177</v>
      </c>
      <c r="B180" s="1071" t="s">
        <v>598</v>
      </c>
      <c r="C180" s="838" t="str">
        <f t="shared" si="75"/>
        <v xml:space="preserve">Vũ Đình Chiến </v>
      </c>
      <c r="D180" s="838" t="str">
        <f t="shared" si="76"/>
        <v>Cán bộ BQLDA</v>
      </c>
      <c r="E180" s="838" t="str">
        <f t="shared" si="69"/>
        <v>.....................................</v>
      </c>
      <c r="F180" s="838" t="str">
        <f t="shared" si="69"/>
        <v>.....................................</v>
      </c>
      <c r="G180" s="838" t="str">
        <f t="shared" si="65"/>
        <v>Đặng Văn Huấn</v>
      </c>
      <c r="H180" s="838" t="str">
        <f t="shared" si="66"/>
        <v>Phó đoàn TVGS</v>
      </c>
      <c r="I180" s="838" t="str">
        <f t="shared" si="70"/>
        <v>.....................................</v>
      </c>
      <c r="J180" s="838" t="str">
        <f t="shared" si="70"/>
        <v>.....................................</v>
      </c>
      <c r="K180" s="838" t="str">
        <f t="shared" si="67"/>
        <v>Phạm Văn Trà</v>
      </c>
      <c r="L180" s="838" t="str">
        <f t="shared" si="68"/>
        <v>CBKT</v>
      </c>
      <c r="M180" s="838" t="str">
        <f t="shared" si="71"/>
        <v>.....................................</v>
      </c>
      <c r="N180" s="838" t="str">
        <f t="shared" si="71"/>
        <v>.....................................</v>
      </c>
      <c r="O180" s="838" t="str">
        <f t="shared" si="72"/>
        <v>Đinh Mạnh Toàn</v>
      </c>
      <c r="P180" s="838" t="str">
        <f t="shared" si="73"/>
        <v>CBKT</v>
      </c>
      <c r="Q180" s="860" t="str">
        <f t="shared" si="74"/>
        <v>Công ty TNHH đầu tư và phát triển KD Vượng Phát</v>
      </c>
      <c r="R180" s="838">
        <v>1</v>
      </c>
      <c r="S180" s="838">
        <v>2</v>
      </c>
      <c r="T180" s="838"/>
      <c r="U180" s="838"/>
      <c r="V180" s="861">
        <v>0.82638888888888884</v>
      </c>
      <c r="W180" s="861">
        <v>0.82986111111111116</v>
      </c>
      <c r="X180" s="838"/>
      <c r="Y180" s="838"/>
      <c r="Z180" s="838"/>
      <c r="AA180" s="838"/>
      <c r="AB180" s="838"/>
      <c r="AC180" s="833"/>
      <c r="AJ180" s="1190">
        <f t="shared" si="59"/>
        <v>2</v>
      </c>
    </row>
    <row r="181" spans="1:36" s="1190" customFormat="1" ht="25.5">
      <c r="A181" s="838">
        <f>IF(B181="","",COUNTA($R$4:R181))</f>
        <v>178</v>
      </c>
      <c r="B181" s="1071" t="s">
        <v>522</v>
      </c>
      <c r="C181" s="838" t="str">
        <f t="shared" si="75"/>
        <v xml:space="preserve">Vũ Đình Chiến </v>
      </c>
      <c r="D181" s="838" t="str">
        <f t="shared" si="76"/>
        <v>Cán bộ BQLDA</v>
      </c>
      <c r="E181" s="838" t="str">
        <f t="shared" si="69"/>
        <v>.....................................</v>
      </c>
      <c r="F181" s="838" t="str">
        <f t="shared" si="69"/>
        <v>.....................................</v>
      </c>
      <c r="G181" s="838" t="str">
        <f t="shared" si="65"/>
        <v>Đặng Văn Huấn</v>
      </c>
      <c r="H181" s="838" t="str">
        <f t="shared" si="66"/>
        <v>Phó đoàn TVGS</v>
      </c>
      <c r="I181" s="838" t="str">
        <f t="shared" si="70"/>
        <v>.....................................</v>
      </c>
      <c r="J181" s="838" t="str">
        <f t="shared" si="70"/>
        <v>.....................................</v>
      </c>
      <c r="K181" s="838" t="str">
        <f>$AD$19</f>
        <v>Đinh Văn Hưởng</v>
      </c>
      <c r="L181" s="838" t="str">
        <f>$AF$19</f>
        <v>CBKT</v>
      </c>
      <c r="M181" s="838" t="str">
        <f t="shared" si="71"/>
        <v>.....................................</v>
      </c>
      <c r="N181" s="838" t="str">
        <f t="shared" si="71"/>
        <v>.....................................</v>
      </c>
      <c r="O181" s="838" t="str">
        <f t="shared" si="72"/>
        <v>Đinh Mạnh Toàn</v>
      </c>
      <c r="P181" s="838" t="str">
        <f t="shared" si="73"/>
        <v>CBKT</v>
      </c>
      <c r="Q181" s="860" t="str">
        <f t="shared" si="74"/>
        <v>Công ty TNHH đầu tư và phát triển KD Vượng Phát</v>
      </c>
      <c r="R181" s="838">
        <v>1</v>
      </c>
      <c r="S181" s="838">
        <v>2</v>
      </c>
      <c r="T181" s="838">
        <v>3</v>
      </c>
      <c r="U181" s="838"/>
      <c r="V181" s="861">
        <v>0.2638888888888889</v>
      </c>
      <c r="W181" s="861">
        <v>0.27777777777777779</v>
      </c>
      <c r="X181" s="861">
        <v>0.28125</v>
      </c>
      <c r="Y181" s="838"/>
      <c r="Z181" s="838"/>
      <c r="AA181" s="838"/>
      <c r="AB181" s="838"/>
      <c r="AC181" s="833"/>
      <c r="AJ181" s="1190">
        <f t="shared" si="59"/>
        <v>3</v>
      </c>
    </row>
    <row r="182" spans="1:36" s="1190" customFormat="1" ht="25.5">
      <c r="A182" s="838">
        <f>IF(B182="","",COUNTA($R$4:R182))</f>
        <v>179</v>
      </c>
      <c r="B182" s="1071" t="s">
        <v>608</v>
      </c>
      <c r="C182" s="838" t="str">
        <f t="shared" si="75"/>
        <v xml:space="preserve">Vũ Đình Chiến </v>
      </c>
      <c r="D182" s="838" t="str">
        <f t="shared" si="76"/>
        <v>Cán bộ BQLDA</v>
      </c>
      <c r="E182" s="838" t="str">
        <f t="shared" si="69"/>
        <v>.....................................</v>
      </c>
      <c r="F182" s="838" t="str">
        <f t="shared" si="69"/>
        <v>.....................................</v>
      </c>
      <c r="G182" s="838" t="str">
        <f t="shared" si="65"/>
        <v>Đặng Văn Huấn</v>
      </c>
      <c r="H182" s="838" t="str">
        <f t="shared" si="66"/>
        <v>Phó đoàn TVGS</v>
      </c>
      <c r="I182" s="838" t="str">
        <f t="shared" si="70"/>
        <v>.....................................</v>
      </c>
      <c r="J182" s="838" t="str">
        <f t="shared" si="70"/>
        <v>.....................................</v>
      </c>
      <c r="K182" s="838" t="str">
        <f t="shared" si="67"/>
        <v>Phạm Văn Trà</v>
      </c>
      <c r="L182" s="838" t="str">
        <f t="shared" si="68"/>
        <v>CBKT</v>
      </c>
      <c r="M182" s="838" t="str">
        <f t="shared" si="71"/>
        <v>.....................................</v>
      </c>
      <c r="N182" s="838" t="str">
        <f t="shared" si="71"/>
        <v>.....................................</v>
      </c>
      <c r="O182" s="838" t="str">
        <f t="shared" si="72"/>
        <v>Đinh Mạnh Toàn</v>
      </c>
      <c r="P182" s="838" t="str">
        <f t="shared" si="73"/>
        <v>CBKT</v>
      </c>
      <c r="Q182" s="860" t="str">
        <f t="shared" si="74"/>
        <v>Công ty TNHH đầu tư và phát triển KD Vượng Phát</v>
      </c>
      <c r="R182" s="838">
        <v>1</v>
      </c>
      <c r="S182" s="838">
        <v>2</v>
      </c>
      <c r="T182" s="838">
        <v>3</v>
      </c>
      <c r="U182" s="838"/>
      <c r="V182" s="861">
        <v>0.21180555555555555</v>
      </c>
      <c r="W182" s="861">
        <v>0.22222222222222221</v>
      </c>
      <c r="X182" s="861">
        <v>0.2673611111111111</v>
      </c>
      <c r="Y182" s="838"/>
      <c r="Z182" s="838"/>
      <c r="AA182" s="838"/>
      <c r="AB182" s="838"/>
      <c r="AC182" s="833"/>
      <c r="AJ182" s="1190">
        <f t="shared" si="59"/>
        <v>3</v>
      </c>
    </row>
    <row r="183" spans="1:36" s="1190" customFormat="1" ht="25.5">
      <c r="A183" s="838">
        <f>IF(B183="","",COUNTA($R$4:R183))</f>
        <v>180</v>
      </c>
      <c r="B183" s="1071" t="s">
        <v>605</v>
      </c>
      <c r="C183" s="838" t="str">
        <f t="shared" si="75"/>
        <v xml:space="preserve">Vũ Đình Chiến </v>
      </c>
      <c r="D183" s="838" t="str">
        <f t="shared" si="76"/>
        <v>Cán bộ BQLDA</v>
      </c>
      <c r="E183" s="838" t="str">
        <f t="shared" si="69"/>
        <v>.....................................</v>
      </c>
      <c r="F183" s="838" t="str">
        <f t="shared" si="69"/>
        <v>.....................................</v>
      </c>
      <c r="G183" s="838" t="str">
        <f t="shared" si="65"/>
        <v>Đặng Văn Huấn</v>
      </c>
      <c r="H183" s="838" t="str">
        <f t="shared" si="66"/>
        <v>Phó đoàn TVGS</v>
      </c>
      <c r="I183" s="838" t="str">
        <f t="shared" si="70"/>
        <v>.....................................</v>
      </c>
      <c r="J183" s="838" t="str">
        <f t="shared" si="70"/>
        <v>.....................................</v>
      </c>
      <c r="K183" s="838" t="str">
        <f>$AD$19</f>
        <v>Đinh Văn Hưởng</v>
      </c>
      <c r="L183" s="838" t="str">
        <f>$AF$19</f>
        <v>CBKT</v>
      </c>
      <c r="M183" s="838" t="str">
        <f t="shared" si="71"/>
        <v>.....................................</v>
      </c>
      <c r="N183" s="838" t="str">
        <f t="shared" si="71"/>
        <v>.....................................</v>
      </c>
      <c r="O183" s="838" t="str">
        <f t="shared" si="72"/>
        <v>Đinh Mạnh Toàn</v>
      </c>
      <c r="P183" s="838" t="str">
        <f t="shared" si="73"/>
        <v>CBKT</v>
      </c>
      <c r="Q183" s="860" t="str">
        <f t="shared" si="74"/>
        <v>Công ty TNHH đầu tư và phát triển KD Vượng Phát</v>
      </c>
      <c r="R183" s="838">
        <v>1</v>
      </c>
      <c r="S183" s="838">
        <v>2</v>
      </c>
      <c r="T183" s="838">
        <v>3</v>
      </c>
      <c r="U183" s="838"/>
      <c r="V183" s="861">
        <v>0.3888888888888889</v>
      </c>
      <c r="W183" s="861">
        <v>0.42152777777777778</v>
      </c>
      <c r="X183" s="861">
        <v>0.43402777777777773</v>
      </c>
      <c r="Y183" s="838"/>
      <c r="Z183" s="838"/>
      <c r="AA183" s="838"/>
      <c r="AB183" s="838"/>
      <c r="AC183" s="833"/>
      <c r="AJ183" s="1190">
        <f t="shared" si="59"/>
        <v>3</v>
      </c>
    </row>
    <row r="184" spans="1:36" s="1190" customFormat="1" ht="25.5">
      <c r="A184" s="838">
        <f>IF(B184="","",COUNTA($R$4:R184))</f>
        <v>181</v>
      </c>
      <c r="B184" s="838" t="s">
        <v>701</v>
      </c>
      <c r="C184" s="838" t="str">
        <f t="shared" si="75"/>
        <v xml:space="preserve">Vũ Đình Chiến </v>
      </c>
      <c r="D184" s="838" t="str">
        <f t="shared" si="76"/>
        <v>Cán bộ BQLDA</v>
      </c>
      <c r="E184" s="838" t="str">
        <f t="shared" si="69"/>
        <v>.....................................</v>
      </c>
      <c r="F184" s="838" t="str">
        <f t="shared" si="69"/>
        <v>.....................................</v>
      </c>
      <c r="G184" s="838" t="str">
        <f t="shared" si="65"/>
        <v>Đặng Văn Huấn</v>
      </c>
      <c r="H184" s="838" t="str">
        <f t="shared" si="66"/>
        <v>Phó đoàn TVGS</v>
      </c>
      <c r="I184" s="838" t="str">
        <f t="shared" si="70"/>
        <v>.....................................</v>
      </c>
      <c r="J184" s="838" t="str">
        <f t="shared" si="70"/>
        <v>.....................................</v>
      </c>
      <c r="K184" s="838" t="str">
        <f>$AD$19</f>
        <v>Đinh Văn Hưởng</v>
      </c>
      <c r="L184" s="838" t="str">
        <f>$AF$19</f>
        <v>CBKT</v>
      </c>
      <c r="M184" s="838" t="str">
        <f t="shared" si="71"/>
        <v>.....................................</v>
      </c>
      <c r="N184" s="838" t="str">
        <f t="shared" si="71"/>
        <v>.....................................</v>
      </c>
      <c r="O184" s="838" t="str">
        <f t="shared" si="72"/>
        <v>Đinh Mạnh Toàn</v>
      </c>
      <c r="P184" s="838" t="str">
        <f t="shared" si="73"/>
        <v>CBKT</v>
      </c>
      <c r="Q184" s="860" t="str">
        <f t="shared" si="74"/>
        <v>Công ty TNHH đầu tư và phát triển KD Vượng Phát</v>
      </c>
      <c r="R184" s="838">
        <v>1</v>
      </c>
      <c r="S184" s="838">
        <v>2</v>
      </c>
      <c r="T184" s="838"/>
      <c r="U184" s="838"/>
      <c r="V184" s="861">
        <v>0.72222222222222221</v>
      </c>
      <c r="W184" s="861">
        <v>0.76041666666666663</v>
      </c>
      <c r="X184" s="838"/>
      <c r="Y184" s="838"/>
      <c r="Z184" s="838"/>
      <c r="AA184" s="838"/>
      <c r="AB184" s="838"/>
      <c r="AC184" s="833"/>
      <c r="AJ184" s="1190">
        <f t="shared" si="59"/>
        <v>2</v>
      </c>
    </row>
    <row r="185" spans="1:36" s="1190" customFormat="1" ht="25.5">
      <c r="A185" s="838">
        <f>IF(B185="","",COUNTA($R$4:R185))</f>
        <v>182</v>
      </c>
      <c r="B185" s="838" t="s">
        <v>663</v>
      </c>
      <c r="C185" s="838" t="str">
        <f t="shared" si="75"/>
        <v xml:space="preserve">Vũ Đình Chiến </v>
      </c>
      <c r="D185" s="838" t="str">
        <f t="shared" si="76"/>
        <v>Cán bộ BQLDA</v>
      </c>
      <c r="E185" s="838" t="str">
        <f t="shared" si="69"/>
        <v>.....................................</v>
      </c>
      <c r="F185" s="838" t="str">
        <f t="shared" si="69"/>
        <v>.....................................</v>
      </c>
      <c r="G185" s="838" t="str">
        <f t="shared" si="65"/>
        <v>Đặng Văn Huấn</v>
      </c>
      <c r="H185" s="838" t="str">
        <f t="shared" si="66"/>
        <v>Phó đoàn TVGS</v>
      </c>
      <c r="I185" s="838" t="str">
        <f t="shared" si="70"/>
        <v>.....................................</v>
      </c>
      <c r="J185" s="838" t="str">
        <f t="shared" si="70"/>
        <v>.....................................</v>
      </c>
      <c r="K185" s="838" t="str">
        <f t="shared" ref="K185" si="77">$AD$18</f>
        <v>Phạm Văn Trà</v>
      </c>
      <c r="L185" s="838" t="str">
        <f t="shared" ref="L185" si="78">$AF$21</f>
        <v>CBKT</v>
      </c>
      <c r="M185" s="838" t="str">
        <f t="shared" si="71"/>
        <v>.....................................</v>
      </c>
      <c r="N185" s="838" t="str">
        <f t="shared" si="71"/>
        <v>.....................................</v>
      </c>
      <c r="O185" s="838" t="str">
        <f t="shared" si="72"/>
        <v>Đinh Mạnh Toàn</v>
      </c>
      <c r="P185" s="838" t="str">
        <f t="shared" si="73"/>
        <v>CBKT</v>
      </c>
      <c r="Q185" s="860" t="str">
        <f t="shared" si="74"/>
        <v>Công ty TNHH đầu tư và phát triển KD Vượng Phát</v>
      </c>
      <c r="R185" s="838">
        <v>1</v>
      </c>
      <c r="S185" s="838"/>
      <c r="T185" s="838"/>
      <c r="U185" s="838"/>
      <c r="V185" s="861">
        <v>0.98611111111111116</v>
      </c>
      <c r="W185" s="838"/>
      <c r="X185" s="838"/>
      <c r="Y185" s="838"/>
      <c r="Z185" s="838"/>
      <c r="AA185" s="838"/>
      <c r="AB185" s="838"/>
      <c r="AC185" s="833"/>
      <c r="AJ185" s="1190">
        <f t="shared" si="59"/>
        <v>1</v>
      </c>
    </row>
    <row r="186" spans="1:36" s="1208" customFormat="1" ht="25.5">
      <c r="A186" s="838">
        <f>IF(B186="","",COUNTA($R$4:R186))</f>
        <v>183</v>
      </c>
      <c r="B186" s="838" t="s">
        <v>540</v>
      </c>
      <c r="C186" s="838" t="str">
        <f t="shared" si="75"/>
        <v xml:space="preserve">Vũ Đình Chiến </v>
      </c>
      <c r="D186" s="838" t="str">
        <f t="shared" si="76"/>
        <v>Cán bộ BQLDA</v>
      </c>
      <c r="E186" s="838" t="str">
        <f t="shared" ref="E186:F219" si="79">$AD$6</f>
        <v>.....................................</v>
      </c>
      <c r="F186" s="838" t="str">
        <f t="shared" si="79"/>
        <v>.....................................</v>
      </c>
      <c r="G186" s="838" t="str">
        <f t="shared" si="65"/>
        <v>Đặng Văn Huấn</v>
      </c>
      <c r="H186" s="838" t="str">
        <f t="shared" si="66"/>
        <v>Phó đoàn TVGS</v>
      </c>
      <c r="I186" s="838" t="str">
        <f t="shared" ref="I186:J215" si="80">$AD$6</f>
        <v>.....................................</v>
      </c>
      <c r="J186" s="838" t="str">
        <f t="shared" si="80"/>
        <v>.....................................</v>
      </c>
      <c r="K186" s="838" t="str">
        <f>$AD$19</f>
        <v>Đinh Văn Hưởng</v>
      </c>
      <c r="L186" s="838" t="str">
        <f>$AF$19</f>
        <v>CBKT</v>
      </c>
      <c r="M186" s="838" t="str">
        <f t="shared" ref="M186:N219" si="81">$AD$6</f>
        <v>.....................................</v>
      </c>
      <c r="N186" s="838" t="str">
        <f t="shared" si="81"/>
        <v>.....................................</v>
      </c>
      <c r="O186" s="838" t="str">
        <f t="shared" si="72"/>
        <v>Đinh Mạnh Toàn</v>
      </c>
      <c r="P186" s="838" t="str">
        <f t="shared" si="73"/>
        <v>CBKT</v>
      </c>
      <c r="Q186" s="860" t="str">
        <f t="shared" si="74"/>
        <v>Công ty TNHH đầu tư và phát triển KD Vượng Phát</v>
      </c>
      <c r="R186" s="838">
        <v>1</v>
      </c>
      <c r="S186" s="838">
        <v>2</v>
      </c>
      <c r="T186" s="838">
        <v>3</v>
      </c>
      <c r="U186" s="838"/>
      <c r="V186" s="861">
        <v>0.3923611111111111</v>
      </c>
      <c r="W186" s="861">
        <v>0.40277777777777773</v>
      </c>
      <c r="X186" s="861">
        <v>0.4513888888888889</v>
      </c>
      <c r="Y186" s="838"/>
      <c r="Z186" s="838"/>
      <c r="AA186" s="838"/>
      <c r="AB186" s="838"/>
      <c r="AC186" s="833"/>
      <c r="AJ186" s="1208">
        <f t="shared" si="59"/>
        <v>3</v>
      </c>
    </row>
    <row r="187" spans="1:36" s="1208" customFormat="1" ht="25.5">
      <c r="A187" s="838">
        <f>IF(B187="","",COUNTA($R$4:R187))</f>
        <v>184</v>
      </c>
      <c r="B187" s="838" t="s">
        <v>463</v>
      </c>
      <c r="C187" s="838" t="str">
        <f t="shared" si="75"/>
        <v xml:space="preserve">Vũ Đình Chiến </v>
      </c>
      <c r="D187" s="838" t="str">
        <f t="shared" si="76"/>
        <v>Cán bộ BQLDA</v>
      </c>
      <c r="E187" s="838" t="str">
        <f t="shared" si="79"/>
        <v>.....................................</v>
      </c>
      <c r="F187" s="838" t="str">
        <f t="shared" si="79"/>
        <v>.....................................</v>
      </c>
      <c r="G187" s="838" t="str">
        <f t="shared" si="65"/>
        <v>Đặng Văn Huấn</v>
      </c>
      <c r="H187" s="838" t="str">
        <f t="shared" si="66"/>
        <v>Phó đoàn TVGS</v>
      </c>
      <c r="I187" s="838" t="str">
        <f t="shared" si="80"/>
        <v>.....................................</v>
      </c>
      <c r="J187" s="838" t="str">
        <f t="shared" si="80"/>
        <v>.....................................</v>
      </c>
      <c r="K187" s="838" t="str">
        <f>$AD$19</f>
        <v>Đinh Văn Hưởng</v>
      </c>
      <c r="L187" s="838" t="str">
        <f>$AF$19</f>
        <v>CBKT</v>
      </c>
      <c r="M187" s="838" t="str">
        <f t="shared" si="81"/>
        <v>.....................................</v>
      </c>
      <c r="N187" s="838" t="str">
        <f t="shared" si="81"/>
        <v>.....................................</v>
      </c>
      <c r="O187" s="838">
        <f>$AD$32</f>
        <v>0</v>
      </c>
      <c r="P187" s="838" t="str">
        <f t="shared" si="73"/>
        <v>CBKT</v>
      </c>
      <c r="Q187" s="860" t="str">
        <f t="shared" si="74"/>
        <v>Công ty TNHH đầu tư và phát triển KD Vượng Phát</v>
      </c>
      <c r="R187" s="838">
        <v>1</v>
      </c>
      <c r="S187" s="838">
        <v>2</v>
      </c>
      <c r="T187" s="838"/>
      <c r="U187" s="838"/>
      <c r="V187" s="861">
        <v>0.68055555555555547</v>
      </c>
      <c r="W187" s="861">
        <v>0.71527777777777779</v>
      </c>
      <c r="X187" s="838"/>
      <c r="Y187" s="838"/>
      <c r="Z187" s="838"/>
      <c r="AA187" s="838"/>
      <c r="AB187" s="838"/>
      <c r="AC187" s="833"/>
      <c r="AJ187" s="1208">
        <f t="shared" si="59"/>
        <v>2</v>
      </c>
    </row>
    <row r="188" spans="1:36" s="1208" customFormat="1" ht="25.5">
      <c r="A188" s="838">
        <f>IF(B188="","",COUNTA($R$4:R188))</f>
        <v>185</v>
      </c>
      <c r="B188" s="838" t="s">
        <v>697</v>
      </c>
      <c r="C188" s="838" t="str">
        <f t="shared" si="75"/>
        <v xml:space="preserve">Vũ Đình Chiến </v>
      </c>
      <c r="D188" s="838" t="str">
        <f t="shared" si="76"/>
        <v>Cán bộ BQLDA</v>
      </c>
      <c r="E188" s="838" t="str">
        <f t="shared" si="79"/>
        <v>.....................................</v>
      </c>
      <c r="F188" s="838" t="str">
        <f t="shared" si="79"/>
        <v>.....................................</v>
      </c>
      <c r="G188" s="838" t="str">
        <f>$AD$188</f>
        <v>Nguyễn Minh Tân</v>
      </c>
      <c r="H188" s="838" t="str">
        <f>$AE$188</f>
        <v>TVGS</v>
      </c>
      <c r="I188" s="838" t="str">
        <f t="shared" si="80"/>
        <v>.....................................</v>
      </c>
      <c r="J188" s="838" t="str">
        <f t="shared" si="80"/>
        <v>.....................................</v>
      </c>
      <c r="K188" s="838" t="str">
        <f t="shared" ref="K188" si="82">$AD$18</f>
        <v>Phạm Văn Trà</v>
      </c>
      <c r="L188" s="838" t="str">
        <f t="shared" ref="L188" si="83">$AF$21</f>
        <v>CBKT</v>
      </c>
      <c r="M188" s="838" t="str">
        <f t="shared" si="81"/>
        <v>.....................................</v>
      </c>
      <c r="N188" s="838" t="str">
        <f t="shared" si="81"/>
        <v>.....................................</v>
      </c>
      <c r="O188" s="838" t="str">
        <f t="shared" si="72"/>
        <v>Đinh Mạnh Toàn</v>
      </c>
      <c r="P188" s="838" t="str">
        <f t="shared" si="73"/>
        <v>CBKT</v>
      </c>
      <c r="Q188" s="860" t="str">
        <f t="shared" si="74"/>
        <v>Công ty TNHH đầu tư và phát triển KD Vượng Phát</v>
      </c>
      <c r="R188" s="838">
        <v>1</v>
      </c>
      <c r="S188" s="838"/>
      <c r="T188" s="838"/>
      <c r="U188" s="838"/>
      <c r="V188" s="861">
        <v>0.11805555555555557</v>
      </c>
      <c r="W188" s="838"/>
      <c r="X188" s="838"/>
      <c r="Y188" s="838"/>
      <c r="Z188" s="838"/>
      <c r="AA188" s="838"/>
      <c r="AB188" s="838"/>
      <c r="AC188" s="833"/>
      <c r="AD188" s="1208" t="s">
        <v>1186</v>
      </c>
      <c r="AE188" s="1208" t="s">
        <v>197</v>
      </c>
      <c r="AJ188" s="1208">
        <f t="shared" si="59"/>
        <v>1</v>
      </c>
    </row>
    <row r="189" spans="1:36" s="1208" customFormat="1" ht="25.5">
      <c r="A189" s="838">
        <f>IF(B189="","",COUNTA($R$4:R189))</f>
        <v>186</v>
      </c>
      <c r="B189" s="838" t="s">
        <v>600</v>
      </c>
      <c r="C189" s="838" t="str">
        <f t="shared" si="75"/>
        <v xml:space="preserve">Vũ Đình Chiến </v>
      </c>
      <c r="D189" s="838" t="str">
        <f t="shared" si="76"/>
        <v>Cán bộ BQLDA</v>
      </c>
      <c r="E189" s="838" t="str">
        <f t="shared" si="79"/>
        <v>.....................................</v>
      </c>
      <c r="F189" s="838" t="str">
        <f t="shared" si="79"/>
        <v>.....................................</v>
      </c>
      <c r="G189" s="838" t="str">
        <f t="shared" si="65"/>
        <v>Đặng Văn Huấn</v>
      </c>
      <c r="H189" s="838" t="str">
        <f t="shared" si="66"/>
        <v>Phó đoàn TVGS</v>
      </c>
      <c r="I189" s="838" t="str">
        <f t="shared" si="80"/>
        <v>.....................................</v>
      </c>
      <c r="J189" s="838" t="str">
        <f t="shared" si="80"/>
        <v>.....................................</v>
      </c>
      <c r="K189" s="838" t="str">
        <f>$AD$19</f>
        <v>Đinh Văn Hưởng</v>
      </c>
      <c r="L189" s="838" t="str">
        <f>$AF$19</f>
        <v>CBKT</v>
      </c>
      <c r="M189" s="838" t="str">
        <f t="shared" si="81"/>
        <v>.....................................</v>
      </c>
      <c r="N189" s="838" t="str">
        <f t="shared" si="81"/>
        <v>.....................................</v>
      </c>
      <c r="O189" s="838">
        <f>$AD$32</f>
        <v>0</v>
      </c>
      <c r="P189" s="838" t="str">
        <f t="shared" si="73"/>
        <v>CBKT</v>
      </c>
      <c r="Q189" s="860" t="str">
        <f t="shared" si="74"/>
        <v>Công ty TNHH đầu tư và phát triển KD Vượng Phát</v>
      </c>
      <c r="R189" s="838">
        <v>1</v>
      </c>
      <c r="S189" s="838">
        <v>2</v>
      </c>
      <c r="T189" s="838">
        <v>3</v>
      </c>
      <c r="U189" s="838"/>
      <c r="V189" s="861">
        <v>0.38194444444444442</v>
      </c>
      <c r="W189" s="861">
        <v>0.3888888888888889</v>
      </c>
      <c r="X189" s="861">
        <v>0.40277777777777773</v>
      </c>
      <c r="Y189" s="838"/>
      <c r="Z189" s="838"/>
      <c r="AA189" s="838"/>
      <c r="AB189" s="838"/>
      <c r="AC189" s="833"/>
      <c r="AJ189" s="1208">
        <f t="shared" ref="AJ189:AJ219" si="84">COUNTA($R189:$U189)</f>
        <v>3</v>
      </c>
    </row>
    <row r="190" spans="1:36" s="1208" customFormat="1" ht="25.5">
      <c r="A190" s="838">
        <f>IF(B190="","",COUNTA($R$4:R190))</f>
        <v>187</v>
      </c>
      <c r="B190" s="838" t="s">
        <v>545</v>
      </c>
      <c r="C190" s="838" t="str">
        <f t="shared" si="75"/>
        <v xml:space="preserve">Vũ Đình Chiến </v>
      </c>
      <c r="D190" s="838" t="str">
        <f t="shared" si="76"/>
        <v>Cán bộ BQLDA</v>
      </c>
      <c r="E190" s="838" t="str">
        <f t="shared" si="79"/>
        <v>.....................................</v>
      </c>
      <c r="F190" s="838" t="str">
        <f t="shared" si="79"/>
        <v>.....................................</v>
      </c>
      <c r="G190" s="838" t="str">
        <f t="shared" si="65"/>
        <v>Đặng Văn Huấn</v>
      </c>
      <c r="H190" s="838" t="str">
        <f t="shared" si="66"/>
        <v>Phó đoàn TVGS</v>
      </c>
      <c r="I190" s="838" t="str">
        <f t="shared" si="80"/>
        <v>.....................................</v>
      </c>
      <c r="J190" s="838" t="str">
        <f t="shared" si="80"/>
        <v>.....................................</v>
      </c>
      <c r="K190" s="838" t="str">
        <f>$AD$19</f>
        <v>Đinh Văn Hưởng</v>
      </c>
      <c r="L190" s="838" t="str">
        <f>$AF$19</f>
        <v>CBKT</v>
      </c>
      <c r="M190" s="838" t="str">
        <f t="shared" si="81"/>
        <v>.....................................</v>
      </c>
      <c r="N190" s="838" t="str">
        <f t="shared" si="81"/>
        <v>.....................................</v>
      </c>
      <c r="O190" s="838">
        <f>$AD$32</f>
        <v>0</v>
      </c>
      <c r="P190" s="838" t="str">
        <f t="shared" si="73"/>
        <v>CBKT</v>
      </c>
      <c r="Q190" s="860" t="str">
        <f t="shared" si="74"/>
        <v>Công ty TNHH đầu tư và phát triển KD Vượng Phát</v>
      </c>
      <c r="R190" s="838">
        <v>1</v>
      </c>
      <c r="S190" s="838">
        <v>2</v>
      </c>
      <c r="T190" s="838">
        <v>3</v>
      </c>
      <c r="U190" s="838"/>
      <c r="V190" s="861">
        <v>0.56041666666666667</v>
      </c>
      <c r="W190" s="861">
        <v>0.61111111111111105</v>
      </c>
      <c r="X190" s="861">
        <v>0.62152777777777779</v>
      </c>
      <c r="Y190" s="838"/>
      <c r="Z190" s="838"/>
      <c r="AA190" s="838"/>
      <c r="AB190" s="838"/>
      <c r="AC190" s="833"/>
      <c r="AJ190" s="1208">
        <f t="shared" si="84"/>
        <v>3</v>
      </c>
    </row>
    <row r="191" spans="1:36" s="1208" customFormat="1" ht="25.5">
      <c r="A191" s="838">
        <f>IF(B191="","",COUNTA($R$4:R191))</f>
        <v>188</v>
      </c>
      <c r="B191" s="838" t="s">
        <v>667</v>
      </c>
      <c r="C191" s="838" t="str">
        <f t="shared" si="75"/>
        <v xml:space="preserve">Vũ Đình Chiến </v>
      </c>
      <c r="D191" s="838" t="str">
        <f t="shared" si="76"/>
        <v>Cán bộ BQLDA</v>
      </c>
      <c r="E191" s="838" t="str">
        <f t="shared" si="79"/>
        <v>.....................................</v>
      </c>
      <c r="F191" s="838" t="str">
        <f t="shared" si="79"/>
        <v>.....................................</v>
      </c>
      <c r="G191" s="838" t="str">
        <f t="shared" si="65"/>
        <v>Đặng Văn Huấn</v>
      </c>
      <c r="H191" s="838" t="str">
        <f t="shared" si="66"/>
        <v>Phó đoàn TVGS</v>
      </c>
      <c r="I191" s="838" t="str">
        <f t="shared" si="80"/>
        <v>.....................................</v>
      </c>
      <c r="J191" s="838" t="str">
        <f t="shared" si="80"/>
        <v>.....................................</v>
      </c>
      <c r="K191" s="838" t="str">
        <f>$AD$19</f>
        <v>Đinh Văn Hưởng</v>
      </c>
      <c r="L191" s="838" t="str">
        <f>$AF$19</f>
        <v>CBKT</v>
      </c>
      <c r="M191" s="838" t="str">
        <f t="shared" si="81"/>
        <v>.....................................</v>
      </c>
      <c r="N191" s="838" t="str">
        <f t="shared" si="81"/>
        <v>.....................................</v>
      </c>
      <c r="O191" s="838" t="str">
        <f t="shared" ref="O191" si="85">$AD$26</f>
        <v>Đinh Mạnh Toàn</v>
      </c>
      <c r="P191" s="838" t="str">
        <f t="shared" si="73"/>
        <v>CBKT</v>
      </c>
      <c r="Q191" s="860" t="str">
        <f t="shared" si="74"/>
        <v>Công ty TNHH đầu tư và phát triển KD Vượng Phát</v>
      </c>
      <c r="R191" s="838">
        <v>1</v>
      </c>
      <c r="S191" s="838"/>
      <c r="T191" s="838"/>
      <c r="U191" s="838"/>
      <c r="V191" s="861">
        <v>0.11458333333333333</v>
      </c>
      <c r="W191" s="838"/>
      <c r="X191" s="838"/>
      <c r="Y191" s="838"/>
      <c r="Z191" s="838"/>
      <c r="AA191" s="838"/>
      <c r="AB191" s="838"/>
      <c r="AC191" s="833"/>
      <c r="AJ191" s="1208">
        <f t="shared" si="84"/>
        <v>1</v>
      </c>
    </row>
    <row r="192" spans="1:36" s="1208" customFormat="1" ht="25.5">
      <c r="A192" s="838">
        <f>IF(B192="","",COUNTA($R$4:R192))</f>
        <v>189</v>
      </c>
      <c r="B192" s="838" t="s">
        <v>555</v>
      </c>
      <c r="C192" s="838" t="str">
        <f t="shared" si="75"/>
        <v xml:space="preserve">Vũ Đình Chiến </v>
      </c>
      <c r="D192" s="838" t="str">
        <f t="shared" si="76"/>
        <v>Cán bộ BQLDA</v>
      </c>
      <c r="E192" s="838" t="str">
        <f t="shared" si="79"/>
        <v>.....................................</v>
      </c>
      <c r="F192" s="838" t="str">
        <f t="shared" si="79"/>
        <v>.....................................</v>
      </c>
      <c r="G192" s="838" t="str">
        <f t="shared" si="65"/>
        <v>Đặng Văn Huấn</v>
      </c>
      <c r="H192" s="838" t="str">
        <f t="shared" si="66"/>
        <v>Phó đoàn TVGS</v>
      </c>
      <c r="I192" s="838" t="str">
        <f t="shared" si="80"/>
        <v>.....................................</v>
      </c>
      <c r="J192" s="838" t="str">
        <f t="shared" si="80"/>
        <v>.....................................</v>
      </c>
      <c r="K192" s="838" t="str">
        <f>$AD$19</f>
        <v>Đinh Văn Hưởng</v>
      </c>
      <c r="L192" s="838" t="str">
        <f>$AF$19</f>
        <v>CBKT</v>
      </c>
      <c r="M192" s="838" t="str">
        <f t="shared" si="81"/>
        <v>.....................................</v>
      </c>
      <c r="N192" s="838" t="str">
        <f t="shared" si="81"/>
        <v>.....................................</v>
      </c>
      <c r="O192" s="838">
        <f>$AD$32</f>
        <v>0</v>
      </c>
      <c r="P192" s="838" t="str">
        <f t="shared" si="73"/>
        <v>CBKT</v>
      </c>
      <c r="Q192" s="860" t="str">
        <f t="shared" si="74"/>
        <v>Công ty TNHH đầu tư và phát triển KD Vượng Phát</v>
      </c>
      <c r="R192" s="838">
        <v>1</v>
      </c>
      <c r="S192" s="838">
        <v>2</v>
      </c>
      <c r="T192" s="838">
        <v>3</v>
      </c>
      <c r="U192" s="838"/>
      <c r="V192" s="861">
        <v>0.50694444444444442</v>
      </c>
      <c r="W192" s="861">
        <v>0.51388888888888895</v>
      </c>
      <c r="X192" s="861">
        <v>0.52430555555555558</v>
      </c>
      <c r="Y192" s="838"/>
      <c r="Z192" s="838"/>
      <c r="AA192" s="838"/>
      <c r="AB192" s="838"/>
      <c r="AC192" s="833"/>
      <c r="AJ192" s="1208">
        <f t="shared" si="84"/>
        <v>3</v>
      </c>
    </row>
    <row r="193" spans="1:36" s="1208" customFormat="1" ht="25.5">
      <c r="A193" s="838">
        <f>IF(B193="","",COUNTA($R$4:R193))</f>
        <v>190</v>
      </c>
      <c r="B193" s="838" t="s">
        <v>615</v>
      </c>
      <c r="C193" s="838" t="str">
        <f t="shared" si="75"/>
        <v xml:space="preserve">Vũ Đình Chiến </v>
      </c>
      <c r="D193" s="838" t="str">
        <f t="shared" si="76"/>
        <v>Cán bộ BQLDA</v>
      </c>
      <c r="E193" s="838" t="str">
        <f t="shared" si="79"/>
        <v>.....................................</v>
      </c>
      <c r="F193" s="838" t="str">
        <f t="shared" si="79"/>
        <v>.....................................</v>
      </c>
      <c r="G193" s="838" t="str">
        <f t="shared" si="65"/>
        <v>Đặng Văn Huấn</v>
      </c>
      <c r="H193" s="838" t="str">
        <f t="shared" si="66"/>
        <v>Phó đoàn TVGS</v>
      </c>
      <c r="I193" s="838" t="str">
        <f t="shared" si="80"/>
        <v>.....................................</v>
      </c>
      <c r="J193" s="838" t="str">
        <f t="shared" si="80"/>
        <v>.....................................</v>
      </c>
      <c r="K193" s="838" t="str">
        <f t="shared" ref="K193" si="86">$AD$18</f>
        <v>Phạm Văn Trà</v>
      </c>
      <c r="L193" s="838" t="str">
        <f t="shared" ref="L193" si="87">$AF$21</f>
        <v>CBKT</v>
      </c>
      <c r="M193" s="838" t="str">
        <f t="shared" si="81"/>
        <v>.....................................</v>
      </c>
      <c r="N193" s="838" t="str">
        <f t="shared" si="81"/>
        <v>.....................................</v>
      </c>
      <c r="O193" s="838" t="str">
        <f t="shared" ref="O193:O204" si="88">$AD$26</f>
        <v>Đinh Mạnh Toàn</v>
      </c>
      <c r="P193" s="838" t="str">
        <f t="shared" si="73"/>
        <v>CBKT</v>
      </c>
      <c r="Q193" s="860" t="str">
        <f t="shared" si="74"/>
        <v>Công ty TNHH đầu tư và phát triển KD Vượng Phát</v>
      </c>
      <c r="R193" s="838">
        <v>1</v>
      </c>
      <c r="S193" s="838">
        <v>2</v>
      </c>
      <c r="T193" s="838">
        <v>3</v>
      </c>
      <c r="U193" s="838"/>
      <c r="V193" s="861">
        <v>7.2916666666666671E-2</v>
      </c>
      <c r="W193" s="861">
        <v>7.6388888888888895E-2</v>
      </c>
      <c r="X193" s="861">
        <v>9.375E-2</v>
      </c>
      <c r="Y193" s="838"/>
      <c r="Z193" s="838"/>
      <c r="AA193" s="838"/>
      <c r="AB193" s="838"/>
      <c r="AC193" s="833"/>
      <c r="AJ193" s="1208">
        <f t="shared" si="84"/>
        <v>3</v>
      </c>
    </row>
    <row r="194" spans="1:36" s="1208" customFormat="1" ht="25.5">
      <c r="A194" s="838">
        <f>IF(B194="","",COUNTA($R$4:R194))</f>
        <v>191</v>
      </c>
      <c r="B194" s="838" t="s">
        <v>560</v>
      </c>
      <c r="C194" s="838" t="str">
        <f t="shared" si="75"/>
        <v xml:space="preserve">Vũ Đình Chiến </v>
      </c>
      <c r="D194" s="838" t="str">
        <f t="shared" si="76"/>
        <v>Cán bộ BQLDA</v>
      </c>
      <c r="E194" s="838" t="str">
        <f t="shared" si="79"/>
        <v>.....................................</v>
      </c>
      <c r="F194" s="838" t="str">
        <f t="shared" si="79"/>
        <v>.....................................</v>
      </c>
      <c r="G194" s="838" t="str">
        <f t="shared" si="65"/>
        <v>Đặng Văn Huấn</v>
      </c>
      <c r="H194" s="838" t="str">
        <f t="shared" si="66"/>
        <v>Phó đoàn TVGS</v>
      </c>
      <c r="I194" s="838" t="str">
        <f t="shared" si="80"/>
        <v>.....................................</v>
      </c>
      <c r="J194" s="838" t="str">
        <f t="shared" si="80"/>
        <v>.....................................</v>
      </c>
      <c r="K194" s="838" t="str">
        <f>$AD$19</f>
        <v>Đinh Văn Hưởng</v>
      </c>
      <c r="L194" s="838" t="str">
        <f>$AF$19</f>
        <v>CBKT</v>
      </c>
      <c r="M194" s="838" t="str">
        <f t="shared" si="81"/>
        <v>.....................................</v>
      </c>
      <c r="N194" s="838" t="str">
        <f t="shared" si="81"/>
        <v>.....................................</v>
      </c>
      <c r="O194" s="838" t="str">
        <f t="shared" si="88"/>
        <v>Đinh Mạnh Toàn</v>
      </c>
      <c r="P194" s="838" t="str">
        <f t="shared" si="73"/>
        <v>CBKT</v>
      </c>
      <c r="Q194" s="860" t="str">
        <f t="shared" si="74"/>
        <v>Công ty TNHH đầu tư và phát triển KD Vượng Phát</v>
      </c>
      <c r="R194" s="838">
        <v>1</v>
      </c>
      <c r="S194" s="838">
        <v>2</v>
      </c>
      <c r="T194" s="838">
        <v>3</v>
      </c>
      <c r="U194" s="838"/>
      <c r="V194" s="861">
        <v>0.39930555555555558</v>
      </c>
      <c r="W194" s="861">
        <v>0.40625</v>
      </c>
      <c r="X194" s="861">
        <v>0.41319444444444442</v>
      </c>
      <c r="Y194" s="838"/>
      <c r="Z194" s="838"/>
      <c r="AA194" s="838"/>
      <c r="AB194" s="838"/>
      <c r="AC194" s="833"/>
      <c r="AJ194" s="1208">
        <f t="shared" si="84"/>
        <v>3</v>
      </c>
    </row>
    <row r="195" spans="1:36" s="1208" customFormat="1" ht="25.5">
      <c r="A195" s="838">
        <f>IF(B195="","",COUNTA($R$4:R195))</f>
        <v>192</v>
      </c>
      <c r="B195" s="838" t="s">
        <v>610</v>
      </c>
      <c r="C195" s="838" t="str">
        <f t="shared" si="75"/>
        <v xml:space="preserve">Vũ Đình Chiến </v>
      </c>
      <c r="D195" s="838" t="str">
        <f t="shared" si="76"/>
        <v>Cán bộ BQLDA</v>
      </c>
      <c r="E195" s="838" t="str">
        <f t="shared" si="79"/>
        <v>.....................................</v>
      </c>
      <c r="F195" s="838" t="str">
        <f t="shared" si="79"/>
        <v>.....................................</v>
      </c>
      <c r="G195" s="838" t="str">
        <f>$AD$188</f>
        <v>Nguyễn Minh Tân</v>
      </c>
      <c r="H195" s="838" t="str">
        <f>$AE$188</f>
        <v>TVGS</v>
      </c>
      <c r="I195" s="838" t="str">
        <f t="shared" si="80"/>
        <v>.....................................</v>
      </c>
      <c r="J195" s="838" t="str">
        <f t="shared" si="80"/>
        <v>.....................................</v>
      </c>
      <c r="K195" s="838" t="str">
        <f t="shared" ref="K195:K204" si="89">$AD$18</f>
        <v>Phạm Văn Trà</v>
      </c>
      <c r="L195" s="838" t="str">
        <f t="shared" ref="L195:L204" si="90">$AF$21</f>
        <v>CBKT</v>
      </c>
      <c r="M195" s="838" t="str">
        <f t="shared" si="81"/>
        <v>.....................................</v>
      </c>
      <c r="N195" s="838" t="str">
        <f t="shared" si="81"/>
        <v>.....................................</v>
      </c>
      <c r="O195" s="838" t="str">
        <f t="shared" si="88"/>
        <v>Đinh Mạnh Toàn</v>
      </c>
      <c r="P195" s="838" t="str">
        <f t="shared" si="73"/>
        <v>CBKT</v>
      </c>
      <c r="Q195" s="860" t="str">
        <f t="shared" si="74"/>
        <v>Công ty TNHH đầu tư và phát triển KD Vượng Phát</v>
      </c>
      <c r="R195" s="838">
        <v>1</v>
      </c>
      <c r="S195" s="838">
        <v>2</v>
      </c>
      <c r="T195" s="838">
        <v>3</v>
      </c>
      <c r="U195" s="838"/>
      <c r="V195" s="861">
        <v>0.24305555555555555</v>
      </c>
      <c r="W195" s="861">
        <v>0.25</v>
      </c>
      <c r="X195" s="861">
        <v>0.2638888888888889</v>
      </c>
      <c r="Y195" s="838"/>
      <c r="Z195" s="838"/>
      <c r="AA195" s="838"/>
      <c r="AB195" s="838"/>
      <c r="AC195" s="833"/>
      <c r="AJ195" s="1208">
        <f t="shared" si="84"/>
        <v>3</v>
      </c>
    </row>
    <row r="196" spans="1:36" s="1208" customFormat="1" ht="25.5">
      <c r="A196" s="838">
        <f>IF(B196="","",COUNTA($R$4:R196))</f>
        <v>193</v>
      </c>
      <c r="B196" s="838" t="s">
        <v>672</v>
      </c>
      <c r="C196" s="838" t="str">
        <f t="shared" si="75"/>
        <v xml:space="preserve">Vũ Đình Chiến </v>
      </c>
      <c r="D196" s="838" t="str">
        <f t="shared" si="76"/>
        <v>Cán bộ BQLDA</v>
      </c>
      <c r="E196" s="838" t="str">
        <f t="shared" si="79"/>
        <v>.....................................</v>
      </c>
      <c r="F196" s="838" t="str">
        <f t="shared" si="79"/>
        <v>.....................................</v>
      </c>
      <c r="G196" s="838" t="str">
        <f>$AD$16</f>
        <v>Lê Minh Châu</v>
      </c>
      <c r="H196" s="838" t="str">
        <f>$AF$16</f>
        <v>Trưởng đoàn TVGS</v>
      </c>
      <c r="I196" s="838" t="str">
        <f t="shared" si="80"/>
        <v>.....................................</v>
      </c>
      <c r="J196" s="838" t="str">
        <f t="shared" si="80"/>
        <v>.....................................</v>
      </c>
      <c r="K196" s="838" t="str">
        <f>$AD$19</f>
        <v>Đinh Văn Hưởng</v>
      </c>
      <c r="L196" s="838" t="str">
        <f>$AF$19</f>
        <v>CBKT</v>
      </c>
      <c r="M196" s="838" t="str">
        <f t="shared" si="81"/>
        <v>.....................................</v>
      </c>
      <c r="N196" s="838" t="str">
        <f t="shared" si="81"/>
        <v>.....................................</v>
      </c>
      <c r="O196" s="838" t="str">
        <f t="shared" si="88"/>
        <v>Đinh Mạnh Toàn</v>
      </c>
      <c r="P196" s="838" t="str">
        <f t="shared" si="73"/>
        <v>CBKT</v>
      </c>
      <c r="Q196" s="860" t="str">
        <f t="shared" si="74"/>
        <v>Công ty TNHH đầu tư và phát triển KD Vượng Phát</v>
      </c>
      <c r="R196" s="838">
        <v>1</v>
      </c>
      <c r="S196" s="838">
        <v>2</v>
      </c>
      <c r="T196" s="838"/>
      <c r="U196" s="838"/>
      <c r="V196" s="861">
        <v>0.67708333333333337</v>
      </c>
      <c r="W196" s="861">
        <v>0.68055555555555547</v>
      </c>
      <c r="X196" s="838"/>
      <c r="Y196" s="838"/>
      <c r="Z196" s="838"/>
      <c r="AA196" s="838"/>
      <c r="AB196" s="838"/>
      <c r="AC196" s="833"/>
      <c r="AJ196" s="1208">
        <f t="shared" si="84"/>
        <v>2</v>
      </c>
    </row>
    <row r="197" spans="1:36" s="1208" customFormat="1" ht="25.5">
      <c r="A197" s="838">
        <f>IF(B197="","",COUNTA($R$4:R197))</f>
        <v>194</v>
      </c>
      <c r="B197" s="838" t="s">
        <v>550</v>
      </c>
      <c r="C197" s="838" t="str">
        <f t="shared" si="75"/>
        <v xml:space="preserve">Vũ Đình Chiến </v>
      </c>
      <c r="D197" s="838" t="str">
        <f t="shared" si="76"/>
        <v>Cán bộ BQLDA</v>
      </c>
      <c r="E197" s="838" t="str">
        <f t="shared" si="79"/>
        <v>.....................................</v>
      </c>
      <c r="F197" s="838" t="str">
        <f t="shared" si="79"/>
        <v>.....................................</v>
      </c>
      <c r="G197" s="838" t="str">
        <f>$AD$188</f>
        <v>Nguyễn Minh Tân</v>
      </c>
      <c r="H197" s="838" t="str">
        <f>$AE$188</f>
        <v>TVGS</v>
      </c>
      <c r="I197" s="838" t="str">
        <f t="shared" si="80"/>
        <v>.....................................</v>
      </c>
      <c r="J197" s="838" t="str">
        <f t="shared" si="80"/>
        <v>.....................................</v>
      </c>
      <c r="K197" s="838" t="str">
        <f t="shared" si="89"/>
        <v>Phạm Văn Trà</v>
      </c>
      <c r="L197" s="838" t="str">
        <f t="shared" si="90"/>
        <v>CBKT</v>
      </c>
      <c r="M197" s="838" t="str">
        <f t="shared" si="81"/>
        <v>.....................................</v>
      </c>
      <c r="N197" s="838" t="str">
        <f t="shared" si="81"/>
        <v>.....................................</v>
      </c>
      <c r="O197" s="838" t="str">
        <f t="shared" si="88"/>
        <v>Đinh Mạnh Toàn</v>
      </c>
      <c r="P197" s="838" t="str">
        <f t="shared" si="73"/>
        <v>CBKT</v>
      </c>
      <c r="Q197" s="860" t="str">
        <f t="shared" si="74"/>
        <v>Công ty TNHH đầu tư và phát triển KD Vượng Phát</v>
      </c>
      <c r="R197" s="838">
        <v>1</v>
      </c>
      <c r="S197" s="838">
        <v>2</v>
      </c>
      <c r="T197" s="838">
        <v>3</v>
      </c>
      <c r="U197" s="838"/>
      <c r="V197" s="861">
        <v>4.1666666666666664E-2</v>
      </c>
      <c r="W197" s="861">
        <v>4.8611111111111112E-2</v>
      </c>
      <c r="X197" s="861">
        <v>5.9027777777777783E-2</v>
      </c>
      <c r="Y197" s="838"/>
      <c r="Z197" s="838"/>
      <c r="AA197" s="838"/>
      <c r="AB197" s="838"/>
      <c r="AC197" s="833"/>
      <c r="AJ197" s="1208">
        <f t="shared" si="84"/>
        <v>3</v>
      </c>
    </row>
    <row r="198" spans="1:36" s="1208" customFormat="1" ht="25.5">
      <c r="A198" s="838">
        <f>IF(B198="","",COUNTA($R$4:R198))</f>
        <v>195</v>
      </c>
      <c r="B198" s="838" t="s">
        <v>689</v>
      </c>
      <c r="C198" s="838" t="str">
        <f t="shared" si="75"/>
        <v xml:space="preserve">Vũ Đình Chiến </v>
      </c>
      <c r="D198" s="838" t="str">
        <f t="shared" si="76"/>
        <v>Cán bộ BQLDA</v>
      </c>
      <c r="E198" s="838" t="str">
        <f t="shared" si="79"/>
        <v>.....................................</v>
      </c>
      <c r="F198" s="838" t="str">
        <f t="shared" si="79"/>
        <v>.....................................</v>
      </c>
      <c r="G198" s="838" t="str">
        <f>$AD$188</f>
        <v>Nguyễn Minh Tân</v>
      </c>
      <c r="H198" s="838" t="str">
        <f>$AE$188</f>
        <v>TVGS</v>
      </c>
      <c r="I198" s="838" t="str">
        <f t="shared" si="80"/>
        <v>.....................................</v>
      </c>
      <c r="J198" s="838" t="str">
        <f t="shared" si="80"/>
        <v>.....................................</v>
      </c>
      <c r="K198" s="838" t="str">
        <f t="shared" si="89"/>
        <v>Phạm Văn Trà</v>
      </c>
      <c r="L198" s="838" t="str">
        <f t="shared" si="90"/>
        <v>CBKT</v>
      </c>
      <c r="M198" s="838" t="str">
        <f t="shared" si="81"/>
        <v>.....................................</v>
      </c>
      <c r="N198" s="838" t="str">
        <f t="shared" si="81"/>
        <v>.....................................</v>
      </c>
      <c r="O198" s="838" t="str">
        <f t="shared" si="88"/>
        <v>Đinh Mạnh Toàn</v>
      </c>
      <c r="P198" s="838" t="str">
        <f t="shared" si="73"/>
        <v>CBKT</v>
      </c>
      <c r="Q198" s="860" t="str">
        <f t="shared" si="74"/>
        <v>Công ty TNHH đầu tư và phát triển KD Vượng Phát</v>
      </c>
      <c r="R198" s="838">
        <v>1</v>
      </c>
      <c r="S198" s="838">
        <v>2</v>
      </c>
      <c r="T198" s="838"/>
      <c r="U198" s="838"/>
      <c r="V198" s="861">
        <v>0.17361111111111113</v>
      </c>
      <c r="W198" s="861">
        <v>0.18055555555555555</v>
      </c>
      <c r="X198" s="838"/>
      <c r="Y198" s="838"/>
      <c r="Z198" s="838"/>
      <c r="AA198" s="838"/>
      <c r="AB198" s="838"/>
      <c r="AC198" s="833"/>
      <c r="AJ198" s="1208">
        <f t="shared" si="84"/>
        <v>2</v>
      </c>
    </row>
    <row r="199" spans="1:36" s="1208" customFormat="1" ht="25.5">
      <c r="A199" s="838">
        <f>IF(B199="","",COUNTA($R$4:R199))</f>
        <v>196</v>
      </c>
      <c r="B199" s="838" t="s">
        <v>684</v>
      </c>
      <c r="C199" s="838" t="str">
        <f t="shared" si="75"/>
        <v xml:space="preserve">Vũ Đình Chiến </v>
      </c>
      <c r="D199" s="838" t="str">
        <f t="shared" si="76"/>
        <v>Cán bộ BQLDA</v>
      </c>
      <c r="E199" s="838" t="str">
        <f t="shared" si="79"/>
        <v>.....................................</v>
      </c>
      <c r="F199" s="838" t="str">
        <f t="shared" si="79"/>
        <v>.....................................</v>
      </c>
      <c r="G199" s="838" t="str">
        <f>$AD$16</f>
        <v>Lê Minh Châu</v>
      </c>
      <c r="H199" s="838" t="str">
        <f>$AF$16</f>
        <v>Trưởng đoàn TVGS</v>
      </c>
      <c r="I199" s="838" t="str">
        <f t="shared" si="80"/>
        <v>.....................................</v>
      </c>
      <c r="J199" s="838" t="str">
        <f t="shared" si="80"/>
        <v>.....................................</v>
      </c>
      <c r="K199" s="838" t="str">
        <f>$AD$19</f>
        <v>Đinh Văn Hưởng</v>
      </c>
      <c r="L199" s="838" t="str">
        <f>$AF$19</f>
        <v>CBKT</v>
      </c>
      <c r="M199" s="838" t="str">
        <f t="shared" si="81"/>
        <v>.....................................</v>
      </c>
      <c r="N199" s="838" t="str">
        <f t="shared" si="81"/>
        <v>.....................................</v>
      </c>
      <c r="O199" s="838" t="str">
        <f t="shared" si="88"/>
        <v>Đinh Mạnh Toàn</v>
      </c>
      <c r="P199" s="838" t="str">
        <f t="shared" si="73"/>
        <v>CBKT</v>
      </c>
      <c r="Q199" s="860" t="str">
        <f t="shared" si="74"/>
        <v>Công ty TNHH đầu tư và phát triển KD Vượng Phát</v>
      </c>
      <c r="R199" s="838">
        <v>1</v>
      </c>
      <c r="S199" s="838">
        <v>2</v>
      </c>
      <c r="T199" s="838"/>
      <c r="U199" s="838"/>
      <c r="V199" s="861">
        <v>0.72569444444444453</v>
      </c>
      <c r="W199" s="861">
        <v>0.73611111111111116</v>
      </c>
      <c r="X199" s="838"/>
      <c r="Y199" s="838"/>
      <c r="Z199" s="838"/>
      <c r="AA199" s="838"/>
      <c r="AB199" s="838"/>
      <c r="AC199" s="833"/>
      <c r="AJ199" s="1208">
        <f t="shared" si="84"/>
        <v>2</v>
      </c>
    </row>
    <row r="200" spans="1:36" s="1208" customFormat="1" ht="25.5">
      <c r="A200" s="838">
        <f>IF(B200="","",COUNTA($R$4:R200))</f>
        <v>197</v>
      </c>
      <c r="B200" s="838" t="s">
        <v>621</v>
      </c>
      <c r="C200" s="838" t="str">
        <f t="shared" si="75"/>
        <v xml:space="preserve">Vũ Đình Chiến </v>
      </c>
      <c r="D200" s="838" t="str">
        <f t="shared" si="76"/>
        <v>Cán bộ BQLDA</v>
      </c>
      <c r="E200" s="838" t="str">
        <f t="shared" si="79"/>
        <v>.....................................</v>
      </c>
      <c r="F200" s="838" t="str">
        <f t="shared" si="79"/>
        <v>.....................................</v>
      </c>
      <c r="G200" s="838" t="str">
        <f>$AD$188</f>
        <v>Nguyễn Minh Tân</v>
      </c>
      <c r="H200" s="838" t="str">
        <f>$AE$188</f>
        <v>TVGS</v>
      </c>
      <c r="I200" s="838" t="str">
        <f t="shared" si="80"/>
        <v>.....................................</v>
      </c>
      <c r="J200" s="838" t="str">
        <f t="shared" si="80"/>
        <v>.....................................</v>
      </c>
      <c r="K200" s="838" t="str">
        <f t="shared" si="89"/>
        <v>Phạm Văn Trà</v>
      </c>
      <c r="L200" s="838" t="str">
        <f t="shared" si="90"/>
        <v>CBKT</v>
      </c>
      <c r="M200" s="838" t="str">
        <f t="shared" si="81"/>
        <v>.....................................</v>
      </c>
      <c r="N200" s="838" t="str">
        <f t="shared" si="81"/>
        <v>.....................................</v>
      </c>
      <c r="O200" s="838" t="str">
        <f t="shared" si="88"/>
        <v>Đinh Mạnh Toàn</v>
      </c>
      <c r="P200" s="838" t="str">
        <f t="shared" si="73"/>
        <v>CBKT</v>
      </c>
      <c r="Q200" s="860" t="str">
        <f t="shared" si="74"/>
        <v>Công ty TNHH đầu tư và phát triển KD Vượng Phát</v>
      </c>
      <c r="R200" s="838">
        <v>1</v>
      </c>
      <c r="S200" s="838">
        <v>2</v>
      </c>
      <c r="T200" s="838">
        <v>3</v>
      </c>
      <c r="U200" s="838"/>
      <c r="V200" s="861">
        <v>2.4305555555555556E-2</v>
      </c>
      <c r="W200" s="861">
        <v>3.4722222222222224E-2</v>
      </c>
      <c r="X200" s="861">
        <v>4.8611111111111112E-2</v>
      </c>
      <c r="Y200" s="838"/>
      <c r="Z200" s="838"/>
      <c r="AA200" s="838"/>
      <c r="AB200" s="838"/>
      <c r="AC200" s="833"/>
      <c r="AJ200" s="1208">
        <f t="shared" si="84"/>
        <v>3</v>
      </c>
    </row>
    <row r="201" spans="1:36" s="1208" customFormat="1" ht="25.5">
      <c r="A201" s="838">
        <f>IF(B201="","",COUNTA($R$4:R201))</f>
        <v>198</v>
      </c>
      <c r="B201" s="838" t="s">
        <v>513</v>
      </c>
      <c r="C201" s="838" t="str">
        <f t="shared" si="75"/>
        <v xml:space="preserve">Vũ Đình Chiến </v>
      </c>
      <c r="D201" s="838" t="str">
        <f t="shared" si="76"/>
        <v>Cán bộ BQLDA</v>
      </c>
      <c r="E201" s="838" t="str">
        <f t="shared" si="79"/>
        <v>.....................................</v>
      </c>
      <c r="F201" s="838" t="str">
        <f t="shared" si="79"/>
        <v>.....................................</v>
      </c>
      <c r="G201" s="838" t="str">
        <f>$AD$188</f>
        <v>Nguyễn Minh Tân</v>
      </c>
      <c r="H201" s="838" t="str">
        <f>$AE$188</f>
        <v>TVGS</v>
      </c>
      <c r="I201" s="838" t="str">
        <f t="shared" si="80"/>
        <v>.....................................</v>
      </c>
      <c r="J201" s="838" t="str">
        <f t="shared" si="80"/>
        <v>.....................................</v>
      </c>
      <c r="K201" s="838" t="str">
        <f t="shared" si="89"/>
        <v>Phạm Văn Trà</v>
      </c>
      <c r="L201" s="838" t="str">
        <f t="shared" si="90"/>
        <v>CBKT</v>
      </c>
      <c r="M201" s="838" t="str">
        <f t="shared" si="81"/>
        <v>.....................................</v>
      </c>
      <c r="N201" s="838" t="str">
        <f t="shared" si="81"/>
        <v>.....................................</v>
      </c>
      <c r="O201" s="838" t="str">
        <f t="shared" si="88"/>
        <v>Đinh Mạnh Toàn</v>
      </c>
      <c r="P201" s="838" t="str">
        <f t="shared" si="73"/>
        <v>CBKT</v>
      </c>
      <c r="Q201" s="860" t="str">
        <f t="shared" si="74"/>
        <v>Công ty TNHH đầu tư và phát triển KD Vượng Phát</v>
      </c>
      <c r="R201" s="838">
        <v>1</v>
      </c>
      <c r="S201" s="838"/>
      <c r="T201" s="838"/>
      <c r="U201" s="838"/>
      <c r="V201" s="861">
        <v>0.92708333333333337</v>
      </c>
      <c r="W201" s="838"/>
      <c r="X201" s="838"/>
      <c r="Y201" s="838"/>
      <c r="Z201" s="838"/>
      <c r="AA201" s="838"/>
      <c r="AB201" s="838"/>
      <c r="AC201" s="833"/>
      <c r="AJ201" s="1208">
        <f t="shared" si="84"/>
        <v>1</v>
      </c>
    </row>
    <row r="202" spans="1:36" s="1208" customFormat="1" ht="25.5">
      <c r="A202" s="838">
        <f>IF(B202="","",COUNTA($R$4:R202))</f>
        <v>199</v>
      </c>
      <c r="B202" s="838" t="s">
        <v>565</v>
      </c>
      <c r="C202" s="838" t="str">
        <f t="shared" si="75"/>
        <v xml:space="preserve">Vũ Đình Chiến </v>
      </c>
      <c r="D202" s="838" t="str">
        <f t="shared" si="76"/>
        <v>Cán bộ BQLDA</v>
      </c>
      <c r="E202" s="838" t="str">
        <f t="shared" si="79"/>
        <v>.....................................</v>
      </c>
      <c r="F202" s="838" t="str">
        <f t="shared" si="79"/>
        <v>.....................................</v>
      </c>
      <c r="G202" s="838" t="str">
        <f>$AD$188</f>
        <v>Nguyễn Minh Tân</v>
      </c>
      <c r="H202" s="838" t="str">
        <f>$AE$188</f>
        <v>TVGS</v>
      </c>
      <c r="I202" s="838" t="str">
        <f t="shared" si="80"/>
        <v>.....................................</v>
      </c>
      <c r="J202" s="838" t="str">
        <f t="shared" si="80"/>
        <v>.....................................</v>
      </c>
      <c r="K202" s="838" t="str">
        <f t="shared" si="89"/>
        <v>Phạm Văn Trà</v>
      </c>
      <c r="L202" s="838" t="str">
        <f t="shared" si="90"/>
        <v>CBKT</v>
      </c>
      <c r="M202" s="838" t="str">
        <f t="shared" si="81"/>
        <v>.....................................</v>
      </c>
      <c r="N202" s="838" t="str">
        <f t="shared" si="81"/>
        <v>.....................................</v>
      </c>
      <c r="O202" s="838" t="str">
        <f t="shared" si="88"/>
        <v>Đinh Mạnh Toàn</v>
      </c>
      <c r="P202" s="838" t="str">
        <f t="shared" si="73"/>
        <v>CBKT</v>
      </c>
      <c r="Q202" s="860" t="str">
        <f t="shared" si="74"/>
        <v>Công ty TNHH đầu tư và phát triển KD Vượng Phát</v>
      </c>
      <c r="R202" s="838">
        <v>1</v>
      </c>
      <c r="S202" s="838">
        <v>2</v>
      </c>
      <c r="T202" s="838"/>
      <c r="U202" s="838"/>
      <c r="V202" s="861">
        <v>8.6805555555555566E-2</v>
      </c>
      <c r="W202" s="861">
        <v>0.1076388888888889</v>
      </c>
      <c r="X202" s="838"/>
      <c r="Y202" s="838"/>
      <c r="Z202" s="838"/>
      <c r="AA202" s="838"/>
      <c r="AB202" s="838"/>
      <c r="AC202" s="833"/>
    </row>
    <row r="203" spans="1:36" s="1208" customFormat="1" ht="25.5">
      <c r="A203" s="838">
        <f>IF(B203="","",COUNTA($R$4:R203))</f>
        <v>200</v>
      </c>
      <c r="B203" s="838" t="s">
        <v>508</v>
      </c>
      <c r="C203" s="838" t="str">
        <f t="shared" si="75"/>
        <v xml:space="preserve">Vũ Đình Chiến </v>
      </c>
      <c r="D203" s="838" t="str">
        <f t="shared" si="76"/>
        <v>Cán bộ BQLDA</v>
      </c>
      <c r="E203" s="838" t="str">
        <f t="shared" si="79"/>
        <v>.....................................</v>
      </c>
      <c r="F203" s="838" t="str">
        <f t="shared" si="79"/>
        <v>.....................................</v>
      </c>
      <c r="G203" s="838" t="str">
        <f>$AD$188</f>
        <v>Nguyễn Minh Tân</v>
      </c>
      <c r="H203" s="838" t="str">
        <f>$AE$188</f>
        <v>TVGS</v>
      </c>
      <c r="I203" s="838" t="str">
        <f t="shared" si="80"/>
        <v>.....................................</v>
      </c>
      <c r="J203" s="838" t="str">
        <f t="shared" si="80"/>
        <v>.....................................</v>
      </c>
      <c r="K203" s="838" t="str">
        <f t="shared" si="89"/>
        <v>Phạm Văn Trà</v>
      </c>
      <c r="L203" s="838" t="str">
        <f t="shared" si="90"/>
        <v>CBKT</v>
      </c>
      <c r="M203" s="838" t="str">
        <f t="shared" si="81"/>
        <v>.....................................</v>
      </c>
      <c r="N203" s="838" t="str">
        <f t="shared" si="81"/>
        <v>.....................................</v>
      </c>
      <c r="O203" s="838" t="str">
        <f t="shared" si="88"/>
        <v>Đinh Mạnh Toàn</v>
      </c>
      <c r="P203" s="838" t="str">
        <f t="shared" si="73"/>
        <v>CBKT</v>
      </c>
      <c r="Q203" s="860" t="str">
        <f t="shared" si="74"/>
        <v>Công ty TNHH đầu tư và phát triển KD Vượng Phát</v>
      </c>
      <c r="R203" s="838">
        <v>1</v>
      </c>
      <c r="S203" s="838"/>
      <c r="T203" s="838"/>
      <c r="U203" s="838"/>
      <c r="V203" s="861">
        <v>0.24305555555555555</v>
      </c>
      <c r="W203" s="838"/>
      <c r="X203" s="838"/>
      <c r="Y203" s="838"/>
      <c r="Z203" s="838"/>
      <c r="AA203" s="838"/>
      <c r="AB203" s="838"/>
      <c r="AC203" s="833"/>
      <c r="AJ203" s="1208">
        <f t="shared" si="84"/>
        <v>1</v>
      </c>
    </row>
    <row r="204" spans="1:36" s="1208" customFormat="1" ht="25.5">
      <c r="A204" s="838">
        <f>IF(B204="","",COUNTA($R$4:R204))</f>
        <v>201</v>
      </c>
      <c r="B204" s="838" t="s">
        <v>651</v>
      </c>
      <c r="C204" s="838" t="str">
        <f t="shared" si="75"/>
        <v xml:space="preserve">Vũ Đình Chiến </v>
      </c>
      <c r="D204" s="838" t="str">
        <f t="shared" si="76"/>
        <v>Cán bộ BQLDA</v>
      </c>
      <c r="E204" s="838" t="str">
        <f t="shared" si="79"/>
        <v>.....................................</v>
      </c>
      <c r="F204" s="838" t="str">
        <f t="shared" si="79"/>
        <v>.....................................</v>
      </c>
      <c r="G204" s="838" t="str">
        <f t="shared" ref="G204" si="91">$AD$25</f>
        <v>Đặng Văn Huấn</v>
      </c>
      <c r="H204" s="838" t="str">
        <f t="shared" ref="H204" si="92">$AF$25</f>
        <v>Phó đoàn TVGS</v>
      </c>
      <c r="I204" s="838" t="str">
        <f t="shared" si="80"/>
        <v>.....................................</v>
      </c>
      <c r="J204" s="838" t="str">
        <f t="shared" si="80"/>
        <v>.....................................</v>
      </c>
      <c r="K204" s="838" t="str">
        <f t="shared" si="89"/>
        <v>Phạm Văn Trà</v>
      </c>
      <c r="L204" s="838" t="str">
        <f t="shared" si="90"/>
        <v>CBKT</v>
      </c>
      <c r="M204" s="838" t="str">
        <f t="shared" si="81"/>
        <v>.....................................</v>
      </c>
      <c r="N204" s="838" t="str">
        <f t="shared" si="81"/>
        <v>.....................................</v>
      </c>
      <c r="O204" s="838" t="str">
        <f t="shared" si="88"/>
        <v>Đinh Mạnh Toàn</v>
      </c>
      <c r="P204" s="838" t="str">
        <f t="shared" si="73"/>
        <v>CBKT</v>
      </c>
      <c r="Q204" s="860" t="str">
        <f t="shared" si="74"/>
        <v>Công ty TNHH đầu tư và phát triển KD Vượng Phát</v>
      </c>
      <c r="R204" s="838">
        <v>1</v>
      </c>
      <c r="S204" s="838">
        <v>2</v>
      </c>
      <c r="T204" s="838"/>
      <c r="U204" s="838"/>
      <c r="V204" s="861">
        <v>0.78472222222222221</v>
      </c>
      <c r="W204" s="861">
        <v>0.79166666666666663</v>
      </c>
      <c r="X204" s="838"/>
      <c r="Y204" s="838"/>
      <c r="Z204" s="838"/>
      <c r="AA204" s="838"/>
      <c r="AB204" s="838"/>
      <c r="AC204" s="833"/>
      <c r="AJ204" s="1208">
        <f t="shared" si="84"/>
        <v>2</v>
      </c>
    </row>
    <row r="205" spans="1:36" s="1208" customFormat="1" ht="25.5">
      <c r="A205" s="838">
        <f>IF(B205="","",COUNTA($R$4:R205))</f>
        <v>202</v>
      </c>
      <c r="B205" s="838" t="s">
        <v>620</v>
      </c>
      <c r="C205" s="838" t="str">
        <f t="shared" si="75"/>
        <v xml:space="preserve">Vũ Đình Chiến </v>
      </c>
      <c r="D205" s="838" t="str">
        <f t="shared" si="76"/>
        <v>Cán bộ BQLDA</v>
      </c>
      <c r="E205" s="838" t="str">
        <f t="shared" si="79"/>
        <v>.....................................</v>
      </c>
      <c r="F205" s="838" t="str">
        <f t="shared" si="79"/>
        <v>.....................................</v>
      </c>
      <c r="G205" s="838" t="str">
        <f>$AD$25</f>
        <v>Đặng Văn Huấn</v>
      </c>
      <c r="H205" s="838" t="str">
        <f>$AF$25</f>
        <v>Phó đoàn TVGS</v>
      </c>
      <c r="I205" s="838" t="str">
        <f t="shared" si="80"/>
        <v>.....................................</v>
      </c>
      <c r="J205" s="838" t="str">
        <f t="shared" si="80"/>
        <v>.....................................</v>
      </c>
      <c r="K205" s="838" t="str">
        <f>$AD$19</f>
        <v>Đinh Văn Hưởng</v>
      </c>
      <c r="L205" s="838" t="str">
        <f>$AF$19</f>
        <v>CBKT</v>
      </c>
      <c r="M205" s="838" t="str">
        <f t="shared" si="81"/>
        <v>.....................................</v>
      </c>
      <c r="N205" s="838" t="str">
        <f t="shared" si="81"/>
        <v>.....................................</v>
      </c>
      <c r="O205" s="838">
        <f>$AD$32</f>
        <v>0</v>
      </c>
      <c r="P205" s="838" t="str">
        <f t="shared" si="73"/>
        <v>CBKT</v>
      </c>
      <c r="Q205" s="860" t="str">
        <f t="shared" si="74"/>
        <v>Công ty TNHH đầu tư và phát triển KD Vượng Phát</v>
      </c>
      <c r="R205" s="838">
        <v>1</v>
      </c>
      <c r="S205" s="838">
        <v>2</v>
      </c>
      <c r="T205" s="838">
        <v>3</v>
      </c>
      <c r="U205" s="838"/>
      <c r="V205" s="861">
        <v>0.3888888888888889</v>
      </c>
      <c r="W205" s="861">
        <v>0.40277777777777773</v>
      </c>
      <c r="X205" s="861">
        <v>0.40972222222222227</v>
      </c>
      <c r="Y205" s="838"/>
      <c r="Z205" s="838"/>
      <c r="AA205" s="838"/>
      <c r="AB205" s="838"/>
      <c r="AC205" s="833"/>
      <c r="AJ205" s="1208">
        <f t="shared" si="84"/>
        <v>3</v>
      </c>
    </row>
    <row r="206" spans="1:36" s="1208" customFormat="1" ht="25.5">
      <c r="A206" s="838">
        <f>IF(B206="","",COUNTA($R$4:R206))</f>
        <v>203</v>
      </c>
      <c r="B206" s="838" t="s">
        <v>503</v>
      </c>
      <c r="C206" s="838" t="str">
        <f t="shared" si="75"/>
        <v xml:space="preserve">Vũ Đình Chiến </v>
      </c>
      <c r="D206" s="838" t="str">
        <f t="shared" si="76"/>
        <v>Cán bộ BQLDA</v>
      </c>
      <c r="E206" s="838" t="str">
        <f t="shared" si="79"/>
        <v>.....................................</v>
      </c>
      <c r="F206" s="838" t="str">
        <f t="shared" si="79"/>
        <v>.....................................</v>
      </c>
      <c r="G206" s="838" t="str">
        <f>$AD$25</f>
        <v>Đặng Văn Huấn</v>
      </c>
      <c r="H206" s="838" t="str">
        <f>$AF$25</f>
        <v>Phó đoàn TVGS</v>
      </c>
      <c r="I206" s="838" t="str">
        <f t="shared" si="80"/>
        <v>.....................................</v>
      </c>
      <c r="J206" s="838" t="str">
        <f t="shared" si="80"/>
        <v>.....................................</v>
      </c>
      <c r="K206" s="838" t="str">
        <f>$AD$19</f>
        <v>Đinh Văn Hưởng</v>
      </c>
      <c r="L206" s="838" t="str">
        <f>$AF$19</f>
        <v>CBKT</v>
      </c>
      <c r="M206" s="838" t="str">
        <f t="shared" si="81"/>
        <v>.....................................</v>
      </c>
      <c r="N206" s="838" t="str">
        <f t="shared" si="81"/>
        <v>.....................................</v>
      </c>
      <c r="O206" s="838">
        <f>$AD$32</f>
        <v>0</v>
      </c>
      <c r="P206" s="838" t="str">
        <f t="shared" si="73"/>
        <v>CBKT</v>
      </c>
      <c r="Q206" s="860" t="str">
        <f t="shared" si="74"/>
        <v>Công ty TNHH đầu tư và phát triển KD Vượng Phát</v>
      </c>
      <c r="R206" s="838">
        <v>1</v>
      </c>
      <c r="S206" s="838">
        <v>2</v>
      </c>
      <c r="T206" s="838"/>
      <c r="U206" s="838"/>
      <c r="V206" s="861">
        <v>0.50347222222222221</v>
      </c>
      <c r="W206" s="861">
        <v>0.53819444444444442</v>
      </c>
      <c r="X206" s="838"/>
      <c r="Y206" s="838"/>
      <c r="Z206" s="838"/>
      <c r="AA206" s="838"/>
      <c r="AB206" s="838"/>
      <c r="AC206" s="833"/>
      <c r="AJ206" s="1208">
        <f t="shared" si="84"/>
        <v>2</v>
      </c>
    </row>
    <row r="207" spans="1:36" s="1208" customFormat="1" ht="25.5">
      <c r="A207" s="838">
        <f>IF(B207="","",COUNTA($R$4:R207))</f>
        <v>204</v>
      </c>
      <c r="B207" s="838" t="s">
        <v>626</v>
      </c>
      <c r="C207" s="838" t="str">
        <f t="shared" si="75"/>
        <v xml:space="preserve">Vũ Đình Chiến </v>
      </c>
      <c r="D207" s="838" t="str">
        <f t="shared" si="76"/>
        <v>Cán bộ BQLDA</v>
      </c>
      <c r="E207" s="838" t="str">
        <f t="shared" si="79"/>
        <v>.....................................</v>
      </c>
      <c r="F207" s="838" t="str">
        <f t="shared" si="79"/>
        <v>.....................................</v>
      </c>
      <c r="G207" s="838" t="str">
        <f>$AD$25</f>
        <v>Đặng Văn Huấn</v>
      </c>
      <c r="H207" s="838" t="str">
        <f>$AF$25</f>
        <v>Phó đoàn TVGS</v>
      </c>
      <c r="I207" s="838" t="str">
        <f t="shared" si="80"/>
        <v>.....................................</v>
      </c>
      <c r="J207" s="838" t="str">
        <f t="shared" si="80"/>
        <v>.....................................</v>
      </c>
      <c r="K207" s="838" t="str">
        <f>$AD$19</f>
        <v>Đinh Văn Hưởng</v>
      </c>
      <c r="L207" s="838" t="str">
        <f>$AF$19</f>
        <v>CBKT</v>
      </c>
      <c r="M207" s="838" t="str">
        <f t="shared" si="81"/>
        <v>.....................................</v>
      </c>
      <c r="N207" s="838" t="str">
        <f t="shared" si="81"/>
        <v>.....................................</v>
      </c>
      <c r="O207" s="838">
        <f>$AD$32</f>
        <v>0</v>
      </c>
      <c r="P207" s="838" t="str">
        <f t="shared" si="73"/>
        <v>CBKT</v>
      </c>
      <c r="Q207" s="860" t="str">
        <f t="shared" si="74"/>
        <v>Công ty TNHH đầu tư và phát triển KD Vượng Phát</v>
      </c>
      <c r="R207" s="838">
        <v>1</v>
      </c>
      <c r="S207" s="838">
        <v>2</v>
      </c>
      <c r="T207" s="838">
        <v>3</v>
      </c>
      <c r="U207" s="838"/>
      <c r="V207" s="861">
        <v>0.65625</v>
      </c>
      <c r="W207" s="861">
        <v>0.67013888888888884</v>
      </c>
      <c r="X207" s="861">
        <v>0.69097222222222221</v>
      </c>
      <c r="Y207" s="838"/>
      <c r="Z207" s="838"/>
      <c r="AA207" s="838"/>
      <c r="AB207" s="838"/>
      <c r="AC207" s="833"/>
      <c r="AJ207" s="1208">
        <f t="shared" si="84"/>
        <v>3</v>
      </c>
    </row>
    <row r="208" spans="1:36" s="1208" customFormat="1" ht="25.5">
      <c r="A208" s="838">
        <f>IF(B208="","",COUNTA($R$4:R208))</f>
        <v>205</v>
      </c>
      <c r="B208" s="838" t="s">
        <v>679</v>
      </c>
      <c r="C208" s="838" t="str">
        <f t="shared" si="75"/>
        <v xml:space="preserve">Vũ Đình Chiến </v>
      </c>
      <c r="D208" s="838" t="str">
        <f t="shared" si="76"/>
        <v>Cán bộ BQLDA</v>
      </c>
      <c r="E208" s="838" t="str">
        <f t="shared" si="79"/>
        <v>.....................................</v>
      </c>
      <c r="F208" s="838" t="str">
        <f t="shared" si="79"/>
        <v>.....................................</v>
      </c>
      <c r="G208" s="838" t="str">
        <f>$AD$188</f>
        <v>Nguyễn Minh Tân</v>
      </c>
      <c r="H208" s="838" t="str">
        <f>$AE$188</f>
        <v>TVGS</v>
      </c>
      <c r="I208" s="838" t="str">
        <f t="shared" si="80"/>
        <v>.....................................</v>
      </c>
      <c r="J208" s="838" t="str">
        <f t="shared" si="80"/>
        <v>.....................................</v>
      </c>
      <c r="K208" s="838" t="str">
        <f t="shared" ref="K208" si="93">$AD$18</f>
        <v>Phạm Văn Trà</v>
      </c>
      <c r="L208" s="838" t="str">
        <f t="shared" ref="L208" si="94">$AF$21</f>
        <v>CBKT</v>
      </c>
      <c r="M208" s="838" t="str">
        <f t="shared" si="81"/>
        <v>.....................................</v>
      </c>
      <c r="N208" s="838" t="str">
        <f t="shared" si="81"/>
        <v>.....................................</v>
      </c>
      <c r="O208" s="838" t="str">
        <f t="shared" ref="O208" si="95">$AD$26</f>
        <v>Đinh Mạnh Toàn</v>
      </c>
      <c r="P208" s="838" t="str">
        <f t="shared" si="73"/>
        <v>CBKT</v>
      </c>
      <c r="Q208" s="860" t="str">
        <f t="shared" si="74"/>
        <v>Công ty TNHH đầu tư và phát triển KD Vượng Phát</v>
      </c>
      <c r="R208" s="838">
        <v>1</v>
      </c>
      <c r="S208" s="838"/>
      <c r="T208" s="838"/>
      <c r="U208" s="838"/>
      <c r="V208" s="861">
        <v>0.97916666666666663</v>
      </c>
      <c r="W208" s="838"/>
      <c r="X208" s="838"/>
      <c r="Y208" s="838"/>
      <c r="Z208" s="838"/>
      <c r="AA208" s="838"/>
      <c r="AB208" s="838"/>
      <c r="AC208" s="833"/>
      <c r="AJ208" s="1208">
        <f t="shared" si="84"/>
        <v>1</v>
      </c>
    </row>
    <row r="209" spans="1:36" s="1208" customFormat="1" ht="25.5">
      <c r="A209" s="838">
        <f>IF(B209="","",COUNTA($R$4:R209))</f>
        <v>206</v>
      </c>
      <c r="B209" s="838" t="s">
        <v>655</v>
      </c>
      <c r="C209" s="838" t="str">
        <f t="shared" si="75"/>
        <v xml:space="preserve">Vũ Đình Chiến </v>
      </c>
      <c r="D209" s="838" t="str">
        <f t="shared" si="76"/>
        <v>Cán bộ BQLDA</v>
      </c>
      <c r="E209" s="838" t="str">
        <f t="shared" si="79"/>
        <v>.....................................</v>
      </c>
      <c r="F209" s="838" t="str">
        <f t="shared" si="79"/>
        <v>.....................................</v>
      </c>
      <c r="G209" s="838" t="str">
        <f>$AD$25</f>
        <v>Đặng Văn Huấn</v>
      </c>
      <c r="H209" s="838" t="str">
        <f>$AF$25</f>
        <v>Phó đoàn TVGS</v>
      </c>
      <c r="I209" s="838" t="str">
        <f t="shared" si="80"/>
        <v>.....................................</v>
      </c>
      <c r="J209" s="838" t="str">
        <f t="shared" si="80"/>
        <v>.....................................</v>
      </c>
      <c r="K209" s="838" t="str">
        <f t="shared" ref="K209:K219" si="96">$AD$19</f>
        <v>Đinh Văn Hưởng</v>
      </c>
      <c r="L209" s="838" t="str">
        <f t="shared" ref="L209:L219" si="97">$AF$19</f>
        <v>CBKT</v>
      </c>
      <c r="M209" s="838" t="str">
        <f t="shared" si="81"/>
        <v>.....................................</v>
      </c>
      <c r="N209" s="838" t="str">
        <f t="shared" si="81"/>
        <v>.....................................</v>
      </c>
      <c r="O209" s="838">
        <f>$AD$32</f>
        <v>0</v>
      </c>
      <c r="P209" s="838" t="str">
        <f t="shared" si="73"/>
        <v>CBKT</v>
      </c>
      <c r="Q209" s="860" t="str">
        <f t="shared" si="74"/>
        <v>Công ty TNHH đầu tư và phát triển KD Vượng Phát</v>
      </c>
      <c r="R209" s="838">
        <v>1</v>
      </c>
      <c r="S209" s="838">
        <v>2</v>
      </c>
      <c r="T209" s="838"/>
      <c r="U209" s="838"/>
      <c r="V209" s="861">
        <v>0.38541666666666669</v>
      </c>
      <c r="W209" s="861">
        <v>0.39583333333333331</v>
      </c>
      <c r="X209" s="838"/>
      <c r="Y209" s="838"/>
      <c r="Z209" s="838"/>
      <c r="AA209" s="838"/>
      <c r="AB209" s="838"/>
      <c r="AC209" s="833"/>
      <c r="AJ209" s="1208">
        <f t="shared" si="84"/>
        <v>2</v>
      </c>
    </row>
    <row r="210" spans="1:36" s="1208" customFormat="1" ht="25.5">
      <c r="A210" s="838">
        <f>IF(B210="","",COUNTA($R$4:R210))</f>
        <v>207</v>
      </c>
      <c r="B210" s="838" t="s">
        <v>527</v>
      </c>
      <c r="C210" s="838" t="str">
        <f t="shared" si="75"/>
        <v xml:space="preserve">Vũ Đình Chiến </v>
      </c>
      <c r="D210" s="838" t="str">
        <f t="shared" si="76"/>
        <v>Cán bộ BQLDA</v>
      </c>
      <c r="E210" s="838" t="str">
        <f t="shared" si="79"/>
        <v>.....................................</v>
      </c>
      <c r="F210" s="838" t="str">
        <f t="shared" si="79"/>
        <v>.....................................</v>
      </c>
      <c r="G210" s="838" t="str">
        <f>$AD$25</f>
        <v>Đặng Văn Huấn</v>
      </c>
      <c r="H210" s="838" t="str">
        <f>$AF$25</f>
        <v>Phó đoàn TVGS</v>
      </c>
      <c r="I210" s="838" t="str">
        <f t="shared" si="80"/>
        <v>.....................................</v>
      </c>
      <c r="J210" s="838" t="str">
        <f t="shared" si="80"/>
        <v>.....................................</v>
      </c>
      <c r="K210" s="838" t="str">
        <f t="shared" si="96"/>
        <v>Đinh Văn Hưởng</v>
      </c>
      <c r="L210" s="838" t="str">
        <f t="shared" si="97"/>
        <v>CBKT</v>
      </c>
      <c r="M210" s="838" t="str">
        <f t="shared" si="81"/>
        <v>.....................................</v>
      </c>
      <c r="N210" s="838" t="str">
        <f t="shared" si="81"/>
        <v>.....................................</v>
      </c>
      <c r="O210" s="838">
        <f>$AD$32</f>
        <v>0</v>
      </c>
      <c r="P210" s="838" t="str">
        <f t="shared" si="73"/>
        <v>CBKT</v>
      </c>
      <c r="Q210" s="860" t="str">
        <f t="shared" si="74"/>
        <v>Công ty TNHH đầu tư và phát triển KD Vượng Phát</v>
      </c>
      <c r="R210" s="838">
        <v>1</v>
      </c>
      <c r="S210" s="838">
        <v>2</v>
      </c>
      <c r="T210" s="838">
        <v>3</v>
      </c>
      <c r="U210" s="838"/>
      <c r="V210" s="861">
        <v>0.42708333333333331</v>
      </c>
      <c r="W210" s="861">
        <v>0.44097222222222227</v>
      </c>
      <c r="X210" s="861">
        <v>0.45833333333333331</v>
      </c>
      <c r="Y210" s="838"/>
      <c r="Z210" s="838"/>
      <c r="AA210" s="838"/>
      <c r="AB210" s="838"/>
      <c r="AC210" s="833"/>
      <c r="AJ210" s="1208">
        <f t="shared" si="84"/>
        <v>3</v>
      </c>
    </row>
    <row r="211" spans="1:36" s="1208" customFormat="1" ht="25.5">
      <c r="A211" s="838">
        <f>IF(B211="","",COUNTA($R$4:R211))</f>
        <v>208</v>
      </c>
      <c r="B211" s="838" t="s">
        <v>650</v>
      </c>
      <c r="C211" s="838" t="str">
        <f t="shared" si="75"/>
        <v xml:space="preserve">Vũ Đình Chiến </v>
      </c>
      <c r="D211" s="838" t="str">
        <f t="shared" si="76"/>
        <v>Cán bộ BQLDA</v>
      </c>
      <c r="E211" s="838" t="str">
        <f t="shared" si="79"/>
        <v>.....................................</v>
      </c>
      <c r="F211" s="838" t="str">
        <f t="shared" si="79"/>
        <v>.....................................</v>
      </c>
      <c r="G211" s="838" t="str">
        <f>$AD$25</f>
        <v>Đặng Văn Huấn</v>
      </c>
      <c r="H211" s="838" t="str">
        <f>$AF$25</f>
        <v>Phó đoàn TVGS</v>
      </c>
      <c r="I211" s="838" t="str">
        <f t="shared" si="80"/>
        <v>.....................................</v>
      </c>
      <c r="J211" s="838" t="str">
        <f t="shared" si="80"/>
        <v>.....................................</v>
      </c>
      <c r="K211" s="838" t="str">
        <f t="shared" si="96"/>
        <v>Đinh Văn Hưởng</v>
      </c>
      <c r="L211" s="838" t="str">
        <f t="shared" si="97"/>
        <v>CBKT</v>
      </c>
      <c r="M211" s="838" t="str">
        <f t="shared" si="81"/>
        <v>.....................................</v>
      </c>
      <c r="N211" s="838" t="str">
        <f t="shared" si="81"/>
        <v>.....................................</v>
      </c>
      <c r="O211" s="838" t="str">
        <f>$AD$211</f>
        <v>Đặng Văn Trình</v>
      </c>
      <c r="P211" s="838" t="str">
        <f t="shared" si="73"/>
        <v>CBKT</v>
      </c>
      <c r="Q211" s="860" t="str">
        <f t="shared" si="74"/>
        <v>Công ty TNHH đầu tư và phát triển KD Vượng Phát</v>
      </c>
      <c r="R211" s="838">
        <v>1</v>
      </c>
      <c r="S211" s="838"/>
      <c r="T211" s="838"/>
      <c r="U211" s="838"/>
      <c r="V211" s="861">
        <v>0.89930555555555547</v>
      </c>
      <c r="W211" s="838"/>
      <c r="X211" s="838"/>
      <c r="Y211" s="838"/>
      <c r="Z211" s="838"/>
      <c r="AA211" s="838"/>
      <c r="AB211" s="838"/>
      <c r="AC211" s="833"/>
      <c r="AD211" s="1208" t="s">
        <v>1115</v>
      </c>
      <c r="AJ211" s="1208">
        <f t="shared" si="84"/>
        <v>1</v>
      </c>
    </row>
    <row r="212" spans="1:36" s="1208" customFormat="1" ht="25.5">
      <c r="A212" s="838">
        <f>IF(B212="","",COUNTA($R$4:R212))</f>
        <v>209</v>
      </c>
      <c r="B212" s="838" t="s">
        <v>625</v>
      </c>
      <c r="C212" s="838" t="str">
        <f t="shared" si="75"/>
        <v xml:space="preserve">Vũ Đình Chiến </v>
      </c>
      <c r="D212" s="838" t="str">
        <f t="shared" si="76"/>
        <v>Cán bộ BQLDA</v>
      </c>
      <c r="E212" s="838" t="str">
        <f t="shared" si="79"/>
        <v>.....................................</v>
      </c>
      <c r="F212" s="838" t="str">
        <f t="shared" si="79"/>
        <v>.....................................</v>
      </c>
      <c r="G212" s="838" t="str">
        <f>$AD$25</f>
        <v>Đặng Văn Huấn</v>
      </c>
      <c r="H212" s="838" t="str">
        <f>$AF$25</f>
        <v>Phó đoàn TVGS</v>
      </c>
      <c r="I212" s="838" t="str">
        <f t="shared" si="80"/>
        <v>.....................................</v>
      </c>
      <c r="J212" s="838" t="str">
        <f t="shared" si="80"/>
        <v>.....................................</v>
      </c>
      <c r="K212" s="838" t="str">
        <f t="shared" si="96"/>
        <v>Đinh Văn Hưởng</v>
      </c>
      <c r="L212" s="838" t="str">
        <f t="shared" si="97"/>
        <v>CBKT</v>
      </c>
      <c r="M212" s="838" t="str">
        <f t="shared" si="81"/>
        <v>.....................................</v>
      </c>
      <c r="N212" s="838" t="str">
        <f t="shared" si="81"/>
        <v>.....................................</v>
      </c>
      <c r="O212" s="838" t="str">
        <f>$AD$211</f>
        <v>Đặng Văn Trình</v>
      </c>
      <c r="P212" s="838" t="str">
        <f t="shared" si="73"/>
        <v>CBKT</v>
      </c>
      <c r="Q212" s="860" t="str">
        <f t="shared" si="74"/>
        <v>Công ty TNHH đầu tư và phát triển KD Vượng Phát</v>
      </c>
      <c r="R212" s="838">
        <v>1</v>
      </c>
      <c r="S212" s="838">
        <v>2</v>
      </c>
      <c r="T212" s="838">
        <v>3</v>
      </c>
      <c r="U212" s="838"/>
      <c r="V212" s="861">
        <v>6.25E-2</v>
      </c>
      <c r="W212" s="861">
        <v>7.6388888888888895E-2</v>
      </c>
      <c r="X212" s="861">
        <v>8.3333333333333329E-2</v>
      </c>
      <c r="Y212" s="838"/>
      <c r="Z212" s="838"/>
      <c r="AA212" s="838"/>
      <c r="AB212" s="838"/>
      <c r="AC212" s="833"/>
      <c r="AJ212" s="1208">
        <f t="shared" si="84"/>
        <v>3</v>
      </c>
    </row>
    <row r="213" spans="1:36" s="1208" customFormat="1" ht="25.5">
      <c r="A213" s="838">
        <f>IF(B213="","",COUNTA($R$4:R213))</f>
        <v>210</v>
      </c>
      <c r="B213" s="838" t="s">
        <v>630</v>
      </c>
      <c r="C213" s="838" t="str">
        <f t="shared" si="75"/>
        <v xml:space="preserve">Vũ Đình Chiến </v>
      </c>
      <c r="D213" s="838" t="str">
        <f t="shared" si="76"/>
        <v>Cán bộ BQLDA</v>
      </c>
      <c r="E213" s="838" t="str">
        <f t="shared" si="79"/>
        <v>.....................................</v>
      </c>
      <c r="F213" s="838" t="str">
        <f t="shared" si="79"/>
        <v>.....................................</v>
      </c>
      <c r="G213" s="838" t="str">
        <f>$AD$25</f>
        <v>Đặng Văn Huấn</v>
      </c>
      <c r="H213" s="838" t="str">
        <f>$AF$25</f>
        <v>Phó đoàn TVGS</v>
      </c>
      <c r="I213" s="838" t="str">
        <f t="shared" si="80"/>
        <v>.....................................</v>
      </c>
      <c r="J213" s="838" t="str">
        <f t="shared" si="80"/>
        <v>.....................................</v>
      </c>
      <c r="K213" s="838" t="str">
        <f t="shared" si="96"/>
        <v>Đinh Văn Hưởng</v>
      </c>
      <c r="L213" s="838" t="str">
        <f t="shared" si="97"/>
        <v>CBKT</v>
      </c>
      <c r="M213" s="838" t="str">
        <f t="shared" si="81"/>
        <v>.....................................</v>
      </c>
      <c r="N213" s="838" t="str">
        <f t="shared" si="81"/>
        <v>.....................................</v>
      </c>
      <c r="O213" s="838">
        <f>$AD$32</f>
        <v>0</v>
      </c>
      <c r="P213" s="838" t="str">
        <f t="shared" si="73"/>
        <v>CBKT</v>
      </c>
      <c r="Q213" s="860" t="str">
        <f t="shared" si="74"/>
        <v>Công ty TNHH đầu tư và phát triển KD Vượng Phát</v>
      </c>
      <c r="R213" s="838">
        <v>1</v>
      </c>
      <c r="S213" s="838">
        <v>2</v>
      </c>
      <c r="T213" s="838">
        <v>3</v>
      </c>
      <c r="U213" s="838"/>
      <c r="V213" s="861">
        <v>0.18055555555555555</v>
      </c>
      <c r="W213" s="861">
        <v>0.19444444444444445</v>
      </c>
      <c r="X213" s="861">
        <v>0.21527777777777779</v>
      </c>
      <c r="Y213" s="838"/>
      <c r="Z213" s="838"/>
      <c r="AA213" s="838"/>
      <c r="AB213" s="838"/>
      <c r="AC213" s="833"/>
      <c r="AJ213" s="1208">
        <f t="shared" si="84"/>
        <v>3</v>
      </c>
    </row>
    <row r="214" spans="1:36" s="1208" customFormat="1" ht="25.5">
      <c r="A214" s="838">
        <f>IF(B214="","",COUNTA($R$4:R214))</f>
        <v>211</v>
      </c>
      <c r="B214" s="838" t="s">
        <v>646</v>
      </c>
      <c r="C214" s="838" t="str">
        <f t="shared" si="75"/>
        <v xml:space="preserve">Vũ Đình Chiến </v>
      </c>
      <c r="D214" s="838" t="str">
        <f t="shared" si="76"/>
        <v>Cán bộ BQLDA</v>
      </c>
      <c r="E214" s="838" t="str">
        <f t="shared" si="79"/>
        <v>.....................................</v>
      </c>
      <c r="F214" s="838" t="str">
        <f t="shared" si="79"/>
        <v>.....................................</v>
      </c>
      <c r="G214" s="838" t="str">
        <f>$AD$188</f>
        <v>Nguyễn Minh Tân</v>
      </c>
      <c r="H214" s="838" t="str">
        <f>$AE$188</f>
        <v>TVGS</v>
      </c>
      <c r="I214" s="838" t="str">
        <f t="shared" si="80"/>
        <v>.....................................</v>
      </c>
      <c r="J214" s="838" t="str">
        <f t="shared" si="80"/>
        <v>.....................................</v>
      </c>
      <c r="K214" s="838" t="str">
        <f t="shared" si="96"/>
        <v>Đinh Văn Hưởng</v>
      </c>
      <c r="L214" s="838" t="str">
        <f t="shared" si="97"/>
        <v>CBKT</v>
      </c>
      <c r="M214" s="838" t="str">
        <f t="shared" si="81"/>
        <v>.....................................</v>
      </c>
      <c r="N214" s="838" t="str">
        <f t="shared" si="81"/>
        <v>.....................................</v>
      </c>
      <c r="O214" s="838">
        <f>$AD$32</f>
        <v>0</v>
      </c>
      <c r="P214" s="838" t="str">
        <f t="shared" si="73"/>
        <v>CBKT</v>
      </c>
      <c r="Q214" s="860" t="str">
        <f t="shared" si="74"/>
        <v>Công ty TNHH đầu tư và phát triển KD Vượng Phát</v>
      </c>
      <c r="R214" s="838">
        <v>1</v>
      </c>
      <c r="S214" s="838"/>
      <c r="T214" s="838"/>
      <c r="U214" s="838"/>
      <c r="V214" s="861">
        <v>0.89930555555555547</v>
      </c>
      <c r="W214" s="838"/>
      <c r="X214" s="838"/>
      <c r="Y214" s="838"/>
      <c r="Z214" s="838"/>
      <c r="AA214" s="838"/>
      <c r="AB214" s="838"/>
      <c r="AC214" s="833"/>
      <c r="AJ214" s="1208">
        <f t="shared" si="84"/>
        <v>1</v>
      </c>
    </row>
    <row r="215" spans="1:36" s="1208" customFormat="1" ht="25.5">
      <c r="A215" s="838">
        <f>IF(B215="","",COUNTA($R$4:R215))</f>
        <v>212</v>
      </c>
      <c r="B215" s="838" t="s">
        <v>575</v>
      </c>
      <c r="C215" s="838" t="str">
        <f t="shared" si="75"/>
        <v xml:space="preserve">Vũ Đình Chiến </v>
      </c>
      <c r="D215" s="838" t="str">
        <f t="shared" si="76"/>
        <v>Cán bộ BQLDA</v>
      </c>
      <c r="E215" s="838" t="str">
        <f t="shared" si="79"/>
        <v>.....................................</v>
      </c>
      <c r="F215" s="838" t="str">
        <f t="shared" si="79"/>
        <v>.....................................</v>
      </c>
      <c r="G215" s="838" t="str">
        <f>$AD$188</f>
        <v>Nguyễn Minh Tân</v>
      </c>
      <c r="H215" s="838" t="str">
        <f>$AE$188</f>
        <v>TVGS</v>
      </c>
      <c r="I215" s="838" t="str">
        <f t="shared" si="80"/>
        <v>.....................................</v>
      </c>
      <c r="J215" s="838" t="str">
        <f t="shared" si="80"/>
        <v>.....................................</v>
      </c>
      <c r="K215" s="838" t="str">
        <f t="shared" si="96"/>
        <v>Đinh Văn Hưởng</v>
      </c>
      <c r="L215" s="838" t="str">
        <f t="shared" si="97"/>
        <v>CBKT</v>
      </c>
      <c r="M215" s="838" t="str">
        <f t="shared" si="81"/>
        <v>.....................................</v>
      </c>
      <c r="N215" s="838" t="str">
        <f t="shared" si="81"/>
        <v>.....................................</v>
      </c>
      <c r="O215" s="838">
        <f>$AD$32</f>
        <v>0</v>
      </c>
      <c r="P215" s="838" t="str">
        <f t="shared" si="73"/>
        <v>CBKT</v>
      </c>
      <c r="Q215" s="860" t="str">
        <f t="shared" si="74"/>
        <v>Công ty TNHH đầu tư và phát triển KD Vượng Phát</v>
      </c>
      <c r="R215" s="838">
        <v>1</v>
      </c>
      <c r="S215" s="838">
        <v>2</v>
      </c>
      <c r="T215" s="838">
        <v>3</v>
      </c>
      <c r="U215" s="838"/>
      <c r="V215" s="861">
        <v>0.19444444444444445</v>
      </c>
      <c r="W215" s="861">
        <v>0.21180555555555555</v>
      </c>
      <c r="X215" s="861">
        <v>0.22222222222222221</v>
      </c>
      <c r="Y215" s="838"/>
      <c r="Z215" s="838"/>
      <c r="AA215" s="838"/>
      <c r="AB215" s="838"/>
      <c r="AC215" s="833"/>
      <c r="AJ215" s="1208">
        <f t="shared" si="84"/>
        <v>3</v>
      </c>
    </row>
    <row r="216" spans="1:36" s="1208" customFormat="1" ht="25.5">
      <c r="A216" s="838">
        <f>IF(B216="","",COUNTA($R$4:R216))</f>
        <v>213</v>
      </c>
      <c r="B216" s="838" t="s">
        <v>640</v>
      </c>
      <c r="C216" s="838" t="str">
        <f t="shared" si="75"/>
        <v xml:space="preserve">Vũ Đình Chiến </v>
      </c>
      <c r="D216" s="838" t="str">
        <f t="shared" si="76"/>
        <v>Cán bộ BQLDA</v>
      </c>
      <c r="E216" s="838" t="str">
        <f t="shared" si="79"/>
        <v>.....................................</v>
      </c>
      <c r="F216" s="838" t="str">
        <f t="shared" si="79"/>
        <v>.....................................</v>
      </c>
      <c r="G216" s="838" t="str">
        <f>$AD$25</f>
        <v>Đặng Văn Huấn</v>
      </c>
      <c r="H216" s="838" t="str">
        <f>$AF$25</f>
        <v>Phó đoàn TVGS</v>
      </c>
      <c r="I216" s="838" t="str">
        <f>$AD$6</f>
        <v>.....................................</v>
      </c>
      <c r="J216" s="838" t="str">
        <f>$AD$6</f>
        <v>.....................................</v>
      </c>
      <c r="K216" s="838" t="str">
        <f t="shared" si="96"/>
        <v>Đinh Văn Hưởng</v>
      </c>
      <c r="L216" s="838" t="str">
        <f t="shared" si="97"/>
        <v>CBKT</v>
      </c>
      <c r="M216" s="838" t="str">
        <f t="shared" si="81"/>
        <v>.....................................</v>
      </c>
      <c r="N216" s="838" t="str">
        <f t="shared" si="81"/>
        <v>.....................................</v>
      </c>
      <c r="O216" s="838">
        <f>$AD$32</f>
        <v>0</v>
      </c>
      <c r="P216" s="838" t="str">
        <f t="shared" si="73"/>
        <v>CBKT</v>
      </c>
      <c r="Q216" s="860" t="str">
        <f t="shared" si="74"/>
        <v>Công ty TNHH đầu tư và phát triển KD Vượng Phát</v>
      </c>
      <c r="R216" s="838">
        <v>1</v>
      </c>
      <c r="S216" s="838">
        <v>2</v>
      </c>
      <c r="T216" s="838"/>
      <c r="U216" s="838"/>
      <c r="V216" s="861">
        <v>0.60069444444444442</v>
      </c>
      <c r="W216" s="861">
        <v>0.61458333333333337</v>
      </c>
      <c r="X216" s="838"/>
      <c r="Y216" s="838"/>
      <c r="Z216" s="838"/>
      <c r="AA216" s="838"/>
      <c r="AB216" s="838"/>
      <c r="AC216" s="833"/>
      <c r="AJ216" s="1208">
        <f t="shared" si="84"/>
        <v>2</v>
      </c>
    </row>
    <row r="217" spans="1:36" s="1208" customFormat="1" ht="25.5">
      <c r="A217" s="838">
        <f>IF(B217="","",COUNTA($R$4:R217))</f>
        <v>214</v>
      </c>
      <c r="B217" s="1071" t="s">
        <v>645</v>
      </c>
      <c r="C217" s="838" t="str">
        <f t="shared" si="75"/>
        <v xml:space="preserve">Vũ Đình Chiến </v>
      </c>
      <c r="D217" s="838" t="str">
        <f t="shared" si="76"/>
        <v>Cán bộ BQLDA</v>
      </c>
      <c r="E217" s="838" t="str">
        <f t="shared" si="79"/>
        <v>.....................................</v>
      </c>
      <c r="F217" s="838" t="str">
        <f t="shared" si="79"/>
        <v>.....................................</v>
      </c>
      <c r="G217" s="838" t="str">
        <f>$AD$25</f>
        <v>Đặng Văn Huấn</v>
      </c>
      <c r="H217" s="838" t="str">
        <f>$AF$25</f>
        <v>Phó đoàn TVGS</v>
      </c>
      <c r="I217" s="838" t="str">
        <f>$AD$6</f>
        <v>.....................................</v>
      </c>
      <c r="J217" s="838" t="str">
        <f>$AD$6</f>
        <v>.....................................</v>
      </c>
      <c r="K217" s="838" t="str">
        <f t="shared" si="96"/>
        <v>Đinh Văn Hưởng</v>
      </c>
      <c r="L217" s="838" t="str">
        <f t="shared" si="97"/>
        <v>CBKT</v>
      </c>
      <c r="M217" s="838" t="str">
        <f t="shared" si="81"/>
        <v>.....................................</v>
      </c>
      <c r="N217" s="838" t="str">
        <f t="shared" si="81"/>
        <v>.....................................</v>
      </c>
      <c r="O217" s="838" t="str">
        <f>$AD$217</f>
        <v>Đinh Quang Ninh</v>
      </c>
      <c r="P217" s="838" t="str">
        <f t="shared" si="73"/>
        <v>CBKT</v>
      </c>
      <c r="Q217" s="860" t="str">
        <f t="shared" si="74"/>
        <v>Công ty TNHH đầu tư và phát triển KD Vượng Phát</v>
      </c>
      <c r="R217" s="838">
        <v>1</v>
      </c>
      <c r="S217" s="838"/>
      <c r="T217" s="838"/>
      <c r="U217" s="838"/>
      <c r="V217" s="861">
        <v>0.8520833333333333</v>
      </c>
      <c r="W217" s="838"/>
      <c r="X217" s="838"/>
      <c r="Y217" s="838"/>
      <c r="Z217" s="838"/>
      <c r="AA217" s="838"/>
      <c r="AB217" s="838"/>
      <c r="AC217" s="833"/>
      <c r="AD217" s="1233" t="s">
        <v>1187</v>
      </c>
      <c r="AJ217" s="1208">
        <f t="shared" si="84"/>
        <v>1</v>
      </c>
    </row>
    <row r="218" spans="1:36" s="1208" customFormat="1" ht="25.5">
      <c r="A218" s="838">
        <f>IF(B218="","",COUNTA($R$4:R218))</f>
        <v>215</v>
      </c>
      <c r="B218" s="1071" t="s">
        <v>636</v>
      </c>
      <c r="C218" s="838" t="str">
        <f t="shared" si="75"/>
        <v xml:space="preserve">Vũ Đình Chiến </v>
      </c>
      <c r="D218" s="838" t="str">
        <f t="shared" si="76"/>
        <v>Cán bộ BQLDA</v>
      </c>
      <c r="E218" s="838" t="str">
        <f t="shared" si="79"/>
        <v>.....................................</v>
      </c>
      <c r="F218" s="838" t="str">
        <f t="shared" si="79"/>
        <v>.....................................</v>
      </c>
      <c r="G218" s="838" t="str">
        <f>$AD$188</f>
        <v>Nguyễn Minh Tân</v>
      </c>
      <c r="H218" s="838" t="str">
        <f>$AE$188</f>
        <v>TVGS</v>
      </c>
      <c r="I218" s="838" t="str">
        <f t="shared" ref="I218:J218" si="98">$AD$6</f>
        <v>.....................................</v>
      </c>
      <c r="J218" s="838" t="str">
        <f t="shared" si="98"/>
        <v>.....................................</v>
      </c>
      <c r="K218" s="838" t="str">
        <f t="shared" si="96"/>
        <v>Đinh Văn Hưởng</v>
      </c>
      <c r="L218" s="838" t="str">
        <f t="shared" si="97"/>
        <v>CBKT</v>
      </c>
      <c r="M218" s="838" t="str">
        <f t="shared" si="81"/>
        <v>.....................................</v>
      </c>
      <c r="N218" s="838" t="str">
        <f t="shared" si="81"/>
        <v>.....................................</v>
      </c>
      <c r="O218" s="838">
        <f>$AD$32</f>
        <v>0</v>
      </c>
      <c r="P218" s="838" t="str">
        <f t="shared" si="73"/>
        <v>CBKT</v>
      </c>
      <c r="Q218" s="860" t="str">
        <f t="shared" si="74"/>
        <v>Công ty TNHH đầu tư và phát triển KD Vượng Phát</v>
      </c>
      <c r="R218" s="838">
        <v>1</v>
      </c>
      <c r="S218" s="838">
        <v>2</v>
      </c>
      <c r="T218" s="838"/>
      <c r="U218" s="838"/>
      <c r="V218" s="861">
        <v>9.375E-2</v>
      </c>
      <c r="W218" s="861">
        <v>0.10069444444444443</v>
      </c>
      <c r="X218" s="838"/>
      <c r="Y218" s="838"/>
      <c r="Z218" s="838"/>
      <c r="AA218" s="838"/>
      <c r="AB218" s="838"/>
      <c r="AC218" s="833"/>
      <c r="AJ218" s="1208">
        <f t="shared" si="84"/>
        <v>2</v>
      </c>
    </row>
    <row r="219" spans="1:36" s="1208" customFormat="1" ht="25.5">
      <c r="A219" s="838">
        <f>IF(B219="","",COUNTA($R$4:R219))</f>
        <v>216</v>
      </c>
      <c r="B219" s="1071" t="s">
        <v>641</v>
      </c>
      <c r="C219" s="838" t="str">
        <f t="shared" si="75"/>
        <v xml:space="preserve">Vũ Đình Chiến </v>
      </c>
      <c r="D219" s="838" t="str">
        <f t="shared" si="76"/>
        <v>Cán bộ BQLDA</v>
      </c>
      <c r="E219" s="838" t="str">
        <f t="shared" si="79"/>
        <v>.....................................</v>
      </c>
      <c r="F219" s="838" t="str">
        <f t="shared" si="79"/>
        <v>.....................................</v>
      </c>
      <c r="G219" s="838" t="str">
        <f>$AD$25</f>
        <v>Đặng Văn Huấn</v>
      </c>
      <c r="H219" s="838" t="str">
        <f>$AF$25</f>
        <v>Phó đoàn TVGS</v>
      </c>
      <c r="I219" s="838" t="str">
        <f>$AD$6</f>
        <v>.....................................</v>
      </c>
      <c r="J219" s="838" t="str">
        <f>$AD$6</f>
        <v>.....................................</v>
      </c>
      <c r="K219" s="838" t="str">
        <f t="shared" si="96"/>
        <v>Đinh Văn Hưởng</v>
      </c>
      <c r="L219" s="838" t="str">
        <f t="shared" si="97"/>
        <v>CBKT</v>
      </c>
      <c r="M219" s="838" t="str">
        <f t="shared" si="81"/>
        <v>.....................................</v>
      </c>
      <c r="N219" s="838" t="str">
        <f t="shared" si="81"/>
        <v>.....................................</v>
      </c>
      <c r="O219" s="838">
        <f>$AD$32</f>
        <v>0</v>
      </c>
      <c r="P219" s="838" t="str">
        <f t="shared" si="73"/>
        <v>CBKT</v>
      </c>
      <c r="Q219" s="860" t="str">
        <f t="shared" si="74"/>
        <v>Công ty TNHH đầu tư và phát triển KD Vượng Phát</v>
      </c>
      <c r="R219" s="838">
        <v>1</v>
      </c>
      <c r="S219" s="838">
        <v>2</v>
      </c>
      <c r="T219" s="838">
        <v>3</v>
      </c>
      <c r="U219" s="838"/>
      <c r="V219" s="861">
        <v>2.0833333333333332E-2</v>
      </c>
      <c r="W219" s="861">
        <v>3.8194444444444441E-2</v>
      </c>
      <c r="X219" s="861">
        <v>0.11944444444444445</v>
      </c>
      <c r="Y219" s="838"/>
      <c r="Z219" s="838"/>
      <c r="AA219" s="838"/>
      <c r="AB219" s="838"/>
      <c r="AC219" s="833"/>
      <c r="AJ219" s="1208">
        <f t="shared" si="84"/>
        <v>3</v>
      </c>
    </row>
    <row r="220" spans="1:36">
      <c r="A220" s="838" t="str">
        <f>IF(B220="","",COUNTA($R$4:R220))</f>
        <v/>
      </c>
      <c r="B220" s="838"/>
      <c r="C220" s="838"/>
      <c r="D220" s="838"/>
      <c r="E220" s="838"/>
      <c r="F220" s="838"/>
      <c r="G220" s="838"/>
      <c r="H220" s="838"/>
      <c r="I220" s="838"/>
      <c r="J220" s="838"/>
      <c r="K220" s="838"/>
      <c r="L220" s="838"/>
      <c r="M220" s="838"/>
      <c r="N220" s="838"/>
      <c r="O220" s="838"/>
      <c r="P220" s="838"/>
      <c r="Q220" s="838"/>
      <c r="R220" s="838"/>
      <c r="S220" s="838"/>
      <c r="T220" s="838"/>
      <c r="U220" s="838"/>
      <c r="V220" s="838"/>
      <c r="W220" s="838"/>
      <c r="X220" s="838"/>
      <c r="Y220" s="838"/>
      <c r="Z220" s="838"/>
      <c r="AA220" s="838"/>
      <c r="AB220" s="838"/>
      <c r="AC220" s="833"/>
      <c r="AJ220">
        <f t="shared" ref="AJ220" si="99">COUNTA($R220:$U220)</f>
        <v>0</v>
      </c>
    </row>
  </sheetData>
  <mergeCells count="9">
    <mergeCell ref="Z1:AC1"/>
    <mergeCell ref="A1:A3"/>
    <mergeCell ref="B1:B2"/>
    <mergeCell ref="C1:F1"/>
    <mergeCell ref="G1:J1"/>
    <mergeCell ref="K1:N1"/>
    <mergeCell ref="O1:P1"/>
    <mergeCell ref="R1:U1"/>
    <mergeCell ref="V1:Y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6"/>
  <sheetViews>
    <sheetView view="pageBreakPreview" topLeftCell="A142" zoomScaleNormal="100" zoomScaleSheetLayoutView="100" workbookViewId="0">
      <selection activeCell="K176" sqref="K176"/>
    </sheetView>
  </sheetViews>
  <sheetFormatPr defaultRowHeight="12.75"/>
  <cols>
    <col min="1" max="1" width="5.42578125" customWidth="1"/>
    <col min="2" max="2" width="9.5703125" customWidth="1"/>
    <col min="3" max="3" width="10.7109375" customWidth="1"/>
    <col min="4" max="4" width="14.42578125" customWidth="1"/>
    <col min="5" max="5" width="15.7109375" customWidth="1"/>
    <col min="6" max="6" width="11.7109375" customWidth="1"/>
    <col min="7" max="7" width="15.42578125" customWidth="1"/>
    <col min="8" max="9" width="12.42578125" customWidth="1"/>
    <col min="10" max="10" width="20.85546875" customWidth="1"/>
    <col min="11" max="11" width="15.5703125" customWidth="1"/>
    <col min="14" max="14" width="11.140625" customWidth="1"/>
  </cols>
  <sheetData>
    <row r="1" spans="1:15" ht="20.100000000000001" customHeight="1">
      <c r="A1" s="919" t="s">
        <v>459</v>
      </c>
      <c r="F1" s="1434" t="s">
        <v>77</v>
      </c>
      <c r="G1" s="1434"/>
      <c r="H1" s="1434"/>
      <c r="I1" s="1434"/>
      <c r="J1" s="1434"/>
    </row>
    <row r="2" spans="1:15" ht="15.75" customHeight="1">
      <c r="F2" s="1434" t="s">
        <v>1094</v>
      </c>
      <c r="G2" s="1434"/>
      <c r="H2" s="1434"/>
      <c r="I2" s="1434"/>
      <c r="J2" s="1434"/>
    </row>
    <row r="3" spans="1:15" ht="32.25" customHeight="1">
      <c r="A3" s="1436" t="s">
        <v>1099</v>
      </c>
      <c r="B3" s="1436"/>
      <c r="C3" s="1436"/>
      <c r="D3" s="1436"/>
      <c r="E3" s="1436"/>
      <c r="F3" s="1436"/>
      <c r="G3" s="1436"/>
      <c r="H3" s="1436"/>
      <c r="I3" s="1436"/>
      <c r="J3" s="1436"/>
    </row>
    <row r="4" spans="1:15" ht="31.5" customHeight="1">
      <c r="A4" s="922" t="s">
        <v>897</v>
      </c>
      <c r="C4" s="1435" t="s">
        <v>478</v>
      </c>
      <c r="D4" s="1435"/>
      <c r="E4" s="1435"/>
      <c r="F4" s="1435"/>
      <c r="G4" s="1435"/>
      <c r="H4" s="1435"/>
      <c r="I4" s="1435"/>
      <c r="J4" s="1435"/>
      <c r="K4" s="930" t="s">
        <v>1108</v>
      </c>
      <c r="L4" s="931">
        <f>SUMIF(J10:J96,J10,I10:I96)</f>
        <v>578.5</v>
      </c>
    </row>
    <row r="5" spans="1:15" ht="20.100000000000001" customHeight="1">
      <c r="A5" s="823" t="s">
        <v>480</v>
      </c>
      <c r="C5" s="867" t="s">
        <v>898</v>
      </c>
    </row>
    <row r="6" spans="1:15" ht="20.100000000000001" customHeight="1">
      <c r="A6" s="823" t="s">
        <v>1097</v>
      </c>
      <c r="C6" t="s">
        <v>899</v>
      </c>
    </row>
    <row r="7" spans="1:15" ht="20.100000000000001" customHeight="1">
      <c r="A7" s="823" t="s">
        <v>479</v>
      </c>
      <c r="C7" t="s">
        <v>1098</v>
      </c>
    </row>
    <row r="8" spans="1:15" ht="20.100000000000001" customHeight="1"/>
    <row r="9" spans="1:15" ht="20.100000000000001" customHeight="1">
      <c r="A9" s="923" t="s">
        <v>939</v>
      </c>
      <c r="B9" s="923" t="s">
        <v>1100</v>
      </c>
      <c r="C9" s="923" t="s">
        <v>1101</v>
      </c>
      <c r="D9" s="923" t="s">
        <v>1102</v>
      </c>
      <c r="E9" s="923" t="s">
        <v>1103</v>
      </c>
      <c r="F9" s="923" t="s">
        <v>1105</v>
      </c>
      <c r="G9" s="923" t="s">
        <v>1104</v>
      </c>
      <c r="H9" s="923" t="s">
        <v>1105</v>
      </c>
      <c r="I9" s="923" t="s">
        <v>1107</v>
      </c>
      <c r="J9" s="923" t="s">
        <v>1106</v>
      </c>
    </row>
    <row r="10" spans="1:15" ht="20.100000000000001" customHeight="1">
      <c r="A10" s="924">
        <v>1</v>
      </c>
      <c r="B10" s="924" t="str">
        <f>VLOOKUP(A10,DT.NK!A:AZ,2,0)</f>
        <v>B1</v>
      </c>
      <c r="C10" s="924">
        <f>VLOOKUP(B10,ĐTBBLMBT!B:AJ,35,0)</f>
        <v>3</v>
      </c>
      <c r="D10" s="925">
        <f>VLOOKUP(B10,DT.NK!B:AZ,49,0)</f>
        <v>42466</v>
      </c>
      <c r="E10" s="925">
        <f>D10+7</f>
        <v>42473</v>
      </c>
      <c r="F10" s="924"/>
      <c r="G10" s="925">
        <f>D10+28</f>
        <v>42494</v>
      </c>
      <c r="H10" s="924"/>
      <c r="I10" s="924">
        <f>VLOOKUP(B10,DT.NK!B:AZ,51,0)</f>
        <v>18</v>
      </c>
      <c r="J10" s="924" t="str">
        <f>N10</f>
        <v xml:space="preserve"> Quảng Ninh</v>
      </c>
      <c r="N10" t="str">
        <f>RIGHT(O10,12)</f>
        <v xml:space="preserve"> Quảng Ninh</v>
      </c>
      <c r="O10" t="str">
        <f>VLOOKUP(B10,ĐTBBLMBT!$B:$Q,16,0)</f>
        <v>Công ty Cổ phần và Xây dựng Quảng Ninh</v>
      </c>
    </row>
    <row r="11" spans="1:15" ht="20.100000000000001" customHeight="1">
      <c r="A11" s="926">
        <v>2</v>
      </c>
      <c r="B11" s="926" t="str">
        <f>VLOOKUP(A11,DT.NK!A:AZ,2,0)</f>
        <v>A19</v>
      </c>
      <c r="C11" s="926">
        <f>VLOOKUP(B11,ĐTBBLMBT!B:AJ,35,0)</f>
        <v>3</v>
      </c>
      <c r="D11" s="927">
        <f>VLOOKUP(B11,DT.NK!B:AZ,49,0)</f>
        <v>42468</v>
      </c>
      <c r="E11" s="927">
        <f t="shared" ref="E11:E74" si="0">D11+7</f>
        <v>42475</v>
      </c>
      <c r="F11" s="926"/>
      <c r="G11" s="927">
        <f t="shared" ref="G11:G74" si="1">D11+28</f>
        <v>42496</v>
      </c>
      <c r="H11" s="926"/>
      <c r="I11" s="924">
        <f>VLOOKUP(B11,DT.NK!B:AZ,51,0)</f>
        <v>54</v>
      </c>
      <c r="J11" s="926" t="str">
        <f t="shared" ref="J11:J74" si="2">N11</f>
        <v xml:space="preserve"> Quảng Ninh</v>
      </c>
      <c r="N11" t="str">
        <f t="shared" ref="N11:N74" si="3">RIGHT(O11,12)</f>
        <v xml:space="preserve"> Quảng Ninh</v>
      </c>
      <c r="O11" t="str">
        <f>VLOOKUP(B11,ĐTBBLMBT!$B:$Q,16,0)</f>
        <v>Công ty Cổ phần và Xây dựng Quảng Ninh</v>
      </c>
    </row>
    <row r="12" spans="1:15" ht="20.100000000000001" customHeight="1">
      <c r="A12" s="926">
        <v>3</v>
      </c>
      <c r="B12" s="926" t="str">
        <f>VLOOKUP(A12,DT.NK!A:AZ,2,0)</f>
        <v>A126</v>
      </c>
      <c r="C12" s="926">
        <f>VLOOKUP(B12,ĐTBBLMBT!B:AJ,35,0)</f>
        <v>3</v>
      </c>
      <c r="D12" s="927">
        <f>VLOOKUP(B12,DT.NK!B:AZ,49,0)</f>
        <v>42472</v>
      </c>
      <c r="E12" s="927">
        <f t="shared" si="0"/>
        <v>42479</v>
      </c>
      <c r="F12" s="926"/>
      <c r="G12" s="927">
        <f t="shared" si="1"/>
        <v>42500</v>
      </c>
      <c r="H12" s="926"/>
      <c r="I12" s="924">
        <f>VLOOKUP(B12,DT.NK!B:AZ,51,0)</f>
        <v>30</v>
      </c>
      <c r="J12" s="926" t="str">
        <f t="shared" si="2"/>
        <v>dựng số 18.1</v>
      </c>
      <c r="N12" t="str">
        <f t="shared" si="3"/>
        <v>dựng số 18.1</v>
      </c>
      <c r="O12" t="str">
        <f>VLOOKUP(B12,ĐTBBLMBT!$B:$Q,16,0)</f>
        <v>Công ty Cổ phần Đầu tư và Xây dựng số 18.1</v>
      </c>
    </row>
    <row r="13" spans="1:15" ht="20.100000000000001" customHeight="1">
      <c r="A13" s="926">
        <v>4</v>
      </c>
      <c r="B13" s="926" t="str">
        <f>VLOOKUP(A13,DT.NK!A:AZ,2,0)</f>
        <v>B2</v>
      </c>
      <c r="C13" s="926">
        <f>VLOOKUP(B13,ĐTBBLMBT!B:AJ,35,0)</f>
        <v>2</v>
      </c>
      <c r="D13" s="927">
        <f>VLOOKUP(B13,DT.NK!B:AZ,49,0)</f>
        <v>42495</v>
      </c>
      <c r="E13" s="927">
        <f t="shared" si="0"/>
        <v>42502</v>
      </c>
      <c r="F13" s="926"/>
      <c r="G13" s="927">
        <f t="shared" si="1"/>
        <v>42523</v>
      </c>
      <c r="H13" s="926"/>
      <c r="I13" s="924">
        <f>VLOOKUP(B13,DT.NK!B:AZ,51,0)</f>
        <v>15</v>
      </c>
      <c r="J13" s="926" t="str">
        <f t="shared" si="2"/>
        <v>Vượng Phát</v>
      </c>
      <c r="N13" t="str">
        <f t="shared" si="3"/>
        <v>Vượng Phát</v>
      </c>
      <c r="O13" t="str">
        <f>VLOOKUP(B13,ĐTBBLMBT!$B:$Q,16,0)</f>
        <v>Công ty TNHH đầu tư và phát triển KD Vượng Phát</v>
      </c>
    </row>
    <row r="14" spans="1:15" ht="20.100000000000001" customHeight="1">
      <c r="A14" s="926">
        <v>5</v>
      </c>
      <c r="B14" s="926" t="str">
        <f>VLOOKUP(A14,DT.NK!A:AZ,2,0)</f>
        <v>B9</v>
      </c>
      <c r="C14" s="926">
        <f>VLOOKUP(B14,ĐTBBLMBT!B:AJ,35,0)</f>
        <v>2</v>
      </c>
      <c r="D14" s="927">
        <f>VLOOKUP(B14,DT.NK!B:AZ,49,0)</f>
        <v>42495</v>
      </c>
      <c r="E14" s="927">
        <f t="shared" si="0"/>
        <v>42502</v>
      </c>
      <c r="F14" s="926"/>
      <c r="G14" s="927">
        <f t="shared" si="1"/>
        <v>42523</v>
      </c>
      <c r="H14" s="926"/>
      <c r="I14" s="924">
        <f>VLOOKUP(B14,DT.NK!B:AZ,51,0)</f>
        <v>16</v>
      </c>
      <c r="J14" s="926" t="str">
        <f t="shared" si="2"/>
        <v>Vượng Phát</v>
      </c>
      <c r="N14" t="str">
        <f t="shared" si="3"/>
        <v>Vượng Phát</v>
      </c>
      <c r="O14" t="str">
        <f>VLOOKUP(B14,ĐTBBLMBT!$B:$Q,16,0)</f>
        <v>Công ty TNHH đầu tư và phát triển KD Vượng Phát</v>
      </c>
    </row>
    <row r="15" spans="1:15" ht="20.100000000000001" customHeight="1">
      <c r="A15" s="926">
        <v>6</v>
      </c>
      <c r="B15" s="926" t="str">
        <f>VLOOKUP(A15,DT.NK!A:AZ,2,0)</f>
        <v>B13</v>
      </c>
      <c r="C15" s="926">
        <f>VLOOKUP(B15,ĐTBBLMBT!B:AJ,35,0)</f>
        <v>2</v>
      </c>
      <c r="D15" s="927">
        <f>VLOOKUP(B15,DT.NK!B:AZ,49,0)</f>
        <v>42496</v>
      </c>
      <c r="E15" s="927">
        <f t="shared" si="0"/>
        <v>42503</v>
      </c>
      <c r="F15" s="926"/>
      <c r="G15" s="927">
        <f t="shared" si="1"/>
        <v>42524</v>
      </c>
      <c r="H15" s="926"/>
      <c r="I15" s="924">
        <f>VLOOKUP(B15,DT.NK!B:AZ,51,0)</f>
        <v>17</v>
      </c>
      <c r="J15" s="926" t="str">
        <f t="shared" si="2"/>
        <v>Vượng Phát</v>
      </c>
      <c r="N15" t="str">
        <f t="shared" si="3"/>
        <v>Vượng Phát</v>
      </c>
      <c r="O15" t="str">
        <f>VLOOKUP(B15,ĐTBBLMBT!$B:$Q,16,0)</f>
        <v>Công ty TNHH đầu tư và phát triển KD Vượng Phát</v>
      </c>
    </row>
    <row r="16" spans="1:15" ht="20.100000000000001" customHeight="1">
      <c r="A16" s="926">
        <v>7</v>
      </c>
      <c r="B16" s="926" t="str">
        <f>VLOOKUP(A16,DT.NK!A:AZ,2,0)</f>
        <v>B12</v>
      </c>
      <c r="C16" s="926">
        <f>VLOOKUP(B16,ĐTBBLMBT!B:AJ,35,0)</f>
        <v>2</v>
      </c>
      <c r="D16" s="927">
        <f>VLOOKUP(B16,DT.NK!B:AZ,49,0)</f>
        <v>42496</v>
      </c>
      <c r="E16" s="927">
        <f t="shared" si="0"/>
        <v>42503</v>
      </c>
      <c r="F16" s="926"/>
      <c r="G16" s="927">
        <f t="shared" si="1"/>
        <v>42524</v>
      </c>
      <c r="H16" s="926"/>
      <c r="I16" s="924">
        <f>VLOOKUP(B16,DT.NK!B:AZ,51,0)</f>
        <v>16</v>
      </c>
      <c r="J16" s="926" t="str">
        <f t="shared" si="2"/>
        <v>Vượng Phát</v>
      </c>
      <c r="N16" t="str">
        <f t="shared" si="3"/>
        <v>Vượng Phát</v>
      </c>
      <c r="O16" t="str">
        <f>VLOOKUP(B16,ĐTBBLMBT!$B:$Q,16,0)</f>
        <v>Công ty TNHH đầu tư và phát triển KD Vượng Phát</v>
      </c>
    </row>
    <row r="17" spans="1:15" ht="20.100000000000001" customHeight="1">
      <c r="A17" s="926">
        <v>8</v>
      </c>
      <c r="B17" s="926" t="str">
        <f>VLOOKUP(A17,DT.NK!A:AZ,2,0)</f>
        <v>B11</v>
      </c>
      <c r="C17" s="926">
        <f>VLOOKUP(B17,ĐTBBLMBT!B:AJ,35,0)</f>
        <v>2</v>
      </c>
      <c r="D17" s="927">
        <f>VLOOKUP(B17,DT.NK!B:AZ,49,0)</f>
        <v>42497</v>
      </c>
      <c r="E17" s="927">
        <f t="shared" si="0"/>
        <v>42504</v>
      </c>
      <c r="F17" s="926"/>
      <c r="G17" s="927">
        <f t="shared" si="1"/>
        <v>42525</v>
      </c>
      <c r="H17" s="926"/>
      <c r="I17" s="924">
        <f>VLOOKUP(B17,DT.NK!B:AZ,51,0)</f>
        <v>15</v>
      </c>
      <c r="J17" s="926" t="str">
        <f t="shared" si="2"/>
        <v>Vượng Phát</v>
      </c>
      <c r="N17" t="str">
        <f t="shared" si="3"/>
        <v>Vượng Phát</v>
      </c>
      <c r="O17" t="str">
        <f>VLOOKUP(B17,ĐTBBLMBT!$B:$Q,16,0)</f>
        <v>Công ty TNHH đầu tư và phát triển KD Vượng Phát</v>
      </c>
    </row>
    <row r="18" spans="1:15" ht="20.100000000000001" customHeight="1">
      <c r="A18" s="926">
        <v>9</v>
      </c>
      <c r="B18" s="926" t="str">
        <f>VLOOKUP(A18,DT.NK!A:AZ,2,0)</f>
        <v>B48</v>
      </c>
      <c r="C18" s="926">
        <f>VLOOKUP(B18,ĐTBBLMBT!B:AJ,35,0)</f>
        <v>1</v>
      </c>
      <c r="D18" s="927">
        <f>VLOOKUP(B18,DT.NK!B:AZ,49,0)</f>
        <v>42497</v>
      </c>
      <c r="E18" s="927">
        <f t="shared" si="0"/>
        <v>42504</v>
      </c>
      <c r="F18" s="926"/>
      <c r="G18" s="927">
        <f t="shared" si="1"/>
        <v>42525</v>
      </c>
      <c r="H18" s="926"/>
      <c r="I18" s="924">
        <f>VLOOKUP(B18,DT.NK!B:AZ,51,0)</f>
        <v>13</v>
      </c>
      <c r="J18" s="926" t="str">
        <f t="shared" si="2"/>
        <v>Vượng Phát</v>
      </c>
      <c r="N18" t="str">
        <f t="shared" si="3"/>
        <v>Vượng Phát</v>
      </c>
      <c r="O18" t="str">
        <f>VLOOKUP(B18,ĐTBBLMBT!$B:$Q,16,0)</f>
        <v>Công ty TNHH đầu tư và phát triển KD Vượng Phát</v>
      </c>
    </row>
    <row r="19" spans="1:15" ht="20.100000000000001" customHeight="1">
      <c r="A19" s="926">
        <v>10</v>
      </c>
      <c r="B19" s="926" t="str">
        <f>VLOOKUP(A19,DT.NK!A:AZ,2,0)</f>
        <v>B10</v>
      </c>
      <c r="C19" s="926">
        <f>VLOOKUP(B19,ĐTBBLMBT!B:AJ,35,0)</f>
        <v>1</v>
      </c>
      <c r="D19" s="927">
        <f>VLOOKUP(B19,DT.NK!B:AZ,49,0)</f>
        <v>42498</v>
      </c>
      <c r="E19" s="927">
        <f t="shared" si="0"/>
        <v>42505</v>
      </c>
      <c r="F19" s="926"/>
      <c r="G19" s="927">
        <f t="shared" si="1"/>
        <v>42526</v>
      </c>
      <c r="H19" s="926"/>
      <c r="I19" s="924">
        <f>VLOOKUP(B19,DT.NK!B:AZ,51,0)</f>
        <v>13</v>
      </c>
      <c r="J19" s="926" t="str">
        <f t="shared" si="2"/>
        <v>Vượng Phát</v>
      </c>
      <c r="N19" t="str">
        <f t="shared" si="3"/>
        <v>Vượng Phát</v>
      </c>
      <c r="O19" t="str">
        <f>VLOOKUP(B19,ĐTBBLMBT!$B:$Q,16,0)</f>
        <v>Công ty TNHH đầu tư và phát triển KD Vượng Phát</v>
      </c>
    </row>
    <row r="20" spans="1:15" ht="20.100000000000001" customHeight="1">
      <c r="A20" s="926">
        <v>11</v>
      </c>
      <c r="B20" s="926" t="str">
        <f>VLOOKUP(A20,DT.NK!A:AZ,2,0)</f>
        <v>B49</v>
      </c>
      <c r="C20" s="926">
        <f>VLOOKUP(B20,ĐTBBLMBT!B:AJ,35,0)</f>
        <v>2</v>
      </c>
      <c r="D20" s="927">
        <f>VLOOKUP(B20,DT.NK!B:AZ,49,0)</f>
        <v>42498</v>
      </c>
      <c r="E20" s="927">
        <f t="shared" si="0"/>
        <v>42505</v>
      </c>
      <c r="F20" s="926"/>
      <c r="G20" s="927">
        <f t="shared" si="1"/>
        <v>42526</v>
      </c>
      <c r="H20" s="926"/>
      <c r="I20" s="924">
        <f>VLOOKUP(B20,DT.NK!B:AZ,51,0)</f>
        <v>15</v>
      </c>
      <c r="J20" s="926" t="str">
        <f t="shared" si="2"/>
        <v>Vượng Phát</v>
      </c>
      <c r="N20" t="str">
        <f t="shared" si="3"/>
        <v>Vượng Phát</v>
      </c>
      <c r="O20" t="str">
        <f>VLOOKUP(B20,ĐTBBLMBT!$B:$Q,16,0)</f>
        <v>Công ty TNHH đầu tư và phát triển KD Vượng Phát</v>
      </c>
    </row>
    <row r="21" spans="1:15" ht="20.100000000000001" customHeight="1">
      <c r="A21" s="926">
        <v>12</v>
      </c>
      <c r="B21" s="926" t="str">
        <f>VLOOKUP(A21,DT.NK!A:AZ,2,0)</f>
        <v>A26</v>
      </c>
      <c r="C21" s="926">
        <f>VLOOKUP(B21,ĐTBBLMBT!B:AJ,35,0)</f>
        <v>3</v>
      </c>
      <c r="D21" s="927">
        <f>VLOOKUP(B21,DT.NK!B:AZ,49,0)</f>
        <v>42499</v>
      </c>
      <c r="E21" s="927">
        <f t="shared" si="0"/>
        <v>42506</v>
      </c>
      <c r="F21" s="926"/>
      <c r="G21" s="927">
        <f t="shared" si="1"/>
        <v>42527</v>
      </c>
      <c r="H21" s="926"/>
      <c r="I21" s="924">
        <f>VLOOKUP(B21,DT.NK!B:AZ,51,0)</f>
        <v>34</v>
      </c>
      <c r="J21" s="926" t="str">
        <f t="shared" si="2"/>
        <v>Vượng Phát</v>
      </c>
      <c r="N21" t="str">
        <f t="shared" si="3"/>
        <v>Vượng Phát</v>
      </c>
      <c r="O21" t="str">
        <f>VLOOKUP(B21,ĐTBBLMBT!$B:$Q,16,0)</f>
        <v>Công ty TNHH đầu tư và phát triển KD Vượng Phát</v>
      </c>
    </row>
    <row r="22" spans="1:15" ht="20.100000000000001" customHeight="1">
      <c r="A22" s="926">
        <v>13</v>
      </c>
      <c r="B22" s="926" t="str">
        <f>VLOOKUP(A22,DT.NK!A:AZ,2,0)</f>
        <v>A108</v>
      </c>
      <c r="C22" s="926">
        <f>VLOOKUP(B22,ĐTBBLMBT!B:AJ,35,0)</f>
        <v>3</v>
      </c>
      <c r="D22" s="927">
        <f>VLOOKUP(B22,DT.NK!B:AZ,49,0)</f>
        <v>42499</v>
      </c>
      <c r="E22" s="927">
        <f t="shared" si="0"/>
        <v>42506</v>
      </c>
      <c r="F22" s="926"/>
      <c r="G22" s="927">
        <f t="shared" si="1"/>
        <v>42527</v>
      </c>
      <c r="H22" s="926"/>
      <c r="I22" s="924">
        <f>VLOOKUP(B22,DT.NK!B:AZ,51,0)</f>
        <v>39</v>
      </c>
      <c r="J22" s="926" t="str">
        <f t="shared" si="2"/>
        <v>Vượng Phát</v>
      </c>
      <c r="N22" t="str">
        <f t="shared" si="3"/>
        <v>Vượng Phát</v>
      </c>
      <c r="O22" t="str">
        <f>VLOOKUP(B22,ĐTBBLMBT!$B:$Q,16,0)</f>
        <v>Công ty TNHH đầu tư và phát triển KD Vượng Phát</v>
      </c>
    </row>
    <row r="23" spans="1:15" ht="20.100000000000001" customHeight="1">
      <c r="A23" s="926">
        <v>14</v>
      </c>
      <c r="B23" s="926" t="str">
        <f>VLOOKUP(A23,DT.NK!A:AZ,2,0)</f>
        <v>A24</v>
      </c>
      <c r="C23" s="926">
        <f>VLOOKUP(B23,ĐTBBLMBT!B:AJ,35,0)</f>
        <v>2</v>
      </c>
      <c r="D23" s="927">
        <f>VLOOKUP(B23,DT.NK!B:AZ,49,0)</f>
        <v>42500</v>
      </c>
      <c r="E23" s="927">
        <f t="shared" si="0"/>
        <v>42507</v>
      </c>
      <c r="F23" s="926"/>
      <c r="G23" s="927">
        <f t="shared" si="1"/>
        <v>42528</v>
      </c>
      <c r="H23" s="926"/>
      <c r="I23" s="924">
        <f>VLOOKUP(B23,DT.NK!B:AZ,51,0)</f>
        <v>31</v>
      </c>
      <c r="J23" s="926" t="str">
        <f t="shared" si="2"/>
        <v>Vượng Phát</v>
      </c>
      <c r="N23" t="str">
        <f t="shared" si="3"/>
        <v>Vượng Phát</v>
      </c>
      <c r="O23" t="str">
        <f>VLOOKUP(B23,ĐTBBLMBT!$B:$Q,16,0)</f>
        <v>Công ty TNHH đầu tư và phát triển KD Vượng Phát</v>
      </c>
    </row>
    <row r="24" spans="1:15" ht="20.100000000000001" customHeight="1">
      <c r="A24" s="926">
        <v>15</v>
      </c>
      <c r="B24" s="926" t="str">
        <f>VLOOKUP(A24,DT.NK!A:AZ,2,0)</f>
        <v>A105</v>
      </c>
      <c r="C24" s="926">
        <f>VLOOKUP(B24,ĐTBBLMBT!B:AJ,35,0)</f>
        <v>3</v>
      </c>
      <c r="D24" s="927">
        <f>VLOOKUP(B24,DT.NK!B:AZ,49,0)</f>
        <v>42500</v>
      </c>
      <c r="E24" s="927">
        <f t="shared" si="0"/>
        <v>42507</v>
      </c>
      <c r="F24" s="926"/>
      <c r="G24" s="927">
        <f t="shared" si="1"/>
        <v>42528</v>
      </c>
      <c r="H24" s="926"/>
      <c r="I24" s="924">
        <f>VLOOKUP(B24,DT.NK!B:AZ,51,0)</f>
        <v>38</v>
      </c>
      <c r="J24" s="926" t="str">
        <f t="shared" si="2"/>
        <v>Vượng Phát</v>
      </c>
      <c r="N24" t="str">
        <f t="shared" si="3"/>
        <v>Vượng Phát</v>
      </c>
      <c r="O24" t="str">
        <f>VLOOKUP(B24,ĐTBBLMBT!$B:$Q,16,0)</f>
        <v>Công ty TNHH đầu tư và phát triển KD Vượng Phát</v>
      </c>
    </row>
    <row r="25" spans="1:15" ht="20.100000000000001" customHeight="1">
      <c r="A25" s="926">
        <v>16</v>
      </c>
      <c r="B25" s="926" t="str">
        <f>VLOOKUP(A25,DT.NK!A:AZ,2,0)</f>
        <v>A25</v>
      </c>
      <c r="C25" s="926">
        <f>VLOOKUP(B25,ĐTBBLMBT!B:AJ,35,0)</f>
        <v>3</v>
      </c>
      <c r="D25" s="927">
        <f>VLOOKUP(B25,DT.NK!B:AZ,49,0)</f>
        <v>42501</v>
      </c>
      <c r="E25" s="927">
        <f t="shared" si="0"/>
        <v>42508</v>
      </c>
      <c r="F25" s="926"/>
      <c r="G25" s="927">
        <f t="shared" si="1"/>
        <v>42529</v>
      </c>
      <c r="H25" s="926"/>
      <c r="I25" s="924">
        <f>VLOOKUP(B25,DT.NK!B:AZ,51,0)</f>
        <v>32</v>
      </c>
      <c r="J25" s="926" t="str">
        <f t="shared" si="2"/>
        <v>Vượng Phát</v>
      </c>
      <c r="N25" t="str">
        <f t="shared" si="3"/>
        <v>Vượng Phát</v>
      </c>
      <c r="O25" t="str">
        <f>VLOOKUP(B25,ĐTBBLMBT!$B:$Q,16,0)</f>
        <v>Công ty TNHH đầu tư và phát triển KD Vượng Phát</v>
      </c>
    </row>
    <row r="26" spans="1:15" ht="20.100000000000001" customHeight="1">
      <c r="A26" s="926">
        <v>17</v>
      </c>
      <c r="B26" s="926" t="str">
        <f>VLOOKUP(A26,DT.NK!A:AZ,2,0)</f>
        <v>A107</v>
      </c>
      <c r="C26" s="926">
        <f>VLOOKUP(B26,ĐTBBLMBT!B:AJ,35,0)</f>
        <v>3</v>
      </c>
      <c r="D26" s="927">
        <f>VLOOKUP(B26,DT.NK!B:AZ,49,0)</f>
        <v>42501</v>
      </c>
      <c r="E26" s="927">
        <f t="shared" si="0"/>
        <v>42508</v>
      </c>
      <c r="F26" s="926"/>
      <c r="G26" s="927">
        <f t="shared" si="1"/>
        <v>42529</v>
      </c>
      <c r="H26" s="926"/>
      <c r="I26" s="924">
        <f>VLOOKUP(B26,DT.NK!B:AZ,51,0)</f>
        <v>34</v>
      </c>
      <c r="J26" s="926" t="str">
        <f t="shared" si="2"/>
        <v>Vượng Phát</v>
      </c>
      <c r="N26" t="str">
        <f t="shared" si="3"/>
        <v>Vượng Phát</v>
      </c>
      <c r="O26" t="str">
        <f>VLOOKUP(B26,ĐTBBLMBT!$B:$Q,16,0)</f>
        <v>Công ty TNHH đầu tư và phát triển KD Vượng Phát</v>
      </c>
    </row>
    <row r="27" spans="1:15" ht="20.100000000000001" customHeight="1">
      <c r="A27" s="926">
        <v>18</v>
      </c>
      <c r="B27" s="926" t="str">
        <f>VLOOKUP(A27,DT.NK!A:AZ,2,0)</f>
        <v>A104</v>
      </c>
      <c r="C27" s="926">
        <f>VLOOKUP(B27,ĐTBBLMBT!B:AJ,35,0)</f>
        <v>3</v>
      </c>
      <c r="D27" s="927">
        <f>VLOOKUP(B27,DT.NK!B:AZ,49,0)</f>
        <v>42502</v>
      </c>
      <c r="E27" s="927">
        <f t="shared" si="0"/>
        <v>42509</v>
      </c>
      <c r="F27" s="926"/>
      <c r="G27" s="927">
        <f t="shared" si="1"/>
        <v>42530</v>
      </c>
      <c r="H27" s="926"/>
      <c r="I27" s="924">
        <f>VLOOKUP(B27,DT.NK!B:AZ,51,0)</f>
        <v>38.5</v>
      </c>
      <c r="J27" s="926" t="str">
        <f t="shared" si="2"/>
        <v>Vượng Phát</v>
      </c>
      <c r="N27" t="str">
        <f t="shared" si="3"/>
        <v>Vượng Phát</v>
      </c>
      <c r="O27" t="str">
        <f>VLOOKUP(B27,ĐTBBLMBT!$B:$Q,16,0)</f>
        <v>Công ty TNHH đầu tư và phát triển KD Vượng Phát</v>
      </c>
    </row>
    <row r="28" spans="1:15" ht="20.100000000000001" customHeight="1">
      <c r="A28" s="926">
        <v>19</v>
      </c>
      <c r="B28" s="926" t="str">
        <f>VLOOKUP(A28,DT.NK!A:AZ,2,0)</f>
        <v>A23</v>
      </c>
      <c r="C28" s="926">
        <f>VLOOKUP(B28,ĐTBBLMBT!B:AJ,35,0)</f>
        <v>2</v>
      </c>
      <c r="D28" s="927">
        <f>VLOOKUP(B28,DT.NK!B:AZ,49,0)</f>
        <v>42502</v>
      </c>
      <c r="E28" s="927">
        <f t="shared" si="0"/>
        <v>42509</v>
      </c>
      <c r="F28" s="926"/>
      <c r="G28" s="927">
        <f t="shared" si="1"/>
        <v>42530</v>
      </c>
      <c r="H28" s="926"/>
      <c r="I28" s="924">
        <f>VLOOKUP(B28,DT.NK!B:AZ,51,0)</f>
        <v>27</v>
      </c>
      <c r="J28" s="926" t="str">
        <f t="shared" si="2"/>
        <v>Vượng Phát</v>
      </c>
      <c r="N28" t="str">
        <f t="shared" si="3"/>
        <v>Vượng Phát</v>
      </c>
      <c r="O28" t="str">
        <f>VLOOKUP(B28,ĐTBBLMBT!$B:$Q,16,0)</f>
        <v>Công ty TNHH đầu tư và phát triển KD Vượng Phát</v>
      </c>
    </row>
    <row r="29" spans="1:15" ht="20.100000000000001" customHeight="1">
      <c r="A29" s="926">
        <v>20</v>
      </c>
      <c r="B29" s="926" t="str">
        <f>VLOOKUP(A29,DT.NK!A:AZ,2,0)</f>
        <v>B47</v>
      </c>
      <c r="C29" s="926">
        <f>VLOOKUP(B29,ĐTBBLMBT!B:AJ,35,0)</f>
        <v>3</v>
      </c>
      <c r="D29" s="927">
        <f>VLOOKUP(B29,DT.NK!B:AZ,49,0)</f>
        <v>42503</v>
      </c>
      <c r="E29" s="927">
        <f t="shared" si="0"/>
        <v>42510</v>
      </c>
      <c r="F29" s="926"/>
      <c r="G29" s="927">
        <f t="shared" si="1"/>
        <v>42531</v>
      </c>
      <c r="H29" s="926"/>
      <c r="I29" s="924">
        <f>VLOOKUP(B29,DT.NK!B:AZ,51,0)</f>
        <v>29</v>
      </c>
      <c r="J29" s="926" t="str">
        <f t="shared" si="2"/>
        <v>Vượng Phát</v>
      </c>
      <c r="N29" t="str">
        <f t="shared" si="3"/>
        <v>Vượng Phát</v>
      </c>
      <c r="O29" t="str">
        <f>VLOOKUP(B29,ĐTBBLMBT!$B:$Q,16,0)</f>
        <v>Công ty TNHH đầu tư và phát triển KD Vượng Phát</v>
      </c>
    </row>
    <row r="30" spans="1:15" ht="20.100000000000001" customHeight="1">
      <c r="A30" s="926">
        <v>21</v>
      </c>
      <c r="B30" s="926" t="str">
        <f>VLOOKUP(A30,DT.NK!A:AZ,2,0)</f>
        <v>A106</v>
      </c>
      <c r="C30" s="926">
        <f>VLOOKUP(B30,ĐTBBLMBT!B:AJ,35,0)</f>
        <v>0</v>
      </c>
      <c r="D30" s="927">
        <f>VLOOKUP(B30,DT.NK!B:AZ,49,0)</f>
        <v>42503</v>
      </c>
      <c r="E30" s="927">
        <f t="shared" si="0"/>
        <v>42510</v>
      </c>
      <c r="F30" s="926"/>
      <c r="G30" s="927">
        <f t="shared" si="1"/>
        <v>42531</v>
      </c>
      <c r="H30" s="926"/>
      <c r="I30" s="924">
        <f>VLOOKUP(B30,DT.NK!B:AZ,51,0)</f>
        <v>35</v>
      </c>
      <c r="J30" s="926" t="str">
        <f t="shared" si="2"/>
        <v>Vượng Phát</v>
      </c>
      <c r="N30" t="str">
        <f t="shared" si="3"/>
        <v>Vượng Phát</v>
      </c>
      <c r="O30" t="str">
        <f>VLOOKUP(B30,ĐTBBLMBT!$B:$Q,16,0)</f>
        <v>Công ty TNHH đầu tư và phát triển KD Vượng Phát</v>
      </c>
    </row>
    <row r="31" spans="1:15" ht="20.100000000000001" customHeight="1">
      <c r="A31" s="926">
        <v>22</v>
      </c>
      <c r="B31" s="926" t="str">
        <f>VLOOKUP(A31,DT.NK!A:AZ,2,0)</f>
        <v>A103</v>
      </c>
      <c r="C31" s="926">
        <f>VLOOKUP(B31,ĐTBBLMBT!B:AJ,35,0)</f>
        <v>3</v>
      </c>
      <c r="D31" s="927">
        <f>VLOOKUP(B31,DT.NK!B:AZ,49,0)</f>
        <v>42504</v>
      </c>
      <c r="E31" s="927">
        <f t="shared" si="0"/>
        <v>42511</v>
      </c>
      <c r="F31" s="926"/>
      <c r="G31" s="927">
        <f t="shared" si="1"/>
        <v>42532</v>
      </c>
      <c r="H31" s="926"/>
      <c r="I31" s="924">
        <f>VLOOKUP(B31,DT.NK!B:AZ,51,0)</f>
        <v>37</v>
      </c>
      <c r="J31" s="926" t="str">
        <f t="shared" si="2"/>
        <v>Vượng Phát</v>
      </c>
      <c r="N31" t="str">
        <f t="shared" si="3"/>
        <v>Vượng Phát</v>
      </c>
      <c r="O31" t="str">
        <f>VLOOKUP(B31,ĐTBBLMBT!$B:$Q,16,0)</f>
        <v>Công ty TNHH đầu tư và phát triển KD Vượng Phát</v>
      </c>
    </row>
    <row r="32" spans="1:15" ht="20.100000000000001" customHeight="1">
      <c r="A32" s="926">
        <v>23</v>
      </c>
      <c r="B32" s="926" t="str">
        <f>VLOOKUP(A32,DT.NK!A:AZ,2,0)</f>
        <v>A98</v>
      </c>
      <c r="C32" s="926">
        <f>VLOOKUP(B32,ĐTBBLMBT!B:AJ,35,0)</f>
        <v>2</v>
      </c>
      <c r="D32" s="927">
        <f>VLOOKUP(B32,DT.NK!B:AZ,49,0)</f>
        <v>42504</v>
      </c>
      <c r="E32" s="927">
        <f t="shared" si="0"/>
        <v>42511</v>
      </c>
      <c r="F32" s="926"/>
      <c r="G32" s="927">
        <f t="shared" si="1"/>
        <v>42532</v>
      </c>
      <c r="H32" s="926"/>
      <c r="I32" s="924">
        <f>VLOOKUP(B32,DT.NK!B:AZ,51,0)</f>
        <v>24</v>
      </c>
      <c r="J32" s="926" t="str">
        <f t="shared" si="2"/>
        <v>Vượng Phát</v>
      </c>
      <c r="N32" t="str">
        <f t="shared" si="3"/>
        <v>Vượng Phát</v>
      </c>
      <c r="O32" t="str">
        <f>VLOOKUP(B32,ĐTBBLMBT!$B:$Q,16,0)</f>
        <v>Công ty TNHH đầu tư và phát triển KD Vượng Phát</v>
      </c>
    </row>
    <row r="33" spans="1:15" ht="20.100000000000001" customHeight="1">
      <c r="A33" s="926">
        <v>24</v>
      </c>
      <c r="B33" s="926" t="str">
        <f>VLOOKUP(A33,DT.NK!A:AZ,2,0)</f>
        <v>A22</v>
      </c>
      <c r="C33" s="926">
        <f>VLOOKUP(B33,ĐTBBLMBT!B:AJ,35,0)</f>
        <v>3</v>
      </c>
      <c r="D33" s="927">
        <f>VLOOKUP(B33,DT.NK!B:AZ,49,0)</f>
        <v>42505</v>
      </c>
      <c r="E33" s="927">
        <f t="shared" si="0"/>
        <v>42512</v>
      </c>
      <c r="F33" s="926"/>
      <c r="G33" s="927">
        <f t="shared" si="1"/>
        <v>42533</v>
      </c>
      <c r="H33" s="926"/>
      <c r="I33" s="924">
        <f>VLOOKUP(B33,DT.NK!B:AZ,51,0)</f>
        <v>30</v>
      </c>
      <c r="J33" s="926" t="str">
        <f t="shared" si="2"/>
        <v>Vượng Phát</v>
      </c>
      <c r="N33" t="str">
        <f t="shared" si="3"/>
        <v>Vượng Phát</v>
      </c>
      <c r="O33" t="str">
        <f>VLOOKUP(B33,ĐTBBLMBT!$B:$Q,16,0)</f>
        <v>Công ty TNHH đầu tư và phát triển KD Vượng Phát</v>
      </c>
    </row>
    <row r="34" spans="1:15" ht="20.100000000000001" customHeight="1">
      <c r="A34" s="926">
        <v>25</v>
      </c>
      <c r="B34" s="926" t="str">
        <f>VLOOKUP(A34,DT.NK!A:AZ,2,0)</f>
        <v>B46</v>
      </c>
      <c r="C34" s="926">
        <f>VLOOKUP(B34,ĐTBBLMBT!B:AJ,35,0)</f>
        <v>2</v>
      </c>
      <c r="D34" s="927">
        <f>VLOOKUP(B34,DT.NK!B:AZ,49,0)</f>
        <v>42505</v>
      </c>
      <c r="E34" s="927">
        <f t="shared" si="0"/>
        <v>42512</v>
      </c>
      <c r="F34" s="926"/>
      <c r="G34" s="927">
        <f t="shared" si="1"/>
        <v>42533</v>
      </c>
      <c r="H34" s="926"/>
      <c r="I34" s="924">
        <f>VLOOKUP(B34,DT.NK!B:AZ,51,0)</f>
        <v>15</v>
      </c>
      <c r="J34" s="926" t="str">
        <f t="shared" si="2"/>
        <v>Vượng Phát</v>
      </c>
      <c r="N34" t="str">
        <f t="shared" si="3"/>
        <v>Vượng Phát</v>
      </c>
      <c r="O34" t="str">
        <f>VLOOKUP(B34,ĐTBBLMBT!$B:$Q,16,0)</f>
        <v>Công ty TNHH đầu tư và phát triển KD Vượng Phát</v>
      </c>
    </row>
    <row r="35" spans="1:15" ht="20.100000000000001" customHeight="1">
      <c r="A35" s="926">
        <v>26</v>
      </c>
      <c r="B35" s="926" t="str">
        <f>VLOOKUP(A35,DT.NK!A:AZ,2,0)</f>
        <v>A102</v>
      </c>
      <c r="C35" s="926">
        <f>VLOOKUP(B35,ĐTBBLMBT!B:AJ,35,0)</f>
        <v>3</v>
      </c>
      <c r="D35" s="927">
        <f>VLOOKUP(B35,DT.NK!B:AZ,49,0)</f>
        <v>42506</v>
      </c>
      <c r="E35" s="927">
        <f t="shared" si="0"/>
        <v>42513</v>
      </c>
      <c r="F35" s="926"/>
      <c r="G35" s="927">
        <f t="shared" si="1"/>
        <v>42534</v>
      </c>
      <c r="H35" s="926"/>
      <c r="I35" s="924">
        <f>VLOOKUP(B35,DT.NK!B:AZ,51,0)</f>
        <v>36</v>
      </c>
      <c r="J35" s="926" t="str">
        <f t="shared" si="2"/>
        <v>Vượng Phát</v>
      </c>
      <c r="N35" t="str">
        <f t="shared" si="3"/>
        <v>Vượng Phát</v>
      </c>
      <c r="O35" t="str">
        <f>VLOOKUP(B35,ĐTBBLMBT!$B:$Q,16,0)</f>
        <v>Công ty TNHH đầu tư và phát triển KD Vượng Phát</v>
      </c>
    </row>
    <row r="36" spans="1:15" ht="20.100000000000001" customHeight="1">
      <c r="A36" s="926">
        <v>27</v>
      </c>
      <c r="B36" s="926" t="str">
        <f>VLOOKUP(A36,DT.NK!A:AZ,2,0)</f>
        <v>A100</v>
      </c>
      <c r="C36" s="926">
        <f>VLOOKUP(B36,ĐTBBLMBT!B:AJ,35,0)</f>
        <v>2</v>
      </c>
      <c r="D36" s="927">
        <f>VLOOKUP(B36,DT.NK!B:AZ,49,0)</f>
        <v>42506</v>
      </c>
      <c r="E36" s="927">
        <f t="shared" si="0"/>
        <v>42513</v>
      </c>
      <c r="F36" s="926"/>
      <c r="G36" s="927">
        <f t="shared" si="1"/>
        <v>42534</v>
      </c>
      <c r="H36" s="926"/>
      <c r="I36" s="924">
        <f>VLOOKUP(B36,DT.NK!B:AZ,51,0)</f>
        <v>25</v>
      </c>
      <c r="J36" s="926" t="str">
        <f t="shared" si="2"/>
        <v>Vượng Phát</v>
      </c>
      <c r="N36" t="str">
        <f t="shared" si="3"/>
        <v>Vượng Phát</v>
      </c>
      <c r="O36" t="str">
        <f>VLOOKUP(B36,ĐTBBLMBT!$B:$Q,16,0)</f>
        <v>Công ty TNHH đầu tư và phát triển KD Vượng Phát</v>
      </c>
    </row>
    <row r="37" spans="1:15" ht="20.100000000000001" customHeight="1">
      <c r="A37" s="926">
        <v>28</v>
      </c>
      <c r="B37" s="926" t="str">
        <f>VLOOKUP(A37,DT.NK!A:AZ,2,0)</f>
        <v>A21</v>
      </c>
      <c r="C37" s="926">
        <f>VLOOKUP(B37,ĐTBBLMBT!B:AJ,35,0)</f>
        <v>3</v>
      </c>
      <c r="D37" s="927">
        <f>VLOOKUP(B37,DT.NK!B:AZ,49,0)</f>
        <v>42507</v>
      </c>
      <c r="E37" s="927">
        <f t="shared" si="0"/>
        <v>42514</v>
      </c>
      <c r="F37" s="926"/>
      <c r="G37" s="927">
        <f t="shared" si="1"/>
        <v>42535</v>
      </c>
      <c r="H37" s="926"/>
      <c r="I37" s="924">
        <f>VLOOKUP(B37,DT.NK!B:AZ,51,0)</f>
        <v>42.5</v>
      </c>
      <c r="J37" s="926" t="str">
        <f t="shared" si="2"/>
        <v>Vượng Phát</v>
      </c>
      <c r="N37" t="str">
        <f t="shared" si="3"/>
        <v>Vượng Phát</v>
      </c>
      <c r="O37" t="str">
        <f>VLOOKUP(B37,ĐTBBLMBT!$B:$Q,16,0)</f>
        <v>Công ty TNHH đầu tư và phát triển KD Vượng Phát</v>
      </c>
    </row>
    <row r="38" spans="1:15" ht="20.100000000000001" customHeight="1">
      <c r="A38" s="926">
        <v>29</v>
      </c>
      <c r="B38" s="926" t="str">
        <f>VLOOKUP(A38,DT.NK!A:AZ,2,0)</f>
        <v>A101</v>
      </c>
      <c r="C38" s="926">
        <f>VLOOKUP(B38,ĐTBBLMBT!B:AJ,35,0)</f>
        <v>3</v>
      </c>
      <c r="D38" s="927">
        <f>VLOOKUP(B38,DT.NK!B:AZ,49,0)</f>
        <v>42507</v>
      </c>
      <c r="E38" s="927">
        <f t="shared" si="0"/>
        <v>42514</v>
      </c>
      <c r="F38" s="926"/>
      <c r="G38" s="927">
        <f t="shared" si="1"/>
        <v>42535</v>
      </c>
      <c r="H38" s="926"/>
      <c r="I38" s="924">
        <f>VLOOKUP(B38,DT.NK!B:AZ,51,0)</f>
        <v>35</v>
      </c>
      <c r="J38" s="926" t="str">
        <f t="shared" si="2"/>
        <v>Vượng Phát</v>
      </c>
      <c r="N38" t="str">
        <f t="shared" si="3"/>
        <v>Vượng Phát</v>
      </c>
      <c r="O38" t="str">
        <f>VLOOKUP(B38,ĐTBBLMBT!$B:$Q,16,0)</f>
        <v>Công ty TNHH đầu tư và phát triển KD Vượng Phát</v>
      </c>
    </row>
    <row r="39" spans="1:15" ht="20.100000000000001" customHeight="1">
      <c r="A39" s="926">
        <v>30</v>
      </c>
      <c r="B39" s="926" t="str">
        <f>VLOOKUP(A39,DT.NK!A:AZ,2,0)</f>
        <v>A99</v>
      </c>
      <c r="C39" s="926">
        <f>VLOOKUP(B39,ĐTBBLMBT!B:AJ,35,0)</f>
        <v>2</v>
      </c>
      <c r="D39" s="927">
        <f>VLOOKUP(B39,DT.NK!B:AZ,49,0)</f>
        <v>42508</v>
      </c>
      <c r="E39" s="927">
        <f t="shared" si="0"/>
        <v>42515</v>
      </c>
      <c r="F39" s="926"/>
      <c r="G39" s="927">
        <f t="shared" si="1"/>
        <v>42536</v>
      </c>
      <c r="H39" s="926"/>
      <c r="I39" s="924">
        <f>VLOOKUP(B39,DT.NK!B:AZ,51,0)</f>
        <v>24</v>
      </c>
      <c r="J39" s="926" t="str">
        <f t="shared" si="2"/>
        <v>Vượng Phát</v>
      </c>
      <c r="N39" t="str">
        <f t="shared" si="3"/>
        <v>Vượng Phát</v>
      </c>
      <c r="O39" t="str">
        <f>VLOOKUP(B39,ĐTBBLMBT!$B:$Q,16,0)</f>
        <v>Công ty TNHH đầu tư và phát triển KD Vượng Phát</v>
      </c>
    </row>
    <row r="40" spans="1:15" ht="20.100000000000001" customHeight="1">
      <c r="A40" s="926">
        <v>31</v>
      </c>
      <c r="B40" s="926" t="str">
        <f>VLOOKUP(A40,DT.NK!A:AZ,2,0)</f>
        <v>B45</v>
      </c>
      <c r="C40" s="926">
        <f>VLOOKUP(B40,ĐTBBLMBT!B:AJ,35,0)</f>
        <v>2</v>
      </c>
      <c r="D40" s="927">
        <f>VLOOKUP(B40,DT.NK!B:AZ,49,0)</f>
        <v>42508</v>
      </c>
      <c r="E40" s="927">
        <f t="shared" si="0"/>
        <v>42515</v>
      </c>
      <c r="F40" s="926"/>
      <c r="G40" s="927">
        <f t="shared" si="1"/>
        <v>42536</v>
      </c>
      <c r="H40" s="926"/>
      <c r="I40" s="924">
        <f>VLOOKUP(B40,DT.NK!B:AZ,51,0)</f>
        <v>24</v>
      </c>
      <c r="J40" s="926" t="str">
        <f t="shared" si="2"/>
        <v>Vượng Phát</v>
      </c>
      <c r="N40" t="str">
        <f t="shared" si="3"/>
        <v>Vượng Phát</v>
      </c>
      <c r="O40" t="str">
        <f>VLOOKUP(B40,ĐTBBLMBT!$B:$Q,16,0)</f>
        <v>Công ty TNHH đầu tư và phát triển KD Vượng Phát</v>
      </c>
    </row>
    <row r="41" spans="1:15" ht="20.100000000000001" customHeight="1">
      <c r="A41" s="926">
        <v>32</v>
      </c>
      <c r="B41" s="926" t="str">
        <f>VLOOKUP(A41,DT.NK!A:AZ,2,0)</f>
        <v>A111</v>
      </c>
      <c r="C41" s="926">
        <f>VLOOKUP(B41,ĐTBBLMBT!B:AJ,35,0)</f>
        <v>3</v>
      </c>
      <c r="D41" s="927">
        <f>VLOOKUP(B41,DT.NK!B:AZ,49,0)</f>
        <v>42509</v>
      </c>
      <c r="E41" s="927">
        <f t="shared" si="0"/>
        <v>42516</v>
      </c>
      <c r="F41" s="926"/>
      <c r="G41" s="927">
        <f t="shared" si="1"/>
        <v>42537</v>
      </c>
      <c r="H41" s="926"/>
      <c r="I41" s="924">
        <f>VLOOKUP(B41,DT.NK!B:AZ,51,0)</f>
        <v>30</v>
      </c>
      <c r="J41" s="926" t="str">
        <f t="shared" si="2"/>
        <v>Vượng Phát</v>
      </c>
      <c r="N41" t="str">
        <f t="shared" si="3"/>
        <v>Vượng Phát</v>
      </c>
      <c r="O41" t="str">
        <f>VLOOKUP(B41,ĐTBBLMBT!$B:$Q,16,0)</f>
        <v>Công ty TNHH đầu tư và phát triển KD Vượng Phát</v>
      </c>
    </row>
    <row r="42" spans="1:15" ht="20.100000000000001" customHeight="1">
      <c r="A42" s="926">
        <v>33</v>
      </c>
      <c r="B42" s="926" t="str">
        <f>VLOOKUP(A42,DT.NK!A:AZ,2,0)</f>
        <v>A115</v>
      </c>
      <c r="C42" s="926">
        <f>VLOOKUP(B42,ĐTBBLMBT!B:AJ,35,0)</f>
        <v>3</v>
      </c>
      <c r="D42" s="927">
        <f>VLOOKUP(B42,DT.NK!B:AZ,49,0)</f>
        <v>42510</v>
      </c>
      <c r="E42" s="927">
        <f t="shared" si="0"/>
        <v>42517</v>
      </c>
      <c r="F42" s="926"/>
      <c r="G42" s="927">
        <f t="shared" si="1"/>
        <v>42538</v>
      </c>
      <c r="H42" s="926"/>
      <c r="I42" s="924">
        <f>VLOOKUP(B42,DT.NK!B:AZ,51,0)</f>
        <v>52</v>
      </c>
      <c r="J42" s="926" t="str">
        <f t="shared" si="2"/>
        <v>Vượng Phát</v>
      </c>
      <c r="N42" t="str">
        <f t="shared" si="3"/>
        <v>Vượng Phát</v>
      </c>
      <c r="O42" t="str">
        <f>VLOOKUP(B42,ĐTBBLMBT!$B:$Q,16,0)</f>
        <v>Công ty TNHH đầu tư và phát triển KD Vượng Phát</v>
      </c>
    </row>
    <row r="43" spans="1:15" ht="20.100000000000001" customHeight="1">
      <c r="A43" s="926">
        <v>34</v>
      </c>
      <c r="B43" s="926" t="str">
        <f>VLOOKUP(A43,DT.NK!A:AZ,2,0)</f>
        <v>B3</v>
      </c>
      <c r="C43" s="926">
        <f>VLOOKUP(B43,ĐTBBLMBT!B:AJ,35,0)</f>
        <v>1</v>
      </c>
      <c r="D43" s="927">
        <f>VLOOKUP(B43,DT.NK!B:AZ,49,0)</f>
        <v>42511</v>
      </c>
      <c r="E43" s="927">
        <f t="shared" si="0"/>
        <v>42518</v>
      </c>
      <c r="F43" s="926"/>
      <c r="G43" s="927">
        <f t="shared" si="1"/>
        <v>42539</v>
      </c>
      <c r="H43" s="926"/>
      <c r="I43" s="924">
        <f>VLOOKUP(B43,DT.NK!B:AZ,51,0)</f>
        <v>14</v>
      </c>
      <c r="J43" s="926" t="str">
        <f t="shared" si="2"/>
        <v>Vượng Phát</v>
      </c>
      <c r="N43" t="str">
        <f t="shared" si="3"/>
        <v>Vượng Phát</v>
      </c>
      <c r="O43" t="str">
        <f>VLOOKUP(B43,ĐTBBLMBT!$B:$Q,16,0)</f>
        <v>Công ty TNHH đầu tư và phát triển KD Vượng Phát</v>
      </c>
    </row>
    <row r="44" spans="1:15" ht="20.100000000000001" customHeight="1">
      <c r="A44" s="926">
        <v>35</v>
      </c>
      <c r="B44" s="926" t="str">
        <f>VLOOKUP(A44,DT.NK!A:AZ,2,0)</f>
        <v>A20</v>
      </c>
      <c r="C44" s="926">
        <f>VLOOKUP(B44,ĐTBBLMBT!B:AJ,35,0)</f>
        <v>3</v>
      </c>
      <c r="D44" s="927">
        <f>VLOOKUP(B44,DT.NK!B:AZ,49,0)</f>
        <v>42511</v>
      </c>
      <c r="E44" s="927">
        <f t="shared" si="0"/>
        <v>42518</v>
      </c>
      <c r="F44" s="926"/>
      <c r="G44" s="927">
        <f t="shared" si="1"/>
        <v>42539</v>
      </c>
      <c r="H44" s="926"/>
      <c r="I44" s="924">
        <f>VLOOKUP(B44,DT.NK!B:AZ,51,0)</f>
        <v>49</v>
      </c>
      <c r="J44" s="926" t="str">
        <f t="shared" si="2"/>
        <v>dựng số 18.1</v>
      </c>
      <c r="N44" t="str">
        <f t="shared" si="3"/>
        <v>dựng số 18.1</v>
      </c>
      <c r="O44" t="str">
        <f>VLOOKUP(B44,ĐTBBLMBT!$B:$Q,16,0)</f>
        <v>Công ty Cổ phần Đầu tư và Xây dựng số 18.1</v>
      </c>
    </row>
    <row r="45" spans="1:15" ht="20.100000000000001" customHeight="1">
      <c r="A45" s="926">
        <v>36</v>
      </c>
      <c r="B45" s="926" t="str">
        <f>VLOOKUP(A45,DT.NK!A:AZ,2,0)</f>
        <v>A96</v>
      </c>
      <c r="C45" s="926">
        <f>VLOOKUP(B45,ĐTBBLMBT!B:AJ,35,0)</f>
        <v>2</v>
      </c>
      <c r="D45" s="927">
        <f>VLOOKUP(B45,DT.NK!B:AZ,49,0)</f>
        <v>42512</v>
      </c>
      <c r="E45" s="927">
        <f t="shared" si="0"/>
        <v>42519</v>
      </c>
      <c r="F45" s="926"/>
      <c r="G45" s="927">
        <f t="shared" si="1"/>
        <v>42540</v>
      </c>
      <c r="H45" s="926"/>
      <c r="I45" s="924">
        <f>VLOOKUP(B45,DT.NK!B:AZ,51,0)</f>
        <v>26</v>
      </c>
      <c r="J45" s="926" t="str">
        <f t="shared" si="2"/>
        <v>Vượng Phát</v>
      </c>
      <c r="N45" t="str">
        <f t="shared" si="3"/>
        <v>Vượng Phát</v>
      </c>
      <c r="O45" t="str">
        <f>VLOOKUP(B45,ĐTBBLMBT!$B:$Q,16,0)</f>
        <v>Công ty TNHH đầu tư và phát triển KD Vượng Phát</v>
      </c>
    </row>
    <row r="46" spans="1:15" ht="20.100000000000001" customHeight="1">
      <c r="A46" s="926">
        <v>37</v>
      </c>
      <c r="B46" s="926" t="str">
        <f>VLOOKUP(A46,DT.NK!A:AZ,2,0)</f>
        <v>A97</v>
      </c>
      <c r="C46" s="926">
        <f>VLOOKUP(B46,ĐTBBLMBT!B:AJ,35,0)</f>
        <v>2</v>
      </c>
      <c r="D46" s="927">
        <f>VLOOKUP(B46,DT.NK!B:AZ,49,0)</f>
        <v>42512</v>
      </c>
      <c r="E46" s="927">
        <f t="shared" si="0"/>
        <v>42519</v>
      </c>
      <c r="F46" s="926"/>
      <c r="G46" s="927">
        <f t="shared" si="1"/>
        <v>42540</v>
      </c>
      <c r="H46" s="926"/>
      <c r="I46" s="924">
        <f>VLOOKUP(B46,DT.NK!B:AZ,51,0)</f>
        <v>25</v>
      </c>
      <c r="J46" s="926" t="str">
        <f t="shared" si="2"/>
        <v>Vượng Phát</v>
      </c>
      <c r="N46" t="str">
        <f t="shared" si="3"/>
        <v>Vượng Phát</v>
      </c>
      <c r="O46" t="str">
        <f>VLOOKUP(B46,ĐTBBLMBT!$B:$Q,16,0)</f>
        <v>Công ty TNHH đầu tư và phát triển KD Vượng Phát</v>
      </c>
    </row>
    <row r="47" spans="1:15" ht="20.100000000000001" customHeight="1">
      <c r="A47" s="926">
        <v>38</v>
      </c>
      <c r="B47" s="926" t="str">
        <f>VLOOKUP(A47,DT.NK!A:AZ,2,0)</f>
        <v>A110</v>
      </c>
      <c r="C47" s="926">
        <f>VLOOKUP(B47,ĐTBBLMBT!B:AJ,35,0)</f>
        <v>3</v>
      </c>
      <c r="D47" s="927">
        <f>VLOOKUP(B47,DT.NK!B:AZ,49,0)</f>
        <v>42513</v>
      </c>
      <c r="E47" s="927">
        <f t="shared" si="0"/>
        <v>42520</v>
      </c>
      <c r="F47" s="926"/>
      <c r="G47" s="927">
        <f t="shared" si="1"/>
        <v>42541</v>
      </c>
      <c r="H47" s="926"/>
      <c r="I47" s="924">
        <f>VLOOKUP(B47,DT.NK!B:AZ,51,0)</f>
        <v>40</v>
      </c>
      <c r="J47" s="926" t="str">
        <f t="shared" si="2"/>
        <v>Vượng Phát</v>
      </c>
      <c r="N47" t="str">
        <f t="shared" si="3"/>
        <v>Vượng Phát</v>
      </c>
      <c r="O47" t="str">
        <f>VLOOKUP(B47,ĐTBBLMBT!$B:$Q,16,0)</f>
        <v>Công ty TNHH đầu tư và phát triển KD Vượng Phát</v>
      </c>
    </row>
    <row r="48" spans="1:15" ht="20.100000000000001" customHeight="1">
      <c r="A48" s="926">
        <v>39</v>
      </c>
      <c r="B48" s="926" t="str">
        <f>VLOOKUP(A48,DT.NK!A:AZ,2,0)</f>
        <v>A114</v>
      </c>
      <c r="C48" s="926">
        <f>VLOOKUP(B48,ĐTBBLMBT!B:AJ,35,0)</f>
        <v>3</v>
      </c>
      <c r="D48" s="927">
        <f>VLOOKUP(B48,DT.NK!B:AZ,49,0)</f>
        <v>42514</v>
      </c>
      <c r="E48" s="927">
        <f t="shared" si="0"/>
        <v>42521</v>
      </c>
      <c r="F48" s="926"/>
      <c r="G48" s="927">
        <f t="shared" si="1"/>
        <v>42542</v>
      </c>
      <c r="H48" s="926"/>
      <c r="I48" s="924">
        <f>VLOOKUP(B48,DT.NK!B:AZ,51,0)</f>
        <v>53.5</v>
      </c>
      <c r="J48" s="926" t="str">
        <f t="shared" si="2"/>
        <v>Vượng Phát</v>
      </c>
      <c r="N48" t="str">
        <f t="shared" si="3"/>
        <v>Vượng Phát</v>
      </c>
      <c r="O48" t="str">
        <f>VLOOKUP(B48,ĐTBBLMBT!$B:$Q,16,0)</f>
        <v>Công ty TNHH đầu tư và phát triển KD Vượng Phát</v>
      </c>
    </row>
    <row r="49" spans="1:15" ht="20.100000000000001" customHeight="1">
      <c r="A49" s="926">
        <v>40</v>
      </c>
      <c r="B49" s="926" t="str">
        <f>VLOOKUP(A49,DT.NK!A:AZ,2,0)</f>
        <v>A119</v>
      </c>
      <c r="C49" s="926">
        <f>VLOOKUP(B49,ĐTBBLMBT!B:AJ,35,0)</f>
        <v>3</v>
      </c>
      <c r="D49" s="927">
        <f>VLOOKUP(B49,DT.NK!B:AZ,49,0)</f>
        <v>42515</v>
      </c>
      <c r="E49" s="927">
        <f t="shared" si="0"/>
        <v>42522</v>
      </c>
      <c r="F49" s="926"/>
      <c r="G49" s="927">
        <f t="shared" si="1"/>
        <v>42543</v>
      </c>
      <c r="H49" s="926"/>
      <c r="I49" s="924">
        <f>VLOOKUP(B49,DT.NK!B:AZ,51,0)</f>
        <v>43</v>
      </c>
      <c r="J49" s="926" t="str">
        <f t="shared" si="2"/>
        <v>Vượng Phát</v>
      </c>
      <c r="N49" t="str">
        <f t="shared" si="3"/>
        <v>Vượng Phát</v>
      </c>
      <c r="O49" t="str">
        <f>VLOOKUP(B49,ĐTBBLMBT!$B:$Q,16,0)</f>
        <v>Công ty TNHH đầu tư và phát triển KD Vượng Phát</v>
      </c>
    </row>
    <row r="50" spans="1:15" ht="20.100000000000001" customHeight="1">
      <c r="A50" s="926">
        <v>41</v>
      </c>
      <c r="B50" s="926" t="str">
        <f>VLOOKUP(A50,DT.NK!A:AZ,2,0)</f>
        <v>A151</v>
      </c>
      <c r="C50" s="926">
        <f>VLOOKUP(B50,ĐTBBLMBT!B:AJ,35,0)</f>
        <v>3</v>
      </c>
      <c r="D50" s="927">
        <f>VLOOKUP(B50,DT.NK!B:AZ,49,0)</f>
        <v>42677</v>
      </c>
      <c r="E50" s="927">
        <f t="shared" si="0"/>
        <v>42684</v>
      </c>
      <c r="F50" s="926"/>
      <c r="G50" s="927">
        <f t="shared" si="1"/>
        <v>42705</v>
      </c>
      <c r="H50" s="926"/>
      <c r="I50" s="924">
        <f>VLOOKUP(B50,DT.NK!B:AZ,51,0)</f>
        <v>33</v>
      </c>
      <c r="J50" s="926" t="str">
        <f t="shared" si="2"/>
        <v xml:space="preserve"> Quảng Ninh</v>
      </c>
      <c r="N50" t="str">
        <f t="shared" si="3"/>
        <v xml:space="preserve"> Quảng Ninh</v>
      </c>
      <c r="O50" t="str">
        <f>VLOOKUP(B50,ĐTBBLMBT!$B:$Q,16,0)</f>
        <v>Công ty Cổ phần và Xây dựng Quảng Ninh</v>
      </c>
    </row>
    <row r="51" spans="1:15" ht="20.100000000000001" customHeight="1">
      <c r="A51" s="926">
        <v>42</v>
      </c>
      <c r="B51" s="926" t="str">
        <f>VLOOKUP(A51,DT.NK!A:AZ,2,0)</f>
        <v>B28</v>
      </c>
      <c r="C51" s="926">
        <f>VLOOKUP(B51,ĐTBBLMBT!B:AJ,35,0)</f>
        <v>1</v>
      </c>
      <c r="D51" s="927">
        <f>VLOOKUP(B51,DT.NK!B:AZ,49,0)</f>
        <v>42677</v>
      </c>
      <c r="E51" s="927">
        <f t="shared" si="0"/>
        <v>42684</v>
      </c>
      <c r="F51" s="926"/>
      <c r="G51" s="927">
        <f t="shared" si="1"/>
        <v>42705</v>
      </c>
      <c r="H51" s="926"/>
      <c r="I51" s="924">
        <f>VLOOKUP(B51,DT.NK!B:AZ,51,0)</f>
        <v>9.5</v>
      </c>
      <c r="J51" s="926" t="str">
        <f t="shared" si="2"/>
        <v>dựng số 18.1</v>
      </c>
      <c r="N51" t="str">
        <f t="shared" si="3"/>
        <v>dựng số 18.1</v>
      </c>
      <c r="O51" t="str">
        <f>VLOOKUP(B51,ĐTBBLMBT!$B:$Q,16,0)</f>
        <v>Công ty Cổ phần Đầu tư và Xây dựng số 18.1</v>
      </c>
    </row>
    <row r="52" spans="1:15" ht="20.100000000000001" customHeight="1">
      <c r="A52" s="926">
        <v>43</v>
      </c>
      <c r="B52" s="926" t="str">
        <f>VLOOKUP(A52,DT.NK!A:AZ,2,0)</f>
        <v>A1</v>
      </c>
      <c r="C52" s="926">
        <f>VLOOKUP(B52,ĐTBBLMBT!B:AJ,35,0)</f>
        <v>3</v>
      </c>
      <c r="D52" s="927">
        <f>VLOOKUP(B52,DT.NK!B:AZ,49,0)</f>
        <v>42678</v>
      </c>
      <c r="E52" s="927">
        <f t="shared" si="0"/>
        <v>42685</v>
      </c>
      <c r="F52" s="926"/>
      <c r="G52" s="927">
        <f t="shared" si="1"/>
        <v>42706</v>
      </c>
      <c r="H52" s="926"/>
      <c r="I52" s="924">
        <f>VLOOKUP(B52,DT.NK!B:AZ,51,0)</f>
        <v>19.5</v>
      </c>
      <c r="J52" s="926" t="str">
        <f t="shared" si="2"/>
        <v>dựng số 18.1</v>
      </c>
      <c r="N52" t="str">
        <f t="shared" si="3"/>
        <v>dựng số 18.1</v>
      </c>
      <c r="O52" t="str">
        <f>VLOOKUP(B52,ĐTBBLMBT!$B:$Q,16,0)</f>
        <v>Công ty Cổ phần Đầu tư và Xây dựng số 18.1</v>
      </c>
    </row>
    <row r="53" spans="1:15" ht="20.100000000000001" customHeight="1">
      <c r="A53" s="926">
        <v>44</v>
      </c>
      <c r="B53" s="926" t="str">
        <f>VLOOKUP(A53,DT.NK!A:AZ,2,0)</f>
        <v>A27</v>
      </c>
      <c r="C53" s="926">
        <f>VLOOKUP(B53,ĐTBBLMBT!B:AJ,35,0)</f>
        <v>3</v>
      </c>
      <c r="D53" s="927">
        <f>VLOOKUP(B53,DT.NK!B:AZ,49,0)</f>
        <v>42678</v>
      </c>
      <c r="E53" s="927">
        <f t="shared" si="0"/>
        <v>42685</v>
      </c>
      <c r="F53" s="926"/>
      <c r="G53" s="927">
        <f t="shared" si="1"/>
        <v>42706</v>
      </c>
      <c r="H53" s="926"/>
      <c r="I53" s="924">
        <f>VLOOKUP(B53,DT.NK!B:AZ,51,0)</f>
        <v>23</v>
      </c>
      <c r="J53" s="926" t="str">
        <f t="shared" si="2"/>
        <v>dựng số 18.1</v>
      </c>
      <c r="N53" t="str">
        <f t="shared" si="3"/>
        <v>dựng số 18.1</v>
      </c>
      <c r="O53" t="str">
        <f>VLOOKUP(B53,ĐTBBLMBT!$B:$Q,16,0)</f>
        <v>Công ty Cổ phần Đầu tư và Xây dựng số 18.1</v>
      </c>
    </row>
    <row r="54" spans="1:15" ht="20.100000000000001" customHeight="1">
      <c r="A54" s="926">
        <v>45</v>
      </c>
      <c r="B54" s="926" t="str">
        <f>VLOOKUP(A54,DT.NK!A:AZ,2,0)</f>
        <v>A3</v>
      </c>
      <c r="C54" s="926">
        <f>VLOOKUP(B54,ĐTBBLMBT!B:AJ,35,0)</f>
        <v>3</v>
      </c>
      <c r="D54" s="927">
        <f>VLOOKUP(B54,DT.NK!B:AZ,49,0)</f>
        <v>42678</v>
      </c>
      <c r="E54" s="927">
        <f t="shared" si="0"/>
        <v>42685</v>
      </c>
      <c r="F54" s="926"/>
      <c r="G54" s="927">
        <f t="shared" si="1"/>
        <v>42706</v>
      </c>
      <c r="H54" s="926"/>
      <c r="I54" s="924">
        <f>VLOOKUP(B54,DT.NK!B:AZ,51,0)</f>
        <v>28</v>
      </c>
      <c r="J54" s="926" t="str">
        <f t="shared" si="2"/>
        <v>dựng số 18.1</v>
      </c>
      <c r="N54" t="str">
        <f t="shared" si="3"/>
        <v>dựng số 18.1</v>
      </c>
      <c r="O54" t="str">
        <f>VLOOKUP(B54,ĐTBBLMBT!$B:$Q,16,0)</f>
        <v>Công ty Cổ phần Đầu tư và Xây dựng số 18.1</v>
      </c>
    </row>
    <row r="55" spans="1:15" ht="20.100000000000001" customHeight="1">
      <c r="A55" s="926">
        <v>46</v>
      </c>
      <c r="B55" s="926" t="str">
        <f>VLOOKUP(A55,DT.NK!A:AZ,2,0)</f>
        <v>A121</v>
      </c>
      <c r="C55" s="926">
        <f>VLOOKUP(B55,ĐTBBLMBT!B:AJ,35,0)</f>
        <v>2</v>
      </c>
      <c r="D55" s="927">
        <f>VLOOKUP(B55,DT.NK!B:AZ,49,0)</f>
        <v>42679</v>
      </c>
      <c r="E55" s="927">
        <f t="shared" si="0"/>
        <v>42686</v>
      </c>
      <c r="F55" s="926"/>
      <c r="G55" s="927">
        <f t="shared" si="1"/>
        <v>42707</v>
      </c>
      <c r="H55" s="926"/>
      <c r="I55" s="924">
        <f>VLOOKUP(B55,DT.NK!B:AZ,51,0)</f>
        <v>24</v>
      </c>
      <c r="J55" s="926" t="str">
        <f t="shared" si="2"/>
        <v>dựng số 18.1</v>
      </c>
      <c r="N55" t="str">
        <f t="shared" si="3"/>
        <v>dựng số 18.1</v>
      </c>
      <c r="O55" t="str">
        <f>VLOOKUP(B55,ĐTBBLMBT!$B:$Q,16,0)</f>
        <v>Công ty Cổ phần Đầu tư và Xây dựng số 18.1</v>
      </c>
    </row>
    <row r="56" spans="1:15" ht="20.100000000000001" customHeight="1">
      <c r="A56" s="926">
        <v>47</v>
      </c>
      <c r="B56" s="926" t="str">
        <f>VLOOKUP(A56,DT.NK!A:AZ,2,0)</f>
        <v>B30</v>
      </c>
      <c r="C56" s="926">
        <f>VLOOKUP(B56,ĐTBBLMBT!B:AJ,35,0)</f>
        <v>3</v>
      </c>
      <c r="D56" s="927">
        <f>VLOOKUP(B56,DT.NK!B:AZ,49,0)</f>
        <v>42679</v>
      </c>
      <c r="E56" s="927">
        <f t="shared" si="0"/>
        <v>42686</v>
      </c>
      <c r="F56" s="926"/>
      <c r="G56" s="927">
        <f t="shared" si="1"/>
        <v>42707</v>
      </c>
      <c r="H56" s="926"/>
      <c r="I56" s="924">
        <f>VLOOKUP(B56,DT.NK!B:AZ,51,0)</f>
        <v>16</v>
      </c>
      <c r="J56" s="926" t="str">
        <f t="shared" si="2"/>
        <v xml:space="preserve"> Quảng Ninh</v>
      </c>
      <c r="N56" t="str">
        <f t="shared" si="3"/>
        <v xml:space="preserve"> Quảng Ninh</v>
      </c>
      <c r="O56" t="str">
        <f>VLOOKUP(B56,ĐTBBLMBT!$B:$Q,16,0)</f>
        <v>Công ty Cổ phần và Xây dựng Quảng Ninh</v>
      </c>
    </row>
    <row r="57" spans="1:15" ht="20.100000000000001" customHeight="1">
      <c r="A57" s="926">
        <v>48</v>
      </c>
      <c r="B57" s="926" t="str">
        <f>VLOOKUP(A57,DT.NK!A:AZ,2,0)</f>
        <v>A33</v>
      </c>
      <c r="C57" s="926">
        <f>VLOOKUP(B57,ĐTBBLMBT!B:AJ,35,0)</f>
        <v>2</v>
      </c>
      <c r="D57" s="927">
        <f>VLOOKUP(B57,DT.NK!B:AZ,49,0)</f>
        <v>42680</v>
      </c>
      <c r="E57" s="927">
        <f t="shared" si="0"/>
        <v>42687</v>
      </c>
      <c r="F57" s="926"/>
      <c r="G57" s="927">
        <f t="shared" si="1"/>
        <v>42708</v>
      </c>
      <c r="H57" s="926"/>
      <c r="I57" s="924">
        <f>VLOOKUP(B57,DT.NK!B:AZ,51,0)</f>
        <v>38.5</v>
      </c>
      <c r="J57" s="926" t="str">
        <f t="shared" si="2"/>
        <v>Vượng Phát</v>
      </c>
      <c r="N57" t="str">
        <f t="shared" si="3"/>
        <v>Vượng Phát</v>
      </c>
      <c r="O57" t="str">
        <f>VLOOKUP(B57,ĐTBBLMBT!$B:$Q,16,0)</f>
        <v>Công ty TNHH đầu tư và phát triển KD Vượng Phát</v>
      </c>
    </row>
    <row r="58" spans="1:15" ht="20.100000000000001" customHeight="1">
      <c r="A58" s="926">
        <v>49</v>
      </c>
      <c r="B58" s="926" t="str">
        <f>VLOOKUP(A58,DT.NK!A:AZ,2,0)</f>
        <v>A2</v>
      </c>
      <c r="C58" s="926">
        <f>VLOOKUP(B58,ĐTBBLMBT!B:AJ,35,0)</f>
        <v>3</v>
      </c>
      <c r="D58" s="927">
        <f>VLOOKUP(B58,DT.NK!B:AZ,49,0)</f>
        <v>42680</v>
      </c>
      <c r="E58" s="927">
        <f t="shared" si="0"/>
        <v>42687</v>
      </c>
      <c r="F58" s="926"/>
      <c r="G58" s="927">
        <f t="shared" si="1"/>
        <v>42708</v>
      </c>
      <c r="H58" s="926"/>
      <c r="I58" s="924">
        <f>VLOOKUP(B58,DT.NK!B:AZ,51,0)</f>
        <v>18.5</v>
      </c>
      <c r="J58" s="926" t="str">
        <f t="shared" si="2"/>
        <v xml:space="preserve"> Quảng Ninh</v>
      </c>
      <c r="N58" t="str">
        <f t="shared" si="3"/>
        <v xml:space="preserve"> Quảng Ninh</v>
      </c>
      <c r="O58" t="str">
        <f>VLOOKUP(B58,ĐTBBLMBT!$B:$Q,16,0)</f>
        <v>Công ty Cổ phần và Xây dựng Quảng Ninh</v>
      </c>
    </row>
    <row r="59" spans="1:15" ht="20.100000000000001" customHeight="1">
      <c r="A59" s="926">
        <v>50</v>
      </c>
      <c r="B59" s="926" t="str">
        <f>VLOOKUP(A59,DT.NK!A:AZ,2,0)</f>
        <v>A4</v>
      </c>
      <c r="C59" s="926">
        <f>VLOOKUP(B59,ĐTBBLMBT!B:AJ,35,0)</f>
        <v>3</v>
      </c>
      <c r="D59" s="927">
        <f>VLOOKUP(B59,DT.NK!B:AZ,49,0)</f>
        <v>42680</v>
      </c>
      <c r="E59" s="927">
        <f t="shared" si="0"/>
        <v>42687</v>
      </c>
      <c r="F59" s="926"/>
      <c r="G59" s="927">
        <f t="shared" si="1"/>
        <v>42708</v>
      </c>
      <c r="H59" s="926"/>
      <c r="I59" s="924">
        <f>VLOOKUP(B59,DT.NK!B:AZ,51,0)</f>
        <v>23</v>
      </c>
      <c r="J59" s="926" t="str">
        <f t="shared" si="2"/>
        <v xml:space="preserve"> Quảng Ninh</v>
      </c>
      <c r="N59" t="str">
        <f t="shared" si="3"/>
        <v xml:space="preserve"> Quảng Ninh</v>
      </c>
      <c r="O59" t="str">
        <f>VLOOKUP(B59,ĐTBBLMBT!$B:$Q,16,0)</f>
        <v>Công ty Cổ phần và Xây dựng Quảng Ninh</v>
      </c>
    </row>
    <row r="60" spans="1:15" ht="20.100000000000001" customHeight="1">
      <c r="A60" s="926">
        <v>51</v>
      </c>
      <c r="B60" s="926" t="str">
        <f>VLOOKUP(A60,DT.NK!A:AZ,2,0)</f>
        <v>A29</v>
      </c>
      <c r="C60" s="926">
        <f>VLOOKUP(B60,ĐTBBLMBT!B:AJ,35,0)</f>
        <v>3</v>
      </c>
      <c r="D60" s="927">
        <f>VLOOKUP(B60,DT.NK!B:AZ,49,0)</f>
        <v>42681</v>
      </c>
      <c r="E60" s="927">
        <f t="shared" si="0"/>
        <v>42688</v>
      </c>
      <c r="F60" s="926"/>
      <c r="G60" s="927">
        <f t="shared" si="1"/>
        <v>42709</v>
      </c>
      <c r="H60" s="926"/>
      <c r="I60" s="924">
        <f>VLOOKUP(B60,DT.NK!B:AZ,51,0)</f>
        <v>24</v>
      </c>
      <c r="J60" s="926" t="str">
        <f t="shared" si="2"/>
        <v xml:space="preserve"> Quảng Ninh</v>
      </c>
      <c r="N60" t="str">
        <f t="shared" si="3"/>
        <v xml:space="preserve"> Quảng Ninh</v>
      </c>
      <c r="O60" t="str">
        <f>VLOOKUP(B60,ĐTBBLMBT!$B:$Q,16,0)</f>
        <v>Công ty Cổ phần và Xây dựng Quảng Ninh</v>
      </c>
    </row>
    <row r="61" spans="1:15" ht="20.100000000000001" customHeight="1">
      <c r="A61" s="926">
        <v>52</v>
      </c>
      <c r="B61" s="926" t="str">
        <f>VLOOKUP(A61,DT.NK!A:AZ,2,0)</f>
        <v>A120</v>
      </c>
      <c r="C61" s="926">
        <f>VLOOKUP(B61,ĐTBBLMBT!B:AJ,35,0)</f>
        <v>3</v>
      </c>
      <c r="D61" s="927">
        <f>VLOOKUP(B61,DT.NK!B:AZ,49,0)</f>
        <v>42681</v>
      </c>
      <c r="E61" s="927">
        <f t="shared" si="0"/>
        <v>42688</v>
      </c>
      <c r="F61" s="926"/>
      <c r="G61" s="927">
        <f t="shared" si="1"/>
        <v>42709</v>
      </c>
      <c r="H61" s="926"/>
      <c r="I61" s="924">
        <f>VLOOKUP(B61,DT.NK!B:AZ,51,0)</f>
        <v>28</v>
      </c>
      <c r="J61" s="926" t="str">
        <f t="shared" si="2"/>
        <v xml:space="preserve"> Quảng Ninh</v>
      </c>
      <c r="N61" t="str">
        <f t="shared" si="3"/>
        <v xml:space="preserve"> Quảng Ninh</v>
      </c>
      <c r="O61" t="str">
        <f>VLOOKUP(B61,ĐTBBLMBT!$B:$Q,16,0)</f>
        <v>Công ty Cổ phần và Xây dựng Quảng Ninh</v>
      </c>
    </row>
    <row r="62" spans="1:15" ht="20.100000000000001" customHeight="1">
      <c r="A62" s="926">
        <v>53</v>
      </c>
      <c r="B62" s="926" t="str">
        <f>VLOOKUP(A62,DT.NK!A:AZ,2,0)</f>
        <v>A144</v>
      </c>
      <c r="C62" s="926">
        <f>VLOOKUP(B62,ĐTBBLMBT!B:AJ,35,0)</f>
        <v>3</v>
      </c>
      <c r="D62" s="927">
        <f>VLOOKUP(B62,DT.NK!B:AZ,49,0)</f>
        <v>42682</v>
      </c>
      <c r="E62" s="927">
        <f t="shared" si="0"/>
        <v>42689</v>
      </c>
      <c r="F62" s="926"/>
      <c r="G62" s="927">
        <f t="shared" si="1"/>
        <v>42710</v>
      </c>
      <c r="H62" s="926"/>
      <c r="I62" s="924">
        <f>VLOOKUP(B62,DT.NK!B:AZ,51,0)</f>
        <v>32</v>
      </c>
      <c r="J62" s="926" t="str">
        <f t="shared" si="2"/>
        <v xml:space="preserve"> Quảng Ninh</v>
      </c>
      <c r="N62" t="str">
        <f t="shared" si="3"/>
        <v xml:space="preserve"> Quảng Ninh</v>
      </c>
      <c r="O62" t="str">
        <f>VLOOKUP(B62,ĐTBBLMBT!$B:$Q,16,0)</f>
        <v>Công ty Cổ phần và Xây dựng Quảng Ninh</v>
      </c>
    </row>
    <row r="63" spans="1:15" ht="20.100000000000001" customHeight="1">
      <c r="A63" s="926">
        <v>54</v>
      </c>
      <c r="B63" s="926" t="str">
        <f>VLOOKUP(A63,DT.NK!A:AZ,2,0)</f>
        <v>A30</v>
      </c>
      <c r="C63" s="926">
        <f>VLOOKUP(B63,ĐTBBLMBT!B:AJ,35,0)</f>
        <v>3</v>
      </c>
      <c r="D63" s="927">
        <f>VLOOKUP(B63,DT.NK!B:AZ,49,0)</f>
        <v>42682</v>
      </c>
      <c r="E63" s="927">
        <f t="shared" si="0"/>
        <v>42689</v>
      </c>
      <c r="F63" s="926"/>
      <c r="G63" s="927">
        <f t="shared" si="1"/>
        <v>42710</v>
      </c>
      <c r="H63" s="926"/>
      <c r="I63" s="924">
        <f>VLOOKUP(B63,DT.NK!B:AZ,51,0)</f>
        <v>44.5</v>
      </c>
      <c r="J63" s="926" t="str">
        <f t="shared" si="2"/>
        <v xml:space="preserve"> Quảng Ninh</v>
      </c>
      <c r="N63" t="str">
        <f t="shared" si="3"/>
        <v xml:space="preserve"> Quảng Ninh</v>
      </c>
      <c r="O63" t="str">
        <f>VLOOKUP(B63,ĐTBBLMBT!$B:$Q,16,0)</f>
        <v>Công ty Cổ phần và Xây dựng Quảng Ninh</v>
      </c>
    </row>
    <row r="64" spans="1:15" ht="20.100000000000001" customHeight="1">
      <c r="A64" s="926">
        <v>55</v>
      </c>
      <c r="B64" s="926" t="str">
        <f>VLOOKUP(A64,DT.NK!A:AZ,2,0)</f>
        <v>A5</v>
      </c>
      <c r="C64" s="926">
        <f>VLOOKUP(B64,ĐTBBLMBT!B:AJ,35,0)</f>
        <v>3</v>
      </c>
      <c r="D64" s="927">
        <f>VLOOKUP(B64,DT.NK!B:AZ,49,0)</f>
        <v>42682</v>
      </c>
      <c r="E64" s="927">
        <f t="shared" si="0"/>
        <v>42689</v>
      </c>
      <c r="F64" s="926"/>
      <c r="G64" s="927">
        <f t="shared" si="1"/>
        <v>42710</v>
      </c>
      <c r="H64" s="926"/>
      <c r="I64" s="924">
        <f>VLOOKUP(B64,DT.NK!B:AZ,51,0)</f>
        <v>25</v>
      </c>
      <c r="J64" s="926" t="str">
        <f t="shared" si="2"/>
        <v>dựng số 18.1</v>
      </c>
      <c r="N64" t="str">
        <f t="shared" si="3"/>
        <v>dựng số 18.1</v>
      </c>
      <c r="O64" t="str">
        <f>VLOOKUP(B64,ĐTBBLMBT!$B:$Q,16,0)</f>
        <v>Công ty Cổ phần Đầu tư và Xây dựng số 18.1</v>
      </c>
    </row>
    <row r="65" spans="1:15" ht="20.100000000000001" customHeight="1">
      <c r="A65" s="926">
        <v>56</v>
      </c>
      <c r="B65" s="926" t="str">
        <f>VLOOKUP(A65,DT.NK!A:AZ,2,0)</f>
        <v>B29</v>
      </c>
      <c r="C65" s="926">
        <f>VLOOKUP(B65,ĐTBBLMBT!B:AJ,35,0)</f>
        <v>2</v>
      </c>
      <c r="D65" s="927">
        <f>VLOOKUP(B65,DT.NK!B:AZ,49,0)</f>
        <v>42683</v>
      </c>
      <c r="E65" s="927">
        <f t="shared" si="0"/>
        <v>42690</v>
      </c>
      <c r="F65" s="926"/>
      <c r="G65" s="927">
        <f t="shared" si="1"/>
        <v>42711</v>
      </c>
      <c r="H65" s="926"/>
      <c r="I65" s="924">
        <f>VLOOKUP(B65,DT.NK!B:AZ,51,0)</f>
        <v>11.5</v>
      </c>
      <c r="J65" s="926" t="str">
        <f t="shared" si="2"/>
        <v>dựng số 18.1</v>
      </c>
      <c r="N65" t="str">
        <f t="shared" si="3"/>
        <v>dựng số 18.1</v>
      </c>
      <c r="O65" t="str">
        <f>VLOOKUP(B65,ĐTBBLMBT!$B:$Q,16,0)</f>
        <v>Công ty Cổ phần Đầu tư và Xây dựng số 18.1</v>
      </c>
    </row>
    <row r="66" spans="1:15" ht="20.100000000000001" customHeight="1">
      <c r="A66" s="926">
        <v>57</v>
      </c>
      <c r="B66" s="926" t="str">
        <f>VLOOKUP(A66,DT.NK!A:AZ,2,0)</f>
        <v>A156</v>
      </c>
      <c r="C66" s="926">
        <f>VLOOKUP(B66,ĐTBBLMBT!B:AJ,35,0)</f>
        <v>3</v>
      </c>
      <c r="D66" s="927">
        <f>VLOOKUP(B66,DT.NK!B:AZ,49,0)</f>
        <v>42683</v>
      </c>
      <c r="E66" s="927">
        <f t="shared" si="0"/>
        <v>42690</v>
      </c>
      <c r="F66" s="926"/>
      <c r="G66" s="927">
        <f t="shared" si="1"/>
        <v>42711</v>
      </c>
      <c r="H66" s="926"/>
      <c r="I66" s="924">
        <f>VLOOKUP(B66,DT.NK!B:AZ,51,0)</f>
        <v>26</v>
      </c>
      <c r="J66" s="926" t="str">
        <f t="shared" si="2"/>
        <v xml:space="preserve"> Quảng Ninh</v>
      </c>
      <c r="N66" t="str">
        <f t="shared" si="3"/>
        <v xml:space="preserve"> Quảng Ninh</v>
      </c>
      <c r="O66" t="str">
        <f>VLOOKUP(B66,ĐTBBLMBT!$B:$Q,16,0)</f>
        <v>Công ty Cổ phần và Xây dựng Quảng Ninh</v>
      </c>
    </row>
    <row r="67" spans="1:15" ht="20.100000000000001" customHeight="1">
      <c r="A67" s="926">
        <v>58</v>
      </c>
      <c r="B67" s="926" t="str">
        <f>VLOOKUP(A67,DT.NK!A:AZ,2,0)</f>
        <v>A28</v>
      </c>
      <c r="C67" s="926">
        <f>VLOOKUP(B67,ĐTBBLMBT!B:AJ,35,0)</f>
        <v>3</v>
      </c>
      <c r="D67" s="927">
        <f>VLOOKUP(B67,DT.NK!B:AZ,49,0)</f>
        <v>42684</v>
      </c>
      <c r="E67" s="927">
        <f t="shared" si="0"/>
        <v>42691</v>
      </c>
      <c r="F67" s="926"/>
      <c r="G67" s="927">
        <f t="shared" si="1"/>
        <v>42712</v>
      </c>
      <c r="H67" s="926"/>
      <c r="I67" s="924">
        <f>VLOOKUP(B67,DT.NK!B:AZ,51,0)</f>
        <v>23</v>
      </c>
      <c r="J67" s="926" t="str">
        <f t="shared" si="2"/>
        <v xml:space="preserve"> Quảng Ninh</v>
      </c>
      <c r="N67" t="str">
        <f t="shared" si="3"/>
        <v xml:space="preserve"> Quảng Ninh</v>
      </c>
      <c r="O67" t="str">
        <f>VLOOKUP(B67,ĐTBBLMBT!$B:$Q,16,0)</f>
        <v>Công ty Cổ phần và Xây dựng Quảng Ninh</v>
      </c>
    </row>
    <row r="68" spans="1:15" ht="20.100000000000001" customHeight="1">
      <c r="A68" s="926">
        <v>59</v>
      </c>
      <c r="B68" s="926" t="str">
        <f>VLOOKUP(A68,DT.NK!A:AZ,2,0)</f>
        <v>A145</v>
      </c>
      <c r="C68" s="926">
        <f>VLOOKUP(B68,ĐTBBLMBT!B:AJ,35,0)</f>
        <v>3</v>
      </c>
      <c r="D68" s="927">
        <f>VLOOKUP(B68,DT.NK!B:AZ,49,0)</f>
        <v>42684</v>
      </c>
      <c r="E68" s="927">
        <f t="shared" si="0"/>
        <v>42691</v>
      </c>
      <c r="F68" s="926"/>
      <c r="G68" s="927">
        <f t="shared" si="1"/>
        <v>42712</v>
      </c>
      <c r="H68" s="926"/>
      <c r="I68" s="924">
        <f>VLOOKUP(B68,DT.NK!B:AZ,51,0)</f>
        <v>29</v>
      </c>
      <c r="J68" s="926" t="str">
        <f t="shared" si="2"/>
        <v xml:space="preserve"> Quảng Ninh</v>
      </c>
      <c r="N68" t="str">
        <f t="shared" si="3"/>
        <v xml:space="preserve"> Quảng Ninh</v>
      </c>
      <c r="O68" t="str">
        <f>VLOOKUP(B68,ĐTBBLMBT!$B:$Q,16,0)</f>
        <v>Công ty Cổ phần và Xây dựng Quảng Ninh</v>
      </c>
    </row>
    <row r="69" spans="1:15" ht="20.100000000000001" customHeight="1">
      <c r="A69" s="926">
        <v>60</v>
      </c>
      <c r="B69" s="926" t="str">
        <f>VLOOKUP(A69,DT.NK!A:AZ,2,0)</f>
        <v>A31</v>
      </c>
      <c r="C69" s="926">
        <f>VLOOKUP(B69,ĐTBBLMBT!B:AJ,35,0)</f>
        <v>3</v>
      </c>
      <c r="D69" s="927">
        <f>VLOOKUP(B69,DT.NK!B:AZ,49,0)</f>
        <v>42684</v>
      </c>
      <c r="E69" s="927">
        <f t="shared" si="0"/>
        <v>42691</v>
      </c>
      <c r="F69" s="926"/>
      <c r="G69" s="927">
        <f t="shared" si="1"/>
        <v>42712</v>
      </c>
      <c r="H69" s="926"/>
      <c r="I69" s="924">
        <f>VLOOKUP(B69,DT.NK!B:AZ,51,0)</f>
        <v>44.5</v>
      </c>
      <c r="J69" s="926" t="str">
        <f t="shared" si="2"/>
        <v>Vượng Phát</v>
      </c>
      <c r="N69" t="str">
        <f t="shared" si="3"/>
        <v>Vượng Phát</v>
      </c>
      <c r="O69" t="str">
        <f>VLOOKUP(B69,ĐTBBLMBT!$B:$Q,16,0)</f>
        <v>Công ty TNHH đầu tư và phát triển KD Vượng Phát</v>
      </c>
    </row>
    <row r="70" spans="1:15" ht="20.100000000000001" customHeight="1">
      <c r="A70" s="926">
        <v>61</v>
      </c>
      <c r="B70" s="926" t="str">
        <f>VLOOKUP(A70,DT.NK!A:AZ,2,0)</f>
        <v>A6</v>
      </c>
      <c r="C70" s="926">
        <f>VLOOKUP(B70,ĐTBBLMBT!B:AJ,35,0)</f>
        <v>3</v>
      </c>
      <c r="D70" s="927">
        <f>VLOOKUP(B70,DT.NK!B:AZ,49,0)</f>
        <v>42685</v>
      </c>
      <c r="E70" s="927">
        <f t="shared" si="0"/>
        <v>42692</v>
      </c>
      <c r="F70" s="926"/>
      <c r="G70" s="927">
        <f t="shared" si="1"/>
        <v>42713</v>
      </c>
      <c r="H70" s="926"/>
      <c r="I70" s="924">
        <f>VLOOKUP(B70,DT.NK!B:AZ,51,0)</f>
        <v>24</v>
      </c>
      <c r="J70" s="926" t="str">
        <f t="shared" si="2"/>
        <v>Vượng Phát</v>
      </c>
      <c r="N70" t="str">
        <f t="shared" si="3"/>
        <v>Vượng Phát</v>
      </c>
      <c r="O70" t="str">
        <f>VLOOKUP(B70,ĐTBBLMBT!$B:$Q,16,0)</f>
        <v>Công ty TNHH đầu tư và phát triển KD Vượng Phát</v>
      </c>
    </row>
    <row r="71" spans="1:15" ht="20.100000000000001" customHeight="1">
      <c r="A71" s="926">
        <v>62</v>
      </c>
      <c r="B71" s="926" t="str">
        <f>VLOOKUP(A71,DT.NK!A:AZ,2,0)</f>
        <v>B27</v>
      </c>
      <c r="C71" s="926">
        <f>VLOOKUP(B71,ĐTBBLMBT!B:AJ,35,0)</f>
        <v>2</v>
      </c>
      <c r="D71" s="927">
        <f>VLOOKUP(B71,DT.NK!B:AZ,49,0)</f>
        <v>42685</v>
      </c>
      <c r="E71" s="927">
        <f t="shared" si="0"/>
        <v>42692</v>
      </c>
      <c r="F71" s="926"/>
      <c r="G71" s="927">
        <f t="shared" si="1"/>
        <v>42713</v>
      </c>
      <c r="H71" s="926"/>
      <c r="I71" s="924">
        <f>VLOOKUP(B71,DT.NK!B:AZ,51,0)</f>
        <v>12.5</v>
      </c>
      <c r="J71" s="926" t="str">
        <f t="shared" si="2"/>
        <v xml:space="preserve"> Quảng Ninh</v>
      </c>
      <c r="N71" t="str">
        <f t="shared" si="3"/>
        <v xml:space="preserve"> Quảng Ninh</v>
      </c>
      <c r="O71" t="str">
        <f>VLOOKUP(B71,ĐTBBLMBT!$B:$Q,16,0)</f>
        <v>Công ty Cổ phần và Xây dựng Quảng Ninh</v>
      </c>
    </row>
    <row r="72" spans="1:15" ht="20.100000000000001" customHeight="1">
      <c r="A72" s="926">
        <v>63</v>
      </c>
      <c r="B72" s="926" t="str">
        <f>VLOOKUP(A72,DT.NK!A:AZ,2,0)</f>
        <v>A122</v>
      </c>
      <c r="C72" s="926">
        <f>VLOOKUP(B72,ĐTBBLMBT!B:AJ,35,0)</f>
        <v>2</v>
      </c>
      <c r="D72" s="927">
        <f>VLOOKUP(B72,DT.NK!B:AZ,49,0)</f>
        <v>42686</v>
      </c>
      <c r="E72" s="927">
        <f t="shared" si="0"/>
        <v>42693</v>
      </c>
      <c r="F72" s="926"/>
      <c r="G72" s="927">
        <f t="shared" si="1"/>
        <v>42714</v>
      </c>
      <c r="H72" s="926"/>
      <c r="I72" s="924">
        <f>VLOOKUP(B72,DT.NK!B:AZ,51,0)</f>
        <v>21</v>
      </c>
      <c r="J72" s="926" t="str">
        <f t="shared" si="2"/>
        <v>Vượng Phát</v>
      </c>
      <c r="N72" t="str">
        <f t="shared" si="3"/>
        <v>Vượng Phát</v>
      </c>
      <c r="O72" t="str">
        <f>VLOOKUP(B72,ĐTBBLMBT!$B:$Q,16,0)</f>
        <v>Công ty TNHH đầu tư và phát triển KD Vượng Phát</v>
      </c>
    </row>
    <row r="73" spans="1:15" ht="20.100000000000001" customHeight="1">
      <c r="A73" s="926">
        <v>64</v>
      </c>
      <c r="B73" s="926" t="str">
        <f>VLOOKUP(A73,DT.NK!A:AZ,2,0)</f>
        <v>A8</v>
      </c>
      <c r="C73" s="926">
        <f>VLOOKUP(B73,ĐTBBLMBT!B:AJ,35,0)</f>
        <v>3</v>
      </c>
      <c r="D73" s="927">
        <f>VLOOKUP(B73,DT.NK!B:AZ,49,0)</f>
        <v>42686</v>
      </c>
      <c r="E73" s="927">
        <f t="shared" si="0"/>
        <v>42693</v>
      </c>
      <c r="F73" s="926"/>
      <c r="G73" s="927">
        <f t="shared" si="1"/>
        <v>42714</v>
      </c>
      <c r="H73" s="926"/>
      <c r="I73" s="924">
        <f>VLOOKUP(B73,DT.NK!B:AZ,51,0)</f>
        <v>23</v>
      </c>
      <c r="J73" s="926" t="str">
        <f t="shared" si="2"/>
        <v>Vượng Phát</v>
      </c>
      <c r="N73" t="str">
        <f t="shared" si="3"/>
        <v>Vượng Phát</v>
      </c>
      <c r="O73" t="str">
        <f>VLOOKUP(B73,ĐTBBLMBT!$B:$Q,16,0)</f>
        <v>Công ty TNHH đầu tư và phát triển KD Vượng Phát</v>
      </c>
    </row>
    <row r="74" spans="1:15" ht="20.100000000000001" customHeight="1">
      <c r="A74" s="926">
        <v>65</v>
      </c>
      <c r="B74" s="926" t="str">
        <f>VLOOKUP(A74,DT.NK!A:AZ,2,0)</f>
        <v>A146</v>
      </c>
      <c r="C74" s="926">
        <f>VLOOKUP(B74,ĐTBBLMBT!B:AJ,35,0)</f>
        <v>3</v>
      </c>
      <c r="D74" s="927">
        <f>VLOOKUP(B74,DT.NK!B:AZ,49,0)</f>
        <v>42686</v>
      </c>
      <c r="E74" s="927">
        <f t="shared" si="0"/>
        <v>42693</v>
      </c>
      <c r="F74" s="926"/>
      <c r="G74" s="927">
        <f t="shared" si="1"/>
        <v>42714</v>
      </c>
      <c r="H74" s="926"/>
      <c r="I74" s="924">
        <f>VLOOKUP(B74,DT.NK!B:AZ,51,0)</f>
        <v>31</v>
      </c>
      <c r="J74" s="926" t="str">
        <f t="shared" si="2"/>
        <v>Vượng Phát</v>
      </c>
      <c r="N74" t="str">
        <f t="shared" si="3"/>
        <v>Vượng Phát</v>
      </c>
      <c r="O74" t="str">
        <f>VLOOKUP(B74,ĐTBBLMBT!$B:$Q,16,0)</f>
        <v>Công ty TNHH đầu tư và phát triển KD Vượng Phát</v>
      </c>
    </row>
    <row r="75" spans="1:15" ht="20.100000000000001" customHeight="1">
      <c r="A75" s="926">
        <v>66</v>
      </c>
      <c r="B75" s="926" t="str">
        <f>VLOOKUP(A75,DT.NK!A:AZ,2,0)</f>
        <v>A124</v>
      </c>
      <c r="C75" s="926">
        <f>VLOOKUP(B75,ĐTBBLMBT!B:AJ,35,0)</f>
        <v>3</v>
      </c>
      <c r="D75" s="927">
        <f>VLOOKUP(B75,DT.NK!B:AZ,49,0)</f>
        <v>42687</v>
      </c>
      <c r="E75" s="927">
        <f t="shared" ref="E75:E95" si="4">D75+7</f>
        <v>42694</v>
      </c>
      <c r="F75" s="926"/>
      <c r="G75" s="927">
        <f t="shared" ref="G75:G94" si="5">D75+28</f>
        <v>42715</v>
      </c>
      <c r="H75" s="926"/>
      <c r="I75" s="924">
        <f>VLOOKUP(B75,DT.NK!B:AZ,51,0)</f>
        <v>21</v>
      </c>
      <c r="J75" s="926" t="str">
        <f t="shared" ref="J75:J95" si="6">N75</f>
        <v xml:space="preserve"> Quảng Ninh</v>
      </c>
      <c r="N75" t="str">
        <f t="shared" ref="N75:N138" si="7">RIGHT(O75,12)</f>
        <v xml:space="preserve"> Quảng Ninh</v>
      </c>
      <c r="O75" t="str">
        <f>VLOOKUP(B75,ĐTBBLMBT!$B:$Q,16,0)</f>
        <v>Công ty Cổ phần và Xây dựng Quảng Ninh</v>
      </c>
    </row>
    <row r="76" spans="1:15" ht="20.100000000000001" customHeight="1">
      <c r="A76" s="926">
        <v>67</v>
      </c>
      <c r="B76" s="926" t="str">
        <f>VLOOKUP(A76,DT.NK!A:AZ,2,0)</f>
        <v>A7</v>
      </c>
      <c r="C76" s="926">
        <f>VLOOKUP(B76,ĐTBBLMBT!B:AJ,35,0)</f>
        <v>3</v>
      </c>
      <c r="D76" s="927">
        <f>VLOOKUP(B76,DT.NK!B:AZ,49,0)</f>
        <v>42687</v>
      </c>
      <c r="E76" s="927">
        <f t="shared" si="4"/>
        <v>42694</v>
      </c>
      <c r="F76" s="926"/>
      <c r="G76" s="927">
        <f t="shared" si="5"/>
        <v>42715</v>
      </c>
      <c r="H76" s="926"/>
      <c r="I76" s="924">
        <f>VLOOKUP(B76,DT.NK!B:AZ,51,0)</f>
        <v>21</v>
      </c>
      <c r="J76" s="926" t="str">
        <f t="shared" si="6"/>
        <v xml:space="preserve"> Quảng Ninh</v>
      </c>
      <c r="N76" t="str">
        <f t="shared" si="7"/>
        <v xml:space="preserve"> Quảng Ninh</v>
      </c>
      <c r="O76" t="str">
        <f>VLOOKUP(B76,ĐTBBLMBT!$B:$Q,16,0)</f>
        <v>Công ty Cổ phần và Xây dựng Quảng Ninh</v>
      </c>
    </row>
    <row r="77" spans="1:15" ht="20.100000000000001" customHeight="1">
      <c r="A77" s="926">
        <v>68</v>
      </c>
      <c r="B77" s="926" t="str">
        <f>VLOOKUP(A77,DT.NK!A:AZ,2,0)</f>
        <v>A128</v>
      </c>
      <c r="C77" s="926">
        <f>VLOOKUP(B77,ĐTBBLMBT!B:AJ,35,0)</f>
        <v>2</v>
      </c>
      <c r="D77" s="927">
        <f>VLOOKUP(B77,DT.NK!B:AZ,49,0)</f>
        <v>42688</v>
      </c>
      <c r="E77" s="927">
        <f t="shared" si="4"/>
        <v>42695</v>
      </c>
      <c r="F77" s="926"/>
      <c r="G77" s="927">
        <f t="shared" si="5"/>
        <v>42716</v>
      </c>
      <c r="H77" s="926"/>
      <c r="I77" s="924">
        <f>VLOOKUP(B77,DT.NK!B:AZ,51,0)</f>
        <v>20</v>
      </c>
      <c r="J77" s="926" t="str">
        <f t="shared" si="6"/>
        <v xml:space="preserve"> Quảng Ninh</v>
      </c>
      <c r="N77" t="str">
        <f t="shared" si="7"/>
        <v xml:space="preserve"> Quảng Ninh</v>
      </c>
      <c r="O77" t="str">
        <f>VLOOKUP(B77,ĐTBBLMBT!$B:$Q,16,0)</f>
        <v>Công ty Cổ phần và Xây dựng Quảng Ninh</v>
      </c>
    </row>
    <row r="78" spans="1:15" ht="20.100000000000001" customHeight="1">
      <c r="A78" s="926">
        <v>69</v>
      </c>
      <c r="B78" s="926" t="str">
        <f>VLOOKUP(A78,DT.NK!A:AZ,2,0)</f>
        <v>A34</v>
      </c>
      <c r="C78" s="926">
        <f>VLOOKUP(B78,ĐTBBLMBT!B:AJ,35,0)</f>
        <v>4</v>
      </c>
      <c r="D78" s="927">
        <f>VLOOKUP(B78,DT.NK!B:AZ,49,0)</f>
        <v>42688</v>
      </c>
      <c r="E78" s="927">
        <f t="shared" si="4"/>
        <v>42695</v>
      </c>
      <c r="F78" s="926"/>
      <c r="G78" s="927">
        <f t="shared" si="5"/>
        <v>42716</v>
      </c>
      <c r="H78" s="926"/>
      <c r="I78" s="924">
        <f>VLOOKUP(B78,DT.NK!B:AZ,51,0)</f>
        <v>56</v>
      </c>
      <c r="J78" s="926" t="str">
        <f t="shared" si="6"/>
        <v xml:space="preserve"> Quảng Ninh</v>
      </c>
      <c r="N78" t="str">
        <f t="shared" si="7"/>
        <v xml:space="preserve"> Quảng Ninh</v>
      </c>
      <c r="O78" t="str">
        <f>VLOOKUP(B78,ĐTBBLMBT!$B:$Q,16,0)</f>
        <v>Công ty Cổ phần và Xây dựng Quảng Ninh</v>
      </c>
    </row>
    <row r="79" spans="1:15" ht="20.100000000000001" customHeight="1">
      <c r="A79" s="926">
        <v>70</v>
      </c>
      <c r="B79" s="926" t="str">
        <f>VLOOKUP(A79,DT.NK!A:AZ,2,0)</f>
        <v>A125</v>
      </c>
      <c r="C79" s="926">
        <f>VLOOKUP(B79,ĐTBBLMBT!B:AJ,35,0)</f>
        <v>2</v>
      </c>
      <c r="D79" s="927">
        <f>VLOOKUP(B79,DT.NK!B:AZ,49,0)</f>
        <v>42688</v>
      </c>
      <c r="E79" s="927">
        <f t="shared" si="4"/>
        <v>42695</v>
      </c>
      <c r="F79" s="926"/>
      <c r="G79" s="927">
        <f t="shared" si="5"/>
        <v>42716</v>
      </c>
      <c r="H79" s="926"/>
      <c r="I79" s="924">
        <f>VLOOKUP(B79,DT.NK!B:AZ,51,0)</f>
        <v>20</v>
      </c>
      <c r="J79" s="926" t="str">
        <f t="shared" si="6"/>
        <v xml:space="preserve"> Quảng Ninh</v>
      </c>
      <c r="N79" t="str">
        <f t="shared" si="7"/>
        <v xml:space="preserve"> Quảng Ninh</v>
      </c>
      <c r="O79" t="str">
        <f>VLOOKUP(B79,ĐTBBLMBT!$B:$Q,16,0)</f>
        <v>Công ty Cổ phần và Xây dựng Quảng Ninh</v>
      </c>
    </row>
    <row r="80" spans="1:15" ht="20.100000000000001" customHeight="1">
      <c r="A80" s="926">
        <v>71</v>
      </c>
      <c r="B80" s="926" t="str">
        <f>VLOOKUP(A80,DT.NK!A:AZ,2,0)</f>
        <v>A148</v>
      </c>
      <c r="C80" s="926">
        <f>VLOOKUP(B80,ĐTBBLMBT!B:AJ,35,0)</f>
        <v>3</v>
      </c>
      <c r="D80" s="927">
        <f>VLOOKUP(B80,DT.NK!B:AZ,49,0)</f>
        <v>42689</v>
      </c>
      <c r="E80" s="927">
        <f t="shared" si="4"/>
        <v>42696</v>
      </c>
      <c r="F80" s="926"/>
      <c r="G80" s="927">
        <f t="shared" si="5"/>
        <v>42717</v>
      </c>
      <c r="H80" s="926"/>
      <c r="I80" s="924">
        <f>VLOOKUP(B80,DT.NK!B:AZ,51,0)</f>
        <v>31</v>
      </c>
      <c r="J80" s="926" t="str">
        <f t="shared" si="6"/>
        <v xml:space="preserve"> Quảng Ninh</v>
      </c>
      <c r="N80" t="str">
        <f t="shared" si="7"/>
        <v xml:space="preserve"> Quảng Ninh</v>
      </c>
      <c r="O80" t="str">
        <f>VLOOKUP(B80,ĐTBBLMBT!$B:$Q,16,0)</f>
        <v>Công ty Cổ phần và Xây dựng Quảng Ninh</v>
      </c>
    </row>
    <row r="81" spans="1:15" ht="20.100000000000001" customHeight="1">
      <c r="A81" s="926">
        <v>72</v>
      </c>
      <c r="B81" s="926" t="str">
        <f>VLOOKUP(A81,DT.NK!A:AZ,2,0)</f>
        <v>A127</v>
      </c>
      <c r="C81" s="926">
        <f>VLOOKUP(B81,ĐTBBLMBT!B:AJ,35,0)</f>
        <v>3</v>
      </c>
      <c r="D81" s="927">
        <f>VLOOKUP(B81,DT.NK!B:AZ,49,0)</f>
        <v>42689</v>
      </c>
      <c r="E81" s="927">
        <f t="shared" si="4"/>
        <v>42696</v>
      </c>
      <c r="F81" s="926"/>
      <c r="G81" s="927">
        <f t="shared" si="5"/>
        <v>42717</v>
      </c>
      <c r="H81" s="926"/>
      <c r="I81" s="924">
        <f>VLOOKUP(B81,DT.NK!B:AZ,51,0)</f>
        <v>28</v>
      </c>
      <c r="J81" s="926" t="str">
        <f t="shared" si="6"/>
        <v xml:space="preserve"> Quảng Ninh</v>
      </c>
      <c r="N81" t="str">
        <f t="shared" si="7"/>
        <v xml:space="preserve"> Quảng Ninh</v>
      </c>
      <c r="O81" t="str">
        <f>VLOOKUP(B81,ĐTBBLMBT!$B:$Q,16,0)</f>
        <v>Công ty Cổ phần và Xây dựng Quảng Ninh</v>
      </c>
    </row>
    <row r="82" spans="1:15" ht="20.100000000000001" customHeight="1">
      <c r="A82" s="926">
        <v>73</v>
      </c>
      <c r="B82" s="926" t="str">
        <f>VLOOKUP(A82,DT.NK!A:AZ,2,0)</f>
        <v>A32</v>
      </c>
      <c r="C82" s="926">
        <f>VLOOKUP(B82,ĐTBBLMBT!B:AJ,35,0)</f>
        <v>3</v>
      </c>
      <c r="D82" s="927">
        <f>VLOOKUP(B82,DT.NK!B:AZ,49,0)</f>
        <v>42690</v>
      </c>
      <c r="E82" s="927">
        <f t="shared" si="4"/>
        <v>42697</v>
      </c>
      <c r="F82" s="926"/>
      <c r="G82" s="927">
        <f t="shared" si="5"/>
        <v>42718</v>
      </c>
      <c r="H82" s="926"/>
      <c r="I82" s="924">
        <f>VLOOKUP(B82,DT.NK!B:AZ,51,0)</f>
        <v>38</v>
      </c>
      <c r="J82" s="926" t="str">
        <f t="shared" si="6"/>
        <v>Vượng Phát</v>
      </c>
      <c r="N82" t="str">
        <f t="shared" si="7"/>
        <v>Vượng Phát</v>
      </c>
      <c r="O82" t="str">
        <f>VLOOKUP(B82,ĐTBBLMBT!$B:$Q,16,0)</f>
        <v>Công ty TNHH đầu tư và phát triển KD Vượng Phát</v>
      </c>
    </row>
    <row r="83" spans="1:15" s="878" customFormat="1" ht="20.100000000000001" customHeight="1">
      <c r="A83" s="928">
        <v>74</v>
      </c>
      <c r="B83" s="928" t="str">
        <f>VLOOKUP(A83,DT.NK!A:AZ,2,0)</f>
        <v>A123</v>
      </c>
      <c r="C83" s="928">
        <f>VLOOKUP(B83,ĐTBBLMBT!B:AJ,35,0)</f>
        <v>3</v>
      </c>
      <c r="D83" s="929">
        <f>VLOOKUP(B83,DT.NK!B:AZ,49,0)</f>
        <v>42690</v>
      </c>
      <c r="E83" s="929">
        <f t="shared" si="4"/>
        <v>42697</v>
      </c>
      <c r="F83" s="928"/>
      <c r="G83" s="929">
        <f t="shared" si="5"/>
        <v>42718</v>
      </c>
      <c r="H83" s="928"/>
      <c r="I83" s="924">
        <f>VLOOKUP(B83,DT.NK!B:AZ,51,0)</f>
        <v>24</v>
      </c>
      <c r="J83" s="928" t="str">
        <f t="shared" si="6"/>
        <v>Vượng Phát</v>
      </c>
      <c r="N83" s="878" t="str">
        <f t="shared" si="7"/>
        <v>Vượng Phát</v>
      </c>
      <c r="O83" s="878" t="str">
        <f>VLOOKUP(B83,ĐTBBLMBT!$B:$Q,16,0)</f>
        <v>Công ty TNHH đầu tư và phát triển KD Vượng Phát</v>
      </c>
    </row>
    <row r="84" spans="1:15" ht="20.100000000000001" customHeight="1">
      <c r="A84" s="926">
        <v>75</v>
      </c>
      <c r="B84" s="926" t="str">
        <f>VLOOKUP(A84,DT.NK!A:AZ,2,0)</f>
        <v>A35</v>
      </c>
      <c r="C84" s="926">
        <f>VLOOKUP(B84,ĐTBBLMBT!B:AJ,35,0)</f>
        <v>2</v>
      </c>
      <c r="D84" s="927">
        <f>VLOOKUP(B84,DT.NK!B:AZ,49,0)</f>
        <v>42690</v>
      </c>
      <c r="E84" s="927">
        <f t="shared" si="4"/>
        <v>42697</v>
      </c>
      <c r="F84" s="926" t="s">
        <v>188</v>
      </c>
      <c r="G84" s="927">
        <f t="shared" si="5"/>
        <v>42718</v>
      </c>
      <c r="H84" s="926" t="s">
        <v>188</v>
      </c>
      <c r="I84" s="924">
        <f>VLOOKUP(B84,DT.NK!B:AZ,51,0)</f>
        <v>20</v>
      </c>
      <c r="J84" s="926" t="str">
        <f t="shared" si="6"/>
        <v>Vượng Phát</v>
      </c>
      <c r="N84" t="str">
        <f t="shared" si="7"/>
        <v>Vượng Phát</v>
      </c>
      <c r="O84" t="str">
        <f>VLOOKUP(B84,ĐTBBLMBT!$B:$Q,16,0)</f>
        <v>Công ty TNHH đầu tư và phát triển KD Vượng Phát</v>
      </c>
    </row>
    <row r="85" spans="1:15" ht="20.100000000000001" customHeight="1">
      <c r="A85" s="926">
        <v>76</v>
      </c>
      <c r="B85" s="926" t="str">
        <f>VLOOKUP(A85,DT.NK!A:AZ,2,0)</f>
        <v>A147</v>
      </c>
      <c r="C85" s="926">
        <f>VLOOKUP(B85,ĐTBBLMBT!B:AJ,35,0)</f>
        <v>3</v>
      </c>
      <c r="D85" s="927">
        <f>VLOOKUP(B85,DT.NK!B:AZ,49,0)</f>
        <v>42691</v>
      </c>
      <c r="E85" s="927">
        <f t="shared" si="4"/>
        <v>42698</v>
      </c>
      <c r="F85" s="926" t="s">
        <v>188</v>
      </c>
      <c r="G85" s="927">
        <f t="shared" si="5"/>
        <v>42719</v>
      </c>
      <c r="H85" s="926" t="s">
        <v>188</v>
      </c>
      <c r="I85" s="924">
        <f>VLOOKUP(B85,DT.NK!B:AZ,51,0)</f>
        <v>36</v>
      </c>
      <c r="J85" s="926" t="str">
        <f t="shared" si="6"/>
        <v>Vượng Phát</v>
      </c>
      <c r="N85" t="str">
        <f t="shared" si="7"/>
        <v>Vượng Phát</v>
      </c>
      <c r="O85" t="str">
        <f>VLOOKUP(B85,ĐTBBLMBT!$B:$Q,16,0)</f>
        <v>Công ty TNHH đầu tư và phát triển KD Vượng Phát</v>
      </c>
    </row>
    <row r="86" spans="1:15" ht="20.100000000000001" customHeight="1">
      <c r="A86" s="926">
        <v>77</v>
      </c>
      <c r="B86" s="926" t="str">
        <f>VLOOKUP(A86,DT.NK!A:AZ,2,0)</f>
        <v>A36</v>
      </c>
      <c r="C86" s="926">
        <f>VLOOKUP(B86,ĐTBBLMBT!B:AJ,35,0)</f>
        <v>2</v>
      </c>
      <c r="D86" s="927">
        <f>VLOOKUP(B86,DT.NK!B:AZ,49,0)</f>
        <v>42691</v>
      </c>
      <c r="E86" s="927">
        <f t="shared" si="4"/>
        <v>42698</v>
      </c>
      <c r="F86" s="926" t="s">
        <v>188</v>
      </c>
      <c r="G86" s="927">
        <f t="shared" si="5"/>
        <v>42719</v>
      </c>
      <c r="H86" s="926" t="s">
        <v>188</v>
      </c>
      <c r="I86" s="924">
        <f>VLOOKUP(B86,DT.NK!B:AZ,51,0)</f>
        <v>22</v>
      </c>
      <c r="J86" s="926" t="str">
        <f t="shared" si="6"/>
        <v>Vượng Phát</v>
      </c>
      <c r="N86" t="str">
        <f t="shared" si="7"/>
        <v>Vượng Phát</v>
      </c>
      <c r="O86" t="str">
        <f>VLOOKUP(B86,ĐTBBLMBT!$B:$Q,16,0)</f>
        <v>Công ty TNHH đầu tư và phát triển KD Vượng Phát</v>
      </c>
    </row>
    <row r="87" spans="1:15" ht="20.100000000000001" customHeight="1">
      <c r="A87" s="926">
        <v>78</v>
      </c>
      <c r="B87" s="926" t="str">
        <f>VLOOKUP(A87,DT.NK!A:AZ,2,0)</f>
        <v>A45</v>
      </c>
      <c r="C87" s="926">
        <f>VLOOKUP(B87,ĐTBBLMBT!B:AJ,35,0)</f>
        <v>3</v>
      </c>
      <c r="D87" s="927">
        <f>VLOOKUP(B87,DT.NK!B:AZ,49,0)</f>
        <v>42692</v>
      </c>
      <c r="E87" s="927">
        <f t="shared" si="4"/>
        <v>42699</v>
      </c>
      <c r="F87" s="926" t="s">
        <v>188</v>
      </c>
      <c r="G87" s="927">
        <f t="shared" si="5"/>
        <v>42720</v>
      </c>
      <c r="H87" s="926" t="s">
        <v>188</v>
      </c>
      <c r="I87" s="924">
        <f>VLOOKUP(B87,DT.NK!B:AZ,51,0)</f>
        <v>22</v>
      </c>
      <c r="J87" s="926" t="str">
        <f t="shared" si="6"/>
        <v>Vượng Phát</v>
      </c>
      <c r="N87" t="str">
        <f t="shared" si="7"/>
        <v>Vượng Phát</v>
      </c>
      <c r="O87" t="str">
        <f>VLOOKUP(B87,ĐTBBLMBT!$B:$Q,16,0)</f>
        <v>Công ty TNHH đầu tư và phát triển KD Vượng Phát</v>
      </c>
    </row>
    <row r="88" spans="1:15" ht="20.100000000000001" customHeight="1">
      <c r="A88" s="926">
        <v>79</v>
      </c>
      <c r="B88" s="926" t="str">
        <f>VLOOKUP(A88,DT.NK!A:AZ,2,0)</f>
        <v>A37</v>
      </c>
      <c r="C88" s="926">
        <f>VLOOKUP(B88,ĐTBBLMBT!B:AJ,35,0)</f>
        <v>3</v>
      </c>
      <c r="D88" s="927">
        <f>VLOOKUP(B88,DT.NK!B:AZ,49,0)</f>
        <v>42692</v>
      </c>
      <c r="E88" s="927">
        <f t="shared" si="4"/>
        <v>42699</v>
      </c>
      <c r="F88" s="926" t="s">
        <v>188</v>
      </c>
      <c r="G88" s="927">
        <f t="shared" si="5"/>
        <v>42720</v>
      </c>
      <c r="H88" s="926" t="s">
        <v>188</v>
      </c>
      <c r="I88" s="924">
        <f>VLOOKUP(B88,DT.NK!B:AZ,51,0)</f>
        <v>23</v>
      </c>
      <c r="J88" s="926" t="str">
        <f t="shared" si="6"/>
        <v>Vượng Phát</v>
      </c>
      <c r="N88" t="str">
        <f t="shared" si="7"/>
        <v>Vượng Phát</v>
      </c>
      <c r="O88" t="str">
        <f>VLOOKUP(B88,ĐTBBLMBT!$B:$Q,16,0)</f>
        <v>Công ty TNHH đầu tư và phát triển KD Vượng Phát</v>
      </c>
    </row>
    <row r="89" spans="1:15" ht="20.100000000000001" customHeight="1">
      <c r="A89" s="926">
        <v>80</v>
      </c>
      <c r="B89" s="926" t="str">
        <f>VLOOKUP(A89,DT.NK!A:AZ,2,0)</f>
        <v>A10</v>
      </c>
      <c r="C89" s="926">
        <f>VLOOKUP(B89,ĐTBBLMBT!B:AJ,35,0)</f>
        <v>2</v>
      </c>
      <c r="D89" s="927">
        <f>VLOOKUP(B89,DT.NK!B:AZ,49,0)</f>
        <v>42692</v>
      </c>
      <c r="E89" s="927">
        <f t="shared" si="4"/>
        <v>42699</v>
      </c>
      <c r="F89" s="926" t="s">
        <v>188</v>
      </c>
      <c r="G89" s="927">
        <f t="shared" si="5"/>
        <v>42720</v>
      </c>
      <c r="H89" s="926" t="s">
        <v>188</v>
      </c>
      <c r="I89" s="924">
        <f>VLOOKUP(B89,DT.NK!B:AZ,51,0)</f>
        <v>21</v>
      </c>
      <c r="J89" s="926" t="str">
        <f t="shared" si="6"/>
        <v>Vượng Phát</v>
      </c>
      <c r="N89" t="str">
        <f t="shared" si="7"/>
        <v>Vượng Phát</v>
      </c>
      <c r="O89" t="str">
        <f>VLOOKUP(B89,ĐTBBLMBT!$B:$Q,16,0)</f>
        <v>Công ty TNHH đầu tư và phát triển KD Vượng Phát</v>
      </c>
    </row>
    <row r="90" spans="1:15" ht="20.100000000000001" customHeight="1">
      <c r="A90" s="926">
        <v>81</v>
      </c>
      <c r="B90" s="926" t="str">
        <f>VLOOKUP(A90,DT.NK!A:AZ,2,0)</f>
        <v>A149</v>
      </c>
      <c r="C90" s="926">
        <f>VLOOKUP(B90,ĐTBBLMBT!B:AJ,35,0)</f>
        <v>3</v>
      </c>
      <c r="D90" s="927">
        <f>VLOOKUP(B90,DT.NK!B:AZ,49,0)</f>
        <v>42693</v>
      </c>
      <c r="E90" s="927">
        <f t="shared" si="4"/>
        <v>42700</v>
      </c>
      <c r="F90" s="926" t="s">
        <v>188</v>
      </c>
      <c r="G90" s="927">
        <f t="shared" si="5"/>
        <v>42721</v>
      </c>
      <c r="H90" s="926" t="s">
        <v>188</v>
      </c>
      <c r="I90" s="924">
        <f>VLOOKUP(B90,DT.NK!B:AZ,51,0)</f>
        <v>32</v>
      </c>
      <c r="J90" s="926" t="str">
        <f t="shared" si="6"/>
        <v>Vượng Phát</v>
      </c>
      <c r="N90" t="str">
        <f t="shared" si="7"/>
        <v>Vượng Phát</v>
      </c>
      <c r="O90" t="str">
        <f>VLOOKUP(B90,ĐTBBLMBT!$B:$Q,16,0)</f>
        <v>Công ty TNHH đầu tư và phát triển KD Vượng Phát</v>
      </c>
    </row>
    <row r="91" spans="1:15" ht="20.100000000000001" customHeight="1">
      <c r="A91" s="926">
        <v>82</v>
      </c>
      <c r="B91" s="926" t="str">
        <f>VLOOKUP(A91,DT.NK!A:AZ,2,0)</f>
        <v>A44</v>
      </c>
      <c r="C91" s="926">
        <f>VLOOKUP(B91,ĐTBBLMBT!B:AJ,35,0)</f>
        <v>2</v>
      </c>
      <c r="D91" s="927">
        <f>VLOOKUP(B91,DT.NK!B:AZ,49,0)</f>
        <v>42693</v>
      </c>
      <c r="E91" s="927">
        <f t="shared" si="4"/>
        <v>42700</v>
      </c>
      <c r="F91" s="926" t="s">
        <v>188</v>
      </c>
      <c r="G91" s="927">
        <f t="shared" si="5"/>
        <v>42721</v>
      </c>
      <c r="H91" s="926" t="s">
        <v>188</v>
      </c>
      <c r="I91" s="924">
        <f>VLOOKUP(B91,DT.NK!B:AZ,51,0)</f>
        <v>21</v>
      </c>
      <c r="J91" s="926" t="str">
        <f t="shared" si="6"/>
        <v>Vượng Phát</v>
      </c>
      <c r="N91" t="str">
        <f t="shared" si="7"/>
        <v>Vượng Phát</v>
      </c>
      <c r="O91" t="str">
        <f>VLOOKUP(B91,ĐTBBLMBT!$B:$Q,16,0)</f>
        <v>Công ty TNHH đầu tư và phát triển KD Vượng Phát</v>
      </c>
    </row>
    <row r="92" spans="1:15" ht="20.100000000000001" customHeight="1">
      <c r="A92" s="926">
        <v>83</v>
      </c>
      <c r="B92" s="926" t="str">
        <f>VLOOKUP(A92,DT.NK!A:AZ,2,0)</f>
        <v>A40</v>
      </c>
      <c r="C92" s="926">
        <f>VLOOKUP(B92,ĐTBBLMBT!B:AJ,35,0)</f>
        <v>3</v>
      </c>
      <c r="D92" s="927">
        <f>VLOOKUP(B92,DT.NK!B:AZ,49,0)</f>
        <v>42694</v>
      </c>
      <c r="E92" s="927">
        <f t="shared" si="4"/>
        <v>42701</v>
      </c>
      <c r="F92" s="926" t="s">
        <v>188</v>
      </c>
      <c r="G92" s="927">
        <f t="shared" si="5"/>
        <v>42722</v>
      </c>
      <c r="H92" s="926" t="s">
        <v>188</v>
      </c>
      <c r="I92" s="924">
        <f>VLOOKUP(B92,DT.NK!B:AZ,51,0)</f>
        <v>47</v>
      </c>
      <c r="J92" s="926" t="str">
        <f t="shared" si="6"/>
        <v>Vượng Phát</v>
      </c>
      <c r="N92" t="str">
        <f t="shared" si="7"/>
        <v>Vượng Phát</v>
      </c>
      <c r="O92" t="str">
        <f>VLOOKUP(B92,ĐTBBLMBT!$B:$Q,16,0)</f>
        <v>Công ty TNHH đầu tư và phát triển KD Vượng Phát</v>
      </c>
    </row>
    <row r="93" spans="1:15" ht="20.100000000000001" customHeight="1">
      <c r="A93" s="926">
        <v>84</v>
      </c>
      <c r="B93" s="926" t="str">
        <f>VLOOKUP(A93,DT.NK!A:AZ,2,0)</f>
        <v>A38</v>
      </c>
      <c r="C93" s="926">
        <f>VLOOKUP(B93,ĐTBBLMBT!B:AJ,35,0)</f>
        <v>2</v>
      </c>
      <c r="D93" s="927">
        <f>VLOOKUP(B93,DT.NK!B:AZ,49,0)</f>
        <v>42695</v>
      </c>
      <c r="E93" s="927">
        <f t="shared" si="4"/>
        <v>42702</v>
      </c>
      <c r="F93" s="926" t="s">
        <v>188</v>
      </c>
      <c r="G93" s="927">
        <f t="shared" si="5"/>
        <v>42723</v>
      </c>
      <c r="H93" s="926" t="s">
        <v>188</v>
      </c>
      <c r="I93" s="924">
        <f>VLOOKUP(B93,DT.NK!B:AZ,51,0)</f>
        <v>19</v>
      </c>
      <c r="J93" s="926" t="str">
        <f t="shared" si="6"/>
        <v>Vượng Phát</v>
      </c>
      <c r="N93" t="str">
        <f t="shared" si="7"/>
        <v>Vượng Phát</v>
      </c>
      <c r="O93" t="str">
        <f>VLOOKUP(B93,ĐTBBLMBT!$B:$Q,16,0)</f>
        <v>Công ty TNHH đầu tư và phát triển KD Vượng Phát</v>
      </c>
    </row>
    <row r="94" spans="1:15" ht="20.100000000000001" customHeight="1">
      <c r="A94" s="926">
        <v>85</v>
      </c>
      <c r="B94" s="926" t="str">
        <f>VLOOKUP(A94,DT.NK!A:AZ,2,0)</f>
        <v>A153</v>
      </c>
      <c r="C94" s="926">
        <f>VLOOKUP(B94,ĐTBBLMBT!B:AJ,35,0)</f>
        <v>3</v>
      </c>
      <c r="D94" s="927">
        <f>VLOOKUP(B94,DT.NK!B:AZ,49,0)</f>
        <v>42694</v>
      </c>
      <c r="E94" s="927">
        <f t="shared" si="4"/>
        <v>42701</v>
      </c>
      <c r="F94" s="926" t="s">
        <v>188</v>
      </c>
      <c r="G94" s="927">
        <f t="shared" si="5"/>
        <v>42722</v>
      </c>
      <c r="H94" s="926" t="s">
        <v>188</v>
      </c>
      <c r="I94" s="924">
        <f>VLOOKUP(B94,DT.NK!B:AZ,51,0)</f>
        <v>44</v>
      </c>
      <c r="J94" s="926" t="str">
        <f t="shared" si="6"/>
        <v>Vượng Phát</v>
      </c>
      <c r="N94" t="str">
        <f t="shared" si="7"/>
        <v>Vượng Phát</v>
      </c>
      <c r="O94" t="str">
        <f>VLOOKUP(B94,ĐTBBLMBT!$B:$Q,16,0)</f>
        <v>Công ty TNHH đầu tư và phát triển KD Vượng Phát</v>
      </c>
    </row>
    <row r="95" spans="1:15" ht="20.100000000000001" customHeight="1">
      <c r="A95" s="926">
        <v>86</v>
      </c>
      <c r="B95" s="926" t="str">
        <f>VLOOKUP(A95,DT.NK!A:AZ,2,0)</f>
        <v>A52</v>
      </c>
      <c r="C95" s="926">
        <f>VLOOKUP(B95,ĐTBBLMBT!B:AJ,35,0)</f>
        <v>3</v>
      </c>
      <c r="D95" s="927">
        <f>VLOOKUP(B95,DT.NK!B:AZ,49,0)</f>
        <v>42695</v>
      </c>
      <c r="E95" s="927">
        <f t="shared" si="4"/>
        <v>42702</v>
      </c>
      <c r="F95" s="926" t="s">
        <v>188</v>
      </c>
      <c r="G95" s="927">
        <f t="shared" ref="G95:G100" si="8">D95+28</f>
        <v>42723</v>
      </c>
      <c r="H95" s="926" t="s">
        <v>188</v>
      </c>
      <c r="I95" s="924">
        <f>VLOOKUP(B95,DT.NK!B:AZ,51,0)</f>
        <v>21.5</v>
      </c>
      <c r="J95" s="926" t="str">
        <f t="shared" si="6"/>
        <v>Vượng Phát</v>
      </c>
      <c r="N95" t="str">
        <f t="shared" si="7"/>
        <v>Vượng Phát</v>
      </c>
      <c r="O95" t="str">
        <f>VLOOKUP(B95,ĐTBBLMBT!$B:$Q,16,0)</f>
        <v>Công ty TNHH đầu tư và phát triển KD Vượng Phát</v>
      </c>
    </row>
    <row r="96" spans="1:15" ht="20.100000000000001" customHeight="1">
      <c r="A96" s="926">
        <v>87</v>
      </c>
      <c r="B96" s="926" t="str">
        <f>VLOOKUP(A96,DT.NK!A:AZ,2,0)</f>
        <v>A150</v>
      </c>
      <c r="C96" s="926">
        <f>VLOOKUP(B96,ĐTBBLMBT!B:AJ,35,0)</f>
        <v>3</v>
      </c>
      <c r="D96" s="927">
        <f>VLOOKUP(B96,DT.NK!B:AZ,49,0)</f>
        <v>42696</v>
      </c>
      <c r="E96" s="927">
        <f>D96+7</f>
        <v>42703</v>
      </c>
      <c r="F96" s="926" t="s">
        <v>188</v>
      </c>
      <c r="G96" s="927">
        <f t="shared" si="8"/>
        <v>42724</v>
      </c>
      <c r="H96" s="926" t="s">
        <v>188</v>
      </c>
      <c r="I96" s="924">
        <f>VLOOKUP(B96,DT.NK!B:AZ,51,0)</f>
        <v>33.5</v>
      </c>
      <c r="J96" s="926" t="str">
        <f>N96</f>
        <v>Vượng Phát</v>
      </c>
      <c r="N96" t="str">
        <f t="shared" si="7"/>
        <v>Vượng Phát</v>
      </c>
      <c r="O96" t="str">
        <f>VLOOKUP(B96,ĐTBBLMBT!$B:$Q,16,0)</f>
        <v>Công ty TNHH đầu tư và phát triển KD Vượng Phát</v>
      </c>
    </row>
    <row r="97" spans="1:15" s="878" customFormat="1" ht="20.100000000000001" customHeight="1">
      <c r="A97" s="928">
        <v>88</v>
      </c>
      <c r="B97" s="928" t="str">
        <f>VLOOKUP(A97,DT.NK!A:AZ,2,0)</f>
        <v>A62</v>
      </c>
      <c r="C97" s="928">
        <f>VLOOKUP(B97,ĐTBBLMBT!B:AJ,35,0)</f>
        <v>2</v>
      </c>
      <c r="D97" s="929">
        <f>VLOOKUP(B97,DT.NK!B:AZ,49,0)</f>
        <v>42697</v>
      </c>
      <c r="E97" s="929">
        <f t="shared" ref="E97:E106" si="9">D97+7</f>
        <v>42704</v>
      </c>
      <c r="F97" s="926" t="s">
        <v>188</v>
      </c>
      <c r="G97" s="929">
        <f t="shared" si="8"/>
        <v>42725</v>
      </c>
      <c r="H97" s="926" t="s">
        <v>188</v>
      </c>
      <c r="I97" s="980">
        <f>VLOOKUP(B97,DT.NK!B:AZ,51,0)</f>
        <v>20</v>
      </c>
      <c r="J97" s="928" t="str">
        <f>N97</f>
        <v>Vượng Phát</v>
      </c>
      <c r="L97" s="878">
        <v>1</v>
      </c>
      <c r="N97" s="878" t="str">
        <f t="shared" si="7"/>
        <v>Vượng Phát</v>
      </c>
      <c r="O97" s="878" t="str">
        <f>VLOOKUP(B97,ĐTBBLMBT!$B:$Q,16,0)</f>
        <v>Công ty TNHH đầu tư và phát triển KD Vượng Phát</v>
      </c>
    </row>
    <row r="98" spans="1:15" ht="20.100000000000001" customHeight="1">
      <c r="A98" s="926">
        <v>89</v>
      </c>
      <c r="B98" s="926" t="str">
        <f>VLOOKUP(A98,DT.NK!A:AZ,2,0)</f>
        <v>A41</v>
      </c>
      <c r="C98" s="926">
        <f>VLOOKUP(B98,ĐTBBLMBT!B:AJ,35,0)</f>
        <v>3</v>
      </c>
      <c r="D98" s="927">
        <f>VLOOKUP(B98,DT.NK!B:AZ,49,0)</f>
        <v>42696</v>
      </c>
      <c r="E98" s="927">
        <f t="shared" si="9"/>
        <v>42703</v>
      </c>
      <c r="F98" s="926" t="s">
        <v>188</v>
      </c>
      <c r="G98" s="927">
        <f t="shared" si="8"/>
        <v>42724</v>
      </c>
      <c r="H98" s="926" t="s">
        <v>188</v>
      </c>
      <c r="I98" s="924">
        <f>VLOOKUP(B98,DT.NK!B:AZ,51,0)</f>
        <v>32</v>
      </c>
      <c r="J98" s="926" t="str">
        <f>N98</f>
        <v>Vượng Phát</v>
      </c>
      <c r="L98" s="878">
        <v>2</v>
      </c>
      <c r="N98" t="str">
        <f t="shared" si="7"/>
        <v>Vượng Phát</v>
      </c>
      <c r="O98" t="str">
        <f>VLOOKUP(B98,ĐTBBLMBT!$B:$Q,16,0)</f>
        <v>Công ty TNHH đầu tư và phát triển KD Vượng Phát</v>
      </c>
    </row>
    <row r="99" spans="1:15" ht="20.100000000000001" customHeight="1">
      <c r="A99" s="926">
        <v>90</v>
      </c>
      <c r="B99" s="926" t="str">
        <f>VLOOKUP(A99,DT.NK!A:AZ,2,0)</f>
        <v>A61</v>
      </c>
      <c r="C99" s="926">
        <f>VLOOKUP(B99,ĐTBBLMBT!B:AJ,35,0)</f>
        <v>2</v>
      </c>
      <c r="D99" s="927">
        <f>VLOOKUP(B99,DT.NK!B:AZ,49,0)</f>
        <v>42696</v>
      </c>
      <c r="E99" s="927">
        <f t="shared" si="9"/>
        <v>42703</v>
      </c>
      <c r="F99" s="926" t="s">
        <v>188</v>
      </c>
      <c r="G99" s="927">
        <f t="shared" si="8"/>
        <v>42724</v>
      </c>
      <c r="H99" s="926"/>
      <c r="I99" s="924">
        <f>VLOOKUP(B99,DT.NK!B:AZ,51,0)</f>
        <v>21.5</v>
      </c>
      <c r="J99" s="926" t="str">
        <f>N99</f>
        <v>Vượng Phát</v>
      </c>
      <c r="K99">
        <f>COUNTA(A97:A134)</f>
        <v>38</v>
      </c>
      <c r="L99" s="878">
        <v>3</v>
      </c>
      <c r="N99" t="str">
        <f t="shared" si="7"/>
        <v>Vượng Phát</v>
      </c>
      <c r="O99" t="str">
        <f>VLOOKUP(B99,ĐTBBLMBT!$B:$Q,16,0)</f>
        <v>Công ty TNHH đầu tư và phát triển KD Vượng Phát</v>
      </c>
    </row>
    <row r="100" spans="1:15" ht="20.100000000000001" customHeight="1">
      <c r="A100" s="926">
        <v>91</v>
      </c>
      <c r="B100" s="926" t="str">
        <f>VLOOKUP(A100,DT.NK!A:AZ,2,0)</f>
        <v>A152</v>
      </c>
      <c r="C100" s="926">
        <f>VLOOKUP(B100,ĐTBBLMBT!B:AJ,35,0)</f>
        <v>3</v>
      </c>
      <c r="D100" s="927">
        <f>VLOOKUP(B100,DT.NK!B:AZ,49,0)</f>
        <v>42697</v>
      </c>
      <c r="E100" s="927">
        <f t="shared" si="9"/>
        <v>42704</v>
      </c>
      <c r="F100" s="926" t="s">
        <v>188</v>
      </c>
      <c r="G100" s="927">
        <f t="shared" si="8"/>
        <v>42725</v>
      </c>
      <c r="H100" s="926"/>
      <c r="I100" s="924">
        <f>VLOOKUP(B100,DT.NK!B:AZ,51,0)</f>
        <v>32</v>
      </c>
      <c r="J100" s="926" t="str">
        <f>N100</f>
        <v>Vượng Phát</v>
      </c>
      <c r="L100" s="878">
        <v>4</v>
      </c>
      <c r="N100" t="str">
        <f t="shared" si="7"/>
        <v>Vượng Phát</v>
      </c>
      <c r="O100" t="str">
        <f>VLOOKUP(B100,ĐTBBLMBT!$B:$Q,16,0)</f>
        <v>Công ty TNHH đầu tư và phát triển KD Vượng Phát</v>
      </c>
    </row>
    <row r="101" spans="1:15" ht="20.100000000000001" customHeight="1">
      <c r="A101" s="926">
        <v>92</v>
      </c>
      <c r="B101" s="926" t="str">
        <f>VLOOKUP(A101,DT.NK!A:AZ,2,0)</f>
        <v>A53</v>
      </c>
      <c r="C101" s="926">
        <f>VLOOKUP(B101,ĐTBBLMBT!B:AJ,35,0)</f>
        <v>3</v>
      </c>
      <c r="D101" s="927">
        <f>VLOOKUP(B101,DT.NK!B:AZ,49,0)</f>
        <v>42697</v>
      </c>
      <c r="E101" s="927">
        <f t="shared" si="9"/>
        <v>42704</v>
      </c>
      <c r="F101" s="926" t="s">
        <v>188</v>
      </c>
      <c r="G101" s="927">
        <f t="shared" ref="G101:G106" si="10">D101+28</f>
        <v>42725</v>
      </c>
      <c r="H101" s="926"/>
      <c r="I101" s="924">
        <f>VLOOKUP(B101,DT.NK!B:AZ,51,0)</f>
        <v>23.5</v>
      </c>
      <c r="J101" s="926" t="str">
        <f t="shared" ref="J101:J106" si="11">N101</f>
        <v>Vượng Phát</v>
      </c>
      <c r="L101" s="878">
        <v>5</v>
      </c>
      <c r="N101" t="str">
        <f t="shared" si="7"/>
        <v>Vượng Phát</v>
      </c>
      <c r="O101" t="str">
        <f>VLOOKUP(B101,ĐTBBLMBT!$B:$Q,16,0)</f>
        <v>Công ty TNHH đầu tư và phát triển KD Vượng Phát</v>
      </c>
    </row>
    <row r="102" spans="1:15" ht="20.100000000000001" customHeight="1">
      <c r="A102" s="926">
        <v>93</v>
      </c>
      <c r="B102" s="926" t="str">
        <f>VLOOKUP(A102,DT.NK!A:AZ,2,0)</f>
        <v>A48</v>
      </c>
      <c r="C102" s="926">
        <f>VLOOKUP(B102,ĐTBBLMBT!B:AJ,35,0)</f>
        <v>3</v>
      </c>
      <c r="D102" s="927">
        <f>VLOOKUP(B102,DT.NK!B:AZ,49,0)</f>
        <v>42698</v>
      </c>
      <c r="E102" s="927">
        <f t="shared" si="9"/>
        <v>42705</v>
      </c>
      <c r="F102" s="926" t="s">
        <v>188</v>
      </c>
      <c r="G102" s="927">
        <f t="shared" si="10"/>
        <v>42726</v>
      </c>
      <c r="H102" s="926"/>
      <c r="I102" s="924">
        <f>VLOOKUP(B102,DT.NK!B:AZ,51,0)</f>
        <v>30</v>
      </c>
      <c r="J102" s="926" t="str">
        <f t="shared" si="11"/>
        <v xml:space="preserve"> Quảng Ninh</v>
      </c>
      <c r="L102" s="878">
        <v>6</v>
      </c>
      <c r="N102" t="str">
        <f t="shared" si="7"/>
        <v xml:space="preserve"> Quảng Ninh</v>
      </c>
      <c r="O102" t="str">
        <f>VLOOKUP(B102,ĐTBBLMBT!$B:$Q,16,0)</f>
        <v>Công ty Cổ phần và Xây dựng Quảng Ninh</v>
      </c>
    </row>
    <row r="103" spans="1:15" ht="20.100000000000001" customHeight="1">
      <c r="A103" s="926">
        <v>94</v>
      </c>
      <c r="B103" s="926" t="str">
        <f>VLOOKUP(A103,DT.NK!A:AZ,2,0)</f>
        <v>A9</v>
      </c>
      <c r="C103" s="926">
        <f>VLOOKUP(B103,ĐTBBLMBT!B:AJ,35,0)</f>
        <v>2</v>
      </c>
      <c r="D103" s="927">
        <f>VLOOKUP(B103,DT.NK!B:AZ,49,0)</f>
        <v>42698</v>
      </c>
      <c r="E103" s="927">
        <f t="shared" si="9"/>
        <v>42705</v>
      </c>
      <c r="F103" s="926" t="s">
        <v>188</v>
      </c>
      <c r="G103" s="927">
        <f t="shared" si="10"/>
        <v>42726</v>
      </c>
      <c r="H103" s="926"/>
      <c r="I103" s="924">
        <f>VLOOKUP(B103,DT.NK!B:AZ,51,0)</f>
        <v>21</v>
      </c>
      <c r="J103" s="926" t="str">
        <f t="shared" si="11"/>
        <v>Vượng Phát</v>
      </c>
      <c r="L103" s="878">
        <v>7</v>
      </c>
      <c r="N103" t="str">
        <f t="shared" si="7"/>
        <v>Vượng Phát</v>
      </c>
      <c r="O103" t="str">
        <f>VLOOKUP(B103,ĐTBBLMBT!$B:$Q,16,0)</f>
        <v>Công ty TNHH đầu tư và phát triển KD Vượng Phát</v>
      </c>
    </row>
    <row r="104" spans="1:15" ht="20.100000000000001" customHeight="1">
      <c r="A104" s="926">
        <v>95</v>
      </c>
      <c r="B104" s="926" t="str">
        <f>VLOOKUP(A104,DT.NK!A:AZ,2,0)</f>
        <v>A131</v>
      </c>
      <c r="C104" s="926">
        <f>VLOOKUP(B104,ĐTBBLMBT!B:AJ,35,0)</f>
        <v>3</v>
      </c>
      <c r="D104" s="927">
        <f>VLOOKUP(B104,DT.NK!B:AZ,49,0)</f>
        <v>42698</v>
      </c>
      <c r="E104" s="927">
        <f t="shared" si="9"/>
        <v>42705</v>
      </c>
      <c r="F104" s="926" t="s">
        <v>188</v>
      </c>
      <c r="G104" s="927">
        <f t="shared" si="10"/>
        <v>42726</v>
      </c>
      <c r="H104" s="926"/>
      <c r="I104" s="924">
        <f>VLOOKUP(B104,DT.NK!B:AZ,51,0)</f>
        <v>34</v>
      </c>
      <c r="J104" s="926" t="str">
        <f t="shared" si="11"/>
        <v>Vượng Phát</v>
      </c>
      <c r="L104" s="878">
        <v>8</v>
      </c>
      <c r="N104" t="str">
        <f t="shared" si="7"/>
        <v>Vượng Phát</v>
      </c>
      <c r="O104" t="str">
        <f>VLOOKUP(B104,ĐTBBLMBT!$B:$Q,16,0)</f>
        <v>Công ty TNHH đầu tư và phát triển KD Vượng Phát</v>
      </c>
    </row>
    <row r="105" spans="1:15" ht="20.100000000000001" customHeight="1">
      <c r="A105" s="926">
        <v>96</v>
      </c>
      <c r="B105" s="926" t="str">
        <f>VLOOKUP(A105,DT.NK!A:AZ,2,0)</f>
        <v>A39</v>
      </c>
      <c r="C105" s="926">
        <f>VLOOKUP(B105,ĐTBBLMBT!B:AJ,35,0)</f>
        <v>3</v>
      </c>
      <c r="D105" s="927">
        <f>VLOOKUP(B105,DT.NK!B:AZ,49,0)</f>
        <v>42699</v>
      </c>
      <c r="E105" s="927">
        <f t="shared" si="9"/>
        <v>42706</v>
      </c>
      <c r="F105" s="926" t="s">
        <v>188</v>
      </c>
      <c r="G105" s="927">
        <f t="shared" si="10"/>
        <v>42727</v>
      </c>
      <c r="H105" s="926"/>
      <c r="I105" s="924">
        <f>VLOOKUP(B105,DT.NK!B:AZ,51,0)</f>
        <v>43.5</v>
      </c>
      <c r="J105" s="926" t="str">
        <f t="shared" si="11"/>
        <v>Vượng Phát</v>
      </c>
      <c r="L105" s="878">
        <v>9</v>
      </c>
      <c r="N105" t="str">
        <f t="shared" si="7"/>
        <v>Vượng Phát</v>
      </c>
      <c r="O105" t="str">
        <f>VLOOKUP(B105,ĐTBBLMBT!$B:$Q,16,0)</f>
        <v>Công ty TNHH đầu tư và phát triển KD Vượng Phát</v>
      </c>
    </row>
    <row r="106" spans="1:15" ht="20.100000000000001" customHeight="1">
      <c r="A106" s="926">
        <v>97</v>
      </c>
      <c r="B106" s="926" t="str">
        <f>VLOOKUP(A106,DT.NK!A:AZ,2,0)</f>
        <v>A60</v>
      </c>
      <c r="C106" s="926">
        <f>VLOOKUP(B106,ĐTBBLMBT!B:AJ,35,0)</f>
        <v>3</v>
      </c>
      <c r="D106" s="927">
        <f>VLOOKUP(B106,DT.NK!B:AZ,49,0)</f>
        <v>42699</v>
      </c>
      <c r="E106" s="927">
        <f t="shared" si="9"/>
        <v>42706</v>
      </c>
      <c r="F106" s="926" t="s">
        <v>188</v>
      </c>
      <c r="G106" s="927">
        <f t="shared" si="10"/>
        <v>42727</v>
      </c>
      <c r="H106" s="926"/>
      <c r="I106" s="924">
        <f>VLOOKUP(B106,DT.NK!B:AZ,51,0)</f>
        <v>23.5</v>
      </c>
      <c r="J106" s="926" t="str">
        <f t="shared" si="11"/>
        <v>Vượng Phát</v>
      </c>
      <c r="L106" s="878">
        <v>10</v>
      </c>
      <c r="N106" t="str">
        <f t="shared" si="7"/>
        <v>Vượng Phát</v>
      </c>
      <c r="O106" t="str">
        <f>VLOOKUP(B106,ĐTBBLMBT!$B:$Q,16,0)</f>
        <v>Công ty TNHH đầu tư và phát triển KD Vượng Phát</v>
      </c>
    </row>
    <row r="107" spans="1:15" ht="20.100000000000001" customHeight="1">
      <c r="A107" s="926">
        <v>98</v>
      </c>
      <c r="B107" s="926" t="str">
        <f>VLOOKUP(A107,DT.NK!A:AZ,2,0)</f>
        <v>B39</v>
      </c>
      <c r="C107" s="926">
        <f>VLOOKUP(B107,ĐTBBLMBT!B:AJ,35,0)</f>
        <v>1</v>
      </c>
      <c r="D107" s="927">
        <f>VLOOKUP(B107,DT.NK!B:AZ,49,0)</f>
        <v>42700</v>
      </c>
      <c r="E107" s="927">
        <f t="shared" ref="E107:E115" si="12">D107+7</f>
        <v>42707</v>
      </c>
      <c r="F107" s="926" t="s">
        <v>188</v>
      </c>
      <c r="G107" s="927">
        <f t="shared" ref="G107:G115" si="13">D107+28</f>
        <v>42728</v>
      </c>
      <c r="H107" s="926"/>
      <c r="I107" s="924">
        <f>VLOOKUP(B107,DT.NK!B:AZ,51,0)</f>
        <v>12</v>
      </c>
      <c r="J107" s="926" t="str">
        <f t="shared" ref="J107:J119" si="14">N107</f>
        <v>Vượng Phát</v>
      </c>
      <c r="L107" s="878">
        <v>11</v>
      </c>
      <c r="N107" t="str">
        <f t="shared" si="7"/>
        <v>Vượng Phát</v>
      </c>
      <c r="O107" t="str">
        <f>VLOOKUP(B107,ĐTBBLMBT!$B:$Q,16,0)</f>
        <v>Công ty TNHH đầu tư và phát triển KD Vượng Phát</v>
      </c>
    </row>
    <row r="108" spans="1:15" ht="20.100000000000001" customHeight="1">
      <c r="A108" s="926">
        <v>99</v>
      </c>
      <c r="B108" s="926" t="str">
        <f>VLOOKUP(A108,DT.NK!A:AZ,2,0)</f>
        <v>B33</v>
      </c>
      <c r="C108" s="926">
        <f>VLOOKUP(B108,ĐTBBLMBT!B:AJ,35,0)</f>
        <v>2</v>
      </c>
      <c r="D108" s="927">
        <f>VLOOKUP(B108,DT.NK!B:AZ,49,0)</f>
        <v>42700</v>
      </c>
      <c r="E108" s="927">
        <f t="shared" si="12"/>
        <v>42707</v>
      </c>
      <c r="F108" s="926" t="s">
        <v>188</v>
      </c>
      <c r="G108" s="927">
        <f t="shared" si="13"/>
        <v>42728</v>
      </c>
      <c r="H108" s="926"/>
      <c r="I108" s="924">
        <f>VLOOKUP(B108,DT.NK!B:AZ,51,0)</f>
        <v>13.5</v>
      </c>
      <c r="J108" s="926" t="str">
        <f t="shared" si="14"/>
        <v>Vượng Phát</v>
      </c>
      <c r="L108" s="878">
        <v>12</v>
      </c>
      <c r="N108" t="str">
        <f t="shared" si="7"/>
        <v>Vượng Phát</v>
      </c>
      <c r="O108" t="str">
        <f>VLOOKUP(B108,ĐTBBLMBT!$B:$Q,16,0)</f>
        <v>Công ty TNHH đầu tư và phát triển KD Vượng Phát</v>
      </c>
    </row>
    <row r="109" spans="1:15" ht="20.100000000000001" customHeight="1">
      <c r="A109" s="926">
        <v>100</v>
      </c>
      <c r="B109" s="926" t="str">
        <f>VLOOKUP(A109,DT.NK!A:AZ,2,0)</f>
        <v>A43</v>
      </c>
      <c r="C109" s="926">
        <f>VLOOKUP(B109,ĐTBBLMBT!B:AJ,35,0)</f>
        <v>3</v>
      </c>
      <c r="D109" s="927">
        <f>VLOOKUP(B109,DT.NK!B:AZ,49,0)</f>
        <v>42700</v>
      </c>
      <c r="E109" s="927">
        <f t="shared" si="12"/>
        <v>42707</v>
      </c>
      <c r="F109" s="926" t="s">
        <v>188</v>
      </c>
      <c r="G109" s="927">
        <f t="shared" si="13"/>
        <v>42728</v>
      </c>
      <c r="H109" s="926"/>
      <c r="I109" s="924">
        <f>VLOOKUP(B109,DT.NK!B:AZ,51,0)</f>
        <v>34</v>
      </c>
      <c r="J109" s="926" t="str">
        <f t="shared" si="14"/>
        <v>Vượng Phát</v>
      </c>
      <c r="L109" s="878">
        <v>13</v>
      </c>
      <c r="N109" t="str">
        <f t="shared" si="7"/>
        <v>Vượng Phát</v>
      </c>
      <c r="O109" t="str">
        <f>VLOOKUP(B109,ĐTBBLMBT!$B:$Q,16,0)</f>
        <v>Công ty TNHH đầu tư và phát triển KD Vượng Phát</v>
      </c>
    </row>
    <row r="110" spans="1:15" ht="20.100000000000001" customHeight="1">
      <c r="A110" s="926">
        <v>101</v>
      </c>
      <c r="B110" s="926" t="str">
        <f>VLOOKUP(A110,DT.NK!A:AZ,2,0)</f>
        <v>B31</v>
      </c>
      <c r="C110" s="926">
        <f>VLOOKUP(B110,ĐTBBLMBT!B:AJ,35,0)</f>
        <v>2</v>
      </c>
      <c r="D110" s="927">
        <f>VLOOKUP(B110,DT.NK!B:AZ,49,0)</f>
        <v>42701</v>
      </c>
      <c r="E110" s="927">
        <f t="shared" si="12"/>
        <v>42708</v>
      </c>
      <c r="F110" s="926" t="s">
        <v>188</v>
      </c>
      <c r="G110" s="927">
        <f t="shared" si="13"/>
        <v>42729</v>
      </c>
      <c r="H110" s="926"/>
      <c r="I110" s="924">
        <f>VLOOKUP(B110,DT.NK!B:AZ,51,0)</f>
        <v>13</v>
      </c>
      <c r="J110" s="926" t="str">
        <f t="shared" si="14"/>
        <v>Vượng Phát</v>
      </c>
      <c r="L110" s="878">
        <v>14</v>
      </c>
      <c r="N110" t="str">
        <f t="shared" si="7"/>
        <v>Vượng Phát</v>
      </c>
      <c r="O110" t="str">
        <f>VLOOKUP(B110,ĐTBBLMBT!$B:$Q,16,0)</f>
        <v>Công ty TNHH đầu tư và phát triển KD Vượng Phát</v>
      </c>
    </row>
    <row r="111" spans="1:15" ht="20.100000000000001" customHeight="1">
      <c r="A111" s="926">
        <v>102</v>
      </c>
      <c r="B111" s="926" t="str">
        <f>VLOOKUP(A111,DT.NK!A:AZ,2,0)</f>
        <v>A63</v>
      </c>
      <c r="C111" s="926">
        <f>VLOOKUP(B111,ĐTBBLMBT!B:AJ,35,0)</f>
        <v>3</v>
      </c>
      <c r="D111" s="927">
        <f>VLOOKUP(B111,DT.NK!B:AZ,49,0)</f>
        <v>42701</v>
      </c>
      <c r="E111" s="927">
        <f t="shared" si="12"/>
        <v>42708</v>
      </c>
      <c r="F111" s="926" t="s">
        <v>188</v>
      </c>
      <c r="G111" s="927">
        <f t="shared" si="13"/>
        <v>42729</v>
      </c>
      <c r="H111" s="926"/>
      <c r="I111" s="924">
        <f>VLOOKUP(B111,DT.NK!B:AZ,51,0)</f>
        <v>54</v>
      </c>
      <c r="J111" s="926" t="str">
        <f t="shared" si="14"/>
        <v>Vượng Phát</v>
      </c>
      <c r="L111" s="878">
        <v>15</v>
      </c>
      <c r="N111" t="str">
        <f t="shared" si="7"/>
        <v>Vượng Phát</v>
      </c>
      <c r="O111" t="str">
        <f>VLOOKUP(B111,ĐTBBLMBT!$B:$Q,16,0)</f>
        <v>Công ty TNHH đầu tư và phát triển KD Vượng Phát</v>
      </c>
    </row>
    <row r="112" spans="1:15" ht="20.100000000000001" customHeight="1">
      <c r="A112" s="926">
        <v>103</v>
      </c>
      <c r="B112" s="926" t="str">
        <f>VLOOKUP(A112,DT.NK!A:AZ,2,0)</f>
        <v>B32</v>
      </c>
      <c r="C112" s="926">
        <f>VLOOKUP(B112,ĐTBBLMBT!B:AJ,35,0)</f>
        <v>2</v>
      </c>
      <c r="D112" s="927">
        <f>VLOOKUP(B112,DT.NK!B:AZ,49,0)</f>
        <v>42702</v>
      </c>
      <c r="E112" s="927">
        <f t="shared" si="12"/>
        <v>42709</v>
      </c>
      <c r="F112" s="926" t="s">
        <v>188</v>
      </c>
      <c r="G112" s="927">
        <f t="shared" si="13"/>
        <v>42730</v>
      </c>
      <c r="H112" s="926"/>
      <c r="I112" s="924">
        <f>VLOOKUP(B112,DT.NK!B:AZ,51,0)</f>
        <v>13</v>
      </c>
      <c r="J112" s="926" t="str">
        <f t="shared" si="14"/>
        <v>Vượng Phát</v>
      </c>
      <c r="L112" s="878">
        <v>16</v>
      </c>
      <c r="N112" t="str">
        <f t="shared" si="7"/>
        <v>Vượng Phát</v>
      </c>
      <c r="O112" t="str">
        <f>VLOOKUP(B112,ĐTBBLMBT!$B:$Q,16,0)</f>
        <v>Công ty TNHH đầu tư và phát triển KD Vượng Phát</v>
      </c>
    </row>
    <row r="113" spans="1:15" ht="20.100000000000001" customHeight="1">
      <c r="A113" s="926">
        <v>104</v>
      </c>
      <c r="B113" s="926" t="str">
        <f>VLOOKUP(A113,DT.NK!A:AZ,2,0)</f>
        <v>A46</v>
      </c>
      <c r="C113" s="926">
        <f>VLOOKUP(B113,ĐTBBLMBT!B:AJ,35,0)</f>
        <v>3</v>
      </c>
      <c r="D113" s="927">
        <f>VLOOKUP(B113,DT.NK!B:AZ,49,0)</f>
        <v>42702</v>
      </c>
      <c r="E113" s="927">
        <f t="shared" si="12"/>
        <v>42709</v>
      </c>
      <c r="F113" s="926" t="s">
        <v>188</v>
      </c>
      <c r="G113" s="927">
        <f t="shared" si="13"/>
        <v>42730</v>
      </c>
      <c r="H113" s="926"/>
      <c r="I113" s="924">
        <f>VLOOKUP(B113,DT.NK!B:AZ,51,0)</f>
        <v>33</v>
      </c>
      <c r="J113" s="926" t="str">
        <f t="shared" si="14"/>
        <v>Vượng Phát</v>
      </c>
      <c r="L113" s="878">
        <v>17</v>
      </c>
      <c r="N113" t="str">
        <f t="shared" si="7"/>
        <v>Vượng Phát</v>
      </c>
      <c r="O113" t="str">
        <f>VLOOKUP(B113,ĐTBBLMBT!$B:$Q,16,0)</f>
        <v>Công ty TNHH đầu tư và phát triển KD Vượng Phát</v>
      </c>
    </row>
    <row r="114" spans="1:15" ht="20.100000000000001" customHeight="1">
      <c r="A114" s="926">
        <v>105</v>
      </c>
      <c r="B114" s="926" t="str">
        <f>VLOOKUP(A114,DT.NK!A:AZ,2,0)</f>
        <v>A67</v>
      </c>
      <c r="C114" s="926">
        <f>VLOOKUP(B114,ĐTBBLMBT!B:AJ,35,0)</f>
        <v>3</v>
      </c>
      <c r="D114" s="927">
        <f>VLOOKUP(B114,DT.NK!B:AZ,49,0)</f>
        <v>42702</v>
      </c>
      <c r="E114" s="927">
        <f t="shared" si="12"/>
        <v>42709</v>
      </c>
      <c r="F114" s="926" t="s">
        <v>188</v>
      </c>
      <c r="G114" s="927">
        <f t="shared" si="13"/>
        <v>42730</v>
      </c>
      <c r="H114" s="926"/>
      <c r="I114" s="924">
        <f>VLOOKUP(B114,DT.NK!B:AZ,51,0)</f>
        <v>29</v>
      </c>
      <c r="J114" s="926" t="str">
        <f t="shared" si="14"/>
        <v>Vượng Phát</v>
      </c>
      <c r="L114" s="878">
        <v>18</v>
      </c>
      <c r="N114" t="str">
        <f t="shared" si="7"/>
        <v>Vượng Phát</v>
      </c>
      <c r="O114" t="str">
        <f>VLOOKUP(B114,ĐTBBLMBT!$B:$Q,16,0)</f>
        <v>Công ty TNHH đầu tư và phát triển KD Vượng Phát</v>
      </c>
    </row>
    <row r="115" spans="1:15" ht="20.100000000000001" customHeight="1">
      <c r="A115" s="926">
        <v>106</v>
      </c>
      <c r="B115" s="926" t="str">
        <f>VLOOKUP(A115,DT.NK!A:AZ,2,0)</f>
        <v>B34</v>
      </c>
      <c r="C115" s="926">
        <f>VLOOKUP(B115,ĐTBBLMBT!B:AJ,35,0)</f>
        <v>2</v>
      </c>
      <c r="D115" s="927">
        <f>VLOOKUP(B115,DT.NK!B:AZ,49,0)</f>
        <v>42703</v>
      </c>
      <c r="E115" s="927">
        <f t="shared" si="12"/>
        <v>42710</v>
      </c>
      <c r="F115" s="926" t="s">
        <v>188</v>
      </c>
      <c r="G115" s="927">
        <f t="shared" si="13"/>
        <v>42731</v>
      </c>
      <c r="H115" s="926"/>
      <c r="I115" s="924">
        <f>VLOOKUP(B115,DT.NK!B:AZ,51,0)</f>
        <v>12</v>
      </c>
      <c r="J115" s="926" t="str">
        <f t="shared" si="14"/>
        <v>Vượng Phát</v>
      </c>
      <c r="L115" s="878">
        <v>19</v>
      </c>
      <c r="N115" t="str">
        <f t="shared" si="7"/>
        <v>Vượng Phát</v>
      </c>
      <c r="O115" t="str">
        <f>VLOOKUP(B115,ĐTBBLMBT!$B:$Q,16,0)</f>
        <v>Công ty TNHH đầu tư và phát triển KD Vượng Phát</v>
      </c>
    </row>
    <row r="116" spans="1:15" ht="20.100000000000001" customHeight="1">
      <c r="A116" s="926">
        <v>107</v>
      </c>
      <c r="B116" s="926" t="str">
        <f>VLOOKUP(A116,DT.NK!A:AZ,2,0)</f>
        <v>B35</v>
      </c>
      <c r="C116" s="926">
        <f>VLOOKUP(B116,ĐTBBLMBT!B:AJ,35,0)</f>
        <v>2</v>
      </c>
      <c r="D116" s="927">
        <f>VLOOKUP(B116,DT.NK!B:AZ,49,0)</f>
        <v>42703</v>
      </c>
      <c r="E116" s="927">
        <f t="shared" ref="E116:E122" si="15">D116+7</f>
        <v>42710</v>
      </c>
      <c r="F116" s="926" t="s">
        <v>188</v>
      </c>
      <c r="G116" s="927">
        <f t="shared" ref="G116:G122" si="16">D116+28</f>
        <v>42731</v>
      </c>
      <c r="H116" s="926"/>
      <c r="I116" s="924">
        <f>VLOOKUP(B116,DT.NK!B:AZ,51,0)</f>
        <v>12</v>
      </c>
      <c r="J116" s="926" t="str">
        <f t="shared" si="14"/>
        <v>Vượng Phát</v>
      </c>
      <c r="L116" s="878">
        <v>20</v>
      </c>
      <c r="N116" t="str">
        <f t="shared" si="7"/>
        <v>Vượng Phát</v>
      </c>
      <c r="O116" t="str">
        <f>VLOOKUP(B116,ĐTBBLMBT!$B:$Q,16,0)</f>
        <v>Công ty TNHH đầu tư và phát triển KD Vượng Phát</v>
      </c>
    </row>
    <row r="117" spans="1:15" s="878" customFormat="1" ht="20.100000000000001" customHeight="1">
      <c r="A117" s="928">
        <v>108</v>
      </c>
      <c r="B117" s="928" t="str">
        <f>VLOOKUP(A117,DT.NK!A:AZ,2,0)</f>
        <v>B37</v>
      </c>
      <c r="C117" s="928">
        <f>VLOOKUP(B117,ĐTBBLMBT!B:AJ,35,0)</f>
        <v>2</v>
      </c>
      <c r="D117" s="929">
        <f>VLOOKUP(B117,DT.NK!B:AZ,49,0)</f>
        <v>42704</v>
      </c>
      <c r="E117" s="929">
        <f t="shared" si="15"/>
        <v>42711</v>
      </c>
      <c r="F117" s="926" t="s">
        <v>188</v>
      </c>
      <c r="G117" s="929">
        <f t="shared" si="16"/>
        <v>42732</v>
      </c>
      <c r="H117" s="928"/>
      <c r="I117" s="980">
        <f>VLOOKUP(B117,DT.NK!B:AZ,51,0)</f>
        <v>12</v>
      </c>
      <c r="J117" s="928" t="str">
        <f t="shared" si="14"/>
        <v>Vượng Phát</v>
      </c>
      <c r="L117" s="878">
        <v>21</v>
      </c>
      <c r="N117" s="878" t="str">
        <f t="shared" si="7"/>
        <v>Vượng Phát</v>
      </c>
      <c r="O117" s="878" t="str">
        <f>VLOOKUP(B117,ĐTBBLMBT!$B:$Q,16,0)</f>
        <v>Công ty TNHH đầu tư và phát triển KD Vượng Phát</v>
      </c>
    </row>
    <row r="118" spans="1:15" ht="20.100000000000001" customHeight="1">
      <c r="A118" s="926">
        <v>109</v>
      </c>
      <c r="B118" s="926" t="str">
        <f>VLOOKUP(A118,DT.NK!A:AZ,2,0)</f>
        <v>A129</v>
      </c>
      <c r="C118" s="926">
        <f>VLOOKUP(B118,ĐTBBLMBT!B:AJ,35,0)</f>
        <v>3</v>
      </c>
      <c r="D118" s="927">
        <f>VLOOKUP(B118,DT.NK!B:AZ,49,0)</f>
        <v>42704</v>
      </c>
      <c r="E118" s="927">
        <f t="shared" si="15"/>
        <v>42711</v>
      </c>
      <c r="F118" s="926" t="s">
        <v>188</v>
      </c>
      <c r="G118" s="927">
        <f t="shared" si="16"/>
        <v>42732</v>
      </c>
      <c r="H118" s="926"/>
      <c r="I118" s="924">
        <f>VLOOKUP(B118,DT.NK!B:AZ,51,0)</f>
        <v>44</v>
      </c>
      <c r="J118" s="926" t="str">
        <f t="shared" si="14"/>
        <v>Vượng Phát</v>
      </c>
      <c r="L118" s="878">
        <v>22</v>
      </c>
      <c r="N118" t="str">
        <f t="shared" si="7"/>
        <v>Vượng Phát</v>
      </c>
      <c r="O118" t="str">
        <f>VLOOKUP(B118,ĐTBBLMBT!$B:$Q,16,0)</f>
        <v>Công ty TNHH đầu tư và phát triển KD Vượng Phát</v>
      </c>
    </row>
    <row r="119" spans="1:15" ht="20.100000000000001" customHeight="1">
      <c r="A119" s="926">
        <v>110</v>
      </c>
      <c r="B119" s="926" t="str">
        <f>VLOOKUP(A119,DT.NK!A:AZ,2,0)</f>
        <v>B38</v>
      </c>
      <c r="C119" s="926">
        <f>VLOOKUP(B119,ĐTBBLMBT!B:AJ,35,0)</f>
        <v>2</v>
      </c>
      <c r="D119" s="927">
        <f>VLOOKUP(B119,DT.NK!B:AZ,49,0)</f>
        <v>42704</v>
      </c>
      <c r="E119" s="927">
        <f t="shared" si="15"/>
        <v>42711</v>
      </c>
      <c r="F119" s="926" t="s">
        <v>188</v>
      </c>
      <c r="G119" s="927">
        <f t="shared" si="16"/>
        <v>42732</v>
      </c>
      <c r="H119" s="926"/>
      <c r="I119" s="924">
        <f>VLOOKUP(B119,DT.NK!B:AZ,51,0)</f>
        <v>12</v>
      </c>
      <c r="J119" s="926" t="str">
        <f t="shared" si="14"/>
        <v>Vượng Phát</v>
      </c>
      <c r="L119" s="878">
        <v>23</v>
      </c>
      <c r="N119" t="str">
        <f t="shared" si="7"/>
        <v>Vượng Phát</v>
      </c>
      <c r="O119" t="str">
        <f>VLOOKUP(B119,ĐTBBLMBT!$B:$Q,16,0)</f>
        <v>Công ty TNHH đầu tư và phát triển KD Vượng Phát</v>
      </c>
    </row>
    <row r="120" spans="1:15" ht="20.100000000000001" customHeight="1">
      <c r="A120" s="926">
        <v>111</v>
      </c>
      <c r="B120" s="926" t="str">
        <f>VLOOKUP(A120,DT.NK!A:AZ,2,0)</f>
        <v>A42</v>
      </c>
      <c r="C120" s="926">
        <f>VLOOKUP(B120,ĐTBBLMBT!B:AJ,35,0)</f>
        <v>3</v>
      </c>
      <c r="D120" s="927">
        <f>VLOOKUP(B120,DT.NK!B:AZ,49,0)</f>
        <v>42705</v>
      </c>
      <c r="E120" s="927">
        <f t="shared" si="15"/>
        <v>42712</v>
      </c>
      <c r="F120" s="926" t="s">
        <v>188</v>
      </c>
      <c r="G120" s="927">
        <f t="shared" si="16"/>
        <v>42733</v>
      </c>
      <c r="H120" s="926"/>
      <c r="I120" s="924">
        <f>VLOOKUP(B120,DT.NK!B:AZ,51,0)</f>
        <v>62</v>
      </c>
      <c r="J120" s="926" t="str">
        <f>N120</f>
        <v>Vượng Phát</v>
      </c>
      <c r="L120" s="878">
        <v>24</v>
      </c>
      <c r="N120" t="str">
        <f t="shared" si="7"/>
        <v>Vượng Phát</v>
      </c>
      <c r="O120" t="str">
        <f>VLOOKUP(B120,ĐTBBLMBT!$B:$Q,16,0)</f>
        <v>Công ty TNHH đầu tư và phát triển KD Vượng Phát</v>
      </c>
    </row>
    <row r="121" spans="1:15" ht="20.100000000000001" customHeight="1">
      <c r="A121" s="926">
        <v>112</v>
      </c>
      <c r="B121" s="926" t="str">
        <f>VLOOKUP(A121,DT.NK!A:AZ,2,0)</f>
        <v>B36</v>
      </c>
      <c r="C121" s="926">
        <f>VLOOKUP(B121,ĐTBBLMBT!B:AJ,35,0)</f>
        <v>2</v>
      </c>
      <c r="D121" s="927">
        <f>VLOOKUP(B121,DT.NK!B:AZ,49,0)</f>
        <v>42705</v>
      </c>
      <c r="E121" s="927">
        <f t="shared" si="15"/>
        <v>42712</v>
      </c>
      <c r="F121" s="926" t="s">
        <v>188</v>
      </c>
      <c r="G121" s="927">
        <f t="shared" si="16"/>
        <v>42733</v>
      </c>
      <c r="H121" s="926"/>
      <c r="I121" s="924">
        <f>VLOOKUP(B121,DT.NK!B:AZ,51,0)</f>
        <v>12</v>
      </c>
      <c r="J121" s="926" t="str">
        <f>N121</f>
        <v>Vượng Phát</v>
      </c>
      <c r="L121" s="878">
        <v>25</v>
      </c>
      <c r="N121" t="str">
        <f t="shared" si="7"/>
        <v>Vượng Phát</v>
      </c>
      <c r="O121" t="str">
        <f>VLOOKUP(B121,ĐTBBLMBT!$B:$Q,16,0)</f>
        <v>Công ty TNHH đầu tư và phát triển KD Vượng Phát</v>
      </c>
    </row>
    <row r="122" spans="1:15" ht="20.100000000000001" customHeight="1">
      <c r="A122" s="926">
        <v>113</v>
      </c>
      <c r="B122" s="926" t="str">
        <f>VLOOKUP(A122,DT.NK!A:AZ,2,0)</f>
        <v>B40</v>
      </c>
      <c r="C122" s="926">
        <f>VLOOKUP(B122,ĐTBBLMBT!B:AJ,35,0)</f>
        <v>2</v>
      </c>
      <c r="D122" s="927">
        <f>VLOOKUP(B122,DT.NK!B:AZ,49,0)</f>
        <v>42706</v>
      </c>
      <c r="E122" s="927">
        <f t="shared" si="15"/>
        <v>42713</v>
      </c>
      <c r="F122" s="926" t="s">
        <v>188</v>
      </c>
      <c r="G122" s="927">
        <f t="shared" si="16"/>
        <v>42734</v>
      </c>
      <c r="H122" s="926"/>
      <c r="I122" s="924">
        <f>VLOOKUP(B122,DT.NK!B:AZ,51,0)</f>
        <v>15</v>
      </c>
      <c r="J122" s="926" t="str">
        <f>N122</f>
        <v>Vượng Phát</v>
      </c>
      <c r="L122" s="878">
        <v>26</v>
      </c>
      <c r="N122" t="str">
        <f t="shared" si="7"/>
        <v>Vượng Phát</v>
      </c>
      <c r="O122" t="str">
        <f>VLOOKUP(B122,ĐTBBLMBT!$B:$Q,16,0)</f>
        <v>Công ty TNHH đầu tư và phát triển KD Vượng Phát</v>
      </c>
    </row>
    <row r="123" spans="1:15" ht="20.100000000000001" customHeight="1">
      <c r="A123" s="926">
        <v>114</v>
      </c>
      <c r="B123" s="926" t="str">
        <f>VLOOKUP(A123,DT.NK!A:AZ,2,0)</f>
        <v>A47</v>
      </c>
      <c r="C123" s="926">
        <f>VLOOKUP(B123,ĐTBBLMBT!B:AJ,35,0)</f>
        <v>3</v>
      </c>
      <c r="D123" s="927">
        <f>VLOOKUP(B123,DT.NK!B:AZ,49,0)</f>
        <v>42706</v>
      </c>
      <c r="E123" s="927">
        <f t="shared" ref="E123:E130" si="17">D123+7</f>
        <v>42713</v>
      </c>
      <c r="F123" s="926" t="s">
        <v>188</v>
      </c>
      <c r="G123" s="927">
        <f t="shared" ref="G123:G130" si="18">D123+28</f>
        <v>42734</v>
      </c>
      <c r="H123" s="926"/>
      <c r="I123" s="924">
        <f>VLOOKUP(B123,DT.NK!B:AZ,51,0)</f>
        <v>30.5</v>
      </c>
      <c r="J123" s="926" t="str">
        <f t="shared" ref="J123:J130" si="19">N123</f>
        <v>Vượng Phát</v>
      </c>
      <c r="L123" s="878">
        <v>27</v>
      </c>
      <c r="N123" t="str">
        <f t="shared" si="7"/>
        <v>Vượng Phát</v>
      </c>
      <c r="O123" t="str">
        <f>VLOOKUP(B123,ĐTBBLMBT!$B:$Q,16,0)</f>
        <v>Công ty TNHH đầu tư và phát triển KD Vượng Phát</v>
      </c>
    </row>
    <row r="124" spans="1:15" ht="20.100000000000001" customHeight="1">
      <c r="A124" s="926">
        <v>115</v>
      </c>
      <c r="B124" s="926" t="str">
        <f>VLOOKUP(A124,DT.NK!A:AZ,2,0)</f>
        <v>A51</v>
      </c>
      <c r="C124" s="926">
        <f>VLOOKUP(B124,ĐTBBLMBT!B:AJ,35,0)</f>
        <v>3</v>
      </c>
      <c r="D124" s="927">
        <f>VLOOKUP(B124,DT.NK!B:AZ,49,0)</f>
        <v>42706</v>
      </c>
      <c r="E124" s="927">
        <f t="shared" si="17"/>
        <v>42713</v>
      </c>
      <c r="F124" s="926" t="s">
        <v>188</v>
      </c>
      <c r="G124" s="927">
        <f t="shared" si="18"/>
        <v>42734</v>
      </c>
      <c r="H124" s="926"/>
      <c r="I124" s="924">
        <f>VLOOKUP(B124,DT.NK!B:AZ,51,0)</f>
        <v>36</v>
      </c>
      <c r="J124" s="926" t="str">
        <f t="shared" si="19"/>
        <v>Vượng Phát</v>
      </c>
      <c r="L124" s="878">
        <v>28</v>
      </c>
      <c r="N124" t="str">
        <f t="shared" si="7"/>
        <v>Vượng Phát</v>
      </c>
      <c r="O124" t="str">
        <f>VLOOKUP(B124,ĐTBBLMBT!$B:$Q,16,0)</f>
        <v>Công ty TNHH đầu tư và phát triển KD Vượng Phát</v>
      </c>
    </row>
    <row r="125" spans="1:15" ht="20.100000000000001" customHeight="1">
      <c r="A125" s="926">
        <v>116</v>
      </c>
      <c r="B125" s="926" t="str">
        <f>VLOOKUP(A125,DT.NK!A:AZ,2,0)</f>
        <v>B41</v>
      </c>
      <c r="C125" s="926">
        <f>VLOOKUP(B125,ĐTBBLMBT!B:AJ,35,0)</f>
        <v>2</v>
      </c>
      <c r="D125" s="927">
        <f>VLOOKUP(B125,DT.NK!B:AZ,49,0)</f>
        <v>42707</v>
      </c>
      <c r="E125" s="927">
        <f t="shared" si="17"/>
        <v>42714</v>
      </c>
      <c r="F125" s="926" t="s">
        <v>188</v>
      </c>
      <c r="G125" s="927">
        <f t="shared" si="18"/>
        <v>42735</v>
      </c>
      <c r="H125" s="926"/>
      <c r="I125" s="924">
        <f>VLOOKUP(B125,DT.NK!B:AZ,51,0)</f>
        <v>13.5</v>
      </c>
      <c r="J125" s="926" t="str">
        <f t="shared" si="19"/>
        <v>Vượng Phát</v>
      </c>
      <c r="L125" s="878">
        <v>29</v>
      </c>
      <c r="N125" t="str">
        <f t="shared" si="7"/>
        <v>Vượng Phát</v>
      </c>
      <c r="O125" t="str">
        <f>VLOOKUP(B125,ĐTBBLMBT!$B:$Q,16,0)</f>
        <v>Công ty TNHH đầu tư và phát triển KD Vượng Phát</v>
      </c>
    </row>
    <row r="126" spans="1:15" ht="20.100000000000001" customHeight="1">
      <c r="A126" s="926">
        <v>117</v>
      </c>
      <c r="B126" s="926" t="str">
        <f>VLOOKUP(A126,DT.NK!A:AZ,2,0)</f>
        <v>A49</v>
      </c>
      <c r="C126" s="926">
        <f>VLOOKUP(B126,ĐTBBLMBT!B:AJ,35,0)</f>
        <v>3</v>
      </c>
      <c r="D126" s="927">
        <f>VLOOKUP(B126,DT.NK!B:AZ,49,0)</f>
        <v>42707</v>
      </c>
      <c r="E126" s="927">
        <f t="shared" si="17"/>
        <v>42714</v>
      </c>
      <c r="F126" s="926" t="s">
        <v>188</v>
      </c>
      <c r="G126" s="927">
        <f t="shared" si="18"/>
        <v>42735</v>
      </c>
      <c r="H126" s="926"/>
      <c r="I126" s="924">
        <f>VLOOKUP(B126,DT.NK!B:AZ,51,0)</f>
        <v>37</v>
      </c>
      <c r="J126" s="926" t="str">
        <f t="shared" si="19"/>
        <v>Vượng Phát</v>
      </c>
      <c r="L126" s="878">
        <v>30</v>
      </c>
      <c r="N126" t="str">
        <f t="shared" si="7"/>
        <v>Vượng Phát</v>
      </c>
      <c r="O126" t="str">
        <f>VLOOKUP(B126,ĐTBBLMBT!$B:$Q,16,0)</f>
        <v>Công ty TNHH đầu tư và phát triển KD Vượng Phát</v>
      </c>
    </row>
    <row r="127" spans="1:15" ht="20.100000000000001" customHeight="1">
      <c r="A127" s="926">
        <v>118</v>
      </c>
      <c r="B127" s="926" t="str">
        <f>VLOOKUP(A127,DT.NK!A:AZ,2,0)</f>
        <v>B26</v>
      </c>
      <c r="C127" s="926">
        <f>VLOOKUP(B127,ĐTBBLMBT!B:AJ,35,0)</f>
        <v>2</v>
      </c>
      <c r="D127" s="927">
        <f>VLOOKUP(B127,DT.NK!B:AZ,49,0)</f>
        <v>42708</v>
      </c>
      <c r="E127" s="927">
        <f t="shared" si="17"/>
        <v>42715</v>
      </c>
      <c r="F127" s="926" t="s">
        <v>188</v>
      </c>
      <c r="G127" s="927">
        <f t="shared" si="18"/>
        <v>42736</v>
      </c>
      <c r="H127" s="926"/>
      <c r="I127" s="924">
        <f>VLOOKUP(B127,DT.NK!B:AZ,51,0)</f>
        <v>19</v>
      </c>
      <c r="J127" s="926" t="str">
        <f t="shared" si="19"/>
        <v>Vượng Phát</v>
      </c>
      <c r="L127" s="878">
        <v>31</v>
      </c>
      <c r="N127" t="str">
        <f t="shared" si="7"/>
        <v>Vượng Phát</v>
      </c>
      <c r="O127" t="str">
        <f>VLOOKUP(B127,ĐTBBLMBT!$B:$Q,16,0)</f>
        <v>Công ty TNHH đầu tư và phát triển KD Vượng Phát</v>
      </c>
    </row>
    <row r="128" spans="1:15" ht="20.100000000000001" customHeight="1">
      <c r="A128" s="926">
        <v>119</v>
      </c>
      <c r="B128" s="926" t="str">
        <f>VLOOKUP(A128,DT.NK!A:AZ,2,0)</f>
        <v>B42</v>
      </c>
      <c r="C128" s="926">
        <f>VLOOKUP(B128,ĐTBBLMBT!B:AJ,35,0)</f>
        <v>1</v>
      </c>
      <c r="D128" s="927">
        <f>VLOOKUP(B128,DT.NK!B:AZ,49,0)</f>
        <v>42708</v>
      </c>
      <c r="E128" s="927">
        <f t="shared" si="17"/>
        <v>42715</v>
      </c>
      <c r="F128" s="926" t="s">
        <v>188</v>
      </c>
      <c r="G128" s="927">
        <f t="shared" si="18"/>
        <v>42736</v>
      </c>
      <c r="H128" s="926"/>
      <c r="I128" s="924">
        <f>VLOOKUP(B128,DT.NK!B:AZ,51,0)</f>
        <v>10</v>
      </c>
      <c r="J128" s="926" t="str">
        <f t="shared" si="19"/>
        <v>Vượng Phát</v>
      </c>
      <c r="L128" s="878">
        <v>32</v>
      </c>
      <c r="N128" t="str">
        <f t="shared" si="7"/>
        <v>Vượng Phát</v>
      </c>
      <c r="O128" t="str">
        <f>VLOOKUP(B128,ĐTBBLMBT!$B:$Q,16,0)</f>
        <v>Công ty TNHH đầu tư và phát triển KD Vượng Phát</v>
      </c>
    </row>
    <row r="129" spans="1:15" ht="20.100000000000001" customHeight="1">
      <c r="A129" s="926">
        <v>120</v>
      </c>
      <c r="B129" s="926" t="str">
        <f>VLOOKUP(A129,DT.NK!A:AZ,2,0)</f>
        <v>BP1</v>
      </c>
      <c r="C129" s="926">
        <f>VLOOKUP(B129,ĐTBBLMBT!B:AJ,35,0)</f>
        <v>3</v>
      </c>
      <c r="D129" s="927">
        <f>VLOOKUP(B129,DT.NK!B:AZ,49,0)</f>
        <v>42708</v>
      </c>
      <c r="E129" s="927">
        <f t="shared" si="17"/>
        <v>42715</v>
      </c>
      <c r="F129" s="926" t="s">
        <v>188</v>
      </c>
      <c r="G129" s="927">
        <f t="shared" si="18"/>
        <v>42736</v>
      </c>
      <c r="H129" s="926"/>
      <c r="I129" s="924">
        <f>VLOOKUP(B129,DT.NK!B:AZ,51,0)</f>
        <v>32</v>
      </c>
      <c r="J129" s="926" t="str">
        <f t="shared" si="19"/>
        <v>Vượng Phát</v>
      </c>
      <c r="L129" s="878">
        <v>33</v>
      </c>
      <c r="N129" t="str">
        <f t="shared" si="7"/>
        <v>Vượng Phát</v>
      </c>
      <c r="O129" t="str">
        <f>VLOOKUP(B129,ĐTBBLMBT!$B:$Q,16,0)</f>
        <v>Công ty TNHH đầu tư và phát triển KD Vượng Phát</v>
      </c>
    </row>
    <row r="130" spans="1:15" ht="20.100000000000001" customHeight="1">
      <c r="A130" s="926">
        <v>121</v>
      </c>
      <c r="B130" s="926" t="str">
        <f>VLOOKUP(A130,DT.NK!A:AZ,2,0)</f>
        <v>A130</v>
      </c>
      <c r="C130" s="926">
        <f>VLOOKUP(B130,ĐTBBLMBT!B:AJ,35,0)</f>
        <v>3</v>
      </c>
      <c r="D130" s="927">
        <f>VLOOKUP(B130,DT.NK!B:AZ,49,0)</f>
        <v>42709</v>
      </c>
      <c r="E130" s="927">
        <f t="shared" si="17"/>
        <v>42716</v>
      </c>
      <c r="F130" s="926" t="s">
        <v>188</v>
      </c>
      <c r="G130" s="927">
        <f t="shared" si="18"/>
        <v>42737</v>
      </c>
      <c r="H130" s="926"/>
      <c r="I130" s="924">
        <f>VLOOKUP(B130,DT.NK!B:AZ,51,0)</f>
        <v>49</v>
      </c>
      <c r="J130" s="926" t="str">
        <f t="shared" si="19"/>
        <v>Vượng Phát</v>
      </c>
      <c r="L130" s="878">
        <v>34</v>
      </c>
      <c r="N130" t="str">
        <f t="shared" si="7"/>
        <v>Vượng Phát</v>
      </c>
      <c r="O130" t="str">
        <f>VLOOKUP(B130,ĐTBBLMBT!$B:$Q,16,0)</f>
        <v>Công ty TNHH đầu tư và phát triển KD Vượng Phát</v>
      </c>
    </row>
    <row r="131" spans="1:15" ht="20.100000000000001" customHeight="1">
      <c r="A131" s="926">
        <v>122</v>
      </c>
      <c r="B131" s="926" t="str">
        <f>VLOOKUP(A131,DT.NK!A:AZ,2,0)</f>
        <v>A50</v>
      </c>
      <c r="C131" s="926">
        <f>VLOOKUP(B131,ĐTBBLMBT!B:AJ,35,0)</f>
        <v>3</v>
      </c>
      <c r="D131" s="927">
        <f>VLOOKUP(B131,DT.NK!B:AZ,49,0)</f>
        <v>42709</v>
      </c>
      <c r="E131" s="927">
        <f>D131+7</f>
        <v>42716</v>
      </c>
      <c r="F131" s="926" t="s">
        <v>188</v>
      </c>
      <c r="G131" s="927">
        <f>D131+28</f>
        <v>42737</v>
      </c>
      <c r="H131" s="926"/>
      <c r="I131" s="924">
        <f>VLOOKUP(B131,DT.NK!B:AZ,51,0)</f>
        <v>48</v>
      </c>
      <c r="J131" s="926" t="str">
        <f>N131</f>
        <v>Vượng Phát</v>
      </c>
      <c r="L131" s="878">
        <v>35</v>
      </c>
      <c r="N131" t="str">
        <f t="shared" si="7"/>
        <v>Vượng Phát</v>
      </c>
      <c r="O131" t="str">
        <f>VLOOKUP(B131,ĐTBBLMBT!$B:$Q,16,0)</f>
        <v>Công ty TNHH đầu tư và phát triển KD Vượng Phát</v>
      </c>
    </row>
    <row r="132" spans="1:15" ht="20.100000000000001" customHeight="1">
      <c r="A132" s="926">
        <v>123</v>
      </c>
      <c r="B132" s="926" t="str">
        <f>VLOOKUP(A132,DT.NK!A:AZ,2,0)</f>
        <v>A54</v>
      </c>
      <c r="C132" s="926">
        <f>VLOOKUP(B132,ĐTBBLMBT!B:AJ,35,0)</f>
        <v>2</v>
      </c>
      <c r="D132" s="927">
        <f>VLOOKUP(B132,DT.NK!B:AZ,49,0)</f>
        <v>42710</v>
      </c>
      <c r="E132" s="927">
        <f>D132+7</f>
        <v>42717</v>
      </c>
      <c r="F132" s="926" t="s">
        <v>188</v>
      </c>
      <c r="G132" s="927">
        <f>D132+28</f>
        <v>42738</v>
      </c>
      <c r="H132" s="926"/>
      <c r="I132" s="924">
        <f>VLOOKUP(B132,DT.NK!B:AZ,51,0)</f>
        <v>19</v>
      </c>
      <c r="J132" s="926" t="str">
        <f>N132</f>
        <v>Vượng Phát</v>
      </c>
      <c r="L132" s="878">
        <v>36</v>
      </c>
      <c r="N132" t="str">
        <f t="shared" si="7"/>
        <v>Vượng Phát</v>
      </c>
      <c r="O132" t="str">
        <f>VLOOKUP(B132,ĐTBBLMBT!$B:$Q,16,0)</f>
        <v>Công ty TNHH đầu tư và phát triển KD Vượng Phát</v>
      </c>
    </row>
    <row r="133" spans="1:15" ht="20.100000000000001" customHeight="1">
      <c r="A133" s="926">
        <v>124</v>
      </c>
      <c r="B133" s="926" t="str">
        <f>VLOOKUP(A133,DT.NK!A:AZ,2,0)</f>
        <v>A59</v>
      </c>
      <c r="C133" s="926">
        <f>VLOOKUP(B133,ĐTBBLMBT!B:AJ,35,0)</f>
        <v>2</v>
      </c>
      <c r="D133" s="927">
        <f>VLOOKUP(B133,DT.NK!B:AZ,49,0)</f>
        <v>42710</v>
      </c>
      <c r="E133" s="927">
        <f>D133+7</f>
        <v>42717</v>
      </c>
      <c r="F133" s="926" t="s">
        <v>188</v>
      </c>
      <c r="G133" s="927">
        <f>D133+28</f>
        <v>42738</v>
      </c>
      <c r="H133" s="926"/>
      <c r="I133" s="924">
        <f>VLOOKUP(B133,DT.NK!B:AZ,51,0)</f>
        <v>19</v>
      </c>
      <c r="J133" s="926" t="str">
        <f>N133</f>
        <v>Vượng Phát</v>
      </c>
      <c r="L133" s="878">
        <v>37</v>
      </c>
      <c r="N133" t="str">
        <f t="shared" si="7"/>
        <v>Vượng Phát</v>
      </c>
      <c r="O133" t="str">
        <f>VLOOKUP(B133,ĐTBBLMBT!$B:$Q,16,0)</f>
        <v>Công ty TNHH đầu tư và phát triển KD Vượng Phát</v>
      </c>
    </row>
    <row r="134" spans="1:15" ht="20.100000000000001" customHeight="1">
      <c r="A134" s="926">
        <v>125</v>
      </c>
      <c r="B134" s="926" t="str">
        <f>VLOOKUP(A134,DT.NK!A:AZ,2,0)</f>
        <v>A55</v>
      </c>
      <c r="C134" s="926">
        <f>VLOOKUP(B134,ĐTBBLMBT!B:AJ,35,0)</f>
        <v>3</v>
      </c>
      <c r="D134" s="927">
        <f>VLOOKUP(B134,DT.NK!B:AZ,49,0)</f>
        <v>42710</v>
      </c>
      <c r="E134" s="927">
        <f>D134+7</f>
        <v>42717</v>
      </c>
      <c r="F134" s="926" t="s">
        <v>188</v>
      </c>
      <c r="G134" s="927">
        <f>D134+28</f>
        <v>42738</v>
      </c>
      <c r="H134" s="926"/>
      <c r="I134" s="924">
        <f>VLOOKUP(B134,DT.NK!B:AZ,51,0)</f>
        <v>25</v>
      </c>
      <c r="J134" s="926" t="str">
        <f>N134</f>
        <v>Vượng Phát</v>
      </c>
      <c r="L134" s="878">
        <v>38</v>
      </c>
      <c r="N134" t="str">
        <f t="shared" si="7"/>
        <v>Vượng Phát</v>
      </c>
      <c r="O134" t="str">
        <f>VLOOKUP(B134,ĐTBBLMBT!$B:$Q,16,0)</f>
        <v>Công ty TNHH đầu tư và phát triển KD Vượng Phát</v>
      </c>
    </row>
    <row r="135" spans="1:15" ht="20.100000000000001" customHeight="1">
      <c r="A135" s="926">
        <v>126</v>
      </c>
      <c r="B135" s="926" t="str">
        <f>VLOOKUP(A135,DT.NK!A:AZ,2,0)</f>
        <v>A68</v>
      </c>
      <c r="C135" s="926">
        <f>VLOOKUP(B135,ĐTBBLMBT!B:AJ,35,0)</f>
        <v>3</v>
      </c>
      <c r="D135" s="927">
        <f>VLOOKUP(B135,DT.NK!B:AZ,49,0)</f>
        <v>42711</v>
      </c>
      <c r="E135" s="927">
        <f t="shared" ref="E135:E142" si="20">D135+7</f>
        <v>42718</v>
      </c>
      <c r="F135" s="926" t="s">
        <v>188</v>
      </c>
      <c r="G135" s="927">
        <f t="shared" ref="G135:G138" si="21">D135+28</f>
        <v>42739</v>
      </c>
      <c r="H135" s="926"/>
      <c r="I135" s="924">
        <f>VLOOKUP(B135,DT.NK!B:AZ,51,0)</f>
        <v>23</v>
      </c>
      <c r="J135" s="926" t="str">
        <f t="shared" ref="J135:J138" si="22">N135</f>
        <v>Vượng Phát</v>
      </c>
      <c r="N135" t="str">
        <f t="shared" si="7"/>
        <v>Vượng Phát</v>
      </c>
      <c r="O135" t="str">
        <f>VLOOKUP(B135,ĐTBBLMBT!$B:$Q,16,0)</f>
        <v>Công ty TNHH đầu tư và phát triển KD Vượng Phát</v>
      </c>
    </row>
    <row r="136" spans="1:15" ht="20.100000000000001" customHeight="1">
      <c r="A136" s="926">
        <v>127</v>
      </c>
      <c r="B136" s="926" t="str">
        <f>VLOOKUP(A136,DT.NK!A:AZ,2,0)</f>
        <v>A56</v>
      </c>
      <c r="C136" s="926">
        <f>VLOOKUP(B136,ĐTBBLMBT!B:AJ,35,0)</f>
        <v>3</v>
      </c>
      <c r="D136" s="927">
        <f>VLOOKUP(B136,DT.NK!B:AZ,49,0)</f>
        <v>42711</v>
      </c>
      <c r="E136" s="927">
        <f t="shared" si="20"/>
        <v>42718</v>
      </c>
      <c r="F136" s="926" t="s">
        <v>188</v>
      </c>
      <c r="G136" s="927">
        <f t="shared" si="21"/>
        <v>42739</v>
      </c>
      <c r="H136" s="926"/>
      <c r="I136" s="924">
        <f>VLOOKUP(B136,DT.NK!B:AZ,51,0)</f>
        <v>34</v>
      </c>
      <c r="J136" s="926" t="str">
        <f t="shared" si="22"/>
        <v>Vượng Phát</v>
      </c>
      <c r="N136" t="str">
        <f t="shared" si="7"/>
        <v>Vượng Phát</v>
      </c>
      <c r="O136" t="str">
        <f>VLOOKUP(B136,ĐTBBLMBT!$B:$Q,16,0)</f>
        <v>Công ty TNHH đầu tư và phát triển KD Vượng Phát</v>
      </c>
    </row>
    <row r="137" spans="1:15" ht="20.100000000000001" customHeight="1">
      <c r="A137" s="926">
        <v>128</v>
      </c>
      <c r="B137" s="926" t="str">
        <f>VLOOKUP(A137,DT.NK!A:AZ,2,0)</f>
        <v>A58</v>
      </c>
      <c r="C137" s="926">
        <f>VLOOKUP(B137,ĐTBBLMBT!B:AJ,35,0)</f>
        <v>3</v>
      </c>
      <c r="D137" s="927">
        <f>VLOOKUP(B137,DT.NK!B:AZ,49,0)</f>
        <v>42712</v>
      </c>
      <c r="E137" s="927">
        <f t="shared" si="20"/>
        <v>42719</v>
      </c>
      <c r="F137" s="926" t="s">
        <v>188</v>
      </c>
      <c r="G137" s="927">
        <f t="shared" si="21"/>
        <v>42740</v>
      </c>
      <c r="H137" s="926"/>
      <c r="I137" s="924">
        <f>VLOOKUP(B137,DT.NK!B:AZ,51,0)</f>
        <v>30</v>
      </c>
      <c r="J137" s="926" t="str">
        <f t="shared" si="22"/>
        <v>Vượng Phát</v>
      </c>
      <c r="N137" t="str">
        <f t="shared" si="7"/>
        <v>Vượng Phát</v>
      </c>
      <c r="O137" t="str">
        <f>VLOOKUP(B137,ĐTBBLMBT!$B:$Q,16,0)</f>
        <v>Công ty TNHH đầu tư và phát triển KD Vượng Phát</v>
      </c>
    </row>
    <row r="138" spans="1:15" ht="20.100000000000001" customHeight="1">
      <c r="A138" s="926">
        <v>129</v>
      </c>
      <c r="B138" s="926" t="str">
        <f>VLOOKUP(A138,DT.NK!A:AZ,2,0)</f>
        <v>A11</v>
      </c>
      <c r="C138" s="926">
        <f>VLOOKUP(B138,ĐTBBLMBT!B:AJ,35,0)</f>
        <v>2</v>
      </c>
      <c r="D138" s="927">
        <f>VLOOKUP(B138,DT.NK!B:AZ,49,0)</f>
        <v>42712</v>
      </c>
      <c r="E138" s="927">
        <f t="shared" si="20"/>
        <v>42719</v>
      </c>
      <c r="F138" s="926" t="s">
        <v>188</v>
      </c>
      <c r="G138" s="927">
        <f t="shared" si="21"/>
        <v>42740</v>
      </c>
      <c r="H138" s="926"/>
      <c r="I138" s="924">
        <f>VLOOKUP(B138,DT.NK!B:AZ,51,0)</f>
        <v>23</v>
      </c>
      <c r="J138" s="926" t="str">
        <f t="shared" si="22"/>
        <v>Vượng Phát</v>
      </c>
      <c r="N138" t="str">
        <f t="shared" si="7"/>
        <v>Vượng Phát</v>
      </c>
      <c r="O138" t="str">
        <f>VLOOKUP(B138,ĐTBBLMBT!$B:$Q,16,0)</f>
        <v>Công ty TNHH đầu tư và phát triển KD Vượng Phát</v>
      </c>
    </row>
    <row r="139" spans="1:15" ht="20.100000000000001" customHeight="1">
      <c r="A139" s="926">
        <v>130</v>
      </c>
      <c r="B139" s="926" t="str">
        <f>VLOOKUP(A139,DT.NK!A:AZ,2,0)</f>
        <v>A57</v>
      </c>
      <c r="C139" s="926">
        <f>VLOOKUP(B139,ĐTBBLMBT!B:AJ,35,0)</f>
        <v>2</v>
      </c>
      <c r="D139" s="927">
        <f>VLOOKUP(B139,DT.NK!B:AZ,49,0)</f>
        <v>42712</v>
      </c>
      <c r="E139" s="927">
        <f>D139+7</f>
        <v>42719</v>
      </c>
      <c r="F139" s="926" t="s">
        <v>188</v>
      </c>
      <c r="G139" s="927">
        <f>D139+28</f>
        <v>42740</v>
      </c>
      <c r="H139" s="926"/>
      <c r="I139" s="924">
        <f>VLOOKUP(B139,DT.NK!B:AZ,51,0)</f>
        <v>30.5</v>
      </c>
      <c r="J139" s="926" t="str">
        <f>N139</f>
        <v>Vượng Phát</v>
      </c>
      <c r="N139" t="str">
        <f t="shared" ref="N139:N160" si="23">RIGHT(O139,12)</f>
        <v>Vượng Phát</v>
      </c>
      <c r="O139" t="str">
        <f>VLOOKUP(B139,ĐTBBLMBT!$B:$Q,16,0)</f>
        <v>Công ty TNHH đầu tư và phát triển KD Vượng Phát</v>
      </c>
    </row>
    <row r="140" spans="1:15" ht="20.100000000000001" customHeight="1">
      <c r="A140" s="926">
        <v>131</v>
      </c>
      <c r="B140" s="926" t="str">
        <f>VLOOKUP(A140,DT.NK!A:AZ,2,0)</f>
        <v>A12</v>
      </c>
      <c r="C140" s="926">
        <f>VLOOKUP(B140,ĐTBBLMBT!B:AJ,35,0)</f>
        <v>3</v>
      </c>
      <c r="D140" s="927">
        <f>VLOOKUP(B140,DT.NK!B:AZ,49,0)</f>
        <v>42713</v>
      </c>
      <c r="E140" s="927">
        <f t="shared" si="20"/>
        <v>42720</v>
      </c>
      <c r="F140" s="926" t="s">
        <v>188</v>
      </c>
      <c r="G140" s="927">
        <f t="shared" ref="G140:G142" si="24">D140+28</f>
        <v>42741</v>
      </c>
      <c r="H140" s="926"/>
      <c r="I140" s="924">
        <f>VLOOKUP(B140,DT.NK!B:AZ,51,0)</f>
        <v>20.6</v>
      </c>
      <c r="J140" s="926" t="str">
        <f t="shared" ref="J140:J142" si="25">N140</f>
        <v>Vượng Phát</v>
      </c>
      <c r="N140" t="str">
        <f t="shared" si="23"/>
        <v>Vượng Phát</v>
      </c>
      <c r="O140" t="str">
        <f>VLOOKUP(B140,ĐTBBLMBT!$B:$Q,16,0)</f>
        <v>Công ty TNHH đầu tư và phát triển KD Vượng Phát</v>
      </c>
    </row>
    <row r="141" spans="1:15" ht="20.100000000000001" customHeight="1">
      <c r="A141" s="926">
        <v>132</v>
      </c>
      <c r="B141" s="926" t="str">
        <f>VLOOKUP(A141,DT.NK!A:AZ,2,0)</f>
        <v>A77</v>
      </c>
      <c r="C141" s="926">
        <f>VLOOKUP(B141,ĐTBBLMBT!B:AJ,35,0)</f>
        <v>2</v>
      </c>
      <c r="D141" s="927">
        <f>VLOOKUP(B141,DT.NK!B:AZ,49,0)</f>
        <v>42713</v>
      </c>
      <c r="E141" s="927">
        <f t="shared" si="20"/>
        <v>42720</v>
      </c>
      <c r="F141" s="926" t="s">
        <v>188</v>
      </c>
      <c r="G141" s="927">
        <f t="shared" si="24"/>
        <v>42741</v>
      </c>
      <c r="H141" s="926"/>
      <c r="I141" s="924">
        <f>VLOOKUP(B141,DT.NK!B:AZ,51,0)</f>
        <v>25</v>
      </c>
      <c r="J141" s="926" t="str">
        <f t="shared" si="25"/>
        <v>Vượng Phát</v>
      </c>
      <c r="N141" t="str">
        <f t="shared" si="23"/>
        <v>Vượng Phát</v>
      </c>
      <c r="O141" t="str">
        <f>VLOOKUP(B141,ĐTBBLMBT!$B:$Q,16,0)</f>
        <v>Công ty TNHH đầu tư và phát triển KD Vượng Phát</v>
      </c>
    </row>
    <row r="142" spans="1:15" ht="20.100000000000001" customHeight="1">
      <c r="A142" s="926">
        <v>133</v>
      </c>
      <c r="B142" s="926" t="str">
        <f>VLOOKUP(A142,DT.NK!A:AZ,2,0)</f>
        <v>A136</v>
      </c>
      <c r="C142" s="926">
        <f>VLOOKUP(B142,ĐTBBLMBT!B:AJ,35,0)</f>
        <v>3</v>
      </c>
      <c r="D142" s="927">
        <f>VLOOKUP(B142,DT.NK!B:AZ,49,0)</f>
        <v>42714</v>
      </c>
      <c r="E142" s="927">
        <f t="shared" si="20"/>
        <v>42721</v>
      </c>
      <c r="F142" s="926" t="s">
        <v>188</v>
      </c>
      <c r="G142" s="927">
        <f t="shared" si="24"/>
        <v>42742</v>
      </c>
      <c r="H142" s="926"/>
      <c r="I142" s="924">
        <f>VLOOKUP(B142,DT.NK!B:AZ,51,0)</f>
        <v>33.5</v>
      </c>
      <c r="J142" s="926" t="str">
        <f t="shared" si="25"/>
        <v>Vượng Phát</v>
      </c>
      <c r="N142" t="str">
        <f t="shared" si="23"/>
        <v>Vượng Phát</v>
      </c>
      <c r="O142" t="str">
        <f>VLOOKUP(B142,ĐTBBLMBT!$B:$Q,16,0)</f>
        <v>Công ty TNHH đầu tư và phát triển KD Vượng Phát</v>
      </c>
    </row>
    <row r="143" spans="1:15" ht="20.100000000000001" customHeight="1">
      <c r="A143" s="926">
        <v>134</v>
      </c>
      <c r="B143" s="926" t="str">
        <f>VLOOKUP(A143,DT.NK!A:AZ,2,0)</f>
        <v>A66</v>
      </c>
      <c r="C143" s="926">
        <f>VLOOKUP(B143,ĐTBBLMBT!B:AJ,35,0)</f>
        <v>3</v>
      </c>
      <c r="D143" s="927">
        <f>VLOOKUP(B143,DT.NK!B:AZ,49,0)</f>
        <v>42714</v>
      </c>
      <c r="E143" s="927">
        <f t="shared" ref="E143:E148" si="26">D143+7</f>
        <v>42721</v>
      </c>
      <c r="F143" s="926" t="s">
        <v>188</v>
      </c>
      <c r="G143" s="927">
        <f t="shared" ref="G143:G148" si="27">D143+28</f>
        <v>42742</v>
      </c>
      <c r="H143" s="926"/>
      <c r="I143" s="924">
        <f>VLOOKUP(B143,DT.NK!B:AZ,51,0)</f>
        <v>24</v>
      </c>
      <c r="J143" s="926" t="str">
        <f t="shared" ref="J143:J148" si="28">N143</f>
        <v>Vượng Phát</v>
      </c>
      <c r="N143" t="str">
        <f t="shared" si="23"/>
        <v>Vượng Phát</v>
      </c>
      <c r="O143" t="str">
        <f>VLOOKUP(B143,ĐTBBLMBT!$B:$Q,16,0)</f>
        <v>Công ty TNHH đầu tư và phát triển KD Vượng Phát</v>
      </c>
    </row>
    <row r="144" spans="1:15" ht="20.100000000000001" customHeight="1">
      <c r="A144" s="926">
        <v>135</v>
      </c>
      <c r="B144" s="926" t="str">
        <f>VLOOKUP(A144,DT.NK!A:AZ,2,0)</f>
        <v>B25</v>
      </c>
      <c r="C144" s="926">
        <f>VLOOKUP(B144,ĐTBBLMBT!B:AJ,35,0)</f>
        <v>2</v>
      </c>
      <c r="D144" s="927">
        <f>VLOOKUP(B144,DT.NK!B:AZ,49,0)</f>
        <v>42714</v>
      </c>
      <c r="E144" s="927">
        <f t="shared" si="26"/>
        <v>42721</v>
      </c>
      <c r="F144" s="926" t="s">
        <v>188</v>
      </c>
      <c r="G144" s="927">
        <f t="shared" si="27"/>
        <v>42742</v>
      </c>
      <c r="H144" s="926"/>
      <c r="I144" s="924">
        <f>VLOOKUP(B144,DT.NK!B:AZ,51,0)</f>
        <v>15</v>
      </c>
      <c r="J144" s="926" t="str">
        <f t="shared" si="28"/>
        <v>Vượng Phát</v>
      </c>
      <c r="N144" t="str">
        <f t="shared" si="23"/>
        <v>Vượng Phát</v>
      </c>
      <c r="O144" t="str">
        <f>VLOOKUP(B144,ĐTBBLMBT!$B:$Q,16,0)</f>
        <v>Công ty TNHH đầu tư và phát triển KD Vượng Phát</v>
      </c>
    </row>
    <row r="145" spans="1:16" ht="20.100000000000001" customHeight="1">
      <c r="A145" s="926">
        <v>136</v>
      </c>
      <c r="B145" s="926" t="str">
        <f>VLOOKUP(A145,DT.NK!A:AZ,2,0)</f>
        <v>A13</v>
      </c>
      <c r="C145" s="926">
        <f>VLOOKUP(B145,ĐTBBLMBT!B:AJ,35,0)</f>
        <v>3</v>
      </c>
      <c r="D145" s="927">
        <f>VLOOKUP(B145,DT.NK!B:AZ,49,0)</f>
        <v>42715</v>
      </c>
      <c r="E145" s="927">
        <f t="shared" si="26"/>
        <v>42722</v>
      </c>
      <c r="F145" s="926" t="s">
        <v>188</v>
      </c>
      <c r="G145" s="927">
        <f t="shared" si="27"/>
        <v>42743</v>
      </c>
      <c r="H145" s="926"/>
      <c r="I145" s="924">
        <f>VLOOKUP(B145,DT.NK!B:AZ,51,0)</f>
        <v>24</v>
      </c>
      <c r="J145" s="926" t="str">
        <f t="shared" si="28"/>
        <v>Vượng Phát</v>
      </c>
      <c r="N145" t="str">
        <f t="shared" si="23"/>
        <v>Vượng Phát</v>
      </c>
      <c r="O145" t="str">
        <f>VLOOKUP(B145,ĐTBBLMBT!$B:$Q,16,0)</f>
        <v>Công ty TNHH đầu tư và phát triển KD Vượng Phát</v>
      </c>
    </row>
    <row r="146" spans="1:16" ht="20.100000000000001" customHeight="1">
      <c r="A146" s="926">
        <v>137</v>
      </c>
      <c r="B146" s="926" t="str">
        <f>VLOOKUP(A146,DT.NK!A:AZ,2,0)</f>
        <v>A155</v>
      </c>
      <c r="C146" s="926">
        <f>VLOOKUP(B146,ĐTBBLMBT!B:AJ,35,0)</f>
        <v>3</v>
      </c>
      <c r="D146" s="927">
        <f>VLOOKUP(B146,DT.NK!B:AZ,49,0)</f>
        <v>42715</v>
      </c>
      <c r="E146" s="927">
        <f t="shared" si="26"/>
        <v>42722</v>
      </c>
      <c r="F146" s="926" t="s">
        <v>188</v>
      </c>
      <c r="G146" s="927">
        <f t="shared" si="27"/>
        <v>42743</v>
      </c>
      <c r="H146" s="926"/>
      <c r="I146" s="924">
        <f>VLOOKUP(B146,DT.NK!B:AZ,51,0)</f>
        <v>31.5</v>
      </c>
      <c r="J146" s="926" t="str">
        <f t="shared" si="28"/>
        <v>Vượng Phát</v>
      </c>
      <c r="N146" t="str">
        <f t="shared" si="23"/>
        <v>Vượng Phát</v>
      </c>
      <c r="O146" t="str">
        <f>VLOOKUP(B146,ĐTBBLMBT!$B:$Q,16,0)</f>
        <v>Công ty TNHH đầu tư và phát triển KD Vượng Phát</v>
      </c>
    </row>
    <row r="147" spans="1:16" ht="20.100000000000001" customHeight="1">
      <c r="A147" s="926">
        <v>138</v>
      </c>
      <c r="B147" s="926" t="str">
        <f>VLOOKUP(A147,DT.NK!A:AZ,2,0)</f>
        <v>A135</v>
      </c>
      <c r="C147" s="926">
        <f>VLOOKUP(B147,ĐTBBLMBT!B:AJ,35,0)</f>
        <v>3</v>
      </c>
      <c r="D147" s="927">
        <f>VLOOKUP(B147,DT.NK!B:AZ,49,0)</f>
        <v>42716</v>
      </c>
      <c r="E147" s="927">
        <f t="shared" si="26"/>
        <v>42723</v>
      </c>
      <c r="F147" s="926" t="s">
        <v>188</v>
      </c>
      <c r="G147" s="927">
        <f t="shared" si="27"/>
        <v>42744</v>
      </c>
      <c r="H147" s="926"/>
      <c r="I147" s="924">
        <f>VLOOKUP(B147,DT.NK!B:AZ,51,0)</f>
        <v>28.5</v>
      </c>
      <c r="J147" s="926" t="str">
        <f t="shared" si="28"/>
        <v>Vượng Phát</v>
      </c>
      <c r="N147" t="str">
        <f t="shared" si="23"/>
        <v>Vượng Phát</v>
      </c>
      <c r="O147" t="str">
        <f>VLOOKUP(B147,ĐTBBLMBT!$B:$Q,16,0)</f>
        <v>Công ty TNHH đầu tư và phát triển KD Vượng Phát</v>
      </c>
    </row>
    <row r="148" spans="1:16" ht="20.100000000000001" customHeight="1">
      <c r="A148" s="926">
        <v>139</v>
      </c>
      <c r="B148" s="926" t="str">
        <f>VLOOKUP(A148,DT.NK!A:AZ,2,0)</f>
        <v>A154</v>
      </c>
      <c r="C148" s="926">
        <f>VLOOKUP(B148,ĐTBBLMBT!B:AJ,35,0)</f>
        <v>3</v>
      </c>
      <c r="D148" s="927">
        <f>VLOOKUP(B148,DT.NK!B:AZ,49,0)</f>
        <v>42716</v>
      </c>
      <c r="E148" s="927">
        <f t="shared" si="26"/>
        <v>42723</v>
      </c>
      <c r="F148" s="926"/>
      <c r="G148" s="927">
        <f t="shared" si="27"/>
        <v>42744</v>
      </c>
      <c r="H148" s="926"/>
      <c r="I148" s="924">
        <f>VLOOKUP(B148,DT.NK!B:AZ,51,0)</f>
        <v>72</v>
      </c>
      <c r="J148" s="926" t="str">
        <f t="shared" si="28"/>
        <v>Vượng Phát</v>
      </c>
      <c r="N148" s="1057" t="str">
        <f t="shared" si="23"/>
        <v>Vượng Phát</v>
      </c>
      <c r="O148" t="str">
        <f>VLOOKUP(B148,ĐTBBLMBT!$B:$Q,16,0)</f>
        <v>Công ty TNHH đầu tư và phát triển KD Vượng Phát</v>
      </c>
    </row>
    <row r="149" spans="1:16" ht="20.100000000000001" customHeight="1">
      <c r="A149" s="926">
        <v>140</v>
      </c>
      <c r="B149" s="926" t="str">
        <f>VLOOKUP(A149,DT.NK!A:AZ,2,0)</f>
        <v>BP4</v>
      </c>
      <c r="C149" s="926">
        <f>VLOOKUP(B149,ĐTBBLMBT!B:AJ,35,0)</f>
        <v>2</v>
      </c>
      <c r="D149" s="927">
        <f>VLOOKUP(B149,DT.NK!B:AZ,49,0)</f>
        <v>42716</v>
      </c>
      <c r="E149" s="927">
        <f t="shared" ref="E149:E150" si="29">D149+7</f>
        <v>42723</v>
      </c>
      <c r="F149" s="926"/>
      <c r="G149" s="927">
        <f t="shared" ref="G149:G150" si="30">D149+28</f>
        <v>42744</v>
      </c>
      <c r="H149" s="926"/>
      <c r="I149" s="924">
        <f>VLOOKUP(B149,DT.NK!B:AZ,51,0)</f>
        <v>13</v>
      </c>
      <c r="J149" s="926" t="str">
        <f t="shared" ref="J149:J150" si="31">N149</f>
        <v>Vượng Phát</v>
      </c>
      <c r="N149" s="1057" t="str">
        <f t="shared" si="23"/>
        <v>Vượng Phát</v>
      </c>
      <c r="O149" t="str">
        <f>VLOOKUP(B149,ĐTBBLMBT!$B:$Q,16,0)</f>
        <v>Công ty TNHH đầu tư và phát triển KD Vượng Phát</v>
      </c>
    </row>
    <row r="150" spans="1:16" ht="20.100000000000001" customHeight="1">
      <c r="A150" s="926">
        <v>141</v>
      </c>
      <c r="B150" s="926" t="str">
        <f>VLOOKUP(A150,DT.NK!A:AZ,2,0)</f>
        <v>A65</v>
      </c>
      <c r="C150" s="926">
        <f>VLOOKUP(B150,ĐTBBLMBT!B:AJ,35,0)</f>
        <v>3</v>
      </c>
      <c r="D150" s="927">
        <f>VLOOKUP(B150,DT.NK!B:AZ,49,0)</f>
        <v>42717</v>
      </c>
      <c r="E150" s="927">
        <f t="shared" si="29"/>
        <v>42724</v>
      </c>
      <c r="F150" s="926"/>
      <c r="G150" s="927">
        <f t="shared" si="30"/>
        <v>42745</v>
      </c>
      <c r="H150" s="926"/>
      <c r="I150" s="924">
        <f>VLOOKUP(B150,DT.NK!B:AZ,51,0)</f>
        <v>61</v>
      </c>
      <c r="J150" s="926" t="str">
        <f t="shared" si="31"/>
        <v>Vượng Phát</v>
      </c>
      <c r="N150" s="1057" t="str">
        <f t="shared" si="23"/>
        <v>Vượng Phát</v>
      </c>
      <c r="O150" t="str">
        <f>VLOOKUP(B150,ĐTBBLMBT!$B:$Q,16,0)</f>
        <v>Công ty TNHH đầu tư và phát triển KD Vượng Phát</v>
      </c>
    </row>
    <row r="151" spans="1:16" ht="20.100000000000001" customHeight="1">
      <c r="A151" s="926">
        <v>142</v>
      </c>
      <c r="B151" s="926" t="str">
        <f>VLOOKUP(A151,DT.NK!A:AZ,2,0)</f>
        <v>A69</v>
      </c>
      <c r="C151" s="926">
        <f>VLOOKUP(B151,ĐTBBLMBT!B:AJ,35,0)</f>
        <v>2</v>
      </c>
      <c r="D151" s="927">
        <f>VLOOKUP(B151,DT.NK!B:AZ,49,0)</f>
        <v>42717</v>
      </c>
      <c r="E151" s="927">
        <f t="shared" ref="E151:E152" si="32">D151+7</f>
        <v>42724</v>
      </c>
      <c r="F151" s="926"/>
      <c r="G151" s="927">
        <f t="shared" ref="G151:G152" si="33">D151+28</f>
        <v>42745</v>
      </c>
      <c r="H151" s="926"/>
      <c r="I151" s="924">
        <f>VLOOKUP(B151,DT.NK!B:AZ,51,0)</f>
        <v>25.5</v>
      </c>
      <c r="J151" s="926" t="str">
        <f t="shared" ref="J151:J152" si="34">N151</f>
        <v>Vượng Phát</v>
      </c>
      <c r="N151" s="1057" t="str">
        <f t="shared" si="23"/>
        <v>Vượng Phát</v>
      </c>
      <c r="O151" t="str">
        <f>VLOOKUP(B151,ĐTBBLMBT!$B:$Q,16,0)</f>
        <v>Công ty TNHH đầu tư và phát triển KD Vượng Phát</v>
      </c>
    </row>
    <row r="152" spans="1:16" ht="20.100000000000001" customHeight="1">
      <c r="A152" s="926">
        <v>143</v>
      </c>
      <c r="B152" s="926" t="str">
        <f>VLOOKUP(A152,DT.NK!A:AZ,2,0)</f>
        <v>A73</v>
      </c>
      <c r="C152" s="926">
        <f>VLOOKUP(B152,ĐTBBLMBT!B:AJ,35,0)</f>
        <v>3</v>
      </c>
      <c r="D152" s="927">
        <f>VLOOKUP(B152,DT.NK!B:AZ,49,0)</f>
        <v>42718</v>
      </c>
      <c r="E152" s="927">
        <f t="shared" si="32"/>
        <v>42725</v>
      </c>
      <c r="F152" s="926"/>
      <c r="G152" s="927">
        <f t="shared" si="33"/>
        <v>42746</v>
      </c>
      <c r="H152" s="926"/>
      <c r="I152" s="924">
        <f>VLOOKUP(B152,DT.NK!B:AZ,51,0)</f>
        <v>33</v>
      </c>
      <c r="J152" s="926" t="str">
        <f t="shared" si="34"/>
        <v>Vượng Phát</v>
      </c>
      <c r="N152" s="1057" t="str">
        <f t="shared" si="23"/>
        <v>Vượng Phát</v>
      </c>
      <c r="O152" s="1057" t="str">
        <f>VLOOKUP(B152,ĐTBBLMBT!$B:$Q,16,0)</f>
        <v>Công ty TNHH đầu tư và phát triển KD Vượng Phát</v>
      </c>
      <c r="P152" s="1057"/>
    </row>
    <row r="153" spans="1:16" ht="20.100000000000001" customHeight="1">
      <c r="A153" s="926">
        <v>144</v>
      </c>
      <c r="B153" s="926" t="str">
        <f>VLOOKUP(A153,DT.NK!A:AZ,2,0)</f>
        <v>BP3</v>
      </c>
      <c r="C153" s="926">
        <f>VLOOKUP(B153,ĐTBBLMBT!B:AJ,35,0)</f>
        <v>2</v>
      </c>
      <c r="D153" s="927">
        <f>VLOOKUP(B153,DT.NK!B:AZ,49,0)</f>
        <v>42718</v>
      </c>
      <c r="E153" s="927">
        <f t="shared" ref="E153:E158" si="35">D153+7</f>
        <v>42725</v>
      </c>
      <c r="F153" s="926"/>
      <c r="G153" s="927">
        <f t="shared" ref="G153:G158" si="36">D153+28</f>
        <v>42746</v>
      </c>
      <c r="H153" s="926"/>
      <c r="I153" s="924">
        <f>VLOOKUP(B153,DT.NK!B:AZ,51,0)</f>
        <v>16</v>
      </c>
      <c r="J153" s="926" t="str">
        <f t="shared" ref="J153:J158" si="37">N153</f>
        <v>Vượng Phát</v>
      </c>
      <c r="N153" s="1057" t="str">
        <f t="shared" si="23"/>
        <v>Vượng Phát</v>
      </c>
      <c r="O153" s="1057" t="str">
        <f>VLOOKUP(B153,ĐTBBLMBT!$B:$Q,16,0)</f>
        <v>Công ty TNHH đầu tư và phát triển KD Vượng Phát</v>
      </c>
      <c r="P153" s="1057"/>
    </row>
    <row r="154" spans="1:16" ht="20.100000000000001" customHeight="1">
      <c r="A154" s="926">
        <v>145</v>
      </c>
      <c r="B154" s="926" t="str">
        <f>VLOOKUP(A154,DT.NK!A:AZ,2,0)</f>
        <v>A74</v>
      </c>
      <c r="C154" s="926">
        <f>VLOOKUP(B154,ĐTBBLMBT!B:AJ,35,0)</f>
        <v>3</v>
      </c>
      <c r="D154" s="927">
        <f>VLOOKUP(B154,DT.NK!B:AZ,49,0)</f>
        <v>42718</v>
      </c>
      <c r="E154" s="927">
        <f t="shared" si="35"/>
        <v>42725</v>
      </c>
      <c r="F154" s="926"/>
      <c r="G154" s="927">
        <f t="shared" si="36"/>
        <v>42746</v>
      </c>
      <c r="H154" s="926"/>
      <c r="I154" s="924">
        <f>VLOOKUP(B154,DT.NK!B:AZ,51,0)</f>
        <v>27</v>
      </c>
      <c r="J154" s="926" t="str">
        <f t="shared" si="37"/>
        <v>Vượng Phát</v>
      </c>
      <c r="N154" s="1057" t="str">
        <f t="shared" si="23"/>
        <v>Vượng Phát</v>
      </c>
      <c r="O154" s="1057" t="str">
        <f>VLOOKUP(B154,ĐTBBLMBT!$B:$Q,16,0)</f>
        <v>Công ty TNHH đầu tư và phát triển KD Vượng Phát</v>
      </c>
      <c r="P154" s="1057"/>
    </row>
    <row r="155" spans="1:16" ht="20.100000000000001" customHeight="1">
      <c r="A155" s="926">
        <v>146</v>
      </c>
      <c r="B155" s="926" t="str">
        <f>VLOOKUP(A155,DT.NK!A:AZ,2,0)</f>
        <v>A76</v>
      </c>
      <c r="C155" s="926">
        <f>VLOOKUP(B155,ĐTBBLMBT!B:AJ,35,0)</f>
        <v>2</v>
      </c>
      <c r="D155" s="927">
        <f>VLOOKUP(B155,DT.NK!B:AZ,49,0)</f>
        <v>42719</v>
      </c>
      <c r="E155" s="927">
        <f t="shared" si="35"/>
        <v>42726</v>
      </c>
      <c r="F155" s="926"/>
      <c r="G155" s="927">
        <f t="shared" si="36"/>
        <v>42747</v>
      </c>
      <c r="H155" s="926"/>
      <c r="I155" s="924">
        <f>VLOOKUP(B155,DT.NK!B:AZ,51,0)</f>
        <v>27</v>
      </c>
      <c r="J155" s="926" t="str">
        <f t="shared" si="37"/>
        <v>Vượng Phát</v>
      </c>
      <c r="N155" s="1057" t="str">
        <f t="shared" si="23"/>
        <v>Vượng Phát</v>
      </c>
      <c r="O155" s="1057" t="str">
        <f>VLOOKUP(B155,ĐTBBLMBT!$B:$Q,16,0)</f>
        <v>Công ty TNHH đầu tư và phát triển KD Vượng Phát</v>
      </c>
      <c r="P155" s="1057"/>
    </row>
    <row r="156" spans="1:16" ht="20.100000000000001" customHeight="1">
      <c r="A156" s="926">
        <v>147</v>
      </c>
      <c r="B156" s="926" t="str">
        <f>VLOOKUP(A156,DT.NK!A:AZ,2,0)</f>
        <v>A157</v>
      </c>
      <c r="C156" s="926">
        <f>VLOOKUP(B156,ĐTBBLMBT!B:AJ,35,0)</f>
        <v>3</v>
      </c>
      <c r="D156" s="927">
        <f>VLOOKUP(B156,DT.NK!B:AZ,49,0)</f>
        <v>42719</v>
      </c>
      <c r="E156" s="927">
        <f t="shared" si="35"/>
        <v>42726</v>
      </c>
      <c r="F156" s="926"/>
      <c r="G156" s="927">
        <f t="shared" si="36"/>
        <v>42747</v>
      </c>
      <c r="H156" s="926"/>
      <c r="I156" s="924">
        <f>VLOOKUP(B156,DT.NK!B:AZ,51,0)</f>
        <v>35</v>
      </c>
      <c r="J156" s="926" t="str">
        <f t="shared" si="37"/>
        <v>Vượng Phát</v>
      </c>
      <c r="N156" s="1066" t="s">
        <v>1152</v>
      </c>
      <c r="O156" s="1066" t="str">
        <f>VLOOKUP(B156,ĐTBBLMBT!$B:$Q,16,0)</f>
        <v>Công ty TNHH đầu tư và phát triển KD Vượng Phát</v>
      </c>
    </row>
    <row r="157" spans="1:16" ht="20.100000000000001" customHeight="1">
      <c r="A157" s="926">
        <v>148</v>
      </c>
      <c r="B157" s="926" t="str">
        <f>VLOOKUP(A157,DT.NK!A:AZ,2,0)</f>
        <v>A75</v>
      </c>
      <c r="C157" s="926">
        <f>VLOOKUP(B157,ĐTBBLMBT!B:AJ,35,0)</f>
        <v>3</v>
      </c>
      <c r="D157" s="927">
        <f>VLOOKUP(B157,DT.NK!B:AZ,49,0)</f>
        <v>42720</v>
      </c>
      <c r="E157" s="927">
        <f t="shared" si="35"/>
        <v>42727</v>
      </c>
      <c r="F157" s="926"/>
      <c r="G157" s="927">
        <f t="shared" si="36"/>
        <v>42748</v>
      </c>
      <c r="H157" s="926"/>
      <c r="I157" s="924">
        <f>VLOOKUP(B157,DT.NK!B:AZ,51,0)</f>
        <v>26</v>
      </c>
      <c r="J157" s="926" t="str">
        <f t="shared" si="37"/>
        <v>Vượng Phát</v>
      </c>
      <c r="N157" s="1066" t="str">
        <f t="shared" si="23"/>
        <v>Vượng Phát</v>
      </c>
      <c r="O157" s="1066" t="str">
        <f>VLOOKUP(B157,ĐTBBLMBT!$B:$Q,16,0)</f>
        <v>Công ty TNHH đầu tư và phát triển KD Vượng Phát</v>
      </c>
    </row>
    <row r="158" spans="1:16" ht="20.100000000000001" customHeight="1">
      <c r="A158" s="926">
        <v>149</v>
      </c>
      <c r="B158" s="926" t="str">
        <f>VLOOKUP(A158,DT.NK!A:AZ,2,0)</f>
        <v>A71</v>
      </c>
      <c r="C158" s="926">
        <f>VLOOKUP(B158,ĐTBBLMBT!B:AJ,35,0)</f>
        <v>3</v>
      </c>
      <c r="D158" s="927">
        <f>VLOOKUP(B158,DT.NK!B:AZ,49,0)</f>
        <v>42720</v>
      </c>
      <c r="E158" s="927">
        <f t="shared" si="35"/>
        <v>42727</v>
      </c>
      <c r="F158" s="926"/>
      <c r="G158" s="927">
        <f t="shared" si="36"/>
        <v>42748</v>
      </c>
      <c r="H158" s="926"/>
      <c r="I158" s="924">
        <f>VLOOKUP(B158,DT.NK!B:AZ,51,0)</f>
        <v>49</v>
      </c>
      <c r="J158" s="926" t="str">
        <f t="shared" si="37"/>
        <v>Vượng Phát</v>
      </c>
      <c r="N158" s="1066" t="str">
        <f t="shared" si="23"/>
        <v>Vượng Phát</v>
      </c>
      <c r="O158" s="1066" t="str">
        <f>VLOOKUP(B158,ĐTBBLMBT!$B:$Q,16,0)</f>
        <v>Công ty TNHH đầu tư và phát triển KD Vượng Phát</v>
      </c>
    </row>
    <row r="159" spans="1:16" ht="20.100000000000001" customHeight="1">
      <c r="A159" s="926">
        <v>150</v>
      </c>
      <c r="B159" s="926" t="str">
        <f>VLOOKUP(A159,DT.NK!A:AZ,2,0)</f>
        <v>A133</v>
      </c>
      <c r="C159" s="926">
        <f>VLOOKUP(B159,ĐTBBLMBT!B:AJ,35,0)</f>
        <v>3</v>
      </c>
      <c r="D159" s="927">
        <f>VLOOKUP(B159,DT.NK!B:AZ,49,0)</f>
        <v>42720</v>
      </c>
      <c r="E159" s="927">
        <f t="shared" ref="E159" si="38">D159+7</f>
        <v>42727</v>
      </c>
      <c r="F159" s="926"/>
      <c r="G159" s="927">
        <f t="shared" ref="G159" si="39">D159+28</f>
        <v>42748</v>
      </c>
      <c r="H159" s="926"/>
      <c r="I159" s="924">
        <f>VLOOKUP(B159,DT.NK!B:AZ,51,0)</f>
        <v>42</v>
      </c>
      <c r="J159" s="926" t="str">
        <f t="shared" ref="J159" si="40">N159</f>
        <v>Vượng Phát</v>
      </c>
      <c r="N159" s="1066" t="str">
        <f t="shared" si="23"/>
        <v>Vượng Phát</v>
      </c>
      <c r="O159" s="1066" t="str">
        <f>VLOOKUP(B159,ĐTBBLMBT!$B:$Q,16,0)</f>
        <v>Công ty TNHH đầu tư và phát triển KD Vượng Phát</v>
      </c>
    </row>
    <row r="160" spans="1:16" ht="20.100000000000001" customHeight="1">
      <c r="A160" s="926">
        <v>151</v>
      </c>
      <c r="B160" s="926" t="str">
        <f>VLOOKUP(A160,DT.NK!A:AZ,2,0)</f>
        <v>A70</v>
      </c>
      <c r="C160" s="926">
        <f>VLOOKUP(B160,ĐTBBLMBT!B:AJ,35,0)</f>
        <v>2</v>
      </c>
      <c r="D160" s="927">
        <f>VLOOKUP(B160,DT.NK!B:AZ,49,0)</f>
        <v>42721</v>
      </c>
      <c r="E160" s="927">
        <f t="shared" ref="E160:E166" si="41">D160+7</f>
        <v>42728</v>
      </c>
      <c r="F160" s="926"/>
      <c r="G160" s="927">
        <f t="shared" ref="G160:G166" si="42">D160+28</f>
        <v>42749</v>
      </c>
      <c r="H160" s="926"/>
      <c r="I160" s="924">
        <f>VLOOKUP(B160,DT.NK!B:AZ,51,0)</f>
        <v>31.5</v>
      </c>
      <c r="J160" s="926" t="str">
        <f t="shared" ref="J160:J166" si="43">N160</f>
        <v>Vượng Phát</v>
      </c>
      <c r="N160" s="1066" t="str">
        <f t="shared" si="23"/>
        <v>Vượng Phát</v>
      </c>
      <c r="O160" s="1066" t="str">
        <f>VLOOKUP(B160,ĐTBBLMBT!$B:$Q,16,0)</f>
        <v>Công ty TNHH đầu tư và phát triển KD Vượng Phát</v>
      </c>
    </row>
    <row r="161" spans="1:15" ht="20.100000000000001" customHeight="1">
      <c r="A161" s="926">
        <v>152</v>
      </c>
      <c r="B161" s="926" t="str">
        <f>VLOOKUP(A161,DT.NK!A:AZ,2,0)</f>
        <v>A72</v>
      </c>
      <c r="C161" s="926">
        <f>VLOOKUP(B161,ĐTBBLMBT!B:AJ,35,0)</f>
        <v>3</v>
      </c>
      <c r="D161" s="927">
        <f>VLOOKUP(B161,DT.NK!B:AZ,49,0)</f>
        <v>42721</v>
      </c>
      <c r="E161" s="927">
        <f t="shared" si="41"/>
        <v>42728</v>
      </c>
      <c r="F161" s="926"/>
      <c r="G161" s="927">
        <f t="shared" si="42"/>
        <v>42749</v>
      </c>
      <c r="H161" s="926"/>
      <c r="I161" s="924">
        <f>VLOOKUP(B161,DT.NK!B:AZ,51,0)</f>
        <v>34</v>
      </c>
      <c r="J161" s="926" t="str">
        <f t="shared" si="43"/>
        <v>Vượng Phát</v>
      </c>
      <c r="K161" s="1088">
        <f>SUMIF(J10:J159,J159,I10:I159)</f>
        <v>3380.1</v>
      </c>
      <c r="L161">
        <v>26</v>
      </c>
      <c r="N161" s="1128" t="str">
        <f t="shared" ref="N161:N169" si="44">RIGHT(O161,12)</f>
        <v>Vượng Phát</v>
      </c>
      <c r="O161" s="1128" t="str">
        <f>VLOOKUP(B161,ĐTBBLMBT!$B:$Q,16,0)</f>
        <v>Công ty TNHH đầu tư và phát triển KD Vượng Phát</v>
      </c>
    </row>
    <row r="162" spans="1:15" ht="20.100000000000001" customHeight="1">
      <c r="A162" s="926">
        <v>153</v>
      </c>
      <c r="B162" s="926" t="str">
        <f>VLOOKUP(A162,DT.NK!A:AZ,2,0)</f>
        <v>A132</v>
      </c>
      <c r="C162" s="926">
        <f>VLOOKUP(B162,ĐTBBLMBT!B:AJ,35,0)</f>
        <v>3</v>
      </c>
      <c r="D162" s="927">
        <f>VLOOKUP(B162,DT.NK!B:AZ,49,0)</f>
        <v>42722</v>
      </c>
      <c r="E162" s="927">
        <f t="shared" si="41"/>
        <v>42729</v>
      </c>
      <c r="F162" s="926"/>
      <c r="G162" s="927">
        <f t="shared" si="42"/>
        <v>42750</v>
      </c>
      <c r="H162" s="926"/>
      <c r="I162" s="924">
        <f>VLOOKUP(B162,DT.NK!B:AZ,51,0)</f>
        <v>50</v>
      </c>
      <c r="J162" s="926" t="str">
        <f t="shared" si="43"/>
        <v>Vượng Phát</v>
      </c>
      <c r="N162" s="1128" t="str">
        <f t="shared" si="44"/>
        <v>Vượng Phát</v>
      </c>
      <c r="O162" s="1128" t="str">
        <f>VLOOKUP(B162,ĐTBBLMBT!$B:$Q,16,0)</f>
        <v>Công ty TNHH đầu tư và phát triển KD Vượng Phát</v>
      </c>
    </row>
    <row r="163" spans="1:15" ht="20.100000000000001" customHeight="1">
      <c r="A163" s="926">
        <v>154</v>
      </c>
      <c r="B163" s="926" t="str">
        <f>VLOOKUP(A163,DT.NK!A:AZ,2,0)</f>
        <v>A64</v>
      </c>
      <c r="C163" s="926">
        <f>VLOOKUP(B163,ĐTBBLMBT!B:AJ,35,0)</f>
        <v>3</v>
      </c>
      <c r="D163" s="927">
        <f>VLOOKUP(B163,DT.NK!B:AZ,49,0)</f>
        <v>42722</v>
      </c>
      <c r="E163" s="927">
        <f t="shared" si="41"/>
        <v>42729</v>
      </c>
      <c r="F163" s="926"/>
      <c r="G163" s="927">
        <f t="shared" si="42"/>
        <v>42750</v>
      </c>
      <c r="H163" s="926"/>
      <c r="I163" s="924">
        <f>VLOOKUP(B163,DT.NK!B:AZ,51,0)</f>
        <v>70</v>
      </c>
      <c r="J163" s="926" t="str">
        <f t="shared" si="43"/>
        <v>Vượng Phát</v>
      </c>
      <c r="N163" s="1128" t="str">
        <f t="shared" si="44"/>
        <v>Vượng Phát</v>
      </c>
      <c r="O163" s="1128" t="str">
        <f>VLOOKUP(B163,ĐTBBLMBT!$B:$Q,16,0)</f>
        <v>Công ty TNHH đầu tư và phát triển KD Vượng Phát</v>
      </c>
    </row>
    <row r="164" spans="1:15" ht="20.100000000000001" customHeight="1">
      <c r="A164" s="926">
        <v>155</v>
      </c>
      <c r="B164" s="926" t="str">
        <f>VLOOKUP(A164,DT.NK!A:AZ,2,0)</f>
        <v>A134</v>
      </c>
      <c r="C164" s="926">
        <f>VLOOKUP(B164,ĐTBBLMBT!B:AJ,35,0)</f>
        <v>3</v>
      </c>
      <c r="D164" s="927">
        <f>VLOOKUP(B164,DT.NK!B:AZ,49,0)</f>
        <v>42723</v>
      </c>
      <c r="E164" s="927">
        <f t="shared" si="41"/>
        <v>42730</v>
      </c>
      <c r="F164" s="926"/>
      <c r="G164" s="927">
        <f t="shared" si="42"/>
        <v>42751</v>
      </c>
      <c r="H164" s="926"/>
      <c r="I164" s="924">
        <f>VLOOKUP(B164,DT.NK!B:AZ,51,0)</f>
        <v>43</v>
      </c>
      <c r="J164" s="926" t="str">
        <f t="shared" si="43"/>
        <v>Vượng Phát</v>
      </c>
      <c r="N164" s="1128" t="str">
        <f t="shared" si="44"/>
        <v>Vượng Phát</v>
      </c>
      <c r="O164" s="1128" t="str">
        <f>VLOOKUP(B164,ĐTBBLMBT!$B:$Q,16,0)</f>
        <v>Công ty TNHH đầu tư và phát triển KD Vượng Phát</v>
      </c>
    </row>
    <row r="165" spans="1:15" ht="20.100000000000001" customHeight="1">
      <c r="A165" s="926">
        <v>156</v>
      </c>
      <c r="B165" s="926" t="str">
        <f>VLOOKUP(A165,DT.NK!A:AZ,2,0)</f>
        <v>BP2</v>
      </c>
      <c r="C165" s="926">
        <f>VLOOKUP(B165,ĐTBBLMBT!B:AJ,35,0)</f>
        <v>2</v>
      </c>
      <c r="D165" s="927">
        <f>VLOOKUP(B165,DT.NK!B:AZ,49,0)</f>
        <v>42723</v>
      </c>
      <c r="E165" s="927">
        <f t="shared" si="41"/>
        <v>42730</v>
      </c>
      <c r="F165" s="926"/>
      <c r="G165" s="927">
        <f t="shared" si="42"/>
        <v>42751</v>
      </c>
      <c r="H165" s="926"/>
      <c r="I165" s="924">
        <f>VLOOKUP(B165,DT.NK!B:AZ,51,0)</f>
        <v>16</v>
      </c>
      <c r="J165" s="926" t="str">
        <f t="shared" si="43"/>
        <v>Vượng Phát</v>
      </c>
      <c r="N165" s="1128" t="str">
        <f t="shared" si="44"/>
        <v>Vượng Phát</v>
      </c>
      <c r="O165" s="1128" t="str">
        <f>VLOOKUP(B165,ĐTBBLMBT!$B:$Q,16,0)</f>
        <v>Công ty TNHH đầu tư và phát triển KD Vượng Phát</v>
      </c>
    </row>
    <row r="166" spans="1:15" ht="20.100000000000001" customHeight="1">
      <c r="A166" s="926">
        <v>157</v>
      </c>
      <c r="B166" s="926" t="str">
        <f>VLOOKUP(A166,DT.NK!A:AZ,2,0)</f>
        <v>A14</v>
      </c>
      <c r="C166" s="926">
        <f>VLOOKUP(B166,ĐTBBLMBT!B:AJ,35,0)</f>
        <v>2</v>
      </c>
      <c r="D166" s="927">
        <f>VLOOKUP(B166,DT.NK!B:AZ,49,0)</f>
        <v>42724</v>
      </c>
      <c r="E166" s="927">
        <f t="shared" si="41"/>
        <v>42731</v>
      </c>
      <c r="F166" s="926"/>
      <c r="G166" s="927">
        <f t="shared" si="42"/>
        <v>42752</v>
      </c>
      <c r="H166" s="926"/>
      <c r="I166" s="924">
        <f>VLOOKUP(B166,DT.NK!B:AZ,51,0)</f>
        <v>24</v>
      </c>
      <c r="J166" s="926" t="str">
        <f t="shared" si="43"/>
        <v>Vượng Phát</v>
      </c>
      <c r="N166" s="1128" t="str">
        <f t="shared" si="44"/>
        <v>Vượng Phát</v>
      </c>
      <c r="O166" s="1128" t="str">
        <f>VLOOKUP(B166,ĐTBBLMBT!$B:$Q,16,0)</f>
        <v>Công ty TNHH đầu tư và phát triển KD Vượng Phát</v>
      </c>
    </row>
    <row r="167" spans="1:15" ht="20.100000000000001" customHeight="1">
      <c r="A167" s="926">
        <v>158</v>
      </c>
      <c r="B167" s="926" t="str">
        <f>VLOOKUP(A167,DT.NK!A:AZ,2,0)</f>
        <v>A78</v>
      </c>
      <c r="C167" s="926">
        <f>VLOOKUP(B167,ĐTBBLMBT!B:AJ,35,0)</f>
        <v>3</v>
      </c>
      <c r="D167" s="927">
        <f>VLOOKUP(B167,DT.NK!B:AZ,49,0)</f>
        <v>42724</v>
      </c>
      <c r="E167" s="927">
        <f t="shared" ref="E167:E170" si="45">D167+7</f>
        <v>42731</v>
      </c>
      <c r="F167" s="926"/>
      <c r="G167" s="927">
        <f t="shared" ref="G167:G170" si="46">D167+28</f>
        <v>42752</v>
      </c>
      <c r="H167" s="926"/>
      <c r="I167" s="924">
        <f>VLOOKUP(B167,DT.NK!B:AZ,51,0)</f>
        <v>24</v>
      </c>
      <c r="J167" s="926" t="str">
        <f t="shared" ref="J167:J170" si="47">N167</f>
        <v>Vượng Phát</v>
      </c>
      <c r="N167" s="1128" t="str">
        <f t="shared" si="44"/>
        <v>Vượng Phát</v>
      </c>
      <c r="O167" s="1128" t="str">
        <f>VLOOKUP(B167,ĐTBBLMBT!$B:$Q,16,0)</f>
        <v>Công ty TNHH đầu tư và phát triển KD Vượng Phát</v>
      </c>
    </row>
    <row r="168" spans="1:15" ht="20.100000000000001" customHeight="1">
      <c r="A168" s="926">
        <v>159</v>
      </c>
      <c r="B168" s="926" t="str">
        <f>VLOOKUP(A168,DT.NK!A:AZ,2,0)</f>
        <v>B43</v>
      </c>
      <c r="C168" s="926">
        <f>VLOOKUP(B168,ĐTBBLMBT!B:AJ,35,0)</f>
        <v>1</v>
      </c>
      <c r="D168" s="927">
        <f>VLOOKUP(B168,DT.NK!B:AZ,49,0)</f>
        <v>42724</v>
      </c>
      <c r="E168" s="927">
        <f t="shared" si="45"/>
        <v>42731</v>
      </c>
      <c r="F168" s="926"/>
      <c r="G168" s="927">
        <f t="shared" si="46"/>
        <v>42752</v>
      </c>
      <c r="H168" s="926"/>
      <c r="I168" s="924">
        <f>VLOOKUP(B168,DT.NK!B:AZ,51,0)</f>
        <v>11</v>
      </c>
      <c r="J168" s="926" t="str">
        <f t="shared" si="47"/>
        <v>Vượng Phát</v>
      </c>
      <c r="N168" s="1128" t="str">
        <f t="shared" si="44"/>
        <v>Vượng Phát</v>
      </c>
      <c r="O168" s="1128" t="str">
        <f>VLOOKUP(B168,ĐTBBLMBT!$B:$Q,16,0)</f>
        <v>Công ty TNHH đầu tư và phát triển KD Vượng Phát</v>
      </c>
    </row>
    <row r="169" spans="1:15" ht="20.100000000000001" customHeight="1">
      <c r="A169" s="926">
        <v>160</v>
      </c>
      <c r="B169" s="926" t="str">
        <f>VLOOKUP(A169,DT.NK!A:AZ,2,0)</f>
        <v>A15</v>
      </c>
      <c r="C169" s="926">
        <f>VLOOKUP(B169,ĐTBBLMBT!B:AJ,35,0)</f>
        <v>2</v>
      </c>
      <c r="D169" s="927">
        <f>VLOOKUP(B169,DT.NK!B:AZ,49,0)</f>
        <v>42726</v>
      </c>
      <c r="E169" s="927">
        <f t="shared" si="45"/>
        <v>42733</v>
      </c>
      <c r="F169" s="926"/>
      <c r="G169" s="927">
        <f t="shared" si="46"/>
        <v>42754</v>
      </c>
      <c r="H169" s="926"/>
      <c r="I169" s="924">
        <f>VLOOKUP(B169,DT.NK!B:AZ,51,0)</f>
        <v>24</v>
      </c>
      <c r="J169" s="926" t="str">
        <f t="shared" si="47"/>
        <v>Vượng Phát</v>
      </c>
      <c r="N169" s="1128" t="str">
        <f t="shared" si="44"/>
        <v>Vượng Phát</v>
      </c>
      <c r="O169" s="1128" t="str">
        <f>VLOOKUP(B169,ĐTBBLMBT!$B:$Q,16,0)</f>
        <v>Công ty TNHH đầu tư và phát triển KD Vượng Phát</v>
      </c>
    </row>
    <row r="170" spans="1:15" ht="20.100000000000001" customHeight="1">
      <c r="A170" s="926">
        <v>161</v>
      </c>
      <c r="B170" s="926" t="str">
        <f>VLOOKUP(A170,DT.NK!A:AZ,2,0)</f>
        <v>A79</v>
      </c>
      <c r="C170" s="926">
        <f>VLOOKUP(B170,ĐTBBLMBT!B:AJ,35,0)</f>
        <v>3</v>
      </c>
      <c r="D170" s="927">
        <f>VLOOKUP(B170,DT.NK!B:AZ,49,0)</f>
        <v>42725</v>
      </c>
      <c r="E170" s="927">
        <f t="shared" si="45"/>
        <v>42732</v>
      </c>
      <c r="F170" s="926"/>
      <c r="G170" s="927">
        <f t="shared" si="46"/>
        <v>42753</v>
      </c>
      <c r="H170" s="926"/>
      <c r="I170" s="924">
        <f>VLOOKUP(B170,DT.NK!B:AZ,51,0)</f>
        <v>27</v>
      </c>
      <c r="J170" s="926" t="str">
        <f t="shared" si="47"/>
        <v>Vượng Phát</v>
      </c>
      <c r="N170" s="1128" t="str">
        <f t="shared" ref="N170:N179" si="48">RIGHT(O170,12)</f>
        <v>Vượng Phát</v>
      </c>
      <c r="O170" s="1128" t="str">
        <f>VLOOKUP(B170,ĐTBBLMBT!$B:$Q,16,0)</f>
        <v>Công ty TNHH đầu tư và phát triển KD Vượng Phát</v>
      </c>
    </row>
    <row r="171" spans="1:15" ht="20.100000000000001" customHeight="1">
      <c r="A171" s="926">
        <v>162</v>
      </c>
      <c r="B171" s="926" t="str">
        <f>VLOOKUP(A171,DT.NK!A:AZ,2,0)</f>
        <v>A82</v>
      </c>
      <c r="C171" s="926">
        <f>VLOOKUP(B171,ĐTBBLMBT!B:AJ,35,0)</f>
        <v>3</v>
      </c>
      <c r="D171" s="927">
        <f>VLOOKUP(B171,DT.NK!B:AZ,49,0)</f>
        <v>42726</v>
      </c>
      <c r="E171" s="927">
        <f t="shared" ref="E171:E173" si="49">D171+7</f>
        <v>42733</v>
      </c>
      <c r="F171" s="926"/>
      <c r="G171" s="927">
        <f t="shared" ref="G171:G173" si="50">D171+28</f>
        <v>42754</v>
      </c>
      <c r="H171" s="926"/>
      <c r="I171" s="924">
        <f>VLOOKUP(B171,DT.NK!B:AZ,51,0)</f>
        <v>27</v>
      </c>
      <c r="J171" s="926" t="str">
        <f t="shared" ref="J171:J173" si="51">N171</f>
        <v>Vượng Phát</v>
      </c>
      <c r="N171" s="1128" t="str">
        <f t="shared" si="48"/>
        <v>Vượng Phát</v>
      </c>
      <c r="O171" s="1128" t="str">
        <f>VLOOKUP(B171,ĐTBBLMBT!$B:$Q,16,0)</f>
        <v>Công ty TNHH đầu tư và phát triển KD Vượng Phát</v>
      </c>
    </row>
    <row r="172" spans="1:15" ht="20.100000000000001" customHeight="1">
      <c r="A172" s="926">
        <v>163</v>
      </c>
      <c r="B172" s="926" t="str">
        <f>VLOOKUP(A172,DT.NK!A:AZ,2,0)</f>
        <v>A87</v>
      </c>
      <c r="C172" s="926">
        <f>VLOOKUP(B172,ĐTBBLMBT!B:AJ,35,0)</f>
        <v>3</v>
      </c>
      <c r="D172" s="927">
        <f>VLOOKUP(B172,DT.NK!B:AZ,49,0)</f>
        <v>42726</v>
      </c>
      <c r="E172" s="927">
        <f t="shared" si="49"/>
        <v>42733</v>
      </c>
      <c r="F172" s="926"/>
      <c r="G172" s="927">
        <f t="shared" si="50"/>
        <v>42754</v>
      </c>
      <c r="H172" s="926"/>
      <c r="I172" s="924">
        <f>VLOOKUP(B172,DT.NK!B:AZ,51,0)</f>
        <v>50</v>
      </c>
      <c r="J172" s="926" t="str">
        <f t="shared" si="51"/>
        <v>Vượng Phát</v>
      </c>
      <c r="N172" s="1128" t="str">
        <f t="shared" si="48"/>
        <v>Vượng Phát</v>
      </c>
      <c r="O172" s="1128" t="str">
        <f>VLOOKUP(B172,ĐTBBLMBT!$B:$Q,16,0)</f>
        <v>Công ty TNHH đầu tư và phát triển KD Vượng Phát</v>
      </c>
    </row>
    <row r="173" spans="1:15" ht="20.100000000000001" customHeight="1">
      <c r="A173" s="926">
        <v>164</v>
      </c>
      <c r="B173" s="926" t="str">
        <f>VLOOKUP(A173,DT.NK!A:AZ,2,0)</f>
        <v>A80</v>
      </c>
      <c r="C173" s="926">
        <f>VLOOKUP(B173,ĐTBBLMBT!B:AJ,35,0)</f>
        <v>3</v>
      </c>
      <c r="D173" s="927">
        <f>VLOOKUP(B173,DT.NK!B:AZ,49,0)</f>
        <v>42726</v>
      </c>
      <c r="E173" s="927">
        <f t="shared" si="49"/>
        <v>42733</v>
      </c>
      <c r="F173" s="926"/>
      <c r="G173" s="927">
        <f t="shared" si="50"/>
        <v>42754</v>
      </c>
      <c r="H173" s="926"/>
      <c r="I173" s="924">
        <f>VLOOKUP(B173,DT.NK!B:AZ,51,0)</f>
        <v>26</v>
      </c>
      <c r="J173" s="926" t="str">
        <f t="shared" si="51"/>
        <v>Vượng Phát</v>
      </c>
      <c r="N173" s="1128" t="str">
        <f t="shared" si="48"/>
        <v>Vượng Phát</v>
      </c>
      <c r="O173" s="1128" t="str">
        <f>VLOOKUP(B173,ĐTBBLMBT!$B:$Q,16,0)</f>
        <v>Công ty TNHH đầu tư và phát triển KD Vượng Phát</v>
      </c>
    </row>
    <row r="174" spans="1:15" ht="20.100000000000001" customHeight="1">
      <c r="A174" s="926">
        <v>165</v>
      </c>
      <c r="B174" s="926"/>
      <c r="C174" s="926"/>
      <c r="D174" s="926"/>
      <c r="E174" s="926"/>
      <c r="F174" s="926"/>
      <c r="G174" s="926"/>
      <c r="H174" s="926"/>
      <c r="I174" s="926"/>
      <c r="J174" s="926"/>
      <c r="L174" s="1070">
        <f>SUM(I153:I173)</f>
        <v>679.5</v>
      </c>
      <c r="N174" s="1128" t="e">
        <f t="shared" si="48"/>
        <v>#N/A</v>
      </c>
      <c r="O174" s="1128" t="e">
        <f>VLOOKUP(B174,ĐTBBLMBT!$B:$Q,16,0)</f>
        <v>#N/A</v>
      </c>
    </row>
    <row r="175" spans="1:15" ht="20.100000000000001" customHeight="1">
      <c r="A175" s="926">
        <v>166</v>
      </c>
      <c r="B175" s="926"/>
      <c r="C175" s="926"/>
      <c r="D175" s="926"/>
      <c r="E175" s="926"/>
      <c r="F175" s="926"/>
      <c r="G175" s="926"/>
      <c r="H175" s="926"/>
      <c r="I175" s="926"/>
      <c r="J175" s="926"/>
      <c r="N175" s="1128" t="e">
        <f t="shared" si="48"/>
        <v>#N/A</v>
      </c>
      <c r="O175" s="1128" t="e">
        <f>VLOOKUP(B175,ĐTBBLMBT!$B:$Q,16,0)</f>
        <v>#N/A</v>
      </c>
    </row>
    <row r="176" spans="1:15" ht="20.100000000000001" customHeight="1">
      <c r="A176" s="926">
        <v>167</v>
      </c>
      <c r="B176" s="926"/>
      <c r="C176" s="926"/>
      <c r="D176" s="926"/>
      <c r="E176" s="926"/>
      <c r="F176" s="926"/>
      <c r="G176" s="926"/>
      <c r="H176" s="926"/>
      <c r="I176" s="926"/>
      <c r="J176" s="926"/>
      <c r="N176" s="1128" t="e">
        <f t="shared" si="48"/>
        <v>#N/A</v>
      </c>
      <c r="O176" s="1128" t="e">
        <f>VLOOKUP(B176,ĐTBBLMBT!$B:$Q,16,0)</f>
        <v>#N/A</v>
      </c>
    </row>
    <row r="177" spans="1:15" ht="20.100000000000001" customHeight="1">
      <c r="A177" s="926">
        <v>168</v>
      </c>
      <c r="B177" s="926"/>
      <c r="C177" s="926"/>
      <c r="D177" s="926"/>
      <c r="E177" s="926"/>
      <c r="F177" s="926"/>
      <c r="G177" s="926"/>
      <c r="H177" s="926"/>
      <c r="I177" s="926"/>
      <c r="J177" s="926"/>
      <c r="N177" s="1128" t="e">
        <f t="shared" si="48"/>
        <v>#N/A</v>
      </c>
      <c r="O177" s="1128" t="e">
        <f>VLOOKUP(B177,ĐTBBLMBT!$B:$Q,16,0)</f>
        <v>#N/A</v>
      </c>
    </row>
    <row r="178" spans="1:15" ht="20.100000000000001" customHeight="1">
      <c r="A178" s="926">
        <v>169</v>
      </c>
      <c r="B178" s="926"/>
      <c r="C178" s="926"/>
      <c r="D178" s="926"/>
      <c r="E178" s="926"/>
      <c r="F178" s="926"/>
      <c r="G178" s="926"/>
      <c r="H178" s="926"/>
      <c r="I178" s="926"/>
      <c r="J178" s="926"/>
      <c r="N178" s="1128" t="e">
        <f t="shared" si="48"/>
        <v>#N/A</v>
      </c>
      <c r="O178" s="1128" t="e">
        <f>VLOOKUP(B178,ĐTBBLMBT!$B:$Q,16,0)</f>
        <v>#N/A</v>
      </c>
    </row>
    <row r="179" spans="1:15" ht="20.100000000000001" customHeight="1">
      <c r="A179" s="926">
        <v>170</v>
      </c>
      <c r="B179" s="926"/>
      <c r="C179" s="926"/>
      <c r="D179" s="926"/>
      <c r="E179" s="926"/>
      <c r="F179" s="926"/>
      <c r="G179" s="926"/>
      <c r="H179" s="926"/>
      <c r="I179" s="926"/>
      <c r="J179" s="926"/>
      <c r="N179" s="1128" t="e">
        <f t="shared" si="48"/>
        <v>#N/A</v>
      </c>
      <c r="O179" s="1128" t="e">
        <f>VLOOKUP(B179,ĐTBBLMBT!$B:$Q,16,0)</f>
        <v>#N/A</v>
      </c>
    </row>
    <row r="180" spans="1:15" ht="20.100000000000001" customHeight="1">
      <c r="A180" s="926">
        <v>171</v>
      </c>
      <c r="B180" s="926"/>
      <c r="C180" s="926"/>
      <c r="D180" s="926"/>
      <c r="E180" s="926"/>
      <c r="F180" s="926"/>
      <c r="G180" s="926"/>
      <c r="H180" s="926"/>
      <c r="I180" s="926"/>
      <c r="J180" s="926"/>
    </row>
    <row r="181" spans="1:15" ht="20.100000000000001" customHeight="1">
      <c r="A181" s="926">
        <v>172</v>
      </c>
      <c r="B181" s="926"/>
      <c r="C181" s="926"/>
      <c r="D181" s="926"/>
      <c r="E181" s="926"/>
      <c r="F181" s="926"/>
      <c r="G181" s="926"/>
      <c r="H181" s="926"/>
      <c r="I181" s="926"/>
      <c r="J181" s="926"/>
    </row>
    <row r="182" spans="1:15" ht="20.100000000000001" customHeight="1">
      <c r="A182" s="926">
        <v>173</v>
      </c>
      <c r="B182" s="926"/>
      <c r="C182" s="926"/>
      <c r="D182" s="926"/>
      <c r="E182" s="926"/>
      <c r="F182" s="926"/>
      <c r="G182" s="926"/>
      <c r="H182" s="926"/>
      <c r="I182" s="926"/>
      <c r="J182" s="926"/>
    </row>
    <row r="183" spans="1:15" ht="20.100000000000001" customHeight="1">
      <c r="A183" s="926">
        <v>174</v>
      </c>
      <c r="B183" s="926"/>
      <c r="C183" s="926"/>
      <c r="D183" s="926"/>
      <c r="E183" s="926"/>
      <c r="F183" s="926"/>
      <c r="G183" s="926"/>
      <c r="H183" s="926"/>
      <c r="I183" s="926"/>
      <c r="J183" s="926"/>
    </row>
    <row r="184" spans="1:15" ht="20.100000000000001" customHeight="1">
      <c r="A184" s="926">
        <v>175</v>
      </c>
      <c r="B184" s="926"/>
      <c r="C184" s="926"/>
      <c r="D184" s="926"/>
      <c r="E184" s="926"/>
      <c r="F184" s="926"/>
      <c r="G184" s="926"/>
      <c r="H184" s="926"/>
      <c r="I184" s="926"/>
      <c r="J184" s="926"/>
    </row>
    <row r="185" spans="1:15" ht="20.100000000000001" customHeight="1">
      <c r="A185" s="926">
        <v>176</v>
      </c>
      <c r="B185" s="926"/>
      <c r="C185" s="926"/>
      <c r="D185" s="926"/>
      <c r="E185" s="926"/>
      <c r="F185" s="926"/>
      <c r="G185" s="926"/>
      <c r="H185" s="926"/>
      <c r="I185" s="926"/>
      <c r="J185" s="926"/>
    </row>
    <row r="186" spans="1:15" ht="20.100000000000001" customHeight="1">
      <c r="A186" s="926">
        <v>177</v>
      </c>
      <c r="B186" s="926"/>
      <c r="C186" s="926"/>
      <c r="D186" s="926"/>
      <c r="E186" s="926"/>
      <c r="F186" s="926"/>
      <c r="G186" s="926"/>
      <c r="H186" s="926"/>
      <c r="I186" s="926"/>
      <c r="J186" s="926"/>
    </row>
    <row r="187" spans="1:15" ht="20.100000000000001" customHeight="1">
      <c r="A187" s="926">
        <v>178</v>
      </c>
      <c r="B187" s="926"/>
      <c r="C187" s="926"/>
      <c r="D187" s="926"/>
      <c r="E187" s="926"/>
      <c r="F187" s="926"/>
      <c r="G187" s="926"/>
      <c r="H187" s="926"/>
      <c r="I187" s="926"/>
      <c r="J187" s="926"/>
    </row>
    <row r="188" spans="1:15" ht="20.100000000000001" customHeight="1">
      <c r="A188" s="926">
        <v>179</v>
      </c>
      <c r="B188" s="926"/>
      <c r="C188" s="926"/>
      <c r="D188" s="926"/>
      <c r="E188" s="926"/>
      <c r="F188" s="926"/>
      <c r="G188" s="926"/>
      <c r="H188" s="926"/>
      <c r="I188" s="926"/>
      <c r="J188" s="926"/>
    </row>
    <row r="189" spans="1:15" ht="20.100000000000001" customHeight="1">
      <c r="A189" s="926">
        <v>180</v>
      </c>
      <c r="B189" s="926"/>
      <c r="C189" s="926"/>
      <c r="D189" s="926"/>
      <c r="E189" s="926"/>
      <c r="F189" s="926"/>
      <c r="G189" s="926"/>
      <c r="H189" s="926"/>
      <c r="I189" s="926"/>
      <c r="J189" s="926"/>
    </row>
    <row r="190" spans="1:15" ht="20.100000000000001" customHeight="1">
      <c r="A190" s="926">
        <v>181</v>
      </c>
      <c r="B190" s="926"/>
      <c r="C190" s="926"/>
      <c r="D190" s="926"/>
      <c r="E190" s="926"/>
      <c r="F190" s="926"/>
      <c r="G190" s="926"/>
      <c r="H190" s="926"/>
      <c r="I190" s="926"/>
      <c r="J190" s="926"/>
    </row>
    <row r="191" spans="1:15" ht="20.100000000000001" customHeight="1">
      <c r="A191" s="926">
        <v>182</v>
      </c>
      <c r="B191" s="926"/>
      <c r="C191" s="926"/>
      <c r="D191" s="926"/>
      <c r="E191" s="926"/>
      <c r="F191" s="926"/>
      <c r="G191" s="926"/>
      <c r="H191" s="926"/>
      <c r="I191" s="926"/>
      <c r="J191" s="926"/>
    </row>
    <row r="192" spans="1:15" ht="20.100000000000001" customHeight="1">
      <c r="A192" s="926">
        <v>183</v>
      </c>
      <c r="B192" s="926"/>
      <c r="C192" s="926"/>
      <c r="D192" s="926"/>
      <c r="E192" s="926"/>
      <c r="F192" s="926"/>
      <c r="G192" s="926"/>
      <c r="H192" s="926"/>
      <c r="I192" s="926"/>
      <c r="J192" s="926"/>
    </row>
    <row r="193" spans="1:10" ht="20.100000000000001" customHeight="1">
      <c r="A193" s="926">
        <v>184</v>
      </c>
      <c r="B193" s="926"/>
      <c r="C193" s="926"/>
      <c r="D193" s="926"/>
      <c r="E193" s="926"/>
      <c r="F193" s="926"/>
      <c r="G193" s="926"/>
      <c r="H193" s="926"/>
      <c r="I193" s="926"/>
      <c r="J193" s="926"/>
    </row>
    <row r="194" spans="1:10" ht="20.100000000000001" customHeight="1">
      <c r="A194" s="926">
        <v>185</v>
      </c>
      <c r="B194" s="926"/>
      <c r="C194" s="926"/>
      <c r="D194" s="926"/>
      <c r="E194" s="926"/>
      <c r="F194" s="926"/>
      <c r="G194" s="926"/>
      <c r="H194" s="926"/>
      <c r="I194" s="926"/>
      <c r="J194" s="926"/>
    </row>
    <row r="195" spans="1:10" ht="20.100000000000001" customHeight="1">
      <c r="A195" s="926">
        <v>186</v>
      </c>
      <c r="B195" s="926"/>
      <c r="C195" s="926"/>
      <c r="D195" s="926"/>
      <c r="E195" s="926"/>
      <c r="F195" s="926"/>
      <c r="G195" s="926"/>
      <c r="H195" s="926"/>
      <c r="I195" s="926"/>
      <c r="J195" s="926"/>
    </row>
    <row r="196" spans="1:10" ht="20.100000000000001" customHeight="1">
      <c r="A196" s="926">
        <v>187</v>
      </c>
      <c r="B196" s="926"/>
      <c r="C196" s="926"/>
      <c r="D196" s="926"/>
      <c r="E196" s="926"/>
      <c r="F196" s="926"/>
      <c r="G196" s="926"/>
      <c r="H196" s="926"/>
      <c r="I196" s="926"/>
      <c r="J196" s="926"/>
    </row>
    <row r="197" spans="1:10" ht="20.100000000000001" customHeight="1">
      <c r="A197" s="926">
        <v>188</v>
      </c>
      <c r="B197" s="926"/>
      <c r="C197" s="926"/>
      <c r="D197" s="926"/>
      <c r="E197" s="926"/>
      <c r="F197" s="926"/>
      <c r="G197" s="926"/>
      <c r="H197" s="926"/>
      <c r="I197" s="926"/>
      <c r="J197" s="926"/>
    </row>
    <row r="198" spans="1:10" ht="20.100000000000001" customHeight="1">
      <c r="A198" s="926">
        <v>189</v>
      </c>
      <c r="B198" s="926"/>
      <c r="C198" s="926"/>
      <c r="D198" s="926"/>
      <c r="E198" s="926"/>
      <c r="F198" s="926"/>
      <c r="G198" s="926"/>
      <c r="H198" s="926"/>
      <c r="I198" s="926"/>
      <c r="J198" s="926"/>
    </row>
    <row r="199" spans="1:10" ht="20.100000000000001" customHeight="1">
      <c r="A199" s="926">
        <v>190</v>
      </c>
      <c r="B199" s="926"/>
      <c r="C199" s="926"/>
      <c r="D199" s="926"/>
      <c r="E199" s="926"/>
      <c r="F199" s="926"/>
      <c r="G199" s="926"/>
      <c r="H199" s="926"/>
      <c r="I199" s="926"/>
      <c r="J199" s="926"/>
    </row>
    <row r="200" spans="1:10" ht="20.100000000000001" customHeight="1">
      <c r="A200" s="926">
        <v>191</v>
      </c>
      <c r="B200" s="926"/>
      <c r="C200" s="926"/>
      <c r="D200" s="926"/>
      <c r="E200" s="926"/>
      <c r="F200" s="926"/>
      <c r="G200" s="926"/>
      <c r="H200" s="926"/>
      <c r="I200" s="926"/>
      <c r="J200" s="926"/>
    </row>
    <row r="201" spans="1:10" ht="20.100000000000001" customHeight="1">
      <c r="A201" s="926">
        <v>192</v>
      </c>
      <c r="B201" s="926"/>
      <c r="C201" s="926"/>
      <c r="D201" s="926"/>
      <c r="E201" s="926"/>
      <c r="F201" s="926"/>
      <c r="G201" s="926"/>
      <c r="H201" s="926"/>
      <c r="I201" s="926"/>
      <c r="J201" s="926"/>
    </row>
    <row r="202" spans="1:10" ht="20.100000000000001" customHeight="1">
      <c r="A202" s="926">
        <v>193</v>
      </c>
      <c r="B202" s="926"/>
      <c r="C202" s="926"/>
      <c r="D202" s="926"/>
      <c r="E202" s="926"/>
      <c r="F202" s="926"/>
      <c r="G202" s="926"/>
      <c r="H202" s="926"/>
      <c r="I202" s="926"/>
      <c r="J202" s="926"/>
    </row>
    <row r="203" spans="1:10" ht="20.100000000000001" customHeight="1">
      <c r="A203" s="926">
        <v>194</v>
      </c>
      <c r="B203" s="926"/>
      <c r="C203" s="926"/>
      <c r="D203" s="926"/>
      <c r="E203" s="926"/>
      <c r="F203" s="926"/>
      <c r="G203" s="926"/>
      <c r="H203" s="926"/>
      <c r="I203" s="926"/>
      <c r="J203" s="926"/>
    </row>
    <row r="204" spans="1:10" ht="20.100000000000001" customHeight="1">
      <c r="A204" s="926">
        <v>195</v>
      </c>
      <c r="B204" s="926"/>
      <c r="C204" s="926"/>
      <c r="D204" s="926"/>
      <c r="E204" s="926"/>
      <c r="F204" s="926"/>
      <c r="G204" s="926"/>
      <c r="H204" s="926"/>
      <c r="I204" s="926"/>
      <c r="J204" s="926"/>
    </row>
    <row r="205" spans="1:10" ht="20.100000000000001" customHeight="1">
      <c r="A205" s="926">
        <v>196</v>
      </c>
      <c r="B205" s="926"/>
      <c r="C205" s="926"/>
      <c r="D205" s="926"/>
      <c r="E205" s="926"/>
      <c r="F205" s="926"/>
      <c r="G205" s="926"/>
      <c r="H205" s="926"/>
      <c r="I205" s="926"/>
      <c r="J205" s="926"/>
    </row>
    <row r="206" spans="1:10" ht="20.100000000000001" customHeight="1">
      <c r="A206" s="926">
        <v>197</v>
      </c>
      <c r="B206" s="926"/>
      <c r="C206" s="926"/>
      <c r="D206" s="926"/>
      <c r="E206" s="926"/>
      <c r="F206" s="926"/>
      <c r="G206" s="926"/>
      <c r="H206" s="926"/>
      <c r="I206" s="926"/>
      <c r="J206" s="926"/>
    </row>
    <row r="207" spans="1:10" ht="20.100000000000001" customHeight="1">
      <c r="A207" s="926">
        <v>198</v>
      </c>
      <c r="B207" s="926"/>
      <c r="C207" s="926"/>
      <c r="D207" s="926"/>
      <c r="E207" s="926"/>
      <c r="F207" s="926"/>
      <c r="G207" s="926"/>
      <c r="H207" s="926"/>
      <c r="I207" s="926"/>
      <c r="J207" s="926"/>
    </row>
    <row r="208" spans="1:10" ht="20.100000000000001" customHeight="1">
      <c r="A208" s="926">
        <v>199</v>
      </c>
      <c r="B208" s="926"/>
      <c r="C208" s="926"/>
      <c r="D208" s="926"/>
      <c r="E208" s="926"/>
      <c r="F208" s="926"/>
      <c r="G208" s="926"/>
      <c r="H208" s="926"/>
      <c r="I208" s="926"/>
      <c r="J208" s="926"/>
    </row>
    <row r="209" spans="1:10" ht="20.100000000000001" customHeight="1">
      <c r="A209" s="926">
        <v>200</v>
      </c>
      <c r="B209" s="926"/>
      <c r="C209" s="926"/>
      <c r="D209" s="926"/>
      <c r="E209" s="926"/>
      <c r="F209" s="926"/>
      <c r="G209" s="926"/>
      <c r="H209" s="926"/>
      <c r="I209" s="926"/>
      <c r="J209" s="926"/>
    </row>
    <row r="210" spans="1:10" ht="20.100000000000001" customHeight="1">
      <c r="A210" s="926">
        <v>201</v>
      </c>
      <c r="B210" s="926"/>
      <c r="C210" s="926"/>
      <c r="D210" s="926"/>
      <c r="E210" s="926"/>
      <c r="F210" s="926"/>
      <c r="G210" s="926"/>
      <c r="H210" s="926"/>
      <c r="I210" s="926"/>
      <c r="J210" s="926"/>
    </row>
    <row r="211" spans="1:10" ht="20.100000000000001" customHeight="1">
      <c r="A211" s="926">
        <v>202</v>
      </c>
      <c r="B211" s="926"/>
      <c r="C211" s="926"/>
      <c r="D211" s="926"/>
      <c r="E211" s="926"/>
      <c r="F211" s="926"/>
      <c r="G211" s="926"/>
      <c r="H211" s="926"/>
      <c r="I211" s="926"/>
      <c r="J211" s="926"/>
    </row>
    <row r="212" spans="1:10" ht="20.100000000000001" customHeight="1">
      <c r="A212" s="926">
        <v>203</v>
      </c>
      <c r="B212" s="926"/>
      <c r="C212" s="926"/>
      <c r="D212" s="926"/>
      <c r="E212" s="926"/>
      <c r="F212" s="926"/>
      <c r="G212" s="926"/>
      <c r="H212" s="926"/>
      <c r="I212" s="926"/>
      <c r="J212" s="926"/>
    </row>
    <row r="213" spans="1:10" ht="20.100000000000001" customHeight="1">
      <c r="A213" s="926">
        <v>204</v>
      </c>
      <c r="B213" s="926"/>
      <c r="C213" s="926"/>
      <c r="D213" s="926"/>
      <c r="E213" s="926"/>
      <c r="F213" s="926"/>
      <c r="G213" s="926"/>
      <c r="H213" s="926"/>
      <c r="I213" s="926"/>
      <c r="J213" s="926"/>
    </row>
    <row r="214" spans="1:10" ht="20.100000000000001" customHeight="1">
      <c r="A214" s="926">
        <v>205</v>
      </c>
      <c r="B214" s="926"/>
      <c r="C214" s="926"/>
      <c r="D214" s="926"/>
      <c r="E214" s="926"/>
      <c r="F214" s="926"/>
      <c r="G214" s="926"/>
      <c r="H214" s="926"/>
      <c r="I214" s="926"/>
      <c r="J214" s="926"/>
    </row>
    <row r="215" spans="1:10" ht="20.100000000000001" customHeight="1">
      <c r="A215" s="926">
        <v>206</v>
      </c>
      <c r="B215" s="926"/>
      <c r="C215" s="926"/>
      <c r="D215" s="926"/>
      <c r="E215" s="926"/>
      <c r="F215" s="926"/>
      <c r="G215" s="926"/>
      <c r="H215" s="926"/>
      <c r="I215" s="926"/>
      <c r="J215" s="926"/>
    </row>
    <row r="216" spans="1:10" ht="20.100000000000001" customHeight="1">
      <c r="A216" s="926">
        <v>207</v>
      </c>
      <c r="B216" s="926"/>
      <c r="C216" s="926"/>
      <c r="D216" s="926"/>
      <c r="E216" s="926"/>
      <c r="F216" s="926"/>
      <c r="G216" s="926"/>
      <c r="H216" s="926"/>
      <c r="I216" s="926"/>
      <c r="J216" s="926"/>
    </row>
    <row r="217" spans="1:10" ht="20.100000000000001" customHeight="1">
      <c r="A217" s="926">
        <v>208</v>
      </c>
      <c r="B217" s="926"/>
      <c r="C217" s="926"/>
      <c r="D217" s="926"/>
      <c r="E217" s="926"/>
      <c r="F217" s="926"/>
      <c r="G217" s="926"/>
      <c r="H217" s="926"/>
      <c r="I217" s="926"/>
      <c r="J217" s="926"/>
    </row>
    <row r="218" spans="1:10" ht="20.100000000000001" customHeight="1">
      <c r="A218" s="926">
        <v>209</v>
      </c>
      <c r="B218" s="926"/>
      <c r="C218" s="926"/>
      <c r="D218" s="926"/>
      <c r="E218" s="926"/>
      <c r="F218" s="926"/>
      <c r="G218" s="926"/>
      <c r="H218" s="926"/>
      <c r="I218" s="926"/>
      <c r="J218" s="926"/>
    </row>
    <row r="219" spans="1:10" ht="20.100000000000001" customHeight="1">
      <c r="A219" s="926">
        <v>210</v>
      </c>
      <c r="B219" s="926"/>
      <c r="C219" s="926"/>
      <c r="D219" s="926"/>
      <c r="E219" s="926"/>
      <c r="F219" s="926"/>
      <c r="G219" s="926"/>
      <c r="H219" s="926"/>
      <c r="I219" s="926"/>
      <c r="J219" s="926"/>
    </row>
    <row r="220" spans="1:10" ht="20.100000000000001" customHeight="1">
      <c r="A220" s="926">
        <v>211</v>
      </c>
      <c r="B220" s="926"/>
      <c r="C220" s="926"/>
      <c r="D220" s="926"/>
      <c r="E220" s="926"/>
      <c r="F220" s="926"/>
      <c r="G220" s="926"/>
      <c r="H220" s="926"/>
      <c r="I220" s="926"/>
      <c r="J220" s="926"/>
    </row>
    <row r="221" spans="1:10" ht="20.100000000000001" customHeight="1">
      <c r="A221" s="926">
        <v>212</v>
      </c>
      <c r="B221" s="926"/>
      <c r="C221" s="926"/>
      <c r="D221" s="926"/>
      <c r="E221" s="926"/>
      <c r="F221" s="926"/>
      <c r="G221" s="926"/>
      <c r="H221" s="926"/>
      <c r="I221" s="926"/>
      <c r="J221" s="926"/>
    </row>
    <row r="222" spans="1:10" ht="20.100000000000001" customHeight="1">
      <c r="A222" s="926">
        <v>213</v>
      </c>
      <c r="B222" s="926"/>
      <c r="C222" s="926"/>
      <c r="D222" s="926"/>
      <c r="E222" s="926"/>
      <c r="F222" s="926"/>
      <c r="G222" s="926"/>
      <c r="H222" s="926"/>
      <c r="I222" s="926"/>
      <c r="J222" s="926"/>
    </row>
    <row r="223" spans="1:10" ht="20.100000000000001" customHeight="1">
      <c r="A223" s="926">
        <v>214</v>
      </c>
      <c r="B223" s="926"/>
      <c r="C223" s="926"/>
      <c r="D223" s="926"/>
      <c r="E223" s="926"/>
      <c r="F223" s="926"/>
      <c r="G223" s="926"/>
      <c r="H223" s="926"/>
      <c r="I223" s="926"/>
      <c r="J223" s="926"/>
    </row>
    <row r="224" spans="1:10" ht="20.100000000000001" customHeight="1">
      <c r="A224" s="926">
        <v>215</v>
      </c>
      <c r="B224" s="926"/>
      <c r="C224" s="926"/>
      <c r="D224" s="926"/>
      <c r="E224" s="926"/>
      <c r="F224" s="926"/>
      <c r="G224" s="926"/>
      <c r="H224" s="926"/>
      <c r="I224" s="926"/>
      <c r="J224" s="926"/>
    </row>
    <row r="225" spans="1:10" ht="20.100000000000001" customHeight="1">
      <c r="A225" s="926">
        <v>216</v>
      </c>
      <c r="B225" s="926"/>
      <c r="C225" s="926"/>
      <c r="D225" s="926"/>
      <c r="E225" s="926"/>
      <c r="F225" s="926"/>
      <c r="G225" s="926"/>
      <c r="H225" s="926"/>
      <c r="I225" s="926"/>
      <c r="J225" s="926"/>
    </row>
    <row r="226" spans="1:10" ht="20.100000000000001" customHeight="1"/>
    <row r="227" spans="1:10" ht="20.100000000000001" customHeight="1"/>
    <row r="228" spans="1:10" ht="20.100000000000001" customHeight="1"/>
    <row r="229" spans="1:10" ht="20.100000000000001" customHeight="1"/>
    <row r="230" spans="1:10" ht="20.100000000000001" customHeight="1"/>
    <row r="231" spans="1:10" ht="20.100000000000001" customHeight="1"/>
    <row r="232" spans="1:10" ht="20.100000000000001" customHeight="1"/>
    <row r="233" spans="1:10" ht="20.100000000000001" customHeight="1"/>
    <row r="234" spans="1:10" ht="20.100000000000001" customHeight="1"/>
    <row r="235" spans="1:10" ht="20.100000000000001" customHeight="1"/>
    <row r="236" spans="1:10" ht="20.100000000000001" customHeight="1"/>
    <row r="237" spans="1:10" ht="20.100000000000001" customHeight="1"/>
    <row r="238" spans="1:10" ht="20.100000000000001" customHeight="1"/>
    <row r="239" spans="1:10" ht="20.100000000000001" customHeight="1"/>
    <row r="240" spans="1:1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row r="315" ht="20.100000000000001" customHeight="1"/>
    <row r="316" ht="20.100000000000001" customHeight="1"/>
    <row r="317" ht="20.100000000000001" customHeight="1"/>
    <row r="318" ht="20.100000000000001" customHeight="1"/>
    <row r="319" ht="20.100000000000001" customHeight="1"/>
    <row r="320" ht="20.100000000000001" customHeight="1"/>
    <row r="321" ht="20.100000000000001" customHeight="1"/>
    <row r="322" ht="20.100000000000001" customHeight="1"/>
    <row r="323" ht="20.100000000000001" customHeight="1"/>
    <row r="324" ht="20.100000000000001" customHeight="1"/>
    <row r="325" ht="20.100000000000001" customHeight="1"/>
    <row r="326" ht="20.100000000000001" customHeight="1"/>
    <row r="327" ht="20.100000000000001" customHeight="1"/>
    <row r="328" ht="20.100000000000001" customHeight="1"/>
    <row r="329" ht="20.100000000000001" customHeight="1"/>
    <row r="330" ht="20.100000000000001" customHeight="1"/>
    <row r="331" ht="20.100000000000001" customHeight="1"/>
    <row r="332" ht="20.100000000000001" customHeight="1"/>
    <row r="333" ht="20.100000000000001" customHeight="1"/>
    <row r="334" ht="20.100000000000001" customHeight="1"/>
    <row r="335" ht="20.100000000000001" customHeight="1"/>
    <row r="336" ht="20.100000000000001" customHeight="1"/>
  </sheetData>
  <mergeCells count="4">
    <mergeCell ref="F2:J2"/>
    <mergeCell ref="C4:J4"/>
    <mergeCell ref="F1:J1"/>
    <mergeCell ref="A3:J3"/>
  </mergeCells>
  <printOptions horizontalCentered="1"/>
  <pageMargins left="0.70866141732283472" right="0.70866141732283472" top="0.39370078740157483" bottom="0.74803149606299213"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
  <sheetViews>
    <sheetView view="pageBreakPreview" topLeftCell="A10" zoomScaleNormal="100" zoomScaleSheetLayoutView="100" workbookViewId="0">
      <selection activeCell="G32" sqref="G32"/>
    </sheetView>
  </sheetViews>
  <sheetFormatPr defaultRowHeight="12.75"/>
  <cols>
    <col min="1" max="1" width="30.5703125" style="406" customWidth="1"/>
    <col min="2" max="2" width="15" style="406" customWidth="1"/>
    <col min="3" max="3" width="13.140625" style="406" customWidth="1"/>
    <col min="4" max="5" width="15.28515625" style="406" customWidth="1"/>
    <col min="6" max="6" width="2.140625" style="406" customWidth="1"/>
    <col min="7" max="7" width="6.85546875" style="406" customWidth="1"/>
    <col min="8" max="8" width="4" style="406" customWidth="1"/>
    <col min="9" max="9" width="17.42578125" style="406" customWidth="1"/>
    <col min="10" max="10" width="18.42578125" style="406" customWidth="1"/>
    <col min="11" max="11" width="23.28515625" style="406" customWidth="1"/>
    <col min="12" max="12" width="7" style="406" customWidth="1"/>
    <col min="13" max="13" width="9.28515625" style="406" bestFit="1" customWidth="1"/>
    <col min="14" max="15" width="9.42578125" style="406" bestFit="1" customWidth="1"/>
    <col min="16" max="16" width="11.85546875" style="406" customWidth="1"/>
    <col min="17" max="17" width="14.5703125" style="406" customWidth="1"/>
    <col min="18" max="19" width="12.42578125" style="406" customWidth="1"/>
    <col min="20" max="20" width="10" style="406" bestFit="1" customWidth="1"/>
    <col min="21" max="16384" width="9.140625" style="406"/>
  </cols>
  <sheetData>
    <row r="1" spans="1:20" ht="28.5" customHeight="1">
      <c r="A1" s="1439" t="s">
        <v>348</v>
      </c>
      <c r="B1" s="1440"/>
      <c r="C1" s="1440"/>
      <c r="D1" s="1440"/>
      <c r="E1" s="1440"/>
      <c r="F1" s="1441" t="str">
        <f>'2. NK'!D10</f>
        <v>B1</v>
      </c>
      <c r="G1" s="1441"/>
      <c r="H1" s="1441"/>
      <c r="I1" s="1441"/>
      <c r="J1" s="1441"/>
      <c r="K1" s="403" t="s">
        <v>37</v>
      </c>
      <c r="L1" s="404"/>
      <c r="M1" s="405"/>
      <c r="N1" s="405"/>
      <c r="O1" s="405"/>
      <c r="P1" s="405">
        <f>'2. NK'!H10</f>
        <v>800</v>
      </c>
      <c r="Q1" s="405"/>
      <c r="R1" s="405"/>
      <c r="S1" s="405"/>
      <c r="T1" s="405"/>
    </row>
    <row r="2" spans="1:20" ht="21" customHeight="1">
      <c r="A2" s="407" t="s">
        <v>60</v>
      </c>
      <c r="B2" s="408"/>
      <c r="C2" s="409"/>
      <c r="D2" s="409"/>
      <c r="E2" s="410" t="s">
        <v>174</v>
      </c>
      <c r="F2" s="1442"/>
      <c r="G2" s="1443"/>
      <c r="H2" s="1443"/>
      <c r="I2" s="1443"/>
      <c r="J2" s="1443"/>
      <c r="K2" s="1444"/>
      <c r="L2" s="411"/>
      <c r="M2" s="405"/>
      <c r="N2" s="405"/>
      <c r="O2" s="405"/>
      <c r="P2" s="405" t="s">
        <v>182</v>
      </c>
      <c r="Q2" s="412">
        <f>PI()*(P1/2000)^2</f>
        <v>0.50265482457436694</v>
      </c>
      <c r="R2" s="413" t="s">
        <v>1132</v>
      </c>
      <c r="S2" s="413">
        <f>'2. NK'!R4+1</f>
        <v>-7</v>
      </c>
      <c r="T2" s="405"/>
    </row>
    <row r="3" spans="1:20" ht="18" customHeight="1">
      <c r="A3" s="414" t="s">
        <v>55</v>
      </c>
      <c r="B3" s="415"/>
      <c r="C3" s="1445">
        <f>'2. NK'!R4-'2. NK'!H51</f>
        <v>21.703000000000003</v>
      </c>
      <c r="D3" s="1446"/>
      <c r="E3" s="416" t="s">
        <v>394</v>
      </c>
      <c r="F3" s="417"/>
      <c r="G3" s="417"/>
      <c r="H3" s="417"/>
      <c r="I3" s="1447" t="s">
        <v>61</v>
      </c>
      <c r="J3" s="1447"/>
      <c r="K3" s="1448"/>
      <c r="L3" s="418"/>
      <c r="M3" s="419" t="s">
        <v>389</v>
      </c>
      <c r="N3" s="419" t="s">
        <v>183</v>
      </c>
      <c r="O3" s="419" t="s">
        <v>3</v>
      </c>
      <c r="P3" s="405" t="s">
        <v>390</v>
      </c>
      <c r="Q3" s="405" t="s">
        <v>31</v>
      </c>
      <c r="R3" s="405" t="s">
        <v>4</v>
      </c>
      <c r="S3" s="405" t="s">
        <v>198</v>
      </c>
      <c r="T3" s="405" t="s">
        <v>31</v>
      </c>
    </row>
    <row r="4" spans="1:20" ht="15" customHeight="1">
      <c r="A4" s="420"/>
      <c r="B4" s="415"/>
      <c r="C4" s="417"/>
      <c r="D4" s="417"/>
      <c r="E4" s="1449"/>
      <c r="F4" s="417"/>
      <c r="G4" s="417"/>
      <c r="H4" s="417"/>
      <c r="I4" s="1447"/>
      <c r="J4" s="1447"/>
      <c r="K4" s="1448"/>
      <c r="L4" s="418"/>
      <c r="M4" s="421">
        <v>0</v>
      </c>
      <c r="N4" s="405">
        <f>M4</f>
        <v>0</v>
      </c>
      <c r="O4" s="405">
        <v>0</v>
      </c>
      <c r="P4" s="405">
        <v>0</v>
      </c>
      <c r="Q4" s="680">
        <f>IF('4. PTDBT'!N6="",0,'4. PTDBT'!N6)</f>
        <v>29.35</v>
      </c>
      <c r="R4" s="681">
        <f>C7</f>
        <v>-29.703000000000003</v>
      </c>
      <c r="S4" s="679">
        <f>R4</f>
        <v>-29.703000000000003</v>
      </c>
      <c r="T4" s="681">
        <f>R4</f>
        <v>-29.703000000000003</v>
      </c>
    </row>
    <row r="5" spans="1:20" ht="18" customHeight="1">
      <c r="A5" s="414" t="s">
        <v>56</v>
      </c>
      <c r="B5" s="415"/>
      <c r="C5" s="1445">
        <f>'2. NK'!J53</f>
        <v>-0.35299999999999998</v>
      </c>
      <c r="D5" s="1446"/>
      <c r="E5" s="1449"/>
      <c r="F5" s="417"/>
      <c r="G5" s="422"/>
      <c r="H5" s="417"/>
      <c r="I5" s="423"/>
      <c r="J5" s="423" t="s">
        <v>396</v>
      </c>
      <c r="K5" s="424"/>
      <c r="L5" s="423">
        <v>1</v>
      </c>
      <c r="M5" s="425">
        <f>IF('4. PTDBT'!I7="",0,'4. PTDBT'!I7)</f>
        <v>8</v>
      </c>
      <c r="N5" s="426">
        <f t="shared" ref="N5:N17" si="0">M5+N4</f>
        <v>8</v>
      </c>
      <c r="O5" s="426">
        <f>IF(N5&lt;=R$2,N5,R$2)</f>
        <v>8</v>
      </c>
      <c r="P5" s="426">
        <f t="shared" ref="P5:P17" si="1">M5/$Q$2</f>
        <v>15.915494309189533</v>
      </c>
      <c r="Q5" s="680">
        <f>IF('4. PTDBT'!N7="",0,'4. PTDBT'!N7)</f>
        <v>3.88</v>
      </c>
      <c r="R5" s="426">
        <f t="shared" ref="R5:R17" si="2">R4+P5</f>
        <v>-13.78750569081047</v>
      </c>
      <c r="S5" s="413">
        <f>IF(R5&lt;S$2,R5,S$2)</f>
        <v>-13.78750569081047</v>
      </c>
      <c r="T5" s="427">
        <f t="shared" ref="T5:T17" si="3">IF(Q5&gt;0,T4+(Q4-Q5),T4)</f>
        <v>-4.2330000000000005</v>
      </c>
    </row>
    <row r="6" spans="1:20" ht="15" customHeight="1">
      <c r="A6" s="420"/>
      <c r="B6" s="415"/>
      <c r="C6" s="417"/>
      <c r="D6" s="417"/>
      <c r="E6" s="1449"/>
      <c r="F6" s="417"/>
      <c r="G6" s="1450" t="s">
        <v>72</v>
      </c>
      <c r="H6" s="417"/>
      <c r="I6" s="423"/>
      <c r="J6" s="423"/>
      <c r="K6" s="424"/>
      <c r="L6" s="423">
        <v>2</v>
      </c>
      <c r="M6" s="425">
        <f>IF('4. PTDBT'!I8="",0,'4. PTDBT'!I8)</f>
        <v>8</v>
      </c>
      <c r="N6" s="426">
        <f t="shared" si="0"/>
        <v>16</v>
      </c>
      <c r="O6" s="426">
        <f t="shared" ref="O6:O17" si="4">IF(N6&lt;=R$2,N6,R$2)</f>
        <v>16</v>
      </c>
      <c r="P6" s="426">
        <f t="shared" si="1"/>
        <v>15.915494309189533</v>
      </c>
      <c r="Q6" s="680">
        <f>IF('4. PTDBT'!N8="",0,'4. PTDBT'!N8)</f>
        <v>1.01</v>
      </c>
      <c r="R6" s="426">
        <f t="shared" si="2"/>
        <v>2.1279886183790637</v>
      </c>
      <c r="S6" s="413">
        <f t="shared" ref="S6:S17" si="5">IF(R6&lt;S$2,R6,S$2)</f>
        <v>-7</v>
      </c>
      <c r="T6" s="427">
        <f t="shared" si="3"/>
        <v>-1.3630000000000004</v>
      </c>
    </row>
    <row r="7" spans="1:20" ht="18" customHeight="1">
      <c r="A7" s="414" t="s">
        <v>63</v>
      </c>
      <c r="B7" s="415"/>
      <c r="C7" s="1445">
        <f>'2. NK'!H51</f>
        <v>-29.703000000000003</v>
      </c>
      <c r="D7" s="1446"/>
      <c r="E7" s="1449"/>
      <c r="F7" s="417"/>
      <c r="G7" s="1450"/>
      <c r="H7" s="417"/>
      <c r="I7" s="423"/>
      <c r="J7" s="423"/>
      <c r="K7" s="424"/>
      <c r="L7" s="423">
        <v>3</v>
      </c>
      <c r="M7" s="425">
        <f>IF('4. PTDBT'!I9="",0,'4. PTDBT'!I9)</f>
        <v>2</v>
      </c>
      <c r="N7" s="426">
        <f t="shared" si="0"/>
        <v>18</v>
      </c>
      <c r="O7" s="426">
        <f t="shared" si="4"/>
        <v>18</v>
      </c>
      <c r="P7" s="426">
        <f t="shared" si="1"/>
        <v>3.9788735772973833</v>
      </c>
      <c r="Q7" s="680">
        <f>IF('4. PTDBT'!N9="",0,'4. PTDBT'!N9)</f>
        <v>0.2</v>
      </c>
      <c r="R7" s="426">
        <f t="shared" si="2"/>
        <v>6.1068621956764471</v>
      </c>
      <c r="S7" s="413">
        <f t="shared" si="5"/>
        <v>-7</v>
      </c>
      <c r="T7" s="427">
        <f t="shared" si="3"/>
        <v>-0.55300000000000038</v>
      </c>
    </row>
    <row r="8" spans="1:20" ht="15" customHeight="1">
      <c r="A8" s="420"/>
      <c r="B8" s="415"/>
      <c r="C8" s="417"/>
      <c r="D8" s="417"/>
      <c r="E8" s="1449"/>
      <c r="F8" s="417"/>
      <c r="G8" s="1450"/>
      <c r="H8" s="417"/>
      <c r="I8" s="423"/>
      <c r="J8" s="423"/>
      <c r="K8" s="424"/>
      <c r="L8" s="423">
        <v>4</v>
      </c>
      <c r="M8" s="425">
        <f>IF('4. PTDBT'!I10="",0,'4. PTDBT'!I10)</f>
        <v>0</v>
      </c>
      <c r="N8" s="426">
        <f t="shared" si="0"/>
        <v>18</v>
      </c>
      <c r="O8" s="426">
        <f t="shared" si="4"/>
        <v>18</v>
      </c>
      <c r="P8" s="426">
        <f t="shared" si="1"/>
        <v>0</v>
      </c>
      <c r="Q8" s="680">
        <f>IF('4. PTDBT'!N10="",0,'4. PTDBT'!N10)</f>
        <v>0</v>
      </c>
      <c r="R8" s="426">
        <f t="shared" si="2"/>
        <v>6.1068621956764471</v>
      </c>
      <c r="S8" s="413">
        <f t="shared" si="5"/>
        <v>-7</v>
      </c>
      <c r="T8" s="427">
        <f t="shared" si="3"/>
        <v>-0.55300000000000038</v>
      </c>
    </row>
    <row r="9" spans="1:20" ht="18" customHeight="1">
      <c r="A9" s="414" t="s">
        <v>62</v>
      </c>
      <c r="B9" s="678"/>
      <c r="C9" s="1445">
        <f>'2. NK'!R4</f>
        <v>-8</v>
      </c>
      <c r="D9" s="1446"/>
      <c r="E9" s="1449"/>
      <c r="F9" s="417"/>
      <c r="G9" s="1450"/>
      <c r="H9" s="417"/>
      <c r="I9" s="423"/>
      <c r="J9" s="423"/>
      <c r="K9" s="424"/>
      <c r="L9" s="423">
        <v>5</v>
      </c>
      <c r="M9" s="425">
        <f>IF('4. PTDBT'!I11="",0,'4. PTDBT'!I11)</f>
        <v>0</v>
      </c>
      <c r="N9" s="426">
        <f t="shared" si="0"/>
        <v>18</v>
      </c>
      <c r="O9" s="426">
        <f t="shared" si="4"/>
        <v>18</v>
      </c>
      <c r="P9" s="426">
        <f t="shared" si="1"/>
        <v>0</v>
      </c>
      <c r="Q9" s="680">
        <f>IF('4. PTDBT'!N11="",0,'4. PTDBT'!N11)</f>
        <v>0</v>
      </c>
      <c r="R9" s="426">
        <f t="shared" si="2"/>
        <v>6.1068621956764471</v>
      </c>
      <c r="S9" s="413">
        <f t="shared" si="5"/>
        <v>-7</v>
      </c>
      <c r="T9" s="427">
        <f t="shared" si="3"/>
        <v>-0.55300000000000038</v>
      </c>
    </row>
    <row r="10" spans="1:20" ht="15" customHeight="1">
      <c r="A10" s="420"/>
      <c r="B10" s="415"/>
      <c r="C10" s="428"/>
      <c r="D10" s="428"/>
      <c r="E10" s="1449"/>
      <c r="F10" s="417"/>
      <c r="G10" s="1450"/>
      <c r="H10" s="417"/>
      <c r="I10" s="423"/>
      <c r="J10" s="423"/>
      <c r="K10" s="424"/>
      <c r="L10" s="423">
        <v>6</v>
      </c>
      <c r="M10" s="425">
        <f>IF('4. PTDBT'!I12="",0,'4. PTDBT'!I12)</f>
        <v>0</v>
      </c>
      <c r="N10" s="426">
        <f t="shared" si="0"/>
        <v>18</v>
      </c>
      <c r="O10" s="426">
        <f t="shared" si="4"/>
        <v>18</v>
      </c>
      <c r="P10" s="426">
        <f t="shared" si="1"/>
        <v>0</v>
      </c>
      <c r="Q10" s="680">
        <f>IF('4. PTDBT'!N12="",0,'4. PTDBT'!N12)</f>
        <v>0</v>
      </c>
      <c r="R10" s="426">
        <f t="shared" si="2"/>
        <v>6.1068621956764471</v>
      </c>
      <c r="S10" s="413">
        <f t="shared" si="5"/>
        <v>-7</v>
      </c>
      <c r="T10" s="427">
        <f t="shared" si="3"/>
        <v>-0.55300000000000038</v>
      </c>
    </row>
    <row r="11" spans="1:20" ht="18" customHeight="1">
      <c r="A11" s="414" t="s">
        <v>65</v>
      </c>
      <c r="B11" s="415"/>
      <c r="C11" s="1451">
        <f>'2. NK'!G52</f>
        <v>42466</v>
      </c>
      <c r="D11" s="1452"/>
      <c r="E11" s="1449"/>
      <c r="F11" s="417"/>
      <c r="G11" s="1450"/>
      <c r="H11" s="417"/>
      <c r="I11" s="423"/>
      <c r="J11" s="423"/>
      <c r="K11" s="424"/>
      <c r="L11" s="423">
        <v>7</v>
      </c>
      <c r="M11" s="425">
        <f>IF('4. PTDBT'!I13="",0,'4. PTDBT'!I13)</f>
        <v>0</v>
      </c>
      <c r="N11" s="426">
        <f t="shared" si="0"/>
        <v>18</v>
      </c>
      <c r="O11" s="426">
        <f t="shared" si="4"/>
        <v>18</v>
      </c>
      <c r="P11" s="426">
        <f t="shared" si="1"/>
        <v>0</v>
      </c>
      <c r="Q11" s="680">
        <f>IF('4. PTDBT'!N13="",0,'4. PTDBT'!N13)</f>
        <v>0</v>
      </c>
      <c r="R11" s="426">
        <f t="shared" si="2"/>
        <v>6.1068621956764471</v>
      </c>
      <c r="S11" s="413">
        <f t="shared" si="5"/>
        <v>-7</v>
      </c>
      <c r="T11" s="427">
        <f t="shared" si="3"/>
        <v>-0.55300000000000038</v>
      </c>
    </row>
    <row r="12" spans="1:20" ht="15" customHeight="1">
      <c r="A12" s="420"/>
      <c r="B12" s="415"/>
      <c r="C12" s="428"/>
      <c r="D12" s="428"/>
      <c r="E12" s="1449"/>
      <c r="F12" s="417"/>
      <c r="G12" s="1450"/>
      <c r="H12" s="417"/>
      <c r="I12" s="423"/>
      <c r="J12" s="423"/>
      <c r="K12" s="424"/>
      <c r="L12" s="423">
        <v>8</v>
      </c>
      <c r="M12" s="425">
        <f>IF('4. PTDBT'!I14="",0,'4. PTDBT'!I14)</f>
        <v>0</v>
      </c>
      <c r="N12" s="426">
        <f t="shared" si="0"/>
        <v>18</v>
      </c>
      <c r="O12" s="426">
        <f t="shared" si="4"/>
        <v>18</v>
      </c>
      <c r="P12" s="426">
        <f t="shared" si="1"/>
        <v>0</v>
      </c>
      <c r="Q12" s="680">
        <f>IF('4. PTDBT'!N14="",0,'4. PTDBT'!N14)</f>
        <v>0</v>
      </c>
      <c r="R12" s="426">
        <f t="shared" si="2"/>
        <v>6.1068621956764471</v>
      </c>
      <c r="S12" s="413">
        <f t="shared" si="5"/>
        <v>-7</v>
      </c>
      <c r="T12" s="427">
        <f t="shared" si="3"/>
        <v>-0.55300000000000038</v>
      </c>
    </row>
    <row r="13" spans="1:20" ht="18" customHeight="1">
      <c r="A13" s="414" t="s">
        <v>64</v>
      </c>
      <c r="B13" s="415"/>
      <c r="C13" s="1453" t="str">
        <f>'4. PTDBT'!R2</f>
        <v>BP2</v>
      </c>
      <c r="D13" s="1454"/>
      <c r="E13" s="1449"/>
      <c r="F13" s="417"/>
      <c r="G13" s="1450"/>
      <c r="H13" s="417"/>
      <c r="I13" s="423"/>
      <c r="J13" s="423"/>
      <c r="K13" s="424"/>
      <c r="L13" s="423">
        <v>9</v>
      </c>
      <c r="M13" s="425">
        <f>IF('4. PTDBT'!I15="",0,'4. PTDBT'!I15)</f>
        <v>0</v>
      </c>
      <c r="N13" s="426">
        <f t="shared" si="0"/>
        <v>18</v>
      </c>
      <c r="O13" s="426">
        <f t="shared" si="4"/>
        <v>18</v>
      </c>
      <c r="P13" s="426">
        <f t="shared" si="1"/>
        <v>0</v>
      </c>
      <c r="Q13" s="680">
        <f>IF('4. PTDBT'!N15="",0,'4. PTDBT'!N15)</f>
        <v>0</v>
      </c>
      <c r="R13" s="426">
        <f t="shared" si="2"/>
        <v>6.1068621956764471</v>
      </c>
      <c r="S13" s="413">
        <f t="shared" si="5"/>
        <v>-7</v>
      </c>
      <c r="T13" s="427">
        <f t="shared" si="3"/>
        <v>-0.55300000000000038</v>
      </c>
    </row>
    <row r="14" spans="1:20" ht="15" customHeight="1">
      <c r="A14" s="420"/>
      <c r="B14" s="415"/>
      <c r="C14" s="428"/>
      <c r="D14" s="428"/>
      <c r="E14" s="1449"/>
      <c r="F14" s="417"/>
      <c r="G14" s="1450"/>
      <c r="H14" s="417"/>
      <c r="I14" s="423"/>
      <c r="J14" s="423"/>
      <c r="K14" s="424"/>
      <c r="L14" s="423">
        <v>10</v>
      </c>
      <c r="M14" s="425">
        <f>IF('4. PTDBT'!I16="",0,'4. PTDBT'!I16)</f>
        <v>0</v>
      </c>
      <c r="N14" s="426">
        <f t="shared" si="0"/>
        <v>18</v>
      </c>
      <c r="O14" s="426">
        <f t="shared" si="4"/>
        <v>18</v>
      </c>
      <c r="P14" s="426">
        <f t="shared" si="1"/>
        <v>0</v>
      </c>
      <c r="Q14" s="680">
        <f>IF('4. PTDBT'!N16="",0,'4. PTDBT'!N16)</f>
        <v>0</v>
      </c>
      <c r="R14" s="426">
        <f t="shared" si="2"/>
        <v>6.1068621956764471</v>
      </c>
      <c r="S14" s="413">
        <f t="shared" si="5"/>
        <v>-7</v>
      </c>
      <c r="T14" s="427">
        <f t="shared" si="3"/>
        <v>-0.55300000000000038</v>
      </c>
    </row>
    <row r="15" spans="1:20" ht="15.75">
      <c r="A15" s="414" t="s">
        <v>66</v>
      </c>
      <c r="B15" s="415"/>
      <c r="C15" s="1455" t="str">
        <f>'2. NK'!Q27</f>
        <v>Bình thường</v>
      </c>
      <c r="D15" s="1456"/>
      <c r="E15" s="1449"/>
      <c r="F15" s="417"/>
      <c r="G15" s="1450"/>
      <c r="H15" s="417"/>
      <c r="I15" s="423"/>
      <c r="J15" s="423"/>
      <c r="K15" s="424"/>
      <c r="L15" s="423">
        <v>11</v>
      </c>
      <c r="M15" s="425">
        <f>IF('4. PTDBT'!I17="",0,'4. PTDBT'!I17)</f>
        <v>0</v>
      </c>
      <c r="N15" s="426">
        <f t="shared" si="0"/>
        <v>18</v>
      </c>
      <c r="O15" s="426">
        <f t="shared" si="4"/>
        <v>18</v>
      </c>
      <c r="P15" s="426">
        <f t="shared" si="1"/>
        <v>0</v>
      </c>
      <c r="Q15" s="680">
        <f>IF('4. PTDBT'!N17="",0,'4. PTDBT'!N17)</f>
        <v>0</v>
      </c>
      <c r="R15" s="426">
        <f t="shared" si="2"/>
        <v>6.1068621956764471</v>
      </c>
      <c r="S15" s="413">
        <f t="shared" si="5"/>
        <v>-7</v>
      </c>
      <c r="T15" s="427">
        <f t="shared" si="3"/>
        <v>-0.55300000000000038</v>
      </c>
    </row>
    <row r="16" spans="1:20" ht="15" customHeight="1">
      <c r="A16" s="420"/>
      <c r="B16" s="415"/>
      <c r="C16" s="428"/>
      <c r="D16" s="428"/>
      <c r="E16" s="1449"/>
      <c r="F16" s="417"/>
      <c r="G16" s="1450"/>
      <c r="H16" s="417"/>
      <c r="I16" s="423"/>
      <c r="J16" s="423"/>
      <c r="K16" s="424"/>
      <c r="L16" s="423">
        <v>12</v>
      </c>
      <c r="M16" s="425">
        <f>IF('4. PTDBT'!I18="",0,'4. PTDBT'!I18)</f>
        <v>0</v>
      </c>
      <c r="N16" s="426">
        <f t="shared" si="0"/>
        <v>18</v>
      </c>
      <c r="O16" s="426">
        <f t="shared" si="4"/>
        <v>18</v>
      </c>
      <c r="P16" s="426">
        <f t="shared" si="1"/>
        <v>0</v>
      </c>
      <c r="Q16" s="680">
        <f>IF('4. PTDBT'!N18="",0,'4. PTDBT'!N18)</f>
        <v>0</v>
      </c>
      <c r="R16" s="426">
        <f t="shared" si="2"/>
        <v>6.1068621956764471</v>
      </c>
      <c r="S16" s="413">
        <f t="shared" si="5"/>
        <v>-7</v>
      </c>
      <c r="T16" s="427">
        <f t="shared" si="3"/>
        <v>-0.55300000000000038</v>
      </c>
    </row>
    <row r="17" spans="1:20" ht="18" customHeight="1">
      <c r="A17" s="414" t="s">
        <v>67</v>
      </c>
      <c r="B17" s="415"/>
      <c r="C17" s="1455" t="str">
        <f>'2. NK'!R11</f>
        <v>B25</v>
      </c>
      <c r="D17" s="1457"/>
      <c r="E17" s="1449"/>
      <c r="F17" s="417"/>
      <c r="G17" s="1450"/>
      <c r="H17" s="417"/>
      <c r="I17" s="423"/>
      <c r="J17" s="423"/>
      <c r="K17" s="424"/>
      <c r="L17" s="423">
        <v>13</v>
      </c>
      <c r="M17" s="425">
        <f>IF('4. PTDBT'!I19="",0,'4. PTDBT'!I19)</f>
        <v>0</v>
      </c>
      <c r="N17" s="426">
        <f t="shared" si="0"/>
        <v>18</v>
      </c>
      <c r="O17" s="426">
        <f t="shared" si="4"/>
        <v>18</v>
      </c>
      <c r="P17" s="426">
        <f t="shared" si="1"/>
        <v>0</v>
      </c>
      <c r="Q17" s="680">
        <f>IF('4. PTDBT'!N19="",0,'4. PTDBT'!N19)</f>
        <v>0</v>
      </c>
      <c r="R17" s="426">
        <f t="shared" si="2"/>
        <v>6.1068621956764471</v>
      </c>
      <c r="S17" s="413">
        <f t="shared" si="5"/>
        <v>-7</v>
      </c>
      <c r="T17" s="427">
        <f t="shared" si="3"/>
        <v>-0.55300000000000038</v>
      </c>
    </row>
    <row r="18" spans="1:20" ht="15" customHeight="1">
      <c r="A18" s="420"/>
      <c r="B18" s="415"/>
      <c r="C18" s="417"/>
      <c r="D18" s="417"/>
      <c r="E18" s="429"/>
      <c r="F18" s="417"/>
      <c r="G18" s="1450"/>
      <c r="H18" s="417"/>
      <c r="I18" s="423"/>
      <c r="J18" s="423"/>
      <c r="K18" s="424"/>
      <c r="L18" s="423">
        <v>14</v>
      </c>
      <c r="M18" s="425"/>
      <c r="N18" s="430"/>
      <c r="O18" s="430"/>
      <c r="S18" s="413"/>
    </row>
    <row r="19" spans="1:20" ht="18" customHeight="1">
      <c r="A19" s="414" t="s">
        <v>73</v>
      </c>
      <c r="B19" s="415"/>
      <c r="C19" s="417"/>
      <c r="D19" s="417"/>
      <c r="E19" s="429"/>
      <c r="F19" s="417"/>
      <c r="G19" s="1450"/>
      <c r="H19" s="417"/>
      <c r="I19" s="423"/>
      <c r="J19" s="423"/>
      <c r="K19" s="424"/>
      <c r="L19" s="423"/>
    </row>
    <row r="20" spans="1:20" ht="7.5" customHeight="1">
      <c r="A20" s="420"/>
      <c r="B20" s="415"/>
      <c r="C20" s="417"/>
      <c r="D20" s="417"/>
      <c r="E20" s="429"/>
      <c r="F20" s="417"/>
      <c r="G20" s="1450"/>
      <c r="H20" s="417"/>
      <c r="I20" s="423"/>
      <c r="J20" s="423"/>
      <c r="K20" s="424"/>
      <c r="L20" s="423"/>
    </row>
    <row r="21" spans="1:20" ht="24.75" customHeight="1">
      <c r="A21" s="431" t="s">
        <v>57</v>
      </c>
      <c r="B21" s="1458" t="s">
        <v>0</v>
      </c>
      <c r="C21" s="1459"/>
      <c r="D21" s="432" t="s">
        <v>32</v>
      </c>
      <c r="E21" s="429"/>
      <c r="F21" s="417"/>
      <c r="G21" s="1450"/>
      <c r="H21" s="417"/>
      <c r="I21" s="423"/>
      <c r="J21" s="423"/>
      <c r="K21" s="424"/>
      <c r="L21" s="423"/>
      <c r="M21" s="433">
        <f>SUM(M4:M14)</f>
        <v>18</v>
      </c>
    </row>
    <row r="22" spans="1:20" ht="24" customHeight="1">
      <c r="A22" s="434" t="s">
        <v>74</v>
      </c>
      <c r="B22" s="1437" t="s">
        <v>855</v>
      </c>
      <c r="C22" s="1438"/>
      <c r="D22" s="540" t="s">
        <v>855</v>
      </c>
      <c r="E22" s="435"/>
      <c r="F22" s="417"/>
      <c r="G22" s="1450"/>
      <c r="H22" s="417"/>
      <c r="I22" s="423"/>
      <c r="J22" s="423"/>
      <c r="K22" s="424"/>
      <c r="L22" s="423"/>
    </row>
    <row r="23" spans="1:20" ht="15.75">
      <c r="A23" s="434" t="s">
        <v>25</v>
      </c>
      <c r="B23" s="1460" t="s">
        <v>59</v>
      </c>
      <c r="C23" s="1461"/>
      <c r="D23" s="436" t="s">
        <v>59</v>
      </c>
      <c r="E23" s="435"/>
      <c r="F23" s="417"/>
      <c r="G23" s="422"/>
      <c r="H23" s="417"/>
      <c r="I23" s="423"/>
      <c r="J23" s="423"/>
      <c r="K23" s="424"/>
      <c r="L23" s="423"/>
    </row>
    <row r="24" spans="1:20" ht="18.75">
      <c r="A24" s="434" t="s">
        <v>397</v>
      </c>
      <c r="B24" s="1462">
        <f>'4. PTDBT'!L23</f>
        <v>11.405987200000004</v>
      </c>
      <c r="C24" s="1463"/>
      <c r="D24" s="461">
        <f>'4. PTDBT'!L22</f>
        <v>18</v>
      </c>
      <c r="E24" s="435"/>
      <c r="F24" s="417"/>
      <c r="G24" s="417"/>
      <c r="H24" s="417"/>
      <c r="I24" s="417"/>
      <c r="J24" s="417"/>
      <c r="K24" s="437"/>
      <c r="L24" s="417"/>
      <c r="M24" s="438" t="s">
        <v>179</v>
      </c>
      <c r="N24" s="438"/>
      <c r="O24" s="438"/>
      <c r="P24" s="439" t="e">
        <f>#REF!-#REF!</f>
        <v>#REF!</v>
      </c>
      <c r="Q24" s="439"/>
    </row>
    <row r="25" spans="1:20" ht="18.75">
      <c r="A25" s="434" t="s">
        <v>35</v>
      </c>
      <c r="B25" s="1464">
        <f>D24-B24</f>
        <v>6.5940127999999962</v>
      </c>
      <c r="C25" s="1465"/>
      <c r="D25" s="462">
        <f>B25/B24</f>
        <v>0.57811855163225101</v>
      </c>
      <c r="E25" s="435"/>
      <c r="F25" s="440"/>
      <c r="G25" s="417"/>
      <c r="H25" s="417"/>
      <c r="I25" s="417"/>
      <c r="J25" s="1466"/>
      <c r="K25" s="1467"/>
      <c r="L25" s="417"/>
      <c r="M25" s="438" t="s">
        <v>180</v>
      </c>
      <c r="N25" s="438"/>
      <c r="O25" s="438"/>
      <c r="P25" s="443"/>
      <c r="Q25" s="443"/>
    </row>
    <row r="26" spans="1:20" ht="18" customHeight="1">
      <c r="A26" s="1468" t="s">
        <v>380</v>
      </c>
      <c r="B26" s="444" t="s">
        <v>175</v>
      </c>
      <c r="C26" s="444" t="s">
        <v>381</v>
      </c>
      <c r="D26" s="445" t="s">
        <v>385</v>
      </c>
      <c r="E26" s="437"/>
      <c r="F26" s="417"/>
      <c r="G26" s="417" t="s">
        <v>1189</v>
      </c>
      <c r="H26" s="417"/>
      <c r="I26" s="417"/>
      <c r="J26" s="1466"/>
      <c r="K26" s="1467"/>
      <c r="L26" s="417"/>
      <c r="M26" s="438"/>
      <c r="N26" s="438"/>
      <c r="O26" s="438"/>
      <c r="P26" s="443"/>
      <c r="Q26" s="443"/>
    </row>
    <row r="27" spans="1:20" ht="18" customHeight="1">
      <c r="A27" s="1469"/>
      <c r="B27" s="444" t="s">
        <v>181</v>
      </c>
      <c r="C27" s="446">
        <f>'2. NK'!E39</f>
        <v>2</v>
      </c>
      <c r="D27" s="447">
        <f>'2. NK'!I39</f>
        <v>28.386000000000003</v>
      </c>
      <c r="E27" s="437"/>
      <c r="F27" s="417"/>
      <c r="G27" s="417"/>
      <c r="H27" s="417"/>
      <c r="I27" s="417"/>
      <c r="J27" s="441"/>
      <c r="K27" s="442"/>
      <c r="L27" s="417"/>
      <c r="M27" s="438"/>
      <c r="N27" s="438"/>
      <c r="O27" s="438"/>
      <c r="P27" s="443"/>
      <c r="Q27" s="443"/>
    </row>
    <row r="28" spans="1:20" ht="18" customHeight="1">
      <c r="A28" s="1469"/>
      <c r="B28" s="448" t="s">
        <v>187</v>
      </c>
      <c r="C28" s="446">
        <f>'2. NK'!E40</f>
        <v>1</v>
      </c>
      <c r="D28" s="447">
        <f>'2. NK'!I40</f>
        <v>27.486000000000004</v>
      </c>
      <c r="E28" s="437"/>
      <c r="F28" s="417"/>
      <c r="G28" s="417"/>
      <c r="H28" s="417"/>
      <c r="I28" s="417"/>
      <c r="J28" s="441"/>
      <c r="K28" s="442"/>
      <c r="L28" s="417"/>
      <c r="M28" s="438"/>
      <c r="N28" s="438"/>
      <c r="O28" s="438"/>
      <c r="P28" s="443"/>
      <c r="Q28" s="443"/>
    </row>
    <row r="29" spans="1:20" ht="18" customHeight="1">
      <c r="A29" s="1470"/>
      <c r="B29" s="449"/>
      <c r="C29" s="446"/>
      <c r="D29" s="447"/>
      <c r="E29" s="437"/>
      <c r="F29" s="417"/>
      <c r="G29" s="417"/>
      <c r="H29" s="417"/>
      <c r="I29" s="417"/>
      <c r="J29" s="1471"/>
      <c r="K29" s="1472"/>
      <c r="L29" s="417"/>
      <c r="M29" s="438"/>
      <c r="N29" s="438"/>
      <c r="O29" s="438"/>
      <c r="P29" s="443"/>
      <c r="Q29" s="443"/>
    </row>
    <row r="30" spans="1:20" ht="16.5" customHeight="1">
      <c r="A30" s="450" t="s">
        <v>54</v>
      </c>
      <c r="B30" s="451"/>
      <c r="C30" s="451"/>
      <c r="D30" s="452"/>
      <c r="E30" s="1473" t="s">
        <v>820</v>
      </c>
      <c r="F30" s="1474"/>
      <c r="G30" s="1474"/>
      <c r="H30" s="1474"/>
      <c r="I30" s="1481" t="s">
        <v>853</v>
      </c>
      <c r="J30" s="1481"/>
      <c r="K30" s="1482"/>
      <c r="L30" s="417"/>
      <c r="M30" s="438"/>
      <c r="N30" s="438"/>
      <c r="O30" s="438"/>
    </row>
    <row r="31" spans="1:20" ht="36" customHeight="1">
      <c r="A31" s="1475" t="s">
        <v>75</v>
      </c>
      <c r="B31" s="1476"/>
      <c r="C31" s="1476"/>
      <c r="D31" s="1477"/>
      <c r="E31" s="423"/>
      <c r="F31" s="417"/>
      <c r="G31" s="417"/>
      <c r="H31" s="417"/>
      <c r="I31" s="417"/>
      <c r="J31" s="417"/>
      <c r="K31" s="437"/>
      <c r="L31" s="417"/>
    </row>
    <row r="32" spans="1:20" ht="16.5">
      <c r="A32" s="453"/>
      <c r="B32" s="454"/>
      <c r="C32" s="454"/>
      <c r="D32" s="455"/>
      <c r="E32" s="423"/>
      <c r="F32" s="417"/>
      <c r="G32" s="417"/>
      <c r="H32" s="417"/>
      <c r="I32" s="417"/>
      <c r="J32" s="417"/>
      <c r="K32" s="437"/>
      <c r="L32" s="417"/>
    </row>
    <row r="33" spans="1:12" ht="16.5">
      <c r="A33" s="453"/>
      <c r="B33" s="454"/>
      <c r="C33" s="454"/>
      <c r="D33" s="455"/>
      <c r="E33" s="423"/>
      <c r="F33" s="417"/>
      <c r="G33" s="417"/>
      <c r="H33" s="417"/>
      <c r="I33" s="417"/>
      <c r="J33" s="417"/>
      <c r="K33" s="437"/>
      <c r="L33" s="417"/>
    </row>
    <row r="34" spans="1:12" ht="16.5">
      <c r="A34" s="456"/>
      <c r="B34" s="457"/>
      <c r="C34" s="457"/>
      <c r="D34" s="458"/>
      <c r="E34" s="1478"/>
      <c r="F34" s="1479"/>
      <c r="G34" s="1479"/>
      <c r="H34" s="459"/>
      <c r="I34" s="459"/>
      <c r="J34" s="1479"/>
      <c r="K34" s="1480"/>
      <c r="L34" s="417"/>
    </row>
    <row r="35" spans="1:12" ht="16.5">
      <c r="B35" s="460"/>
      <c r="C35" s="460"/>
      <c r="D35" s="460"/>
    </row>
  </sheetData>
  <mergeCells count="28">
    <mergeCell ref="E30:H30"/>
    <mergeCell ref="A31:D31"/>
    <mergeCell ref="E34:G34"/>
    <mergeCell ref="J34:K34"/>
    <mergeCell ref="I30:K30"/>
    <mergeCell ref="B23:C23"/>
    <mergeCell ref="B24:C24"/>
    <mergeCell ref="B25:C25"/>
    <mergeCell ref="J25:K25"/>
    <mergeCell ref="A26:A29"/>
    <mergeCell ref="J26:K26"/>
    <mergeCell ref="J29:K29"/>
    <mergeCell ref="B22:C22"/>
    <mergeCell ref="A1:E1"/>
    <mergeCell ref="F1:J1"/>
    <mergeCell ref="F2:K2"/>
    <mergeCell ref="C3:D3"/>
    <mergeCell ref="I3:K4"/>
    <mergeCell ref="E4:E17"/>
    <mergeCell ref="C5:D5"/>
    <mergeCell ref="G6:G22"/>
    <mergeCell ref="C7:D7"/>
    <mergeCell ref="C9:D9"/>
    <mergeCell ref="C11:D11"/>
    <mergeCell ref="C13:D13"/>
    <mergeCell ref="C15:D15"/>
    <mergeCell ref="C17:D17"/>
    <mergeCell ref="B21:C21"/>
  </mergeCells>
  <phoneticPr fontId="0" type="noConversion"/>
  <pageMargins left="0.43" right="0.28999999999999998" top="0.73" bottom="0.27" header="0.2" footer="0.2"/>
  <pageSetup paperSize="9" scale="88"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1148"/>
  <sheetViews>
    <sheetView zoomScaleNormal="100" workbookViewId="0">
      <selection activeCell="N17" sqref="N17"/>
    </sheetView>
  </sheetViews>
  <sheetFormatPr defaultRowHeight="12.75"/>
  <cols>
    <col min="1" max="1" width="3.7109375" customWidth="1"/>
    <col min="2" max="2" width="2.5703125" customWidth="1"/>
    <col min="3" max="3" width="2.42578125" customWidth="1"/>
    <col min="4" max="4" width="10" customWidth="1"/>
    <col min="5" max="5" width="13.140625" customWidth="1"/>
    <col min="6" max="6" width="4.5703125" customWidth="1"/>
    <col min="7" max="7" width="4.42578125" customWidth="1"/>
    <col min="8" max="8" width="5.42578125" customWidth="1"/>
    <col min="9" max="9" width="3.140625" customWidth="1"/>
    <col min="10" max="10" width="5.28515625" customWidth="1"/>
    <col min="11" max="11" width="6.7109375" customWidth="1"/>
    <col min="12" max="12" width="6.28515625" customWidth="1"/>
    <col min="14" max="14" width="23" customWidth="1"/>
    <col min="17" max="17" width="30.140625" style="10" customWidth="1"/>
    <col min="18" max="18" width="22.7109375" style="10" customWidth="1"/>
    <col min="19" max="19" width="15.5703125" style="10" customWidth="1"/>
    <col min="20" max="20" width="12" style="10" customWidth="1"/>
    <col min="21" max="21" width="14.140625" style="6" bestFit="1" customWidth="1"/>
    <col min="22" max="22" width="9.140625" style="6"/>
    <col min="23" max="23" width="15" style="6" bestFit="1" customWidth="1"/>
    <col min="24" max="24" width="20" style="6" bestFit="1" customWidth="1"/>
    <col min="25" max="32" width="9.140625" style="6"/>
  </cols>
  <sheetData>
    <row r="1" spans="1:249" ht="23.25" customHeight="1">
      <c r="A1" s="1594" t="str">
        <f>'Du lieu'!$C$13</f>
        <v>.....................................</v>
      </c>
      <c r="B1" s="1594"/>
      <c r="C1" s="1594"/>
      <c r="D1" s="1594"/>
      <c r="E1" s="1594"/>
      <c r="F1" s="1594"/>
      <c r="G1" s="9"/>
      <c r="H1" s="1483" t="s">
        <v>199</v>
      </c>
      <c r="I1" s="1483"/>
      <c r="J1" s="1483"/>
      <c r="K1" s="1483"/>
      <c r="L1" s="1483"/>
      <c r="M1" s="1483"/>
      <c r="N1" s="1483"/>
    </row>
    <row r="2" spans="1:249" ht="17.25" customHeight="1">
      <c r="A2" s="1594"/>
      <c r="B2" s="1594"/>
      <c r="C2" s="1594"/>
      <c r="D2" s="1594"/>
      <c r="E2" s="1594"/>
      <c r="F2" s="1594"/>
      <c r="G2" s="13"/>
      <c r="H2" s="1484" t="s">
        <v>200</v>
      </c>
      <c r="I2" s="1484"/>
      <c r="J2" s="1484"/>
      <c r="K2" s="1484"/>
      <c r="L2" s="1484"/>
      <c r="M2" s="1484"/>
      <c r="N2" s="1484"/>
    </row>
    <row r="3" spans="1:249" ht="17.25" customHeight="1">
      <c r="A3" s="1594"/>
      <c r="B3" s="1594"/>
      <c r="C3" s="1594"/>
      <c r="D3" s="1594"/>
      <c r="E3" s="1594"/>
      <c r="F3" s="1594"/>
      <c r="G3" s="14"/>
      <c r="H3" s="14"/>
      <c r="I3" s="1486">
        <f>U15</f>
        <v>42466</v>
      </c>
      <c r="J3" s="1486"/>
      <c r="K3" s="1486"/>
      <c r="L3" s="1486"/>
      <c r="M3" s="1486"/>
      <c r="N3" s="1486"/>
      <c r="O3" s="15"/>
      <c r="P3" s="15"/>
      <c r="Q3" s="16" t="s">
        <v>201</v>
      </c>
      <c r="R3" s="16" t="str">
        <f>'Du lieu'!$C$4</f>
        <v>KHU HỖN HỢP CHUNG CƯ, VĂN PHÒNG, TRUNG TÂM THƯƠNG MẠI VÀ NHÀ Ở KẾT HỢP KHU MUA SẮM</v>
      </c>
      <c r="S3" s="137"/>
      <c r="T3" s="17"/>
      <c r="U3" s="15"/>
      <c r="V3" s="15"/>
      <c r="W3" s="15"/>
      <c r="X3" s="15"/>
      <c r="Y3" s="15"/>
      <c r="Z3" s="15"/>
      <c r="AA3" s="15"/>
      <c r="AB3" s="15"/>
      <c r="AC3" s="15"/>
      <c r="AD3" s="1492"/>
      <c r="AE3" s="1492"/>
      <c r="AF3" s="1492"/>
      <c r="AG3" s="1492"/>
      <c r="AH3" s="1492"/>
      <c r="AI3" s="1492"/>
      <c r="AJ3" s="1492"/>
      <c r="AK3" s="1492"/>
      <c r="AL3" s="1492"/>
      <c r="AM3" s="1492"/>
      <c r="AN3" s="1492"/>
      <c r="AO3" s="1492"/>
      <c r="AP3" s="1492"/>
      <c r="AQ3" s="1492"/>
      <c r="AR3" s="1492"/>
      <c r="AS3" s="1492"/>
      <c r="AT3" s="1492"/>
      <c r="AU3" s="1492"/>
      <c r="AV3" s="1492"/>
      <c r="AW3" s="1492"/>
      <c r="AX3" s="1492"/>
      <c r="AY3" s="1492"/>
      <c r="AZ3" s="1492"/>
      <c r="BA3" s="1492"/>
      <c r="BB3" s="1492"/>
      <c r="BC3" s="1492"/>
      <c r="BD3" s="1492"/>
      <c r="BE3" s="1492"/>
      <c r="BF3" s="1492"/>
      <c r="BG3" s="1492"/>
      <c r="BH3" s="1492"/>
      <c r="BI3" s="1492"/>
      <c r="BJ3" s="1492"/>
      <c r="BK3" s="1492"/>
      <c r="BL3" s="1492"/>
      <c r="BM3" s="1492"/>
      <c r="BN3" s="1492"/>
      <c r="BO3" s="1492"/>
      <c r="BP3" s="1492"/>
      <c r="BQ3" s="1492"/>
      <c r="BR3" s="1492"/>
      <c r="BS3" s="1492"/>
      <c r="BT3" s="1492"/>
      <c r="BU3" s="1492"/>
      <c r="BV3" s="1492"/>
      <c r="BW3" s="1492"/>
      <c r="BX3" s="1492"/>
      <c r="BY3" s="1492"/>
      <c r="BZ3" s="1492"/>
      <c r="CA3" s="1492"/>
      <c r="CB3" s="1492"/>
      <c r="CC3" s="1492"/>
      <c r="CD3" s="1492"/>
      <c r="CE3" s="1492"/>
      <c r="CF3" s="1492"/>
      <c r="CG3" s="1492"/>
      <c r="CH3" s="1492"/>
      <c r="CI3" s="1492"/>
      <c r="CJ3" s="1492"/>
      <c r="CK3" s="1492"/>
      <c r="CL3" s="1492"/>
      <c r="CM3" s="1492"/>
      <c r="CN3" s="1492"/>
      <c r="CO3" s="1492"/>
      <c r="CP3" s="1492"/>
      <c r="CQ3" s="1492"/>
      <c r="CR3" s="1492"/>
      <c r="CS3" s="1492"/>
      <c r="CT3" s="1492"/>
      <c r="CU3" s="1492"/>
      <c r="CV3" s="1492"/>
      <c r="CW3" s="1492"/>
      <c r="CX3" s="1492"/>
      <c r="CY3" s="1492"/>
      <c r="CZ3" s="1492"/>
      <c r="DA3" s="1492"/>
      <c r="DB3" s="1492"/>
      <c r="DC3" s="1492"/>
      <c r="DD3" s="1492"/>
      <c r="DE3" s="1492"/>
      <c r="DF3" s="1492"/>
      <c r="DG3" s="1492"/>
      <c r="DH3" s="1492"/>
      <c r="DI3" s="1492"/>
      <c r="DJ3" s="1492"/>
      <c r="DK3" s="1492"/>
      <c r="DL3" s="1492"/>
      <c r="DM3" s="1492"/>
      <c r="DN3" s="1492"/>
      <c r="DO3" s="1492"/>
      <c r="DP3" s="1492"/>
      <c r="DQ3" s="1492"/>
      <c r="DR3" s="1492"/>
      <c r="DS3" s="1492"/>
      <c r="DT3" s="1492"/>
      <c r="DU3" s="1492"/>
      <c r="DV3" s="1492"/>
      <c r="DW3" s="1492"/>
      <c r="DX3" s="1492"/>
      <c r="DY3" s="1492"/>
      <c r="DZ3" s="1492"/>
      <c r="EA3" s="1492"/>
      <c r="EB3" s="1492"/>
      <c r="EC3" s="1492"/>
      <c r="ED3" s="1492"/>
      <c r="EE3" s="1492"/>
      <c r="EF3" s="1492"/>
      <c r="EG3" s="1492"/>
      <c r="EH3" s="1492"/>
      <c r="EI3" s="1492"/>
      <c r="EJ3" s="1492"/>
      <c r="EK3" s="1492"/>
      <c r="EL3" s="1492"/>
      <c r="EM3" s="1492"/>
      <c r="EN3" s="1492"/>
      <c r="EO3" s="1492"/>
      <c r="EP3" s="1492"/>
      <c r="EQ3" s="1492"/>
      <c r="ER3" s="1492"/>
      <c r="ES3" s="1492"/>
      <c r="ET3" s="1492"/>
      <c r="EU3" s="1492"/>
      <c r="EV3" s="1492"/>
      <c r="EW3" s="1492"/>
      <c r="EX3" s="1492"/>
      <c r="EY3" s="1492"/>
      <c r="EZ3" s="1492"/>
      <c r="FA3" s="1492"/>
      <c r="FB3" s="1492"/>
      <c r="FC3" s="1492"/>
      <c r="FD3" s="1492"/>
      <c r="FE3" s="1492"/>
      <c r="FF3" s="1492"/>
      <c r="FG3" s="1492"/>
      <c r="FH3" s="1492"/>
      <c r="FI3" s="1492"/>
      <c r="FJ3" s="1492"/>
      <c r="FK3" s="1492"/>
      <c r="FL3" s="1492"/>
      <c r="FM3" s="1492"/>
      <c r="FN3" s="1492"/>
      <c r="FO3" s="1492"/>
      <c r="FP3" s="1492"/>
      <c r="FQ3" s="1492"/>
      <c r="FR3" s="1492"/>
      <c r="FS3" s="1492"/>
      <c r="FT3" s="1492"/>
      <c r="FU3" s="1492"/>
      <c r="FV3" s="1492"/>
      <c r="FW3" s="1492"/>
      <c r="FX3" s="1492"/>
      <c r="FY3" s="1492"/>
      <c r="FZ3" s="1492"/>
      <c r="GA3" s="1492"/>
      <c r="GB3" s="1492"/>
      <c r="GC3" s="1492"/>
      <c r="GD3" s="1492"/>
      <c r="GE3" s="1492"/>
      <c r="GF3" s="1492"/>
      <c r="GG3" s="1492"/>
      <c r="GH3" s="1492"/>
      <c r="GI3" s="1492"/>
      <c r="GJ3" s="1492"/>
      <c r="GK3" s="1492"/>
      <c r="GL3" s="1492"/>
      <c r="GM3" s="1492"/>
      <c r="GN3" s="1492"/>
      <c r="GO3" s="1492"/>
      <c r="GP3" s="1492"/>
      <c r="GQ3" s="1492"/>
      <c r="GR3" s="1492"/>
      <c r="GS3" s="1492"/>
      <c r="GT3" s="1492"/>
      <c r="GU3" s="1492"/>
      <c r="GV3" s="1492"/>
      <c r="GW3" s="1492"/>
      <c r="GX3" s="1492"/>
      <c r="GY3" s="1492"/>
      <c r="GZ3" s="1492"/>
      <c r="HA3" s="1492"/>
      <c r="HB3" s="1492"/>
      <c r="HC3" s="1492"/>
      <c r="HD3" s="1492"/>
      <c r="HE3" s="1492"/>
      <c r="HF3" s="1492"/>
      <c r="HG3" s="1492"/>
      <c r="HH3" s="1492"/>
      <c r="HI3" s="1492"/>
      <c r="HJ3" s="1492"/>
      <c r="HK3" s="1492"/>
      <c r="HL3" s="1492"/>
      <c r="HM3" s="1492"/>
      <c r="HN3" s="1492"/>
      <c r="HO3" s="1492"/>
      <c r="HP3" s="1492"/>
      <c r="HQ3" s="1492"/>
      <c r="HR3" s="1492"/>
      <c r="HS3" s="1492"/>
      <c r="HT3" s="1492"/>
      <c r="HU3" s="1492"/>
      <c r="HV3" s="1492"/>
      <c r="HW3" s="1492"/>
      <c r="HX3" s="1492"/>
      <c r="HY3" s="1492"/>
      <c r="HZ3" s="1492"/>
      <c r="IA3" s="1492"/>
      <c r="IB3" s="1492"/>
      <c r="IC3" s="1492"/>
      <c r="ID3" s="1492"/>
      <c r="IE3" s="1492"/>
      <c r="IF3" s="1492"/>
      <c r="IG3" s="1492"/>
      <c r="IH3" s="1492"/>
      <c r="II3" s="1492"/>
      <c r="IJ3" s="1492"/>
      <c r="IK3" s="1492"/>
      <c r="IL3" s="1492"/>
      <c r="IM3" s="1492"/>
      <c r="IN3" s="1492"/>
      <c r="IO3" s="14"/>
    </row>
    <row r="4" spans="1:249" ht="17.25" customHeight="1">
      <c r="A4" s="18"/>
      <c r="B4" s="18"/>
      <c r="C4" s="18"/>
      <c r="D4" s="18"/>
      <c r="E4" s="18"/>
      <c r="F4" s="18"/>
      <c r="I4" s="19"/>
      <c r="J4" s="3"/>
      <c r="K4" s="20"/>
      <c r="L4" s="21"/>
      <c r="M4" s="20"/>
      <c r="Q4" s="22" t="s">
        <v>202</v>
      </c>
      <c r="R4" s="16" t="str">
        <f>'Du lieu'!$C$6</f>
        <v>P. BẠCH ĐẰNG, TP. HẠ LONG, TỈNH QUẢNG NINH</v>
      </c>
      <c r="S4" s="137"/>
      <c r="T4" s="23"/>
    </row>
    <row r="5" spans="1:249" s="24" customFormat="1" ht="22.5" customHeight="1">
      <c r="A5" s="1493" t="str">
        <f>"Biªn b¶n sè: "&amp;$R$12&amp;"/ Nb-T§/"&amp;$R$14</f>
        <v>Biªn b¶n sè: B1/ Nb-T§/800</v>
      </c>
      <c r="B5" s="1493"/>
      <c r="C5" s="1493"/>
      <c r="D5" s="1493"/>
      <c r="E5" s="1493"/>
      <c r="F5" s="1493"/>
      <c r="G5" s="1493"/>
      <c r="H5" s="1493"/>
      <c r="I5" s="1493"/>
      <c r="J5" s="1493"/>
      <c r="K5" s="1493"/>
      <c r="L5" s="1493"/>
      <c r="M5" s="1493"/>
      <c r="N5" s="1493"/>
      <c r="Q5" s="22" t="s">
        <v>203</v>
      </c>
      <c r="R5" s="16" t="str">
        <f>'Du lieu'!$C$5</f>
        <v>CỌC KHOAN NHỒI</v>
      </c>
      <c r="S5" s="137"/>
      <c r="T5" s="23"/>
    </row>
    <row r="6" spans="1:249" s="24" customFormat="1" ht="21" customHeight="1">
      <c r="A6" s="1493" t="s">
        <v>204</v>
      </c>
      <c r="B6" s="1493"/>
      <c r="C6" s="1493"/>
      <c r="D6" s="1493"/>
      <c r="E6" s="1493"/>
      <c r="F6" s="1493"/>
      <c r="G6" s="1493"/>
      <c r="H6" s="1493"/>
      <c r="I6" s="1493"/>
      <c r="J6" s="1493"/>
      <c r="K6" s="1493"/>
      <c r="L6" s="1493"/>
      <c r="M6" s="1493"/>
      <c r="N6" s="1493"/>
      <c r="T6" s="25"/>
    </row>
    <row r="7" spans="1:249" ht="11.25" customHeight="1">
      <c r="A7" s="12"/>
      <c r="R7" s="26"/>
      <c r="S7" s="26"/>
      <c r="T7" s="25"/>
    </row>
    <row r="8" spans="1:249" ht="21.95" customHeight="1">
      <c r="B8" s="27"/>
      <c r="C8" s="28" t="str">
        <f>"C«ng tr×nh: "&amp;$R$3</f>
        <v>C«ng tr×nh: KHU HỖN HỢP CHUNG CƯ, VĂN PHÒNG, TRUNG TÂM THƯƠNG MẠI VÀ NHÀ Ở KẾT HỢP KHU MUA SẮM</v>
      </c>
      <c r="D8" s="27"/>
      <c r="E8" s="27"/>
      <c r="F8" s="27"/>
      <c r="G8" s="27"/>
      <c r="H8" s="27"/>
      <c r="I8" s="27"/>
      <c r="J8" s="27"/>
      <c r="K8" s="27"/>
      <c r="L8" s="27"/>
    </row>
    <row r="9" spans="1:249" ht="21.95" customHeight="1">
      <c r="B9" s="27"/>
      <c r="C9" s="28" t="str">
        <f>"H¹ng môc: "&amp;$R$5</f>
        <v>H¹ng môc: CỌC KHOAN NHỒI</v>
      </c>
      <c r="D9" s="27"/>
      <c r="E9" s="29"/>
      <c r="F9" s="28"/>
      <c r="G9" s="28"/>
      <c r="H9" s="28"/>
      <c r="I9" s="28"/>
      <c r="J9" s="28"/>
      <c r="K9" s="28"/>
      <c r="L9" s="28"/>
      <c r="M9" s="28"/>
    </row>
    <row r="10" spans="1:249" ht="21.95" customHeight="1">
      <c r="B10" s="30"/>
      <c r="C10" s="1487" t="str">
        <f>"§Þa ®iÓm x©y dùng: "&amp;$R$4</f>
        <v>§Þa ®iÓm x©y dùng: P. BẠCH ĐẰNG, TP. HẠ LONG, TỈNH QUẢNG NINH</v>
      </c>
      <c r="D10" s="1487"/>
      <c r="E10" s="1487"/>
      <c r="F10" s="1487"/>
      <c r="G10" s="1487"/>
      <c r="H10" s="1487"/>
      <c r="I10" s="1487"/>
      <c r="J10" s="1487"/>
      <c r="K10" s="1487"/>
      <c r="L10" s="1487"/>
      <c r="M10" s="1487"/>
      <c r="N10" s="1487"/>
    </row>
    <row r="11" spans="1:249" ht="9" customHeight="1">
      <c r="B11" s="30"/>
      <c r="C11" s="31"/>
      <c r="D11" s="30"/>
      <c r="E11" s="30"/>
      <c r="F11" s="30"/>
      <c r="G11" s="30"/>
      <c r="H11" s="30"/>
      <c r="I11" s="30"/>
      <c r="J11" s="30"/>
      <c r="K11" s="30"/>
      <c r="L11" s="30"/>
    </row>
    <row r="12" spans="1:249" ht="16.5">
      <c r="A12" s="30" t="str">
        <f>"1.§èi t­îng nghiÖm thu: §Þnh vÞ èng Casing cäc: "&amp;$R$12</f>
        <v>1.§èi t­îng nghiÖm thu: §Þnh vÞ èng Casing cäc: B1</v>
      </c>
      <c r="B12" s="30"/>
      <c r="C12" s="30"/>
      <c r="D12" s="30"/>
      <c r="E12" s="30"/>
      <c r="F12" s="27"/>
      <c r="H12" s="30"/>
      <c r="I12" s="30"/>
      <c r="J12" s="30"/>
      <c r="K12" s="30"/>
      <c r="L12" s="30"/>
      <c r="Q12" s="119" t="s">
        <v>205</v>
      </c>
      <c r="R12" s="119" t="str">
        <f>'2. NK'!D10</f>
        <v>B1</v>
      </c>
      <c r="S12" s="119"/>
      <c r="T12" s="119"/>
      <c r="U12" s="1"/>
      <c r="V12" s="120">
        <v>3.472222222222222E-3</v>
      </c>
      <c r="W12" s="6" t="s">
        <v>206</v>
      </c>
    </row>
    <row r="13" spans="1:249" ht="16.5">
      <c r="A13" s="30"/>
      <c r="B13" s="30"/>
      <c r="C13" s="30"/>
      <c r="D13" s="30"/>
      <c r="E13" s="30"/>
      <c r="F13" s="27"/>
      <c r="H13" s="30"/>
      <c r="I13" s="30"/>
      <c r="J13" s="30"/>
      <c r="K13" s="30"/>
      <c r="L13" s="30"/>
      <c r="Q13" s="32"/>
      <c r="R13" s="119" t="s">
        <v>316</v>
      </c>
      <c r="S13" s="119"/>
      <c r="T13" s="119"/>
      <c r="U13" s="1" t="s">
        <v>317</v>
      </c>
    </row>
    <row r="14" spans="1:249" ht="16.5">
      <c r="A14" s="1488" t="s">
        <v>207</v>
      </c>
      <c r="B14" s="1488"/>
      <c r="C14" s="1488"/>
      <c r="D14" s="1488"/>
      <c r="E14" s="1488"/>
      <c r="F14" s="1488"/>
      <c r="G14" s="1488"/>
      <c r="H14" s="1488"/>
      <c r="I14" s="1488"/>
      <c r="J14" s="1488"/>
      <c r="K14" s="1488"/>
      <c r="L14" s="1488"/>
      <c r="Q14" s="119" t="s">
        <v>156</v>
      </c>
      <c r="R14" s="119">
        <f>'2. NK'!H10</f>
        <v>800</v>
      </c>
      <c r="S14" s="119"/>
      <c r="T14" s="119"/>
      <c r="U14" s="1"/>
    </row>
    <row r="15" spans="1:249" ht="21.95" customHeight="1">
      <c r="A15" s="27"/>
      <c r="B15" s="33" t="s">
        <v>208</v>
      </c>
      <c r="C15" s="34"/>
      <c r="D15" s="34"/>
      <c r="E15" s="27"/>
      <c r="F15" s="27"/>
      <c r="G15" s="27"/>
      <c r="H15" s="27"/>
      <c r="I15" s="27"/>
      <c r="J15" s="27"/>
      <c r="K15" s="27"/>
      <c r="L15" s="27"/>
      <c r="Q15" s="119" t="s">
        <v>209</v>
      </c>
      <c r="R15" s="121">
        <f>'2. NK'!F13</f>
        <v>0.40277777777777773</v>
      </c>
      <c r="S15" s="121"/>
      <c r="T15" s="121">
        <f>'2. NK'!H13</f>
        <v>0.40624999999999994</v>
      </c>
      <c r="U15" s="122">
        <f>'2. NK'!J13</f>
        <v>42466</v>
      </c>
      <c r="V15" s="120">
        <v>1.3888888888888888E-2</v>
      </c>
      <c r="W15" s="123">
        <f t="shared" ref="W15:W20" si="0">R15-V15</f>
        <v>0.38888888888888884</v>
      </c>
      <c r="X15" s="124"/>
    </row>
    <row r="16" spans="1:249" ht="24.75" customHeight="1">
      <c r="A16" s="35"/>
      <c r="C16" s="34"/>
      <c r="D16" s="36" t="s">
        <v>210</v>
      </c>
      <c r="E16" s="36" t="str">
        <f>R33</f>
        <v>Nguyễn Mạnh Hùng</v>
      </c>
      <c r="F16" s="36"/>
      <c r="G16" s="35"/>
      <c r="I16" s="37" t="s">
        <v>211</v>
      </c>
      <c r="J16" s="37"/>
      <c r="K16" s="36" t="str">
        <f>T33</f>
        <v>Chỉ huy phó công trường</v>
      </c>
      <c r="L16" s="35"/>
      <c r="M16" s="35"/>
      <c r="Q16" s="119" t="s">
        <v>212</v>
      </c>
      <c r="R16" s="121">
        <f>'2. NK'!F18</f>
        <v>0.40972222222222215</v>
      </c>
      <c r="S16" s="121"/>
      <c r="T16" s="121">
        <f>'2. NK'!H18</f>
        <v>0.42013888888888884</v>
      </c>
      <c r="U16" s="122">
        <f>'2. NK'!J18</f>
        <v>42466</v>
      </c>
      <c r="V16" s="120">
        <v>1.3888888888888888E-2</v>
      </c>
      <c r="W16" s="123">
        <f t="shared" si="0"/>
        <v>0.39583333333333326</v>
      </c>
    </row>
    <row r="17" spans="1:249" ht="21.95" customHeight="1">
      <c r="A17" s="27"/>
      <c r="B17" s="33" t="s">
        <v>213</v>
      </c>
      <c r="C17" s="34"/>
      <c r="D17" s="34"/>
      <c r="E17" s="27"/>
      <c r="F17" s="27"/>
      <c r="G17" s="27"/>
      <c r="H17" s="27"/>
      <c r="I17" s="27"/>
      <c r="J17" s="27"/>
      <c r="K17" s="27"/>
      <c r="L17" s="27"/>
      <c r="Q17" s="119" t="s">
        <v>214</v>
      </c>
      <c r="R17" s="121">
        <f>'2. NK'!F31</f>
        <v>0.73958333333333315</v>
      </c>
      <c r="S17" s="121"/>
      <c r="T17" s="121">
        <f>'2. NK'!H31</f>
        <v>0.74999999999999978</v>
      </c>
      <c r="U17" s="122">
        <f>'2. NK'!J31</f>
        <v>42466</v>
      </c>
      <c r="V17" s="120">
        <v>1.3888888888888888E-2</v>
      </c>
      <c r="W17" s="123">
        <f t="shared" si="0"/>
        <v>0.72569444444444431</v>
      </c>
    </row>
    <row r="18" spans="1:249" ht="26.25" customHeight="1">
      <c r="A18" s="35"/>
      <c r="C18" s="38"/>
      <c r="D18" s="39" t="s">
        <v>210</v>
      </c>
      <c r="E18" s="36" t="str">
        <f>R30</f>
        <v>CÔNG TY TNHH MTV HANTECH</v>
      </c>
      <c r="F18" s="36"/>
      <c r="G18" s="35"/>
      <c r="I18" s="37" t="s">
        <v>211</v>
      </c>
      <c r="J18" s="37"/>
      <c r="K18" s="36" t="str">
        <f>T30</f>
        <v>Công ty TNHH MTV HANTECH</v>
      </c>
      <c r="L18" s="36"/>
      <c r="Q18" s="119" t="s">
        <v>215</v>
      </c>
      <c r="R18" s="121">
        <f>'2. NK'!F44</f>
        <v>0.81944444444444409</v>
      </c>
      <c r="S18" s="121"/>
      <c r="T18" s="121">
        <f>'2. NK'!H48</f>
        <v>0</v>
      </c>
      <c r="U18" s="122">
        <f>'2. NK'!J48</f>
        <v>0</v>
      </c>
      <c r="V18" s="120">
        <v>1.3888888888888888E-2</v>
      </c>
      <c r="W18" s="123">
        <f t="shared" si="0"/>
        <v>0.80555555555555525</v>
      </c>
    </row>
    <row r="19" spans="1:249" ht="26.25" customHeight="1">
      <c r="A19" s="35"/>
      <c r="C19" s="38"/>
      <c r="D19" s="39" t="s">
        <v>210</v>
      </c>
      <c r="E19" s="36" t="str">
        <f>R32</f>
        <v>Ngô Văn Khánh</v>
      </c>
      <c r="F19" s="36"/>
      <c r="G19" s="35"/>
      <c r="I19" s="37" t="s">
        <v>211</v>
      </c>
      <c r="J19" s="37"/>
      <c r="K19" s="36" t="str">
        <f>T32</f>
        <v>Chỉ huy trưởng công trường</v>
      </c>
      <c r="L19" s="36"/>
      <c r="Q19" s="119" t="s">
        <v>216</v>
      </c>
      <c r="R19" s="121">
        <f>'2. NK'!F52</f>
        <v>0.83333333333333293</v>
      </c>
      <c r="S19" s="122">
        <f>'2. NK'!G52</f>
        <v>42466</v>
      </c>
      <c r="T19" s="121">
        <f>'2. NK'!I52</f>
        <v>0.87499999999999956</v>
      </c>
      <c r="U19" s="122">
        <f>'2. NK'!J52</f>
        <v>42466</v>
      </c>
      <c r="V19" s="120">
        <v>1.3888888888888888E-2</v>
      </c>
      <c r="W19" s="123">
        <f t="shared" si="0"/>
        <v>0.81944444444444409</v>
      </c>
    </row>
    <row r="20" spans="1:249" ht="22.5" customHeight="1">
      <c r="A20" s="1488" t="s">
        <v>217</v>
      </c>
      <c r="B20" s="1488"/>
      <c r="C20" s="1488"/>
      <c r="D20" s="1488"/>
      <c r="E20" s="1488"/>
      <c r="F20" s="1488"/>
      <c r="G20" s="1488"/>
      <c r="H20" s="1488"/>
      <c r="I20" s="1488"/>
      <c r="J20" s="1488"/>
      <c r="K20" s="1488"/>
      <c r="L20" s="1488"/>
      <c r="Q20" s="119" t="s">
        <v>218</v>
      </c>
      <c r="R20" s="121">
        <v>0.33333333333333331</v>
      </c>
      <c r="S20" s="121"/>
      <c r="T20" s="121">
        <v>0.375</v>
      </c>
      <c r="U20" s="122">
        <f>U19+30</f>
        <v>42496</v>
      </c>
      <c r="V20" s="120">
        <v>1.3888888888888888E-2</v>
      </c>
      <c r="W20" s="123">
        <f t="shared" si="0"/>
        <v>0.31944444444444442</v>
      </c>
    </row>
    <row r="21" spans="1:249" ht="21.95" customHeight="1">
      <c r="A21" s="40"/>
      <c r="C21" s="24"/>
      <c r="D21" s="24" t="s">
        <v>219</v>
      </c>
      <c r="E21" s="41">
        <f>$W$15</f>
        <v>0.38888888888888884</v>
      </c>
      <c r="F21" s="1489">
        <f>$I$3</f>
        <v>42466</v>
      </c>
      <c r="G21" s="1489"/>
      <c r="H21" s="1489"/>
      <c r="I21" s="1489"/>
      <c r="J21" s="1489"/>
      <c r="K21" s="1489"/>
      <c r="L21" s="1489"/>
      <c r="M21" s="24"/>
      <c r="N21" s="24"/>
      <c r="V21" s="120"/>
    </row>
    <row r="22" spans="1:249" ht="21.95" customHeight="1">
      <c r="A22" s="40"/>
      <c r="C22" s="24"/>
      <c r="D22" s="24" t="s">
        <v>162</v>
      </c>
      <c r="E22" s="41">
        <f>$E$21+$V$12</f>
        <v>0.39236111111111105</v>
      </c>
      <c r="F22" s="1489">
        <f>$I$3</f>
        <v>42466</v>
      </c>
      <c r="G22" s="1489"/>
      <c r="H22" s="1489"/>
      <c r="I22" s="1489"/>
      <c r="J22" s="1489"/>
      <c r="K22" s="1489"/>
      <c r="L22" s="1489"/>
      <c r="Q22" s="119" t="s">
        <v>192</v>
      </c>
      <c r="R22" s="119" t="str">
        <f>'Du lieu'!$C$7</f>
        <v>CÔNG TY CỔ PHẦN ĐẦU TƯ VÀ KHÁCH SẠN MYWAY HẠ LONG</v>
      </c>
      <c r="S22" s="119"/>
      <c r="T22" s="119" t="str">
        <f>'Du lieu'!$D$7</f>
        <v>Công ty Cổ phần đầu tư và Khách sạn MyWay Hạ Long</v>
      </c>
      <c r="U22" s="1"/>
    </row>
    <row r="23" spans="1:249" ht="23.25" customHeight="1">
      <c r="D23" s="36" t="s">
        <v>220</v>
      </c>
      <c r="F23" s="36" t="str">
        <f>$R$3</f>
        <v>KHU HỖN HỢP CHUNG CƯ, VĂN PHÒNG, TRUNG TÂM THƯƠNG MẠI VÀ NHÀ Ở KẾT HỢP KHU MUA SẮM</v>
      </c>
      <c r="G23" s="30"/>
      <c r="H23" s="30"/>
      <c r="I23" s="30"/>
      <c r="J23" s="30"/>
      <c r="K23" s="30"/>
      <c r="L23" s="30"/>
      <c r="Q23" s="119" t="s">
        <v>193</v>
      </c>
      <c r="R23" s="119" t="str">
        <f>'Du lieu'!$C$8</f>
        <v>Nguyễn Thanh Tân</v>
      </c>
      <c r="S23" s="119"/>
      <c r="T23" s="119" t="str">
        <f>'Du lieu'!$D$8</f>
        <v>GĐ BQLDA</v>
      </c>
      <c r="U23" s="1"/>
    </row>
    <row r="24" spans="1:249" ht="23.25" customHeight="1">
      <c r="D24" s="36" t="s">
        <v>221</v>
      </c>
      <c r="F24" s="36" t="str">
        <f>$R$4</f>
        <v>P. BẠCH ĐẰNG, TP. HẠ LONG, TỈNH QUẢNG NINH</v>
      </c>
      <c r="G24" s="30"/>
      <c r="H24" s="30"/>
      <c r="I24" s="30"/>
      <c r="J24" s="30"/>
      <c r="K24" s="30"/>
      <c r="L24" s="30"/>
      <c r="Q24" s="119" t="s">
        <v>193</v>
      </c>
      <c r="R24" s="119" t="str">
        <f>'Du lieu'!$C$9</f>
        <v>Phạm Tiến Dũng</v>
      </c>
      <c r="S24" s="119"/>
      <c r="T24" s="119" t="str">
        <f>'Du lieu'!$D$9</f>
        <v>Cán bộ BQLDA</v>
      </c>
      <c r="U24" s="1"/>
    </row>
    <row r="25" spans="1:249" ht="21.95" customHeight="1">
      <c r="A25" s="1488" t="s">
        <v>222</v>
      </c>
      <c r="B25" s="1488"/>
      <c r="C25" s="1488"/>
      <c r="D25" s="1488"/>
      <c r="E25" s="1488"/>
      <c r="F25" s="1488"/>
      <c r="G25" s="1488"/>
      <c r="H25" s="1488"/>
      <c r="I25" s="1488"/>
      <c r="J25" s="1488"/>
      <c r="K25" s="1488"/>
      <c r="L25" s="1488"/>
      <c r="O25" s="43"/>
      <c r="P25" s="43"/>
      <c r="Q25" s="119" t="s">
        <v>194</v>
      </c>
      <c r="R25" s="119" t="str">
        <f>'Du lieu'!$C$10</f>
        <v>………………..</v>
      </c>
      <c r="S25" s="119"/>
      <c r="T25" s="119" t="str">
        <f>'Du lieu'!$D$10</f>
        <v>Cán bộ BQLDA</v>
      </c>
      <c r="U25" s="125"/>
      <c r="V25" s="126"/>
      <c r="W25" s="126"/>
      <c r="X25" s="126"/>
      <c r="Y25" s="126"/>
      <c r="Z25" s="126"/>
      <c r="AA25" s="126"/>
      <c r="AB25" s="126"/>
      <c r="AC25" s="126"/>
    </row>
    <row r="26" spans="1:249" s="5" customFormat="1" ht="40.5" customHeight="1">
      <c r="A26" s="1491" t="s">
        <v>223</v>
      </c>
      <c r="B26" s="1491"/>
      <c r="C26" s="1491"/>
      <c r="D26" s="1491"/>
      <c r="E26" s="1491"/>
      <c r="F26" s="1491"/>
      <c r="G26" s="1491"/>
      <c r="H26" s="1491"/>
      <c r="I26" s="1491"/>
      <c r="J26" s="1491"/>
      <c r="K26" s="1491"/>
      <c r="L26" s="1491"/>
      <c r="M26" s="1491"/>
      <c r="N26" s="1491"/>
      <c r="O26" s="43"/>
      <c r="P26" s="43"/>
      <c r="Q26" s="119" t="s">
        <v>193</v>
      </c>
      <c r="R26" s="119" t="str">
        <f>'Du lieu'!$C$11</f>
        <v>CÔNG TY CỔ PHẦN TƯ VẤN KIỂM ĐỊNH VÀ THƯƠNG MẠI XÂY DỰNG GOLDSUN</v>
      </c>
      <c r="S26" s="119"/>
      <c r="T26" s="119" t="str">
        <f>'Du lieu'!$D$11</f>
        <v>Công ty Cổ phần tư vấn kiểm định và thương mại xây dựng Goldsun</v>
      </c>
      <c r="U26" s="125"/>
      <c r="V26" s="126"/>
      <c r="W26" s="126"/>
      <c r="X26" s="126"/>
      <c r="Y26" s="126"/>
      <c r="Z26" s="126"/>
      <c r="AA26" s="126"/>
      <c r="AB26" s="126"/>
      <c r="AC26" s="126"/>
      <c r="AD26" s="127"/>
      <c r="AE26" s="127"/>
      <c r="AF26" s="127"/>
    </row>
    <row r="27" spans="1:249" s="5" customFormat="1" ht="24" customHeight="1">
      <c r="A27" s="1490" t="s">
        <v>224</v>
      </c>
      <c r="B27" s="1490"/>
      <c r="C27" s="1490"/>
      <c r="D27" s="1490"/>
      <c r="E27" s="1490"/>
      <c r="F27" s="1490"/>
      <c r="G27" s="1490"/>
      <c r="H27" s="1490"/>
      <c r="I27" s="1490"/>
      <c r="J27" s="1490"/>
      <c r="K27" s="1490"/>
      <c r="L27" s="1490"/>
      <c r="M27" s="1490"/>
      <c r="N27" s="1490"/>
      <c r="O27" s="43"/>
      <c r="P27" s="43"/>
      <c r="Q27" s="119" t="s">
        <v>193</v>
      </c>
      <c r="R27" s="119" t="str">
        <f>'Du lieu'!$C$12</f>
        <v>.....................................</v>
      </c>
      <c r="S27" s="119"/>
      <c r="T27" s="119" t="str">
        <f>'Du lieu'!$D$12</f>
        <v>.....................................</v>
      </c>
      <c r="U27" s="125"/>
      <c r="V27" s="126"/>
      <c r="W27" s="126"/>
      <c r="X27" s="126"/>
      <c r="Y27" s="126"/>
      <c r="Z27" s="126"/>
      <c r="AA27" s="126"/>
      <c r="AB27" s="126"/>
      <c r="AC27" s="126"/>
      <c r="AD27" s="127"/>
      <c r="AE27" s="127"/>
      <c r="AF27" s="127"/>
    </row>
    <row r="28" spans="1:249" s="5" customFormat="1" ht="24" customHeight="1">
      <c r="B28" s="36" t="s">
        <v>225</v>
      </c>
      <c r="C28" s="36"/>
      <c r="D28" s="36"/>
      <c r="E28" s="36"/>
      <c r="F28" s="36"/>
      <c r="G28" s="36"/>
      <c r="H28" s="36"/>
      <c r="I28" s="36"/>
      <c r="J28" s="36"/>
      <c r="K28" s="36"/>
      <c r="L28" s="36"/>
      <c r="M28" s="36"/>
      <c r="N28" s="36"/>
      <c r="O28" s="43"/>
      <c r="P28" s="43"/>
      <c r="Q28" s="119" t="s">
        <v>195</v>
      </c>
      <c r="R28" s="119" t="str">
        <f>'Du lieu'!$C$13</f>
        <v>.....................................</v>
      </c>
      <c r="S28" s="119"/>
      <c r="T28" s="119" t="str">
        <f>'Du lieu'!$D$13</f>
        <v>.....................................</v>
      </c>
      <c r="U28" s="125"/>
      <c r="V28" s="126"/>
      <c r="W28" s="126"/>
      <c r="X28" s="126"/>
      <c r="Y28" s="126"/>
      <c r="Z28" s="126"/>
      <c r="AA28" s="126"/>
      <c r="AB28" s="126"/>
      <c r="AC28" s="126"/>
      <c r="AD28" s="1490"/>
      <c r="AE28" s="1490"/>
      <c r="AF28" s="1490"/>
      <c r="AG28" s="1490"/>
      <c r="AH28" s="1490"/>
      <c r="AI28" s="1490"/>
      <c r="AJ28" s="1490"/>
      <c r="AK28" s="1490"/>
      <c r="AL28" s="1490"/>
      <c r="AM28" s="1490"/>
      <c r="AN28" s="1490"/>
      <c r="AO28" s="1490"/>
      <c r="AP28" s="1490"/>
      <c r="AQ28" s="1490"/>
      <c r="AR28" s="1490"/>
      <c r="AS28" s="1490"/>
      <c r="AT28" s="1490"/>
      <c r="AU28" s="1490"/>
      <c r="AV28" s="1490"/>
      <c r="AW28" s="1490"/>
      <c r="AX28" s="1490"/>
      <c r="AY28" s="1490"/>
      <c r="AZ28" s="1490"/>
      <c r="BA28" s="1490"/>
      <c r="BB28" s="1490"/>
      <c r="BC28" s="1490"/>
      <c r="BD28" s="1490"/>
      <c r="BE28" s="1490"/>
      <c r="BF28" s="1490"/>
      <c r="BG28" s="1490"/>
      <c r="BH28" s="1490"/>
      <c r="BI28" s="1490"/>
      <c r="BJ28" s="1490"/>
      <c r="BK28" s="1490"/>
      <c r="BL28" s="1490"/>
      <c r="BM28" s="1490"/>
      <c r="BN28" s="1490"/>
      <c r="BO28" s="1490"/>
      <c r="BP28" s="1490"/>
      <c r="BQ28" s="1490"/>
      <c r="BR28" s="1490"/>
      <c r="BS28" s="1490"/>
      <c r="BT28" s="1490"/>
      <c r="BU28" s="1490"/>
      <c r="BV28" s="1490"/>
      <c r="BW28" s="1490"/>
      <c r="BX28" s="1490"/>
      <c r="BY28" s="1490"/>
      <c r="BZ28" s="1490"/>
      <c r="CA28" s="1490"/>
      <c r="CB28" s="1490"/>
      <c r="CC28" s="1490"/>
      <c r="CD28" s="1490"/>
      <c r="CE28" s="1490"/>
      <c r="CF28" s="1490"/>
      <c r="CG28" s="1490"/>
      <c r="CH28" s="1490"/>
      <c r="CI28" s="1490"/>
      <c r="CJ28" s="1490"/>
      <c r="CK28" s="1490"/>
      <c r="CL28" s="1490"/>
      <c r="CM28" s="1490"/>
      <c r="CN28" s="1490"/>
      <c r="CO28" s="1490"/>
      <c r="CP28" s="1490"/>
      <c r="CQ28" s="1490"/>
      <c r="CR28" s="1490"/>
      <c r="CS28" s="1490"/>
      <c r="CT28" s="1490"/>
      <c r="CU28" s="1490"/>
      <c r="CV28" s="1490"/>
      <c r="CW28" s="1490"/>
      <c r="CX28" s="1490"/>
      <c r="CY28" s="1490"/>
      <c r="CZ28" s="1490"/>
      <c r="DA28" s="1490"/>
      <c r="DB28" s="1490"/>
      <c r="DC28" s="1490"/>
      <c r="DD28" s="1490"/>
      <c r="DE28" s="1490"/>
      <c r="DF28" s="1490"/>
      <c r="DG28" s="1490"/>
      <c r="DH28" s="1490"/>
      <c r="DI28" s="1490"/>
      <c r="DJ28" s="1490"/>
      <c r="DK28" s="1490"/>
      <c r="DL28" s="1490"/>
      <c r="DM28" s="1490"/>
      <c r="DN28" s="1490"/>
      <c r="DO28" s="1490"/>
      <c r="DP28" s="1490"/>
      <c r="DQ28" s="1490"/>
      <c r="DR28" s="1490"/>
      <c r="DS28" s="1490"/>
      <c r="DT28" s="1490"/>
      <c r="DU28" s="1490"/>
      <c r="DV28" s="1490"/>
      <c r="DW28" s="1490"/>
      <c r="DX28" s="1490"/>
      <c r="DY28" s="1490"/>
      <c r="DZ28" s="1490"/>
      <c r="EA28" s="1490"/>
      <c r="EB28" s="1490"/>
      <c r="EC28" s="1490"/>
      <c r="ED28" s="1490"/>
      <c r="EE28" s="1490"/>
      <c r="EF28" s="1490"/>
      <c r="EG28" s="1490"/>
      <c r="EH28" s="1490"/>
      <c r="EI28" s="1490"/>
      <c r="EJ28" s="1490"/>
      <c r="EK28" s="1490"/>
      <c r="EL28" s="1490"/>
      <c r="EM28" s="1490"/>
      <c r="EN28" s="1490"/>
      <c r="EO28" s="1490"/>
      <c r="EP28" s="1490"/>
      <c r="EQ28" s="1490"/>
      <c r="ER28" s="1490"/>
      <c r="ES28" s="1490"/>
      <c r="ET28" s="1490"/>
      <c r="EU28" s="1490"/>
      <c r="EV28" s="1490"/>
      <c r="EW28" s="1490"/>
      <c r="EX28" s="1490"/>
      <c r="EY28" s="1490"/>
      <c r="EZ28" s="1490"/>
      <c r="FA28" s="1490"/>
      <c r="FB28" s="1490"/>
      <c r="FC28" s="1490"/>
      <c r="FD28" s="1490"/>
      <c r="FE28" s="1490"/>
      <c r="FF28" s="1490"/>
      <c r="FG28" s="1490"/>
      <c r="FH28" s="1490"/>
      <c r="FI28" s="1490"/>
      <c r="FJ28" s="1490"/>
      <c r="FK28" s="1490"/>
      <c r="FL28" s="1490"/>
      <c r="FM28" s="1490"/>
      <c r="FN28" s="1490"/>
      <c r="FO28" s="1490"/>
      <c r="FP28" s="1490"/>
      <c r="FQ28" s="1490"/>
      <c r="FR28" s="1490"/>
      <c r="FS28" s="1490"/>
      <c r="FT28" s="1490"/>
      <c r="FU28" s="1490"/>
      <c r="FV28" s="1490"/>
      <c r="FW28" s="1490"/>
      <c r="FX28" s="1490"/>
      <c r="FY28" s="1490"/>
      <c r="FZ28" s="1490"/>
      <c r="GA28" s="1490"/>
      <c r="GB28" s="1490"/>
      <c r="GC28" s="1490"/>
      <c r="GD28" s="1490"/>
      <c r="GE28" s="1490"/>
      <c r="GF28" s="1490"/>
      <c r="GG28" s="1490"/>
      <c r="GH28" s="1490"/>
      <c r="GI28" s="1490"/>
      <c r="GJ28" s="1490"/>
      <c r="GK28" s="1490"/>
      <c r="GL28" s="1490"/>
      <c r="GM28" s="1490"/>
      <c r="GN28" s="1490"/>
      <c r="GO28" s="1490"/>
      <c r="GP28" s="1490"/>
      <c r="GQ28" s="1490"/>
      <c r="GR28" s="1490"/>
      <c r="GS28" s="1490"/>
      <c r="GT28" s="1490"/>
      <c r="GU28" s="1490"/>
      <c r="GV28" s="1490"/>
      <c r="GW28" s="1490"/>
      <c r="GX28" s="1490"/>
      <c r="GY28" s="1490"/>
      <c r="GZ28" s="1490"/>
      <c r="HA28" s="1490"/>
      <c r="HB28" s="1490"/>
      <c r="HC28" s="1490"/>
      <c r="HD28" s="1490"/>
      <c r="HE28" s="1490"/>
      <c r="HF28" s="1490"/>
      <c r="HG28" s="1490"/>
      <c r="HH28" s="1490"/>
      <c r="HI28" s="1490"/>
      <c r="HJ28" s="1490"/>
      <c r="HK28" s="1490"/>
      <c r="HL28" s="1490"/>
      <c r="HM28" s="1490"/>
      <c r="HN28" s="1490"/>
      <c r="HO28" s="1490"/>
      <c r="HP28" s="1490"/>
      <c r="HQ28" s="1490"/>
      <c r="HR28" s="1490"/>
      <c r="HS28" s="1490"/>
      <c r="HT28" s="1490"/>
      <c r="HU28" s="1490"/>
      <c r="HV28" s="1490"/>
      <c r="HW28" s="1490"/>
      <c r="HX28" s="1490"/>
      <c r="HY28" s="1490"/>
      <c r="HZ28" s="1490"/>
      <c r="IA28" s="1490"/>
      <c r="IB28" s="1490"/>
      <c r="IC28" s="1490"/>
      <c r="ID28" s="1490"/>
      <c r="IE28" s="1490"/>
      <c r="IF28" s="1490"/>
      <c r="IG28" s="1490"/>
      <c r="IH28" s="1490"/>
      <c r="II28" s="1490"/>
      <c r="IJ28" s="1490"/>
      <c r="IK28" s="1490"/>
      <c r="IL28" s="1490"/>
      <c r="IM28" s="1490"/>
      <c r="IN28" s="1490"/>
      <c r="IO28" s="44"/>
    </row>
    <row r="29" spans="1:249" s="5" customFormat="1" ht="24" customHeight="1">
      <c r="B29" s="36" t="s">
        <v>226</v>
      </c>
      <c r="C29" s="36"/>
      <c r="D29" s="36"/>
      <c r="E29" s="36"/>
      <c r="F29" s="36"/>
      <c r="G29" s="36"/>
      <c r="H29" s="36"/>
      <c r="I29" s="36"/>
      <c r="J29" s="36"/>
      <c r="K29" s="36"/>
      <c r="L29" s="36"/>
      <c r="M29" s="36"/>
      <c r="N29" s="36"/>
      <c r="O29" s="43"/>
      <c r="P29" s="43"/>
      <c r="Q29" s="119" t="s">
        <v>193</v>
      </c>
      <c r="R29" s="119" t="str">
        <f>'Du lieu'!$C$14</f>
        <v>.....................................</v>
      </c>
      <c r="S29" s="119"/>
      <c r="T29" s="119" t="str">
        <f>'Du lieu'!$D$14</f>
        <v>.....................................</v>
      </c>
      <c r="U29" s="125"/>
      <c r="V29" s="126"/>
      <c r="W29" s="126"/>
      <c r="X29" s="126"/>
      <c r="Y29" s="126"/>
      <c r="Z29" s="126"/>
      <c r="AA29" s="126"/>
      <c r="AB29" s="126"/>
      <c r="AC29" s="126"/>
      <c r="AD29" s="1490"/>
      <c r="AE29" s="1490"/>
      <c r="AF29" s="1490"/>
      <c r="AG29" s="1490"/>
      <c r="AH29" s="1490"/>
      <c r="AI29" s="1490"/>
      <c r="AJ29" s="1490"/>
      <c r="AK29" s="1490"/>
      <c r="AL29" s="1490"/>
      <c r="AM29" s="1490"/>
      <c r="AN29" s="1490"/>
      <c r="AO29" s="1490"/>
      <c r="AP29" s="1490"/>
      <c r="AQ29" s="1490"/>
      <c r="AR29" s="1490"/>
      <c r="AS29" s="1490"/>
      <c r="AT29" s="1490"/>
      <c r="AU29" s="1490"/>
      <c r="AV29" s="1490"/>
      <c r="AW29" s="1490"/>
      <c r="AX29" s="1490"/>
      <c r="AY29" s="1490"/>
      <c r="AZ29" s="1490"/>
      <c r="BA29" s="1490"/>
      <c r="BB29" s="1490"/>
      <c r="BC29" s="1490"/>
      <c r="BD29" s="1490"/>
      <c r="BE29" s="1490"/>
      <c r="BF29" s="1490"/>
      <c r="BG29" s="1490"/>
      <c r="BH29" s="1490"/>
      <c r="BI29" s="1490"/>
      <c r="BJ29" s="1490"/>
      <c r="BK29" s="1490"/>
      <c r="BL29" s="1490"/>
      <c r="BM29" s="1490"/>
      <c r="BN29" s="1490"/>
      <c r="BO29" s="1490"/>
      <c r="BP29" s="1490"/>
      <c r="BQ29" s="1490"/>
      <c r="BR29" s="1490"/>
      <c r="BS29" s="1490"/>
      <c r="BT29" s="1490"/>
      <c r="BU29" s="1490"/>
      <c r="BV29" s="1490"/>
      <c r="BW29" s="1490"/>
      <c r="BX29" s="1490"/>
      <c r="BY29" s="1490"/>
      <c r="BZ29" s="1490"/>
      <c r="CA29" s="1490"/>
      <c r="CB29" s="1490"/>
      <c r="CC29" s="1490"/>
      <c r="CD29" s="1490"/>
      <c r="CE29" s="1490"/>
      <c r="CF29" s="1490"/>
      <c r="CG29" s="1490"/>
      <c r="CH29" s="1490"/>
      <c r="CI29" s="1490"/>
      <c r="CJ29" s="1490"/>
      <c r="CK29" s="1490"/>
      <c r="CL29" s="1490"/>
      <c r="CM29" s="1490"/>
      <c r="CN29" s="1490"/>
      <c r="CO29" s="1490"/>
      <c r="CP29" s="1490"/>
      <c r="CQ29" s="1490"/>
      <c r="CR29" s="1490"/>
      <c r="CS29" s="1490"/>
      <c r="CT29" s="1490"/>
      <c r="CU29" s="1490"/>
      <c r="CV29" s="1490"/>
      <c r="CW29" s="1490"/>
      <c r="CX29" s="1490"/>
      <c r="CY29" s="1490"/>
      <c r="CZ29" s="1490"/>
      <c r="DA29" s="1490"/>
      <c r="DB29" s="1490"/>
      <c r="DC29" s="1490"/>
      <c r="DD29" s="1490"/>
      <c r="DE29" s="1490"/>
      <c r="DF29" s="1490"/>
      <c r="DG29" s="1490"/>
      <c r="DH29" s="1490"/>
      <c r="DI29" s="1490"/>
      <c r="DJ29" s="1490"/>
      <c r="DK29" s="1490"/>
      <c r="DL29" s="1490"/>
      <c r="DM29" s="1490"/>
      <c r="DN29" s="1490"/>
      <c r="DO29" s="1490"/>
      <c r="DP29" s="1490"/>
      <c r="DQ29" s="1490"/>
      <c r="DR29" s="1490"/>
      <c r="DS29" s="1490"/>
      <c r="DT29" s="1490"/>
      <c r="DU29" s="1490"/>
      <c r="DV29" s="1490"/>
      <c r="DW29" s="1490"/>
      <c r="DX29" s="1490"/>
      <c r="DY29" s="1490"/>
      <c r="DZ29" s="1490"/>
      <c r="EA29" s="1490"/>
      <c r="EB29" s="1490"/>
      <c r="EC29" s="1490"/>
      <c r="ED29" s="1490"/>
      <c r="EE29" s="1490"/>
      <c r="EF29" s="1490"/>
      <c r="EG29" s="1490"/>
      <c r="EH29" s="1490"/>
      <c r="EI29" s="1490"/>
      <c r="EJ29" s="1490"/>
      <c r="EK29" s="1490"/>
      <c r="EL29" s="1490"/>
      <c r="EM29" s="1490"/>
      <c r="EN29" s="1490"/>
      <c r="EO29" s="1490"/>
      <c r="EP29" s="1490"/>
      <c r="EQ29" s="1490"/>
      <c r="ER29" s="1490"/>
      <c r="ES29" s="1490"/>
      <c r="ET29" s="1490"/>
      <c r="EU29" s="1490"/>
      <c r="EV29" s="1490"/>
      <c r="EW29" s="1490"/>
      <c r="EX29" s="1490"/>
      <c r="EY29" s="1490"/>
      <c r="EZ29" s="1490"/>
      <c r="FA29" s="1490"/>
      <c r="FB29" s="1490"/>
      <c r="FC29" s="1490"/>
      <c r="FD29" s="1490"/>
      <c r="FE29" s="1490"/>
      <c r="FF29" s="1490"/>
      <c r="FG29" s="1490"/>
      <c r="FH29" s="1490"/>
      <c r="FI29" s="1490"/>
      <c r="FJ29" s="1490"/>
      <c r="FK29" s="1490"/>
      <c r="FL29" s="1490"/>
      <c r="FM29" s="1490"/>
      <c r="FN29" s="1490"/>
      <c r="FO29" s="1490"/>
      <c r="FP29" s="1490"/>
      <c r="FQ29" s="1490"/>
      <c r="FR29" s="1490"/>
      <c r="FS29" s="1490"/>
      <c r="FT29" s="1490"/>
      <c r="FU29" s="1490"/>
      <c r="FV29" s="1490"/>
      <c r="FW29" s="1490"/>
      <c r="FX29" s="1490"/>
      <c r="FY29" s="1490"/>
      <c r="FZ29" s="1490"/>
      <c r="GA29" s="1490"/>
      <c r="GB29" s="1490"/>
      <c r="GC29" s="1490"/>
      <c r="GD29" s="1490"/>
      <c r="GE29" s="1490"/>
      <c r="GF29" s="1490"/>
      <c r="GG29" s="1490"/>
      <c r="GH29" s="1490"/>
      <c r="GI29" s="1490"/>
      <c r="GJ29" s="1490"/>
      <c r="GK29" s="1490"/>
      <c r="GL29" s="1490"/>
      <c r="GM29" s="1490"/>
      <c r="GN29" s="1490"/>
      <c r="GO29" s="1490"/>
      <c r="GP29" s="1490"/>
      <c r="GQ29" s="1490"/>
      <c r="GR29" s="1490"/>
      <c r="GS29" s="1490"/>
      <c r="GT29" s="1490"/>
      <c r="GU29" s="1490"/>
      <c r="GV29" s="1490"/>
      <c r="GW29" s="1490"/>
      <c r="GX29" s="1490"/>
      <c r="GY29" s="1490"/>
      <c r="GZ29" s="1490"/>
      <c r="HA29" s="1490"/>
      <c r="HB29" s="1490"/>
      <c r="HC29" s="1490"/>
      <c r="HD29" s="1490"/>
      <c r="HE29" s="1490"/>
      <c r="HF29" s="1490"/>
      <c r="HG29" s="1490"/>
      <c r="HH29" s="1490"/>
      <c r="HI29" s="1490"/>
      <c r="HJ29" s="1490"/>
      <c r="HK29" s="1490"/>
      <c r="HL29" s="1490"/>
      <c r="HM29" s="1490"/>
      <c r="HN29" s="1490"/>
      <c r="HO29" s="1490"/>
      <c r="HP29" s="1490"/>
      <c r="HQ29" s="1490"/>
      <c r="HR29" s="1490"/>
      <c r="HS29" s="1490"/>
      <c r="HT29" s="1490"/>
      <c r="HU29" s="1490"/>
      <c r="HV29" s="1490"/>
      <c r="HW29" s="1490"/>
      <c r="HX29" s="1490"/>
      <c r="HY29" s="1490"/>
      <c r="HZ29" s="1490"/>
      <c r="IA29" s="1490"/>
      <c r="IB29" s="1490"/>
      <c r="IC29" s="1490"/>
      <c r="ID29" s="1490"/>
      <c r="IE29" s="1490"/>
      <c r="IF29" s="1490"/>
      <c r="IG29" s="1490"/>
      <c r="IH29" s="1490"/>
      <c r="II29" s="1490"/>
      <c r="IJ29" s="1490"/>
      <c r="IK29" s="1490"/>
      <c r="IL29" s="1490"/>
      <c r="IM29" s="1490"/>
      <c r="IN29" s="1490"/>
      <c r="IO29" s="44"/>
    </row>
    <row r="30" spans="1:249" s="5" customFormat="1" ht="24" customHeight="1">
      <c r="B30" s="36" t="s">
        <v>227</v>
      </c>
      <c r="C30" s="36"/>
      <c r="D30" s="36"/>
      <c r="E30" s="36"/>
      <c r="F30" s="36"/>
      <c r="G30" s="36"/>
      <c r="H30" s="36"/>
      <c r="I30" s="36"/>
      <c r="J30" s="36"/>
      <c r="K30" s="36"/>
      <c r="L30" s="36"/>
      <c r="M30" s="36"/>
      <c r="N30" s="36"/>
      <c r="O30" s="43"/>
      <c r="P30" s="43"/>
      <c r="Q30" s="119" t="s">
        <v>193</v>
      </c>
      <c r="R30" s="119" t="str">
        <f>'Du lieu'!$C$15</f>
        <v>CÔNG TY TNHH MTV HANTECH</v>
      </c>
      <c r="S30" s="119"/>
      <c r="T30" s="119" t="str">
        <f>'Du lieu'!$D$15</f>
        <v>Công ty TNHH MTV HANTECH</v>
      </c>
      <c r="U30" s="125"/>
      <c r="V30" s="126"/>
      <c r="W30" s="126"/>
      <c r="X30" s="126"/>
      <c r="Y30" s="126"/>
      <c r="Z30" s="126"/>
      <c r="AA30" s="126"/>
      <c r="AB30" s="126"/>
      <c r="AC30" s="126"/>
      <c r="AD30" s="1490"/>
      <c r="AE30" s="1490"/>
      <c r="AF30" s="1490"/>
      <c r="AG30" s="1490"/>
      <c r="AH30" s="1490"/>
      <c r="AI30" s="1490"/>
      <c r="AJ30" s="1490"/>
      <c r="AK30" s="1490"/>
      <c r="AL30" s="1490"/>
      <c r="AM30" s="1490"/>
      <c r="AN30" s="1490"/>
      <c r="AO30" s="1490"/>
      <c r="AP30" s="1490"/>
      <c r="AQ30" s="1490"/>
      <c r="AR30" s="1490"/>
      <c r="AS30" s="1490"/>
      <c r="AT30" s="1490"/>
      <c r="AU30" s="1490"/>
      <c r="AV30" s="1490"/>
      <c r="AW30" s="1490"/>
      <c r="AX30" s="1490"/>
      <c r="AY30" s="1490"/>
      <c r="AZ30" s="1490"/>
      <c r="BA30" s="1490"/>
      <c r="BB30" s="1490"/>
      <c r="BC30" s="1490"/>
      <c r="BD30" s="1490"/>
      <c r="BE30" s="1490"/>
      <c r="BF30" s="1490"/>
      <c r="BG30" s="1490"/>
      <c r="BH30" s="1490"/>
      <c r="BI30" s="1490"/>
      <c r="BJ30" s="1490"/>
      <c r="BK30" s="1490"/>
      <c r="BL30" s="1490"/>
      <c r="BM30" s="1490"/>
      <c r="BN30" s="1490"/>
      <c r="BO30" s="1490"/>
      <c r="BP30" s="1490"/>
      <c r="BQ30" s="1490"/>
      <c r="BR30" s="1490"/>
      <c r="BS30" s="1490"/>
      <c r="BT30" s="1490"/>
      <c r="BU30" s="1490"/>
      <c r="BV30" s="1490"/>
      <c r="BW30" s="1490"/>
      <c r="BX30" s="1490"/>
      <c r="BY30" s="1490"/>
      <c r="BZ30" s="1490"/>
      <c r="CA30" s="1490"/>
      <c r="CB30" s="1490"/>
      <c r="CC30" s="1490"/>
      <c r="CD30" s="1490"/>
      <c r="CE30" s="1490"/>
      <c r="CF30" s="1490"/>
      <c r="CG30" s="1490"/>
      <c r="CH30" s="1490"/>
      <c r="CI30" s="1490"/>
      <c r="CJ30" s="1490"/>
      <c r="CK30" s="1490"/>
      <c r="CL30" s="1490"/>
      <c r="CM30" s="1490"/>
      <c r="CN30" s="1490"/>
      <c r="CO30" s="1490"/>
      <c r="CP30" s="1490"/>
      <c r="CQ30" s="1490"/>
      <c r="CR30" s="1490"/>
      <c r="CS30" s="1490"/>
      <c r="CT30" s="1490"/>
      <c r="CU30" s="1490"/>
      <c r="CV30" s="1490"/>
      <c r="CW30" s="1490"/>
      <c r="CX30" s="1490"/>
      <c r="CY30" s="1490"/>
      <c r="CZ30" s="1490"/>
      <c r="DA30" s="1490"/>
      <c r="DB30" s="1490"/>
      <c r="DC30" s="1490"/>
      <c r="DD30" s="1490"/>
      <c r="DE30" s="1490"/>
      <c r="DF30" s="1490"/>
      <c r="DG30" s="1490"/>
      <c r="DH30" s="1490"/>
      <c r="DI30" s="1490"/>
      <c r="DJ30" s="1490"/>
      <c r="DK30" s="1490"/>
      <c r="DL30" s="1490"/>
      <c r="DM30" s="1490"/>
      <c r="DN30" s="1490"/>
      <c r="DO30" s="1490"/>
      <c r="DP30" s="1490"/>
      <c r="DQ30" s="1490"/>
      <c r="DR30" s="1490"/>
      <c r="DS30" s="1490"/>
      <c r="DT30" s="1490"/>
      <c r="DU30" s="1490"/>
      <c r="DV30" s="1490"/>
      <c r="DW30" s="1490"/>
      <c r="DX30" s="1490"/>
      <c r="DY30" s="1490"/>
      <c r="DZ30" s="1490"/>
      <c r="EA30" s="1490"/>
      <c r="EB30" s="1490"/>
      <c r="EC30" s="1490"/>
      <c r="ED30" s="1490"/>
      <c r="EE30" s="1490"/>
      <c r="EF30" s="1490"/>
      <c r="EG30" s="1490"/>
      <c r="EH30" s="1490"/>
      <c r="EI30" s="1490"/>
      <c r="EJ30" s="1490"/>
      <c r="EK30" s="1490"/>
      <c r="EL30" s="1490"/>
      <c r="EM30" s="1490"/>
      <c r="EN30" s="1490"/>
      <c r="EO30" s="1490"/>
      <c r="EP30" s="1490"/>
      <c r="EQ30" s="1490"/>
      <c r="ER30" s="1490"/>
      <c r="ES30" s="1490"/>
      <c r="ET30" s="1490"/>
      <c r="EU30" s="1490"/>
      <c r="EV30" s="1490"/>
      <c r="EW30" s="1490"/>
      <c r="EX30" s="1490"/>
      <c r="EY30" s="1490"/>
      <c r="EZ30" s="1490"/>
      <c r="FA30" s="1490"/>
      <c r="FB30" s="1490"/>
      <c r="FC30" s="1490"/>
      <c r="FD30" s="1490"/>
      <c r="FE30" s="1490"/>
      <c r="FF30" s="1490"/>
      <c r="FG30" s="1490"/>
      <c r="FH30" s="1490"/>
      <c r="FI30" s="1490"/>
      <c r="FJ30" s="1490"/>
      <c r="FK30" s="1490"/>
      <c r="FL30" s="1490"/>
      <c r="FM30" s="1490"/>
      <c r="FN30" s="1490"/>
      <c r="FO30" s="1490"/>
      <c r="FP30" s="1490"/>
      <c r="FQ30" s="1490"/>
      <c r="FR30" s="1490"/>
      <c r="FS30" s="1490"/>
      <c r="FT30" s="1490"/>
      <c r="FU30" s="1490"/>
      <c r="FV30" s="1490"/>
      <c r="FW30" s="1490"/>
      <c r="FX30" s="1490"/>
      <c r="FY30" s="1490"/>
      <c r="FZ30" s="1490"/>
      <c r="GA30" s="1490"/>
      <c r="GB30" s="1490"/>
      <c r="GC30" s="1490"/>
      <c r="GD30" s="1490"/>
      <c r="GE30" s="1490"/>
      <c r="GF30" s="1490"/>
      <c r="GG30" s="1490"/>
      <c r="GH30" s="1490"/>
      <c r="GI30" s="1490"/>
      <c r="GJ30" s="1490"/>
      <c r="GK30" s="1490"/>
      <c r="GL30" s="1490"/>
      <c r="GM30" s="1490"/>
      <c r="GN30" s="1490"/>
      <c r="GO30" s="1490"/>
      <c r="GP30" s="1490"/>
      <c r="GQ30" s="1490"/>
      <c r="GR30" s="1490"/>
      <c r="GS30" s="1490"/>
      <c r="GT30" s="1490"/>
      <c r="GU30" s="1490"/>
      <c r="GV30" s="1490"/>
      <c r="GW30" s="1490"/>
      <c r="GX30" s="1490"/>
      <c r="GY30" s="1490"/>
      <c r="GZ30" s="1490"/>
      <c r="HA30" s="1490"/>
      <c r="HB30" s="1490"/>
      <c r="HC30" s="1490"/>
      <c r="HD30" s="1490"/>
      <c r="HE30" s="1490"/>
      <c r="HF30" s="1490"/>
      <c r="HG30" s="1490"/>
      <c r="HH30" s="1490"/>
      <c r="HI30" s="1490"/>
      <c r="HJ30" s="1490"/>
      <c r="HK30" s="1490"/>
      <c r="HL30" s="1490"/>
      <c r="HM30" s="1490"/>
      <c r="HN30" s="1490"/>
      <c r="HO30" s="1490"/>
      <c r="HP30" s="1490"/>
      <c r="HQ30" s="1490"/>
      <c r="HR30" s="1490"/>
      <c r="HS30" s="1490"/>
      <c r="HT30" s="1490"/>
      <c r="HU30" s="1490"/>
      <c r="HV30" s="1490"/>
      <c r="HW30" s="1490"/>
      <c r="HX30" s="1490"/>
      <c r="HY30" s="1490"/>
      <c r="HZ30" s="1490"/>
      <c r="IA30" s="1490"/>
      <c r="IB30" s="1490"/>
      <c r="IC30" s="1490"/>
      <c r="ID30" s="1490"/>
      <c r="IE30" s="1490"/>
      <c r="IF30" s="1490"/>
      <c r="IG30" s="1490"/>
      <c r="IH30" s="1490"/>
      <c r="II30" s="1490"/>
      <c r="IJ30" s="1490"/>
      <c r="IK30" s="1490"/>
      <c r="IL30" s="1490"/>
      <c r="IM30" s="1490"/>
      <c r="IN30" s="1490"/>
      <c r="IO30" s="44"/>
    </row>
    <row r="31" spans="1:249" s="5" customFormat="1" ht="24" customHeight="1">
      <c r="B31" s="36" t="s">
        <v>228</v>
      </c>
      <c r="C31" s="36"/>
      <c r="D31" s="36"/>
      <c r="E31" s="36"/>
      <c r="F31" s="36"/>
      <c r="G31" s="36"/>
      <c r="H31" s="36"/>
      <c r="I31" s="36"/>
      <c r="J31" s="36"/>
      <c r="K31" s="36"/>
      <c r="L31" s="36"/>
      <c r="M31" s="36"/>
      <c r="N31" s="36"/>
      <c r="O31" s="43"/>
      <c r="P31" s="43"/>
      <c r="Q31" s="119" t="s">
        <v>196</v>
      </c>
      <c r="R31" s="119"/>
      <c r="S31" s="119"/>
      <c r="T31" s="119" t="str">
        <f>'Du lieu'!$D$16</f>
        <v>.....................................</v>
      </c>
      <c r="U31" s="125"/>
      <c r="V31" s="126"/>
      <c r="W31" s="126"/>
      <c r="X31" s="126"/>
      <c r="Y31" s="126"/>
      <c r="Z31" s="126"/>
      <c r="AA31" s="126"/>
      <c r="AB31" s="126"/>
      <c r="AC31" s="126"/>
      <c r="AD31" s="1490"/>
      <c r="AE31" s="1490"/>
      <c r="AF31" s="1490"/>
      <c r="AG31" s="1490"/>
      <c r="AH31" s="1490"/>
      <c r="AI31" s="1490"/>
      <c r="AJ31" s="1490"/>
      <c r="AK31" s="1490"/>
      <c r="AL31" s="1490"/>
      <c r="AM31" s="1490"/>
      <c r="AN31" s="1490"/>
      <c r="AO31" s="1490"/>
      <c r="AP31" s="1490"/>
      <c r="AQ31" s="1490"/>
      <c r="AR31" s="1490"/>
      <c r="AS31" s="1490"/>
      <c r="AT31" s="1490"/>
      <c r="AU31" s="1490"/>
      <c r="AV31" s="1490"/>
      <c r="AW31" s="1490"/>
      <c r="AX31" s="1490"/>
      <c r="AY31" s="1490"/>
      <c r="AZ31" s="1490"/>
      <c r="BA31" s="1490"/>
      <c r="BB31" s="1490"/>
      <c r="BC31" s="1490"/>
      <c r="BD31" s="1490"/>
      <c r="BE31" s="1490"/>
      <c r="BF31" s="1490"/>
      <c r="BG31" s="1490"/>
      <c r="BH31" s="1490"/>
      <c r="BI31" s="1490"/>
      <c r="BJ31" s="1490"/>
      <c r="BK31" s="1490"/>
      <c r="BL31" s="1490"/>
      <c r="BM31" s="1490"/>
      <c r="BN31" s="1490"/>
      <c r="BO31" s="1490"/>
      <c r="BP31" s="1490"/>
      <c r="BQ31" s="1490"/>
      <c r="BR31" s="1490"/>
      <c r="BS31" s="1490"/>
      <c r="BT31" s="1490"/>
      <c r="BU31" s="1490"/>
      <c r="BV31" s="1490"/>
      <c r="BW31" s="1490"/>
      <c r="BX31" s="1490"/>
      <c r="BY31" s="1490"/>
      <c r="BZ31" s="1490"/>
      <c r="CA31" s="1490"/>
      <c r="CB31" s="1490"/>
      <c r="CC31" s="1490"/>
      <c r="CD31" s="1490"/>
      <c r="CE31" s="1490"/>
      <c r="CF31" s="1490"/>
      <c r="CG31" s="1490"/>
      <c r="CH31" s="1490"/>
      <c r="CI31" s="1490"/>
      <c r="CJ31" s="1490"/>
      <c r="CK31" s="1490"/>
      <c r="CL31" s="1490"/>
      <c r="CM31" s="1490"/>
      <c r="CN31" s="1490"/>
      <c r="CO31" s="1490"/>
      <c r="CP31" s="1490"/>
      <c r="CQ31" s="1490"/>
      <c r="CR31" s="1490"/>
      <c r="CS31" s="1490"/>
      <c r="CT31" s="1490"/>
      <c r="CU31" s="1490"/>
      <c r="CV31" s="1490"/>
      <c r="CW31" s="1490"/>
      <c r="CX31" s="1490"/>
      <c r="CY31" s="1490"/>
      <c r="CZ31" s="1490"/>
      <c r="DA31" s="1490"/>
      <c r="DB31" s="1490"/>
      <c r="DC31" s="1490"/>
      <c r="DD31" s="1490"/>
      <c r="DE31" s="1490"/>
      <c r="DF31" s="1490"/>
      <c r="DG31" s="1490"/>
      <c r="DH31" s="1490"/>
      <c r="DI31" s="1490"/>
      <c r="DJ31" s="1490"/>
      <c r="DK31" s="1490"/>
      <c r="DL31" s="1490"/>
      <c r="DM31" s="1490"/>
      <c r="DN31" s="1490"/>
      <c r="DO31" s="1490"/>
      <c r="DP31" s="1490"/>
      <c r="DQ31" s="1490"/>
      <c r="DR31" s="1490"/>
      <c r="DS31" s="1490"/>
      <c r="DT31" s="1490"/>
      <c r="DU31" s="1490"/>
      <c r="DV31" s="1490"/>
      <c r="DW31" s="1490"/>
      <c r="DX31" s="1490"/>
      <c r="DY31" s="1490"/>
      <c r="DZ31" s="1490"/>
      <c r="EA31" s="1490"/>
      <c r="EB31" s="1490"/>
      <c r="EC31" s="1490"/>
      <c r="ED31" s="1490"/>
      <c r="EE31" s="1490"/>
      <c r="EF31" s="1490"/>
      <c r="EG31" s="1490"/>
      <c r="EH31" s="1490"/>
      <c r="EI31" s="1490"/>
      <c r="EJ31" s="1490"/>
      <c r="EK31" s="1490"/>
      <c r="EL31" s="1490"/>
      <c r="EM31" s="1490"/>
      <c r="EN31" s="1490"/>
      <c r="EO31" s="1490"/>
      <c r="EP31" s="1490"/>
      <c r="EQ31" s="1490"/>
      <c r="ER31" s="1490"/>
      <c r="ES31" s="1490"/>
      <c r="ET31" s="1490"/>
      <c r="EU31" s="1490"/>
      <c r="EV31" s="1490"/>
      <c r="EW31" s="1490"/>
      <c r="EX31" s="1490"/>
      <c r="EY31" s="1490"/>
      <c r="EZ31" s="1490"/>
      <c r="FA31" s="1490"/>
      <c r="FB31" s="1490"/>
      <c r="FC31" s="1490"/>
      <c r="FD31" s="1490"/>
      <c r="FE31" s="1490"/>
      <c r="FF31" s="1490"/>
      <c r="FG31" s="1490"/>
      <c r="FH31" s="1490"/>
      <c r="FI31" s="1490"/>
      <c r="FJ31" s="1490"/>
      <c r="FK31" s="1490"/>
      <c r="FL31" s="1490"/>
      <c r="FM31" s="1490"/>
      <c r="FN31" s="1490"/>
      <c r="FO31" s="1490"/>
      <c r="FP31" s="1490"/>
      <c r="FQ31" s="1490"/>
      <c r="FR31" s="1490"/>
      <c r="FS31" s="1490"/>
      <c r="FT31" s="1490"/>
      <c r="FU31" s="1490"/>
      <c r="FV31" s="1490"/>
      <c r="FW31" s="1490"/>
      <c r="FX31" s="1490"/>
      <c r="FY31" s="1490"/>
      <c r="FZ31" s="1490"/>
      <c r="GA31" s="1490"/>
      <c r="GB31" s="1490"/>
      <c r="GC31" s="1490"/>
      <c r="GD31" s="1490"/>
      <c r="GE31" s="1490"/>
      <c r="GF31" s="1490"/>
      <c r="GG31" s="1490"/>
      <c r="GH31" s="1490"/>
      <c r="GI31" s="1490"/>
      <c r="GJ31" s="1490"/>
      <c r="GK31" s="1490"/>
      <c r="GL31" s="1490"/>
      <c r="GM31" s="1490"/>
      <c r="GN31" s="1490"/>
      <c r="GO31" s="1490"/>
      <c r="GP31" s="1490"/>
      <c r="GQ31" s="1490"/>
      <c r="GR31" s="1490"/>
      <c r="GS31" s="1490"/>
      <c r="GT31" s="1490"/>
      <c r="GU31" s="1490"/>
      <c r="GV31" s="1490"/>
      <c r="GW31" s="1490"/>
      <c r="GX31" s="1490"/>
      <c r="GY31" s="1490"/>
      <c r="GZ31" s="1490"/>
      <c r="HA31" s="1490"/>
      <c r="HB31" s="1490"/>
      <c r="HC31" s="1490"/>
      <c r="HD31" s="1490"/>
      <c r="HE31" s="1490"/>
      <c r="HF31" s="1490"/>
      <c r="HG31" s="1490"/>
      <c r="HH31" s="1490"/>
      <c r="HI31" s="1490"/>
      <c r="HJ31" s="1490"/>
      <c r="HK31" s="1490"/>
      <c r="HL31" s="1490"/>
      <c r="HM31" s="1490"/>
      <c r="HN31" s="1490"/>
      <c r="HO31" s="1490"/>
      <c r="HP31" s="1490"/>
      <c r="HQ31" s="1490"/>
      <c r="HR31" s="1490"/>
      <c r="HS31" s="1490"/>
      <c r="HT31" s="1490"/>
      <c r="HU31" s="1490"/>
      <c r="HV31" s="1490"/>
      <c r="HW31" s="1490"/>
      <c r="HX31" s="1490"/>
      <c r="HY31" s="1490"/>
      <c r="HZ31" s="1490"/>
      <c r="IA31" s="1490"/>
      <c r="IB31" s="1490"/>
      <c r="IC31" s="1490"/>
      <c r="ID31" s="1490"/>
      <c r="IE31" s="1490"/>
      <c r="IF31" s="1490"/>
      <c r="IG31" s="1490"/>
      <c r="IH31" s="1490"/>
      <c r="II31" s="1490"/>
      <c r="IJ31" s="1490"/>
      <c r="IK31" s="1490"/>
      <c r="IL31" s="1490"/>
      <c r="IM31" s="1490"/>
      <c r="IN31" s="1490"/>
      <c r="IO31" s="44"/>
    </row>
    <row r="32" spans="1:249" s="5" customFormat="1" ht="24" customHeight="1">
      <c r="A32" s="45"/>
      <c r="B32" s="46" t="s">
        <v>229</v>
      </c>
      <c r="C32" s="46"/>
      <c r="D32" s="46"/>
      <c r="E32" s="46"/>
      <c r="F32" s="46"/>
      <c r="G32" s="46"/>
      <c r="H32" s="46"/>
      <c r="I32" s="46"/>
      <c r="J32" s="46"/>
      <c r="K32" s="46"/>
      <c r="L32" s="46"/>
      <c r="M32" s="46"/>
      <c r="N32" s="46"/>
      <c r="O32" s="43"/>
      <c r="P32" s="43"/>
      <c r="Q32" s="119" t="s">
        <v>193</v>
      </c>
      <c r="R32" s="119" t="str">
        <f>'Du lieu'!$C$17</f>
        <v>Ngô Văn Khánh</v>
      </c>
      <c r="S32" s="119"/>
      <c r="T32" s="119" t="str">
        <f>'Du lieu'!$D$17</f>
        <v>Chỉ huy trưởng công trường</v>
      </c>
      <c r="U32" s="125"/>
      <c r="V32" s="126"/>
      <c r="W32" s="126"/>
      <c r="X32" s="126"/>
      <c r="Y32" s="126"/>
      <c r="Z32" s="126"/>
      <c r="AA32" s="126"/>
      <c r="AB32" s="126"/>
      <c r="AC32" s="126"/>
      <c r="AD32" s="1490"/>
      <c r="AE32" s="1490"/>
      <c r="AF32" s="1490"/>
      <c r="AG32" s="1490"/>
      <c r="AH32" s="1490"/>
      <c r="AI32" s="1490"/>
      <c r="AJ32" s="1490"/>
      <c r="AK32" s="1490"/>
      <c r="AL32" s="1490"/>
      <c r="AM32" s="1490"/>
      <c r="AN32" s="1490"/>
      <c r="AO32" s="1490"/>
      <c r="AP32" s="1490"/>
      <c r="AQ32" s="1490"/>
      <c r="AR32" s="1490"/>
      <c r="AS32" s="1490"/>
      <c r="AT32" s="1490"/>
      <c r="AU32" s="1490"/>
      <c r="AV32" s="1490"/>
      <c r="AW32" s="1490"/>
      <c r="AX32" s="1490"/>
      <c r="AY32" s="1490"/>
      <c r="AZ32" s="1490"/>
      <c r="BA32" s="1490"/>
      <c r="BB32" s="1490"/>
      <c r="BC32" s="1490"/>
      <c r="BD32" s="1490"/>
      <c r="BE32" s="1490"/>
      <c r="BF32" s="1490"/>
      <c r="BG32" s="1490"/>
      <c r="BH32" s="1490"/>
      <c r="BI32" s="1490"/>
      <c r="BJ32" s="1490"/>
      <c r="BK32" s="1490"/>
      <c r="BL32" s="1490"/>
      <c r="BM32" s="1490"/>
      <c r="BN32" s="1490"/>
      <c r="BO32" s="1490"/>
      <c r="BP32" s="1490"/>
      <c r="BQ32" s="1490"/>
      <c r="BR32" s="1490"/>
      <c r="BS32" s="1490"/>
      <c r="BT32" s="1490"/>
      <c r="BU32" s="1490"/>
      <c r="BV32" s="1490"/>
      <c r="BW32" s="1490"/>
      <c r="BX32" s="1490"/>
      <c r="BY32" s="1490"/>
      <c r="BZ32" s="1490"/>
      <c r="CA32" s="1490"/>
      <c r="CB32" s="1490"/>
      <c r="CC32" s="1490"/>
      <c r="CD32" s="1490"/>
      <c r="CE32" s="1490"/>
      <c r="CF32" s="1490"/>
      <c r="CG32" s="1490"/>
      <c r="CH32" s="1490"/>
      <c r="CI32" s="1490"/>
      <c r="CJ32" s="1490"/>
      <c r="CK32" s="1490"/>
      <c r="CL32" s="1490"/>
      <c r="CM32" s="1490"/>
      <c r="CN32" s="1490"/>
      <c r="CO32" s="1490"/>
      <c r="CP32" s="1490"/>
      <c r="CQ32" s="1490"/>
      <c r="CR32" s="1490"/>
      <c r="CS32" s="1490"/>
      <c r="CT32" s="1490"/>
      <c r="CU32" s="1490"/>
      <c r="CV32" s="1490"/>
      <c r="CW32" s="1490"/>
      <c r="CX32" s="1490"/>
      <c r="CY32" s="1490"/>
      <c r="CZ32" s="1490"/>
      <c r="DA32" s="1490"/>
      <c r="DB32" s="1490"/>
      <c r="DC32" s="1490"/>
      <c r="DD32" s="1490"/>
      <c r="DE32" s="1490"/>
      <c r="DF32" s="1490"/>
      <c r="DG32" s="1490"/>
      <c r="DH32" s="1490"/>
      <c r="DI32" s="1490"/>
      <c r="DJ32" s="1490"/>
      <c r="DK32" s="1490"/>
      <c r="DL32" s="1490"/>
      <c r="DM32" s="1490"/>
      <c r="DN32" s="1490"/>
      <c r="DO32" s="1490"/>
      <c r="DP32" s="1490"/>
      <c r="DQ32" s="1490"/>
      <c r="DR32" s="1490"/>
      <c r="DS32" s="1490"/>
      <c r="DT32" s="1490"/>
      <c r="DU32" s="1490"/>
      <c r="DV32" s="1490"/>
      <c r="DW32" s="1490"/>
      <c r="DX32" s="1490"/>
      <c r="DY32" s="1490"/>
      <c r="DZ32" s="1490"/>
      <c r="EA32" s="1490"/>
      <c r="EB32" s="1490"/>
      <c r="EC32" s="1490"/>
      <c r="ED32" s="1490"/>
      <c r="EE32" s="1490"/>
      <c r="EF32" s="1490"/>
      <c r="EG32" s="1490"/>
      <c r="EH32" s="1490"/>
      <c r="EI32" s="1490"/>
      <c r="EJ32" s="1490"/>
      <c r="EK32" s="1490"/>
      <c r="EL32" s="1490"/>
      <c r="EM32" s="1490"/>
      <c r="EN32" s="1490"/>
      <c r="EO32" s="1490"/>
      <c r="EP32" s="1490"/>
      <c r="EQ32" s="1490"/>
      <c r="ER32" s="1490"/>
      <c r="ES32" s="1490"/>
      <c r="ET32" s="1490"/>
      <c r="EU32" s="1490"/>
      <c r="EV32" s="1490"/>
      <c r="EW32" s="1490"/>
      <c r="EX32" s="1490"/>
      <c r="EY32" s="1490"/>
      <c r="EZ32" s="1490"/>
      <c r="FA32" s="1490"/>
      <c r="FB32" s="1490"/>
      <c r="FC32" s="1490"/>
      <c r="FD32" s="1490"/>
      <c r="FE32" s="1490"/>
      <c r="FF32" s="1490"/>
      <c r="FG32" s="1490"/>
      <c r="FH32" s="1490"/>
      <c r="FI32" s="1490"/>
      <c r="FJ32" s="1490"/>
      <c r="FK32" s="1490"/>
      <c r="FL32" s="1490"/>
      <c r="FM32" s="1490"/>
      <c r="FN32" s="1490"/>
      <c r="FO32" s="1490"/>
      <c r="FP32" s="1490"/>
      <c r="FQ32" s="1490"/>
      <c r="FR32" s="1490"/>
      <c r="FS32" s="1490"/>
      <c r="FT32" s="1490"/>
      <c r="FU32" s="1490"/>
      <c r="FV32" s="1490"/>
      <c r="FW32" s="1490"/>
      <c r="FX32" s="1490"/>
      <c r="FY32" s="1490"/>
      <c r="FZ32" s="1490"/>
      <c r="GA32" s="1490"/>
      <c r="GB32" s="1490"/>
      <c r="GC32" s="1490"/>
      <c r="GD32" s="1490"/>
      <c r="GE32" s="1490"/>
      <c r="GF32" s="1490"/>
      <c r="GG32" s="1490"/>
      <c r="GH32" s="1490"/>
      <c r="GI32" s="1490"/>
      <c r="GJ32" s="1490"/>
      <c r="GK32" s="1490"/>
      <c r="GL32" s="1490"/>
      <c r="GM32" s="1490"/>
      <c r="GN32" s="1490"/>
      <c r="GO32" s="1490"/>
      <c r="GP32" s="1490"/>
      <c r="GQ32" s="1490"/>
      <c r="GR32" s="1490"/>
      <c r="GS32" s="1490"/>
      <c r="GT32" s="1490"/>
      <c r="GU32" s="1490"/>
      <c r="GV32" s="1490"/>
      <c r="GW32" s="1490"/>
      <c r="GX32" s="1490"/>
      <c r="GY32" s="1490"/>
      <c r="GZ32" s="1490"/>
      <c r="HA32" s="1490"/>
      <c r="HB32" s="1490"/>
      <c r="HC32" s="1490"/>
      <c r="HD32" s="1490"/>
      <c r="HE32" s="1490"/>
      <c r="HF32" s="1490"/>
      <c r="HG32" s="1490"/>
      <c r="HH32" s="1490"/>
      <c r="HI32" s="1490"/>
      <c r="HJ32" s="1490"/>
      <c r="HK32" s="1490"/>
      <c r="HL32" s="1490"/>
      <c r="HM32" s="1490"/>
      <c r="HN32" s="1490"/>
      <c r="HO32" s="1490"/>
      <c r="HP32" s="1490"/>
      <c r="HQ32" s="1490"/>
      <c r="HR32" s="1490"/>
      <c r="HS32" s="1490"/>
      <c r="HT32" s="1490"/>
      <c r="HU32" s="1490"/>
      <c r="HV32" s="1490"/>
      <c r="HW32" s="1490"/>
      <c r="HX32" s="1490"/>
      <c r="HY32" s="1490"/>
      <c r="HZ32" s="1490"/>
      <c r="IA32" s="1490"/>
      <c r="IB32" s="1490"/>
      <c r="IC32" s="1490"/>
      <c r="ID32" s="1490"/>
      <c r="IE32" s="1490"/>
      <c r="IF32" s="1490"/>
      <c r="IG32" s="1490"/>
      <c r="IH32" s="1490"/>
      <c r="II32" s="1490"/>
      <c r="IJ32" s="1490"/>
      <c r="IK32" s="1490"/>
      <c r="IL32" s="1490"/>
      <c r="IM32" s="1490"/>
      <c r="IN32" s="1490"/>
      <c r="IO32" s="44"/>
    </row>
    <row r="33" spans="1:249" s="5" customFormat="1" ht="24" customHeight="1">
      <c r="B33" s="36" t="s">
        <v>230</v>
      </c>
      <c r="C33" s="36"/>
      <c r="D33" s="36"/>
      <c r="E33" s="36"/>
      <c r="F33" s="36"/>
      <c r="G33" s="36"/>
      <c r="H33" s="36"/>
      <c r="I33" s="36"/>
      <c r="J33" s="36"/>
      <c r="K33" s="36"/>
      <c r="L33" s="36"/>
      <c r="M33" s="36"/>
      <c r="N33" s="36"/>
      <c r="O33" s="43"/>
      <c r="P33" s="43"/>
      <c r="Q33" s="119" t="s">
        <v>193</v>
      </c>
      <c r="R33" s="119" t="str">
        <f>'Du lieu'!$C$18</f>
        <v>Nguyễn Mạnh Hùng</v>
      </c>
      <c r="S33" s="119"/>
      <c r="T33" s="119" t="str">
        <f>'Du lieu'!$D$18</f>
        <v>Chỉ huy phó công trường</v>
      </c>
      <c r="U33" s="125"/>
      <c r="V33" s="126"/>
      <c r="W33" s="126"/>
      <c r="X33" s="126"/>
      <c r="Y33" s="126"/>
      <c r="Z33" s="126"/>
      <c r="AA33" s="126"/>
      <c r="AB33" s="126"/>
      <c r="AC33" s="126"/>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c r="GS33" s="44"/>
      <c r="GT33" s="44"/>
      <c r="GU33" s="44"/>
      <c r="GV33" s="44"/>
      <c r="GW33" s="44"/>
      <c r="GX33" s="44"/>
      <c r="GY33" s="44"/>
      <c r="GZ33" s="44"/>
      <c r="HA33" s="44"/>
      <c r="HB33" s="44"/>
      <c r="HC33" s="44"/>
      <c r="HD33" s="44"/>
      <c r="HE33" s="44"/>
      <c r="HF33" s="44"/>
      <c r="HG33" s="44"/>
      <c r="HH33" s="44"/>
      <c r="HI33" s="44"/>
      <c r="HJ33" s="44"/>
      <c r="HK33" s="44"/>
      <c r="HL33" s="44"/>
      <c r="HM33" s="44"/>
      <c r="HN33" s="44"/>
      <c r="HO33" s="44"/>
      <c r="HP33" s="44"/>
      <c r="HQ33" s="44"/>
      <c r="HR33" s="44"/>
      <c r="HS33" s="44"/>
      <c r="HT33" s="44"/>
      <c r="HU33" s="44"/>
      <c r="HV33" s="44"/>
      <c r="HW33" s="44"/>
      <c r="HX33" s="44"/>
      <c r="HY33" s="44"/>
      <c r="HZ33" s="44"/>
      <c r="IA33" s="44"/>
      <c r="IB33" s="44"/>
      <c r="IC33" s="44"/>
      <c r="ID33" s="44"/>
      <c r="IE33" s="44"/>
      <c r="IF33" s="44"/>
      <c r="IG33" s="44"/>
      <c r="IH33" s="44"/>
      <c r="II33" s="44"/>
      <c r="IJ33" s="44"/>
      <c r="IK33" s="44"/>
      <c r="IL33" s="44"/>
      <c r="IM33" s="44"/>
      <c r="IN33" s="44"/>
      <c r="IO33" s="44"/>
    </row>
    <row r="34" spans="1:249" s="45" customFormat="1" ht="21.95" customHeight="1">
      <c r="A34" s="1490" t="s">
        <v>231</v>
      </c>
      <c r="B34" s="1490"/>
      <c r="C34" s="1490"/>
      <c r="D34" s="1490"/>
      <c r="E34" s="1490"/>
      <c r="F34" s="1490"/>
      <c r="G34" s="1490"/>
      <c r="H34" s="1490"/>
      <c r="I34" s="1490"/>
      <c r="J34" s="1490"/>
      <c r="K34" s="1490"/>
      <c r="L34" s="1490"/>
      <c r="M34" s="1490"/>
      <c r="N34" s="1490"/>
      <c r="O34" s="43"/>
      <c r="P34" s="43"/>
      <c r="Q34" s="128" t="s">
        <v>166</v>
      </c>
      <c r="R34" s="126" t="str">
        <f>'Du lieu'!C21</f>
        <v>.........................</v>
      </c>
      <c r="S34" s="126"/>
      <c r="T34" s="126"/>
      <c r="U34" s="126"/>
      <c r="V34" s="126"/>
      <c r="W34" s="126"/>
      <c r="X34" s="126"/>
      <c r="Y34" s="126"/>
      <c r="Z34" s="126"/>
      <c r="AA34" s="126"/>
      <c r="AB34" s="126"/>
      <c r="AC34" s="126"/>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row>
    <row r="35" spans="1:249" s="5" customFormat="1" ht="24" customHeight="1">
      <c r="A35" s="1495" t="s">
        <v>232</v>
      </c>
      <c r="B35" s="1495"/>
      <c r="C35" s="1495"/>
      <c r="D35" s="1495"/>
      <c r="E35" s="1495"/>
      <c r="F35" s="1495"/>
      <c r="G35" s="1495"/>
      <c r="H35" s="1495"/>
      <c r="I35" s="1495"/>
      <c r="J35" s="1495"/>
      <c r="K35" s="1495"/>
      <c r="L35" s="1495"/>
      <c r="M35" s="1495"/>
      <c r="N35" s="1495"/>
      <c r="O35" s="43"/>
      <c r="P35" s="43"/>
      <c r="Q35" s="128" t="s">
        <v>193</v>
      </c>
      <c r="R35" s="126" t="str">
        <f>'Du lieu'!C22</f>
        <v>Nguyễn Văn Long</v>
      </c>
      <c r="S35" s="126"/>
      <c r="T35" s="126" t="str">
        <f>'Du lieu'!D22</f>
        <v>Cán bộ trắc địa</v>
      </c>
      <c r="U35" s="126"/>
      <c r="V35" s="126"/>
      <c r="W35" s="126"/>
      <c r="X35" s="126"/>
      <c r="Y35" s="126"/>
      <c r="Z35" s="126"/>
      <c r="AA35" s="126"/>
      <c r="AB35" s="126"/>
      <c r="AC35" s="126"/>
      <c r="AD35" s="1490"/>
      <c r="AE35" s="1490"/>
      <c r="AF35" s="1490"/>
      <c r="AG35" s="1490"/>
      <c r="AH35" s="1490"/>
      <c r="AI35" s="1490"/>
      <c r="AJ35" s="1490"/>
      <c r="AK35" s="1490"/>
      <c r="AL35" s="1490"/>
      <c r="AM35" s="1490"/>
      <c r="AN35" s="1490"/>
      <c r="AO35" s="1490"/>
      <c r="AP35" s="1490"/>
      <c r="AQ35" s="1490"/>
      <c r="AR35" s="1490"/>
      <c r="AS35" s="1490"/>
      <c r="AT35" s="1490"/>
      <c r="AU35" s="1490"/>
      <c r="AV35" s="1490"/>
      <c r="AW35" s="1490"/>
      <c r="AX35" s="1490"/>
      <c r="AY35" s="1490"/>
      <c r="AZ35" s="1490"/>
      <c r="BA35" s="1490"/>
      <c r="BB35" s="1490"/>
      <c r="BC35" s="1490"/>
      <c r="BD35" s="1490"/>
      <c r="BE35" s="1490"/>
      <c r="BF35" s="1490"/>
      <c r="BG35" s="1490"/>
      <c r="BH35" s="1490"/>
      <c r="BI35" s="1490"/>
      <c r="BJ35" s="1490"/>
      <c r="BK35" s="1490"/>
      <c r="BL35" s="1490"/>
      <c r="BM35" s="1490"/>
      <c r="BN35" s="1490"/>
      <c r="BO35" s="1490"/>
      <c r="BP35" s="1490"/>
      <c r="BQ35" s="1490"/>
      <c r="BR35" s="1490"/>
      <c r="BS35" s="1490"/>
      <c r="BT35" s="1490"/>
      <c r="BU35" s="1490"/>
      <c r="BV35" s="1490"/>
      <c r="BW35" s="1490"/>
      <c r="BX35" s="1490"/>
      <c r="BY35" s="1490"/>
      <c r="BZ35" s="1490"/>
      <c r="CA35" s="1490"/>
      <c r="CB35" s="1490"/>
      <c r="CC35" s="1490"/>
      <c r="CD35" s="1490"/>
      <c r="CE35" s="1490"/>
      <c r="CF35" s="1490"/>
      <c r="CG35" s="1490"/>
      <c r="CH35" s="1490"/>
      <c r="CI35" s="1490"/>
      <c r="CJ35" s="1490"/>
      <c r="CK35" s="1490"/>
      <c r="CL35" s="1490"/>
      <c r="CM35" s="1490"/>
      <c r="CN35" s="1490"/>
      <c r="CO35" s="1490"/>
      <c r="CP35" s="1490"/>
      <c r="CQ35" s="1490"/>
      <c r="CR35" s="1490"/>
      <c r="CS35" s="1490"/>
      <c r="CT35" s="1490"/>
      <c r="CU35" s="1490"/>
      <c r="CV35" s="1490"/>
      <c r="CW35" s="1490"/>
      <c r="CX35" s="1490"/>
      <c r="CY35" s="1490"/>
      <c r="CZ35" s="1490"/>
      <c r="DA35" s="1490"/>
      <c r="DB35" s="1490"/>
      <c r="DC35" s="1490"/>
      <c r="DD35" s="1490"/>
      <c r="DE35" s="1490"/>
      <c r="DF35" s="1490"/>
      <c r="DG35" s="1490"/>
      <c r="DH35" s="1490"/>
      <c r="DI35" s="1490"/>
      <c r="DJ35" s="1490"/>
      <c r="DK35" s="1490"/>
      <c r="DL35" s="1490"/>
      <c r="DM35" s="1490"/>
      <c r="DN35" s="1490"/>
      <c r="DO35" s="1490"/>
      <c r="DP35" s="1490"/>
      <c r="DQ35" s="1490"/>
      <c r="DR35" s="1490"/>
      <c r="DS35" s="1490"/>
      <c r="DT35" s="1490"/>
      <c r="DU35" s="1490"/>
      <c r="DV35" s="1490"/>
      <c r="DW35" s="1490"/>
      <c r="DX35" s="1490"/>
      <c r="DY35" s="1490"/>
      <c r="DZ35" s="1490"/>
      <c r="EA35" s="1490"/>
      <c r="EB35" s="1490"/>
      <c r="EC35" s="1490"/>
      <c r="ED35" s="1490"/>
      <c r="EE35" s="1490"/>
      <c r="EF35" s="1490"/>
      <c r="EG35" s="1490"/>
      <c r="EH35" s="1490"/>
      <c r="EI35" s="1490"/>
      <c r="EJ35" s="1490"/>
      <c r="EK35" s="1490"/>
      <c r="EL35" s="1490"/>
      <c r="EM35" s="1490"/>
      <c r="EN35" s="1490"/>
      <c r="EO35" s="1490"/>
      <c r="EP35" s="1490"/>
      <c r="EQ35" s="1490"/>
      <c r="ER35" s="1490"/>
      <c r="ES35" s="1490"/>
      <c r="ET35" s="1490"/>
      <c r="EU35" s="1490"/>
      <c r="EV35" s="1490"/>
      <c r="EW35" s="1490"/>
      <c r="EX35" s="1490"/>
      <c r="EY35" s="1490"/>
      <c r="EZ35" s="1490"/>
      <c r="FA35" s="1490"/>
      <c r="FB35" s="1490"/>
      <c r="FC35" s="1490"/>
      <c r="FD35" s="1490"/>
      <c r="FE35" s="1490"/>
      <c r="FF35" s="1490"/>
      <c r="FG35" s="1490"/>
      <c r="FH35" s="1490"/>
      <c r="FI35" s="1490"/>
      <c r="FJ35" s="1490"/>
      <c r="FK35" s="1490"/>
      <c r="FL35" s="1490"/>
      <c r="FM35" s="1490"/>
      <c r="FN35" s="1490"/>
      <c r="FO35" s="1490"/>
      <c r="FP35" s="1490"/>
      <c r="FQ35" s="1490"/>
      <c r="FR35" s="1490"/>
      <c r="FS35" s="1490"/>
      <c r="FT35" s="1490"/>
      <c r="FU35" s="1490"/>
      <c r="FV35" s="1490"/>
      <c r="FW35" s="1490"/>
      <c r="FX35" s="1490"/>
      <c r="FY35" s="1490"/>
      <c r="FZ35" s="1490"/>
      <c r="GA35" s="1490"/>
      <c r="GB35" s="1490"/>
      <c r="GC35" s="1490"/>
      <c r="GD35" s="1490"/>
      <c r="GE35" s="1490"/>
      <c r="GF35" s="1490"/>
      <c r="GG35" s="1490"/>
      <c r="GH35" s="1490"/>
      <c r="GI35" s="1490"/>
      <c r="GJ35" s="1490"/>
      <c r="GK35" s="1490"/>
      <c r="GL35" s="1490"/>
      <c r="GM35" s="1490"/>
      <c r="GN35" s="1490"/>
      <c r="GO35" s="1490"/>
      <c r="GP35" s="1490"/>
      <c r="GQ35" s="1490"/>
      <c r="GR35" s="1490"/>
      <c r="GS35" s="1490"/>
      <c r="GT35" s="1490"/>
      <c r="GU35" s="1490"/>
      <c r="GV35" s="1490"/>
      <c r="GW35" s="1490"/>
      <c r="GX35" s="1490"/>
      <c r="GY35" s="1490"/>
      <c r="GZ35" s="1490"/>
      <c r="HA35" s="1490"/>
      <c r="HB35" s="1490"/>
      <c r="HC35" s="1490"/>
      <c r="HD35" s="1490"/>
      <c r="HE35" s="1490"/>
      <c r="HF35" s="1490"/>
      <c r="HG35" s="1490"/>
      <c r="HH35" s="1490"/>
      <c r="HI35" s="1490"/>
      <c r="HJ35" s="1490"/>
      <c r="HK35" s="1490"/>
      <c r="HL35" s="1490"/>
      <c r="HM35" s="1490"/>
      <c r="HN35" s="1490"/>
      <c r="HO35" s="1490"/>
      <c r="HP35" s="1490"/>
      <c r="HQ35" s="1490"/>
      <c r="HR35" s="1490"/>
      <c r="HS35" s="1490"/>
      <c r="HT35" s="1490"/>
      <c r="HU35" s="1490"/>
      <c r="HV35" s="1490"/>
      <c r="HW35" s="1490"/>
      <c r="HX35" s="1490"/>
      <c r="HY35" s="1490"/>
      <c r="HZ35" s="1490"/>
      <c r="IA35" s="1490"/>
      <c r="IB35" s="1490"/>
      <c r="IC35" s="1490"/>
      <c r="ID35" s="1490"/>
      <c r="IE35" s="1490"/>
      <c r="IF35" s="1490"/>
      <c r="IG35" s="1490"/>
      <c r="IH35" s="1490"/>
      <c r="II35" s="1490"/>
      <c r="IJ35" s="1490"/>
      <c r="IK35" s="1490"/>
      <c r="IL35" s="1490"/>
      <c r="IM35" s="1490"/>
      <c r="IN35" s="1490"/>
      <c r="IO35" s="44"/>
    </row>
    <row r="36" spans="1:249" s="5" customFormat="1" ht="25.5" customHeight="1">
      <c r="A36" s="1495" t="s">
        <v>233</v>
      </c>
      <c r="B36" s="1495"/>
      <c r="C36" s="1495"/>
      <c r="D36" s="1495"/>
      <c r="E36" s="1495"/>
      <c r="F36" s="1495"/>
      <c r="G36" s="1495"/>
      <c r="H36" s="1495"/>
      <c r="I36" s="1495"/>
      <c r="J36" s="1495"/>
      <c r="K36" s="1495"/>
      <c r="L36" s="1495"/>
      <c r="M36" s="1495"/>
      <c r="N36" s="1495"/>
      <c r="O36" s="43"/>
      <c r="P36" s="43"/>
      <c r="Q36" s="10"/>
      <c r="R36" s="126"/>
      <c r="S36" s="126"/>
      <c r="T36" s="126"/>
      <c r="U36" s="126"/>
      <c r="V36" s="126"/>
      <c r="W36" s="126"/>
      <c r="X36" s="126"/>
      <c r="Y36" s="126"/>
      <c r="Z36" s="126"/>
      <c r="AA36" s="126"/>
      <c r="AB36" s="126"/>
      <c r="AC36" s="126"/>
      <c r="AD36" s="1490"/>
      <c r="AE36" s="1490"/>
      <c r="AF36" s="1490"/>
      <c r="AG36" s="1490"/>
      <c r="AH36" s="1490"/>
      <c r="AI36" s="1490"/>
      <c r="AJ36" s="1490"/>
      <c r="AK36" s="1490"/>
      <c r="AL36" s="1490"/>
      <c r="AM36" s="1490"/>
      <c r="AN36" s="1490"/>
      <c r="AO36" s="1490"/>
      <c r="AP36" s="1490"/>
      <c r="AQ36" s="1490"/>
      <c r="AR36" s="1490"/>
      <c r="AS36" s="1490"/>
      <c r="AT36" s="1490"/>
      <c r="AU36" s="1490"/>
      <c r="AV36" s="1490"/>
      <c r="AW36" s="1490"/>
      <c r="AX36" s="1490"/>
      <c r="AY36" s="1490"/>
      <c r="AZ36" s="1490"/>
      <c r="BA36" s="1490"/>
      <c r="BB36" s="1490"/>
      <c r="BC36" s="1490"/>
      <c r="BD36" s="1490"/>
      <c r="BE36" s="1490"/>
      <c r="BF36" s="1490"/>
      <c r="BG36" s="1490"/>
      <c r="BH36" s="1490"/>
      <c r="BI36" s="1490"/>
      <c r="BJ36" s="1490"/>
      <c r="BK36" s="1490"/>
      <c r="BL36" s="1490"/>
      <c r="BM36" s="1490"/>
      <c r="BN36" s="1490"/>
      <c r="BO36" s="1490"/>
      <c r="BP36" s="1490"/>
      <c r="BQ36" s="1490"/>
      <c r="BR36" s="1490"/>
      <c r="BS36" s="1490"/>
      <c r="BT36" s="1490"/>
      <c r="BU36" s="1490"/>
      <c r="BV36" s="1490"/>
      <c r="BW36" s="1490"/>
      <c r="BX36" s="1490"/>
      <c r="BY36" s="1490"/>
      <c r="BZ36" s="1490"/>
      <c r="CA36" s="1490"/>
      <c r="CB36" s="1490"/>
      <c r="CC36" s="1490"/>
      <c r="CD36" s="1490"/>
      <c r="CE36" s="1490"/>
      <c r="CF36" s="1490"/>
      <c r="CG36" s="1490"/>
      <c r="CH36" s="1490"/>
      <c r="CI36" s="1490"/>
      <c r="CJ36" s="1490"/>
      <c r="CK36" s="1490"/>
      <c r="CL36" s="1490"/>
      <c r="CM36" s="1490"/>
      <c r="CN36" s="1490"/>
      <c r="CO36" s="1490"/>
      <c r="CP36" s="1490"/>
      <c r="CQ36" s="1490"/>
      <c r="CR36" s="1490"/>
      <c r="CS36" s="1490"/>
      <c r="CT36" s="1490"/>
      <c r="CU36" s="1490"/>
      <c r="CV36" s="1490"/>
      <c r="CW36" s="1490"/>
      <c r="CX36" s="1490"/>
      <c r="CY36" s="1490"/>
      <c r="CZ36" s="1490"/>
      <c r="DA36" s="1490"/>
      <c r="DB36" s="1490"/>
      <c r="DC36" s="1490"/>
      <c r="DD36" s="1490"/>
      <c r="DE36" s="1490"/>
      <c r="DF36" s="1490"/>
      <c r="DG36" s="1490"/>
      <c r="DH36" s="1490"/>
      <c r="DI36" s="1490"/>
      <c r="DJ36" s="1490"/>
      <c r="DK36" s="1490"/>
      <c r="DL36" s="1490"/>
      <c r="DM36" s="1490"/>
      <c r="DN36" s="1490"/>
      <c r="DO36" s="1490"/>
      <c r="DP36" s="1490"/>
      <c r="DQ36" s="1490"/>
      <c r="DR36" s="1490"/>
      <c r="DS36" s="1490"/>
      <c r="DT36" s="1490"/>
      <c r="DU36" s="1490"/>
      <c r="DV36" s="1490"/>
      <c r="DW36" s="1490"/>
      <c r="DX36" s="1490"/>
      <c r="DY36" s="1490"/>
      <c r="DZ36" s="1490"/>
      <c r="EA36" s="1490"/>
      <c r="EB36" s="1490"/>
      <c r="EC36" s="1490"/>
      <c r="ED36" s="1490"/>
      <c r="EE36" s="1490"/>
      <c r="EF36" s="1490"/>
      <c r="EG36" s="1490"/>
      <c r="EH36" s="1490"/>
      <c r="EI36" s="1490"/>
      <c r="EJ36" s="1490"/>
      <c r="EK36" s="1490"/>
      <c r="EL36" s="1490"/>
      <c r="EM36" s="1490"/>
      <c r="EN36" s="1490"/>
      <c r="EO36" s="1490"/>
      <c r="EP36" s="1490"/>
      <c r="EQ36" s="1490"/>
      <c r="ER36" s="1490"/>
      <c r="ES36" s="1490"/>
      <c r="ET36" s="1490"/>
      <c r="EU36" s="1490"/>
      <c r="EV36" s="1490"/>
      <c r="EW36" s="1490"/>
      <c r="EX36" s="1490"/>
      <c r="EY36" s="1490"/>
      <c r="EZ36" s="1490"/>
      <c r="FA36" s="1490"/>
      <c r="FB36" s="1490"/>
      <c r="FC36" s="1490"/>
      <c r="FD36" s="1490"/>
      <c r="FE36" s="1490"/>
      <c r="FF36" s="1490"/>
      <c r="FG36" s="1490"/>
      <c r="FH36" s="1490"/>
      <c r="FI36" s="1490"/>
      <c r="FJ36" s="1490"/>
      <c r="FK36" s="1490"/>
      <c r="FL36" s="1490"/>
      <c r="FM36" s="1490"/>
      <c r="FN36" s="1490"/>
      <c r="FO36" s="1490"/>
      <c r="FP36" s="1490"/>
      <c r="FQ36" s="1490"/>
      <c r="FR36" s="1490"/>
      <c r="FS36" s="1490"/>
      <c r="FT36" s="1490"/>
      <c r="FU36" s="1490"/>
      <c r="FV36" s="1490"/>
      <c r="FW36" s="1490"/>
      <c r="FX36" s="1490"/>
      <c r="FY36" s="1490"/>
      <c r="FZ36" s="1490"/>
      <c r="GA36" s="1490"/>
      <c r="GB36" s="1490"/>
      <c r="GC36" s="1490"/>
      <c r="GD36" s="1490"/>
      <c r="GE36" s="1490"/>
      <c r="GF36" s="1490"/>
      <c r="GG36" s="1490"/>
      <c r="GH36" s="1490"/>
      <c r="GI36" s="1490"/>
      <c r="GJ36" s="1490"/>
      <c r="GK36" s="1490"/>
      <c r="GL36" s="1490"/>
      <c r="GM36" s="1490"/>
      <c r="GN36" s="1490"/>
      <c r="GO36" s="1490"/>
      <c r="GP36" s="1490"/>
      <c r="GQ36" s="1490"/>
      <c r="GR36" s="1490"/>
      <c r="GS36" s="1490"/>
      <c r="GT36" s="1490"/>
      <c r="GU36" s="1490"/>
      <c r="GV36" s="1490"/>
      <c r="GW36" s="1490"/>
      <c r="GX36" s="1490"/>
      <c r="GY36" s="1490"/>
      <c r="GZ36" s="1490"/>
      <c r="HA36" s="1490"/>
      <c r="HB36" s="1490"/>
      <c r="HC36" s="1490"/>
      <c r="HD36" s="1490"/>
      <c r="HE36" s="1490"/>
      <c r="HF36" s="1490"/>
      <c r="HG36" s="1490"/>
      <c r="HH36" s="1490"/>
      <c r="HI36" s="1490"/>
      <c r="HJ36" s="1490"/>
      <c r="HK36" s="1490"/>
      <c r="HL36" s="1490"/>
      <c r="HM36" s="1490"/>
      <c r="HN36" s="1490"/>
      <c r="HO36" s="1490"/>
      <c r="HP36" s="1490"/>
      <c r="HQ36" s="1490"/>
      <c r="HR36" s="1490"/>
      <c r="HS36" s="1490"/>
      <c r="HT36" s="1490"/>
      <c r="HU36" s="1490"/>
      <c r="HV36" s="1490"/>
      <c r="HW36" s="1490"/>
      <c r="HX36" s="1490"/>
      <c r="HY36" s="1490"/>
      <c r="HZ36" s="1490"/>
      <c r="IA36" s="1490"/>
      <c r="IB36" s="1490"/>
      <c r="IC36" s="1490"/>
      <c r="ID36" s="1490"/>
      <c r="IE36" s="1490"/>
      <c r="IF36" s="1490"/>
      <c r="IG36" s="1490"/>
      <c r="IH36" s="1490"/>
      <c r="II36" s="1490"/>
      <c r="IJ36" s="1490"/>
      <c r="IK36" s="1490"/>
      <c r="IL36" s="1490"/>
      <c r="IM36" s="1490"/>
      <c r="IN36" s="1490"/>
      <c r="IO36" s="44"/>
    </row>
    <row r="37" spans="1:249" s="5" customFormat="1" ht="26.25" customHeight="1">
      <c r="A37" s="48" t="s">
        <v>234</v>
      </c>
      <c r="B37" s="39"/>
      <c r="C37" s="39"/>
      <c r="D37" s="39"/>
      <c r="E37" s="39"/>
      <c r="F37" s="39"/>
      <c r="G37" s="39"/>
      <c r="H37" s="39"/>
      <c r="I37" s="39"/>
      <c r="J37" s="39"/>
      <c r="K37" s="39"/>
      <c r="L37" s="39"/>
      <c r="M37" s="39"/>
      <c r="N37" s="39"/>
      <c r="O37" s="43"/>
      <c r="P37" s="43"/>
      <c r="Q37" s="126"/>
      <c r="R37" s="126"/>
      <c r="S37" s="126"/>
      <c r="T37" s="126"/>
      <c r="U37" s="126"/>
      <c r="V37" s="126"/>
      <c r="W37" s="126"/>
      <c r="X37" s="126"/>
      <c r="Y37" s="126"/>
      <c r="Z37" s="126"/>
      <c r="AA37" s="126"/>
      <c r="AB37" s="126"/>
      <c r="AC37" s="126"/>
      <c r="AD37" s="127"/>
      <c r="AE37" s="127"/>
      <c r="AF37" s="127"/>
    </row>
    <row r="38" spans="1:249" s="5" customFormat="1" ht="27" customHeight="1">
      <c r="A38" s="1495" t="s">
        <v>235</v>
      </c>
      <c r="B38" s="1495"/>
      <c r="C38" s="1495"/>
      <c r="D38" s="1495"/>
      <c r="E38" s="1495"/>
      <c r="F38" s="1495"/>
      <c r="G38" s="1495"/>
      <c r="H38" s="1495"/>
      <c r="I38" s="1495"/>
      <c r="J38" s="1495"/>
      <c r="K38" s="1495"/>
      <c r="L38" s="1495"/>
      <c r="M38" s="1495"/>
      <c r="N38" s="1495"/>
      <c r="O38" s="43"/>
      <c r="P38" s="43"/>
      <c r="Q38" s="126"/>
      <c r="R38" s="126"/>
      <c r="S38" s="126"/>
      <c r="T38" s="126"/>
      <c r="U38" s="126"/>
      <c r="V38" s="126"/>
      <c r="W38" s="126"/>
      <c r="X38" s="126"/>
      <c r="Y38" s="126"/>
      <c r="Z38" s="126"/>
      <c r="AA38" s="126"/>
      <c r="AB38" s="126"/>
      <c r="AC38" s="126"/>
      <c r="AD38" s="1494"/>
      <c r="AE38" s="1494"/>
      <c r="AF38" s="1494"/>
      <c r="AG38" s="1494"/>
      <c r="AH38" s="1494"/>
      <c r="AI38" s="1494"/>
      <c r="AJ38" s="1494"/>
      <c r="AK38" s="1494"/>
      <c r="AL38" s="1494"/>
      <c r="AM38" s="1494"/>
      <c r="AN38" s="1494"/>
      <c r="AO38" s="1494"/>
      <c r="AP38" s="1494"/>
      <c r="AQ38" s="1494"/>
      <c r="AR38" s="1494"/>
      <c r="AS38" s="1494"/>
      <c r="AT38" s="1494"/>
      <c r="AU38" s="1494"/>
      <c r="AV38" s="1494"/>
      <c r="AW38" s="1494"/>
      <c r="AX38" s="1494"/>
      <c r="AY38" s="1494"/>
      <c r="AZ38" s="1494"/>
      <c r="BA38" s="1494"/>
      <c r="BB38" s="1494"/>
      <c r="BC38" s="1494"/>
      <c r="BD38" s="1494"/>
      <c r="BE38" s="1494"/>
      <c r="BF38" s="1494"/>
      <c r="BG38" s="1494"/>
      <c r="BH38" s="1494"/>
      <c r="BI38" s="1494"/>
      <c r="BJ38" s="1494"/>
      <c r="BK38" s="1494"/>
      <c r="BL38" s="1494"/>
      <c r="BM38" s="1494"/>
      <c r="BN38" s="1494"/>
      <c r="BO38" s="1494"/>
      <c r="BP38" s="1494"/>
      <c r="BQ38" s="1494"/>
      <c r="BR38" s="1494"/>
      <c r="BS38" s="1494"/>
      <c r="BT38" s="1494"/>
      <c r="BU38" s="1494"/>
      <c r="BV38" s="1494"/>
      <c r="BW38" s="1494"/>
      <c r="BX38" s="1494"/>
      <c r="BY38" s="1494"/>
      <c r="BZ38" s="1494"/>
      <c r="CA38" s="1494"/>
      <c r="CB38" s="1494"/>
      <c r="CC38" s="1494"/>
      <c r="CD38" s="1494"/>
      <c r="CE38" s="1494"/>
      <c r="CF38" s="1494"/>
      <c r="CG38" s="1494"/>
      <c r="CH38" s="1494"/>
      <c r="CI38" s="1494"/>
      <c r="CJ38" s="1494"/>
      <c r="CK38" s="1494"/>
      <c r="CL38" s="1494"/>
      <c r="CM38" s="1494"/>
      <c r="CN38" s="1494"/>
      <c r="CO38" s="1494"/>
      <c r="CP38" s="1494"/>
      <c r="CQ38" s="1494"/>
      <c r="CR38" s="1494"/>
      <c r="CS38" s="1494"/>
      <c r="CT38" s="1494"/>
      <c r="CU38" s="1494"/>
      <c r="CV38" s="1494"/>
      <c r="CW38" s="1494"/>
      <c r="CX38" s="1494"/>
      <c r="CY38" s="1494"/>
      <c r="CZ38" s="1494"/>
      <c r="DA38" s="1494"/>
      <c r="DB38" s="1494"/>
      <c r="DC38" s="1494"/>
      <c r="DD38" s="1494"/>
      <c r="DE38" s="1494"/>
      <c r="DF38" s="1494"/>
      <c r="DG38" s="1494"/>
      <c r="DH38" s="1494"/>
      <c r="DI38" s="1494"/>
      <c r="DJ38" s="1494"/>
      <c r="DK38" s="1494"/>
      <c r="DL38" s="1494"/>
      <c r="DM38" s="1494"/>
      <c r="DN38" s="1494"/>
      <c r="DO38" s="1494"/>
      <c r="DP38" s="1494"/>
      <c r="DQ38" s="1494"/>
      <c r="DR38" s="1494"/>
      <c r="DS38" s="1494"/>
      <c r="DT38" s="1494"/>
      <c r="DU38" s="1494"/>
      <c r="DV38" s="1494"/>
      <c r="DW38" s="1494"/>
      <c r="DX38" s="1494"/>
      <c r="DY38" s="1494"/>
      <c r="DZ38" s="1494"/>
      <c r="EA38" s="1494"/>
      <c r="EB38" s="1494"/>
      <c r="EC38" s="1494"/>
      <c r="ED38" s="1494"/>
      <c r="EE38" s="1494"/>
      <c r="EF38" s="1494"/>
      <c r="EG38" s="1494"/>
      <c r="EH38" s="1494"/>
      <c r="EI38" s="1494"/>
      <c r="EJ38" s="1494"/>
      <c r="EK38" s="1494"/>
      <c r="EL38" s="1494"/>
      <c r="EM38" s="1494"/>
      <c r="EN38" s="1494"/>
      <c r="EO38" s="1494"/>
      <c r="EP38" s="1494"/>
      <c r="EQ38" s="1494"/>
      <c r="ER38" s="1494"/>
      <c r="ES38" s="1494"/>
      <c r="ET38" s="1494"/>
      <c r="EU38" s="1494"/>
      <c r="EV38" s="1494"/>
      <c r="EW38" s="1494"/>
      <c r="EX38" s="1494"/>
      <c r="EY38" s="1494"/>
      <c r="EZ38" s="1494"/>
      <c r="FA38" s="1494"/>
      <c r="FB38" s="1494"/>
      <c r="FC38" s="1494"/>
      <c r="FD38" s="1494"/>
      <c r="FE38" s="1494"/>
      <c r="FF38" s="1494"/>
      <c r="FG38" s="1494"/>
      <c r="FH38" s="1494"/>
      <c r="FI38" s="1494"/>
      <c r="FJ38" s="1494"/>
      <c r="FK38" s="1494"/>
      <c r="FL38" s="1494"/>
      <c r="FM38" s="1494"/>
      <c r="FN38" s="1494"/>
      <c r="FO38" s="1494"/>
      <c r="FP38" s="1494"/>
      <c r="FQ38" s="1494"/>
      <c r="FR38" s="1494"/>
      <c r="FS38" s="1494"/>
      <c r="FT38" s="1494"/>
      <c r="FU38" s="1494"/>
      <c r="FV38" s="1494"/>
      <c r="FW38" s="1494"/>
      <c r="FX38" s="1494"/>
      <c r="FY38" s="1494"/>
      <c r="FZ38" s="1494"/>
      <c r="GA38" s="1494"/>
      <c r="GB38" s="1494"/>
      <c r="GC38" s="1494"/>
      <c r="GD38" s="1494"/>
      <c r="GE38" s="1494"/>
      <c r="GF38" s="1494"/>
      <c r="GG38" s="1494"/>
      <c r="GH38" s="1494"/>
      <c r="GI38" s="1494"/>
      <c r="GJ38" s="1494"/>
      <c r="GK38" s="1494"/>
      <c r="GL38" s="1494"/>
      <c r="GM38" s="1494"/>
      <c r="GN38" s="1494"/>
      <c r="GO38" s="1494"/>
      <c r="GP38" s="1494"/>
      <c r="GQ38" s="1494"/>
      <c r="GR38" s="1494"/>
      <c r="GS38" s="1494"/>
      <c r="GT38" s="1494"/>
      <c r="GU38" s="1494"/>
      <c r="GV38" s="1494"/>
      <c r="GW38" s="1494"/>
      <c r="GX38" s="1494"/>
      <c r="GY38" s="1494"/>
      <c r="GZ38" s="1494"/>
      <c r="HA38" s="1494"/>
      <c r="HB38" s="1494"/>
      <c r="HC38" s="1494"/>
      <c r="HD38" s="1494"/>
      <c r="HE38" s="1494"/>
      <c r="HF38" s="1494"/>
      <c r="HG38" s="1494"/>
      <c r="HH38" s="1494"/>
      <c r="HI38" s="1494"/>
      <c r="HJ38" s="1494"/>
      <c r="HK38" s="1494"/>
      <c r="HL38" s="1494"/>
      <c r="HM38" s="1494"/>
      <c r="HN38" s="1494"/>
      <c r="HO38" s="1494"/>
      <c r="HP38" s="1494"/>
      <c r="HQ38" s="1494"/>
      <c r="HR38" s="1494"/>
      <c r="HS38" s="1494"/>
      <c r="HT38" s="1494"/>
      <c r="HU38" s="1494"/>
      <c r="HV38" s="1494"/>
      <c r="HW38" s="1494"/>
      <c r="HX38" s="1494"/>
      <c r="HY38" s="1494"/>
      <c r="HZ38" s="1494"/>
      <c r="IA38" s="1494"/>
      <c r="IB38" s="1494"/>
      <c r="IC38" s="1494"/>
      <c r="ID38" s="1494"/>
      <c r="IE38" s="1494"/>
      <c r="IF38" s="1494"/>
      <c r="IG38" s="1494"/>
      <c r="IH38" s="1494"/>
      <c r="II38" s="1494"/>
      <c r="IJ38" s="1494"/>
      <c r="IK38" s="1494"/>
      <c r="IL38" s="1494"/>
      <c r="IM38" s="1494"/>
      <c r="IN38" s="1494"/>
      <c r="IO38" s="49"/>
    </row>
    <row r="39" spans="1:249" s="5" customFormat="1" ht="23.25" customHeight="1">
      <c r="A39" s="1488" t="s">
        <v>236</v>
      </c>
      <c r="B39" s="1488"/>
      <c r="C39" s="1488"/>
      <c r="D39" s="1488"/>
      <c r="E39" s="1488"/>
      <c r="F39" s="1488"/>
      <c r="G39" s="1488"/>
      <c r="H39" s="1488"/>
      <c r="I39" s="1488"/>
      <c r="J39" s="1488"/>
      <c r="K39" s="1488"/>
      <c r="L39" s="1488"/>
      <c r="M39" s="1488"/>
      <c r="N39" s="1488"/>
      <c r="O39" s="43"/>
      <c r="P39" s="43"/>
      <c r="Q39" s="126"/>
      <c r="R39" s="126"/>
      <c r="S39" s="126"/>
      <c r="T39" s="126"/>
      <c r="U39" s="126"/>
      <c r="V39" s="126"/>
      <c r="W39" s="126"/>
      <c r="X39" s="126"/>
      <c r="Y39" s="126"/>
      <c r="Z39" s="126"/>
      <c r="AA39" s="126"/>
      <c r="AB39" s="126"/>
      <c r="AC39" s="126"/>
      <c r="AD39" s="1494"/>
      <c r="AE39" s="1494"/>
      <c r="AF39" s="1494"/>
      <c r="AG39" s="1494"/>
      <c r="AH39" s="1494"/>
      <c r="AI39" s="1494"/>
      <c r="AJ39" s="1494"/>
      <c r="AK39" s="1494"/>
      <c r="AL39" s="1494"/>
      <c r="AM39" s="1494"/>
      <c r="AN39" s="1494"/>
      <c r="AO39" s="1494"/>
      <c r="AP39" s="1494"/>
      <c r="AQ39" s="1494"/>
      <c r="AR39" s="1494"/>
      <c r="AS39" s="1494"/>
      <c r="AT39" s="1494"/>
      <c r="AU39" s="1494"/>
      <c r="AV39" s="1494"/>
      <c r="AW39" s="1494"/>
      <c r="AX39" s="1494"/>
      <c r="AY39" s="1494"/>
      <c r="AZ39" s="1494"/>
      <c r="BA39" s="1494"/>
      <c r="BB39" s="1494"/>
      <c r="BC39" s="1494"/>
      <c r="BD39" s="1494"/>
      <c r="BE39" s="1494"/>
      <c r="BF39" s="1494"/>
      <c r="BG39" s="1494"/>
      <c r="BH39" s="1494"/>
      <c r="BI39" s="1494"/>
      <c r="BJ39" s="1494"/>
      <c r="BK39" s="1494"/>
      <c r="BL39" s="1494"/>
      <c r="BM39" s="1494"/>
      <c r="BN39" s="1494"/>
      <c r="BO39" s="1494"/>
      <c r="BP39" s="1494"/>
      <c r="BQ39" s="1494"/>
      <c r="BR39" s="1494"/>
      <c r="BS39" s="1494"/>
      <c r="BT39" s="1494"/>
      <c r="BU39" s="1494"/>
      <c r="BV39" s="1494"/>
      <c r="BW39" s="1494"/>
      <c r="BX39" s="1494"/>
      <c r="BY39" s="1494"/>
      <c r="BZ39" s="1494"/>
      <c r="CA39" s="1494"/>
      <c r="CB39" s="1494"/>
      <c r="CC39" s="1494"/>
      <c r="CD39" s="1494"/>
      <c r="CE39" s="1494"/>
      <c r="CF39" s="1494"/>
      <c r="CG39" s="1494"/>
      <c r="CH39" s="1494"/>
      <c r="CI39" s="1494"/>
      <c r="CJ39" s="1494"/>
      <c r="CK39" s="1494"/>
      <c r="CL39" s="1494"/>
      <c r="CM39" s="1494"/>
      <c r="CN39" s="1494"/>
      <c r="CO39" s="1494"/>
      <c r="CP39" s="1494"/>
      <c r="CQ39" s="1494"/>
      <c r="CR39" s="1494"/>
      <c r="CS39" s="1494"/>
      <c r="CT39" s="1494"/>
      <c r="CU39" s="1494"/>
      <c r="CV39" s="1494"/>
      <c r="CW39" s="1494"/>
      <c r="CX39" s="1494"/>
      <c r="CY39" s="1494"/>
      <c r="CZ39" s="1494"/>
      <c r="DA39" s="1494"/>
      <c r="DB39" s="1494"/>
      <c r="DC39" s="1494"/>
      <c r="DD39" s="1494"/>
      <c r="DE39" s="1494"/>
      <c r="DF39" s="1494"/>
      <c r="DG39" s="1494"/>
      <c r="DH39" s="1494"/>
      <c r="DI39" s="1494"/>
      <c r="DJ39" s="1494"/>
      <c r="DK39" s="1494"/>
      <c r="DL39" s="1494"/>
      <c r="DM39" s="1494"/>
      <c r="DN39" s="1494"/>
      <c r="DO39" s="1494"/>
      <c r="DP39" s="1494"/>
      <c r="DQ39" s="1494"/>
      <c r="DR39" s="1494"/>
      <c r="DS39" s="1494"/>
      <c r="DT39" s="1494"/>
      <c r="DU39" s="1494"/>
      <c r="DV39" s="1494"/>
      <c r="DW39" s="1494"/>
      <c r="DX39" s="1494"/>
      <c r="DY39" s="1494"/>
      <c r="DZ39" s="1494"/>
      <c r="EA39" s="1494"/>
      <c r="EB39" s="1494"/>
      <c r="EC39" s="1494"/>
      <c r="ED39" s="1494"/>
      <c r="EE39" s="1494"/>
      <c r="EF39" s="1494"/>
      <c r="EG39" s="1494"/>
      <c r="EH39" s="1494"/>
      <c r="EI39" s="1494"/>
      <c r="EJ39" s="1494"/>
      <c r="EK39" s="1494"/>
      <c r="EL39" s="1494"/>
      <c r="EM39" s="1494"/>
      <c r="EN39" s="1494"/>
      <c r="EO39" s="1494"/>
      <c r="EP39" s="1494"/>
      <c r="EQ39" s="1494"/>
      <c r="ER39" s="1494"/>
      <c r="ES39" s="1494"/>
      <c r="ET39" s="1494"/>
      <c r="EU39" s="1494"/>
      <c r="EV39" s="1494"/>
      <c r="EW39" s="1494"/>
      <c r="EX39" s="1494"/>
      <c r="EY39" s="1494"/>
      <c r="EZ39" s="1494"/>
      <c r="FA39" s="1494"/>
      <c r="FB39" s="1494"/>
      <c r="FC39" s="1494"/>
      <c r="FD39" s="1494"/>
      <c r="FE39" s="1494"/>
      <c r="FF39" s="1494"/>
      <c r="FG39" s="1494"/>
      <c r="FH39" s="1494"/>
      <c r="FI39" s="1494"/>
      <c r="FJ39" s="1494"/>
      <c r="FK39" s="1494"/>
      <c r="FL39" s="1494"/>
      <c r="FM39" s="1494"/>
      <c r="FN39" s="1494"/>
      <c r="FO39" s="1494"/>
      <c r="FP39" s="1494"/>
      <c r="FQ39" s="1494"/>
      <c r="FR39" s="1494"/>
      <c r="FS39" s="1494"/>
      <c r="FT39" s="1494"/>
      <c r="FU39" s="1494"/>
      <c r="FV39" s="1494"/>
      <c r="FW39" s="1494"/>
      <c r="FX39" s="1494"/>
      <c r="FY39" s="1494"/>
      <c r="FZ39" s="1494"/>
      <c r="GA39" s="1494"/>
      <c r="GB39" s="1494"/>
      <c r="GC39" s="1494"/>
      <c r="GD39" s="1494"/>
      <c r="GE39" s="1494"/>
      <c r="GF39" s="1494"/>
      <c r="GG39" s="1494"/>
      <c r="GH39" s="1494"/>
      <c r="GI39" s="1494"/>
      <c r="GJ39" s="1494"/>
      <c r="GK39" s="1494"/>
      <c r="GL39" s="1494"/>
      <c r="GM39" s="1494"/>
      <c r="GN39" s="1494"/>
      <c r="GO39" s="1494"/>
      <c r="GP39" s="1494"/>
      <c r="GQ39" s="1494"/>
      <c r="GR39" s="1494"/>
      <c r="GS39" s="1494"/>
      <c r="GT39" s="1494"/>
      <c r="GU39" s="1494"/>
      <c r="GV39" s="1494"/>
      <c r="GW39" s="1494"/>
      <c r="GX39" s="1494"/>
      <c r="GY39" s="1494"/>
      <c r="GZ39" s="1494"/>
      <c r="HA39" s="1494"/>
      <c r="HB39" s="1494"/>
      <c r="HC39" s="1494"/>
      <c r="HD39" s="1494"/>
      <c r="HE39" s="1494"/>
      <c r="HF39" s="1494"/>
      <c r="HG39" s="1494"/>
      <c r="HH39" s="1494"/>
      <c r="HI39" s="1494"/>
      <c r="HJ39" s="1494"/>
      <c r="HK39" s="1494"/>
      <c r="HL39" s="1494"/>
      <c r="HM39" s="1494"/>
      <c r="HN39" s="1494"/>
      <c r="HO39" s="1494"/>
      <c r="HP39" s="1494"/>
      <c r="HQ39" s="1494"/>
      <c r="HR39" s="1494"/>
      <c r="HS39" s="1494"/>
      <c r="HT39" s="1494"/>
      <c r="HU39" s="1494"/>
      <c r="HV39" s="1494"/>
      <c r="HW39" s="1494"/>
      <c r="HX39" s="1494"/>
      <c r="HY39" s="1494"/>
      <c r="HZ39" s="1494"/>
      <c r="IA39" s="1494"/>
      <c r="IB39" s="1494"/>
      <c r="IC39" s="1494"/>
      <c r="ID39" s="1494"/>
      <c r="IE39" s="1494"/>
      <c r="IF39" s="1494"/>
      <c r="IG39" s="1494"/>
      <c r="IH39" s="1494"/>
      <c r="II39" s="1494"/>
      <c r="IJ39" s="1494"/>
      <c r="IK39" s="1494"/>
      <c r="IL39" s="1494"/>
      <c r="IM39" s="1494"/>
      <c r="IN39" s="1494"/>
      <c r="IO39" s="49"/>
    </row>
    <row r="40" spans="1:249" s="5" customFormat="1" ht="23.25" customHeight="1">
      <c r="A40"/>
      <c r="B40" s="1520" t="s">
        <v>237</v>
      </c>
      <c r="C40" s="1520"/>
      <c r="D40" s="1520"/>
      <c r="E40" s="1520"/>
      <c r="F40" s="1520"/>
      <c r="G40" s="1520"/>
      <c r="H40" s="1520"/>
      <c r="I40" s="1520"/>
      <c r="J40" s="50"/>
      <c r="K40" s="50"/>
      <c r="L40" s="50"/>
      <c r="M40" s="50"/>
      <c r="N40" s="50"/>
      <c r="O40" s="43"/>
      <c r="P40" s="43"/>
      <c r="Q40" s="126"/>
      <c r="R40" s="126"/>
      <c r="S40" s="126"/>
      <c r="T40" s="126"/>
      <c r="U40" s="126"/>
      <c r="V40" s="126"/>
      <c r="W40" s="126"/>
      <c r="X40" s="126"/>
      <c r="Y40" s="126"/>
      <c r="Z40" s="126"/>
      <c r="AA40" s="126"/>
      <c r="AB40" s="126"/>
      <c r="AC40" s="126"/>
      <c r="AD40" s="1494"/>
      <c r="AE40" s="1494"/>
      <c r="AF40" s="1494"/>
      <c r="AG40" s="1494"/>
      <c r="AH40" s="1494"/>
      <c r="AI40" s="1494"/>
      <c r="AJ40" s="1494"/>
      <c r="AK40" s="1494"/>
      <c r="AL40" s="1494"/>
      <c r="AM40" s="1494"/>
      <c r="AN40" s="1494"/>
      <c r="AO40" s="1494"/>
      <c r="AP40" s="1494"/>
      <c r="AQ40" s="1494"/>
      <c r="AR40" s="1494"/>
      <c r="AS40" s="1494"/>
      <c r="AT40" s="1494"/>
      <c r="AU40" s="1494"/>
      <c r="AV40" s="1494"/>
      <c r="AW40" s="1494"/>
      <c r="AX40" s="1494"/>
      <c r="AY40" s="1494"/>
      <c r="AZ40" s="1494"/>
      <c r="BA40" s="1494"/>
      <c r="BB40" s="1494"/>
      <c r="BC40" s="1494"/>
      <c r="BD40" s="1494"/>
      <c r="BE40" s="1494"/>
      <c r="BF40" s="1494"/>
      <c r="BG40" s="1494"/>
      <c r="BH40" s="1494"/>
      <c r="BI40" s="1494"/>
      <c r="BJ40" s="1494"/>
      <c r="BK40" s="1494"/>
      <c r="BL40" s="1494"/>
      <c r="BM40" s="1494"/>
      <c r="BN40" s="1494"/>
      <c r="BO40" s="1494"/>
      <c r="BP40" s="1494"/>
      <c r="BQ40" s="1494"/>
      <c r="BR40" s="1494"/>
      <c r="BS40" s="1494"/>
      <c r="BT40" s="1494"/>
      <c r="BU40" s="1494"/>
      <c r="BV40" s="1494"/>
      <c r="BW40" s="1494"/>
      <c r="BX40" s="1494"/>
      <c r="BY40" s="1494"/>
      <c r="BZ40" s="1494"/>
      <c r="CA40" s="1494"/>
      <c r="CB40" s="1494"/>
      <c r="CC40" s="1494"/>
      <c r="CD40" s="1494"/>
      <c r="CE40" s="1494"/>
      <c r="CF40" s="1494"/>
      <c r="CG40" s="1494"/>
      <c r="CH40" s="1494"/>
      <c r="CI40" s="1494"/>
      <c r="CJ40" s="1494"/>
      <c r="CK40" s="1494"/>
      <c r="CL40" s="1494"/>
      <c r="CM40" s="1494"/>
      <c r="CN40" s="1494"/>
      <c r="CO40" s="1494"/>
      <c r="CP40" s="1494"/>
      <c r="CQ40" s="1494"/>
      <c r="CR40" s="1494"/>
      <c r="CS40" s="1494"/>
      <c r="CT40" s="1494"/>
      <c r="CU40" s="1494"/>
      <c r="CV40" s="1494"/>
      <c r="CW40" s="1494"/>
      <c r="CX40" s="1494"/>
      <c r="CY40" s="1494"/>
      <c r="CZ40" s="1494"/>
      <c r="DA40" s="1494"/>
      <c r="DB40" s="1494"/>
      <c r="DC40" s="1494"/>
      <c r="DD40" s="1494"/>
      <c r="DE40" s="1494"/>
      <c r="DF40" s="1494"/>
      <c r="DG40" s="1494"/>
      <c r="DH40" s="1494"/>
      <c r="DI40" s="1494"/>
      <c r="DJ40" s="1494"/>
      <c r="DK40" s="1494"/>
      <c r="DL40" s="1494"/>
      <c r="DM40" s="1494"/>
      <c r="DN40" s="1494"/>
      <c r="DO40" s="1494"/>
      <c r="DP40" s="1494"/>
      <c r="DQ40" s="1494"/>
      <c r="DR40" s="1494"/>
      <c r="DS40" s="1494"/>
      <c r="DT40" s="1494"/>
      <c r="DU40" s="1494"/>
      <c r="DV40" s="1494"/>
      <c r="DW40" s="1494"/>
      <c r="DX40" s="1494"/>
      <c r="DY40" s="1494"/>
      <c r="DZ40" s="1494"/>
      <c r="EA40" s="1494"/>
      <c r="EB40" s="1494"/>
      <c r="EC40" s="1494"/>
      <c r="ED40" s="1494"/>
      <c r="EE40" s="1494"/>
      <c r="EF40" s="1494"/>
      <c r="EG40" s="1494"/>
      <c r="EH40" s="1494"/>
      <c r="EI40" s="1494"/>
      <c r="EJ40" s="1494"/>
      <c r="EK40" s="1494"/>
      <c r="EL40" s="1494"/>
      <c r="EM40" s="1494"/>
      <c r="EN40" s="1494"/>
      <c r="EO40" s="1494"/>
      <c r="EP40" s="1494"/>
      <c r="EQ40" s="1494"/>
      <c r="ER40" s="1494"/>
      <c r="ES40" s="1494"/>
      <c r="ET40" s="1494"/>
      <c r="EU40" s="1494"/>
      <c r="EV40" s="1494"/>
      <c r="EW40" s="1494"/>
      <c r="EX40" s="1494"/>
      <c r="EY40" s="1494"/>
      <c r="EZ40" s="1494"/>
      <c r="FA40" s="1494"/>
      <c r="FB40" s="1494"/>
      <c r="FC40" s="1494"/>
      <c r="FD40" s="1494"/>
      <c r="FE40" s="1494"/>
      <c r="FF40" s="1494"/>
      <c r="FG40" s="1494"/>
      <c r="FH40" s="1494"/>
      <c r="FI40" s="1494"/>
      <c r="FJ40" s="1494"/>
      <c r="FK40" s="1494"/>
      <c r="FL40" s="1494"/>
      <c r="FM40" s="1494"/>
      <c r="FN40" s="1494"/>
      <c r="FO40" s="1494"/>
      <c r="FP40" s="1494"/>
      <c r="FQ40" s="1494"/>
      <c r="FR40" s="1494"/>
      <c r="FS40" s="1494"/>
      <c r="FT40" s="1494"/>
      <c r="FU40" s="1494"/>
      <c r="FV40" s="1494"/>
      <c r="FW40" s="1494"/>
      <c r="FX40" s="1494"/>
      <c r="FY40" s="1494"/>
      <c r="FZ40" s="1494"/>
      <c r="GA40" s="1494"/>
      <c r="GB40" s="1494"/>
      <c r="GC40" s="1494"/>
      <c r="GD40" s="1494"/>
      <c r="GE40" s="1494"/>
      <c r="GF40" s="1494"/>
      <c r="GG40" s="1494"/>
      <c r="GH40" s="1494"/>
      <c r="GI40" s="1494"/>
      <c r="GJ40" s="1494"/>
      <c r="GK40" s="1494"/>
      <c r="GL40" s="1494"/>
      <c r="GM40" s="1494"/>
      <c r="GN40" s="1494"/>
      <c r="GO40" s="1494"/>
      <c r="GP40" s="1494"/>
      <c r="GQ40" s="1494"/>
      <c r="GR40" s="1494"/>
      <c r="GS40" s="1494"/>
      <c r="GT40" s="1494"/>
      <c r="GU40" s="1494"/>
      <c r="GV40" s="1494"/>
      <c r="GW40" s="1494"/>
      <c r="GX40" s="1494"/>
      <c r="GY40" s="1494"/>
      <c r="GZ40" s="1494"/>
      <c r="HA40" s="1494"/>
      <c r="HB40" s="1494"/>
      <c r="HC40" s="1494"/>
      <c r="HD40" s="1494"/>
      <c r="HE40" s="1494"/>
      <c r="HF40" s="1494"/>
      <c r="HG40" s="1494"/>
      <c r="HH40" s="1494"/>
      <c r="HI40" s="1494"/>
      <c r="HJ40" s="1494"/>
      <c r="HK40" s="1494"/>
      <c r="HL40" s="1494"/>
      <c r="HM40" s="1494"/>
      <c r="HN40" s="1494"/>
      <c r="HO40" s="1494"/>
      <c r="HP40" s="1494"/>
      <c r="HQ40" s="1494"/>
      <c r="HR40" s="1494"/>
      <c r="HS40" s="1494"/>
      <c r="HT40" s="1494"/>
      <c r="HU40" s="1494"/>
      <c r="HV40" s="1494"/>
      <c r="HW40" s="1494"/>
      <c r="HX40" s="1494"/>
      <c r="HY40" s="1494"/>
      <c r="HZ40" s="1494"/>
      <c r="IA40" s="1494"/>
      <c r="IB40" s="1494"/>
      <c r="IC40" s="1494"/>
      <c r="ID40" s="1494"/>
      <c r="IE40" s="1494"/>
      <c r="IF40" s="1494"/>
      <c r="IG40" s="1494"/>
      <c r="IH40" s="1494"/>
      <c r="II40" s="1494"/>
      <c r="IJ40" s="1494"/>
      <c r="IK40" s="1494"/>
      <c r="IL40" s="1494"/>
      <c r="IM40" s="1494"/>
      <c r="IN40" s="1494"/>
      <c r="IO40" s="49"/>
    </row>
    <row r="41" spans="1:249" s="5" customFormat="1" ht="25.5" customHeight="1">
      <c r="A41" s="1521" t="s">
        <v>191</v>
      </c>
      <c r="B41" s="1523" t="s">
        <v>238</v>
      </c>
      <c r="C41" s="1524"/>
      <c r="D41" s="1524"/>
      <c r="E41" s="1524"/>
      <c r="F41" s="1524"/>
      <c r="G41" s="1525"/>
      <c r="H41" s="1523" t="s">
        <v>239</v>
      </c>
      <c r="I41" s="1524"/>
      <c r="J41" s="1524"/>
      <c r="K41" s="1524"/>
      <c r="L41" s="1525"/>
      <c r="M41" s="1529" t="s">
        <v>240</v>
      </c>
      <c r="N41" s="1530"/>
      <c r="O41" s="43"/>
      <c r="P41" s="43"/>
      <c r="Q41" s="126"/>
      <c r="R41" s="126"/>
      <c r="S41" s="126"/>
      <c r="T41" s="126"/>
      <c r="U41" s="126"/>
      <c r="V41" s="126"/>
      <c r="W41" s="126"/>
      <c r="X41" s="126"/>
      <c r="Y41" s="126"/>
      <c r="Z41" s="126"/>
      <c r="AA41" s="126"/>
      <c r="AB41" s="126"/>
      <c r="AC41" s="126"/>
      <c r="AD41" s="127"/>
      <c r="AE41" s="127"/>
      <c r="AF41" s="127"/>
    </row>
    <row r="42" spans="1:249" s="5" customFormat="1" ht="25.5" customHeight="1">
      <c r="A42" s="1522"/>
      <c r="B42" s="1526"/>
      <c r="C42" s="1527"/>
      <c r="D42" s="1527"/>
      <c r="E42" s="1527"/>
      <c r="F42" s="1527"/>
      <c r="G42" s="1528"/>
      <c r="H42" s="1526"/>
      <c r="I42" s="1527"/>
      <c r="J42" s="1527"/>
      <c r="K42" s="1527"/>
      <c r="L42" s="1528"/>
      <c r="M42" s="51" t="s">
        <v>241</v>
      </c>
      <c r="N42" s="51" t="s">
        <v>242</v>
      </c>
      <c r="P42" s="4"/>
      <c r="Q42" s="126"/>
      <c r="R42" s="126"/>
      <c r="S42" s="126"/>
      <c r="T42" s="126"/>
      <c r="U42" s="126"/>
      <c r="V42" s="126"/>
      <c r="W42" s="126"/>
      <c r="X42" s="126"/>
      <c r="Y42" s="126"/>
      <c r="Z42" s="126"/>
      <c r="AA42" s="126"/>
      <c r="AB42" s="126"/>
      <c r="AC42" s="126"/>
      <c r="AD42" s="127"/>
      <c r="AE42" s="127"/>
      <c r="AF42" s="127"/>
    </row>
    <row r="43" spans="1:249" s="5" customFormat="1" ht="21.75" customHeight="1">
      <c r="A43" s="52">
        <v>1</v>
      </c>
      <c r="B43" s="1508" t="s">
        <v>243</v>
      </c>
      <c r="C43" s="1509"/>
      <c r="D43" s="1509"/>
      <c r="E43" s="1509"/>
      <c r="F43" s="1509"/>
      <c r="G43" s="1510"/>
      <c r="H43" s="1511" t="s">
        <v>244</v>
      </c>
      <c r="I43" s="1512"/>
      <c r="J43" s="1512"/>
      <c r="K43" s="1512"/>
      <c r="L43" s="1513"/>
      <c r="M43" s="52" t="s">
        <v>245</v>
      </c>
      <c r="N43" s="53"/>
      <c r="P43" s="4"/>
      <c r="Q43" s="126"/>
      <c r="R43" s="126"/>
      <c r="S43" s="126"/>
      <c r="T43" s="126"/>
      <c r="U43" s="126"/>
      <c r="V43" s="126"/>
      <c r="W43" s="126"/>
      <c r="X43" s="126"/>
      <c r="Y43" s="126"/>
      <c r="Z43" s="126"/>
      <c r="AA43" s="126"/>
      <c r="AB43" s="126"/>
      <c r="AC43" s="126"/>
      <c r="AD43" s="127"/>
      <c r="AE43" s="127"/>
      <c r="AF43" s="127"/>
    </row>
    <row r="44" spans="1:249" s="5" customFormat="1" ht="21" customHeight="1">
      <c r="A44" s="54">
        <v>2</v>
      </c>
      <c r="B44" s="1514" t="s">
        <v>246</v>
      </c>
      <c r="C44" s="1515"/>
      <c r="D44" s="1515"/>
      <c r="E44" s="1515"/>
      <c r="F44" s="1515"/>
      <c r="G44" s="1516"/>
      <c r="H44" s="1517" t="s">
        <v>247</v>
      </c>
      <c r="I44" s="1518"/>
      <c r="J44" s="1518"/>
      <c r="K44" s="1518"/>
      <c r="L44" s="1519"/>
      <c r="M44" s="54" t="s">
        <v>245</v>
      </c>
      <c r="N44" s="55"/>
      <c r="P44" s="4"/>
      <c r="Q44" s="129"/>
      <c r="R44" s="129"/>
      <c r="S44" s="129"/>
      <c r="T44" s="129"/>
      <c r="U44" s="127"/>
      <c r="V44" s="127"/>
      <c r="W44" s="127"/>
      <c r="X44" s="127"/>
      <c r="Y44" s="127"/>
      <c r="Z44" s="127"/>
      <c r="AA44" s="127"/>
      <c r="AB44" s="127"/>
      <c r="AC44" s="127"/>
      <c r="AD44" s="127"/>
      <c r="AE44" s="127"/>
      <c r="AF44" s="127"/>
    </row>
    <row r="45" spans="1:249" s="5" customFormat="1" ht="30.75" customHeight="1">
      <c r="A45" s="56">
        <v>3</v>
      </c>
      <c r="B45" s="1498" t="s">
        <v>248</v>
      </c>
      <c r="C45" s="1499"/>
      <c r="D45" s="1499"/>
      <c r="E45" s="1499"/>
      <c r="F45" s="1499"/>
      <c r="G45" s="1500"/>
      <c r="H45" s="1501" t="s">
        <v>244</v>
      </c>
      <c r="I45" s="1502"/>
      <c r="J45" s="1502"/>
      <c r="K45" s="1502"/>
      <c r="L45" s="1503"/>
      <c r="M45" s="56" t="s">
        <v>245</v>
      </c>
      <c r="N45" s="57"/>
      <c r="P45" s="4"/>
      <c r="Q45" s="129"/>
      <c r="R45" s="129"/>
      <c r="S45" s="129"/>
      <c r="T45" s="129"/>
      <c r="U45" s="127"/>
      <c r="V45" s="127"/>
      <c r="W45" s="127"/>
      <c r="X45" s="127"/>
      <c r="Y45" s="127"/>
      <c r="Z45" s="127"/>
      <c r="AA45" s="127"/>
      <c r="AB45" s="127"/>
      <c r="AC45" s="127"/>
      <c r="AD45" s="127"/>
      <c r="AE45" s="127"/>
      <c r="AF45" s="127"/>
    </row>
    <row r="46" spans="1:249" s="5" customFormat="1" ht="24" customHeight="1">
      <c r="A46" s="58"/>
      <c r="B46" s="59" t="s">
        <v>249</v>
      </c>
      <c r="C46" s="59"/>
      <c r="D46" s="59"/>
      <c r="E46" s="59"/>
      <c r="F46" s="60"/>
      <c r="G46" s="60"/>
      <c r="H46" s="1504" t="s">
        <v>176</v>
      </c>
      <c r="I46" s="1504"/>
      <c r="J46" s="1504"/>
      <c r="K46" s="1504"/>
      <c r="L46" s="60"/>
      <c r="M46" s="60"/>
      <c r="N46" s="60"/>
      <c r="P46" s="4"/>
      <c r="Q46" s="129"/>
      <c r="R46" s="129"/>
      <c r="S46" s="129"/>
      <c r="T46" s="129"/>
      <c r="U46" s="127"/>
      <c r="V46" s="127"/>
      <c r="W46" s="127"/>
      <c r="X46" s="127"/>
      <c r="Y46" s="127"/>
      <c r="Z46" s="127"/>
      <c r="AA46" s="127"/>
      <c r="AB46" s="127"/>
      <c r="AC46" s="127"/>
      <c r="AD46" s="127"/>
      <c r="AE46" s="127"/>
      <c r="AF46" s="127"/>
    </row>
    <row r="47" spans="1:249" s="5" customFormat="1" ht="35.25" customHeight="1">
      <c r="A47" s="31" t="s">
        <v>250</v>
      </c>
      <c r="B47" s="31"/>
      <c r="C47" s="31"/>
      <c r="D47" s="31"/>
      <c r="E47" s="61"/>
      <c r="F47" s="61"/>
      <c r="G47" s="61"/>
      <c r="H47" s="61"/>
      <c r="I47" s="61"/>
      <c r="J47" s="61"/>
      <c r="K47" s="61"/>
      <c r="L47" s="61"/>
      <c r="M47" s="61"/>
      <c r="N47" s="61"/>
      <c r="P47" s="4"/>
      <c r="Q47" s="129"/>
      <c r="R47" s="129"/>
      <c r="S47" s="129"/>
      <c r="T47" s="129"/>
      <c r="U47" s="127"/>
      <c r="V47" s="127"/>
      <c r="W47" s="127"/>
      <c r="X47" s="127"/>
      <c r="Y47" s="127"/>
      <c r="Z47" s="127"/>
      <c r="AA47" s="127"/>
      <c r="AB47" s="127"/>
      <c r="AC47" s="127"/>
      <c r="AD47" s="127"/>
      <c r="AE47" s="127"/>
      <c r="AF47" s="127"/>
    </row>
    <row r="48" spans="1:249" s="5" customFormat="1" ht="25.5" customHeight="1">
      <c r="A48" s="62"/>
      <c r="B48" s="60"/>
      <c r="C48" s="60"/>
      <c r="D48" s="1505" t="s">
        <v>251</v>
      </c>
      <c r="E48" s="1505"/>
      <c r="F48" s="1505"/>
      <c r="G48" s="1505"/>
      <c r="H48" s="1505"/>
      <c r="I48" s="1505"/>
      <c r="J48" s="1505"/>
      <c r="K48" s="1505"/>
      <c r="L48" s="1505"/>
      <c r="M48" s="1505"/>
      <c r="N48" s="1505"/>
      <c r="P48" s="4"/>
      <c r="Q48" s="129"/>
      <c r="R48" s="129"/>
      <c r="S48" s="129"/>
      <c r="T48" s="129"/>
      <c r="U48" s="127"/>
      <c r="V48" s="127"/>
      <c r="W48" s="127"/>
      <c r="X48" s="127"/>
      <c r="Y48" s="127"/>
      <c r="Z48" s="127"/>
      <c r="AA48" s="127"/>
      <c r="AB48" s="127"/>
      <c r="AC48" s="127"/>
      <c r="AD48" s="127"/>
      <c r="AE48" s="127"/>
      <c r="AF48" s="127"/>
    </row>
    <row r="49" spans="1:32" s="5" customFormat="1" ht="21" customHeight="1">
      <c r="A49" s="58"/>
      <c r="B49" s="1506"/>
      <c r="C49" s="1506"/>
      <c r="D49" s="1506"/>
      <c r="E49" s="1506"/>
      <c r="F49" s="1507"/>
      <c r="G49" s="1507"/>
      <c r="H49" s="1507"/>
      <c r="I49" s="1507"/>
      <c r="J49" s="1507"/>
      <c r="K49" s="1507"/>
      <c r="L49" s="1507"/>
      <c r="M49" s="50"/>
      <c r="N49" s="50"/>
      <c r="P49" s="4"/>
      <c r="Q49" s="129"/>
      <c r="R49" s="129"/>
      <c r="S49" s="129"/>
      <c r="T49" s="129"/>
      <c r="U49" s="127"/>
      <c r="V49" s="127"/>
      <c r="W49" s="127"/>
      <c r="X49" s="127"/>
      <c r="Y49" s="127"/>
      <c r="Z49" s="127"/>
      <c r="AA49" s="127"/>
      <c r="AB49" s="127"/>
      <c r="AC49" s="127"/>
      <c r="AD49" s="127"/>
      <c r="AE49" s="127"/>
      <c r="AF49" s="127"/>
    </row>
    <row r="50" spans="1:32" s="5" customFormat="1" ht="24" customHeight="1">
      <c r="A50" s="1496" t="s">
        <v>252</v>
      </c>
      <c r="B50" s="1496"/>
      <c r="C50" s="1496"/>
      <c r="D50" s="1496"/>
      <c r="E50" s="1496"/>
      <c r="F50" s="1496" t="s">
        <v>253</v>
      </c>
      <c r="G50" s="1496"/>
      <c r="H50" s="1496"/>
      <c r="I50" s="1496"/>
      <c r="J50" s="1496"/>
      <c r="K50" s="1496"/>
      <c r="L50" s="1496"/>
      <c r="M50" s="1496"/>
      <c r="N50" s="1496"/>
      <c r="O50" s="63"/>
      <c r="P50" s="63"/>
      <c r="Q50" s="129"/>
      <c r="R50" s="129"/>
      <c r="S50" s="129"/>
      <c r="T50" s="129"/>
      <c r="U50" s="127"/>
      <c r="V50" s="127"/>
      <c r="W50" s="127"/>
      <c r="X50" s="127"/>
      <c r="Y50" s="127"/>
      <c r="Z50" s="127"/>
      <c r="AA50" s="127"/>
      <c r="AB50" s="127"/>
      <c r="AC50" s="127"/>
      <c r="AD50" s="127"/>
      <c r="AE50" s="127"/>
      <c r="AF50" s="127"/>
    </row>
    <row r="51" spans="1:32" s="5" customFormat="1" ht="16.5">
      <c r="A51" s="64"/>
      <c r="B51" s="64"/>
      <c r="C51" s="64"/>
      <c r="D51" s="64"/>
      <c r="E51" s="64"/>
      <c r="F51" s="1496" t="str">
        <f>$T$30</f>
        <v>Công ty TNHH MTV HANTECH</v>
      </c>
      <c r="G51" s="1496"/>
      <c r="H51" s="1496"/>
      <c r="I51" s="1496"/>
      <c r="J51" s="1496"/>
      <c r="K51" s="1496"/>
      <c r="L51" s="1496" t="str">
        <f>$T$32</f>
        <v>Chỉ huy trưởng công trường</v>
      </c>
      <c r="M51" s="1496"/>
      <c r="N51" s="1496"/>
      <c r="O51"/>
      <c r="P51"/>
      <c r="Q51" s="129"/>
      <c r="R51" s="129"/>
      <c r="S51" s="129"/>
      <c r="T51" s="129"/>
      <c r="U51" s="127"/>
      <c r="V51" s="127"/>
      <c r="W51" s="127"/>
      <c r="X51" s="127"/>
      <c r="Y51" s="127"/>
      <c r="Z51" s="127"/>
      <c r="AA51" s="127"/>
      <c r="AB51" s="127"/>
      <c r="AC51" s="127"/>
      <c r="AD51" s="127"/>
      <c r="AE51" s="127"/>
      <c r="AF51" s="127"/>
    </row>
    <row r="52" spans="1:32" s="63" customFormat="1" ht="29.25" customHeight="1">
      <c r="A52" s="64"/>
      <c r="B52" s="64"/>
      <c r="C52" s="64"/>
      <c r="D52" s="64"/>
      <c r="E52" s="64"/>
      <c r="F52" s="64"/>
      <c r="G52" s="64"/>
      <c r="H52" s="64"/>
      <c r="I52" s="64"/>
      <c r="J52" s="64"/>
      <c r="K52" s="64"/>
      <c r="L52" s="64"/>
      <c r="M52" s="64"/>
      <c r="N52" s="64"/>
      <c r="O52"/>
      <c r="P52"/>
      <c r="Q52" s="65"/>
      <c r="R52" s="65"/>
      <c r="S52" s="65"/>
      <c r="T52" s="65"/>
    </row>
    <row r="53" spans="1:32" ht="23.25" customHeight="1">
      <c r="A53" s="66"/>
      <c r="F53" s="67"/>
      <c r="G53" s="68"/>
      <c r="H53" s="69"/>
      <c r="I53" s="69"/>
      <c r="J53" s="69"/>
      <c r="K53" s="69"/>
      <c r="L53" s="69"/>
      <c r="M53" s="69"/>
      <c r="N53" s="43"/>
    </row>
    <row r="54" spans="1:32" ht="23.25" customHeight="1">
      <c r="A54" s="12"/>
      <c r="B54" s="12"/>
      <c r="C54" s="12"/>
      <c r="D54" s="12"/>
      <c r="E54" s="12"/>
      <c r="F54" s="12"/>
      <c r="G54" s="12"/>
      <c r="H54" s="12"/>
      <c r="I54" s="7"/>
      <c r="J54" s="7"/>
      <c r="K54" s="7"/>
      <c r="L54" s="7"/>
      <c r="M54" s="2"/>
      <c r="N54" s="2"/>
      <c r="O54" s="7"/>
      <c r="P54" s="7"/>
    </row>
    <row r="55" spans="1:32" ht="17.25" customHeight="1">
      <c r="A55" s="1497" t="str">
        <f>$E$16</f>
        <v>Nguyễn Mạnh Hùng</v>
      </c>
      <c r="B55" s="1497"/>
      <c r="C55" s="1497"/>
      <c r="D55" s="1497"/>
      <c r="E55" s="1497"/>
      <c r="F55" s="1497" t="str">
        <f>E18</f>
        <v>CÔNG TY TNHH MTV HANTECH</v>
      </c>
      <c r="G55" s="1497"/>
      <c r="H55" s="1497"/>
      <c r="I55" s="1497"/>
      <c r="J55" s="1497"/>
      <c r="K55" s="1497"/>
      <c r="L55" s="1497" t="str">
        <f>$E$19</f>
        <v>Ngô Văn Khánh</v>
      </c>
      <c r="M55" s="1497"/>
      <c r="N55" s="1497"/>
      <c r="O55" s="70"/>
      <c r="P55" s="70"/>
    </row>
    <row r="56" spans="1:32" s="7" customFormat="1" ht="19.5" customHeight="1">
      <c r="A56" s="1535"/>
      <c r="B56" s="1535"/>
      <c r="C56" s="1535"/>
      <c r="D56" s="1535"/>
      <c r="E56" s="1535"/>
      <c r="F56" s="71"/>
      <c r="G56" s="71"/>
      <c r="H56" s="71"/>
      <c r="I56" s="71"/>
      <c r="J56" s="71"/>
      <c r="K56" s="71"/>
      <c r="L56" s="71"/>
      <c r="M56" s="71"/>
      <c r="N56" s="71"/>
      <c r="O56" s="72"/>
      <c r="P56" s="73"/>
      <c r="Q56" s="11"/>
      <c r="R56" s="11"/>
      <c r="S56" s="11"/>
      <c r="T56" s="11"/>
    </row>
    <row r="57" spans="1:32" s="70" customFormat="1" ht="20.100000000000001" customHeight="1">
      <c r="A57" s="58"/>
      <c r="B57" s="1531"/>
      <c r="C57" s="1531"/>
      <c r="D57" s="1531"/>
      <c r="E57" s="1531"/>
      <c r="F57" s="1532"/>
      <c r="G57" s="1532"/>
      <c r="H57" s="1532"/>
      <c r="I57" s="1532"/>
      <c r="J57" s="1532"/>
      <c r="K57" s="1532"/>
      <c r="L57" s="1532"/>
      <c r="M57" s="50"/>
      <c r="N57" s="50"/>
      <c r="O57" s="5"/>
      <c r="P57" s="4"/>
      <c r="Q57" s="76"/>
      <c r="R57" s="76"/>
      <c r="S57" s="76"/>
      <c r="T57" s="76"/>
    </row>
    <row r="58" spans="1:32" s="72" customFormat="1" ht="16.5" customHeight="1">
      <c r="A58" s="58"/>
      <c r="B58" s="1531"/>
      <c r="C58" s="1531"/>
      <c r="D58" s="1531"/>
      <c r="E58" s="1531"/>
      <c r="F58" s="1532"/>
      <c r="G58" s="1532"/>
      <c r="H58" s="1532"/>
      <c r="I58" s="1532"/>
      <c r="J58" s="1532"/>
      <c r="K58" s="1532"/>
      <c r="L58" s="1532"/>
      <c r="M58" s="50"/>
      <c r="N58" s="50"/>
      <c r="O58" s="5"/>
      <c r="P58" s="4"/>
      <c r="Q58" s="77"/>
      <c r="R58" s="77"/>
      <c r="S58" s="77"/>
      <c r="T58" s="77"/>
    </row>
    <row r="59" spans="1:32" s="5" customFormat="1" ht="16.5" customHeight="1">
      <c r="A59" s="58"/>
      <c r="B59" s="74"/>
      <c r="C59" s="74"/>
      <c r="D59" s="74"/>
      <c r="E59" s="74"/>
      <c r="F59" s="75"/>
      <c r="G59" s="75"/>
      <c r="H59" s="75"/>
      <c r="I59" s="75"/>
      <c r="J59" s="75"/>
      <c r="K59" s="75"/>
      <c r="L59" s="75"/>
      <c r="M59" s="50"/>
      <c r="N59" s="50"/>
      <c r="P59" s="4"/>
      <c r="Q59" s="129"/>
      <c r="R59" s="129"/>
      <c r="S59" s="129"/>
      <c r="T59" s="129"/>
      <c r="U59" s="127"/>
      <c r="V59" s="127"/>
      <c r="W59" s="127"/>
      <c r="X59" s="127"/>
      <c r="Y59" s="127"/>
      <c r="Z59" s="127"/>
      <c r="AA59" s="127"/>
      <c r="AB59" s="127"/>
      <c r="AC59" s="127"/>
      <c r="AD59" s="127"/>
      <c r="AE59" s="127"/>
      <c r="AF59" s="127"/>
    </row>
    <row r="60" spans="1:32" s="5" customFormat="1" ht="16.5" customHeight="1">
      <c r="A60" s="58"/>
      <c r="B60" s="74"/>
      <c r="C60" s="74"/>
      <c r="D60" s="74"/>
      <c r="E60" s="74"/>
      <c r="F60" s="75"/>
      <c r="G60" s="75"/>
      <c r="H60" s="75"/>
      <c r="I60" s="75"/>
      <c r="J60" s="75"/>
      <c r="K60" s="75"/>
      <c r="L60" s="75"/>
      <c r="M60" s="50"/>
      <c r="N60" s="50"/>
      <c r="P60" s="4"/>
      <c r="Q60" s="129"/>
      <c r="R60" s="129"/>
      <c r="S60" s="129"/>
      <c r="T60" s="129"/>
      <c r="U60" s="127"/>
      <c r="V60" s="127"/>
      <c r="W60" s="127"/>
      <c r="X60" s="127"/>
      <c r="Y60" s="127"/>
      <c r="Z60" s="127"/>
      <c r="AA60" s="127"/>
      <c r="AB60" s="127"/>
      <c r="AC60" s="127"/>
      <c r="AD60" s="127"/>
      <c r="AE60" s="127"/>
      <c r="AF60" s="127"/>
    </row>
    <row r="61" spans="1:32" s="5" customFormat="1" ht="16.5" customHeight="1">
      <c r="A61" s="58"/>
      <c r="B61" s="74"/>
      <c r="C61" s="74"/>
      <c r="D61" s="74"/>
      <c r="E61" s="74"/>
      <c r="F61" s="75"/>
      <c r="G61" s="75"/>
      <c r="H61" s="75"/>
      <c r="I61" s="75"/>
      <c r="J61" s="75"/>
      <c r="K61" s="75"/>
      <c r="L61" s="75"/>
      <c r="M61" s="50"/>
      <c r="N61" s="50"/>
      <c r="P61" s="4"/>
      <c r="Q61" s="129"/>
      <c r="R61" s="129"/>
      <c r="S61" s="129"/>
      <c r="T61" s="129"/>
      <c r="U61" s="127"/>
      <c r="V61" s="127"/>
      <c r="W61" s="127"/>
      <c r="X61" s="127"/>
      <c r="Y61" s="127"/>
      <c r="Z61" s="127"/>
      <c r="AA61" s="127"/>
      <c r="AB61" s="127"/>
      <c r="AC61" s="127"/>
      <c r="AD61" s="127"/>
      <c r="AE61" s="127"/>
      <c r="AF61" s="127"/>
    </row>
    <row r="62" spans="1:32" s="5" customFormat="1" ht="16.5" customHeight="1">
      <c r="A62" s="58"/>
      <c r="B62" s="74"/>
      <c r="C62" s="74"/>
      <c r="D62" s="74"/>
      <c r="E62" s="74"/>
      <c r="F62" s="75"/>
      <c r="G62" s="75"/>
      <c r="H62" s="75"/>
      <c r="I62" s="75"/>
      <c r="J62" s="75"/>
      <c r="K62" s="75"/>
      <c r="L62" s="75"/>
      <c r="M62" s="50"/>
      <c r="N62" s="50"/>
      <c r="P62" s="4"/>
      <c r="Q62" s="129"/>
      <c r="R62" s="129"/>
      <c r="S62" s="129"/>
      <c r="T62" s="129"/>
      <c r="U62" s="127"/>
      <c r="V62" s="127"/>
      <c r="W62" s="127"/>
      <c r="X62" s="127"/>
      <c r="Y62" s="127"/>
      <c r="Z62" s="127"/>
      <c r="AA62" s="127"/>
      <c r="AB62" s="127"/>
      <c r="AC62" s="127"/>
      <c r="AD62" s="127"/>
      <c r="AE62" s="127"/>
      <c r="AF62" s="127"/>
    </row>
    <row r="63" spans="1:32" s="5" customFormat="1" ht="16.5" customHeight="1">
      <c r="A63" s="58"/>
      <c r="B63" s="74"/>
      <c r="C63" s="74"/>
      <c r="D63" s="74"/>
      <c r="E63" s="74"/>
      <c r="F63" s="75"/>
      <c r="G63" s="75"/>
      <c r="H63" s="75"/>
      <c r="I63" s="75"/>
      <c r="J63" s="75"/>
      <c r="K63" s="75"/>
      <c r="L63" s="75"/>
      <c r="M63" s="50"/>
      <c r="N63" s="50"/>
      <c r="P63" s="4"/>
      <c r="Q63" s="129"/>
      <c r="R63" s="129"/>
      <c r="S63" s="129"/>
      <c r="T63" s="129"/>
      <c r="U63" s="127"/>
      <c r="V63" s="127"/>
      <c r="W63" s="127"/>
      <c r="X63" s="127"/>
      <c r="Y63" s="127"/>
      <c r="Z63" s="127"/>
      <c r="AA63" s="127"/>
      <c r="AB63" s="127"/>
      <c r="AC63" s="127"/>
      <c r="AD63" s="127"/>
      <c r="AE63" s="127"/>
      <c r="AF63" s="127"/>
    </row>
    <row r="64" spans="1:32" s="5" customFormat="1" ht="16.5" customHeight="1">
      <c r="A64" s="58"/>
      <c r="B64" s="74"/>
      <c r="C64" s="74"/>
      <c r="D64" s="74"/>
      <c r="E64" s="74"/>
      <c r="F64" s="75"/>
      <c r="G64" s="75"/>
      <c r="H64" s="75"/>
      <c r="I64" s="75"/>
      <c r="J64" s="75"/>
      <c r="K64" s="75"/>
      <c r="L64" s="75"/>
      <c r="M64" s="50"/>
      <c r="N64" s="50"/>
      <c r="P64" s="4"/>
      <c r="Q64" s="129"/>
      <c r="R64" s="129"/>
      <c r="S64" s="129"/>
      <c r="T64" s="129"/>
      <c r="U64" s="127"/>
      <c r="V64" s="127"/>
      <c r="W64" s="127"/>
      <c r="X64" s="127"/>
      <c r="Y64" s="127"/>
      <c r="Z64" s="127"/>
      <c r="AA64" s="127"/>
      <c r="AB64" s="127"/>
      <c r="AC64" s="127"/>
      <c r="AD64" s="127"/>
      <c r="AE64" s="127"/>
      <c r="AF64" s="127"/>
    </row>
    <row r="65" spans="1:249" s="5" customFormat="1" ht="16.5" customHeight="1">
      <c r="A65" s="58"/>
      <c r="B65" s="74"/>
      <c r="C65" s="74"/>
      <c r="D65" s="74"/>
      <c r="E65" s="74"/>
      <c r="F65" s="75"/>
      <c r="G65" s="75"/>
      <c r="H65" s="75"/>
      <c r="I65" s="75"/>
      <c r="J65" s="75"/>
      <c r="K65" s="75"/>
      <c r="L65" s="75"/>
      <c r="M65" s="50"/>
      <c r="N65" s="50"/>
      <c r="P65" s="4"/>
      <c r="Q65" s="129"/>
      <c r="R65" s="129"/>
      <c r="S65" s="129"/>
      <c r="T65" s="129"/>
      <c r="U65" s="127"/>
      <c r="V65" s="127"/>
      <c r="W65" s="127"/>
      <c r="X65" s="127"/>
      <c r="Y65" s="127"/>
      <c r="Z65" s="127"/>
      <c r="AA65" s="127"/>
      <c r="AB65" s="127"/>
      <c r="AC65" s="127"/>
      <c r="AD65" s="127"/>
      <c r="AE65" s="127"/>
      <c r="AF65" s="127"/>
    </row>
    <row r="66" spans="1:249" s="5" customFormat="1" ht="16.5" customHeight="1">
      <c r="A66" s="58"/>
      <c r="B66" s="74"/>
      <c r="C66" s="74"/>
      <c r="D66" s="74"/>
      <c r="E66" s="74"/>
      <c r="F66" s="75"/>
      <c r="G66" s="75"/>
      <c r="H66" s="75"/>
      <c r="I66" s="75"/>
      <c r="J66" s="75"/>
      <c r="K66" s="75"/>
      <c r="L66" s="75"/>
      <c r="M66" s="50"/>
      <c r="N66" s="50"/>
      <c r="P66" s="4"/>
      <c r="Q66" s="129"/>
      <c r="R66" s="129"/>
      <c r="S66" s="129"/>
      <c r="T66" s="129"/>
      <c r="U66" s="127"/>
      <c r="V66" s="127"/>
      <c r="W66" s="127"/>
      <c r="X66" s="127"/>
      <c r="Y66" s="127"/>
      <c r="Z66" s="127"/>
      <c r="AA66" s="127"/>
      <c r="AB66" s="127"/>
      <c r="AC66" s="127"/>
      <c r="AD66" s="127"/>
      <c r="AE66" s="127"/>
      <c r="AF66" s="127"/>
    </row>
    <row r="67" spans="1:249" s="5" customFormat="1" ht="16.5" customHeight="1">
      <c r="A67" s="58"/>
      <c r="B67" s="1531"/>
      <c r="C67" s="1531"/>
      <c r="D67" s="1531"/>
      <c r="E67" s="1531"/>
      <c r="F67" s="1532"/>
      <c r="G67" s="1532"/>
      <c r="H67" s="1532"/>
      <c r="I67" s="1532"/>
      <c r="J67" s="1532"/>
      <c r="K67" s="1532"/>
      <c r="L67" s="1532"/>
      <c r="M67" s="50"/>
      <c r="N67" s="50"/>
      <c r="P67" s="4"/>
      <c r="Q67" s="129"/>
      <c r="R67" s="129"/>
      <c r="S67" s="129"/>
      <c r="T67" s="129"/>
      <c r="U67" s="127"/>
      <c r="V67" s="127"/>
      <c r="W67" s="127"/>
      <c r="X67" s="127"/>
      <c r="Y67" s="127"/>
      <c r="Z67" s="127"/>
      <c r="AA67" s="127"/>
      <c r="AB67" s="127"/>
      <c r="AC67" s="127"/>
      <c r="AD67" s="127"/>
      <c r="AE67" s="127"/>
      <c r="AF67" s="127"/>
    </row>
    <row r="68" spans="1:249" s="5" customFormat="1" ht="16.5" customHeight="1">
      <c r="A68" s="1534"/>
      <c r="B68" s="1534"/>
      <c r="C68" s="1534"/>
      <c r="D68" s="1534"/>
      <c r="E68" s="1534"/>
      <c r="F68" s="1534"/>
      <c r="G68" s="1534"/>
      <c r="H68" s="1534"/>
      <c r="I68" s="1534"/>
      <c r="J68" s="1534"/>
      <c r="K68" s="1534"/>
      <c r="L68" s="1534"/>
      <c r="M68" s="1534"/>
      <c r="N68" s="1534"/>
      <c r="P68" s="4"/>
      <c r="Q68" s="129"/>
      <c r="R68" s="129"/>
      <c r="S68" s="129"/>
      <c r="T68" s="129"/>
      <c r="U68" s="127"/>
      <c r="V68" s="127"/>
      <c r="W68" s="127"/>
      <c r="X68" s="127"/>
      <c r="Y68" s="127"/>
      <c r="Z68" s="127"/>
      <c r="AA68" s="127"/>
      <c r="AB68" s="127"/>
      <c r="AC68" s="127"/>
      <c r="AD68" s="127"/>
      <c r="AE68" s="127"/>
      <c r="AF68" s="127"/>
    </row>
    <row r="69" spans="1:249" s="5" customFormat="1" ht="19.5" customHeight="1">
      <c r="A69" s="58"/>
      <c r="B69" s="1531"/>
      <c r="C69" s="1531"/>
      <c r="D69" s="1531"/>
      <c r="E69" s="1531"/>
      <c r="F69" s="1532"/>
      <c r="G69" s="1532"/>
      <c r="H69" s="1532"/>
      <c r="I69" s="1532"/>
      <c r="J69" s="1532"/>
      <c r="K69" s="1532"/>
      <c r="L69" s="1532"/>
      <c r="M69" s="50"/>
      <c r="N69" s="50"/>
      <c r="P69" s="4"/>
      <c r="Q69" s="129"/>
      <c r="R69" s="129"/>
      <c r="S69" s="129"/>
      <c r="T69" s="129"/>
      <c r="U69" s="127"/>
      <c r="V69" s="127"/>
      <c r="W69" s="127"/>
      <c r="X69" s="127"/>
      <c r="Y69" s="127"/>
      <c r="Z69" s="127"/>
      <c r="AA69" s="127"/>
      <c r="AB69" s="127"/>
      <c r="AC69" s="127"/>
      <c r="AD69" s="127"/>
      <c r="AE69" s="127"/>
      <c r="AF69" s="127"/>
    </row>
    <row r="70" spans="1:249" s="5" customFormat="1" ht="15" customHeight="1">
      <c r="I70" s="1533"/>
      <c r="J70" s="1533"/>
      <c r="K70" s="1533"/>
      <c r="L70" s="1533"/>
      <c r="M70" s="1533"/>
      <c r="N70" s="1533"/>
      <c r="O70" s="1533"/>
      <c r="P70" s="1533"/>
      <c r="Q70" s="129"/>
      <c r="R70" s="129"/>
      <c r="S70" s="129"/>
      <c r="T70" s="129"/>
      <c r="U70" s="127"/>
      <c r="V70" s="127"/>
      <c r="W70" s="127"/>
      <c r="X70" s="127"/>
      <c r="Y70" s="127"/>
      <c r="Z70" s="127"/>
      <c r="AA70" s="127"/>
      <c r="AB70" s="127"/>
      <c r="AC70" s="127"/>
      <c r="AD70" s="127"/>
      <c r="AE70" s="127"/>
      <c r="AF70" s="127"/>
    </row>
    <row r="71" spans="1:249" s="5" customFormat="1" ht="24" customHeight="1">
      <c r="A71" s="58"/>
      <c r="B71" s="58"/>
      <c r="C71" s="78"/>
      <c r="D71" s="78"/>
      <c r="E71" s="74"/>
      <c r="F71" s="50"/>
      <c r="G71" s="50"/>
      <c r="H71" s="50"/>
      <c r="I71" s="50"/>
      <c r="J71" s="50"/>
      <c r="K71" s="50"/>
      <c r="L71" s="50"/>
      <c r="M71" s="50"/>
      <c r="N71" s="50"/>
      <c r="P71" s="4"/>
      <c r="Q71" s="129"/>
      <c r="R71" s="129"/>
      <c r="S71" s="129"/>
      <c r="T71" s="129"/>
      <c r="U71" s="127"/>
      <c r="V71" s="127"/>
      <c r="W71" s="127"/>
      <c r="X71" s="127"/>
      <c r="Y71" s="127"/>
      <c r="Z71" s="127"/>
      <c r="AA71" s="127"/>
      <c r="AB71" s="127"/>
      <c r="AC71" s="127"/>
      <c r="AD71" s="127"/>
      <c r="AE71" s="127"/>
      <c r="AF71" s="127"/>
    </row>
    <row r="72" spans="1:249" s="5" customFormat="1" ht="16.5" customHeight="1">
      <c r="A72" s="58"/>
      <c r="B72" s="58"/>
      <c r="C72" s="78"/>
      <c r="D72" s="78"/>
      <c r="E72" s="74"/>
      <c r="F72" s="50"/>
      <c r="G72" s="50"/>
      <c r="H72" s="50"/>
      <c r="I72" s="50"/>
      <c r="J72" s="50"/>
      <c r="K72" s="50"/>
      <c r="L72" s="50"/>
      <c r="M72" s="50"/>
      <c r="N72" s="50"/>
      <c r="P72" s="4"/>
      <c r="Q72" s="130"/>
      <c r="R72" s="130"/>
      <c r="S72" s="130"/>
      <c r="T72" s="130"/>
      <c r="U72" s="130"/>
      <c r="V72" s="130"/>
      <c r="W72" s="130"/>
      <c r="X72" s="130"/>
      <c r="Y72" s="130"/>
      <c r="Z72" s="1533"/>
      <c r="AA72" s="1533"/>
      <c r="AB72" s="1533"/>
      <c r="AC72" s="1533"/>
      <c r="AD72" s="1533"/>
      <c r="AE72" s="1533"/>
      <c r="AF72" s="1533"/>
      <c r="AG72" s="1533"/>
      <c r="AH72" s="1533"/>
      <c r="AI72" s="1533"/>
      <c r="AJ72" s="1533"/>
      <c r="AK72" s="1533"/>
      <c r="AL72" s="1533"/>
      <c r="AM72" s="1533"/>
      <c r="AN72" s="1533"/>
      <c r="AO72" s="1533"/>
      <c r="AP72" s="1533"/>
      <c r="AQ72" s="1533"/>
      <c r="AR72" s="1533"/>
      <c r="AS72" s="1533"/>
      <c r="AT72" s="1533"/>
      <c r="AU72" s="1533"/>
      <c r="AV72" s="1533"/>
      <c r="AW72" s="1533"/>
      <c r="AX72" s="1533"/>
      <c r="AY72" s="1533"/>
      <c r="AZ72" s="1533"/>
      <c r="BA72" s="1533"/>
      <c r="BB72" s="1533"/>
      <c r="BC72" s="1533"/>
      <c r="BD72" s="1533"/>
      <c r="BE72" s="1533"/>
      <c r="BF72" s="1533"/>
      <c r="BG72" s="1533"/>
      <c r="BH72" s="1533"/>
      <c r="BI72" s="1533"/>
      <c r="BJ72" s="1533"/>
      <c r="BK72" s="1533"/>
      <c r="BL72" s="1533"/>
      <c r="BM72" s="1533"/>
      <c r="BN72" s="1533"/>
      <c r="BO72" s="1533"/>
      <c r="BP72" s="1533"/>
      <c r="BQ72" s="1533"/>
      <c r="BR72" s="1533"/>
      <c r="BS72" s="1533"/>
      <c r="BT72" s="1533"/>
      <c r="BU72" s="1533"/>
      <c r="BV72" s="1533"/>
      <c r="BW72" s="1533"/>
      <c r="BX72" s="1533"/>
      <c r="BY72" s="1533"/>
      <c r="BZ72" s="1533"/>
      <c r="CA72" s="1533"/>
      <c r="CB72" s="1533"/>
      <c r="CC72" s="1533"/>
      <c r="CD72" s="1533"/>
      <c r="CE72" s="1533"/>
      <c r="CF72" s="1533"/>
      <c r="CG72" s="1533"/>
      <c r="CH72" s="1533"/>
      <c r="CI72" s="1533"/>
      <c r="CJ72" s="1533"/>
      <c r="CK72" s="1533"/>
      <c r="CL72" s="1533"/>
      <c r="CM72" s="1533"/>
      <c r="CN72" s="1533"/>
      <c r="CO72" s="1533"/>
      <c r="CP72" s="1533"/>
      <c r="CQ72" s="1533"/>
      <c r="CR72" s="1533"/>
      <c r="CS72" s="1533"/>
      <c r="CT72" s="1533"/>
      <c r="CU72" s="1533"/>
      <c r="CV72" s="1533"/>
      <c r="CW72" s="1533"/>
      <c r="CX72" s="1533"/>
      <c r="CY72" s="1533"/>
      <c r="CZ72" s="1533"/>
      <c r="DA72" s="1533"/>
      <c r="DB72" s="1533"/>
      <c r="DC72" s="1533"/>
      <c r="DD72" s="1533"/>
      <c r="DE72" s="1533"/>
      <c r="DF72" s="1533"/>
      <c r="DG72" s="1533"/>
      <c r="DH72" s="1533"/>
      <c r="DI72" s="1533"/>
      <c r="DJ72" s="1533"/>
      <c r="DK72" s="1533"/>
      <c r="DL72" s="1533"/>
      <c r="DM72" s="1533"/>
      <c r="DN72" s="1533"/>
      <c r="DO72" s="1533"/>
      <c r="DP72" s="1533"/>
      <c r="DQ72" s="1533"/>
      <c r="DR72" s="1533"/>
      <c r="DS72" s="1533"/>
      <c r="DT72" s="1533"/>
      <c r="DU72" s="1533"/>
      <c r="DV72" s="1533"/>
      <c r="DW72" s="1533"/>
      <c r="DX72" s="1533"/>
      <c r="DY72" s="1533"/>
      <c r="DZ72" s="1533"/>
      <c r="EA72" s="1533"/>
      <c r="EB72" s="1533"/>
      <c r="EC72" s="1533"/>
      <c r="ED72" s="1533"/>
      <c r="EE72" s="1533"/>
      <c r="EF72" s="1533"/>
      <c r="EG72" s="1533"/>
      <c r="EH72" s="1533"/>
      <c r="EI72" s="1533"/>
      <c r="EJ72" s="1533"/>
      <c r="EK72" s="1533"/>
      <c r="EL72" s="1533"/>
      <c r="EM72" s="1533"/>
      <c r="EN72" s="1533"/>
      <c r="EO72" s="1533"/>
      <c r="EP72" s="1533"/>
      <c r="EQ72" s="1533"/>
      <c r="ER72" s="1533"/>
      <c r="ES72" s="1533"/>
      <c r="ET72" s="1533"/>
      <c r="EU72" s="1533"/>
      <c r="EV72" s="1533"/>
      <c r="EW72" s="1533"/>
      <c r="EX72" s="1533"/>
      <c r="EY72" s="1533"/>
      <c r="EZ72" s="1533"/>
      <c r="FA72" s="1533"/>
      <c r="FB72" s="1533"/>
      <c r="FC72" s="1533"/>
      <c r="FD72" s="1533"/>
      <c r="FE72" s="1533"/>
      <c r="FF72" s="1533"/>
      <c r="FG72" s="1533"/>
      <c r="FH72" s="1533"/>
      <c r="FI72" s="1533"/>
      <c r="FJ72" s="1533"/>
      <c r="FK72" s="1533"/>
      <c r="FL72" s="1533"/>
      <c r="FM72" s="1533"/>
      <c r="FN72" s="1533"/>
      <c r="FO72" s="1533"/>
      <c r="FP72" s="1533"/>
      <c r="FQ72" s="1533"/>
      <c r="FR72" s="1533"/>
      <c r="FS72" s="1533"/>
      <c r="FT72" s="1533"/>
      <c r="FU72" s="1533"/>
      <c r="FV72" s="1533"/>
      <c r="FW72" s="1533"/>
      <c r="FX72" s="1533"/>
      <c r="FY72" s="1533"/>
      <c r="FZ72" s="1533"/>
      <c r="GA72" s="1533"/>
      <c r="GB72" s="1533"/>
      <c r="GC72" s="1533"/>
      <c r="GD72" s="1533"/>
      <c r="GE72" s="1533"/>
      <c r="GF72" s="1533"/>
      <c r="GG72" s="1533"/>
      <c r="GH72" s="1533"/>
      <c r="GI72" s="1533"/>
      <c r="GJ72" s="1533"/>
      <c r="GK72" s="1533"/>
      <c r="GL72" s="1533"/>
      <c r="GM72" s="1533"/>
      <c r="GN72" s="1533"/>
      <c r="GO72" s="1533"/>
      <c r="GP72" s="1533"/>
      <c r="GQ72" s="1533"/>
      <c r="GR72" s="1533"/>
      <c r="GS72" s="1533"/>
      <c r="GT72" s="1533"/>
      <c r="GU72" s="1533"/>
      <c r="GV72" s="1533"/>
      <c r="GW72" s="1533"/>
      <c r="GX72" s="1533"/>
      <c r="GY72" s="1533"/>
      <c r="GZ72" s="1533"/>
      <c r="HA72" s="1533"/>
      <c r="HB72" s="1533"/>
      <c r="HC72" s="1533"/>
      <c r="HD72" s="1533"/>
      <c r="HE72" s="1533"/>
      <c r="HF72" s="1533"/>
      <c r="HG72" s="1533"/>
      <c r="HH72" s="1533"/>
      <c r="HI72" s="1533"/>
      <c r="HJ72" s="1533"/>
      <c r="HK72" s="1533"/>
      <c r="HL72" s="1533"/>
      <c r="HM72" s="1533"/>
      <c r="HN72" s="1533"/>
      <c r="HO72" s="1533"/>
      <c r="HP72" s="1533"/>
      <c r="HQ72" s="1533"/>
      <c r="HR72" s="1533"/>
      <c r="HS72" s="1533"/>
      <c r="HT72" s="1533"/>
      <c r="HU72" s="1533"/>
      <c r="HV72" s="1533"/>
      <c r="HW72" s="1533"/>
      <c r="HX72" s="1533"/>
      <c r="HY72" s="1533"/>
      <c r="HZ72" s="1533"/>
      <c r="IA72" s="1533"/>
      <c r="IB72" s="1533"/>
      <c r="IC72" s="1533"/>
      <c r="ID72" s="1533"/>
      <c r="IE72" s="1533"/>
      <c r="IF72" s="1533"/>
      <c r="IG72" s="1533"/>
      <c r="IH72" s="1533"/>
      <c r="II72" s="1533"/>
      <c r="IJ72" s="1533"/>
      <c r="IK72" s="1533"/>
      <c r="IL72" s="1533"/>
      <c r="IM72" s="1533"/>
      <c r="IN72" s="1533"/>
      <c r="IO72" s="64"/>
    </row>
    <row r="73" spans="1:249" s="5" customFormat="1" ht="16.5" customHeight="1">
      <c r="A73" s="58"/>
      <c r="B73" s="58"/>
      <c r="C73" s="78"/>
      <c r="D73" s="78"/>
      <c r="E73" s="74"/>
      <c r="F73" s="50"/>
      <c r="G73" s="50"/>
      <c r="H73" s="50"/>
      <c r="I73" s="50"/>
      <c r="J73" s="50"/>
      <c r="K73" s="50"/>
      <c r="L73" s="50"/>
      <c r="M73" s="50"/>
      <c r="N73" s="50"/>
      <c r="P73" s="4"/>
      <c r="Q73" s="129"/>
      <c r="R73" s="129"/>
      <c r="S73" s="129"/>
      <c r="T73" s="129"/>
      <c r="U73" s="127"/>
      <c r="V73" s="127"/>
      <c r="W73" s="127"/>
      <c r="X73" s="127"/>
      <c r="Y73" s="127"/>
      <c r="Z73" s="127"/>
      <c r="AA73" s="127"/>
      <c r="AB73" s="127"/>
      <c r="AC73" s="127"/>
      <c r="AD73" s="127"/>
      <c r="AE73" s="127"/>
      <c r="AF73" s="127"/>
    </row>
    <row r="74" spans="1:249" s="5" customFormat="1" ht="16.5" customHeight="1">
      <c r="A74" s="58"/>
      <c r="B74" s="58"/>
      <c r="C74" s="78"/>
      <c r="D74" s="78"/>
      <c r="E74" s="74"/>
      <c r="F74" s="50"/>
      <c r="G74" s="50"/>
      <c r="H74" s="50"/>
      <c r="I74" s="50"/>
      <c r="J74" s="50"/>
      <c r="K74" s="50"/>
      <c r="L74" s="50"/>
      <c r="M74" s="50"/>
      <c r="N74" s="50"/>
      <c r="P74" s="4"/>
      <c r="Q74" s="129"/>
      <c r="R74" s="129"/>
      <c r="S74" s="129"/>
      <c r="T74" s="129"/>
      <c r="U74" s="127"/>
      <c r="V74" s="127"/>
      <c r="W74" s="127"/>
      <c r="X74" s="127"/>
      <c r="Y74" s="127"/>
      <c r="Z74" s="127"/>
      <c r="AA74" s="127"/>
      <c r="AB74" s="127"/>
      <c r="AC74" s="127"/>
      <c r="AD74" s="127"/>
      <c r="AE74" s="127"/>
      <c r="AF74" s="127"/>
    </row>
    <row r="75" spans="1:249" s="5" customFormat="1" ht="16.5" customHeight="1">
      <c r="A75" s="58"/>
      <c r="B75" s="58"/>
      <c r="C75" s="78"/>
      <c r="D75" s="78"/>
      <c r="E75" s="74"/>
      <c r="F75" s="50"/>
      <c r="G75" s="50"/>
      <c r="H75" s="50"/>
      <c r="I75" s="50"/>
      <c r="J75" s="50"/>
      <c r="K75" s="50"/>
      <c r="L75" s="50"/>
      <c r="M75" s="50"/>
      <c r="N75" s="50"/>
      <c r="P75" s="4"/>
      <c r="Q75" s="129"/>
      <c r="R75" s="129"/>
      <c r="S75" s="129"/>
      <c r="T75" s="129"/>
      <c r="U75" s="127"/>
      <c r="V75" s="127"/>
      <c r="W75" s="127"/>
      <c r="X75" s="127"/>
      <c r="Y75" s="127"/>
      <c r="Z75" s="127"/>
      <c r="AA75" s="127"/>
      <c r="AB75" s="127"/>
      <c r="AC75" s="127"/>
      <c r="AD75" s="127"/>
      <c r="AE75" s="127"/>
      <c r="AF75" s="127"/>
    </row>
    <row r="76" spans="1:249" s="5" customFormat="1" ht="16.5" customHeight="1">
      <c r="A76" s="58"/>
      <c r="B76" s="58"/>
      <c r="C76" s="78"/>
      <c r="D76" s="78"/>
      <c r="E76" s="74"/>
      <c r="F76" s="50"/>
      <c r="G76" s="50"/>
      <c r="H76" s="50"/>
      <c r="I76" s="50"/>
      <c r="J76" s="50"/>
      <c r="K76" s="50"/>
      <c r="L76" s="50"/>
      <c r="M76" s="50"/>
      <c r="N76" s="50"/>
      <c r="P76" s="4"/>
      <c r="Q76" s="129"/>
      <c r="R76" s="129"/>
      <c r="S76" s="129"/>
      <c r="T76" s="129"/>
      <c r="U76" s="127"/>
      <c r="V76" s="127"/>
      <c r="W76" s="127"/>
      <c r="X76" s="127"/>
      <c r="Y76" s="127"/>
      <c r="Z76" s="127"/>
      <c r="AA76" s="127"/>
      <c r="AB76" s="127"/>
      <c r="AC76" s="127"/>
      <c r="AD76" s="127"/>
      <c r="AE76" s="127"/>
      <c r="AF76" s="127"/>
    </row>
    <row r="77" spans="1:249" s="5" customFormat="1" ht="16.5" customHeight="1">
      <c r="A77" s="58"/>
      <c r="B77" s="58"/>
      <c r="C77" s="78"/>
      <c r="D77" s="78"/>
      <c r="E77" s="74"/>
      <c r="F77" s="50"/>
      <c r="G77" s="50"/>
      <c r="H77" s="50"/>
      <c r="I77" s="50"/>
      <c r="J77" s="50"/>
      <c r="K77" s="50"/>
      <c r="L77" s="50"/>
      <c r="M77" s="50"/>
      <c r="N77" s="50"/>
      <c r="P77" s="4"/>
      <c r="Q77" s="129"/>
      <c r="R77" s="129"/>
      <c r="S77" s="129"/>
      <c r="T77" s="129"/>
      <c r="U77" s="127"/>
      <c r="V77" s="127"/>
      <c r="W77" s="127"/>
      <c r="X77" s="127"/>
      <c r="Y77" s="127"/>
      <c r="Z77" s="127"/>
      <c r="AA77" s="127"/>
      <c r="AB77" s="127"/>
      <c r="AC77" s="127"/>
      <c r="AD77" s="127"/>
      <c r="AE77" s="127"/>
      <c r="AF77" s="127"/>
    </row>
    <row r="78" spans="1:249" s="5" customFormat="1" ht="16.5" customHeight="1">
      <c r="A78" s="1535" t="str">
        <f>$A$1</f>
        <v>.....................................</v>
      </c>
      <c r="B78" s="1535"/>
      <c r="C78" s="1535"/>
      <c r="D78" s="1535"/>
      <c r="E78" s="1535"/>
      <c r="F78" s="1535"/>
      <c r="G78" s="1535" t="s">
        <v>199</v>
      </c>
      <c r="H78" s="1535"/>
      <c r="I78" s="1535"/>
      <c r="J78" s="1535"/>
      <c r="K78" s="1535"/>
      <c r="L78" s="1535"/>
      <c r="M78" s="1535"/>
      <c r="N78" s="1535"/>
      <c r="P78"/>
      <c r="Q78" s="129"/>
      <c r="R78" s="129"/>
      <c r="S78" s="129"/>
      <c r="T78" s="129"/>
      <c r="U78" s="127"/>
      <c r="V78" s="127"/>
      <c r="W78" s="127"/>
      <c r="X78" s="127"/>
      <c r="Y78" s="127"/>
      <c r="Z78" s="127"/>
      <c r="AA78" s="127"/>
      <c r="AB78" s="127"/>
      <c r="AC78" s="127"/>
      <c r="AD78" s="127"/>
      <c r="AE78" s="127"/>
      <c r="AF78" s="127"/>
    </row>
    <row r="79" spans="1:249" s="5" customFormat="1" ht="16.5" customHeight="1">
      <c r="A79" s="1535"/>
      <c r="B79" s="1535"/>
      <c r="C79" s="1535"/>
      <c r="D79" s="1535"/>
      <c r="E79" s="1535"/>
      <c r="F79" s="1535"/>
      <c r="G79" s="1536" t="s">
        <v>254</v>
      </c>
      <c r="H79" s="1536"/>
      <c r="I79" s="1536"/>
      <c r="J79" s="1536"/>
      <c r="K79" s="1536"/>
      <c r="L79" s="1536"/>
      <c r="M79" s="1536"/>
      <c r="N79" s="1536"/>
      <c r="P79"/>
      <c r="Q79" s="129"/>
      <c r="R79" s="129"/>
      <c r="S79" s="129"/>
      <c r="T79" s="129"/>
      <c r="U79" s="127"/>
      <c r="V79" s="127"/>
      <c r="W79" s="127"/>
      <c r="X79" s="127"/>
      <c r="Y79" s="127"/>
      <c r="Z79" s="127"/>
      <c r="AA79" s="127"/>
      <c r="AB79" s="127"/>
      <c r="AC79" s="127"/>
      <c r="AD79" s="127"/>
      <c r="AE79" s="127"/>
      <c r="AF79" s="127"/>
    </row>
    <row r="80" spans="1:249" ht="21.95" customHeight="1">
      <c r="A80" s="1535"/>
      <c r="B80" s="1535"/>
      <c r="C80" s="1535"/>
      <c r="D80" s="1535"/>
      <c r="E80" s="1535"/>
      <c r="F80" s="1535"/>
      <c r="G80" s="79"/>
      <c r="H80" s="79"/>
      <c r="I80" s="79"/>
      <c r="J80" s="1537">
        <f>$F$22</f>
        <v>42466</v>
      </c>
      <c r="K80" s="1537"/>
      <c r="L80" s="1537"/>
      <c r="M80" s="1537"/>
      <c r="N80" s="1537"/>
      <c r="O80" s="79"/>
      <c r="P80" s="80"/>
    </row>
    <row r="81" spans="1:32" ht="21.95" customHeight="1">
      <c r="A81" s="5"/>
      <c r="B81" s="5"/>
      <c r="C81" s="5"/>
      <c r="D81" s="5"/>
      <c r="E81" s="5"/>
      <c r="F81" s="5"/>
      <c r="G81" s="5"/>
      <c r="H81" s="5"/>
      <c r="I81" s="5"/>
      <c r="J81" s="5"/>
      <c r="K81" s="5"/>
      <c r="L81" s="5"/>
      <c r="M81" s="5"/>
      <c r="N81" s="5"/>
      <c r="O81" s="5"/>
    </row>
    <row r="82" spans="1:32" s="80" customFormat="1" ht="21.95" customHeight="1">
      <c r="A82" s="1553" t="s">
        <v>255</v>
      </c>
      <c r="B82" s="1553"/>
      <c r="C82" s="1553"/>
      <c r="D82" s="1553"/>
      <c r="E82" s="1553"/>
      <c r="F82" s="1553"/>
      <c r="G82" s="1553"/>
      <c r="H82" s="1553"/>
      <c r="I82" s="1553"/>
      <c r="J82" s="1553"/>
      <c r="K82" s="1553"/>
      <c r="L82" s="1553"/>
      <c r="M82" s="1553"/>
      <c r="N82" s="1553"/>
      <c r="O82"/>
      <c r="P82"/>
      <c r="Q82" s="131"/>
      <c r="R82" s="131"/>
      <c r="S82" s="131"/>
      <c r="T82" s="131"/>
      <c r="U82" s="132"/>
      <c r="V82" s="132"/>
      <c r="W82" s="132"/>
      <c r="X82" s="132"/>
      <c r="Y82" s="132"/>
      <c r="Z82" s="132"/>
      <c r="AA82" s="132"/>
      <c r="AB82" s="132"/>
      <c r="AC82" s="132"/>
      <c r="AD82" s="132"/>
      <c r="AE82" s="132"/>
      <c r="AF82" s="132"/>
    </row>
    <row r="83" spans="1:32" ht="21.95" customHeight="1">
      <c r="A83" s="1554" t="str">
        <f>"sè:  PM-"&amp;$R$12&amp;"-T§/"&amp;$R$14</f>
        <v>sè:  PM-B1-T§/800</v>
      </c>
      <c r="B83" s="1554"/>
      <c r="C83" s="1554"/>
      <c r="D83" s="1554"/>
      <c r="E83" s="1554"/>
      <c r="F83" s="1554"/>
      <c r="G83" s="1554"/>
      <c r="H83" s="1554"/>
      <c r="I83" s="1554"/>
      <c r="J83" s="1554"/>
      <c r="K83" s="1554"/>
      <c r="L83" s="1554"/>
      <c r="M83" s="1554"/>
      <c r="N83" s="1554"/>
    </row>
    <row r="84" spans="1:32" ht="21.95" customHeight="1">
      <c r="B84" s="81"/>
      <c r="C84" s="28" t="str">
        <f>"C«ng tr×nh: "&amp;$R$3</f>
        <v>C«ng tr×nh: KHU HỖN HỢP CHUNG CƯ, VĂN PHÒNG, TRUNG TÂM THƯƠNG MẠI VÀ NHÀ Ở KẾT HỢP KHU MUA SẮM</v>
      </c>
      <c r="D84" s="27"/>
      <c r="E84" s="27"/>
      <c r="F84" s="27"/>
      <c r="G84" s="27"/>
      <c r="H84" s="27"/>
      <c r="I84" s="27"/>
      <c r="J84" s="27"/>
      <c r="K84" s="27"/>
      <c r="L84" s="27"/>
    </row>
    <row r="85" spans="1:32" ht="21.95" customHeight="1">
      <c r="B85" s="81"/>
      <c r="C85" s="28" t="str">
        <f>"H¹ng môc: "&amp;$R$5</f>
        <v>H¹ng môc: CỌC KHOAN NHỒI</v>
      </c>
      <c r="D85" s="27"/>
      <c r="E85" s="29"/>
      <c r="F85" s="28"/>
      <c r="G85" s="28"/>
      <c r="H85" s="28"/>
      <c r="I85" s="28"/>
      <c r="J85" s="28"/>
      <c r="K85" s="28"/>
      <c r="L85" s="28"/>
      <c r="M85" s="28"/>
    </row>
    <row r="86" spans="1:32" ht="30.75" customHeight="1">
      <c r="B86" s="82"/>
      <c r="C86" s="1487" t="str">
        <f>"§Þa ®iÓm x©y dùng: "&amp;$R$4</f>
        <v>§Þa ®iÓm x©y dùng: P. BẠCH ĐẰNG, TP. HẠ LONG, TỈNH QUẢNG NINH</v>
      </c>
      <c r="D86" s="1487"/>
      <c r="E86" s="1487"/>
      <c r="F86" s="1487"/>
      <c r="G86" s="1487"/>
      <c r="H86" s="1487"/>
      <c r="I86" s="1487"/>
      <c r="J86" s="1487"/>
      <c r="K86" s="1487"/>
      <c r="L86" s="1487"/>
      <c r="M86" s="1487"/>
      <c r="N86" s="1487"/>
    </row>
    <row r="87" spans="1:32" ht="21.95" customHeight="1">
      <c r="B87" s="82"/>
      <c r="C87" s="31"/>
      <c r="D87" s="30"/>
      <c r="E87" s="30"/>
      <c r="F87" s="30"/>
      <c r="G87" s="30"/>
      <c r="H87" s="30"/>
      <c r="I87" s="30"/>
      <c r="J87" s="30"/>
      <c r="K87" s="30"/>
      <c r="L87" s="30"/>
    </row>
    <row r="88" spans="1:32" ht="21.95" customHeight="1">
      <c r="A88" s="35"/>
      <c r="B88" s="83" t="s">
        <v>256</v>
      </c>
      <c r="C88" s="84"/>
      <c r="D88" s="84"/>
      <c r="E88" s="84" t="str">
        <f>$R$22</f>
        <v>CÔNG TY CỔ PHẦN ĐẦU TƯ VÀ KHÁCH SẠN MYWAY HẠ LONG</v>
      </c>
      <c r="F88" s="84"/>
      <c r="G88" s="84"/>
      <c r="H88" s="84"/>
      <c r="I88" s="84"/>
      <c r="J88" s="84"/>
      <c r="K88" s="84"/>
      <c r="L88" s="84"/>
      <c r="M88" s="84"/>
      <c r="N88" s="35"/>
      <c r="O88" s="35"/>
      <c r="P88" s="35"/>
    </row>
    <row r="89" spans="1:32" ht="17.25" customHeight="1">
      <c r="A89" s="35"/>
      <c r="B89" s="36"/>
      <c r="C89" s="84"/>
      <c r="D89" s="84"/>
      <c r="E89" s="84" t="s">
        <v>257</v>
      </c>
      <c r="F89" s="84"/>
      <c r="G89" s="84"/>
      <c r="H89" s="84"/>
      <c r="I89" s="84"/>
      <c r="J89" s="84"/>
      <c r="K89" s="84"/>
      <c r="L89" s="84"/>
      <c r="M89" s="84"/>
      <c r="N89" s="35"/>
      <c r="O89" s="35"/>
      <c r="P89" s="35"/>
    </row>
    <row r="90" spans="1:32" s="35" customFormat="1" ht="36.75" customHeight="1">
      <c r="A90" s="30"/>
      <c r="B90" s="1485" t="str">
        <f>"Nhµ thÇu - "&amp;R28&amp;" ®· thi c«ng hoµn thµnh c«ng viÖc x©y dùng cô thÓ nh­ sau:"</f>
        <v>Nhµ thÇu - ..................................... ®· thi c«ng hoµn thµnh c«ng viÖc x©y dùng cô thÓ nh­ sau:</v>
      </c>
      <c r="C90" s="1485"/>
      <c r="D90" s="1485"/>
      <c r="E90" s="1485"/>
      <c r="F90" s="1485"/>
      <c r="G90" s="1485"/>
      <c r="H90" s="1485"/>
      <c r="I90" s="1485"/>
      <c r="J90" s="1485"/>
      <c r="K90" s="1485"/>
      <c r="L90" s="1485"/>
      <c r="M90" s="1485"/>
      <c r="N90" s="1485"/>
      <c r="Q90" s="91"/>
      <c r="R90" s="91"/>
      <c r="S90" s="91"/>
      <c r="T90" s="91"/>
      <c r="U90" s="24"/>
      <c r="V90" s="24"/>
      <c r="W90" s="24"/>
      <c r="X90" s="24"/>
      <c r="Y90" s="24"/>
      <c r="Z90" s="24"/>
      <c r="AA90" s="24"/>
      <c r="AB90" s="24"/>
      <c r="AC90" s="24"/>
      <c r="AD90" s="24"/>
      <c r="AE90" s="24"/>
      <c r="AF90" s="24"/>
    </row>
    <row r="91" spans="1:32" s="35" customFormat="1" ht="15.75" customHeight="1">
      <c r="A91" s="85" t="s">
        <v>258</v>
      </c>
      <c r="B91" s="86" t="s">
        <v>259</v>
      </c>
      <c r="C91" s="87"/>
      <c r="D91" s="87"/>
      <c r="E91" s="87"/>
      <c r="F91" s="1555" t="str">
        <f>" §Þnh vÞ èng Casing cäc: "&amp;$R$12</f>
        <v xml:space="preserve"> §Þnh vÞ èng Casing cäc: B1</v>
      </c>
      <c r="G91" s="1555"/>
      <c r="H91" s="1555"/>
      <c r="I91" s="1555"/>
      <c r="J91" s="1555"/>
      <c r="K91" s="1555"/>
      <c r="L91" s="1555"/>
      <c r="M91" s="1555"/>
      <c r="N91" s="1555"/>
      <c r="O91" s="88"/>
      <c r="P91" s="88"/>
      <c r="Q91" s="91"/>
      <c r="R91" s="91"/>
      <c r="S91" s="91"/>
      <c r="T91" s="91"/>
      <c r="U91" s="24"/>
      <c r="V91" s="24"/>
      <c r="W91" s="24"/>
      <c r="X91" s="24"/>
      <c r="Y91" s="24"/>
      <c r="Z91" s="24"/>
      <c r="AA91" s="24"/>
      <c r="AB91" s="24"/>
      <c r="AC91" s="24"/>
      <c r="AD91" s="24"/>
      <c r="AE91" s="24"/>
      <c r="AF91" s="24"/>
    </row>
    <row r="92" spans="1:32" s="35" customFormat="1" ht="21.95" customHeight="1">
      <c r="A92" s="39"/>
      <c r="B92" s="39" t="str">
        <f>"VÞ trÝ x©y dùng: T¹i C«ng tr×nh "&amp;$R$3</f>
        <v>VÞ trÝ x©y dùng: T¹i C«ng tr×nh KHU HỖN HỢP CHUNG CƯ, VĂN PHÒNG, TRUNG TÂM THƯƠNG MẠI VÀ NHÀ Ở KẾT HỢP KHU MUA SẮM</v>
      </c>
      <c r="C92" s="39"/>
      <c r="D92" s="39"/>
      <c r="E92" s="39"/>
      <c r="F92" s="39"/>
      <c r="G92" s="39"/>
      <c r="H92" s="39"/>
      <c r="I92" s="39"/>
      <c r="J92" s="39"/>
      <c r="K92" s="39"/>
      <c r="L92" s="39"/>
      <c r="M92" s="39"/>
      <c r="N92" s="24"/>
      <c r="O92" s="24"/>
      <c r="P92" s="24"/>
      <c r="Q92" s="91"/>
      <c r="R92" s="91"/>
      <c r="S92" s="91"/>
      <c r="T92" s="91"/>
      <c r="U92" s="24"/>
      <c r="V92" s="24"/>
      <c r="W92" s="24"/>
      <c r="X92" s="24"/>
      <c r="Y92" s="24"/>
      <c r="Z92" s="24"/>
      <c r="AA92" s="24"/>
      <c r="AB92" s="24"/>
      <c r="AC92" s="24"/>
      <c r="AD92" s="24"/>
      <c r="AE92" s="24"/>
      <c r="AF92" s="24"/>
    </row>
    <row r="93" spans="1:32" s="35" customFormat="1" ht="21.95" customHeight="1">
      <c r="A93" s="39"/>
      <c r="B93" s="39" t="s">
        <v>202</v>
      </c>
      <c r="C93" s="39"/>
      <c r="D93" s="39"/>
      <c r="E93" s="39" t="str">
        <f>$R$4</f>
        <v>P. BẠCH ĐẰNG, TP. HẠ LONG, TỈNH QUẢNG NINH</v>
      </c>
      <c r="F93" s="39"/>
      <c r="G93" s="39"/>
      <c r="H93" s="39"/>
      <c r="I93" s="39"/>
      <c r="J93" s="39"/>
      <c r="K93" s="39"/>
      <c r="L93" s="39"/>
      <c r="M93" s="39"/>
      <c r="N93" s="24"/>
      <c r="O93" s="24"/>
      <c r="P93" s="24"/>
      <c r="Q93" s="91"/>
      <c r="R93" s="91"/>
      <c r="S93" s="91"/>
      <c r="T93" s="91"/>
      <c r="U93" s="24"/>
      <c r="V93" s="24"/>
      <c r="W93" s="24"/>
      <c r="X93" s="24"/>
      <c r="Y93" s="24"/>
      <c r="Z93" s="24"/>
      <c r="AA93" s="24"/>
      <c r="AB93" s="24"/>
      <c r="AC93" s="24"/>
      <c r="AD93" s="24"/>
      <c r="AE93" s="24"/>
      <c r="AF93" s="24"/>
    </row>
    <row r="94" spans="1:32" s="88" customFormat="1" ht="23.25" customHeight="1">
      <c r="A94" s="89"/>
      <c r="B94" s="39" t="s">
        <v>260</v>
      </c>
      <c r="C94" s="39"/>
      <c r="D94" s="39"/>
      <c r="E94" s="39"/>
      <c r="F94" s="39"/>
      <c r="G94" s="39"/>
      <c r="H94" s="39"/>
      <c r="I94" s="39"/>
      <c r="J94" s="39"/>
      <c r="K94" s="39"/>
      <c r="L94" s="39"/>
      <c r="M94" s="39"/>
      <c r="N94" s="35"/>
      <c r="O94" s="35"/>
      <c r="P94" s="35"/>
      <c r="Q94" s="133"/>
      <c r="R94" s="133"/>
      <c r="S94" s="133"/>
      <c r="T94" s="133"/>
      <c r="U94" s="86"/>
      <c r="V94" s="86"/>
      <c r="W94" s="86"/>
      <c r="X94" s="86"/>
      <c r="Y94" s="86"/>
      <c r="Z94" s="86"/>
      <c r="AA94" s="86"/>
      <c r="AB94" s="86"/>
      <c r="AC94" s="86"/>
      <c r="AD94" s="86"/>
      <c r="AE94" s="86"/>
      <c r="AF94" s="86"/>
    </row>
    <row r="95" spans="1:32" s="24" customFormat="1" ht="21.95" customHeight="1">
      <c r="A95" s="24" t="s">
        <v>261</v>
      </c>
      <c r="B95" s="39"/>
      <c r="C95" s="39"/>
      <c r="E95" s="90" t="str">
        <f>$R$12&amp;"/ Nb-T§/"&amp;$R$14</f>
        <v>B1/ Nb-T§/800</v>
      </c>
      <c r="I95" s="24" t="s">
        <v>262</v>
      </c>
      <c r="Q95" s="91"/>
      <c r="R95" s="91"/>
      <c r="S95" s="91"/>
      <c r="T95" s="91"/>
    </row>
    <row r="96" spans="1:32" s="35" customFormat="1" ht="21.95" customHeight="1">
      <c r="A96" s="24" t="s">
        <v>263</v>
      </c>
      <c r="B96" s="39"/>
      <c r="C96" s="39"/>
      <c r="D96" s="24"/>
      <c r="E96" s="24"/>
      <c r="F96" s="24"/>
      <c r="G96" s="24"/>
      <c r="H96" s="24"/>
      <c r="I96" s="24"/>
      <c r="J96" s="24"/>
      <c r="K96" s="24"/>
      <c r="L96" s="24"/>
      <c r="M96" s="24"/>
      <c r="N96" s="24"/>
      <c r="O96" s="24"/>
      <c r="P96" s="24"/>
      <c r="Q96" s="91"/>
      <c r="R96" s="91"/>
      <c r="S96" s="91"/>
      <c r="T96" s="91"/>
      <c r="U96" s="24"/>
      <c r="V96" s="24"/>
      <c r="W96" s="24"/>
      <c r="X96" s="24"/>
      <c r="Y96" s="24"/>
      <c r="Z96" s="24"/>
      <c r="AA96" s="24"/>
      <c r="AB96" s="24"/>
      <c r="AC96" s="24"/>
      <c r="AD96" s="24"/>
      <c r="AE96" s="24"/>
      <c r="AF96" s="24"/>
    </row>
    <row r="97" spans="1:32" s="24" customFormat="1" ht="21.95" customHeight="1">
      <c r="B97" s="39" t="s">
        <v>264</v>
      </c>
      <c r="C97" s="39"/>
      <c r="Q97" s="91"/>
      <c r="R97" s="91"/>
      <c r="S97" s="91"/>
      <c r="T97" s="91"/>
    </row>
    <row r="98" spans="1:32" s="24" customFormat="1" ht="21.95" customHeight="1">
      <c r="A98" s="24" t="s">
        <v>265</v>
      </c>
      <c r="B98" s="39"/>
      <c r="C98" s="39"/>
      <c r="Q98" s="91"/>
      <c r="R98" s="91"/>
      <c r="S98" s="91"/>
      <c r="T98" s="91"/>
    </row>
    <row r="99" spans="1:32" s="24" customFormat="1" ht="21.95" customHeight="1">
      <c r="A99" s="24" t="s">
        <v>266</v>
      </c>
      <c r="B99" s="39"/>
      <c r="C99" s="39"/>
      <c r="Q99" s="91"/>
      <c r="R99" s="91"/>
      <c r="S99" s="91"/>
      <c r="T99" s="91"/>
    </row>
    <row r="100" spans="1:32" s="24" customFormat="1" ht="21.95" customHeight="1">
      <c r="A100" s="36"/>
      <c r="B100" s="36" t="s">
        <v>267</v>
      </c>
      <c r="G100" s="1556">
        <f>R15</f>
        <v>0.40277777777777773</v>
      </c>
      <c r="H100" s="1556"/>
      <c r="I100" s="1489">
        <f>$F$137</f>
        <v>42466</v>
      </c>
      <c r="J100" s="1489"/>
      <c r="K100" s="1489"/>
      <c r="L100" s="1489"/>
      <c r="M100" s="1489"/>
      <c r="N100" s="1489"/>
      <c r="Q100" s="91"/>
      <c r="R100" s="91"/>
      <c r="S100" s="91"/>
      <c r="T100" s="91"/>
    </row>
    <row r="101" spans="1:32" s="24" customFormat="1" ht="21.95" customHeight="1">
      <c r="A101" s="35"/>
      <c r="B101" s="35"/>
      <c r="C101" s="48" t="s">
        <v>268</v>
      </c>
      <c r="E101" s="24" t="str">
        <f>C84</f>
        <v>C«ng tr×nh: KHU HỖN HỢP CHUNG CƯ, VĂN PHÒNG, TRUNG TÂM THƯƠNG MẠI VÀ NHÀ Ở KẾT HỢP KHU MUA SẮM</v>
      </c>
      <c r="F101" s="35"/>
      <c r="G101" s="35"/>
      <c r="J101" s="35"/>
      <c r="K101" s="35"/>
      <c r="L101" s="35"/>
      <c r="M101" s="35"/>
      <c r="N101" s="35"/>
      <c r="O101" s="35"/>
      <c r="P101" s="35"/>
      <c r="Q101" s="91"/>
      <c r="R101" s="91"/>
      <c r="S101" s="91"/>
      <c r="T101" s="91"/>
    </row>
    <row r="102" spans="1:32" s="24" customFormat="1" ht="21.95" customHeight="1">
      <c r="A102" s="35"/>
      <c r="B102" s="35"/>
      <c r="C102" s="48" t="s">
        <v>269</v>
      </c>
      <c r="E102" s="24" t="str">
        <f>E93</f>
        <v>P. BẠCH ĐẰNG, TP. HẠ LONG, TỈNH QUẢNG NINH</v>
      </c>
      <c r="F102" s="35"/>
      <c r="G102" s="35"/>
      <c r="J102" s="35"/>
      <c r="K102" s="35"/>
      <c r="L102" s="35"/>
      <c r="M102" s="35"/>
      <c r="N102" s="35"/>
      <c r="O102" s="35"/>
      <c r="P102" s="35"/>
      <c r="Q102" s="91"/>
      <c r="R102" s="91"/>
      <c r="S102" s="91"/>
      <c r="T102" s="91"/>
    </row>
    <row r="103" spans="1:32" s="24" customFormat="1" ht="10.5" customHeight="1">
      <c r="A103" s="36"/>
      <c r="B103" s="36"/>
      <c r="G103" s="41"/>
      <c r="H103" s="41"/>
      <c r="I103" s="42"/>
      <c r="J103" s="42"/>
      <c r="K103" s="42"/>
      <c r="L103" s="42"/>
      <c r="M103" s="42"/>
      <c r="N103" s="42"/>
      <c r="Q103" s="91"/>
      <c r="R103" s="91"/>
      <c r="S103" s="91"/>
      <c r="T103" s="91"/>
    </row>
    <row r="104" spans="1:32" s="24" customFormat="1" ht="21.95" customHeight="1">
      <c r="A104" s="1541" t="s">
        <v>191</v>
      </c>
      <c r="B104" s="1542"/>
      <c r="C104" s="1541" t="s">
        <v>270</v>
      </c>
      <c r="D104" s="1543"/>
      <c r="E104" s="1543"/>
      <c r="F104" s="1543"/>
      <c r="G104" s="1542"/>
      <c r="H104" s="92" t="s">
        <v>271</v>
      </c>
      <c r="I104" s="93"/>
      <c r="J104" s="93"/>
      <c r="K104" s="94"/>
      <c r="L104" s="92"/>
      <c r="M104" s="1541" t="s">
        <v>272</v>
      </c>
      <c r="N104" s="1542"/>
      <c r="Q104" s="91"/>
      <c r="R104" s="91"/>
      <c r="S104" s="91"/>
      <c r="T104" s="91"/>
    </row>
    <row r="105" spans="1:32" s="24" customFormat="1" ht="39" customHeight="1">
      <c r="A105" s="1544">
        <v>1</v>
      </c>
      <c r="B105" s="1545"/>
      <c r="C105" s="1546" t="s">
        <v>194</v>
      </c>
      <c r="D105" s="1547"/>
      <c r="E105" s="1547"/>
      <c r="F105" s="1547"/>
      <c r="G105" s="1548"/>
      <c r="H105" s="1549">
        <f>E22+Q109</f>
        <v>0.39583333333333326</v>
      </c>
      <c r="I105" s="1550"/>
      <c r="J105" s="1551">
        <f>J80</f>
        <v>42466</v>
      </c>
      <c r="K105" s="1551"/>
      <c r="L105" s="1552"/>
      <c r="M105" s="1544"/>
      <c r="N105" s="1545"/>
      <c r="Q105" s="91"/>
      <c r="R105" s="91"/>
      <c r="S105" s="91"/>
      <c r="T105" s="91"/>
    </row>
    <row r="106" spans="1:32" s="24" customFormat="1" ht="39" customHeight="1">
      <c r="A106" s="141"/>
      <c r="B106" s="142"/>
      <c r="C106" s="143"/>
      <c r="D106" s="144"/>
      <c r="E106" s="144"/>
      <c r="F106" s="144"/>
      <c r="G106" s="145"/>
      <c r="H106" s="146"/>
      <c r="I106" s="147"/>
      <c r="J106" s="148"/>
      <c r="K106" s="148"/>
      <c r="L106" s="149"/>
      <c r="M106" s="141"/>
      <c r="N106" s="142"/>
      <c r="Q106" s="91"/>
      <c r="R106" s="91"/>
      <c r="S106" s="91"/>
      <c r="T106" s="91"/>
    </row>
    <row r="107" spans="1:32" s="24" customFormat="1" ht="16.5">
      <c r="A107" s="138"/>
      <c r="B107" s="138"/>
      <c r="C107" s="59"/>
      <c r="D107" s="59"/>
      <c r="E107" s="59"/>
      <c r="F107" s="59"/>
      <c r="G107" s="59"/>
      <c r="H107" s="139"/>
      <c r="I107" s="139"/>
      <c r="J107" s="140"/>
      <c r="K107" s="140"/>
      <c r="L107" s="140"/>
      <c r="M107" s="138"/>
      <c r="N107" s="138"/>
      <c r="Q107" s="91"/>
      <c r="R107" s="91"/>
      <c r="S107" s="91"/>
      <c r="T107" s="91"/>
    </row>
    <row r="108" spans="1:32" s="24" customFormat="1" ht="21.95" customHeight="1">
      <c r="A108" s="35"/>
      <c r="B108" s="35"/>
      <c r="C108" s="48"/>
      <c r="D108" s="35"/>
      <c r="E108" s="35"/>
      <c r="F108" s="35"/>
      <c r="G108" s="35"/>
      <c r="J108" s="35"/>
      <c r="K108" s="35"/>
      <c r="L108" s="35"/>
      <c r="M108" s="35"/>
      <c r="N108" s="35"/>
      <c r="O108" s="35"/>
      <c r="P108" s="35"/>
      <c r="Q108" s="91"/>
      <c r="R108" s="91"/>
      <c r="S108" s="91"/>
      <c r="T108" s="91"/>
    </row>
    <row r="109" spans="1:32" s="89" customFormat="1" ht="21.95" customHeight="1">
      <c r="A109" s="1538"/>
      <c r="B109" s="1538"/>
      <c r="C109" s="1538"/>
      <c r="D109" s="1538"/>
      <c r="E109" s="1538"/>
      <c r="F109" s="1538"/>
      <c r="G109" s="1538"/>
      <c r="H109" s="1538"/>
      <c r="I109" s="1538" t="s">
        <v>273</v>
      </c>
      <c r="J109" s="1538"/>
      <c r="K109" s="1538"/>
      <c r="L109" s="1538"/>
      <c r="M109" s="1538"/>
      <c r="N109" s="1538"/>
      <c r="O109" s="24"/>
      <c r="P109" s="24"/>
      <c r="Q109" s="134">
        <v>3.472222222222222E-3</v>
      </c>
      <c r="R109" s="135"/>
      <c r="S109" s="135"/>
      <c r="T109" s="135"/>
      <c r="U109" s="36"/>
      <c r="V109" s="36"/>
      <c r="W109" s="36"/>
      <c r="X109" s="36"/>
      <c r="Y109" s="36"/>
      <c r="Z109" s="36"/>
      <c r="AA109" s="36"/>
      <c r="AB109" s="36"/>
      <c r="AC109" s="36"/>
      <c r="AD109" s="36"/>
      <c r="AE109" s="36"/>
      <c r="AF109" s="36"/>
    </row>
    <row r="110" spans="1:32" s="43" customFormat="1" ht="20.25" customHeight="1">
      <c r="A110" s="66"/>
      <c r="B110" s="1539"/>
      <c r="C110" s="1539"/>
      <c r="D110" s="1539"/>
      <c r="E110" s="1539"/>
      <c r="F110" s="67"/>
      <c r="G110" s="95"/>
      <c r="H110" s="96"/>
      <c r="I110" s="96"/>
      <c r="J110" s="96"/>
      <c r="K110" s="96"/>
      <c r="L110" s="96"/>
      <c r="M110" s="96"/>
      <c r="N110"/>
      <c r="O110"/>
      <c r="P110"/>
      <c r="Q110" s="136"/>
      <c r="R110" s="136"/>
      <c r="S110" s="136"/>
      <c r="T110" s="136"/>
      <c r="U110" s="126"/>
      <c r="V110" s="126"/>
      <c r="W110" s="126"/>
      <c r="X110" s="126"/>
      <c r="Y110" s="126"/>
      <c r="Z110" s="126"/>
      <c r="AA110" s="126"/>
      <c r="AB110" s="126"/>
      <c r="AC110" s="126"/>
      <c r="AD110" s="126"/>
      <c r="AE110" s="126"/>
      <c r="AF110" s="126"/>
    </row>
    <row r="111" spans="1:32" s="24" customFormat="1" ht="18" customHeight="1">
      <c r="A111" s="97"/>
      <c r="B111" s="97"/>
      <c r="C111" s="97"/>
      <c r="D111" s="35"/>
      <c r="E111" s="35"/>
      <c r="F111" s="35"/>
      <c r="G111" s="35"/>
      <c r="H111" s="35"/>
      <c r="I111" s="35"/>
      <c r="J111" s="35"/>
      <c r="K111" s="35"/>
      <c r="L111" s="35"/>
      <c r="M111"/>
      <c r="N111"/>
      <c r="O111"/>
      <c r="P111"/>
      <c r="Q111" s="91"/>
      <c r="R111" s="91"/>
      <c r="S111" s="91"/>
      <c r="T111" s="91"/>
    </row>
    <row r="112" spans="1:32" ht="18">
      <c r="A112" s="97"/>
      <c r="B112" s="97"/>
      <c r="C112" s="97"/>
      <c r="D112" s="35"/>
      <c r="E112" s="35"/>
      <c r="F112" s="35"/>
      <c r="G112" s="35"/>
      <c r="H112" s="35"/>
      <c r="I112" s="35"/>
      <c r="J112" s="35"/>
      <c r="K112" s="35"/>
      <c r="L112" s="35"/>
    </row>
    <row r="113" spans="1:20" ht="18">
      <c r="A113" s="97"/>
      <c r="B113" s="97"/>
      <c r="C113" s="97"/>
      <c r="D113" s="35"/>
      <c r="E113" s="35"/>
      <c r="F113" s="35"/>
      <c r="G113" s="35"/>
      <c r="H113" s="35"/>
      <c r="I113" s="35"/>
      <c r="J113" s="35"/>
      <c r="K113" s="35"/>
      <c r="L113" s="35"/>
    </row>
    <row r="114" spans="1:20" ht="18">
      <c r="A114" s="97"/>
      <c r="B114" s="97"/>
      <c r="C114" s="97"/>
      <c r="D114" s="35"/>
      <c r="E114" s="35"/>
      <c r="F114" s="35"/>
      <c r="G114" s="35"/>
      <c r="H114" s="35"/>
      <c r="I114" s="35"/>
      <c r="J114" s="35"/>
      <c r="K114" s="35"/>
      <c r="L114" s="35"/>
    </row>
    <row r="115" spans="1:20" ht="18" customHeight="1">
      <c r="A115" s="1540"/>
      <c r="B115" s="1540"/>
      <c r="C115" s="1540"/>
      <c r="D115" s="1540"/>
      <c r="E115" s="1540"/>
      <c r="F115" s="1540"/>
      <c r="G115" s="1540"/>
      <c r="H115" s="1540"/>
      <c r="I115" s="1540" t="str">
        <f>$E$135</f>
        <v>CÔNG TY TNHH MTV HANTECH</v>
      </c>
      <c r="J115" s="1540"/>
      <c r="K115" s="1540"/>
      <c r="L115" s="1540"/>
      <c r="M115" s="1540"/>
      <c r="N115" s="1540"/>
    </row>
    <row r="116" spans="1:20" ht="18">
      <c r="A116" s="97"/>
      <c r="B116" s="97"/>
      <c r="C116" s="97"/>
      <c r="D116" s="35"/>
      <c r="E116" s="35"/>
      <c r="F116" s="35"/>
      <c r="G116" s="35"/>
      <c r="H116" s="35"/>
      <c r="I116" s="35"/>
      <c r="J116" s="35"/>
      <c r="K116" s="35"/>
      <c r="L116" s="35"/>
    </row>
    <row r="117" spans="1:20" ht="17.25">
      <c r="A117" s="1483" t="s">
        <v>199</v>
      </c>
      <c r="B117" s="1483"/>
      <c r="C117" s="1483"/>
      <c r="D117" s="1483"/>
      <c r="E117" s="1483"/>
      <c r="F117" s="1483"/>
      <c r="G117" s="1483"/>
      <c r="H117" s="1483"/>
      <c r="I117" s="1483"/>
      <c r="J117" s="1483"/>
      <c r="K117" s="1483"/>
      <c r="L117" s="1483"/>
      <c r="M117" s="1483"/>
      <c r="N117" s="1483"/>
    </row>
    <row r="118" spans="1:20" ht="15.75">
      <c r="A118" s="1492" t="s">
        <v>200</v>
      </c>
      <c r="B118" s="1492"/>
      <c r="C118" s="1492"/>
      <c r="D118" s="1492"/>
      <c r="E118" s="1492"/>
      <c r="F118" s="1492"/>
      <c r="G118" s="1492"/>
      <c r="H118" s="1492"/>
      <c r="I118" s="1492"/>
      <c r="J118" s="1492"/>
      <c r="K118" s="1492"/>
      <c r="L118" s="1492"/>
      <c r="M118" s="1492"/>
      <c r="N118" s="1492"/>
    </row>
    <row r="119" spans="1:20" ht="17.25" customHeight="1">
      <c r="A119" s="1557" t="s">
        <v>274</v>
      </c>
      <c r="B119" s="1557"/>
      <c r="C119" s="1557"/>
      <c r="D119" s="1557"/>
      <c r="E119" s="1557"/>
      <c r="F119" s="1557"/>
      <c r="G119" s="1557"/>
      <c r="H119" s="1557"/>
      <c r="I119" s="1557"/>
      <c r="J119" s="1557"/>
      <c r="K119" s="1557"/>
      <c r="L119" s="1557"/>
      <c r="M119" s="1557"/>
      <c r="N119" s="1557"/>
    </row>
    <row r="120" spans="1:20" ht="17.25" customHeight="1">
      <c r="A120" s="18"/>
      <c r="B120" s="18"/>
      <c r="C120" s="18"/>
      <c r="D120" s="18"/>
      <c r="E120" s="18"/>
      <c r="F120" s="18"/>
      <c r="I120" s="19"/>
      <c r="J120" s="1558">
        <f>$U$15</f>
        <v>42466</v>
      </c>
      <c r="K120" s="1558"/>
      <c r="L120" s="1558"/>
      <c r="M120" s="1558"/>
      <c r="N120" s="1558"/>
    </row>
    <row r="121" spans="1:20" ht="9.75" customHeight="1">
      <c r="A121" s="8"/>
    </row>
    <row r="122" spans="1:20" ht="17.25" customHeight="1">
      <c r="A122" s="1493" t="str">
        <f>"Biªn b¶n sè: "&amp;$R$12&amp;"/ CV-T§/"&amp;$R$14</f>
        <v>Biªn b¶n sè: B1/ CV-T§/800</v>
      </c>
      <c r="B122" s="1493"/>
      <c r="C122" s="1493"/>
      <c r="D122" s="1493"/>
      <c r="E122" s="1493"/>
      <c r="F122" s="1493"/>
      <c r="G122" s="1493"/>
      <c r="H122" s="1493"/>
      <c r="I122" s="1493"/>
      <c r="J122" s="1493"/>
      <c r="K122" s="1493"/>
      <c r="L122" s="1493"/>
      <c r="M122" s="1493"/>
      <c r="N122" s="1493"/>
      <c r="O122" s="24"/>
      <c r="P122" s="24"/>
    </row>
    <row r="123" spans="1:20" ht="19.5" customHeight="1">
      <c r="A123" s="1493" t="s">
        <v>275</v>
      </c>
      <c r="B123" s="1493"/>
      <c r="C123" s="1493"/>
      <c r="D123" s="1493"/>
      <c r="E123" s="1493"/>
      <c r="F123" s="1493"/>
      <c r="G123" s="1493"/>
      <c r="H123" s="1493"/>
      <c r="I123" s="1493"/>
      <c r="J123" s="1493"/>
      <c r="K123" s="1493"/>
      <c r="L123" s="1493"/>
      <c r="M123" s="1493"/>
      <c r="N123" s="1493"/>
      <c r="O123" s="24"/>
      <c r="P123" s="24"/>
    </row>
    <row r="124" spans="1:20" s="24" customFormat="1" ht="21" customHeight="1">
      <c r="A124" s="12"/>
      <c r="B124"/>
      <c r="C124"/>
      <c r="D124"/>
      <c r="E124"/>
      <c r="F124"/>
      <c r="G124"/>
      <c r="H124"/>
      <c r="I124"/>
      <c r="J124"/>
      <c r="K124"/>
      <c r="L124"/>
      <c r="M124"/>
      <c r="N124"/>
      <c r="O124"/>
      <c r="P124"/>
      <c r="Q124" s="91"/>
      <c r="R124" s="91"/>
      <c r="S124" s="91"/>
      <c r="T124" s="91"/>
    </row>
    <row r="125" spans="1:20" s="24" customFormat="1" ht="21" customHeight="1">
      <c r="A125"/>
      <c r="B125" s="39"/>
      <c r="C125" s="28" t="str">
        <f>"C«ng tr×nh: "&amp;$R$3</f>
        <v>C«ng tr×nh: KHU HỖN HỢP CHUNG CƯ, VĂN PHÒNG, TRUNG TÂM THƯƠNG MẠI VÀ NHÀ Ở KẾT HỢP KHU MUA SẮM</v>
      </c>
      <c r="D125" s="27"/>
      <c r="E125" s="27"/>
      <c r="F125" s="27"/>
      <c r="G125" s="27"/>
      <c r="H125" s="27"/>
      <c r="I125" s="27"/>
      <c r="J125" s="27"/>
      <c r="K125" s="27"/>
      <c r="L125" s="27"/>
      <c r="M125"/>
      <c r="N125"/>
      <c r="O125"/>
      <c r="P125"/>
      <c r="Q125" s="91"/>
      <c r="R125" s="91"/>
      <c r="S125" s="91"/>
      <c r="T125" s="91"/>
    </row>
    <row r="126" spans="1:20" ht="16.5">
      <c r="B126" s="39"/>
      <c r="C126" s="28" t="str">
        <f>"H¹ng môc: "&amp;$R$5</f>
        <v>H¹ng môc: CỌC KHOAN NHỒI</v>
      </c>
      <c r="D126" s="27"/>
      <c r="E126" s="29"/>
      <c r="F126" s="28"/>
      <c r="G126" s="28"/>
      <c r="H126" s="28"/>
      <c r="I126" s="28"/>
      <c r="J126" s="28"/>
      <c r="K126" s="28"/>
      <c r="L126" s="28"/>
      <c r="M126" s="28"/>
    </row>
    <row r="127" spans="1:20" ht="21.95" customHeight="1">
      <c r="B127" s="36"/>
      <c r="C127" s="1487" t="str">
        <f>"§Þa ®iÓm x©y dùng: "&amp;$R$4</f>
        <v>§Þa ®iÓm x©y dùng: P. BẠCH ĐẰNG, TP. HẠ LONG, TỈNH QUẢNG NINH</v>
      </c>
      <c r="D127" s="1487"/>
      <c r="E127" s="1487"/>
      <c r="F127" s="1487"/>
      <c r="G127" s="1487"/>
      <c r="H127" s="1487"/>
      <c r="I127" s="1487"/>
      <c r="J127" s="1487"/>
      <c r="K127" s="1487"/>
      <c r="L127" s="1487"/>
      <c r="M127" s="1487"/>
      <c r="N127" s="1487"/>
    </row>
    <row r="128" spans="1:20" ht="21.95" customHeight="1">
      <c r="A128" s="30" t="str">
        <f>$A$12</f>
        <v>1.§èi t­îng nghiÖm thu: §Þnh vÞ èng Casing cäc: B1</v>
      </c>
      <c r="B128" s="30"/>
      <c r="C128" s="30"/>
      <c r="D128" s="30"/>
      <c r="E128" s="30"/>
      <c r="F128" s="30"/>
      <c r="H128" s="30"/>
      <c r="I128" s="30"/>
      <c r="J128" s="30"/>
      <c r="K128" s="30"/>
      <c r="L128" s="30"/>
    </row>
    <row r="129" spans="1:32" ht="21.95" customHeight="1">
      <c r="A129" s="1488" t="s">
        <v>207</v>
      </c>
      <c r="B129" s="1488"/>
      <c r="C129" s="1488"/>
      <c r="D129" s="1488"/>
      <c r="E129" s="1488"/>
      <c r="F129" s="1488"/>
      <c r="G129" s="1488"/>
      <c r="H129" s="1488"/>
      <c r="I129" s="1488"/>
      <c r="J129" s="1488"/>
      <c r="K129" s="1488"/>
      <c r="L129" s="1488"/>
    </row>
    <row r="130" spans="1:32" ht="21.95" customHeight="1">
      <c r="A130" s="99" t="s">
        <v>277</v>
      </c>
      <c r="B130" s="36"/>
      <c r="C130" s="36"/>
      <c r="D130" s="36"/>
      <c r="E130" s="36"/>
      <c r="F130" s="30" t="str">
        <f>R25</f>
        <v>………………..</v>
      </c>
      <c r="G130" s="36"/>
      <c r="H130" s="36"/>
      <c r="I130" s="36"/>
      <c r="J130" s="36"/>
      <c r="K130" s="36"/>
      <c r="L130" s="36"/>
      <c r="M130" s="36"/>
    </row>
    <row r="131" spans="1:32" ht="16.5" customHeight="1">
      <c r="A131" s="35"/>
      <c r="C131" s="34" t="s">
        <v>276</v>
      </c>
      <c r="D131" s="34"/>
      <c r="E131" s="36" t="str">
        <f>$R$26</f>
        <v>CÔNG TY CỔ PHẦN TƯ VẤN KIỂM ĐỊNH VÀ THƯƠNG MẠI XÂY DỰNG GOLDSUN</v>
      </c>
      <c r="F131" s="36"/>
      <c r="G131" s="35"/>
      <c r="I131" s="37" t="s">
        <v>211</v>
      </c>
      <c r="J131" s="37"/>
      <c r="K131" s="36" t="str">
        <f>$T$26</f>
        <v>Công ty Cổ phần tư vấn kiểm định và thương mại xây dựng Goldsun</v>
      </c>
      <c r="L131" s="35"/>
    </row>
    <row r="132" spans="1:32" ht="16.5" customHeight="1">
      <c r="A132" s="35"/>
      <c r="C132" s="34" t="s">
        <v>276</v>
      </c>
      <c r="D132" s="34"/>
      <c r="E132" s="36" t="str">
        <f>$R$27</f>
        <v>.....................................</v>
      </c>
      <c r="F132" s="36"/>
      <c r="G132" s="35"/>
      <c r="I132" s="37" t="s">
        <v>211</v>
      </c>
      <c r="J132" s="37"/>
      <c r="K132" s="36" t="str">
        <f>$T$27</f>
        <v>.....................................</v>
      </c>
      <c r="L132" s="35"/>
    </row>
    <row r="133" spans="1:32" ht="21.95" customHeight="1">
      <c r="A133" s="100" t="s">
        <v>278</v>
      </c>
      <c r="B133" s="100"/>
      <c r="C133" s="100"/>
      <c r="D133" s="100"/>
      <c r="E133" s="100"/>
      <c r="F133" s="100" t="str">
        <f>$R$28</f>
        <v>.....................................</v>
      </c>
      <c r="G133" s="100"/>
      <c r="H133" s="100"/>
      <c r="I133" s="100"/>
      <c r="J133" s="100"/>
      <c r="K133" s="100"/>
      <c r="L133" s="100"/>
      <c r="M133" s="100"/>
      <c r="N133" s="100"/>
    </row>
    <row r="134" spans="1:32" ht="21.95" customHeight="1">
      <c r="A134" s="35"/>
      <c r="C134" s="34" t="s">
        <v>279</v>
      </c>
      <c r="D134" s="34"/>
      <c r="E134" s="36" t="str">
        <f>$R$29</f>
        <v>.....................................</v>
      </c>
      <c r="F134" s="36"/>
      <c r="G134" s="35"/>
      <c r="I134" s="37" t="s">
        <v>280</v>
      </c>
      <c r="J134" s="37"/>
      <c r="K134" s="36" t="str">
        <f>$T$29</f>
        <v>.....................................</v>
      </c>
      <c r="L134" s="36"/>
    </row>
    <row r="135" spans="1:32" ht="21.95" customHeight="1">
      <c r="A135" s="35"/>
      <c r="C135" s="34" t="s">
        <v>276</v>
      </c>
      <c r="D135" s="34"/>
      <c r="E135" s="36" t="str">
        <f>$R$30</f>
        <v>CÔNG TY TNHH MTV HANTECH</v>
      </c>
      <c r="F135" s="36"/>
      <c r="G135" s="35"/>
      <c r="I135" s="37" t="s">
        <v>211</v>
      </c>
      <c r="J135" s="37"/>
      <c r="K135" s="36" t="str">
        <f>$T$30</f>
        <v>Công ty TNHH MTV HANTECH</v>
      </c>
      <c r="L135" s="36"/>
    </row>
    <row r="136" spans="1:32" ht="21.95" customHeight="1">
      <c r="A136" s="1488" t="s">
        <v>217</v>
      </c>
      <c r="B136" s="1488"/>
      <c r="C136" s="1488"/>
      <c r="D136" s="1488"/>
      <c r="E136" s="1488"/>
      <c r="F136" s="1488"/>
      <c r="G136" s="1488"/>
      <c r="H136" s="1488"/>
      <c r="I136" s="1488"/>
      <c r="J136" s="1488"/>
      <c r="K136" s="1488"/>
      <c r="L136" s="1488"/>
    </row>
    <row r="137" spans="1:32" ht="24" customHeight="1">
      <c r="A137" s="40"/>
      <c r="C137" s="24" t="s">
        <v>219</v>
      </c>
      <c r="D137" s="24"/>
      <c r="E137" s="101">
        <f>$R$15</f>
        <v>0.40277777777777773</v>
      </c>
      <c r="F137" s="1489">
        <f>$J$120</f>
        <v>42466</v>
      </c>
      <c r="G137" s="1489"/>
      <c r="H137" s="1489"/>
      <c r="I137" s="1489"/>
      <c r="J137" s="1489"/>
      <c r="K137" s="1489"/>
      <c r="L137" s="1489"/>
      <c r="M137" s="24"/>
      <c r="N137" s="24"/>
    </row>
    <row r="138" spans="1:32" ht="21.95" customHeight="1">
      <c r="A138" s="40"/>
      <c r="C138" s="24" t="s">
        <v>162</v>
      </c>
      <c r="D138" s="24"/>
      <c r="E138" s="101">
        <f>$T$15</f>
        <v>0.40624999999999994</v>
      </c>
      <c r="F138" s="1489">
        <f>$J$120</f>
        <v>42466</v>
      </c>
      <c r="G138" s="1489"/>
      <c r="H138" s="1489"/>
      <c r="I138" s="1489"/>
      <c r="J138" s="1489"/>
      <c r="K138" s="1489"/>
      <c r="L138" s="1489"/>
    </row>
    <row r="139" spans="1:32" ht="21.95" customHeight="1">
      <c r="C139" s="36" t="s">
        <v>220</v>
      </c>
      <c r="E139" s="36" t="str">
        <f>$R$3</f>
        <v>KHU HỖN HỢP CHUNG CƯ, VĂN PHÒNG, TRUNG TÂM THƯƠNG MẠI VÀ NHÀ Ở KẾT HỢP KHU MUA SẮM</v>
      </c>
      <c r="F139" s="30"/>
      <c r="G139" s="30"/>
      <c r="H139" s="30"/>
      <c r="I139" s="30"/>
      <c r="J139" s="30"/>
      <c r="K139" s="30"/>
      <c r="L139" s="30"/>
    </row>
    <row r="140" spans="1:32" ht="21.95" customHeight="1">
      <c r="C140" s="36" t="s">
        <v>221</v>
      </c>
      <c r="E140" s="36" t="str">
        <f>$R$4</f>
        <v>P. BẠCH ĐẰNG, TP. HẠ LONG, TỈNH QUẢNG NINH</v>
      </c>
      <c r="F140" s="30"/>
      <c r="G140" s="30"/>
      <c r="H140" s="30"/>
      <c r="I140" s="30"/>
      <c r="J140" s="30"/>
      <c r="K140" s="30"/>
      <c r="L140" s="30"/>
    </row>
    <row r="141" spans="1:32" ht="23.25" customHeight="1">
      <c r="A141" s="1488" t="s">
        <v>222</v>
      </c>
      <c r="B141" s="1488"/>
      <c r="C141" s="1488"/>
      <c r="D141" s="1488"/>
      <c r="E141" s="1488"/>
      <c r="F141" s="1488"/>
      <c r="G141" s="1488"/>
      <c r="H141" s="1488"/>
      <c r="I141" s="1488"/>
      <c r="J141" s="1488"/>
      <c r="K141" s="1488"/>
      <c r="L141" s="1488"/>
    </row>
    <row r="142" spans="1:32" ht="31.5" customHeight="1">
      <c r="A142" s="1491" t="s">
        <v>223</v>
      </c>
      <c r="B142" s="1491"/>
      <c r="C142" s="1491"/>
      <c r="D142" s="1491"/>
      <c r="E142" s="1491"/>
      <c r="F142" s="1491"/>
      <c r="G142" s="1491"/>
      <c r="H142" s="1491"/>
      <c r="I142" s="1491"/>
      <c r="J142" s="1491"/>
      <c r="K142" s="1491"/>
      <c r="L142" s="1491"/>
      <c r="M142" s="1491"/>
      <c r="N142" s="1491"/>
      <c r="O142" s="5"/>
      <c r="P142" s="5"/>
    </row>
    <row r="143" spans="1:32" ht="21.95" customHeight="1">
      <c r="A143" s="1490" t="s">
        <v>224</v>
      </c>
      <c r="B143" s="1490"/>
      <c r="C143" s="1490"/>
      <c r="D143" s="1490"/>
      <c r="E143" s="1490"/>
      <c r="F143" s="1490"/>
      <c r="G143" s="1490"/>
      <c r="H143" s="1490"/>
      <c r="I143" s="1490"/>
      <c r="J143" s="1490"/>
      <c r="K143" s="1490"/>
      <c r="L143" s="1490"/>
      <c r="M143" s="1490"/>
      <c r="N143" s="1490"/>
      <c r="O143" s="5"/>
      <c r="P143" s="5"/>
    </row>
    <row r="144" spans="1:32" s="5" customFormat="1" ht="16.5">
      <c r="B144" s="36" t="s">
        <v>225</v>
      </c>
      <c r="C144" s="36"/>
      <c r="D144" s="36"/>
      <c r="E144" s="36"/>
      <c r="F144" s="36"/>
      <c r="G144" s="36"/>
      <c r="H144" s="36"/>
      <c r="I144" s="36"/>
      <c r="J144" s="36"/>
      <c r="K144" s="36"/>
      <c r="L144" s="36"/>
      <c r="M144" s="36"/>
      <c r="N144" s="36"/>
      <c r="O144" s="44"/>
      <c r="P144" s="44"/>
      <c r="Q144" s="129"/>
      <c r="R144" s="129"/>
      <c r="S144" s="129"/>
      <c r="T144" s="129"/>
      <c r="U144" s="127"/>
      <c r="V144" s="127"/>
      <c r="W144" s="127"/>
      <c r="X144" s="127"/>
      <c r="Y144" s="127"/>
      <c r="Z144" s="127"/>
      <c r="AA144" s="127"/>
      <c r="AB144" s="127"/>
      <c r="AC144" s="127"/>
      <c r="AD144" s="127"/>
      <c r="AE144" s="127"/>
      <c r="AF144" s="127"/>
    </row>
    <row r="145" spans="1:249" s="5" customFormat="1" ht="21.95" customHeight="1">
      <c r="B145" s="36" t="s">
        <v>226</v>
      </c>
      <c r="C145" s="36"/>
      <c r="D145" s="36"/>
      <c r="E145" s="36"/>
      <c r="F145" s="36"/>
      <c r="G145" s="36"/>
      <c r="H145" s="36"/>
      <c r="I145" s="36"/>
      <c r="J145" s="36"/>
      <c r="K145" s="36"/>
      <c r="L145" s="36"/>
      <c r="M145" s="36"/>
      <c r="N145" s="36"/>
      <c r="O145" s="44"/>
      <c r="P145" s="44"/>
      <c r="Q145" s="129"/>
      <c r="R145" s="129"/>
      <c r="S145" s="129"/>
      <c r="T145" s="129"/>
      <c r="U145" s="127"/>
      <c r="V145" s="127"/>
      <c r="W145" s="127"/>
      <c r="X145" s="127"/>
      <c r="Y145" s="127"/>
      <c r="Z145" s="127"/>
      <c r="AA145" s="127"/>
      <c r="AB145" s="127"/>
      <c r="AC145" s="127"/>
      <c r="AD145" s="127"/>
      <c r="AE145" s="127"/>
      <c r="AF145" s="127"/>
    </row>
    <row r="146" spans="1:249" s="5" customFormat="1" ht="21.95" customHeight="1">
      <c r="B146" s="36" t="s">
        <v>227</v>
      </c>
      <c r="C146" s="36"/>
      <c r="D146" s="36"/>
      <c r="E146" s="36"/>
      <c r="F146" s="36"/>
      <c r="G146" s="36"/>
      <c r="H146" s="36"/>
      <c r="I146" s="36"/>
      <c r="J146" s="36"/>
      <c r="K146" s="36"/>
      <c r="L146" s="36"/>
      <c r="M146" s="36"/>
      <c r="N146" s="36"/>
      <c r="O146" s="44"/>
      <c r="P146" s="44"/>
      <c r="Q146" s="44"/>
      <c r="R146" s="44"/>
      <c r="S146" s="44"/>
      <c r="T146" s="44"/>
      <c r="U146" s="44"/>
      <c r="V146" s="44"/>
      <c r="W146" s="44"/>
      <c r="X146" s="44"/>
      <c r="Y146" s="44"/>
      <c r="Z146" s="44"/>
      <c r="AA146" s="44"/>
      <c r="AB146" s="44"/>
      <c r="AC146" s="44"/>
      <c r="AD146" s="1490"/>
      <c r="AE146" s="1490"/>
      <c r="AF146" s="1490"/>
      <c r="AG146" s="1490"/>
      <c r="AH146" s="1490"/>
      <c r="AI146" s="1490"/>
      <c r="AJ146" s="1490"/>
      <c r="AK146" s="1490"/>
      <c r="AL146" s="1490"/>
      <c r="AM146" s="1490"/>
      <c r="AN146" s="1490"/>
      <c r="AO146" s="1490"/>
      <c r="AP146" s="1490"/>
      <c r="AQ146" s="1490"/>
      <c r="AR146" s="1490"/>
      <c r="AS146" s="1490"/>
      <c r="AT146" s="1490"/>
      <c r="AU146" s="1490"/>
      <c r="AV146" s="1490"/>
      <c r="AW146" s="1490"/>
      <c r="AX146" s="1490"/>
      <c r="AY146" s="1490"/>
      <c r="AZ146" s="1490"/>
      <c r="BA146" s="1490"/>
      <c r="BB146" s="1490"/>
      <c r="BC146" s="1490"/>
      <c r="BD146" s="1490"/>
      <c r="BE146" s="1490"/>
      <c r="BF146" s="1490"/>
      <c r="BG146" s="1490"/>
      <c r="BH146" s="1490"/>
      <c r="BI146" s="1490"/>
      <c r="BJ146" s="1490"/>
      <c r="BK146" s="1490"/>
      <c r="BL146" s="1490"/>
      <c r="BM146" s="1490"/>
      <c r="BN146" s="1490"/>
      <c r="BO146" s="1490"/>
      <c r="BP146" s="1490"/>
      <c r="BQ146" s="1490"/>
      <c r="BR146" s="1490"/>
      <c r="BS146" s="1490"/>
      <c r="BT146" s="1490"/>
      <c r="BU146" s="1490"/>
      <c r="BV146" s="1490"/>
      <c r="BW146" s="1490"/>
      <c r="BX146" s="1490"/>
      <c r="BY146" s="1490"/>
      <c r="BZ146" s="1490"/>
      <c r="CA146" s="1490"/>
      <c r="CB146" s="1490"/>
      <c r="CC146" s="1490"/>
      <c r="CD146" s="1490"/>
      <c r="CE146" s="1490"/>
      <c r="CF146" s="1490"/>
      <c r="CG146" s="1490"/>
      <c r="CH146" s="1490"/>
      <c r="CI146" s="1490"/>
      <c r="CJ146" s="1490"/>
      <c r="CK146" s="1490"/>
      <c r="CL146" s="1490"/>
      <c r="CM146" s="1490"/>
      <c r="CN146" s="1490"/>
      <c r="CO146" s="1490"/>
      <c r="CP146" s="1490"/>
      <c r="CQ146" s="1490"/>
      <c r="CR146" s="1490"/>
      <c r="CS146" s="1490"/>
      <c r="CT146" s="1490"/>
      <c r="CU146" s="1490"/>
      <c r="CV146" s="1490"/>
      <c r="CW146" s="1490"/>
      <c r="CX146" s="1490"/>
      <c r="CY146" s="1490"/>
      <c r="CZ146" s="1490"/>
      <c r="DA146" s="1490"/>
      <c r="DB146" s="1490"/>
      <c r="DC146" s="1490"/>
      <c r="DD146" s="1490"/>
      <c r="DE146" s="1490"/>
      <c r="DF146" s="1490"/>
      <c r="DG146" s="1490"/>
      <c r="DH146" s="1490"/>
      <c r="DI146" s="1490"/>
      <c r="DJ146" s="1490"/>
      <c r="DK146" s="1490"/>
      <c r="DL146" s="1490"/>
      <c r="DM146" s="1490"/>
      <c r="DN146" s="1490"/>
      <c r="DO146" s="1490"/>
      <c r="DP146" s="1490"/>
      <c r="DQ146" s="1490"/>
      <c r="DR146" s="1490"/>
      <c r="DS146" s="1490"/>
      <c r="DT146" s="1490"/>
      <c r="DU146" s="1490"/>
      <c r="DV146" s="1490"/>
      <c r="DW146" s="1490"/>
      <c r="DX146" s="1490"/>
      <c r="DY146" s="1490"/>
      <c r="DZ146" s="1490"/>
      <c r="EA146" s="1490"/>
      <c r="EB146" s="1490"/>
      <c r="EC146" s="1490"/>
      <c r="ED146" s="1490"/>
      <c r="EE146" s="1490"/>
      <c r="EF146" s="1490"/>
      <c r="EG146" s="1490"/>
      <c r="EH146" s="1490"/>
      <c r="EI146" s="1490"/>
      <c r="EJ146" s="1490"/>
      <c r="EK146" s="1490"/>
      <c r="EL146" s="1490"/>
      <c r="EM146" s="1490"/>
      <c r="EN146" s="1490"/>
      <c r="EO146" s="1490"/>
      <c r="EP146" s="1490"/>
      <c r="EQ146" s="1490"/>
      <c r="ER146" s="1490"/>
      <c r="ES146" s="1490"/>
      <c r="ET146" s="1490"/>
      <c r="EU146" s="1490"/>
      <c r="EV146" s="1490"/>
      <c r="EW146" s="1490"/>
      <c r="EX146" s="1490"/>
      <c r="EY146" s="1490"/>
      <c r="EZ146" s="1490"/>
      <c r="FA146" s="1490"/>
      <c r="FB146" s="1490"/>
      <c r="FC146" s="1490"/>
      <c r="FD146" s="1490"/>
      <c r="FE146" s="1490"/>
      <c r="FF146" s="1490"/>
      <c r="FG146" s="1490"/>
      <c r="FH146" s="1490"/>
      <c r="FI146" s="1490"/>
      <c r="FJ146" s="1490"/>
      <c r="FK146" s="1490"/>
      <c r="FL146" s="1490"/>
      <c r="FM146" s="1490"/>
      <c r="FN146" s="1490"/>
      <c r="FO146" s="1490"/>
      <c r="FP146" s="1490"/>
      <c r="FQ146" s="1490"/>
      <c r="FR146" s="1490"/>
      <c r="FS146" s="1490"/>
      <c r="FT146" s="1490"/>
      <c r="FU146" s="1490"/>
      <c r="FV146" s="1490"/>
      <c r="FW146" s="1490"/>
      <c r="FX146" s="1490"/>
      <c r="FY146" s="1490"/>
      <c r="FZ146" s="1490"/>
      <c r="GA146" s="1490"/>
      <c r="GB146" s="1490"/>
      <c r="GC146" s="1490"/>
      <c r="GD146" s="1490"/>
      <c r="GE146" s="1490"/>
      <c r="GF146" s="1490"/>
      <c r="GG146" s="1490"/>
      <c r="GH146" s="1490"/>
      <c r="GI146" s="1490"/>
      <c r="GJ146" s="1490"/>
      <c r="GK146" s="1490"/>
      <c r="GL146" s="1490"/>
      <c r="GM146" s="1490"/>
      <c r="GN146" s="1490"/>
      <c r="GO146" s="1490"/>
      <c r="GP146" s="1490"/>
      <c r="GQ146" s="1490"/>
      <c r="GR146" s="1490"/>
      <c r="GS146" s="1490"/>
      <c r="GT146" s="1490"/>
      <c r="GU146" s="1490"/>
      <c r="GV146" s="1490"/>
      <c r="GW146" s="1490"/>
      <c r="GX146" s="1490"/>
      <c r="GY146" s="1490"/>
      <c r="GZ146" s="1490"/>
      <c r="HA146" s="1490"/>
      <c r="HB146" s="1490"/>
      <c r="HC146" s="1490"/>
      <c r="HD146" s="1490"/>
      <c r="HE146" s="1490"/>
      <c r="HF146" s="1490"/>
      <c r="HG146" s="1490"/>
      <c r="HH146" s="1490"/>
      <c r="HI146" s="1490"/>
      <c r="HJ146" s="1490"/>
      <c r="HK146" s="1490"/>
      <c r="HL146" s="1490"/>
      <c r="HM146" s="1490"/>
      <c r="HN146" s="1490"/>
      <c r="HO146" s="1490"/>
      <c r="HP146" s="1490"/>
      <c r="HQ146" s="1490"/>
      <c r="HR146" s="1490"/>
      <c r="HS146" s="1490"/>
      <c r="HT146" s="1490"/>
      <c r="HU146" s="1490"/>
      <c r="HV146" s="1490"/>
      <c r="HW146" s="1490"/>
      <c r="HX146" s="1490"/>
      <c r="HY146" s="1490"/>
      <c r="HZ146" s="1490"/>
      <c r="IA146" s="1490"/>
      <c r="IB146" s="1490"/>
      <c r="IC146" s="1490"/>
      <c r="ID146" s="1490"/>
      <c r="IE146" s="1490"/>
      <c r="IF146" s="1490"/>
      <c r="IG146" s="1490"/>
      <c r="IH146" s="1490"/>
      <c r="II146" s="1490"/>
      <c r="IJ146" s="1490"/>
      <c r="IK146" s="1490"/>
      <c r="IL146" s="1490"/>
      <c r="IM146" s="1490"/>
      <c r="IN146" s="1490"/>
      <c r="IO146" s="44"/>
    </row>
    <row r="147" spans="1:249" s="5" customFormat="1" ht="24" customHeight="1">
      <c r="B147" s="36" t="s">
        <v>228</v>
      </c>
      <c r="C147" s="36"/>
      <c r="D147" s="36"/>
      <c r="E147" s="36"/>
      <c r="F147" s="36"/>
      <c r="G147" s="36"/>
      <c r="H147" s="36"/>
      <c r="I147" s="36"/>
      <c r="J147" s="36"/>
      <c r="K147" s="36"/>
      <c r="L147" s="36"/>
      <c r="M147" s="36"/>
      <c r="N147" s="36"/>
      <c r="O147" s="44"/>
      <c r="P147" s="44"/>
      <c r="Q147" s="44"/>
      <c r="R147" s="44"/>
      <c r="S147" s="44"/>
      <c r="T147" s="44"/>
      <c r="U147" s="44"/>
      <c r="V147" s="44"/>
      <c r="W147" s="44"/>
      <c r="X147" s="44"/>
      <c r="Y147" s="44"/>
      <c r="Z147" s="44"/>
      <c r="AA147" s="44"/>
      <c r="AB147" s="44"/>
      <c r="AC147" s="44"/>
      <c r="AD147" s="1490"/>
      <c r="AE147" s="1490"/>
      <c r="AF147" s="1490"/>
      <c r="AG147" s="1490"/>
      <c r="AH147" s="1490"/>
      <c r="AI147" s="1490"/>
      <c r="AJ147" s="1490"/>
      <c r="AK147" s="1490"/>
      <c r="AL147" s="1490"/>
      <c r="AM147" s="1490"/>
      <c r="AN147" s="1490"/>
      <c r="AO147" s="1490"/>
      <c r="AP147" s="1490"/>
      <c r="AQ147" s="1490"/>
      <c r="AR147" s="1490"/>
      <c r="AS147" s="1490"/>
      <c r="AT147" s="1490"/>
      <c r="AU147" s="1490"/>
      <c r="AV147" s="1490"/>
      <c r="AW147" s="1490"/>
      <c r="AX147" s="1490"/>
      <c r="AY147" s="1490"/>
      <c r="AZ147" s="1490"/>
      <c r="BA147" s="1490"/>
      <c r="BB147" s="1490"/>
      <c r="BC147" s="1490"/>
      <c r="BD147" s="1490"/>
      <c r="BE147" s="1490"/>
      <c r="BF147" s="1490"/>
      <c r="BG147" s="1490"/>
      <c r="BH147" s="1490"/>
      <c r="BI147" s="1490"/>
      <c r="BJ147" s="1490"/>
      <c r="BK147" s="1490"/>
      <c r="BL147" s="1490"/>
      <c r="BM147" s="1490"/>
      <c r="BN147" s="1490"/>
      <c r="BO147" s="1490"/>
      <c r="BP147" s="1490"/>
      <c r="BQ147" s="1490"/>
      <c r="BR147" s="1490"/>
      <c r="BS147" s="1490"/>
      <c r="BT147" s="1490"/>
      <c r="BU147" s="1490"/>
      <c r="BV147" s="1490"/>
      <c r="BW147" s="1490"/>
      <c r="BX147" s="1490"/>
      <c r="BY147" s="1490"/>
      <c r="BZ147" s="1490"/>
      <c r="CA147" s="1490"/>
      <c r="CB147" s="1490"/>
      <c r="CC147" s="1490"/>
      <c r="CD147" s="1490"/>
      <c r="CE147" s="1490"/>
      <c r="CF147" s="1490"/>
      <c r="CG147" s="1490"/>
      <c r="CH147" s="1490"/>
      <c r="CI147" s="1490"/>
      <c r="CJ147" s="1490"/>
      <c r="CK147" s="1490"/>
      <c r="CL147" s="1490"/>
      <c r="CM147" s="1490"/>
      <c r="CN147" s="1490"/>
      <c r="CO147" s="1490"/>
      <c r="CP147" s="1490"/>
      <c r="CQ147" s="1490"/>
      <c r="CR147" s="1490"/>
      <c r="CS147" s="1490"/>
      <c r="CT147" s="1490"/>
      <c r="CU147" s="1490"/>
      <c r="CV147" s="1490"/>
      <c r="CW147" s="1490"/>
      <c r="CX147" s="1490"/>
      <c r="CY147" s="1490"/>
      <c r="CZ147" s="1490"/>
      <c r="DA147" s="1490"/>
      <c r="DB147" s="1490"/>
      <c r="DC147" s="1490"/>
      <c r="DD147" s="1490"/>
      <c r="DE147" s="1490"/>
      <c r="DF147" s="1490"/>
      <c r="DG147" s="1490"/>
      <c r="DH147" s="1490"/>
      <c r="DI147" s="1490"/>
      <c r="DJ147" s="1490"/>
      <c r="DK147" s="1490"/>
      <c r="DL147" s="1490"/>
      <c r="DM147" s="1490"/>
      <c r="DN147" s="1490"/>
      <c r="DO147" s="1490"/>
      <c r="DP147" s="1490"/>
      <c r="DQ147" s="1490"/>
      <c r="DR147" s="1490"/>
      <c r="DS147" s="1490"/>
      <c r="DT147" s="1490"/>
      <c r="DU147" s="1490"/>
      <c r="DV147" s="1490"/>
      <c r="DW147" s="1490"/>
      <c r="DX147" s="1490"/>
      <c r="DY147" s="1490"/>
      <c r="DZ147" s="1490"/>
      <c r="EA147" s="1490"/>
      <c r="EB147" s="1490"/>
      <c r="EC147" s="1490"/>
      <c r="ED147" s="1490"/>
      <c r="EE147" s="1490"/>
      <c r="EF147" s="1490"/>
      <c r="EG147" s="1490"/>
      <c r="EH147" s="1490"/>
      <c r="EI147" s="1490"/>
      <c r="EJ147" s="1490"/>
      <c r="EK147" s="1490"/>
      <c r="EL147" s="1490"/>
      <c r="EM147" s="1490"/>
      <c r="EN147" s="1490"/>
      <c r="EO147" s="1490"/>
      <c r="EP147" s="1490"/>
      <c r="EQ147" s="1490"/>
      <c r="ER147" s="1490"/>
      <c r="ES147" s="1490"/>
      <c r="ET147" s="1490"/>
      <c r="EU147" s="1490"/>
      <c r="EV147" s="1490"/>
      <c r="EW147" s="1490"/>
      <c r="EX147" s="1490"/>
      <c r="EY147" s="1490"/>
      <c r="EZ147" s="1490"/>
      <c r="FA147" s="1490"/>
      <c r="FB147" s="1490"/>
      <c r="FC147" s="1490"/>
      <c r="FD147" s="1490"/>
      <c r="FE147" s="1490"/>
      <c r="FF147" s="1490"/>
      <c r="FG147" s="1490"/>
      <c r="FH147" s="1490"/>
      <c r="FI147" s="1490"/>
      <c r="FJ147" s="1490"/>
      <c r="FK147" s="1490"/>
      <c r="FL147" s="1490"/>
      <c r="FM147" s="1490"/>
      <c r="FN147" s="1490"/>
      <c r="FO147" s="1490"/>
      <c r="FP147" s="1490"/>
      <c r="FQ147" s="1490"/>
      <c r="FR147" s="1490"/>
      <c r="FS147" s="1490"/>
      <c r="FT147" s="1490"/>
      <c r="FU147" s="1490"/>
      <c r="FV147" s="1490"/>
      <c r="FW147" s="1490"/>
      <c r="FX147" s="1490"/>
      <c r="FY147" s="1490"/>
      <c r="FZ147" s="1490"/>
      <c r="GA147" s="1490"/>
      <c r="GB147" s="1490"/>
      <c r="GC147" s="1490"/>
      <c r="GD147" s="1490"/>
      <c r="GE147" s="1490"/>
      <c r="GF147" s="1490"/>
      <c r="GG147" s="1490"/>
      <c r="GH147" s="1490"/>
      <c r="GI147" s="1490"/>
      <c r="GJ147" s="1490"/>
      <c r="GK147" s="1490"/>
      <c r="GL147" s="1490"/>
      <c r="GM147" s="1490"/>
      <c r="GN147" s="1490"/>
      <c r="GO147" s="1490"/>
      <c r="GP147" s="1490"/>
      <c r="GQ147" s="1490"/>
      <c r="GR147" s="1490"/>
      <c r="GS147" s="1490"/>
      <c r="GT147" s="1490"/>
      <c r="GU147" s="1490"/>
      <c r="GV147" s="1490"/>
      <c r="GW147" s="1490"/>
      <c r="GX147" s="1490"/>
      <c r="GY147" s="1490"/>
      <c r="GZ147" s="1490"/>
      <c r="HA147" s="1490"/>
      <c r="HB147" s="1490"/>
      <c r="HC147" s="1490"/>
      <c r="HD147" s="1490"/>
      <c r="HE147" s="1490"/>
      <c r="HF147" s="1490"/>
      <c r="HG147" s="1490"/>
      <c r="HH147" s="1490"/>
      <c r="HI147" s="1490"/>
      <c r="HJ147" s="1490"/>
      <c r="HK147" s="1490"/>
      <c r="HL147" s="1490"/>
      <c r="HM147" s="1490"/>
      <c r="HN147" s="1490"/>
      <c r="HO147" s="1490"/>
      <c r="HP147" s="1490"/>
      <c r="HQ147" s="1490"/>
      <c r="HR147" s="1490"/>
      <c r="HS147" s="1490"/>
      <c r="HT147" s="1490"/>
      <c r="HU147" s="1490"/>
      <c r="HV147" s="1490"/>
      <c r="HW147" s="1490"/>
      <c r="HX147" s="1490"/>
      <c r="HY147" s="1490"/>
      <c r="HZ147" s="1490"/>
      <c r="IA147" s="1490"/>
      <c r="IB147" s="1490"/>
      <c r="IC147" s="1490"/>
      <c r="ID147" s="1490"/>
      <c r="IE147" s="1490"/>
      <c r="IF147" s="1490"/>
      <c r="IG147" s="1490"/>
      <c r="IH147" s="1490"/>
      <c r="II147" s="1490"/>
      <c r="IJ147" s="1490"/>
      <c r="IK147" s="1490"/>
      <c r="IL147" s="1490"/>
      <c r="IM147" s="1490"/>
      <c r="IN147" s="1490"/>
      <c r="IO147" s="44"/>
    </row>
    <row r="148" spans="1:249" s="5" customFormat="1" ht="24" customHeight="1">
      <c r="A148" s="45"/>
      <c r="B148" s="46" t="s">
        <v>229</v>
      </c>
      <c r="C148" s="46"/>
      <c r="D148" s="46"/>
      <c r="E148" s="46"/>
      <c r="F148" s="46"/>
      <c r="G148" s="46"/>
      <c r="H148" s="46"/>
      <c r="I148" s="46"/>
      <c r="J148" s="46"/>
      <c r="K148" s="46"/>
      <c r="L148" s="46"/>
      <c r="M148" s="46"/>
      <c r="N148" s="46"/>
      <c r="O148" s="47"/>
      <c r="P148" s="47"/>
      <c r="Q148" s="44"/>
      <c r="R148" s="44"/>
      <c r="S148" s="44"/>
      <c r="T148" s="44"/>
      <c r="U148" s="44"/>
      <c r="V148" s="44"/>
      <c r="W148" s="44"/>
      <c r="X148" s="44"/>
      <c r="Y148" s="44"/>
      <c r="Z148" s="44"/>
      <c r="AA148" s="44"/>
      <c r="AB148" s="44"/>
      <c r="AC148" s="44"/>
      <c r="AD148" s="1490"/>
      <c r="AE148" s="1490"/>
      <c r="AF148" s="1490"/>
      <c r="AG148" s="1490"/>
      <c r="AH148" s="1490"/>
      <c r="AI148" s="1490"/>
      <c r="AJ148" s="1490"/>
      <c r="AK148" s="1490"/>
      <c r="AL148" s="1490"/>
      <c r="AM148" s="1490"/>
      <c r="AN148" s="1490"/>
      <c r="AO148" s="1490"/>
      <c r="AP148" s="1490"/>
      <c r="AQ148" s="1490"/>
      <c r="AR148" s="1490"/>
      <c r="AS148" s="1490"/>
      <c r="AT148" s="1490"/>
      <c r="AU148" s="1490"/>
      <c r="AV148" s="1490"/>
      <c r="AW148" s="1490"/>
      <c r="AX148" s="1490"/>
      <c r="AY148" s="1490"/>
      <c r="AZ148" s="1490"/>
      <c r="BA148" s="1490"/>
      <c r="BB148" s="1490"/>
      <c r="BC148" s="1490"/>
      <c r="BD148" s="1490"/>
      <c r="BE148" s="1490"/>
      <c r="BF148" s="1490"/>
      <c r="BG148" s="1490"/>
      <c r="BH148" s="1490"/>
      <c r="BI148" s="1490"/>
      <c r="BJ148" s="1490"/>
      <c r="BK148" s="1490"/>
      <c r="BL148" s="1490"/>
      <c r="BM148" s="1490"/>
      <c r="BN148" s="1490"/>
      <c r="BO148" s="1490"/>
      <c r="BP148" s="1490"/>
      <c r="BQ148" s="1490"/>
      <c r="BR148" s="1490"/>
      <c r="BS148" s="1490"/>
      <c r="BT148" s="1490"/>
      <c r="BU148" s="1490"/>
      <c r="BV148" s="1490"/>
      <c r="BW148" s="1490"/>
      <c r="BX148" s="1490"/>
      <c r="BY148" s="1490"/>
      <c r="BZ148" s="1490"/>
      <c r="CA148" s="1490"/>
      <c r="CB148" s="1490"/>
      <c r="CC148" s="1490"/>
      <c r="CD148" s="1490"/>
      <c r="CE148" s="1490"/>
      <c r="CF148" s="1490"/>
      <c r="CG148" s="1490"/>
      <c r="CH148" s="1490"/>
      <c r="CI148" s="1490"/>
      <c r="CJ148" s="1490"/>
      <c r="CK148" s="1490"/>
      <c r="CL148" s="1490"/>
      <c r="CM148" s="1490"/>
      <c r="CN148" s="1490"/>
      <c r="CO148" s="1490"/>
      <c r="CP148" s="1490"/>
      <c r="CQ148" s="1490"/>
      <c r="CR148" s="1490"/>
      <c r="CS148" s="1490"/>
      <c r="CT148" s="1490"/>
      <c r="CU148" s="1490"/>
      <c r="CV148" s="1490"/>
      <c r="CW148" s="1490"/>
      <c r="CX148" s="1490"/>
      <c r="CY148" s="1490"/>
      <c r="CZ148" s="1490"/>
      <c r="DA148" s="1490"/>
      <c r="DB148" s="1490"/>
      <c r="DC148" s="1490"/>
      <c r="DD148" s="1490"/>
      <c r="DE148" s="1490"/>
      <c r="DF148" s="1490"/>
      <c r="DG148" s="1490"/>
      <c r="DH148" s="1490"/>
      <c r="DI148" s="1490"/>
      <c r="DJ148" s="1490"/>
      <c r="DK148" s="1490"/>
      <c r="DL148" s="1490"/>
      <c r="DM148" s="1490"/>
      <c r="DN148" s="1490"/>
      <c r="DO148" s="1490"/>
      <c r="DP148" s="1490"/>
      <c r="DQ148" s="1490"/>
      <c r="DR148" s="1490"/>
      <c r="DS148" s="1490"/>
      <c r="DT148" s="1490"/>
      <c r="DU148" s="1490"/>
      <c r="DV148" s="1490"/>
      <c r="DW148" s="1490"/>
      <c r="DX148" s="1490"/>
      <c r="DY148" s="1490"/>
      <c r="DZ148" s="1490"/>
      <c r="EA148" s="1490"/>
      <c r="EB148" s="1490"/>
      <c r="EC148" s="1490"/>
      <c r="ED148" s="1490"/>
      <c r="EE148" s="1490"/>
      <c r="EF148" s="1490"/>
      <c r="EG148" s="1490"/>
      <c r="EH148" s="1490"/>
      <c r="EI148" s="1490"/>
      <c r="EJ148" s="1490"/>
      <c r="EK148" s="1490"/>
      <c r="EL148" s="1490"/>
      <c r="EM148" s="1490"/>
      <c r="EN148" s="1490"/>
      <c r="EO148" s="1490"/>
      <c r="EP148" s="1490"/>
      <c r="EQ148" s="1490"/>
      <c r="ER148" s="1490"/>
      <c r="ES148" s="1490"/>
      <c r="ET148" s="1490"/>
      <c r="EU148" s="1490"/>
      <c r="EV148" s="1490"/>
      <c r="EW148" s="1490"/>
      <c r="EX148" s="1490"/>
      <c r="EY148" s="1490"/>
      <c r="EZ148" s="1490"/>
      <c r="FA148" s="1490"/>
      <c r="FB148" s="1490"/>
      <c r="FC148" s="1490"/>
      <c r="FD148" s="1490"/>
      <c r="FE148" s="1490"/>
      <c r="FF148" s="1490"/>
      <c r="FG148" s="1490"/>
      <c r="FH148" s="1490"/>
      <c r="FI148" s="1490"/>
      <c r="FJ148" s="1490"/>
      <c r="FK148" s="1490"/>
      <c r="FL148" s="1490"/>
      <c r="FM148" s="1490"/>
      <c r="FN148" s="1490"/>
      <c r="FO148" s="1490"/>
      <c r="FP148" s="1490"/>
      <c r="FQ148" s="1490"/>
      <c r="FR148" s="1490"/>
      <c r="FS148" s="1490"/>
      <c r="FT148" s="1490"/>
      <c r="FU148" s="1490"/>
      <c r="FV148" s="1490"/>
      <c r="FW148" s="1490"/>
      <c r="FX148" s="1490"/>
      <c r="FY148" s="1490"/>
      <c r="FZ148" s="1490"/>
      <c r="GA148" s="1490"/>
      <c r="GB148" s="1490"/>
      <c r="GC148" s="1490"/>
      <c r="GD148" s="1490"/>
      <c r="GE148" s="1490"/>
      <c r="GF148" s="1490"/>
      <c r="GG148" s="1490"/>
      <c r="GH148" s="1490"/>
      <c r="GI148" s="1490"/>
      <c r="GJ148" s="1490"/>
      <c r="GK148" s="1490"/>
      <c r="GL148" s="1490"/>
      <c r="GM148" s="1490"/>
      <c r="GN148" s="1490"/>
      <c r="GO148" s="1490"/>
      <c r="GP148" s="1490"/>
      <c r="GQ148" s="1490"/>
      <c r="GR148" s="1490"/>
      <c r="GS148" s="1490"/>
      <c r="GT148" s="1490"/>
      <c r="GU148" s="1490"/>
      <c r="GV148" s="1490"/>
      <c r="GW148" s="1490"/>
      <c r="GX148" s="1490"/>
      <c r="GY148" s="1490"/>
      <c r="GZ148" s="1490"/>
      <c r="HA148" s="1490"/>
      <c r="HB148" s="1490"/>
      <c r="HC148" s="1490"/>
      <c r="HD148" s="1490"/>
      <c r="HE148" s="1490"/>
      <c r="HF148" s="1490"/>
      <c r="HG148" s="1490"/>
      <c r="HH148" s="1490"/>
      <c r="HI148" s="1490"/>
      <c r="HJ148" s="1490"/>
      <c r="HK148" s="1490"/>
      <c r="HL148" s="1490"/>
      <c r="HM148" s="1490"/>
      <c r="HN148" s="1490"/>
      <c r="HO148" s="1490"/>
      <c r="HP148" s="1490"/>
      <c r="HQ148" s="1490"/>
      <c r="HR148" s="1490"/>
      <c r="HS148" s="1490"/>
      <c r="HT148" s="1490"/>
      <c r="HU148" s="1490"/>
      <c r="HV148" s="1490"/>
      <c r="HW148" s="1490"/>
      <c r="HX148" s="1490"/>
      <c r="HY148" s="1490"/>
      <c r="HZ148" s="1490"/>
      <c r="IA148" s="1490"/>
      <c r="IB148" s="1490"/>
      <c r="IC148" s="1490"/>
      <c r="ID148" s="1490"/>
      <c r="IE148" s="1490"/>
      <c r="IF148" s="1490"/>
      <c r="IG148" s="1490"/>
      <c r="IH148" s="1490"/>
      <c r="II148" s="1490"/>
      <c r="IJ148" s="1490"/>
      <c r="IK148" s="1490"/>
      <c r="IL148" s="1490"/>
      <c r="IM148" s="1490"/>
      <c r="IN148" s="1490"/>
      <c r="IO148" s="44"/>
    </row>
    <row r="149" spans="1:249" s="5" customFormat="1" ht="24" customHeight="1">
      <c r="B149" s="36" t="s">
        <v>230</v>
      </c>
      <c r="C149" s="36"/>
      <c r="D149" s="36"/>
      <c r="E149" s="36"/>
      <c r="F149" s="36"/>
      <c r="G149" s="36"/>
      <c r="H149" s="36"/>
      <c r="I149" s="36"/>
      <c r="J149" s="36"/>
      <c r="K149" s="36"/>
      <c r="L149" s="36"/>
      <c r="M149" s="36"/>
      <c r="N149" s="36"/>
      <c r="O149" s="44"/>
      <c r="P149" s="44"/>
      <c r="Q149" s="102"/>
      <c r="R149" s="102"/>
      <c r="S149" s="102"/>
      <c r="T149" s="102"/>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c r="GZ149" s="44"/>
      <c r="HA149" s="44"/>
      <c r="HB149" s="44"/>
      <c r="HC149" s="44"/>
      <c r="HD149" s="44"/>
      <c r="HE149" s="44"/>
      <c r="HF149" s="44"/>
      <c r="HG149" s="44"/>
      <c r="HH149" s="44"/>
      <c r="HI149" s="44"/>
      <c r="HJ149" s="44"/>
      <c r="HK149" s="44"/>
      <c r="HL149" s="44"/>
      <c r="HM149" s="44"/>
      <c r="HN149" s="44"/>
      <c r="HO149" s="44"/>
      <c r="HP149" s="44"/>
      <c r="HQ149" s="44"/>
      <c r="HR149" s="44"/>
      <c r="HS149" s="44"/>
      <c r="HT149" s="44"/>
      <c r="HU149" s="44"/>
      <c r="HV149" s="44"/>
      <c r="HW149" s="44"/>
      <c r="HX149" s="44"/>
      <c r="HY149" s="44"/>
      <c r="HZ149" s="44"/>
      <c r="IA149" s="44"/>
      <c r="IB149" s="44"/>
      <c r="IC149" s="44"/>
      <c r="ID149" s="44"/>
      <c r="IE149" s="44"/>
      <c r="IF149" s="44"/>
      <c r="IG149" s="44"/>
      <c r="IH149" s="44"/>
      <c r="II149" s="44"/>
      <c r="IJ149" s="44"/>
      <c r="IK149" s="44"/>
      <c r="IL149" s="44"/>
      <c r="IM149" s="44"/>
      <c r="IN149" s="44"/>
      <c r="IO149" s="44"/>
    </row>
    <row r="150" spans="1:249" s="45" customFormat="1" ht="21.95" customHeight="1">
      <c r="A150" s="1490" t="s">
        <v>231</v>
      </c>
      <c r="B150" s="1490"/>
      <c r="C150" s="1490"/>
      <c r="D150" s="1490"/>
      <c r="E150" s="1490"/>
      <c r="F150" s="1490"/>
      <c r="G150" s="1490"/>
      <c r="H150" s="1490"/>
      <c r="I150" s="1490"/>
      <c r="J150" s="1490"/>
      <c r="K150" s="1490"/>
      <c r="L150" s="1490"/>
      <c r="M150" s="1490"/>
      <c r="N150" s="1490"/>
      <c r="O150" s="44"/>
      <c r="P150" s="44"/>
      <c r="Q150" s="103"/>
      <c r="R150" s="103"/>
      <c r="S150" s="103"/>
      <c r="T150" s="103"/>
      <c r="U150" s="47"/>
      <c r="V150" s="47"/>
      <c r="W150" s="47"/>
      <c r="X150" s="47"/>
      <c r="Y150" s="47"/>
      <c r="Z150" s="47"/>
      <c r="AA150" s="47"/>
      <c r="AB150" s="47"/>
      <c r="AC150" s="47"/>
      <c r="AD150" s="47"/>
      <c r="AE150" s="47"/>
      <c r="AF150" s="47"/>
      <c r="AG150" s="47"/>
      <c r="AH150" s="47"/>
      <c r="AI150" s="47"/>
      <c r="AJ150" s="47"/>
      <c r="AK150" s="47"/>
      <c r="AL150" s="47"/>
      <c r="AM150" s="47"/>
      <c r="AN150" s="47"/>
      <c r="AO150" s="47"/>
      <c r="AP150" s="47"/>
      <c r="AQ150" s="47"/>
      <c r="AR150" s="47"/>
      <c r="AS150" s="47"/>
      <c r="AT150" s="47"/>
      <c r="AU150" s="47"/>
      <c r="AV150" s="47"/>
      <c r="AW150" s="47"/>
      <c r="AX150" s="47"/>
      <c r="AY150" s="47"/>
      <c r="AZ150" s="47"/>
      <c r="BA150" s="47"/>
      <c r="BB150" s="47"/>
      <c r="BC150" s="47"/>
      <c r="BD150" s="47"/>
      <c r="BE150" s="47"/>
      <c r="BF150" s="47"/>
      <c r="BG150" s="47"/>
      <c r="BH150" s="47"/>
      <c r="BI150" s="47"/>
      <c r="BJ150" s="47"/>
      <c r="BK150" s="47"/>
      <c r="BL150" s="47"/>
      <c r="BM150" s="47"/>
      <c r="BN150" s="47"/>
      <c r="BO150" s="47"/>
      <c r="BP150" s="47"/>
      <c r="BQ150" s="47"/>
      <c r="BR150" s="47"/>
      <c r="BS150" s="47"/>
      <c r="BT150" s="47"/>
      <c r="BU150" s="47"/>
      <c r="BV150" s="47"/>
      <c r="BW150" s="47"/>
      <c r="BX150" s="47"/>
      <c r="BY150" s="47"/>
      <c r="BZ150" s="47"/>
      <c r="CA150" s="47"/>
      <c r="CB150" s="47"/>
      <c r="CC150" s="47"/>
      <c r="CD150" s="47"/>
      <c r="CE150" s="47"/>
      <c r="CF150" s="47"/>
      <c r="CG150" s="47"/>
      <c r="CH150" s="47"/>
      <c r="CI150" s="47"/>
      <c r="CJ150" s="47"/>
      <c r="CK150" s="47"/>
      <c r="CL150" s="47"/>
      <c r="CM150" s="47"/>
      <c r="CN150" s="47"/>
      <c r="CO150" s="47"/>
      <c r="CP150" s="47"/>
      <c r="CQ150" s="47"/>
      <c r="CR150" s="47"/>
      <c r="CS150" s="47"/>
      <c r="CT150" s="47"/>
      <c r="CU150" s="47"/>
      <c r="CV150" s="47"/>
      <c r="CW150" s="47"/>
      <c r="CX150" s="47"/>
      <c r="CY150" s="47"/>
      <c r="CZ150" s="47"/>
      <c r="DA150" s="47"/>
      <c r="DB150" s="47"/>
      <c r="DC150" s="47"/>
      <c r="DD150" s="47"/>
      <c r="DE150" s="47"/>
      <c r="DF150" s="47"/>
      <c r="DG150" s="47"/>
      <c r="DH150" s="47"/>
      <c r="DI150" s="47"/>
      <c r="DJ150" s="47"/>
      <c r="DK150" s="47"/>
      <c r="DL150" s="47"/>
      <c r="DM150" s="47"/>
      <c r="DN150" s="47"/>
      <c r="DO150" s="47"/>
      <c r="DP150" s="47"/>
      <c r="DQ150" s="47"/>
      <c r="DR150" s="47"/>
      <c r="DS150" s="47"/>
      <c r="DT150" s="47"/>
      <c r="DU150" s="47"/>
      <c r="DV150" s="47"/>
      <c r="DW150" s="47"/>
      <c r="DX150" s="47"/>
      <c r="DY150" s="47"/>
      <c r="DZ150" s="47"/>
      <c r="EA150" s="47"/>
      <c r="EB150" s="47"/>
      <c r="EC150" s="47"/>
      <c r="ED150" s="47"/>
      <c r="EE150" s="47"/>
      <c r="EF150" s="47"/>
      <c r="EG150" s="47"/>
      <c r="EH150" s="47"/>
      <c r="EI150" s="47"/>
      <c r="EJ150" s="47"/>
      <c r="EK150" s="47"/>
      <c r="EL150" s="47"/>
      <c r="EM150" s="47"/>
      <c r="EN150" s="47"/>
      <c r="EO150" s="47"/>
      <c r="EP150" s="47"/>
      <c r="EQ150" s="47"/>
      <c r="ER150" s="47"/>
      <c r="ES150" s="47"/>
      <c r="ET150" s="47"/>
      <c r="EU150" s="47"/>
      <c r="EV150" s="47"/>
      <c r="EW150" s="47"/>
      <c r="EX150" s="47"/>
      <c r="EY150" s="47"/>
      <c r="EZ150" s="47"/>
      <c r="FA150" s="47"/>
      <c r="FB150" s="47"/>
      <c r="FC150" s="47"/>
      <c r="FD150" s="47"/>
      <c r="FE150" s="47"/>
      <c r="FF150" s="47"/>
      <c r="FG150" s="47"/>
      <c r="FH150" s="47"/>
      <c r="FI150" s="47"/>
      <c r="FJ150" s="47"/>
      <c r="FK150" s="47"/>
      <c r="FL150" s="47"/>
      <c r="FM150" s="47"/>
      <c r="FN150" s="47"/>
      <c r="FO150" s="47"/>
      <c r="FP150" s="47"/>
      <c r="FQ150" s="47"/>
      <c r="FR150" s="47"/>
      <c r="FS150" s="47"/>
      <c r="FT150" s="47"/>
      <c r="FU150" s="47"/>
      <c r="FV150" s="47"/>
      <c r="FW150" s="47"/>
      <c r="FX150" s="47"/>
      <c r="FY150" s="47"/>
      <c r="FZ150" s="47"/>
      <c r="GA150" s="47"/>
      <c r="GB150" s="47"/>
      <c r="GC150" s="47"/>
      <c r="GD150" s="47"/>
      <c r="GE150" s="47"/>
      <c r="GF150" s="47"/>
      <c r="GG150" s="47"/>
      <c r="GH150" s="47"/>
      <c r="GI150" s="47"/>
      <c r="GJ150" s="47"/>
      <c r="GK150" s="47"/>
      <c r="GL150" s="47"/>
      <c r="GM150" s="47"/>
      <c r="GN150" s="47"/>
      <c r="GO150" s="47"/>
      <c r="GP150" s="47"/>
      <c r="GQ150" s="47"/>
      <c r="GR150" s="47"/>
      <c r="GS150" s="47"/>
      <c r="GT150" s="47"/>
      <c r="GU150" s="47"/>
      <c r="GV150" s="47"/>
      <c r="GW150" s="47"/>
      <c r="GX150" s="47"/>
      <c r="GY150" s="47"/>
      <c r="GZ150" s="47"/>
      <c r="HA150" s="47"/>
      <c r="HB150" s="47"/>
      <c r="HC150" s="47"/>
      <c r="HD150" s="47"/>
      <c r="HE150" s="47"/>
      <c r="HF150" s="47"/>
      <c r="HG150" s="47"/>
      <c r="HH150" s="47"/>
      <c r="HI150" s="47"/>
      <c r="HJ150" s="47"/>
      <c r="HK150" s="47"/>
      <c r="HL150" s="47"/>
      <c r="HM150" s="47"/>
      <c r="HN150" s="47"/>
      <c r="HO150" s="47"/>
      <c r="HP150" s="47"/>
      <c r="HQ150" s="47"/>
      <c r="HR150" s="47"/>
      <c r="HS150" s="47"/>
      <c r="HT150" s="47"/>
      <c r="HU150" s="47"/>
      <c r="HV150" s="47"/>
      <c r="HW150" s="47"/>
      <c r="HX150" s="47"/>
      <c r="HY150" s="47"/>
      <c r="HZ150" s="47"/>
      <c r="IA150" s="47"/>
      <c r="IB150" s="47"/>
      <c r="IC150" s="47"/>
      <c r="ID150" s="47"/>
      <c r="IE150" s="47"/>
      <c r="IF150" s="47"/>
      <c r="IG150" s="47"/>
      <c r="IH150" s="47"/>
      <c r="II150" s="47"/>
      <c r="IJ150" s="47"/>
      <c r="IK150" s="47"/>
      <c r="IL150" s="47"/>
      <c r="IM150" s="47"/>
      <c r="IN150" s="47"/>
    </row>
    <row r="151" spans="1:249" s="5" customFormat="1" ht="21.95" customHeight="1">
      <c r="A151" s="1495" t="s">
        <v>232</v>
      </c>
      <c r="B151" s="1495"/>
      <c r="C151" s="1495"/>
      <c r="D151" s="1495"/>
      <c r="E151" s="1495"/>
      <c r="F151" s="1495"/>
      <c r="G151" s="1495"/>
      <c r="H151" s="1495"/>
      <c r="I151" s="1495"/>
      <c r="J151" s="1495"/>
      <c r="K151" s="1495"/>
      <c r="L151" s="1495"/>
      <c r="M151" s="1495"/>
      <c r="N151" s="1495"/>
      <c r="Q151" s="44"/>
      <c r="R151" s="44"/>
      <c r="S151" s="44"/>
      <c r="T151" s="44"/>
      <c r="U151" s="44"/>
      <c r="V151" s="44"/>
      <c r="W151" s="44"/>
      <c r="X151" s="44"/>
      <c r="Y151" s="44"/>
      <c r="Z151" s="44"/>
      <c r="AA151" s="44"/>
      <c r="AB151" s="44"/>
      <c r="AC151" s="44"/>
      <c r="AD151" s="1490"/>
      <c r="AE151" s="1490"/>
      <c r="AF151" s="1490"/>
      <c r="AG151" s="1490"/>
      <c r="AH151" s="1490"/>
      <c r="AI151" s="1490"/>
      <c r="AJ151" s="1490"/>
      <c r="AK151" s="1490"/>
      <c r="AL151" s="1490"/>
      <c r="AM151" s="1490"/>
      <c r="AN151" s="1490"/>
      <c r="AO151" s="1490"/>
      <c r="AP151" s="1490"/>
      <c r="AQ151" s="1490"/>
      <c r="AR151" s="1490"/>
      <c r="AS151" s="1490"/>
      <c r="AT151" s="1490"/>
      <c r="AU151" s="1490"/>
      <c r="AV151" s="1490"/>
      <c r="AW151" s="1490"/>
      <c r="AX151" s="1490"/>
      <c r="AY151" s="1490"/>
      <c r="AZ151" s="1490"/>
      <c r="BA151" s="1490"/>
      <c r="BB151" s="1490"/>
      <c r="BC151" s="1490"/>
      <c r="BD151" s="1490"/>
      <c r="BE151" s="1490"/>
      <c r="BF151" s="1490"/>
      <c r="BG151" s="1490"/>
      <c r="BH151" s="1490"/>
      <c r="BI151" s="1490"/>
      <c r="BJ151" s="1490"/>
      <c r="BK151" s="1490"/>
      <c r="BL151" s="1490"/>
      <c r="BM151" s="1490"/>
      <c r="BN151" s="1490"/>
      <c r="BO151" s="1490"/>
      <c r="BP151" s="1490"/>
      <c r="BQ151" s="1490"/>
      <c r="BR151" s="1490"/>
      <c r="BS151" s="1490"/>
      <c r="BT151" s="1490"/>
      <c r="BU151" s="1490"/>
      <c r="BV151" s="1490"/>
      <c r="BW151" s="1490"/>
      <c r="BX151" s="1490"/>
      <c r="BY151" s="1490"/>
      <c r="BZ151" s="1490"/>
      <c r="CA151" s="1490"/>
      <c r="CB151" s="1490"/>
      <c r="CC151" s="1490"/>
      <c r="CD151" s="1490"/>
      <c r="CE151" s="1490"/>
      <c r="CF151" s="1490"/>
      <c r="CG151" s="1490"/>
      <c r="CH151" s="1490"/>
      <c r="CI151" s="1490"/>
      <c r="CJ151" s="1490"/>
      <c r="CK151" s="1490"/>
      <c r="CL151" s="1490"/>
      <c r="CM151" s="1490"/>
      <c r="CN151" s="1490"/>
      <c r="CO151" s="1490"/>
      <c r="CP151" s="1490"/>
      <c r="CQ151" s="1490"/>
      <c r="CR151" s="1490"/>
      <c r="CS151" s="1490"/>
      <c r="CT151" s="1490"/>
      <c r="CU151" s="1490"/>
      <c r="CV151" s="1490"/>
      <c r="CW151" s="1490"/>
      <c r="CX151" s="1490"/>
      <c r="CY151" s="1490"/>
      <c r="CZ151" s="1490"/>
      <c r="DA151" s="1490"/>
      <c r="DB151" s="1490"/>
      <c r="DC151" s="1490"/>
      <c r="DD151" s="1490"/>
      <c r="DE151" s="1490"/>
      <c r="DF151" s="1490"/>
      <c r="DG151" s="1490"/>
      <c r="DH151" s="1490"/>
      <c r="DI151" s="1490"/>
      <c r="DJ151" s="1490"/>
      <c r="DK151" s="1490"/>
      <c r="DL151" s="1490"/>
      <c r="DM151" s="1490"/>
      <c r="DN151" s="1490"/>
      <c r="DO151" s="1490"/>
      <c r="DP151" s="1490"/>
      <c r="DQ151" s="1490"/>
      <c r="DR151" s="1490"/>
      <c r="DS151" s="1490"/>
      <c r="DT151" s="1490"/>
      <c r="DU151" s="1490"/>
      <c r="DV151" s="1490"/>
      <c r="DW151" s="1490"/>
      <c r="DX151" s="1490"/>
      <c r="DY151" s="1490"/>
      <c r="DZ151" s="1490"/>
      <c r="EA151" s="1490"/>
      <c r="EB151" s="1490"/>
      <c r="EC151" s="1490"/>
      <c r="ED151" s="1490"/>
      <c r="EE151" s="1490"/>
      <c r="EF151" s="1490"/>
      <c r="EG151" s="1490"/>
      <c r="EH151" s="1490"/>
      <c r="EI151" s="1490"/>
      <c r="EJ151" s="1490"/>
      <c r="EK151" s="1490"/>
      <c r="EL151" s="1490"/>
      <c r="EM151" s="1490"/>
      <c r="EN151" s="1490"/>
      <c r="EO151" s="1490"/>
      <c r="EP151" s="1490"/>
      <c r="EQ151" s="1490"/>
      <c r="ER151" s="1490"/>
      <c r="ES151" s="1490"/>
      <c r="ET151" s="1490"/>
      <c r="EU151" s="1490"/>
      <c r="EV151" s="1490"/>
      <c r="EW151" s="1490"/>
      <c r="EX151" s="1490"/>
      <c r="EY151" s="1490"/>
      <c r="EZ151" s="1490"/>
      <c r="FA151" s="1490"/>
      <c r="FB151" s="1490"/>
      <c r="FC151" s="1490"/>
      <c r="FD151" s="1490"/>
      <c r="FE151" s="1490"/>
      <c r="FF151" s="1490"/>
      <c r="FG151" s="1490"/>
      <c r="FH151" s="1490"/>
      <c r="FI151" s="1490"/>
      <c r="FJ151" s="1490"/>
      <c r="FK151" s="1490"/>
      <c r="FL151" s="1490"/>
      <c r="FM151" s="1490"/>
      <c r="FN151" s="1490"/>
      <c r="FO151" s="1490"/>
      <c r="FP151" s="1490"/>
      <c r="FQ151" s="1490"/>
      <c r="FR151" s="1490"/>
      <c r="FS151" s="1490"/>
      <c r="FT151" s="1490"/>
      <c r="FU151" s="1490"/>
      <c r="FV151" s="1490"/>
      <c r="FW151" s="1490"/>
      <c r="FX151" s="1490"/>
      <c r="FY151" s="1490"/>
      <c r="FZ151" s="1490"/>
      <c r="GA151" s="1490"/>
      <c r="GB151" s="1490"/>
      <c r="GC151" s="1490"/>
      <c r="GD151" s="1490"/>
      <c r="GE151" s="1490"/>
      <c r="GF151" s="1490"/>
      <c r="GG151" s="1490"/>
      <c r="GH151" s="1490"/>
      <c r="GI151" s="1490"/>
      <c r="GJ151" s="1490"/>
      <c r="GK151" s="1490"/>
      <c r="GL151" s="1490"/>
      <c r="GM151" s="1490"/>
      <c r="GN151" s="1490"/>
      <c r="GO151" s="1490"/>
      <c r="GP151" s="1490"/>
      <c r="GQ151" s="1490"/>
      <c r="GR151" s="1490"/>
      <c r="GS151" s="1490"/>
      <c r="GT151" s="1490"/>
      <c r="GU151" s="1490"/>
      <c r="GV151" s="1490"/>
      <c r="GW151" s="1490"/>
      <c r="GX151" s="1490"/>
      <c r="GY151" s="1490"/>
      <c r="GZ151" s="1490"/>
      <c r="HA151" s="1490"/>
      <c r="HB151" s="1490"/>
      <c r="HC151" s="1490"/>
      <c r="HD151" s="1490"/>
      <c r="HE151" s="1490"/>
      <c r="HF151" s="1490"/>
      <c r="HG151" s="1490"/>
      <c r="HH151" s="1490"/>
      <c r="HI151" s="1490"/>
      <c r="HJ151" s="1490"/>
      <c r="HK151" s="1490"/>
      <c r="HL151" s="1490"/>
      <c r="HM151" s="1490"/>
      <c r="HN151" s="1490"/>
      <c r="HO151" s="1490"/>
      <c r="HP151" s="1490"/>
      <c r="HQ151" s="1490"/>
      <c r="HR151" s="1490"/>
      <c r="HS151" s="1490"/>
      <c r="HT151" s="1490"/>
      <c r="HU151" s="1490"/>
      <c r="HV151" s="1490"/>
      <c r="HW151" s="1490"/>
      <c r="HX151" s="1490"/>
      <c r="HY151" s="1490"/>
      <c r="HZ151" s="1490"/>
      <c r="IA151" s="1490"/>
      <c r="IB151" s="1490"/>
      <c r="IC151" s="1490"/>
      <c r="ID151" s="1490"/>
      <c r="IE151" s="1490"/>
      <c r="IF151" s="1490"/>
      <c r="IG151" s="1490"/>
      <c r="IH151" s="1490"/>
      <c r="II151" s="1490"/>
      <c r="IJ151" s="1490"/>
      <c r="IK151" s="1490"/>
      <c r="IL151" s="1490"/>
      <c r="IM151" s="1490"/>
      <c r="IN151" s="1490"/>
      <c r="IO151" s="44"/>
    </row>
    <row r="152" spans="1:249" s="5" customFormat="1" ht="25.5" customHeight="1">
      <c r="A152" s="1495" t="s">
        <v>233</v>
      </c>
      <c r="B152" s="1495"/>
      <c r="C152" s="1495"/>
      <c r="D152" s="1495"/>
      <c r="E152" s="1495"/>
      <c r="F152" s="1495"/>
      <c r="G152" s="1495"/>
      <c r="H152" s="1495"/>
      <c r="I152" s="1495"/>
      <c r="J152" s="1495"/>
      <c r="K152" s="1495"/>
      <c r="L152" s="1495"/>
      <c r="M152" s="1495"/>
      <c r="N152" s="1495"/>
      <c r="O152" s="49"/>
      <c r="P152" s="49"/>
      <c r="Q152" s="44"/>
      <c r="R152" s="44"/>
      <c r="S152" s="44"/>
      <c r="T152" s="44"/>
      <c r="U152" s="44"/>
      <c r="V152" s="44"/>
      <c r="W152" s="44"/>
      <c r="X152" s="44"/>
      <c r="Y152" s="44"/>
      <c r="Z152" s="44"/>
      <c r="AA152" s="44"/>
      <c r="AB152" s="44"/>
      <c r="AC152" s="44"/>
      <c r="AD152" s="1490"/>
      <c r="AE152" s="1490"/>
      <c r="AF152" s="1490"/>
      <c r="AG152" s="1490"/>
      <c r="AH152" s="1490"/>
      <c r="AI152" s="1490"/>
      <c r="AJ152" s="1490"/>
      <c r="AK152" s="1490"/>
      <c r="AL152" s="1490"/>
      <c r="AM152" s="1490"/>
      <c r="AN152" s="1490"/>
      <c r="AO152" s="1490"/>
      <c r="AP152" s="1490"/>
      <c r="AQ152" s="1490"/>
      <c r="AR152" s="1490"/>
      <c r="AS152" s="1490"/>
      <c r="AT152" s="1490"/>
      <c r="AU152" s="1490"/>
      <c r="AV152" s="1490"/>
      <c r="AW152" s="1490"/>
      <c r="AX152" s="1490"/>
      <c r="AY152" s="1490"/>
      <c r="AZ152" s="1490"/>
      <c r="BA152" s="1490"/>
      <c r="BB152" s="1490"/>
      <c r="BC152" s="1490"/>
      <c r="BD152" s="1490"/>
      <c r="BE152" s="1490"/>
      <c r="BF152" s="1490"/>
      <c r="BG152" s="1490"/>
      <c r="BH152" s="1490"/>
      <c r="BI152" s="1490"/>
      <c r="BJ152" s="1490"/>
      <c r="BK152" s="1490"/>
      <c r="BL152" s="1490"/>
      <c r="BM152" s="1490"/>
      <c r="BN152" s="1490"/>
      <c r="BO152" s="1490"/>
      <c r="BP152" s="1490"/>
      <c r="BQ152" s="1490"/>
      <c r="BR152" s="1490"/>
      <c r="BS152" s="1490"/>
      <c r="BT152" s="1490"/>
      <c r="BU152" s="1490"/>
      <c r="BV152" s="1490"/>
      <c r="BW152" s="1490"/>
      <c r="BX152" s="1490"/>
      <c r="BY152" s="1490"/>
      <c r="BZ152" s="1490"/>
      <c r="CA152" s="1490"/>
      <c r="CB152" s="1490"/>
      <c r="CC152" s="1490"/>
      <c r="CD152" s="1490"/>
      <c r="CE152" s="1490"/>
      <c r="CF152" s="1490"/>
      <c r="CG152" s="1490"/>
      <c r="CH152" s="1490"/>
      <c r="CI152" s="1490"/>
      <c r="CJ152" s="1490"/>
      <c r="CK152" s="1490"/>
      <c r="CL152" s="1490"/>
      <c r="CM152" s="1490"/>
      <c r="CN152" s="1490"/>
      <c r="CO152" s="1490"/>
      <c r="CP152" s="1490"/>
      <c r="CQ152" s="1490"/>
      <c r="CR152" s="1490"/>
      <c r="CS152" s="1490"/>
      <c r="CT152" s="1490"/>
      <c r="CU152" s="1490"/>
      <c r="CV152" s="1490"/>
      <c r="CW152" s="1490"/>
      <c r="CX152" s="1490"/>
      <c r="CY152" s="1490"/>
      <c r="CZ152" s="1490"/>
      <c r="DA152" s="1490"/>
      <c r="DB152" s="1490"/>
      <c r="DC152" s="1490"/>
      <c r="DD152" s="1490"/>
      <c r="DE152" s="1490"/>
      <c r="DF152" s="1490"/>
      <c r="DG152" s="1490"/>
      <c r="DH152" s="1490"/>
      <c r="DI152" s="1490"/>
      <c r="DJ152" s="1490"/>
      <c r="DK152" s="1490"/>
      <c r="DL152" s="1490"/>
      <c r="DM152" s="1490"/>
      <c r="DN152" s="1490"/>
      <c r="DO152" s="1490"/>
      <c r="DP152" s="1490"/>
      <c r="DQ152" s="1490"/>
      <c r="DR152" s="1490"/>
      <c r="DS152" s="1490"/>
      <c r="DT152" s="1490"/>
      <c r="DU152" s="1490"/>
      <c r="DV152" s="1490"/>
      <c r="DW152" s="1490"/>
      <c r="DX152" s="1490"/>
      <c r="DY152" s="1490"/>
      <c r="DZ152" s="1490"/>
      <c r="EA152" s="1490"/>
      <c r="EB152" s="1490"/>
      <c r="EC152" s="1490"/>
      <c r="ED152" s="1490"/>
      <c r="EE152" s="1490"/>
      <c r="EF152" s="1490"/>
      <c r="EG152" s="1490"/>
      <c r="EH152" s="1490"/>
      <c r="EI152" s="1490"/>
      <c r="EJ152" s="1490"/>
      <c r="EK152" s="1490"/>
      <c r="EL152" s="1490"/>
      <c r="EM152" s="1490"/>
      <c r="EN152" s="1490"/>
      <c r="EO152" s="1490"/>
      <c r="EP152" s="1490"/>
      <c r="EQ152" s="1490"/>
      <c r="ER152" s="1490"/>
      <c r="ES152" s="1490"/>
      <c r="ET152" s="1490"/>
      <c r="EU152" s="1490"/>
      <c r="EV152" s="1490"/>
      <c r="EW152" s="1490"/>
      <c r="EX152" s="1490"/>
      <c r="EY152" s="1490"/>
      <c r="EZ152" s="1490"/>
      <c r="FA152" s="1490"/>
      <c r="FB152" s="1490"/>
      <c r="FC152" s="1490"/>
      <c r="FD152" s="1490"/>
      <c r="FE152" s="1490"/>
      <c r="FF152" s="1490"/>
      <c r="FG152" s="1490"/>
      <c r="FH152" s="1490"/>
      <c r="FI152" s="1490"/>
      <c r="FJ152" s="1490"/>
      <c r="FK152" s="1490"/>
      <c r="FL152" s="1490"/>
      <c r="FM152" s="1490"/>
      <c r="FN152" s="1490"/>
      <c r="FO152" s="1490"/>
      <c r="FP152" s="1490"/>
      <c r="FQ152" s="1490"/>
      <c r="FR152" s="1490"/>
      <c r="FS152" s="1490"/>
      <c r="FT152" s="1490"/>
      <c r="FU152" s="1490"/>
      <c r="FV152" s="1490"/>
      <c r="FW152" s="1490"/>
      <c r="FX152" s="1490"/>
      <c r="FY152" s="1490"/>
      <c r="FZ152" s="1490"/>
      <c r="GA152" s="1490"/>
      <c r="GB152" s="1490"/>
      <c r="GC152" s="1490"/>
      <c r="GD152" s="1490"/>
      <c r="GE152" s="1490"/>
      <c r="GF152" s="1490"/>
      <c r="GG152" s="1490"/>
      <c r="GH152" s="1490"/>
      <c r="GI152" s="1490"/>
      <c r="GJ152" s="1490"/>
      <c r="GK152" s="1490"/>
      <c r="GL152" s="1490"/>
      <c r="GM152" s="1490"/>
      <c r="GN152" s="1490"/>
      <c r="GO152" s="1490"/>
      <c r="GP152" s="1490"/>
      <c r="GQ152" s="1490"/>
      <c r="GR152" s="1490"/>
      <c r="GS152" s="1490"/>
      <c r="GT152" s="1490"/>
      <c r="GU152" s="1490"/>
      <c r="GV152" s="1490"/>
      <c r="GW152" s="1490"/>
      <c r="GX152" s="1490"/>
      <c r="GY152" s="1490"/>
      <c r="GZ152" s="1490"/>
      <c r="HA152" s="1490"/>
      <c r="HB152" s="1490"/>
      <c r="HC152" s="1490"/>
      <c r="HD152" s="1490"/>
      <c r="HE152" s="1490"/>
      <c r="HF152" s="1490"/>
      <c r="HG152" s="1490"/>
      <c r="HH152" s="1490"/>
      <c r="HI152" s="1490"/>
      <c r="HJ152" s="1490"/>
      <c r="HK152" s="1490"/>
      <c r="HL152" s="1490"/>
      <c r="HM152" s="1490"/>
      <c r="HN152" s="1490"/>
      <c r="HO152" s="1490"/>
      <c r="HP152" s="1490"/>
      <c r="HQ152" s="1490"/>
      <c r="HR152" s="1490"/>
      <c r="HS152" s="1490"/>
      <c r="HT152" s="1490"/>
      <c r="HU152" s="1490"/>
      <c r="HV152" s="1490"/>
      <c r="HW152" s="1490"/>
      <c r="HX152" s="1490"/>
      <c r="HY152" s="1490"/>
      <c r="HZ152" s="1490"/>
      <c r="IA152" s="1490"/>
      <c r="IB152" s="1490"/>
      <c r="IC152" s="1490"/>
      <c r="ID152" s="1490"/>
      <c r="IE152" s="1490"/>
      <c r="IF152" s="1490"/>
      <c r="IG152" s="1490"/>
      <c r="IH152" s="1490"/>
      <c r="II152" s="1490"/>
      <c r="IJ152" s="1490"/>
      <c r="IK152" s="1490"/>
      <c r="IL152" s="1490"/>
      <c r="IM152" s="1490"/>
      <c r="IN152" s="1490"/>
      <c r="IO152" s="44"/>
    </row>
    <row r="153" spans="1:249" s="5" customFormat="1" ht="24.75" customHeight="1">
      <c r="A153" s="1495" t="s">
        <v>235</v>
      </c>
      <c r="B153" s="1495"/>
      <c r="C153" s="1495"/>
      <c r="D153" s="1495"/>
      <c r="E153" s="1495"/>
      <c r="F153" s="1495"/>
      <c r="G153" s="1495"/>
      <c r="H153" s="1495"/>
      <c r="I153" s="1495"/>
      <c r="J153" s="1495"/>
      <c r="K153" s="1495"/>
      <c r="L153" s="1495"/>
      <c r="M153" s="1495"/>
      <c r="N153" s="1495"/>
      <c r="O153" s="49"/>
      <c r="P153" s="49"/>
      <c r="Q153" s="129"/>
      <c r="R153" s="129"/>
      <c r="S153" s="129"/>
      <c r="T153" s="129"/>
      <c r="U153" s="127"/>
      <c r="V153" s="127"/>
      <c r="W153" s="127"/>
      <c r="X153" s="127"/>
      <c r="Y153" s="127"/>
      <c r="Z153" s="127"/>
      <c r="AA153" s="127"/>
      <c r="AB153" s="127"/>
      <c r="AC153" s="127"/>
      <c r="AD153" s="127"/>
      <c r="AE153" s="127"/>
      <c r="AF153" s="127"/>
    </row>
    <row r="154" spans="1:249" s="5" customFormat="1" ht="24.75" customHeight="1">
      <c r="A154" s="99" t="s">
        <v>281</v>
      </c>
      <c r="B154" s="44"/>
      <c r="C154" s="44"/>
      <c r="D154" s="44"/>
      <c r="E154" s="44"/>
      <c r="F154" s="104" t="str">
        <f>$A$83</f>
        <v>sè:  PM-B1-T§/800</v>
      </c>
      <c r="G154" s="44"/>
      <c r="H154" s="44"/>
      <c r="I154" s="44"/>
      <c r="J154" s="44"/>
      <c r="K154" s="44"/>
      <c r="L154" s="44"/>
      <c r="M154" s="44"/>
      <c r="N154" s="44"/>
      <c r="O154" s="49"/>
      <c r="P154" s="49"/>
      <c r="Q154" s="49"/>
      <c r="R154" s="49"/>
      <c r="S154" s="49"/>
      <c r="T154" s="49"/>
      <c r="U154" s="49"/>
      <c r="V154" s="49"/>
      <c r="W154" s="49"/>
      <c r="X154" s="49"/>
      <c r="Y154" s="49"/>
      <c r="Z154" s="49"/>
      <c r="AA154" s="49"/>
      <c r="AB154" s="49"/>
      <c r="AC154" s="49"/>
      <c r="AD154" s="1494"/>
      <c r="AE154" s="1494"/>
      <c r="AF154" s="1494"/>
      <c r="AG154" s="1494"/>
      <c r="AH154" s="1494"/>
      <c r="AI154" s="1494"/>
      <c r="AJ154" s="1494"/>
      <c r="AK154" s="1494"/>
      <c r="AL154" s="1494"/>
      <c r="AM154" s="1494"/>
      <c r="AN154" s="1494"/>
      <c r="AO154" s="1494"/>
      <c r="AP154" s="1494"/>
      <c r="AQ154" s="1494"/>
      <c r="AR154" s="1494"/>
      <c r="AS154" s="1494"/>
      <c r="AT154" s="1494"/>
      <c r="AU154" s="1494"/>
      <c r="AV154" s="1494"/>
      <c r="AW154" s="1494"/>
      <c r="AX154" s="1494"/>
      <c r="AY154" s="1494"/>
      <c r="AZ154" s="1494"/>
      <c r="BA154" s="1494"/>
      <c r="BB154" s="1494"/>
      <c r="BC154" s="1494"/>
      <c r="BD154" s="1494"/>
      <c r="BE154" s="1494"/>
      <c r="BF154" s="1494"/>
      <c r="BG154" s="1494"/>
      <c r="BH154" s="1494"/>
      <c r="BI154" s="1494"/>
      <c r="BJ154" s="1494"/>
      <c r="BK154" s="1494"/>
      <c r="BL154" s="1494"/>
      <c r="BM154" s="1494"/>
      <c r="BN154" s="1494"/>
      <c r="BO154" s="1494"/>
      <c r="BP154" s="1494"/>
      <c r="BQ154" s="1494"/>
      <c r="BR154" s="1494"/>
      <c r="BS154" s="1494"/>
      <c r="BT154" s="1494"/>
      <c r="BU154" s="1494"/>
      <c r="BV154" s="1494"/>
      <c r="BW154" s="1494"/>
      <c r="BX154" s="1494"/>
      <c r="BY154" s="1494"/>
      <c r="BZ154" s="1494"/>
      <c r="CA154" s="1494"/>
      <c r="CB154" s="1494"/>
      <c r="CC154" s="1494"/>
      <c r="CD154" s="1494"/>
      <c r="CE154" s="1494"/>
      <c r="CF154" s="1494"/>
      <c r="CG154" s="1494"/>
      <c r="CH154" s="1494"/>
      <c r="CI154" s="1494"/>
      <c r="CJ154" s="1494"/>
      <c r="CK154" s="1494"/>
      <c r="CL154" s="1494"/>
      <c r="CM154" s="1494"/>
      <c r="CN154" s="1494"/>
      <c r="CO154" s="1494"/>
      <c r="CP154" s="1494"/>
      <c r="CQ154" s="1494"/>
      <c r="CR154" s="1494"/>
      <c r="CS154" s="1494"/>
      <c r="CT154" s="1494"/>
      <c r="CU154" s="1494"/>
      <c r="CV154" s="1494"/>
      <c r="CW154" s="1494"/>
      <c r="CX154" s="1494"/>
      <c r="CY154" s="1494"/>
      <c r="CZ154" s="1494"/>
      <c r="DA154" s="1494"/>
      <c r="DB154" s="1494"/>
      <c r="DC154" s="1494"/>
      <c r="DD154" s="1494"/>
      <c r="DE154" s="1494"/>
      <c r="DF154" s="1494"/>
      <c r="DG154" s="1494"/>
      <c r="DH154" s="1494"/>
      <c r="DI154" s="1494"/>
      <c r="DJ154" s="1494"/>
      <c r="DK154" s="1494"/>
      <c r="DL154" s="1494"/>
      <c r="DM154" s="1494"/>
      <c r="DN154" s="1494"/>
      <c r="DO154" s="1494"/>
      <c r="DP154" s="1494"/>
      <c r="DQ154" s="1494"/>
      <c r="DR154" s="1494"/>
      <c r="DS154" s="1494"/>
      <c r="DT154" s="1494"/>
      <c r="DU154" s="1494"/>
      <c r="DV154" s="1494"/>
      <c r="DW154" s="1494"/>
      <c r="DX154" s="1494"/>
      <c r="DY154" s="1494"/>
      <c r="DZ154" s="1494"/>
      <c r="EA154" s="1494"/>
      <c r="EB154" s="1494"/>
      <c r="EC154" s="1494"/>
      <c r="ED154" s="1494"/>
      <c r="EE154" s="1494"/>
      <c r="EF154" s="1494"/>
      <c r="EG154" s="1494"/>
      <c r="EH154" s="1494"/>
      <c r="EI154" s="1494"/>
      <c r="EJ154" s="1494"/>
      <c r="EK154" s="1494"/>
      <c r="EL154" s="1494"/>
      <c r="EM154" s="1494"/>
      <c r="EN154" s="1494"/>
      <c r="EO154" s="1494"/>
      <c r="EP154" s="1494"/>
      <c r="EQ154" s="1494"/>
      <c r="ER154" s="1494"/>
      <c r="ES154" s="1494"/>
      <c r="ET154" s="1494"/>
      <c r="EU154" s="1494"/>
      <c r="EV154" s="1494"/>
      <c r="EW154" s="1494"/>
      <c r="EX154" s="1494"/>
      <c r="EY154" s="1494"/>
      <c r="EZ154" s="1494"/>
      <c r="FA154" s="1494"/>
      <c r="FB154" s="1494"/>
      <c r="FC154" s="1494"/>
      <c r="FD154" s="1494"/>
      <c r="FE154" s="1494"/>
      <c r="FF154" s="1494"/>
      <c r="FG154" s="1494"/>
      <c r="FH154" s="1494"/>
      <c r="FI154" s="1494"/>
      <c r="FJ154" s="1494"/>
      <c r="FK154" s="1494"/>
      <c r="FL154" s="1494"/>
      <c r="FM154" s="1494"/>
      <c r="FN154" s="1494"/>
      <c r="FO154" s="1494"/>
      <c r="FP154" s="1494"/>
      <c r="FQ154" s="1494"/>
      <c r="FR154" s="1494"/>
      <c r="FS154" s="1494"/>
      <c r="FT154" s="1494"/>
      <c r="FU154" s="1494"/>
      <c r="FV154" s="1494"/>
      <c r="FW154" s="1494"/>
      <c r="FX154" s="1494"/>
      <c r="FY154" s="1494"/>
      <c r="FZ154" s="1494"/>
      <c r="GA154" s="1494"/>
      <c r="GB154" s="1494"/>
      <c r="GC154" s="1494"/>
      <c r="GD154" s="1494"/>
      <c r="GE154" s="1494"/>
      <c r="GF154" s="1494"/>
      <c r="GG154" s="1494"/>
      <c r="GH154" s="1494"/>
      <c r="GI154" s="1494"/>
      <c r="GJ154" s="1494"/>
      <c r="GK154" s="1494"/>
      <c r="GL154" s="1494"/>
      <c r="GM154" s="1494"/>
      <c r="GN154" s="1494"/>
      <c r="GO154" s="1494"/>
      <c r="GP154" s="1494"/>
      <c r="GQ154" s="1494"/>
      <c r="GR154" s="1494"/>
      <c r="GS154" s="1494"/>
      <c r="GT154" s="1494"/>
      <c r="GU154" s="1494"/>
      <c r="GV154" s="1494"/>
      <c r="GW154" s="1494"/>
      <c r="GX154" s="1494"/>
      <c r="GY154" s="1494"/>
      <c r="GZ154" s="1494"/>
      <c r="HA154" s="1494"/>
      <c r="HB154" s="1494"/>
      <c r="HC154" s="1494"/>
      <c r="HD154" s="1494"/>
      <c r="HE154" s="1494"/>
      <c r="HF154" s="1494"/>
      <c r="HG154" s="1494"/>
      <c r="HH154" s="1494"/>
      <c r="HI154" s="1494"/>
      <c r="HJ154" s="1494"/>
      <c r="HK154" s="1494"/>
      <c r="HL154" s="1494"/>
      <c r="HM154" s="1494"/>
      <c r="HN154" s="1494"/>
      <c r="HO154" s="1494"/>
      <c r="HP154" s="1494"/>
      <c r="HQ154" s="1494"/>
      <c r="HR154" s="1494"/>
      <c r="HS154" s="1494"/>
      <c r="HT154" s="1494"/>
      <c r="HU154" s="1494"/>
      <c r="HV154" s="1494"/>
      <c r="HW154" s="1494"/>
      <c r="HX154" s="1494"/>
      <c r="HY154" s="1494"/>
      <c r="HZ154" s="1494"/>
      <c r="IA154" s="1494"/>
      <c r="IB154" s="1494"/>
      <c r="IC154" s="1494"/>
      <c r="ID154" s="1494"/>
      <c r="IE154" s="1494"/>
      <c r="IF154" s="1494"/>
      <c r="IG154" s="1494"/>
      <c r="IH154" s="1494"/>
      <c r="II154" s="1494"/>
      <c r="IJ154" s="1494"/>
      <c r="IK154" s="1494"/>
      <c r="IL154" s="1494"/>
      <c r="IM154" s="1494"/>
      <c r="IN154" s="1494"/>
      <c r="IO154" s="49"/>
    </row>
    <row r="155" spans="1:249" s="5" customFormat="1" ht="25.5" customHeight="1">
      <c r="A155" s="99" t="s">
        <v>282</v>
      </c>
      <c r="B155" s="44"/>
      <c r="C155" s="44"/>
      <c r="D155" s="44"/>
      <c r="E155" s="44"/>
      <c r="F155" s="44"/>
      <c r="G155" s="44"/>
      <c r="I155" s="104" t="str">
        <f>$E$95</f>
        <v>B1/ Nb-T§/800</v>
      </c>
      <c r="J155" s="44"/>
      <c r="K155" s="44"/>
      <c r="L155" s="44"/>
      <c r="M155" s="44"/>
      <c r="N155" s="44"/>
      <c r="O155" s="49"/>
      <c r="P155" s="49"/>
      <c r="Q155" s="49"/>
      <c r="R155" s="49"/>
      <c r="S155" s="49"/>
      <c r="T155" s="49"/>
      <c r="U155" s="49"/>
      <c r="V155" s="49"/>
      <c r="W155" s="49"/>
      <c r="X155" s="49"/>
      <c r="Y155" s="49"/>
      <c r="Z155" s="49"/>
      <c r="AA155" s="49"/>
      <c r="AB155" s="49"/>
      <c r="AC155" s="49"/>
      <c r="AD155" s="1494"/>
      <c r="AE155" s="1494"/>
      <c r="AF155" s="1494"/>
      <c r="AG155" s="1494"/>
      <c r="AH155" s="1494"/>
      <c r="AI155" s="1494"/>
      <c r="AJ155" s="1494"/>
      <c r="AK155" s="1494"/>
      <c r="AL155" s="1494"/>
      <c r="AM155" s="1494"/>
      <c r="AN155" s="1494"/>
      <c r="AO155" s="1494"/>
      <c r="AP155" s="1494"/>
      <c r="AQ155" s="1494"/>
      <c r="AR155" s="1494"/>
      <c r="AS155" s="1494"/>
      <c r="AT155" s="1494"/>
      <c r="AU155" s="1494"/>
      <c r="AV155" s="1494"/>
      <c r="AW155" s="1494"/>
      <c r="AX155" s="1494"/>
      <c r="AY155" s="1494"/>
      <c r="AZ155" s="1494"/>
      <c r="BA155" s="1494"/>
      <c r="BB155" s="1494"/>
      <c r="BC155" s="1494"/>
      <c r="BD155" s="1494"/>
      <c r="BE155" s="1494"/>
      <c r="BF155" s="1494"/>
      <c r="BG155" s="1494"/>
      <c r="BH155" s="1494"/>
      <c r="BI155" s="1494"/>
      <c r="BJ155" s="1494"/>
      <c r="BK155" s="1494"/>
      <c r="BL155" s="1494"/>
      <c r="BM155" s="1494"/>
      <c r="BN155" s="1494"/>
      <c r="BO155" s="1494"/>
      <c r="BP155" s="1494"/>
      <c r="BQ155" s="1494"/>
      <c r="BR155" s="1494"/>
      <c r="BS155" s="1494"/>
      <c r="BT155" s="1494"/>
      <c r="BU155" s="1494"/>
      <c r="BV155" s="1494"/>
      <c r="BW155" s="1494"/>
      <c r="BX155" s="1494"/>
      <c r="BY155" s="1494"/>
      <c r="BZ155" s="1494"/>
      <c r="CA155" s="1494"/>
      <c r="CB155" s="1494"/>
      <c r="CC155" s="1494"/>
      <c r="CD155" s="1494"/>
      <c r="CE155" s="1494"/>
      <c r="CF155" s="1494"/>
      <c r="CG155" s="1494"/>
      <c r="CH155" s="1494"/>
      <c r="CI155" s="1494"/>
      <c r="CJ155" s="1494"/>
      <c r="CK155" s="1494"/>
      <c r="CL155" s="1494"/>
      <c r="CM155" s="1494"/>
      <c r="CN155" s="1494"/>
      <c r="CO155" s="1494"/>
      <c r="CP155" s="1494"/>
      <c r="CQ155" s="1494"/>
      <c r="CR155" s="1494"/>
      <c r="CS155" s="1494"/>
      <c r="CT155" s="1494"/>
      <c r="CU155" s="1494"/>
      <c r="CV155" s="1494"/>
      <c r="CW155" s="1494"/>
      <c r="CX155" s="1494"/>
      <c r="CY155" s="1494"/>
      <c r="CZ155" s="1494"/>
      <c r="DA155" s="1494"/>
      <c r="DB155" s="1494"/>
      <c r="DC155" s="1494"/>
      <c r="DD155" s="1494"/>
      <c r="DE155" s="1494"/>
      <c r="DF155" s="1494"/>
      <c r="DG155" s="1494"/>
      <c r="DH155" s="1494"/>
      <c r="DI155" s="1494"/>
      <c r="DJ155" s="1494"/>
      <c r="DK155" s="1494"/>
      <c r="DL155" s="1494"/>
      <c r="DM155" s="1494"/>
      <c r="DN155" s="1494"/>
      <c r="DO155" s="1494"/>
      <c r="DP155" s="1494"/>
      <c r="DQ155" s="1494"/>
      <c r="DR155" s="1494"/>
      <c r="DS155" s="1494"/>
      <c r="DT155" s="1494"/>
      <c r="DU155" s="1494"/>
      <c r="DV155" s="1494"/>
      <c r="DW155" s="1494"/>
      <c r="DX155" s="1494"/>
      <c r="DY155" s="1494"/>
      <c r="DZ155" s="1494"/>
      <c r="EA155" s="1494"/>
      <c r="EB155" s="1494"/>
      <c r="EC155" s="1494"/>
      <c r="ED155" s="1494"/>
      <c r="EE155" s="1494"/>
      <c r="EF155" s="1494"/>
      <c r="EG155" s="1494"/>
      <c r="EH155" s="1494"/>
      <c r="EI155" s="1494"/>
      <c r="EJ155" s="1494"/>
      <c r="EK155" s="1494"/>
      <c r="EL155" s="1494"/>
      <c r="EM155" s="1494"/>
      <c r="EN155" s="1494"/>
      <c r="EO155" s="1494"/>
      <c r="EP155" s="1494"/>
      <c r="EQ155" s="1494"/>
      <c r="ER155" s="1494"/>
      <c r="ES155" s="1494"/>
      <c r="ET155" s="1494"/>
      <c r="EU155" s="1494"/>
      <c r="EV155" s="1494"/>
      <c r="EW155" s="1494"/>
      <c r="EX155" s="1494"/>
      <c r="EY155" s="1494"/>
      <c r="EZ155" s="1494"/>
      <c r="FA155" s="1494"/>
      <c r="FB155" s="1494"/>
      <c r="FC155" s="1494"/>
      <c r="FD155" s="1494"/>
      <c r="FE155" s="1494"/>
      <c r="FF155" s="1494"/>
      <c r="FG155" s="1494"/>
      <c r="FH155" s="1494"/>
      <c r="FI155" s="1494"/>
      <c r="FJ155" s="1494"/>
      <c r="FK155" s="1494"/>
      <c r="FL155" s="1494"/>
      <c r="FM155" s="1494"/>
      <c r="FN155" s="1494"/>
      <c r="FO155" s="1494"/>
      <c r="FP155" s="1494"/>
      <c r="FQ155" s="1494"/>
      <c r="FR155" s="1494"/>
      <c r="FS155" s="1494"/>
      <c r="FT155" s="1494"/>
      <c r="FU155" s="1494"/>
      <c r="FV155" s="1494"/>
      <c r="FW155" s="1494"/>
      <c r="FX155" s="1494"/>
      <c r="FY155" s="1494"/>
      <c r="FZ155" s="1494"/>
      <c r="GA155" s="1494"/>
      <c r="GB155" s="1494"/>
      <c r="GC155" s="1494"/>
      <c r="GD155" s="1494"/>
      <c r="GE155" s="1494"/>
      <c r="GF155" s="1494"/>
      <c r="GG155" s="1494"/>
      <c r="GH155" s="1494"/>
      <c r="GI155" s="1494"/>
      <c r="GJ155" s="1494"/>
      <c r="GK155" s="1494"/>
      <c r="GL155" s="1494"/>
      <c r="GM155" s="1494"/>
      <c r="GN155" s="1494"/>
      <c r="GO155" s="1494"/>
      <c r="GP155" s="1494"/>
      <c r="GQ155" s="1494"/>
      <c r="GR155" s="1494"/>
      <c r="GS155" s="1494"/>
      <c r="GT155" s="1494"/>
      <c r="GU155" s="1494"/>
      <c r="GV155" s="1494"/>
      <c r="GW155" s="1494"/>
      <c r="GX155" s="1494"/>
      <c r="GY155" s="1494"/>
      <c r="GZ155" s="1494"/>
      <c r="HA155" s="1494"/>
      <c r="HB155" s="1494"/>
      <c r="HC155" s="1494"/>
      <c r="HD155" s="1494"/>
      <c r="HE155" s="1494"/>
      <c r="HF155" s="1494"/>
      <c r="HG155" s="1494"/>
      <c r="HH155" s="1494"/>
      <c r="HI155" s="1494"/>
      <c r="HJ155" s="1494"/>
      <c r="HK155" s="1494"/>
      <c r="HL155" s="1494"/>
      <c r="HM155" s="1494"/>
      <c r="HN155" s="1494"/>
      <c r="HO155" s="1494"/>
      <c r="HP155" s="1494"/>
      <c r="HQ155" s="1494"/>
      <c r="HR155" s="1494"/>
      <c r="HS155" s="1494"/>
      <c r="HT155" s="1494"/>
      <c r="HU155" s="1494"/>
      <c r="HV155" s="1494"/>
      <c r="HW155" s="1494"/>
      <c r="HX155" s="1494"/>
      <c r="HY155" s="1494"/>
      <c r="HZ155" s="1494"/>
      <c r="IA155" s="1494"/>
      <c r="IB155" s="1494"/>
      <c r="IC155" s="1494"/>
      <c r="ID155" s="1494"/>
      <c r="IE155" s="1494"/>
      <c r="IF155" s="1494"/>
      <c r="IG155" s="1494"/>
      <c r="IH155" s="1494"/>
      <c r="II155" s="1494"/>
      <c r="IJ155" s="1494"/>
      <c r="IK155" s="1494"/>
      <c r="IL155" s="1494"/>
      <c r="IM155" s="1494"/>
      <c r="IN155" s="1494"/>
      <c r="IO155" s="49"/>
    </row>
    <row r="156" spans="1:249" s="5" customFormat="1" ht="24" customHeight="1">
      <c r="A156" s="1488" t="s">
        <v>236</v>
      </c>
      <c r="B156" s="1488"/>
      <c r="C156" s="1488"/>
      <c r="D156" s="1488"/>
      <c r="E156" s="1488"/>
      <c r="F156" s="1488"/>
      <c r="G156" s="1488"/>
      <c r="H156" s="1488"/>
      <c r="I156" s="1488"/>
      <c r="J156" s="1488"/>
      <c r="K156" s="1488"/>
      <c r="L156" s="1488"/>
      <c r="M156" s="1488"/>
      <c r="N156" s="1488"/>
      <c r="O156" s="49"/>
      <c r="P156" s="49"/>
      <c r="Q156" s="49"/>
      <c r="R156" s="49"/>
      <c r="S156" s="49"/>
      <c r="T156" s="49"/>
      <c r="U156" s="49"/>
      <c r="V156" s="49"/>
      <c r="W156" s="49"/>
      <c r="X156" s="49"/>
      <c r="Y156" s="49"/>
      <c r="Z156" s="49"/>
      <c r="AA156" s="49"/>
      <c r="AB156" s="49"/>
      <c r="AC156" s="49"/>
      <c r="AD156" s="1494"/>
      <c r="AE156" s="1494"/>
      <c r="AF156" s="1494"/>
      <c r="AG156" s="1494"/>
      <c r="AH156" s="1494"/>
      <c r="AI156" s="1494"/>
      <c r="AJ156" s="1494"/>
      <c r="AK156" s="1494"/>
      <c r="AL156" s="1494"/>
      <c r="AM156" s="1494"/>
      <c r="AN156" s="1494"/>
      <c r="AO156" s="1494"/>
      <c r="AP156" s="1494"/>
      <c r="AQ156" s="1494"/>
      <c r="AR156" s="1494"/>
      <c r="AS156" s="1494"/>
      <c r="AT156" s="1494"/>
      <c r="AU156" s="1494"/>
      <c r="AV156" s="1494"/>
      <c r="AW156" s="1494"/>
      <c r="AX156" s="1494"/>
      <c r="AY156" s="1494"/>
      <c r="AZ156" s="1494"/>
      <c r="BA156" s="1494"/>
      <c r="BB156" s="1494"/>
      <c r="BC156" s="1494"/>
      <c r="BD156" s="1494"/>
      <c r="BE156" s="1494"/>
      <c r="BF156" s="1494"/>
      <c r="BG156" s="1494"/>
      <c r="BH156" s="1494"/>
      <c r="BI156" s="1494"/>
      <c r="BJ156" s="1494"/>
      <c r="BK156" s="1494"/>
      <c r="BL156" s="1494"/>
      <c r="BM156" s="1494"/>
      <c r="BN156" s="1494"/>
      <c r="BO156" s="1494"/>
      <c r="BP156" s="1494"/>
      <c r="BQ156" s="1494"/>
      <c r="BR156" s="1494"/>
      <c r="BS156" s="1494"/>
      <c r="BT156" s="1494"/>
      <c r="BU156" s="1494"/>
      <c r="BV156" s="1494"/>
      <c r="BW156" s="1494"/>
      <c r="BX156" s="1494"/>
      <c r="BY156" s="1494"/>
      <c r="BZ156" s="1494"/>
      <c r="CA156" s="1494"/>
      <c r="CB156" s="1494"/>
      <c r="CC156" s="1494"/>
      <c r="CD156" s="1494"/>
      <c r="CE156" s="1494"/>
      <c r="CF156" s="1494"/>
      <c r="CG156" s="1494"/>
      <c r="CH156" s="1494"/>
      <c r="CI156" s="1494"/>
      <c r="CJ156" s="1494"/>
      <c r="CK156" s="1494"/>
      <c r="CL156" s="1494"/>
      <c r="CM156" s="1494"/>
      <c r="CN156" s="1494"/>
      <c r="CO156" s="1494"/>
      <c r="CP156" s="1494"/>
      <c r="CQ156" s="1494"/>
      <c r="CR156" s="1494"/>
      <c r="CS156" s="1494"/>
      <c r="CT156" s="1494"/>
      <c r="CU156" s="1494"/>
      <c r="CV156" s="1494"/>
      <c r="CW156" s="1494"/>
      <c r="CX156" s="1494"/>
      <c r="CY156" s="1494"/>
      <c r="CZ156" s="1494"/>
      <c r="DA156" s="1494"/>
      <c r="DB156" s="1494"/>
      <c r="DC156" s="1494"/>
      <c r="DD156" s="1494"/>
      <c r="DE156" s="1494"/>
      <c r="DF156" s="1494"/>
      <c r="DG156" s="1494"/>
      <c r="DH156" s="1494"/>
      <c r="DI156" s="1494"/>
      <c r="DJ156" s="1494"/>
      <c r="DK156" s="1494"/>
      <c r="DL156" s="1494"/>
      <c r="DM156" s="1494"/>
      <c r="DN156" s="1494"/>
      <c r="DO156" s="1494"/>
      <c r="DP156" s="1494"/>
      <c r="DQ156" s="1494"/>
      <c r="DR156" s="1494"/>
      <c r="DS156" s="1494"/>
      <c r="DT156" s="1494"/>
      <c r="DU156" s="1494"/>
      <c r="DV156" s="1494"/>
      <c r="DW156" s="1494"/>
      <c r="DX156" s="1494"/>
      <c r="DY156" s="1494"/>
      <c r="DZ156" s="1494"/>
      <c r="EA156" s="1494"/>
      <c r="EB156" s="1494"/>
      <c r="EC156" s="1494"/>
      <c r="ED156" s="1494"/>
      <c r="EE156" s="1494"/>
      <c r="EF156" s="1494"/>
      <c r="EG156" s="1494"/>
      <c r="EH156" s="1494"/>
      <c r="EI156" s="1494"/>
      <c r="EJ156" s="1494"/>
      <c r="EK156" s="1494"/>
      <c r="EL156" s="1494"/>
      <c r="EM156" s="1494"/>
      <c r="EN156" s="1494"/>
      <c r="EO156" s="1494"/>
      <c r="EP156" s="1494"/>
      <c r="EQ156" s="1494"/>
      <c r="ER156" s="1494"/>
      <c r="ES156" s="1494"/>
      <c r="ET156" s="1494"/>
      <c r="EU156" s="1494"/>
      <c r="EV156" s="1494"/>
      <c r="EW156" s="1494"/>
      <c r="EX156" s="1494"/>
      <c r="EY156" s="1494"/>
      <c r="EZ156" s="1494"/>
      <c r="FA156" s="1494"/>
      <c r="FB156" s="1494"/>
      <c r="FC156" s="1494"/>
      <c r="FD156" s="1494"/>
      <c r="FE156" s="1494"/>
      <c r="FF156" s="1494"/>
      <c r="FG156" s="1494"/>
      <c r="FH156" s="1494"/>
      <c r="FI156" s="1494"/>
      <c r="FJ156" s="1494"/>
      <c r="FK156" s="1494"/>
      <c r="FL156" s="1494"/>
      <c r="FM156" s="1494"/>
      <c r="FN156" s="1494"/>
      <c r="FO156" s="1494"/>
      <c r="FP156" s="1494"/>
      <c r="FQ156" s="1494"/>
      <c r="FR156" s="1494"/>
      <c r="FS156" s="1494"/>
      <c r="FT156" s="1494"/>
      <c r="FU156" s="1494"/>
      <c r="FV156" s="1494"/>
      <c r="FW156" s="1494"/>
      <c r="FX156" s="1494"/>
      <c r="FY156" s="1494"/>
      <c r="FZ156" s="1494"/>
      <c r="GA156" s="1494"/>
      <c r="GB156" s="1494"/>
      <c r="GC156" s="1494"/>
      <c r="GD156" s="1494"/>
      <c r="GE156" s="1494"/>
      <c r="GF156" s="1494"/>
      <c r="GG156" s="1494"/>
      <c r="GH156" s="1494"/>
      <c r="GI156" s="1494"/>
      <c r="GJ156" s="1494"/>
      <c r="GK156" s="1494"/>
      <c r="GL156" s="1494"/>
      <c r="GM156" s="1494"/>
      <c r="GN156" s="1494"/>
      <c r="GO156" s="1494"/>
      <c r="GP156" s="1494"/>
      <c r="GQ156" s="1494"/>
      <c r="GR156" s="1494"/>
      <c r="GS156" s="1494"/>
      <c r="GT156" s="1494"/>
      <c r="GU156" s="1494"/>
      <c r="GV156" s="1494"/>
      <c r="GW156" s="1494"/>
      <c r="GX156" s="1494"/>
      <c r="GY156" s="1494"/>
      <c r="GZ156" s="1494"/>
      <c r="HA156" s="1494"/>
      <c r="HB156" s="1494"/>
      <c r="HC156" s="1494"/>
      <c r="HD156" s="1494"/>
      <c r="HE156" s="1494"/>
      <c r="HF156" s="1494"/>
      <c r="HG156" s="1494"/>
      <c r="HH156" s="1494"/>
      <c r="HI156" s="1494"/>
      <c r="HJ156" s="1494"/>
      <c r="HK156" s="1494"/>
      <c r="HL156" s="1494"/>
      <c r="HM156" s="1494"/>
      <c r="HN156" s="1494"/>
      <c r="HO156" s="1494"/>
      <c r="HP156" s="1494"/>
      <c r="HQ156" s="1494"/>
      <c r="HR156" s="1494"/>
      <c r="HS156" s="1494"/>
      <c r="HT156" s="1494"/>
      <c r="HU156" s="1494"/>
      <c r="HV156" s="1494"/>
      <c r="HW156" s="1494"/>
      <c r="HX156" s="1494"/>
      <c r="HY156" s="1494"/>
      <c r="HZ156" s="1494"/>
      <c r="IA156" s="1494"/>
      <c r="IB156" s="1494"/>
      <c r="IC156" s="1494"/>
      <c r="ID156" s="1494"/>
      <c r="IE156" s="1494"/>
      <c r="IF156" s="1494"/>
      <c r="IG156" s="1494"/>
      <c r="IH156" s="1494"/>
      <c r="II156" s="1494"/>
      <c r="IJ156" s="1494"/>
      <c r="IK156" s="1494"/>
      <c r="IL156" s="1494"/>
      <c r="IM156" s="1494"/>
      <c r="IN156" s="1494"/>
      <c r="IO156" s="49"/>
    </row>
    <row r="157" spans="1:249" s="5" customFormat="1" ht="24" customHeight="1">
      <c r="A157"/>
      <c r="B157" s="1520" t="s">
        <v>237</v>
      </c>
      <c r="C157" s="1520"/>
      <c r="D157" s="1520"/>
      <c r="E157" s="1520"/>
      <c r="F157" s="1520"/>
      <c r="G157" s="1520"/>
      <c r="H157" s="1520"/>
      <c r="I157" s="1520"/>
      <c r="J157" s="50"/>
      <c r="K157" s="50"/>
      <c r="L157" s="50"/>
      <c r="M157" s="50"/>
      <c r="N157" s="50"/>
      <c r="P157" s="4"/>
      <c r="Q157" s="105"/>
      <c r="R157" s="105"/>
      <c r="S157" s="105"/>
      <c r="T157" s="105"/>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49"/>
      <c r="BU157" s="49"/>
      <c r="BV157" s="49"/>
      <c r="BW157" s="49"/>
      <c r="BX157" s="49"/>
      <c r="BY157" s="49"/>
      <c r="BZ157" s="49"/>
      <c r="CA157" s="49"/>
      <c r="CB157" s="49"/>
      <c r="CC157" s="49"/>
      <c r="CD157" s="49"/>
      <c r="CE157" s="49"/>
      <c r="CF157" s="49"/>
      <c r="CG157" s="49"/>
      <c r="CH157" s="49"/>
      <c r="CI157" s="49"/>
      <c r="CJ157" s="49"/>
      <c r="CK157" s="49"/>
      <c r="CL157" s="49"/>
      <c r="CM157" s="49"/>
      <c r="CN157" s="49"/>
      <c r="CO157" s="49"/>
      <c r="CP157" s="49"/>
      <c r="CQ157" s="49"/>
      <c r="CR157" s="49"/>
      <c r="CS157" s="49"/>
      <c r="CT157" s="49"/>
      <c r="CU157" s="49"/>
      <c r="CV157" s="49"/>
      <c r="CW157" s="49"/>
      <c r="CX157" s="49"/>
      <c r="CY157" s="49"/>
      <c r="CZ157" s="49"/>
      <c r="DA157" s="49"/>
      <c r="DB157" s="49"/>
      <c r="DC157" s="49"/>
      <c r="DD157" s="49"/>
      <c r="DE157" s="49"/>
      <c r="DF157" s="49"/>
      <c r="DG157" s="49"/>
      <c r="DH157" s="49"/>
      <c r="DI157" s="49"/>
      <c r="DJ157" s="49"/>
      <c r="DK157" s="49"/>
      <c r="DL157" s="49"/>
      <c r="DM157" s="49"/>
      <c r="DN157" s="49"/>
      <c r="DO157" s="49"/>
      <c r="DP157" s="49"/>
      <c r="DQ157" s="49"/>
      <c r="DR157" s="49"/>
      <c r="DS157" s="49"/>
      <c r="DT157" s="49"/>
      <c r="DU157" s="49"/>
      <c r="DV157" s="49"/>
      <c r="DW157" s="49"/>
      <c r="DX157" s="49"/>
      <c r="DY157" s="49"/>
      <c r="DZ157" s="49"/>
      <c r="EA157" s="49"/>
      <c r="EB157" s="49"/>
      <c r="EC157" s="49"/>
      <c r="ED157" s="49"/>
      <c r="EE157" s="49"/>
      <c r="EF157" s="49"/>
      <c r="EG157" s="49"/>
      <c r="EH157" s="49"/>
      <c r="EI157" s="49"/>
      <c r="EJ157" s="49"/>
      <c r="EK157" s="49"/>
      <c r="EL157" s="49"/>
      <c r="EM157" s="49"/>
      <c r="EN157" s="49"/>
      <c r="EO157" s="49"/>
      <c r="EP157" s="49"/>
      <c r="EQ157" s="49"/>
      <c r="ER157" s="49"/>
      <c r="ES157" s="49"/>
      <c r="ET157" s="49"/>
      <c r="EU157" s="49"/>
      <c r="EV157" s="49"/>
      <c r="EW157" s="49"/>
      <c r="EX157" s="49"/>
      <c r="EY157" s="49"/>
      <c r="EZ157" s="49"/>
      <c r="FA157" s="49"/>
      <c r="FB157" s="49"/>
      <c r="FC157" s="49"/>
      <c r="FD157" s="49"/>
      <c r="FE157" s="49"/>
      <c r="FF157" s="49"/>
      <c r="FG157" s="49"/>
      <c r="FH157" s="49"/>
      <c r="FI157" s="49"/>
      <c r="FJ157" s="49"/>
      <c r="FK157" s="49"/>
      <c r="FL157" s="49"/>
      <c r="FM157" s="49"/>
      <c r="FN157" s="49"/>
      <c r="FO157" s="49"/>
      <c r="FP157" s="49"/>
      <c r="FQ157" s="49"/>
      <c r="FR157" s="49"/>
      <c r="FS157" s="49"/>
      <c r="FT157" s="49"/>
      <c r="FU157" s="49"/>
      <c r="FV157" s="49"/>
      <c r="FW157" s="49"/>
      <c r="FX157" s="49"/>
      <c r="FY157" s="49"/>
      <c r="FZ157" s="49"/>
      <c r="GA157" s="49"/>
      <c r="GB157" s="49"/>
      <c r="GC157" s="49"/>
      <c r="GD157" s="49"/>
      <c r="GE157" s="49"/>
      <c r="GF157" s="49"/>
      <c r="GG157" s="49"/>
      <c r="GH157" s="49"/>
      <c r="GI157" s="49"/>
      <c r="GJ157" s="49"/>
      <c r="GK157" s="49"/>
      <c r="GL157" s="49"/>
      <c r="GM157" s="49"/>
      <c r="GN157" s="49"/>
      <c r="GO157" s="49"/>
      <c r="GP157" s="49"/>
      <c r="GQ157" s="49"/>
      <c r="GR157" s="49"/>
      <c r="GS157" s="49"/>
      <c r="GT157" s="49"/>
      <c r="GU157" s="49"/>
      <c r="GV157" s="49"/>
      <c r="GW157" s="49"/>
      <c r="GX157" s="49"/>
      <c r="GY157" s="49"/>
      <c r="GZ157" s="49"/>
      <c r="HA157" s="49"/>
      <c r="HB157" s="49"/>
      <c r="HC157" s="49"/>
      <c r="HD157" s="49"/>
      <c r="HE157" s="49"/>
      <c r="HF157" s="49"/>
      <c r="HG157" s="49"/>
      <c r="HH157" s="49"/>
      <c r="HI157" s="49"/>
      <c r="HJ157" s="49"/>
      <c r="HK157" s="49"/>
      <c r="HL157" s="49"/>
      <c r="HM157" s="49"/>
      <c r="HN157" s="49"/>
      <c r="HO157" s="49"/>
      <c r="HP157" s="49"/>
      <c r="HQ157" s="49"/>
      <c r="HR157" s="49"/>
      <c r="HS157" s="49"/>
      <c r="HT157" s="49"/>
      <c r="HU157" s="49"/>
      <c r="HV157" s="49"/>
      <c r="HW157" s="49"/>
      <c r="HX157" s="49"/>
      <c r="HY157" s="49"/>
      <c r="HZ157" s="49"/>
      <c r="IA157" s="49"/>
      <c r="IB157" s="49"/>
      <c r="IC157" s="49"/>
      <c r="ID157" s="49"/>
      <c r="IE157" s="49"/>
      <c r="IF157" s="49"/>
      <c r="IG157" s="49"/>
      <c r="IH157" s="49"/>
      <c r="II157" s="49"/>
      <c r="IJ157" s="49"/>
      <c r="IK157" s="49"/>
      <c r="IL157" s="49"/>
      <c r="IM157" s="49"/>
      <c r="IN157" s="49"/>
      <c r="IO157" s="49"/>
    </row>
    <row r="158" spans="1:249" s="5" customFormat="1" ht="24" customHeight="1">
      <c r="A158" s="1559" t="s">
        <v>191</v>
      </c>
      <c r="B158" s="1523" t="s">
        <v>238</v>
      </c>
      <c r="C158" s="1524"/>
      <c r="D158" s="1524"/>
      <c r="E158" s="1524"/>
      <c r="F158" s="1524"/>
      <c r="G158" s="1525"/>
      <c r="H158" s="1523" t="s">
        <v>239</v>
      </c>
      <c r="I158" s="1524"/>
      <c r="J158" s="1524"/>
      <c r="K158" s="1524"/>
      <c r="L158" s="1525"/>
      <c r="M158" s="1529" t="s">
        <v>240</v>
      </c>
      <c r="N158" s="1530"/>
      <c r="P158" s="4"/>
      <c r="Q158" s="105"/>
      <c r="R158" s="105"/>
      <c r="S158" s="105"/>
      <c r="T158" s="105"/>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c r="BP158" s="49"/>
      <c r="BQ158" s="49"/>
      <c r="BR158" s="49"/>
      <c r="BS158" s="49"/>
      <c r="BT158" s="49"/>
      <c r="BU158" s="49"/>
      <c r="BV158" s="49"/>
      <c r="BW158" s="49"/>
      <c r="BX158" s="49"/>
      <c r="BY158" s="49"/>
      <c r="BZ158" s="49"/>
      <c r="CA158" s="49"/>
      <c r="CB158" s="49"/>
      <c r="CC158" s="49"/>
      <c r="CD158" s="49"/>
      <c r="CE158" s="49"/>
      <c r="CF158" s="49"/>
      <c r="CG158" s="49"/>
      <c r="CH158" s="49"/>
      <c r="CI158" s="49"/>
      <c r="CJ158" s="49"/>
      <c r="CK158" s="49"/>
      <c r="CL158" s="49"/>
      <c r="CM158" s="49"/>
      <c r="CN158" s="49"/>
      <c r="CO158" s="49"/>
      <c r="CP158" s="49"/>
      <c r="CQ158" s="49"/>
      <c r="CR158" s="49"/>
      <c r="CS158" s="49"/>
      <c r="CT158" s="49"/>
      <c r="CU158" s="49"/>
      <c r="CV158" s="49"/>
      <c r="CW158" s="49"/>
      <c r="CX158" s="49"/>
      <c r="CY158" s="49"/>
      <c r="CZ158" s="49"/>
      <c r="DA158" s="49"/>
      <c r="DB158" s="49"/>
      <c r="DC158" s="49"/>
      <c r="DD158" s="49"/>
      <c r="DE158" s="49"/>
      <c r="DF158" s="49"/>
      <c r="DG158" s="49"/>
      <c r="DH158" s="49"/>
      <c r="DI158" s="49"/>
      <c r="DJ158" s="49"/>
      <c r="DK158" s="49"/>
      <c r="DL158" s="49"/>
      <c r="DM158" s="49"/>
      <c r="DN158" s="49"/>
      <c r="DO158" s="49"/>
      <c r="DP158" s="49"/>
      <c r="DQ158" s="49"/>
      <c r="DR158" s="49"/>
      <c r="DS158" s="49"/>
      <c r="DT158" s="49"/>
      <c r="DU158" s="49"/>
      <c r="DV158" s="49"/>
      <c r="DW158" s="49"/>
      <c r="DX158" s="49"/>
      <c r="DY158" s="49"/>
      <c r="DZ158" s="49"/>
      <c r="EA158" s="49"/>
      <c r="EB158" s="49"/>
      <c r="EC158" s="49"/>
      <c r="ED158" s="49"/>
      <c r="EE158" s="49"/>
      <c r="EF158" s="49"/>
      <c r="EG158" s="49"/>
      <c r="EH158" s="49"/>
      <c r="EI158" s="49"/>
      <c r="EJ158" s="49"/>
      <c r="EK158" s="49"/>
      <c r="EL158" s="49"/>
      <c r="EM158" s="49"/>
      <c r="EN158" s="49"/>
      <c r="EO158" s="49"/>
      <c r="EP158" s="49"/>
      <c r="EQ158" s="49"/>
      <c r="ER158" s="49"/>
      <c r="ES158" s="49"/>
      <c r="ET158" s="49"/>
      <c r="EU158" s="49"/>
      <c r="EV158" s="49"/>
      <c r="EW158" s="49"/>
      <c r="EX158" s="49"/>
      <c r="EY158" s="49"/>
      <c r="EZ158" s="49"/>
      <c r="FA158" s="49"/>
      <c r="FB158" s="49"/>
      <c r="FC158" s="49"/>
      <c r="FD158" s="49"/>
      <c r="FE158" s="49"/>
      <c r="FF158" s="49"/>
      <c r="FG158" s="49"/>
      <c r="FH158" s="49"/>
      <c r="FI158" s="49"/>
      <c r="FJ158" s="49"/>
      <c r="FK158" s="49"/>
      <c r="FL158" s="49"/>
      <c r="FM158" s="49"/>
      <c r="FN158" s="49"/>
      <c r="FO158" s="49"/>
      <c r="FP158" s="49"/>
      <c r="FQ158" s="49"/>
      <c r="FR158" s="49"/>
      <c r="FS158" s="49"/>
      <c r="FT158" s="49"/>
      <c r="FU158" s="49"/>
      <c r="FV158" s="49"/>
      <c r="FW158" s="49"/>
      <c r="FX158" s="49"/>
      <c r="FY158" s="49"/>
      <c r="FZ158" s="49"/>
      <c r="GA158" s="49"/>
      <c r="GB158" s="49"/>
      <c r="GC158" s="49"/>
      <c r="GD158" s="49"/>
      <c r="GE158" s="49"/>
      <c r="GF158" s="49"/>
      <c r="GG158" s="49"/>
      <c r="GH158" s="49"/>
      <c r="GI158" s="49"/>
      <c r="GJ158" s="49"/>
      <c r="GK158" s="49"/>
      <c r="GL158" s="49"/>
      <c r="GM158" s="49"/>
      <c r="GN158" s="49"/>
      <c r="GO158" s="49"/>
      <c r="GP158" s="49"/>
      <c r="GQ158" s="49"/>
      <c r="GR158" s="49"/>
      <c r="GS158" s="49"/>
      <c r="GT158" s="49"/>
      <c r="GU158" s="49"/>
      <c r="GV158" s="49"/>
      <c r="GW158" s="49"/>
      <c r="GX158" s="49"/>
      <c r="GY158" s="49"/>
      <c r="GZ158" s="49"/>
      <c r="HA158" s="49"/>
      <c r="HB158" s="49"/>
      <c r="HC158" s="49"/>
      <c r="HD158" s="49"/>
      <c r="HE158" s="49"/>
      <c r="HF158" s="49"/>
      <c r="HG158" s="49"/>
      <c r="HH158" s="49"/>
      <c r="HI158" s="49"/>
      <c r="HJ158" s="49"/>
      <c r="HK158" s="49"/>
      <c r="HL158" s="49"/>
      <c r="HM158" s="49"/>
      <c r="HN158" s="49"/>
      <c r="HO158" s="49"/>
      <c r="HP158" s="49"/>
      <c r="HQ158" s="49"/>
      <c r="HR158" s="49"/>
      <c r="HS158" s="49"/>
      <c r="HT158" s="49"/>
      <c r="HU158" s="49"/>
      <c r="HV158" s="49"/>
      <c r="HW158" s="49"/>
      <c r="HX158" s="49"/>
      <c r="HY158" s="49"/>
      <c r="HZ158" s="49"/>
      <c r="IA158" s="49"/>
      <c r="IB158" s="49"/>
      <c r="IC158" s="49"/>
      <c r="ID158" s="49"/>
      <c r="IE158" s="49"/>
      <c r="IF158" s="49"/>
      <c r="IG158" s="49"/>
      <c r="IH158" s="49"/>
      <c r="II158" s="49"/>
      <c r="IJ158" s="49"/>
      <c r="IK158" s="49"/>
      <c r="IL158" s="49"/>
      <c r="IM158" s="49"/>
      <c r="IN158" s="49"/>
      <c r="IO158" s="49"/>
    </row>
    <row r="159" spans="1:249" s="5" customFormat="1" ht="23.25" customHeight="1">
      <c r="A159" s="1560"/>
      <c r="B159" s="1526"/>
      <c r="C159" s="1527"/>
      <c r="D159" s="1527"/>
      <c r="E159" s="1527"/>
      <c r="F159" s="1527"/>
      <c r="G159" s="1528"/>
      <c r="H159" s="1526"/>
      <c r="I159" s="1527"/>
      <c r="J159" s="1527"/>
      <c r="K159" s="1527"/>
      <c r="L159" s="1528"/>
      <c r="M159" s="51" t="s">
        <v>241</v>
      </c>
      <c r="N159" s="51" t="s">
        <v>242</v>
      </c>
      <c r="P159" s="4"/>
      <c r="Q159" s="129"/>
      <c r="R159" s="129"/>
      <c r="S159" s="129"/>
      <c r="T159" s="129"/>
      <c r="U159" s="127"/>
      <c r="V159" s="127"/>
      <c r="W159" s="127"/>
      <c r="X159" s="127"/>
      <c r="Y159" s="127"/>
      <c r="Z159" s="127"/>
      <c r="AA159" s="127"/>
      <c r="AB159" s="127"/>
      <c r="AC159" s="127"/>
      <c r="AD159" s="127"/>
      <c r="AE159" s="127"/>
      <c r="AF159" s="127"/>
    </row>
    <row r="160" spans="1:249" s="5" customFormat="1" ht="22.5" customHeight="1">
      <c r="A160" s="52">
        <v>1</v>
      </c>
      <c r="B160" s="1508" t="str">
        <f>B43</f>
        <v>Täa ®é tim cäc</v>
      </c>
      <c r="C160" s="1509"/>
      <c r="D160" s="1509"/>
      <c r="E160" s="1509"/>
      <c r="F160" s="1509"/>
      <c r="G160" s="1510"/>
      <c r="H160" s="1511" t="str">
        <f>H43</f>
        <v>M¸y toµn ®¹c, th­íc mÐt</v>
      </c>
      <c r="I160" s="1512"/>
      <c r="J160" s="1512"/>
      <c r="K160" s="1512"/>
      <c r="L160" s="1513"/>
      <c r="M160" s="52" t="s">
        <v>245</v>
      </c>
      <c r="N160" s="53"/>
      <c r="P160" s="4"/>
      <c r="Q160" s="129"/>
      <c r="R160" s="129"/>
      <c r="S160" s="129"/>
      <c r="T160" s="129"/>
      <c r="U160" s="127"/>
      <c r="V160" s="127"/>
      <c r="W160" s="127"/>
      <c r="X160" s="127"/>
      <c r="Y160" s="127"/>
      <c r="Z160" s="127"/>
      <c r="AA160" s="127"/>
      <c r="AB160" s="127"/>
      <c r="AC160" s="127"/>
      <c r="AD160" s="127"/>
      <c r="AE160" s="127"/>
      <c r="AF160" s="127"/>
    </row>
    <row r="161" spans="1:32" s="5" customFormat="1" ht="21.75" customHeight="1">
      <c r="A161" s="54">
        <v>2</v>
      </c>
      <c r="B161" s="1514" t="str">
        <f>B44</f>
        <v>§é æn ®Þnh Casing</v>
      </c>
      <c r="C161" s="1515"/>
      <c r="D161" s="1515"/>
      <c r="E161" s="1515"/>
      <c r="F161" s="1515"/>
      <c r="G161" s="1516"/>
      <c r="H161" s="1517" t="str">
        <f>H44</f>
        <v>Trùc quan</v>
      </c>
      <c r="I161" s="1518"/>
      <c r="J161" s="1518"/>
      <c r="K161" s="1518"/>
      <c r="L161" s="1519"/>
      <c r="M161" s="54" t="s">
        <v>245</v>
      </c>
      <c r="N161" s="55"/>
      <c r="P161" s="4"/>
      <c r="Q161" s="129"/>
      <c r="R161" s="129"/>
      <c r="S161" s="129"/>
      <c r="T161" s="129"/>
      <c r="U161" s="127"/>
      <c r="V161" s="127"/>
      <c r="W161" s="127"/>
      <c r="X161" s="127"/>
      <c r="Y161" s="127"/>
      <c r="Z161" s="127"/>
      <c r="AA161" s="127"/>
      <c r="AB161" s="127"/>
      <c r="AC161" s="127"/>
      <c r="AD161" s="127"/>
      <c r="AE161" s="127"/>
      <c r="AF161" s="127"/>
    </row>
    <row r="162" spans="1:32" s="5" customFormat="1" ht="21" customHeight="1">
      <c r="A162" s="56">
        <v>3</v>
      </c>
      <c r="B162" s="1498" t="str">
        <f>B45</f>
        <v>Cao ®é Casing, Cao ®é tù nhiªn</v>
      </c>
      <c r="C162" s="1499"/>
      <c r="D162" s="1499"/>
      <c r="E162" s="1499"/>
      <c r="F162" s="1499"/>
      <c r="G162" s="1500"/>
      <c r="H162" s="1501" t="str">
        <f>H45</f>
        <v>M¸y toµn ®¹c, th­íc mÐt</v>
      </c>
      <c r="I162" s="1502"/>
      <c r="J162" s="1502"/>
      <c r="K162" s="1502"/>
      <c r="L162" s="1503"/>
      <c r="M162" s="56" t="s">
        <v>245</v>
      </c>
      <c r="N162" s="57"/>
      <c r="P162" s="4"/>
      <c r="Q162" s="129"/>
      <c r="R162" s="129"/>
      <c r="S162" s="129"/>
      <c r="T162" s="129"/>
      <c r="U162" s="127"/>
      <c r="V162" s="127"/>
      <c r="W162" s="127"/>
      <c r="X162" s="127"/>
      <c r="Y162" s="127"/>
      <c r="Z162" s="127"/>
      <c r="AA162" s="127"/>
      <c r="AB162" s="127"/>
      <c r="AC162" s="127"/>
      <c r="AD162" s="127"/>
      <c r="AE162" s="127"/>
      <c r="AF162" s="127"/>
    </row>
    <row r="163" spans="1:32" s="5" customFormat="1" ht="24" customHeight="1">
      <c r="A163" s="58"/>
      <c r="B163" s="106" t="s">
        <v>249</v>
      </c>
      <c r="C163" s="106"/>
      <c r="D163" s="106"/>
      <c r="E163" s="106"/>
      <c r="F163" s="60"/>
      <c r="G163" s="1504" t="s">
        <v>176</v>
      </c>
      <c r="H163" s="1504"/>
      <c r="I163" s="1504"/>
      <c r="J163" s="1504"/>
      <c r="K163" s="60"/>
      <c r="L163" s="60"/>
      <c r="M163" s="60"/>
      <c r="N163" s="60"/>
      <c r="P163" s="4"/>
      <c r="Q163" s="129"/>
      <c r="R163" s="129"/>
      <c r="S163" s="129"/>
      <c r="T163" s="129"/>
      <c r="U163" s="127"/>
      <c r="V163" s="127"/>
      <c r="W163" s="127"/>
      <c r="X163" s="127"/>
      <c r="Y163" s="127"/>
      <c r="Z163" s="127"/>
      <c r="AA163" s="127"/>
      <c r="AB163" s="127"/>
      <c r="AC163" s="127"/>
      <c r="AD163" s="127"/>
      <c r="AE163" s="127"/>
      <c r="AF163" s="127"/>
    </row>
    <row r="164" spans="1:32" s="5" customFormat="1" ht="23.25" customHeight="1">
      <c r="A164" s="31" t="s">
        <v>250</v>
      </c>
      <c r="B164" s="31"/>
      <c r="C164" s="31"/>
      <c r="D164" s="31"/>
      <c r="E164" s="61"/>
      <c r="F164" s="61"/>
      <c r="G164" s="61"/>
      <c r="H164" s="61"/>
      <c r="I164" s="61"/>
      <c r="J164" s="61"/>
      <c r="K164" s="61"/>
      <c r="L164" s="61"/>
      <c r="M164" s="61"/>
      <c r="N164" s="61"/>
      <c r="P164" s="4"/>
      <c r="Q164" s="129"/>
      <c r="R164" s="129"/>
      <c r="S164" s="129"/>
      <c r="T164" s="129"/>
      <c r="U164" s="127"/>
      <c r="V164" s="127"/>
      <c r="W164" s="127"/>
      <c r="X164" s="127"/>
      <c r="Y164" s="127"/>
      <c r="Z164" s="127"/>
      <c r="AA164" s="127"/>
      <c r="AB164" s="127"/>
      <c r="AC164" s="127"/>
      <c r="AD164" s="127"/>
      <c r="AE164" s="127"/>
      <c r="AF164" s="127"/>
    </row>
    <row r="165" spans="1:32" s="5" customFormat="1" ht="35.25" customHeight="1">
      <c r="A165" s="62"/>
      <c r="B165" s="1505" t="s">
        <v>251</v>
      </c>
      <c r="C165" s="1505"/>
      <c r="D165" s="1505"/>
      <c r="E165" s="1505"/>
      <c r="F165" s="1505"/>
      <c r="G165" s="1505"/>
      <c r="H165" s="1505"/>
      <c r="I165" s="1505"/>
      <c r="J165" s="1505"/>
      <c r="K165" s="1505"/>
      <c r="L165" s="1505"/>
      <c r="M165" s="1505"/>
      <c r="N165" s="1505"/>
      <c r="P165" s="4"/>
      <c r="Q165" s="129"/>
      <c r="R165" s="129"/>
      <c r="S165" s="129"/>
      <c r="T165" s="129"/>
      <c r="U165" s="127"/>
      <c r="V165" s="127"/>
      <c r="W165" s="127"/>
      <c r="X165" s="127"/>
      <c r="Y165" s="127"/>
      <c r="Z165" s="127"/>
      <c r="AA165" s="127"/>
      <c r="AB165" s="127"/>
      <c r="AC165" s="127"/>
      <c r="AD165" s="127"/>
      <c r="AE165" s="127"/>
      <c r="AF165" s="127"/>
    </row>
    <row r="166" spans="1:32" s="5" customFormat="1" ht="24.75" customHeight="1">
      <c r="A166" s="58"/>
      <c r="B166" s="1506"/>
      <c r="C166" s="1506"/>
      <c r="D166" s="1506"/>
      <c r="E166" s="1506"/>
      <c r="F166" s="1507"/>
      <c r="G166" s="1507"/>
      <c r="H166" s="1507"/>
      <c r="I166" s="1507"/>
      <c r="J166" s="1507"/>
      <c r="K166" s="1507"/>
      <c r="L166" s="1507"/>
      <c r="M166" s="50"/>
      <c r="N166" s="50"/>
      <c r="P166" s="4"/>
      <c r="Q166" s="129"/>
      <c r="R166" s="129"/>
      <c r="S166" s="129"/>
      <c r="T166" s="129"/>
      <c r="U166" s="127"/>
      <c r="V166" s="127"/>
      <c r="W166" s="127"/>
      <c r="X166" s="127"/>
      <c r="Y166" s="127"/>
      <c r="Z166" s="127"/>
      <c r="AA166" s="127"/>
      <c r="AB166" s="127"/>
      <c r="AC166" s="127"/>
      <c r="AD166" s="127"/>
      <c r="AE166" s="127"/>
      <c r="AF166" s="127"/>
    </row>
    <row r="167" spans="1:32" s="5" customFormat="1" ht="20.25" customHeight="1">
      <c r="A167" s="107"/>
      <c r="B167" s="1561" t="s">
        <v>283</v>
      </c>
      <c r="C167" s="1561"/>
      <c r="D167" s="1561"/>
      <c r="E167" s="1561"/>
      <c r="F167" s="1561"/>
      <c r="G167" s="107"/>
      <c r="M167" s="1561" t="s">
        <v>273</v>
      </c>
      <c r="N167" s="1561"/>
      <c r="P167" s="4"/>
      <c r="Q167" s="129"/>
      <c r="R167" s="129"/>
      <c r="S167" s="129"/>
      <c r="T167" s="129"/>
      <c r="U167" s="127"/>
      <c r="V167" s="127"/>
      <c r="W167" s="127"/>
      <c r="X167" s="127"/>
      <c r="Y167" s="127"/>
      <c r="Z167" s="127"/>
      <c r="AA167" s="127"/>
      <c r="AB167" s="127"/>
      <c r="AC167" s="127"/>
      <c r="AD167" s="127"/>
      <c r="AE167" s="127"/>
      <c r="AF167" s="127"/>
    </row>
    <row r="168" spans="1:32" s="5" customFormat="1" ht="21.75" customHeight="1">
      <c r="A168" s="1532"/>
      <c r="B168" s="1532"/>
      <c r="C168" s="1532"/>
      <c r="D168" s="1532"/>
      <c r="E168" s="1532"/>
      <c r="F168" s="1532"/>
      <c r="G168" s="1532"/>
      <c r="M168" s="50"/>
      <c r="N168" s="50"/>
      <c r="O168" s="108"/>
      <c r="P168" s="73"/>
      <c r="Q168" s="129"/>
      <c r="R168" s="129"/>
      <c r="S168" s="129"/>
      <c r="T168" s="129"/>
      <c r="U168" s="127"/>
      <c r="V168" s="127"/>
      <c r="W168" s="127"/>
      <c r="X168" s="127"/>
      <c r="Y168" s="127"/>
      <c r="Z168" s="127"/>
      <c r="AA168" s="127"/>
      <c r="AB168" s="127"/>
      <c r="AC168" s="127"/>
      <c r="AD168" s="127"/>
      <c r="AE168" s="127"/>
      <c r="AF168" s="127"/>
    </row>
    <row r="169" spans="1:32" s="5" customFormat="1" ht="16.5">
      <c r="A169" s="1532"/>
      <c r="B169" s="1532"/>
      <c r="C169" s="1532"/>
      <c r="D169" s="1532"/>
      <c r="E169" s="1532"/>
      <c r="F169" s="1532"/>
      <c r="G169" s="1532"/>
      <c r="M169" s="50"/>
      <c r="N169" s="50"/>
      <c r="P169" s="4"/>
      <c r="Q169" s="129"/>
      <c r="R169" s="129"/>
      <c r="S169" s="129"/>
      <c r="T169" s="129"/>
      <c r="U169" s="127"/>
      <c r="V169" s="127"/>
      <c r="W169" s="127"/>
      <c r="X169" s="127"/>
      <c r="Y169" s="127"/>
      <c r="Z169" s="127"/>
      <c r="AA169" s="127"/>
      <c r="AB169" s="127"/>
      <c r="AC169" s="127"/>
      <c r="AD169" s="127"/>
      <c r="AE169" s="127"/>
      <c r="AF169" s="127"/>
    </row>
    <row r="170" spans="1:32" s="108" customFormat="1" ht="24.75" customHeight="1">
      <c r="A170" s="5"/>
      <c r="B170" s="5"/>
      <c r="C170" s="5"/>
      <c r="D170" s="5"/>
      <c r="E170" s="5"/>
      <c r="F170" s="5"/>
      <c r="G170" s="5"/>
      <c r="M170" s="5"/>
      <c r="N170" s="5"/>
      <c r="O170" s="5"/>
      <c r="P170" s="4"/>
      <c r="Q170" s="111"/>
      <c r="R170" s="111"/>
      <c r="S170" s="111"/>
      <c r="T170" s="111"/>
    </row>
    <row r="171" spans="1:32" s="5" customFormat="1" ht="16.5" customHeight="1">
      <c r="Q171" s="129"/>
      <c r="R171" s="129"/>
      <c r="S171" s="129"/>
      <c r="T171" s="129"/>
      <c r="U171" s="127"/>
      <c r="V171" s="127"/>
      <c r="W171" s="127"/>
      <c r="X171" s="127"/>
      <c r="Y171" s="127"/>
      <c r="Z171" s="127"/>
      <c r="AA171" s="127"/>
      <c r="AB171" s="127"/>
      <c r="AC171" s="127"/>
      <c r="AD171" s="127"/>
      <c r="AE171" s="127"/>
      <c r="AF171" s="127"/>
    </row>
    <row r="172" spans="1:32" s="5" customFormat="1" ht="16.5" customHeight="1">
      <c r="A172" s="112"/>
      <c r="B172" s="112"/>
      <c r="C172" s="112"/>
      <c r="D172" s="112"/>
      <c r="E172" s="112"/>
      <c r="F172" s="112"/>
      <c r="G172" s="112"/>
      <c r="M172" s="112"/>
      <c r="Q172" s="129"/>
      <c r="R172" s="129"/>
      <c r="S172" s="129"/>
      <c r="T172" s="129"/>
      <c r="U172" s="127"/>
      <c r="V172" s="127"/>
      <c r="W172" s="127"/>
      <c r="X172" s="127"/>
      <c r="Y172" s="127"/>
      <c r="Z172" s="127"/>
      <c r="AA172" s="127"/>
      <c r="AB172" s="127"/>
      <c r="AC172" s="127"/>
      <c r="AD172" s="127"/>
      <c r="AE172" s="127"/>
      <c r="AF172" s="127"/>
    </row>
    <row r="173" spans="1:32" s="5" customFormat="1" ht="16.5">
      <c r="A173" s="112"/>
      <c r="B173" s="1562" t="str">
        <f>E132</f>
        <v>.....................................</v>
      </c>
      <c r="C173" s="1562"/>
      <c r="D173" s="1562"/>
      <c r="E173" s="1562"/>
      <c r="F173" s="1562"/>
      <c r="G173" s="1562"/>
      <c r="M173" s="1562" t="str">
        <f>E135</f>
        <v>CÔNG TY TNHH MTV HANTECH</v>
      </c>
      <c r="N173" s="1562"/>
      <c r="Q173" s="129"/>
      <c r="R173" s="129"/>
      <c r="S173" s="129"/>
      <c r="T173" s="129"/>
      <c r="U173" s="127"/>
      <c r="V173" s="127"/>
      <c r="W173" s="127"/>
      <c r="X173" s="127"/>
      <c r="Y173" s="127"/>
      <c r="Z173" s="127"/>
      <c r="AA173" s="127"/>
      <c r="AB173" s="127"/>
      <c r="AC173" s="127"/>
      <c r="AD173" s="127"/>
      <c r="AE173" s="127"/>
      <c r="AF173" s="127"/>
    </row>
    <row r="174" spans="1:32" s="5" customFormat="1" ht="16.5">
      <c r="A174" s="109"/>
      <c r="Q174" s="129"/>
      <c r="R174" s="129"/>
      <c r="S174" s="129"/>
      <c r="T174" s="129"/>
      <c r="U174" s="127"/>
      <c r="V174" s="127"/>
      <c r="W174" s="127"/>
      <c r="X174" s="127"/>
      <c r="Y174" s="127"/>
      <c r="Z174" s="127"/>
      <c r="AA174" s="127"/>
      <c r="AB174" s="127"/>
      <c r="AC174" s="127"/>
      <c r="AD174" s="127"/>
      <c r="AE174" s="127"/>
      <c r="AF174" s="127"/>
    </row>
    <row r="175" spans="1:32" s="5" customFormat="1" ht="16.5">
      <c r="A175" s="113"/>
      <c r="Q175" s="129"/>
      <c r="R175" s="129"/>
      <c r="S175" s="129"/>
      <c r="T175" s="129"/>
      <c r="U175" s="127"/>
      <c r="V175" s="127"/>
      <c r="W175" s="127"/>
      <c r="X175" s="127"/>
      <c r="Y175" s="127"/>
      <c r="Z175" s="127"/>
      <c r="AA175" s="127"/>
      <c r="AB175" s="127"/>
      <c r="AC175" s="127"/>
      <c r="AD175" s="127"/>
      <c r="AE175" s="127"/>
      <c r="AF175" s="127"/>
    </row>
    <row r="176" spans="1:32" s="5" customFormat="1" ht="16.5">
      <c r="A176" s="110"/>
      <c r="Q176" s="129"/>
      <c r="R176" s="129"/>
      <c r="S176" s="129"/>
      <c r="T176" s="129"/>
      <c r="U176" s="127"/>
      <c r="V176" s="127"/>
      <c r="W176" s="127"/>
      <c r="X176" s="127"/>
      <c r="Y176" s="127"/>
      <c r="Z176" s="127"/>
      <c r="AA176" s="127"/>
      <c r="AB176" s="127"/>
      <c r="AC176" s="127"/>
      <c r="AD176" s="127"/>
      <c r="AE176" s="127"/>
      <c r="AF176" s="127"/>
    </row>
    <row r="177" spans="1:32" s="5" customFormat="1" ht="16.5">
      <c r="A177" s="110"/>
      <c r="Q177" s="129"/>
      <c r="R177" s="129"/>
      <c r="S177" s="129"/>
      <c r="T177" s="129"/>
      <c r="U177" s="127"/>
      <c r="V177" s="127"/>
      <c r="W177" s="127"/>
      <c r="X177" s="127"/>
      <c r="Y177" s="127"/>
      <c r="Z177" s="127"/>
      <c r="AA177" s="127"/>
      <c r="AB177" s="127"/>
      <c r="AC177" s="127"/>
      <c r="AD177" s="127"/>
      <c r="AE177" s="127"/>
      <c r="AF177" s="127"/>
    </row>
    <row r="178" spans="1:32" s="5" customFormat="1" ht="16.5">
      <c r="A178" s="113"/>
      <c r="Q178" s="129"/>
      <c r="R178" s="129"/>
      <c r="S178" s="129"/>
      <c r="T178" s="129"/>
      <c r="U178" s="127"/>
      <c r="V178" s="127"/>
      <c r="W178" s="127"/>
      <c r="X178" s="127"/>
      <c r="Y178" s="127"/>
      <c r="Z178" s="127"/>
      <c r="AA178" s="127"/>
      <c r="AB178" s="127"/>
      <c r="AC178" s="127"/>
      <c r="AD178" s="127"/>
      <c r="AE178" s="127"/>
      <c r="AF178" s="127"/>
    </row>
    <row r="179" spans="1:32" s="5" customFormat="1" ht="16.5">
      <c r="A179" s="113"/>
      <c r="Q179" s="129"/>
      <c r="R179" s="129"/>
      <c r="S179" s="129"/>
      <c r="T179" s="129"/>
      <c r="U179" s="127"/>
      <c r="V179" s="127"/>
      <c r="W179" s="127"/>
      <c r="X179" s="127"/>
      <c r="Y179" s="127"/>
      <c r="Z179" s="127"/>
      <c r="AA179" s="127"/>
      <c r="AB179" s="127"/>
      <c r="AC179" s="127"/>
      <c r="AD179" s="127"/>
      <c r="AE179" s="127"/>
      <c r="AF179" s="127"/>
    </row>
    <row r="180" spans="1:32" s="5" customFormat="1" ht="16.5">
      <c r="A180" s="110"/>
      <c r="Q180" s="129"/>
      <c r="R180" s="129"/>
      <c r="S180" s="129"/>
      <c r="T180" s="129"/>
      <c r="U180" s="127"/>
      <c r="V180" s="127"/>
      <c r="W180" s="127"/>
      <c r="X180" s="127"/>
      <c r="Y180" s="127"/>
      <c r="Z180" s="127"/>
      <c r="AA180" s="127"/>
      <c r="AB180" s="127"/>
      <c r="AC180" s="127"/>
      <c r="AD180" s="127"/>
      <c r="AE180" s="127"/>
      <c r="AF180" s="127"/>
    </row>
    <row r="181" spans="1:32" s="5" customFormat="1" ht="16.5">
      <c r="A181" s="110"/>
      <c r="Q181" s="129"/>
      <c r="R181" s="129"/>
      <c r="S181" s="129"/>
      <c r="T181" s="129"/>
      <c r="U181" s="127"/>
      <c r="V181" s="127"/>
      <c r="W181" s="127"/>
      <c r="X181" s="127"/>
      <c r="Y181" s="127"/>
      <c r="Z181" s="127"/>
      <c r="AA181" s="127"/>
      <c r="AB181" s="127"/>
      <c r="AC181" s="127"/>
      <c r="AD181" s="127"/>
      <c r="AE181" s="127"/>
      <c r="AF181" s="127"/>
    </row>
    <row r="182" spans="1:32" s="5" customFormat="1" ht="16.5">
      <c r="B182" s="110"/>
      <c r="C182" s="110"/>
      <c r="Q182" s="129"/>
      <c r="R182" s="129"/>
      <c r="S182" s="129"/>
      <c r="T182" s="129"/>
      <c r="U182" s="127"/>
      <c r="V182" s="127"/>
      <c r="W182" s="127"/>
      <c r="X182" s="127"/>
      <c r="Y182" s="127"/>
      <c r="Z182" s="127"/>
      <c r="AA182" s="127"/>
      <c r="AB182" s="127"/>
      <c r="AC182" s="127"/>
      <c r="AD182" s="127"/>
      <c r="AE182" s="127"/>
      <c r="AF182" s="127"/>
    </row>
    <row r="183" spans="1:32" s="5" customFormat="1" ht="16.5">
      <c r="B183" s="110"/>
      <c r="C183" s="110"/>
      <c r="Q183" s="129"/>
      <c r="R183" s="129"/>
      <c r="S183" s="129"/>
      <c r="T183" s="129"/>
      <c r="U183" s="127"/>
      <c r="V183" s="127"/>
      <c r="W183" s="127"/>
      <c r="X183" s="127"/>
      <c r="Y183" s="127"/>
      <c r="Z183" s="127"/>
      <c r="AA183" s="127"/>
      <c r="AB183" s="127"/>
      <c r="AC183" s="127"/>
      <c r="AD183" s="127"/>
      <c r="AE183" s="127"/>
      <c r="AF183" s="127"/>
    </row>
    <row r="184" spans="1:32" s="5" customFormat="1" ht="16.5">
      <c r="B184" s="110"/>
      <c r="C184" s="110"/>
      <c r="Q184" s="129"/>
      <c r="R184" s="129"/>
      <c r="S184" s="129"/>
      <c r="T184" s="129"/>
      <c r="U184" s="127"/>
      <c r="V184" s="127"/>
      <c r="W184" s="127"/>
      <c r="X184" s="127"/>
      <c r="Y184" s="127"/>
      <c r="Z184" s="127"/>
      <c r="AA184" s="127"/>
      <c r="AB184" s="127"/>
      <c r="AC184" s="127"/>
      <c r="AD184" s="127"/>
      <c r="AE184" s="127"/>
      <c r="AF184" s="127"/>
    </row>
    <row r="185" spans="1:32" s="5" customFormat="1" ht="16.5">
      <c r="B185" s="110"/>
      <c r="C185" s="110"/>
      <c r="Q185" s="129"/>
      <c r="R185" s="129"/>
      <c r="S185" s="129"/>
      <c r="T185" s="129"/>
      <c r="U185" s="127"/>
      <c r="V185" s="127"/>
      <c r="W185" s="127"/>
      <c r="X185" s="127"/>
      <c r="Y185" s="127"/>
      <c r="Z185" s="127"/>
      <c r="AA185" s="127"/>
      <c r="AB185" s="127"/>
      <c r="AC185" s="127"/>
      <c r="AD185" s="127"/>
      <c r="AE185" s="127"/>
      <c r="AF185" s="127"/>
    </row>
    <row r="186" spans="1:32" s="5" customFormat="1" ht="16.5">
      <c r="A186" s="113"/>
      <c r="Q186" s="129"/>
      <c r="R186" s="129"/>
      <c r="S186" s="129"/>
      <c r="T186" s="129"/>
      <c r="U186" s="127"/>
      <c r="V186" s="127"/>
      <c r="W186" s="127"/>
      <c r="X186" s="127"/>
      <c r="Y186" s="127"/>
      <c r="Z186" s="127"/>
      <c r="AA186" s="127"/>
      <c r="AB186" s="127"/>
      <c r="AC186" s="127"/>
      <c r="AD186" s="127"/>
      <c r="AE186" s="127"/>
      <c r="AF186" s="127"/>
    </row>
    <row r="187" spans="1:32" s="5" customFormat="1" ht="16.5">
      <c r="B187" s="114"/>
      <c r="C187" s="114"/>
      <c r="Q187" s="129"/>
      <c r="R187" s="129"/>
      <c r="S187" s="129"/>
      <c r="T187" s="129"/>
      <c r="U187" s="127"/>
      <c r="V187" s="127"/>
      <c r="W187" s="127"/>
      <c r="X187" s="127"/>
      <c r="Y187" s="127"/>
      <c r="Z187" s="127"/>
      <c r="AA187" s="127"/>
      <c r="AB187" s="127"/>
      <c r="AC187" s="127"/>
      <c r="AD187" s="127"/>
      <c r="AE187" s="127"/>
      <c r="AF187" s="127"/>
    </row>
    <row r="188" spans="1:32" s="5" customFormat="1" ht="16.5">
      <c r="A188" s="1563"/>
      <c r="B188" s="1563"/>
      <c r="C188" s="115"/>
      <c r="D188" s="74"/>
      <c r="E188" s="74"/>
      <c r="F188" s="74"/>
      <c r="G188" s="74"/>
      <c r="H188" s="74"/>
      <c r="Q188" s="129"/>
      <c r="R188" s="129"/>
      <c r="S188" s="129"/>
      <c r="T188" s="129"/>
      <c r="U188" s="127"/>
      <c r="V188" s="127"/>
      <c r="W188" s="127"/>
      <c r="X188" s="127"/>
      <c r="Y188" s="127"/>
      <c r="Z188" s="127"/>
      <c r="AA188" s="127"/>
      <c r="AB188" s="127"/>
      <c r="AC188" s="127"/>
      <c r="AD188" s="127"/>
      <c r="AE188" s="127"/>
      <c r="AF188" s="127"/>
    </row>
    <row r="189" spans="1:32" s="5" customFormat="1" ht="16.5">
      <c r="A189" s="58"/>
      <c r="B189" s="58"/>
      <c r="C189" s="58"/>
      <c r="D189" s="58"/>
      <c r="E189" s="58"/>
      <c r="F189" s="58"/>
      <c r="G189" s="58"/>
      <c r="H189" s="58"/>
      <c r="Q189" s="129"/>
      <c r="R189" s="129"/>
      <c r="S189" s="129"/>
      <c r="T189" s="129"/>
      <c r="U189" s="127"/>
      <c r="V189" s="127"/>
      <c r="W189" s="127"/>
      <c r="X189" s="127"/>
      <c r="Y189" s="127"/>
      <c r="Z189" s="127"/>
      <c r="AA189" s="127"/>
      <c r="AB189" s="127"/>
      <c r="AC189" s="127"/>
      <c r="AD189" s="127"/>
      <c r="AE189" s="127"/>
      <c r="AF189" s="127"/>
    </row>
    <row r="190" spans="1:32" s="5" customFormat="1" ht="16.5">
      <c r="A190" s="74"/>
      <c r="B190" s="58"/>
      <c r="C190" s="58"/>
      <c r="D190" s="58"/>
      <c r="E190" s="58"/>
      <c r="F190" s="58"/>
      <c r="G190" s="58"/>
      <c r="H190" s="58"/>
      <c r="Q190" s="129"/>
      <c r="R190" s="129"/>
      <c r="S190" s="129"/>
      <c r="T190" s="129"/>
      <c r="U190" s="127"/>
      <c r="V190" s="127"/>
      <c r="W190" s="127"/>
      <c r="X190" s="127"/>
      <c r="Y190" s="127"/>
      <c r="Z190" s="127"/>
      <c r="AA190" s="127"/>
      <c r="AB190" s="127"/>
      <c r="AC190" s="127"/>
      <c r="AD190" s="127"/>
      <c r="AE190" s="127"/>
      <c r="AF190" s="127"/>
    </row>
    <row r="191" spans="1:32" s="5" customFormat="1" ht="16.5">
      <c r="A191" s="74"/>
      <c r="B191" s="58"/>
      <c r="C191" s="58"/>
      <c r="D191" s="58"/>
      <c r="E191" s="58"/>
      <c r="F191" s="58"/>
      <c r="G191" s="58"/>
      <c r="H191" s="58"/>
      <c r="Q191" s="129"/>
      <c r="R191" s="129"/>
      <c r="S191" s="129"/>
      <c r="T191" s="129"/>
      <c r="U191" s="127"/>
      <c r="V191" s="127"/>
      <c r="W191" s="127"/>
      <c r="X191" s="127"/>
      <c r="Y191" s="127"/>
      <c r="Z191" s="127"/>
      <c r="AA191" s="127"/>
      <c r="AB191" s="127"/>
      <c r="AC191" s="127"/>
      <c r="AD191" s="127"/>
      <c r="AE191" s="127"/>
      <c r="AF191" s="127"/>
    </row>
    <row r="192" spans="1:32" s="5" customFormat="1" ht="16.5">
      <c r="A192" s="74"/>
      <c r="B192" s="58"/>
      <c r="C192" s="58"/>
      <c r="D192" s="58"/>
      <c r="E192" s="58"/>
      <c r="F192" s="58"/>
      <c r="G192" s="58"/>
      <c r="H192" s="58"/>
      <c r="Q192" s="129"/>
      <c r="R192" s="129"/>
      <c r="S192" s="129"/>
      <c r="T192" s="129"/>
      <c r="U192" s="127"/>
      <c r="V192" s="127"/>
      <c r="W192" s="127"/>
      <c r="X192" s="127"/>
      <c r="Y192" s="127"/>
      <c r="Z192" s="127"/>
      <c r="AA192" s="127"/>
      <c r="AB192" s="127"/>
      <c r="AC192" s="127"/>
      <c r="AD192" s="127"/>
      <c r="AE192" s="127"/>
      <c r="AF192" s="127"/>
    </row>
    <row r="193" spans="1:249" s="5" customFormat="1" ht="17.25">
      <c r="A193" s="1593" t="str">
        <f>'Du lieu'!$C$13</f>
        <v>.....................................</v>
      </c>
      <c r="B193" s="1593"/>
      <c r="C193" s="1593"/>
      <c r="D193" s="1593"/>
      <c r="E193" s="1593"/>
      <c r="F193" s="1593"/>
      <c r="G193" s="9"/>
      <c r="H193" s="1483" t="s">
        <v>199</v>
      </c>
      <c r="I193" s="1483"/>
      <c r="J193" s="1483"/>
      <c r="K193" s="1483"/>
      <c r="L193" s="1483"/>
      <c r="M193" s="1483"/>
      <c r="N193" s="1483"/>
      <c r="Q193" s="129"/>
      <c r="R193" s="129"/>
      <c r="S193" s="129"/>
      <c r="T193" s="129"/>
      <c r="U193" s="127"/>
      <c r="V193" s="127"/>
      <c r="W193" s="127"/>
      <c r="X193" s="127"/>
      <c r="Y193" s="127"/>
      <c r="Z193" s="127"/>
      <c r="AA193" s="127"/>
      <c r="AB193" s="127"/>
      <c r="AC193" s="127"/>
      <c r="AD193" s="127"/>
      <c r="AE193" s="127"/>
      <c r="AF193" s="127"/>
    </row>
    <row r="194" spans="1:249" ht="23.25" customHeight="1">
      <c r="A194" s="1593"/>
      <c r="B194" s="1593"/>
      <c r="C194" s="1593"/>
      <c r="D194" s="1593"/>
      <c r="E194" s="1593"/>
      <c r="F194" s="1593"/>
      <c r="G194" s="13"/>
      <c r="H194" s="1484" t="s">
        <v>200</v>
      </c>
      <c r="I194" s="1484"/>
      <c r="J194" s="1484"/>
      <c r="K194" s="1484"/>
      <c r="L194" s="1484"/>
      <c r="M194" s="1484"/>
      <c r="N194" s="1484"/>
    </row>
    <row r="195" spans="1:249" ht="17.25" customHeight="1">
      <c r="A195" s="1593"/>
      <c r="B195" s="1593"/>
      <c r="C195" s="1593"/>
      <c r="D195" s="1593"/>
      <c r="E195" s="1593"/>
      <c r="F195" s="1593"/>
      <c r="G195" s="14"/>
      <c r="H195" s="14"/>
      <c r="I195" s="1486">
        <f>$U$16</f>
        <v>42466</v>
      </c>
      <c r="J195" s="1486"/>
      <c r="K195" s="1486"/>
      <c r="L195" s="1486"/>
      <c r="M195" s="1486"/>
      <c r="N195" s="1486"/>
    </row>
    <row r="196" spans="1:249" ht="17.25" customHeight="1">
      <c r="A196" s="1593"/>
      <c r="B196" s="1593"/>
      <c r="C196" s="1593"/>
      <c r="D196" s="1593"/>
      <c r="E196" s="1593"/>
      <c r="F196" s="1593"/>
      <c r="I196" s="19"/>
      <c r="J196" s="3"/>
      <c r="K196" s="20"/>
      <c r="L196" s="21"/>
      <c r="M196" s="20"/>
      <c r="O196" s="15"/>
      <c r="P196" s="15"/>
      <c r="Q196" s="16" t="s">
        <v>201</v>
      </c>
      <c r="R196" s="16" t="str">
        <f>'Du lieu'!$C$4</f>
        <v>KHU HỖN HỢP CHUNG CƯ, VĂN PHÒNG, TRUNG TÂM THƯƠNG MẠI VÀ NHÀ Ở KẾT HỢP KHU MUA SẮM</v>
      </c>
      <c r="S196" s="137"/>
      <c r="T196" s="17"/>
      <c r="U196" s="15"/>
      <c r="V196" s="15"/>
      <c r="W196" s="15"/>
      <c r="X196" s="15"/>
      <c r="Y196" s="15"/>
      <c r="Z196" s="15"/>
      <c r="AA196" s="15"/>
      <c r="AB196" s="15"/>
      <c r="AC196" s="15"/>
      <c r="AD196" s="1492"/>
      <c r="AE196" s="1492"/>
      <c r="AF196" s="1492"/>
      <c r="AG196" s="1492"/>
      <c r="AH196" s="1492"/>
      <c r="AI196" s="1492"/>
      <c r="AJ196" s="1492"/>
      <c r="AK196" s="1492"/>
      <c r="AL196" s="1492"/>
      <c r="AM196" s="1492"/>
      <c r="AN196" s="1492"/>
      <c r="AO196" s="1492"/>
      <c r="AP196" s="1492"/>
      <c r="AQ196" s="1492"/>
      <c r="AR196" s="1492"/>
      <c r="AS196" s="1492"/>
      <c r="AT196" s="1492"/>
      <c r="AU196" s="1492"/>
      <c r="AV196" s="1492"/>
      <c r="AW196" s="1492"/>
      <c r="AX196" s="1492"/>
      <c r="AY196" s="1492"/>
      <c r="AZ196" s="1492"/>
      <c r="BA196" s="1492"/>
      <c r="BB196" s="1492"/>
      <c r="BC196" s="1492"/>
      <c r="BD196" s="1492"/>
      <c r="BE196" s="1492"/>
      <c r="BF196" s="1492"/>
      <c r="BG196" s="1492"/>
      <c r="BH196" s="1492"/>
      <c r="BI196" s="1492"/>
      <c r="BJ196" s="1492"/>
      <c r="BK196" s="1492"/>
      <c r="BL196" s="1492"/>
      <c r="BM196" s="1492"/>
      <c r="BN196" s="1492"/>
      <c r="BO196" s="1492"/>
      <c r="BP196" s="1492"/>
      <c r="BQ196" s="1492"/>
      <c r="BR196" s="1492"/>
      <c r="BS196" s="1492"/>
      <c r="BT196" s="1492"/>
      <c r="BU196" s="1492"/>
      <c r="BV196" s="1492"/>
      <c r="BW196" s="1492"/>
      <c r="BX196" s="1492"/>
      <c r="BY196" s="1492"/>
      <c r="BZ196" s="1492"/>
      <c r="CA196" s="1492"/>
      <c r="CB196" s="1492"/>
      <c r="CC196" s="1492"/>
      <c r="CD196" s="1492"/>
      <c r="CE196" s="1492"/>
      <c r="CF196" s="1492"/>
      <c r="CG196" s="1492"/>
      <c r="CH196" s="1492"/>
      <c r="CI196" s="1492"/>
      <c r="CJ196" s="1492"/>
      <c r="CK196" s="1492"/>
      <c r="CL196" s="1492"/>
      <c r="CM196" s="1492"/>
      <c r="CN196" s="1492"/>
      <c r="CO196" s="1492"/>
      <c r="CP196" s="1492"/>
      <c r="CQ196" s="1492"/>
      <c r="CR196" s="1492"/>
      <c r="CS196" s="1492"/>
      <c r="CT196" s="1492"/>
      <c r="CU196" s="1492"/>
      <c r="CV196" s="1492"/>
      <c r="CW196" s="1492"/>
      <c r="CX196" s="1492"/>
      <c r="CY196" s="1492"/>
      <c r="CZ196" s="1492"/>
      <c r="DA196" s="1492"/>
      <c r="DB196" s="1492"/>
      <c r="DC196" s="1492"/>
      <c r="DD196" s="1492"/>
      <c r="DE196" s="1492"/>
      <c r="DF196" s="1492"/>
      <c r="DG196" s="1492"/>
      <c r="DH196" s="1492"/>
      <c r="DI196" s="1492"/>
      <c r="DJ196" s="1492"/>
      <c r="DK196" s="1492"/>
      <c r="DL196" s="1492"/>
      <c r="DM196" s="1492"/>
      <c r="DN196" s="1492"/>
      <c r="DO196" s="1492"/>
      <c r="DP196" s="1492"/>
      <c r="DQ196" s="1492"/>
      <c r="DR196" s="1492"/>
      <c r="DS196" s="1492"/>
      <c r="DT196" s="1492"/>
      <c r="DU196" s="1492"/>
      <c r="DV196" s="1492"/>
      <c r="DW196" s="1492"/>
      <c r="DX196" s="1492"/>
      <c r="DY196" s="1492"/>
      <c r="DZ196" s="1492"/>
      <c r="EA196" s="1492"/>
      <c r="EB196" s="1492"/>
      <c r="EC196" s="1492"/>
      <c r="ED196" s="1492"/>
      <c r="EE196" s="1492"/>
      <c r="EF196" s="1492"/>
      <c r="EG196" s="1492"/>
      <c r="EH196" s="1492"/>
      <c r="EI196" s="1492"/>
      <c r="EJ196" s="1492"/>
      <c r="EK196" s="1492"/>
      <c r="EL196" s="1492"/>
      <c r="EM196" s="1492"/>
      <c r="EN196" s="1492"/>
      <c r="EO196" s="1492"/>
      <c r="EP196" s="1492"/>
      <c r="EQ196" s="1492"/>
      <c r="ER196" s="1492"/>
      <c r="ES196" s="1492"/>
      <c r="ET196" s="1492"/>
      <c r="EU196" s="1492"/>
      <c r="EV196" s="1492"/>
      <c r="EW196" s="1492"/>
      <c r="EX196" s="1492"/>
      <c r="EY196" s="1492"/>
      <c r="EZ196" s="1492"/>
      <c r="FA196" s="1492"/>
      <c r="FB196" s="1492"/>
      <c r="FC196" s="1492"/>
      <c r="FD196" s="1492"/>
      <c r="FE196" s="1492"/>
      <c r="FF196" s="1492"/>
      <c r="FG196" s="1492"/>
      <c r="FH196" s="1492"/>
      <c r="FI196" s="1492"/>
      <c r="FJ196" s="1492"/>
      <c r="FK196" s="1492"/>
      <c r="FL196" s="1492"/>
      <c r="FM196" s="1492"/>
      <c r="FN196" s="1492"/>
      <c r="FO196" s="1492"/>
      <c r="FP196" s="1492"/>
      <c r="FQ196" s="1492"/>
      <c r="FR196" s="1492"/>
      <c r="FS196" s="1492"/>
      <c r="FT196" s="1492"/>
      <c r="FU196" s="1492"/>
      <c r="FV196" s="1492"/>
      <c r="FW196" s="1492"/>
      <c r="FX196" s="1492"/>
      <c r="FY196" s="1492"/>
      <c r="FZ196" s="1492"/>
      <c r="GA196" s="1492"/>
      <c r="GB196" s="1492"/>
      <c r="GC196" s="1492"/>
      <c r="GD196" s="1492"/>
      <c r="GE196" s="1492"/>
      <c r="GF196" s="1492"/>
      <c r="GG196" s="1492"/>
      <c r="GH196" s="1492"/>
      <c r="GI196" s="1492"/>
      <c r="GJ196" s="1492"/>
      <c r="GK196" s="1492"/>
      <c r="GL196" s="1492"/>
      <c r="GM196" s="1492"/>
      <c r="GN196" s="1492"/>
      <c r="GO196" s="1492"/>
      <c r="GP196" s="1492"/>
      <c r="GQ196" s="1492"/>
      <c r="GR196" s="1492"/>
      <c r="GS196" s="1492"/>
      <c r="GT196" s="1492"/>
      <c r="GU196" s="1492"/>
      <c r="GV196" s="1492"/>
      <c r="GW196" s="1492"/>
      <c r="GX196" s="1492"/>
      <c r="GY196" s="1492"/>
      <c r="GZ196" s="1492"/>
      <c r="HA196" s="1492"/>
      <c r="HB196" s="1492"/>
      <c r="HC196" s="1492"/>
      <c r="HD196" s="1492"/>
      <c r="HE196" s="1492"/>
      <c r="HF196" s="1492"/>
      <c r="HG196" s="1492"/>
      <c r="HH196" s="1492"/>
      <c r="HI196" s="1492"/>
      <c r="HJ196" s="1492"/>
      <c r="HK196" s="1492"/>
      <c r="HL196" s="1492"/>
      <c r="HM196" s="1492"/>
      <c r="HN196" s="1492"/>
      <c r="HO196" s="1492"/>
      <c r="HP196" s="1492"/>
      <c r="HQ196" s="1492"/>
      <c r="HR196" s="1492"/>
      <c r="HS196" s="1492"/>
      <c r="HT196" s="1492"/>
      <c r="HU196" s="1492"/>
      <c r="HV196" s="1492"/>
      <c r="HW196" s="1492"/>
      <c r="HX196" s="1492"/>
      <c r="HY196" s="1492"/>
      <c r="HZ196" s="1492"/>
      <c r="IA196" s="1492"/>
      <c r="IB196" s="1492"/>
      <c r="IC196" s="1492"/>
      <c r="ID196" s="1492"/>
      <c r="IE196" s="1492"/>
      <c r="IF196" s="1492"/>
      <c r="IG196" s="1492"/>
      <c r="IH196" s="1492"/>
      <c r="II196" s="1492"/>
      <c r="IJ196" s="1492"/>
      <c r="IK196" s="1492"/>
      <c r="IL196" s="1492"/>
      <c r="IM196" s="1492"/>
      <c r="IN196" s="1492"/>
      <c r="IO196" s="14"/>
    </row>
    <row r="197" spans="1:249" ht="17.25" customHeight="1">
      <c r="A197" s="1493" t="str">
        <f>"Biªn b¶n sè: "&amp;$R$12&amp;"/ Nb-Ben/"&amp;$R$14</f>
        <v>Biªn b¶n sè: B1/ Nb-Ben/800</v>
      </c>
      <c r="B197" s="1493"/>
      <c r="C197" s="1493"/>
      <c r="D197" s="1493"/>
      <c r="E197" s="1493"/>
      <c r="F197" s="1493"/>
      <c r="G197" s="1493"/>
      <c r="H197" s="1493"/>
      <c r="I197" s="1493"/>
      <c r="J197" s="1493"/>
      <c r="K197" s="1493"/>
      <c r="L197" s="1493"/>
      <c r="M197" s="1493"/>
      <c r="N197" s="1493"/>
      <c r="Q197" s="22" t="s">
        <v>202</v>
      </c>
      <c r="R197" s="16" t="str">
        <f>'Du lieu'!$C$6</f>
        <v>P. BẠCH ĐẰNG, TP. HẠ LONG, TỈNH QUẢNG NINH</v>
      </c>
      <c r="S197" s="137"/>
      <c r="T197" s="23"/>
    </row>
    <row r="198" spans="1:249" s="24" customFormat="1" ht="22.5" customHeight="1">
      <c r="A198" s="1493" t="s">
        <v>204</v>
      </c>
      <c r="B198" s="1493"/>
      <c r="C198" s="1493"/>
      <c r="D198" s="1493"/>
      <c r="E198" s="1493"/>
      <c r="F198" s="1493"/>
      <c r="G198" s="1493"/>
      <c r="H198" s="1493"/>
      <c r="I198" s="1493"/>
      <c r="J198" s="1493"/>
      <c r="K198" s="1493"/>
      <c r="L198" s="1493"/>
      <c r="M198" s="1493"/>
      <c r="N198" s="1493"/>
      <c r="Q198" s="22" t="s">
        <v>203</v>
      </c>
      <c r="R198" s="16" t="str">
        <f>'Du lieu'!$C$5</f>
        <v>CỌC KHOAN NHỒI</v>
      </c>
      <c r="S198" s="137"/>
      <c r="T198" s="23"/>
    </row>
    <row r="199" spans="1:249" s="24" customFormat="1" ht="21" customHeight="1">
      <c r="A199" s="12"/>
      <c r="B199"/>
      <c r="C199"/>
      <c r="D199"/>
      <c r="E199"/>
      <c r="F199"/>
      <c r="G199"/>
      <c r="H199"/>
      <c r="I199"/>
      <c r="J199"/>
      <c r="K199"/>
      <c r="L199"/>
      <c r="M199"/>
      <c r="N199"/>
      <c r="T199" s="25"/>
    </row>
    <row r="200" spans="1:249" ht="26.25">
      <c r="B200" s="27"/>
      <c r="C200" s="28" t="str">
        <f>"C«ng tr×nh: "&amp;$R$3</f>
        <v>C«ng tr×nh: KHU HỖN HỢP CHUNG CƯ, VĂN PHÒNG, TRUNG TÂM THƯƠNG MẠI VÀ NHÀ Ở KẾT HỢP KHU MUA SẮM</v>
      </c>
      <c r="D200" s="27"/>
      <c r="E200" s="27"/>
      <c r="F200" s="27"/>
      <c r="G200" s="27"/>
      <c r="H200" s="27"/>
      <c r="I200" s="27"/>
      <c r="J200" s="27"/>
      <c r="K200" s="27"/>
      <c r="L200" s="27"/>
      <c r="R200" s="26"/>
      <c r="S200" s="26"/>
      <c r="T200" s="25"/>
    </row>
    <row r="201" spans="1:249" ht="21.95" customHeight="1">
      <c r="B201" s="27"/>
      <c r="C201" s="28" t="str">
        <f>"H¹ng môc: "&amp;$R$5</f>
        <v>H¹ng môc: CỌC KHOAN NHỒI</v>
      </c>
      <c r="D201" s="27"/>
      <c r="E201" s="29"/>
      <c r="F201" s="28"/>
      <c r="G201" s="28"/>
      <c r="H201" s="28"/>
      <c r="I201" s="28"/>
      <c r="J201" s="28"/>
      <c r="K201" s="28"/>
      <c r="L201" s="28"/>
      <c r="M201" s="28"/>
    </row>
    <row r="202" spans="1:249" ht="21.95" customHeight="1">
      <c r="B202" s="30"/>
      <c r="C202" s="1487" t="str">
        <f>"§Þa ®iÓm x©y dùng: "&amp;$R$4</f>
        <v>§Þa ®iÓm x©y dùng: P. BẠCH ĐẰNG, TP. HẠ LONG, TỈNH QUẢNG NINH</v>
      </c>
      <c r="D202" s="1487"/>
      <c r="E202" s="1487"/>
      <c r="F202" s="1487"/>
      <c r="G202" s="1487"/>
      <c r="H202" s="1487"/>
      <c r="I202" s="1487"/>
      <c r="J202" s="1487"/>
      <c r="K202" s="1487"/>
      <c r="L202" s="1487"/>
      <c r="M202" s="1487"/>
      <c r="N202" s="1487"/>
    </row>
    <row r="203" spans="1:249" ht="21.95" customHeight="1">
      <c r="B203" s="30"/>
      <c r="C203" s="31"/>
      <c r="D203" s="30"/>
      <c r="E203" s="30"/>
      <c r="F203" s="30"/>
      <c r="G203" s="30"/>
      <c r="H203" s="30"/>
      <c r="I203" s="30"/>
      <c r="J203" s="30"/>
      <c r="K203" s="30"/>
      <c r="L203" s="30"/>
    </row>
    <row r="204" spans="1:249" ht="16.5">
      <c r="A204" s="30" t="str">
        <f>"1.§èi t­îng nghiÖm thu: Bentonite cäc: "&amp;$R$12</f>
        <v>1.§èi t­îng nghiÖm thu: Bentonite cäc: B1</v>
      </c>
      <c r="B204" s="30"/>
      <c r="C204" s="30"/>
      <c r="D204" s="30"/>
      <c r="E204" s="30"/>
      <c r="F204" s="27"/>
      <c r="H204" s="30"/>
      <c r="I204" s="30"/>
      <c r="J204" s="30"/>
      <c r="K204" s="30"/>
      <c r="L204" s="30"/>
    </row>
    <row r="205" spans="1:249" ht="16.5">
      <c r="A205" s="30"/>
      <c r="B205" s="30"/>
      <c r="C205" s="30"/>
      <c r="D205" s="30"/>
      <c r="E205" s="30"/>
      <c r="F205" s="27"/>
      <c r="H205" s="30"/>
      <c r="I205" s="30"/>
      <c r="J205" s="30"/>
      <c r="K205" s="30"/>
      <c r="L205" s="30"/>
      <c r="Q205" s="119" t="s">
        <v>205</v>
      </c>
      <c r="R205" s="119" t="e">
        <v>#REF!</v>
      </c>
      <c r="S205" s="119"/>
      <c r="T205" s="119"/>
      <c r="U205" s="1"/>
      <c r="V205" s="120">
        <v>3.472222222222222E-3</v>
      </c>
      <c r="W205" s="6" t="s">
        <v>206</v>
      </c>
    </row>
    <row r="206" spans="1:249" ht="27" hidden="1" customHeight="1">
      <c r="A206" s="1488" t="s">
        <v>207</v>
      </c>
      <c r="B206" s="1488"/>
      <c r="C206" s="1488"/>
      <c r="D206" s="1488"/>
      <c r="E206" s="1488"/>
      <c r="F206" s="1488"/>
      <c r="G206" s="1488"/>
      <c r="H206" s="1488"/>
      <c r="I206" s="1488"/>
      <c r="J206" s="1488"/>
      <c r="K206" s="1488"/>
      <c r="L206" s="1488"/>
      <c r="Q206" s="32"/>
      <c r="R206" s="119"/>
      <c r="S206" s="119"/>
      <c r="T206" s="119"/>
      <c r="U206" s="1"/>
    </row>
    <row r="207" spans="1:249" ht="21.95" customHeight="1">
      <c r="A207" s="27"/>
      <c r="B207" s="33" t="s">
        <v>208</v>
      </c>
      <c r="C207" s="34"/>
      <c r="D207" s="34"/>
      <c r="E207" s="27"/>
      <c r="F207" s="27"/>
      <c r="G207" s="27"/>
      <c r="H207" s="27"/>
      <c r="I207" s="27"/>
      <c r="J207" s="27"/>
      <c r="K207" s="27"/>
      <c r="L207" s="27"/>
      <c r="Q207" s="119" t="s">
        <v>156</v>
      </c>
      <c r="R207" s="119" t="e">
        <v>#REF!</v>
      </c>
      <c r="S207" s="119"/>
      <c r="T207" s="119"/>
      <c r="U207" s="1"/>
    </row>
    <row r="208" spans="1:249" ht="21.95" customHeight="1">
      <c r="A208" s="35"/>
      <c r="C208" s="34"/>
      <c r="D208" s="36" t="s">
        <v>210</v>
      </c>
      <c r="E208" s="36" t="str">
        <f>R226</f>
        <v>Nguyễn Mạnh Hùng</v>
      </c>
      <c r="F208" s="36"/>
      <c r="G208" s="35"/>
      <c r="I208" s="37" t="s">
        <v>211</v>
      </c>
      <c r="J208" s="37"/>
      <c r="K208" s="36" t="str">
        <f>T226</f>
        <v>Chỉ huy phó công trường</v>
      </c>
      <c r="L208" s="35"/>
      <c r="M208" s="35"/>
      <c r="Q208" s="119" t="s">
        <v>209</v>
      </c>
      <c r="R208" s="121" t="e">
        <v>#REF!</v>
      </c>
      <c r="S208" s="121"/>
      <c r="T208" s="121" t="e">
        <v>#REF!</v>
      </c>
      <c r="U208" s="122" t="e">
        <v>#REF!</v>
      </c>
      <c r="V208" s="120">
        <v>1.0416666666666666E-2</v>
      </c>
      <c r="W208" s="123" t="e">
        <f>R208-V208</f>
        <v>#REF!</v>
      </c>
      <c r="X208" s="124"/>
    </row>
    <row r="209" spans="1:249" ht="24.75" customHeight="1">
      <c r="A209" s="27"/>
      <c r="B209" s="33" t="s">
        <v>213</v>
      </c>
      <c r="C209" s="34"/>
      <c r="D209" s="34"/>
      <c r="E209" s="27"/>
      <c r="F209" s="27"/>
      <c r="G209" s="27"/>
      <c r="H209" s="27"/>
      <c r="I209" s="27"/>
      <c r="J209" s="27"/>
      <c r="K209" s="27"/>
      <c r="L209" s="27"/>
      <c r="Q209" s="119" t="s">
        <v>212</v>
      </c>
      <c r="R209" s="121" t="e">
        <v>#REF!</v>
      </c>
      <c r="S209" s="121"/>
      <c r="T209" s="121" t="e">
        <v>#REF!</v>
      </c>
      <c r="U209" s="122" t="e">
        <v>#REF!</v>
      </c>
    </row>
    <row r="210" spans="1:249" ht="21.95" customHeight="1">
      <c r="A210" s="35"/>
      <c r="C210" s="38"/>
      <c r="D210" s="39" t="s">
        <v>210</v>
      </c>
      <c r="E210" s="36" t="str">
        <f>R223</f>
        <v>CÔNG TY TNHH MTV HANTECH</v>
      </c>
      <c r="F210" s="36"/>
      <c r="G210" s="35"/>
      <c r="I210" s="37" t="s">
        <v>211</v>
      </c>
      <c r="J210" s="37"/>
      <c r="K210" s="36" t="str">
        <f>T223</f>
        <v>Công ty TNHH MTV HANTECH</v>
      </c>
      <c r="L210" s="36"/>
      <c r="Q210" s="119" t="s">
        <v>214</v>
      </c>
      <c r="R210" s="121" t="e">
        <v>#REF!</v>
      </c>
      <c r="S210" s="121"/>
      <c r="T210" s="121" t="e">
        <v>#REF!</v>
      </c>
      <c r="U210" s="122" t="e">
        <v>#REF!</v>
      </c>
    </row>
    <row r="211" spans="1:249" ht="26.25" customHeight="1">
      <c r="A211" s="35"/>
      <c r="C211" s="38"/>
      <c r="D211" s="39" t="s">
        <v>210</v>
      </c>
      <c r="E211" s="36" t="str">
        <f>R225</f>
        <v>Ngô Văn Khánh</v>
      </c>
      <c r="F211" s="36"/>
      <c r="G211" s="35"/>
      <c r="I211" s="37" t="s">
        <v>211</v>
      </c>
      <c r="J211" s="37"/>
      <c r="K211" s="36" t="str">
        <f>T225</f>
        <v>Chỉ huy trưởng công trường</v>
      </c>
      <c r="L211" s="36"/>
      <c r="Q211" s="119" t="s">
        <v>215</v>
      </c>
      <c r="R211" s="121" t="e">
        <v>#REF!</v>
      </c>
      <c r="S211" s="121"/>
      <c r="T211" s="121" t="e">
        <v>#REF!</v>
      </c>
      <c r="U211" s="122" t="e">
        <v>#REF!</v>
      </c>
    </row>
    <row r="212" spans="1:249" ht="26.25" customHeight="1">
      <c r="A212" s="1488" t="s">
        <v>217</v>
      </c>
      <c r="B212" s="1488"/>
      <c r="C212" s="1488"/>
      <c r="D212" s="1488"/>
      <c r="E212" s="1488"/>
      <c r="F212" s="1488"/>
      <c r="G212" s="1488"/>
      <c r="H212" s="1488"/>
      <c r="I212" s="1488"/>
      <c r="J212" s="1488"/>
      <c r="K212" s="1488"/>
      <c r="L212" s="1488"/>
      <c r="Q212" s="119" t="s">
        <v>216</v>
      </c>
      <c r="R212" s="121" t="e">
        <v>#REF!</v>
      </c>
      <c r="S212" s="121"/>
      <c r="T212" s="121" t="e">
        <v>#REF!</v>
      </c>
      <c r="U212" s="122" t="e">
        <v>#REF!</v>
      </c>
    </row>
    <row r="213" spans="1:249" ht="22.5" customHeight="1">
      <c r="A213" s="40"/>
      <c r="C213" s="24"/>
      <c r="D213" s="24" t="s">
        <v>219</v>
      </c>
      <c r="E213" s="41">
        <f>$W$16</f>
        <v>0.39583333333333326</v>
      </c>
      <c r="F213" s="1489">
        <f>I195</f>
        <v>42466</v>
      </c>
      <c r="G213" s="1489"/>
      <c r="H213" s="1489"/>
      <c r="I213" s="1489"/>
      <c r="J213" s="1489"/>
      <c r="K213" s="1489"/>
      <c r="L213" s="1489"/>
      <c r="M213" s="24"/>
      <c r="N213" s="24"/>
      <c r="Q213" s="119" t="s">
        <v>218</v>
      </c>
      <c r="R213" s="121">
        <v>0.33333333333333331</v>
      </c>
      <c r="S213" s="121"/>
      <c r="T213" s="121">
        <v>0.375</v>
      </c>
      <c r="U213" s="122" t="e">
        <f>U212+30</f>
        <v>#REF!</v>
      </c>
    </row>
    <row r="214" spans="1:249" ht="21.95" customHeight="1">
      <c r="A214" s="40"/>
      <c r="C214" s="24"/>
      <c r="D214" s="24" t="s">
        <v>162</v>
      </c>
      <c r="E214" s="41">
        <f>$E213+$V$12</f>
        <v>0.39930555555555547</v>
      </c>
      <c r="F214" s="1489">
        <f>I195</f>
        <v>42466</v>
      </c>
      <c r="G214" s="1489"/>
      <c r="H214" s="1489"/>
      <c r="I214" s="1489"/>
      <c r="J214" s="1489"/>
      <c r="K214" s="1489"/>
      <c r="L214" s="1489"/>
    </row>
    <row r="215" spans="1:249" ht="21.95" customHeight="1">
      <c r="D215" s="36" t="s">
        <v>220</v>
      </c>
      <c r="F215" s="36" t="str">
        <f>$R$3</f>
        <v>KHU HỖN HỢP CHUNG CƯ, VĂN PHÒNG, TRUNG TÂM THƯƠNG MẠI VÀ NHÀ Ở KẾT HỢP KHU MUA SẮM</v>
      </c>
      <c r="G215" s="30"/>
      <c r="H215" s="30"/>
      <c r="I215" s="30"/>
      <c r="J215" s="30"/>
      <c r="K215" s="30"/>
      <c r="L215" s="30"/>
      <c r="Q215" s="119" t="s">
        <v>192</v>
      </c>
      <c r="R215" s="119" t="str">
        <f>'Du lieu'!$C$7</f>
        <v>CÔNG TY CỔ PHẦN ĐẦU TƯ VÀ KHÁCH SẠN MYWAY HẠ LONG</v>
      </c>
      <c r="S215" s="119"/>
      <c r="T215" s="119" t="str">
        <f>'Du lieu'!$D$7</f>
        <v>Công ty Cổ phần đầu tư và Khách sạn MyWay Hạ Long</v>
      </c>
      <c r="U215" s="1"/>
    </row>
    <row r="216" spans="1:249" ht="23.25" customHeight="1">
      <c r="D216" s="36" t="s">
        <v>221</v>
      </c>
      <c r="F216" s="36" t="str">
        <f>$R$4</f>
        <v>P. BẠCH ĐẰNG, TP. HẠ LONG, TỈNH QUẢNG NINH</v>
      </c>
      <c r="G216" s="30"/>
      <c r="H216" s="30"/>
      <c r="I216" s="30"/>
      <c r="J216" s="30"/>
      <c r="K216" s="30"/>
      <c r="L216" s="30"/>
      <c r="Q216" s="119" t="s">
        <v>193</v>
      </c>
      <c r="R216" s="119" t="str">
        <f>'Du lieu'!$C$8</f>
        <v>Nguyễn Thanh Tân</v>
      </c>
      <c r="S216" s="119"/>
      <c r="T216" s="119" t="str">
        <f>'Du lieu'!$D$8</f>
        <v>GĐ BQLDA</v>
      </c>
      <c r="U216" s="1"/>
    </row>
    <row r="217" spans="1:249" ht="23.25" customHeight="1">
      <c r="A217" s="1488" t="s">
        <v>222</v>
      </c>
      <c r="B217" s="1488"/>
      <c r="C217" s="1488"/>
      <c r="D217" s="1488"/>
      <c r="E217" s="1488"/>
      <c r="F217" s="1488"/>
      <c r="G217" s="1488"/>
      <c r="H217" s="1488"/>
      <c r="I217" s="1488"/>
      <c r="J217" s="1488"/>
      <c r="K217" s="1488"/>
      <c r="L217" s="1488"/>
      <c r="Q217" s="119" t="s">
        <v>193</v>
      </c>
      <c r="R217" s="119" t="str">
        <f>'Du lieu'!$C$9</f>
        <v>Phạm Tiến Dũng</v>
      </c>
      <c r="S217" s="119"/>
      <c r="T217" s="119" t="str">
        <f>'Du lieu'!$D$9</f>
        <v>Cán bộ BQLDA</v>
      </c>
      <c r="U217" s="1"/>
    </row>
    <row r="218" spans="1:249" ht="36.75" customHeight="1">
      <c r="A218" s="1491" t="s">
        <v>223</v>
      </c>
      <c r="B218" s="1491"/>
      <c r="C218" s="1491"/>
      <c r="D218" s="1491"/>
      <c r="E218" s="1491"/>
      <c r="F218" s="1491"/>
      <c r="G218" s="1491"/>
      <c r="H218" s="1491"/>
      <c r="I218" s="1491"/>
      <c r="J218" s="1491"/>
      <c r="K218" s="1491"/>
      <c r="L218" s="1491"/>
      <c r="M218" s="1491"/>
      <c r="N218" s="1491"/>
      <c r="O218" s="43"/>
      <c r="P218" s="43"/>
      <c r="Q218" s="119" t="s">
        <v>194</v>
      </c>
      <c r="R218" s="119" t="str">
        <f>'Du lieu'!$C$10</f>
        <v>………………..</v>
      </c>
      <c r="S218" s="119"/>
      <c r="T218" s="119" t="str">
        <f>'Du lieu'!$D$10</f>
        <v>Cán bộ BQLDA</v>
      </c>
      <c r="U218" s="125"/>
      <c r="V218" s="126"/>
      <c r="W218" s="126"/>
      <c r="X218" s="126"/>
      <c r="Y218" s="126"/>
      <c r="Z218" s="126"/>
      <c r="AA218" s="126"/>
      <c r="AB218" s="126"/>
      <c r="AC218" s="126"/>
    </row>
    <row r="219" spans="1:249" s="5" customFormat="1" ht="16.5">
      <c r="A219" s="1490" t="s">
        <v>224</v>
      </c>
      <c r="B219" s="1490"/>
      <c r="C219" s="1490"/>
      <c r="D219" s="1490"/>
      <c r="E219" s="1490"/>
      <c r="F219" s="1490"/>
      <c r="G219" s="1490"/>
      <c r="H219" s="1490"/>
      <c r="I219" s="1490"/>
      <c r="J219" s="1490"/>
      <c r="K219" s="1490"/>
      <c r="L219" s="1490"/>
      <c r="M219" s="1490"/>
      <c r="N219" s="1490"/>
      <c r="O219" s="43"/>
      <c r="P219" s="43"/>
      <c r="Q219" s="119" t="s">
        <v>193</v>
      </c>
      <c r="R219" s="119" t="str">
        <f>'Du lieu'!$C$11</f>
        <v>CÔNG TY CỔ PHẦN TƯ VẤN KIỂM ĐỊNH VÀ THƯƠNG MẠI XÂY DỰNG GOLDSUN</v>
      </c>
      <c r="S219" s="119"/>
      <c r="T219" s="119" t="str">
        <f>'Du lieu'!$D$11</f>
        <v>Công ty Cổ phần tư vấn kiểm định và thương mại xây dựng Goldsun</v>
      </c>
      <c r="U219" s="125"/>
      <c r="V219" s="126"/>
      <c r="W219" s="126"/>
      <c r="X219" s="126"/>
      <c r="Y219" s="126"/>
      <c r="Z219" s="126"/>
      <c r="AA219" s="126"/>
      <c r="AB219" s="126"/>
      <c r="AC219" s="126"/>
      <c r="AD219" s="127"/>
      <c r="AE219" s="127"/>
      <c r="AF219" s="127"/>
    </row>
    <row r="220" spans="1:249" s="5" customFormat="1" ht="24" customHeight="1">
      <c r="B220" s="36" t="s">
        <v>226</v>
      </c>
      <c r="C220" s="36"/>
      <c r="D220" s="36"/>
      <c r="E220" s="36"/>
      <c r="F220" s="36"/>
      <c r="G220" s="36"/>
      <c r="H220" s="36"/>
      <c r="I220" s="36"/>
      <c r="J220" s="36"/>
      <c r="K220" s="36"/>
      <c r="L220" s="36"/>
      <c r="M220" s="36"/>
      <c r="N220" s="36"/>
      <c r="O220" s="43"/>
      <c r="P220" s="43"/>
      <c r="Q220" s="119" t="s">
        <v>193</v>
      </c>
      <c r="R220" s="119" t="str">
        <f>'Du lieu'!$C$12</f>
        <v>.....................................</v>
      </c>
      <c r="S220" s="119"/>
      <c r="T220" s="119" t="str">
        <f>'Du lieu'!$D$12</f>
        <v>.....................................</v>
      </c>
      <c r="U220" s="125"/>
      <c r="V220" s="126"/>
      <c r="W220" s="126"/>
      <c r="X220" s="126"/>
      <c r="Y220" s="126"/>
      <c r="Z220" s="126"/>
      <c r="AA220" s="126"/>
      <c r="AB220" s="126"/>
      <c r="AC220" s="126"/>
      <c r="AD220" s="127"/>
      <c r="AE220" s="127"/>
      <c r="AF220" s="127"/>
    </row>
    <row r="221" spans="1:249" s="5" customFormat="1" ht="24" customHeight="1">
      <c r="B221" s="36" t="s">
        <v>227</v>
      </c>
      <c r="C221" s="36"/>
      <c r="D221" s="36"/>
      <c r="E221" s="36"/>
      <c r="F221" s="36"/>
      <c r="G221" s="36"/>
      <c r="H221" s="36"/>
      <c r="I221" s="36"/>
      <c r="J221" s="36"/>
      <c r="K221" s="36"/>
      <c r="L221" s="36"/>
      <c r="M221" s="36"/>
      <c r="N221" s="36"/>
      <c r="O221" s="43"/>
      <c r="P221" s="43"/>
      <c r="Q221" s="119" t="s">
        <v>195</v>
      </c>
      <c r="R221" s="119" t="str">
        <f>'Du lieu'!$C$13</f>
        <v>.....................................</v>
      </c>
      <c r="S221" s="119"/>
      <c r="T221" s="119" t="str">
        <f>'Du lieu'!$D$13</f>
        <v>.....................................</v>
      </c>
      <c r="U221" s="125"/>
      <c r="V221" s="126"/>
      <c r="W221" s="126"/>
      <c r="X221" s="126"/>
      <c r="Y221" s="126"/>
      <c r="Z221" s="126"/>
      <c r="AA221" s="126"/>
      <c r="AB221" s="126"/>
      <c r="AC221" s="126"/>
      <c r="AD221" s="1490"/>
      <c r="AE221" s="1490"/>
      <c r="AF221" s="1490"/>
      <c r="AG221" s="1490"/>
      <c r="AH221" s="1490"/>
      <c r="AI221" s="1490"/>
      <c r="AJ221" s="1490"/>
      <c r="AK221" s="1490"/>
      <c r="AL221" s="1490"/>
      <c r="AM221" s="1490"/>
      <c r="AN221" s="1490"/>
      <c r="AO221" s="1490"/>
      <c r="AP221" s="1490"/>
      <c r="AQ221" s="1490"/>
      <c r="AR221" s="1490"/>
      <c r="AS221" s="1490"/>
      <c r="AT221" s="1490"/>
      <c r="AU221" s="1490"/>
      <c r="AV221" s="1490"/>
      <c r="AW221" s="1490"/>
      <c r="AX221" s="1490"/>
      <c r="AY221" s="1490"/>
      <c r="AZ221" s="1490"/>
      <c r="BA221" s="1490"/>
      <c r="BB221" s="1490"/>
      <c r="BC221" s="1490"/>
      <c r="BD221" s="1490"/>
      <c r="BE221" s="1490"/>
      <c r="BF221" s="1490"/>
      <c r="BG221" s="1490"/>
      <c r="BH221" s="1490"/>
      <c r="BI221" s="1490"/>
      <c r="BJ221" s="1490"/>
      <c r="BK221" s="1490"/>
      <c r="BL221" s="1490"/>
      <c r="BM221" s="1490"/>
      <c r="BN221" s="1490"/>
      <c r="BO221" s="1490"/>
      <c r="BP221" s="1490"/>
      <c r="BQ221" s="1490"/>
      <c r="BR221" s="1490"/>
      <c r="BS221" s="1490"/>
      <c r="BT221" s="1490"/>
      <c r="BU221" s="1490"/>
      <c r="BV221" s="1490"/>
      <c r="BW221" s="1490"/>
      <c r="BX221" s="1490"/>
      <c r="BY221" s="1490"/>
      <c r="BZ221" s="1490"/>
      <c r="CA221" s="1490"/>
      <c r="CB221" s="1490"/>
      <c r="CC221" s="1490"/>
      <c r="CD221" s="1490"/>
      <c r="CE221" s="1490"/>
      <c r="CF221" s="1490"/>
      <c r="CG221" s="1490"/>
      <c r="CH221" s="1490"/>
      <c r="CI221" s="1490"/>
      <c r="CJ221" s="1490"/>
      <c r="CK221" s="1490"/>
      <c r="CL221" s="1490"/>
      <c r="CM221" s="1490"/>
      <c r="CN221" s="1490"/>
      <c r="CO221" s="1490"/>
      <c r="CP221" s="1490"/>
      <c r="CQ221" s="1490"/>
      <c r="CR221" s="1490"/>
      <c r="CS221" s="1490"/>
      <c r="CT221" s="1490"/>
      <c r="CU221" s="1490"/>
      <c r="CV221" s="1490"/>
      <c r="CW221" s="1490"/>
      <c r="CX221" s="1490"/>
      <c r="CY221" s="1490"/>
      <c r="CZ221" s="1490"/>
      <c r="DA221" s="1490"/>
      <c r="DB221" s="1490"/>
      <c r="DC221" s="1490"/>
      <c r="DD221" s="1490"/>
      <c r="DE221" s="1490"/>
      <c r="DF221" s="1490"/>
      <c r="DG221" s="1490"/>
      <c r="DH221" s="1490"/>
      <c r="DI221" s="1490"/>
      <c r="DJ221" s="1490"/>
      <c r="DK221" s="1490"/>
      <c r="DL221" s="1490"/>
      <c r="DM221" s="1490"/>
      <c r="DN221" s="1490"/>
      <c r="DO221" s="1490"/>
      <c r="DP221" s="1490"/>
      <c r="DQ221" s="1490"/>
      <c r="DR221" s="1490"/>
      <c r="DS221" s="1490"/>
      <c r="DT221" s="1490"/>
      <c r="DU221" s="1490"/>
      <c r="DV221" s="1490"/>
      <c r="DW221" s="1490"/>
      <c r="DX221" s="1490"/>
      <c r="DY221" s="1490"/>
      <c r="DZ221" s="1490"/>
      <c r="EA221" s="1490"/>
      <c r="EB221" s="1490"/>
      <c r="EC221" s="1490"/>
      <c r="ED221" s="1490"/>
      <c r="EE221" s="1490"/>
      <c r="EF221" s="1490"/>
      <c r="EG221" s="1490"/>
      <c r="EH221" s="1490"/>
      <c r="EI221" s="1490"/>
      <c r="EJ221" s="1490"/>
      <c r="EK221" s="1490"/>
      <c r="EL221" s="1490"/>
      <c r="EM221" s="1490"/>
      <c r="EN221" s="1490"/>
      <c r="EO221" s="1490"/>
      <c r="EP221" s="1490"/>
      <c r="EQ221" s="1490"/>
      <c r="ER221" s="1490"/>
      <c r="ES221" s="1490"/>
      <c r="ET221" s="1490"/>
      <c r="EU221" s="1490"/>
      <c r="EV221" s="1490"/>
      <c r="EW221" s="1490"/>
      <c r="EX221" s="1490"/>
      <c r="EY221" s="1490"/>
      <c r="EZ221" s="1490"/>
      <c r="FA221" s="1490"/>
      <c r="FB221" s="1490"/>
      <c r="FC221" s="1490"/>
      <c r="FD221" s="1490"/>
      <c r="FE221" s="1490"/>
      <c r="FF221" s="1490"/>
      <c r="FG221" s="1490"/>
      <c r="FH221" s="1490"/>
      <c r="FI221" s="1490"/>
      <c r="FJ221" s="1490"/>
      <c r="FK221" s="1490"/>
      <c r="FL221" s="1490"/>
      <c r="FM221" s="1490"/>
      <c r="FN221" s="1490"/>
      <c r="FO221" s="1490"/>
      <c r="FP221" s="1490"/>
      <c r="FQ221" s="1490"/>
      <c r="FR221" s="1490"/>
      <c r="FS221" s="1490"/>
      <c r="FT221" s="1490"/>
      <c r="FU221" s="1490"/>
      <c r="FV221" s="1490"/>
      <c r="FW221" s="1490"/>
      <c r="FX221" s="1490"/>
      <c r="FY221" s="1490"/>
      <c r="FZ221" s="1490"/>
      <c r="GA221" s="1490"/>
      <c r="GB221" s="1490"/>
      <c r="GC221" s="1490"/>
      <c r="GD221" s="1490"/>
      <c r="GE221" s="1490"/>
      <c r="GF221" s="1490"/>
      <c r="GG221" s="1490"/>
      <c r="GH221" s="1490"/>
      <c r="GI221" s="1490"/>
      <c r="GJ221" s="1490"/>
      <c r="GK221" s="1490"/>
      <c r="GL221" s="1490"/>
      <c r="GM221" s="1490"/>
      <c r="GN221" s="1490"/>
      <c r="GO221" s="1490"/>
      <c r="GP221" s="1490"/>
      <c r="GQ221" s="1490"/>
      <c r="GR221" s="1490"/>
      <c r="GS221" s="1490"/>
      <c r="GT221" s="1490"/>
      <c r="GU221" s="1490"/>
      <c r="GV221" s="1490"/>
      <c r="GW221" s="1490"/>
      <c r="GX221" s="1490"/>
      <c r="GY221" s="1490"/>
      <c r="GZ221" s="1490"/>
      <c r="HA221" s="1490"/>
      <c r="HB221" s="1490"/>
      <c r="HC221" s="1490"/>
      <c r="HD221" s="1490"/>
      <c r="HE221" s="1490"/>
      <c r="HF221" s="1490"/>
      <c r="HG221" s="1490"/>
      <c r="HH221" s="1490"/>
      <c r="HI221" s="1490"/>
      <c r="HJ221" s="1490"/>
      <c r="HK221" s="1490"/>
      <c r="HL221" s="1490"/>
      <c r="HM221" s="1490"/>
      <c r="HN221" s="1490"/>
      <c r="HO221" s="1490"/>
      <c r="HP221" s="1490"/>
      <c r="HQ221" s="1490"/>
      <c r="HR221" s="1490"/>
      <c r="HS221" s="1490"/>
      <c r="HT221" s="1490"/>
      <c r="HU221" s="1490"/>
      <c r="HV221" s="1490"/>
      <c r="HW221" s="1490"/>
      <c r="HX221" s="1490"/>
      <c r="HY221" s="1490"/>
      <c r="HZ221" s="1490"/>
      <c r="IA221" s="1490"/>
      <c r="IB221" s="1490"/>
      <c r="IC221" s="1490"/>
      <c r="ID221" s="1490"/>
      <c r="IE221" s="1490"/>
      <c r="IF221" s="1490"/>
      <c r="IG221" s="1490"/>
      <c r="IH221" s="1490"/>
      <c r="II221" s="1490"/>
      <c r="IJ221" s="1490"/>
      <c r="IK221" s="1490"/>
      <c r="IL221" s="1490"/>
      <c r="IM221" s="1490"/>
      <c r="IN221" s="1490"/>
      <c r="IO221" s="44"/>
    </row>
    <row r="222" spans="1:249" s="5" customFormat="1" ht="24" customHeight="1">
      <c r="B222" s="36" t="s">
        <v>228</v>
      </c>
      <c r="C222" s="36"/>
      <c r="D222" s="36"/>
      <c r="E222" s="36"/>
      <c r="F222" s="36"/>
      <c r="G222" s="36"/>
      <c r="H222" s="36"/>
      <c r="I222" s="36"/>
      <c r="J222" s="36"/>
      <c r="K222" s="36"/>
      <c r="L222" s="36"/>
      <c r="M222" s="36"/>
      <c r="N222" s="36"/>
      <c r="O222" s="43"/>
      <c r="P222" s="43"/>
      <c r="Q222" s="119" t="s">
        <v>193</v>
      </c>
      <c r="R222" s="119" t="str">
        <f>'Du lieu'!$C$14</f>
        <v>.....................................</v>
      </c>
      <c r="S222" s="119"/>
      <c r="T222" s="119" t="str">
        <f>'Du lieu'!$D$14</f>
        <v>.....................................</v>
      </c>
      <c r="U222" s="125"/>
      <c r="V222" s="126"/>
      <c r="W222" s="126"/>
      <c r="X222" s="126"/>
      <c r="Y222" s="126"/>
      <c r="Z222" s="126"/>
      <c r="AA222" s="126"/>
      <c r="AB222" s="126"/>
      <c r="AC222" s="126"/>
      <c r="AD222" s="1490"/>
      <c r="AE222" s="1490"/>
      <c r="AF222" s="1490"/>
      <c r="AG222" s="1490"/>
      <c r="AH222" s="1490"/>
      <c r="AI222" s="1490"/>
      <c r="AJ222" s="1490"/>
      <c r="AK222" s="1490"/>
      <c r="AL222" s="1490"/>
      <c r="AM222" s="1490"/>
      <c r="AN222" s="1490"/>
      <c r="AO222" s="1490"/>
      <c r="AP222" s="1490"/>
      <c r="AQ222" s="1490"/>
      <c r="AR222" s="1490"/>
      <c r="AS222" s="1490"/>
      <c r="AT222" s="1490"/>
      <c r="AU222" s="1490"/>
      <c r="AV222" s="1490"/>
      <c r="AW222" s="1490"/>
      <c r="AX222" s="1490"/>
      <c r="AY222" s="1490"/>
      <c r="AZ222" s="1490"/>
      <c r="BA222" s="1490"/>
      <c r="BB222" s="1490"/>
      <c r="BC222" s="1490"/>
      <c r="BD222" s="1490"/>
      <c r="BE222" s="1490"/>
      <c r="BF222" s="1490"/>
      <c r="BG222" s="1490"/>
      <c r="BH222" s="1490"/>
      <c r="BI222" s="1490"/>
      <c r="BJ222" s="1490"/>
      <c r="BK222" s="1490"/>
      <c r="BL222" s="1490"/>
      <c r="BM222" s="1490"/>
      <c r="BN222" s="1490"/>
      <c r="BO222" s="1490"/>
      <c r="BP222" s="1490"/>
      <c r="BQ222" s="1490"/>
      <c r="BR222" s="1490"/>
      <c r="BS222" s="1490"/>
      <c r="BT222" s="1490"/>
      <c r="BU222" s="1490"/>
      <c r="BV222" s="1490"/>
      <c r="BW222" s="1490"/>
      <c r="BX222" s="1490"/>
      <c r="BY222" s="1490"/>
      <c r="BZ222" s="1490"/>
      <c r="CA222" s="1490"/>
      <c r="CB222" s="1490"/>
      <c r="CC222" s="1490"/>
      <c r="CD222" s="1490"/>
      <c r="CE222" s="1490"/>
      <c r="CF222" s="1490"/>
      <c r="CG222" s="1490"/>
      <c r="CH222" s="1490"/>
      <c r="CI222" s="1490"/>
      <c r="CJ222" s="1490"/>
      <c r="CK222" s="1490"/>
      <c r="CL222" s="1490"/>
      <c r="CM222" s="1490"/>
      <c r="CN222" s="1490"/>
      <c r="CO222" s="1490"/>
      <c r="CP222" s="1490"/>
      <c r="CQ222" s="1490"/>
      <c r="CR222" s="1490"/>
      <c r="CS222" s="1490"/>
      <c r="CT222" s="1490"/>
      <c r="CU222" s="1490"/>
      <c r="CV222" s="1490"/>
      <c r="CW222" s="1490"/>
      <c r="CX222" s="1490"/>
      <c r="CY222" s="1490"/>
      <c r="CZ222" s="1490"/>
      <c r="DA222" s="1490"/>
      <c r="DB222" s="1490"/>
      <c r="DC222" s="1490"/>
      <c r="DD222" s="1490"/>
      <c r="DE222" s="1490"/>
      <c r="DF222" s="1490"/>
      <c r="DG222" s="1490"/>
      <c r="DH222" s="1490"/>
      <c r="DI222" s="1490"/>
      <c r="DJ222" s="1490"/>
      <c r="DK222" s="1490"/>
      <c r="DL222" s="1490"/>
      <c r="DM222" s="1490"/>
      <c r="DN222" s="1490"/>
      <c r="DO222" s="1490"/>
      <c r="DP222" s="1490"/>
      <c r="DQ222" s="1490"/>
      <c r="DR222" s="1490"/>
      <c r="DS222" s="1490"/>
      <c r="DT222" s="1490"/>
      <c r="DU222" s="1490"/>
      <c r="DV222" s="1490"/>
      <c r="DW222" s="1490"/>
      <c r="DX222" s="1490"/>
      <c r="DY222" s="1490"/>
      <c r="DZ222" s="1490"/>
      <c r="EA222" s="1490"/>
      <c r="EB222" s="1490"/>
      <c r="EC222" s="1490"/>
      <c r="ED222" s="1490"/>
      <c r="EE222" s="1490"/>
      <c r="EF222" s="1490"/>
      <c r="EG222" s="1490"/>
      <c r="EH222" s="1490"/>
      <c r="EI222" s="1490"/>
      <c r="EJ222" s="1490"/>
      <c r="EK222" s="1490"/>
      <c r="EL222" s="1490"/>
      <c r="EM222" s="1490"/>
      <c r="EN222" s="1490"/>
      <c r="EO222" s="1490"/>
      <c r="EP222" s="1490"/>
      <c r="EQ222" s="1490"/>
      <c r="ER222" s="1490"/>
      <c r="ES222" s="1490"/>
      <c r="ET222" s="1490"/>
      <c r="EU222" s="1490"/>
      <c r="EV222" s="1490"/>
      <c r="EW222" s="1490"/>
      <c r="EX222" s="1490"/>
      <c r="EY222" s="1490"/>
      <c r="EZ222" s="1490"/>
      <c r="FA222" s="1490"/>
      <c r="FB222" s="1490"/>
      <c r="FC222" s="1490"/>
      <c r="FD222" s="1490"/>
      <c r="FE222" s="1490"/>
      <c r="FF222" s="1490"/>
      <c r="FG222" s="1490"/>
      <c r="FH222" s="1490"/>
      <c r="FI222" s="1490"/>
      <c r="FJ222" s="1490"/>
      <c r="FK222" s="1490"/>
      <c r="FL222" s="1490"/>
      <c r="FM222" s="1490"/>
      <c r="FN222" s="1490"/>
      <c r="FO222" s="1490"/>
      <c r="FP222" s="1490"/>
      <c r="FQ222" s="1490"/>
      <c r="FR222" s="1490"/>
      <c r="FS222" s="1490"/>
      <c r="FT222" s="1490"/>
      <c r="FU222" s="1490"/>
      <c r="FV222" s="1490"/>
      <c r="FW222" s="1490"/>
      <c r="FX222" s="1490"/>
      <c r="FY222" s="1490"/>
      <c r="FZ222" s="1490"/>
      <c r="GA222" s="1490"/>
      <c r="GB222" s="1490"/>
      <c r="GC222" s="1490"/>
      <c r="GD222" s="1490"/>
      <c r="GE222" s="1490"/>
      <c r="GF222" s="1490"/>
      <c r="GG222" s="1490"/>
      <c r="GH222" s="1490"/>
      <c r="GI222" s="1490"/>
      <c r="GJ222" s="1490"/>
      <c r="GK222" s="1490"/>
      <c r="GL222" s="1490"/>
      <c r="GM222" s="1490"/>
      <c r="GN222" s="1490"/>
      <c r="GO222" s="1490"/>
      <c r="GP222" s="1490"/>
      <c r="GQ222" s="1490"/>
      <c r="GR222" s="1490"/>
      <c r="GS222" s="1490"/>
      <c r="GT222" s="1490"/>
      <c r="GU222" s="1490"/>
      <c r="GV222" s="1490"/>
      <c r="GW222" s="1490"/>
      <c r="GX222" s="1490"/>
      <c r="GY222" s="1490"/>
      <c r="GZ222" s="1490"/>
      <c r="HA222" s="1490"/>
      <c r="HB222" s="1490"/>
      <c r="HC222" s="1490"/>
      <c r="HD222" s="1490"/>
      <c r="HE222" s="1490"/>
      <c r="HF222" s="1490"/>
      <c r="HG222" s="1490"/>
      <c r="HH222" s="1490"/>
      <c r="HI222" s="1490"/>
      <c r="HJ222" s="1490"/>
      <c r="HK222" s="1490"/>
      <c r="HL222" s="1490"/>
      <c r="HM222" s="1490"/>
      <c r="HN222" s="1490"/>
      <c r="HO222" s="1490"/>
      <c r="HP222" s="1490"/>
      <c r="HQ222" s="1490"/>
      <c r="HR222" s="1490"/>
      <c r="HS222" s="1490"/>
      <c r="HT222" s="1490"/>
      <c r="HU222" s="1490"/>
      <c r="HV222" s="1490"/>
      <c r="HW222" s="1490"/>
      <c r="HX222" s="1490"/>
      <c r="HY222" s="1490"/>
      <c r="HZ222" s="1490"/>
      <c r="IA222" s="1490"/>
      <c r="IB222" s="1490"/>
      <c r="IC222" s="1490"/>
      <c r="ID222" s="1490"/>
      <c r="IE222" s="1490"/>
      <c r="IF222" s="1490"/>
      <c r="IG222" s="1490"/>
      <c r="IH222" s="1490"/>
      <c r="II222" s="1490"/>
      <c r="IJ222" s="1490"/>
      <c r="IK222" s="1490"/>
      <c r="IL222" s="1490"/>
      <c r="IM222" s="1490"/>
      <c r="IN222" s="1490"/>
      <c r="IO222" s="44"/>
    </row>
    <row r="223" spans="1:249" s="5" customFormat="1" ht="24" customHeight="1">
      <c r="A223" s="45"/>
      <c r="B223" s="46" t="s">
        <v>229</v>
      </c>
      <c r="C223" s="46"/>
      <c r="D223" s="46"/>
      <c r="E223" s="46"/>
      <c r="F223" s="46"/>
      <c r="G223" s="46"/>
      <c r="H223" s="46"/>
      <c r="I223" s="46"/>
      <c r="J223" s="46"/>
      <c r="K223" s="46"/>
      <c r="L223" s="46"/>
      <c r="M223" s="46"/>
      <c r="N223" s="46"/>
      <c r="O223" s="43"/>
      <c r="P223" s="43"/>
      <c r="Q223" s="119" t="s">
        <v>193</v>
      </c>
      <c r="R223" s="119" t="str">
        <f>'Du lieu'!$C$15</f>
        <v>CÔNG TY TNHH MTV HANTECH</v>
      </c>
      <c r="S223" s="119"/>
      <c r="T223" s="119" t="str">
        <f>'Du lieu'!$D$15</f>
        <v>Công ty TNHH MTV HANTECH</v>
      </c>
      <c r="U223" s="125"/>
      <c r="V223" s="126"/>
      <c r="W223" s="126"/>
      <c r="X223" s="126"/>
      <c r="Y223" s="126"/>
      <c r="Z223" s="126"/>
      <c r="AA223" s="126"/>
      <c r="AB223" s="126"/>
      <c r="AC223" s="126"/>
      <c r="AD223" s="1490"/>
      <c r="AE223" s="1490"/>
      <c r="AF223" s="1490"/>
      <c r="AG223" s="1490"/>
      <c r="AH223" s="1490"/>
      <c r="AI223" s="1490"/>
      <c r="AJ223" s="1490"/>
      <c r="AK223" s="1490"/>
      <c r="AL223" s="1490"/>
      <c r="AM223" s="1490"/>
      <c r="AN223" s="1490"/>
      <c r="AO223" s="1490"/>
      <c r="AP223" s="1490"/>
      <c r="AQ223" s="1490"/>
      <c r="AR223" s="1490"/>
      <c r="AS223" s="1490"/>
      <c r="AT223" s="1490"/>
      <c r="AU223" s="1490"/>
      <c r="AV223" s="1490"/>
      <c r="AW223" s="1490"/>
      <c r="AX223" s="1490"/>
      <c r="AY223" s="1490"/>
      <c r="AZ223" s="1490"/>
      <c r="BA223" s="1490"/>
      <c r="BB223" s="1490"/>
      <c r="BC223" s="1490"/>
      <c r="BD223" s="1490"/>
      <c r="BE223" s="1490"/>
      <c r="BF223" s="1490"/>
      <c r="BG223" s="1490"/>
      <c r="BH223" s="1490"/>
      <c r="BI223" s="1490"/>
      <c r="BJ223" s="1490"/>
      <c r="BK223" s="1490"/>
      <c r="BL223" s="1490"/>
      <c r="BM223" s="1490"/>
      <c r="BN223" s="1490"/>
      <c r="BO223" s="1490"/>
      <c r="BP223" s="1490"/>
      <c r="BQ223" s="1490"/>
      <c r="BR223" s="1490"/>
      <c r="BS223" s="1490"/>
      <c r="BT223" s="1490"/>
      <c r="BU223" s="1490"/>
      <c r="BV223" s="1490"/>
      <c r="BW223" s="1490"/>
      <c r="BX223" s="1490"/>
      <c r="BY223" s="1490"/>
      <c r="BZ223" s="1490"/>
      <c r="CA223" s="1490"/>
      <c r="CB223" s="1490"/>
      <c r="CC223" s="1490"/>
      <c r="CD223" s="1490"/>
      <c r="CE223" s="1490"/>
      <c r="CF223" s="1490"/>
      <c r="CG223" s="1490"/>
      <c r="CH223" s="1490"/>
      <c r="CI223" s="1490"/>
      <c r="CJ223" s="1490"/>
      <c r="CK223" s="1490"/>
      <c r="CL223" s="1490"/>
      <c r="CM223" s="1490"/>
      <c r="CN223" s="1490"/>
      <c r="CO223" s="1490"/>
      <c r="CP223" s="1490"/>
      <c r="CQ223" s="1490"/>
      <c r="CR223" s="1490"/>
      <c r="CS223" s="1490"/>
      <c r="CT223" s="1490"/>
      <c r="CU223" s="1490"/>
      <c r="CV223" s="1490"/>
      <c r="CW223" s="1490"/>
      <c r="CX223" s="1490"/>
      <c r="CY223" s="1490"/>
      <c r="CZ223" s="1490"/>
      <c r="DA223" s="1490"/>
      <c r="DB223" s="1490"/>
      <c r="DC223" s="1490"/>
      <c r="DD223" s="1490"/>
      <c r="DE223" s="1490"/>
      <c r="DF223" s="1490"/>
      <c r="DG223" s="1490"/>
      <c r="DH223" s="1490"/>
      <c r="DI223" s="1490"/>
      <c r="DJ223" s="1490"/>
      <c r="DK223" s="1490"/>
      <c r="DL223" s="1490"/>
      <c r="DM223" s="1490"/>
      <c r="DN223" s="1490"/>
      <c r="DO223" s="1490"/>
      <c r="DP223" s="1490"/>
      <c r="DQ223" s="1490"/>
      <c r="DR223" s="1490"/>
      <c r="DS223" s="1490"/>
      <c r="DT223" s="1490"/>
      <c r="DU223" s="1490"/>
      <c r="DV223" s="1490"/>
      <c r="DW223" s="1490"/>
      <c r="DX223" s="1490"/>
      <c r="DY223" s="1490"/>
      <c r="DZ223" s="1490"/>
      <c r="EA223" s="1490"/>
      <c r="EB223" s="1490"/>
      <c r="EC223" s="1490"/>
      <c r="ED223" s="1490"/>
      <c r="EE223" s="1490"/>
      <c r="EF223" s="1490"/>
      <c r="EG223" s="1490"/>
      <c r="EH223" s="1490"/>
      <c r="EI223" s="1490"/>
      <c r="EJ223" s="1490"/>
      <c r="EK223" s="1490"/>
      <c r="EL223" s="1490"/>
      <c r="EM223" s="1490"/>
      <c r="EN223" s="1490"/>
      <c r="EO223" s="1490"/>
      <c r="EP223" s="1490"/>
      <c r="EQ223" s="1490"/>
      <c r="ER223" s="1490"/>
      <c r="ES223" s="1490"/>
      <c r="ET223" s="1490"/>
      <c r="EU223" s="1490"/>
      <c r="EV223" s="1490"/>
      <c r="EW223" s="1490"/>
      <c r="EX223" s="1490"/>
      <c r="EY223" s="1490"/>
      <c r="EZ223" s="1490"/>
      <c r="FA223" s="1490"/>
      <c r="FB223" s="1490"/>
      <c r="FC223" s="1490"/>
      <c r="FD223" s="1490"/>
      <c r="FE223" s="1490"/>
      <c r="FF223" s="1490"/>
      <c r="FG223" s="1490"/>
      <c r="FH223" s="1490"/>
      <c r="FI223" s="1490"/>
      <c r="FJ223" s="1490"/>
      <c r="FK223" s="1490"/>
      <c r="FL223" s="1490"/>
      <c r="FM223" s="1490"/>
      <c r="FN223" s="1490"/>
      <c r="FO223" s="1490"/>
      <c r="FP223" s="1490"/>
      <c r="FQ223" s="1490"/>
      <c r="FR223" s="1490"/>
      <c r="FS223" s="1490"/>
      <c r="FT223" s="1490"/>
      <c r="FU223" s="1490"/>
      <c r="FV223" s="1490"/>
      <c r="FW223" s="1490"/>
      <c r="FX223" s="1490"/>
      <c r="FY223" s="1490"/>
      <c r="FZ223" s="1490"/>
      <c r="GA223" s="1490"/>
      <c r="GB223" s="1490"/>
      <c r="GC223" s="1490"/>
      <c r="GD223" s="1490"/>
      <c r="GE223" s="1490"/>
      <c r="GF223" s="1490"/>
      <c r="GG223" s="1490"/>
      <c r="GH223" s="1490"/>
      <c r="GI223" s="1490"/>
      <c r="GJ223" s="1490"/>
      <c r="GK223" s="1490"/>
      <c r="GL223" s="1490"/>
      <c r="GM223" s="1490"/>
      <c r="GN223" s="1490"/>
      <c r="GO223" s="1490"/>
      <c r="GP223" s="1490"/>
      <c r="GQ223" s="1490"/>
      <c r="GR223" s="1490"/>
      <c r="GS223" s="1490"/>
      <c r="GT223" s="1490"/>
      <c r="GU223" s="1490"/>
      <c r="GV223" s="1490"/>
      <c r="GW223" s="1490"/>
      <c r="GX223" s="1490"/>
      <c r="GY223" s="1490"/>
      <c r="GZ223" s="1490"/>
      <c r="HA223" s="1490"/>
      <c r="HB223" s="1490"/>
      <c r="HC223" s="1490"/>
      <c r="HD223" s="1490"/>
      <c r="HE223" s="1490"/>
      <c r="HF223" s="1490"/>
      <c r="HG223" s="1490"/>
      <c r="HH223" s="1490"/>
      <c r="HI223" s="1490"/>
      <c r="HJ223" s="1490"/>
      <c r="HK223" s="1490"/>
      <c r="HL223" s="1490"/>
      <c r="HM223" s="1490"/>
      <c r="HN223" s="1490"/>
      <c r="HO223" s="1490"/>
      <c r="HP223" s="1490"/>
      <c r="HQ223" s="1490"/>
      <c r="HR223" s="1490"/>
      <c r="HS223" s="1490"/>
      <c r="HT223" s="1490"/>
      <c r="HU223" s="1490"/>
      <c r="HV223" s="1490"/>
      <c r="HW223" s="1490"/>
      <c r="HX223" s="1490"/>
      <c r="HY223" s="1490"/>
      <c r="HZ223" s="1490"/>
      <c r="IA223" s="1490"/>
      <c r="IB223" s="1490"/>
      <c r="IC223" s="1490"/>
      <c r="ID223" s="1490"/>
      <c r="IE223" s="1490"/>
      <c r="IF223" s="1490"/>
      <c r="IG223" s="1490"/>
      <c r="IH223" s="1490"/>
      <c r="II223" s="1490"/>
      <c r="IJ223" s="1490"/>
      <c r="IK223" s="1490"/>
      <c r="IL223" s="1490"/>
      <c r="IM223" s="1490"/>
      <c r="IN223" s="1490"/>
      <c r="IO223" s="44"/>
    </row>
    <row r="224" spans="1:249" s="5" customFormat="1" ht="24" customHeight="1">
      <c r="A224" s="1490" t="s">
        <v>231</v>
      </c>
      <c r="B224" s="1490"/>
      <c r="C224" s="1490"/>
      <c r="D224" s="1490"/>
      <c r="E224" s="1490"/>
      <c r="F224" s="1490"/>
      <c r="G224" s="1490"/>
      <c r="H224" s="1490"/>
      <c r="I224" s="1490"/>
      <c r="J224" s="1490"/>
      <c r="K224" s="1490"/>
      <c r="L224" s="1490"/>
      <c r="M224" s="1490"/>
      <c r="N224" s="1490"/>
      <c r="O224" s="43"/>
      <c r="P224" s="43"/>
      <c r="Q224" s="119" t="s">
        <v>196</v>
      </c>
      <c r="R224" s="119"/>
      <c r="S224" s="119"/>
      <c r="T224" s="119" t="str">
        <f>'Du lieu'!$D$16</f>
        <v>.....................................</v>
      </c>
      <c r="U224" s="125"/>
      <c r="V224" s="126"/>
      <c r="W224" s="126"/>
      <c r="X224" s="126"/>
      <c r="Y224" s="126"/>
      <c r="Z224" s="126"/>
      <c r="AA224" s="126"/>
      <c r="AB224" s="126"/>
      <c r="AC224" s="126"/>
      <c r="AD224" s="1490"/>
      <c r="AE224" s="1490"/>
      <c r="AF224" s="1490"/>
      <c r="AG224" s="1490"/>
      <c r="AH224" s="1490"/>
      <c r="AI224" s="1490"/>
      <c r="AJ224" s="1490"/>
      <c r="AK224" s="1490"/>
      <c r="AL224" s="1490"/>
      <c r="AM224" s="1490"/>
      <c r="AN224" s="1490"/>
      <c r="AO224" s="1490"/>
      <c r="AP224" s="1490"/>
      <c r="AQ224" s="1490"/>
      <c r="AR224" s="1490"/>
      <c r="AS224" s="1490"/>
      <c r="AT224" s="1490"/>
      <c r="AU224" s="1490"/>
      <c r="AV224" s="1490"/>
      <c r="AW224" s="1490"/>
      <c r="AX224" s="1490"/>
      <c r="AY224" s="1490"/>
      <c r="AZ224" s="1490"/>
      <c r="BA224" s="1490"/>
      <c r="BB224" s="1490"/>
      <c r="BC224" s="1490"/>
      <c r="BD224" s="1490"/>
      <c r="BE224" s="1490"/>
      <c r="BF224" s="1490"/>
      <c r="BG224" s="1490"/>
      <c r="BH224" s="1490"/>
      <c r="BI224" s="1490"/>
      <c r="BJ224" s="1490"/>
      <c r="BK224" s="1490"/>
      <c r="BL224" s="1490"/>
      <c r="BM224" s="1490"/>
      <c r="BN224" s="1490"/>
      <c r="BO224" s="1490"/>
      <c r="BP224" s="1490"/>
      <c r="BQ224" s="1490"/>
      <c r="BR224" s="1490"/>
      <c r="BS224" s="1490"/>
      <c r="BT224" s="1490"/>
      <c r="BU224" s="1490"/>
      <c r="BV224" s="1490"/>
      <c r="BW224" s="1490"/>
      <c r="BX224" s="1490"/>
      <c r="BY224" s="1490"/>
      <c r="BZ224" s="1490"/>
      <c r="CA224" s="1490"/>
      <c r="CB224" s="1490"/>
      <c r="CC224" s="1490"/>
      <c r="CD224" s="1490"/>
      <c r="CE224" s="1490"/>
      <c r="CF224" s="1490"/>
      <c r="CG224" s="1490"/>
      <c r="CH224" s="1490"/>
      <c r="CI224" s="1490"/>
      <c r="CJ224" s="1490"/>
      <c r="CK224" s="1490"/>
      <c r="CL224" s="1490"/>
      <c r="CM224" s="1490"/>
      <c r="CN224" s="1490"/>
      <c r="CO224" s="1490"/>
      <c r="CP224" s="1490"/>
      <c r="CQ224" s="1490"/>
      <c r="CR224" s="1490"/>
      <c r="CS224" s="1490"/>
      <c r="CT224" s="1490"/>
      <c r="CU224" s="1490"/>
      <c r="CV224" s="1490"/>
      <c r="CW224" s="1490"/>
      <c r="CX224" s="1490"/>
      <c r="CY224" s="1490"/>
      <c r="CZ224" s="1490"/>
      <c r="DA224" s="1490"/>
      <c r="DB224" s="1490"/>
      <c r="DC224" s="1490"/>
      <c r="DD224" s="1490"/>
      <c r="DE224" s="1490"/>
      <c r="DF224" s="1490"/>
      <c r="DG224" s="1490"/>
      <c r="DH224" s="1490"/>
      <c r="DI224" s="1490"/>
      <c r="DJ224" s="1490"/>
      <c r="DK224" s="1490"/>
      <c r="DL224" s="1490"/>
      <c r="DM224" s="1490"/>
      <c r="DN224" s="1490"/>
      <c r="DO224" s="1490"/>
      <c r="DP224" s="1490"/>
      <c r="DQ224" s="1490"/>
      <c r="DR224" s="1490"/>
      <c r="DS224" s="1490"/>
      <c r="DT224" s="1490"/>
      <c r="DU224" s="1490"/>
      <c r="DV224" s="1490"/>
      <c r="DW224" s="1490"/>
      <c r="DX224" s="1490"/>
      <c r="DY224" s="1490"/>
      <c r="DZ224" s="1490"/>
      <c r="EA224" s="1490"/>
      <c r="EB224" s="1490"/>
      <c r="EC224" s="1490"/>
      <c r="ED224" s="1490"/>
      <c r="EE224" s="1490"/>
      <c r="EF224" s="1490"/>
      <c r="EG224" s="1490"/>
      <c r="EH224" s="1490"/>
      <c r="EI224" s="1490"/>
      <c r="EJ224" s="1490"/>
      <c r="EK224" s="1490"/>
      <c r="EL224" s="1490"/>
      <c r="EM224" s="1490"/>
      <c r="EN224" s="1490"/>
      <c r="EO224" s="1490"/>
      <c r="EP224" s="1490"/>
      <c r="EQ224" s="1490"/>
      <c r="ER224" s="1490"/>
      <c r="ES224" s="1490"/>
      <c r="ET224" s="1490"/>
      <c r="EU224" s="1490"/>
      <c r="EV224" s="1490"/>
      <c r="EW224" s="1490"/>
      <c r="EX224" s="1490"/>
      <c r="EY224" s="1490"/>
      <c r="EZ224" s="1490"/>
      <c r="FA224" s="1490"/>
      <c r="FB224" s="1490"/>
      <c r="FC224" s="1490"/>
      <c r="FD224" s="1490"/>
      <c r="FE224" s="1490"/>
      <c r="FF224" s="1490"/>
      <c r="FG224" s="1490"/>
      <c r="FH224" s="1490"/>
      <c r="FI224" s="1490"/>
      <c r="FJ224" s="1490"/>
      <c r="FK224" s="1490"/>
      <c r="FL224" s="1490"/>
      <c r="FM224" s="1490"/>
      <c r="FN224" s="1490"/>
      <c r="FO224" s="1490"/>
      <c r="FP224" s="1490"/>
      <c r="FQ224" s="1490"/>
      <c r="FR224" s="1490"/>
      <c r="FS224" s="1490"/>
      <c r="FT224" s="1490"/>
      <c r="FU224" s="1490"/>
      <c r="FV224" s="1490"/>
      <c r="FW224" s="1490"/>
      <c r="FX224" s="1490"/>
      <c r="FY224" s="1490"/>
      <c r="FZ224" s="1490"/>
      <c r="GA224" s="1490"/>
      <c r="GB224" s="1490"/>
      <c r="GC224" s="1490"/>
      <c r="GD224" s="1490"/>
      <c r="GE224" s="1490"/>
      <c r="GF224" s="1490"/>
      <c r="GG224" s="1490"/>
      <c r="GH224" s="1490"/>
      <c r="GI224" s="1490"/>
      <c r="GJ224" s="1490"/>
      <c r="GK224" s="1490"/>
      <c r="GL224" s="1490"/>
      <c r="GM224" s="1490"/>
      <c r="GN224" s="1490"/>
      <c r="GO224" s="1490"/>
      <c r="GP224" s="1490"/>
      <c r="GQ224" s="1490"/>
      <c r="GR224" s="1490"/>
      <c r="GS224" s="1490"/>
      <c r="GT224" s="1490"/>
      <c r="GU224" s="1490"/>
      <c r="GV224" s="1490"/>
      <c r="GW224" s="1490"/>
      <c r="GX224" s="1490"/>
      <c r="GY224" s="1490"/>
      <c r="GZ224" s="1490"/>
      <c r="HA224" s="1490"/>
      <c r="HB224" s="1490"/>
      <c r="HC224" s="1490"/>
      <c r="HD224" s="1490"/>
      <c r="HE224" s="1490"/>
      <c r="HF224" s="1490"/>
      <c r="HG224" s="1490"/>
      <c r="HH224" s="1490"/>
      <c r="HI224" s="1490"/>
      <c r="HJ224" s="1490"/>
      <c r="HK224" s="1490"/>
      <c r="HL224" s="1490"/>
      <c r="HM224" s="1490"/>
      <c r="HN224" s="1490"/>
      <c r="HO224" s="1490"/>
      <c r="HP224" s="1490"/>
      <c r="HQ224" s="1490"/>
      <c r="HR224" s="1490"/>
      <c r="HS224" s="1490"/>
      <c r="HT224" s="1490"/>
      <c r="HU224" s="1490"/>
      <c r="HV224" s="1490"/>
      <c r="HW224" s="1490"/>
      <c r="HX224" s="1490"/>
      <c r="HY224" s="1490"/>
      <c r="HZ224" s="1490"/>
      <c r="IA224" s="1490"/>
      <c r="IB224" s="1490"/>
      <c r="IC224" s="1490"/>
      <c r="ID224" s="1490"/>
      <c r="IE224" s="1490"/>
      <c r="IF224" s="1490"/>
      <c r="IG224" s="1490"/>
      <c r="IH224" s="1490"/>
      <c r="II224" s="1490"/>
      <c r="IJ224" s="1490"/>
      <c r="IK224" s="1490"/>
      <c r="IL224" s="1490"/>
      <c r="IM224" s="1490"/>
      <c r="IN224" s="1490"/>
      <c r="IO224" s="44"/>
    </row>
    <row r="225" spans="1:249" s="5" customFormat="1" ht="24" customHeight="1">
      <c r="A225" s="1495" t="s">
        <v>232</v>
      </c>
      <c r="B225" s="1495"/>
      <c r="C225" s="1495"/>
      <c r="D225" s="1495"/>
      <c r="E225" s="1495"/>
      <c r="F225" s="1495"/>
      <c r="G225" s="1495"/>
      <c r="H225" s="1495"/>
      <c r="I225" s="1495"/>
      <c r="J225" s="1495"/>
      <c r="K225" s="1495"/>
      <c r="L225" s="1495"/>
      <c r="M225" s="1495"/>
      <c r="N225" s="1495"/>
      <c r="O225" s="43"/>
      <c r="P225" s="43"/>
      <c r="Q225" s="119" t="s">
        <v>193</v>
      </c>
      <c r="R225" s="119" t="str">
        <f>'Du lieu'!$C$17</f>
        <v>Ngô Văn Khánh</v>
      </c>
      <c r="S225" s="119"/>
      <c r="T225" s="119" t="str">
        <f>'Du lieu'!$D$17</f>
        <v>Chỉ huy trưởng công trường</v>
      </c>
      <c r="U225" s="125"/>
      <c r="V225" s="126"/>
      <c r="W225" s="126"/>
      <c r="X225" s="126"/>
      <c r="Y225" s="126"/>
      <c r="Z225" s="126"/>
      <c r="AA225" s="126"/>
      <c r="AB225" s="126"/>
      <c r="AC225" s="126"/>
      <c r="AD225" s="1490"/>
      <c r="AE225" s="1490"/>
      <c r="AF225" s="1490"/>
      <c r="AG225" s="1490"/>
      <c r="AH225" s="1490"/>
      <c r="AI225" s="1490"/>
      <c r="AJ225" s="1490"/>
      <c r="AK225" s="1490"/>
      <c r="AL225" s="1490"/>
      <c r="AM225" s="1490"/>
      <c r="AN225" s="1490"/>
      <c r="AO225" s="1490"/>
      <c r="AP225" s="1490"/>
      <c r="AQ225" s="1490"/>
      <c r="AR225" s="1490"/>
      <c r="AS225" s="1490"/>
      <c r="AT225" s="1490"/>
      <c r="AU225" s="1490"/>
      <c r="AV225" s="1490"/>
      <c r="AW225" s="1490"/>
      <c r="AX225" s="1490"/>
      <c r="AY225" s="1490"/>
      <c r="AZ225" s="1490"/>
      <c r="BA225" s="1490"/>
      <c r="BB225" s="1490"/>
      <c r="BC225" s="1490"/>
      <c r="BD225" s="1490"/>
      <c r="BE225" s="1490"/>
      <c r="BF225" s="1490"/>
      <c r="BG225" s="1490"/>
      <c r="BH225" s="1490"/>
      <c r="BI225" s="1490"/>
      <c r="BJ225" s="1490"/>
      <c r="BK225" s="1490"/>
      <c r="BL225" s="1490"/>
      <c r="BM225" s="1490"/>
      <c r="BN225" s="1490"/>
      <c r="BO225" s="1490"/>
      <c r="BP225" s="1490"/>
      <c r="BQ225" s="1490"/>
      <c r="BR225" s="1490"/>
      <c r="BS225" s="1490"/>
      <c r="BT225" s="1490"/>
      <c r="BU225" s="1490"/>
      <c r="BV225" s="1490"/>
      <c r="BW225" s="1490"/>
      <c r="BX225" s="1490"/>
      <c r="BY225" s="1490"/>
      <c r="BZ225" s="1490"/>
      <c r="CA225" s="1490"/>
      <c r="CB225" s="1490"/>
      <c r="CC225" s="1490"/>
      <c r="CD225" s="1490"/>
      <c r="CE225" s="1490"/>
      <c r="CF225" s="1490"/>
      <c r="CG225" s="1490"/>
      <c r="CH225" s="1490"/>
      <c r="CI225" s="1490"/>
      <c r="CJ225" s="1490"/>
      <c r="CK225" s="1490"/>
      <c r="CL225" s="1490"/>
      <c r="CM225" s="1490"/>
      <c r="CN225" s="1490"/>
      <c r="CO225" s="1490"/>
      <c r="CP225" s="1490"/>
      <c r="CQ225" s="1490"/>
      <c r="CR225" s="1490"/>
      <c r="CS225" s="1490"/>
      <c r="CT225" s="1490"/>
      <c r="CU225" s="1490"/>
      <c r="CV225" s="1490"/>
      <c r="CW225" s="1490"/>
      <c r="CX225" s="1490"/>
      <c r="CY225" s="1490"/>
      <c r="CZ225" s="1490"/>
      <c r="DA225" s="1490"/>
      <c r="DB225" s="1490"/>
      <c r="DC225" s="1490"/>
      <c r="DD225" s="1490"/>
      <c r="DE225" s="1490"/>
      <c r="DF225" s="1490"/>
      <c r="DG225" s="1490"/>
      <c r="DH225" s="1490"/>
      <c r="DI225" s="1490"/>
      <c r="DJ225" s="1490"/>
      <c r="DK225" s="1490"/>
      <c r="DL225" s="1490"/>
      <c r="DM225" s="1490"/>
      <c r="DN225" s="1490"/>
      <c r="DO225" s="1490"/>
      <c r="DP225" s="1490"/>
      <c r="DQ225" s="1490"/>
      <c r="DR225" s="1490"/>
      <c r="DS225" s="1490"/>
      <c r="DT225" s="1490"/>
      <c r="DU225" s="1490"/>
      <c r="DV225" s="1490"/>
      <c r="DW225" s="1490"/>
      <c r="DX225" s="1490"/>
      <c r="DY225" s="1490"/>
      <c r="DZ225" s="1490"/>
      <c r="EA225" s="1490"/>
      <c r="EB225" s="1490"/>
      <c r="EC225" s="1490"/>
      <c r="ED225" s="1490"/>
      <c r="EE225" s="1490"/>
      <c r="EF225" s="1490"/>
      <c r="EG225" s="1490"/>
      <c r="EH225" s="1490"/>
      <c r="EI225" s="1490"/>
      <c r="EJ225" s="1490"/>
      <c r="EK225" s="1490"/>
      <c r="EL225" s="1490"/>
      <c r="EM225" s="1490"/>
      <c r="EN225" s="1490"/>
      <c r="EO225" s="1490"/>
      <c r="EP225" s="1490"/>
      <c r="EQ225" s="1490"/>
      <c r="ER225" s="1490"/>
      <c r="ES225" s="1490"/>
      <c r="ET225" s="1490"/>
      <c r="EU225" s="1490"/>
      <c r="EV225" s="1490"/>
      <c r="EW225" s="1490"/>
      <c r="EX225" s="1490"/>
      <c r="EY225" s="1490"/>
      <c r="EZ225" s="1490"/>
      <c r="FA225" s="1490"/>
      <c r="FB225" s="1490"/>
      <c r="FC225" s="1490"/>
      <c r="FD225" s="1490"/>
      <c r="FE225" s="1490"/>
      <c r="FF225" s="1490"/>
      <c r="FG225" s="1490"/>
      <c r="FH225" s="1490"/>
      <c r="FI225" s="1490"/>
      <c r="FJ225" s="1490"/>
      <c r="FK225" s="1490"/>
      <c r="FL225" s="1490"/>
      <c r="FM225" s="1490"/>
      <c r="FN225" s="1490"/>
      <c r="FO225" s="1490"/>
      <c r="FP225" s="1490"/>
      <c r="FQ225" s="1490"/>
      <c r="FR225" s="1490"/>
      <c r="FS225" s="1490"/>
      <c r="FT225" s="1490"/>
      <c r="FU225" s="1490"/>
      <c r="FV225" s="1490"/>
      <c r="FW225" s="1490"/>
      <c r="FX225" s="1490"/>
      <c r="FY225" s="1490"/>
      <c r="FZ225" s="1490"/>
      <c r="GA225" s="1490"/>
      <c r="GB225" s="1490"/>
      <c r="GC225" s="1490"/>
      <c r="GD225" s="1490"/>
      <c r="GE225" s="1490"/>
      <c r="GF225" s="1490"/>
      <c r="GG225" s="1490"/>
      <c r="GH225" s="1490"/>
      <c r="GI225" s="1490"/>
      <c r="GJ225" s="1490"/>
      <c r="GK225" s="1490"/>
      <c r="GL225" s="1490"/>
      <c r="GM225" s="1490"/>
      <c r="GN225" s="1490"/>
      <c r="GO225" s="1490"/>
      <c r="GP225" s="1490"/>
      <c r="GQ225" s="1490"/>
      <c r="GR225" s="1490"/>
      <c r="GS225" s="1490"/>
      <c r="GT225" s="1490"/>
      <c r="GU225" s="1490"/>
      <c r="GV225" s="1490"/>
      <c r="GW225" s="1490"/>
      <c r="GX225" s="1490"/>
      <c r="GY225" s="1490"/>
      <c r="GZ225" s="1490"/>
      <c r="HA225" s="1490"/>
      <c r="HB225" s="1490"/>
      <c r="HC225" s="1490"/>
      <c r="HD225" s="1490"/>
      <c r="HE225" s="1490"/>
      <c r="HF225" s="1490"/>
      <c r="HG225" s="1490"/>
      <c r="HH225" s="1490"/>
      <c r="HI225" s="1490"/>
      <c r="HJ225" s="1490"/>
      <c r="HK225" s="1490"/>
      <c r="HL225" s="1490"/>
      <c r="HM225" s="1490"/>
      <c r="HN225" s="1490"/>
      <c r="HO225" s="1490"/>
      <c r="HP225" s="1490"/>
      <c r="HQ225" s="1490"/>
      <c r="HR225" s="1490"/>
      <c r="HS225" s="1490"/>
      <c r="HT225" s="1490"/>
      <c r="HU225" s="1490"/>
      <c r="HV225" s="1490"/>
      <c r="HW225" s="1490"/>
      <c r="HX225" s="1490"/>
      <c r="HY225" s="1490"/>
      <c r="HZ225" s="1490"/>
      <c r="IA225" s="1490"/>
      <c r="IB225" s="1490"/>
      <c r="IC225" s="1490"/>
      <c r="ID225" s="1490"/>
      <c r="IE225" s="1490"/>
      <c r="IF225" s="1490"/>
      <c r="IG225" s="1490"/>
      <c r="IH225" s="1490"/>
      <c r="II225" s="1490"/>
      <c r="IJ225" s="1490"/>
      <c r="IK225" s="1490"/>
      <c r="IL225" s="1490"/>
      <c r="IM225" s="1490"/>
      <c r="IN225" s="1490"/>
      <c r="IO225" s="44"/>
    </row>
    <row r="226" spans="1:249" s="5" customFormat="1" ht="24" customHeight="1">
      <c r="A226" s="1495" t="s">
        <v>233</v>
      </c>
      <c r="B226" s="1495"/>
      <c r="C226" s="1495"/>
      <c r="D226" s="1495"/>
      <c r="E226" s="1495"/>
      <c r="F226" s="1495"/>
      <c r="G226" s="1495"/>
      <c r="H226" s="1495"/>
      <c r="I226" s="1495"/>
      <c r="J226" s="1495"/>
      <c r="K226" s="1495"/>
      <c r="L226" s="1495"/>
      <c r="M226" s="1495"/>
      <c r="N226" s="1495"/>
      <c r="O226" s="43"/>
      <c r="P226" s="43"/>
      <c r="Q226" s="119" t="s">
        <v>193</v>
      </c>
      <c r="R226" s="119" t="str">
        <f>'Du lieu'!$C$18</f>
        <v>Nguyễn Mạnh Hùng</v>
      </c>
      <c r="S226" s="119"/>
      <c r="T226" s="119" t="str">
        <f>'Du lieu'!$D$18</f>
        <v>Chỉ huy phó công trường</v>
      </c>
      <c r="U226" s="125"/>
      <c r="V226" s="126"/>
      <c r="W226" s="126"/>
      <c r="X226" s="126"/>
      <c r="Y226" s="126"/>
      <c r="Z226" s="126"/>
      <c r="AA226" s="126"/>
      <c r="AB226" s="126"/>
      <c r="AC226" s="126"/>
      <c r="AD226" s="44"/>
      <c r="AE226" s="44"/>
      <c r="AF226" s="44"/>
      <c r="AG226" s="44"/>
      <c r="AH226" s="44"/>
      <c r="AI226" s="44"/>
      <c r="AJ226" s="44"/>
      <c r="AK226" s="44"/>
      <c r="AL226" s="44"/>
      <c r="AM226" s="44"/>
      <c r="AN226" s="44"/>
      <c r="AO226" s="44"/>
      <c r="AP226" s="44"/>
      <c r="AQ226" s="44"/>
      <c r="AR226" s="44"/>
      <c r="AS226" s="44"/>
      <c r="AT226" s="44"/>
      <c r="AU226" s="44"/>
      <c r="AV226" s="44"/>
      <c r="AW226" s="44"/>
      <c r="AX226" s="44"/>
      <c r="AY226" s="44"/>
      <c r="AZ226" s="44"/>
      <c r="BA226" s="44"/>
      <c r="BB226" s="44"/>
      <c r="BC226" s="44"/>
      <c r="BD226" s="44"/>
      <c r="BE226" s="44"/>
      <c r="BF226" s="44"/>
      <c r="BG226" s="44"/>
      <c r="BH226" s="44"/>
      <c r="BI226" s="44"/>
      <c r="BJ226" s="44"/>
      <c r="BK226" s="44"/>
      <c r="BL226" s="44"/>
      <c r="BM226" s="44"/>
      <c r="BN226" s="44"/>
      <c r="BO226" s="44"/>
      <c r="BP226" s="44"/>
      <c r="BQ226" s="44"/>
      <c r="BR226" s="44"/>
      <c r="BS226" s="44"/>
      <c r="BT226" s="44"/>
      <c r="BU226" s="44"/>
      <c r="BV226" s="44"/>
      <c r="BW226" s="44"/>
      <c r="BX226" s="44"/>
      <c r="BY226" s="44"/>
      <c r="BZ226" s="44"/>
      <c r="CA226" s="44"/>
      <c r="CB226" s="44"/>
      <c r="CC226" s="44"/>
      <c r="CD226" s="44"/>
      <c r="CE226" s="44"/>
      <c r="CF226" s="44"/>
      <c r="CG226" s="44"/>
      <c r="CH226" s="44"/>
      <c r="CI226" s="44"/>
      <c r="CJ226" s="44"/>
      <c r="CK226" s="44"/>
      <c r="CL226" s="44"/>
      <c r="CM226" s="44"/>
      <c r="CN226" s="44"/>
      <c r="CO226" s="44"/>
      <c r="CP226" s="44"/>
      <c r="CQ226" s="44"/>
      <c r="CR226" s="44"/>
      <c r="CS226" s="44"/>
      <c r="CT226" s="44"/>
      <c r="CU226" s="44"/>
      <c r="CV226" s="44"/>
      <c r="CW226" s="44"/>
      <c r="CX226" s="44"/>
      <c r="CY226" s="44"/>
      <c r="CZ226" s="44"/>
      <c r="DA226" s="44"/>
      <c r="DB226" s="44"/>
      <c r="DC226" s="44"/>
      <c r="DD226" s="44"/>
      <c r="DE226" s="44"/>
      <c r="DF226" s="44"/>
      <c r="DG226" s="44"/>
      <c r="DH226" s="44"/>
      <c r="DI226" s="44"/>
      <c r="DJ226" s="44"/>
      <c r="DK226" s="44"/>
      <c r="DL226" s="44"/>
      <c r="DM226" s="44"/>
      <c r="DN226" s="44"/>
      <c r="DO226" s="44"/>
      <c r="DP226" s="44"/>
      <c r="DQ226" s="44"/>
      <c r="DR226" s="44"/>
      <c r="DS226" s="44"/>
      <c r="DT226" s="44"/>
      <c r="DU226" s="44"/>
      <c r="DV226" s="44"/>
      <c r="DW226" s="44"/>
      <c r="DX226" s="44"/>
      <c r="DY226" s="44"/>
      <c r="DZ226" s="44"/>
      <c r="EA226" s="44"/>
      <c r="EB226" s="44"/>
      <c r="EC226" s="44"/>
      <c r="ED226" s="44"/>
      <c r="EE226" s="44"/>
      <c r="EF226" s="44"/>
      <c r="EG226" s="44"/>
      <c r="EH226" s="44"/>
      <c r="EI226" s="44"/>
      <c r="EJ226" s="44"/>
      <c r="EK226" s="44"/>
      <c r="EL226" s="44"/>
      <c r="EM226" s="44"/>
      <c r="EN226" s="44"/>
      <c r="EO226" s="44"/>
      <c r="EP226" s="44"/>
      <c r="EQ226" s="44"/>
      <c r="ER226" s="44"/>
      <c r="ES226" s="44"/>
      <c r="ET226" s="44"/>
      <c r="EU226" s="44"/>
      <c r="EV226" s="44"/>
      <c r="EW226" s="44"/>
      <c r="EX226" s="44"/>
      <c r="EY226" s="44"/>
      <c r="EZ226" s="44"/>
      <c r="FA226" s="44"/>
      <c r="FB226" s="44"/>
      <c r="FC226" s="44"/>
      <c r="FD226" s="44"/>
      <c r="FE226" s="44"/>
      <c r="FF226" s="44"/>
      <c r="FG226" s="44"/>
      <c r="FH226" s="44"/>
      <c r="FI226" s="44"/>
      <c r="FJ226" s="44"/>
      <c r="FK226" s="44"/>
      <c r="FL226" s="44"/>
      <c r="FM226" s="44"/>
      <c r="FN226" s="44"/>
      <c r="FO226" s="44"/>
      <c r="FP226" s="44"/>
      <c r="FQ226" s="44"/>
      <c r="FR226" s="44"/>
      <c r="FS226" s="44"/>
      <c r="FT226" s="44"/>
      <c r="FU226" s="44"/>
      <c r="FV226" s="44"/>
      <c r="FW226" s="44"/>
      <c r="FX226" s="44"/>
      <c r="FY226" s="44"/>
      <c r="FZ226" s="44"/>
      <c r="GA226" s="44"/>
      <c r="GB226" s="44"/>
      <c r="GC226" s="44"/>
      <c r="GD226" s="44"/>
      <c r="GE226" s="44"/>
      <c r="GF226" s="44"/>
      <c r="GG226" s="44"/>
      <c r="GH226" s="44"/>
      <c r="GI226" s="44"/>
      <c r="GJ226" s="44"/>
      <c r="GK226" s="44"/>
      <c r="GL226" s="44"/>
      <c r="GM226" s="44"/>
      <c r="GN226" s="44"/>
      <c r="GO226" s="44"/>
      <c r="GP226" s="44"/>
      <c r="GQ226" s="44"/>
      <c r="GR226" s="44"/>
      <c r="GS226" s="44"/>
      <c r="GT226" s="44"/>
      <c r="GU226" s="44"/>
      <c r="GV226" s="44"/>
      <c r="GW226" s="44"/>
      <c r="GX226" s="44"/>
      <c r="GY226" s="44"/>
      <c r="GZ226" s="44"/>
      <c r="HA226" s="44"/>
      <c r="HB226" s="44"/>
      <c r="HC226" s="44"/>
      <c r="HD226" s="44"/>
      <c r="HE226" s="44"/>
      <c r="HF226" s="44"/>
      <c r="HG226" s="44"/>
      <c r="HH226" s="44"/>
      <c r="HI226" s="44"/>
      <c r="HJ226" s="44"/>
      <c r="HK226" s="44"/>
      <c r="HL226" s="44"/>
      <c r="HM226" s="44"/>
      <c r="HN226" s="44"/>
      <c r="HO226" s="44"/>
      <c r="HP226" s="44"/>
      <c r="HQ226" s="44"/>
      <c r="HR226" s="44"/>
      <c r="HS226" s="44"/>
      <c r="HT226" s="44"/>
      <c r="HU226" s="44"/>
      <c r="HV226" s="44"/>
      <c r="HW226" s="44"/>
      <c r="HX226" s="44"/>
      <c r="HY226" s="44"/>
      <c r="HZ226" s="44"/>
      <c r="IA226" s="44"/>
      <c r="IB226" s="44"/>
      <c r="IC226" s="44"/>
      <c r="ID226" s="44"/>
      <c r="IE226" s="44"/>
      <c r="IF226" s="44"/>
      <c r="IG226" s="44"/>
      <c r="IH226" s="44"/>
      <c r="II226" s="44"/>
      <c r="IJ226" s="44"/>
      <c r="IK226" s="44"/>
      <c r="IL226" s="44"/>
      <c r="IM226" s="44"/>
      <c r="IN226" s="44"/>
      <c r="IO226" s="44"/>
    </row>
    <row r="227" spans="1:249" s="45" customFormat="1" ht="21.95" customHeight="1">
      <c r="A227" s="48" t="s">
        <v>234</v>
      </c>
      <c r="B227" s="39"/>
      <c r="C227" s="39"/>
      <c r="D227" s="39"/>
      <c r="E227" s="39"/>
      <c r="F227" s="39"/>
      <c r="G227" s="39"/>
      <c r="H227" s="39"/>
      <c r="I227" s="39"/>
      <c r="J227" s="39"/>
      <c r="K227" s="39"/>
      <c r="L227" s="39"/>
      <c r="M227" s="39"/>
      <c r="N227" s="39"/>
      <c r="O227" s="43"/>
      <c r="P227" s="43"/>
      <c r="Q227" s="10"/>
      <c r="R227" s="126"/>
      <c r="S227" s="126"/>
      <c r="T227" s="126"/>
      <c r="U227" s="126"/>
      <c r="V227" s="126"/>
      <c r="W227" s="126"/>
      <c r="X227" s="126"/>
      <c r="Y227" s="126"/>
      <c r="Z227" s="126"/>
      <c r="AA227" s="126"/>
      <c r="AB227" s="126"/>
      <c r="AC227" s="126"/>
      <c r="AD227" s="47"/>
      <c r="AE227" s="47"/>
      <c r="AF227" s="47"/>
      <c r="AG227" s="47"/>
      <c r="AH227" s="47"/>
      <c r="AI227" s="47"/>
      <c r="AJ227" s="47"/>
      <c r="AK227" s="47"/>
      <c r="AL227" s="47"/>
      <c r="AM227" s="47"/>
      <c r="AN227" s="47"/>
      <c r="AO227" s="47"/>
      <c r="AP227" s="47"/>
      <c r="AQ227" s="47"/>
      <c r="AR227" s="47"/>
      <c r="AS227" s="47"/>
      <c r="AT227" s="47"/>
      <c r="AU227" s="47"/>
      <c r="AV227" s="47"/>
      <c r="AW227" s="47"/>
      <c r="AX227" s="47"/>
      <c r="AY227" s="47"/>
      <c r="AZ227" s="47"/>
      <c r="BA227" s="47"/>
      <c r="BB227" s="47"/>
      <c r="BC227" s="47"/>
      <c r="BD227" s="47"/>
      <c r="BE227" s="47"/>
      <c r="BF227" s="47"/>
      <c r="BG227" s="47"/>
      <c r="BH227" s="47"/>
      <c r="BI227" s="47"/>
      <c r="BJ227" s="47"/>
      <c r="BK227" s="47"/>
      <c r="BL227" s="47"/>
      <c r="BM227" s="47"/>
      <c r="BN227" s="47"/>
      <c r="BO227" s="47"/>
      <c r="BP227" s="47"/>
      <c r="BQ227" s="47"/>
      <c r="BR227" s="47"/>
      <c r="BS227" s="47"/>
      <c r="BT227" s="47"/>
      <c r="BU227" s="47"/>
      <c r="BV227" s="47"/>
      <c r="BW227" s="47"/>
      <c r="BX227" s="47"/>
      <c r="BY227" s="47"/>
      <c r="BZ227" s="47"/>
      <c r="CA227" s="47"/>
      <c r="CB227" s="47"/>
      <c r="CC227" s="47"/>
      <c r="CD227" s="47"/>
      <c r="CE227" s="47"/>
      <c r="CF227" s="47"/>
      <c r="CG227" s="47"/>
      <c r="CH227" s="47"/>
      <c r="CI227" s="47"/>
      <c r="CJ227" s="47"/>
      <c r="CK227" s="47"/>
      <c r="CL227" s="47"/>
      <c r="CM227" s="47"/>
      <c r="CN227" s="47"/>
      <c r="CO227" s="47"/>
      <c r="CP227" s="47"/>
      <c r="CQ227" s="47"/>
      <c r="CR227" s="47"/>
      <c r="CS227" s="47"/>
      <c r="CT227" s="47"/>
      <c r="CU227" s="47"/>
      <c r="CV227" s="47"/>
      <c r="CW227" s="47"/>
      <c r="CX227" s="47"/>
      <c r="CY227" s="47"/>
      <c r="CZ227" s="47"/>
      <c r="DA227" s="47"/>
      <c r="DB227" s="47"/>
      <c r="DC227" s="47"/>
      <c r="DD227" s="47"/>
      <c r="DE227" s="47"/>
      <c r="DF227" s="47"/>
      <c r="DG227" s="47"/>
      <c r="DH227" s="47"/>
      <c r="DI227" s="47"/>
      <c r="DJ227" s="47"/>
      <c r="DK227" s="47"/>
      <c r="DL227" s="47"/>
      <c r="DM227" s="47"/>
      <c r="DN227" s="47"/>
      <c r="DO227" s="47"/>
      <c r="DP227" s="47"/>
      <c r="DQ227" s="47"/>
      <c r="DR227" s="47"/>
      <c r="DS227" s="47"/>
      <c r="DT227" s="47"/>
      <c r="DU227" s="47"/>
      <c r="DV227" s="47"/>
      <c r="DW227" s="47"/>
      <c r="DX227" s="47"/>
      <c r="DY227" s="47"/>
      <c r="DZ227" s="47"/>
      <c r="EA227" s="47"/>
      <c r="EB227" s="47"/>
      <c r="EC227" s="47"/>
      <c r="ED227" s="47"/>
      <c r="EE227" s="47"/>
      <c r="EF227" s="47"/>
      <c r="EG227" s="47"/>
      <c r="EH227" s="47"/>
      <c r="EI227" s="47"/>
      <c r="EJ227" s="47"/>
      <c r="EK227" s="47"/>
      <c r="EL227" s="47"/>
      <c r="EM227" s="47"/>
      <c r="EN227" s="47"/>
      <c r="EO227" s="47"/>
      <c r="EP227" s="47"/>
      <c r="EQ227" s="47"/>
      <c r="ER227" s="47"/>
      <c r="ES227" s="47"/>
      <c r="ET227" s="47"/>
      <c r="EU227" s="47"/>
      <c r="EV227" s="47"/>
      <c r="EW227" s="47"/>
      <c r="EX227" s="47"/>
      <c r="EY227" s="47"/>
      <c r="EZ227" s="47"/>
      <c r="FA227" s="47"/>
      <c r="FB227" s="47"/>
      <c r="FC227" s="47"/>
      <c r="FD227" s="47"/>
      <c r="FE227" s="47"/>
      <c r="FF227" s="47"/>
      <c r="FG227" s="47"/>
      <c r="FH227" s="47"/>
      <c r="FI227" s="47"/>
      <c r="FJ227" s="47"/>
      <c r="FK227" s="47"/>
      <c r="FL227" s="47"/>
      <c r="FM227" s="47"/>
      <c r="FN227" s="47"/>
      <c r="FO227" s="47"/>
      <c r="FP227" s="47"/>
      <c r="FQ227" s="47"/>
      <c r="FR227" s="47"/>
      <c r="FS227" s="47"/>
      <c r="FT227" s="47"/>
      <c r="FU227" s="47"/>
      <c r="FV227" s="47"/>
      <c r="FW227" s="47"/>
      <c r="FX227" s="47"/>
      <c r="FY227" s="47"/>
      <c r="FZ227" s="47"/>
      <c r="GA227" s="47"/>
      <c r="GB227" s="47"/>
      <c r="GC227" s="47"/>
      <c r="GD227" s="47"/>
      <c r="GE227" s="47"/>
      <c r="GF227" s="47"/>
      <c r="GG227" s="47"/>
      <c r="GH227" s="47"/>
      <c r="GI227" s="47"/>
      <c r="GJ227" s="47"/>
      <c r="GK227" s="47"/>
      <c r="GL227" s="47"/>
      <c r="GM227" s="47"/>
      <c r="GN227" s="47"/>
      <c r="GO227" s="47"/>
      <c r="GP227" s="47"/>
      <c r="GQ227" s="47"/>
      <c r="GR227" s="47"/>
      <c r="GS227" s="47"/>
      <c r="GT227" s="47"/>
      <c r="GU227" s="47"/>
      <c r="GV227" s="47"/>
      <c r="GW227" s="47"/>
      <c r="GX227" s="47"/>
      <c r="GY227" s="47"/>
      <c r="GZ227" s="47"/>
      <c r="HA227" s="47"/>
      <c r="HB227" s="47"/>
      <c r="HC227" s="47"/>
      <c r="HD227" s="47"/>
      <c r="HE227" s="47"/>
      <c r="HF227" s="47"/>
      <c r="HG227" s="47"/>
      <c r="HH227" s="47"/>
      <c r="HI227" s="47"/>
      <c r="HJ227" s="47"/>
      <c r="HK227" s="47"/>
      <c r="HL227" s="47"/>
      <c r="HM227" s="47"/>
      <c r="HN227" s="47"/>
      <c r="HO227" s="47"/>
      <c r="HP227" s="47"/>
      <c r="HQ227" s="47"/>
      <c r="HR227" s="47"/>
      <c r="HS227" s="47"/>
      <c r="HT227" s="47"/>
      <c r="HU227" s="47"/>
      <c r="HV227" s="47"/>
      <c r="HW227" s="47"/>
      <c r="HX227" s="47"/>
      <c r="HY227" s="47"/>
      <c r="HZ227" s="47"/>
      <c r="IA227" s="47"/>
      <c r="IB227" s="47"/>
      <c r="IC227" s="47"/>
      <c r="ID227" s="47"/>
      <c r="IE227" s="47"/>
      <c r="IF227" s="47"/>
      <c r="IG227" s="47"/>
      <c r="IH227" s="47"/>
      <c r="II227" s="47"/>
      <c r="IJ227" s="47"/>
      <c r="IK227" s="47"/>
      <c r="IL227" s="47"/>
      <c r="IM227" s="47"/>
      <c r="IN227" s="47"/>
    </row>
    <row r="228" spans="1:249" s="5" customFormat="1" ht="24" customHeight="1">
      <c r="A228" s="1495" t="s">
        <v>235</v>
      </c>
      <c r="B228" s="1495"/>
      <c r="C228" s="1495"/>
      <c r="D228" s="1495"/>
      <c r="E228" s="1495"/>
      <c r="F228" s="1495"/>
      <c r="G228" s="1495"/>
      <c r="H228" s="1495"/>
      <c r="I228" s="1495"/>
      <c r="J228" s="1495"/>
      <c r="K228" s="1495"/>
      <c r="L228" s="1495"/>
      <c r="M228" s="1495"/>
      <c r="N228" s="1495"/>
      <c r="O228" s="43"/>
      <c r="P228" s="43"/>
      <c r="Q228" s="10"/>
      <c r="R228" s="126"/>
      <c r="S228" s="126"/>
      <c r="T228" s="126"/>
      <c r="U228" s="126"/>
      <c r="V228" s="126"/>
      <c r="W228" s="126"/>
      <c r="X228" s="126"/>
      <c r="Y228" s="126"/>
      <c r="Z228" s="126"/>
      <c r="AA228" s="126"/>
      <c r="AB228" s="126"/>
      <c r="AC228" s="126"/>
      <c r="AD228" s="1490"/>
      <c r="AE228" s="1490"/>
      <c r="AF228" s="1490"/>
      <c r="AG228" s="1490"/>
      <c r="AH228" s="1490"/>
      <c r="AI228" s="1490"/>
      <c r="AJ228" s="1490"/>
      <c r="AK228" s="1490"/>
      <c r="AL228" s="1490"/>
      <c r="AM228" s="1490"/>
      <c r="AN228" s="1490"/>
      <c r="AO228" s="1490"/>
      <c r="AP228" s="1490"/>
      <c r="AQ228" s="1490"/>
      <c r="AR228" s="1490"/>
      <c r="AS228" s="1490"/>
      <c r="AT228" s="1490"/>
      <c r="AU228" s="1490"/>
      <c r="AV228" s="1490"/>
      <c r="AW228" s="1490"/>
      <c r="AX228" s="1490"/>
      <c r="AY228" s="1490"/>
      <c r="AZ228" s="1490"/>
      <c r="BA228" s="1490"/>
      <c r="BB228" s="1490"/>
      <c r="BC228" s="1490"/>
      <c r="BD228" s="1490"/>
      <c r="BE228" s="1490"/>
      <c r="BF228" s="1490"/>
      <c r="BG228" s="1490"/>
      <c r="BH228" s="1490"/>
      <c r="BI228" s="1490"/>
      <c r="BJ228" s="1490"/>
      <c r="BK228" s="1490"/>
      <c r="BL228" s="1490"/>
      <c r="BM228" s="1490"/>
      <c r="BN228" s="1490"/>
      <c r="BO228" s="1490"/>
      <c r="BP228" s="1490"/>
      <c r="BQ228" s="1490"/>
      <c r="BR228" s="1490"/>
      <c r="BS228" s="1490"/>
      <c r="BT228" s="1490"/>
      <c r="BU228" s="1490"/>
      <c r="BV228" s="1490"/>
      <c r="BW228" s="1490"/>
      <c r="BX228" s="1490"/>
      <c r="BY228" s="1490"/>
      <c r="BZ228" s="1490"/>
      <c r="CA228" s="1490"/>
      <c r="CB228" s="1490"/>
      <c r="CC228" s="1490"/>
      <c r="CD228" s="1490"/>
      <c r="CE228" s="1490"/>
      <c r="CF228" s="1490"/>
      <c r="CG228" s="1490"/>
      <c r="CH228" s="1490"/>
      <c r="CI228" s="1490"/>
      <c r="CJ228" s="1490"/>
      <c r="CK228" s="1490"/>
      <c r="CL228" s="1490"/>
      <c r="CM228" s="1490"/>
      <c r="CN228" s="1490"/>
      <c r="CO228" s="1490"/>
      <c r="CP228" s="1490"/>
      <c r="CQ228" s="1490"/>
      <c r="CR228" s="1490"/>
      <c r="CS228" s="1490"/>
      <c r="CT228" s="1490"/>
      <c r="CU228" s="1490"/>
      <c r="CV228" s="1490"/>
      <c r="CW228" s="1490"/>
      <c r="CX228" s="1490"/>
      <c r="CY228" s="1490"/>
      <c r="CZ228" s="1490"/>
      <c r="DA228" s="1490"/>
      <c r="DB228" s="1490"/>
      <c r="DC228" s="1490"/>
      <c r="DD228" s="1490"/>
      <c r="DE228" s="1490"/>
      <c r="DF228" s="1490"/>
      <c r="DG228" s="1490"/>
      <c r="DH228" s="1490"/>
      <c r="DI228" s="1490"/>
      <c r="DJ228" s="1490"/>
      <c r="DK228" s="1490"/>
      <c r="DL228" s="1490"/>
      <c r="DM228" s="1490"/>
      <c r="DN228" s="1490"/>
      <c r="DO228" s="1490"/>
      <c r="DP228" s="1490"/>
      <c r="DQ228" s="1490"/>
      <c r="DR228" s="1490"/>
      <c r="DS228" s="1490"/>
      <c r="DT228" s="1490"/>
      <c r="DU228" s="1490"/>
      <c r="DV228" s="1490"/>
      <c r="DW228" s="1490"/>
      <c r="DX228" s="1490"/>
      <c r="DY228" s="1490"/>
      <c r="DZ228" s="1490"/>
      <c r="EA228" s="1490"/>
      <c r="EB228" s="1490"/>
      <c r="EC228" s="1490"/>
      <c r="ED228" s="1490"/>
      <c r="EE228" s="1490"/>
      <c r="EF228" s="1490"/>
      <c r="EG228" s="1490"/>
      <c r="EH228" s="1490"/>
      <c r="EI228" s="1490"/>
      <c r="EJ228" s="1490"/>
      <c r="EK228" s="1490"/>
      <c r="EL228" s="1490"/>
      <c r="EM228" s="1490"/>
      <c r="EN228" s="1490"/>
      <c r="EO228" s="1490"/>
      <c r="EP228" s="1490"/>
      <c r="EQ228" s="1490"/>
      <c r="ER228" s="1490"/>
      <c r="ES228" s="1490"/>
      <c r="ET228" s="1490"/>
      <c r="EU228" s="1490"/>
      <c r="EV228" s="1490"/>
      <c r="EW228" s="1490"/>
      <c r="EX228" s="1490"/>
      <c r="EY228" s="1490"/>
      <c r="EZ228" s="1490"/>
      <c r="FA228" s="1490"/>
      <c r="FB228" s="1490"/>
      <c r="FC228" s="1490"/>
      <c r="FD228" s="1490"/>
      <c r="FE228" s="1490"/>
      <c r="FF228" s="1490"/>
      <c r="FG228" s="1490"/>
      <c r="FH228" s="1490"/>
      <c r="FI228" s="1490"/>
      <c r="FJ228" s="1490"/>
      <c r="FK228" s="1490"/>
      <c r="FL228" s="1490"/>
      <c r="FM228" s="1490"/>
      <c r="FN228" s="1490"/>
      <c r="FO228" s="1490"/>
      <c r="FP228" s="1490"/>
      <c r="FQ228" s="1490"/>
      <c r="FR228" s="1490"/>
      <c r="FS228" s="1490"/>
      <c r="FT228" s="1490"/>
      <c r="FU228" s="1490"/>
      <c r="FV228" s="1490"/>
      <c r="FW228" s="1490"/>
      <c r="FX228" s="1490"/>
      <c r="FY228" s="1490"/>
      <c r="FZ228" s="1490"/>
      <c r="GA228" s="1490"/>
      <c r="GB228" s="1490"/>
      <c r="GC228" s="1490"/>
      <c r="GD228" s="1490"/>
      <c r="GE228" s="1490"/>
      <c r="GF228" s="1490"/>
      <c r="GG228" s="1490"/>
      <c r="GH228" s="1490"/>
      <c r="GI228" s="1490"/>
      <c r="GJ228" s="1490"/>
      <c r="GK228" s="1490"/>
      <c r="GL228" s="1490"/>
      <c r="GM228" s="1490"/>
      <c r="GN228" s="1490"/>
      <c r="GO228" s="1490"/>
      <c r="GP228" s="1490"/>
      <c r="GQ228" s="1490"/>
      <c r="GR228" s="1490"/>
      <c r="GS228" s="1490"/>
      <c r="GT228" s="1490"/>
      <c r="GU228" s="1490"/>
      <c r="GV228" s="1490"/>
      <c r="GW228" s="1490"/>
      <c r="GX228" s="1490"/>
      <c r="GY228" s="1490"/>
      <c r="GZ228" s="1490"/>
      <c r="HA228" s="1490"/>
      <c r="HB228" s="1490"/>
      <c r="HC228" s="1490"/>
      <c r="HD228" s="1490"/>
      <c r="HE228" s="1490"/>
      <c r="HF228" s="1490"/>
      <c r="HG228" s="1490"/>
      <c r="HH228" s="1490"/>
      <c r="HI228" s="1490"/>
      <c r="HJ228" s="1490"/>
      <c r="HK228" s="1490"/>
      <c r="HL228" s="1490"/>
      <c r="HM228" s="1490"/>
      <c r="HN228" s="1490"/>
      <c r="HO228" s="1490"/>
      <c r="HP228" s="1490"/>
      <c r="HQ228" s="1490"/>
      <c r="HR228" s="1490"/>
      <c r="HS228" s="1490"/>
      <c r="HT228" s="1490"/>
      <c r="HU228" s="1490"/>
      <c r="HV228" s="1490"/>
      <c r="HW228" s="1490"/>
      <c r="HX228" s="1490"/>
      <c r="HY228" s="1490"/>
      <c r="HZ228" s="1490"/>
      <c r="IA228" s="1490"/>
      <c r="IB228" s="1490"/>
      <c r="IC228" s="1490"/>
      <c r="ID228" s="1490"/>
      <c r="IE228" s="1490"/>
      <c r="IF228" s="1490"/>
      <c r="IG228" s="1490"/>
      <c r="IH228" s="1490"/>
      <c r="II228" s="1490"/>
      <c r="IJ228" s="1490"/>
      <c r="IK228" s="1490"/>
      <c r="IL228" s="1490"/>
      <c r="IM228" s="1490"/>
      <c r="IN228" s="1490"/>
      <c r="IO228" s="44"/>
    </row>
    <row r="229" spans="1:249" s="5" customFormat="1" ht="25.5" customHeight="1">
      <c r="A229" s="1488" t="s">
        <v>236</v>
      </c>
      <c r="B229" s="1488"/>
      <c r="C229" s="1488"/>
      <c r="D229" s="1488"/>
      <c r="E229" s="1488"/>
      <c r="F229" s="1488"/>
      <c r="G229" s="1488"/>
      <c r="H229" s="1488"/>
      <c r="I229" s="1488"/>
      <c r="J229" s="1488"/>
      <c r="K229" s="1488"/>
      <c r="L229" s="1488"/>
      <c r="M229" s="1488"/>
      <c r="N229" s="1488"/>
      <c r="O229" s="43"/>
      <c r="P229" s="43"/>
      <c r="Q229" s="10"/>
      <c r="R229" s="126"/>
      <c r="S229" s="126"/>
      <c r="T229" s="126"/>
      <c r="U229" s="126"/>
      <c r="V229" s="126"/>
      <c r="W229" s="126"/>
      <c r="X229" s="126"/>
      <c r="Y229" s="126"/>
      <c r="Z229" s="126"/>
      <c r="AA229" s="126"/>
      <c r="AB229" s="126"/>
      <c r="AC229" s="126"/>
      <c r="AD229" s="1490"/>
      <c r="AE229" s="1490"/>
      <c r="AF229" s="1490"/>
      <c r="AG229" s="1490"/>
      <c r="AH229" s="1490"/>
      <c r="AI229" s="1490"/>
      <c r="AJ229" s="1490"/>
      <c r="AK229" s="1490"/>
      <c r="AL229" s="1490"/>
      <c r="AM229" s="1490"/>
      <c r="AN229" s="1490"/>
      <c r="AO229" s="1490"/>
      <c r="AP229" s="1490"/>
      <c r="AQ229" s="1490"/>
      <c r="AR229" s="1490"/>
      <c r="AS229" s="1490"/>
      <c r="AT229" s="1490"/>
      <c r="AU229" s="1490"/>
      <c r="AV229" s="1490"/>
      <c r="AW229" s="1490"/>
      <c r="AX229" s="1490"/>
      <c r="AY229" s="1490"/>
      <c r="AZ229" s="1490"/>
      <c r="BA229" s="1490"/>
      <c r="BB229" s="1490"/>
      <c r="BC229" s="1490"/>
      <c r="BD229" s="1490"/>
      <c r="BE229" s="1490"/>
      <c r="BF229" s="1490"/>
      <c r="BG229" s="1490"/>
      <c r="BH229" s="1490"/>
      <c r="BI229" s="1490"/>
      <c r="BJ229" s="1490"/>
      <c r="BK229" s="1490"/>
      <c r="BL229" s="1490"/>
      <c r="BM229" s="1490"/>
      <c r="BN229" s="1490"/>
      <c r="BO229" s="1490"/>
      <c r="BP229" s="1490"/>
      <c r="BQ229" s="1490"/>
      <c r="BR229" s="1490"/>
      <c r="BS229" s="1490"/>
      <c r="BT229" s="1490"/>
      <c r="BU229" s="1490"/>
      <c r="BV229" s="1490"/>
      <c r="BW229" s="1490"/>
      <c r="BX229" s="1490"/>
      <c r="BY229" s="1490"/>
      <c r="BZ229" s="1490"/>
      <c r="CA229" s="1490"/>
      <c r="CB229" s="1490"/>
      <c r="CC229" s="1490"/>
      <c r="CD229" s="1490"/>
      <c r="CE229" s="1490"/>
      <c r="CF229" s="1490"/>
      <c r="CG229" s="1490"/>
      <c r="CH229" s="1490"/>
      <c r="CI229" s="1490"/>
      <c r="CJ229" s="1490"/>
      <c r="CK229" s="1490"/>
      <c r="CL229" s="1490"/>
      <c r="CM229" s="1490"/>
      <c r="CN229" s="1490"/>
      <c r="CO229" s="1490"/>
      <c r="CP229" s="1490"/>
      <c r="CQ229" s="1490"/>
      <c r="CR229" s="1490"/>
      <c r="CS229" s="1490"/>
      <c r="CT229" s="1490"/>
      <c r="CU229" s="1490"/>
      <c r="CV229" s="1490"/>
      <c r="CW229" s="1490"/>
      <c r="CX229" s="1490"/>
      <c r="CY229" s="1490"/>
      <c r="CZ229" s="1490"/>
      <c r="DA229" s="1490"/>
      <c r="DB229" s="1490"/>
      <c r="DC229" s="1490"/>
      <c r="DD229" s="1490"/>
      <c r="DE229" s="1490"/>
      <c r="DF229" s="1490"/>
      <c r="DG229" s="1490"/>
      <c r="DH229" s="1490"/>
      <c r="DI229" s="1490"/>
      <c r="DJ229" s="1490"/>
      <c r="DK229" s="1490"/>
      <c r="DL229" s="1490"/>
      <c r="DM229" s="1490"/>
      <c r="DN229" s="1490"/>
      <c r="DO229" s="1490"/>
      <c r="DP229" s="1490"/>
      <c r="DQ229" s="1490"/>
      <c r="DR229" s="1490"/>
      <c r="DS229" s="1490"/>
      <c r="DT229" s="1490"/>
      <c r="DU229" s="1490"/>
      <c r="DV229" s="1490"/>
      <c r="DW229" s="1490"/>
      <c r="DX229" s="1490"/>
      <c r="DY229" s="1490"/>
      <c r="DZ229" s="1490"/>
      <c r="EA229" s="1490"/>
      <c r="EB229" s="1490"/>
      <c r="EC229" s="1490"/>
      <c r="ED229" s="1490"/>
      <c r="EE229" s="1490"/>
      <c r="EF229" s="1490"/>
      <c r="EG229" s="1490"/>
      <c r="EH229" s="1490"/>
      <c r="EI229" s="1490"/>
      <c r="EJ229" s="1490"/>
      <c r="EK229" s="1490"/>
      <c r="EL229" s="1490"/>
      <c r="EM229" s="1490"/>
      <c r="EN229" s="1490"/>
      <c r="EO229" s="1490"/>
      <c r="EP229" s="1490"/>
      <c r="EQ229" s="1490"/>
      <c r="ER229" s="1490"/>
      <c r="ES229" s="1490"/>
      <c r="ET229" s="1490"/>
      <c r="EU229" s="1490"/>
      <c r="EV229" s="1490"/>
      <c r="EW229" s="1490"/>
      <c r="EX229" s="1490"/>
      <c r="EY229" s="1490"/>
      <c r="EZ229" s="1490"/>
      <c r="FA229" s="1490"/>
      <c r="FB229" s="1490"/>
      <c r="FC229" s="1490"/>
      <c r="FD229" s="1490"/>
      <c r="FE229" s="1490"/>
      <c r="FF229" s="1490"/>
      <c r="FG229" s="1490"/>
      <c r="FH229" s="1490"/>
      <c r="FI229" s="1490"/>
      <c r="FJ229" s="1490"/>
      <c r="FK229" s="1490"/>
      <c r="FL229" s="1490"/>
      <c r="FM229" s="1490"/>
      <c r="FN229" s="1490"/>
      <c r="FO229" s="1490"/>
      <c r="FP229" s="1490"/>
      <c r="FQ229" s="1490"/>
      <c r="FR229" s="1490"/>
      <c r="FS229" s="1490"/>
      <c r="FT229" s="1490"/>
      <c r="FU229" s="1490"/>
      <c r="FV229" s="1490"/>
      <c r="FW229" s="1490"/>
      <c r="FX229" s="1490"/>
      <c r="FY229" s="1490"/>
      <c r="FZ229" s="1490"/>
      <c r="GA229" s="1490"/>
      <c r="GB229" s="1490"/>
      <c r="GC229" s="1490"/>
      <c r="GD229" s="1490"/>
      <c r="GE229" s="1490"/>
      <c r="GF229" s="1490"/>
      <c r="GG229" s="1490"/>
      <c r="GH229" s="1490"/>
      <c r="GI229" s="1490"/>
      <c r="GJ229" s="1490"/>
      <c r="GK229" s="1490"/>
      <c r="GL229" s="1490"/>
      <c r="GM229" s="1490"/>
      <c r="GN229" s="1490"/>
      <c r="GO229" s="1490"/>
      <c r="GP229" s="1490"/>
      <c r="GQ229" s="1490"/>
      <c r="GR229" s="1490"/>
      <c r="GS229" s="1490"/>
      <c r="GT229" s="1490"/>
      <c r="GU229" s="1490"/>
      <c r="GV229" s="1490"/>
      <c r="GW229" s="1490"/>
      <c r="GX229" s="1490"/>
      <c r="GY229" s="1490"/>
      <c r="GZ229" s="1490"/>
      <c r="HA229" s="1490"/>
      <c r="HB229" s="1490"/>
      <c r="HC229" s="1490"/>
      <c r="HD229" s="1490"/>
      <c r="HE229" s="1490"/>
      <c r="HF229" s="1490"/>
      <c r="HG229" s="1490"/>
      <c r="HH229" s="1490"/>
      <c r="HI229" s="1490"/>
      <c r="HJ229" s="1490"/>
      <c r="HK229" s="1490"/>
      <c r="HL229" s="1490"/>
      <c r="HM229" s="1490"/>
      <c r="HN229" s="1490"/>
      <c r="HO229" s="1490"/>
      <c r="HP229" s="1490"/>
      <c r="HQ229" s="1490"/>
      <c r="HR229" s="1490"/>
      <c r="HS229" s="1490"/>
      <c r="HT229" s="1490"/>
      <c r="HU229" s="1490"/>
      <c r="HV229" s="1490"/>
      <c r="HW229" s="1490"/>
      <c r="HX229" s="1490"/>
      <c r="HY229" s="1490"/>
      <c r="HZ229" s="1490"/>
      <c r="IA229" s="1490"/>
      <c r="IB229" s="1490"/>
      <c r="IC229" s="1490"/>
      <c r="ID229" s="1490"/>
      <c r="IE229" s="1490"/>
      <c r="IF229" s="1490"/>
      <c r="IG229" s="1490"/>
      <c r="IH229" s="1490"/>
      <c r="II229" s="1490"/>
      <c r="IJ229" s="1490"/>
      <c r="IK229" s="1490"/>
      <c r="IL229" s="1490"/>
      <c r="IM229" s="1490"/>
      <c r="IN229" s="1490"/>
      <c r="IO229" s="44"/>
    </row>
    <row r="230" spans="1:249" s="5" customFormat="1" ht="26.25" customHeight="1">
      <c r="A230"/>
      <c r="B230" s="1520" t="s">
        <v>237</v>
      </c>
      <c r="C230" s="1520"/>
      <c r="D230" s="1520"/>
      <c r="E230" s="1520"/>
      <c r="F230" s="1520"/>
      <c r="G230" s="1520"/>
      <c r="H230" s="1520"/>
      <c r="I230" s="1520"/>
      <c r="J230" s="50"/>
      <c r="K230" s="50"/>
      <c r="L230" s="50"/>
      <c r="M230" s="50"/>
      <c r="N230" s="50"/>
      <c r="O230" s="43"/>
      <c r="P230" s="43"/>
      <c r="Q230" s="126"/>
      <c r="R230" s="126"/>
      <c r="S230" s="126"/>
      <c r="T230" s="126"/>
      <c r="U230" s="126"/>
      <c r="V230" s="126"/>
      <c r="W230" s="126"/>
      <c r="X230" s="126"/>
      <c r="Y230" s="126"/>
      <c r="Z230" s="126"/>
      <c r="AA230" s="126"/>
      <c r="AB230" s="126"/>
      <c r="AC230" s="126"/>
      <c r="AD230" s="127"/>
      <c r="AE230" s="127"/>
      <c r="AF230" s="127"/>
    </row>
    <row r="231" spans="1:249" s="5" customFormat="1" ht="27" customHeight="1">
      <c r="A231" s="1521" t="s">
        <v>191</v>
      </c>
      <c r="B231" s="1523" t="s">
        <v>238</v>
      </c>
      <c r="C231" s="1524"/>
      <c r="D231" s="1524"/>
      <c r="E231" s="1524"/>
      <c r="F231" s="1524"/>
      <c r="G231" s="1525"/>
      <c r="H231" s="1523" t="s">
        <v>239</v>
      </c>
      <c r="I231" s="1524"/>
      <c r="J231" s="1524"/>
      <c r="K231" s="1524"/>
      <c r="L231" s="1525"/>
      <c r="M231" s="1529" t="s">
        <v>240</v>
      </c>
      <c r="N231" s="1530"/>
      <c r="O231" s="43"/>
      <c r="P231" s="43"/>
      <c r="Q231" s="126"/>
      <c r="R231" s="126"/>
      <c r="S231" s="126"/>
      <c r="T231" s="126"/>
      <c r="U231" s="126"/>
      <c r="V231" s="126"/>
      <c r="W231" s="126"/>
      <c r="X231" s="126"/>
      <c r="Y231" s="126"/>
      <c r="Z231" s="126"/>
      <c r="AA231" s="126"/>
      <c r="AB231" s="126"/>
      <c r="AC231" s="126"/>
      <c r="AD231" s="1494"/>
      <c r="AE231" s="1494"/>
      <c r="AF231" s="1494"/>
      <c r="AG231" s="1494"/>
      <c r="AH231" s="1494"/>
      <c r="AI231" s="1494"/>
      <c r="AJ231" s="1494"/>
      <c r="AK231" s="1494"/>
      <c r="AL231" s="1494"/>
      <c r="AM231" s="1494"/>
      <c r="AN231" s="1494"/>
      <c r="AO231" s="1494"/>
      <c r="AP231" s="1494"/>
      <c r="AQ231" s="1494"/>
      <c r="AR231" s="1494"/>
      <c r="AS231" s="1494"/>
      <c r="AT231" s="1494"/>
      <c r="AU231" s="1494"/>
      <c r="AV231" s="1494"/>
      <c r="AW231" s="1494"/>
      <c r="AX231" s="1494"/>
      <c r="AY231" s="1494"/>
      <c r="AZ231" s="1494"/>
      <c r="BA231" s="1494"/>
      <c r="BB231" s="1494"/>
      <c r="BC231" s="1494"/>
      <c r="BD231" s="1494"/>
      <c r="BE231" s="1494"/>
      <c r="BF231" s="1494"/>
      <c r="BG231" s="1494"/>
      <c r="BH231" s="1494"/>
      <c r="BI231" s="1494"/>
      <c r="BJ231" s="1494"/>
      <c r="BK231" s="1494"/>
      <c r="BL231" s="1494"/>
      <c r="BM231" s="1494"/>
      <c r="BN231" s="1494"/>
      <c r="BO231" s="1494"/>
      <c r="BP231" s="1494"/>
      <c r="BQ231" s="1494"/>
      <c r="BR231" s="1494"/>
      <c r="BS231" s="1494"/>
      <c r="BT231" s="1494"/>
      <c r="BU231" s="1494"/>
      <c r="BV231" s="1494"/>
      <c r="BW231" s="1494"/>
      <c r="BX231" s="1494"/>
      <c r="BY231" s="1494"/>
      <c r="BZ231" s="1494"/>
      <c r="CA231" s="1494"/>
      <c r="CB231" s="1494"/>
      <c r="CC231" s="1494"/>
      <c r="CD231" s="1494"/>
      <c r="CE231" s="1494"/>
      <c r="CF231" s="1494"/>
      <c r="CG231" s="1494"/>
      <c r="CH231" s="1494"/>
      <c r="CI231" s="1494"/>
      <c r="CJ231" s="1494"/>
      <c r="CK231" s="1494"/>
      <c r="CL231" s="1494"/>
      <c r="CM231" s="1494"/>
      <c r="CN231" s="1494"/>
      <c r="CO231" s="1494"/>
      <c r="CP231" s="1494"/>
      <c r="CQ231" s="1494"/>
      <c r="CR231" s="1494"/>
      <c r="CS231" s="1494"/>
      <c r="CT231" s="1494"/>
      <c r="CU231" s="1494"/>
      <c r="CV231" s="1494"/>
      <c r="CW231" s="1494"/>
      <c r="CX231" s="1494"/>
      <c r="CY231" s="1494"/>
      <c r="CZ231" s="1494"/>
      <c r="DA231" s="1494"/>
      <c r="DB231" s="1494"/>
      <c r="DC231" s="1494"/>
      <c r="DD231" s="1494"/>
      <c r="DE231" s="1494"/>
      <c r="DF231" s="1494"/>
      <c r="DG231" s="1494"/>
      <c r="DH231" s="1494"/>
      <c r="DI231" s="1494"/>
      <c r="DJ231" s="1494"/>
      <c r="DK231" s="1494"/>
      <c r="DL231" s="1494"/>
      <c r="DM231" s="1494"/>
      <c r="DN231" s="1494"/>
      <c r="DO231" s="1494"/>
      <c r="DP231" s="1494"/>
      <c r="DQ231" s="1494"/>
      <c r="DR231" s="1494"/>
      <c r="DS231" s="1494"/>
      <c r="DT231" s="1494"/>
      <c r="DU231" s="1494"/>
      <c r="DV231" s="1494"/>
      <c r="DW231" s="1494"/>
      <c r="DX231" s="1494"/>
      <c r="DY231" s="1494"/>
      <c r="DZ231" s="1494"/>
      <c r="EA231" s="1494"/>
      <c r="EB231" s="1494"/>
      <c r="EC231" s="1494"/>
      <c r="ED231" s="1494"/>
      <c r="EE231" s="1494"/>
      <c r="EF231" s="1494"/>
      <c r="EG231" s="1494"/>
      <c r="EH231" s="1494"/>
      <c r="EI231" s="1494"/>
      <c r="EJ231" s="1494"/>
      <c r="EK231" s="1494"/>
      <c r="EL231" s="1494"/>
      <c r="EM231" s="1494"/>
      <c r="EN231" s="1494"/>
      <c r="EO231" s="1494"/>
      <c r="EP231" s="1494"/>
      <c r="EQ231" s="1494"/>
      <c r="ER231" s="1494"/>
      <c r="ES231" s="1494"/>
      <c r="ET231" s="1494"/>
      <c r="EU231" s="1494"/>
      <c r="EV231" s="1494"/>
      <c r="EW231" s="1494"/>
      <c r="EX231" s="1494"/>
      <c r="EY231" s="1494"/>
      <c r="EZ231" s="1494"/>
      <c r="FA231" s="1494"/>
      <c r="FB231" s="1494"/>
      <c r="FC231" s="1494"/>
      <c r="FD231" s="1494"/>
      <c r="FE231" s="1494"/>
      <c r="FF231" s="1494"/>
      <c r="FG231" s="1494"/>
      <c r="FH231" s="1494"/>
      <c r="FI231" s="1494"/>
      <c r="FJ231" s="1494"/>
      <c r="FK231" s="1494"/>
      <c r="FL231" s="1494"/>
      <c r="FM231" s="1494"/>
      <c r="FN231" s="1494"/>
      <c r="FO231" s="1494"/>
      <c r="FP231" s="1494"/>
      <c r="FQ231" s="1494"/>
      <c r="FR231" s="1494"/>
      <c r="FS231" s="1494"/>
      <c r="FT231" s="1494"/>
      <c r="FU231" s="1494"/>
      <c r="FV231" s="1494"/>
      <c r="FW231" s="1494"/>
      <c r="FX231" s="1494"/>
      <c r="FY231" s="1494"/>
      <c r="FZ231" s="1494"/>
      <c r="GA231" s="1494"/>
      <c r="GB231" s="1494"/>
      <c r="GC231" s="1494"/>
      <c r="GD231" s="1494"/>
      <c r="GE231" s="1494"/>
      <c r="GF231" s="1494"/>
      <c r="GG231" s="1494"/>
      <c r="GH231" s="1494"/>
      <c r="GI231" s="1494"/>
      <c r="GJ231" s="1494"/>
      <c r="GK231" s="1494"/>
      <c r="GL231" s="1494"/>
      <c r="GM231" s="1494"/>
      <c r="GN231" s="1494"/>
      <c r="GO231" s="1494"/>
      <c r="GP231" s="1494"/>
      <c r="GQ231" s="1494"/>
      <c r="GR231" s="1494"/>
      <c r="GS231" s="1494"/>
      <c r="GT231" s="1494"/>
      <c r="GU231" s="1494"/>
      <c r="GV231" s="1494"/>
      <c r="GW231" s="1494"/>
      <c r="GX231" s="1494"/>
      <c r="GY231" s="1494"/>
      <c r="GZ231" s="1494"/>
      <c r="HA231" s="1494"/>
      <c r="HB231" s="1494"/>
      <c r="HC231" s="1494"/>
      <c r="HD231" s="1494"/>
      <c r="HE231" s="1494"/>
      <c r="HF231" s="1494"/>
      <c r="HG231" s="1494"/>
      <c r="HH231" s="1494"/>
      <c r="HI231" s="1494"/>
      <c r="HJ231" s="1494"/>
      <c r="HK231" s="1494"/>
      <c r="HL231" s="1494"/>
      <c r="HM231" s="1494"/>
      <c r="HN231" s="1494"/>
      <c r="HO231" s="1494"/>
      <c r="HP231" s="1494"/>
      <c r="HQ231" s="1494"/>
      <c r="HR231" s="1494"/>
      <c r="HS231" s="1494"/>
      <c r="HT231" s="1494"/>
      <c r="HU231" s="1494"/>
      <c r="HV231" s="1494"/>
      <c r="HW231" s="1494"/>
      <c r="HX231" s="1494"/>
      <c r="HY231" s="1494"/>
      <c r="HZ231" s="1494"/>
      <c r="IA231" s="1494"/>
      <c r="IB231" s="1494"/>
      <c r="IC231" s="1494"/>
      <c r="ID231" s="1494"/>
      <c r="IE231" s="1494"/>
      <c r="IF231" s="1494"/>
      <c r="IG231" s="1494"/>
      <c r="IH231" s="1494"/>
      <c r="II231" s="1494"/>
      <c r="IJ231" s="1494"/>
      <c r="IK231" s="1494"/>
      <c r="IL231" s="1494"/>
      <c r="IM231" s="1494"/>
      <c r="IN231" s="1494"/>
      <c r="IO231" s="49"/>
    </row>
    <row r="232" spans="1:249" s="5" customFormat="1" ht="23.25" customHeight="1">
      <c r="A232" s="1522"/>
      <c r="B232" s="1526"/>
      <c r="C232" s="1527"/>
      <c r="D232" s="1527"/>
      <c r="E232" s="1527"/>
      <c r="F232" s="1527"/>
      <c r="G232" s="1528"/>
      <c r="H232" s="1526"/>
      <c r="I232" s="1527"/>
      <c r="J232" s="1527"/>
      <c r="K232" s="1527"/>
      <c r="L232" s="1528"/>
      <c r="M232" s="51" t="s">
        <v>241</v>
      </c>
      <c r="N232" s="51" t="s">
        <v>242</v>
      </c>
      <c r="O232" s="43"/>
      <c r="P232" s="43"/>
      <c r="Q232" s="126"/>
      <c r="R232" s="126"/>
      <c r="S232" s="126"/>
      <c r="T232" s="126"/>
      <c r="U232" s="126"/>
      <c r="V232" s="126"/>
      <c r="W232" s="126"/>
      <c r="X232" s="126"/>
      <c r="Y232" s="126"/>
      <c r="Z232" s="126"/>
      <c r="AA232" s="126"/>
      <c r="AB232" s="126"/>
      <c r="AC232" s="126"/>
      <c r="AD232" s="1494"/>
      <c r="AE232" s="1494"/>
      <c r="AF232" s="1494"/>
      <c r="AG232" s="1494"/>
      <c r="AH232" s="1494"/>
      <c r="AI232" s="1494"/>
      <c r="AJ232" s="1494"/>
      <c r="AK232" s="1494"/>
      <c r="AL232" s="1494"/>
      <c r="AM232" s="1494"/>
      <c r="AN232" s="1494"/>
      <c r="AO232" s="1494"/>
      <c r="AP232" s="1494"/>
      <c r="AQ232" s="1494"/>
      <c r="AR232" s="1494"/>
      <c r="AS232" s="1494"/>
      <c r="AT232" s="1494"/>
      <c r="AU232" s="1494"/>
      <c r="AV232" s="1494"/>
      <c r="AW232" s="1494"/>
      <c r="AX232" s="1494"/>
      <c r="AY232" s="1494"/>
      <c r="AZ232" s="1494"/>
      <c r="BA232" s="1494"/>
      <c r="BB232" s="1494"/>
      <c r="BC232" s="1494"/>
      <c r="BD232" s="1494"/>
      <c r="BE232" s="1494"/>
      <c r="BF232" s="1494"/>
      <c r="BG232" s="1494"/>
      <c r="BH232" s="1494"/>
      <c r="BI232" s="1494"/>
      <c r="BJ232" s="1494"/>
      <c r="BK232" s="1494"/>
      <c r="BL232" s="1494"/>
      <c r="BM232" s="1494"/>
      <c r="BN232" s="1494"/>
      <c r="BO232" s="1494"/>
      <c r="BP232" s="1494"/>
      <c r="BQ232" s="1494"/>
      <c r="BR232" s="1494"/>
      <c r="BS232" s="1494"/>
      <c r="BT232" s="1494"/>
      <c r="BU232" s="1494"/>
      <c r="BV232" s="1494"/>
      <c r="BW232" s="1494"/>
      <c r="BX232" s="1494"/>
      <c r="BY232" s="1494"/>
      <c r="BZ232" s="1494"/>
      <c r="CA232" s="1494"/>
      <c r="CB232" s="1494"/>
      <c r="CC232" s="1494"/>
      <c r="CD232" s="1494"/>
      <c r="CE232" s="1494"/>
      <c r="CF232" s="1494"/>
      <c r="CG232" s="1494"/>
      <c r="CH232" s="1494"/>
      <c r="CI232" s="1494"/>
      <c r="CJ232" s="1494"/>
      <c r="CK232" s="1494"/>
      <c r="CL232" s="1494"/>
      <c r="CM232" s="1494"/>
      <c r="CN232" s="1494"/>
      <c r="CO232" s="1494"/>
      <c r="CP232" s="1494"/>
      <c r="CQ232" s="1494"/>
      <c r="CR232" s="1494"/>
      <c r="CS232" s="1494"/>
      <c r="CT232" s="1494"/>
      <c r="CU232" s="1494"/>
      <c r="CV232" s="1494"/>
      <c r="CW232" s="1494"/>
      <c r="CX232" s="1494"/>
      <c r="CY232" s="1494"/>
      <c r="CZ232" s="1494"/>
      <c r="DA232" s="1494"/>
      <c r="DB232" s="1494"/>
      <c r="DC232" s="1494"/>
      <c r="DD232" s="1494"/>
      <c r="DE232" s="1494"/>
      <c r="DF232" s="1494"/>
      <c r="DG232" s="1494"/>
      <c r="DH232" s="1494"/>
      <c r="DI232" s="1494"/>
      <c r="DJ232" s="1494"/>
      <c r="DK232" s="1494"/>
      <c r="DL232" s="1494"/>
      <c r="DM232" s="1494"/>
      <c r="DN232" s="1494"/>
      <c r="DO232" s="1494"/>
      <c r="DP232" s="1494"/>
      <c r="DQ232" s="1494"/>
      <c r="DR232" s="1494"/>
      <c r="DS232" s="1494"/>
      <c r="DT232" s="1494"/>
      <c r="DU232" s="1494"/>
      <c r="DV232" s="1494"/>
      <c r="DW232" s="1494"/>
      <c r="DX232" s="1494"/>
      <c r="DY232" s="1494"/>
      <c r="DZ232" s="1494"/>
      <c r="EA232" s="1494"/>
      <c r="EB232" s="1494"/>
      <c r="EC232" s="1494"/>
      <c r="ED232" s="1494"/>
      <c r="EE232" s="1494"/>
      <c r="EF232" s="1494"/>
      <c r="EG232" s="1494"/>
      <c r="EH232" s="1494"/>
      <c r="EI232" s="1494"/>
      <c r="EJ232" s="1494"/>
      <c r="EK232" s="1494"/>
      <c r="EL232" s="1494"/>
      <c r="EM232" s="1494"/>
      <c r="EN232" s="1494"/>
      <c r="EO232" s="1494"/>
      <c r="EP232" s="1494"/>
      <c r="EQ232" s="1494"/>
      <c r="ER232" s="1494"/>
      <c r="ES232" s="1494"/>
      <c r="ET232" s="1494"/>
      <c r="EU232" s="1494"/>
      <c r="EV232" s="1494"/>
      <c r="EW232" s="1494"/>
      <c r="EX232" s="1494"/>
      <c r="EY232" s="1494"/>
      <c r="EZ232" s="1494"/>
      <c r="FA232" s="1494"/>
      <c r="FB232" s="1494"/>
      <c r="FC232" s="1494"/>
      <c r="FD232" s="1494"/>
      <c r="FE232" s="1494"/>
      <c r="FF232" s="1494"/>
      <c r="FG232" s="1494"/>
      <c r="FH232" s="1494"/>
      <c r="FI232" s="1494"/>
      <c r="FJ232" s="1494"/>
      <c r="FK232" s="1494"/>
      <c r="FL232" s="1494"/>
      <c r="FM232" s="1494"/>
      <c r="FN232" s="1494"/>
      <c r="FO232" s="1494"/>
      <c r="FP232" s="1494"/>
      <c r="FQ232" s="1494"/>
      <c r="FR232" s="1494"/>
      <c r="FS232" s="1494"/>
      <c r="FT232" s="1494"/>
      <c r="FU232" s="1494"/>
      <c r="FV232" s="1494"/>
      <c r="FW232" s="1494"/>
      <c r="FX232" s="1494"/>
      <c r="FY232" s="1494"/>
      <c r="FZ232" s="1494"/>
      <c r="GA232" s="1494"/>
      <c r="GB232" s="1494"/>
      <c r="GC232" s="1494"/>
      <c r="GD232" s="1494"/>
      <c r="GE232" s="1494"/>
      <c r="GF232" s="1494"/>
      <c r="GG232" s="1494"/>
      <c r="GH232" s="1494"/>
      <c r="GI232" s="1494"/>
      <c r="GJ232" s="1494"/>
      <c r="GK232" s="1494"/>
      <c r="GL232" s="1494"/>
      <c r="GM232" s="1494"/>
      <c r="GN232" s="1494"/>
      <c r="GO232" s="1494"/>
      <c r="GP232" s="1494"/>
      <c r="GQ232" s="1494"/>
      <c r="GR232" s="1494"/>
      <c r="GS232" s="1494"/>
      <c r="GT232" s="1494"/>
      <c r="GU232" s="1494"/>
      <c r="GV232" s="1494"/>
      <c r="GW232" s="1494"/>
      <c r="GX232" s="1494"/>
      <c r="GY232" s="1494"/>
      <c r="GZ232" s="1494"/>
      <c r="HA232" s="1494"/>
      <c r="HB232" s="1494"/>
      <c r="HC232" s="1494"/>
      <c r="HD232" s="1494"/>
      <c r="HE232" s="1494"/>
      <c r="HF232" s="1494"/>
      <c r="HG232" s="1494"/>
      <c r="HH232" s="1494"/>
      <c r="HI232" s="1494"/>
      <c r="HJ232" s="1494"/>
      <c r="HK232" s="1494"/>
      <c r="HL232" s="1494"/>
      <c r="HM232" s="1494"/>
      <c r="HN232" s="1494"/>
      <c r="HO232" s="1494"/>
      <c r="HP232" s="1494"/>
      <c r="HQ232" s="1494"/>
      <c r="HR232" s="1494"/>
      <c r="HS232" s="1494"/>
      <c r="HT232" s="1494"/>
      <c r="HU232" s="1494"/>
      <c r="HV232" s="1494"/>
      <c r="HW232" s="1494"/>
      <c r="HX232" s="1494"/>
      <c r="HY232" s="1494"/>
      <c r="HZ232" s="1494"/>
      <c r="IA232" s="1494"/>
      <c r="IB232" s="1494"/>
      <c r="IC232" s="1494"/>
      <c r="ID232" s="1494"/>
      <c r="IE232" s="1494"/>
      <c r="IF232" s="1494"/>
      <c r="IG232" s="1494"/>
      <c r="IH232" s="1494"/>
      <c r="II232" s="1494"/>
      <c r="IJ232" s="1494"/>
      <c r="IK232" s="1494"/>
      <c r="IL232" s="1494"/>
      <c r="IM232" s="1494"/>
      <c r="IN232" s="1494"/>
      <c r="IO232" s="49"/>
    </row>
    <row r="233" spans="1:249" s="5" customFormat="1" ht="23.25" customHeight="1">
      <c r="A233" s="52">
        <v>1</v>
      </c>
      <c r="B233" s="1508" t="s">
        <v>284</v>
      </c>
      <c r="C233" s="1509"/>
      <c r="D233" s="1509"/>
      <c r="E233" s="1509"/>
      <c r="F233" s="1509"/>
      <c r="G233" s="1510"/>
      <c r="H233" s="1567" t="s">
        <v>285</v>
      </c>
      <c r="I233" s="1568"/>
      <c r="J233" s="1568"/>
      <c r="K233" s="1568"/>
      <c r="L233" s="1569"/>
      <c r="M233" s="52" t="s">
        <v>245</v>
      </c>
      <c r="N233" s="53"/>
      <c r="O233" s="43"/>
      <c r="P233" s="43"/>
      <c r="Q233" s="126"/>
      <c r="R233" s="126"/>
      <c r="S233" s="126"/>
      <c r="T233" s="126"/>
      <c r="U233" s="126"/>
      <c r="V233" s="126"/>
      <c r="W233" s="126"/>
      <c r="X233" s="126"/>
      <c r="Y233" s="126"/>
      <c r="Z233" s="126"/>
      <c r="AA233" s="126"/>
      <c r="AB233" s="126"/>
      <c r="AC233" s="126"/>
      <c r="AD233" s="1494"/>
      <c r="AE233" s="1494"/>
      <c r="AF233" s="1494"/>
      <c r="AG233" s="1494"/>
      <c r="AH233" s="1494"/>
      <c r="AI233" s="1494"/>
      <c r="AJ233" s="1494"/>
      <c r="AK233" s="1494"/>
      <c r="AL233" s="1494"/>
      <c r="AM233" s="1494"/>
      <c r="AN233" s="1494"/>
      <c r="AO233" s="1494"/>
      <c r="AP233" s="1494"/>
      <c r="AQ233" s="1494"/>
      <c r="AR233" s="1494"/>
      <c r="AS233" s="1494"/>
      <c r="AT233" s="1494"/>
      <c r="AU233" s="1494"/>
      <c r="AV233" s="1494"/>
      <c r="AW233" s="1494"/>
      <c r="AX233" s="1494"/>
      <c r="AY233" s="1494"/>
      <c r="AZ233" s="1494"/>
      <c r="BA233" s="1494"/>
      <c r="BB233" s="1494"/>
      <c r="BC233" s="1494"/>
      <c r="BD233" s="1494"/>
      <c r="BE233" s="1494"/>
      <c r="BF233" s="1494"/>
      <c r="BG233" s="1494"/>
      <c r="BH233" s="1494"/>
      <c r="BI233" s="1494"/>
      <c r="BJ233" s="1494"/>
      <c r="BK233" s="1494"/>
      <c r="BL233" s="1494"/>
      <c r="BM233" s="1494"/>
      <c r="BN233" s="1494"/>
      <c r="BO233" s="1494"/>
      <c r="BP233" s="1494"/>
      <c r="BQ233" s="1494"/>
      <c r="BR233" s="1494"/>
      <c r="BS233" s="1494"/>
      <c r="BT233" s="1494"/>
      <c r="BU233" s="1494"/>
      <c r="BV233" s="1494"/>
      <c r="BW233" s="1494"/>
      <c r="BX233" s="1494"/>
      <c r="BY233" s="1494"/>
      <c r="BZ233" s="1494"/>
      <c r="CA233" s="1494"/>
      <c r="CB233" s="1494"/>
      <c r="CC233" s="1494"/>
      <c r="CD233" s="1494"/>
      <c r="CE233" s="1494"/>
      <c r="CF233" s="1494"/>
      <c r="CG233" s="1494"/>
      <c r="CH233" s="1494"/>
      <c r="CI233" s="1494"/>
      <c r="CJ233" s="1494"/>
      <c r="CK233" s="1494"/>
      <c r="CL233" s="1494"/>
      <c r="CM233" s="1494"/>
      <c r="CN233" s="1494"/>
      <c r="CO233" s="1494"/>
      <c r="CP233" s="1494"/>
      <c r="CQ233" s="1494"/>
      <c r="CR233" s="1494"/>
      <c r="CS233" s="1494"/>
      <c r="CT233" s="1494"/>
      <c r="CU233" s="1494"/>
      <c r="CV233" s="1494"/>
      <c r="CW233" s="1494"/>
      <c r="CX233" s="1494"/>
      <c r="CY233" s="1494"/>
      <c r="CZ233" s="1494"/>
      <c r="DA233" s="1494"/>
      <c r="DB233" s="1494"/>
      <c r="DC233" s="1494"/>
      <c r="DD233" s="1494"/>
      <c r="DE233" s="1494"/>
      <c r="DF233" s="1494"/>
      <c r="DG233" s="1494"/>
      <c r="DH233" s="1494"/>
      <c r="DI233" s="1494"/>
      <c r="DJ233" s="1494"/>
      <c r="DK233" s="1494"/>
      <c r="DL233" s="1494"/>
      <c r="DM233" s="1494"/>
      <c r="DN233" s="1494"/>
      <c r="DO233" s="1494"/>
      <c r="DP233" s="1494"/>
      <c r="DQ233" s="1494"/>
      <c r="DR233" s="1494"/>
      <c r="DS233" s="1494"/>
      <c r="DT233" s="1494"/>
      <c r="DU233" s="1494"/>
      <c r="DV233" s="1494"/>
      <c r="DW233" s="1494"/>
      <c r="DX233" s="1494"/>
      <c r="DY233" s="1494"/>
      <c r="DZ233" s="1494"/>
      <c r="EA233" s="1494"/>
      <c r="EB233" s="1494"/>
      <c r="EC233" s="1494"/>
      <c r="ED233" s="1494"/>
      <c r="EE233" s="1494"/>
      <c r="EF233" s="1494"/>
      <c r="EG233" s="1494"/>
      <c r="EH233" s="1494"/>
      <c r="EI233" s="1494"/>
      <c r="EJ233" s="1494"/>
      <c r="EK233" s="1494"/>
      <c r="EL233" s="1494"/>
      <c r="EM233" s="1494"/>
      <c r="EN233" s="1494"/>
      <c r="EO233" s="1494"/>
      <c r="EP233" s="1494"/>
      <c r="EQ233" s="1494"/>
      <c r="ER233" s="1494"/>
      <c r="ES233" s="1494"/>
      <c r="ET233" s="1494"/>
      <c r="EU233" s="1494"/>
      <c r="EV233" s="1494"/>
      <c r="EW233" s="1494"/>
      <c r="EX233" s="1494"/>
      <c r="EY233" s="1494"/>
      <c r="EZ233" s="1494"/>
      <c r="FA233" s="1494"/>
      <c r="FB233" s="1494"/>
      <c r="FC233" s="1494"/>
      <c r="FD233" s="1494"/>
      <c r="FE233" s="1494"/>
      <c r="FF233" s="1494"/>
      <c r="FG233" s="1494"/>
      <c r="FH233" s="1494"/>
      <c r="FI233" s="1494"/>
      <c r="FJ233" s="1494"/>
      <c r="FK233" s="1494"/>
      <c r="FL233" s="1494"/>
      <c r="FM233" s="1494"/>
      <c r="FN233" s="1494"/>
      <c r="FO233" s="1494"/>
      <c r="FP233" s="1494"/>
      <c r="FQ233" s="1494"/>
      <c r="FR233" s="1494"/>
      <c r="FS233" s="1494"/>
      <c r="FT233" s="1494"/>
      <c r="FU233" s="1494"/>
      <c r="FV233" s="1494"/>
      <c r="FW233" s="1494"/>
      <c r="FX233" s="1494"/>
      <c r="FY233" s="1494"/>
      <c r="FZ233" s="1494"/>
      <c r="GA233" s="1494"/>
      <c r="GB233" s="1494"/>
      <c r="GC233" s="1494"/>
      <c r="GD233" s="1494"/>
      <c r="GE233" s="1494"/>
      <c r="GF233" s="1494"/>
      <c r="GG233" s="1494"/>
      <c r="GH233" s="1494"/>
      <c r="GI233" s="1494"/>
      <c r="GJ233" s="1494"/>
      <c r="GK233" s="1494"/>
      <c r="GL233" s="1494"/>
      <c r="GM233" s="1494"/>
      <c r="GN233" s="1494"/>
      <c r="GO233" s="1494"/>
      <c r="GP233" s="1494"/>
      <c r="GQ233" s="1494"/>
      <c r="GR233" s="1494"/>
      <c r="GS233" s="1494"/>
      <c r="GT233" s="1494"/>
      <c r="GU233" s="1494"/>
      <c r="GV233" s="1494"/>
      <c r="GW233" s="1494"/>
      <c r="GX233" s="1494"/>
      <c r="GY233" s="1494"/>
      <c r="GZ233" s="1494"/>
      <c r="HA233" s="1494"/>
      <c r="HB233" s="1494"/>
      <c r="HC233" s="1494"/>
      <c r="HD233" s="1494"/>
      <c r="HE233" s="1494"/>
      <c r="HF233" s="1494"/>
      <c r="HG233" s="1494"/>
      <c r="HH233" s="1494"/>
      <c r="HI233" s="1494"/>
      <c r="HJ233" s="1494"/>
      <c r="HK233" s="1494"/>
      <c r="HL233" s="1494"/>
      <c r="HM233" s="1494"/>
      <c r="HN233" s="1494"/>
      <c r="HO233" s="1494"/>
      <c r="HP233" s="1494"/>
      <c r="HQ233" s="1494"/>
      <c r="HR233" s="1494"/>
      <c r="HS233" s="1494"/>
      <c r="HT233" s="1494"/>
      <c r="HU233" s="1494"/>
      <c r="HV233" s="1494"/>
      <c r="HW233" s="1494"/>
      <c r="HX233" s="1494"/>
      <c r="HY233" s="1494"/>
      <c r="HZ233" s="1494"/>
      <c r="IA233" s="1494"/>
      <c r="IB233" s="1494"/>
      <c r="IC233" s="1494"/>
      <c r="ID233" s="1494"/>
      <c r="IE233" s="1494"/>
      <c r="IF233" s="1494"/>
      <c r="IG233" s="1494"/>
      <c r="IH233" s="1494"/>
      <c r="II233" s="1494"/>
      <c r="IJ233" s="1494"/>
      <c r="IK233" s="1494"/>
      <c r="IL233" s="1494"/>
      <c r="IM233" s="1494"/>
      <c r="IN233" s="1494"/>
      <c r="IO233" s="49"/>
    </row>
    <row r="234" spans="1:249" s="5" customFormat="1" ht="25.5" customHeight="1">
      <c r="A234" s="54">
        <v>2</v>
      </c>
      <c r="B234" s="1514" t="s">
        <v>286</v>
      </c>
      <c r="C234" s="1515"/>
      <c r="D234" s="1515"/>
      <c r="E234" s="1515"/>
      <c r="F234" s="1515"/>
      <c r="G234" s="1516"/>
      <c r="H234" s="1564" t="s">
        <v>287</v>
      </c>
      <c r="I234" s="1565"/>
      <c r="J234" s="1565"/>
      <c r="K234" s="1565"/>
      <c r="L234" s="1566"/>
      <c r="M234" s="54" t="s">
        <v>245</v>
      </c>
      <c r="N234" s="55"/>
      <c r="O234" s="43"/>
      <c r="P234" s="43"/>
      <c r="Q234" s="126"/>
      <c r="R234" s="126"/>
      <c r="S234" s="126"/>
      <c r="T234" s="126"/>
      <c r="U234" s="126"/>
      <c r="V234" s="126"/>
      <c r="W234" s="126"/>
      <c r="X234" s="126"/>
      <c r="Y234" s="126"/>
      <c r="Z234" s="126"/>
      <c r="AA234" s="126"/>
      <c r="AB234" s="126"/>
      <c r="AC234" s="126"/>
      <c r="AD234" s="127"/>
      <c r="AE234" s="127"/>
      <c r="AF234" s="127"/>
    </row>
    <row r="235" spans="1:249" s="5" customFormat="1" ht="25.5" customHeight="1">
      <c r="A235" s="116">
        <v>3</v>
      </c>
      <c r="B235" s="1514" t="s">
        <v>288</v>
      </c>
      <c r="C235" s="1515"/>
      <c r="D235" s="1515"/>
      <c r="E235" s="1515"/>
      <c r="F235" s="1515"/>
      <c r="G235" s="1516"/>
      <c r="H235" s="1564" t="s">
        <v>285</v>
      </c>
      <c r="I235" s="1565"/>
      <c r="J235" s="1565"/>
      <c r="K235" s="1565"/>
      <c r="L235" s="1566"/>
      <c r="M235" s="54" t="s">
        <v>245</v>
      </c>
      <c r="N235" s="117"/>
      <c r="P235" s="4"/>
      <c r="Q235" s="126"/>
      <c r="R235" s="126"/>
      <c r="S235" s="126"/>
      <c r="T235" s="126"/>
      <c r="U235" s="126"/>
      <c r="V235" s="126"/>
      <c r="W235" s="126"/>
      <c r="X235" s="126"/>
      <c r="Y235" s="126"/>
      <c r="Z235" s="126"/>
      <c r="AA235" s="126"/>
      <c r="AB235" s="126"/>
      <c r="AC235" s="126"/>
      <c r="AD235" s="127"/>
      <c r="AE235" s="127"/>
      <c r="AF235" s="127"/>
    </row>
    <row r="236" spans="1:249" s="5" customFormat="1" ht="25.5" customHeight="1">
      <c r="A236" s="56">
        <v>4</v>
      </c>
      <c r="B236" s="1498" t="s">
        <v>289</v>
      </c>
      <c r="C236" s="1499"/>
      <c r="D236" s="1499"/>
      <c r="E236" s="1499"/>
      <c r="F236" s="1499"/>
      <c r="G236" s="1500"/>
      <c r="H236" s="1570" t="s">
        <v>285</v>
      </c>
      <c r="I236" s="1571"/>
      <c r="J236" s="1571"/>
      <c r="K236" s="1571"/>
      <c r="L236" s="1572"/>
      <c r="M236" s="56" t="s">
        <v>245</v>
      </c>
      <c r="N236" s="57"/>
      <c r="P236" s="4"/>
      <c r="Q236" s="126"/>
      <c r="R236" s="126"/>
      <c r="S236" s="126"/>
      <c r="T236" s="126"/>
      <c r="U236" s="126"/>
      <c r="V236" s="126"/>
      <c r="W236" s="126"/>
      <c r="X236" s="126"/>
      <c r="Y236" s="126"/>
      <c r="Z236" s="126"/>
      <c r="AA236" s="126"/>
      <c r="AB236" s="126"/>
      <c r="AC236" s="126"/>
      <c r="AD236" s="127"/>
      <c r="AE236" s="127"/>
      <c r="AF236" s="127"/>
    </row>
    <row r="237" spans="1:249" s="5" customFormat="1" ht="21.75" customHeight="1">
      <c r="A237" s="58"/>
      <c r="B237" s="59" t="s">
        <v>249</v>
      </c>
      <c r="C237" s="59"/>
      <c r="D237" s="59"/>
      <c r="E237" s="59"/>
      <c r="F237" s="60"/>
      <c r="G237" s="60"/>
      <c r="H237" s="1573" t="s">
        <v>176</v>
      </c>
      <c r="I237" s="1573"/>
      <c r="J237" s="1573"/>
      <c r="K237" s="1573"/>
      <c r="L237" s="60"/>
      <c r="M237" s="60"/>
      <c r="N237" s="60"/>
      <c r="P237" s="4"/>
      <c r="Q237" s="126"/>
      <c r="R237" s="126"/>
      <c r="S237" s="126"/>
      <c r="T237" s="126"/>
      <c r="U237" s="126"/>
      <c r="V237" s="126"/>
      <c r="W237" s="126"/>
      <c r="X237" s="126"/>
      <c r="Y237" s="126"/>
      <c r="Z237" s="126"/>
      <c r="AA237" s="126"/>
      <c r="AB237" s="126"/>
      <c r="AC237" s="126"/>
      <c r="AD237" s="127"/>
      <c r="AE237" s="127"/>
      <c r="AF237" s="127"/>
    </row>
    <row r="238" spans="1:249" s="5" customFormat="1" ht="21" customHeight="1">
      <c r="A238" s="31" t="s">
        <v>250</v>
      </c>
      <c r="B238" s="31"/>
      <c r="C238" s="31"/>
      <c r="D238" s="31"/>
      <c r="E238" s="61"/>
      <c r="F238" s="61"/>
      <c r="G238" s="61"/>
      <c r="H238" s="61"/>
      <c r="I238" s="61"/>
      <c r="J238" s="61"/>
      <c r="K238" s="61"/>
      <c r="L238" s="61"/>
      <c r="M238" s="61"/>
      <c r="N238" s="61"/>
      <c r="P238" s="4"/>
      <c r="Q238" s="129"/>
      <c r="R238" s="129"/>
      <c r="S238" s="129"/>
      <c r="T238" s="129"/>
      <c r="U238" s="127"/>
      <c r="V238" s="127"/>
      <c r="W238" s="127"/>
      <c r="X238" s="127"/>
      <c r="Y238" s="127"/>
      <c r="Z238" s="127"/>
      <c r="AA238" s="127"/>
      <c r="AB238" s="127"/>
      <c r="AC238" s="127"/>
      <c r="AD238" s="127"/>
      <c r="AE238" s="127"/>
      <c r="AF238" s="127"/>
    </row>
    <row r="239" spans="1:249" s="5" customFormat="1" ht="30.75" customHeight="1">
      <c r="A239" s="62"/>
      <c r="B239" s="60"/>
      <c r="C239" s="60"/>
      <c r="D239" s="1505" t="s">
        <v>251</v>
      </c>
      <c r="E239" s="1505"/>
      <c r="F239" s="1505"/>
      <c r="G239" s="1505"/>
      <c r="H239" s="1505"/>
      <c r="I239" s="1505"/>
      <c r="J239" s="1505"/>
      <c r="K239" s="1505"/>
      <c r="L239" s="1505"/>
      <c r="M239" s="1505"/>
      <c r="N239" s="1505"/>
      <c r="P239" s="4"/>
      <c r="Q239" s="129"/>
      <c r="R239" s="129"/>
      <c r="S239" s="129"/>
      <c r="T239" s="129"/>
      <c r="U239" s="127"/>
      <c r="V239" s="127"/>
      <c r="W239" s="127"/>
      <c r="X239" s="127"/>
      <c r="Y239" s="127"/>
      <c r="Z239" s="127"/>
      <c r="AA239" s="127"/>
      <c r="AB239" s="127"/>
      <c r="AC239" s="127"/>
      <c r="AD239" s="127"/>
      <c r="AE239" s="127"/>
      <c r="AF239" s="127"/>
    </row>
    <row r="240" spans="1:249" s="5" customFormat="1" ht="24" customHeight="1">
      <c r="A240" s="58"/>
      <c r="B240" s="1506"/>
      <c r="C240" s="1506"/>
      <c r="D240" s="1506"/>
      <c r="E240" s="1506"/>
      <c r="F240" s="1507"/>
      <c r="G240" s="1507"/>
      <c r="H240" s="1507"/>
      <c r="I240" s="1507"/>
      <c r="J240" s="1507"/>
      <c r="K240" s="1507"/>
      <c r="L240" s="1507"/>
      <c r="M240" s="50"/>
      <c r="N240" s="50"/>
      <c r="P240" s="4"/>
      <c r="Q240" s="129"/>
      <c r="R240" s="129"/>
      <c r="S240" s="129"/>
      <c r="T240" s="129"/>
      <c r="U240" s="127"/>
      <c r="V240" s="127"/>
      <c r="W240" s="127"/>
      <c r="X240" s="127"/>
      <c r="Y240" s="127"/>
      <c r="Z240" s="127"/>
      <c r="AA240" s="127"/>
      <c r="AB240" s="127"/>
      <c r="AC240" s="127"/>
      <c r="AD240" s="127"/>
      <c r="AE240" s="127"/>
      <c r="AF240" s="127"/>
    </row>
    <row r="241" spans="1:32" s="5" customFormat="1" ht="35.25" customHeight="1">
      <c r="A241" s="1496" t="s">
        <v>252</v>
      </c>
      <c r="B241" s="1496"/>
      <c r="C241" s="1496"/>
      <c r="D241" s="1496"/>
      <c r="E241" s="1496"/>
      <c r="F241" s="1496" t="s">
        <v>253</v>
      </c>
      <c r="G241" s="1496"/>
      <c r="H241" s="1496"/>
      <c r="I241" s="1496"/>
      <c r="J241" s="1496"/>
      <c r="K241" s="1496"/>
      <c r="L241" s="1496"/>
      <c r="M241" s="1496"/>
      <c r="N241" s="1496"/>
      <c r="P241" s="4"/>
      <c r="Q241" s="129"/>
      <c r="R241" s="129"/>
      <c r="S241" s="129"/>
      <c r="T241" s="129"/>
      <c r="U241" s="127"/>
      <c r="V241" s="127"/>
      <c r="W241" s="127"/>
      <c r="X241" s="127"/>
      <c r="Y241" s="127"/>
      <c r="Z241" s="127"/>
      <c r="AA241" s="127"/>
      <c r="AB241" s="127"/>
      <c r="AC241" s="127"/>
      <c r="AD241" s="127"/>
      <c r="AE241" s="127"/>
      <c r="AF241" s="127"/>
    </row>
    <row r="242" spans="1:32" s="5" customFormat="1" ht="25.5" customHeight="1">
      <c r="A242" s="64"/>
      <c r="B242" s="64"/>
      <c r="C242" s="64"/>
      <c r="D242" s="64"/>
      <c r="E242" s="64"/>
      <c r="F242" s="1496" t="str">
        <f>$T$30</f>
        <v>Công ty TNHH MTV HANTECH</v>
      </c>
      <c r="G242" s="1496"/>
      <c r="H242" s="1496"/>
      <c r="I242" s="1496"/>
      <c r="J242" s="1496"/>
      <c r="K242" s="1496"/>
      <c r="L242" s="1496" t="str">
        <f>$T$32</f>
        <v>Chỉ huy trưởng công trường</v>
      </c>
      <c r="M242" s="1496"/>
      <c r="N242" s="1496"/>
      <c r="P242" s="4"/>
      <c r="Q242" s="129"/>
      <c r="R242" s="129"/>
      <c r="S242" s="129"/>
      <c r="T242" s="129"/>
      <c r="U242" s="127"/>
      <c r="V242" s="127"/>
      <c r="W242" s="127"/>
      <c r="X242" s="127"/>
      <c r="Y242" s="127"/>
      <c r="Z242" s="127"/>
      <c r="AA242" s="127"/>
      <c r="AB242" s="127"/>
      <c r="AC242" s="127"/>
      <c r="AD242" s="127"/>
      <c r="AE242" s="127"/>
      <c r="AF242" s="127"/>
    </row>
    <row r="243" spans="1:32" s="5" customFormat="1" ht="21" customHeight="1">
      <c r="A243" s="64"/>
      <c r="B243" s="64"/>
      <c r="C243" s="64"/>
      <c r="D243" s="64"/>
      <c r="E243" s="64"/>
      <c r="F243" s="64"/>
      <c r="G243" s="64"/>
      <c r="H243" s="64"/>
      <c r="I243" s="64"/>
      <c r="J243" s="64"/>
      <c r="K243" s="64"/>
      <c r="L243" s="64"/>
      <c r="M243" s="64"/>
      <c r="N243" s="64"/>
      <c r="P243" s="4"/>
      <c r="Q243" s="129"/>
      <c r="R243" s="129"/>
      <c r="S243" s="129"/>
      <c r="T243" s="129"/>
      <c r="U243" s="127"/>
      <c r="V243" s="127"/>
      <c r="W243" s="127"/>
      <c r="X243" s="127"/>
      <c r="Y243" s="127"/>
      <c r="Z243" s="127"/>
      <c r="AA243" s="127"/>
      <c r="AB243" s="127"/>
      <c r="AC243" s="127"/>
      <c r="AD243" s="127"/>
      <c r="AE243" s="127"/>
      <c r="AF243" s="127"/>
    </row>
    <row r="244" spans="1:32" s="5" customFormat="1" ht="24" customHeight="1">
      <c r="A244" s="66"/>
      <c r="B244"/>
      <c r="C244"/>
      <c r="D244"/>
      <c r="E244"/>
      <c r="F244" s="67"/>
      <c r="G244" s="68"/>
      <c r="H244" s="69"/>
      <c r="I244" s="69"/>
      <c r="J244" s="69"/>
      <c r="K244" s="69"/>
      <c r="L244" s="69"/>
      <c r="M244" s="69"/>
      <c r="N244" s="43"/>
      <c r="O244" s="63"/>
      <c r="P244" s="63"/>
      <c r="Q244" s="129"/>
      <c r="R244" s="129"/>
      <c r="S244" s="129"/>
      <c r="T244" s="129"/>
      <c r="U244" s="127"/>
      <c r="V244" s="127"/>
      <c r="W244" s="127"/>
      <c r="X244" s="127"/>
      <c r="Y244" s="127"/>
      <c r="Z244" s="127"/>
      <c r="AA244" s="127"/>
      <c r="AB244" s="127"/>
      <c r="AC244" s="127"/>
      <c r="AD244" s="127"/>
      <c r="AE244" s="127"/>
      <c r="AF244" s="127"/>
    </row>
    <row r="245" spans="1:32" s="5" customFormat="1" ht="17.25">
      <c r="A245" s="12"/>
      <c r="B245" s="12"/>
      <c r="C245" s="12"/>
      <c r="D245" s="12"/>
      <c r="E245" s="12"/>
      <c r="F245" s="12"/>
      <c r="G245" s="12"/>
      <c r="H245" s="12"/>
      <c r="I245" s="7"/>
      <c r="J245" s="7"/>
      <c r="K245" s="7"/>
      <c r="L245" s="7"/>
      <c r="M245" s="2"/>
      <c r="N245" s="2"/>
      <c r="O245"/>
      <c r="P245"/>
      <c r="Q245" s="129"/>
      <c r="R245" s="129"/>
      <c r="S245" s="129"/>
      <c r="T245" s="129"/>
      <c r="U245" s="127"/>
      <c r="V245" s="127"/>
      <c r="W245" s="127"/>
      <c r="X245" s="127"/>
      <c r="Y245" s="127"/>
      <c r="Z245" s="127"/>
      <c r="AA245" s="127"/>
      <c r="AB245" s="127"/>
      <c r="AC245" s="127"/>
      <c r="AD245" s="127"/>
      <c r="AE245" s="127"/>
      <c r="AF245" s="127"/>
    </row>
    <row r="246" spans="1:32" s="63" customFormat="1" ht="29.25" customHeight="1">
      <c r="A246" s="1497" t="str">
        <f>$E$16</f>
        <v>Nguyễn Mạnh Hùng</v>
      </c>
      <c r="B246" s="1497"/>
      <c r="C246" s="1497"/>
      <c r="D246" s="1497"/>
      <c r="E246" s="1497"/>
      <c r="F246" s="1497" t="str">
        <f>E210</f>
        <v>CÔNG TY TNHH MTV HANTECH</v>
      </c>
      <c r="G246" s="1497"/>
      <c r="H246" s="1497"/>
      <c r="I246" s="1497"/>
      <c r="J246" s="1497"/>
      <c r="K246" s="1497"/>
      <c r="L246" s="1497" t="str">
        <f>$E$19</f>
        <v>Ngô Văn Khánh</v>
      </c>
      <c r="M246" s="1497"/>
      <c r="N246" s="1497"/>
      <c r="O246"/>
      <c r="P246"/>
      <c r="Q246" s="65"/>
      <c r="R246" s="65"/>
      <c r="S246" s="65"/>
      <c r="T246" s="65"/>
    </row>
    <row r="247" spans="1:32" ht="23.25" customHeight="1">
      <c r="A247" s="1535"/>
      <c r="B247" s="1535"/>
      <c r="C247" s="1535"/>
      <c r="D247" s="1535"/>
      <c r="E247" s="1535"/>
      <c r="F247" s="71"/>
      <c r="G247" s="71"/>
      <c r="H247" s="71"/>
      <c r="I247" s="71"/>
      <c r="J247" s="71"/>
      <c r="K247" s="71"/>
      <c r="L247" s="71"/>
      <c r="M247" s="71"/>
      <c r="N247" s="71"/>
    </row>
    <row r="248" spans="1:32" ht="23.25" customHeight="1">
      <c r="A248" s="58"/>
      <c r="B248" s="1531"/>
      <c r="C248" s="1531"/>
      <c r="D248" s="1531"/>
      <c r="E248" s="1531"/>
      <c r="F248" s="1532"/>
      <c r="G248" s="1532"/>
      <c r="H248" s="1532"/>
      <c r="I248" s="1532"/>
      <c r="J248" s="1532"/>
      <c r="K248" s="1532"/>
      <c r="L248" s="1532"/>
      <c r="M248" s="50"/>
      <c r="N248" s="50"/>
      <c r="O248" s="7"/>
      <c r="P248" s="7"/>
    </row>
    <row r="249" spans="1:32" ht="17.25" customHeight="1">
      <c r="A249" s="58"/>
      <c r="B249" s="1531"/>
      <c r="C249" s="1531"/>
      <c r="D249" s="1531"/>
      <c r="E249" s="1531"/>
      <c r="F249" s="1532"/>
      <c r="G249" s="1532"/>
      <c r="H249" s="1532"/>
      <c r="I249" s="1532"/>
      <c r="J249" s="1532"/>
      <c r="K249" s="1532"/>
      <c r="L249" s="1532"/>
      <c r="M249" s="50"/>
      <c r="N249" s="50"/>
      <c r="O249" s="70"/>
      <c r="P249" s="70"/>
    </row>
    <row r="250" spans="1:32" s="7" customFormat="1" ht="19.5" customHeight="1">
      <c r="A250" s="58"/>
      <c r="B250" s="74"/>
      <c r="C250" s="74"/>
      <c r="D250" s="74"/>
      <c r="E250" s="74"/>
      <c r="F250" s="75"/>
      <c r="G250" s="75"/>
      <c r="H250" s="75"/>
      <c r="I250" s="75"/>
      <c r="J250" s="75"/>
      <c r="K250" s="75"/>
      <c r="L250" s="75"/>
      <c r="M250" s="50"/>
      <c r="N250" s="50"/>
      <c r="O250" s="72"/>
      <c r="P250" s="73"/>
      <c r="Q250" s="11"/>
      <c r="R250" s="11"/>
      <c r="S250" s="11"/>
      <c r="T250" s="11"/>
    </row>
    <row r="251" spans="1:32" s="70" customFormat="1" ht="20.100000000000001" customHeight="1">
      <c r="A251" s="58"/>
      <c r="B251" s="74"/>
      <c r="C251" s="74"/>
      <c r="D251" s="74"/>
      <c r="E251" s="74"/>
      <c r="F251" s="75"/>
      <c r="G251" s="75"/>
      <c r="H251" s="75"/>
      <c r="I251" s="75"/>
      <c r="J251" s="75"/>
      <c r="K251" s="75"/>
      <c r="L251" s="75"/>
      <c r="M251" s="50"/>
      <c r="N251" s="50"/>
      <c r="O251" s="5"/>
      <c r="P251" s="4"/>
      <c r="Q251" s="76"/>
      <c r="R251" s="76"/>
      <c r="S251" s="76"/>
      <c r="T251" s="76"/>
    </row>
    <row r="252" spans="1:32" s="72" customFormat="1" ht="16.5" customHeight="1">
      <c r="A252" s="58"/>
      <c r="B252" s="74"/>
      <c r="C252" s="74"/>
      <c r="D252" s="74"/>
      <c r="E252" s="74"/>
      <c r="F252" s="75"/>
      <c r="G252" s="75"/>
      <c r="H252" s="75"/>
      <c r="I252" s="75"/>
      <c r="J252" s="75"/>
      <c r="K252" s="75"/>
      <c r="L252" s="75"/>
      <c r="M252" s="50"/>
      <c r="N252" s="50"/>
      <c r="O252" s="5"/>
      <c r="P252" s="4"/>
      <c r="Q252" s="77"/>
      <c r="R252" s="77"/>
      <c r="S252" s="77"/>
      <c r="T252" s="77"/>
    </row>
    <row r="253" spans="1:32" s="5" customFormat="1" ht="16.5" customHeight="1">
      <c r="A253" s="58"/>
      <c r="B253" s="74"/>
      <c r="C253" s="74"/>
      <c r="D253" s="74"/>
      <c r="E253" s="74"/>
      <c r="F253" s="75"/>
      <c r="G253" s="75"/>
      <c r="H253" s="75"/>
      <c r="I253" s="75"/>
      <c r="J253" s="75"/>
      <c r="K253" s="75"/>
      <c r="L253" s="75"/>
      <c r="M253" s="50"/>
      <c r="N253" s="50"/>
      <c r="P253" s="4"/>
      <c r="Q253" s="129"/>
      <c r="R253" s="129"/>
      <c r="S253" s="129"/>
      <c r="T253" s="129"/>
      <c r="U253" s="127"/>
      <c r="V253" s="127"/>
      <c r="W253" s="127"/>
      <c r="X253" s="127"/>
      <c r="Y253" s="127"/>
      <c r="Z253" s="127"/>
      <c r="AA253" s="127"/>
      <c r="AB253" s="127"/>
      <c r="AC253" s="127"/>
      <c r="AD253" s="127"/>
      <c r="AE253" s="127"/>
      <c r="AF253" s="127"/>
    </row>
    <row r="254" spans="1:32" s="5" customFormat="1" ht="16.5" customHeight="1">
      <c r="A254" s="58"/>
      <c r="B254" s="74"/>
      <c r="C254" s="74"/>
      <c r="D254" s="74"/>
      <c r="E254" s="74"/>
      <c r="F254" s="75"/>
      <c r="G254" s="75"/>
      <c r="H254" s="75"/>
      <c r="I254" s="75"/>
      <c r="J254" s="75"/>
      <c r="K254" s="75"/>
      <c r="L254" s="75"/>
      <c r="M254" s="50"/>
      <c r="N254" s="50"/>
      <c r="P254" s="4"/>
      <c r="Q254" s="129"/>
      <c r="R254" s="129"/>
      <c r="S254" s="129"/>
      <c r="T254" s="129"/>
      <c r="U254" s="127"/>
      <c r="V254" s="127"/>
      <c r="W254" s="127"/>
      <c r="X254" s="127"/>
      <c r="Y254" s="127"/>
      <c r="Z254" s="127"/>
      <c r="AA254" s="127"/>
      <c r="AB254" s="127"/>
      <c r="AC254" s="127"/>
      <c r="AD254" s="127"/>
      <c r="AE254" s="127"/>
      <c r="AF254" s="127"/>
    </row>
    <row r="255" spans="1:32" s="5" customFormat="1" ht="16.5" customHeight="1">
      <c r="A255" s="58"/>
      <c r="B255" s="74"/>
      <c r="C255" s="74"/>
      <c r="D255" s="74"/>
      <c r="E255" s="74"/>
      <c r="F255" s="75"/>
      <c r="G255" s="75"/>
      <c r="H255" s="75"/>
      <c r="I255" s="75"/>
      <c r="J255" s="75"/>
      <c r="K255" s="75"/>
      <c r="L255" s="75"/>
      <c r="M255" s="50"/>
      <c r="N255" s="50"/>
      <c r="P255" s="4"/>
      <c r="Q255" s="129"/>
      <c r="R255" s="129"/>
      <c r="S255" s="129"/>
      <c r="T255" s="129"/>
      <c r="U255" s="127"/>
      <c r="V255" s="127"/>
      <c r="W255" s="127"/>
      <c r="X255" s="127"/>
      <c r="Y255" s="127"/>
      <c r="Z255" s="127"/>
      <c r="AA255" s="127"/>
      <c r="AB255" s="127"/>
      <c r="AC255" s="127"/>
      <c r="AD255" s="127"/>
      <c r="AE255" s="127"/>
      <c r="AF255" s="127"/>
    </row>
    <row r="256" spans="1:32" s="5" customFormat="1" ht="16.5" customHeight="1">
      <c r="A256" s="58"/>
      <c r="B256" s="74"/>
      <c r="C256" s="74"/>
      <c r="D256" s="74"/>
      <c r="E256" s="74"/>
      <c r="F256" s="75"/>
      <c r="G256" s="75"/>
      <c r="H256" s="75"/>
      <c r="I256" s="75"/>
      <c r="J256" s="75"/>
      <c r="K256" s="75"/>
      <c r="L256" s="75"/>
      <c r="M256" s="50"/>
      <c r="N256" s="50"/>
      <c r="P256" s="4"/>
      <c r="Q256" s="129"/>
      <c r="R256" s="129"/>
      <c r="S256" s="129"/>
      <c r="T256" s="129"/>
      <c r="U256" s="127"/>
      <c r="V256" s="127"/>
      <c r="W256" s="127"/>
      <c r="X256" s="127"/>
      <c r="Y256" s="127"/>
      <c r="Z256" s="127"/>
      <c r="AA256" s="127"/>
      <c r="AB256" s="127"/>
      <c r="AC256" s="127"/>
      <c r="AD256" s="127"/>
      <c r="AE256" s="127"/>
      <c r="AF256" s="127"/>
    </row>
    <row r="257" spans="1:32" s="5" customFormat="1" ht="16.5" customHeight="1">
      <c r="A257" s="58"/>
      <c r="B257" s="74"/>
      <c r="C257" s="74"/>
      <c r="D257" s="74"/>
      <c r="E257" s="74"/>
      <c r="F257" s="75"/>
      <c r="G257" s="75"/>
      <c r="H257" s="75"/>
      <c r="I257" s="75"/>
      <c r="J257" s="75"/>
      <c r="K257" s="75"/>
      <c r="L257" s="75"/>
      <c r="M257" s="50"/>
      <c r="N257" s="50"/>
      <c r="P257" s="4"/>
      <c r="Q257" s="129"/>
      <c r="R257" s="129"/>
      <c r="S257" s="129"/>
      <c r="T257" s="129"/>
      <c r="U257" s="127"/>
      <c r="V257" s="127"/>
      <c r="W257" s="127"/>
      <c r="X257" s="127"/>
      <c r="Y257" s="127"/>
      <c r="Z257" s="127"/>
      <c r="AA257" s="127"/>
      <c r="AB257" s="127"/>
      <c r="AC257" s="127"/>
      <c r="AD257" s="127"/>
      <c r="AE257" s="127"/>
      <c r="AF257" s="127"/>
    </row>
    <row r="258" spans="1:32" s="5" customFormat="1" ht="16.5" customHeight="1">
      <c r="A258" s="58"/>
      <c r="B258" s="1531"/>
      <c r="C258" s="1531"/>
      <c r="D258" s="1531"/>
      <c r="E258" s="1531"/>
      <c r="F258" s="1532"/>
      <c r="G258" s="1532"/>
      <c r="H258" s="1532"/>
      <c r="I258" s="1532"/>
      <c r="J258" s="1532"/>
      <c r="K258" s="1532"/>
      <c r="L258" s="1532"/>
      <c r="M258" s="50"/>
      <c r="N258" s="50"/>
      <c r="P258" s="4"/>
      <c r="Q258" s="129"/>
      <c r="R258" s="129"/>
      <c r="S258" s="129"/>
      <c r="T258" s="129"/>
      <c r="U258" s="127"/>
      <c r="V258" s="127"/>
      <c r="W258" s="127"/>
      <c r="X258" s="127"/>
      <c r="Y258" s="127"/>
      <c r="Z258" s="127"/>
      <c r="AA258" s="127"/>
      <c r="AB258" s="127"/>
      <c r="AC258" s="127"/>
      <c r="AD258" s="127"/>
      <c r="AE258" s="127"/>
      <c r="AF258" s="127"/>
    </row>
    <row r="259" spans="1:32" s="5" customFormat="1" ht="16.5" customHeight="1">
      <c r="A259" s="1534"/>
      <c r="B259" s="1534"/>
      <c r="C259" s="1534"/>
      <c r="D259" s="1534"/>
      <c r="E259" s="1534"/>
      <c r="F259" s="1534"/>
      <c r="G259" s="1534"/>
      <c r="H259" s="1534"/>
      <c r="I259" s="1534"/>
      <c r="J259" s="1534"/>
      <c r="K259" s="1534"/>
      <c r="L259" s="1534"/>
      <c r="M259" s="1534"/>
      <c r="N259" s="1534"/>
      <c r="P259" s="4"/>
      <c r="Q259" s="129"/>
      <c r="R259" s="129"/>
      <c r="S259" s="129"/>
      <c r="T259" s="129"/>
      <c r="U259" s="127"/>
      <c r="V259" s="127"/>
      <c r="W259" s="127"/>
      <c r="X259" s="127"/>
      <c r="Y259" s="127"/>
      <c r="Z259" s="127"/>
      <c r="AA259" s="127"/>
      <c r="AB259" s="127"/>
      <c r="AC259" s="127"/>
      <c r="AD259" s="127"/>
      <c r="AE259" s="127"/>
      <c r="AF259" s="127"/>
    </row>
    <row r="260" spans="1:32" s="5" customFormat="1" ht="16.5" customHeight="1">
      <c r="A260" s="58"/>
      <c r="B260" s="1531"/>
      <c r="C260" s="1531"/>
      <c r="D260" s="1531"/>
      <c r="E260" s="1531"/>
      <c r="F260" s="1532"/>
      <c r="G260" s="1532"/>
      <c r="H260" s="1532"/>
      <c r="I260" s="1532"/>
      <c r="J260" s="1532"/>
      <c r="K260" s="1532"/>
      <c r="L260" s="1532"/>
      <c r="M260" s="50"/>
      <c r="N260" s="50"/>
      <c r="P260" s="4"/>
      <c r="Q260" s="129"/>
      <c r="R260" s="129"/>
      <c r="S260" s="129"/>
      <c r="T260" s="129"/>
      <c r="U260" s="127"/>
      <c r="V260" s="127"/>
      <c r="W260" s="127"/>
      <c r="X260" s="127"/>
      <c r="Y260" s="127"/>
      <c r="Z260" s="127"/>
      <c r="AA260" s="127"/>
      <c r="AB260" s="127"/>
      <c r="AC260" s="127"/>
      <c r="AD260" s="127"/>
      <c r="AE260" s="127"/>
      <c r="AF260" s="127"/>
    </row>
    <row r="261" spans="1:32" s="5" customFormat="1" ht="16.5" customHeight="1">
      <c r="I261" s="64"/>
      <c r="J261" s="64"/>
      <c r="K261" s="64"/>
      <c r="L261" s="64"/>
      <c r="M261" s="64"/>
      <c r="N261" s="64"/>
      <c r="P261" s="4"/>
      <c r="Q261" s="129"/>
      <c r="R261" s="129"/>
      <c r="S261" s="129"/>
      <c r="T261" s="129"/>
      <c r="U261" s="127"/>
      <c r="V261" s="127"/>
      <c r="W261" s="127"/>
      <c r="X261" s="127"/>
      <c r="Y261" s="127"/>
      <c r="Z261" s="127"/>
      <c r="AA261" s="127"/>
      <c r="AB261" s="127"/>
      <c r="AC261" s="127"/>
      <c r="AD261" s="127"/>
      <c r="AE261" s="127"/>
      <c r="AF261" s="127"/>
    </row>
    <row r="262" spans="1:32" s="5" customFormat="1" ht="16.5" customHeight="1">
      <c r="A262" s="58"/>
      <c r="B262" s="58"/>
      <c r="C262" s="78"/>
      <c r="D262" s="78"/>
      <c r="E262" s="74"/>
      <c r="F262" s="50"/>
      <c r="G262" s="50"/>
      <c r="H262" s="50"/>
      <c r="I262" s="50"/>
      <c r="J262" s="50"/>
      <c r="K262" s="50"/>
      <c r="L262" s="50"/>
      <c r="M262" s="50"/>
      <c r="N262" s="50"/>
      <c r="P262" s="4"/>
      <c r="Q262" s="129"/>
      <c r="R262" s="129"/>
      <c r="S262" s="129"/>
      <c r="T262" s="129"/>
      <c r="U262" s="127"/>
      <c r="V262" s="127"/>
      <c r="W262" s="127"/>
      <c r="X262" s="127"/>
      <c r="Y262" s="127"/>
      <c r="Z262" s="127"/>
      <c r="AA262" s="127"/>
      <c r="AB262" s="127"/>
      <c r="AC262" s="127"/>
      <c r="AD262" s="127"/>
      <c r="AE262" s="127"/>
      <c r="AF262" s="127"/>
    </row>
    <row r="263" spans="1:32" s="5" customFormat="1" ht="19.5" customHeight="1">
      <c r="A263" s="58"/>
      <c r="B263" s="58"/>
      <c r="C263" s="78"/>
      <c r="D263" s="78"/>
      <c r="E263" s="74"/>
      <c r="F263" s="50"/>
      <c r="G263" s="50"/>
      <c r="H263" s="50"/>
      <c r="I263" s="50"/>
      <c r="J263" s="50"/>
      <c r="K263" s="50"/>
      <c r="L263" s="50"/>
      <c r="M263" s="50"/>
      <c r="N263" s="50"/>
      <c r="P263" s="4"/>
      <c r="Q263" s="129"/>
      <c r="R263" s="129"/>
      <c r="S263" s="129"/>
      <c r="T263" s="129"/>
      <c r="U263" s="127"/>
      <c r="V263" s="127"/>
      <c r="W263" s="127"/>
      <c r="X263" s="127"/>
      <c r="Y263" s="127"/>
      <c r="Z263" s="127"/>
      <c r="AA263" s="127"/>
      <c r="AB263" s="127"/>
      <c r="AC263" s="127"/>
      <c r="AD263" s="127"/>
      <c r="AE263" s="127"/>
      <c r="AF263" s="127"/>
    </row>
    <row r="264" spans="1:32" s="5" customFormat="1" ht="15" customHeight="1">
      <c r="A264" s="58"/>
      <c r="B264" s="58"/>
      <c r="C264" s="78"/>
      <c r="D264" s="78"/>
      <c r="E264" s="74"/>
      <c r="F264" s="50"/>
      <c r="G264" s="50"/>
      <c r="H264" s="50"/>
      <c r="I264" s="50"/>
      <c r="J264" s="50"/>
      <c r="K264" s="50"/>
      <c r="L264" s="50"/>
      <c r="M264" s="50"/>
      <c r="N264" s="50"/>
      <c r="O264" s="64"/>
      <c r="P264" s="64"/>
      <c r="Q264" s="129"/>
      <c r="R264" s="129"/>
      <c r="S264" s="129"/>
      <c r="T264" s="129"/>
      <c r="U264" s="127"/>
      <c r="V264" s="127"/>
      <c r="W264" s="127"/>
      <c r="X264" s="127"/>
      <c r="Y264" s="127"/>
      <c r="Z264" s="127"/>
      <c r="AA264" s="127"/>
      <c r="AB264" s="127"/>
      <c r="AC264" s="127"/>
      <c r="AD264" s="127"/>
      <c r="AE264" s="127"/>
      <c r="AF264" s="127"/>
    </row>
    <row r="265" spans="1:32" s="5" customFormat="1" ht="24" customHeight="1">
      <c r="A265" s="58"/>
      <c r="B265" s="58"/>
      <c r="C265" s="78"/>
      <c r="D265" s="78"/>
      <c r="E265" s="74"/>
      <c r="F265" s="50"/>
      <c r="G265" s="50"/>
      <c r="H265" s="50"/>
      <c r="I265" s="50"/>
      <c r="J265" s="50"/>
      <c r="K265" s="50"/>
      <c r="L265" s="50"/>
      <c r="M265" s="50"/>
      <c r="N265" s="50"/>
      <c r="P265" s="4"/>
      <c r="Q265" s="129"/>
      <c r="R265" s="129"/>
      <c r="S265" s="129"/>
      <c r="T265" s="129"/>
      <c r="U265" s="127"/>
      <c r="V265" s="127"/>
      <c r="W265" s="127"/>
      <c r="X265" s="127"/>
      <c r="Y265" s="127"/>
      <c r="Z265" s="127"/>
      <c r="AA265" s="127"/>
      <c r="AB265" s="127"/>
      <c r="AC265" s="127"/>
      <c r="AD265" s="127"/>
      <c r="AE265" s="127"/>
      <c r="AF265" s="127"/>
    </row>
    <row r="266" spans="1:32" s="5" customFormat="1" ht="16.5" customHeight="1">
      <c r="A266" s="58"/>
      <c r="B266" s="58"/>
      <c r="C266" s="78"/>
      <c r="D266" s="78"/>
      <c r="E266" s="74"/>
      <c r="F266" s="50"/>
      <c r="G266" s="50"/>
      <c r="H266" s="50"/>
      <c r="I266" s="50"/>
      <c r="J266" s="50"/>
      <c r="K266" s="50"/>
      <c r="L266" s="50"/>
      <c r="M266" s="50"/>
      <c r="N266" s="50"/>
      <c r="P266" s="4"/>
      <c r="Q266" s="129"/>
      <c r="R266" s="129"/>
      <c r="S266" s="129"/>
      <c r="T266" s="129"/>
      <c r="U266" s="127"/>
      <c r="V266" s="127"/>
      <c r="W266" s="127"/>
      <c r="X266" s="127"/>
      <c r="Y266" s="127"/>
      <c r="Z266" s="127"/>
      <c r="AA266" s="127"/>
      <c r="AB266" s="127"/>
      <c r="AC266" s="127"/>
      <c r="AD266" s="127"/>
      <c r="AE266" s="127"/>
      <c r="AF266" s="127"/>
    </row>
    <row r="267" spans="1:32" s="5" customFormat="1" ht="16.5" customHeight="1">
      <c r="A267" s="58"/>
      <c r="B267" s="58"/>
      <c r="C267" s="78"/>
      <c r="D267" s="78"/>
      <c r="E267" s="74"/>
      <c r="F267" s="50"/>
      <c r="G267" s="50"/>
      <c r="H267" s="50"/>
      <c r="I267" s="50"/>
      <c r="J267" s="50"/>
      <c r="K267" s="50"/>
      <c r="L267" s="50"/>
      <c r="M267" s="50"/>
      <c r="N267" s="50"/>
      <c r="P267" s="4"/>
      <c r="Q267" s="129"/>
      <c r="R267" s="129"/>
      <c r="S267" s="129"/>
      <c r="T267" s="129"/>
      <c r="U267" s="127"/>
      <c r="V267" s="127"/>
      <c r="W267" s="127"/>
      <c r="X267" s="127"/>
      <c r="Y267" s="127"/>
      <c r="Z267" s="127"/>
      <c r="AA267" s="127"/>
      <c r="AB267" s="127"/>
      <c r="AC267" s="127"/>
      <c r="AD267" s="127"/>
      <c r="AE267" s="127"/>
      <c r="AF267" s="127"/>
    </row>
    <row r="268" spans="1:32" s="5" customFormat="1" ht="16.5" customHeight="1">
      <c r="A268" s="58"/>
      <c r="B268" s="58"/>
      <c r="C268" s="78"/>
      <c r="D268" s="78"/>
      <c r="E268" s="74"/>
      <c r="F268" s="50"/>
      <c r="G268" s="50"/>
      <c r="H268" s="50"/>
      <c r="I268" s="50"/>
      <c r="J268" s="50"/>
      <c r="K268" s="50"/>
      <c r="L268" s="50"/>
      <c r="M268" s="50"/>
      <c r="N268" s="50"/>
      <c r="P268" s="4"/>
      <c r="Q268" s="129"/>
      <c r="R268" s="129"/>
      <c r="S268" s="129"/>
      <c r="T268" s="129"/>
      <c r="U268" s="127"/>
      <c r="V268" s="127"/>
      <c r="W268" s="127"/>
      <c r="X268" s="127"/>
      <c r="Y268" s="127"/>
      <c r="Z268" s="127"/>
      <c r="AA268" s="127"/>
      <c r="AB268" s="127"/>
      <c r="AC268" s="127"/>
      <c r="AD268" s="127"/>
      <c r="AE268" s="127"/>
      <c r="AF268" s="127"/>
    </row>
    <row r="269" spans="1:32" s="5" customFormat="1" ht="16.5" customHeight="1">
      <c r="A269" s="1535" t="str">
        <f>$A$1</f>
        <v>.....................................</v>
      </c>
      <c r="B269" s="1535"/>
      <c r="C269" s="1535"/>
      <c r="D269" s="1535"/>
      <c r="E269" s="1535"/>
      <c r="F269" s="1535"/>
      <c r="G269" s="1535" t="s">
        <v>199</v>
      </c>
      <c r="H269" s="1535"/>
      <c r="I269" s="1535"/>
      <c r="J269" s="1535"/>
      <c r="K269" s="1535"/>
      <c r="L269" s="1535"/>
      <c r="M269" s="1535"/>
      <c r="N269" s="1535"/>
      <c r="P269" s="4"/>
      <c r="Q269" s="129"/>
      <c r="R269" s="129"/>
      <c r="S269" s="129"/>
      <c r="T269" s="129"/>
      <c r="U269" s="127"/>
      <c r="V269" s="127"/>
      <c r="W269" s="127"/>
      <c r="X269" s="127"/>
      <c r="Y269" s="127"/>
      <c r="Z269" s="127"/>
      <c r="AA269" s="127"/>
      <c r="AB269" s="127"/>
      <c r="AC269" s="127"/>
      <c r="AD269" s="127"/>
      <c r="AE269" s="127"/>
      <c r="AF269" s="127"/>
    </row>
    <row r="270" spans="1:32" s="5" customFormat="1" ht="16.5" customHeight="1">
      <c r="A270" s="1535"/>
      <c r="B270" s="1535"/>
      <c r="C270" s="1535"/>
      <c r="D270" s="1535"/>
      <c r="E270" s="1535"/>
      <c r="F270" s="1535"/>
      <c r="G270" s="1536" t="s">
        <v>254</v>
      </c>
      <c r="H270" s="1536"/>
      <c r="I270" s="1536"/>
      <c r="J270" s="1536"/>
      <c r="K270" s="1536"/>
      <c r="L270" s="1536"/>
      <c r="M270" s="1536"/>
      <c r="N270" s="1536"/>
      <c r="P270" s="4"/>
      <c r="Q270" s="129"/>
      <c r="R270" s="129"/>
      <c r="S270" s="129"/>
      <c r="T270" s="129"/>
      <c r="U270" s="127"/>
      <c r="V270" s="127"/>
      <c r="W270" s="127"/>
      <c r="X270" s="127"/>
      <c r="Y270" s="127"/>
      <c r="Z270" s="127"/>
      <c r="AA270" s="127"/>
      <c r="AB270" s="127"/>
      <c r="AC270" s="127"/>
      <c r="AD270" s="127"/>
      <c r="AE270" s="127"/>
      <c r="AF270" s="127"/>
    </row>
    <row r="271" spans="1:32" s="5" customFormat="1" ht="16.5" customHeight="1">
      <c r="A271" s="1535"/>
      <c r="B271" s="1535"/>
      <c r="C271" s="1535"/>
      <c r="D271" s="1535"/>
      <c r="E271" s="1535"/>
      <c r="F271" s="1535"/>
      <c r="G271" s="79"/>
      <c r="H271" s="79"/>
      <c r="I271" s="79"/>
      <c r="J271" s="1537">
        <f>I195</f>
        <v>42466</v>
      </c>
      <c r="K271" s="1537"/>
      <c r="L271" s="1537"/>
      <c r="M271" s="1537"/>
      <c r="N271" s="1537"/>
      <c r="P271" s="4"/>
      <c r="Q271" s="129"/>
      <c r="R271" s="129"/>
      <c r="S271" s="129"/>
      <c r="T271" s="129"/>
      <c r="U271" s="127"/>
      <c r="V271" s="127"/>
      <c r="W271" s="127"/>
      <c r="X271" s="127"/>
      <c r="Y271" s="127"/>
      <c r="Z271" s="127"/>
      <c r="AA271" s="127"/>
      <c r="AB271" s="127"/>
      <c r="AC271" s="127"/>
      <c r="AD271" s="127"/>
      <c r="AE271" s="127"/>
      <c r="AF271" s="127"/>
    </row>
    <row r="272" spans="1:32" s="5" customFormat="1" ht="16.5" customHeight="1">
      <c r="A272" s="1535"/>
      <c r="B272" s="1535"/>
      <c r="C272" s="1535"/>
      <c r="D272" s="1535"/>
      <c r="E272" s="1535"/>
      <c r="F272" s="1535"/>
      <c r="P272"/>
      <c r="Q272" s="129"/>
      <c r="R272" s="129"/>
      <c r="S272" s="129"/>
      <c r="T272" s="129"/>
      <c r="U272" s="127"/>
      <c r="V272" s="127"/>
      <c r="W272" s="127"/>
      <c r="X272" s="127"/>
      <c r="Y272" s="127"/>
      <c r="Z272" s="127"/>
      <c r="AA272" s="127"/>
      <c r="AB272" s="127"/>
      <c r="AC272" s="127"/>
      <c r="AD272" s="127"/>
      <c r="AE272" s="127"/>
      <c r="AF272" s="127"/>
    </row>
    <row r="273" spans="1:32" s="5" customFormat="1" ht="21.75">
      <c r="A273" s="1553" t="s">
        <v>255</v>
      </c>
      <c r="B273" s="1553"/>
      <c r="C273" s="1553"/>
      <c r="D273" s="1553"/>
      <c r="E273" s="1553"/>
      <c r="F273" s="1553"/>
      <c r="G273" s="1553"/>
      <c r="H273" s="1553"/>
      <c r="I273" s="1553"/>
      <c r="J273" s="1553"/>
      <c r="K273" s="1553"/>
      <c r="L273" s="1553"/>
      <c r="M273" s="1553"/>
      <c r="N273" s="1553"/>
      <c r="P273"/>
      <c r="Q273" s="129"/>
      <c r="R273" s="129"/>
      <c r="S273" s="129"/>
      <c r="T273" s="129"/>
      <c r="U273" s="127"/>
      <c r="V273" s="127"/>
      <c r="W273" s="127"/>
      <c r="X273" s="127"/>
      <c r="Y273" s="127"/>
      <c r="Z273" s="127"/>
      <c r="AA273" s="127"/>
      <c r="AB273" s="127"/>
      <c r="AC273" s="127"/>
      <c r="AD273" s="127"/>
      <c r="AE273" s="127"/>
      <c r="AF273" s="127"/>
    </row>
    <row r="274" spans="1:32" ht="21.95" customHeight="1">
      <c r="A274" s="1554" t="str">
        <f>"sè:  PM-"&amp;$R$12&amp;"-BEN/"&amp;$R$14</f>
        <v>sè:  PM-B1-BEN/800</v>
      </c>
      <c r="B274" s="1554"/>
      <c r="C274" s="1554"/>
      <c r="D274" s="1554"/>
      <c r="E274" s="1554"/>
      <c r="F274" s="1554"/>
      <c r="G274" s="1554"/>
      <c r="H274" s="1554"/>
      <c r="I274" s="1554"/>
      <c r="J274" s="1554"/>
      <c r="K274" s="1554"/>
      <c r="L274" s="1554"/>
      <c r="M274" s="1554"/>
      <c r="N274" s="1554"/>
      <c r="O274" s="79"/>
      <c r="P274" s="80"/>
    </row>
    <row r="275" spans="1:32" ht="21.95" customHeight="1">
      <c r="B275" s="81"/>
      <c r="C275" s="28" t="str">
        <f>"C«ng tr×nh: "&amp;$R$3</f>
        <v>C«ng tr×nh: KHU HỖN HỢP CHUNG CƯ, VĂN PHÒNG, TRUNG TÂM THƯƠNG MẠI VÀ NHÀ Ở KẾT HỢP KHU MUA SẮM</v>
      </c>
      <c r="D275" s="27"/>
      <c r="E275" s="27"/>
      <c r="F275" s="27"/>
      <c r="G275" s="27"/>
      <c r="H275" s="27"/>
      <c r="I275" s="27"/>
      <c r="J275" s="27"/>
      <c r="K275" s="27"/>
      <c r="L275" s="27"/>
      <c r="O275" s="5"/>
    </row>
    <row r="276" spans="1:32" s="80" customFormat="1" ht="21.95" customHeight="1">
      <c r="A276"/>
      <c r="B276" s="81"/>
      <c r="C276" s="28" t="str">
        <f>"H¹ng môc: "&amp;$R$5</f>
        <v>H¹ng môc: CỌC KHOAN NHỒI</v>
      </c>
      <c r="D276" s="27"/>
      <c r="E276" s="29"/>
      <c r="F276" s="28"/>
      <c r="G276" s="28"/>
      <c r="H276" s="28"/>
      <c r="I276" s="28"/>
      <c r="J276" s="28"/>
      <c r="K276" s="28"/>
      <c r="L276" s="28"/>
      <c r="M276" s="28"/>
      <c r="N276"/>
      <c r="O276"/>
      <c r="P276"/>
      <c r="Q276" s="131"/>
      <c r="R276" s="131"/>
      <c r="S276" s="131"/>
      <c r="T276" s="131"/>
      <c r="U276" s="132"/>
      <c r="V276" s="132"/>
      <c r="W276" s="132"/>
      <c r="X276" s="132"/>
      <c r="Y276" s="132"/>
      <c r="Z276" s="132"/>
      <c r="AA276" s="132"/>
      <c r="AB276" s="132"/>
      <c r="AC276" s="132"/>
      <c r="AD276" s="132"/>
      <c r="AE276" s="132"/>
      <c r="AF276" s="132"/>
    </row>
    <row r="277" spans="1:32" ht="21.95" customHeight="1">
      <c r="B277" s="82"/>
      <c r="C277" s="1487" t="str">
        <f>"§Þa ®iÓm x©y dùng: "&amp;$R$4</f>
        <v>§Þa ®iÓm x©y dùng: P. BẠCH ĐẰNG, TP. HẠ LONG, TỈNH QUẢNG NINH</v>
      </c>
      <c r="D277" s="1487"/>
      <c r="E277" s="1487"/>
      <c r="F277" s="1487"/>
      <c r="G277" s="1487"/>
      <c r="H277" s="1487"/>
      <c r="I277" s="1487"/>
      <c r="J277" s="1487"/>
      <c r="K277" s="1487"/>
      <c r="L277" s="1487"/>
      <c r="M277" s="1487"/>
      <c r="N277" s="1487"/>
    </row>
    <row r="278" spans="1:32" ht="21.95" customHeight="1">
      <c r="B278" s="82"/>
      <c r="C278" s="31"/>
      <c r="D278" s="30"/>
      <c r="E278" s="30"/>
      <c r="F278" s="30"/>
      <c r="G278" s="30"/>
      <c r="H278" s="30"/>
      <c r="I278" s="30"/>
      <c r="J278" s="30"/>
      <c r="K278" s="30"/>
      <c r="L278" s="30"/>
    </row>
    <row r="279" spans="1:32" ht="21.95" customHeight="1">
      <c r="A279" s="35"/>
      <c r="B279" s="83" t="s">
        <v>256</v>
      </c>
      <c r="C279" s="84"/>
      <c r="D279" s="84"/>
      <c r="E279" s="84" t="str">
        <f>$R$22</f>
        <v>CÔNG TY CỔ PHẦN ĐẦU TƯ VÀ KHÁCH SẠN MYWAY HẠ LONG</v>
      </c>
      <c r="F279" s="84"/>
      <c r="G279" s="84"/>
      <c r="H279" s="84"/>
      <c r="I279" s="84"/>
      <c r="J279" s="84"/>
      <c r="K279" s="84"/>
      <c r="L279" s="84"/>
      <c r="M279" s="84"/>
      <c r="N279" s="35"/>
    </row>
    <row r="280" spans="1:32" ht="16.5">
      <c r="A280" s="35"/>
      <c r="B280" s="36"/>
      <c r="C280" s="84"/>
      <c r="D280" s="84"/>
      <c r="E280" s="84" t="s">
        <v>257</v>
      </c>
      <c r="F280" s="84"/>
      <c r="G280" s="84"/>
      <c r="H280" s="84"/>
      <c r="I280" s="84"/>
      <c r="J280" s="84"/>
      <c r="K280" s="84"/>
      <c r="L280" s="84"/>
      <c r="M280" s="84"/>
      <c r="N280" s="35"/>
    </row>
    <row r="281" spans="1:32" ht="36.75" customHeight="1">
      <c r="A281" s="30"/>
      <c r="B281" s="1485" t="str">
        <f>"Nhµ thÇu - "&amp;R221&amp;" ®· thi c«ng hoµn thµnh c«ng viÖc x©y dùng cô thÓ nh­ sau:"</f>
        <v>Nhµ thÇu - ..................................... ®· thi c«ng hoµn thµnh c«ng viÖc x©y dùng cô thÓ nh­ sau:</v>
      </c>
      <c r="C281" s="1485"/>
      <c r="D281" s="1485"/>
      <c r="E281" s="1485"/>
      <c r="F281" s="1485"/>
      <c r="G281" s="1485"/>
      <c r="H281" s="1485"/>
      <c r="I281" s="1485"/>
      <c r="J281" s="1485"/>
      <c r="K281" s="1485"/>
      <c r="L281" s="1485"/>
      <c r="M281" s="1485"/>
      <c r="N281" s="1485"/>
    </row>
    <row r="282" spans="1:32" ht="21.95" customHeight="1">
      <c r="A282" s="85" t="s">
        <v>258</v>
      </c>
      <c r="B282" s="86" t="s">
        <v>259</v>
      </c>
      <c r="C282" s="87"/>
      <c r="D282" s="87"/>
      <c r="E282" s="87"/>
      <c r="F282" s="1555" t="str">
        <f>" Bentonite cäc: "&amp;$R$12</f>
        <v xml:space="preserve"> Bentonite cäc: B1</v>
      </c>
      <c r="G282" s="1555"/>
      <c r="H282" s="1555"/>
      <c r="I282" s="1555"/>
      <c r="J282" s="1555"/>
      <c r="K282" s="1555"/>
      <c r="L282" s="1555"/>
      <c r="M282" s="1555"/>
      <c r="N282" s="1555"/>
      <c r="O282" s="35"/>
      <c r="P282" s="35"/>
    </row>
    <row r="283" spans="1:32" ht="17.25" customHeight="1">
      <c r="A283" s="39"/>
      <c r="B283" s="39" t="str">
        <f>"VÞ trÝ x©y dùng: T¹i C«ng tr×nh "&amp;$R$3</f>
        <v>VÞ trÝ x©y dùng: T¹i C«ng tr×nh KHU HỖN HỢP CHUNG CƯ, VĂN PHÒNG, TRUNG TÂM THƯƠNG MẠI VÀ NHÀ Ở KẾT HỢP KHU MUA SẮM</v>
      </c>
      <c r="C283" s="39"/>
      <c r="D283" s="39"/>
      <c r="E283" s="39"/>
      <c r="F283" s="39"/>
      <c r="G283" s="39"/>
      <c r="H283" s="39"/>
      <c r="I283" s="39"/>
      <c r="J283" s="39"/>
      <c r="K283" s="39"/>
      <c r="L283" s="39"/>
      <c r="M283" s="39"/>
      <c r="N283" s="24"/>
      <c r="O283" s="35"/>
      <c r="P283" s="35"/>
    </row>
    <row r="284" spans="1:32" s="35" customFormat="1" ht="19.5" customHeight="1">
      <c r="A284" s="39"/>
      <c r="B284" s="39" t="s">
        <v>202</v>
      </c>
      <c r="C284" s="39"/>
      <c r="D284" s="39"/>
      <c r="E284" s="39" t="str">
        <f>$R$4</f>
        <v>P. BẠCH ĐẰNG, TP. HẠ LONG, TỈNH QUẢNG NINH</v>
      </c>
      <c r="F284" s="39"/>
      <c r="G284" s="39"/>
      <c r="H284" s="39"/>
      <c r="I284" s="39"/>
      <c r="J284" s="39"/>
      <c r="K284" s="39"/>
      <c r="L284" s="39"/>
      <c r="M284" s="39"/>
      <c r="N284" s="24"/>
      <c r="Q284" s="91"/>
      <c r="R284" s="91"/>
      <c r="S284" s="91"/>
      <c r="T284" s="91"/>
      <c r="U284" s="24"/>
      <c r="V284" s="24"/>
      <c r="W284" s="24"/>
      <c r="X284" s="24"/>
      <c r="Y284" s="24"/>
      <c r="Z284" s="24"/>
      <c r="AA284" s="24"/>
      <c r="AB284" s="24"/>
      <c r="AC284" s="24"/>
      <c r="AD284" s="24"/>
      <c r="AE284" s="24"/>
      <c r="AF284" s="24"/>
    </row>
    <row r="285" spans="1:32" s="35" customFormat="1" ht="15.75" customHeight="1">
      <c r="A285" s="89"/>
      <c r="B285" s="39" t="s">
        <v>260</v>
      </c>
      <c r="C285" s="39"/>
      <c r="D285" s="39"/>
      <c r="E285" s="39"/>
      <c r="F285" s="39"/>
      <c r="G285" s="39"/>
      <c r="H285" s="39"/>
      <c r="I285" s="39"/>
      <c r="J285" s="39"/>
      <c r="K285" s="39"/>
      <c r="L285" s="39"/>
      <c r="M285" s="39"/>
      <c r="O285" s="88"/>
      <c r="P285" s="88"/>
      <c r="Q285" s="91"/>
      <c r="R285" s="91"/>
      <c r="S285" s="91"/>
      <c r="T285" s="91"/>
      <c r="U285" s="24"/>
      <c r="V285" s="24"/>
      <c r="W285" s="24"/>
      <c r="X285" s="24"/>
      <c r="Y285" s="24"/>
      <c r="Z285" s="24"/>
      <c r="AA285" s="24"/>
      <c r="AB285" s="24"/>
      <c r="AC285" s="24"/>
      <c r="AD285" s="24"/>
      <c r="AE285" s="24"/>
      <c r="AF285" s="24"/>
    </row>
    <row r="286" spans="1:32" s="35" customFormat="1" ht="21.95" customHeight="1">
      <c r="A286" s="24" t="s">
        <v>261</v>
      </c>
      <c r="B286" s="39"/>
      <c r="C286" s="39"/>
      <c r="D286" s="24"/>
      <c r="E286" s="90" t="str">
        <f>$R$12&amp;"/ Nb-BEN/"&amp;$R$14</f>
        <v>B1/ Nb-BEN/800</v>
      </c>
      <c r="F286" s="24"/>
      <c r="G286" s="24"/>
      <c r="H286" s="24"/>
      <c r="I286" s="24" t="s">
        <v>262</v>
      </c>
      <c r="J286" s="24"/>
      <c r="K286" s="24"/>
      <c r="L286" s="24"/>
      <c r="M286" s="24"/>
      <c r="N286" s="24"/>
      <c r="O286" s="24"/>
      <c r="P286" s="24"/>
      <c r="Q286" s="91"/>
      <c r="R286" s="91"/>
      <c r="S286" s="91"/>
      <c r="T286" s="91"/>
      <c r="U286" s="24"/>
      <c r="V286" s="24"/>
      <c r="W286" s="24"/>
      <c r="X286" s="24"/>
      <c r="Y286" s="24"/>
      <c r="Z286" s="24"/>
      <c r="AA286" s="24"/>
      <c r="AB286" s="24"/>
      <c r="AC286" s="24"/>
      <c r="AD286" s="24"/>
      <c r="AE286" s="24"/>
      <c r="AF286" s="24"/>
    </row>
    <row r="287" spans="1:32" s="35" customFormat="1" ht="21.95" customHeight="1">
      <c r="A287" s="24" t="s">
        <v>263</v>
      </c>
      <c r="B287" s="39"/>
      <c r="C287" s="39"/>
      <c r="D287" s="24"/>
      <c r="E287" s="24"/>
      <c r="F287" s="24"/>
      <c r="G287" s="24"/>
      <c r="H287" s="24"/>
      <c r="I287" s="24"/>
      <c r="J287" s="24"/>
      <c r="K287" s="24"/>
      <c r="L287" s="24"/>
      <c r="M287" s="24"/>
      <c r="N287" s="24"/>
      <c r="O287" s="24"/>
      <c r="P287" s="24"/>
      <c r="Q287" s="91"/>
      <c r="R287" s="91"/>
      <c r="S287" s="91"/>
      <c r="T287" s="91"/>
      <c r="U287" s="24"/>
      <c r="V287" s="24"/>
      <c r="W287" s="24"/>
      <c r="X287" s="24"/>
      <c r="Y287" s="24"/>
      <c r="Z287" s="24"/>
      <c r="AA287" s="24"/>
      <c r="AB287" s="24"/>
      <c r="AC287" s="24"/>
      <c r="AD287" s="24"/>
      <c r="AE287" s="24"/>
      <c r="AF287" s="24"/>
    </row>
    <row r="288" spans="1:32" s="88" customFormat="1" ht="23.25" customHeight="1">
      <c r="A288" s="24"/>
      <c r="B288" s="39" t="s">
        <v>264</v>
      </c>
      <c r="C288" s="39"/>
      <c r="D288" s="24"/>
      <c r="E288" s="24"/>
      <c r="F288" s="24"/>
      <c r="G288" s="24"/>
      <c r="H288" s="24"/>
      <c r="I288" s="24"/>
      <c r="J288" s="24"/>
      <c r="K288" s="24"/>
      <c r="L288" s="24"/>
      <c r="M288" s="24"/>
      <c r="N288" s="24"/>
      <c r="O288" s="35"/>
      <c r="P288" s="35"/>
      <c r="Q288" s="133"/>
      <c r="R288" s="133"/>
      <c r="S288" s="133"/>
      <c r="T288" s="133"/>
      <c r="U288" s="86"/>
      <c r="V288" s="86"/>
      <c r="W288" s="86"/>
      <c r="X288" s="86"/>
      <c r="Y288" s="86"/>
      <c r="Z288" s="86"/>
      <c r="AA288" s="86"/>
      <c r="AB288" s="86"/>
      <c r="AC288" s="86"/>
      <c r="AD288" s="86"/>
      <c r="AE288" s="86"/>
      <c r="AF288" s="86"/>
    </row>
    <row r="289" spans="1:32" s="24" customFormat="1" ht="21.95" customHeight="1">
      <c r="A289" s="24" t="s">
        <v>265</v>
      </c>
      <c r="B289" s="39"/>
      <c r="C289" s="39"/>
      <c r="Q289" s="91"/>
      <c r="R289" s="91"/>
      <c r="S289" s="91"/>
      <c r="T289" s="91"/>
    </row>
    <row r="290" spans="1:32" s="35" customFormat="1" ht="21.95" customHeight="1">
      <c r="A290" s="24" t="s">
        <v>266</v>
      </c>
      <c r="B290" s="39"/>
      <c r="C290" s="39"/>
      <c r="D290" s="24"/>
      <c r="E290" s="24"/>
      <c r="F290" s="24"/>
      <c r="G290" s="24"/>
      <c r="H290" s="24"/>
      <c r="I290" s="24"/>
      <c r="J290" s="24"/>
      <c r="K290" s="24"/>
      <c r="L290" s="24"/>
      <c r="M290" s="24"/>
      <c r="N290" s="24"/>
      <c r="O290" s="24"/>
      <c r="P290" s="24"/>
      <c r="Q290" s="91"/>
      <c r="R290" s="91"/>
      <c r="S290" s="91"/>
      <c r="T290" s="91"/>
      <c r="U290" s="24"/>
      <c r="V290" s="24"/>
      <c r="W290" s="24"/>
      <c r="X290" s="24"/>
      <c r="Y290" s="24"/>
      <c r="Z290" s="24"/>
      <c r="AA290" s="24"/>
      <c r="AB290" s="24"/>
      <c r="AC290" s="24"/>
      <c r="AD290" s="24"/>
      <c r="AE290" s="24"/>
      <c r="AF290" s="24"/>
    </row>
    <row r="291" spans="1:32" s="24" customFormat="1" ht="21.95" customHeight="1">
      <c r="A291" s="36"/>
      <c r="B291" s="36" t="s">
        <v>267</v>
      </c>
      <c r="G291" s="1556">
        <f>E327</f>
        <v>0.40972222222222215</v>
      </c>
      <c r="H291" s="1556"/>
      <c r="I291" s="1489">
        <f>F327</f>
        <v>42466</v>
      </c>
      <c r="J291" s="1489"/>
      <c r="K291" s="1489"/>
      <c r="L291" s="1489"/>
      <c r="M291" s="1489"/>
      <c r="N291" s="1489"/>
      <c r="Q291" s="91"/>
      <c r="R291" s="91"/>
      <c r="S291" s="91"/>
      <c r="T291" s="91"/>
    </row>
    <row r="292" spans="1:32" s="24" customFormat="1" ht="21.95" customHeight="1">
      <c r="A292" s="35"/>
      <c r="B292" s="35"/>
      <c r="C292" s="48" t="s">
        <v>268</v>
      </c>
      <c r="E292" s="24" t="str">
        <f>C275</f>
        <v>C«ng tr×nh: KHU HỖN HỢP CHUNG CƯ, VĂN PHÒNG, TRUNG TÂM THƯƠNG MẠI VÀ NHÀ Ở KẾT HỢP KHU MUA SẮM</v>
      </c>
      <c r="F292" s="35"/>
      <c r="G292" s="35"/>
      <c r="J292" s="35"/>
      <c r="K292" s="35"/>
      <c r="L292" s="35"/>
      <c r="M292" s="35"/>
      <c r="N292" s="35"/>
      <c r="Q292" s="91"/>
      <c r="R292" s="91"/>
      <c r="S292" s="91"/>
      <c r="T292" s="91"/>
    </row>
    <row r="293" spans="1:32" s="24" customFormat="1" ht="21.95" customHeight="1">
      <c r="A293" s="35"/>
      <c r="B293" s="35"/>
      <c r="C293" s="48" t="s">
        <v>269</v>
      </c>
      <c r="E293" s="24" t="str">
        <f>E284</f>
        <v>P. BẠCH ĐẰNG, TP. HẠ LONG, TỈNH QUẢNG NINH</v>
      </c>
      <c r="F293" s="35"/>
      <c r="G293" s="35"/>
      <c r="J293" s="35"/>
      <c r="K293" s="35"/>
      <c r="L293" s="35"/>
      <c r="M293" s="35"/>
      <c r="N293" s="35"/>
      <c r="Q293" s="91"/>
      <c r="R293" s="91"/>
      <c r="S293" s="91"/>
      <c r="T293" s="91"/>
    </row>
    <row r="294" spans="1:32" s="24" customFormat="1" ht="21.95" customHeight="1">
      <c r="A294" s="36"/>
      <c r="B294" s="36"/>
      <c r="G294" s="41"/>
      <c r="H294" s="41"/>
      <c r="I294" s="42"/>
      <c r="J294" s="42"/>
      <c r="K294" s="42"/>
      <c r="L294" s="42"/>
      <c r="M294" s="42"/>
      <c r="N294" s="42"/>
      <c r="Q294" s="91"/>
      <c r="R294" s="91"/>
      <c r="S294" s="91"/>
      <c r="T294" s="91"/>
    </row>
    <row r="295" spans="1:32" s="24" customFormat="1" ht="21.95" customHeight="1">
      <c r="A295" s="1541" t="s">
        <v>191</v>
      </c>
      <c r="B295" s="1542"/>
      <c r="C295" s="1541" t="s">
        <v>270</v>
      </c>
      <c r="D295" s="1543"/>
      <c r="E295" s="1543"/>
      <c r="F295" s="1543"/>
      <c r="G295" s="1542"/>
      <c r="H295" s="92" t="s">
        <v>271</v>
      </c>
      <c r="I295" s="93"/>
      <c r="J295" s="93"/>
      <c r="K295" s="94"/>
      <c r="L295" s="92"/>
      <c r="M295" s="1541" t="s">
        <v>272</v>
      </c>
      <c r="N295" s="1542"/>
      <c r="O295" s="35"/>
      <c r="P295" s="35"/>
      <c r="Q295" s="91"/>
      <c r="R295" s="91"/>
      <c r="S295" s="91"/>
      <c r="T295" s="91"/>
    </row>
    <row r="296" spans="1:32" s="24" customFormat="1" ht="33" customHeight="1">
      <c r="A296" s="1544">
        <v>1</v>
      </c>
      <c r="B296" s="1545"/>
      <c r="C296" s="1546" t="s">
        <v>194</v>
      </c>
      <c r="D296" s="1547"/>
      <c r="E296" s="1547"/>
      <c r="F296" s="1547"/>
      <c r="G296" s="1548"/>
      <c r="H296" s="1549">
        <f>E214+Q302</f>
        <v>0.40277777777777768</v>
      </c>
      <c r="I296" s="1550"/>
      <c r="J296" s="1551">
        <f>J271</f>
        <v>42466</v>
      </c>
      <c r="K296" s="1551"/>
      <c r="L296" s="1552"/>
      <c r="M296" s="1544"/>
      <c r="N296" s="1545"/>
      <c r="O296" s="35"/>
      <c r="P296" s="35"/>
      <c r="Q296" s="91"/>
      <c r="R296" s="91"/>
      <c r="S296" s="91"/>
      <c r="T296" s="91"/>
    </row>
    <row r="297" spans="1:32" s="24" customFormat="1" ht="16.5">
      <c r="A297" s="150"/>
      <c r="B297" s="151"/>
      <c r="C297" s="152"/>
      <c r="D297" s="59"/>
      <c r="E297" s="59"/>
      <c r="F297" s="59"/>
      <c r="G297" s="153"/>
      <c r="H297" s="154"/>
      <c r="I297" s="139"/>
      <c r="J297" s="140"/>
      <c r="K297" s="140"/>
      <c r="L297" s="155"/>
      <c r="M297" s="150"/>
      <c r="N297" s="151"/>
      <c r="O297" s="35"/>
      <c r="P297" s="35"/>
      <c r="Q297" s="91"/>
      <c r="R297" s="91"/>
      <c r="S297" s="91"/>
      <c r="T297" s="91"/>
    </row>
    <row r="298" spans="1:32" s="24" customFormat="1" ht="16.5">
      <c r="A298" s="1578"/>
      <c r="B298" s="1579"/>
      <c r="C298" s="1580"/>
      <c r="D298" s="1581"/>
      <c r="E298" s="1581"/>
      <c r="F298" s="1581"/>
      <c r="G298" s="1582"/>
      <c r="H298" s="1574"/>
      <c r="I298" s="1575"/>
      <c r="J298" s="1576"/>
      <c r="K298" s="1576"/>
      <c r="L298" s="1577"/>
      <c r="M298" s="1578"/>
      <c r="N298" s="1579"/>
      <c r="O298" s="35"/>
      <c r="P298" s="35"/>
      <c r="Q298" s="91"/>
      <c r="R298" s="91"/>
      <c r="S298" s="91"/>
      <c r="T298" s="91"/>
    </row>
    <row r="299" spans="1:32" s="24" customFormat="1" ht="39" customHeight="1">
      <c r="A299" s="1538"/>
      <c r="B299" s="1538"/>
      <c r="C299" s="1538"/>
      <c r="D299" s="1538"/>
      <c r="E299" s="1538"/>
      <c r="F299" s="1538"/>
      <c r="G299" s="1538"/>
      <c r="H299" s="1538"/>
      <c r="I299" s="1538" t="s">
        <v>273</v>
      </c>
      <c r="J299" s="1538"/>
      <c r="K299" s="1538"/>
      <c r="L299" s="1538"/>
      <c r="M299" s="1538"/>
      <c r="N299" s="1538"/>
      <c r="Q299" s="91"/>
      <c r="R299" s="91"/>
      <c r="S299" s="91"/>
      <c r="T299" s="91"/>
    </row>
    <row r="300" spans="1:32" s="24" customFormat="1" ht="39" customHeight="1">
      <c r="A300" s="66"/>
      <c r="B300" s="1539"/>
      <c r="C300" s="1539"/>
      <c r="D300" s="1539"/>
      <c r="E300" s="1539"/>
      <c r="F300" s="67"/>
      <c r="G300" s="95"/>
      <c r="H300" s="96"/>
      <c r="I300" s="96"/>
      <c r="J300" s="96"/>
      <c r="K300" s="96"/>
      <c r="L300" s="96"/>
      <c r="M300" s="96"/>
      <c r="N300"/>
      <c r="Q300" s="91"/>
      <c r="R300" s="91"/>
      <c r="S300" s="91"/>
      <c r="T300" s="91"/>
    </row>
    <row r="301" spans="1:32" s="24" customFormat="1" ht="21.95" customHeight="1">
      <c r="A301" s="97"/>
      <c r="B301" s="97"/>
      <c r="C301" s="97"/>
      <c r="D301" s="35"/>
      <c r="E301" s="35"/>
      <c r="F301" s="35"/>
      <c r="G301" s="35"/>
      <c r="H301" s="35"/>
      <c r="I301" s="35"/>
      <c r="J301" s="35"/>
      <c r="K301" s="35"/>
      <c r="L301" s="35"/>
      <c r="M301"/>
      <c r="N301"/>
      <c r="O301" s="35"/>
      <c r="P301" s="35"/>
      <c r="Q301" s="91"/>
      <c r="R301" s="91"/>
      <c r="S301" s="91"/>
      <c r="T301" s="91"/>
    </row>
    <row r="302" spans="1:32" s="89" customFormat="1" ht="21.95" customHeight="1">
      <c r="A302" s="97"/>
      <c r="B302" s="97"/>
      <c r="C302" s="97"/>
      <c r="D302" s="35"/>
      <c r="E302" s="35"/>
      <c r="F302" s="35"/>
      <c r="G302" s="35"/>
      <c r="H302" s="35"/>
      <c r="I302" s="35"/>
      <c r="J302" s="35"/>
      <c r="K302" s="35"/>
      <c r="L302" s="35"/>
      <c r="M302"/>
      <c r="N302"/>
      <c r="O302" s="24"/>
      <c r="P302" s="24"/>
      <c r="Q302" s="134">
        <v>3.472222222222222E-3</v>
      </c>
      <c r="R302" s="135"/>
      <c r="S302" s="135"/>
      <c r="T302" s="135"/>
      <c r="U302" s="36"/>
      <c r="V302" s="36"/>
      <c r="W302" s="36"/>
      <c r="X302" s="36"/>
      <c r="Y302" s="36"/>
      <c r="Z302" s="36"/>
      <c r="AA302" s="36"/>
      <c r="AB302" s="36"/>
      <c r="AC302" s="36"/>
      <c r="AD302" s="36"/>
      <c r="AE302" s="36"/>
      <c r="AF302" s="36"/>
    </row>
    <row r="303" spans="1:32" s="43" customFormat="1" ht="20.25" customHeight="1">
      <c r="A303" s="97"/>
      <c r="B303" s="97"/>
      <c r="C303" s="97"/>
      <c r="D303" s="35"/>
      <c r="E303" s="35"/>
      <c r="F303" s="35"/>
      <c r="G303" s="35"/>
      <c r="H303" s="35"/>
      <c r="I303" s="35"/>
      <c r="J303" s="35"/>
      <c r="K303" s="35"/>
      <c r="L303" s="35"/>
      <c r="M303"/>
      <c r="N303"/>
      <c r="O303"/>
      <c r="P303"/>
      <c r="Q303" s="136"/>
      <c r="R303" s="136"/>
      <c r="S303" s="136"/>
      <c r="T303" s="136"/>
      <c r="U303" s="126"/>
      <c r="V303" s="126"/>
      <c r="W303" s="126"/>
      <c r="X303" s="126"/>
      <c r="Y303" s="126"/>
      <c r="Z303" s="126"/>
      <c r="AA303" s="126"/>
      <c r="AB303" s="126"/>
      <c r="AC303" s="126"/>
      <c r="AD303" s="126"/>
      <c r="AE303" s="126"/>
      <c r="AF303" s="126"/>
    </row>
    <row r="304" spans="1:32" s="24" customFormat="1" ht="18" customHeight="1">
      <c r="A304" s="97"/>
      <c r="B304" s="97"/>
      <c r="C304" s="97"/>
      <c r="D304" s="35"/>
      <c r="E304" s="35"/>
      <c r="F304" s="35"/>
      <c r="G304" s="35"/>
      <c r="H304" s="35"/>
      <c r="I304" s="35"/>
      <c r="J304" s="35"/>
      <c r="K304" s="35"/>
      <c r="L304" s="35"/>
      <c r="M304"/>
      <c r="N304"/>
      <c r="O304"/>
      <c r="P304"/>
      <c r="Q304" s="91"/>
      <c r="R304" s="91"/>
      <c r="S304" s="91"/>
      <c r="T304" s="91"/>
    </row>
    <row r="305" spans="1:20" ht="16.5">
      <c r="A305" s="1540"/>
      <c r="B305" s="1540"/>
      <c r="C305" s="1540"/>
      <c r="D305" s="1540"/>
      <c r="E305" s="1540"/>
      <c r="F305" s="1540"/>
      <c r="G305" s="1540"/>
      <c r="H305" s="1540"/>
      <c r="I305" s="1540" t="str">
        <f>$E$135</f>
        <v>CÔNG TY TNHH MTV HANTECH</v>
      </c>
      <c r="J305" s="1540"/>
      <c r="K305" s="1540"/>
      <c r="L305" s="1540"/>
      <c r="M305" s="1540"/>
      <c r="N305" s="1540"/>
    </row>
    <row r="306" spans="1:20" ht="18">
      <c r="A306" s="97"/>
      <c r="B306" s="97"/>
      <c r="C306" s="97"/>
      <c r="D306" s="35"/>
      <c r="E306" s="35"/>
      <c r="F306" s="35"/>
      <c r="G306" s="35"/>
      <c r="H306" s="35"/>
      <c r="I306" s="35"/>
      <c r="J306" s="35"/>
      <c r="K306" s="35"/>
      <c r="L306" s="35"/>
    </row>
    <row r="307" spans="1:20" ht="17.25">
      <c r="A307" s="1483" t="s">
        <v>199</v>
      </c>
      <c r="B307" s="1483"/>
      <c r="C307" s="1483"/>
      <c r="D307" s="1483"/>
      <c r="E307" s="1483"/>
      <c r="F307" s="1483"/>
      <c r="G307" s="1483"/>
      <c r="H307" s="1483"/>
      <c r="I307" s="1483"/>
      <c r="J307" s="1483"/>
      <c r="K307" s="1483"/>
      <c r="L307" s="1483"/>
      <c r="M307" s="1483"/>
      <c r="N307" s="1483"/>
    </row>
    <row r="308" spans="1:20" ht="18" customHeight="1">
      <c r="A308" s="1492" t="s">
        <v>200</v>
      </c>
      <c r="B308" s="1492"/>
      <c r="C308" s="1492"/>
      <c r="D308" s="1492"/>
      <c r="E308" s="1492"/>
      <c r="F308" s="1492"/>
      <c r="G308" s="1492"/>
      <c r="H308" s="1492"/>
      <c r="I308" s="1492"/>
      <c r="J308" s="1492"/>
      <c r="K308" s="1492"/>
      <c r="L308" s="1492"/>
      <c r="M308" s="1492"/>
      <c r="N308" s="1492"/>
    </row>
    <row r="309" spans="1:20" ht="14.25">
      <c r="A309" s="1557" t="s">
        <v>274</v>
      </c>
      <c r="B309" s="1557"/>
      <c r="C309" s="1557"/>
      <c r="D309" s="1557"/>
      <c r="E309" s="1557"/>
      <c r="F309" s="1557"/>
      <c r="G309" s="1557"/>
      <c r="H309" s="1557"/>
      <c r="I309" s="1557"/>
      <c r="J309" s="1557"/>
      <c r="K309" s="1557"/>
      <c r="L309" s="1557"/>
      <c r="M309" s="1557"/>
      <c r="N309" s="1557"/>
    </row>
    <row r="310" spans="1:20" ht="16.5">
      <c r="A310" s="18"/>
      <c r="B310" s="18"/>
      <c r="C310" s="18"/>
      <c r="D310" s="18"/>
      <c r="E310" s="18"/>
      <c r="F310" s="18"/>
      <c r="I310" s="19"/>
      <c r="J310" s="1558">
        <f>$U$16</f>
        <v>42466</v>
      </c>
      <c r="K310" s="1558"/>
      <c r="L310" s="1558"/>
      <c r="M310" s="1558"/>
      <c r="N310" s="1558"/>
    </row>
    <row r="311" spans="1:20" ht="15">
      <c r="A311" s="8"/>
    </row>
    <row r="312" spans="1:20" ht="17.25" customHeight="1">
      <c r="A312" s="1493" t="str">
        <f>"Biªn b¶n sè: "&amp;$R$12&amp;"/ CV-T§/"&amp;$R$14</f>
        <v>Biªn b¶n sè: B1/ CV-T§/800</v>
      </c>
      <c r="B312" s="1493"/>
      <c r="C312" s="1493"/>
      <c r="D312" s="1493"/>
      <c r="E312" s="1493"/>
      <c r="F312" s="1493"/>
      <c r="G312" s="1493"/>
      <c r="H312" s="1493"/>
      <c r="I312" s="1493"/>
      <c r="J312" s="1493"/>
      <c r="K312" s="1493"/>
      <c r="L312" s="1493"/>
      <c r="M312" s="1493"/>
      <c r="N312" s="1493"/>
    </row>
    <row r="313" spans="1:20" ht="17.25" customHeight="1">
      <c r="A313" s="1493" t="s">
        <v>275</v>
      </c>
      <c r="B313" s="1493"/>
      <c r="C313" s="1493"/>
      <c r="D313" s="1493"/>
      <c r="E313" s="1493"/>
      <c r="F313" s="1493"/>
      <c r="G313" s="1493"/>
      <c r="H313" s="1493"/>
      <c r="I313" s="1493"/>
      <c r="J313" s="1493"/>
      <c r="K313" s="1493"/>
      <c r="L313" s="1493"/>
      <c r="M313" s="1493"/>
      <c r="N313" s="1493"/>
    </row>
    <row r="314" spans="1:20" ht="9.75" customHeight="1">
      <c r="A314" s="12"/>
    </row>
    <row r="315" spans="1:20" ht="17.25" customHeight="1">
      <c r="B315" s="39"/>
      <c r="C315" s="28" t="str">
        <f>"C«ng tr×nh: "&amp;$R$3</f>
        <v>C«ng tr×nh: KHU HỖN HỢP CHUNG CƯ, VĂN PHÒNG, TRUNG TÂM THƯƠNG MẠI VÀ NHÀ Ở KẾT HỢP KHU MUA SẮM</v>
      </c>
      <c r="D315" s="27"/>
      <c r="E315" s="27"/>
      <c r="F315" s="27"/>
      <c r="G315" s="27"/>
      <c r="H315" s="27"/>
      <c r="I315" s="27"/>
      <c r="J315" s="27"/>
      <c r="K315" s="27"/>
      <c r="L315" s="27"/>
      <c r="O315" s="24"/>
      <c r="P315" s="24"/>
    </row>
    <row r="316" spans="1:20" ht="19.5" customHeight="1">
      <c r="B316" s="39"/>
      <c r="C316" s="28" t="str">
        <f>"H¹ng môc: "&amp;$R$5</f>
        <v>H¹ng môc: CỌC KHOAN NHỒI</v>
      </c>
      <c r="D316" s="27"/>
      <c r="E316" s="29"/>
      <c r="F316" s="28"/>
      <c r="G316" s="28"/>
      <c r="H316" s="28"/>
      <c r="I316" s="28"/>
      <c r="J316" s="28"/>
      <c r="K316" s="28"/>
      <c r="L316" s="28"/>
      <c r="M316" s="28"/>
      <c r="O316" s="24"/>
      <c r="P316" s="24"/>
    </row>
    <row r="317" spans="1:20" s="24" customFormat="1" ht="21" customHeight="1">
      <c r="A317"/>
      <c r="B317" s="36"/>
      <c r="C317" s="1487" t="str">
        <f>"§Þa ®iÓm x©y dùng: "&amp;$R$4</f>
        <v>§Þa ®iÓm x©y dùng: P. BẠCH ĐẰNG, TP. HẠ LONG, TỈNH QUẢNG NINH</v>
      </c>
      <c r="D317" s="1487"/>
      <c r="E317" s="1487"/>
      <c r="F317" s="1487"/>
      <c r="G317" s="1487"/>
      <c r="H317" s="1487"/>
      <c r="I317" s="1487"/>
      <c r="J317" s="1487"/>
      <c r="K317" s="1487"/>
      <c r="L317" s="1487"/>
      <c r="M317" s="1487"/>
      <c r="N317" s="1487"/>
      <c r="O317"/>
      <c r="P317"/>
      <c r="Q317" s="91"/>
      <c r="R317" s="91"/>
      <c r="S317" s="91"/>
      <c r="T317" s="91"/>
    </row>
    <row r="318" spans="1:20" s="24" customFormat="1" ht="21" customHeight="1">
      <c r="A318" s="30" t="str">
        <f>A204</f>
        <v>1.§èi t­îng nghiÖm thu: Bentonite cäc: B1</v>
      </c>
      <c r="B318" s="30"/>
      <c r="C318" s="30"/>
      <c r="D318" s="30"/>
      <c r="E318" s="30"/>
      <c r="F318" s="30"/>
      <c r="G318"/>
      <c r="H318" s="30"/>
      <c r="I318" s="30"/>
      <c r="J318" s="30"/>
      <c r="K318" s="30"/>
      <c r="L318" s="30"/>
      <c r="M318"/>
      <c r="N318"/>
      <c r="O318"/>
      <c r="P318"/>
      <c r="Q318" s="91"/>
      <c r="R318" s="91"/>
      <c r="S318" s="91"/>
      <c r="T318" s="91"/>
    </row>
    <row r="319" spans="1:20" ht="16.5">
      <c r="A319" s="1488" t="s">
        <v>207</v>
      </c>
      <c r="B319" s="1488"/>
      <c r="C319" s="1488"/>
      <c r="D319" s="1488"/>
      <c r="E319" s="1488"/>
      <c r="F319" s="1488"/>
      <c r="G319" s="1488"/>
      <c r="H319" s="1488"/>
      <c r="I319" s="1488"/>
      <c r="J319" s="1488"/>
      <c r="K319" s="1488"/>
      <c r="L319" s="1488"/>
    </row>
    <row r="320" spans="1:20" ht="22.5" customHeight="1">
      <c r="A320" s="99" t="s">
        <v>277</v>
      </c>
      <c r="B320" s="36"/>
      <c r="C320" s="36"/>
      <c r="D320" s="36"/>
      <c r="E320" s="36"/>
      <c r="F320" s="30" t="str">
        <f>R218</f>
        <v>………………..</v>
      </c>
      <c r="G320" s="36"/>
      <c r="H320" s="36"/>
      <c r="I320" s="36"/>
      <c r="J320" s="36"/>
      <c r="K320" s="36"/>
      <c r="L320" s="36"/>
      <c r="M320" s="36"/>
    </row>
    <row r="321" spans="1:32" ht="16.5" customHeight="1">
      <c r="A321" s="35"/>
      <c r="C321" s="34" t="s">
        <v>276</v>
      </c>
      <c r="D321" s="34"/>
      <c r="E321" s="36" t="str">
        <f>$R$26</f>
        <v>CÔNG TY CỔ PHẦN TƯ VẤN KIỂM ĐỊNH VÀ THƯƠNG MẠI XÂY DỰNG GOLDSUN</v>
      </c>
      <c r="F321" s="36"/>
      <c r="G321" s="35"/>
      <c r="I321" s="37" t="s">
        <v>211</v>
      </c>
      <c r="J321" s="37"/>
      <c r="K321" s="36" t="str">
        <f>$T$26</f>
        <v>Công ty Cổ phần tư vấn kiểm định và thương mại xây dựng Goldsun</v>
      </c>
      <c r="L321" s="35"/>
    </row>
    <row r="322" spans="1:32" ht="21.95" customHeight="1">
      <c r="A322" s="35"/>
      <c r="C322" s="34" t="s">
        <v>276</v>
      </c>
      <c r="D322" s="34"/>
      <c r="E322" s="36" t="str">
        <f>$R$27</f>
        <v>.....................................</v>
      </c>
      <c r="F322" s="36"/>
      <c r="G322" s="35"/>
      <c r="I322" s="37" t="s">
        <v>211</v>
      </c>
      <c r="J322" s="37"/>
      <c r="K322" s="36" t="str">
        <f>$T$27</f>
        <v>.....................................</v>
      </c>
      <c r="L322" s="35"/>
    </row>
    <row r="323" spans="1:32" ht="22.5" customHeight="1">
      <c r="A323" s="100" t="s">
        <v>278</v>
      </c>
      <c r="B323" s="100"/>
      <c r="C323" s="100"/>
      <c r="D323" s="100"/>
      <c r="E323" s="100"/>
      <c r="F323" s="100" t="str">
        <f>$R$28</f>
        <v>.....................................</v>
      </c>
      <c r="G323" s="100"/>
      <c r="H323" s="100"/>
      <c r="I323" s="100"/>
      <c r="J323" s="100"/>
      <c r="K323" s="100"/>
      <c r="L323" s="100"/>
      <c r="M323" s="100"/>
      <c r="N323" s="100"/>
    </row>
    <row r="324" spans="1:32" ht="16.5" customHeight="1">
      <c r="A324" s="35"/>
      <c r="C324" s="34" t="s">
        <v>279</v>
      </c>
      <c r="D324" s="34"/>
      <c r="E324" s="36" t="str">
        <f>$R$29</f>
        <v>.....................................</v>
      </c>
      <c r="F324" s="36"/>
      <c r="G324" s="35"/>
      <c r="I324" s="37" t="s">
        <v>280</v>
      </c>
      <c r="J324" s="37"/>
      <c r="K324" s="36" t="str">
        <f>$T$29</f>
        <v>.....................................</v>
      </c>
      <c r="L324" s="36"/>
    </row>
    <row r="325" spans="1:32" ht="16.5" customHeight="1">
      <c r="A325" s="35"/>
      <c r="C325" s="34" t="s">
        <v>276</v>
      </c>
      <c r="D325" s="34"/>
      <c r="E325" s="36" t="str">
        <f>$R$30</f>
        <v>CÔNG TY TNHH MTV HANTECH</v>
      </c>
      <c r="F325" s="36"/>
      <c r="G325" s="35"/>
      <c r="I325" s="37" t="s">
        <v>211</v>
      </c>
      <c r="J325" s="37"/>
      <c r="K325" s="36" t="str">
        <f>$T$30</f>
        <v>Công ty TNHH MTV HANTECH</v>
      </c>
      <c r="L325" s="36"/>
    </row>
    <row r="326" spans="1:32" ht="21.95" customHeight="1">
      <c r="A326" s="1488" t="s">
        <v>217</v>
      </c>
      <c r="B326" s="1488"/>
      <c r="C326" s="1488"/>
      <c r="D326" s="1488"/>
      <c r="E326" s="1488"/>
      <c r="F326" s="1488"/>
      <c r="G326" s="1488"/>
      <c r="H326" s="1488"/>
      <c r="I326" s="1488"/>
      <c r="J326" s="1488"/>
      <c r="K326" s="1488"/>
      <c r="L326" s="1488"/>
    </row>
    <row r="327" spans="1:32" ht="21.95" customHeight="1">
      <c r="A327" s="40"/>
      <c r="C327" s="24" t="s">
        <v>219</v>
      </c>
      <c r="D327" s="24"/>
      <c r="E327" s="101">
        <f>$R$16</f>
        <v>0.40972222222222215</v>
      </c>
      <c r="F327" s="1489">
        <f>J310</f>
        <v>42466</v>
      </c>
      <c r="G327" s="1489"/>
      <c r="H327" s="1489"/>
      <c r="I327" s="1489"/>
      <c r="J327" s="1489"/>
      <c r="K327" s="1489"/>
      <c r="L327" s="1489"/>
      <c r="M327" s="24"/>
      <c r="N327" s="24"/>
    </row>
    <row r="328" spans="1:32" ht="21.95" customHeight="1">
      <c r="A328" s="40"/>
      <c r="C328" s="24" t="s">
        <v>162</v>
      </c>
      <c r="D328" s="24"/>
      <c r="E328" s="101">
        <f>$T$16</f>
        <v>0.42013888888888884</v>
      </c>
      <c r="F328" s="1489">
        <f>F327</f>
        <v>42466</v>
      </c>
      <c r="G328" s="1489"/>
      <c r="H328" s="1489"/>
      <c r="I328" s="1489"/>
      <c r="J328" s="1489"/>
      <c r="K328" s="1489"/>
      <c r="L328" s="1489"/>
    </row>
    <row r="329" spans="1:32" ht="21.95" customHeight="1">
      <c r="C329" s="36" t="s">
        <v>220</v>
      </c>
      <c r="E329" s="36" t="str">
        <f>$R$3</f>
        <v>KHU HỖN HỢP CHUNG CƯ, VĂN PHÒNG, TRUNG TÂM THƯƠNG MẠI VÀ NHÀ Ở KẾT HỢP KHU MUA SẮM</v>
      </c>
      <c r="F329" s="30"/>
      <c r="G329" s="30"/>
      <c r="H329" s="30"/>
      <c r="I329" s="30"/>
      <c r="J329" s="30"/>
      <c r="K329" s="30"/>
      <c r="L329" s="30"/>
    </row>
    <row r="330" spans="1:32" ht="24" customHeight="1">
      <c r="C330" s="36" t="s">
        <v>221</v>
      </c>
      <c r="E330" s="36" t="str">
        <f>$R$4</f>
        <v>P. BẠCH ĐẰNG, TP. HẠ LONG, TỈNH QUẢNG NINH</v>
      </c>
      <c r="F330" s="30"/>
      <c r="G330" s="30"/>
      <c r="H330" s="30"/>
      <c r="I330" s="30"/>
      <c r="J330" s="30"/>
      <c r="K330" s="30"/>
      <c r="L330" s="30"/>
    </row>
    <row r="331" spans="1:32" ht="21.95" customHeight="1">
      <c r="A331" s="1488" t="s">
        <v>222</v>
      </c>
      <c r="B331" s="1488"/>
      <c r="C331" s="1488"/>
      <c r="D331" s="1488"/>
      <c r="E331" s="1488"/>
      <c r="F331" s="1488"/>
      <c r="G331" s="1488"/>
      <c r="H331" s="1488"/>
      <c r="I331" s="1488"/>
      <c r="J331" s="1488"/>
      <c r="K331" s="1488"/>
      <c r="L331" s="1488"/>
    </row>
    <row r="332" spans="1:32" ht="36" customHeight="1">
      <c r="A332" s="1491" t="s">
        <v>223</v>
      </c>
      <c r="B332" s="1491"/>
      <c r="C332" s="1491"/>
      <c r="D332" s="1491"/>
      <c r="E332" s="1491"/>
      <c r="F332" s="1491"/>
      <c r="G332" s="1491"/>
      <c r="H332" s="1491"/>
      <c r="I332" s="1491"/>
      <c r="J332" s="1491"/>
      <c r="K332" s="1491"/>
      <c r="L332" s="1491"/>
      <c r="M332" s="1491"/>
      <c r="N332" s="1491"/>
    </row>
    <row r="333" spans="1:32" ht="21.95" customHeight="1">
      <c r="A333" s="1490" t="s">
        <v>224</v>
      </c>
      <c r="B333" s="1490"/>
      <c r="C333" s="1490"/>
      <c r="D333" s="1490"/>
      <c r="E333" s="1490"/>
      <c r="F333" s="1490"/>
      <c r="G333" s="1490"/>
      <c r="H333" s="1490"/>
      <c r="I333" s="1490"/>
      <c r="J333" s="1490"/>
      <c r="K333" s="1490"/>
      <c r="L333" s="1490"/>
      <c r="M333" s="1490"/>
      <c r="N333" s="1490"/>
    </row>
    <row r="334" spans="1:32" ht="16.5">
      <c r="A334" s="5"/>
      <c r="B334" s="36" t="s">
        <v>226</v>
      </c>
      <c r="C334" s="36"/>
      <c r="D334" s="36"/>
      <c r="E334" s="36"/>
      <c r="F334" s="36"/>
      <c r="G334" s="36"/>
      <c r="H334" s="36"/>
      <c r="I334" s="36"/>
      <c r="J334" s="36"/>
      <c r="K334" s="36"/>
      <c r="L334" s="36"/>
      <c r="M334" s="36"/>
      <c r="N334" s="36"/>
      <c r="O334" s="5"/>
      <c r="P334" s="5"/>
    </row>
    <row r="335" spans="1:32" ht="21.95" customHeight="1">
      <c r="A335" s="5"/>
      <c r="B335" s="36" t="s">
        <v>227</v>
      </c>
      <c r="C335" s="36"/>
      <c r="D335" s="36"/>
      <c r="E335" s="36"/>
      <c r="F335" s="36"/>
      <c r="G335" s="36"/>
      <c r="H335" s="36"/>
      <c r="I335" s="36"/>
      <c r="J335" s="36"/>
      <c r="K335" s="36"/>
      <c r="L335" s="36"/>
      <c r="M335" s="36"/>
      <c r="N335" s="36"/>
      <c r="O335" s="5"/>
      <c r="P335" s="5"/>
    </row>
    <row r="336" spans="1:32" s="5" customFormat="1" ht="16.5">
      <c r="B336" s="36" t="s">
        <v>228</v>
      </c>
      <c r="C336" s="36"/>
      <c r="D336" s="36"/>
      <c r="E336" s="36"/>
      <c r="F336" s="36"/>
      <c r="G336" s="36"/>
      <c r="H336" s="36"/>
      <c r="I336" s="36"/>
      <c r="J336" s="36"/>
      <c r="K336" s="36"/>
      <c r="L336" s="36"/>
      <c r="M336" s="36"/>
      <c r="N336" s="36"/>
      <c r="O336" s="44"/>
      <c r="P336" s="44"/>
      <c r="Q336" s="129"/>
      <c r="R336" s="129"/>
      <c r="S336" s="129"/>
      <c r="T336" s="129"/>
      <c r="U336" s="127"/>
      <c r="V336" s="127"/>
      <c r="W336" s="127"/>
      <c r="X336" s="127"/>
      <c r="Y336" s="127"/>
      <c r="Z336" s="127"/>
      <c r="AA336" s="127"/>
      <c r="AB336" s="127"/>
      <c r="AC336" s="127"/>
      <c r="AD336" s="127"/>
      <c r="AE336" s="127"/>
      <c r="AF336" s="127"/>
    </row>
    <row r="337" spans="1:249" s="5" customFormat="1" ht="21.95" customHeight="1">
      <c r="A337" s="45"/>
      <c r="B337" s="46" t="s">
        <v>229</v>
      </c>
      <c r="C337" s="46"/>
      <c r="D337" s="46"/>
      <c r="E337" s="46"/>
      <c r="F337" s="46"/>
      <c r="G337" s="46"/>
      <c r="H337" s="46"/>
      <c r="I337" s="46"/>
      <c r="J337" s="46"/>
      <c r="K337" s="46"/>
      <c r="L337" s="46"/>
      <c r="M337" s="46"/>
      <c r="N337" s="46"/>
      <c r="O337" s="44"/>
      <c r="P337" s="44"/>
      <c r="Q337" s="129"/>
      <c r="R337" s="129"/>
      <c r="S337" s="129"/>
      <c r="T337" s="129"/>
      <c r="U337" s="127"/>
      <c r="V337" s="127"/>
      <c r="W337" s="127"/>
      <c r="X337" s="127"/>
      <c r="Y337" s="127"/>
      <c r="Z337" s="127"/>
      <c r="AA337" s="127"/>
      <c r="AB337" s="127"/>
      <c r="AC337" s="127"/>
      <c r="AD337" s="127"/>
      <c r="AE337" s="127"/>
      <c r="AF337" s="127"/>
    </row>
    <row r="338" spans="1:249" s="5" customFormat="1" ht="24" customHeight="1">
      <c r="A338" s="1490" t="s">
        <v>231</v>
      </c>
      <c r="B338" s="1490"/>
      <c r="C338" s="1490"/>
      <c r="D338" s="1490"/>
      <c r="E338" s="1490"/>
      <c r="F338" s="1490"/>
      <c r="G338" s="1490"/>
      <c r="H338" s="1490"/>
      <c r="I338" s="1490"/>
      <c r="J338" s="1490"/>
      <c r="K338" s="1490"/>
      <c r="L338" s="1490"/>
      <c r="M338" s="1490"/>
      <c r="N338" s="1490"/>
      <c r="O338" s="44"/>
      <c r="P338" s="44"/>
      <c r="Q338" s="44"/>
      <c r="R338" s="44"/>
      <c r="S338" s="44"/>
      <c r="T338" s="44"/>
      <c r="U338" s="44"/>
      <c r="V338" s="44"/>
      <c r="W338" s="44"/>
      <c r="X338" s="44"/>
      <c r="Y338" s="44"/>
      <c r="Z338" s="44"/>
      <c r="AA338" s="44"/>
      <c r="AB338" s="44"/>
      <c r="AC338" s="44"/>
      <c r="AD338" s="1490"/>
      <c r="AE338" s="1490"/>
      <c r="AF338" s="1490"/>
      <c r="AG338" s="1490"/>
      <c r="AH338" s="1490"/>
      <c r="AI338" s="1490"/>
      <c r="AJ338" s="1490"/>
      <c r="AK338" s="1490"/>
      <c r="AL338" s="1490"/>
      <c r="AM338" s="1490"/>
      <c r="AN338" s="1490"/>
      <c r="AO338" s="1490"/>
      <c r="AP338" s="1490"/>
      <c r="AQ338" s="1490"/>
      <c r="AR338" s="1490"/>
      <c r="AS338" s="1490"/>
      <c r="AT338" s="1490"/>
      <c r="AU338" s="1490"/>
      <c r="AV338" s="1490"/>
      <c r="AW338" s="1490"/>
      <c r="AX338" s="1490"/>
      <c r="AY338" s="1490"/>
      <c r="AZ338" s="1490"/>
      <c r="BA338" s="1490"/>
      <c r="BB338" s="1490"/>
      <c r="BC338" s="1490"/>
      <c r="BD338" s="1490"/>
      <c r="BE338" s="1490"/>
      <c r="BF338" s="1490"/>
      <c r="BG338" s="1490"/>
      <c r="BH338" s="1490"/>
      <c r="BI338" s="1490"/>
      <c r="BJ338" s="1490"/>
      <c r="BK338" s="1490"/>
      <c r="BL338" s="1490"/>
      <c r="BM338" s="1490"/>
      <c r="BN338" s="1490"/>
      <c r="BO338" s="1490"/>
      <c r="BP338" s="1490"/>
      <c r="BQ338" s="1490"/>
      <c r="BR338" s="1490"/>
      <c r="BS338" s="1490"/>
      <c r="BT338" s="1490"/>
      <c r="BU338" s="1490"/>
      <c r="BV338" s="1490"/>
      <c r="BW338" s="1490"/>
      <c r="BX338" s="1490"/>
      <c r="BY338" s="1490"/>
      <c r="BZ338" s="1490"/>
      <c r="CA338" s="1490"/>
      <c r="CB338" s="1490"/>
      <c r="CC338" s="1490"/>
      <c r="CD338" s="1490"/>
      <c r="CE338" s="1490"/>
      <c r="CF338" s="1490"/>
      <c r="CG338" s="1490"/>
      <c r="CH338" s="1490"/>
      <c r="CI338" s="1490"/>
      <c r="CJ338" s="1490"/>
      <c r="CK338" s="1490"/>
      <c r="CL338" s="1490"/>
      <c r="CM338" s="1490"/>
      <c r="CN338" s="1490"/>
      <c r="CO338" s="1490"/>
      <c r="CP338" s="1490"/>
      <c r="CQ338" s="1490"/>
      <c r="CR338" s="1490"/>
      <c r="CS338" s="1490"/>
      <c r="CT338" s="1490"/>
      <c r="CU338" s="1490"/>
      <c r="CV338" s="1490"/>
      <c r="CW338" s="1490"/>
      <c r="CX338" s="1490"/>
      <c r="CY338" s="1490"/>
      <c r="CZ338" s="1490"/>
      <c r="DA338" s="1490"/>
      <c r="DB338" s="1490"/>
      <c r="DC338" s="1490"/>
      <c r="DD338" s="1490"/>
      <c r="DE338" s="1490"/>
      <c r="DF338" s="1490"/>
      <c r="DG338" s="1490"/>
      <c r="DH338" s="1490"/>
      <c r="DI338" s="1490"/>
      <c r="DJ338" s="1490"/>
      <c r="DK338" s="1490"/>
      <c r="DL338" s="1490"/>
      <c r="DM338" s="1490"/>
      <c r="DN338" s="1490"/>
      <c r="DO338" s="1490"/>
      <c r="DP338" s="1490"/>
      <c r="DQ338" s="1490"/>
      <c r="DR338" s="1490"/>
      <c r="DS338" s="1490"/>
      <c r="DT338" s="1490"/>
      <c r="DU338" s="1490"/>
      <c r="DV338" s="1490"/>
      <c r="DW338" s="1490"/>
      <c r="DX338" s="1490"/>
      <c r="DY338" s="1490"/>
      <c r="DZ338" s="1490"/>
      <c r="EA338" s="1490"/>
      <c r="EB338" s="1490"/>
      <c r="EC338" s="1490"/>
      <c r="ED338" s="1490"/>
      <c r="EE338" s="1490"/>
      <c r="EF338" s="1490"/>
      <c r="EG338" s="1490"/>
      <c r="EH338" s="1490"/>
      <c r="EI338" s="1490"/>
      <c r="EJ338" s="1490"/>
      <c r="EK338" s="1490"/>
      <c r="EL338" s="1490"/>
      <c r="EM338" s="1490"/>
      <c r="EN338" s="1490"/>
      <c r="EO338" s="1490"/>
      <c r="EP338" s="1490"/>
      <c r="EQ338" s="1490"/>
      <c r="ER338" s="1490"/>
      <c r="ES338" s="1490"/>
      <c r="ET338" s="1490"/>
      <c r="EU338" s="1490"/>
      <c r="EV338" s="1490"/>
      <c r="EW338" s="1490"/>
      <c r="EX338" s="1490"/>
      <c r="EY338" s="1490"/>
      <c r="EZ338" s="1490"/>
      <c r="FA338" s="1490"/>
      <c r="FB338" s="1490"/>
      <c r="FC338" s="1490"/>
      <c r="FD338" s="1490"/>
      <c r="FE338" s="1490"/>
      <c r="FF338" s="1490"/>
      <c r="FG338" s="1490"/>
      <c r="FH338" s="1490"/>
      <c r="FI338" s="1490"/>
      <c r="FJ338" s="1490"/>
      <c r="FK338" s="1490"/>
      <c r="FL338" s="1490"/>
      <c r="FM338" s="1490"/>
      <c r="FN338" s="1490"/>
      <c r="FO338" s="1490"/>
      <c r="FP338" s="1490"/>
      <c r="FQ338" s="1490"/>
      <c r="FR338" s="1490"/>
      <c r="FS338" s="1490"/>
      <c r="FT338" s="1490"/>
      <c r="FU338" s="1490"/>
      <c r="FV338" s="1490"/>
      <c r="FW338" s="1490"/>
      <c r="FX338" s="1490"/>
      <c r="FY338" s="1490"/>
      <c r="FZ338" s="1490"/>
      <c r="GA338" s="1490"/>
      <c r="GB338" s="1490"/>
      <c r="GC338" s="1490"/>
      <c r="GD338" s="1490"/>
      <c r="GE338" s="1490"/>
      <c r="GF338" s="1490"/>
      <c r="GG338" s="1490"/>
      <c r="GH338" s="1490"/>
      <c r="GI338" s="1490"/>
      <c r="GJ338" s="1490"/>
      <c r="GK338" s="1490"/>
      <c r="GL338" s="1490"/>
      <c r="GM338" s="1490"/>
      <c r="GN338" s="1490"/>
      <c r="GO338" s="1490"/>
      <c r="GP338" s="1490"/>
      <c r="GQ338" s="1490"/>
      <c r="GR338" s="1490"/>
      <c r="GS338" s="1490"/>
      <c r="GT338" s="1490"/>
      <c r="GU338" s="1490"/>
      <c r="GV338" s="1490"/>
      <c r="GW338" s="1490"/>
      <c r="GX338" s="1490"/>
      <c r="GY338" s="1490"/>
      <c r="GZ338" s="1490"/>
      <c r="HA338" s="1490"/>
      <c r="HB338" s="1490"/>
      <c r="HC338" s="1490"/>
      <c r="HD338" s="1490"/>
      <c r="HE338" s="1490"/>
      <c r="HF338" s="1490"/>
      <c r="HG338" s="1490"/>
      <c r="HH338" s="1490"/>
      <c r="HI338" s="1490"/>
      <c r="HJ338" s="1490"/>
      <c r="HK338" s="1490"/>
      <c r="HL338" s="1490"/>
      <c r="HM338" s="1490"/>
      <c r="HN338" s="1490"/>
      <c r="HO338" s="1490"/>
      <c r="HP338" s="1490"/>
      <c r="HQ338" s="1490"/>
      <c r="HR338" s="1490"/>
      <c r="HS338" s="1490"/>
      <c r="HT338" s="1490"/>
      <c r="HU338" s="1490"/>
      <c r="HV338" s="1490"/>
      <c r="HW338" s="1490"/>
      <c r="HX338" s="1490"/>
      <c r="HY338" s="1490"/>
      <c r="HZ338" s="1490"/>
      <c r="IA338" s="1490"/>
      <c r="IB338" s="1490"/>
      <c r="IC338" s="1490"/>
      <c r="ID338" s="1490"/>
      <c r="IE338" s="1490"/>
      <c r="IF338" s="1490"/>
      <c r="IG338" s="1490"/>
      <c r="IH338" s="1490"/>
      <c r="II338" s="1490"/>
      <c r="IJ338" s="1490"/>
      <c r="IK338" s="1490"/>
      <c r="IL338" s="1490"/>
      <c r="IM338" s="1490"/>
      <c r="IN338" s="1490"/>
      <c r="IO338" s="44"/>
    </row>
    <row r="339" spans="1:249" s="5" customFormat="1" ht="24" customHeight="1">
      <c r="A339" s="1495" t="s">
        <v>232</v>
      </c>
      <c r="B339" s="1495"/>
      <c r="C339" s="1495"/>
      <c r="D339" s="1495"/>
      <c r="E339" s="1495"/>
      <c r="F339" s="1495"/>
      <c r="G339" s="1495"/>
      <c r="H339" s="1495"/>
      <c r="I339" s="1495"/>
      <c r="J339" s="1495"/>
      <c r="K339" s="1495"/>
      <c r="L339" s="1495"/>
      <c r="M339" s="1495"/>
      <c r="N339" s="1495"/>
      <c r="O339" s="47"/>
      <c r="P339" s="47"/>
      <c r="Q339" s="44"/>
      <c r="R339" s="44"/>
      <c r="S339" s="44"/>
      <c r="T339" s="44"/>
      <c r="U339" s="44"/>
      <c r="V339" s="44"/>
      <c r="W339" s="44"/>
      <c r="X339" s="44"/>
      <c r="Y339" s="44"/>
      <c r="Z339" s="44"/>
      <c r="AA339" s="44"/>
      <c r="AB339" s="44"/>
      <c r="AC339" s="44"/>
      <c r="AD339" s="1490"/>
      <c r="AE339" s="1490"/>
      <c r="AF339" s="1490"/>
      <c r="AG339" s="1490"/>
      <c r="AH339" s="1490"/>
      <c r="AI339" s="1490"/>
      <c r="AJ339" s="1490"/>
      <c r="AK339" s="1490"/>
      <c r="AL339" s="1490"/>
      <c r="AM339" s="1490"/>
      <c r="AN339" s="1490"/>
      <c r="AO339" s="1490"/>
      <c r="AP339" s="1490"/>
      <c r="AQ339" s="1490"/>
      <c r="AR339" s="1490"/>
      <c r="AS339" s="1490"/>
      <c r="AT339" s="1490"/>
      <c r="AU339" s="1490"/>
      <c r="AV339" s="1490"/>
      <c r="AW339" s="1490"/>
      <c r="AX339" s="1490"/>
      <c r="AY339" s="1490"/>
      <c r="AZ339" s="1490"/>
      <c r="BA339" s="1490"/>
      <c r="BB339" s="1490"/>
      <c r="BC339" s="1490"/>
      <c r="BD339" s="1490"/>
      <c r="BE339" s="1490"/>
      <c r="BF339" s="1490"/>
      <c r="BG339" s="1490"/>
      <c r="BH339" s="1490"/>
      <c r="BI339" s="1490"/>
      <c r="BJ339" s="1490"/>
      <c r="BK339" s="1490"/>
      <c r="BL339" s="1490"/>
      <c r="BM339" s="1490"/>
      <c r="BN339" s="1490"/>
      <c r="BO339" s="1490"/>
      <c r="BP339" s="1490"/>
      <c r="BQ339" s="1490"/>
      <c r="BR339" s="1490"/>
      <c r="BS339" s="1490"/>
      <c r="BT339" s="1490"/>
      <c r="BU339" s="1490"/>
      <c r="BV339" s="1490"/>
      <c r="BW339" s="1490"/>
      <c r="BX339" s="1490"/>
      <c r="BY339" s="1490"/>
      <c r="BZ339" s="1490"/>
      <c r="CA339" s="1490"/>
      <c r="CB339" s="1490"/>
      <c r="CC339" s="1490"/>
      <c r="CD339" s="1490"/>
      <c r="CE339" s="1490"/>
      <c r="CF339" s="1490"/>
      <c r="CG339" s="1490"/>
      <c r="CH339" s="1490"/>
      <c r="CI339" s="1490"/>
      <c r="CJ339" s="1490"/>
      <c r="CK339" s="1490"/>
      <c r="CL339" s="1490"/>
      <c r="CM339" s="1490"/>
      <c r="CN339" s="1490"/>
      <c r="CO339" s="1490"/>
      <c r="CP339" s="1490"/>
      <c r="CQ339" s="1490"/>
      <c r="CR339" s="1490"/>
      <c r="CS339" s="1490"/>
      <c r="CT339" s="1490"/>
      <c r="CU339" s="1490"/>
      <c r="CV339" s="1490"/>
      <c r="CW339" s="1490"/>
      <c r="CX339" s="1490"/>
      <c r="CY339" s="1490"/>
      <c r="CZ339" s="1490"/>
      <c r="DA339" s="1490"/>
      <c r="DB339" s="1490"/>
      <c r="DC339" s="1490"/>
      <c r="DD339" s="1490"/>
      <c r="DE339" s="1490"/>
      <c r="DF339" s="1490"/>
      <c r="DG339" s="1490"/>
      <c r="DH339" s="1490"/>
      <c r="DI339" s="1490"/>
      <c r="DJ339" s="1490"/>
      <c r="DK339" s="1490"/>
      <c r="DL339" s="1490"/>
      <c r="DM339" s="1490"/>
      <c r="DN339" s="1490"/>
      <c r="DO339" s="1490"/>
      <c r="DP339" s="1490"/>
      <c r="DQ339" s="1490"/>
      <c r="DR339" s="1490"/>
      <c r="DS339" s="1490"/>
      <c r="DT339" s="1490"/>
      <c r="DU339" s="1490"/>
      <c r="DV339" s="1490"/>
      <c r="DW339" s="1490"/>
      <c r="DX339" s="1490"/>
      <c r="DY339" s="1490"/>
      <c r="DZ339" s="1490"/>
      <c r="EA339" s="1490"/>
      <c r="EB339" s="1490"/>
      <c r="EC339" s="1490"/>
      <c r="ED339" s="1490"/>
      <c r="EE339" s="1490"/>
      <c r="EF339" s="1490"/>
      <c r="EG339" s="1490"/>
      <c r="EH339" s="1490"/>
      <c r="EI339" s="1490"/>
      <c r="EJ339" s="1490"/>
      <c r="EK339" s="1490"/>
      <c r="EL339" s="1490"/>
      <c r="EM339" s="1490"/>
      <c r="EN339" s="1490"/>
      <c r="EO339" s="1490"/>
      <c r="EP339" s="1490"/>
      <c r="EQ339" s="1490"/>
      <c r="ER339" s="1490"/>
      <c r="ES339" s="1490"/>
      <c r="ET339" s="1490"/>
      <c r="EU339" s="1490"/>
      <c r="EV339" s="1490"/>
      <c r="EW339" s="1490"/>
      <c r="EX339" s="1490"/>
      <c r="EY339" s="1490"/>
      <c r="EZ339" s="1490"/>
      <c r="FA339" s="1490"/>
      <c r="FB339" s="1490"/>
      <c r="FC339" s="1490"/>
      <c r="FD339" s="1490"/>
      <c r="FE339" s="1490"/>
      <c r="FF339" s="1490"/>
      <c r="FG339" s="1490"/>
      <c r="FH339" s="1490"/>
      <c r="FI339" s="1490"/>
      <c r="FJ339" s="1490"/>
      <c r="FK339" s="1490"/>
      <c r="FL339" s="1490"/>
      <c r="FM339" s="1490"/>
      <c r="FN339" s="1490"/>
      <c r="FO339" s="1490"/>
      <c r="FP339" s="1490"/>
      <c r="FQ339" s="1490"/>
      <c r="FR339" s="1490"/>
      <c r="FS339" s="1490"/>
      <c r="FT339" s="1490"/>
      <c r="FU339" s="1490"/>
      <c r="FV339" s="1490"/>
      <c r="FW339" s="1490"/>
      <c r="FX339" s="1490"/>
      <c r="FY339" s="1490"/>
      <c r="FZ339" s="1490"/>
      <c r="GA339" s="1490"/>
      <c r="GB339" s="1490"/>
      <c r="GC339" s="1490"/>
      <c r="GD339" s="1490"/>
      <c r="GE339" s="1490"/>
      <c r="GF339" s="1490"/>
      <c r="GG339" s="1490"/>
      <c r="GH339" s="1490"/>
      <c r="GI339" s="1490"/>
      <c r="GJ339" s="1490"/>
      <c r="GK339" s="1490"/>
      <c r="GL339" s="1490"/>
      <c r="GM339" s="1490"/>
      <c r="GN339" s="1490"/>
      <c r="GO339" s="1490"/>
      <c r="GP339" s="1490"/>
      <c r="GQ339" s="1490"/>
      <c r="GR339" s="1490"/>
      <c r="GS339" s="1490"/>
      <c r="GT339" s="1490"/>
      <c r="GU339" s="1490"/>
      <c r="GV339" s="1490"/>
      <c r="GW339" s="1490"/>
      <c r="GX339" s="1490"/>
      <c r="GY339" s="1490"/>
      <c r="GZ339" s="1490"/>
      <c r="HA339" s="1490"/>
      <c r="HB339" s="1490"/>
      <c r="HC339" s="1490"/>
      <c r="HD339" s="1490"/>
      <c r="HE339" s="1490"/>
      <c r="HF339" s="1490"/>
      <c r="HG339" s="1490"/>
      <c r="HH339" s="1490"/>
      <c r="HI339" s="1490"/>
      <c r="HJ339" s="1490"/>
      <c r="HK339" s="1490"/>
      <c r="HL339" s="1490"/>
      <c r="HM339" s="1490"/>
      <c r="HN339" s="1490"/>
      <c r="HO339" s="1490"/>
      <c r="HP339" s="1490"/>
      <c r="HQ339" s="1490"/>
      <c r="HR339" s="1490"/>
      <c r="HS339" s="1490"/>
      <c r="HT339" s="1490"/>
      <c r="HU339" s="1490"/>
      <c r="HV339" s="1490"/>
      <c r="HW339" s="1490"/>
      <c r="HX339" s="1490"/>
      <c r="HY339" s="1490"/>
      <c r="HZ339" s="1490"/>
      <c r="IA339" s="1490"/>
      <c r="IB339" s="1490"/>
      <c r="IC339" s="1490"/>
      <c r="ID339" s="1490"/>
      <c r="IE339" s="1490"/>
      <c r="IF339" s="1490"/>
      <c r="IG339" s="1490"/>
      <c r="IH339" s="1490"/>
      <c r="II339" s="1490"/>
      <c r="IJ339" s="1490"/>
      <c r="IK339" s="1490"/>
      <c r="IL339" s="1490"/>
      <c r="IM339" s="1490"/>
      <c r="IN339" s="1490"/>
      <c r="IO339" s="44"/>
    </row>
    <row r="340" spans="1:249" s="5" customFormat="1" ht="24" customHeight="1">
      <c r="A340" s="1495" t="s">
        <v>233</v>
      </c>
      <c r="B340" s="1495"/>
      <c r="C340" s="1495"/>
      <c r="D340" s="1495"/>
      <c r="E340" s="1495"/>
      <c r="F340" s="1495"/>
      <c r="G340" s="1495"/>
      <c r="H340" s="1495"/>
      <c r="I340" s="1495"/>
      <c r="J340" s="1495"/>
      <c r="K340" s="1495"/>
      <c r="L340" s="1495"/>
      <c r="M340" s="1495"/>
      <c r="N340" s="1495"/>
      <c r="O340" s="44"/>
      <c r="P340" s="44"/>
      <c r="Q340" s="102"/>
      <c r="R340" s="102"/>
      <c r="S340" s="102"/>
      <c r="T340" s="102"/>
      <c r="U340" s="44"/>
      <c r="V340" s="44"/>
      <c r="W340" s="44"/>
      <c r="X340" s="44"/>
      <c r="Y340" s="44"/>
      <c r="Z340" s="44"/>
      <c r="AA340" s="44"/>
      <c r="AB340" s="44"/>
      <c r="AC340" s="44"/>
      <c r="AD340" s="44"/>
      <c r="AE340" s="44"/>
      <c r="AF340" s="44"/>
      <c r="AG340" s="44"/>
      <c r="AH340" s="44"/>
      <c r="AI340" s="44"/>
      <c r="AJ340" s="44"/>
      <c r="AK340" s="44"/>
      <c r="AL340" s="44"/>
      <c r="AM340" s="44"/>
      <c r="AN340" s="44"/>
      <c r="AO340" s="44"/>
      <c r="AP340" s="44"/>
      <c r="AQ340" s="44"/>
      <c r="AR340" s="44"/>
      <c r="AS340" s="44"/>
      <c r="AT340" s="44"/>
      <c r="AU340" s="44"/>
      <c r="AV340" s="44"/>
      <c r="AW340" s="44"/>
      <c r="AX340" s="44"/>
      <c r="AY340" s="44"/>
      <c r="AZ340" s="44"/>
      <c r="BA340" s="44"/>
      <c r="BB340" s="44"/>
      <c r="BC340" s="44"/>
      <c r="BD340" s="44"/>
      <c r="BE340" s="44"/>
      <c r="BF340" s="44"/>
      <c r="BG340" s="44"/>
      <c r="BH340" s="44"/>
      <c r="BI340" s="44"/>
      <c r="BJ340" s="44"/>
      <c r="BK340" s="44"/>
      <c r="BL340" s="44"/>
      <c r="BM340" s="44"/>
      <c r="BN340" s="44"/>
      <c r="BO340" s="44"/>
      <c r="BP340" s="44"/>
      <c r="BQ340" s="44"/>
      <c r="BR340" s="44"/>
      <c r="BS340" s="44"/>
      <c r="BT340" s="44"/>
      <c r="BU340" s="44"/>
      <c r="BV340" s="44"/>
      <c r="BW340" s="44"/>
      <c r="BX340" s="44"/>
      <c r="BY340" s="44"/>
      <c r="BZ340" s="44"/>
      <c r="CA340" s="44"/>
      <c r="CB340" s="44"/>
      <c r="CC340" s="44"/>
      <c r="CD340" s="44"/>
      <c r="CE340" s="44"/>
      <c r="CF340" s="44"/>
      <c r="CG340" s="44"/>
      <c r="CH340" s="44"/>
      <c r="CI340" s="44"/>
      <c r="CJ340" s="44"/>
      <c r="CK340" s="44"/>
      <c r="CL340" s="44"/>
      <c r="CM340" s="44"/>
      <c r="CN340" s="44"/>
      <c r="CO340" s="44"/>
      <c r="CP340" s="44"/>
      <c r="CQ340" s="44"/>
      <c r="CR340" s="44"/>
      <c r="CS340" s="44"/>
      <c r="CT340" s="44"/>
      <c r="CU340" s="44"/>
      <c r="CV340" s="44"/>
      <c r="CW340" s="44"/>
      <c r="CX340" s="44"/>
      <c r="CY340" s="44"/>
      <c r="CZ340" s="44"/>
      <c r="DA340" s="44"/>
      <c r="DB340" s="44"/>
      <c r="DC340" s="44"/>
      <c r="DD340" s="44"/>
      <c r="DE340" s="44"/>
      <c r="DF340" s="44"/>
      <c r="DG340" s="44"/>
      <c r="DH340" s="44"/>
      <c r="DI340" s="44"/>
      <c r="DJ340" s="44"/>
      <c r="DK340" s="44"/>
      <c r="DL340" s="44"/>
      <c r="DM340" s="44"/>
      <c r="DN340" s="44"/>
      <c r="DO340" s="44"/>
      <c r="DP340" s="44"/>
      <c r="DQ340" s="44"/>
      <c r="DR340" s="44"/>
      <c r="DS340" s="44"/>
      <c r="DT340" s="44"/>
      <c r="DU340" s="44"/>
      <c r="DV340" s="44"/>
      <c r="DW340" s="44"/>
      <c r="DX340" s="44"/>
      <c r="DY340" s="44"/>
      <c r="DZ340" s="44"/>
      <c r="EA340" s="44"/>
      <c r="EB340" s="44"/>
      <c r="EC340" s="44"/>
      <c r="ED340" s="44"/>
      <c r="EE340" s="44"/>
      <c r="EF340" s="44"/>
      <c r="EG340" s="44"/>
      <c r="EH340" s="44"/>
      <c r="EI340" s="44"/>
      <c r="EJ340" s="44"/>
      <c r="EK340" s="44"/>
      <c r="EL340" s="44"/>
      <c r="EM340" s="44"/>
      <c r="EN340" s="44"/>
      <c r="EO340" s="44"/>
      <c r="EP340" s="44"/>
      <c r="EQ340" s="44"/>
      <c r="ER340" s="44"/>
      <c r="ES340" s="44"/>
      <c r="ET340" s="44"/>
      <c r="EU340" s="44"/>
      <c r="EV340" s="44"/>
      <c r="EW340" s="44"/>
      <c r="EX340" s="44"/>
      <c r="EY340" s="44"/>
      <c r="EZ340" s="44"/>
      <c r="FA340" s="44"/>
      <c r="FB340" s="44"/>
      <c r="FC340" s="44"/>
      <c r="FD340" s="44"/>
      <c r="FE340" s="44"/>
      <c r="FF340" s="44"/>
      <c r="FG340" s="44"/>
      <c r="FH340" s="44"/>
      <c r="FI340" s="44"/>
      <c r="FJ340" s="44"/>
      <c r="FK340" s="44"/>
      <c r="FL340" s="44"/>
      <c r="FM340" s="44"/>
      <c r="FN340" s="44"/>
      <c r="FO340" s="44"/>
      <c r="FP340" s="44"/>
      <c r="FQ340" s="44"/>
      <c r="FR340" s="44"/>
      <c r="FS340" s="44"/>
      <c r="FT340" s="44"/>
      <c r="FU340" s="44"/>
      <c r="FV340" s="44"/>
      <c r="FW340" s="44"/>
      <c r="FX340" s="44"/>
      <c r="FY340" s="44"/>
      <c r="FZ340" s="44"/>
      <c r="GA340" s="44"/>
      <c r="GB340" s="44"/>
      <c r="GC340" s="44"/>
      <c r="GD340" s="44"/>
      <c r="GE340" s="44"/>
      <c r="GF340" s="44"/>
      <c r="GG340" s="44"/>
      <c r="GH340" s="44"/>
      <c r="GI340" s="44"/>
      <c r="GJ340" s="44"/>
      <c r="GK340" s="44"/>
      <c r="GL340" s="44"/>
      <c r="GM340" s="44"/>
      <c r="GN340" s="44"/>
      <c r="GO340" s="44"/>
      <c r="GP340" s="44"/>
      <c r="GQ340" s="44"/>
      <c r="GR340" s="44"/>
      <c r="GS340" s="44"/>
      <c r="GT340" s="44"/>
      <c r="GU340" s="44"/>
      <c r="GV340" s="44"/>
      <c r="GW340" s="44"/>
      <c r="GX340" s="44"/>
      <c r="GY340" s="44"/>
      <c r="GZ340" s="44"/>
      <c r="HA340" s="44"/>
      <c r="HB340" s="44"/>
      <c r="HC340" s="44"/>
      <c r="HD340" s="44"/>
      <c r="HE340" s="44"/>
      <c r="HF340" s="44"/>
      <c r="HG340" s="44"/>
      <c r="HH340" s="44"/>
      <c r="HI340" s="44"/>
      <c r="HJ340" s="44"/>
      <c r="HK340" s="44"/>
      <c r="HL340" s="44"/>
      <c r="HM340" s="44"/>
      <c r="HN340" s="44"/>
      <c r="HO340" s="44"/>
      <c r="HP340" s="44"/>
      <c r="HQ340" s="44"/>
      <c r="HR340" s="44"/>
      <c r="HS340" s="44"/>
      <c r="HT340" s="44"/>
      <c r="HU340" s="44"/>
      <c r="HV340" s="44"/>
      <c r="HW340" s="44"/>
      <c r="HX340" s="44"/>
      <c r="HY340" s="44"/>
      <c r="HZ340" s="44"/>
      <c r="IA340" s="44"/>
      <c r="IB340" s="44"/>
      <c r="IC340" s="44"/>
      <c r="ID340" s="44"/>
      <c r="IE340" s="44"/>
      <c r="IF340" s="44"/>
      <c r="IG340" s="44"/>
      <c r="IH340" s="44"/>
      <c r="II340" s="44"/>
      <c r="IJ340" s="44"/>
      <c r="IK340" s="44"/>
      <c r="IL340" s="44"/>
      <c r="IM340" s="44"/>
      <c r="IN340" s="44"/>
      <c r="IO340" s="44"/>
    </row>
    <row r="341" spans="1:249" s="45" customFormat="1" ht="21.95" customHeight="1">
      <c r="A341" s="48" t="s">
        <v>234</v>
      </c>
      <c r="B341" s="39"/>
      <c r="C341" s="39"/>
      <c r="D341" s="39"/>
      <c r="E341" s="39"/>
      <c r="F341" s="39"/>
      <c r="G341" s="39"/>
      <c r="H341" s="39"/>
      <c r="I341" s="39"/>
      <c r="J341" s="39"/>
      <c r="K341" s="39"/>
      <c r="L341" s="39"/>
      <c r="M341" s="39"/>
      <c r="N341" s="39"/>
      <c r="O341" s="44"/>
      <c r="P341" s="44"/>
      <c r="Q341" s="103"/>
      <c r="R341" s="103"/>
      <c r="S341" s="103"/>
      <c r="T341" s="103"/>
      <c r="U341" s="47"/>
      <c r="V341" s="47"/>
      <c r="W341" s="47"/>
      <c r="X341" s="47"/>
      <c r="Y341" s="47"/>
      <c r="Z341" s="47"/>
      <c r="AA341" s="47"/>
      <c r="AB341" s="47"/>
      <c r="AC341" s="47"/>
      <c r="AD341" s="47"/>
      <c r="AE341" s="47"/>
      <c r="AF341" s="47"/>
      <c r="AG341" s="47"/>
      <c r="AH341" s="47"/>
      <c r="AI341" s="47"/>
      <c r="AJ341" s="47"/>
      <c r="AK341" s="47"/>
      <c r="AL341" s="47"/>
      <c r="AM341" s="47"/>
      <c r="AN341" s="47"/>
      <c r="AO341" s="47"/>
      <c r="AP341" s="47"/>
      <c r="AQ341" s="47"/>
      <c r="AR341" s="47"/>
      <c r="AS341" s="47"/>
      <c r="AT341" s="47"/>
      <c r="AU341" s="47"/>
      <c r="AV341" s="47"/>
      <c r="AW341" s="47"/>
      <c r="AX341" s="47"/>
      <c r="AY341" s="47"/>
      <c r="AZ341" s="47"/>
      <c r="BA341" s="47"/>
      <c r="BB341" s="47"/>
      <c r="BC341" s="47"/>
      <c r="BD341" s="47"/>
      <c r="BE341" s="47"/>
      <c r="BF341" s="47"/>
      <c r="BG341" s="47"/>
      <c r="BH341" s="47"/>
      <c r="BI341" s="47"/>
      <c r="BJ341" s="47"/>
      <c r="BK341" s="47"/>
      <c r="BL341" s="47"/>
      <c r="BM341" s="47"/>
      <c r="BN341" s="47"/>
      <c r="BO341" s="47"/>
      <c r="BP341" s="47"/>
      <c r="BQ341" s="47"/>
      <c r="BR341" s="47"/>
      <c r="BS341" s="47"/>
      <c r="BT341" s="47"/>
      <c r="BU341" s="47"/>
      <c r="BV341" s="47"/>
      <c r="BW341" s="47"/>
      <c r="BX341" s="47"/>
      <c r="BY341" s="47"/>
      <c r="BZ341" s="47"/>
      <c r="CA341" s="47"/>
      <c r="CB341" s="47"/>
      <c r="CC341" s="47"/>
      <c r="CD341" s="47"/>
      <c r="CE341" s="47"/>
      <c r="CF341" s="47"/>
      <c r="CG341" s="47"/>
      <c r="CH341" s="47"/>
      <c r="CI341" s="47"/>
      <c r="CJ341" s="47"/>
      <c r="CK341" s="47"/>
      <c r="CL341" s="47"/>
      <c r="CM341" s="47"/>
      <c r="CN341" s="47"/>
      <c r="CO341" s="47"/>
      <c r="CP341" s="47"/>
      <c r="CQ341" s="47"/>
      <c r="CR341" s="47"/>
      <c r="CS341" s="47"/>
      <c r="CT341" s="47"/>
      <c r="CU341" s="47"/>
      <c r="CV341" s="47"/>
      <c r="CW341" s="47"/>
      <c r="CX341" s="47"/>
      <c r="CY341" s="47"/>
      <c r="CZ341" s="47"/>
      <c r="DA341" s="47"/>
      <c r="DB341" s="47"/>
      <c r="DC341" s="47"/>
      <c r="DD341" s="47"/>
      <c r="DE341" s="47"/>
      <c r="DF341" s="47"/>
      <c r="DG341" s="47"/>
      <c r="DH341" s="47"/>
      <c r="DI341" s="47"/>
      <c r="DJ341" s="47"/>
      <c r="DK341" s="47"/>
      <c r="DL341" s="47"/>
      <c r="DM341" s="47"/>
      <c r="DN341" s="47"/>
      <c r="DO341" s="47"/>
      <c r="DP341" s="47"/>
      <c r="DQ341" s="47"/>
      <c r="DR341" s="47"/>
      <c r="DS341" s="47"/>
      <c r="DT341" s="47"/>
      <c r="DU341" s="47"/>
      <c r="DV341" s="47"/>
      <c r="DW341" s="47"/>
      <c r="DX341" s="47"/>
      <c r="DY341" s="47"/>
      <c r="DZ341" s="47"/>
      <c r="EA341" s="47"/>
      <c r="EB341" s="47"/>
      <c r="EC341" s="47"/>
      <c r="ED341" s="47"/>
      <c r="EE341" s="47"/>
      <c r="EF341" s="47"/>
      <c r="EG341" s="47"/>
      <c r="EH341" s="47"/>
      <c r="EI341" s="47"/>
      <c r="EJ341" s="47"/>
      <c r="EK341" s="47"/>
      <c r="EL341" s="47"/>
      <c r="EM341" s="47"/>
      <c r="EN341" s="47"/>
      <c r="EO341" s="47"/>
      <c r="EP341" s="47"/>
      <c r="EQ341" s="47"/>
      <c r="ER341" s="47"/>
      <c r="ES341" s="47"/>
      <c r="ET341" s="47"/>
      <c r="EU341" s="47"/>
      <c r="EV341" s="47"/>
      <c r="EW341" s="47"/>
      <c r="EX341" s="47"/>
      <c r="EY341" s="47"/>
      <c r="EZ341" s="47"/>
      <c r="FA341" s="47"/>
      <c r="FB341" s="47"/>
      <c r="FC341" s="47"/>
      <c r="FD341" s="47"/>
      <c r="FE341" s="47"/>
      <c r="FF341" s="47"/>
      <c r="FG341" s="47"/>
      <c r="FH341" s="47"/>
      <c r="FI341" s="47"/>
      <c r="FJ341" s="47"/>
      <c r="FK341" s="47"/>
      <c r="FL341" s="47"/>
      <c r="FM341" s="47"/>
      <c r="FN341" s="47"/>
      <c r="FO341" s="47"/>
      <c r="FP341" s="47"/>
      <c r="FQ341" s="47"/>
      <c r="FR341" s="47"/>
      <c r="FS341" s="47"/>
      <c r="FT341" s="47"/>
      <c r="FU341" s="47"/>
      <c r="FV341" s="47"/>
      <c r="FW341" s="47"/>
      <c r="FX341" s="47"/>
      <c r="FY341" s="47"/>
      <c r="FZ341" s="47"/>
      <c r="GA341" s="47"/>
      <c r="GB341" s="47"/>
      <c r="GC341" s="47"/>
      <c r="GD341" s="47"/>
      <c r="GE341" s="47"/>
      <c r="GF341" s="47"/>
      <c r="GG341" s="47"/>
      <c r="GH341" s="47"/>
      <c r="GI341" s="47"/>
      <c r="GJ341" s="47"/>
      <c r="GK341" s="47"/>
      <c r="GL341" s="47"/>
      <c r="GM341" s="47"/>
      <c r="GN341" s="47"/>
      <c r="GO341" s="47"/>
      <c r="GP341" s="47"/>
      <c r="GQ341" s="47"/>
      <c r="GR341" s="47"/>
      <c r="GS341" s="47"/>
      <c r="GT341" s="47"/>
      <c r="GU341" s="47"/>
      <c r="GV341" s="47"/>
      <c r="GW341" s="47"/>
      <c r="GX341" s="47"/>
      <c r="GY341" s="47"/>
      <c r="GZ341" s="47"/>
      <c r="HA341" s="47"/>
      <c r="HB341" s="47"/>
      <c r="HC341" s="47"/>
      <c r="HD341" s="47"/>
      <c r="HE341" s="47"/>
      <c r="HF341" s="47"/>
      <c r="HG341" s="47"/>
      <c r="HH341" s="47"/>
      <c r="HI341" s="47"/>
      <c r="HJ341" s="47"/>
      <c r="HK341" s="47"/>
      <c r="HL341" s="47"/>
      <c r="HM341" s="47"/>
      <c r="HN341" s="47"/>
      <c r="HO341" s="47"/>
      <c r="HP341" s="47"/>
      <c r="HQ341" s="47"/>
      <c r="HR341" s="47"/>
      <c r="HS341" s="47"/>
      <c r="HT341" s="47"/>
      <c r="HU341" s="47"/>
      <c r="HV341" s="47"/>
      <c r="HW341" s="47"/>
      <c r="HX341" s="47"/>
      <c r="HY341" s="47"/>
      <c r="HZ341" s="47"/>
      <c r="IA341" s="47"/>
      <c r="IB341" s="47"/>
      <c r="IC341" s="47"/>
      <c r="ID341" s="47"/>
      <c r="IE341" s="47"/>
      <c r="IF341" s="47"/>
      <c r="IG341" s="47"/>
      <c r="IH341" s="47"/>
      <c r="II341" s="47"/>
      <c r="IJ341" s="47"/>
      <c r="IK341" s="47"/>
      <c r="IL341" s="47"/>
      <c r="IM341" s="47"/>
      <c r="IN341" s="47"/>
    </row>
    <row r="342" spans="1:249" s="5" customFormat="1" ht="21.95" customHeight="1">
      <c r="A342" s="1495" t="s">
        <v>235</v>
      </c>
      <c r="B342" s="1495"/>
      <c r="C342" s="1495"/>
      <c r="D342" s="1495"/>
      <c r="E342" s="1495"/>
      <c r="F342" s="1495"/>
      <c r="G342" s="1495"/>
      <c r="H342" s="1495"/>
      <c r="I342" s="1495"/>
      <c r="J342" s="1495"/>
      <c r="K342" s="1495"/>
      <c r="L342" s="1495"/>
      <c r="M342" s="1495"/>
      <c r="N342" s="1495"/>
      <c r="Q342" s="44"/>
      <c r="R342" s="44"/>
      <c r="S342" s="44"/>
      <c r="T342" s="44"/>
      <c r="U342" s="44"/>
      <c r="V342" s="44"/>
      <c r="W342" s="44"/>
      <c r="X342" s="44"/>
      <c r="Y342" s="44"/>
      <c r="Z342" s="44"/>
      <c r="AA342" s="44"/>
      <c r="AB342" s="44"/>
      <c r="AC342" s="44"/>
      <c r="AD342" s="1490"/>
      <c r="AE342" s="1490"/>
      <c r="AF342" s="1490"/>
      <c r="AG342" s="1490"/>
      <c r="AH342" s="1490"/>
      <c r="AI342" s="1490"/>
      <c r="AJ342" s="1490"/>
      <c r="AK342" s="1490"/>
      <c r="AL342" s="1490"/>
      <c r="AM342" s="1490"/>
      <c r="AN342" s="1490"/>
      <c r="AO342" s="1490"/>
      <c r="AP342" s="1490"/>
      <c r="AQ342" s="1490"/>
      <c r="AR342" s="1490"/>
      <c r="AS342" s="1490"/>
      <c r="AT342" s="1490"/>
      <c r="AU342" s="1490"/>
      <c r="AV342" s="1490"/>
      <c r="AW342" s="1490"/>
      <c r="AX342" s="1490"/>
      <c r="AY342" s="1490"/>
      <c r="AZ342" s="1490"/>
      <c r="BA342" s="1490"/>
      <c r="BB342" s="1490"/>
      <c r="BC342" s="1490"/>
      <c r="BD342" s="1490"/>
      <c r="BE342" s="1490"/>
      <c r="BF342" s="1490"/>
      <c r="BG342" s="1490"/>
      <c r="BH342" s="1490"/>
      <c r="BI342" s="1490"/>
      <c r="BJ342" s="1490"/>
      <c r="BK342" s="1490"/>
      <c r="BL342" s="1490"/>
      <c r="BM342" s="1490"/>
      <c r="BN342" s="1490"/>
      <c r="BO342" s="1490"/>
      <c r="BP342" s="1490"/>
      <c r="BQ342" s="1490"/>
      <c r="BR342" s="1490"/>
      <c r="BS342" s="1490"/>
      <c r="BT342" s="1490"/>
      <c r="BU342" s="1490"/>
      <c r="BV342" s="1490"/>
      <c r="BW342" s="1490"/>
      <c r="BX342" s="1490"/>
      <c r="BY342" s="1490"/>
      <c r="BZ342" s="1490"/>
      <c r="CA342" s="1490"/>
      <c r="CB342" s="1490"/>
      <c r="CC342" s="1490"/>
      <c r="CD342" s="1490"/>
      <c r="CE342" s="1490"/>
      <c r="CF342" s="1490"/>
      <c r="CG342" s="1490"/>
      <c r="CH342" s="1490"/>
      <c r="CI342" s="1490"/>
      <c r="CJ342" s="1490"/>
      <c r="CK342" s="1490"/>
      <c r="CL342" s="1490"/>
      <c r="CM342" s="1490"/>
      <c r="CN342" s="1490"/>
      <c r="CO342" s="1490"/>
      <c r="CP342" s="1490"/>
      <c r="CQ342" s="1490"/>
      <c r="CR342" s="1490"/>
      <c r="CS342" s="1490"/>
      <c r="CT342" s="1490"/>
      <c r="CU342" s="1490"/>
      <c r="CV342" s="1490"/>
      <c r="CW342" s="1490"/>
      <c r="CX342" s="1490"/>
      <c r="CY342" s="1490"/>
      <c r="CZ342" s="1490"/>
      <c r="DA342" s="1490"/>
      <c r="DB342" s="1490"/>
      <c r="DC342" s="1490"/>
      <c r="DD342" s="1490"/>
      <c r="DE342" s="1490"/>
      <c r="DF342" s="1490"/>
      <c r="DG342" s="1490"/>
      <c r="DH342" s="1490"/>
      <c r="DI342" s="1490"/>
      <c r="DJ342" s="1490"/>
      <c r="DK342" s="1490"/>
      <c r="DL342" s="1490"/>
      <c r="DM342" s="1490"/>
      <c r="DN342" s="1490"/>
      <c r="DO342" s="1490"/>
      <c r="DP342" s="1490"/>
      <c r="DQ342" s="1490"/>
      <c r="DR342" s="1490"/>
      <c r="DS342" s="1490"/>
      <c r="DT342" s="1490"/>
      <c r="DU342" s="1490"/>
      <c r="DV342" s="1490"/>
      <c r="DW342" s="1490"/>
      <c r="DX342" s="1490"/>
      <c r="DY342" s="1490"/>
      <c r="DZ342" s="1490"/>
      <c r="EA342" s="1490"/>
      <c r="EB342" s="1490"/>
      <c r="EC342" s="1490"/>
      <c r="ED342" s="1490"/>
      <c r="EE342" s="1490"/>
      <c r="EF342" s="1490"/>
      <c r="EG342" s="1490"/>
      <c r="EH342" s="1490"/>
      <c r="EI342" s="1490"/>
      <c r="EJ342" s="1490"/>
      <c r="EK342" s="1490"/>
      <c r="EL342" s="1490"/>
      <c r="EM342" s="1490"/>
      <c r="EN342" s="1490"/>
      <c r="EO342" s="1490"/>
      <c r="EP342" s="1490"/>
      <c r="EQ342" s="1490"/>
      <c r="ER342" s="1490"/>
      <c r="ES342" s="1490"/>
      <c r="ET342" s="1490"/>
      <c r="EU342" s="1490"/>
      <c r="EV342" s="1490"/>
      <c r="EW342" s="1490"/>
      <c r="EX342" s="1490"/>
      <c r="EY342" s="1490"/>
      <c r="EZ342" s="1490"/>
      <c r="FA342" s="1490"/>
      <c r="FB342" s="1490"/>
      <c r="FC342" s="1490"/>
      <c r="FD342" s="1490"/>
      <c r="FE342" s="1490"/>
      <c r="FF342" s="1490"/>
      <c r="FG342" s="1490"/>
      <c r="FH342" s="1490"/>
      <c r="FI342" s="1490"/>
      <c r="FJ342" s="1490"/>
      <c r="FK342" s="1490"/>
      <c r="FL342" s="1490"/>
      <c r="FM342" s="1490"/>
      <c r="FN342" s="1490"/>
      <c r="FO342" s="1490"/>
      <c r="FP342" s="1490"/>
      <c r="FQ342" s="1490"/>
      <c r="FR342" s="1490"/>
      <c r="FS342" s="1490"/>
      <c r="FT342" s="1490"/>
      <c r="FU342" s="1490"/>
      <c r="FV342" s="1490"/>
      <c r="FW342" s="1490"/>
      <c r="FX342" s="1490"/>
      <c r="FY342" s="1490"/>
      <c r="FZ342" s="1490"/>
      <c r="GA342" s="1490"/>
      <c r="GB342" s="1490"/>
      <c r="GC342" s="1490"/>
      <c r="GD342" s="1490"/>
      <c r="GE342" s="1490"/>
      <c r="GF342" s="1490"/>
      <c r="GG342" s="1490"/>
      <c r="GH342" s="1490"/>
      <c r="GI342" s="1490"/>
      <c r="GJ342" s="1490"/>
      <c r="GK342" s="1490"/>
      <c r="GL342" s="1490"/>
      <c r="GM342" s="1490"/>
      <c r="GN342" s="1490"/>
      <c r="GO342" s="1490"/>
      <c r="GP342" s="1490"/>
      <c r="GQ342" s="1490"/>
      <c r="GR342" s="1490"/>
      <c r="GS342" s="1490"/>
      <c r="GT342" s="1490"/>
      <c r="GU342" s="1490"/>
      <c r="GV342" s="1490"/>
      <c r="GW342" s="1490"/>
      <c r="GX342" s="1490"/>
      <c r="GY342" s="1490"/>
      <c r="GZ342" s="1490"/>
      <c r="HA342" s="1490"/>
      <c r="HB342" s="1490"/>
      <c r="HC342" s="1490"/>
      <c r="HD342" s="1490"/>
      <c r="HE342" s="1490"/>
      <c r="HF342" s="1490"/>
      <c r="HG342" s="1490"/>
      <c r="HH342" s="1490"/>
      <c r="HI342" s="1490"/>
      <c r="HJ342" s="1490"/>
      <c r="HK342" s="1490"/>
      <c r="HL342" s="1490"/>
      <c r="HM342" s="1490"/>
      <c r="HN342" s="1490"/>
      <c r="HO342" s="1490"/>
      <c r="HP342" s="1490"/>
      <c r="HQ342" s="1490"/>
      <c r="HR342" s="1490"/>
      <c r="HS342" s="1490"/>
      <c r="HT342" s="1490"/>
      <c r="HU342" s="1490"/>
      <c r="HV342" s="1490"/>
      <c r="HW342" s="1490"/>
      <c r="HX342" s="1490"/>
      <c r="HY342" s="1490"/>
      <c r="HZ342" s="1490"/>
      <c r="IA342" s="1490"/>
      <c r="IB342" s="1490"/>
      <c r="IC342" s="1490"/>
      <c r="ID342" s="1490"/>
      <c r="IE342" s="1490"/>
      <c r="IF342" s="1490"/>
      <c r="IG342" s="1490"/>
      <c r="IH342" s="1490"/>
      <c r="II342" s="1490"/>
      <c r="IJ342" s="1490"/>
      <c r="IK342" s="1490"/>
      <c r="IL342" s="1490"/>
      <c r="IM342" s="1490"/>
      <c r="IN342" s="1490"/>
      <c r="IO342" s="44"/>
    </row>
    <row r="343" spans="1:249" s="5" customFormat="1" ht="25.5" customHeight="1">
      <c r="A343" s="99" t="s">
        <v>281</v>
      </c>
      <c r="B343" s="44"/>
      <c r="C343" s="44"/>
      <c r="D343" s="44"/>
      <c r="E343" s="44"/>
      <c r="F343" s="104" t="str">
        <f>A274</f>
        <v>sè:  PM-B1-BEN/800</v>
      </c>
      <c r="G343" s="44"/>
      <c r="H343" s="44"/>
      <c r="I343" s="44"/>
      <c r="J343" s="44"/>
      <c r="K343" s="44"/>
      <c r="L343" s="44"/>
      <c r="M343" s="44"/>
      <c r="N343" s="44"/>
      <c r="O343" s="49"/>
      <c r="P343" s="49"/>
      <c r="Q343" s="44"/>
      <c r="R343" s="44"/>
      <c r="S343" s="44"/>
      <c r="T343" s="44"/>
      <c r="U343" s="44"/>
      <c r="V343" s="44"/>
      <c r="W343" s="44"/>
      <c r="X343" s="44"/>
      <c r="Y343" s="44"/>
      <c r="Z343" s="44"/>
      <c r="AA343" s="44"/>
      <c r="AB343" s="44"/>
      <c r="AC343" s="44"/>
      <c r="AD343" s="1490"/>
      <c r="AE343" s="1490"/>
      <c r="AF343" s="1490"/>
      <c r="AG343" s="1490"/>
      <c r="AH343" s="1490"/>
      <c r="AI343" s="1490"/>
      <c r="AJ343" s="1490"/>
      <c r="AK343" s="1490"/>
      <c r="AL343" s="1490"/>
      <c r="AM343" s="1490"/>
      <c r="AN343" s="1490"/>
      <c r="AO343" s="1490"/>
      <c r="AP343" s="1490"/>
      <c r="AQ343" s="1490"/>
      <c r="AR343" s="1490"/>
      <c r="AS343" s="1490"/>
      <c r="AT343" s="1490"/>
      <c r="AU343" s="1490"/>
      <c r="AV343" s="1490"/>
      <c r="AW343" s="1490"/>
      <c r="AX343" s="1490"/>
      <c r="AY343" s="1490"/>
      <c r="AZ343" s="1490"/>
      <c r="BA343" s="1490"/>
      <c r="BB343" s="1490"/>
      <c r="BC343" s="1490"/>
      <c r="BD343" s="1490"/>
      <c r="BE343" s="1490"/>
      <c r="BF343" s="1490"/>
      <c r="BG343" s="1490"/>
      <c r="BH343" s="1490"/>
      <c r="BI343" s="1490"/>
      <c r="BJ343" s="1490"/>
      <c r="BK343" s="1490"/>
      <c r="BL343" s="1490"/>
      <c r="BM343" s="1490"/>
      <c r="BN343" s="1490"/>
      <c r="BO343" s="1490"/>
      <c r="BP343" s="1490"/>
      <c r="BQ343" s="1490"/>
      <c r="BR343" s="1490"/>
      <c r="BS343" s="1490"/>
      <c r="BT343" s="1490"/>
      <c r="BU343" s="1490"/>
      <c r="BV343" s="1490"/>
      <c r="BW343" s="1490"/>
      <c r="BX343" s="1490"/>
      <c r="BY343" s="1490"/>
      <c r="BZ343" s="1490"/>
      <c r="CA343" s="1490"/>
      <c r="CB343" s="1490"/>
      <c r="CC343" s="1490"/>
      <c r="CD343" s="1490"/>
      <c r="CE343" s="1490"/>
      <c r="CF343" s="1490"/>
      <c r="CG343" s="1490"/>
      <c r="CH343" s="1490"/>
      <c r="CI343" s="1490"/>
      <c r="CJ343" s="1490"/>
      <c r="CK343" s="1490"/>
      <c r="CL343" s="1490"/>
      <c r="CM343" s="1490"/>
      <c r="CN343" s="1490"/>
      <c r="CO343" s="1490"/>
      <c r="CP343" s="1490"/>
      <c r="CQ343" s="1490"/>
      <c r="CR343" s="1490"/>
      <c r="CS343" s="1490"/>
      <c r="CT343" s="1490"/>
      <c r="CU343" s="1490"/>
      <c r="CV343" s="1490"/>
      <c r="CW343" s="1490"/>
      <c r="CX343" s="1490"/>
      <c r="CY343" s="1490"/>
      <c r="CZ343" s="1490"/>
      <c r="DA343" s="1490"/>
      <c r="DB343" s="1490"/>
      <c r="DC343" s="1490"/>
      <c r="DD343" s="1490"/>
      <c r="DE343" s="1490"/>
      <c r="DF343" s="1490"/>
      <c r="DG343" s="1490"/>
      <c r="DH343" s="1490"/>
      <c r="DI343" s="1490"/>
      <c r="DJ343" s="1490"/>
      <c r="DK343" s="1490"/>
      <c r="DL343" s="1490"/>
      <c r="DM343" s="1490"/>
      <c r="DN343" s="1490"/>
      <c r="DO343" s="1490"/>
      <c r="DP343" s="1490"/>
      <c r="DQ343" s="1490"/>
      <c r="DR343" s="1490"/>
      <c r="DS343" s="1490"/>
      <c r="DT343" s="1490"/>
      <c r="DU343" s="1490"/>
      <c r="DV343" s="1490"/>
      <c r="DW343" s="1490"/>
      <c r="DX343" s="1490"/>
      <c r="DY343" s="1490"/>
      <c r="DZ343" s="1490"/>
      <c r="EA343" s="1490"/>
      <c r="EB343" s="1490"/>
      <c r="EC343" s="1490"/>
      <c r="ED343" s="1490"/>
      <c r="EE343" s="1490"/>
      <c r="EF343" s="1490"/>
      <c r="EG343" s="1490"/>
      <c r="EH343" s="1490"/>
      <c r="EI343" s="1490"/>
      <c r="EJ343" s="1490"/>
      <c r="EK343" s="1490"/>
      <c r="EL343" s="1490"/>
      <c r="EM343" s="1490"/>
      <c r="EN343" s="1490"/>
      <c r="EO343" s="1490"/>
      <c r="EP343" s="1490"/>
      <c r="EQ343" s="1490"/>
      <c r="ER343" s="1490"/>
      <c r="ES343" s="1490"/>
      <c r="ET343" s="1490"/>
      <c r="EU343" s="1490"/>
      <c r="EV343" s="1490"/>
      <c r="EW343" s="1490"/>
      <c r="EX343" s="1490"/>
      <c r="EY343" s="1490"/>
      <c r="EZ343" s="1490"/>
      <c r="FA343" s="1490"/>
      <c r="FB343" s="1490"/>
      <c r="FC343" s="1490"/>
      <c r="FD343" s="1490"/>
      <c r="FE343" s="1490"/>
      <c r="FF343" s="1490"/>
      <c r="FG343" s="1490"/>
      <c r="FH343" s="1490"/>
      <c r="FI343" s="1490"/>
      <c r="FJ343" s="1490"/>
      <c r="FK343" s="1490"/>
      <c r="FL343" s="1490"/>
      <c r="FM343" s="1490"/>
      <c r="FN343" s="1490"/>
      <c r="FO343" s="1490"/>
      <c r="FP343" s="1490"/>
      <c r="FQ343" s="1490"/>
      <c r="FR343" s="1490"/>
      <c r="FS343" s="1490"/>
      <c r="FT343" s="1490"/>
      <c r="FU343" s="1490"/>
      <c r="FV343" s="1490"/>
      <c r="FW343" s="1490"/>
      <c r="FX343" s="1490"/>
      <c r="FY343" s="1490"/>
      <c r="FZ343" s="1490"/>
      <c r="GA343" s="1490"/>
      <c r="GB343" s="1490"/>
      <c r="GC343" s="1490"/>
      <c r="GD343" s="1490"/>
      <c r="GE343" s="1490"/>
      <c r="GF343" s="1490"/>
      <c r="GG343" s="1490"/>
      <c r="GH343" s="1490"/>
      <c r="GI343" s="1490"/>
      <c r="GJ343" s="1490"/>
      <c r="GK343" s="1490"/>
      <c r="GL343" s="1490"/>
      <c r="GM343" s="1490"/>
      <c r="GN343" s="1490"/>
      <c r="GO343" s="1490"/>
      <c r="GP343" s="1490"/>
      <c r="GQ343" s="1490"/>
      <c r="GR343" s="1490"/>
      <c r="GS343" s="1490"/>
      <c r="GT343" s="1490"/>
      <c r="GU343" s="1490"/>
      <c r="GV343" s="1490"/>
      <c r="GW343" s="1490"/>
      <c r="GX343" s="1490"/>
      <c r="GY343" s="1490"/>
      <c r="GZ343" s="1490"/>
      <c r="HA343" s="1490"/>
      <c r="HB343" s="1490"/>
      <c r="HC343" s="1490"/>
      <c r="HD343" s="1490"/>
      <c r="HE343" s="1490"/>
      <c r="HF343" s="1490"/>
      <c r="HG343" s="1490"/>
      <c r="HH343" s="1490"/>
      <c r="HI343" s="1490"/>
      <c r="HJ343" s="1490"/>
      <c r="HK343" s="1490"/>
      <c r="HL343" s="1490"/>
      <c r="HM343" s="1490"/>
      <c r="HN343" s="1490"/>
      <c r="HO343" s="1490"/>
      <c r="HP343" s="1490"/>
      <c r="HQ343" s="1490"/>
      <c r="HR343" s="1490"/>
      <c r="HS343" s="1490"/>
      <c r="HT343" s="1490"/>
      <c r="HU343" s="1490"/>
      <c r="HV343" s="1490"/>
      <c r="HW343" s="1490"/>
      <c r="HX343" s="1490"/>
      <c r="HY343" s="1490"/>
      <c r="HZ343" s="1490"/>
      <c r="IA343" s="1490"/>
      <c r="IB343" s="1490"/>
      <c r="IC343" s="1490"/>
      <c r="ID343" s="1490"/>
      <c r="IE343" s="1490"/>
      <c r="IF343" s="1490"/>
      <c r="IG343" s="1490"/>
      <c r="IH343" s="1490"/>
      <c r="II343" s="1490"/>
      <c r="IJ343" s="1490"/>
      <c r="IK343" s="1490"/>
      <c r="IL343" s="1490"/>
      <c r="IM343" s="1490"/>
      <c r="IN343" s="1490"/>
      <c r="IO343" s="44"/>
    </row>
    <row r="344" spans="1:249" s="5" customFormat="1" ht="24.75" customHeight="1">
      <c r="A344" s="99" t="s">
        <v>282</v>
      </c>
      <c r="B344" s="44"/>
      <c r="C344" s="44"/>
      <c r="D344" s="44"/>
      <c r="E344" s="44"/>
      <c r="F344" s="44"/>
      <c r="G344" s="44"/>
      <c r="I344" s="104" t="str">
        <f>E286</f>
        <v>B1/ Nb-BEN/800</v>
      </c>
      <c r="J344" s="44"/>
      <c r="K344" s="44"/>
      <c r="L344" s="44"/>
      <c r="M344" s="44"/>
      <c r="N344" s="44"/>
      <c r="O344" s="49"/>
      <c r="P344" s="49"/>
      <c r="Q344" s="129"/>
      <c r="R344" s="129"/>
      <c r="S344" s="129"/>
      <c r="T344" s="129"/>
      <c r="U344" s="127"/>
      <c r="V344" s="127"/>
      <c r="W344" s="127"/>
      <c r="X344" s="127"/>
      <c r="Y344" s="127"/>
      <c r="Z344" s="127"/>
      <c r="AA344" s="127"/>
      <c r="AB344" s="127"/>
      <c r="AC344" s="127"/>
      <c r="AD344" s="127"/>
      <c r="AE344" s="127"/>
      <c r="AF344" s="127"/>
    </row>
    <row r="345" spans="1:249" s="5" customFormat="1" ht="30" customHeight="1">
      <c r="A345" s="1488" t="s">
        <v>236</v>
      </c>
      <c r="B345" s="1488"/>
      <c r="C345" s="1488"/>
      <c r="D345" s="1488"/>
      <c r="E345" s="1488"/>
      <c r="F345" s="1488"/>
      <c r="G345" s="1488"/>
      <c r="H345" s="1488"/>
      <c r="I345" s="1488"/>
      <c r="J345" s="1488"/>
      <c r="K345" s="1488"/>
      <c r="L345" s="1488"/>
      <c r="M345" s="1488"/>
      <c r="N345" s="1488"/>
      <c r="O345" s="49"/>
      <c r="P345" s="49"/>
      <c r="Q345" s="49"/>
      <c r="R345" s="49"/>
      <c r="S345" s="49"/>
      <c r="T345" s="49"/>
      <c r="U345" s="49"/>
      <c r="V345" s="49"/>
      <c r="W345" s="49"/>
      <c r="X345" s="49"/>
      <c r="Y345" s="49"/>
      <c r="Z345" s="49"/>
      <c r="AA345" s="49"/>
      <c r="AB345" s="49"/>
      <c r="AC345" s="49"/>
      <c r="AD345" s="1494"/>
      <c r="AE345" s="1494"/>
      <c r="AF345" s="1494"/>
      <c r="AG345" s="1494"/>
      <c r="AH345" s="1494"/>
      <c r="AI345" s="1494"/>
      <c r="AJ345" s="1494"/>
      <c r="AK345" s="1494"/>
      <c r="AL345" s="1494"/>
      <c r="AM345" s="1494"/>
      <c r="AN345" s="1494"/>
      <c r="AO345" s="1494"/>
      <c r="AP345" s="1494"/>
      <c r="AQ345" s="1494"/>
      <c r="AR345" s="1494"/>
      <c r="AS345" s="1494"/>
      <c r="AT345" s="1494"/>
      <c r="AU345" s="1494"/>
      <c r="AV345" s="1494"/>
      <c r="AW345" s="1494"/>
      <c r="AX345" s="1494"/>
      <c r="AY345" s="1494"/>
      <c r="AZ345" s="1494"/>
      <c r="BA345" s="1494"/>
      <c r="BB345" s="1494"/>
      <c r="BC345" s="1494"/>
      <c r="BD345" s="1494"/>
      <c r="BE345" s="1494"/>
      <c r="BF345" s="1494"/>
      <c r="BG345" s="1494"/>
      <c r="BH345" s="1494"/>
      <c r="BI345" s="1494"/>
      <c r="BJ345" s="1494"/>
      <c r="BK345" s="1494"/>
      <c r="BL345" s="1494"/>
      <c r="BM345" s="1494"/>
      <c r="BN345" s="1494"/>
      <c r="BO345" s="1494"/>
      <c r="BP345" s="1494"/>
      <c r="BQ345" s="1494"/>
      <c r="BR345" s="1494"/>
      <c r="BS345" s="1494"/>
      <c r="BT345" s="1494"/>
      <c r="BU345" s="1494"/>
      <c r="BV345" s="1494"/>
      <c r="BW345" s="1494"/>
      <c r="BX345" s="1494"/>
      <c r="BY345" s="1494"/>
      <c r="BZ345" s="1494"/>
      <c r="CA345" s="1494"/>
      <c r="CB345" s="1494"/>
      <c r="CC345" s="1494"/>
      <c r="CD345" s="1494"/>
      <c r="CE345" s="1494"/>
      <c r="CF345" s="1494"/>
      <c r="CG345" s="1494"/>
      <c r="CH345" s="1494"/>
      <c r="CI345" s="1494"/>
      <c r="CJ345" s="1494"/>
      <c r="CK345" s="1494"/>
      <c r="CL345" s="1494"/>
      <c r="CM345" s="1494"/>
      <c r="CN345" s="1494"/>
      <c r="CO345" s="1494"/>
      <c r="CP345" s="1494"/>
      <c r="CQ345" s="1494"/>
      <c r="CR345" s="1494"/>
      <c r="CS345" s="1494"/>
      <c r="CT345" s="1494"/>
      <c r="CU345" s="1494"/>
      <c r="CV345" s="1494"/>
      <c r="CW345" s="1494"/>
      <c r="CX345" s="1494"/>
      <c r="CY345" s="1494"/>
      <c r="CZ345" s="1494"/>
      <c r="DA345" s="1494"/>
      <c r="DB345" s="1494"/>
      <c r="DC345" s="1494"/>
      <c r="DD345" s="1494"/>
      <c r="DE345" s="1494"/>
      <c r="DF345" s="1494"/>
      <c r="DG345" s="1494"/>
      <c r="DH345" s="1494"/>
      <c r="DI345" s="1494"/>
      <c r="DJ345" s="1494"/>
      <c r="DK345" s="1494"/>
      <c r="DL345" s="1494"/>
      <c r="DM345" s="1494"/>
      <c r="DN345" s="1494"/>
      <c r="DO345" s="1494"/>
      <c r="DP345" s="1494"/>
      <c r="DQ345" s="1494"/>
      <c r="DR345" s="1494"/>
      <c r="DS345" s="1494"/>
      <c r="DT345" s="1494"/>
      <c r="DU345" s="1494"/>
      <c r="DV345" s="1494"/>
      <c r="DW345" s="1494"/>
      <c r="DX345" s="1494"/>
      <c r="DY345" s="1494"/>
      <c r="DZ345" s="1494"/>
      <c r="EA345" s="1494"/>
      <c r="EB345" s="1494"/>
      <c r="EC345" s="1494"/>
      <c r="ED345" s="1494"/>
      <c r="EE345" s="1494"/>
      <c r="EF345" s="1494"/>
      <c r="EG345" s="1494"/>
      <c r="EH345" s="1494"/>
      <c r="EI345" s="1494"/>
      <c r="EJ345" s="1494"/>
      <c r="EK345" s="1494"/>
      <c r="EL345" s="1494"/>
      <c r="EM345" s="1494"/>
      <c r="EN345" s="1494"/>
      <c r="EO345" s="1494"/>
      <c r="EP345" s="1494"/>
      <c r="EQ345" s="1494"/>
      <c r="ER345" s="1494"/>
      <c r="ES345" s="1494"/>
      <c r="ET345" s="1494"/>
      <c r="EU345" s="1494"/>
      <c r="EV345" s="1494"/>
      <c r="EW345" s="1494"/>
      <c r="EX345" s="1494"/>
      <c r="EY345" s="1494"/>
      <c r="EZ345" s="1494"/>
      <c r="FA345" s="1494"/>
      <c r="FB345" s="1494"/>
      <c r="FC345" s="1494"/>
      <c r="FD345" s="1494"/>
      <c r="FE345" s="1494"/>
      <c r="FF345" s="1494"/>
      <c r="FG345" s="1494"/>
      <c r="FH345" s="1494"/>
      <c r="FI345" s="1494"/>
      <c r="FJ345" s="1494"/>
      <c r="FK345" s="1494"/>
      <c r="FL345" s="1494"/>
      <c r="FM345" s="1494"/>
      <c r="FN345" s="1494"/>
      <c r="FO345" s="1494"/>
      <c r="FP345" s="1494"/>
      <c r="FQ345" s="1494"/>
      <c r="FR345" s="1494"/>
      <c r="FS345" s="1494"/>
      <c r="FT345" s="1494"/>
      <c r="FU345" s="1494"/>
      <c r="FV345" s="1494"/>
      <c r="FW345" s="1494"/>
      <c r="FX345" s="1494"/>
      <c r="FY345" s="1494"/>
      <c r="FZ345" s="1494"/>
      <c r="GA345" s="1494"/>
      <c r="GB345" s="1494"/>
      <c r="GC345" s="1494"/>
      <c r="GD345" s="1494"/>
      <c r="GE345" s="1494"/>
      <c r="GF345" s="1494"/>
      <c r="GG345" s="1494"/>
      <c r="GH345" s="1494"/>
      <c r="GI345" s="1494"/>
      <c r="GJ345" s="1494"/>
      <c r="GK345" s="1494"/>
      <c r="GL345" s="1494"/>
      <c r="GM345" s="1494"/>
      <c r="GN345" s="1494"/>
      <c r="GO345" s="1494"/>
      <c r="GP345" s="1494"/>
      <c r="GQ345" s="1494"/>
      <c r="GR345" s="1494"/>
      <c r="GS345" s="1494"/>
      <c r="GT345" s="1494"/>
      <c r="GU345" s="1494"/>
      <c r="GV345" s="1494"/>
      <c r="GW345" s="1494"/>
      <c r="GX345" s="1494"/>
      <c r="GY345" s="1494"/>
      <c r="GZ345" s="1494"/>
      <c r="HA345" s="1494"/>
      <c r="HB345" s="1494"/>
      <c r="HC345" s="1494"/>
      <c r="HD345" s="1494"/>
      <c r="HE345" s="1494"/>
      <c r="HF345" s="1494"/>
      <c r="HG345" s="1494"/>
      <c r="HH345" s="1494"/>
      <c r="HI345" s="1494"/>
      <c r="HJ345" s="1494"/>
      <c r="HK345" s="1494"/>
      <c r="HL345" s="1494"/>
      <c r="HM345" s="1494"/>
      <c r="HN345" s="1494"/>
      <c r="HO345" s="1494"/>
      <c r="HP345" s="1494"/>
      <c r="HQ345" s="1494"/>
      <c r="HR345" s="1494"/>
      <c r="HS345" s="1494"/>
      <c r="HT345" s="1494"/>
      <c r="HU345" s="1494"/>
      <c r="HV345" s="1494"/>
      <c r="HW345" s="1494"/>
      <c r="HX345" s="1494"/>
      <c r="HY345" s="1494"/>
      <c r="HZ345" s="1494"/>
      <c r="IA345" s="1494"/>
      <c r="IB345" s="1494"/>
      <c r="IC345" s="1494"/>
      <c r="ID345" s="1494"/>
      <c r="IE345" s="1494"/>
      <c r="IF345" s="1494"/>
      <c r="IG345" s="1494"/>
      <c r="IH345" s="1494"/>
      <c r="II345" s="1494"/>
      <c r="IJ345" s="1494"/>
      <c r="IK345" s="1494"/>
      <c r="IL345" s="1494"/>
      <c r="IM345" s="1494"/>
      <c r="IN345" s="1494"/>
      <c r="IO345" s="49"/>
    </row>
    <row r="346" spans="1:249" s="5" customFormat="1" ht="25.5" customHeight="1">
      <c r="A346"/>
      <c r="B346" s="1520" t="s">
        <v>237</v>
      </c>
      <c r="C346" s="1520"/>
      <c r="D346" s="1520"/>
      <c r="E346" s="1520"/>
      <c r="F346" s="1520"/>
      <c r="G346" s="1520"/>
      <c r="H346" s="1520"/>
      <c r="I346" s="1520"/>
      <c r="J346" s="50"/>
      <c r="K346" s="50"/>
      <c r="L346" s="50"/>
      <c r="M346" s="50"/>
      <c r="N346" s="50"/>
      <c r="O346" s="49"/>
      <c r="P346" s="49"/>
      <c r="Q346" s="49"/>
      <c r="R346" s="49"/>
      <c r="S346" s="49"/>
      <c r="T346" s="49"/>
      <c r="U346" s="49"/>
      <c r="V346" s="49"/>
      <c r="W346" s="49"/>
      <c r="X346" s="49"/>
      <c r="Y346" s="49"/>
      <c r="Z346" s="49"/>
      <c r="AA346" s="49"/>
      <c r="AB346" s="49"/>
      <c r="AC346" s="49"/>
      <c r="AD346" s="1494"/>
      <c r="AE346" s="1494"/>
      <c r="AF346" s="1494"/>
      <c r="AG346" s="1494"/>
      <c r="AH346" s="1494"/>
      <c r="AI346" s="1494"/>
      <c r="AJ346" s="1494"/>
      <c r="AK346" s="1494"/>
      <c r="AL346" s="1494"/>
      <c r="AM346" s="1494"/>
      <c r="AN346" s="1494"/>
      <c r="AO346" s="1494"/>
      <c r="AP346" s="1494"/>
      <c r="AQ346" s="1494"/>
      <c r="AR346" s="1494"/>
      <c r="AS346" s="1494"/>
      <c r="AT346" s="1494"/>
      <c r="AU346" s="1494"/>
      <c r="AV346" s="1494"/>
      <c r="AW346" s="1494"/>
      <c r="AX346" s="1494"/>
      <c r="AY346" s="1494"/>
      <c r="AZ346" s="1494"/>
      <c r="BA346" s="1494"/>
      <c r="BB346" s="1494"/>
      <c r="BC346" s="1494"/>
      <c r="BD346" s="1494"/>
      <c r="BE346" s="1494"/>
      <c r="BF346" s="1494"/>
      <c r="BG346" s="1494"/>
      <c r="BH346" s="1494"/>
      <c r="BI346" s="1494"/>
      <c r="BJ346" s="1494"/>
      <c r="BK346" s="1494"/>
      <c r="BL346" s="1494"/>
      <c r="BM346" s="1494"/>
      <c r="BN346" s="1494"/>
      <c r="BO346" s="1494"/>
      <c r="BP346" s="1494"/>
      <c r="BQ346" s="1494"/>
      <c r="BR346" s="1494"/>
      <c r="BS346" s="1494"/>
      <c r="BT346" s="1494"/>
      <c r="BU346" s="1494"/>
      <c r="BV346" s="1494"/>
      <c r="BW346" s="1494"/>
      <c r="BX346" s="1494"/>
      <c r="BY346" s="1494"/>
      <c r="BZ346" s="1494"/>
      <c r="CA346" s="1494"/>
      <c r="CB346" s="1494"/>
      <c r="CC346" s="1494"/>
      <c r="CD346" s="1494"/>
      <c r="CE346" s="1494"/>
      <c r="CF346" s="1494"/>
      <c r="CG346" s="1494"/>
      <c r="CH346" s="1494"/>
      <c r="CI346" s="1494"/>
      <c r="CJ346" s="1494"/>
      <c r="CK346" s="1494"/>
      <c r="CL346" s="1494"/>
      <c r="CM346" s="1494"/>
      <c r="CN346" s="1494"/>
      <c r="CO346" s="1494"/>
      <c r="CP346" s="1494"/>
      <c r="CQ346" s="1494"/>
      <c r="CR346" s="1494"/>
      <c r="CS346" s="1494"/>
      <c r="CT346" s="1494"/>
      <c r="CU346" s="1494"/>
      <c r="CV346" s="1494"/>
      <c r="CW346" s="1494"/>
      <c r="CX346" s="1494"/>
      <c r="CY346" s="1494"/>
      <c r="CZ346" s="1494"/>
      <c r="DA346" s="1494"/>
      <c r="DB346" s="1494"/>
      <c r="DC346" s="1494"/>
      <c r="DD346" s="1494"/>
      <c r="DE346" s="1494"/>
      <c r="DF346" s="1494"/>
      <c r="DG346" s="1494"/>
      <c r="DH346" s="1494"/>
      <c r="DI346" s="1494"/>
      <c r="DJ346" s="1494"/>
      <c r="DK346" s="1494"/>
      <c r="DL346" s="1494"/>
      <c r="DM346" s="1494"/>
      <c r="DN346" s="1494"/>
      <c r="DO346" s="1494"/>
      <c r="DP346" s="1494"/>
      <c r="DQ346" s="1494"/>
      <c r="DR346" s="1494"/>
      <c r="DS346" s="1494"/>
      <c r="DT346" s="1494"/>
      <c r="DU346" s="1494"/>
      <c r="DV346" s="1494"/>
      <c r="DW346" s="1494"/>
      <c r="DX346" s="1494"/>
      <c r="DY346" s="1494"/>
      <c r="DZ346" s="1494"/>
      <c r="EA346" s="1494"/>
      <c r="EB346" s="1494"/>
      <c r="EC346" s="1494"/>
      <c r="ED346" s="1494"/>
      <c r="EE346" s="1494"/>
      <c r="EF346" s="1494"/>
      <c r="EG346" s="1494"/>
      <c r="EH346" s="1494"/>
      <c r="EI346" s="1494"/>
      <c r="EJ346" s="1494"/>
      <c r="EK346" s="1494"/>
      <c r="EL346" s="1494"/>
      <c r="EM346" s="1494"/>
      <c r="EN346" s="1494"/>
      <c r="EO346" s="1494"/>
      <c r="EP346" s="1494"/>
      <c r="EQ346" s="1494"/>
      <c r="ER346" s="1494"/>
      <c r="ES346" s="1494"/>
      <c r="ET346" s="1494"/>
      <c r="EU346" s="1494"/>
      <c r="EV346" s="1494"/>
      <c r="EW346" s="1494"/>
      <c r="EX346" s="1494"/>
      <c r="EY346" s="1494"/>
      <c r="EZ346" s="1494"/>
      <c r="FA346" s="1494"/>
      <c r="FB346" s="1494"/>
      <c r="FC346" s="1494"/>
      <c r="FD346" s="1494"/>
      <c r="FE346" s="1494"/>
      <c r="FF346" s="1494"/>
      <c r="FG346" s="1494"/>
      <c r="FH346" s="1494"/>
      <c r="FI346" s="1494"/>
      <c r="FJ346" s="1494"/>
      <c r="FK346" s="1494"/>
      <c r="FL346" s="1494"/>
      <c r="FM346" s="1494"/>
      <c r="FN346" s="1494"/>
      <c r="FO346" s="1494"/>
      <c r="FP346" s="1494"/>
      <c r="FQ346" s="1494"/>
      <c r="FR346" s="1494"/>
      <c r="FS346" s="1494"/>
      <c r="FT346" s="1494"/>
      <c r="FU346" s="1494"/>
      <c r="FV346" s="1494"/>
      <c r="FW346" s="1494"/>
      <c r="FX346" s="1494"/>
      <c r="FY346" s="1494"/>
      <c r="FZ346" s="1494"/>
      <c r="GA346" s="1494"/>
      <c r="GB346" s="1494"/>
      <c r="GC346" s="1494"/>
      <c r="GD346" s="1494"/>
      <c r="GE346" s="1494"/>
      <c r="GF346" s="1494"/>
      <c r="GG346" s="1494"/>
      <c r="GH346" s="1494"/>
      <c r="GI346" s="1494"/>
      <c r="GJ346" s="1494"/>
      <c r="GK346" s="1494"/>
      <c r="GL346" s="1494"/>
      <c r="GM346" s="1494"/>
      <c r="GN346" s="1494"/>
      <c r="GO346" s="1494"/>
      <c r="GP346" s="1494"/>
      <c r="GQ346" s="1494"/>
      <c r="GR346" s="1494"/>
      <c r="GS346" s="1494"/>
      <c r="GT346" s="1494"/>
      <c r="GU346" s="1494"/>
      <c r="GV346" s="1494"/>
      <c r="GW346" s="1494"/>
      <c r="GX346" s="1494"/>
      <c r="GY346" s="1494"/>
      <c r="GZ346" s="1494"/>
      <c r="HA346" s="1494"/>
      <c r="HB346" s="1494"/>
      <c r="HC346" s="1494"/>
      <c r="HD346" s="1494"/>
      <c r="HE346" s="1494"/>
      <c r="HF346" s="1494"/>
      <c r="HG346" s="1494"/>
      <c r="HH346" s="1494"/>
      <c r="HI346" s="1494"/>
      <c r="HJ346" s="1494"/>
      <c r="HK346" s="1494"/>
      <c r="HL346" s="1494"/>
      <c r="HM346" s="1494"/>
      <c r="HN346" s="1494"/>
      <c r="HO346" s="1494"/>
      <c r="HP346" s="1494"/>
      <c r="HQ346" s="1494"/>
      <c r="HR346" s="1494"/>
      <c r="HS346" s="1494"/>
      <c r="HT346" s="1494"/>
      <c r="HU346" s="1494"/>
      <c r="HV346" s="1494"/>
      <c r="HW346" s="1494"/>
      <c r="HX346" s="1494"/>
      <c r="HY346" s="1494"/>
      <c r="HZ346" s="1494"/>
      <c r="IA346" s="1494"/>
      <c r="IB346" s="1494"/>
      <c r="IC346" s="1494"/>
      <c r="ID346" s="1494"/>
      <c r="IE346" s="1494"/>
      <c r="IF346" s="1494"/>
      <c r="IG346" s="1494"/>
      <c r="IH346" s="1494"/>
      <c r="II346" s="1494"/>
      <c r="IJ346" s="1494"/>
      <c r="IK346" s="1494"/>
      <c r="IL346" s="1494"/>
      <c r="IM346" s="1494"/>
      <c r="IN346" s="1494"/>
      <c r="IO346" s="49"/>
    </row>
    <row r="347" spans="1:249" s="5" customFormat="1" ht="24" customHeight="1">
      <c r="A347" s="1559" t="s">
        <v>191</v>
      </c>
      <c r="B347" s="1523" t="s">
        <v>238</v>
      </c>
      <c r="C347" s="1524"/>
      <c r="D347" s="1524"/>
      <c r="E347" s="1524"/>
      <c r="F347" s="1524"/>
      <c r="G347" s="1525"/>
      <c r="H347" s="1523" t="s">
        <v>239</v>
      </c>
      <c r="I347" s="1524"/>
      <c r="J347" s="1524"/>
      <c r="K347" s="1524"/>
      <c r="L347" s="1525"/>
      <c r="M347" s="1529" t="s">
        <v>240</v>
      </c>
      <c r="N347" s="1530"/>
      <c r="O347" s="49"/>
      <c r="P347" s="49"/>
      <c r="Q347" s="49"/>
      <c r="R347" s="49"/>
      <c r="S347" s="49"/>
      <c r="T347" s="49"/>
      <c r="U347" s="49"/>
      <c r="V347" s="49"/>
      <c r="W347" s="49"/>
      <c r="X347" s="49"/>
      <c r="Y347" s="49"/>
      <c r="Z347" s="49"/>
      <c r="AA347" s="49"/>
      <c r="AB347" s="49"/>
      <c r="AC347" s="49"/>
      <c r="AD347" s="1494"/>
      <c r="AE347" s="1494"/>
      <c r="AF347" s="1494"/>
      <c r="AG347" s="1494"/>
      <c r="AH347" s="1494"/>
      <c r="AI347" s="1494"/>
      <c r="AJ347" s="1494"/>
      <c r="AK347" s="1494"/>
      <c r="AL347" s="1494"/>
      <c r="AM347" s="1494"/>
      <c r="AN347" s="1494"/>
      <c r="AO347" s="1494"/>
      <c r="AP347" s="1494"/>
      <c r="AQ347" s="1494"/>
      <c r="AR347" s="1494"/>
      <c r="AS347" s="1494"/>
      <c r="AT347" s="1494"/>
      <c r="AU347" s="1494"/>
      <c r="AV347" s="1494"/>
      <c r="AW347" s="1494"/>
      <c r="AX347" s="1494"/>
      <c r="AY347" s="1494"/>
      <c r="AZ347" s="1494"/>
      <c r="BA347" s="1494"/>
      <c r="BB347" s="1494"/>
      <c r="BC347" s="1494"/>
      <c r="BD347" s="1494"/>
      <c r="BE347" s="1494"/>
      <c r="BF347" s="1494"/>
      <c r="BG347" s="1494"/>
      <c r="BH347" s="1494"/>
      <c r="BI347" s="1494"/>
      <c r="BJ347" s="1494"/>
      <c r="BK347" s="1494"/>
      <c r="BL347" s="1494"/>
      <c r="BM347" s="1494"/>
      <c r="BN347" s="1494"/>
      <c r="BO347" s="1494"/>
      <c r="BP347" s="1494"/>
      <c r="BQ347" s="1494"/>
      <c r="BR347" s="1494"/>
      <c r="BS347" s="1494"/>
      <c r="BT347" s="1494"/>
      <c r="BU347" s="1494"/>
      <c r="BV347" s="1494"/>
      <c r="BW347" s="1494"/>
      <c r="BX347" s="1494"/>
      <c r="BY347" s="1494"/>
      <c r="BZ347" s="1494"/>
      <c r="CA347" s="1494"/>
      <c r="CB347" s="1494"/>
      <c r="CC347" s="1494"/>
      <c r="CD347" s="1494"/>
      <c r="CE347" s="1494"/>
      <c r="CF347" s="1494"/>
      <c r="CG347" s="1494"/>
      <c r="CH347" s="1494"/>
      <c r="CI347" s="1494"/>
      <c r="CJ347" s="1494"/>
      <c r="CK347" s="1494"/>
      <c r="CL347" s="1494"/>
      <c r="CM347" s="1494"/>
      <c r="CN347" s="1494"/>
      <c r="CO347" s="1494"/>
      <c r="CP347" s="1494"/>
      <c r="CQ347" s="1494"/>
      <c r="CR347" s="1494"/>
      <c r="CS347" s="1494"/>
      <c r="CT347" s="1494"/>
      <c r="CU347" s="1494"/>
      <c r="CV347" s="1494"/>
      <c r="CW347" s="1494"/>
      <c r="CX347" s="1494"/>
      <c r="CY347" s="1494"/>
      <c r="CZ347" s="1494"/>
      <c r="DA347" s="1494"/>
      <c r="DB347" s="1494"/>
      <c r="DC347" s="1494"/>
      <c r="DD347" s="1494"/>
      <c r="DE347" s="1494"/>
      <c r="DF347" s="1494"/>
      <c r="DG347" s="1494"/>
      <c r="DH347" s="1494"/>
      <c r="DI347" s="1494"/>
      <c r="DJ347" s="1494"/>
      <c r="DK347" s="1494"/>
      <c r="DL347" s="1494"/>
      <c r="DM347" s="1494"/>
      <c r="DN347" s="1494"/>
      <c r="DO347" s="1494"/>
      <c r="DP347" s="1494"/>
      <c r="DQ347" s="1494"/>
      <c r="DR347" s="1494"/>
      <c r="DS347" s="1494"/>
      <c r="DT347" s="1494"/>
      <c r="DU347" s="1494"/>
      <c r="DV347" s="1494"/>
      <c r="DW347" s="1494"/>
      <c r="DX347" s="1494"/>
      <c r="DY347" s="1494"/>
      <c r="DZ347" s="1494"/>
      <c r="EA347" s="1494"/>
      <c r="EB347" s="1494"/>
      <c r="EC347" s="1494"/>
      <c r="ED347" s="1494"/>
      <c r="EE347" s="1494"/>
      <c r="EF347" s="1494"/>
      <c r="EG347" s="1494"/>
      <c r="EH347" s="1494"/>
      <c r="EI347" s="1494"/>
      <c r="EJ347" s="1494"/>
      <c r="EK347" s="1494"/>
      <c r="EL347" s="1494"/>
      <c r="EM347" s="1494"/>
      <c r="EN347" s="1494"/>
      <c r="EO347" s="1494"/>
      <c r="EP347" s="1494"/>
      <c r="EQ347" s="1494"/>
      <c r="ER347" s="1494"/>
      <c r="ES347" s="1494"/>
      <c r="ET347" s="1494"/>
      <c r="EU347" s="1494"/>
      <c r="EV347" s="1494"/>
      <c r="EW347" s="1494"/>
      <c r="EX347" s="1494"/>
      <c r="EY347" s="1494"/>
      <c r="EZ347" s="1494"/>
      <c r="FA347" s="1494"/>
      <c r="FB347" s="1494"/>
      <c r="FC347" s="1494"/>
      <c r="FD347" s="1494"/>
      <c r="FE347" s="1494"/>
      <c r="FF347" s="1494"/>
      <c r="FG347" s="1494"/>
      <c r="FH347" s="1494"/>
      <c r="FI347" s="1494"/>
      <c r="FJ347" s="1494"/>
      <c r="FK347" s="1494"/>
      <c r="FL347" s="1494"/>
      <c r="FM347" s="1494"/>
      <c r="FN347" s="1494"/>
      <c r="FO347" s="1494"/>
      <c r="FP347" s="1494"/>
      <c r="FQ347" s="1494"/>
      <c r="FR347" s="1494"/>
      <c r="FS347" s="1494"/>
      <c r="FT347" s="1494"/>
      <c r="FU347" s="1494"/>
      <c r="FV347" s="1494"/>
      <c r="FW347" s="1494"/>
      <c r="FX347" s="1494"/>
      <c r="FY347" s="1494"/>
      <c r="FZ347" s="1494"/>
      <c r="GA347" s="1494"/>
      <c r="GB347" s="1494"/>
      <c r="GC347" s="1494"/>
      <c r="GD347" s="1494"/>
      <c r="GE347" s="1494"/>
      <c r="GF347" s="1494"/>
      <c r="GG347" s="1494"/>
      <c r="GH347" s="1494"/>
      <c r="GI347" s="1494"/>
      <c r="GJ347" s="1494"/>
      <c r="GK347" s="1494"/>
      <c r="GL347" s="1494"/>
      <c r="GM347" s="1494"/>
      <c r="GN347" s="1494"/>
      <c r="GO347" s="1494"/>
      <c r="GP347" s="1494"/>
      <c r="GQ347" s="1494"/>
      <c r="GR347" s="1494"/>
      <c r="GS347" s="1494"/>
      <c r="GT347" s="1494"/>
      <c r="GU347" s="1494"/>
      <c r="GV347" s="1494"/>
      <c r="GW347" s="1494"/>
      <c r="GX347" s="1494"/>
      <c r="GY347" s="1494"/>
      <c r="GZ347" s="1494"/>
      <c r="HA347" s="1494"/>
      <c r="HB347" s="1494"/>
      <c r="HC347" s="1494"/>
      <c r="HD347" s="1494"/>
      <c r="HE347" s="1494"/>
      <c r="HF347" s="1494"/>
      <c r="HG347" s="1494"/>
      <c r="HH347" s="1494"/>
      <c r="HI347" s="1494"/>
      <c r="HJ347" s="1494"/>
      <c r="HK347" s="1494"/>
      <c r="HL347" s="1494"/>
      <c r="HM347" s="1494"/>
      <c r="HN347" s="1494"/>
      <c r="HO347" s="1494"/>
      <c r="HP347" s="1494"/>
      <c r="HQ347" s="1494"/>
      <c r="HR347" s="1494"/>
      <c r="HS347" s="1494"/>
      <c r="HT347" s="1494"/>
      <c r="HU347" s="1494"/>
      <c r="HV347" s="1494"/>
      <c r="HW347" s="1494"/>
      <c r="HX347" s="1494"/>
      <c r="HY347" s="1494"/>
      <c r="HZ347" s="1494"/>
      <c r="IA347" s="1494"/>
      <c r="IB347" s="1494"/>
      <c r="IC347" s="1494"/>
      <c r="ID347" s="1494"/>
      <c r="IE347" s="1494"/>
      <c r="IF347" s="1494"/>
      <c r="IG347" s="1494"/>
      <c r="IH347" s="1494"/>
      <c r="II347" s="1494"/>
      <c r="IJ347" s="1494"/>
      <c r="IK347" s="1494"/>
      <c r="IL347" s="1494"/>
      <c r="IM347" s="1494"/>
      <c r="IN347" s="1494"/>
      <c r="IO347" s="49"/>
    </row>
    <row r="348" spans="1:249" s="5" customFormat="1" ht="24" customHeight="1">
      <c r="A348" s="1560"/>
      <c r="B348" s="1526"/>
      <c r="C348" s="1527"/>
      <c r="D348" s="1527"/>
      <c r="E348" s="1527"/>
      <c r="F348" s="1527"/>
      <c r="G348" s="1528"/>
      <c r="H348" s="1526"/>
      <c r="I348" s="1527"/>
      <c r="J348" s="1527"/>
      <c r="K348" s="1527"/>
      <c r="L348" s="1528"/>
      <c r="M348" s="51" t="s">
        <v>241</v>
      </c>
      <c r="N348" s="51" t="s">
        <v>242</v>
      </c>
      <c r="P348" s="4"/>
      <c r="Q348" s="105"/>
      <c r="R348" s="105"/>
      <c r="S348" s="105"/>
      <c r="T348" s="105"/>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c r="HF348" s="49"/>
      <c r="HG348" s="49"/>
      <c r="HH348" s="49"/>
      <c r="HI348" s="49"/>
      <c r="HJ348" s="49"/>
      <c r="HK348" s="49"/>
      <c r="HL348" s="49"/>
      <c r="HM348" s="49"/>
      <c r="HN348" s="49"/>
      <c r="HO348" s="49"/>
      <c r="HP348" s="49"/>
      <c r="HQ348" s="49"/>
      <c r="HR348" s="49"/>
      <c r="HS348" s="49"/>
      <c r="HT348" s="49"/>
      <c r="HU348" s="49"/>
      <c r="HV348" s="49"/>
      <c r="HW348" s="49"/>
      <c r="HX348" s="49"/>
      <c r="HY348" s="49"/>
      <c r="HZ348" s="49"/>
      <c r="IA348" s="49"/>
      <c r="IB348" s="49"/>
      <c r="IC348" s="49"/>
      <c r="ID348" s="49"/>
      <c r="IE348" s="49"/>
      <c r="IF348" s="49"/>
      <c r="IG348" s="49"/>
      <c r="IH348" s="49"/>
      <c r="II348" s="49"/>
      <c r="IJ348" s="49"/>
      <c r="IK348" s="49"/>
      <c r="IL348" s="49"/>
      <c r="IM348" s="49"/>
      <c r="IN348" s="49"/>
      <c r="IO348" s="49"/>
    </row>
    <row r="349" spans="1:249" s="5" customFormat="1" ht="24" customHeight="1">
      <c r="A349" s="52">
        <v>1</v>
      </c>
      <c r="B349" s="1508" t="str">
        <f>B233</f>
        <v>KiÓm tra ®é nhít</v>
      </c>
      <c r="C349" s="1509"/>
      <c r="D349" s="1509"/>
      <c r="E349" s="1509"/>
      <c r="F349" s="1509"/>
      <c r="G349" s="1510"/>
      <c r="H349" s="1567" t="str">
        <f>H233</f>
        <v>Bé thiÕt bÞ TN Bentonit</v>
      </c>
      <c r="I349" s="1568"/>
      <c r="J349" s="1568"/>
      <c r="K349" s="1568"/>
      <c r="L349" s="1569"/>
      <c r="M349" s="52" t="s">
        <v>245</v>
      </c>
      <c r="N349" s="53"/>
      <c r="P349" s="4"/>
      <c r="Q349" s="105"/>
      <c r="R349" s="105"/>
      <c r="S349" s="105"/>
      <c r="T349" s="105"/>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c r="HF349" s="49"/>
      <c r="HG349" s="49"/>
      <c r="HH349" s="49"/>
      <c r="HI349" s="49"/>
      <c r="HJ349" s="49"/>
      <c r="HK349" s="49"/>
      <c r="HL349" s="49"/>
      <c r="HM349" s="49"/>
      <c r="HN349" s="49"/>
      <c r="HO349" s="49"/>
      <c r="HP349" s="49"/>
      <c r="HQ349" s="49"/>
      <c r="HR349" s="49"/>
      <c r="HS349" s="49"/>
      <c r="HT349" s="49"/>
      <c r="HU349" s="49"/>
      <c r="HV349" s="49"/>
      <c r="HW349" s="49"/>
      <c r="HX349" s="49"/>
      <c r="HY349" s="49"/>
      <c r="HZ349" s="49"/>
      <c r="IA349" s="49"/>
      <c r="IB349" s="49"/>
      <c r="IC349" s="49"/>
      <c r="ID349" s="49"/>
      <c r="IE349" s="49"/>
      <c r="IF349" s="49"/>
      <c r="IG349" s="49"/>
      <c r="IH349" s="49"/>
      <c r="II349" s="49"/>
      <c r="IJ349" s="49"/>
      <c r="IK349" s="49"/>
      <c r="IL349" s="49"/>
      <c r="IM349" s="49"/>
      <c r="IN349" s="49"/>
      <c r="IO349" s="49"/>
    </row>
    <row r="350" spans="1:249" s="5" customFormat="1" ht="23.25" customHeight="1">
      <c r="A350" s="54">
        <v>2</v>
      </c>
      <c r="B350" s="1514" t="str">
        <f>B234</f>
        <v>KiÓm tra PH</v>
      </c>
      <c r="C350" s="1515"/>
      <c r="D350" s="1515"/>
      <c r="E350" s="1515"/>
      <c r="F350" s="1515"/>
      <c r="G350" s="1516"/>
      <c r="H350" s="1564" t="str">
        <f>H234</f>
        <v>Quú tÝm</v>
      </c>
      <c r="I350" s="1565"/>
      <c r="J350" s="1565"/>
      <c r="K350" s="1565"/>
      <c r="L350" s="1566"/>
      <c r="M350" s="54" t="s">
        <v>245</v>
      </c>
      <c r="N350" s="55"/>
      <c r="P350" s="4"/>
      <c r="Q350" s="129"/>
      <c r="R350" s="129"/>
      <c r="S350" s="129"/>
      <c r="T350" s="129"/>
      <c r="U350" s="127"/>
      <c r="V350" s="127"/>
      <c r="W350" s="127"/>
      <c r="X350" s="127"/>
      <c r="Y350" s="127"/>
      <c r="Z350" s="127"/>
      <c r="AA350" s="127"/>
      <c r="AB350" s="127"/>
      <c r="AC350" s="127"/>
      <c r="AD350" s="127"/>
      <c r="AE350" s="127"/>
      <c r="AF350" s="127"/>
    </row>
    <row r="351" spans="1:249" s="5" customFormat="1" ht="23.25" customHeight="1">
      <c r="A351" s="54">
        <v>3</v>
      </c>
      <c r="B351" s="1514" t="str">
        <f>B235</f>
        <v>KiÓm tra tû träng</v>
      </c>
      <c r="C351" s="1515"/>
      <c r="D351" s="1515"/>
      <c r="E351" s="1515"/>
      <c r="F351" s="1515"/>
      <c r="G351" s="1516"/>
      <c r="H351" s="1564" t="str">
        <f>H235</f>
        <v>Bé thiÕt bÞ TN Bentonit</v>
      </c>
      <c r="I351" s="1565"/>
      <c r="J351" s="1565"/>
      <c r="K351" s="1565"/>
      <c r="L351" s="1566"/>
      <c r="M351" s="54" t="s">
        <v>245</v>
      </c>
      <c r="N351" s="55"/>
      <c r="P351" s="4"/>
      <c r="Q351" s="129"/>
      <c r="R351" s="129"/>
      <c r="S351" s="129"/>
      <c r="T351" s="129"/>
      <c r="U351" s="127"/>
      <c r="V351" s="127"/>
      <c r="W351" s="127"/>
      <c r="X351" s="127"/>
      <c r="Y351" s="127"/>
      <c r="Z351" s="127"/>
      <c r="AA351" s="127"/>
      <c r="AB351" s="127"/>
      <c r="AC351" s="127"/>
      <c r="AD351" s="127"/>
      <c r="AE351" s="127"/>
      <c r="AF351" s="127"/>
    </row>
    <row r="352" spans="1:249" s="5" customFormat="1" ht="22.5" customHeight="1">
      <c r="A352" s="56">
        <v>4</v>
      </c>
      <c r="B352" s="1498" t="str">
        <f>B236</f>
        <v>KiÓm tra hµm l­îng c¸t</v>
      </c>
      <c r="C352" s="1499"/>
      <c r="D352" s="1499"/>
      <c r="E352" s="1499"/>
      <c r="F352" s="1499"/>
      <c r="G352" s="1500"/>
      <c r="H352" s="1570" t="str">
        <f>H236</f>
        <v>Bé thiÕt bÞ TN Bentonit</v>
      </c>
      <c r="I352" s="1571"/>
      <c r="J352" s="1571"/>
      <c r="K352" s="1571"/>
      <c r="L352" s="1572"/>
      <c r="M352" s="56" t="s">
        <v>245</v>
      </c>
      <c r="N352" s="57"/>
      <c r="P352" s="4"/>
      <c r="Q352" s="129"/>
      <c r="R352" s="129"/>
      <c r="S352" s="129"/>
      <c r="T352" s="129"/>
      <c r="U352" s="127"/>
      <c r="V352" s="127"/>
      <c r="W352" s="127"/>
      <c r="X352" s="127"/>
      <c r="Y352" s="127"/>
      <c r="Z352" s="127"/>
      <c r="AA352" s="127"/>
      <c r="AB352" s="127"/>
      <c r="AC352" s="127"/>
      <c r="AD352" s="127"/>
      <c r="AE352" s="127"/>
      <c r="AF352" s="127"/>
    </row>
    <row r="353" spans="1:32" s="5" customFormat="1" ht="21.75" customHeight="1">
      <c r="A353" s="58"/>
      <c r="B353" s="106" t="s">
        <v>249</v>
      </c>
      <c r="C353" s="106"/>
      <c r="D353" s="106"/>
      <c r="E353" s="106"/>
      <c r="F353" s="60"/>
      <c r="G353" s="1504" t="s">
        <v>176</v>
      </c>
      <c r="H353" s="1504"/>
      <c r="I353" s="1504"/>
      <c r="J353" s="1504"/>
      <c r="K353" s="60"/>
      <c r="L353" s="60"/>
      <c r="M353" s="60"/>
      <c r="N353" s="60"/>
      <c r="P353" s="4"/>
      <c r="Q353" s="129"/>
      <c r="R353" s="129"/>
      <c r="S353" s="129"/>
      <c r="T353" s="129"/>
      <c r="U353" s="127"/>
      <c r="V353" s="127"/>
      <c r="W353" s="127"/>
      <c r="X353" s="127"/>
      <c r="Y353" s="127"/>
      <c r="Z353" s="127"/>
      <c r="AA353" s="127"/>
      <c r="AB353" s="127"/>
      <c r="AC353" s="127"/>
      <c r="AD353" s="127"/>
      <c r="AE353" s="127"/>
      <c r="AF353" s="127"/>
    </row>
    <row r="354" spans="1:32" s="5" customFormat="1" ht="21" customHeight="1">
      <c r="A354" s="31" t="s">
        <v>250</v>
      </c>
      <c r="B354" s="31"/>
      <c r="C354" s="31"/>
      <c r="D354" s="31"/>
      <c r="E354" s="61"/>
      <c r="F354" s="61"/>
      <c r="G354" s="61"/>
      <c r="H354" s="61"/>
      <c r="I354" s="61"/>
      <c r="J354" s="61"/>
      <c r="K354" s="61"/>
      <c r="L354" s="61"/>
      <c r="M354" s="61"/>
      <c r="N354" s="61"/>
      <c r="P354" s="4"/>
      <c r="Q354" s="129"/>
      <c r="R354" s="129"/>
      <c r="S354" s="129"/>
      <c r="T354" s="129"/>
      <c r="U354" s="127"/>
      <c r="V354" s="127"/>
      <c r="W354" s="127"/>
      <c r="X354" s="127"/>
      <c r="Y354" s="127"/>
      <c r="Z354" s="127"/>
      <c r="AA354" s="127"/>
      <c r="AB354" s="127"/>
      <c r="AC354" s="127"/>
      <c r="AD354" s="127"/>
      <c r="AE354" s="127"/>
      <c r="AF354" s="127"/>
    </row>
    <row r="355" spans="1:32" s="5" customFormat="1" ht="24" customHeight="1">
      <c r="A355" s="62"/>
      <c r="B355" s="1505" t="s">
        <v>251</v>
      </c>
      <c r="C355" s="1505"/>
      <c r="D355" s="1505"/>
      <c r="E355" s="1505"/>
      <c r="F355" s="1505"/>
      <c r="G355" s="1505"/>
      <c r="H355" s="1505"/>
      <c r="I355" s="1505"/>
      <c r="J355" s="1505"/>
      <c r="K355" s="1505"/>
      <c r="L355" s="1505"/>
      <c r="M355" s="1505"/>
      <c r="N355" s="1505"/>
      <c r="P355" s="4"/>
      <c r="Q355" s="129"/>
      <c r="R355" s="129"/>
      <c r="S355" s="129"/>
      <c r="T355" s="129"/>
      <c r="U355" s="127"/>
      <c r="V355" s="127"/>
      <c r="W355" s="127"/>
      <c r="X355" s="127"/>
      <c r="Y355" s="127"/>
      <c r="Z355" s="127"/>
      <c r="AA355" s="127"/>
      <c r="AB355" s="127"/>
      <c r="AC355" s="127"/>
      <c r="AD355" s="127"/>
      <c r="AE355" s="127"/>
      <c r="AF355" s="127"/>
    </row>
    <row r="356" spans="1:32" s="5" customFormat="1" ht="23.25" customHeight="1">
      <c r="A356" s="58"/>
      <c r="B356" s="1506"/>
      <c r="C356" s="1506"/>
      <c r="D356" s="1506"/>
      <c r="E356" s="1506"/>
      <c r="F356" s="1507"/>
      <c r="G356" s="1507"/>
      <c r="H356" s="1507"/>
      <c r="I356" s="1507"/>
      <c r="J356" s="1507"/>
      <c r="K356" s="1507"/>
      <c r="L356" s="1507"/>
      <c r="M356" s="50"/>
      <c r="N356" s="50"/>
      <c r="P356" s="4"/>
      <c r="Q356" s="129"/>
      <c r="R356" s="129"/>
      <c r="S356" s="129"/>
      <c r="T356" s="129"/>
      <c r="U356" s="127"/>
      <c r="V356" s="127"/>
      <c r="W356" s="127"/>
      <c r="X356" s="127"/>
      <c r="Y356" s="127"/>
      <c r="Z356" s="127"/>
      <c r="AA356" s="127"/>
      <c r="AB356" s="127"/>
      <c r="AC356" s="127"/>
      <c r="AD356" s="127"/>
      <c r="AE356" s="127"/>
      <c r="AF356" s="127"/>
    </row>
    <row r="357" spans="1:32" s="5" customFormat="1" ht="35.25" customHeight="1">
      <c r="A357" s="107"/>
      <c r="B357" s="1561" t="s">
        <v>283</v>
      </c>
      <c r="C357" s="1561"/>
      <c r="D357" s="1561"/>
      <c r="E357" s="1561"/>
      <c r="F357" s="1561"/>
      <c r="G357" s="107"/>
      <c r="M357" s="1561" t="s">
        <v>273</v>
      </c>
      <c r="N357" s="1561"/>
      <c r="P357" s="4"/>
      <c r="Q357" s="129"/>
      <c r="R357" s="129"/>
      <c r="S357" s="129"/>
      <c r="T357" s="129"/>
      <c r="U357" s="127"/>
      <c r="V357" s="127"/>
      <c r="W357" s="127"/>
      <c r="X357" s="127"/>
      <c r="Y357" s="127"/>
      <c r="Z357" s="127"/>
      <c r="AA357" s="127"/>
      <c r="AB357" s="127"/>
      <c r="AC357" s="127"/>
      <c r="AD357" s="127"/>
      <c r="AE357" s="127"/>
      <c r="AF357" s="127"/>
    </row>
    <row r="358" spans="1:32" s="5" customFormat="1" ht="24.75" customHeight="1">
      <c r="A358" s="1532"/>
      <c r="B358" s="1532"/>
      <c r="C358" s="1532"/>
      <c r="D358" s="1532"/>
      <c r="E358" s="1532"/>
      <c r="F358" s="1532"/>
      <c r="G358" s="1532"/>
      <c r="M358" s="50"/>
      <c r="N358" s="50"/>
      <c r="P358" s="4"/>
      <c r="Q358" s="129"/>
      <c r="R358" s="129"/>
      <c r="S358" s="129"/>
      <c r="T358" s="129"/>
      <c r="U358" s="127"/>
      <c r="V358" s="127"/>
      <c r="W358" s="127"/>
      <c r="X358" s="127"/>
      <c r="Y358" s="127"/>
      <c r="Z358" s="127"/>
      <c r="AA358" s="127"/>
      <c r="AB358" s="127"/>
      <c r="AC358" s="127"/>
      <c r="AD358" s="127"/>
      <c r="AE358" s="127"/>
      <c r="AF358" s="127"/>
    </row>
    <row r="359" spans="1:32" s="5" customFormat="1" ht="20.25" customHeight="1">
      <c r="A359" s="1532"/>
      <c r="B359" s="1532"/>
      <c r="C359" s="1532"/>
      <c r="D359" s="1532"/>
      <c r="E359" s="1532"/>
      <c r="F359" s="1532"/>
      <c r="G359" s="1532"/>
      <c r="M359" s="50"/>
      <c r="N359" s="50"/>
      <c r="P359" s="4"/>
      <c r="Q359" s="129"/>
      <c r="R359" s="129"/>
      <c r="S359" s="129"/>
      <c r="T359" s="129"/>
      <c r="U359" s="127"/>
      <c r="V359" s="127"/>
      <c r="W359" s="127"/>
      <c r="X359" s="127"/>
      <c r="Y359" s="127"/>
      <c r="Z359" s="127"/>
      <c r="AA359" s="127"/>
      <c r="AB359" s="127"/>
      <c r="AC359" s="127"/>
      <c r="AD359" s="127"/>
      <c r="AE359" s="127"/>
      <c r="AF359" s="127"/>
    </row>
    <row r="360" spans="1:32" s="5" customFormat="1" ht="21.75" customHeight="1">
      <c r="O360" s="108"/>
      <c r="P360" s="73"/>
      <c r="Q360" s="129"/>
      <c r="R360" s="129"/>
      <c r="S360" s="129"/>
      <c r="T360" s="129"/>
      <c r="U360" s="127"/>
      <c r="V360" s="127"/>
      <c r="W360" s="127"/>
      <c r="X360" s="127"/>
      <c r="Y360" s="127"/>
      <c r="Z360" s="127"/>
      <c r="AA360" s="127"/>
      <c r="AB360" s="127"/>
      <c r="AC360" s="127"/>
      <c r="AD360" s="127"/>
      <c r="AE360" s="127"/>
      <c r="AF360" s="127"/>
    </row>
    <row r="361" spans="1:32" s="5" customFormat="1">
      <c r="P361" s="4"/>
      <c r="Q361" s="129"/>
      <c r="R361" s="129"/>
      <c r="S361" s="129"/>
      <c r="T361" s="129"/>
      <c r="U361" s="127"/>
      <c r="V361" s="127"/>
      <c r="W361" s="127"/>
      <c r="X361" s="127"/>
      <c r="Y361" s="127"/>
      <c r="Z361" s="127"/>
      <c r="AA361" s="127"/>
      <c r="AB361" s="127"/>
      <c r="AC361" s="127"/>
      <c r="AD361" s="127"/>
      <c r="AE361" s="127"/>
      <c r="AF361" s="127"/>
    </row>
    <row r="362" spans="1:32" s="108" customFormat="1" ht="24.75" customHeight="1">
      <c r="A362" s="112"/>
      <c r="B362" s="112"/>
      <c r="C362" s="112"/>
      <c r="D362" s="112"/>
      <c r="E362" s="112"/>
      <c r="F362" s="112"/>
      <c r="G362" s="112"/>
      <c r="M362" s="112"/>
      <c r="N362" s="5"/>
      <c r="O362" s="5"/>
      <c r="P362" s="4"/>
      <c r="Q362" s="111"/>
      <c r="R362" s="111"/>
      <c r="S362" s="111"/>
      <c r="T362" s="111"/>
    </row>
    <row r="363" spans="1:32" s="5" customFormat="1" ht="16.5" customHeight="1">
      <c r="A363" s="112"/>
      <c r="B363" s="1562" t="str">
        <f>E322</f>
        <v>.....................................</v>
      </c>
      <c r="C363" s="1562"/>
      <c r="D363" s="1562"/>
      <c r="E363" s="1562"/>
      <c r="F363" s="1562"/>
      <c r="G363" s="1562"/>
      <c r="M363" s="1562" t="str">
        <f>E325</f>
        <v>CÔNG TY TNHH MTV HANTECH</v>
      </c>
      <c r="N363" s="1562"/>
      <c r="Q363" s="129"/>
      <c r="R363" s="129"/>
      <c r="S363" s="129"/>
      <c r="T363" s="129"/>
      <c r="U363" s="127"/>
      <c r="V363" s="127"/>
      <c r="W363" s="127"/>
      <c r="X363" s="127"/>
      <c r="Y363" s="127"/>
      <c r="Z363" s="127"/>
      <c r="AA363" s="127"/>
      <c r="AB363" s="127"/>
      <c r="AC363" s="127"/>
      <c r="AD363" s="127"/>
      <c r="AE363" s="127"/>
      <c r="AF363" s="127"/>
    </row>
    <row r="364" spans="1:32" s="5" customFormat="1" ht="16.5" customHeight="1">
      <c r="A364" s="109"/>
      <c r="Q364" s="129"/>
      <c r="R364" s="129"/>
      <c r="S364" s="129"/>
      <c r="T364" s="129"/>
      <c r="U364" s="127"/>
      <c r="V364" s="127"/>
      <c r="W364" s="127"/>
      <c r="X364" s="127"/>
      <c r="Y364" s="127"/>
      <c r="Z364" s="127"/>
      <c r="AA364" s="127"/>
      <c r="AB364" s="127"/>
      <c r="AC364" s="127"/>
      <c r="AD364" s="127"/>
      <c r="AE364" s="127"/>
      <c r="AF364" s="127"/>
    </row>
    <row r="365" spans="1:32" s="5" customFormat="1" ht="16.5">
      <c r="A365" s="113"/>
      <c r="Q365" s="129"/>
      <c r="R365" s="129"/>
      <c r="S365" s="129"/>
      <c r="T365" s="129"/>
      <c r="U365" s="127"/>
      <c r="V365" s="127"/>
      <c r="W365" s="127"/>
      <c r="X365" s="127"/>
      <c r="Y365" s="127"/>
      <c r="Z365" s="127"/>
      <c r="AA365" s="127"/>
      <c r="AB365" s="127"/>
      <c r="AC365" s="127"/>
      <c r="AD365" s="127"/>
      <c r="AE365" s="127"/>
      <c r="AF365" s="127"/>
    </row>
    <row r="366" spans="1:32" s="5" customFormat="1" ht="16.5">
      <c r="A366" s="110"/>
      <c r="Q366" s="129"/>
      <c r="R366" s="129"/>
      <c r="S366" s="129"/>
      <c r="T366" s="129"/>
      <c r="U366" s="127"/>
      <c r="V366" s="127"/>
      <c r="W366" s="127"/>
      <c r="X366" s="127"/>
      <c r="Y366" s="127"/>
      <c r="Z366" s="127"/>
      <c r="AA366" s="127"/>
      <c r="AB366" s="127"/>
      <c r="AC366" s="127"/>
      <c r="AD366" s="127"/>
      <c r="AE366" s="127"/>
      <c r="AF366" s="127"/>
    </row>
    <row r="367" spans="1:32" s="5" customFormat="1" ht="16.5">
      <c r="A367" s="110"/>
      <c r="Q367" s="129"/>
      <c r="R367" s="129"/>
      <c r="S367" s="129"/>
      <c r="T367" s="129"/>
      <c r="U367" s="127"/>
      <c r="V367" s="127"/>
      <c r="W367" s="127"/>
      <c r="X367" s="127"/>
      <c r="Y367" s="127"/>
      <c r="Z367" s="127"/>
      <c r="AA367" s="127"/>
      <c r="AB367" s="127"/>
      <c r="AC367" s="127"/>
      <c r="AD367" s="127"/>
      <c r="AE367" s="127"/>
      <c r="AF367" s="127"/>
    </row>
    <row r="368" spans="1:32" s="5" customFormat="1" ht="16.5">
      <c r="A368" s="113"/>
      <c r="Q368" s="129"/>
      <c r="R368" s="129"/>
      <c r="S368" s="129"/>
      <c r="T368" s="129"/>
      <c r="U368" s="127"/>
      <c r="V368" s="127"/>
      <c r="W368" s="127"/>
      <c r="X368" s="127"/>
      <c r="Y368" s="127"/>
      <c r="Z368" s="127"/>
      <c r="AA368" s="127"/>
      <c r="AB368" s="127"/>
      <c r="AC368" s="127"/>
      <c r="AD368" s="127"/>
      <c r="AE368" s="127"/>
      <c r="AF368" s="127"/>
    </row>
    <row r="369" spans="1:32" s="5" customFormat="1" ht="16.5">
      <c r="A369" s="113"/>
      <c r="Q369" s="129"/>
      <c r="R369" s="129"/>
      <c r="S369" s="129"/>
      <c r="T369" s="129"/>
      <c r="U369" s="127"/>
      <c r="V369" s="127"/>
      <c r="W369" s="127"/>
      <c r="X369" s="127"/>
      <c r="Y369" s="127"/>
      <c r="Z369" s="127"/>
      <c r="AA369" s="127"/>
      <c r="AB369" s="127"/>
      <c r="AC369" s="127"/>
      <c r="AD369" s="127"/>
      <c r="AE369" s="127"/>
      <c r="AF369" s="127"/>
    </row>
    <row r="370" spans="1:32" s="5" customFormat="1" ht="16.5">
      <c r="A370" s="110"/>
      <c r="Q370" s="129"/>
      <c r="R370" s="129"/>
      <c r="S370" s="129"/>
      <c r="T370" s="129"/>
      <c r="U370" s="127"/>
      <c r="V370" s="127"/>
      <c r="W370" s="127"/>
      <c r="X370" s="127"/>
      <c r="Y370" s="127"/>
      <c r="Z370" s="127"/>
      <c r="AA370" s="127"/>
      <c r="AB370" s="127"/>
      <c r="AC370" s="127"/>
      <c r="AD370" s="127"/>
      <c r="AE370" s="127"/>
      <c r="AF370" s="127"/>
    </row>
    <row r="371" spans="1:32" s="5" customFormat="1" ht="16.5">
      <c r="A371" s="110"/>
      <c r="Q371" s="129"/>
      <c r="R371" s="129"/>
      <c r="S371" s="129"/>
      <c r="T371" s="129"/>
      <c r="U371" s="127"/>
      <c r="V371" s="127"/>
      <c r="W371" s="127"/>
      <c r="X371" s="127"/>
      <c r="Y371" s="127"/>
      <c r="Z371" s="127"/>
      <c r="AA371" s="127"/>
      <c r="AB371" s="127"/>
      <c r="AC371" s="127"/>
      <c r="AD371" s="127"/>
      <c r="AE371" s="127"/>
      <c r="AF371" s="127"/>
    </row>
    <row r="372" spans="1:32" s="5" customFormat="1" ht="16.5">
      <c r="B372" s="110"/>
      <c r="C372" s="110"/>
      <c r="Q372" s="129"/>
      <c r="R372" s="129"/>
      <c r="S372" s="129"/>
      <c r="T372" s="129"/>
      <c r="U372" s="127"/>
      <c r="V372" s="127"/>
      <c r="W372" s="127"/>
      <c r="X372" s="127"/>
      <c r="Y372" s="127"/>
      <c r="Z372" s="127"/>
      <c r="AA372" s="127"/>
      <c r="AB372" s="127"/>
      <c r="AC372" s="127"/>
      <c r="AD372" s="127"/>
      <c r="AE372" s="127"/>
      <c r="AF372" s="127"/>
    </row>
    <row r="373" spans="1:32" s="5" customFormat="1" ht="16.5">
      <c r="B373" s="110"/>
      <c r="C373" s="110"/>
      <c r="Q373" s="129"/>
      <c r="R373" s="129"/>
      <c r="S373" s="129"/>
      <c r="T373" s="129"/>
      <c r="U373" s="127"/>
      <c r="V373" s="127"/>
      <c r="W373" s="127"/>
      <c r="X373" s="127"/>
      <c r="Y373" s="127"/>
      <c r="Z373" s="127"/>
      <c r="AA373" s="127"/>
      <c r="AB373" s="127"/>
      <c r="AC373" s="127"/>
      <c r="AD373" s="127"/>
      <c r="AE373" s="127"/>
      <c r="AF373" s="127"/>
    </row>
    <row r="374" spans="1:32" s="5" customFormat="1" ht="16.5">
      <c r="B374" s="110"/>
      <c r="C374" s="110"/>
      <c r="Q374" s="129"/>
      <c r="R374" s="129"/>
      <c r="S374" s="129"/>
      <c r="T374" s="129"/>
      <c r="U374" s="127"/>
      <c r="V374" s="127"/>
      <c r="W374" s="127"/>
      <c r="X374" s="127"/>
      <c r="Y374" s="127"/>
      <c r="Z374" s="127"/>
      <c r="AA374" s="127"/>
      <c r="AB374" s="127"/>
      <c r="AC374" s="127"/>
      <c r="AD374" s="127"/>
      <c r="AE374" s="127"/>
      <c r="AF374" s="127"/>
    </row>
    <row r="375" spans="1:32" s="5" customFormat="1" ht="16.5">
      <c r="B375" s="110"/>
      <c r="C375" s="110"/>
      <c r="Q375" s="129"/>
      <c r="R375" s="129"/>
      <c r="S375" s="129"/>
      <c r="T375" s="129"/>
      <c r="U375" s="127"/>
      <c r="V375" s="127"/>
      <c r="W375" s="127"/>
      <c r="X375" s="127"/>
      <c r="Y375" s="127"/>
      <c r="Z375" s="127"/>
      <c r="AA375" s="127"/>
      <c r="AB375" s="127"/>
      <c r="AC375" s="127"/>
      <c r="AD375" s="127"/>
      <c r="AE375" s="127"/>
      <c r="AF375" s="127"/>
    </row>
    <row r="376" spans="1:32" s="5" customFormat="1" ht="16.5">
      <c r="A376" s="113"/>
      <c r="Q376" s="129"/>
      <c r="R376" s="129"/>
      <c r="S376" s="129"/>
      <c r="T376" s="129"/>
      <c r="U376" s="127"/>
      <c r="V376" s="127"/>
      <c r="W376" s="127"/>
      <c r="X376" s="127"/>
      <c r="Y376" s="127"/>
      <c r="Z376" s="127"/>
      <c r="AA376" s="127"/>
      <c r="AB376" s="127"/>
      <c r="AC376" s="127"/>
      <c r="AD376" s="127"/>
      <c r="AE376" s="127"/>
      <c r="AF376" s="127"/>
    </row>
    <row r="377" spans="1:32" s="5" customFormat="1" ht="16.5">
      <c r="B377" s="114"/>
      <c r="C377" s="114"/>
      <c r="Q377" s="129"/>
      <c r="R377" s="129"/>
      <c r="S377" s="129"/>
      <c r="T377" s="129"/>
      <c r="U377" s="127"/>
      <c r="V377" s="127"/>
      <c r="W377" s="127"/>
      <c r="X377" s="127"/>
      <c r="Y377" s="127"/>
      <c r="Z377" s="127"/>
      <c r="AA377" s="127"/>
      <c r="AB377" s="127"/>
      <c r="AC377" s="127"/>
      <c r="AD377" s="127"/>
      <c r="AE377" s="127"/>
      <c r="AF377" s="127"/>
    </row>
    <row r="378" spans="1:32" s="5" customFormat="1" ht="16.5">
      <c r="A378" s="1563"/>
      <c r="B378" s="1563"/>
      <c r="C378" s="115"/>
      <c r="D378" s="74"/>
      <c r="E378" s="74"/>
      <c r="F378" s="74"/>
      <c r="G378" s="74"/>
      <c r="H378" s="74"/>
      <c r="Q378" s="129"/>
      <c r="R378" s="129"/>
      <c r="S378" s="129"/>
      <c r="T378" s="129"/>
      <c r="U378" s="127"/>
      <c r="V378" s="127"/>
      <c r="W378" s="127"/>
      <c r="X378" s="127"/>
      <c r="Y378" s="127"/>
      <c r="Z378" s="127"/>
      <c r="AA378" s="127"/>
      <c r="AB378" s="127"/>
      <c r="AC378" s="127"/>
      <c r="AD378" s="127"/>
      <c r="AE378" s="127"/>
      <c r="AF378" s="127"/>
    </row>
    <row r="379" spans="1:32" s="5" customFormat="1" ht="16.5">
      <c r="A379" s="58"/>
      <c r="B379" s="58"/>
      <c r="C379" s="58"/>
      <c r="D379" s="58"/>
      <c r="E379" s="58"/>
      <c r="F379" s="58"/>
      <c r="G379" s="58"/>
      <c r="H379" s="58"/>
      <c r="Q379" s="129"/>
      <c r="R379" s="129"/>
      <c r="S379" s="129"/>
      <c r="T379" s="129"/>
      <c r="U379" s="127"/>
      <c r="V379" s="127"/>
      <c r="W379" s="127"/>
      <c r="X379" s="127"/>
      <c r="Y379" s="127"/>
      <c r="Z379" s="127"/>
      <c r="AA379" s="127"/>
      <c r="AB379" s="127"/>
      <c r="AC379" s="127"/>
      <c r="AD379" s="127"/>
      <c r="AE379" s="127"/>
      <c r="AF379" s="127"/>
    </row>
    <row r="380" spans="1:32" s="5" customFormat="1" ht="16.5">
      <c r="A380" s="74"/>
      <c r="B380" s="58"/>
      <c r="C380" s="58"/>
      <c r="D380" s="58"/>
      <c r="E380" s="58"/>
      <c r="F380" s="58"/>
      <c r="G380" s="58"/>
      <c r="H380" s="58"/>
      <c r="Q380" s="129"/>
      <c r="R380" s="129"/>
      <c r="S380" s="129"/>
      <c r="T380" s="129"/>
      <c r="U380" s="127"/>
      <c r="V380" s="127"/>
      <c r="W380" s="127"/>
      <c r="X380" s="127"/>
      <c r="Y380" s="127"/>
      <c r="Z380" s="127"/>
      <c r="AA380" s="127"/>
      <c r="AB380" s="127"/>
      <c r="AC380" s="127"/>
      <c r="AD380" s="127"/>
      <c r="AE380" s="127"/>
      <c r="AF380" s="127"/>
    </row>
    <row r="381" spans="1:32" s="5" customFormat="1" ht="16.5">
      <c r="A381" s="74"/>
      <c r="B381" s="58"/>
      <c r="C381" s="58"/>
      <c r="D381" s="58"/>
      <c r="E381" s="58"/>
      <c r="F381" s="58"/>
      <c r="G381" s="58"/>
      <c r="H381" s="58"/>
      <c r="Q381" s="129"/>
      <c r="R381" s="129"/>
      <c r="S381" s="129"/>
      <c r="T381" s="129"/>
      <c r="U381" s="127"/>
      <c r="V381" s="127"/>
      <c r="W381" s="127"/>
      <c r="X381" s="127"/>
      <c r="Y381" s="127"/>
      <c r="Z381" s="127"/>
      <c r="AA381" s="127"/>
      <c r="AB381" s="127"/>
      <c r="AC381" s="127"/>
      <c r="AD381" s="127"/>
      <c r="AE381" s="127"/>
      <c r="AF381" s="127"/>
    </row>
    <row r="382" spans="1:32" s="5" customFormat="1" ht="17.25">
      <c r="A382" s="1593" t="str">
        <f>'Du lieu'!$C$13</f>
        <v>.....................................</v>
      </c>
      <c r="B382" s="1593"/>
      <c r="C382" s="1593"/>
      <c r="D382" s="1593"/>
      <c r="E382" s="1593"/>
      <c r="F382" s="1593"/>
      <c r="G382" s="9"/>
      <c r="H382" s="1483" t="s">
        <v>199</v>
      </c>
      <c r="I382" s="1483"/>
      <c r="J382" s="1483"/>
      <c r="K382" s="1483"/>
      <c r="L382" s="1483"/>
      <c r="M382" s="1483"/>
      <c r="N382" s="1483"/>
      <c r="Q382" s="129"/>
      <c r="R382" s="129"/>
      <c r="S382" s="129"/>
      <c r="T382" s="129"/>
      <c r="U382" s="127"/>
      <c r="V382" s="127"/>
      <c r="W382" s="127"/>
      <c r="X382" s="127"/>
      <c r="Y382" s="127"/>
      <c r="Z382" s="127"/>
      <c r="AA382" s="127"/>
      <c r="AB382" s="127"/>
      <c r="AC382" s="127"/>
      <c r="AD382" s="127"/>
      <c r="AE382" s="127"/>
      <c r="AF382" s="127"/>
    </row>
    <row r="383" spans="1:32" ht="23.25" customHeight="1">
      <c r="A383" s="1592"/>
      <c r="B383" s="1592"/>
      <c r="C383" s="1592"/>
      <c r="D383" s="1592"/>
      <c r="E383" s="1592"/>
      <c r="F383" s="1592"/>
      <c r="G383" s="13"/>
      <c r="H383" s="1484" t="s">
        <v>200</v>
      </c>
      <c r="I383" s="1484"/>
      <c r="J383" s="1484"/>
      <c r="K383" s="1484"/>
      <c r="L383" s="1484"/>
      <c r="M383" s="1484"/>
      <c r="N383" s="1484"/>
    </row>
    <row r="384" spans="1:32" ht="17.25" customHeight="1">
      <c r="A384" s="1592"/>
      <c r="B384" s="1592"/>
      <c r="C384" s="1592"/>
      <c r="D384" s="1592"/>
      <c r="E384" s="1592"/>
      <c r="F384" s="1592"/>
      <c r="G384" s="14"/>
      <c r="H384" s="14"/>
      <c r="I384" s="1486">
        <f>$U$17</f>
        <v>42466</v>
      </c>
      <c r="J384" s="1486"/>
      <c r="K384" s="1486"/>
      <c r="L384" s="1486"/>
      <c r="M384" s="1486"/>
      <c r="N384" s="1486"/>
    </row>
    <row r="385" spans="1:249" ht="17.25" customHeight="1">
      <c r="A385" s="1592"/>
      <c r="B385" s="1592"/>
      <c r="C385" s="1592"/>
      <c r="D385" s="1592"/>
      <c r="E385" s="1592"/>
      <c r="F385" s="1592"/>
      <c r="I385" s="19"/>
      <c r="J385" s="3"/>
      <c r="K385" s="20"/>
      <c r="L385" s="21"/>
      <c r="M385" s="20"/>
      <c r="O385" s="15"/>
      <c r="P385" s="15"/>
      <c r="Q385" s="16" t="s">
        <v>201</v>
      </c>
      <c r="R385" s="16" t="str">
        <f>'Du lieu'!$C$4</f>
        <v>KHU HỖN HỢP CHUNG CƯ, VĂN PHÒNG, TRUNG TÂM THƯƠNG MẠI VÀ NHÀ Ở KẾT HỢP KHU MUA SẮM</v>
      </c>
      <c r="S385" s="137"/>
      <c r="T385" s="17"/>
      <c r="U385" s="15"/>
      <c r="V385" s="15"/>
      <c r="W385" s="15"/>
      <c r="X385" s="15"/>
      <c r="Y385" s="15"/>
      <c r="Z385" s="15"/>
      <c r="AA385" s="15"/>
      <c r="AB385" s="15"/>
      <c r="AC385" s="15"/>
      <c r="AD385" s="1492"/>
      <c r="AE385" s="1492"/>
      <c r="AF385" s="1492"/>
      <c r="AG385" s="1492"/>
      <c r="AH385" s="1492"/>
      <c r="AI385" s="1492"/>
      <c r="AJ385" s="1492"/>
      <c r="AK385" s="1492"/>
      <c r="AL385" s="1492"/>
      <c r="AM385" s="1492"/>
      <c r="AN385" s="1492"/>
      <c r="AO385" s="1492"/>
      <c r="AP385" s="1492"/>
      <c r="AQ385" s="1492"/>
      <c r="AR385" s="1492"/>
      <c r="AS385" s="1492"/>
      <c r="AT385" s="1492"/>
      <c r="AU385" s="1492"/>
      <c r="AV385" s="1492"/>
      <c r="AW385" s="1492"/>
      <c r="AX385" s="1492"/>
      <c r="AY385" s="1492"/>
      <c r="AZ385" s="1492"/>
      <c r="BA385" s="1492"/>
      <c r="BB385" s="1492"/>
      <c r="BC385" s="1492"/>
      <c r="BD385" s="1492"/>
      <c r="BE385" s="1492"/>
      <c r="BF385" s="1492"/>
      <c r="BG385" s="1492"/>
      <c r="BH385" s="1492"/>
      <c r="BI385" s="1492"/>
      <c r="BJ385" s="1492"/>
      <c r="BK385" s="1492"/>
      <c r="BL385" s="1492"/>
      <c r="BM385" s="1492"/>
      <c r="BN385" s="1492"/>
      <c r="BO385" s="1492"/>
      <c r="BP385" s="1492"/>
      <c r="BQ385" s="1492"/>
      <c r="BR385" s="1492"/>
      <c r="BS385" s="1492"/>
      <c r="BT385" s="1492"/>
      <c r="BU385" s="1492"/>
      <c r="BV385" s="1492"/>
      <c r="BW385" s="1492"/>
      <c r="BX385" s="1492"/>
      <c r="BY385" s="1492"/>
      <c r="BZ385" s="1492"/>
      <c r="CA385" s="1492"/>
      <c r="CB385" s="1492"/>
      <c r="CC385" s="1492"/>
      <c r="CD385" s="1492"/>
      <c r="CE385" s="1492"/>
      <c r="CF385" s="1492"/>
      <c r="CG385" s="1492"/>
      <c r="CH385" s="1492"/>
      <c r="CI385" s="1492"/>
      <c r="CJ385" s="1492"/>
      <c r="CK385" s="1492"/>
      <c r="CL385" s="1492"/>
      <c r="CM385" s="1492"/>
      <c r="CN385" s="1492"/>
      <c r="CO385" s="1492"/>
      <c r="CP385" s="1492"/>
      <c r="CQ385" s="1492"/>
      <c r="CR385" s="1492"/>
      <c r="CS385" s="1492"/>
      <c r="CT385" s="1492"/>
      <c r="CU385" s="1492"/>
      <c r="CV385" s="1492"/>
      <c r="CW385" s="1492"/>
      <c r="CX385" s="1492"/>
      <c r="CY385" s="1492"/>
      <c r="CZ385" s="1492"/>
      <c r="DA385" s="1492"/>
      <c r="DB385" s="1492"/>
      <c r="DC385" s="1492"/>
      <c r="DD385" s="1492"/>
      <c r="DE385" s="1492"/>
      <c r="DF385" s="1492"/>
      <c r="DG385" s="1492"/>
      <c r="DH385" s="1492"/>
      <c r="DI385" s="1492"/>
      <c r="DJ385" s="1492"/>
      <c r="DK385" s="1492"/>
      <c r="DL385" s="1492"/>
      <c r="DM385" s="1492"/>
      <c r="DN385" s="1492"/>
      <c r="DO385" s="1492"/>
      <c r="DP385" s="1492"/>
      <c r="DQ385" s="1492"/>
      <c r="DR385" s="1492"/>
      <c r="DS385" s="1492"/>
      <c r="DT385" s="1492"/>
      <c r="DU385" s="1492"/>
      <c r="DV385" s="1492"/>
      <c r="DW385" s="1492"/>
      <c r="DX385" s="1492"/>
      <c r="DY385" s="1492"/>
      <c r="DZ385" s="1492"/>
      <c r="EA385" s="1492"/>
      <c r="EB385" s="1492"/>
      <c r="EC385" s="1492"/>
      <c r="ED385" s="1492"/>
      <c r="EE385" s="1492"/>
      <c r="EF385" s="1492"/>
      <c r="EG385" s="1492"/>
      <c r="EH385" s="1492"/>
      <c r="EI385" s="1492"/>
      <c r="EJ385" s="1492"/>
      <c r="EK385" s="1492"/>
      <c r="EL385" s="1492"/>
      <c r="EM385" s="1492"/>
      <c r="EN385" s="1492"/>
      <c r="EO385" s="1492"/>
      <c r="EP385" s="1492"/>
      <c r="EQ385" s="1492"/>
      <c r="ER385" s="1492"/>
      <c r="ES385" s="1492"/>
      <c r="ET385" s="1492"/>
      <c r="EU385" s="1492"/>
      <c r="EV385" s="1492"/>
      <c r="EW385" s="1492"/>
      <c r="EX385" s="1492"/>
      <c r="EY385" s="1492"/>
      <c r="EZ385" s="1492"/>
      <c r="FA385" s="1492"/>
      <c r="FB385" s="1492"/>
      <c r="FC385" s="1492"/>
      <c r="FD385" s="1492"/>
      <c r="FE385" s="1492"/>
      <c r="FF385" s="1492"/>
      <c r="FG385" s="1492"/>
      <c r="FH385" s="1492"/>
      <c r="FI385" s="1492"/>
      <c r="FJ385" s="1492"/>
      <c r="FK385" s="1492"/>
      <c r="FL385" s="1492"/>
      <c r="FM385" s="1492"/>
      <c r="FN385" s="1492"/>
      <c r="FO385" s="1492"/>
      <c r="FP385" s="1492"/>
      <c r="FQ385" s="1492"/>
      <c r="FR385" s="1492"/>
      <c r="FS385" s="1492"/>
      <c r="FT385" s="1492"/>
      <c r="FU385" s="1492"/>
      <c r="FV385" s="1492"/>
      <c r="FW385" s="1492"/>
      <c r="FX385" s="1492"/>
      <c r="FY385" s="1492"/>
      <c r="FZ385" s="1492"/>
      <c r="GA385" s="1492"/>
      <c r="GB385" s="1492"/>
      <c r="GC385" s="1492"/>
      <c r="GD385" s="1492"/>
      <c r="GE385" s="1492"/>
      <c r="GF385" s="1492"/>
      <c r="GG385" s="1492"/>
      <c r="GH385" s="1492"/>
      <c r="GI385" s="1492"/>
      <c r="GJ385" s="1492"/>
      <c r="GK385" s="1492"/>
      <c r="GL385" s="1492"/>
      <c r="GM385" s="1492"/>
      <c r="GN385" s="1492"/>
      <c r="GO385" s="1492"/>
      <c r="GP385" s="1492"/>
      <c r="GQ385" s="1492"/>
      <c r="GR385" s="1492"/>
      <c r="GS385" s="1492"/>
      <c r="GT385" s="1492"/>
      <c r="GU385" s="1492"/>
      <c r="GV385" s="1492"/>
      <c r="GW385" s="1492"/>
      <c r="GX385" s="1492"/>
      <c r="GY385" s="1492"/>
      <c r="GZ385" s="1492"/>
      <c r="HA385" s="1492"/>
      <c r="HB385" s="1492"/>
      <c r="HC385" s="1492"/>
      <c r="HD385" s="1492"/>
      <c r="HE385" s="1492"/>
      <c r="HF385" s="1492"/>
      <c r="HG385" s="1492"/>
      <c r="HH385" s="1492"/>
      <c r="HI385" s="1492"/>
      <c r="HJ385" s="1492"/>
      <c r="HK385" s="1492"/>
      <c r="HL385" s="1492"/>
      <c r="HM385" s="1492"/>
      <c r="HN385" s="1492"/>
      <c r="HO385" s="1492"/>
      <c r="HP385" s="1492"/>
      <c r="HQ385" s="1492"/>
      <c r="HR385" s="1492"/>
      <c r="HS385" s="1492"/>
      <c r="HT385" s="1492"/>
      <c r="HU385" s="1492"/>
      <c r="HV385" s="1492"/>
      <c r="HW385" s="1492"/>
      <c r="HX385" s="1492"/>
      <c r="HY385" s="1492"/>
      <c r="HZ385" s="1492"/>
      <c r="IA385" s="1492"/>
      <c r="IB385" s="1492"/>
      <c r="IC385" s="1492"/>
      <c r="ID385" s="1492"/>
      <c r="IE385" s="1492"/>
      <c r="IF385" s="1492"/>
      <c r="IG385" s="1492"/>
      <c r="IH385" s="1492"/>
      <c r="II385" s="1492"/>
      <c r="IJ385" s="1492"/>
      <c r="IK385" s="1492"/>
      <c r="IL385" s="1492"/>
      <c r="IM385" s="1492"/>
      <c r="IN385" s="1492"/>
      <c r="IO385" s="14"/>
    </row>
    <row r="386" spans="1:249" ht="17.25" customHeight="1">
      <c r="A386" s="1493" t="str">
        <f>"Biªn b¶n sè: "&amp;$R$12&amp;"/ Nb-lt/"&amp;$R$14</f>
        <v>Biªn b¶n sè: B1/ Nb-lt/800</v>
      </c>
      <c r="B386" s="1493"/>
      <c r="C386" s="1493"/>
      <c r="D386" s="1493"/>
      <c r="E386" s="1493"/>
      <c r="F386" s="1493"/>
      <c r="G386" s="1493"/>
      <c r="H386" s="1493"/>
      <c r="I386" s="1493"/>
      <c r="J386" s="1493"/>
      <c r="K386" s="1493"/>
      <c r="L386" s="1493"/>
      <c r="M386" s="1493"/>
      <c r="N386" s="1493"/>
      <c r="Q386" s="22" t="s">
        <v>202</v>
      </c>
      <c r="R386" s="16" t="str">
        <f>'Du lieu'!$C$6</f>
        <v>P. BẠCH ĐẰNG, TP. HẠ LONG, TỈNH QUẢNG NINH</v>
      </c>
      <c r="S386" s="137"/>
      <c r="T386" s="23"/>
    </row>
    <row r="387" spans="1:249" s="24" customFormat="1" ht="22.5" customHeight="1">
      <c r="A387" s="1493" t="s">
        <v>204</v>
      </c>
      <c r="B387" s="1493"/>
      <c r="C387" s="1493"/>
      <c r="D387" s="1493"/>
      <c r="E387" s="1493"/>
      <c r="F387" s="1493"/>
      <c r="G387" s="1493"/>
      <c r="H387" s="1493"/>
      <c r="I387" s="1493"/>
      <c r="J387" s="1493"/>
      <c r="K387" s="1493"/>
      <c r="L387" s="1493"/>
      <c r="M387" s="1493"/>
      <c r="N387" s="1493"/>
      <c r="Q387" s="22" t="s">
        <v>203</v>
      </c>
      <c r="R387" s="16" t="str">
        <f>'Du lieu'!$C$5</f>
        <v>CỌC KHOAN NHỒI</v>
      </c>
      <c r="S387" s="137"/>
      <c r="T387" s="23"/>
    </row>
    <row r="388" spans="1:249" s="24" customFormat="1" ht="21" customHeight="1">
      <c r="A388" s="12"/>
      <c r="B388"/>
      <c r="C388"/>
      <c r="D388"/>
      <c r="E388"/>
      <c r="F388"/>
      <c r="G388"/>
      <c r="H388"/>
      <c r="I388"/>
      <c r="J388"/>
      <c r="K388"/>
      <c r="L388"/>
      <c r="M388"/>
      <c r="N388"/>
      <c r="T388" s="25"/>
    </row>
    <row r="389" spans="1:249" ht="26.25">
      <c r="B389" s="27"/>
      <c r="C389" s="28" t="str">
        <f>"C«ng tr×nh: "&amp;$R$3</f>
        <v>C«ng tr×nh: KHU HỖN HỢP CHUNG CƯ, VĂN PHÒNG, TRUNG TÂM THƯƠNG MẠI VÀ NHÀ Ở KẾT HỢP KHU MUA SẮM</v>
      </c>
      <c r="D389" s="27"/>
      <c r="E389" s="27"/>
      <c r="F389" s="27"/>
      <c r="G389" s="27"/>
      <c r="H389" s="27"/>
      <c r="I389" s="27"/>
      <c r="J389" s="27"/>
      <c r="K389" s="27"/>
      <c r="L389" s="27"/>
      <c r="R389" s="26"/>
      <c r="S389" s="26"/>
      <c r="T389" s="25"/>
    </row>
    <row r="390" spans="1:249" ht="21.95" customHeight="1">
      <c r="B390" s="27"/>
      <c r="C390" s="28" t="str">
        <f>"H¹ng môc: "&amp;$R$5</f>
        <v>H¹ng môc: CỌC KHOAN NHỒI</v>
      </c>
      <c r="D390" s="27"/>
      <c r="E390" s="29"/>
      <c r="F390" s="28"/>
      <c r="G390" s="28"/>
      <c r="H390" s="28"/>
      <c r="I390" s="28"/>
      <c r="J390" s="28"/>
      <c r="K390" s="28"/>
      <c r="L390" s="28"/>
      <c r="M390" s="28"/>
    </row>
    <row r="391" spans="1:249" ht="21.95" customHeight="1">
      <c r="B391" s="30"/>
      <c r="C391" s="1487" t="str">
        <f>"§Þa ®iÓm x©y dùng: "&amp;$R$4</f>
        <v>§Þa ®iÓm x©y dùng: P. BẠCH ĐẰNG, TP. HẠ LONG, TỈNH QUẢNG NINH</v>
      </c>
      <c r="D391" s="1487"/>
      <c r="E391" s="1487"/>
      <c r="F391" s="1487"/>
      <c r="G391" s="1487"/>
      <c r="H391" s="1487"/>
      <c r="I391" s="1487"/>
      <c r="J391" s="1487"/>
      <c r="K391" s="1487"/>
      <c r="L391" s="1487"/>
      <c r="M391" s="1487"/>
      <c r="N391" s="1487"/>
    </row>
    <row r="392" spans="1:249" ht="21.95" customHeight="1">
      <c r="B392" s="30"/>
      <c r="C392" s="31"/>
      <c r="D392" s="30"/>
      <c r="E392" s="30"/>
      <c r="F392" s="30"/>
      <c r="G392" s="30"/>
      <c r="H392" s="30"/>
      <c r="I392" s="30"/>
      <c r="J392" s="30"/>
      <c r="K392" s="30"/>
      <c r="L392" s="30"/>
    </row>
    <row r="393" spans="1:249" ht="16.5">
      <c r="A393" s="30" t="str">
        <f>"1.§èi t­îng nghiÖm thu: Lång thÐp cäc: "&amp;$R$12</f>
        <v>1.§èi t­îng nghiÖm thu: Lång thÐp cäc: B1</v>
      </c>
      <c r="B393" s="30"/>
      <c r="C393" s="30"/>
      <c r="D393" s="30"/>
      <c r="E393" s="30"/>
      <c r="F393" s="27"/>
      <c r="H393" s="30"/>
      <c r="I393" s="30"/>
      <c r="J393" s="30"/>
      <c r="K393" s="30"/>
      <c r="L393" s="30"/>
    </row>
    <row r="394" spans="1:249" ht="16.5">
      <c r="A394" s="30"/>
      <c r="B394" s="30"/>
      <c r="C394" s="30"/>
      <c r="D394" s="30"/>
      <c r="E394" s="30"/>
      <c r="F394" s="27"/>
      <c r="H394" s="30"/>
      <c r="I394" s="30"/>
      <c r="J394" s="30"/>
      <c r="K394" s="30"/>
      <c r="L394" s="30"/>
      <c r="Q394" s="119" t="s">
        <v>205</v>
      </c>
      <c r="R394" s="119" t="e">
        <v>#REF!</v>
      </c>
      <c r="S394" s="119"/>
      <c r="T394" s="119"/>
      <c r="U394" s="1"/>
      <c r="V394" s="120">
        <v>3.472222222222222E-3</v>
      </c>
      <c r="W394" s="6" t="s">
        <v>206</v>
      </c>
    </row>
    <row r="395" spans="1:249" ht="27" hidden="1" customHeight="1">
      <c r="A395" s="1488" t="s">
        <v>207</v>
      </c>
      <c r="B395" s="1488"/>
      <c r="C395" s="1488"/>
      <c r="D395" s="1488"/>
      <c r="E395" s="1488"/>
      <c r="F395" s="1488"/>
      <c r="G395" s="1488"/>
      <c r="H395" s="1488"/>
      <c r="I395" s="1488"/>
      <c r="J395" s="1488"/>
      <c r="K395" s="1488"/>
      <c r="L395" s="1488"/>
      <c r="Q395" s="32"/>
      <c r="R395" s="119"/>
      <c r="S395" s="119"/>
      <c r="T395" s="119"/>
      <c r="U395" s="1"/>
    </row>
    <row r="396" spans="1:249" ht="21.95" customHeight="1">
      <c r="A396" s="27"/>
      <c r="B396" s="33" t="s">
        <v>208</v>
      </c>
      <c r="C396" s="34"/>
      <c r="D396" s="34"/>
      <c r="E396" s="27"/>
      <c r="F396" s="27"/>
      <c r="G396" s="27"/>
      <c r="H396" s="27"/>
      <c r="I396" s="27"/>
      <c r="J396" s="27"/>
      <c r="K396" s="27"/>
      <c r="L396" s="27"/>
      <c r="Q396" s="119" t="s">
        <v>156</v>
      </c>
      <c r="R396" s="119" t="e">
        <v>#REF!</v>
      </c>
      <c r="S396" s="119"/>
      <c r="T396" s="119"/>
      <c r="U396" s="1"/>
    </row>
    <row r="397" spans="1:249" ht="21.95" customHeight="1">
      <c r="A397" s="35"/>
      <c r="C397" s="34"/>
      <c r="D397" s="36" t="s">
        <v>210</v>
      </c>
      <c r="E397" s="36" t="str">
        <f>R415</f>
        <v>Nguyễn Mạnh Hùng</v>
      </c>
      <c r="F397" s="36"/>
      <c r="G397" s="35"/>
      <c r="I397" s="37" t="s">
        <v>211</v>
      </c>
      <c r="J397" s="37"/>
      <c r="K397" s="36" t="str">
        <f>T415</f>
        <v>Chỉ huy phó công trường</v>
      </c>
      <c r="L397" s="35"/>
      <c r="M397" s="35"/>
      <c r="Q397" s="119" t="s">
        <v>209</v>
      </c>
      <c r="R397" s="121" t="e">
        <v>#REF!</v>
      </c>
      <c r="S397" s="121"/>
      <c r="T397" s="121" t="e">
        <v>#REF!</v>
      </c>
      <c r="U397" s="122" t="e">
        <v>#REF!</v>
      </c>
      <c r="V397" s="120">
        <v>1.0416666666666666E-2</v>
      </c>
      <c r="W397" s="123" t="e">
        <f>R397-V397</f>
        <v>#REF!</v>
      </c>
      <c r="X397" s="124"/>
    </row>
    <row r="398" spans="1:249" ht="24.75" customHeight="1">
      <c r="A398" s="27"/>
      <c r="B398" s="33" t="s">
        <v>213</v>
      </c>
      <c r="C398" s="34"/>
      <c r="D398" s="34"/>
      <c r="E398" s="27"/>
      <c r="F398" s="27"/>
      <c r="G398" s="27"/>
      <c r="H398" s="27"/>
      <c r="I398" s="27"/>
      <c r="J398" s="27"/>
      <c r="K398" s="27"/>
      <c r="L398" s="27"/>
      <c r="Q398" s="119" t="s">
        <v>212</v>
      </c>
      <c r="R398" s="121" t="e">
        <v>#REF!</v>
      </c>
      <c r="S398" s="121"/>
      <c r="T398" s="121" t="e">
        <v>#REF!</v>
      </c>
      <c r="U398" s="122" t="e">
        <v>#REF!</v>
      </c>
    </row>
    <row r="399" spans="1:249" ht="21.95" customHeight="1">
      <c r="A399" s="35"/>
      <c r="C399" s="38"/>
      <c r="D399" s="39" t="s">
        <v>210</v>
      </c>
      <c r="E399" s="36" t="str">
        <f>R412</f>
        <v>CÔNG TY TNHH MTV HANTECH</v>
      </c>
      <c r="F399" s="36"/>
      <c r="G399" s="35"/>
      <c r="I399" s="37" t="s">
        <v>211</v>
      </c>
      <c r="J399" s="37"/>
      <c r="K399" s="36" t="str">
        <f>T412</f>
        <v>Công ty TNHH MTV HANTECH</v>
      </c>
      <c r="L399" s="36"/>
      <c r="Q399" s="119" t="s">
        <v>214</v>
      </c>
      <c r="R399" s="121" t="e">
        <v>#REF!</v>
      </c>
      <c r="S399" s="121"/>
      <c r="T399" s="121" t="e">
        <v>#REF!</v>
      </c>
      <c r="U399" s="122" t="e">
        <v>#REF!</v>
      </c>
    </row>
    <row r="400" spans="1:249" ht="26.25" customHeight="1">
      <c r="A400" s="35"/>
      <c r="C400" s="38"/>
      <c r="D400" s="39" t="s">
        <v>210</v>
      </c>
      <c r="E400" s="36" t="str">
        <f>R414</f>
        <v>Ngô Văn Khánh</v>
      </c>
      <c r="F400" s="36"/>
      <c r="G400" s="35"/>
      <c r="I400" s="37" t="s">
        <v>211</v>
      </c>
      <c r="J400" s="37"/>
      <c r="K400" s="36" t="str">
        <f>T414</f>
        <v>Chỉ huy trưởng công trường</v>
      </c>
      <c r="L400" s="36"/>
      <c r="Q400" s="119" t="s">
        <v>215</v>
      </c>
      <c r="R400" s="121" t="e">
        <v>#REF!</v>
      </c>
      <c r="S400" s="121"/>
      <c r="T400" s="121" t="e">
        <v>#REF!</v>
      </c>
      <c r="U400" s="122" t="e">
        <v>#REF!</v>
      </c>
    </row>
    <row r="401" spans="1:249" ht="26.25" customHeight="1">
      <c r="A401" s="1488" t="s">
        <v>217</v>
      </c>
      <c r="B401" s="1488"/>
      <c r="C401" s="1488"/>
      <c r="D401" s="1488"/>
      <c r="E401" s="1488"/>
      <c r="F401" s="1488"/>
      <c r="G401" s="1488"/>
      <c r="H401" s="1488"/>
      <c r="I401" s="1488"/>
      <c r="J401" s="1488"/>
      <c r="K401" s="1488"/>
      <c r="L401" s="1488"/>
      <c r="Q401" s="119" t="s">
        <v>216</v>
      </c>
      <c r="R401" s="121" t="e">
        <v>#REF!</v>
      </c>
      <c r="S401" s="121"/>
      <c r="T401" s="121" t="e">
        <v>#REF!</v>
      </c>
      <c r="U401" s="122" t="e">
        <v>#REF!</v>
      </c>
    </row>
    <row r="402" spans="1:249" ht="22.5" customHeight="1">
      <c r="A402" s="40"/>
      <c r="C402" s="24"/>
      <c r="D402" s="24" t="s">
        <v>219</v>
      </c>
      <c r="E402" s="41">
        <f>$W$17</f>
        <v>0.72569444444444431</v>
      </c>
      <c r="F402" s="1489">
        <f>I384</f>
        <v>42466</v>
      </c>
      <c r="G402" s="1489"/>
      <c r="H402" s="1489"/>
      <c r="I402" s="1489"/>
      <c r="J402" s="1489"/>
      <c r="K402" s="1489"/>
      <c r="L402" s="1489"/>
      <c r="M402" s="24"/>
      <c r="N402" s="24"/>
      <c r="Q402" s="119" t="s">
        <v>218</v>
      </c>
      <c r="R402" s="121">
        <v>0.33333333333333331</v>
      </c>
      <c r="S402" s="121"/>
      <c r="T402" s="121">
        <v>0.375</v>
      </c>
      <c r="U402" s="122" t="e">
        <f>U401+30</f>
        <v>#REF!</v>
      </c>
    </row>
    <row r="403" spans="1:249" ht="21.95" customHeight="1">
      <c r="A403" s="40"/>
      <c r="C403" s="24"/>
      <c r="D403" s="24" t="s">
        <v>162</v>
      </c>
      <c r="E403" s="41">
        <f>$E402+$V$12</f>
        <v>0.72916666666666652</v>
      </c>
      <c r="F403" s="1489">
        <f>I384</f>
        <v>42466</v>
      </c>
      <c r="G403" s="1489"/>
      <c r="H403" s="1489"/>
      <c r="I403" s="1489"/>
      <c r="J403" s="1489"/>
      <c r="K403" s="1489"/>
      <c r="L403" s="1489"/>
    </row>
    <row r="404" spans="1:249" ht="21.95" customHeight="1">
      <c r="D404" s="36" t="s">
        <v>220</v>
      </c>
      <c r="F404" s="36" t="str">
        <f>$R$3</f>
        <v>KHU HỖN HỢP CHUNG CƯ, VĂN PHÒNG, TRUNG TÂM THƯƠNG MẠI VÀ NHÀ Ở KẾT HỢP KHU MUA SẮM</v>
      </c>
      <c r="G404" s="30"/>
      <c r="H404" s="30"/>
      <c r="I404" s="30"/>
      <c r="J404" s="30"/>
      <c r="K404" s="30"/>
      <c r="L404" s="30"/>
      <c r="Q404" s="119" t="s">
        <v>192</v>
      </c>
      <c r="R404" s="119" t="str">
        <f>'Du lieu'!$C$7</f>
        <v>CÔNG TY CỔ PHẦN ĐẦU TƯ VÀ KHÁCH SẠN MYWAY HẠ LONG</v>
      </c>
      <c r="S404" s="119"/>
      <c r="T404" s="119" t="str">
        <f>'Du lieu'!$D$7</f>
        <v>Công ty Cổ phần đầu tư và Khách sạn MyWay Hạ Long</v>
      </c>
      <c r="U404" s="1"/>
    </row>
    <row r="405" spans="1:249" ht="23.25" customHeight="1">
      <c r="D405" s="36" t="s">
        <v>221</v>
      </c>
      <c r="F405" s="36" t="str">
        <f>$R$4</f>
        <v>P. BẠCH ĐẰNG, TP. HẠ LONG, TỈNH QUẢNG NINH</v>
      </c>
      <c r="G405" s="30"/>
      <c r="H405" s="30"/>
      <c r="I405" s="30"/>
      <c r="J405" s="30"/>
      <c r="K405" s="30"/>
      <c r="L405" s="30"/>
      <c r="Q405" s="119" t="s">
        <v>193</v>
      </c>
      <c r="R405" s="119" t="str">
        <f>'Du lieu'!$C$8</f>
        <v>Nguyễn Thanh Tân</v>
      </c>
      <c r="S405" s="119"/>
      <c r="T405" s="119" t="str">
        <f>'Du lieu'!$D$8</f>
        <v>GĐ BQLDA</v>
      </c>
      <c r="U405" s="1"/>
    </row>
    <row r="406" spans="1:249" ht="23.25" customHeight="1">
      <c r="A406" s="1488" t="s">
        <v>222</v>
      </c>
      <c r="B406" s="1488"/>
      <c r="C406" s="1488"/>
      <c r="D406" s="1488"/>
      <c r="E406" s="1488"/>
      <c r="F406" s="1488"/>
      <c r="G406" s="1488"/>
      <c r="H406" s="1488"/>
      <c r="I406" s="1488"/>
      <c r="J406" s="1488"/>
      <c r="K406" s="1488"/>
      <c r="L406" s="1488"/>
      <c r="Q406" s="119" t="s">
        <v>193</v>
      </c>
      <c r="R406" s="119" t="str">
        <f>'Du lieu'!$C$9</f>
        <v>Phạm Tiến Dũng</v>
      </c>
      <c r="S406" s="119"/>
      <c r="T406" s="119" t="str">
        <f>'Du lieu'!$D$9</f>
        <v>Cán bộ BQLDA</v>
      </c>
      <c r="U406" s="1"/>
    </row>
    <row r="407" spans="1:249" ht="36.75" customHeight="1">
      <c r="A407" s="1491" t="s">
        <v>223</v>
      </c>
      <c r="B407" s="1491"/>
      <c r="C407" s="1491"/>
      <c r="D407" s="1491"/>
      <c r="E407" s="1491"/>
      <c r="F407" s="1491"/>
      <c r="G407" s="1491"/>
      <c r="H407" s="1491"/>
      <c r="I407" s="1491"/>
      <c r="J407" s="1491"/>
      <c r="K407" s="1491"/>
      <c r="L407" s="1491"/>
      <c r="M407" s="1491"/>
      <c r="N407" s="1491"/>
      <c r="O407" s="43"/>
      <c r="P407" s="43"/>
      <c r="Q407" s="119" t="s">
        <v>194</v>
      </c>
      <c r="R407" s="119" t="str">
        <f>'Du lieu'!$C$10</f>
        <v>………………..</v>
      </c>
      <c r="S407" s="119"/>
      <c r="T407" s="119" t="str">
        <f>'Du lieu'!$D$10</f>
        <v>Cán bộ BQLDA</v>
      </c>
      <c r="U407" s="125"/>
      <c r="V407" s="126"/>
      <c r="W407" s="126"/>
      <c r="X407" s="126"/>
      <c r="Y407" s="126"/>
      <c r="Z407" s="126"/>
      <c r="AA407" s="126"/>
      <c r="AB407" s="126"/>
      <c r="AC407" s="126"/>
    </row>
    <row r="408" spans="1:249" s="5" customFormat="1" ht="16.5">
      <c r="A408" s="1490" t="s">
        <v>224</v>
      </c>
      <c r="B408" s="1490"/>
      <c r="C408" s="1490"/>
      <c r="D408" s="1490"/>
      <c r="E408" s="1490"/>
      <c r="F408" s="1490"/>
      <c r="G408" s="1490"/>
      <c r="H408" s="1490"/>
      <c r="I408" s="1490"/>
      <c r="J408" s="1490"/>
      <c r="K408" s="1490"/>
      <c r="L408" s="1490"/>
      <c r="M408" s="1490"/>
      <c r="N408" s="1490"/>
      <c r="O408" s="43"/>
      <c r="P408" s="43"/>
      <c r="Q408" s="119" t="s">
        <v>193</v>
      </c>
      <c r="R408" s="119" t="str">
        <f>'Du lieu'!$C$11</f>
        <v>CÔNG TY CỔ PHẦN TƯ VẤN KIỂM ĐỊNH VÀ THƯƠNG MẠI XÂY DỰNG GOLDSUN</v>
      </c>
      <c r="S408" s="119"/>
      <c r="T408" s="119" t="str">
        <f>'Du lieu'!$D$11</f>
        <v>Công ty Cổ phần tư vấn kiểm định và thương mại xây dựng Goldsun</v>
      </c>
      <c r="U408" s="125"/>
      <c r="V408" s="126"/>
      <c r="W408" s="126"/>
      <c r="X408" s="126"/>
      <c r="Y408" s="126"/>
      <c r="Z408" s="126"/>
      <c r="AA408" s="126"/>
      <c r="AB408" s="126"/>
      <c r="AC408" s="126"/>
      <c r="AD408" s="127"/>
      <c r="AE408" s="127"/>
      <c r="AF408" s="127"/>
    </row>
    <row r="409" spans="1:249" s="5" customFormat="1" ht="24" customHeight="1">
      <c r="B409" s="36" t="s">
        <v>226</v>
      </c>
      <c r="C409" s="36"/>
      <c r="D409" s="36"/>
      <c r="E409" s="36"/>
      <c r="F409" s="36"/>
      <c r="G409" s="36"/>
      <c r="H409" s="36"/>
      <c r="I409" s="36"/>
      <c r="J409" s="36"/>
      <c r="K409" s="36"/>
      <c r="L409" s="36"/>
      <c r="M409" s="36"/>
      <c r="N409" s="36"/>
      <c r="O409" s="43"/>
      <c r="P409" s="43"/>
      <c r="Q409" s="119" t="s">
        <v>193</v>
      </c>
      <c r="R409" s="119" t="str">
        <f>'Du lieu'!$C$12</f>
        <v>.....................................</v>
      </c>
      <c r="S409" s="119"/>
      <c r="T409" s="119" t="str">
        <f>'Du lieu'!$D$12</f>
        <v>.....................................</v>
      </c>
      <c r="U409" s="125"/>
      <c r="V409" s="126"/>
      <c r="W409" s="126"/>
      <c r="X409" s="126"/>
      <c r="Y409" s="126"/>
      <c r="Z409" s="126"/>
      <c r="AA409" s="126"/>
      <c r="AB409" s="126"/>
      <c r="AC409" s="126"/>
      <c r="AD409" s="127"/>
      <c r="AE409" s="127"/>
      <c r="AF409" s="127"/>
    </row>
    <row r="410" spans="1:249" s="5" customFormat="1" ht="24" customHeight="1">
      <c r="B410" s="36" t="s">
        <v>227</v>
      </c>
      <c r="C410" s="36"/>
      <c r="D410" s="36"/>
      <c r="E410" s="36"/>
      <c r="F410" s="36"/>
      <c r="G410" s="36"/>
      <c r="H410" s="36"/>
      <c r="I410" s="36"/>
      <c r="J410" s="36"/>
      <c r="K410" s="36"/>
      <c r="L410" s="36"/>
      <c r="M410" s="36"/>
      <c r="N410" s="36"/>
      <c r="O410" s="43"/>
      <c r="P410" s="43"/>
      <c r="Q410" s="119" t="s">
        <v>195</v>
      </c>
      <c r="R410" s="119" t="str">
        <f>'Du lieu'!$C$13</f>
        <v>.....................................</v>
      </c>
      <c r="S410" s="119"/>
      <c r="T410" s="119" t="str">
        <f>'Du lieu'!$D$13</f>
        <v>.....................................</v>
      </c>
      <c r="U410" s="125"/>
      <c r="V410" s="126"/>
      <c r="W410" s="126"/>
      <c r="X410" s="126"/>
      <c r="Y410" s="126"/>
      <c r="Z410" s="126"/>
      <c r="AA410" s="126"/>
      <c r="AB410" s="126"/>
      <c r="AC410" s="126"/>
      <c r="AD410" s="1490"/>
      <c r="AE410" s="1490"/>
      <c r="AF410" s="1490"/>
      <c r="AG410" s="1490"/>
      <c r="AH410" s="1490"/>
      <c r="AI410" s="1490"/>
      <c r="AJ410" s="1490"/>
      <c r="AK410" s="1490"/>
      <c r="AL410" s="1490"/>
      <c r="AM410" s="1490"/>
      <c r="AN410" s="1490"/>
      <c r="AO410" s="1490"/>
      <c r="AP410" s="1490"/>
      <c r="AQ410" s="1490"/>
      <c r="AR410" s="1490"/>
      <c r="AS410" s="1490"/>
      <c r="AT410" s="1490"/>
      <c r="AU410" s="1490"/>
      <c r="AV410" s="1490"/>
      <c r="AW410" s="1490"/>
      <c r="AX410" s="1490"/>
      <c r="AY410" s="1490"/>
      <c r="AZ410" s="1490"/>
      <c r="BA410" s="1490"/>
      <c r="BB410" s="1490"/>
      <c r="BC410" s="1490"/>
      <c r="BD410" s="1490"/>
      <c r="BE410" s="1490"/>
      <c r="BF410" s="1490"/>
      <c r="BG410" s="1490"/>
      <c r="BH410" s="1490"/>
      <c r="BI410" s="1490"/>
      <c r="BJ410" s="1490"/>
      <c r="BK410" s="1490"/>
      <c r="BL410" s="1490"/>
      <c r="BM410" s="1490"/>
      <c r="BN410" s="1490"/>
      <c r="BO410" s="1490"/>
      <c r="BP410" s="1490"/>
      <c r="BQ410" s="1490"/>
      <c r="BR410" s="1490"/>
      <c r="BS410" s="1490"/>
      <c r="BT410" s="1490"/>
      <c r="BU410" s="1490"/>
      <c r="BV410" s="1490"/>
      <c r="BW410" s="1490"/>
      <c r="BX410" s="1490"/>
      <c r="BY410" s="1490"/>
      <c r="BZ410" s="1490"/>
      <c r="CA410" s="1490"/>
      <c r="CB410" s="1490"/>
      <c r="CC410" s="1490"/>
      <c r="CD410" s="1490"/>
      <c r="CE410" s="1490"/>
      <c r="CF410" s="1490"/>
      <c r="CG410" s="1490"/>
      <c r="CH410" s="1490"/>
      <c r="CI410" s="1490"/>
      <c r="CJ410" s="1490"/>
      <c r="CK410" s="1490"/>
      <c r="CL410" s="1490"/>
      <c r="CM410" s="1490"/>
      <c r="CN410" s="1490"/>
      <c r="CO410" s="1490"/>
      <c r="CP410" s="1490"/>
      <c r="CQ410" s="1490"/>
      <c r="CR410" s="1490"/>
      <c r="CS410" s="1490"/>
      <c r="CT410" s="1490"/>
      <c r="CU410" s="1490"/>
      <c r="CV410" s="1490"/>
      <c r="CW410" s="1490"/>
      <c r="CX410" s="1490"/>
      <c r="CY410" s="1490"/>
      <c r="CZ410" s="1490"/>
      <c r="DA410" s="1490"/>
      <c r="DB410" s="1490"/>
      <c r="DC410" s="1490"/>
      <c r="DD410" s="1490"/>
      <c r="DE410" s="1490"/>
      <c r="DF410" s="1490"/>
      <c r="DG410" s="1490"/>
      <c r="DH410" s="1490"/>
      <c r="DI410" s="1490"/>
      <c r="DJ410" s="1490"/>
      <c r="DK410" s="1490"/>
      <c r="DL410" s="1490"/>
      <c r="DM410" s="1490"/>
      <c r="DN410" s="1490"/>
      <c r="DO410" s="1490"/>
      <c r="DP410" s="1490"/>
      <c r="DQ410" s="1490"/>
      <c r="DR410" s="1490"/>
      <c r="DS410" s="1490"/>
      <c r="DT410" s="1490"/>
      <c r="DU410" s="1490"/>
      <c r="DV410" s="1490"/>
      <c r="DW410" s="1490"/>
      <c r="DX410" s="1490"/>
      <c r="DY410" s="1490"/>
      <c r="DZ410" s="1490"/>
      <c r="EA410" s="1490"/>
      <c r="EB410" s="1490"/>
      <c r="EC410" s="1490"/>
      <c r="ED410" s="1490"/>
      <c r="EE410" s="1490"/>
      <c r="EF410" s="1490"/>
      <c r="EG410" s="1490"/>
      <c r="EH410" s="1490"/>
      <c r="EI410" s="1490"/>
      <c r="EJ410" s="1490"/>
      <c r="EK410" s="1490"/>
      <c r="EL410" s="1490"/>
      <c r="EM410" s="1490"/>
      <c r="EN410" s="1490"/>
      <c r="EO410" s="1490"/>
      <c r="EP410" s="1490"/>
      <c r="EQ410" s="1490"/>
      <c r="ER410" s="1490"/>
      <c r="ES410" s="1490"/>
      <c r="ET410" s="1490"/>
      <c r="EU410" s="1490"/>
      <c r="EV410" s="1490"/>
      <c r="EW410" s="1490"/>
      <c r="EX410" s="1490"/>
      <c r="EY410" s="1490"/>
      <c r="EZ410" s="1490"/>
      <c r="FA410" s="1490"/>
      <c r="FB410" s="1490"/>
      <c r="FC410" s="1490"/>
      <c r="FD410" s="1490"/>
      <c r="FE410" s="1490"/>
      <c r="FF410" s="1490"/>
      <c r="FG410" s="1490"/>
      <c r="FH410" s="1490"/>
      <c r="FI410" s="1490"/>
      <c r="FJ410" s="1490"/>
      <c r="FK410" s="1490"/>
      <c r="FL410" s="1490"/>
      <c r="FM410" s="1490"/>
      <c r="FN410" s="1490"/>
      <c r="FO410" s="1490"/>
      <c r="FP410" s="1490"/>
      <c r="FQ410" s="1490"/>
      <c r="FR410" s="1490"/>
      <c r="FS410" s="1490"/>
      <c r="FT410" s="1490"/>
      <c r="FU410" s="1490"/>
      <c r="FV410" s="1490"/>
      <c r="FW410" s="1490"/>
      <c r="FX410" s="1490"/>
      <c r="FY410" s="1490"/>
      <c r="FZ410" s="1490"/>
      <c r="GA410" s="1490"/>
      <c r="GB410" s="1490"/>
      <c r="GC410" s="1490"/>
      <c r="GD410" s="1490"/>
      <c r="GE410" s="1490"/>
      <c r="GF410" s="1490"/>
      <c r="GG410" s="1490"/>
      <c r="GH410" s="1490"/>
      <c r="GI410" s="1490"/>
      <c r="GJ410" s="1490"/>
      <c r="GK410" s="1490"/>
      <c r="GL410" s="1490"/>
      <c r="GM410" s="1490"/>
      <c r="GN410" s="1490"/>
      <c r="GO410" s="1490"/>
      <c r="GP410" s="1490"/>
      <c r="GQ410" s="1490"/>
      <c r="GR410" s="1490"/>
      <c r="GS410" s="1490"/>
      <c r="GT410" s="1490"/>
      <c r="GU410" s="1490"/>
      <c r="GV410" s="1490"/>
      <c r="GW410" s="1490"/>
      <c r="GX410" s="1490"/>
      <c r="GY410" s="1490"/>
      <c r="GZ410" s="1490"/>
      <c r="HA410" s="1490"/>
      <c r="HB410" s="1490"/>
      <c r="HC410" s="1490"/>
      <c r="HD410" s="1490"/>
      <c r="HE410" s="1490"/>
      <c r="HF410" s="1490"/>
      <c r="HG410" s="1490"/>
      <c r="HH410" s="1490"/>
      <c r="HI410" s="1490"/>
      <c r="HJ410" s="1490"/>
      <c r="HK410" s="1490"/>
      <c r="HL410" s="1490"/>
      <c r="HM410" s="1490"/>
      <c r="HN410" s="1490"/>
      <c r="HO410" s="1490"/>
      <c r="HP410" s="1490"/>
      <c r="HQ410" s="1490"/>
      <c r="HR410" s="1490"/>
      <c r="HS410" s="1490"/>
      <c r="HT410" s="1490"/>
      <c r="HU410" s="1490"/>
      <c r="HV410" s="1490"/>
      <c r="HW410" s="1490"/>
      <c r="HX410" s="1490"/>
      <c r="HY410" s="1490"/>
      <c r="HZ410" s="1490"/>
      <c r="IA410" s="1490"/>
      <c r="IB410" s="1490"/>
      <c r="IC410" s="1490"/>
      <c r="ID410" s="1490"/>
      <c r="IE410" s="1490"/>
      <c r="IF410" s="1490"/>
      <c r="IG410" s="1490"/>
      <c r="IH410" s="1490"/>
      <c r="II410" s="1490"/>
      <c r="IJ410" s="1490"/>
      <c r="IK410" s="1490"/>
      <c r="IL410" s="1490"/>
      <c r="IM410" s="1490"/>
      <c r="IN410" s="1490"/>
      <c r="IO410" s="44"/>
    </row>
    <row r="411" spans="1:249" s="5" customFormat="1" ht="24" customHeight="1">
      <c r="B411" s="36" t="s">
        <v>228</v>
      </c>
      <c r="C411" s="36"/>
      <c r="D411" s="36"/>
      <c r="E411" s="36"/>
      <c r="F411" s="36"/>
      <c r="G411" s="36"/>
      <c r="H411" s="36"/>
      <c r="I411" s="36"/>
      <c r="J411" s="36"/>
      <c r="K411" s="36"/>
      <c r="L411" s="36"/>
      <c r="M411" s="36"/>
      <c r="N411" s="36"/>
      <c r="O411" s="43"/>
      <c r="P411" s="43"/>
      <c r="Q411" s="119" t="s">
        <v>193</v>
      </c>
      <c r="R411" s="119" t="str">
        <f>'Du lieu'!$C$14</f>
        <v>.....................................</v>
      </c>
      <c r="S411" s="119"/>
      <c r="T411" s="119" t="str">
        <f>'Du lieu'!$D$14</f>
        <v>.....................................</v>
      </c>
      <c r="U411" s="125"/>
      <c r="V411" s="126"/>
      <c r="W411" s="126"/>
      <c r="X411" s="126"/>
      <c r="Y411" s="126"/>
      <c r="Z411" s="126"/>
      <c r="AA411" s="126"/>
      <c r="AB411" s="126"/>
      <c r="AC411" s="126"/>
      <c r="AD411" s="1490"/>
      <c r="AE411" s="1490"/>
      <c r="AF411" s="1490"/>
      <c r="AG411" s="1490"/>
      <c r="AH411" s="1490"/>
      <c r="AI411" s="1490"/>
      <c r="AJ411" s="1490"/>
      <c r="AK411" s="1490"/>
      <c r="AL411" s="1490"/>
      <c r="AM411" s="1490"/>
      <c r="AN411" s="1490"/>
      <c r="AO411" s="1490"/>
      <c r="AP411" s="1490"/>
      <c r="AQ411" s="1490"/>
      <c r="AR411" s="1490"/>
      <c r="AS411" s="1490"/>
      <c r="AT411" s="1490"/>
      <c r="AU411" s="1490"/>
      <c r="AV411" s="1490"/>
      <c r="AW411" s="1490"/>
      <c r="AX411" s="1490"/>
      <c r="AY411" s="1490"/>
      <c r="AZ411" s="1490"/>
      <c r="BA411" s="1490"/>
      <c r="BB411" s="1490"/>
      <c r="BC411" s="1490"/>
      <c r="BD411" s="1490"/>
      <c r="BE411" s="1490"/>
      <c r="BF411" s="1490"/>
      <c r="BG411" s="1490"/>
      <c r="BH411" s="1490"/>
      <c r="BI411" s="1490"/>
      <c r="BJ411" s="1490"/>
      <c r="BK411" s="1490"/>
      <c r="BL411" s="1490"/>
      <c r="BM411" s="1490"/>
      <c r="BN411" s="1490"/>
      <c r="BO411" s="1490"/>
      <c r="BP411" s="1490"/>
      <c r="BQ411" s="1490"/>
      <c r="BR411" s="1490"/>
      <c r="BS411" s="1490"/>
      <c r="BT411" s="1490"/>
      <c r="BU411" s="1490"/>
      <c r="BV411" s="1490"/>
      <c r="BW411" s="1490"/>
      <c r="BX411" s="1490"/>
      <c r="BY411" s="1490"/>
      <c r="BZ411" s="1490"/>
      <c r="CA411" s="1490"/>
      <c r="CB411" s="1490"/>
      <c r="CC411" s="1490"/>
      <c r="CD411" s="1490"/>
      <c r="CE411" s="1490"/>
      <c r="CF411" s="1490"/>
      <c r="CG411" s="1490"/>
      <c r="CH411" s="1490"/>
      <c r="CI411" s="1490"/>
      <c r="CJ411" s="1490"/>
      <c r="CK411" s="1490"/>
      <c r="CL411" s="1490"/>
      <c r="CM411" s="1490"/>
      <c r="CN411" s="1490"/>
      <c r="CO411" s="1490"/>
      <c r="CP411" s="1490"/>
      <c r="CQ411" s="1490"/>
      <c r="CR411" s="1490"/>
      <c r="CS411" s="1490"/>
      <c r="CT411" s="1490"/>
      <c r="CU411" s="1490"/>
      <c r="CV411" s="1490"/>
      <c r="CW411" s="1490"/>
      <c r="CX411" s="1490"/>
      <c r="CY411" s="1490"/>
      <c r="CZ411" s="1490"/>
      <c r="DA411" s="1490"/>
      <c r="DB411" s="1490"/>
      <c r="DC411" s="1490"/>
      <c r="DD411" s="1490"/>
      <c r="DE411" s="1490"/>
      <c r="DF411" s="1490"/>
      <c r="DG411" s="1490"/>
      <c r="DH411" s="1490"/>
      <c r="DI411" s="1490"/>
      <c r="DJ411" s="1490"/>
      <c r="DK411" s="1490"/>
      <c r="DL411" s="1490"/>
      <c r="DM411" s="1490"/>
      <c r="DN411" s="1490"/>
      <c r="DO411" s="1490"/>
      <c r="DP411" s="1490"/>
      <c r="DQ411" s="1490"/>
      <c r="DR411" s="1490"/>
      <c r="DS411" s="1490"/>
      <c r="DT411" s="1490"/>
      <c r="DU411" s="1490"/>
      <c r="DV411" s="1490"/>
      <c r="DW411" s="1490"/>
      <c r="DX411" s="1490"/>
      <c r="DY411" s="1490"/>
      <c r="DZ411" s="1490"/>
      <c r="EA411" s="1490"/>
      <c r="EB411" s="1490"/>
      <c r="EC411" s="1490"/>
      <c r="ED411" s="1490"/>
      <c r="EE411" s="1490"/>
      <c r="EF411" s="1490"/>
      <c r="EG411" s="1490"/>
      <c r="EH411" s="1490"/>
      <c r="EI411" s="1490"/>
      <c r="EJ411" s="1490"/>
      <c r="EK411" s="1490"/>
      <c r="EL411" s="1490"/>
      <c r="EM411" s="1490"/>
      <c r="EN411" s="1490"/>
      <c r="EO411" s="1490"/>
      <c r="EP411" s="1490"/>
      <c r="EQ411" s="1490"/>
      <c r="ER411" s="1490"/>
      <c r="ES411" s="1490"/>
      <c r="ET411" s="1490"/>
      <c r="EU411" s="1490"/>
      <c r="EV411" s="1490"/>
      <c r="EW411" s="1490"/>
      <c r="EX411" s="1490"/>
      <c r="EY411" s="1490"/>
      <c r="EZ411" s="1490"/>
      <c r="FA411" s="1490"/>
      <c r="FB411" s="1490"/>
      <c r="FC411" s="1490"/>
      <c r="FD411" s="1490"/>
      <c r="FE411" s="1490"/>
      <c r="FF411" s="1490"/>
      <c r="FG411" s="1490"/>
      <c r="FH411" s="1490"/>
      <c r="FI411" s="1490"/>
      <c r="FJ411" s="1490"/>
      <c r="FK411" s="1490"/>
      <c r="FL411" s="1490"/>
      <c r="FM411" s="1490"/>
      <c r="FN411" s="1490"/>
      <c r="FO411" s="1490"/>
      <c r="FP411" s="1490"/>
      <c r="FQ411" s="1490"/>
      <c r="FR411" s="1490"/>
      <c r="FS411" s="1490"/>
      <c r="FT411" s="1490"/>
      <c r="FU411" s="1490"/>
      <c r="FV411" s="1490"/>
      <c r="FW411" s="1490"/>
      <c r="FX411" s="1490"/>
      <c r="FY411" s="1490"/>
      <c r="FZ411" s="1490"/>
      <c r="GA411" s="1490"/>
      <c r="GB411" s="1490"/>
      <c r="GC411" s="1490"/>
      <c r="GD411" s="1490"/>
      <c r="GE411" s="1490"/>
      <c r="GF411" s="1490"/>
      <c r="GG411" s="1490"/>
      <c r="GH411" s="1490"/>
      <c r="GI411" s="1490"/>
      <c r="GJ411" s="1490"/>
      <c r="GK411" s="1490"/>
      <c r="GL411" s="1490"/>
      <c r="GM411" s="1490"/>
      <c r="GN411" s="1490"/>
      <c r="GO411" s="1490"/>
      <c r="GP411" s="1490"/>
      <c r="GQ411" s="1490"/>
      <c r="GR411" s="1490"/>
      <c r="GS411" s="1490"/>
      <c r="GT411" s="1490"/>
      <c r="GU411" s="1490"/>
      <c r="GV411" s="1490"/>
      <c r="GW411" s="1490"/>
      <c r="GX411" s="1490"/>
      <c r="GY411" s="1490"/>
      <c r="GZ411" s="1490"/>
      <c r="HA411" s="1490"/>
      <c r="HB411" s="1490"/>
      <c r="HC411" s="1490"/>
      <c r="HD411" s="1490"/>
      <c r="HE411" s="1490"/>
      <c r="HF411" s="1490"/>
      <c r="HG411" s="1490"/>
      <c r="HH411" s="1490"/>
      <c r="HI411" s="1490"/>
      <c r="HJ411" s="1490"/>
      <c r="HK411" s="1490"/>
      <c r="HL411" s="1490"/>
      <c r="HM411" s="1490"/>
      <c r="HN411" s="1490"/>
      <c r="HO411" s="1490"/>
      <c r="HP411" s="1490"/>
      <c r="HQ411" s="1490"/>
      <c r="HR411" s="1490"/>
      <c r="HS411" s="1490"/>
      <c r="HT411" s="1490"/>
      <c r="HU411" s="1490"/>
      <c r="HV411" s="1490"/>
      <c r="HW411" s="1490"/>
      <c r="HX411" s="1490"/>
      <c r="HY411" s="1490"/>
      <c r="HZ411" s="1490"/>
      <c r="IA411" s="1490"/>
      <c r="IB411" s="1490"/>
      <c r="IC411" s="1490"/>
      <c r="ID411" s="1490"/>
      <c r="IE411" s="1490"/>
      <c r="IF411" s="1490"/>
      <c r="IG411" s="1490"/>
      <c r="IH411" s="1490"/>
      <c r="II411" s="1490"/>
      <c r="IJ411" s="1490"/>
      <c r="IK411" s="1490"/>
      <c r="IL411" s="1490"/>
      <c r="IM411" s="1490"/>
      <c r="IN411" s="1490"/>
      <c r="IO411" s="44"/>
    </row>
    <row r="412" spans="1:249" s="5" customFormat="1" ht="24" customHeight="1">
      <c r="B412" s="36" t="s">
        <v>290</v>
      </c>
      <c r="C412" s="36"/>
      <c r="D412" s="36"/>
      <c r="E412" s="36"/>
      <c r="F412" s="36"/>
      <c r="G412" s="36"/>
      <c r="H412" s="36"/>
      <c r="I412" s="36"/>
      <c r="J412" s="36"/>
      <c r="K412" s="36"/>
      <c r="L412" s="36"/>
      <c r="M412" s="36"/>
      <c r="N412" s="36"/>
      <c r="O412" s="43"/>
      <c r="P412" s="43"/>
      <c r="Q412" s="119" t="s">
        <v>193</v>
      </c>
      <c r="R412" s="119" t="str">
        <f>'Du lieu'!$C$15</f>
        <v>CÔNG TY TNHH MTV HANTECH</v>
      </c>
      <c r="S412" s="119"/>
      <c r="T412" s="119" t="str">
        <f>'Du lieu'!$D$15</f>
        <v>Công ty TNHH MTV HANTECH</v>
      </c>
      <c r="U412" s="125"/>
      <c r="V412" s="126"/>
      <c r="W412" s="126"/>
      <c r="X412" s="126"/>
      <c r="Y412" s="126"/>
      <c r="Z412" s="126"/>
      <c r="AA412" s="126"/>
      <c r="AB412" s="126"/>
      <c r="AC412" s="126"/>
      <c r="AD412" s="1490"/>
      <c r="AE412" s="1490"/>
      <c r="AF412" s="1490"/>
      <c r="AG412" s="1490"/>
      <c r="AH412" s="1490"/>
      <c r="AI412" s="1490"/>
      <c r="AJ412" s="1490"/>
      <c r="AK412" s="1490"/>
      <c r="AL412" s="1490"/>
      <c r="AM412" s="1490"/>
      <c r="AN412" s="1490"/>
      <c r="AO412" s="1490"/>
      <c r="AP412" s="1490"/>
      <c r="AQ412" s="1490"/>
      <c r="AR412" s="1490"/>
      <c r="AS412" s="1490"/>
      <c r="AT412" s="1490"/>
      <c r="AU412" s="1490"/>
      <c r="AV412" s="1490"/>
      <c r="AW412" s="1490"/>
      <c r="AX412" s="1490"/>
      <c r="AY412" s="1490"/>
      <c r="AZ412" s="1490"/>
      <c r="BA412" s="1490"/>
      <c r="BB412" s="1490"/>
      <c r="BC412" s="1490"/>
      <c r="BD412" s="1490"/>
      <c r="BE412" s="1490"/>
      <c r="BF412" s="1490"/>
      <c r="BG412" s="1490"/>
      <c r="BH412" s="1490"/>
      <c r="BI412" s="1490"/>
      <c r="BJ412" s="1490"/>
      <c r="BK412" s="1490"/>
      <c r="BL412" s="1490"/>
      <c r="BM412" s="1490"/>
      <c r="BN412" s="1490"/>
      <c r="BO412" s="1490"/>
      <c r="BP412" s="1490"/>
      <c r="BQ412" s="1490"/>
      <c r="BR412" s="1490"/>
      <c r="BS412" s="1490"/>
      <c r="BT412" s="1490"/>
      <c r="BU412" s="1490"/>
      <c r="BV412" s="1490"/>
      <c r="BW412" s="1490"/>
      <c r="BX412" s="1490"/>
      <c r="BY412" s="1490"/>
      <c r="BZ412" s="1490"/>
      <c r="CA412" s="1490"/>
      <c r="CB412" s="1490"/>
      <c r="CC412" s="1490"/>
      <c r="CD412" s="1490"/>
      <c r="CE412" s="1490"/>
      <c r="CF412" s="1490"/>
      <c r="CG412" s="1490"/>
      <c r="CH412" s="1490"/>
      <c r="CI412" s="1490"/>
      <c r="CJ412" s="1490"/>
      <c r="CK412" s="1490"/>
      <c r="CL412" s="1490"/>
      <c r="CM412" s="1490"/>
      <c r="CN412" s="1490"/>
      <c r="CO412" s="1490"/>
      <c r="CP412" s="1490"/>
      <c r="CQ412" s="1490"/>
      <c r="CR412" s="1490"/>
      <c r="CS412" s="1490"/>
      <c r="CT412" s="1490"/>
      <c r="CU412" s="1490"/>
      <c r="CV412" s="1490"/>
      <c r="CW412" s="1490"/>
      <c r="CX412" s="1490"/>
      <c r="CY412" s="1490"/>
      <c r="CZ412" s="1490"/>
      <c r="DA412" s="1490"/>
      <c r="DB412" s="1490"/>
      <c r="DC412" s="1490"/>
      <c r="DD412" s="1490"/>
      <c r="DE412" s="1490"/>
      <c r="DF412" s="1490"/>
      <c r="DG412" s="1490"/>
      <c r="DH412" s="1490"/>
      <c r="DI412" s="1490"/>
      <c r="DJ412" s="1490"/>
      <c r="DK412" s="1490"/>
      <c r="DL412" s="1490"/>
      <c r="DM412" s="1490"/>
      <c r="DN412" s="1490"/>
      <c r="DO412" s="1490"/>
      <c r="DP412" s="1490"/>
      <c r="DQ412" s="1490"/>
      <c r="DR412" s="1490"/>
      <c r="DS412" s="1490"/>
      <c r="DT412" s="1490"/>
      <c r="DU412" s="1490"/>
      <c r="DV412" s="1490"/>
      <c r="DW412" s="1490"/>
      <c r="DX412" s="1490"/>
      <c r="DY412" s="1490"/>
      <c r="DZ412" s="1490"/>
      <c r="EA412" s="1490"/>
      <c r="EB412" s="1490"/>
      <c r="EC412" s="1490"/>
      <c r="ED412" s="1490"/>
      <c r="EE412" s="1490"/>
      <c r="EF412" s="1490"/>
      <c r="EG412" s="1490"/>
      <c r="EH412" s="1490"/>
      <c r="EI412" s="1490"/>
      <c r="EJ412" s="1490"/>
      <c r="EK412" s="1490"/>
      <c r="EL412" s="1490"/>
      <c r="EM412" s="1490"/>
      <c r="EN412" s="1490"/>
      <c r="EO412" s="1490"/>
      <c r="EP412" s="1490"/>
      <c r="EQ412" s="1490"/>
      <c r="ER412" s="1490"/>
      <c r="ES412" s="1490"/>
      <c r="ET412" s="1490"/>
      <c r="EU412" s="1490"/>
      <c r="EV412" s="1490"/>
      <c r="EW412" s="1490"/>
      <c r="EX412" s="1490"/>
      <c r="EY412" s="1490"/>
      <c r="EZ412" s="1490"/>
      <c r="FA412" s="1490"/>
      <c r="FB412" s="1490"/>
      <c r="FC412" s="1490"/>
      <c r="FD412" s="1490"/>
      <c r="FE412" s="1490"/>
      <c r="FF412" s="1490"/>
      <c r="FG412" s="1490"/>
      <c r="FH412" s="1490"/>
      <c r="FI412" s="1490"/>
      <c r="FJ412" s="1490"/>
      <c r="FK412" s="1490"/>
      <c r="FL412" s="1490"/>
      <c r="FM412" s="1490"/>
      <c r="FN412" s="1490"/>
      <c r="FO412" s="1490"/>
      <c r="FP412" s="1490"/>
      <c r="FQ412" s="1490"/>
      <c r="FR412" s="1490"/>
      <c r="FS412" s="1490"/>
      <c r="FT412" s="1490"/>
      <c r="FU412" s="1490"/>
      <c r="FV412" s="1490"/>
      <c r="FW412" s="1490"/>
      <c r="FX412" s="1490"/>
      <c r="FY412" s="1490"/>
      <c r="FZ412" s="1490"/>
      <c r="GA412" s="1490"/>
      <c r="GB412" s="1490"/>
      <c r="GC412" s="1490"/>
      <c r="GD412" s="1490"/>
      <c r="GE412" s="1490"/>
      <c r="GF412" s="1490"/>
      <c r="GG412" s="1490"/>
      <c r="GH412" s="1490"/>
      <c r="GI412" s="1490"/>
      <c r="GJ412" s="1490"/>
      <c r="GK412" s="1490"/>
      <c r="GL412" s="1490"/>
      <c r="GM412" s="1490"/>
      <c r="GN412" s="1490"/>
      <c r="GO412" s="1490"/>
      <c r="GP412" s="1490"/>
      <c r="GQ412" s="1490"/>
      <c r="GR412" s="1490"/>
      <c r="GS412" s="1490"/>
      <c r="GT412" s="1490"/>
      <c r="GU412" s="1490"/>
      <c r="GV412" s="1490"/>
      <c r="GW412" s="1490"/>
      <c r="GX412" s="1490"/>
      <c r="GY412" s="1490"/>
      <c r="GZ412" s="1490"/>
      <c r="HA412" s="1490"/>
      <c r="HB412" s="1490"/>
      <c r="HC412" s="1490"/>
      <c r="HD412" s="1490"/>
      <c r="HE412" s="1490"/>
      <c r="HF412" s="1490"/>
      <c r="HG412" s="1490"/>
      <c r="HH412" s="1490"/>
      <c r="HI412" s="1490"/>
      <c r="HJ412" s="1490"/>
      <c r="HK412" s="1490"/>
      <c r="HL412" s="1490"/>
      <c r="HM412" s="1490"/>
      <c r="HN412" s="1490"/>
      <c r="HO412" s="1490"/>
      <c r="HP412" s="1490"/>
      <c r="HQ412" s="1490"/>
      <c r="HR412" s="1490"/>
      <c r="HS412" s="1490"/>
      <c r="HT412" s="1490"/>
      <c r="HU412" s="1490"/>
      <c r="HV412" s="1490"/>
      <c r="HW412" s="1490"/>
      <c r="HX412" s="1490"/>
      <c r="HY412" s="1490"/>
      <c r="HZ412" s="1490"/>
      <c r="IA412" s="1490"/>
      <c r="IB412" s="1490"/>
      <c r="IC412" s="1490"/>
      <c r="ID412" s="1490"/>
      <c r="IE412" s="1490"/>
      <c r="IF412" s="1490"/>
      <c r="IG412" s="1490"/>
      <c r="IH412" s="1490"/>
      <c r="II412" s="1490"/>
      <c r="IJ412" s="1490"/>
      <c r="IK412" s="1490"/>
      <c r="IL412" s="1490"/>
      <c r="IM412" s="1490"/>
      <c r="IN412" s="1490"/>
      <c r="IO412" s="44"/>
    </row>
    <row r="413" spans="1:249" s="5" customFormat="1" ht="24" customHeight="1">
      <c r="A413" s="45"/>
      <c r="B413" s="46" t="s">
        <v>229</v>
      </c>
      <c r="C413" s="46"/>
      <c r="D413" s="46"/>
      <c r="E413" s="46"/>
      <c r="F413" s="46"/>
      <c r="G413" s="46"/>
      <c r="H413" s="46"/>
      <c r="I413" s="46"/>
      <c r="J413" s="46"/>
      <c r="K413" s="46"/>
      <c r="L413" s="46"/>
      <c r="M413" s="46"/>
      <c r="N413" s="46"/>
      <c r="O413" s="43"/>
      <c r="P413" s="43"/>
      <c r="Q413" s="119" t="s">
        <v>196</v>
      </c>
      <c r="R413" s="119"/>
      <c r="S413" s="119"/>
      <c r="T413" s="119" t="str">
        <f>'Du lieu'!$D$16</f>
        <v>.....................................</v>
      </c>
      <c r="U413" s="125"/>
      <c r="V413" s="126"/>
      <c r="W413" s="126"/>
      <c r="X413" s="126"/>
      <c r="Y413" s="126"/>
      <c r="Z413" s="126"/>
      <c r="AA413" s="126"/>
      <c r="AB413" s="126"/>
      <c r="AC413" s="126"/>
      <c r="AD413" s="1490"/>
      <c r="AE413" s="1490"/>
      <c r="AF413" s="1490"/>
      <c r="AG413" s="1490"/>
      <c r="AH413" s="1490"/>
      <c r="AI413" s="1490"/>
      <c r="AJ413" s="1490"/>
      <c r="AK413" s="1490"/>
      <c r="AL413" s="1490"/>
      <c r="AM413" s="1490"/>
      <c r="AN413" s="1490"/>
      <c r="AO413" s="1490"/>
      <c r="AP413" s="1490"/>
      <c r="AQ413" s="1490"/>
      <c r="AR413" s="1490"/>
      <c r="AS413" s="1490"/>
      <c r="AT413" s="1490"/>
      <c r="AU413" s="1490"/>
      <c r="AV413" s="1490"/>
      <c r="AW413" s="1490"/>
      <c r="AX413" s="1490"/>
      <c r="AY413" s="1490"/>
      <c r="AZ413" s="1490"/>
      <c r="BA413" s="1490"/>
      <c r="BB413" s="1490"/>
      <c r="BC413" s="1490"/>
      <c r="BD413" s="1490"/>
      <c r="BE413" s="1490"/>
      <c r="BF413" s="1490"/>
      <c r="BG413" s="1490"/>
      <c r="BH413" s="1490"/>
      <c r="BI413" s="1490"/>
      <c r="BJ413" s="1490"/>
      <c r="BK413" s="1490"/>
      <c r="BL413" s="1490"/>
      <c r="BM413" s="1490"/>
      <c r="BN413" s="1490"/>
      <c r="BO413" s="1490"/>
      <c r="BP413" s="1490"/>
      <c r="BQ413" s="1490"/>
      <c r="BR413" s="1490"/>
      <c r="BS413" s="1490"/>
      <c r="BT413" s="1490"/>
      <c r="BU413" s="1490"/>
      <c r="BV413" s="1490"/>
      <c r="BW413" s="1490"/>
      <c r="BX413" s="1490"/>
      <c r="BY413" s="1490"/>
      <c r="BZ413" s="1490"/>
      <c r="CA413" s="1490"/>
      <c r="CB413" s="1490"/>
      <c r="CC413" s="1490"/>
      <c r="CD413" s="1490"/>
      <c r="CE413" s="1490"/>
      <c r="CF413" s="1490"/>
      <c r="CG413" s="1490"/>
      <c r="CH413" s="1490"/>
      <c r="CI413" s="1490"/>
      <c r="CJ413" s="1490"/>
      <c r="CK413" s="1490"/>
      <c r="CL413" s="1490"/>
      <c r="CM413" s="1490"/>
      <c r="CN413" s="1490"/>
      <c r="CO413" s="1490"/>
      <c r="CP413" s="1490"/>
      <c r="CQ413" s="1490"/>
      <c r="CR413" s="1490"/>
      <c r="CS413" s="1490"/>
      <c r="CT413" s="1490"/>
      <c r="CU413" s="1490"/>
      <c r="CV413" s="1490"/>
      <c r="CW413" s="1490"/>
      <c r="CX413" s="1490"/>
      <c r="CY413" s="1490"/>
      <c r="CZ413" s="1490"/>
      <c r="DA413" s="1490"/>
      <c r="DB413" s="1490"/>
      <c r="DC413" s="1490"/>
      <c r="DD413" s="1490"/>
      <c r="DE413" s="1490"/>
      <c r="DF413" s="1490"/>
      <c r="DG413" s="1490"/>
      <c r="DH413" s="1490"/>
      <c r="DI413" s="1490"/>
      <c r="DJ413" s="1490"/>
      <c r="DK413" s="1490"/>
      <c r="DL413" s="1490"/>
      <c r="DM413" s="1490"/>
      <c r="DN413" s="1490"/>
      <c r="DO413" s="1490"/>
      <c r="DP413" s="1490"/>
      <c r="DQ413" s="1490"/>
      <c r="DR413" s="1490"/>
      <c r="DS413" s="1490"/>
      <c r="DT413" s="1490"/>
      <c r="DU413" s="1490"/>
      <c r="DV413" s="1490"/>
      <c r="DW413" s="1490"/>
      <c r="DX413" s="1490"/>
      <c r="DY413" s="1490"/>
      <c r="DZ413" s="1490"/>
      <c r="EA413" s="1490"/>
      <c r="EB413" s="1490"/>
      <c r="EC413" s="1490"/>
      <c r="ED413" s="1490"/>
      <c r="EE413" s="1490"/>
      <c r="EF413" s="1490"/>
      <c r="EG413" s="1490"/>
      <c r="EH413" s="1490"/>
      <c r="EI413" s="1490"/>
      <c r="EJ413" s="1490"/>
      <c r="EK413" s="1490"/>
      <c r="EL413" s="1490"/>
      <c r="EM413" s="1490"/>
      <c r="EN413" s="1490"/>
      <c r="EO413" s="1490"/>
      <c r="EP413" s="1490"/>
      <c r="EQ413" s="1490"/>
      <c r="ER413" s="1490"/>
      <c r="ES413" s="1490"/>
      <c r="ET413" s="1490"/>
      <c r="EU413" s="1490"/>
      <c r="EV413" s="1490"/>
      <c r="EW413" s="1490"/>
      <c r="EX413" s="1490"/>
      <c r="EY413" s="1490"/>
      <c r="EZ413" s="1490"/>
      <c r="FA413" s="1490"/>
      <c r="FB413" s="1490"/>
      <c r="FC413" s="1490"/>
      <c r="FD413" s="1490"/>
      <c r="FE413" s="1490"/>
      <c r="FF413" s="1490"/>
      <c r="FG413" s="1490"/>
      <c r="FH413" s="1490"/>
      <c r="FI413" s="1490"/>
      <c r="FJ413" s="1490"/>
      <c r="FK413" s="1490"/>
      <c r="FL413" s="1490"/>
      <c r="FM413" s="1490"/>
      <c r="FN413" s="1490"/>
      <c r="FO413" s="1490"/>
      <c r="FP413" s="1490"/>
      <c r="FQ413" s="1490"/>
      <c r="FR413" s="1490"/>
      <c r="FS413" s="1490"/>
      <c r="FT413" s="1490"/>
      <c r="FU413" s="1490"/>
      <c r="FV413" s="1490"/>
      <c r="FW413" s="1490"/>
      <c r="FX413" s="1490"/>
      <c r="FY413" s="1490"/>
      <c r="FZ413" s="1490"/>
      <c r="GA413" s="1490"/>
      <c r="GB413" s="1490"/>
      <c r="GC413" s="1490"/>
      <c r="GD413" s="1490"/>
      <c r="GE413" s="1490"/>
      <c r="GF413" s="1490"/>
      <c r="GG413" s="1490"/>
      <c r="GH413" s="1490"/>
      <c r="GI413" s="1490"/>
      <c r="GJ413" s="1490"/>
      <c r="GK413" s="1490"/>
      <c r="GL413" s="1490"/>
      <c r="GM413" s="1490"/>
      <c r="GN413" s="1490"/>
      <c r="GO413" s="1490"/>
      <c r="GP413" s="1490"/>
      <c r="GQ413" s="1490"/>
      <c r="GR413" s="1490"/>
      <c r="GS413" s="1490"/>
      <c r="GT413" s="1490"/>
      <c r="GU413" s="1490"/>
      <c r="GV413" s="1490"/>
      <c r="GW413" s="1490"/>
      <c r="GX413" s="1490"/>
      <c r="GY413" s="1490"/>
      <c r="GZ413" s="1490"/>
      <c r="HA413" s="1490"/>
      <c r="HB413" s="1490"/>
      <c r="HC413" s="1490"/>
      <c r="HD413" s="1490"/>
      <c r="HE413" s="1490"/>
      <c r="HF413" s="1490"/>
      <c r="HG413" s="1490"/>
      <c r="HH413" s="1490"/>
      <c r="HI413" s="1490"/>
      <c r="HJ413" s="1490"/>
      <c r="HK413" s="1490"/>
      <c r="HL413" s="1490"/>
      <c r="HM413" s="1490"/>
      <c r="HN413" s="1490"/>
      <c r="HO413" s="1490"/>
      <c r="HP413" s="1490"/>
      <c r="HQ413" s="1490"/>
      <c r="HR413" s="1490"/>
      <c r="HS413" s="1490"/>
      <c r="HT413" s="1490"/>
      <c r="HU413" s="1490"/>
      <c r="HV413" s="1490"/>
      <c r="HW413" s="1490"/>
      <c r="HX413" s="1490"/>
      <c r="HY413" s="1490"/>
      <c r="HZ413" s="1490"/>
      <c r="IA413" s="1490"/>
      <c r="IB413" s="1490"/>
      <c r="IC413" s="1490"/>
      <c r="ID413" s="1490"/>
      <c r="IE413" s="1490"/>
      <c r="IF413" s="1490"/>
      <c r="IG413" s="1490"/>
      <c r="IH413" s="1490"/>
      <c r="II413" s="1490"/>
      <c r="IJ413" s="1490"/>
      <c r="IK413" s="1490"/>
      <c r="IL413" s="1490"/>
      <c r="IM413" s="1490"/>
      <c r="IN413" s="1490"/>
      <c r="IO413" s="44"/>
    </row>
    <row r="414" spans="1:249" s="5" customFormat="1" ht="24" customHeight="1">
      <c r="A414" s="1490" t="s">
        <v>231</v>
      </c>
      <c r="B414" s="1490"/>
      <c r="C414" s="1490"/>
      <c r="D414" s="1490"/>
      <c r="E414" s="1490"/>
      <c r="F414" s="1490"/>
      <c r="G414" s="1490"/>
      <c r="H414" s="1490"/>
      <c r="I414" s="1490"/>
      <c r="J414" s="1490"/>
      <c r="K414" s="1490"/>
      <c r="L414" s="1490"/>
      <c r="M414" s="1490"/>
      <c r="N414" s="1490"/>
      <c r="O414" s="43"/>
      <c r="P414" s="43"/>
      <c r="Q414" s="119" t="s">
        <v>193</v>
      </c>
      <c r="R414" s="119" t="str">
        <f>'Du lieu'!$C$17</f>
        <v>Ngô Văn Khánh</v>
      </c>
      <c r="S414" s="119"/>
      <c r="T414" s="119" t="str">
        <f>'Du lieu'!$D$17</f>
        <v>Chỉ huy trưởng công trường</v>
      </c>
      <c r="U414" s="125"/>
      <c r="V414" s="126"/>
      <c r="W414" s="126"/>
      <c r="X414" s="126"/>
      <c r="Y414" s="126"/>
      <c r="Z414" s="126"/>
      <c r="AA414" s="126"/>
      <c r="AB414" s="126"/>
      <c r="AC414" s="126"/>
      <c r="AD414" s="1490"/>
      <c r="AE414" s="1490"/>
      <c r="AF414" s="1490"/>
      <c r="AG414" s="1490"/>
      <c r="AH414" s="1490"/>
      <c r="AI414" s="1490"/>
      <c r="AJ414" s="1490"/>
      <c r="AK414" s="1490"/>
      <c r="AL414" s="1490"/>
      <c r="AM414" s="1490"/>
      <c r="AN414" s="1490"/>
      <c r="AO414" s="1490"/>
      <c r="AP414" s="1490"/>
      <c r="AQ414" s="1490"/>
      <c r="AR414" s="1490"/>
      <c r="AS414" s="1490"/>
      <c r="AT414" s="1490"/>
      <c r="AU414" s="1490"/>
      <c r="AV414" s="1490"/>
      <c r="AW414" s="1490"/>
      <c r="AX414" s="1490"/>
      <c r="AY414" s="1490"/>
      <c r="AZ414" s="1490"/>
      <c r="BA414" s="1490"/>
      <c r="BB414" s="1490"/>
      <c r="BC414" s="1490"/>
      <c r="BD414" s="1490"/>
      <c r="BE414" s="1490"/>
      <c r="BF414" s="1490"/>
      <c r="BG414" s="1490"/>
      <c r="BH414" s="1490"/>
      <c r="BI414" s="1490"/>
      <c r="BJ414" s="1490"/>
      <c r="BK414" s="1490"/>
      <c r="BL414" s="1490"/>
      <c r="BM414" s="1490"/>
      <c r="BN414" s="1490"/>
      <c r="BO414" s="1490"/>
      <c r="BP414" s="1490"/>
      <c r="BQ414" s="1490"/>
      <c r="BR414" s="1490"/>
      <c r="BS414" s="1490"/>
      <c r="BT414" s="1490"/>
      <c r="BU414" s="1490"/>
      <c r="BV414" s="1490"/>
      <c r="BW414" s="1490"/>
      <c r="BX414" s="1490"/>
      <c r="BY414" s="1490"/>
      <c r="BZ414" s="1490"/>
      <c r="CA414" s="1490"/>
      <c r="CB414" s="1490"/>
      <c r="CC414" s="1490"/>
      <c r="CD414" s="1490"/>
      <c r="CE414" s="1490"/>
      <c r="CF414" s="1490"/>
      <c r="CG414" s="1490"/>
      <c r="CH414" s="1490"/>
      <c r="CI414" s="1490"/>
      <c r="CJ414" s="1490"/>
      <c r="CK414" s="1490"/>
      <c r="CL414" s="1490"/>
      <c r="CM414" s="1490"/>
      <c r="CN414" s="1490"/>
      <c r="CO414" s="1490"/>
      <c r="CP414" s="1490"/>
      <c r="CQ414" s="1490"/>
      <c r="CR414" s="1490"/>
      <c r="CS414" s="1490"/>
      <c r="CT414" s="1490"/>
      <c r="CU414" s="1490"/>
      <c r="CV414" s="1490"/>
      <c r="CW414" s="1490"/>
      <c r="CX414" s="1490"/>
      <c r="CY414" s="1490"/>
      <c r="CZ414" s="1490"/>
      <c r="DA414" s="1490"/>
      <c r="DB414" s="1490"/>
      <c r="DC414" s="1490"/>
      <c r="DD414" s="1490"/>
      <c r="DE414" s="1490"/>
      <c r="DF414" s="1490"/>
      <c r="DG414" s="1490"/>
      <c r="DH414" s="1490"/>
      <c r="DI414" s="1490"/>
      <c r="DJ414" s="1490"/>
      <c r="DK414" s="1490"/>
      <c r="DL414" s="1490"/>
      <c r="DM414" s="1490"/>
      <c r="DN414" s="1490"/>
      <c r="DO414" s="1490"/>
      <c r="DP414" s="1490"/>
      <c r="DQ414" s="1490"/>
      <c r="DR414" s="1490"/>
      <c r="DS414" s="1490"/>
      <c r="DT414" s="1490"/>
      <c r="DU414" s="1490"/>
      <c r="DV414" s="1490"/>
      <c r="DW414" s="1490"/>
      <c r="DX414" s="1490"/>
      <c r="DY414" s="1490"/>
      <c r="DZ414" s="1490"/>
      <c r="EA414" s="1490"/>
      <c r="EB414" s="1490"/>
      <c r="EC414" s="1490"/>
      <c r="ED414" s="1490"/>
      <c r="EE414" s="1490"/>
      <c r="EF414" s="1490"/>
      <c r="EG414" s="1490"/>
      <c r="EH414" s="1490"/>
      <c r="EI414" s="1490"/>
      <c r="EJ414" s="1490"/>
      <c r="EK414" s="1490"/>
      <c r="EL414" s="1490"/>
      <c r="EM414" s="1490"/>
      <c r="EN414" s="1490"/>
      <c r="EO414" s="1490"/>
      <c r="EP414" s="1490"/>
      <c r="EQ414" s="1490"/>
      <c r="ER414" s="1490"/>
      <c r="ES414" s="1490"/>
      <c r="ET414" s="1490"/>
      <c r="EU414" s="1490"/>
      <c r="EV414" s="1490"/>
      <c r="EW414" s="1490"/>
      <c r="EX414" s="1490"/>
      <c r="EY414" s="1490"/>
      <c r="EZ414" s="1490"/>
      <c r="FA414" s="1490"/>
      <c r="FB414" s="1490"/>
      <c r="FC414" s="1490"/>
      <c r="FD414" s="1490"/>
      <c r="FE414" s="1490"/>
      <c r="FF414" s="1490"/>
      <c r="FG414" s="1490"/>
      <c r="FH414" s="1490"/>
      <c r="FI414" s="1490"/>
      <c r="FJ414" s="1490"/>
      <c r="FK414" s="1490"/>
      <c r="FL414" s="1490"/>
      <c r="FM414" s="1490"/>
      <c r="FN414" s="1490"/>
      <c r="FO414" s="1490"/>
      <c r="FP414" s="1490"/>
      <c r="FQ414" s="1490"/>
      <c r="FR414" s="1490"/>
      <c r="FS414" s="1490"/>
      <c r="FT414" s="1490"/>
      <c r="FU414" s="1490"/>
      <c r="FV414" s="1490"/>
      <c r="FW414" s="1490"/>
      <c r="FX414" s="1490"/>
      <c r="FY414" s="1490"/>
      <c r="FZ414" s="1490"/>
      <c r="GA414" s="1490"/>
      <c r="GB414" s="1490"/>
      <c r="GC414" s="1490"/>
      <c r="GD414" s="1490"/>
      <c r="GE414" s="1490"/>
      <c r="GF414" s="1490"/>
      <c r="GG414" s="1490"/>
      <c r="GH414" s="1490"/>
      <c r="GI414" s="1490"/>
      <c r="GJ414" s="1490"/>
      <c r="GK414" s="1490"/>
      <c r="GL414" s="1490"/>
      <c r="GM414" s="1490"/>
      <c r="GN414" s="1490"/>
      <c r="GO414" s="1490"/>
      <c r="GP414" s="1490"/>
      <c r="GQ414" s="1490"/>
      <c r="GR414" s="1490"/>
      <c r="GS414" s="1490"/>
      <c r="GT414" s="1490"/>
      <c r="GU414" s="1490"/>
      <c r="GV414" s="1490"/>
      <c r="GW414" s="1490"/>
      <c r="GX414" s="1490"/>
      <c r="GY414" s="1490"/>
      <c r="GZ414" s="1490"/>
      <c r="HA414" s="1490"/>
      <c r="HB414" s="1490"/>
      <c r="HC414" s="1490"/>
      <c r="HD414" s="1490"/>
      <c r="HE414" s="1490"/>
      <c r="HF414" s="1490"/>
      <c r="HG414" s="1490"/>
      <c r="HH414" s="1490"/>
      <c r="HI414" s="1490"/>
      <c r="HJ414" s="1490"/>
      <c r="HK414" s="1490"/>
      <c r="HL414" s="1490"/>
      <c r="HM414" s="1490"/>
      <c r="HN414" s="1490"/>
      <c r="HO414" s="1490"/>
      <c r="HP414" s="1490"/>
      <c r="HQ414" s="1490"/>
      <c r="HR414" s="1490"/>
      <c r="HS414" s="1490"/>
      <c r="HT414" s="1490"/>
      <c r="HU414" s="1490"/>
      <c r="HV414" s="1490"/>
      <c r="HW414" s="1490"/>
      <c r="HX414" s="1490"/>
      <c r="HY414" s="1490"/>
      <c r="HZ414" s="1490"/>
      <c r="IA414" s="1490"/>
      <c r="IB414" s="1490"/>
      <c r="IC414" s="1490"/>
      <c r="ID414" s="1490"/>
      <c r="IE414" s="1490"/>
      <c r="IF414" s="1490"/>
      <c r="IG414" s="1490"/>
      <c r="IH414" s="1490"/>
      <c r="II414" s="1490"/>
      <c r="IJ414" s="1490"/>
      <c r="IK414" s="1490"/>
      <c r="IL414" s="1490"/>
      <c r="IM414" s="1490"/>
      <c r="IN414" s="1490"/>
      <c r="IO414" s="44"/>
    </row>
    <row r="415" spans="1:249" s="5" customFormat="1" ht="24" customHeight="1">
      <c r="A415" s="1495" t="s">
        <v>232</v>
      </c>
      <c r="B415" s="1495"/>
      <c r="C415" s="1495"/>
      <c r="D415" s="1495"/>
      <c r="E415" s="1495"/>
      <c r="F415" s="1495"/>
      <c r="G415" s="1495"/>
      <c r="H415" s="1495"/>
      <c r="I415" s="1495"/>
      <c r="J415" s="1495"/>
      <c r="K415" s="1495"/>
      <c r="L415" s="1495"/>
      <c r="M415" s="1495"/>
      <c r="N415" s="1495"/>
      <c r="O415" s="43"/>
      <c r="P415" s="43"/>
      <c r="Q415" s="119" t="s">
        <v>193</v>
      </c>
      <c r="R415" s="119" t="str">
        <f>'Du lieu'!$C$18</f>
        <v>Nguyễn Mạnh Hùng</v>
      </c>
      <c r="S415" s="119"/>
      <c r="T415" s="119" t="str">
        <f>'Du lieu'!$D$18</f>
        <v>Chỉ huy phó công trường</v>
      </c>
      <c r="U415" s="125"/>
      <c r="V415" s="126"/>
      <c r="W415" s="126"/>
      <c r="X415" s="126"/>
      <c r="Y415" s="126"/>
      <c r="Z415" s="126"/>
      <c r="AA415" s="126"/>
      <c r="AB415" s="126"/>
      <c r="AC415" s="126"/>
      <c r="AD415" s="44"/>
      <c r="AE415" s="44"/>
      <c r="AF415" s="44"/>
      <c r="AG415" s="44"/>
      <c r="AH415" s="44"/>
      <c r="AI415" s="44"/>
      <c r="AJ415" s="44"/>
      <c r="AK415" s="44"/>
      <c r="AL415" s="44"/>
      <c r="AM415" s="44"/>
      <c r="AN415" s="44"/>
      <c r="AO415" s="44"/>
      <c r="AP415" s="44"/>
      <c r="AQ415" s="44"/>
      <c r="AR415" s="44"/>
      <c r="AS415" s="44"/>
      <c r="AT415" s="44"/>
      <c r="AU415" s="44"/>
      <c r="AV415" s="44"/>
      <c r="AW415" s="44"/>
      <c r="AX415" s="44"/>
      <c r="AY415" s="44"/>
      <c r="AZ415" s="44"/>
      <c r="BA415" s="44"/>
      <c r="BB415" s="44"/>
      <c r="BC415" s="44"/>
      <c r="BD415" s="44"/>
      <c r="BE415" s="44"/>
      <c r="BF415" s="44"/>
      <c r="BG415" s="44"/>
      <c r="BH415" s="44"/>
      <c r="BI415" s="44"/>
      <c r="BJ415" s="44"/>
      <c r="BK415" s="44"/>
      <c r="BL415" s="44"/>
      <c r="BM415" s="44"/>
      <c r="BN415" s="44"/>
      <c r="BO415" s="44"/>
      <c r="BP415" s="44"/>
      <c r="BQ415" s="44"/>
      <c r="BR415" s="44"/>
      <c r="BS415" s="44"/>
      <c r="BT415" s="44"/>
      <c r="BU415" s="44"/>
      <c r="BV415" s="44"/>
      <c r="BW415" s="44"/>
      <c r="BX415" s="44"/>
      <c r="BY415" s="44"/>
      <c r="BZ415" s="44"/>
      <c r="CA415" s="44"/>
      <c r="CB415" s="44"/>
      <c r="CC415" s="44"/>
      <c r="CD415" s="44"/>
      <c r="CE415" s="44"/>
      <c r="CF415" s="44"/>
      <c r="CG415" s="44"/>
      <c r="CH415" s="44"/>
      <c r="CI415" s="44"/>
      <c r="CJ415" s="44"/>
      <c r="CK415" s="44"/>
      <c r="CL415" s="44"/>
      <c r="CM415" s="44"/>
      <c r="CN415" s="44"/>
      <c r="CO415" s="44"/>
      <c r="CP415" s="44"/>
      <c r="CQ415" s="44"/>
      <c r="CR415" s="44"/>
      <c r="CS415" s="44"/>
      <c r="CT415" s="44"/>
      <c r="CU415" s="44"/>
      <c r="CV415" s="44"/>
      <c r="CW415" s="44"/>
      <c r="CX415" s="44"/>
      <c r="CY415" s="44"/>
      <c r="CZ415" s="44"/>
      <c r="DA415" s="44"/>
      <c r="DB415" s="44"/>
      <c r="DC415" s="44"/>
      <c r="DD415" s="44"/>
      <c r="DE415" s="44"/>
      <c r="DF415" s="44"/>
      <c r="DG415" s="44"/>
      <c r="DH415" s="44"/>
      <c r="DI415" s="44"/>
      <c r="DJ415" s="44"/>
      <c r="DK415" s="44"/>
      <c r="DL415" s="44"/>
      <c r="DM415" s="44"/>
      <c r="DN415" s="44"/>
      <c r="DO415" s="44"/>
      <c r="DP415" s="44"/>
      <c r="DQ415" s="44"/>
      <c r="DR415" s="44"/>
      <c r="DS415" s="44"/>
      <c r="DT415" s="44"/>
      <c r="DU415" s="44"/>
      <c r="DV415" s="44"/>
      <c r="DW415" s="44"/>
      <c r="DX415" s="44"/>
      <c r="DY415" s="44"/>
      <c r="DZ415" s="44"/>
      <c r="EA415" s="44"/>
      <c r="EB415" s="44"/>
      <c r="EC415" s="44"/>
      <c r="ED415" s="44"/>
      <c r="EE415" s="44"/>
      <c r="EF415" s="44"/>
      <c r="EG415" s="44"/>
      <c r="EH415" s="44"/>
      <c r="EI415" s="44"/>
      <c r="EJ415" s="44"/>
      <c r="EK415" s="44"/>
      <c r="EL415" s="44"/>
      <c r="EM415" s="44"/>
      <c r="EN415" s="44"/>
      <c r="EO415" s="44"/>
      <c r="EP415" s="44"/>
      <c r="EQ415" s="44"/>
      <c r="ER415" s="44"/>
      <c r="ES415" s="44"/>
      <c r="ET415" s="44"/>
      <c r="EU415" s="44"/>
      <c r="EV415" s="44"/>
      <c r="EW415" s="44"/>
      <c r="EX415" s="44"/>
      <c r="EY415" s="44"/>
      <c r="EZ415" s="44"/>
      <c r="FA415" s="44"/>
      <c r="FB415" s="44"/>
      <c r="FC415" s="44"/>
      <c r="FD415" s="44"/>
      <c r="FE415" s="44"/>
      <c r="FF415" s="44"/>
      <c r="FG415" s="44"/>
      <c r="FH415" s="44"/>
      <c r="FI415" s="44"/>
      <c r="FJ415" s="44"/>
      <c r="FK415" s="44"/>
      <c r="FL415" s="44"/>
      <c r="FM415" s="44"/>
      <c r="FN415" s="44"/>
      <c r="FO415" s="44"/>
      <c r="FP415" s="44"/>
      <c r="FQ415" s="44"/>
      <c r="FR415" s="44"/>
      <c r="FS415" s="44"/>
      <c r="FT415" s="44"/>
      <c r="FU415" s="44"/>
      <c r="FV415" s="44"/>
      <c r="FW415" s="44"/>
      <c r="FX415" s="44"/>
      <c r="FY415" s="44"/>
      <c r="FZ415" s="44"/>
      <c r="GA415" s="44"/>
      <c r="GB415" s="44"/>
      <c r="GC415" s="44"/>
      <c r="GD415" s="44"/>
      <c r="GE415" s="44"/>
      <c r="GF415" s="44"/>
      <c r="GG415" s="44"/>
      <c r="GH415" s="44"/>
      <c r="GI415" s="44"/>
      <c r="GJ415" s="44"/>
      <c r="GK415" s="44"/>
      <c r="GL415" s="44"/>
      <c r="GM415" s="44"/>
      <c r="GN415" s="44"/>
      <c r="GO415" s="44"/>
      <c r="GP415" s="44"/>
      <c r="GQ415" s="44"/>
      <c r="GR415" s="44"/>
      <c r="GS415" s="44"/>
      <c r="GT415" s="44"/>
      <c r="GU415" s="44"/>
      <c r="GV415" s="44"/>
      <c r="GW415" s="44"/>
      <c r="GX415" s="44"/>
      <c r="GY415" s="44"/>
      <c r="GZ415" s="44"/>
      <c r="HA415" s="44"/>
      <c r="HB415" s="44"/>
      <c r="HC415" s="44"/>
      <c r="HD415" s="44"/>
      <c r="HE415" s="44"/>
      <c r="HF415" s="44"/>
      <c r="HG415" s="44"/>
      <c r="HH415" s="44"/>
      <c r="HI415" s="44"/>
      <c r="HJ415" s="44"/>
      <c r="HK415" s="44"/>
      <c r="HL415" s="44"/>
      <c r="HM415" s="44"/>
      <c r="HN415" s="44"/>
      <c r="HO415" s="44"/>
      <c r="HP415" s="44"/>
      <c r="HQ415" s="44"/>
      <c r="HR415" s="44"/>
      <c r="HS415" s="44"/>
      <c r="HT415" s="44"/>
      <c r="HU415" s="44"/>
      <c r="HV415" s="44"/>
      <c r="HW415" s="44"/>
      <c r="HX415" s="44"/>
      <c r="HY415" s="44"/>
      <c r="HZ415" s="44"/>
      <c r="IA415" s="44"/>
      <c r="IB415" s="44"/>
      <c r="IC415" s="44"/>
      <c r="ID415" s="44"/>
      <c r="IE415" s="44"/>
      <c r="IF415" s="44"/>
      <c r="IG415" s="44"/>
      <c r="IH415" s="44"/>
      <c r="II415" s="44"/>
      <c r="IJ415" s="44"/>
      <c r="IK415" s="44"/>
      <c r="IL415" s="44"/>
      <c r="IM415" s="44"/>
      <c r="IN415" s="44"/>
      <c r="IO415" s="44"/>
    </row>
    <row r="416" spans="1:249" s="45" customFormat="1" ht="21.95" customHeight="1">
      <c r="A416" s="1495" t="s">
        <v>233</v>
      </c>
      <c r="B416" s="1495"/>
      <c r="C416" s="1495"/>
      <c r="D416" s="1495"/>
      <c r="E416" s="1495"/>
      <c r="F416" s="1495"/>
      <c r="G416" s="1495"/>
      <c r="H416" s="1495"/>
      <c r="I416" s="1495"/>
      <c r="J416" s="1495"/>
      <c r="K416" s="1495"/>
      <c r="L416" s="1495"/>
      <c r="M416" s="1495"/>
      <c r="N416" s="1495"/>
      <c r="O416" s="43"/>
      <c r="P416" s="43"/>
      <c r="Q416" s="10"/>
      <c r="R416" s="126"/>
      <c r="S416" s="126"/>
      <c r="T416" s="126"/>
      <c r="U416" s="126"/>
      <c r="V416" s="126"/>
      <c r="W416" s="126"/>
      <c r="X416" s="126"/>
      <c r="Y416" s="126"/>
      <c r="Z416" s="126"/>
      <c r="AA416" s="126"/>
      <c r="AB416" s="126"/>
      <c r="AC416" s="126"/>
      <c r="AD416" s="47"/>
      <c r="AE416" s="47"/>
      <c r="AF416" s="47"/>
      <c r="AG416" s="47"/>
      <c r="AH416" s="47"/>
      <c r="AI416" s="47"/>
      <c r="AJ416" s="47"/>
      <c r="AK416" s="47"/>
      <c r="AL416" s="47"/>
      <c r="AM416" s="47"/>
      <c r="AN416" s="47"/>
      <c r="AO416" s="47"/>
      <c r="AP416" s="47"/>
      <c r="AQ416" s="47"/>
      <c r="AR416" s="47"/>
      <c r="AS416" s="47"/>
      <c r="AT416" s="47"/>
      <c r="AU416" s="47"/>
      <c r="AV416" s="47"/>
      <c r="AW416" s="47"/>
      <c r="AX416" s="47"/>
      <c r="AY416" s="47"/>
      <c r="AZ416" s="47"/>
      <c r="BA416" s="47"/>
      <c r="BB416" s="47"/>
      <c r="BC416" s="47"/>
      <c r="BD416" s="47"/>
      <c r="BE416" s="47"/>
      <c r="BF416" s="47"/>
      <c r="BG416" s="47"/>
      <c r="BH416" s="47"/>
      <c r="BI416" s="47"/>
      <c r="BJ416" s="47"/>
      <c r="BK416" s="47"/>
      <c r="BL416" s="47"/>
      <c r="BM416" s="47"/>
      <c r="BN416" s="47"/>
      <c r="BO416" s="47"/>
      <c r="BP416" s="47"/>
      <c r="BQ416" s="47"/>
      <c r="BR416" s="47"/>
      <c r="BS416" s="47"/>
      <c r="BT416" s="47"/>
      <c r="BU416" s="47"/>
      <c r="BV416" s="47"/>
      <c r="BW416" s="47"/>
      <c r="BX416" s="47"/>
      <c r="BY416" s="47"/>
      <c r="BZ416" s="47"/>
      <c r="CA416" s="47"/>
      <c r="CB416" s="47"/>
      <c r="CC416" s="47"/>
      <c r="CD416" s="47"/>
      <c r="CE416" s="47"/>
      <c r="CF416" s="47"/>
      <c r="CG416" s="47"/>
      <c r="CH416" s="47"/>
      <c r="CI416" s="47"/>
      <c r="CJ416" s="47"/>
      <c r="CK416" s="47"/>
      <c r="CL416" s="47"/>
      <c r="CM416" s="47"/>
      <c r="CN416" s="47"/>
      <c r="CO416" s="47"/>
      <c r="CP416" s="47"/>
      <c r="CQ416" s="47"/>
      <c r="CR416" s="47"/>
      <c r="CS416" s="47"/>
      <c r="CT416" s="47"/>
      <c r="CU416" s="47"/>
      <c r="CV416" s="47"/>
      <c r="CW416" s="47"/>
      <c r="CX416" s="47"/>
      <c r="CY416" s="47"/>
      <c r="CZ416" s="47"/>
      <c r="DA416" s="47"/>
      <c r="DB416" s="47"/>
      <c r="DC416" s="47"/>
      <c r="DD416" s="47"/>
      <c r="DE416" s="47"/>
      <c r="DF416" s="47"/>
      <c r="DG416" s="47"/>
      <c r="DH416" s="47"/>
      <c r="DI416" s="47"/>
      <c r="DJ416" s="47"/>
      <c r="DK416" s="47"/>
      <c r="DL416" s="47"/>
      <c r="DM416" s="47"/>
      <c r="DN416" s="47"/>
      <c r="DO416" s="47"/>
      <c r="DP416" s="47"/>
      <c r="DQ416" s="47"/>
      <c r="DR416" s="47"/>
      <c r="DS416" s="47"/>
      <c r="DT416" s="47"/>
      <c r="DU416" s="47"/>
      <c r="DV416" s="47"/>
      <c r="DW416" s="47"/>
      <c r="DX416" s="47"/>
      <c r="DY416" s="47"/>
      <c r="DZ416" s="47"/>
      <c r="EA416" s="47"/>
      <c r="EB416" s="47"/>
      <c r="EC416" s="47"/>
      <c r="ED416" s="47"/>
      <c r="EE416" s="47"/>
      <c r="EF416" s="47"/>
      <c r="EG416" s="47"/>
      <c r="EH416" s="47"/>
      <c r="EI416" s="47"/>
      <c r="EJ416" s="47"/>
      <c r="EK416" s="47"/>
      <c r="EL416" s="47"/>
      <c r="EM416" s="47"/>
      <c r="EN416" s="47"/>
      <c r="EO416" s="47"/>
      <c r="EP416" s="47"/>
      <c r="EQ416" s="47"/>
      <c r="ER416" s="47"/>
      <c r="ES416" s="47"/>
      <c r="ET416" s="47"/>
      <c r="EU416" s="47"/>
      <c r="EV416" s="47"/>
      <c r="EW416" s="47"/>
      <c r="EX416" s="47"/>
      <c r="EY416" s="47"/>
      <c r="EZ416" s="47"/>
      <c r="FA416" s="47"/>
      <c r="FB416" s="47"/>
      <c r="FC416" s="47"/>
      <c r="FD416" s="47"/>
      <c r="FE416" s="47"/>
      <c r="FF416" s="47"/>
      <c r="FG416" s="47"/>
      <c r="FH416" s="47"/>
      <c r="FI416" s="47"/>
      <c r="FJ416" s="47"/>
      <c r="FK416" s="47"/>
      <c r="FL416" s="47"/>
      <c r="FM416" s="47"/>
      <c r="FN416" s="47"/>
      <c r="FO416" s="47"/>
      <c r="FP416" s="47"/>
      <c r="FQ416" s="47"/>
      <c r="FR416" s="47"/>
      <c r="FS416" s="47"/>
      <c r="FT416" s="47"/>
      <c r="FU416" s="47"/>
      <c r="FV416" s="47"/>
      <c r="FW416" s="47"/>
      <c r="FX416" s="47"/>
      <c r="FY416" s="47"/>
      <c r="FZ416" s="47"/>
      <c r="GA416" s="47"/>
      <c r="GB416" s="47"/>
      <c r="GC416" s="47"/>
      <c r="GD416" s="47"/>
      <c r="GE416" s="47"/>
      <c r="GF416" s="47"/>
      <c r="GG416" s="47"/>
      <c r="GH416" s="47"/>
      <c r="GI416" s="47"/>
      <c r="GJ416" s="47"/>
      <c r="GK416" s="47"/>
      <c r="GL416" s="47"/>
      <c r="GM416" s="47"/>
      <c r="GN416" s="47"/>
      <c r="GO416" s="47"/>
      <c r="GP416" s="47"/>
      <c r="GQ416" s="47"/>
      <c r="GR416" s="47"/>
      <c r="GS416" s="47"/>
      <c r="GT416" s="47"/>
      <c r="GU416" s="47"/>
      <c r="GV416" s="47"/>
      <c r="GW416" s="47"/>
      <c r="GX416" s="47"/>
      <c r="GY416" s="47"/>
      <c r="GZ416" s="47"/>
      <c r="HA416" s="47"/>
      <c r="HB416" s="47"/>
      <c r="HC416" s="47"/>
      <c r="HD416" s="47"/>
      <c r="HE416" s="47"/>
      <c r="HF416" s="47"/>
      <c r="HG416" s="47"/>
      <c r="HH416" s="47"/>
      <c r="HI416" s="47"/>
      <c r="HJ416" s="47"/>
      <c r="HK416" s="47"/>
      <c r="HL416" s="47"/>
      <c r="HM416" s="47"/>
      <c r="HN416" s="47"/>
      <c r="HO416" s="47"/>
      <c r="HP416" s="47"/>
      <c r="HQ416" s="47"/>
      <c r="HR416" s="47"/>
      <c r="HS416" s="47"/>
      <c r="HT416" s="47"/>
      <c r="HU416" s="47"/>
      <c r="HV416" s="47"/>
      <c r="HW416" s="47"/>
      <c r="HX416" s="47"/>
      <c r="HY416" s="47"/>
      <c r="HZ416" s="47"/>
      <c r="IA416" s="47"/>
      <c r="IB416" s="47"/>
      <c r="IC416" s="47"/>
      <c r="ID416" s="47"/>
      <c r="IE416" s="47"/>
      <c r="IF416" s="47"/>
      <c r="IG416" s="47"/>
      <c r="IH416" s="47"/>
      <c r="II416" s="47"/>
      <c r="IJ416" s="47"/>
      <c r="IK416" s="47"/>
      <c r="IL416" s="47"/>
      <c r="IM416" s="47"/>
      <c r="IN416" s="47"/>
    </row>
    <row r="417" spans="1:249" s="5" customFormat="1" ht="24" customHeight="1">
      <c r="A417" s="48" t="s">
        <v>234</v>
      </c>
      <c r="B417" s="39"/>
      <c r="C417" s="39"/>
      <c r="D417" s="39"/>
      <c r="E417" s="39"/>
      <c r="F417" s="39"/>
      <c r="G417" s="39"/>
      <c r="H417" s="39"/>
      <c r="I417" s="39"/>
      <c r="J417" s="39"/>
      <c r="K417" s="39"/>
      <c r="L417" s="39"/>
      <c r="M417" s="39"/>
      <c r="N417" s="39"/>
      <c r="O417" s="43"/>
      <c r="P417" s="43"/>
      <c r="Q417" s="10"/>
      <c r="R417" s="126"/>
      <c r="S417" s="126"/>
      <c r="T417" s="126"/>
      <c r="U417" s="126"/>
      <c r="V417" s="126"/>
      <c r="W417" s="126"/>
      <c r="X417" s="126"/>
      <c r="Y417" s="126"/>
      <c r="Z417" s="126"/>
      <c r="AA417" s="126"/>
      <c r="AB417" s="126"/>
      <c r="AC417" s="126"/>
      <c r="AD417" s="1490"/>
      <c r="AE417" s="1490"/>
      <c r="AF417" s="1490"/>
      <c r="AG417" s="1490"/>
      <c r="AH417" s="1490"/>
      <c r="AI417" s="1490"/>
      <c r="AJ417" s="1490"/>
      <c r="AK417" s="1490"/>
      <c r="AL417" s="1490"/>
      <c r="AM417" s="1490"/>
      <c r="AN417" s="1490"/>
      <c r="AO417" s="1490"/>
      <c r="AP417" s="1490"/>
      <c r="AQ417" s="1490"/>
      <c r="AR417" s="1490"/>
      <c r="AS417" s="1490"/>
      <c r="AT417" s="1490"/>
      <c r="AU417" s="1490"/>
      <c r="AV417" s="1490"/>
      <c r="AW417" s="1490"/>
      <c r="AX417" s="1490"/>
      <c r="AY417" s="1490"/>
      <c r="AZ417" s="1490"/>
      <c r="BA417" s="1490"/>
      <c r="BB417" s="1490"/>
      <c r="BC417" s="1490"/>
      <c r="BD417" s="1490"/>
      <c r="BE417" s="1490"/>
      <c r="BF417" s="1490"/>
      <c r="BG417" s="1490"/>
      <c r="BH417" s="1490"/>
      <c r="BI417" s="1490"/>
      <c r="BJ417" s="1490"/>
      <c r="BK417" s="1490"/>
      <c r="BL417" s="1490"/>
      <c r="BM417" s="1490"/>
      <c r="BN417" s="1490"/>
      <c r="BO417" s="1490"/>
      <c r="BP417" s="1490"/>
      <c r="BQ417" s="1490"/>
      <c r="BR417" s="1490"/>
      <c r="BS417" s="1490"/>
      <c r="BT417" s="1490"/>
      <c r="BU417" s="1490"/>
      <c r="BV417" s="1490"/>
      <c r="BW417" s="1490"/>
      <c r="BX417" s="1490"/>
      <c r="BY417" s="1490"/>
      <c r="BZ417" s="1490"/>
      <c r="CA417" s="1490"/>
      <c r="CB417" s="1490"/>
      <c r="CC417" s="1490"/>
      <c r="CD417" s="1490"/>
      <c r="CE417" s="1490"/>
      <c r="CF417" s="1490"/>
      <c r="CG417" s="1490"/>
      <c r="CH417" s="1490"/>
      <c r="CI417" s="1490"/>
      <c r="CJ417" s="1490"/>
      <c r="CK417" s="1490"/>
      <c r="CL417" s="1490"/>
      <c r="CM417" s="1490"/>
      <c r="CN417" s="1490"/>
      <c r="CO417" s="1490"/>
      <c r="CP417" s="1490"/>
      <c r="CQ417" s="1490"/>
      <c r="CR417" s="1490"/>
      <c r="CS417" s="1490"/>
      <c r="CT417" s="1490"/>
      <c r="CU417" s="1490"/>
      <c r="CV417" s="1490"/>
      <c r="CW417" s="1490"/>
      <c r="CX417" s="1490"/>
      <c r="CY417" s="1490"/>
      <c r="CZ417" s="1490"/>
      <c r="DA417" s="1490"/>
      <c r="DB417" s="1490"/>
      <c r="DC417" s="1490"/>
      <c r="DD417" s="1490"/>
      <c r="DE417" s="1490"/>
      <c r="DF417" s="1490"/>
      <c r="DG417" s="1490"/>
      <c r="DH417" s="1490"/>
      <c r="DI417" s="1490"/>
      <c r="DJ417" s="1490"/>
      <c r="DK417" s="1490"/>
      <c r="DL417" s="1490"/>
      <c r="DM417" s="1490"/>
      <c r="DN417" s="1490"/>
      <c r="DO417" s="1490"/>
      <c r="DP417" s="1490"/>
      <c r="DQ417" s="1490"/>
      <c r="DR417" s="1490"/>
      <c r="DS417" s="1490"/>
      <c r="DT417" s="1490"/>
      <c r="DU417" s="1490"/>
      <c r="DV417" s="1490"/>
      <c r="DW417" s="1490"/>
      <c r="DX417" s="1490"/>
      <c r="DY417" s="1490"/>
      <c r="DZ417" s="1490"/>
      <c r="EA417" s="1490"/>
      <c r="EB417" s="1490"/>
      <c r="EC417" s="1490"/>
      <c r="ED417" s="1490"/>
      <c r="EE417" s="1490"/>
      <c r="EF417" s="1490"/>
      <c r="EG417" s="1490"/>
      <c r="EH417" s="1490"/>
      <c r="EI417" s="1490"/>
      <c r="EJ417" s="1490"/>
      <c r="EK417" s="1490"/>
      <c r="EL417" s="1490"/>
      <c r="EM417" s="1490"/>
      <c r="EN417" s="1490"/>
      <c r="EO417" s="1490"/>
      <c r="EP417" s="1490"/>
      <c r="EQ417" s="1490"/>
      <c r="ER417" s="1490"/>
      <c r="ES417" s="1490"/>
      <c r="ET417" s="1490"/>
      <c r="EU417" s="1490"/>
      <c r="EV417" s="1490"/>
      <c r="EW417" s="1490"/>
      <c r="EX417" s="1490"/>
      <c r="EY417" s="1490"/>
      <c r="EZ417" s="1490"/>
      <c r="FA417" s="1490"/>
      <c r="FB417" s="1490"/>
      <c r="FC417" s="1490"/>
      <c r="FD417" s="1490"/>
      <c r="FE417" s="1490"/>
      <c r="FF417" s="1490"/>
      <c r="FG417" s="1490"/>
      <c r="FH417" s="1490"/>
      <c r="FI417" s="1490"/>
      <c r="FJ417" s="1490"/>
      <c r="FK417" s="1490"/>
      <c r="FL417" s="1490"/>
      <c r="FM417" s="1490"/>
      <c r="FN417" s="1490"/>
      <c r="FO417" s="1490"/>
      <c r="FP417" s="1490"/>
      <c r="FQ417" s="1490"/>
      <c r="FR417" s="1490"/>
      <c r="FS417" s="1490"/>
      <c r="FT417" s="1490"/>
      <c r="FU417" s="1490"/>
      <c r="FV417" s="1490"/>
      <c r="FW417" s="1490"/>
      <c r="FX417" s="1490"/>
      <c r="FY417" s="1490"/>
      <c r="FZ417" s="1490"/>
      <c r="GA417" s="1490"/>
      <c r="GB417" s="1490"/>
      <c r="GC417" s="1490"/>
      <c r="GD417" s="1490"/>
      <c r="GE417" s="1490"/>
      <c r="GF417" s="1490"/>
      <c r="GG417" s="1490"/>
      <c r="GH417" s="1490"/>
      <c r="GI417" s="1490"/>
      <c r="GJ417" s="1490"/>
      <c r="GK417" s="1490"/>
      <c r="GL417" s="1490"/>
      <c r="GM417" s="1490"/>
      <c r="GN417" s="1490"/>
      <c r="GO417" s="1490"/>
      <c r="GP417" s="1490"/>
      <c r="GQ417" s="1490"/>
      <c r="GR417" s="1490"/>
      <c r="GS417" s="1490"/>
      <c r="GT417" s="1490"/>
      <c r="GU417" s="1490"/>
      <c r="GV417" s="1490"/>
      <c r="GW417" s="1490"/>
      <c r="GX417" s="1490"/>
      <c r="GY417" s="1490"/>
      <c r="GZ417" s="1490"/>
      <c r="HA417" s="1490"/>
      <c r="HB417" s="1490"/>
      <c r="HC417" s="1490"/>
      <c r="HD417" s="1490"/>
      <c r="HE417" s="1490"/>
      <c r="HF417" s="1490"/>
      <c r="HG417" s="1490"/>
      <c r="HH417" s="1490"/>
      <c r="HI417" s="1490"/>
      <c r="HJ417" s="1490"/>
      <c r="HK417" s="1490"/>
      <c r="HL417" s="1490"/>
      <c r="HM417" s="1490"/>
      <c r="HN417" s="1490"/>
      <c r="HO417" s="1490"/>
      <c r="HP417" s="1490"/>
      <c r="HQ417" s="1490"/>
      <c r="HR417" s="1490"/>
      <c r="HS417" s="1490"/>
      <c r="HT417" s="1490"/>
      <c r="HU417" s="1490"/>
      <c r="HV417" s="1490"/>
      <c r="HW417" s="1490"/>
      <c r="HX417" s="1490"/>
      <c r="HY417" s="1490"/>
      <c r="HZ417" s="1490"/>
      <c r="IA417" s="1490"/>
      <c r="IB417" s="1490"/>
      <c r="IC417" s="1490"/>
      <c r="ID417" s="1490"/>
      <c r="IE417" s="1490"/>
      <c r="IF417" s="1490"/>
      <c r="IG417" s="1490"/>
      <c r="IH417" s="1490"/>
      <c r="II417" s="1490"/>
      <c r="IJ417" s="1490"/>
      <c r="IK417" s="1490"/>
      <c r="IL417" s="1490"/>
      <c r="IM417" s="1490"/>
      <c r="IN417" s="1490"/>
      <c r="IO417" s="44"/>
    </row>
    <row r="418" spans="1:249" s="5" customFormat="1" ht="25.5" customHeight="1">
      <c r="A418" s="1495" t="s">
        <v>235</v>
      </c>
      <c r="B418" s="1495"/>
      <c r="C418" s="1495"/>
      <c r="D418" s="1495"/>
      <c r="E418" s="1495"/>
      <c r="F418" s="1495"/>
      <c r="G418" s="1495"/>
      <c r="H418" s="1495"/>
      <c r="I418" s="1495"/>
      <c r="J418" s="1495"/>
      <c r="K418" s="1495"/>
      <c r="L418" s="1495"/>
      <c r="M418" s="1495"/>
      <c r="N418" s="1495"/>
      <c r="O418" s="43"/>
      <c r="P418" s="43"/>
      <c r="Q418" s="10"/>
      <c r="R418" s="126"/>
      <c r="S418" s="126"/>
      <c r="T418" s="126"/>
      <c r="U418" s="126"/>
      <c r="V418" s="126"/>
      <c r="W418" s="126"/>
      <c r="X418" s="126"/>
      <c r="Y418" s="126"/>
      <c r="Z418" s="126"/>
      <c r="AA418" s="126"/>
      <c r="AB418" s="126"/>
      <c r="AC418" s="126"/>
      <c r="AD418" s="1490"/>
      <c r="AE418" s="1490"/>
      <c r="AF418" s="1490"/>
      <c r="AG418" s="1490"/>
      <c r="AH418" s="1490"/>
      <c r="AI418" s="1490"/>
      <c r="AJ418" s="1490"/>
      <c r="AK418" s="1490"/>
      <c r="AL418" s="1490"/>
      <c r="AM418" s="1490"/>
      <c r="AN418" s="1490"/>
      <c r="AO418" s="1490"/>
      <c r="AP418" s="1490"/>
      <c r="AQ418" s="1490"/>
      <c r="AR418" s="1490"/>
      <c r="AS418" s="1490"/>
      <c r="AT418" s="1490"/>
      <c r="AU418" s="1490"/>
      <c r="AV418" s="1490"/>
      <c r="AW418" s="1490"/>
      <c r="AX418" s="1490"/>
      <c r="AY418" s="1490"/>
      <c r="AZ418" s="1490"/>
      <c r="BA418" s="1490"/>
      <c r="BB418" s="1490"/>
      <c r="BC418" s="1490"/>
      <c r="BD418" s="1490"/>
      <c r="BE418" s="1490"/>
      <c r="BF418" s="1490"/>
      <c r="BG418" s="1490"/>
      <c r="BH418" s="1490"/>
      <c r="BI418" s="1490"/>
      <c r="BJ418" s="1490"/>
      <c r="BK418" s="1490"/>
      <c r="BL418" s="1490"/>
      <c r="BM418" s="1490"/>
      <c r="BN418" s="1490"/>
      <c r="BO418" s="1490"/>
      <c r="BP418" s="1490"/>
      <c r="BQ418" s="1490"/>
      <c r="BR418" s="1490"/>
      <c r="BS418" s="1490"/>
      <c r="BT418" s="1490"/>
      <c r="BU418" s="1490"/>
      <c r="BV418" s="1490"/>
      <c r="BW418" s="1490"/>
      <c r="BX418" s="1490"/>
      <c r="BY418" s="1490"/>
      <c r="BZ418" s="1490"/>
      <c r="CA418" s="1490"/>
      <c r="CB418" s="1490"/>
      <c r="CC418" s="1490"/>
      <c r="CD418" s="1490"/>
      <c r="CE418" s="1490"/>
      <c r="CF418" s="1490"/>
      <c r="CG418" s="1490"/>
      <c r="CH418" s="1490"/>
      <c r="CI418" s="1490"/>
      <c r="CJ418" s="1490"/>
      <c r="CK418" s="1490"/>
      <c r="CL418" s="1490"/>
      <c r="CM418" s="1490"/>
      <c r="CN418" s="1490"/>
      <c r="CO418" s="1490"/>
      <c r="CP418" s="1490"/>
      <c r="CQ418" s="1490"/>
      <c r="CR418" s="1490"/>
      <c r="CS418" s="1490"/>
      <c r="CT418" s="1490"/>
      <c r="CU418" s="1490"/>
      <c r="CV418" s="1490"/>
      <c r="CW418" s="1490"/>
      <c r="CX418" s="1490"/>
      <c r="CY418" s="1490"/>
      <c r="CZ418" s="1490"/>
      <c r="DA418" s="1490"/>
      <c r="DB418" s="1490"/>
      <c r="DC418" s="1490"/>
      <c r="DD418" s="1490"/>
      <c r="DE418" s="1490"/>
      <c r="DF418" s="1490"/>
      <c r="DG418" s="1490"/>
      <c r="DH418" s="1490"/>
      <c r="DI418" s="1490"/>
      <c r="DJ418" s="1490"/>
      <c r="DK418" s="1490"/>
      <c r="DL418" s="1490"/>
      <c r="DM418" s="1490"/>
      <c r="DN418" s="1490"/>
      <c r="DO418" s="1490"/>
      <c r="DP418" s="1490"/>
      <c r="DQ418" s="1490"/>
      <c r="DR418" s="1490"/>
      <c r="DS418" s="1490"/>
      <c r="DT418" s="1490"/>
      <c r="DU418" s="1490"/>
      <c r="DV418" s="1490"/>
      <c r="DW418" s="1490"/>
      <c r="DX418" s="1490"/>
      <c r="DY418" s="1490"/>
      <c r="DZ418" s="1490"/>
      <c r="EA418" s="1490"/>
      <c r="EB418" s="1490"/>
      <c r="EC418" s="1490"/>
      <c r="ED418" s="1490"/>
      <c r="EE418" s="1490"/>
      <c r="EF418" s="1490"/>
      <c r="EG418" s="1490"/>
      <c r="EH418" s="1490"/>
      <c r="EI418" s="1490"/>
      <c r="EJ418" s="1490"/>
      <c r="EK418" s="1490"/>
      <c r="EL418" s="1490"/>
      <c r="EM418" s="1490"/>
      <c r="EN418" s="1490"/>
      <c r="EO418" s="1490"/>
      <c r="EP418" s="1490"/>
      <c r="EQ418" s="1490"/>
      <c r="ER418" s="1490"/>
      <c r="ES418" s="1490"/>
      <c r="ET418" s="1490"/>
      <c r="EU418" s="1490"/>
      <c r="EV418" s="1490"/>
      <c r="EW418" s="1490"/>
      <c r="EX418" s="1490"/>
      <c r="EY418" s="1490"/>
      <c r="EZ418" s="1490"/>
      <c r="FA418" s="1490"/>
      <c r="FB418" s="1490"/>
      <c r="FC418" s="1490"/>
      <c r="FD418" s="1490"/>
      <c r="FE418" s="1490"/>
      <c r="FF418" s="1490"/>
      <c r="FG418" s="1490"/>
      <c r="FH418" s="1490"/>
      <c r="FI418" s="1490"/>
      <c r="FJ418" s="1490"/>
      <c r="FK418" s="1490"/>
      <c r="FL418" s="1490"/>
      <c r="FM418" s="1490"/>
      <c r="FN418" s="1490"/>
      <c r="FO418" s="1490"/>
      <c r="FP418" s="1490"/>
      <c r="FQ418" s="1490"/>
      <c r="FR418" s="1490"/>
      <c r="FS418" s="1490"/>
      <c r="FT418" s="1490"/>
      <c r="FU418" s="1490"/>
      <c r="FV418" s="1490"/>
      <c r="FW418" s="1490"/>
      <c r="FX418" s="1490"/>
      <c r="FY418" s="1490"/>
      <c r="FZ418" s="1490"/>
      <c r="GA418" s="1490"/>
      <c r="GB418" s="1490"/>
      <c r="GC418" s="1490"/>
      <c r="GD418" s="1490"/>
      <c r="GE418" s="1490"/>
      <c r="GF418" s="1490"/>
      <c r="GG418" s="1490"/>
      <c r="GH418" s="1490"/>
      <c r="GI418" s="1490"/>
      <c r="GJ418" s="1490"/>
      <c r="GK418" s="1490"/>
      <c r="GL418" s="1490"/>
      <c r="GM418" s="1490"/>
      <c r="GN418" s="1490"/>
      <c r="GO418" s="1490"/>
      <c r="GP418" s="1490"/>
      <c r="GQ418" s="1490"/>
      <c r="GR418" s="1490"/>
      <c r="GS418" s="1490"/>
      <c r="GT418" s="1490"/>
      <c r="GU418" s="1490"/>
      <c r="GV418" s="1490"/>
      <c r="GW418" s="1490"/>
      <c r="GX418" s="1490"/>
      <c r="GY418" s="1490"/>
      <c r="GZ418" s="1490"/>
      <c r="HA418" s="1490"/>
      <c r="HB418" s="1490"/>
      <c r="HC418" s="1490"/>
      <c r="HD418" s="1490"/>
      <c r="HE418" s="1490"/>
      <c r="HF418" s="1490"/>
      <c r="HG418" s="1490"/>
      <c r="HH418" s="1490"/>
      <c r="HI418" s="1490"/>
      <c r="HJ418" s="1490"/>
      <c r="HK418" s="1490"/>
      <c r="HL418" s="1490"/>
      <c r="HM418" s="1490"/>
      <c r="HN418" s="1490"/>
      <c r="HO418" s="1490"/>
      <c r="HP418" s="1490"/>
      <c r="HQ418" s="1490"/>
      <c r="HR418" s="1490"/>
      <c r="HS418" s="1490"/>
      <c r="HT418" s="1490"/>
      <c r="HU418" s="1490"/>
      <c r="HV418" s="1490"/>
      <c r="HW418" s="1490"/>
      <c r="HX418" s="1490"/>
      <c r="HY418" s="1490"/>
      <c r="HZ418" s="1490"/>
      <c r="IA418" s="1490"/>
      <c r="IB418" s="1490"/>
      <c r="IC418" s="1490"/>
      <c r="ID418" s="1490"/>
      <c r="IE418" s="1490"/>
      <c r="IF418" s="1490"/>
      <c r="IG418" s="1490"/>
      <c r="IH418" s="1490"/>
      <c r="II418" s="1490"/>
      <c r="IJ418" s="1490"/>
      <c r="IK418" s="1490"/>
      <c r="IL418" s="1490"/>
      <c r="IM418" s="1490"/>
      <c r="IN418" s="1490"/>
      <c r="IO418" s="44"/>
    </row>
    <row r="419" spans="1:249" s="5" customFormat="1" ht="26.25" customHeight="1">
      <c r="A419" s="1488" t="s">
        <v>236</v>
      </c>
      <c r="B419" s="1488"/>
      <c r="C419" s="1488"/>
      <c r="D419" s="1488"/>
      <c r="E419" s="1488"/>
      <c r="F419" s="1488"/>
      <c r="G419" s="1488"/>
      <c r="H419" s="1488"/>
      <c r="I419" s="1488"/>
      <c r="J419" s="1488"/>
      <c r="K419" s="1488"/>
      <c r="L419" s="1488"/>
      <c r="M419" s="1488"/>
      <c r="N419" s="1488"/>
      <c r="O419" s="43"/>
      <c r="P419" s="43"/>
      <c r="Q419" s="126"/>
      <c r="R419" s="126"/>
      <c r="S419" s="126"/>
      <c r="T419" s="126"/>
      <c r="U419" s="126"/>
      <c r="V419" s="126"/>
      <c r="W419" s="126"/>
      <c r="X419" s="126"/>
      <c r="Y419" s="126"/>
      <c r="Z419" s="126"/>
      <c r="AA419" s="126"/>
      <c r="AB419" s="126"/>
      <c r="AC419" s="126"/>
      <c r="AD419" s="127"/>
      <c r="AE419" s="127"/>
      <c r="AF419" s="127"/>
    </row>
    <row r="420" spans="1:249" s="5" customFormat="1" ht="27" customHeight="1">
      <c r="A420"/>
      <c r="B420" s="1520" t="s">
        <v>237</v>
      </c>
      <c r="C420" s="1520"/>
      <c r="D420" s="1520"/>
      <c r="E420" s="1520"/>
      <c r="F420" s="1520"/>
      <c r="G420" s="1520"/>
      <c r="H420" s="1520"/>
      <c r="I420" s="1520"/>
      <c r="J420" s="50"/>
      <c r="K420" s="50"/>
      <c r="L420" s="50"/>
      <c r="M420" s="50"/>
      <c r="N420" s="50"/>
      <c r="O420" s="43"/>
      <c r="P420" s="43"/>
      <c r="Q420" s="126"/>
      <c r="R420" s="126"/>
      <c r="S420" s="126"/>
      <c r="T420" s="126"/>
      <c r="U420" s="126"/>
      <c r="V420" s="126"/>
      <c r="W420" s="126"/>
      <c r="X420" s="126"/>
      <c r="Y420" s="126"/>
      <c r="Z420" s="126"/>
      <c r="AA420" s="126"/>
      <c r="AB420" s="126"/>
      <c r="AC420" s="126"/>
      <c r="AD420" s="1494"/>
      <c r="AE420" s="1494"/>
      <c r="AF420" s="1494"/>
      <c r="AG420" s="1494"/>
      <c r="AH420" s="1494"/>
      <c r="AI420" s="1494"/>
      <c r="AJ420" s="1494"/>
      <c r="AK420" s="1494"/>
      <c r="AL420" s="1494"/>
      <c r="AM420" s="1494"/>
      <c r="AN420" s="1494"/>
      <c r="AO420" s="1494"/>
      <c r="AP420" s="1494"/>
      <c r="AQ420" s="1494"/>
      <c r="AR420" s="1494"/>
      <c r="AS420" s="1494"/>
      <c r="AT420" s="1494"/>
      <c r="AU420" s="1494"/>
      <c r="AV420" s="1494"/>
      <c r="AW420" s="1494"/>
      <c r="AX420" s="1494"/>
      <c r="AY420" s="1494"/>
      <c r="AZ420" s="1494"/>
      <c r="BA420" s="1494"/>
      <c r="BB420" s="1494"/>
      <c r="BC420" s="1494"/>
      <c r="BD420" s="1494"/>
      <c r="BE420" s="1494"/>
      <c r="BF420" s="1494"/>
      <c r="BG420" s="1494"/>
      <c r="BH420" s="1494"/>
      <c r="BI420" s="1494"/>
      <c r="BJ420" s="1494"/>
      <c r="BK420" s="1494"/>
      <c r="BL420" s="1494"/>
      <c r="BM420" s="1494"/>
      <c r="BN420" s="1494"/>
      <c r="BO420" s="1494"/>
      <c r="BP420" s="1494"/>
      <c r="BQ420" s="1494"/>
      <c r="BR420" s="1494"/>
      <c r="BS420" s="1494"/>
      <c r="BT420" s="1494"/>
      <c r="BU420" s="1494"/>
      <c r="BV420" s="1494"/>
      <c r="BW420" s="1494"/>
      <c r="BX420" s="1494"/>
      <c r="BY420" s="1494"/>
      <c r="BZ420" s="1494"/>
      <c r="CA420" s="1494"/>
      <c r="CB420" s="1494"/>
      <c r="CC420" s="1494"/>
      <c r="CD420" s="1494"/>
      <c r="CE420" s="1494"/>
      <c r="CF420" s="1494"/>
      <c r="CG420" s="1494"/>
      <c r="CH420" s="1494"/>
      <c r="CI420" s="1494"/>
      <c r="CJ420" s="1494"/>
      <c r="CK420" s="1494"/>
      <c r="CL420" s="1494"/>
      <c r="CM420" s="1494"/>
      <c r="CN420" s="1494"/>
      <c r="CO420" s="1494"/>
      <c r="CP420" s="1494"/>
      <c r="CQ420" s="1494"/>
      <c r="CR420" s="1494"/>
      <c r="CS420" s="1494"/>
      <c r="CT420" s="1494"/>
      <c r="CU420" s="1494"/>
      <c r="CV420" s="1494"/>
      <c r="CW420" s="1494"/>
      <c r="CX420" s="1494"/>
      <c r="CY420" s="1494"/>
      <c r="CZ420" s="1494"/>
      <c r="DA420" s="1494"/>
      <c r="DB420" s="1494"/>
      <c r="DC420" s="1494"/>
      <c r="DD420" s="1494"/>
      <c r="DE420" s="1494"/>
      <c r="DF420" s="1494"/>
      <c r="DG420" s="1494"/>
      <c r="DH420" s="1494"/>
      <c r="DI420" s="1494"/>
      <c r="DJ420" s="1494"/>
      <c r="DK420" s="1494"/>
      <c r="DL420" s="1494"/>
      <c r="DM420" s="1494"/>
      <c r="DN420" s="1494"/>
      <c r="DO420" s="1494"/>
      <c r="DP420" s="1494"/>
      <c r="DQ420" s="1494"/>
      <c r="DR420" s="1494"/>
      <c r="DS420" s="1494"/>
      <c r="DT420" s="1494"/>
      <c r="DU420" s="1494"/>
      <c r="DV420" s="1494"/>
      <c r="DW420" s="1494"/>
      <c r="DX420" s="1494"/>
      <c r="DY420" s="1494"/>
      <c r="DZ420" s="1494"/>
      <c r="EA420" s="1494"/>
      <c r="EB420" s="1494"/>
      <c r="EC420" s="1494"/>
      <c r="ED420" s="1494"/>
      <c r="EE420" s="1494"/>
      <c r="EF420" s="1494"/>
      <c r="EG420" s="1494"/>
      <c r="EH420" s="1494"/>
      <c r="EI420" s="1494"/>
      <c r="EJ420" s="1494"/>
      <c r="EK420" s="1494"/>
      <c r="EL420" s="1494"/>
      <c r="EM420" s="1494"/>
      <c r="EN420" s="1494"/>
      <c r="EO420" s="1494"/>
      <c r="EP420" s="1494"/>
      <c r="EQ420" s="1494"/>
      <c r="ER420" s="1494"/>
      <c r="ES420" s="1494"/>
      <c r="ET420" s="1494"/>
      <c r="EU420" s="1494"/>
      <c r="EV420" s="1494"/>
      <c r="EW420" s="1494"/>
      <c r="EX420" s="1494"/>
      <c r="EY420" s="1494"/>
      <c r="EZ420" s="1494"/>
      <c r="FA420" s="1494"/>
      <c r="FB420" s="1494"/>
      <c r="FC420" s="1494"/>
      <c r="FD420" s="1494"/>
      <c r="FE420" s="1494"/>
      <c r="FF420" s="1494"/>
      <c r="FG420" s="1494"/>
      <c r="FH420" s="1494"/>
      <c r="FI420" s="1494"/>
      <c r="FJ420" s="1494"/>
      <c r="FK420" s="1494"/>
      <c r="FL420" s="1494"/>
      <c r="FM420" s="1494"/>
      <c r="FN420" s="1494"/>
      <c r="FO420" s="1494"/>
      <c r="FP420" s="1494"/>
      <c r="FQ420" s="1494"/>
      <c r="FR420" s="1494"/>
      <c r="FS420" s="1494"/>
      <c r="FT420" s="1494"/>
      <c r="FU420" s="1494"/>
      <c r="FV420" s="1494"/>
      <c r="FW420" s="1494"/>
      <c r="FX420" s="1494"/>
      <c r="FY420" s="1494"/>
      <c r="FZ420" s="1494"/>
      <c r="GA420" s="1494"/>
      <c r="GB420" s="1494"/>
      <c r="GC420" s="1494"/>
      <c r="GD420" s="1494"/>
      <c r="GE420" s="1494"/>
      <c r="GF420" s="1494"/>
      <c r="GG420" s="1494"/>
      <c r="GH420" s="1494"/>
      <c r="GI420" s="1494"/>
      <c r="GJ420" s="1494"/>
      <c r="GK420" s="1494"/>
      <c r="GL420" s="1494"/>
      <c r="GM420" s="1494"/>
      <c r="GN420" s="1494"/>
      <c r="GO420" s="1494"/>
      <c r="GP420" s="1494"/>
      <c r="GQ420" s="1494"/>
      <c r="GR420" s="1494"/>
      <c r="GS420" s="1494"/>
      <c r="GT420" s="1494"/>
      <c r="GU420" s="1494"/>
      <c r="GV420" s="1494"/>
      <c r="GW420" s="1494"/>
      <c r="GX420" s="1494"/>
      <c r="GY420" s="1494"/>
      <c r="GZ420" s="1494"/>
      <c r="HA420" s="1494"/>
      <c r="HB420" s="1494"/>
      <c r="HC420" s="1494"/>
      <c r="HD420" s="1494"/>
      <c r="HE420" s="1494"/>
      <c r="HF420" s="1494"/>
      <c r="HG420" s="1494"/>
      <c r="HH420" s="1494"/>
      <c r="HI420" s="1494"/>
      <c r="HJ420" s="1494"/>
      <c r="HK420" s="1494"/>
      <c r="HL420" s="1494"/>
      <c r="HM420" s="1494"/>
      <c r="HN420" s="1494"/>
      <c r="HO420" s="1494"/>
      <c r="HP420" s="1494"/>
      <c r="HQ420" s="1494"/>
      <c r="HR420" s="1494"/>
      <c r="HS420" s="1494"/>
      <c r="HT420" s="1494"/>
      <c r="HU420" s="1494"/>
      <c r="HV420" s="1494"/>
      <c r="HW420" s="1494"/>
      <c r="HX420" s="1494"/>
      <c r="HY420" s="1494"/>
      <c r="HZ420" s="1494"/>
      <c r="IA420" s="1494"/>
      <c r="IB420" s="1494"/>
      <c r="IC420" s="1494"/>
      <c r="ID420" s="1494"/>
      <c r="IE420" s="1494"/>
      <c r="IF420" s="1494"/>
      <c r="IG420" s="1494"/>
      <c r="IH420" s="1494"/>
      <c r="II420" s="1494"/>
      <c r="IJ420" s="1494"/>
      <c r="IK420" s="1494"/>
      <c r="IL420" s="1494"/>
      <c r="IM420" s="1494"/>
      <c r="IN420" s="1494"/>
      <c r="IO420" s="49"/>
    </row>
    <row r="421" spans="1:249" s="5" customFormat="1" ht="23.25" customHeight="1">
      <c r="A421" s="1521" t="s">
        <v>191</v>
      </c>
      <c r="B421" s="1523" t="s">
        <v>238</v>
      </c>
      <c r="C421" s="1524"/>
      <c r="D421" s="1524"/>
      <c r="E421" s="1524"/>
      <c r="F421" s="1524"/>
      <c r="G421" s="1525"/>
      <c r="H421" s="1523" t="s">
        <v>239</v>
      </c>
      <c r="I421" s="1524"/>
      <c r="J421" s="1524"/>
      <c r="K421" s="1524"/>
      <c r="L421" s="1525"/>
      <c r="M421" s="1529" t="s">
        <v>240</v>
      </c>
      <c r="N421" s="1530"/>
      <c r="O421" s="43"/>
      <c r="P421" s="43"/>
      <c r="Q421" s="126"/>
      <c r="R421" s="126"/>
      <c r="S421" s="126"/>
      <c r="T421" s="126"/>
      <c r="U421" s="126"/>
      <c r="V421" s="126"/>
      <c r="W421" s="126"/>
      <c r="X421" s="126"/>
      <c r="Y421" s="126"/>
      <c r="Z421" s="126"/>
      <c r="AA421" s="126"/>
      <c r="AB421" s="126"/>
      <c r="AC421" s="126"/>
      <c r="AD421" s="1494"/>
      <c r="AE421" s="1494"/>
      <c r="AF421" s="1494"/>
      <c r="AG421" s="1494"/>
      <c r="AH421" s="1494"/>
      <c r="AI421" s="1494"/>
      <c r="AJ421" s="1494"/>
      <c r="AK421" s="1494"/>
      <c r="AL421" s="1494"/>
      <c r="AM421" s="1494"/>
      <c r="AN421" s="1494"/>
      <c r="AO421" s="1494"/>
      <c r="AP421" s="1494"/>
      <c r="AQ421" s="1494"/>
      <c r="AR421" s="1494"/>
      <c r="AS421" s="1494"/>
      <c r="AT421" s="1494"/>
      <c r="AU421" s="1494"/>
      <c r="AV421" s="1494"/>
      <c r="AW421" s="1494"/>
      <c r="AX421" s="1494"/>
      <c r="AY421" s="1494"/>
      <c r="AZ421" s="1494"/>
      <c r="BA421" s="1494"/>
      <c r="BB421" s="1494"/>
      <c r="BC421" s="1494"/>
      <c r="BD421" s="1494"/>
      <c r="BE421" s="1494"/>
      <c r="BF421" s="1494"/>
      <c r="BG421" s="1494"/>
      <c r="BH421" s="1494"/>
      <c r="BI421" s="1494"/>
      <c r="BJ421" s="1494"/>
      <c r="BK421" s="1494"/>
      <c r="BL421" s="1494"/>
      <c r="BM421" s="1494"/>
      <c r="BN421" s="1494"/>
      <c r="BO421" s="1494"/>
      <c r="BP421" s="1494"/>
      <c r="BQ421" s="1494"/>
      <c r="BR421" s="1494"/>
      <c r="BS421" s="1494"/>
      <c r="BT421" s="1494"/>
      <c r="BU421" s="1494"/>
      <c r="BV421" s="1494"/>
      <c r="BW421" s="1494"/>
      <c r="BX421" s="1494"/>
      <c r="BY421" s="1494"/>
      <c r="BZ421" s="1494"/>
      <c r="CA421" s="1494"/>
      <c r="CB421" s="1494"/>
      <c r="CC421" s="1494"/>
      <c r="CD421" s="1494"/>
      <c r="CE421" s="1494"/>
      <c r="CF421" s="1494"/>
      <c r="CG421" s="1494"/>
      <c r="CH421" s="1494"/>
      <c r="CI421" s="1494"/>
      <c r="CJ421" s="1494"/>
      <c r="CK421" s="1494"/>
      <c r="CL421" s="1494"/>
      <c r="CM421" s="1494"/>
      <c r="CN421" s="1494"/>
      <c r="CO421" s="1494"/>
      <c r="CP421" s="1494"/>
      <c r="CQ421" s="1494"/>
      <c r="CR421" s="1494"/>
      <c r="CS421" s="1494"/>
      <c r="CT421" s="1494"/>
      <c r="CU421" s="1494"/>
      <c r="CV421" s="1494"/>
      <c r="CW421" s="1494"/>
      <c r="CX421" s="1494"/>
      <c r="CY421" s="1494"/>
      <c r="CZ421" s="1494"/>
      <c r="DA421" s="1494"/>
      <c r="DB421" s="1494"/>
      <c r="DC421" s="1494"/>
      <c r="DD421" s="1494"/>
      <c r="DE421" s="1494"/>
      <c r="DF421" s="1494"/>
      <c r="DG421" s="1494"/>
      <c r="DH421" s="1494"/>
      <c r="DI421" s="1494"/>
      <c r="DJ421" s="1494"/>
      <c r="DK421" s="1494"/>
      <c r="DL421" s="1494"/>
      <c r="DM421" s="1494"/>
      <c r="DN421" s="1494"/>
      <c r="DO421" s="1494"/>
      <c r="DP421" s="1494"/>
      <c r="DQ421" s="1494"/>
      <c r="DR421" s="1494"/>
      <c r="DS421" s="1494"/>
      <c r="DT421" s="1494"/>
      <c r="DU421" s="1494"/>
      <c r="DV421" s="1494"/>
      <c r="DW421" s="1494"/>
      <c r="DX421" s="1494"/>
      <c r="DY421" s="1494"/>
      <c r="DZ421" s="1494"/>
      <c r="EA421" s="1494"/>
      <c r="EB421" s="1494"/>
      <c r="EC421" s="1494"/>
      <c r="ED421" s="1494"/>
      <c r="EE421" s="1494"/>
      <c r="EF421" s="1494"/>
      <c r="EG421" s="1494"/>
      <c r="EH421" s="1494"/>
      <c r="EI421" s="1494"/>
      <c r="EJ421" s="1494"/>
      <c r="EK421" s="1494"/>
      <c r="EL421" s="1494"/>
      <c r="EM421" s="1494"/>
      <c r="EN421" s="1494"/>
      <c r="EO421" s="1494"/>
      <c r="EP421" s="1494"/>
      <c r="EQ421" s="1494"/>
      <c r="ER421" s="1494"/>
      <c r="ES421" s="1494"/>
      <c r="ET421" s="1494"/>
      <c r="EU421" s="1494"/>
      <c r="EV421" s="1494"/>
      <c r="EW421" s="1494"/>
      <c r="EX421" s="1494"/>
      <c r="EY421" s="1494"/>
      <c r="EZ421" s="1494"/>
      <c r="FA421" s="1494"/>
      <c r="FB421" s="1494"/>
      <c r="FC421" s="1494"/>
      <c r="FD421" s="1494"/>
      <c r="FE421" s="1494"/>
      <c r="FF421" s="1494"/>
      <c r="FG421" s="1494"/>
      <c r="FH421" s="1494"/>
      <c r="FI421" s="1494"/>
      <c r="FJ421" s="1494"/>
      <c r="FK421" s="1494"/>
      <c r="FL421" s="1494"/>
      <c r="FM421" s="1494"/>
      <c r="FN421" s="1494"/>
      <c r="FO421" s="1494"/>
      <c r="FP421" s="1494"/>
      <c r="FQ421" s="1494"/>
      <c r="FR421" s="1494"/>
      <c r="FS421" s="1494"/>
      <c r="FT421" s="1494"/>
      <c r="FU421" s="1494"/>
      <c r="FV421" s="1494"/>
      <c r="FW421" s="1494"/>
      <c r="FX421" s="1494"/>
      <c r="FY421" s="1494"/>
      <c r="FZ421" s="1494"/>
      <c r="GA421" s="1494"/>
      <c r="GB421" s="1494"/>
      <c r="GC421" s="1494"/>
      <c r="GD421" s="1494"/>
      <c r="GE421" s="1494"/>
      <c r="GF421" s="1494"/>
      <c r="GG421" s="1494"/>
      <c r="GH421" s="1494"/>
      <c r="GI421" s="1494"/>
      <c r="GJ421" s="1494"/>
      <c r="GK421" s="1494"/>
      <c r="GL421" s="1494"/>
      <c r="GM421" s="1494"/>
      <c r="GN421" s="1494"/>
      <c r="GO421" s="1494"/>
      <c r="GP421" s="1494"/>
      <c r="GQ421" s="1494"/>
      <c r="GR421" s="1494"/>
      <c r="GS421" s="1494"/>
      <c r="GT421" s="1494"/>
      <c r="GU421" s="1494"/>
      <c r="GV421" s="1494"/>
      <c r="GW421" s="1494"/>
      <c r="GX421" s="1494"/>
      <c r="GY421" s="1494"/>
      <c r="GZ421" s="1494"/>
      <c r="HA421" s="1494"/>
      <c r="HB421" s="1494"/>
      <c r="HC421" s="1494"/>
      <c r="HD421" s="1494"/>
      <c r="HE421" s="1494"/>
      <c r="HF421" s="1494"/>
      <c r="HG421" s="1494"/>
      <c r="HH421" s="1494"/>
      <c r="HI421" s="1494"/>
      <c r="HJ421" s="1494"/>
      <c r="HK421" s="1494"/>
      <c r="HL421" s="1494"/>
      <c r="HM421" s="1494"/>
      <c r="HN421" s="1494"/>
      <c r="HO421" s="1494"/>
      <c r="HP421" s="1494"/>
      <c r="HQ421" s="1494"/>
      <c r="HR421" s="1494"/>
      <c r="HS421" s="1494"/>
      <c r="HT421" s="1494"/>
      <c r="HU421" s="1494"/>
      <c r="HV421" s="1494"/>
      <c r="HW421" s="1494"/>
      <c r="HX421" s="1494"/>
      <c r="HY421" s="1494"/>
      <c r="HZ421" s="1494"/>
      <c r="IA421" s="1494"/>
      <c r="IB421" s="1494"/>
      <c r="IC421" s="1494"/>
      <c r="ID421" s="1494"/>
      <c r="IE421" s="1494"/>
      <c r="IF421" s="1494"/>
      <c r="IG421" s="1494"/>
      <c r="IH421" s="1494"/>
      <c r="II421" s="1494"/>
      <c r="IJ421" s="1494"/>
      <c r="IK421" s="1494"/>
      <c r="IL421" s="1494"/>
      <c r="IM421" s="1494"/>
      <c r="IN421" s="1494"/>
      <c r="IO421" s="49"/>
    </row>
    <row r="422" spans="1:249" s="5" customFormat="1" ht="23.25" customHeight="1">
      <c r="A422" s="1522"/>
      <c r="B422" s="1526"/>
      <c r="C422" s="1527"/>
      <c r="D422" s="1527"/>
      <c r="E422" s="1527"/>
      <c r="F422" s="1527"/>
      <c r="G422" s="1528"/>
      <c r="H422" s="1526"/>
      <c r="I422" s="1527"/>
      <c r="J422" s="1527"/>
      <c r="K422" s="1527"/>
      <c r="L422" s="1528"/>
      <c r="M422" s="51" t="s">
        <v>241</v>
      </c>
      <c r="N422" s="51" t="s">
        <v>242</v>
      </c>
      <c r="O422" s="43"/>
      <c r="P422" s="43"/>
      <c r="Q422" s="126"/>
      <c r="R422" s="126"/>
      <c r="S422" s="126"/>
      <c r="T422" s="126"/>
      <c r="U422" s="126"/>
      <c r="V422" s="126"/>
      <c r="W422" s="126"/>
      <c r="X422" s="126"/>
      <c r="Y422" s="126"/>
      <c r="Z422" s="126"/>
      <c r="AA422" s="126"/>
      <c r="AB422" s="126"/>
      <c r="AC422" s="126"/>
      <c r="AD422" s="1494"/>
      <c r="AE422" s="1494"/>
      <c r="AF422" s="1494"/>
      <c r="AG422" s="1494"/>
      <c r="AH422" s="1494"/>
      <c r="AI422" s="1494"/>
      <c r="AJ422" s="1494"/>
      <c r="AK422" s="1494"/>
      <c r="AL422" s="1494"/>
      <c r="AM422" s="1494"/>
      <c r="AN422" s="1494"/>
      <c r="AO422" s="1494"/>
      <c r="AP422" s="1494"/>
      <c r="AQ422" s="1494"/>
      <c r="AR422" s="1494"/>
      <c r="AS422" s="1494"/>
      <c r="AT422" s="1494"/>
      <c r="AU422" s="1494"/>
      <c r="AV422" s="1494"/>
      <c r="AW422" s="1494"/>
      <c r="AX422" s="1494"/>
      <c r="AY422" s="1494"/>
      <c r="AZ422" s="1494"/>
      <c r="BA422" s="1494"/>
      <c r="BB422" s="1494"/>
      <c r="BC422" s="1494"/>
      <c r="BD422" s="1494"/>
      <c r="BE422" s="1494"/>
      <c r="BF422" s="1494"/>
      <c r="BG422" s="1494"/>
      <c r="BH422" s="1494"/>
      <c r="BI422" s="1494"/>
      <c r="BJ422" s="1494"/>
      <c r="BK422" s="1494"/>
      <c r="BL422" s="1494"/>
      <c r="BM422" s="1494"/>
      <c r="BN422" s="1494"/>
      <c r="BO422" s="1494"/>
      <c r="BP422" s="1494"/>
      <c r="BQ422" s="1494"/>
      <c r="BR422" s="1494"/>
      <c r="BS422" s="1494"/>
      <c r="BT422" s="1494"/>
      <c r="BU422" s="1494"/>
      <c r="BV422" s="1494"/>
      <c r="BW422" s="1494"/>
      <c r="BX422" s="1494"/>
      <c r="BY422" s="1494"/>
      <c r="BZ422" s="1494"/>
      <c r="CA422" s="1494"/>
      <c r="CB422" s="1494"/>
      <c r="CC422" s="1494"/>
      <c r="CD422" s="1494"/>
      <c r="CE422" s="1494"/>
      <c r="CF422" s="1494"/>
      <c r="CG422" s="1494"/>
      <c r="CH422" s="1494"/>
      <c r="CI422" s="1494"/>
      <c r="CJ422" s="1494"/>
      <c r="CK422" s="1494"/>
      <c r="CL422" s="1494"/>
      <c r="CM422" s="1494"/>
      <c r="CN422" s="1494"/>
      <c r="CO422" s="1494"/>
      <c r="CP422" s="1494"/>
      <c r="CQ422" s="1494"/>
      <c r="CR422" s="1494"/>
      <c r="CS422" s="1494"/>
      <c r="CT422" s="1494"/>
      <c r="CU422" s="1494"/>
      <c r="CV422" s="1494"/>
      <c r="CW422" s="1494"/>
      <c r="CX422" s="1494"/>
      <c r="CY422" s="1494"/>
      <c r="CZ422" s="1494"/>
      <c r="DA422" s="1494"/>
      <c r="DB422" s="1494"/>
      <c r="DC422" s="1494"/>
      <c r="DD422" s="1494"/>
      <c r="DE422" s="1494"/>
      <c r="DF422" s="1494"/>
      <c r="DG422" s="1494"/>
      <c r="DH422" s="1494"/>
      <c r="DI422" s="1494"/>
      <c r="DJ422" s="1494"/>
      <c r="DK422" s="1494"/>
      <c r="DL422" s="1494"/>
      <c r="DM422" s="1494"/>
      <c r="DN422" s="1494"/>
      <c r="DO422" s="1494"/>
      <c r="DP422" s="1494"/>
      <c r="DQ422" s="1494"/>
      <c r="DR422" s="1494"/>
      <c r="DS422" s="1494"/>
      <c r="DT422" s="1494"/>
      <c r="DU422" s="1494"/>
      <c r="DV422" s="1494"/>
      <c r="DW422" s="1494"/>
      <c r="DX422" s="1494"/>
      <c r="DY422" s="1494"/>
      <c r="DZ422" s="1494"/>
      <c r="EA422" s="1494"/>
      <c r="EB422" s="1494"/>
      <c r="EC422" s="1494"/>
      <c r="ED422" s="1494"/>
      <c r="EE422" s="1494"/>
      <c r="EF422" s="1494"/>
      <c r="EG422" s="1494"/>
      <c r="EH422" s="1494"/>
      <c r="EI422" s="1494"/>
      <c r="EJ422" s="1494"/>
      <c r="EK422" s="1494"/>
      <c r="EL422" s="1494"/>
      <c r="EM422" s="1494"/>
      <c r="EN422" s="1494"/>
      <c r="EO422" s="1494"/>
      <c r="EP422" s="1494"/>
      <c r="EQ422" s="1494"/>
      <c r="ER422" s="1494"/>
      <c r="ES422" s="1494"/>
      <c r="ET422" s="1494"/>
      <c r="EU422" s="1494"/>
      <c r="EV422" s="1494"/>
      <c r="EW422" s="1494"/>
      <c r="EX422" s="1494"/>
      <c r="EY422" s="1494"/>
      <c r="EZ422" s="1494"/>
      <c r="FA422" s="1494"/>
      <c r="FB422" s="1494"/>
      <c r="FC422" s="1494"/>
      <c r="FD422" s="1494"/>
      <c r="FE422" s="1494"/>
      <c r="FF422" s="1494"/>
      <c r="FG422" s="1494"/>
      <c r="FH422" s="1494"/>
      <c r="FI422" s="1494"/>
      <c r="FJ422" s="1494"/>
      <c r="FK422" s="1494"/>
      <c r="FL422" s="1494"/>
      <c r="FM422" s="1494"/>
      <c r="FN422" s="1494"/>
      <c r="FO422" s="1494"/>
      <c r="FP422" s="1494"/>
      <c r="FQ422" s="1494"/>
      <c r="FR422" s="1494"/>
      <c r="FS422" s="1494"/>
      <c r="FT422" s="1494"/>
      <c r="FU422" s="1494"/>
      <c r="FV422" s="1494"/>
      <c r="FW422" s="1494"/>
      <c r="FX422" s="1494"/>
      <c r="FY422" s="1494"/>
      <c r="FZ422" s="1494"/>
      <c r="GA422" s="1494"/>
      <c r="GB422" s="1494"/>
      <c r="GC422" s="1494"/>
      <c r="GD422" s="1494"/>
      <c r="GE422" s="1494"/>
      <c r="GF422" s="1494"/>
      <c r="GG422" s="1494"/>
      <c r="GH422" s="1494"/>
      <c r="GI422" s="1494"/>
      <c r="GJ422" s="1494"/>
      <c r="GK422" s="1494"/>
      <c r="GL422" s="1494"/>
      <c r="GM422" s="1494"/>
      <c r="GN422" s="1494"/>
      <c r="GO422" s="1494"/>
      <c r="GP422" s="1494"/>
      <c r="GQ422" s="1494"/>
      <c r="GR422" s="1494"/>
      <c r="GS422" s="1494"/>
      <c r="GT422" s="1494"/>
      <c r="GU422" s="1494"/>
      <c r="GV422" s="1494"/>
      <c r="GW422" s="1494"/>
      <c r="GX422" s="1494"/>
      <c r="GY422" s="1494"/>
      <c r="GZ422" s="1494"/>
      <c r="HA422" s="1494"/>
      <c r="HB422" s="1494"/>
      <c r="HC422" s="1494"/>
      <c r="HD422" s="1494"/>
      <c r="HE422" s="1494"/>
      <c r="HF422" s="1494"/>
      <c r="HG422" s="1494"/>
      <c r="HH422" s="1494"/>
      <c r="HI422" s="1494"/>
      <c r="HJ422" s="1494"/>
      <c r="HK422" s="1494"/>
      <c r="HL422" s="1494"/>
      <c r="HM422" s="1494"/>
      <c r="HN422" s="1494"/>
      <c r="HO422" s="1494"/>
      <c r="HP422" s="1494"/>
      <c r="HQ422" s="1494"/>
      <c r="HR422" s="1494"/>
      <c r="HS422" s="1494"/>
      <c r="HT422" s="1494"/>
      <c r="HU422" s="1494"/>
      <c r="HV422" s="1494"/>
      <c r="HW422" s="1494"/>
      <c r="HX422" s="1494"/>
      <c r="HY422" s="1494"/>
      <c r="HZ422" s="1494"/>
      <c r="IA422" s="1494"/>
      <c r="IB422" s="1494"/>
      <c r="IC422" s="1494"/>
      <c r="ID422" s="1494"/>
      <c r="IE422" s="1494"/>
      <c r="IF422" s="1494"/>
      <c r="IG422" s="1494"/>
      <c r="IH422" s="1494"/>
      <c r="II422" s="1494"/>
      <c r="IJ422" s="1494"/>
      <c r="IK422" s="1494"/>
      <c r="IL422" s="1494"/>
      <c r="IM422" s="1494"/>
      <c r="IN422" s="1494"/>
      <c r="IO422" s="49"/>
    </row>
    <row r="423" spans="1:249" s="5" customFormat="1" ht="25.5" customHeight="1">
      <c r="A423" s="52">
        <v>1</v>
      </c>
      <c r="B423" s="1508" t="s">
        <v>291</v>
      </c>
      <c r="C423" s="1509"/>
      <c r="D423" s="1509"/>
      <c r="E423" s="1509"/>
      <c r="F423" s="1509"/>
      <c r="G423" s="1510"/>
      <c r="H423" s="1567" t="s">
        <v>292</v>
      </c>
      <c r="I423" s="1568"/>
      <c r="J423" s="1568"/>
      <c r="K423" s="1568"/>
      <c r="L423" s="1569"/>
      <c r="M423" s="52" t="s">
        <v>245</v>
      </c>
      <c r="N423" s="53"/>
      <c r="O423" s="43"/>
      <c r="P423" s="43"/>
      <c r="Q423" s="126"/>
      <c r="R423" s="126"/>
      <c r="S423" s="126"/>
      <c r="T423" s="126"/>
      <c r="U423" s="126"/>
      <c r="V423" s="126"/>
      <c r="W423" s="126"/>
      <c r="X423" s="126"/>
      <c r="Y423" s="126"/>
      <c r="Z423" s="126"/>
      <c r="AA423" s="126"/>
      <c r="AB423" s="126"/>
      <c r="AC423" s="126"/>
      <c r="AD423" s="127"/>
      <c r="AE423" s="127"/>
      <c r="AF423" s="127"/>
    </row>
    <row r="424" spans="1:249" s="5" customFormat="1" ht="25.5" customHeight="1">
      <c r="A424" s="54">
        <v>2</v>
      </c>
      <c r="B424" s="1514" t="s">
        <v>293</v>
      </c>
      <c r="C424" s="1515"/>
      <c r="D424" s="1515"/>
      <c r="E424" s="1515"/>
      <c r="F424" s="1515"/>
      <c r="G424" s="1516"/>
      <c r="H424" s="1564" t="s">
        <v>247</v>
      </c>
      <c r="I424" s="1565"/>
      <c r="J424" s="1565"/>
      <c r="K424" s="1565"/>
      <c r="L424" s="1566"/>
      <c r="M424" s="54" t="s">
        <v>245</v>
      </c>
      <c r="N424" s="55"/>
      <c r="P424" s="4"/>
      <c r="Q424" s="126"/>
      <c r="R424" s="126"/>
      <c r="S424" s="126"/>
      <c r="T424" s="126"/>
      <c r="U424" s="126"/>
      <c r="V424" s="126"/>
      <c r="W424" s="126"/>
      <c r="X424" s="126"/>
      <c r="Y424" s="126"/>
      <c r="Z424" s="126"/>
      <c r="AA424" s="126"/>
      <c r="AB424" s="126"/>
      <c r="AC424" s="126"/>
      <c r="AD424" s="127"/>
      <c r="AE424" s="127"/>
      <c r="AF424" s="127"/>
    </row>
    <row r="425" spans="1:249" s="5" customFormat="1" ht="25.5" customHeight="1">
      <c r="A425" s="116">
        <v>3</v>
      </c>
      <c r="B425" s="1514" t="s">
        <v>294</v>
      </c>
      <c r="C425" s="1515"/>
      <c r="D425" s="1515"/>
      <c r="E425" s="1515"/>
      <c r="F425" s="1515"/>
      <c r="G425" s="1516"/>
      <c r="H425" s="1564" t="s">
        <v>295</v>
      </c>
      <c r="I425" s="1565"/>
      <c r="J425" s="1565"/>
      <c r="K425" s="1565"/>
      <c r="L425" s="1566"/>
      <c r="M425" s="54" t="s">
        <v>245</v>
      </c>
      <c r="N425" s="117"/>
      <c r="P425" s="4"/>
      <c r="Q425" s="126"/>
      <c r="R425" s="126"/>
      <c r="S425" s="126"/>
      <c r="T425" s="126"/>
      <c r="U425" s="126"/>
      <c r="V425" s="126"/>
      <c r="W425" s="126"/>
      <c r="X425" s="126"/>
      <c r="Y425" s="126"/>
      <c r="Z425" s="126"/>
      <c r="AA425" s="126"/>
      <c r="AB425" s="126"/>
      <c r="AC425" s="126"/>
      <c r="AD425" s="127"/>
      <c r="AE425" s="127"/>
      <c r="AF425" s="127"/>
    </row>
    <row r="426" spans="1:249" s="5" customFormat="1" ht="25.5" customHeight="1">
      <c r="A426" s="116">
        <v>4</v>
      </c>
      <c r="B426" s="1514" t="s">
        <v>296</v>
      </c>
      <c r="C426" s="1515"/>
      <c r="D426" s="1515"/>
      <c r="E426" s="1515"/>
      <c r="F426" s="1515"/>
      <c r="G426" s="1516"/>
      <c r="H426" s="1564" t="s">
        <v>297</v>
      </c>
      <c r="I426" s="1565"/>
      <c r="J426" s="1565"/>
      <c r="K426" s="1565"/>
      <c r="L426" s="1566"/>
      <c r="M426" s="54" t="s">
        <v>245</v>
      </c>
      <c r="N426" s="117"/>
      <c r="P426" s="4"/>
      <c r="Q426" s="126"/>
      <c r="R426" s="126"/>
      <c r="S426" s="126"/>
      <c r="T426" s="126"/>
      <c r="U426" s="126"/>
      <c r="V426" s="126"/>
      <c r="W426" s="126"/>
      <c r="X426" s="126"/>
      <c r="Y426" s="126"/>
      <c r="Z426" s="126"/>
      <c r="AA426" s="126"/>
      <c r="AB426" s="126"/>
      <c r="AC426" s="126"/>
      <c r="AD426" s="127"/>
      <c r="AE426" s="127"/>
      <c r="AF426" s="127"/>
    </row>
    <row r="427" spans="1:249" s="5" customFormat="1" ht="21.75" customHeight="1">
      <c r="A427" s="56">
        <v>5</v>
      </c>
      <c r="B427" s="1498" t="s">
        <v>298</v>
      </c>
      <c r="C427" s="1499"/>
      <c r="D427" s="1499"/>
      <c r="E427" s="1499"/>
      <c r="F427" s="1499"/>
      <c r="G427" s="1500"/>
      <c r="H427" s="1570" t="s">
        <v>247</v>
      </c>
      <c r="I427" s="1571"/>
      <c r="J427" s="1571"/>
      <c r="K427" s="1571"/>
      <c r="L427" s="1572"/>
      <c r="M427" s="56" t="s">
        <v>245</v>
      </c>
      <c r="N427" s="57"/>
      <c r="P427" s="4"/>
      <c r="Q427" s="126"/>
      <c r="R427" s="126"/>
      <c r="S427" s="126"/>
      <c r="T427" s="126"/>
      <c r="U427" s="126"/>
      <c r="V427" s="126"/>
      <c r="W427" s="126"/>
      <c r="X427" s="126"/>
      <c r="Y427" s="126"/>
      <c r="Z427" s="126"/>
      <c r="AA427" s="126"/>
      <c r="AB427" s="126"/>
      <c r="AC427" s="126"/>
      <c r="AD427" s="127"/>
      <c r="AE427" s="127"/>
      <c r="AF427" s="127"/>
    </row>
    <row r="428" spans="1:249" s="5" customFormat="1" ht="21" customHeight="1">
      <c r="A428" s="58"/>
      <c r="B428" s="59" t="s">
        <v>249</v>
      </c>
      <c r="C428" s="59"/>
      <c r="D428" s="59"/>
      <c r="E428" s="59"/>
      <c r="F428" s="60"/>
      <c r="G428" s="60"/>
      <c r="H428" s="1573" t="s">
        <v>176</v>
      </c>
      <c r="I428" s="1573"/>
      <c r="J428" s="1573"/>
      <c r="K428" s="1573"/>
      <c r="L428" s="60"/>
      <c r="M428" s="60"/>
      <c r="N428" s="60"/>
      <c r="P428" s="4"/>
      <c r="Q428" s="129"/>
      <c r="R428" s="129"/>
      <c r="S428" s="129"/>
      <c r="T428" s="129"/>
      <c r="U428" s="127"/>
      <c r="V428" s="127"/>
      <c r="W428" s="127"/>
      <c r="X428" s="127"/>
      <c r="Y428" s="127"/>
      <c r="Z428" s="127"/>
      <c r="AA428" s="127"/>
      <c r="AB428" s="127"/>
      <c r="AC428" s="127"/>
      <c r="AD428" s="127"/>
      <c r="AE428" s="127"/>
      <c r="AF428" s="127"/>
    </row>
    <row r="429" spans="1:249" s="5" customFormat="1" ht="30.75" customHeight="1">
      <c r="A429" s="31" t="s">
        <v>250</v>
      </c>
      <c r="B429" s="31"/>
      <c r="C429" s="31"/>
      <c r="D429" s="31"/>
      <c r="E429" s="61"/>
      <c r="F429" s="61"/>
      <c r="G429" s="61"/>
      <c r="H429" s="61"/>
      <c r="I429" s="61"/>
      <c r="J429" s="61"/>
      <c r="K429" s="61"/>
      <c r="L429" s="61"/>
      <c r="M429" s="61"/>
      <c r="N429" s="61"/>
      <c r="P429" s="4"/>
      <c r="Q429" s="129"/>
      <c r="R429" s="129"/>
      <c r="S429" s="129"/>
      <c r="T429" s="129"/>
      <c r="U429" s="127"/>
      <c r="V429" s="127"/>
      <c r="W429" s="127"/>
      <c r="X429" s="127"/>
      <c r="Y429" s="127"/>
      <c r="Z429" s="127"/>
      <c r="AA429" s="127"/>
      <c r="AB429" s="127"/>
      <c r="AC429" s="127"/>
      <c r="AD429" s="127"/>
      <c r="AE429" s="127"/>
      <c r="AF429" s="127"/>
    </row>
    <row r="430" spans="1:249" s="5" customFormat="1" ht="24" customHeight="1">
      <c r="A430" s="62"/>
      <c r="B430" s="60"/>
      <c r="C430" s="60"/>
      <c r="D430" s="1505" t="s">
        <v>251</v>
      </c>
      <c r="E430" s="1505"/>
      <c r="F430" s="1505"/>
      <c r="G430" s="1505"/>
      <c r="H430" s="1505"/>
      <c r="I430" s="1505"/>
      <c r="J430" s="1505"/>
      <c r="K430" s="1505"/>
      <c r="L430" s="1505"/>
      <c r="M430" s="1505"/>
      <c r="N430" s="1505"/>
      <c r="P430" s="4"/>
      <c r="Q430" s="129"/>
      <c r="R430" s="129"/>
      <c r="S430" s="129"/>
      <c r="T430" s="129"/>
      <c r="U430" s="127"/>
      <c r="V430" s="127"/>
      <c r="W430" s="127"/>
      <c r="X430" s="127"/>
      <c r="Y430" s="127"/>
      <c r="Z430" s="127"/>
      <c r="AA430" s="127"/>
      <c r="AB430" s="127"/>
      <c r="AC430" s="127"/>
      <c r="AD430" s="127"/>
      <c r="AE430" s="127"/>
      <c r="AF430" s="127"/>
    </row>
    <row r="431" spans="1:249" s="5" customFormat="1" ht="16.5">
      <c r="A431" s="58"/>
      <c r="B431" s="1506"/>
      <c r="C431" s="1506"/>
      <c r="D431" s="1506"/>
      <c r="E431" s="1506"/>
      <c r="F431" s="1507"/>
      <c r="G431" s="1507"/>
      <c r="H431" s="1507"/>
      <c r="I431" s="1507"/>
      <c r="J431" s="1507"/>
      <c r="K431" s="1507"/>
      <c r="L431" s="1507"/>
      <c r="M431" s="50"/>
      <c r="N431" s="50"/>
      <c r="P431" s="4"/>
      <c r="Q431" s="129"/>
      <c r="R431" s="129"/>
      <c r="S431" s="129"/>
      <c r="T431" s="129"/>
      <c r="U431" s="127"/>
      <c r="V431" s="127"/>
      <c r="W431" s="127"/>
      <c r="X431" s="127"/>
      <c r="Y431" s="127"/>
      <c r="Z431" s="127"/>
      <c r="AA431" s="127"/>
      <c r="AB431" s="127"/>
      <c r="AC431" s="127"/>
      <c r="AD431" s="127"/>
      <c r="AE431" s="127"/>
      <c r="AF431" s="127"/>
    </row>
    <row r="432" spans="1:249" s="5" customFormat="1" ht="25.5" customHeight="1">
      <c r="A432" s="1496" t="s">
        <v>252</v>
      </c>
      <c r="B432" s="1496"/>
      <c r="C432" s="1496"/>
      <c r="D432" s="1496"/>
      <c r="E432" s="1496"/>
      <c r="F432" s="1496" t="s">
        <v>253</v>
      </c>
      <c r="G432" s="1496"/>
      <c r="H432" s="1496"/>
      <c r="I432" s="1496"/>
      <c r="J432" s="1496"/>
      <c r="K432" s="1496"/>
      <c r="L432" s="1496"/>
      <c r="M432" s="1496"/>
      <c r="N432" s="1496"/>
      <c r="P432" s="4"/>
      <c r="Q432" s="129"/>
      <c r="R432" s="129"/>
      <c r="S432" s="129"/>
      <c r="T432" s="129"/>
      <c r="U432" s="127"/>
      <c r="V432" s="127"/>
      <c r="W432" s="127"/>
      <c r="X432" s="127"/>
      <c r="Y432" s="127"/>
      <c r="Z432" s="127"/>
      <c r="AA432" s="127"/>
      <c r="AB432" s="127"/>
      <c r="AC432" s="127"/>
      <c r="AD432" s="127"/>
      <c r="AE432" s="127"/>
      <c r="AF432" s="127"/>
    </row>
    <row r="433" spans="1:32" s="5" customFormat="1" ht="21" customHeight="1">
      <c r="A433" s="64"/>
      <c r="B433" s="64"/>
      <c r="C433" s="64"/>
      <c r="D433" s="64"/>
      <c r="E433" s="64"/>
      <c r="F433" s="1496" t="str">
        <f>$T$30</f>
        <v>Công ty TNHH MTV HANTECH</v>
      </c>
      <c r="G433" s="1496"/>
      <c r="H433" s="1496"/>
      <c r="I433" s="1496"/>
      <c r="J433" s="1496"/>
      <c r="K433" s="1496"/>
      <c r="L433" s="1496" t="str">
        <f>$T$32</f>
        <v>Chỉ huy trưởng công trường</v>
      </c>
      <c r="M433" s="1496"/>
      <c r="N433" s="1496"/>
      <c r="P433" s="4"/>
      <c r="Q433" s="129"/>
      <c r="R433" s="129"/>
      <c r="S433" s="129"/>
      <c r="T433" s="129"/>
      <c r="U433" s="127"/>
      <c r="V433" s="127"/>
      <c r="W433" s="127"/>
      <c r="X433" s="127"/>
      <c r="Y433" s="127"/>
      <c r="Z433" s="127"/>
      <c r="AA433" s="127"/>
      <c r="AB433" s="127"/>
      <c r="AC433" s="127"/>
      <c r="AD433" s="127"/>
      <c r="AE433" s="127"/>
      <c r="AF433" s="127"/>
    </row>
    <row r="434" spans="1:32" s="5" customFormat="1" ht="24" customHeight="1">
      <c r="A434" s="64"/>
      <c r="B434" s="64"/>
      <c r="C434" s="64"/>
      <c r="D434" s="64"/>
      <c r="E434" s="64"/>
      <c r="F434" s="64"/>
      <c r="G434" s="64"/>
      <c r="H434" s="64"/>
      <c r="I434" s="64"/>
      <c r="J434" s="64"/>
      <c r="K434" s="64"/>
      <c r="L434" s="64"/>
      <c r="M434" s="64"/>
      <c r="N434" s="64"/>
      <c r="O434" s="63"/>
      <c r="P434" s="63"/>
      <c r="Q434" s="129"/>
      <c r="R434" s="129"/>
      <c r="S434" s="129"/>
      <c r="T434" s="129"/>
      <c r="U434" s="127"/>
      <c r="V434" s="127"/>
      <c r="W434" s="127"/>
      <c r="X434" s="127"/>
      <c r="Y434" s="127"/>
      <c r="Z434" s="127"/>
      <c r="AA434" s="127"/>
      <c r="AB434" s="127"/>
      <c r="AC434" s="127"/>
      <c r="AD434" s="127"/>
      <c r="AE434" s="127"/>
      <c r="AF434" s="127"/>
    </row>
    <row r="435" spans="1:32" s="5" customFormat="1" ht="16.5">
      <c r="A435" s="66"/>
      <c r="B435"/>
      <c r="C435"/>
      <c r="D435"/>
      <c r="E435"/>
      <c r="F435" s="67"/>
      <c r="G435" s="68"/>
      <c r="H435" s="69"/>
      <c r="I435" s="69"/>
      <c r="J435" s="69"/>
      <c r="K435" s="69"/>
      <c r="L435" s="69"/>
      <c r="M435" s="69"/>
      <c r="N435" s="43"/>
      <c r="O435"/>
      <c r="P435"/>
      <c r="Q435" s="129"/>
      <c r="R435" s="129"/>
      <c r="S435" s="129"/>
      <c r="T435" s="129"/>
      <c r="U435" s="127"/>
      <c r="V435" s="127"/>
      <c r="W435" s="127"/>
      <c r="X435" s="127"/>
      <c r="Y435" s="127"/>
      <c r="Z435" s="127"/>
      <c r="AA435" s="127"/>
      <c r="AB435" s="127"/>
      <c r="AC435" s="127"/>
      <c r="AD435" s="127"/>
      <c r="AE435" s="127"/>
      <c r="AF435" s="127"/>
    </row>
    <row r="436" spans="1:32" s="63" customFormat="1" ht="29.25" customHeight="1">
      <c r="A436" s="12"/>
      <c r="B436" s="12"/>
      <c r="C436" s="12"/>
      <c r="D436" s="12"/>
      <c r="E436" s="12"/>
      <c r="F436" s="12"/>
      <c r="G436" s="12"/>
      <c r="H436" s="12"/>
      <c r="I436" s="7"/>
      <c r="J436" s="7"/>
      <c r="K436" s="7"/>
      <c r="L436" s="7"/>
      <c r="M436" s="2"/>
      <c r="N436" s="2"/>
      <c r="O436"/>
      <c r="P436"/>
      <c r="Q436" s="65"/>
      <c r="R436" s="65"/>
      <c r="S436" s="65"/>
      <c r="T436" s="65"/>
    </row>
    <row r="437" spans="1:32" ht="23.25" customHeight="1">
      <c r="A437" s="1497" t="str">
        <f>$E$16</f>
        <v>Nguyễn Mạnh Hùng</v>
      </c>
      <c r="B437" s="1497"/>
      <c r="C437" s="1497"/>
      <c r="D437" s="1497"/>
      <c r="E437" s="1497"/>
      <c r="F437" s="1497" t="str">
        <f>E399</f>
        <v>CÔNG TY TNHH MTV HANTECH</v>
      </c>
      <c r="G437" s="1497"/>
      <c r="H437" s="1497"/>
      <c r="I437" s="1497"/>
      <c r="J437" s="1497"/>
      <c r="K437" s="1497"/>
      <c r="L437" s="1497" t="str">
        <f>$E$19</f>
        <v>Ngô Văn Khánh</v>
      </c>
      <c r="M437" s="1497"/>
      <c r="N437" s="1497"/>
    </row>
    <row r="438" spans="1:32" ht="17.25">
      <c r="A438" s="1535"/>
      <c r="B438" s="1535"/>
      <c r="C438" s="1535"/>
      <c r="D438" s="1535"/>
      <c r="E438" s="1535"/>
      <c r="F438" s="71"/>
      <c r="G438" s="71"/>
      <c r="H438" s="71"/>
      <c r="I438" s="71"/>
      <c r="J438" s="71"/>
      <c r="K438" s="71"/>
      <c r="L438" s="71"/>
      <c r="M438" s="71"/>
      <c r="N438" s="71"/>
      <c r="O438" s="7"/>
      <c r="P438" s="7"/>
    </row>
    <row r="439" spans="1:32" ht="17.25" customHeight="1">
      <c r="A439" s="58"/>
      <c r="B439" s="1531"/>
      <c r="C439" s="1531"/>
      <c r="D439" s="1531"/>
      <c r="E439" s="1531"/>
      <c r="F439" s="1532"/>
      <c r="G439" s="1532"/>
      <c r="H439" s="1532"/>
      <c r="I439" s="1532"/>
      <c r="J439" s="1532"/>
      <c r="K439" s="1532"/>
      <c r="L439" s="1532"/>
      <c r="M439" s="50"/>
      <c r="N439" s="50"/>
      <c r="O439" s="70"/>
      <c r="P439" s="70"/>
    </row>
    <row r="440" spans="1:32" s="7" customFormat="1" ht="19.5" customHeight="1">
      <c r="A440" s="58"/>
      <c r="B440" s="1531"/>
      <c r="C440" s="1531"/>
      <c r="D440" s="1531"/>
      <c r="E440" s="1531"/>
      <c r="F440" s="1532"/>
      <c r="G440" s="1532"/>
      <c r="H440" s="1532"/>
      <c r="I440" s="1532"/>
      <c r="J440" s="1532"/>
      <c r="K440" s="1532"/>
      <c r="L440" s="1532"/>
      <c r="M440" s="50"/>
      <c r="N440" s="50"/>
      <c r="O440" s="72"/>
      <c r="P440" s="73"/>
      <c r="Q440" s="11"/>
      <c r="R440" s="11"/>
      <c r="S440" s="11"/>
      <c r="T440" s="11"/>
    </row>
    <row r="441" spans="1:32" s="70" customFormat="1" ht="20.100000000000001" customHeight="1">
      <c r="A441" s="58"/>
      <c r="B441" s="74"/>
      <c r="C441" s="74"/>
      <c r="D441" s="74"/>
      <c r="E441" s="74"/>
      <c r="F441" s="75"/>
      <c r="G441" s="75"/>
      <c r="H441" s="75"/>
      <c r="I441" s="75"/>
      <c r="J441" s="75"/>
      <c r="K441" s="75"/>
      <c r="L441" s="75"/>
      <c r="M441" s="50"/>
      <c r="N441" s="50"/>
      <c r="O441" s="5"/>
      <c r="P441" s="4"/>
      <c r="Q441" s="76"/>
      <c r="R441" s="76"/>
      <c r="S441" s="76"/>
      <c r="T441" s="76"/>
    </row>
    <row r="442" spans="1:32" s="72" customFormat="1" ht="16.5" customHeight="1">
      <c r="A442" s="58"/>
      <c r="B442" s="74"/>
      <c r="C442" s="74"/>
      <c r="D442" s="74"/>
      <c r="E442" s="74"/>
      <c r="F442" s="75"/>
      <c r="G442" s="75"/>
      <c r="H442" s="75"/>
      <c r="I442" s="75"/>
      <c r="J442" s="75"/>
      <c r="K442" s="75"/>
      <c r="L442" s="75"/>
      <c r="M442" s="50"/>
      <c r="N442" s="50"/>
      <c r="O442" s="5"/>
      <c r="P442" s="4"/>
      <c r="Q442" s="77"/>
      <c r="R442" s="77"/>
      <c r="S442" s="77"/>
      <c r="T442" s="77"/>
    </row>
    <row r="443" spans="1:32" s="5" customFormat="1" ht="16.5" customHeight="1">
      <c r="A443" s="58"/>
      <c r="B443" s="74"/>
      <c r="C443" s="74"/>
      <c r="D443" s="74"/>
      <c r="E443" s="74"/>
      <c r="F443" s="75"/>
      <c r="G443" s="75"/>
      <c r="H443" s="75"/>
      <c r="I443" s="75"/>
      <c r="J443" s="75"/>
      <c r="K443" s="75"/>
      <c r="L443" s="75"/>
      <c r="M443" s="50"/>
      <c r="N443" s="50"/>
      <c r="P443" s="4"/>
      <c r="Q443" s="129"/>
      <c r="R443" s="129"/>
      <c r="S443" s="129"/>
      <c r="T443" s="129"/>
      <c r="U443" s="127"/>
      <c r="V443" s="127"/>
      <c r="W443" s="127"/>
      <c r="X443" s="127"/>
      <c r="Y443" s="127"/>
      <c r="Z443" s="127"/>
      <c r="AA443" s="127"/>
      <c r="AB443" s="127"/>
      <c r="AC443" s="127"/>
      <c r="AD443" s="127"/>
      <c r="AE443" s="127"/>
      <c r="AF443" s="127"/>
    </row>
    <row r="444" spans="1:32" s="5" customFormat="1" ht="16.5" customHeight="1">
      <c r="A444" s="58"/>
      <c r="B444" s="74"/>
      <c r="C444" s="74"/>
      <c r="D444" s="74"/>
      <c r="E444" s="74"/>
      <c r="F444" s="75"/>
      <c r="G444" s="75"/>
      <c r="H444" s="75"/>
      <c r="I444" s="75"/>
      <c r="J444" s="75"/>
      <c r="K444" s="75"/>
      <c r="L444" s="75"/>
      <c r="M444" s="50"/>
      <c r="N444" s="50"/>
      <c r="P444" s="4"/>
      <c r="Q444" s="129"/>
      <c r="R444" s="129"/>
      <c r="S444" s="129"/>
      <c r="T444" s="129"/>
      <c r="U444" s="127"/>
      <c r="V444" s="127"/>
      <c r="W444" s="127"/>
      <c r="X444" s="127"/>
      <c r="Y444" s="127"/>
      <c r="Z444" s="127"/>
      <c r="AA444" s="127"/>
      <c r="AB444" s="127"/>
      <c r="AC444" s="127"/>
      <c r="AD444" s="127"/>
      <c r="AE444" s="127"/>
      <c r="AF444" s="127"/>
    </row>
    <row r="445" spans="1:32" s="5" customFormat="1" ht="16.5" customHeight="1">
      <c r="A445" s="58"/>
      <c r="B445" s="74"/>
      <c r="C445" s="74"/>
      <c r="D445" s="74"/>
      <c r="E445" s="74"/>
      <c r="F445" s="75"/>
      <c r="G445" s="75"/>
      <c r="H445" s="75"/>
      <c r="I445" s="75"/>
      <c r="J445" s="75"/>
      <c r="K445" s="75"/>
      <c r="L445" s="75"/>
      <c r="M445" s="50"/>
      <c r="N445" s="50"/>
      <c r="P445" s="4"/>
      <c r="Q445" s="129"/>
      <c r="R445" s="129"/>
      <c r="S445" s="129"/>
      <c r="T445" s="129"/>
      <c r="U445" s="127"/>
      <c r="V445" s="127"/>
      <c r="W445" s="127"/>
      <c r="X445" s="127"/>
      <c r="Y445" s="127"/>
      <c r="Z445" s="127"/>
      <c r="AA445" s="127"/>
      <c r="AB445" s="127"/>
      <c r="AC445" s="127"/>
      <c r="AD445" s="127"/>
      <c r="AE445" s="127"/>
      <c r="AF445" s="127"/>
    </row>
    <row r="446" spans="1:32" s="5" customFormat="1" ht="16.5" customHeight="1">
      <c r="A446" s="58"/>
      <c r="B446" s="74"/>
      <c r="C446" s="74"/>
      <c r="D446" s="74"/>
      <c r="E446" s="74"/>
      <c r="F446" s="75"/>
      <c r="G446" s="75"/>
      <c r="H446" s="75"/>
      <c r="I446" s="75"/>
      <c r="J446" s="75"/>
      <c r="K446" s="75"/>
      <c r="L446" s="75"/>
      <c r="M446" s="50"/>
      <c r="N446" s="50"/>
      <c r="P446" s="4"/>
      <c r="Q446" s="129"/>
      <c r="R446" s="129"/>
      <c r="S446" s="129"/>
      <c r="T446" s="129"/>
      <c r="U446" s="127"/>
      <c r="V446" s="127"/>
      <c r="W446" s="127"/>
      <c r="X446" s="127"/>
      <c r="Y446" s="127"/>
      <c r="Z446" s="127"/>
      <c r="AA446" s="127"/>
      <c r="AB446" s="127"/>
      <c r="AC446" s="127"/>
      <c r="AD446" s="127"/>
      <c r="AE446" s="127"/>
      <c r="AF446" s="127"/>
    </row>
    <row r="447" spans="1:32" s="5" customFormat="1" ht="16.5" customHeight="1">
      <c r="A447" s="58"/>
      <c r="B447" s="74"/>
      <c r="C447" s="74"/>
      <c r="D447" s="74"/>
      <c r="E447" s="74"/>
      <c r="F447" s="75"/>
      <c r="G447" s="75"/>
      <c r="H447" s="75"/>
      <c r="I447" s="75"/>
      <c r="J447" s="75"/>
      <c r="K447" s="75"/>
      <c r="L447" s="75"/>
      <c r="M447" s="50"/>
      <c r="N447" s="50"/>
      <c r="P447" s="4"/>
      <c r="Q447" s="129"/>
      <c r="R447" s="129"/>
      <c r="S447" s="129"/>
      <c r="T447" s="129"/>
      <c r="U447" s="127"/>
      <c r="V447" s="127"/>
      <c r="W447" s="127"/>
      <c r="X447" s="127"/>
      <c r="Y447" s="127"/>
      <c r="Z447" s="127"/>
      <c r="AA447" s="127"/>
      <c r="AB447" s="127"/>
      <c r="AC447" s="127"/>
      <c r="AD447" s="127"/>
      <c r="AE447" s="127"/>
      <c r="AF447" s="127"/>
    </row>
    <row r="448" spans="1:32" s="5" customFormat="1" ht="16.5" customHeight="1">
      <c r="A448" s="58"/>
      <c r="B448" s="74"/>
      <c r="C448" s="74"/>
      <c r="D448" s="74"/>
      <c r="E448" s="74"/>
      <c r="F448" s="75"/>
      <c r="G448" s="75"/>
      <c r="H448" s="75"/>
      <c r="I448" s="75"/>
      <c r="J448" s="75"/>
      <c r="K448" s="75"/>
      <c r="L448" s="75"/>
      <c r="M448" s="50"/>
      <c r="N448" s="50"/>
      <c r="P448" s="4"/>
      <c r="Q448" s="129"/>
      <c r="R448" s="129"/>
      <c r="S448" s="129"/>
      <c r="T448" s="129"/>
      <c r="U448" s="127"/>
      <c r="V448" s="127"/>
      <c r="W448" s="127"/>
      <c r="X448" s="127"/>
      <c r="Y448" s="127"/>
      <c r="Z448" s="127"/>
      <c r="AA448" s="127"/>
      <c r="AB448" s="127"/>
      <c r="AC448" s="127"/>
      <c r="AD448" s="127"/>
      <c r="AE448" s="127"/>
      <c r="AF448" s="127"/>
    </row>
    <row r="449" spans="1:32" s="5" customFormat="1" ht="16.5" customHeight="1">
      <c r="A449" s="58"/>
      <c r="B449" s="1531"/>
      <c r="C449" s="1531"/>
      <c r="D449" s="1531"/>
      <c r="E449" s="1531"/>
      <c r="F449" s="1532"/>
      <c r="G449" s="1532"/>
      <c r="H449" s="1532"/>
      <c r="I449" s="1532"/>
      <c r="J449" s="1532"/>
      <c r="K449" s="1532"/>
      <c r="L449" s="1532"/>
      <c r="M449" s="50"/>
      <c r="N449" s="50"/>
      <c r="P449" s="4"/>
      <c r="Q449" s="129"/>
      <c r="R449" s="129"/>
      <c r="S449" s="129"/>
      <c r="T449" s="129"/>
      <c r="U449" s="127"/>
      <c r="V449" s="127"/>
      <c r="W449" s="127"/>
      <c r="X449" s="127"/>
      <c r="Y449" s="127"/>
      <c r="Z449" s="127"/>
      <c r="AA449" s="127"/>
      <c r="AB449" s="127"/>
      <c r="AC449" s="127"/>
      <c r="AD449" s="127"/>
      <c r="AE449" s="127"/>
      <c r="AF449" s="127"/>
    </row>
    <row r="450" spans="1:32" s="5" customFormat="1" ht="16.5" customHeight="1">
      <c r="A450" s="1534"/>
      <c r="B450" s="1534"/>
      <c r="C450" s="1534"/>
      <c r="D450" s="1534"/>
      <c r="E450" s="1534"/>
      <c r="F450" s="1534"/>
      <c r="G450" s="1534"/>
      <c r="H450" s="1534"/>
      <c r="I450" s="1534"/>
      <c r="J450" s="1534"/>
      <c r="K450" s="1534"/>
      <c r="L450" s="1534"/>
      <c r="M450" s="1534"/>
      <c r="N450" s="1534"/>
      <c r="P450" s="4"/>
      <c r="Q450" s="129"/>
      <c r="R450" s="129"/>
      <c r="S450" s="129"/>
      <c r="T450" s="129"/>
      <c r="U450" s="127"/>
      <c r="V450" s="127"/>
      <c r="W450" s="127"/>
      <c r="X450" s="127"/>
      <c r="Y450" s="127"/>
      <c r="Z450" s="127"/>
      <c r="AA450" s="127"/>
      <c r="AB450" s="127"/>
      <c r="AC450" s="127"/>
      <c r="AD450" s="127"/>
      <c r="AE450" s="127"/>
      <c r="AF450" s="127"/>
    </row>
    <row r="451" spans="1:32" s="5" customFormat="1" ht="16.5" customHeight="1">
      <c r="I451" s="64"/>
      <c r="J451" s="64"/>
      <c r="K451" s="64"/>
      <c r="L451" s="64"/>
      <c r="M451" s="64"/>
      <c r="N451" s="64"/>
      <c r="P451" s="4"/>
      <c r="Q451" s="129"/>
      <c r="R451" s="129"/>
      <c r="S451" s="129"/>
      <c r="T451" s="129"/>
      <c r="U451" s="127"/>
      <c r="V451" s="127"/>
      <c r="W451" s="127"/>
      <c r="X451" s="127"/>
      <c r="Y451" s="127"/>
      <c r="Z451" s="127"/>
      <c r="AA451" s="127"/>
      <c r="AB451" s="127"/>
      <c r="AC451" s="127"/>
      <c r="AD451" s="127"/>
      <c r="AE451" s="127"/>
      <c r="AF451" s="127"/>
    </row>
    <row r="452" spans="1:32" s="5" customFormat="1" ht="19.5" customHeight="1">
      <c r="A452" s="58"/>
      <c r="B452" s="58"/>
      <c r="C452" s="78"/>
      <c r="D452" s="78"/>
      <c r="E452" s="74"/>
      <c r="F452" s="50"/>
      <c r="G452" s="50"/>
      <c r="H452" s="50"/>
      <c r="I452" s="50"/>
      <c r="J452" s="50"/>
      <c r="K452" s="50"/>
      <c r="L452" s="50"/>
      <c r="M452" s="50"/>
      <c r="N452" s="50"/>
      <c r="P452" s="4"/>
      <c r="Q452" s="129"/>
      <c r="R452" s="129"/>
      <c r="S452" s="129"/>
      <c r="T452" s="129"/>
      <c r="U452" s="127"/>
      <c r="V452" s="127"/>
      <c r="W452" s="127"/>
      <c r="X452" s="127"/>
      <c r="Y452" s="127"/>
      <c r="Z452" s="127"/>
      <c r="AA452" s="127"/>
      <c r="AB452" s="127"/>
      <c r="AC452" s="127"/>
      <c r="AD452" s="127"/>
      <c r="AE452" s="127"/>
      <c r="AF452" s="127"/>
    </row>
    <row r="453" spans="1:32" s="5" customFormat="1" ht="15" customHeight="1">
      <c r="A453" s="58"/>
      <c r="B453" s="58"/>
      <c r="C453" s="78"/>
      <c r="D453" s="78"/>
      <c r="E453" s="74"/>
      <c r="F453" s="50"/>
      <c r="G453" s="50"/>
      <c r="H453" s="50"/>
      <c r="I453" s="50"/>
      <c r="J453" s="50"/>
      <c r="K453" s="50"/>
      <c r="L453" s="50"/>
      <c r="M453" s="50"/>
      <c r="N453" s="50"/>
      <c r="O453" s="64"/>
      <c r="P453" s="64"/>
      <c r="Q453" s="129"/>
      <c r="R453" s="129"/>
      <c r="S453" s="129"/>
      <c r="T453" s="129"/>
      <c r="U453" s="127"/>
      <c r="V453" s="127"/>
      <c r="W453" s="127"/>
      <c r="X453" s="127"/>
      <c r="Y453" s="127"/>
      <c r="Z453" s="127"/>
      <c r="AA453" s="127"/>
      <c r="AB453" s="127"/>
      <c r="AC453" s="127"/>
      <c r="AD453" s="127"/>
      <c r="AE453" s="127"/>
      <c r="AF453" s="127"/>
    </row>
    <row r="454" spans="1:32" s="5" customFormat="1" ht="24" customHeight="1">
      <c r="A454" s="58"/>
      <c r="B454" s="58"/>
      <c r="C454" s="78"/>
      <c r="D454" s="78"/>
      <c r="E454" s="74"/>
      <c r="F454" s="50"/>
      <c r="G454" s="50"/>
      <c r="H454" s="50"/>
      <c r="I454" s="50"/>
      <c r="J454" s="50"/>
      <c r="K454" s="50"/>
      <c r="L454" s="50"/>
      <c r="M454" s="50"/>
      <c r="N454" s="50"/>
      <c r="P454" s="4"/>
      <c r="Q454" s="129"/>
      <c r="R454" s="129"/>
      <c r="S454" s="129"/>
      <c r="T454" s="129"/>
      <c r="U454" s="127"/>
      <c r="V454" s="127"/>
      <c r="W454" s="127"/>
      <c r="X454" s="127"/>
      <c r="Y454" s="127"/>
      <c r="Z454" s="127"/>
      <c r="AA454" s="127"/>
      <c r="AB454" s="127"/>
      <c r="AC454" s="127"/>
      <c r="AD454" s="127"/>
      <c r="AE454" s="127"/>
      <c r="AF454" s="127"/>
    </row>
    <row r="455" spans="1:32" s="5" customFormat="1" ht="16.5" customHeight="1">
      <c r="A455" s="58"/>
      <c r="B455" s="58"/>
      <c r="C455" s="78"/>
      <c r="D455" s="78"/>
      <c r="E455" s="74"/>
      <c r="F455" s="50"/>
      <c r="G455" s="50"/>
      <c r="H455" s="50"/>
      <c r="I455" s="50"/>
      <c r="J455" s="50"/>
      <c r="K455" s="50"/>
      <c r="L455" s="50"/>
      <c r="M455" s="50"/>
      <c r="N455" s="50"/>
      <c r="P455" s="4"/>
      <c r="Q455" s="129"/>
      <c r="R455" s="129"/>
      <c r="S455" s="129"/>
      <c r="T455" s="129"/>
      <c r="U455" s="127"/>
      <c r="V455" s="127"/>
      <c r="W455" s="127"/>
      <c r="X455" s="127"/>
      <c r="Y455" s="127"/>
      <c r="Z455" s="127"/>
      <c r="AA455" s="127"/>
      <c r="AB455" s="127"/>
      <c r="AC455" s="127"/>
      <c r="AD455" s="127"/>
      <c r="AE455" s="127"/>
      <c r="AF455" s="127"/>
    </row>
    <row r="456" spans="1:32" s="5" customFormat="1" ht="16.5" customHeight="1">
      <c r="A456" s="58"/>
      <c r="B456" s="58"/>
      <c r="C456" s="78"/>
      <c r="D456" s="78"/>
      <c r="E456" s="74"/>
      <c r="F456" s="50"/>
      <c r="G456" s="50"/>
      <c r="H456" s="50"/>
      <c r="I456" s="50"/>
      <c r="J456" s="50"/>
      <c r="K456" s="50"/>
      <c r="L456" s="50"/>
      <c r="M456" s="50"/>
      <c r="N456" s="50"/>
      <c r="P456" s="4"/>
      <c r="Q456" s="129"/>
      <c r="R456" s="129"/>
      <c r="S456" s="129"/>
      <c r="T456" s="129"/>
      <c r="U456" s="127"/>
      <c r="V456" s="127"/>
      <c r="W456" s="127"/>
      <c r="X456" s="127"/>
      <c r="Y456" s="127"/>
      <c r="Z456" s="127"/>
      <c r="AA456" s="127"/>
      <c r="AB456" s="127"/>
      <c r="AC456" s="127"/>
      <c r="AD456" s="127"/>
      <c r="AE456" s="127"/>
      <c r="AF456" s="127"/>
    </row>
    <row r="457" spans="1:32" s="5" customFormat="1" ht="16.5" customHeight="1">
      <c r="A457" s="58"/>
      <c r="B457" s="58"/>
      <c r="C457" s="78"/>
      <c r="D457" s="78"/>
      <c r="E457" s="74"/>
      <c r="F457" s="50"/>
      <c r="G457" s="50"/>
      <c r="H457" s="50"/>
      <c r="I457" s="50"/>
      <c r="J457" s="50"/>
      <c r="K457" s="50"/>
      <c r="L457" s="50"/>
      <c r="M457" s="50"/>
      <c r="N457" s="50"/>
      <c r="P457" s="4"/>
      <c r="Q457" s="129"/>
      <c r="R457" s="129"/>
      <c r="S457" s="129"/>
      <c r="T457" s="129"/>
      <c r="U457" s="127"/>
      <c r="V457" s="127"/>
      <c r="W457" s="127"/>
      <c r="X457" s="127"/>
      <c r="Y457" s="127"/>
      <c r="Z457" s="127"/>
      <c r="AA457" s="127"/>
      <c r="AB457" s="127"/>
      <c r="AC457" s="127"/>
      <c r="AD457" s="127"/>
      <c r="AE457" s="127"/>
      <c r="AF457" s="127"/>
    </row>
    <row r="458" spans="1:32" s="5" customFormat="1" ht="16.5" customHeight="1">
      <c r="A458" s="58"/>
      <c r="B458" s="58"/>
      <c r="C458" s="78"/>
      <c r="D458" s="78"/>
      <c r="E458" s="74"/>
      <c r="F458" s="50"/>
      <c r="G458" s="50"/>
      <c r="H458" s="50"/>
      <c r="I458" s="50"/>
      <c r="J458" s="50"/>
      <c r="K458" s="50"/>
      <c r="L458" s="50"/>
      <c r="M458" s="50"/>
      <c r="N458" s="50"/>
      <c r="P458" s="4"/>
      <c r="Q458" s="129"/>
      <c r="R458" s="129"/>
      <c r="S458" s="129"/>
      <c r="T458" s="129"/>
      <c r="U458" s="127"/>
      <c r="V458" s="127"/>
      <c r="W458" s="127"/>
      <c r="X458" s="127"/>
      <c r="Y458" s="127"/>
      <c r="Z458" s="127"/>
      <c r="AA458" s="127"/>
      <c r="AB458" s="127"/>
      <c r="AC458" s="127"/>
      <c r="AD458" s="127"/>
      <c r="AE458" s="127"/>
      <c r="AF458" s="127"/>
    </row>
    <row r="459" spans="1:32" s="5" customFormat="1" ht="16.5" customHeight="1">
      <c r="A459" s="1535" t="str">
        <f>$A$1</f>
        <v>.....................................</v>
      </c>
      <c r="B459" s="1535"/>
      <c r="C459" s="1535"/>
      <c r="D459" s="1535"/>
      <c r="E459" s="1535"/>
      <c r="F459" s="1592"/>
      <c r="G459" s="1535" t="s">
        <v>199</v>
      </c>
      <c r="H459" s="1535"/>
      <c r="I459" s="1535"/>
      <c r="J459" s="1535"/>
      <c r="K459" s="1535"/>
      <c r="L459" s="1535"/>
      <c r="M459" s="1535"/>
      <c r="N459" s="1535"/>
      <c r="P459" s="4"/>
      <c r="Q459" s="129"/>
      <c r="R459" s="129"/>
      <c r="S459" s="129"/>
      <c r="T459" s="129"/>
      <c r="U459" s="127"/>
      <c r="V459" s="127"/>
      <c r="W459" s="127"/>
      <c r="X459" s="127"/>
      <c r="Y459" s="127"/>
      <c r="Z459" s="127"/>
      <c r="AA459" s="127"/>
      <c r="AB459" s="127"/>
      <c r="AC459" s="127"/>
      <c r="AD459" s="127"/>
      <c r="AE459" s="127"/>
      <c r="AF459" s="127"/>
    </row>
    <row r="460" spans="1:32" s="5" customFormat="1" ht="16.5" customHeight="1">
      <c r="A460" s="1592"/>
      <c r="B460" s="1592"/>
      <c r="C460" s="1592"/>
      <c r="D460" s="1592"/>
      <c r="E460" s="1592"/>
      <c r="F460" s="1592"/>
      <c r="G460" s="1536" t="s">
        <v>254</v>
      </c>
      <c r="H460" s="1536"/>
      <c r="I460" s="1536"/>
      <c r="J460" s="1536"/>
      <c r="K460" s="1536"/>
      <c r="L460" s="1536"/>
      <c r="M460" s="1536"/>
      <c r="N460" s="1536"/>
      <c r="P460" s="4"/>
      <c r="Q460" s="129"/>
      <c r="R460" s="129"/>
      <c r="S460" s="129"/>
      <c r="T460" s="129"/>
      <c r="U460" s="127"/>
      <c r="V460" s="127"/>
      <c r="W460" s="127"/>
      <c r="X460" s="127"/>
      <c r="Y460" s="127"/>
      <c r="Z460" s="127"/>
      <c r="AA460" s="127"/>
      <c r="AB460" s="127"/>
      <c r="AC460" s="127"/>
      <c r="AD460" s="127"/>
      <c r="AE460" s="127"/>
      <c r="AF460" s="127"/>
    </row>
    <row r="461" spans="1:32" s="5" customFormat="1" ht="16.5" customHeight="1">
      <c r="A461" s="1592"/>
      <c r="B461" s="1592"/>
      <c r="C461" s="1592"/>
      <c r="D461" s="1592"/>
      <c r="E461" s="1592"/>
      <c r="F461" s="1592"/>
      <c r="G461" s="79"/>
      <c r="H461" s="79"/>
      <c r="I461" s="79"/>
      <c r="J461" s="1537">
        <f>I384</f>
        <v>42466</v>
      </c>
      <c r="K461" s="1537"/>
      <c r="L461" s="1537"/>
      <c r="M461" s="1537"/>
      <c r="N461" s="1537"/>
      <c r="P461"/>
      <c r="Q461" s="129"/>
      <c r="R461" s="129"/>
      <c r="S461" s="129"/>
      <c r="T461" s="129"/>
      <c r="U461" s="127"/>
      <c r="V461" s="127"/>
      <c r="W461" s="127"/>
      <c r="X461" s="127"/>
      <c r="Y461" s="127"/>
      <c r="Z461" s="127"/>
      <c r="AA461" s="127"/>
      <c r="AB461" s="127"/>
      <c r="AC461" s="127"/>
      <c r="AD461" s="127"/>
      <c r="AE461" s="127"/>
      <c r="AF461" s="127"/>
    </row>
    <row r="462" spans="1:32" s="5" customFormat="1">
      <c r="A462" s="1592"/>
      <c r="B462" s="1592"/>
      <c r="C462" s="1592"/>
      <c r="D462" s="1592"/>
      <c r="E462" s="1592"/>
      <c r="F462" s="1592"/>
      <c r="P462"/>
      <c r="Q462" s="129"/>
      <c r="R462" s="129"/>
      <c r="S462" s="129"/>
      <c r="T462" s="129"/>
      <c r="U462" s="127"/>
      <c r="V462" s="127"/>
      <c r="W462" s="127"/>
      <c r="X462" s="127"/>
      <c r="Y462" s="127"/>
      <c r="Z462" s="127"/>
      <c r="AA462" s="127"/>
      <c r="AB462" s="127"/>
      <c r="AC462" s="127"/>
      <c r="AD462" s="127"/>
      <c r="AE462" s="127"/>
      <c r="AF462" s="127"/>
    </row>
    <row r="463" spans="1:32" ht="21.95" customHeight="1">
      <c r="A463" s="1553" t="s">
        <v>255</v>
      </c>
      <c r="B463" s="1553"/>
      <c r="C463" s="1553"/>
      <c r="D463" s="1553"/>
      <c r="E463" s="1553"/>
      <c r="F463" s="1553"/>
      <c r="G463" s="1553"/>
      <c r="H463" s="1553"/>
      <c r="I463" s="1553"/>
      <c r="J463" s="1553"/>
      <c r="K463" s="1553"/>
      <c r="L463" s="1553"/>
      <c r="M463" s="1553"/>
      <c r="N463" s="1553"/>
      <c r="O463" s="79"/>
      <c r="P463" s="80"/>
    </row>
    <row r="464" spans="1:32" ht="21.95" customHeight="1">
      <c r="A464" s="1554" t="str">
        <f>"sè:  PM-"&amp;$R$12&amp;"-LT/"&amp;$R$14</f>
        <v>sè:  PM-B1-LT/800</v>
      </c>
      <c r="B464" s="1554"/>
      <c r="C464" s="1554"/>
      <c r="D464" s="1554"/>
      <c r="E464" s="1554"/>
      <c r="F464" s="1554"/>
      <c r="G464" s="1554"/>
      <c r="H464" s="1554"/>
      <c r="I464" s="1554"/>
      <c r="J464" s="1554"/>
      <c r="K464" s="1554"/>
      <c r="L464" s="1554"/>
      <c r="M464" s="1554"/>
      <c r="N464" s="1554"/>
      <c r="O464" s="5"/>
    </row>
    <row r="465" spans="1:32" s="80" customFormat="1" ht="21.95" customHeight="1">
      <c r="A465"/>
      <c r="B465" s="81"/>
      <c r="C465" s="28" t="str">
        <f>"C«ng tr×nh: "&amp;$R$3</f>
        <v>C«ng tr×nh: KHU HỖN HỢP CHUNG CƯ, VĂN PHÒNG, TRUNG TÂM THƯƠNG MẠI VÀ NHÀ Ở KẾT HỢP KHU MUA SẮM</v>
      </c>
      <c r="D465" s="27"/>
      <c r="E465" s="27"/>
      <c r="F465" s="27"/>
      <c r="G465" s="27"/>
      <c r="H465" s="27"/>
      <c r="I465" s="27"/>
      <c r="J465" s="27"/>
      <c r="K465" s="27"/>
      <c r="L465" s="27"/>
      <c r="M465"/>
      <c r="N465"/>
      <c r="O465"/>
      <c r="P465"/>
      <c r="Q465" s="131"/>
      <c r="R465" s="131"/>
      <c r="S465" s="131"/>
      <c r="T465" s="131"/>
      <c r="U465" s="132"/>
      <c r="V465" s="132"/>
      <c r="W465" s="132"/>
      <c r="X465" s="132"/>
      <c r="Y465" s="132"/>
      <c r="Z465" s="132"/>
      <c r="AA465" s="132"/>
      <c r="AB465" s="132"/>
      <c r="AC465" s="132"/>
      <c r="AD465" s="132"/>
      <c r="AE465" s="132"/>
      <c r="AF465" s="132"/>
    </row>
    <row r="466" spans="1:32" ht="21.95" customHeight="1">
      <c r="B466" s="81"/>
      <c r="C466" s="28" t="str">
        <f>"H¹ng môc: "&amp;$R$5</f>
        <v>H¹ng môc: CỌC KHOAN NHỒI</v>
      </c>
      <c r="D466" s="27"/>
      <c r="E466" s="29"/>
      <c r="F466" s="28"/>
      <c r="G466" s="28"/>
      <c r="H466" s="28"/>
      <c r="I466" s="28"/>
      <c r="J466" s="28"/>
      <c r="K466" s="28"/>
      <c r="L466" s="28"/>
      <c r="M466" s="28"/>
    </row>
    <row r="467" spans="1:32" ht="21.95" customHeight="1">
      <c r="B467" s="82"/>
      <c r="C467" s="1487" t="str">
        <f>"§Þa ®iÓm x©y dùng: "&amp;$R$4</f>
        <v>§Þa ®iÓm x©y dùng: P. BẠCH ĐẰNG, TP. HẠ LONG, TỈNH QUẢNG NINH</v>
      </c>
      <c r="D467" s="1487"/>
      <c r="E467" s="1487"/>
      <c r="F467" s="1487"/>
      <c r="G467" s="1487"/>
      <c r="H467" s="1487"/>
      <c r="I467" s="1487"/>
      <c r="J467" s="1487"/>
      <c r="K467" s="1487"/>
      <c r="L467" s="1487"/>
      <c r="M467" s="1487"/>
      <c r="N467" s="1487"/>
    </row>
    <row r="468" spans="1:32" ht="21.95" customHeight="1">
      <c r="B468" s="82"/>
      <c r="C468" s="31"/>
      <c r="D468" s="30"/>
      <c r="E468" s="30"/>
      <c r="F468" s="30"/>
      <c r="G468" s="30"/>
      <c r="H468" s="30"/>
      <c r="I468" s="30"/>
      <c r="J468" s="30"/>
      <c r="K468" s="30"/>
      <c r="L468" s="30"/>
    </row>
    <row r="469" spans="1:32" ht="16.5">
      <c r="A469" s="35"/>
      <c r="B469" s="83" t="s">
        <v>256</v>
      </c>
      <c r="C469" s="84"/>
      <c r="D469" s="84"/>
      <c r="E469" s="84" t="str">
        <f>$R$22</f>
        <v>CÔNG TY CỔ PHẦN ĐẦU TƯ VÀ KHÁCH SẠN MYWAY HẠ LONG</v>
      </c>
      <c r="F469" s="84"/>
      <c r="G469" s="84"/>
      <c r="H469" s="84"/>
      <c r="I469" s="84"/>
      <c r="J469" s="84"/>
      <c r="K469" s="84"/>
      <c r="L469" s="84"/>
      <c r="M469" s="84"/>
      <c r="N469" s="35"/>
    </row>
    <row r="470" spans="1:32" ht="21.95" customHeight="1">
      <c r="A470" s="35"/>
      <c r="B470" s="36"/>
      <c r="C470" s="84"/>
      <c r="D470" s="84"/>
      <c r="E470" s="84" t="s">
        <v>257</v>
      </c>
      <c r="F470" s="84"/>
      <c r="G470" s="84"/>
      <c r="H470" s="84"/>
      <c r="I470" s="84"/>
      <c r="J470" s="84"/>
      <c r="K470" s="84"/>
      <c r="L470" s="84"/>
      <c r="M470" s="84"/>
      <c r="N470" s="35"/>
    </row>
    <row r="471" spans="1:32" ht="21.95" customHeight="1">
      <c r="A471" s="30"/>
      <c r="B471" s="36" t="str">
        <f>"Nhµ thÇu - "&amp;R410&amp;" ®· thi c«ng hoµn thµnh c«ng viÖc x©y dùng cô thÓ nh­ sau:"</f>
        <v>Nhµ thÇu - ..................................... ®· thi c«ng hoµn thµnh c«ng viÖc x©y dùng cô thÓ nh­ sau:</v>
      </c>
      <c r="C471" s="30"/>
      <c r="D471" s="30"/>
      <c r="E471" s="30"/>
      <c r="F471" s="30"/>
      <c r="G471" s="30"/>
      <c r="H471" s="30"/>
      <c r="I471" s="30"/>
      <c r="J471" s="30"/>
      <c r="K471" s="30"/>
      <c r="L471" s="30"/>
      <c r="M471" s="30"/>
      <c r="N471" s="35"/>
      <c r="O471" s="35"/>
      <c r="P471" s="35"/>
    </row>
    <row r="472" spans="1:32" ht="17.25" customHeight="1">
      <c r="A472" s="85" t="s">
        <v>258</v>
      </c>
      <c r="B472" s="86" t="s">
        <v>259</v>
      </c>
      <c r="C472" s="87"/>
      <c r="D472" s="87"/>
      <c r="E472" s="87"/>
      <c r="F472" s="1555" t="str">
        <f>" Lång thÐp cäc: "&amp;$R$12</f>
        <v xml:space="preserve"> Lång thÐp cäc: B1</v>
      </c>
      <c r="G472" s="1555"/>
      <c r="H472" s="1555"/>
      <c r="I472" s="1555"/>
      <c r="J472" s="1555"/>
      <c r="K472" s="1555"/>
      <c r="L472" s="1555"/>
      <c r="M472" s="1555"/>
      <c r="N472" s="1555"/>
      <c r="O472" s="35"/>
      <c r="P472" s="35"/>
    </row>
    <row r="473" spans="1:32" s="35" customFormat="1" ht="19.5" customHeight="1">
      <c r="A473" s="39"/>
      <c r="B473" s="39" t="str">
        <f>"VÞ trÝ x©y dùng: T¹i C«ng tr×nh "&amp;$R$3</f>
        <v>VÞ trÝ x©y dùng: T¹i C«ng tr×nh KHU HỖN HỢP CHUNG CƯ, VĂN PHÒNG, TRUNG TÂM THƯƠNG MẠI VÀ NHÀ Ở KẾT HỢP KHU MUA SẮM</v>
      </c>
      <c r="C473" s="39"/>
      <c r="D473" s="39"/>
      <c r="E473" s="39"/>
      <c r="F473" s="39"/>
      <c r="G473" s="39"/>
      <c r="H473" s="39"/>
      <c r="I473" s="39"/>
      <c r="J473" s="39"/>
      <c r="K473" s="39"/>
      <c r="L473" s="39"/>
      <c r="M473" s="39"/>
      <c r="N473" s="24"/>
      <c r="Q473" s="91"/>
      <c r="R473" s="91"/>
      <c r="S473" s="91"/>
      <c r="T473" s="91"/>
      <c r="U473" s="24"/>
      <c r="V473" s="24"/>
      <c r="W473" s="24"/>
      <c r="X473" s="24"/>
      <c r="Y473" s="24"/>
      <c r="Z473" s="24"/>
      <c r="AA473" s="24"/>
      <c r="AB473" s="24"/>
      <c r="AC473" s="24"/>
      <c r="AD473" s="24"/>
      <c r="AE473" s="24"/>
      <c r="AF473" s="24"/>
    </row>
    <row r="474" spans="1:32" s="35" customFormat="1" ht="15.75" customHeight="1">
      <c r="A474" s="39"/>
      <c r="B474" s="39" t="s">
        <v>202</v>
      </c>
      <c r="C474" s="39"/>
      <c r="D474" s="39"/>
      <c r="E474" s="39" t="str">
        <f>$R$4</f>
        <v>P. BẠCH ĐẰNG, TP. HẠ LONG, TỈNH QUẢNG NINH</v>
      </c>
      <c r="F474" s="39"/>
      <c r="G474" s="39"/>
      <c r="H474" s="39"/>
      <c r="I474" s="39"/>
      <c r="J474" s="39"/>
      <c r="K474" s="39"/>
      <c r="L474" s="39"/>
      <c r="M474" s="39"/>
      <c r="N474" s="24"/>
      <c r="O474" s="88"/>
      <c r="P474" s="88"/>
      <c r="Q474" s="91"/>
      <c r="R474" s="91"/>
      <c r="S474" s="91"/>
      <c r="T474" s="91"/>
      <c r="U474" s="24"/>
      <c r="V474" s="24"/>
      <c r="W474" s="24"/>
      <c r="X474" s="24"/>
      <c r="Y474" s="24"/>
      <c r="Z474" s="24"/>
      <c r="AA474" s="24"/>
      <c r="AB474" s="24"/>
      <c r="AC474" s="24"/>
      <c r="AD474" s="24"/>
      <c r="AE474" s="24"/>
      <c r="AF474" s="24"/>
    </row>
    <row r="475" spans="1:32" s="35" customFormat="1" ht="21.95" customHeight="1">
      <c r="A475" s="89"/>
      <c r="B475" s="39" t="s">
        <v>260</v>
      </c>
      <c r="C475" s="39"/>
      <c r="D475" s="39"/>
      <c r="E475" s="39"/>
      <c r="F475" s="39"/>
      <c r="G475" s="39"/>
      <c r="H475" s="39"/>
      <c r="I475" s="39"/>
      <c r="J475" s="39"/>
      <c r="K475" s="39"/>
      <c r="L475" s="39"/>
      <c r="M475" s="39"/>
      <c r="O475" s="24"/>
      <c r="P475" s="24"/>
      <c r="Q475" s="91"/>
      <c r="R475" s="91"/>
      <c r="S475" s="91"/>
      <c r="T475" s="91"/>
      <c r="U475" s="24"/>
      <c r="V475" s="24"/>
      <c r="W475" s="24"/>
      <c r="X475" s="24"/>
      <c r="Y475" s="24"/>
      <c r="Z475" s="24"/>
      <c r="AA475" s="24"/>
      <c r="AB475" s="24"/>
      <c r="AC475" s="24"/>
      <c r="AD475" s="24"/>
      <c r="AE475" s="24"/>
      <c r="AF475" s="24"/>
    </row>
    <row r="476" spans="1:32" s="35" customFormat="1" ht="21.95" customHeight="1">
      <c r="A476" s="24" t="s">
        <v>261</v>
      </c>
      <c r="B476" s="39"/>
      <c r="C476" s="39"/>
      <c r="D476" s="24"/>
      <c r="E476" s="90" t="str">
        <f>$R$12&amp;"/ Nb-LT/"&amp;$R$14</f>
        <v>B1/ Nb-LT/800</v>
      </c>
      <c r="F476" s="24"/>
      <c r="G476" s="24"/>
      <c r="H476" s="24"/>
      <c r="I476" s="24" t="s">
        <v>262</v>
      </c>
      <c r="J476" s="24"/>
      <c r="K476" s="24"/>
      <c r="L476" s="24"/>
      <c r="M476" s="24"/>
      <c r="N476" s="24"/>
      <c r="O476" s="24"/>
      <c r="P476" s="24"/>
      <c r="Q476" s="91"/>
      <c r="R476" s="91"/>
      <c r="S476" s="91"/>
      <c r="T476" s="91"/>
      <c r="U476" s="24"/>
      <c r="V476" s="24"/>
      <c r="W476" s="24"/>
      <c r="X476" s="24"/>
      <c r="Y476" s="24"/>
      <c r="Z476" s="24"/>
      <c r="AA476" s="24"/>
      <c r="AB476" s="24"/>
      <c r="AC476" s="24"/>
      <c r="AD476" s="24"/>
      <c r="AE476" s="24"/>
      <c r="AF476" s="24"/>
    </row>
    <row r="477" spans="1:32" s="88" customFormat="1" ht="23.25" customHeight="1">
      <c r="A477" s="24" t="s">
        <v>263</v>
      </c>
      <c r="B477" s="39"/>
      <c r="C477" s="39"/>
      <c r="D477" s="24"/>
      <c r="E477" s="24"/>
      <c r="F477" s="24"/>
      <c r="G477" s="24"/>
      <c r="H477" s="24"/>
      <c r="I477" s="24"/>
      <c r="J477" s="24"/>
      <c r="K477" s="24"/>
      <c r="L477" s="24"/>
      <c r="M477" s="24"/>
      <c r="N477" s="24"/>
      <c r="O477" s="35"/>
      <c r="P477" s="35"/>
      <c r="Q477" s="133"/>
      <c r="R477" s="133"/>
      <c r="S477" s="133"/>
      <c r="T477" s="133"/>
      <c r="U477" s="86"/>
      <c r="V477" s="86"/>
      <c r="W477" s="86"/>
      <c r="X477" s="86"/>
      <c r="Y477" s="86"/>
      <c r="Z477" s="86"/>
      <c r="AA477" s="86"/>
      <c r="AB477" s="86"/>
      <c r="AC477" s="86"/>
      <c r="AD477" s="86"/>
      <c r="AE477" s="86"/>
      <c r="AF477" s="86"/>
    </row>
    <row r="478" spans="1:32" s="24" customFormat="1" ht="21.95" customHeight="1">
      <c r="B478" s="39" t="s">
        <v>264</v>
      </c>
      <c r="C478" s="39"/>
      <c r="Q478" s="91"/>
      <c r="R478" s="91"/>
      <c r="S478" s="91"/>
      <c r="T478" s="91"/>
    </row>
    <row r="479" spans="1:32" s="35" customFormat="1" ht="21.95" customHeight="1">
      <c r="A479" s="24" t="s">
        <v>265</v>
      </c>
      <c r="B479" s="39"/>
      <c r="C479" s="39"/>
      <c r="D479" s="24"/>
      <c r="E479" s="24"/>
      <c r="F479" s="24"/>
      <c r="G479" s="24"/>
      <c r="H479" s="24"/>
      <c r="I479" s="24"/>
      <c r="J479" s="24"/>
      <c r="K479" s="24"/>
      <c r="L479" s="24"/>
      <c r="M479" s="24"/>
      <c r="N479" s="24"/>
      <c r="O479" s="24"/>
      <c r="P479" s="24"/>
      <c r="Q479" s="91"/>
      <c r="R479" s="91"/>
      <c r="S479" s="91"/>
      <c r="T479" s="91"/>
      <c r="U479" s="24"/>
      <c r="V479" s="24"/>
      <c r="W479" s="24"/>
      <c r="X479" s="24"/>
      <c r="Y479" s="24"/>
      <c r="Z479" s="24"/>
      <c r="AA479" s="24"/>
      <c r="AB479" s="24"/>
      <c r="AC479" s="24"/>
      <c r="AD479" s="24"/>
      <c r="AE479" s="24"/>
      <c r="AF479" s="24"/>
    </row>
    <row r="480" spans="1:32" s="24" customFormat="1" ht="21.95" customHeight="1">
      <c r="A480" s="24" t="s">
        <v>266</v>
      </c>
      <c r="B480" s="39"/>
      <c r="C480" s="39"/>
      <c r="Q480" s="91"/>
      <c r="R480" s="91"/>
      <c r="S480" s="91"/>
      <c r="T480" s="91"/>
    </row>
    <row r="481" spans="1:32" s="24" customFormat="1" ht="21.95" customHeight="1">
      <c r="A481" s="36"/>
      <c r="B481" s="36" t="s">
        <v>267</v>
      </c>
      <c r="G481" s="1556">
        <f>E517</f>
        <v>0.73958333333333315</v>
      </c>
      <c r="H481" s="1556"/>
      <c r="I481" s="1489">
        <f>F517</f>
        <v>42466</v>
      </c>
      <c r="J481" s="1489"/>
      <c r="K481" s="1489"/>
      <c r="L481" s="1489"/>
      <c r="M481" s="1489"/>
      <c r="N481" s="1489"/>
      <c r="Q481" s="91"/>
      <c r="R481" s="91"/>
      <c r="S481" s="91"/>
      <c r="T481" s="91"/>
    </row>
    <row r="482" spans="1:32" s="24" customFormat="1" ht="21.95" customHeight="1">
      <c r="A482" s="35"/>
      <c r="B482" s="35"/>
      <c r="C482" s="48" t="s">
        <v>268</v>
      </c>
      <c r="E482" s="24" t="str">
        <f>C465</f>
        <v>C«ng tr×nh: KHU HỖN HỢP CHUNG CƯ, VĂN PHÒNG, TRUNG TÂM THƯƠNG MẠI VÀ NHÀ Ở KẾT HỢP KHU MUA SẮM</v>
      </c>
      <c r="F482" s="35"/>
      <c r="G482" s="35"/>
      <c r="J482" s="35"/>
      <c r="K482" s="35"/>
      <c r="L482" s="35"/>
      <c r="M482" s="35"/>
      <c r="N482" s="35"/>
      <c r="Q482" s="91"/>
      <c r="R482" s="91"/>
      <c r="S482" s="91"/>
      <c r="T482" s="91"/>
    </row>
    <row r="483" spans="1:32" s="24" customFormat="1" ht="21.95" customHeight="1">
      <c r="A483" s="35"/>
      <c r="B483" s="35"/>
      <c r="C483" s="48" t="s">
        <v>269</v>
      </c>
      <c r="E483" s="24" t="str">
        <f>E474</f>
        <v>P. BẠCH ĐẰNG, TP. HẠ LONG, TỈNH QUẢNG NINH</v>
      </c>
      <c r="F483" s="35"/>
      <c r="G483" s="35"/>
      <c r="J483" s="35"/>
      <c r="K483" s="35"/>
      <c r="L483" s="35"/>
      <c r="M483" s="35"/>
      <c r="N483" s="35"/>
      <c r="Q483" s="91"/>
      <c r="R483" s="91"/>
      <c r="S483" s="91"/>
      <c r="T483" s="91"/>
    </row>
    <row r="484" spans="1:32" s="24" customFormat="1" ht="21.95" customHeight="1">
      <c r="A484" s="36"/>
      <c r="B484" s="36"/>
      <c r="G484" s="41"/>
      <c r="H484" s="41"/>
      <c r="I484" s="42"/>
      <c r="J484" s="42"/>
      <c r="K484" s="42"/>
      <c r="L484" s="42"/>
      <c r="M484" s="42"/>
      <c r="N484" s="42"/>
      <c r="O484" s="35"/>
      <c r="P484" s="35"/>
      <c r="Q484" s="91"/>
      <c r="R484" s="91"/>
      <c r="S484" s="91"/>
      <c r="T484" s="91"/>
    </row>
    <row r="485" spans="1:32" s="24" customFormat="1" ht="33" customHeight="1">
      <c r="A485" s="1541" t="s">
        <v>191</v>
      </c>
      <c r="B485" s="1542"/>
      <c r="C485" s="1541" t="s">
        <v>270</v>
      </c>
      <c r="D485" s="1543"/>
      <c r="E485" s="1543"/>
      <c r="F485" s="1543"/>
      <c r="G485" s="1542"/>
      <c r="H485" s="92" t="s">
        <v>271</v>
      </c>
      <c r="I485" s="93"/>
      <c r="J485" s="93"/>
      <c r="K485" s="94"/>
      <c r="L485" s="92"/>
      <c r="M485" s="1541" t="s">
        <v>272</v>
      </c>
      <c r="N485" s="1542"/>
      <c r="O485" s="35"/>
      <c r="P485" s="35"/>
      <c r="Q485" s="91"/>
      <c r="R485" s="91"/>
      <c r="S485" s="91"/>
      <c r="T485" s="91"/>
    </row>
    <row r="486" spans="1:32" s="24" customFormat="1" ht="56.25" customHeight="1">
      <c r="A486" s="1544">
        <v>1</v>
      </c>
      <c r="B486" s="1545"/>
      <c r="C486" s="1546" t="s">
        <v>194</v>
      </c>
      <c r="D486" s="1547"/>
      <c r="E486" s="1547"/>
      <c r="F486" s="1547"/>
      <c r="G486" s="1548"/>
      <c r="H486" s="1549">
        <f>E403+Q491</f>
        <v>0.73263888888888873</v>
      </c>
      <c r="I486" s="1550"/>
      <c r="J486" s="1551">
        <f>J461</f>
        <v>42466</v>
      </c>
      <c r="K486" s="1551"/>
      <c r="L486" s="1552"/>
      <c r="M486" s="1544"/>
      <c r="N486" s="1545"/>
      <c r="Q486" s="91"/>
      <c r="R486" s="91"/>
      <c r="S486" s="91"/>
      <c r="T486" s="91"/>
    </row>
    <row r="487" spans="1:32" s="24" customFormat="1" ht="16.5">
      <c r="A487" s="150"/>
      <c r="B487" s="151"/>
      <c r="C487" s="152"/>
      <c r="D487" s="59"/>
      <c r="E487" s="59"/>
      <c r="F487" s="59"/>
      <c r="G487" s="153"/>
      <c r="H487" s="154"/>
      <c r="I487" s="139"/>
      <c r="J487" s="140"/>
      <c r="K487" s="140"/>
      <c r="L487" s="155"/>
      <c r="M487" s="150"/>
      <c r="N487" s="151"/>
      <c r="Q487" s="91"/>
      <c r="R487" s="91"/>
      <c r="S487" s="91"/>
      <c r="T487" s="91"/>
    </row>
    <row r="488" spans="1:32" s="24" customFormat="1" ht="16.5">
      <c r="A488" s="1578"/>
      <c r="B488" s="1579"/>
      <c r="C488" s="1580"/>
      <c r="D488" s="1581"/>
      <c r="E488" s="1581"/>
      <c r="F488" s="1581"/>
      <c r="G488" s="1582"/>
      <c r="H488" s="1574"/>
      <c r="I488" s="1575"/>
      <c r="J488" s="1576"/>
      <c r="K488" s="1576"/>
      <c r="L488" s="1577"/>
      <c r="M488" s="1578"/>
      <c r="N488" s="1579"/>
      <c r="Q488" s="91"/>
      <c r="R488" s="91"/>
      <c r="S488" s="91"/>
      <c r="T488" s="91"/>
    </row>
    <row r="489" spans="1:32" s="24" customFormat="1" ht="39" customHeight="1">
      <c r="A489" s="1538"/>
      <c r="B489" s="1538"/>
      <c r="C489" s="1538"/>
      <c r="D489" s="1538"/>
      <c r="E489" s="1538"/>
      <c r="F489" s="1538"/>
      <c r="G489" s="1538"/>
      <c r="H489" s="1538"/>
      <c r="I489" s="1538" t="s">
        <v>273</v>
      </c>
      <c r="J489" s="1538"/>
      <c r="K489" s="1538"/>
      <c r="L489" s="1538"/>
      <c r="M489" s="1538"/>
      <c r="N489" s="1538"/>
      <c r="Q489" s="91"/>
      <c r="R489" s="91"/>
      <c r="S489" s="91"/>
      <c r="T489" s="91"/>
    </row>
    <row r="490" spans="1:32" s="24" customFormat="1" ht="21.95" customHeight="1">
      <c r="A490" s="66"/>
      <c r="B490" s="1539"/>
      <c r="C490" s="1539"/>
      <c r="D490" s="1539"/>
      <c r="E490" s="1539"/>
      <c r="F490" s="67"/>
      <c r="G490" s="95"/>
      <c r="H490" s="96"/>
      <c r="I490" s="96"/>
      <c r="J490" s="96"/>
      <c r="K490" s="96"/>
      <c r="L490" s="96"/>
      <c r="M490" s="96"/>
      <c r="N490"/>
      <c r="O490" s="35"/>
      <c r="P490" s="35"/>
      <c r="Q490" s="91"/>
      <c r="R490" s="91"/>
      <c r="S490" s="91"/>
      <c r="T490" s="91"/>
    </row>
    <row r="491" spans="1:32" s="89" customFormat="1" ht="21.95" customHeight="1">
      <c r="A491" s="97"/>
      <c r="B491" s="97"/>
      <c r="C491" s="97"/>
      <c r="D491" s="35"/>
      <c r="E491" s="35"/>
      <c r="F491" s="35"/>
      <c r="G491" s="35"/>
      <c r="H491" s="35"/>
      <c r="I491" s="35"/>
      <c r="J491" s="35"/>
      <c r="K491" s="35"/>
      <c r="L491" s="35"/>
      <c r="M491"/>
      <c r="N491"/>
      <c r="O491" s="24"/>
      <c r="P491" s="24"/>
      <c r="Q491" s="134">
        <v>3.472222222222222E-3</v>
      </c>
      <c r="R491" s="135"/>
      <c r="S491" s="135"/>
      <c r="T491" s="135"/>
      <c r="U491" s="36"/>
      <c r="V491" s="36"/>
      <c r="W491" s="36"/>
      <c r="X491" s="36"/>
      <c r="Y491" s="36"/>
      <c r="Z491" s="36"/>
      <c r="AA491" s="36"/>
      <c r="AB491" s="36"/>
      <c r="AC491" s="36"/>
      <c r="AD491" s="36"/>
      <c r="AE491" s="36"/>
      <c r="AF491" s="36"/>
    </row>
    <row r="492" spans="1:32" s="43" customFormat="1" ht="20.25" customHeight="1">
      <c r="A492" s="97"/>
      <c r="B492" s="97"/>
      <c r="C492" s="97"/>
      <c r="D492" s="35"/>
      <c r="E492" s="35"/>
      <c r="F492" s="35"/>
      <c r="G492" s="35"/>
      <c r="H492" s="35"/>
      <c r="I492" s="35"/>
      <c r="J492" s="35"/>
      <c r="K492" s="35"/>
      <c r="L492" s="35"/>
      <c r="M492"/>
      <c r="N492"/>
      <c r="O492"/>
      <c r="P492"/>
      <c r="Q492" s="136"/>
      <c r="R492" s="136"/>
      <c r="S492" s="136"/>
      <c r="T492" s="136"/>
      <c r="U492" s="126"/>
      <c r="V492" s="126"/>
      <c r="W492" s="126"/>
      <c r="X492" s="126"/>
      <c r="Y492" s="126"/>
      <c r="Z492" s="126"/>
      <c r="AA492" s="126"/>
      <c r="AB492" s="126"/>
      <c r="AC492" s="126"/>
      <c r="AD492" s="126"/>
      <c r="AE492" s="126"/>
      <c r="AF492" s="126"/>
    </row>
    <row r="493" spans="1:32" s="24" customFormat="1" ht="18" customHeight="1">
      <c r="A493" s="97"/>
      <c r="B493" s="97"/>
      <c r="C493" s="97"/>
      <c r="D493" s="35"/>
      <c r="E493" s="35"/>
      <c r="F493" s="35"/>
      <c r="G493" s="35"/>
      <c r="H493" s="35"/>
      <c r="I493" s="35"/>
      <c r="J493" s="35"/>
      <c r="K493" s="35"/>
      <c r="L493" s="35"/>
      <c r="M493"/>
      <c r="N493"/>
      <c r="O493"/>
      <c r="P493"/>
      <c r="Q493" s="91"/>
      <c r="R493" s="91"/>
      <c r="S493" s="91"/>
      <c r="T493" s="91"/>
    </row>
    <row r="494" spans="1:32" ht="18">
      <c r="A494" s="97"/>
      <c r="B494" s="97"/>
      <c r="C494" s="97"/>
      <c r="D494" s="35"/>
      <c r="E494" s="35"/>
      <c r="F494" s="35"/>
      <c r="G494" s="35"/>
      <c r="H494" s="35"/>
      <c r="I494" s="35"/>
      <c r="J494" s="35"/>
      <c r="K494" s="35"/>
      <c r="L494" s="35"/>
    </row>
    <row r="495" spans="1:32" ht="16.5">
      <c r="A495" s="1540"/>
      <c r="B495" s="1540"/>
      <c r="C495" s="1540"/>
      <c r="D495" s="1540"/>
      <c r="E495" s="1540"/>
      <c r="F495" s="1540"/>
      <c r="G495" s="1540"/>
      <c r="H495" s="1540"/>
      <c r="I495" s="1540" t="str">
        <f>$E$135</f>
        <v>CÔNG TY TNHH MTV HANTECH</v>
      </c>
      <c r="J495" s="1540"/>
      <c r="K495" s="1540"/>
      <c r="L495" s="1540"/>
      <c r="M495" s="1540"/>
      <c r="N495" s="1540"/>
    </row>
    <row r="496" spans="1:32" ht="18">
      <c r="A496" s="97"/>
      <c r="B496" s="97"/>
      <c r="C496" s="97"/>
      <c r="D496" s="35"/>
      <c r="E496" s="35"/>
      <c r="F496" s="35"/>
      <c r="G496" s="35"/>
      <c r="H496" s="35"/>
      <c r="I496" s="35"/>
      <c r="J496" s="35"/>
      <c r="K496" s="35"/>
      <c r="L496" s="35"/>
    </row>
    <row r="497" spans="1:20" ht="18" customHeight="1">
      <c r="A497" s="1483" t="s">
        <v>199</v>
      </c>
      <c r="B497" s="1483"/>
      <c r="C497" s="1483"/>
      <c r="D497" s="1483"/>
      <c r="E497" s="1483"/>
      <c r="F497" s="1483"/>
      <c r="G497" s="1483"/>
      <c r="H497" s="1483"/>
      <c r="I497" s="1483"/>
      <c r="J497" s="1483"/>
      <c r="K497" s="1483"/>
      <c r="L497" s="1483"/>
      <c r="M497" s="1483"/>
      <c r="N497" s="1483"/>
    </row>
    <row r="498" spans="1:20" ht="15.75">
      <c r="A498" s="1492" t="s">
        <v>200</v>
      </c>
      <c r="B498" s="1492"/>
      <c r="C498" s="1492"/>
      <c r="D498" s="1492"/>
      <c r="E498" s="1492"/>
      <c r="F498" s="1492"/>
      <c r="G498" s="1492"/>
      <c r="H498" s="1492"/>
      <c r="I498" s="1492"/>
      <c r="J498" s="1492"/>
      <c r="K498" s="1492"/>
      <c r="L498" s="1492"/>
      <c r="M498" s="1492"/>
      <c r="N498" s="1492"/>
    </row>
    <row r="499" spans="1:20" ht="14.25">
      <c r="A499" s="1557" t="s">
        <v>274</v>
      </c>
      <c r="B499" s="1557"/>
      <c r="C499" s="1557"/>
      <c r="D499" s="1557"/>
      <c r="E499" s="1557"/>
      <c r="F499" s="1557"/>
      <c r="G499" s="1557"/>
      <c r="H499" s="1557"/>
      <c r="I499" s="1557"/>
      <c r="J499" s="1557"/>
      <c r="K499" s="1557"/>
      <c r="L499" s="1557"/>
      <c r="M499" s="1557"/>
      <c r="N499" s="1557"/>
    </row>
    <row r="500" spans="1:20" ht="16.5">
      <c r="A500" s="18"/>
      <c r="B500" s="18"/>
      <c r="C500" s="18"/>
      <c r="D500" s="18"/>
      <c r="E500" s="18"/>
      <c r="F500" s="18"/>
      <c r="I500" s="19"/>
      <c r="J500" s="1558">
        <f>$U$17</f>
        <v>42466</v>
      </c>
      <c r="K500" s="1558"/>
      <c r="L500" s="1558"/>
      <c r="M500" s="1558"/>
      <c r="N500" s="1558"/>
    </row>
    <row r="501" spans="1:20" ht="17.25" customHeight="1">
      <c r="A501" s="8"/>
    </row>
    <row r="502" spans="1:20" ht="17.25" customHeight="1">
      <c r="A502" s="1493" t="str">
        <f>"Biªn b¶n sè: "&amp;$R$12&amp;"/ CV-LT/"&amp;$R$14</f>
        <v>Biªn b¶n sè: B1/ CV-LT/800</v>
      </c>
      <c r="B502" s="1493"/>
      <c r="C502" s="1493"/>
      <c r="D502" s="1493"/>
      <c r="E502" s="1493"/>
      <c r="F502" s="1493"/>
      <c r="G502" s="1493"/>
      <c r="H502" s="1493"/>
      <c r="I502" s="1493"/>
      <c r="J502" s="1493"/>
      <c r="K502" s="1493"/>
      <c r="L502" s="1493"/>
      <c r="M502" s="1493"/>
      <c r="N502" s="1493"/>
    </row>
    <row r="503" spans="1:20" ht="18">
      <c r="A503" s="1493" t="s">
        <v>275</v>
      </c>
      <c r="B503" s="1493"/>
      <c r="C503" s="1493"/>
      <c r="D503" s="1493"/>
      <c r="E503" s="1493"/>
      <c r="F503" s="1493"/>
      <c r="G503" s="1493"/>
      <c r="H503" s="1493"/>
      <c r="I503" s="1493"/>
      <c r="J503" s="1493"/>
      <c r="K503" s="1493"/>
      <c r="L503" s="1493"/>
      <c r="M503" s="1493"/>
      <c r="N503" s="1493"/>
    </row>
    <row r="504" spans="1:20" ht="17.25" customHeight="1">
      <c r="A504" s="12"/>
      <c r="O504" s="24"/>
      <c r="P504" s="24"/>
    </row>
    <row r="505" spans="1:20" ht="19.5" customHeight="1">
      <c r="B505" s="39"/>
      <c r="C505" s="28" t="str">
        <f>"C«ng tr×nh: "&amp;$R$3</f>
        <v>C«ng tr×nh: KHU HỖN HỢP CHUNG CƯ, VĂN PHÒNG, TRUNG TÂM THƯƠNG MẠI VÀ NHÀ Ở KẾT HỢP KHU MUA SẮM</v>
      </c>
      <c r="D505" s="27"/>
      <c r="E505" s="27"/>
      <c r="F505" s="27"/>
      <c r="G505" s="27"/>
      <c r="H505" s="27"/>
      <c r="I505" s="27"/>
      <c r="J505" s="27"/>
      <c r="K505" s="27"/>
      <c r="L505" s="27"/>
      <c r="O505" s="24"/>
      <c r="P505" s="24"/>
    </row>
    <row r="506" spans="1:20" s="24" customFormat="1" ht="21" customHeight="1">
      <c r="A506"/>
      <c r="B506" s="39"/>
      <c r="C506" s="28" t="str">
        <f>"H¹ng môc: "&amp;$R$5</f>
        <v>H¹ng môc: CỌC KHOAN NHỒI</v>
      </c>
      <c r="D506" s="27"/>
      <c r="E506" s="29"/>
      <c r="F506" s="28"/>
      <c r="G506" s="28"/>
      <c r="H506" s="28"/>
      <c r="I506" s="28"/>
      <c r="J506" s="28"/>
      <c r="K506" s="28"/>
      <c r="L506" s="28"/>
      <c r="M506" s="28"/>
      <c r="N506"/>
      <c r="O506"/>
      <c r="P506"/>
      <c r="Q506" s="91"/>
      <c r="R506" s="91"/>
      <c r="S506" s="91"/>
      <c r="T506" s="91"/>
    </row>
    <row r="507" spans="1:20" s="24" customFormat="1" ht="21" customHeight="1">
      <c r="A507"/>
      <c r="B507" s="36"/>
      <c r="C507" s="1487" t="str">
        <f>"§Þa ®iÓm x©y dùng: "&amp;$R$4</f>
        <v>§Þa ®iÓm x©y dùng: P. BẠCH ĐẰNG, TP. HẠ LONG, TỈNH QUẢNG NINH</v>
      </c>
      <c r="D507" s="1487"/>
      <c r="E507" s="1487"/>
      <c r="F507" s="1487"/>
      <c r="G507" s="1487"/>
      <c r="H507" s="1487"/>
      <c r="I507" s="1487"/>
      <c r="J507" s="1487"/>
      <c r="K507" s="1487"/>
      <c r="L507" s="1487"/>
      <c r="M507" s="1487"/>
      <c r="N507" s="1487"/>
      <c r="O507"/>
      <c r="P507"/>
      <c r="Q507" s="91"/>
      <c r="R507" s="91"/>
      <c r="S507" s="91"/>
      <c r="T507" s="91"/>
    </row>
    <row r="508" spans="1:20" ht="16.5">
      <c r="A508" s="30" t="str">
        <f>A393</f>
        <v>1.§èi t­îng nghiÖm thu: Lång thÐp cäc: B1</v>
      </c>
      <c r="B508" s="30"/>
      <c r="C508" s="30"/>
      <c r="D508" s="30"/>
      <c r="E508" s="30"/>
      <c r="F508" s="30"/>
      <c r="H508" s="30"/>
      <c r="I508" s="30"/>
      <c r="J508" s="30"/>
      <c r="K508" s="30"/>
      <c r="L508" s="30"/>
    </row>
    <row r="509" spans="1:20" ht="21.95" customHeight="1">
      <c r="A509" s="1488" t="s">
        <v>207</v>
      </c>
      <c r="B509" s="1488"/>
      <c r="C509" s="1488"/>
      <c r="D509" s="1488"/>
      <c r="E509" s="1488"/>
      <c r="F509" s="1488"/>
      <c r="G509" s="1488"/>
      <c r="H509" s="1488"/>
      <c r="I509" s="1488"/>
      <c r="J509" s="1488"/>
      <c r="K509" s="1488"/>
      <c r="L509" s="1488"/>
    </row>
    <row r="510" spans="1:20" ht="16.5" customHeight="1">
      <c r="A510" s="99" t="s">
        <v>277</v>
      </c>
      <c r="B510" s="36"/>
      <c r="C510" s="36"/>
      <c r="D510" s="36"/>
      <c r="E510" s="36"/>
      <c r="F510" s="30" t="str">
        <f>R407</f>
        <v>………………..</v>
      </c>
      <c r="G510" s="36"/>
      <c r="H510" s="36"/>
      <c r="I510" s="36"/>
      <c r="J510" s="36"/>
      <c r="K510" s="36"/>
      <c r="L510" s="36"/>
      <c r="M510" s="36"/>
    </row>
    <row r="511" spans="1:20" ht="21.95" customHeight="1">
      <c r="A511" s="35"/>
      <c r="C511" s="34" t="s">
        <v>276</v>
      </c>
      <c r="D511" s="34"/>
      <c r="E511" s="36" t="str">
        <f>$R$26</f>
        <v>CÔNG TY CỔ PHẦN TƯ VẤN KIỂM ĐỊNH VÀ THƯƠNG MẠI XÂY DỰNG GOLDSUN</v>
      </c>
      <c r="F511" s="36"/>
      <c r="G511" s="35"/>
      <c r="I511" s="37" t="s">
        <v>211</v>
      </c>
      <c r="J511" s="37"/>
      <c r="K511" s="36" t="str">
        <f>$T$26</f>
        <v>Công ty Cổ phần tư vấn kiểm định và thương mại xây dựng Goldsun</v>
      </c>
      <c r="L511" s="35"/>
    </row>
    <row r="512" spans="1:20" ht="22.5" customHeight="1">
      <c r="A512" s="35"/>
      <c r="C512" s="34" t="s">
        <v>276</v>
      </c>
      <c r="D512" s="34"/>
      <c r="E512" s="36" t="str">
        <f>$R$27</f>
        <v>.....................................</v>
      </c>
      <c r="F512" s="36"/>
      <c r="G512" s="35"/>
      <c r="I512" s="37" t="s">
        <v>211</v>
      </c>
      <c r="J512" s="37"/>
      <c r="K512" s="36" t="str">
        <f>$T$27</f>
        <v>.....................................</v>
      </c>
      <c r="L512" s="35"/>
    </row>
    <row r="513" spans="1:249" ht="16.5" customHeight="1">
      <c r="A513" s="100" t="s">
        <v>278</v>
      </c>
      <c r="B513" s="100"/>
      <c r="C513" s="100"/>
      <c r="D513" s="100"/>
      <c r="E513" s="100"/>
      <c r="F513" s="100" t="str">
        <f>$R$28</f>
        <v>.....................................</v>
      </c>
      <c r="G513" s="100"/>
      <c r="H513" s="100"/>
      <c r="I513" s="100"/>
      <c r="J513" s="100"/>
      <c r="K513" s="100"/>
      <c r="L513" s="100"/>
      <c r="M513" s="100"/>
      <c r="N513" s="100"/>
    </row>
    <row r="514" spans="1:249" ht="16.5" customHeight="1">
      <c r="A514" s="35"/>
      <c r="C514" s="34" t="s">
        <v>279</v>
      </c>
      <c r="D514" s="34"/>
      <c r="E514" s="36" t="str">
        <f>$R$29</f>
        <v>.....................................</v>
      </c>
      <c r="F514" s="36"/>
      <c r="G514" s="35"/>
      <c r="I514" s="37" t="s">
        <v>280</v>
      </c>
      <c r="J514" s="37"/>
      <c r="K514" s="36" t="str">
        <f>$T$29</f>
        <v>.....................................</v>
      </c>
      <c r="L514" s="36"/>
    </row>
    <row r="515" spans="1:249" ht="21.95" customHeight="1">
      <c r="A515" s="35"/>
      <c r="C515" s="34" t="s">
        <v>276</v>
      </c>
      <c r="D515" s="34"/>
      <c r="E515" s="36" t="str">
        <f>$R$30</f>
        <v>CÔNG TY TNHH MTV HANTECH</v>
      </c>
      <c r="F515" s="36"/>
      <c r="G515" s="35"/>
      <c r="I515" s="37" t="s">
        <v>211</v>
      </c>
      <c r="J515" s="37"/>
      <c r="K515" s="36" t="str">
        <f>$T$30</f>
        <v>Công ty TNHH MTV HANTECH</v>
      </c>
      <c r="L515" s="36"/>
    </row>
    <row r="516" spans="1:249" ht="21.95" customHeight="1">
      <c r="A516" s="1488" t="s">
        <v>217</v>
      </c>
      <c r="B516" s="1488"/>
      <c r="C516" s="1488"/>
      <c r="D516" s="1488"/>
      <c r="E516" s="1488"/>
      <c r="F516" s="1488"/>
      <c r="G516" s="1488"/>
      <c r="H516" s="1488"/>
      <c r="I516" s="1488"/>
      <c r="J516" s="1488"/>
      <c r="K516" s="1488"/>
      <c r="L516" s="1488"/>
    </row>
    <row r="517" spans="1:249" ht="21.95" customHeight="1">
      <c r="A517" s="40"/>
      <c r="C517" s="24" t="s">
        <v>219</v>
      </c>
      <c r="D517" s="24"/>
      <c r="E517" s="101">
        <f>$R$17</f>
        <v>0.73958333333333315</v>
      </c>
      <c r="F517" s="1489">
        <f>J500</f>
        <v>42466</v>
      </c>
      <c r="G517" s="1489"/>
      <c r="H517" s="1489"/>
      <c r="I517" s="1489"/>
      <c r="J517" s="1489"/>
      <c r="K517" s="1489"/>
      <c r="L517" s="1489"/>
      <c r="M517" s="24"/>
      <c r="N517" s="24"/>
    </row>
    <row r="518" spans="1:249" ht="21.95" customHeight="1">
      <c r="A518" s="40"/>
      <c r="C518" s="24" t="s">
        <v>162</v>
      </c>
      <c r="D518" s="24"/>
      <c r="E518" s="101">
        <f>$T$17</f>
        <v>0.74999999999999978</v>
      </c>
      <c r="F518" s="1489">
        <f>F517</f>
        <v>42466</v>
      </c>
      <c r="G518" s="1489"/>
      <c r="H518" s="1489"/>
      <c r="I518" s="1489"/>
      <c r="J518" s="1489"/>
      <c r="K518" s="1489"/>
      <c r="L518" s="1489"/>
    </row>
    <row r="519" spans="1:249" ht="24" customHeight="1">
      <c r="C519" s="36" t="s">
        <v>220</v>
      </c>
      <c r="E519" s="36" t="str">
        <f>$R$3</f>
        <v>KHU HỖN HỢP CHUNG CƯ, VĂN PHÒNG, TRUNG TÂM THƯƠNG MẠI VÀ NHÀ Ở KẾT HỢP KHU MUA SẮM</v>
      </c>
      <c r="F519" s="30"/>
      <c r="G519" s="30"/>
      <c r="H519" s="30"/>
      <c r="I519" s="30"/>
      <c r="J519" s="30"/>
      <c r="K519" s="30"/>
      <c r="L519" s="30"/>
    </row>
    <row r="520" spans="1:249" ht="21.95" customHeight="1">
      <c r="C520" s="36" t="s">
        <v>221</v>
      </c>
      <c r="E520" s="36" t="str">
        <f>$R$4</f>
        <v>P. BẠCH ĐẰNG, TP. HẠ LONG, TỈNH QUẢNG NINH</v>
      </c>
      <c r="F520" s="30"/>
      <c r="G520" s="30"/>
      <c r="H520" s="30"/>
      <c r="I520" s="30"/>
      <c r="J520" s="30"/>
      <c r="K520" s="30"/>
      <c r="L520" s="30"/>
    </row>
    <row r="521" spans="1:249" ht="30.75" customHeight="1">
      <c r="A521" s="1488" t="s">
        <v>222</v>
      </c>
      <c r="B521" s="1488"/>
      <c r="C521" s="1488"/>
      <c r="D521" s="1488"/>
      <c r="E521" s="1488"/>
      <c r="F521" s="1488"/>
      <c r="G521" s="1488"/>
      <c r="H521" s="1488"/>
      <c r="I521" s="1488"/>
      <c r="J521" s="1488"/>
      <c r="K521" s="1488"/>
      <c r="L521" s="1488"/>
    </row>
    <row r="522" spans="1:249" ht="33.75" customHeight="1">
      <c r="A522" s="1491" t="s">
        <v>223</v>
      </c>
      <c r="B522" s="1491"/>
      <c r="C522" s="1491"/>
      <c r="D522" s="1491"/>
      <c r="E522" s="1491"/>
      <c r="F522" s="1491"/>
      <c r="G522" s="1491"/>
      <c r="H522" s="1491"/>
      <c r="I522" s="1491"/>
      <c r="J522" s="1491"/>
      <c r="K522" s="1491"/>
      <c r="L522" s="1491"/>
      <c r="M522" s="1491"/>
      <c r="N522" s="1491"/>
    </row>
    <row r="523" spans="1:249" ht="16.5">
      <c r="A523" s="1490" t="s">
        <v>224</v>
      </c>
      <c r="B523" s="1490"/>
      <c r="C523" s="1490"/>
      <c r="D523" s="1490"/>
      <c r="E523" s="1490"/>
      <c r="F523" s="1490"/>
      <c r="G523" s="1490"/>
      <c r="H523" s="1490"/>
      <c r="I523" s="1490"/>
      <c r="J523" s="1490"/>
      <c r="K523" s="1490"/>
      <c r="L523" s="1490"/>
      <c r="M523" s="1490"/>
      <c r="N523" s="1490"/>
      <c r="O523" s="5"/>
      <c r="P523" s="5"/>
    </row>
    <row r="524" spans="1:249" ht="21.95" customHeight="1">
      <c r="A524" s="5"/>
      <c r="B524" s="36" t="s">
        <v>226</v>
      </c>
      <c r="C524" s="36"/>
      <c r="D524" s="36"/>
      <c r="E524" s="36"/>
      <c r="F524" s="36"/>
      <c r="G524" s="36"/>
      <c r="H524" s="36"/>
      <c r="I524" s="36"/>
      <c r="J524" s="36"/>
      <c r="K524" s="36"/>
      <c r="L524" s="36"/>
      <c r="M524" s="36"/>
      <c r="N524" s="36"/>
      <c r="O524" s="5"/>
      <c r="P524" s="5"/>
    </row>
    <row r="525" spans="1:249" s="5" customFormat="1" ht="16.5">
      <c r="B525" s="36" t="s">
        <v>227</v>
      </c>
      <c r="C525" s="36"/>
      <c r="D525" s="36"/>
      <c r="E525" s="36"/>
      <c r="F525" s="36"/>
      <c r="G525" s="36"/>
      <c r="H525" s="36"/>
      <c r="I525" s="36"/>
      <c r="J525" s="36"/>
      <c r="K525" s="36"/>
      <c r="L525" s="36"/>
      <c r="M525" s="36"/>
      <c r="N525" s="36"/>
      <c r="O525" s="44"/>
      <c r="P525" s="44"/>
      <c r="Q525" s="129"/>
      <c r="R525" s="129"/>
      <c r="S525" s="129"/>
      <c r="T525" s="129"/>
      <c r="U525" s="127"/>
      <c r="V525" s="127"/>
      <c r="W525" s="127"/>
      <c r="X525" s="127"/>
      <c r="Y525" s="127"/>
      <c r="Z525" s="127"/>
      <c r="AA525" s="127"/>
      <c r="AB525" s="127"/>
      <c r="AC525" s="127"/>
      <c r="AD525" s="127"/>
      <c r="AE525" s="127"/>
      <c r="AF525" s="127"/>
    </row>
    <row r="526" spans="1:249" s="5" customFormat="1" ht="21.95" customHeight="1">
      <c r="B526" s="36" t="s">
        <v>228</v>
      </c>
      <c r="C526" s="36"/>
      <c r="D526" s="36"/>
      <c r="E526" s="36"/>
      <c r="F526" s="36"/>
      <c r="G526" s="36"/>
      <c r="H526" s="36"/>
      <c r="I526" s="36"/>
      <c r="J526" s="36"/>
      <c r="K526" s="36"/>
      <c r="L526" s="36"/>
      <c r="M526" s="36"/>
      <c r="N526" s="36"/>
      <c r="O526" s="44"/>
      <c r="P526" s="44"/>
      <c r="Q526" s="129"/>
      <c r="R526" s="129"/>
      <c r="S526" s="129"/>
      <c r="T526" s="129"/>
      <c r="U526" s="127"/>
      <c r="V526" s="127"/>
      <c r="W526" s="127"/>
      <c r="X526" s="127"/>
      <c r="Y526" s="127"/>
      <c r="Z526" s="127"/>
      <c r="AA526" s="127"/>
      <c r="AB526" s="127"/>
      <c r="AC526" s="127"/>
      <c r="AD526" s="127"/>
      <c r="AE526" s="127"/>
      <c r="AF526" s="127"/>
    </row>
    <row r="527" spans="1:249" s="5" customFormat="1" ht="24" customHeight="1">
      <c r="B527" s="36" t="s">
        <v>290</v>
      </c>
      <c r="C527" s="36"/>
      <c r="D527" s="36"/>
      <c r="E527" s="36"/>
      <c r="F527" s="36"/>
      <c r="G527" s="36"/>
      <c r="H527" s="36"/>
      <c r="I527" s="36"/>
      <c r="J527" s="36"/>
      <c r="K527" s="36"/>
      <c r="L527" s="36"/>
      <c r="M527" s="36"/>
      <c r="N527" s="36"/>
      <c r="O527" s="44"/>
      <c r="P527" s="44"/>
      <c r="Q527" s="44"/>
      <c r="R527" s="44"/>
      <c r="S527" s="44"/>
      <c r="T527" s="44"/>
      <c r="U527" s="44"/>
      <c r="V527" s="44"/>
      <c r="W527" s="44"/>
      <c r="X527" s="44"/>
      <c r="Y527" s="44"/>
      <c r="Z527" s="44"/>
      <c r="AA527" s="44"/>
      <c r="AB527" s="44"/>
      <c r="AC527" s="44"/>
      <c r="AD527" s="1490"/>
      <c r="AE527" s="1490"/>
      <c r="AF527" s="1490"/>
      <c r="AG527" s="1490"/>
      <c r="AH527" s="1490"/>
      <c r="AI527" s="1490"/>
      <c r="AJ527" s="1490"/>
      <c r="AK527" s="1490"/>
      <c r="AL527" s="1490"/>
      <c r="AM527" s="1490"/>
      <c r="AN527" s="1490"/>
      <c r="AO527" s="1490"/>
      <c r="AP527" s="1490"/>
      <c r="AQ527" s="1490"/>
      <c r="AR527" s="1490"/>
      <c r="AS527" s="1490"/>
      <c r="AT527" s="1490"/>
      <c r="AU527" s="1490"/>
      <c r="AV527" s="1490"/>
      <c r="AW527" s="1490"/>
      <c r="AX527" s="1490"/>
      <c r="AY527" s="1490"/>
      <c r="AZ527" s="1490"/>
      <c r="BA527" s="1490"/>
      <c r="BB527" s="1490"/>
      <c r="BC527" s="1490"/>
      <c r="BD527" s="1490"/>
      <c r="BE527" s="1490"/>
      <c r="BF527" s="1490"/>
      <c r="BG527" s="1490"/>
      <c r="BH527" s="1490"/>
      <c r="BI527" s="1490"/>
      <c r="BJ527" s="1490"/>
      <c r="BK527" s="1490"/>
      <c r="BL527" s="1490"/>
      <c r="BM527" s="1490"/>
      <c r="BN527" s="1490"/>
      <c r="BO527" s="1490"/>
      <c r="BP527" s="1490"/>
      <c r="BQ527" s="1490"/>
      <c r="BR527" s="1490"/>
      <c r="BS527" s="1490"/>
      <c r="BT527" s="1490"/>
      <c r="BU527" s="1490"/>
      <c r="BV527" s="1490"/>
      <c r="BW527" s="1490"/>
      <c r="BX527" s="1490"/>
      <c r="BY527" s="1490"/>
      <c r="BZ527" s="1490"/>
      <c r="CA527" s="1490"/>
      <c r="CB527" s="1490"/>
      <c r="CC527" s="1490"/>
      <c r="CD527" s="1490"/>
      <c r="CE527" s="1490"/>
      <c r="CF527" s="1490"/>
      <c r="CG527" s="1490"/>
      <c r="CH527" s="1490"/>
      <c r="CI527" s="1490"/>
      <c r="CJ527" s="1490"/>
      <c r="CK527" s="1490"/>
      <c r="CL527" s="1490"/>
      <c r="CM527" s="1490"/>
      <c r="CN527" s="1490"/>
      <c r="CO527" s="1490"/>
      <c r="CP527" s="1490"/>
      <c r="CQ527" s="1490"/>
      <c r="CR527" s="1490"/>
      <c r="CS527" s="1490"/>
      <c r="CT527" s="1490"/>
      <c r="CU527" s="1490"/>
      <c r="CV527" s="1490"/>
      <c r="CW527" s="1490"/>
      <c r="CX527" s="1490"/>
      <c r="CY527" s="1490"/>
      <c r="CZ527" s="1490"/>
      <c r="DA527" s="1490"/>
      <c r="DB527" s="1490"/>
      <c r="DC527" s="1490"/>
      <c r="DD527" s="1490"/>
      <c r="DE527" s="1490"/>
      <c r="DF527" s="1490"/>
      <c r="DG527" s="1490"/>
      <c r="DH527" s="1490"/>
      <c r="DI527" s="1490"/>
      <c r="DJ527" s="1490"/>
      <c r="DK527" s="1490"/>
      <c r="DL527" s="1490"/>
      <c r="DM527" s="1490"/>
      <c r="DN527" s="1490"/>
      <c r="DO527" s="1490"/>
      <c r="DP527" s="1490"/>
      <c r="DQ527" s="1490"/>
      <c r="DR527" s="1490"/>
      <c r="DS527" s="1490"/>
      <c r="DT527" s="1490"/>
      <c r="DU527" s="1490"/>
      <c r="DV527" s="1490"/>
      <c r="DW527" s="1490"/>
      <c r="DX527" s="1490"/>
      <c r="DY527" s="1490"/>
      <c r="DZ527" s="1490"/>
      <c r="EA527" s="1490"/>
      <c r="EB527" s="1490"/>
      <c r="EC527" s="1490"/>
      <c r="ED527" s="1490"/>
      <c r="EE527" s="1490"/>
      <c r="EF527" s="1490"/>
      <c r="EG527" s="1490"/>
      <c r="EH527" s="1490"/>
      <c r="EI527" s="1490"/>
      <c r="EJ527" s="1490"/>
      <c r="EK527" s="1490"/>
      <c r="EL527" s="1490"/>
      <c r="EM527" s="1490"/>
      <c r="EN527" s="1490"/>
      <c r="EO527" s="1490"/>
      <c r="EP527" s="1490"/>
      <c r="EQ527" s="1490"/>
      <c r="ER527" s="1490"/>
      <c r="ES527" s="1490"/>
      <c r="ET527" s="1490"/>
      <c r="EU527" s="1490"/>
      <c r="EV527" s="1490"/>
      <c r="EW527" s="1490"/>
      <c r="EX527" s="1490"/>
      <c r="EY527" s="1490"/>
      <c r="EZ527" s="1490"/>
      <c r="FA527" s="1490"/>
      <c r="FB527" s="1490"/>
      <c r="FC527" s="1490"/>
      <c r="FD527" s="1490"/>
      <c r="FE527" s="1490"/>
      <c r="FF527" s="1490"/>
      <c r="FG527" s="1490"/>
      <c r="FH527" s="1490"/>
      <c r="FI527" s="1490"/>
      <c r="FJ527" s="1490"/>
      <c r="FK527" s="1490"/>
      <c r="FL527" s="1490"/>
      <c r="FM527" s="1490"/>
      <c r="FN527" s="1490"/>
      <c r="FO527" s="1490"/>
      <c r="FP527" s="1490"/>
      <c r="FQ527" s="1490"/>
      <c r="FR527" s="1490"/>
      <c r="FS527" s="1490"/>
      <c r="FT527" s="1490"/>
      <c r="FU527" s="1490"/>
      <c r="FV527" s="1490"/>
      <c r="FW527" s="1490"/>
      <c r="FX527" s="1490"/>
      <c r="FY527" s="1490"/>
      <c r="FZ527" s="1490"/>
      <c r="GA527" s="1490"/>
      <c r="GB527" s="1490"/>
      <c r="GC527" s="1490"/>
      <c r="GD527" s="1490"/>
      <c r="GE527" s="1490"/>
      <c r="GF527" s="1490"/>
      <c r="GG527" s="1490"/>
      <c r="GH527" s="1490"/>
      <c r="GI527" s="1490"/>
      <c r="GJ527" s="1490"/>
      <c r="GK527" s="1490"/>
      <c r="GL527" s="1490"/>
      <c r="GM527" s="1490"/>
      <c r="GN527" s="1490"/>
      <c r="GO527" s="1490"/>
      <c r="GP527" s="1490"/>
      <c r="GQ527" s="1490"/>
      <c r="GR527" s="1490"/>
      <c r="GS527" s="1490"/>
      <c r="GT527" s="1490"/>
      <c r="GU527" s="1490"/>
      <c r="GV527" s="1490"/>
      <c r="GW527" s="1490"/>
      <c r="GX527" s="1490"/>
      <c r="GY527" s="1490"/>
      <c r="GZ527" s="1490"/>
      <c r="HA527" s="1490"/>
      <c r="HB527" s="1490"/>
      <c r="HC527" s="1490"/>
      <c r="HD527" s="1490"/>
      <c r="HE527" s="1490"/>
      <c r="HF527" s="1490"/>
      <c r="HG527" s="1490"/>
      <c r="HH527" s="1490"/>
      <c r="HI527" s="1490"/>
      <c r="HJ527" s="1490"/>
      <c r="HK527" s="1490"/>
      <c r="HL527" s="1490"/>
      <c r="HM527" s="1490"/>
      <c r="HN527" s="1490"/>
      <c r="HO527" s="1490"/>
      <c r="HP527" s="1490"/>
      <c r="HQ527" s="1490"/>
      <c r="HR527" s="1490"/>
      <c r="HS527" s="1490"/>
      <c r="HT527" s="1490"/>
      <c r="HU527" s="1490"/>
      <c r="HV527" s="1490"/>
      <c r="HW527" s="1490"/>
      <c r="HX527" s="1490"/>
      <c r="HY527" s="1490"/>
      <c r="HZ527" s="1490"/>
      <c r="IA527" s="1490"/>
      <c r="IB527" s="1490"/>
      <c r="IC527" s="1490"/>
      <c r="ID527" s="1490"/>
      <c r="IE527" s="1490"/>
      <c r="IF527" s="1490"/>
      <c r="IG527" s="1490"/>
      <c r="IH527" s="1490"/>
      <c r="II527" s="1490"/>
      <c r="IJ527" s="1490"/>
      <c r="IK527" s="1490"/>
      <c r="IL527" s="1490"/>
      <c r="IM527" s="1490"/>
      <c r="IN527" s="1490"/>
      <c r="IO527" s="44"/>
    </row>
    <row r="528" spans="1:249" s="5" customFormat="1" ht="24" customHeight="1">
      <c r="A528" s="45"/>
      <c r="B528" s="46" t="s">
        <v>229</v>
      </c>
      <c r="C528" s="46"/>
      <c r="D528" s="46"/>
      <c r="E528" s="46"/>
      <c r="F528" s="46"/>
      <c r="G528" s="46"/>
      <c r="H528" s="46"/>
      <c r="I528" s="46"/>
      <c r="J528" s="46"/>
      <c r="K528" s="46"/>
      <c r="L528" s="46"/>
      <c r="M528" s="46"/>
      <c r="N528" s="46"/>
      <c r="O528" s="47"/>
      <c r="P528" s="47"/>
      <c r="Q528" s="44"/>
      <c r="R528" s="44"/>
      <c r="S528" s="44"/>
      <c r="T528" s="44"/>
      <c r="U528" s="44"/>
      <c r="V528" s="44"/>
      <c r="W528" s="44"/>
      <c r="X528" s="44"/>
      <c r="Y528" s="44"/>
      <c r="Z528" s="44"/>
      <c r="AA528" s="44"/>
      <c r="AB528" s="44"/>
      <c r="AC528" s="44"/>
      <c r="AD528" s="1490"/>
      <c r="AE528" s="1490"/>
      <c r="AF528" s="1490"/>
      <c r="AG528" s="1490"/>
      <c r="AH528" s="1490"/>
      <c r="AI528" s="1490"/>
      <c r="AJ528" s="1490"/>
      <c r="AK528" s="1490"/>
      <c r="AL528" s="1490"/>
      <c r="AM528" s="1490"/>
      <c r="AN528" s="1490"/>
      <c r="AO528" s="1490"/>
      <c r="AP528" s="1490"/>
      <c r="AQ528" s="1490"/>
      <c r="AR528" s="1490"/>
      <c r="AS528" s="1490"/>
      <c r="AT528" s="1490"/>
      <c r="AU528" s="1490"/>
      <c r="AV528" s="1490"/>
      <c r="AW528" s="1490"/>
      <c r="AX528" s="1490"/>
      <c r="AY528" s="1490"/>
      <c r="AZ528" s="1490"/>
      <c r="BA528" s="1490"/>
      <c r="BB528" s="1490"/>
      <c r="BC528" s="1490"/>
      <c r="BD528" s="1490"/>
      <c r="BE528" s="1490"/>
      <c r="BF528" s="1490"/>
      <c r="BG528" s="1490"/>
      <c r="BH528" s="1490"/>
      <c r="BI528" s="1490"/>
      <c r="BJ528" s="1490"/>
      <c r="BK528" s="1490"/>
      <c r="BL528" s="1490"/>
      <c r="BM528" s="1490"/>
      <c r="BN528" s="1490"/>
      <c r="BO528" s="1490"/>
      <c r="BP528" s="1490"/>
      <c r="BQ528" s="1490"/>
      <c r="BR528" s="1490"/>
      <c r="BS528" s="1490"/>
      <c r="BT528" s="1490"/>
      <c r="BU528" s="1490"/>
      <c r="BV528" s="1490"/>
      <c r="BW528" s="1490"/>
      <c r="BX528" s="1490"/>
      <c r="BY528" s="1490"/>
      <c r="BZ528" s="1490"/>
      <c r="CA528" s="1490"/>
      <c r="CB528" s="1490"/>
      <c r="CC528" s="1490"/>
      <c r="CD528" s="1490"/>
      <c r="CE528" s="1490"/>
      <c r="CF528" s="1490"/>
      <c r="CG528" s="1490"/>
      <c r="CH528" s="1490"/>
      <c r="CI528" s="1490"/>
      <c r="CJ528" s="1490"/>
      <c r="CK528" s="1490"/>
      <c r="CL528" s="1490"/>
      <c r="CM528" s="1490"/>
      <c r="CN528" s="1490"/>
      <c r="CO528" s="1490"/>
      <c r="CP528" s="1490"/>
      <c r="CQ528" s="1490"/>
      <c r="CR528" s="1490"/>
      <c r="CS528" s="1490"/>
      <c r="CT528" s="1490"/>
      <c r="CU528" s="1490"/>
      <c r="CV528" s="1490"/>
      <c r="CW528" s="1490"/>
      <c r="CX528" s="1490"/>
      <c r="CY528" s="1490"/>
      <c r="CZ528" s="1490"/>
      <c r="DA528" s="1490"/>
      <c r="DB528" s="1490"/>
      <c r="DC528" s="1490"/>
      <c r="DD528" s="1490"/>
      <c r="DE528" s="1490"/>
      <c r="DF528" s="1490"/>
      <c r="DG528" s="1490"/>
      <c r="DH528" s="1490"/>
      <c r="DI528" s="1490"/>
      <c r="DJ528" s="1490"/>
      <c r="DK528" s="1490"/>
      <c r="DL528" s="1490"/>
      <c r="DM528" s="1490"/>
      <c r="DN528" s="1490"/>
      <c r="DO528" s="1490"/>
      <c r="DP528" s="1490"/>
      <c r="DQ528" s="1490"/>
      <c r="DR528" s="1490"/>
      <c r="DS528" s="1490"/>
      <c r="DT528" s="1490"/>
      <c r="DU528" s="1490"/>
      <c r="DV528" s="1490"/>
      <c r="DW528" s="1490"/>
      <c r="DX528" s="1490"/>
      <c r="DY528" s="1490"/>
      <c r="DZ528" s="1490"/>
      <c r="EA528" s="1490"/>
      <c r="EB528" s="1490"/>
      <c r="EC528" s="1490"/>
      <c r="ED528" s="1490"/>
      <c r="EE528" s="1490"/>
      <c r="EF528" s="1490"/>
      <c r="EG528" s="1490"/>
      <c r="EH528" s="1490"/>
      <c r="EI528" s="1490"/>
      <c r="EJ528" s="1490"/>
      <c r="EK528" s="1490"/>
      <c r="EL528" s="1490"/>
      <c r="EM528" s="1490"/>
      <c r="EN528" s="1490"/>
      <c r="EO528" s="1490"/>
      <c r="EP528" s="1490"/>
      <c r="EQ528" s="1490"/>
      <c r="ER528" s="1490"/>
      <c r="ES528" s="1490"/>
      <c r="ET528" s="1490"/>
      <c r="EU528" s="1490"/>
      <c r="EV528" s="1490"/>
      <c r="EW528" s="1490"/>
      <c r="EX528" s="1490"/>
      <c r="EY528" s="1490"/>
      <c r="EZ528" s="1490"/>
      <c r="FA528" s="1490"/>
      <c r="FB528" s="1490"/>
      <c r="FC528" s="1490"/>
      <c r="FD528" s="1490"/>
      <c r="FE528" s="1490"/>
      <c r="FF528" s="1490"/>
      <c r="FG528" s="1490"/>
      <c r="FH528" s="1490"/>
      <c r="FI528" s="1490"/>
      <c r="FJ528" s="1490"/>
      <c r="FK528" s="1490"/>
      <c r="FL528" s="1490"/>
      <c r="FM528" s="1490"/>
      <c r="FN528" s="1490"/>
      <c r="FO528" s="1490"/>
      <c r="FP528" s="1490"/>
      <c r="FQ528" s="1490"/>
      <c r="FR528" s="1490"/>
      <c r="FS528" s="1490"/>
      <c r="FT528" s="1490"/>
      <c r="FU528" s="1490"/>
      <c r="FV528" s="1490"/>
      <c r="FW528" s="1490"/>
      <c r="FX528" s="1490"/>
      <c r="FY528" s="1490"/>
      <c r="FZ528" s="1490"/>
      <c r="GA528" s="1490"/>
      <c r="GB528" s="1490"/>
      <c r="GC528" s="1490"/>
      <c r="GD528" s="1490"/>
      <c r="GE528" s="1490"/>
      <c r="GF528" s="1490"/>
      <c r="GG528" s="1490"/>
      <c r="GH528" s="1490"/>
      <c r="GI528" s="1490"/>
      <c r="GJ528" s="1490"/>
      <c r="GK528" s="1490"/>
      <c r="GL528" s="1490"/>
      <c r="GM528" s="1490"/>
      <c r="GN528" s="1490"/>
      <c r="GO528" s="1490"/>
      <c r="GP528" s="1490"/>
      <c r="GQ528" s="1490"/>
      <c r="GR528" s="1490"/>
      <c r="GS528" s="1490"/>
      <c r="GT528" s="1490"/>
      <c r="GU528" s="1490"/>
      <c r="GV528" s="1490"/>
      <c r="GW528" s="1490"/>
      <c r="GX528" s="1490"/>
      <c r="GY528" s="1490"/>
      <c r="GZ528" s="1490"/>
      <c r="HA528" s="1490"/>
      <c r="HB528" s="1490"/>
      <c r="HC528" s="1490"/>
      <c r="HD528" s="1490"/>
      <c r="HE528" s="1490"/>
      <c r="HF528" s="1490"/>
      <c r="HG528" s="1490"/>
      <c r="HH528" s="1490"/>
      <c r="HI528" s="1490"/>
      <c r="HJ528" s="1490"/>
      <c r="HK528" s="1490"/>
      <c r="HL528" s="1490"/>
      <c r="HM528" s="1490"/>
      <c r="HN528" s="1490"/>
      <c r="HO528" s="1490"/>
      <c r="HP528" s="1490"/>
      <c r="HQ528" s="1490"/>
      <c r="HR528" s="1490"/>
      <c r="HS528" s="1490"/>
      <c r="HT528" s="1490"/>
      <c r="HU528" s="1490"/>
      <c r="HV528" s="1490"/>
      <c r="HW528" s="1490"/>
      <c r="HX528" s="1490"/>
      <c r="HY528" s="1490"/>
      <c r="HZ528" s="1490"/>
      <c r="IA528" s="1490"/>
      <c r="IB528" s="1490"/>
      <c r="IC528" s="1490"/>
      <c r="ID528" s="1490"/>
      <c r="IE528" s="1490"/>
      <c r="IF528" s="1490"/>
      <c r="IG528" s="1490"/>
      <c r="IH528" s="1490"/>
      <c r="II528" s="1490"/>
      <c r="IJ528" s="1490"/>
      <c r="IK528" s="1490"/>
      <c r="IL528" s="1490"/>
      <c r="IM528" s="1490"/>
      <c r="IN528" s="1490"/>
      <c r="IO528" s="44"/>
    </row>
    <row r="529" spans="1:249" s="5" customFormat="1" ht="24" customHeight="1">
      <c r="A529" s="1490" t="s">
        <v>231</v>
      </c>
      <c r="B529" s="1490"/>
      <c r="C529" s="1490"/>
      <c r="D529" s="1490"/>
      <c r="E529" s="1490"/>
      <c r="F529" s="1490"/>
      <c r="G529" s="1490"/>
      <c r="H529" s="1490"/>
      <c r="I529" s="1490"/>
      <c r="J529" s="1490"/>
      <c r="K529" s="1490"/>
      <c r="L529" s="1490"/>
      <c r="M529" s="1490"/>
      <c r="N529" s="1490"/>
      <c r="O529" s="44"/>
      <c r="P529" s="44"/>
      <c r="Q529" s="102"/>
      <c r="R529" s="102"/>
      <c r="S529" s="102"/>
      <c r="T529" s="102"/>
      <c r="U529" s="44"/>
      <c r="V529" s="44"/>
      <c r="W529" s="44"/>
      <c r="X529" s="44"/>
      <c r="Y529" s="44"/>
      <c r="Z529" s="44"/>
      <c r="AA529" s="44"/>
      <c r="AB529" s="44"/>
      <c r="AC529" s="44"/>
      <c r="AD529" s="44"/>
      <c r="AE529" s="44"/>
      <c r="AF529" s="44"/>
      <c r="AG529" s="44"/>
      <c r="AH529" s="44"/>
      <c r="AI529" s="44"/>
      <c r="AJ529" s="44"/>
      <c r="AK529" s="44"/>
      <c r="AL529" s="44"/>
      <c r="AM529" s="44"/>
      <c r="AN529" s="44"/>
      <c r="AO529" s="44"/>
      <c r="AP529" s="44"/>
      <c r="AQ529" s="44"/>
      <c r="AR529" s="44"/>
      <c r="AS529" s="44"/>
      <c r="AT529" s="44"/>
      <c r="AU529" s="44"/>
      <c r="AV529" s="44"/>
      <c r="AW529" s="44"/>
      <c r="AX529" s="44"/>
      <c r="AY529" s="44"/>
      <c r="AZ529" s="44"/>
      <c r="BA529" s="44"/>
      <c r="BB529" s="44"/>
      <c r="BC529" s="44"/>
      <c r="BD529" s="44"/>
      <c r="BE529" s="44"/>
      <c r="BF529" s="44"/>
      <c r="BG529" s="44"/>
      <c r="BH529" s="44"/>
      <c r="BI529" s="44"/>
      <c r="BJ529" s="44"/>
      <c r="BK529" s="44"/>
      <c r="BL529" s="44"/>
      <c r="BM529" s="44"/>
      <c r="BN529" s="44"/>
      <c r="BO529" s="44"/>
      <c r="BP529" s="44"/>
      <c r="BQ529" s="44"/>
      <c r="BR529" s="44"/>
      <c r="BS529" s="44"/>
      <c r="BT529" s="44"/>
      <c r="BU529" s="44"/>
      <c r="BV529" s="44"/>
      <c r="BW529" s="44"/>
      <c r="BX529" s="44"/>
      <c r="BY529" s="44"/>
      <c r="BZ529" s="44"/>
      <c r="CA529" s="44"/>
      <c r="CB529" s="44"/>
      <c r="CC529" s="44"/>
      <c r="CD529" s="44"/>
      <c r="CE529" s="44"/>
      <c r="CF529" s="44"/>
      <c r="CG529" s="44"/>
      <c r="CH529" s="44"/>
      <c r="CI529" s="44"/>
      <c r="CJ529" s="44"/>
      <c r="CK529" s="44"/>
      <c r="CL529" s="44"/>
      <c r="CM529" s="44"/>
      <c r="CN529" s="44"/>
      <c r="CO529" s="44"/>
      <c r="CP529" s="44"/>
      <c r="CQ529" s="44"/>
      <c r="CR529" s="44"/>
      <c r="CS529" s="44"/>
      <c r="CT529" s="44"/>
      <c r="CU529" s="44"/>
      <c r="CV529" s="44"/>
      <c r="CW529" s="44"/>
      <c r="CX529" s="44"/>
      <c r="CY529" s="44"/>
      <c r="CZ529" s="44"/>
      <c r="DA529" s="44"/>
      <c r="DB529" s="44"/>
      <c r="DC529" s="44"/>
      <c r="DD529" s="44"/>
      <c r="DE529" s="44"/>
      <c r="DF529" s="44"/>
      <c r="DG529" s="44"/>
      <c r="DH529" s="44"/>
      <c r="DI529" s="44"/>
      <c r="DJ529" s="44"/>
      <c r="DK529" s="44"/>
      <c r="DL529" s="44"/>
      <c r="DM529" s="44"/>
      <c r="DN529" s="44"/>
      <c r="DO529" s="44"/>
      <c r="DP529" s="44"/>
      <c r="DQ529" s="44"/>
      <c r="DR529" s="44"/>
      <c r="DS529" s="44"/>
      <c r="DT529" s="44"/>
      <c r="DU529" s="44"/>
      <c r="DV529" s="44"/>
      <c r="DW529" s="44"/>
      <c r="DX529" s="44"/>
      <c r="DY529" s="44"/>
      <c r="DZ529" s="44"/>
      <c r="EA529" s="44"/>
      <c r="EB529" s="44"/>
      <c r="EC529" s="44"/>
      <c r="ED529" s="44"/>
      <c r="EE529" s="44"/>
      <c r="EF529" s="44"/>
      <c r="EG529" s="44"/>
      <c r="EH529" s="44"/>
      <c r="EI529" s="44"/>
      <c r="EJ529" s="44"/>
      <c r="EK529" s="44"/>
      <c r="EL529" s="44"/>
      <c r="EM529" s="44"/>
      <c r="EN529" s="44"/>
      <c r="EO529" s="44"/>
      <c r="EP529" s="44"/>
      <c r="EQ529" s="44"/>
      <c r="ER529" s="44"/>
      <c r="ES529" s="44"/>
      <c r="ET529" s="44"/>
      <c r="EU529" s="44"/>
      <c r="EV529" s="44"/>
      <c r="EW529" s="44"/>
      <c r="EX529" s="44"/>
      <c r="EY529" s="44"/>
      <c r="EZ529" s="44"/>
      <c r="FA529" s="44"/>
      <c r="FB529" s="44"/>
      <c r="FC529" s="44"/>
      <c r="FD529" s="44"/>
      <c r="FE529" s="44"/>
      <c r="FF529" s="44"/>
      <c r="FG529" s="44"/>
      <c r="FH529" s="44"/>
      <c r="FI529" s="44"/>
      <c r="FJ529" s="44"/>
      <c r="FK529" s="44"/>
      <c r="FL529" s="44"/>
      <c r="FM529" s="44"/>
      <c r="FN529" s="44"/>
      <c r="FO529" s="44"/>
      <c r="FP529" s="44"/>
      <c r="FQ529" s="44"/>
      <c r="FR529" s="44"/>
      <c r="FS529" s="44"/>
      <c r="FT529" s="44"/>
      <c r="FU529" s="44"/>
      <c r="FV529" s="44"/>
      <c r="FW529" s="44"/>
      <c r="FX529" s="44"/>
      <c r="FY529" s="44"/>
      <c r="FZ529" s="44"/>
      <c r="GA529" s="44"/>
      <c r="GB529" s="44"/>
      <c r="GC529" s="44"/>
      <c r="GD529" s="44"/>
      <c r="GE529" s="44"/>
      <c r="GF529" s="44"/>
      <c r="GG529" s="44"/>
      <c r="GH529" s="44"/>
      <c r="GI529" s="44"/>
      <c r="GJ529" s="44"/>
      <c r="GK529" s="44"/>
      <c r="GL529" s="44"/>
      <c r="GM529" s="44"/>
      <c r="GN529" s="44"/>
      <c r="GO529" s="44"/>
      <c r="GP529" s="44"/>
      <c r="GQ529" s="44"/>
      <c r="GR529" s="44"/>
      <c r="GS529" s="44"/>
      <c r="GT529" s="44"/>
      <c r="GU529" s="44"/>
      <c r="GV529" s="44"/>
      <c r="GW529" s="44"/>
      <c r="GX529" s="44"/>
      <c r="GY529" s="44"/>
      <c r="GZ529" s="44"/>
      <c r="HA529" s="44"/>
      <c r="HB529" s="44"/>
      <c r="HC529" s="44"/>
      <c r="HD529" s="44"/>
      <c r="HE529" s="44"/>
      <c r="HF529" s="44"/>
      <c r="HG529" s="44"/>
      <c r="HH529" s="44"/>
      <c r="HI529" s="44"/>
      <c r="HJ529" s="44"/>
      <c r="HK529" s="44"/>
      <c r="HL529" s="44"/>
      <c r="HM529" s="44"/>
      <c r="HN529" s="44"/>
      <c r="HO529" s="44"/>
      <c r="HP529" s="44"/>
      <c r="HQ529" s="44"/>
      <c r="HR529" s="44"/>
      <c r="HS529" s="44"/>
      <c r="HT529" s="44"/>
      <c r="HU529" s="44"/>
      <c r="HV529" s="44"/>
      <c r="HW529" s="44"/>
      <c r="HX529" s="44"/>
      <c r="HY529" s="44"/>
      <c r="HZ529" s="44"/>
      <c r="IA529" s="44"/>
      <c r="IB529" s="44"/>
      <c r="IC529" s="44"/>
      <c r="ID529" s="44"/>
      <c r="IE529" s="44"/>
      <c r="IF529" s="44"/>
      <c r="IG529" s="44"/>
      <c r="IH529" s="44"/>
      <c r="II529" s="44"/>
      <c r="IJ529" s="44"/>
      <c r="IK529" s="44"/>
      <c r="IL529" s="44"/>
      <c r="IM529" s="44"/>
      <c r="IN529" s="44"/>
      <c r="IO529" s="44"/>
    </row>
    <row r="530" spans="1:249" s="45" customFormat="1" ht="21.95" customHeight="1">
      <c r="A530" s="1495" t="s">
        <v>232</v>
      </c>
      <c r="B530" s="1495"/>
      <c r="C530" s="1495"/>
      <c r="D530" s="1495"/>
      <c r="E530" s="1495"/>
      <c r="F530" s="1495"/>
      <c r="G530" s="1495"/>
      <c r="H530" s="1495"/>
      <c r="I530" s="1495"/>
      <c r="J530" s="1495"/>
      <c r="K530" s="1495"/>
      <c r="L530" s="1495"/>
      <c r="M530" s="1495"/>
      <c r="N530" s="1495"/>
      <c r="O530" s="44"/>
      <c r="P530" s="44"/>
      <c r="Q530" s="103"/>
      <c r="R530" s="103"/>
      <c r="S530" s="103"/>
      <c r="T530" s="103"/>
      <c r="U530" s="47"/>
      <c r="V530" s="47"/>
      <c r="W530" s="47"/>
      <c r="X530" s="47"/>
      <c r="Y530" s="47"/>
      <c r="Z530" s="47"/>
      <c r="AA530" s="47"/>
      <c r="AB530" s="47"/>
      <c r="AC530" s="47"/>
      <c r="AD530" s="47"/>
      <c r="AE530" s="47"/>
      <c r="AF530" s="47"/>
      <c r="AG530" s="47"/>
      <c r="AH530" s="47"/>
      <c r="AI530" s="47"/>
      <c r="AJ530" s="47"/>
      <c r="AK530" s="47"/>
      <c r="AL530" s="47"/>
      <c r="AM530" s="47"/>
      <c r="AN530" s="47"/>
      <c r="AO530" s="47"/>
      <c r="AP530" s="47"/>
      <c r="AQ530" s="47"/>
      <c r="AR530" s="47"/>
      <c r="AS530" s="47"/>
      <c r="AT530" s="47"/>
      <c r="AU530" s="47"/>
      <c r="AV530" s="47"/>
      <c r="AW530" s="47"/>
      <c r="AX530" s="47"/>
      <c r="AY530" s="47"/>
      <c r="AZ530" s="47"/>
      <c r="BA530" s="47"/>
      <c r="BB530" s="47"/>
      <c r="BC530" s="47"/>
      <c r="BD530" s="47"/>
      <c r="BE530" s="47"/>
      <c r="BF530" s="47"/>
      <c r="BG530" s="47"/>
      <c r="BH530" s="47"/>
      <c r="BI530" s="47"/>
      <c r="BJ530" s="47"/>
      <c r="BK530" s="47"/>
      <c r="BL530" s="47"/>
      <c r="BM530" s="47"/>
      <c r="BN530" s="47"/>
      <c r="BO530" s="47"/>
      <c r="BP530" s="47"/>
      <c r="BQ530" s="47"/>
      <c r="BR530" s="47"/>
      <c r="BS530" s="47"/>
      <c r="BT530" s="47"/>
      <c r="BU530" s="47"/>
      <c r="BV530" s="47"/>
      <c r="BW530" s="47"/>
      <c r="BX530" s="47"/>
      <c r="BY530" s="47"/>
      <c r="BZ530" s="47"/>
      <c r="CA530" s="47"/>
      <c r="CB530" s="47"/>
      <c r="CC530" s="47"/>
      <c r="CD530" s="47"/>
      <c r="CE530" s="47"/>
      <c r="CF530" s="47"/>
      <c r="CG530" s="47"/>
      <c r="CH530" s="47"/>
      <c r="CI530" s="47"/>
      <c r="CJ530" s="47"/>
      <c r="CK530" s="47"/>
      <c r="CL530" s="47"/>
      <c r="CM530" s="47"/>
      <c r="CN530" s="47"/>
      <c r="CO530" s="47"/>
      <c r="CP530" s="47"/>
      <c r="CQ530" s="47"/>
      <c r="CR530" s="47"/>
      <c r="CS530" s="47"/>
      <c r="CT530" s="47"/>
      <c r="CU530" s="47"/>
      <c r="CV530" s="47"/>
      <c r="CW530" s="47"/>
      <c r="CX530" s="47"/>
      <c r="CY530" s="47"/>
      <c r="CZ530" s="47"/>
      <c r="DA530" s="47"/>
      <c r="DB530" s="47"/>
      <c r="DC530" s="47"/>
      <c r="DD530" s="47"/>
      <c r="DE530" s="47"/>
      <c r="DF530" s="47"/>
      <c r="DG530" s="47"/>
      <c r="DH530" s="47"/>
      <c r="DI530" s="47"/>
      <c r="DJ530" s="47"/>
      <c r="DK530" s="47"/>
      <c r="DL530" s="47"/>
      <c r="DM530" s="47"/>
      <c r="DN530" s="47"/>
      <c r="DO530" s="47"/>
      <c r="DP530" s="47"/>
      <c r="DQ530" s="47"/>
      <c r="DR530" s="47"/>
      <c r="DS530" s="47"/>
      <c r="DT530" s="47"/>
      <c r="DU530" s="47"/>
      <c r="DV530" s="47"/>
      <c r="DW530" s="47"/>
      <c r="DX530" s="47"/>
      <c r="DY530" s="47"/>
      <c r="DZ530" s="47"/>
      <c r="EA530" s="47"/>
      <c r="EB530" s="47"/>
      <c r="EC530" s="47"/>
      <c r="ED530" s="47"/>
      <c r="EE530" s="47"/>
      <c r="EF530" s="47"/>
      <c r="EG530" s="47"/>
      <c r="EH530" s="47"/>
      <c r="EI530" s="47"/>
      <c r="EJ530" s="47"/>
      <c r="EK530" s="47"/>
      <c r="EL530" s="47"/>
      <c r="EM530" s="47"/>
      <c r="EN530" s="47"/>
      <c r="EO530" s="47"/>
      <c r="EP530" s="47"/>
      <c r="EQ530" s="47"/>
      <c r="ER530" s="47"/>
      <c r="ES530" s="47"/>
      <c r="ET530" s="47"/>
      <c r="EU530" s="47"/>
      <c r="EV530" s="47"/>
      <c r="EW530" s="47"/>
      <c r="EX530" s="47"/>
      <c r="EY530" s="47"/>
      <c r="EZ530" s="47"/>
      <c r="FA530" s="47"/>
      <c r="FB530" s="47"/>
      <c r="FC530" s="47"/>
      <c r="FD530" s="47"/>
      <c r="FE530" s="47"/>
      <c r="FF530" s="47"/>
      <c r="FG530" s="47"/>
      <c r="FH530" s="47"/>
      <c r="FI530" s="47"/>
      <c r="FJ530" s="47"/>
      <c r="FK530" s="47"/>
      <c r="FL530" s="47"/>
      <c r="FM530" s="47"/>
      <c r="FN530" s="47"/>
      <c r="FO530" s="47"/>
      <c r="FP530" s="47"/>
      <c r="FQ530" s="47"/>
      <c r="FR530" s="47"/>
      <c r="FS530" s="47"/>
      <c r="FT530" s="47"/>
      <c r="FU530" s="47"/>
      <c r="FV530" s="47"/>
      <c r="FW530" s="47"/>
      <c r="FX530" s="47"/>
      <c r="FY530" s="47"/>
      <c r="FZ530" s="47"/>
      <c r="GA530" s="47"/>
      <c r="GB530" s="47"/>
      <c r="GC530" s="47"/>
      <c r="GD530" s="47"/>
      <c r="GE530" s="47"/>
      <c r="GF530" s="47"/>
      <c r="GG530" s="47"/>
      <c r="GH530" s="47"/>
      <c r="GI530" s="47"/>
      <c r="GJ530" s="47"/>
      <c r="GK530" s="47"/>
      <c r="GL530" s="47"/>
      <c r="GM530" s="47"/>
      <c r="GN530" s="47"/>
      <c r="GO530" s="47"/>
      <c r="GP530" s="47"/>
      <c r="GQ530" s="47"/>
      <c r="GR530" s="47"/>
      <c r="GS530" s="47"/>
      <c r="GT530" s="47"/>
      <c r="GU530" s="47"/>
      <c r="GV530" s="47"/>
      <c r="GW530" s="47"/>
      <c r="GX530" s="47"/>
      <c r="GY530" s="47"/>
      <c r="GZ530" s="47"/>
      <c r="HA530" s="47"/>
      <c r="HB530" s="47"/>
      <c r="HC530" s="47"/>
      <c r="HD530" s="47"/>
      <c r="HE530" s="47"/>
      <c r="HF530" s="47"/>
      <c r="HG530" s="47"/>
      <c r="HH530" s="47"/>
      <c r="HI530" s="47"/>
      <c r="HJ530" s="47"/>
      <c r="HK530" s="47"/>
      <c r="HL530" s="47"/>
      <c r="HM530" s="47"/>
      <c r="HN530" s="47"/>
      <c r="HO530" s="47"/>
      <c r="HP530" s="47"/>
      <c r="HQ530" s="47"/>
      <c r="HR530" s="47"/>
      <c r="HS530" s="47"/>
      <c r="HT530" s="47"/>
      <c r="HU530" s="47"/>
      <c r="HV530" s="47"/>
      <c r="HW530" s="47"/>
      <c r="HX530" s="47"/>
      <c r="HY530" s="47"/>
      <c r="HZ530" s="47"/>
      <c r="IA530" s="47"/>
      <c r="IB530" s="47"/>
      <c r="IC530" s="47"/>
      <c r="ID530" s="47"/>
      <c r="IE530" s="47"/>
      <c r="IF530" s="47"/>
      <c r="IG530" s="47"/>
      <c r="IH530" s="47"/>
      <c r="II530" s="47"/>
      <c r="IJ530" s="47"/>
      <c r="IK530" s="47"/>
      <c r="IL530" s="47"/>
      <c r="IM530" s="47"/>
      <c r="IN530" s="47"/>
    </row>
    <row r="531" spans="1:249" s="5" customFormat="1" ht="21.95" customHeight="1">
      <c r="A531" s="1495" t="s">
        <v>233</v>
      </c>
      <c r="B531" s="1495"/>
      <c r="C531" s="1495"/>
      <c r="D531" s="1495"/>
      <c r="E531" s="1495"/>
      <c r="F531" s="1495"/>
      <c r="G531" s="1495"/>
      <c r="H531" s="1495"/>
      <c r="I531" s="1495"/>
      <c r="J531" s="1495"/>
      <c r="K531" s="1495"/>
      <c r="L531" s="1495"/>
      <c r="M531" s="1495"/>
      <c r="N531" s="1495"/>
      <c r="Q531" s="44"/>
      <c r="R531" s="44"/>
      <c r="S531" s="44"/>
      <c r="T531" s="44"/>
      <c r="U531" s="44"/>
      <c r="V531" s="44"/>
      <c r="W531" s="44"/>
      <c r="X531" s="44"/>
      <c r="Y531" s="44"/>
      <c r="Z531" s="44"/>
      <c r="AA531" s="44"/>
      <c r="AB531" s="44"/>
      <c r="AC531" s="44"/>
      <c r="AD531" s="1490"/>
      <c r="AE531" s="1490"/>
      <c r="AF531" s="1490"/>
      <c r="AG531" s="1490"/>
      <c r="AH531" s="1490"/>
      <c r="AI531" s="1490"/>
      <c r="AJ531" s="1490"/>
      <c r="AK531" s="1490"/>
      <c r="AL531" s="1490"/>
      <c r="AM531" s="1490"/>
      <c r="AN531" s="1490"/>
      <c r="AO531" s="1490"/>
      <c r="AP531" s="1490"/>
      <c r="AQ531" s="1490"/>
      <c r="AR531" s="1490"/>
      <c r="AS531" s="1490"/>
      <c r="AT531" s="1490"/>
      <c r="AU531" s="1490"/>
      <c r="AV531" s="1490"/>
      <c r="AW531" s="1490"/>
      <c r="AX531" s="1490"/>
      <c r="AY531" s="1490"/>
      <c r="AZ531" s="1490"/>
      <c r="BA531" s="1490"/>
      <c r="BB531" s="1490"/>
      <c r="BC531" s="1490"/>
      <c r="BD531" s="1490"/>
      <c r="BE531" s="1490"/>
      <c r="BF531" s="1490"/>
      <c r="BG531" s="1490"/>
      <c r="BH531" s="1490"/>
      <c r="BI531" s="1490"/>
      <c r="BJ531" s="1490"/>
      <c r="BK531" s="1490"/>
      <c r="BL531" s="1490"/>
      <c r="BM531" s="1490"/>
      <c r="BN531" s="1490"/>
      <c r="BO531" s="1490"/>
      <c r="BP531" s="1490"/>
      <c r="BQ531" s="1490"/>
      <c r="BR531" s="1490"/>
      <c r="BS531" s="1490"/>
      <c r="BT531" s="1490"/>
      <c r="BU531" s="1490"/>
      <c r="BV531" s="1490"/>
      <c r="BW531" s="1490"/>
      <c r="BX531" s="1490"/>
      <c r="BY531" s="1490"/>
      <c r="BZ531" s="1490"/>
      <c r="CA531" s="1490"/>
      <c r="CB531" s="1490"/>
      <c r="CC531" s="1490"/>
      <c r="CD531" s="1490"/>
      <c r="CE531" s="1490"/>
      <c r="CF531" s="1490"/>
      <c r="CG531" s="1490"/>
      <c r="CH531" s="1490"/>
      <c r="CI531" s="1490"/>
      <c r="CJ531" s="1490"/>
      <c r="CK531" s="1490"/>
      <c r="CL531" s="1490"/>
      <c r="CM531" s="1490"/>
      <c r="CN531" s="1490"/>
      <c r="CO531" s="1490"/>
      <c r="CP531" s="1490"/>
      <c r="CQ531" s="1490"/>
      <c r="CR531" s="1490"/>
      <c r="CS531" s="1490"/>
      <c r="CT531" s="1490"/>
      <c r="CU531" s="1490"/>
      <c r="CV531" s="1490"/>
      <c r="CW531" s="1490"/>
      <c r="CX531" s="1490"/>
      <c r="CY531" s="1490"/>
      <c r="CZ531" s="1490"/>
      <c r="DA531" s="1490"/>
      <c r="DB531" s="1490"/>
      <c r="DC531" s="1490"/>
      <c r="DD531" s="1490"/>
      <c r="DE531" s="1490"/>
      <c r="DF531" s="1490"/>
      <c r="DG531" s="1490"/>
      <c r="DH531" s="1490"/>
      <c r="DI531" s="1490"/>
      <c r="DJ531" s="1490"/>
      <c r="DK531" s="1490"/>
      <c r="DL531" s="1490"/>
      <c r="DM531" s="1490"/>
      <c r="DN531" s="1490"/>
      <c r="DO531" s="1490"/>
      <c r="DP531" s="1490"/>
      <c r="DQ531" s="1490"/>
      <c r="DR531" s="1490"/>
      <c r="DS531" s="1490"/>
      <c r="DT531" s="1490"/>
      <c r="DU531" s="1490"/>
      <c r="DV531" s="1490"/>
      <c r="DW531" s="1490"/>
      <c r="DX531" s="1490"/>
      <c r="DY531" s="1490"/>
      <c r="DZ531" s="1490"/>
      <c r="EA531" s="1490"/>
      <c r="EB531" s="1490"/>
      <c r="EC531" s="1490"/>
      <c r="ED531" s="1490"/>
      <c r="EE531" s="1490"/>
      <c r="EF531" s="1490"/>
      <c r="EG531" s="1490"/>
      <c r="EH531" s="1490"/>
      <c r="EI531" s="1490"/>
      <c r="EJ531" s="1490"/>
      <c r="EK531" s="1490"/>
      <c r="EL531" s="1490"/>
      <c r="EM531" s="1490"/>
      <c r="EN531" s="1490"/>
      <c r="EO531" s="1490"/>
      <c r="EP531" s="1490"/>
      <c r="EQ531" s="1490"/>
      <c r="ER531" s="1490"/>
      <c r="ES531" s="1490"/>
      <c r="ET531" s="1490"/>
      <c r="EU531" s="1490"/>
      <c r="EV531" s="1490"/>
      <c r="EW531" s="1490"/>
      <c r="EX531" s="1490"/>
      <c r="EY531" s="1490"/>
      <c r="EZ531" s="1490"/>
      <c r="FA531" s="1490"/>
      <c r="FB531" s="1490"/>
      <c r="FC531" s="1490"/>
      <c r="FD531" s="1490"/>
      <c r="FE531" s="1490"/>
      <c r="FF531" s="1490"/>
      <c r="FG531" s="1490"/>
      <c r="FH531" s="1490"/>
      <c r="FI531" s="1490"/>
      <c r="FJ531" s="1490"/>
      <c r="FK531" s="1490"/>
      <c r="FL531" s="1490"/>
      <c r="FM531" s="1490"/>
      <c r="FN531" s="1490"/>
      <c r="FO531" s="1490"/>
      <c r="FP531" s="1490"/>
      <c r="FQ531" s="1490"/>
      <c r="FR531" s="1490"/>
      <c r="FS531" s="1490"/>
      <c r="FT531" s="1490"/>
      <c r="FU531" s="1490"/>
      <c r="FV531" s="1490"/>
      <c r="FW531" s="1490"/>
      <c r="FX531" s="1490"/>
      <c r="FY531" s="1490"/>
      <c r="FZ531" s="1490"/>
      <c r="GA531" s="1490"/>
      <c r="GB531" s="1490"/>
      <c r="GC531" s="1490"/>
      <c r="GD531" s="1490"/>
      <c r="GE531" s="1490"/>
      <c r="GF531" s="1490"/>
      <c r="GG531" s="1490"/>
      <c r="GH531" s="1490"/>
      <c r="GI531" s="1490"/>
      <c r="GJ531" s="1490"/>
      <c r="GK531" s="1490"/>
      <c r="GL531" s="1490"/>
      <c r="GM531" s="1490"/>
      <c r="GN531" s="1490"/>
      <c r="GO531" s="1490"/>
      <c r="GP531" s="1490"/>
      <c r="GQ531" s="1490"/>
      <c r="GR531" s="1490"/>
      <c r="GS531" s="1490"/>
      <c r="GT531" s="1490"/>
      <c r="GU531" s="1490"/>
      <c r="GV531" s="1490"/>
      <c r="GW531" s="1490"/>
      <c r="GX531" s="1490"/>
      <c r="GY531" s="1490"/>
      <c r="GZ531" s="1490"/>
      <c r="HA531" s="1490"/>
      <c r="HB531" s="1490"/>
      <c r="HC531" s="1490"/>
      <c r="HD531" s="1490"/>
      <c r="HE531" s="1490"/>
      <c r="HF531" s="1490"/>
      <c r="HG531" s="1490"/>
      <c r="HH531" s="1490"/>
      <c r="HI531" s="1490"/>
      <c r="HJ531" s="1490"/>
      <c r="HK531" s="1490"/>
      <c r="HL531" s="1490"/>
      <c r="HM531" s="1490"/>
      <c r="HN531" s="1490"/>
      <c r="HO531" s="1490"/>
      <c r="HP531" s="1490"/>
      <c r="HQ531" s="1490"/>
      <c r="HR531" s="1490"/>
      <c r="HS531" s="1490"/>
      <c r="HT531" s="1490"/>
      <c r="HU531" s="1490"/>
      <c r="HV531" s="1490"/>
      <c r="HW531" s="1490"/>
      <c r="HX531" s="1490"/>
      <c r="HY531" s="1490"/>
      <c r="HZ531" s="1490"/>
      <c r="IA531" s="1490"/>
      <c r="IB531" s="1490"/>
      <c r="IC531" s="1490"/>
      <c r="ID531" s="1490"/>
      <c r="IE531" s="1490"/>
      <c r="IF531" s="1490"/>
      <c r="IG531" s="1490"/>
      <c r="IH531" s="1490"/>
      <c r="II531" s="1490"/>
      <c r="IJ531" s="1490"/>
      <c r="IK531" s="1490"/>
      <c r="IL531" s="1490"/>
      <c r="IM531" s="1490"/>
      <c r="IN531" s="1490"/>
      <c r="IO531" s="44"/>
    </row>
    <row r="532" spans="1:249" s="5" customFormat="1" ht="25.5" customHeight="1">
      <c r="A532" s="48" t="s">
        <v>234</v>
      </c>
      <c r="B532" s="39"/>
      <c r="C532" s="39"/>
      <c r="D532" s="39"/>
      <c r="E532" s="39"/>
      <c r="F532" s="39"/>
      <c r="G532" s="39"/>
      <c r="H532" s="39"/>
      <c r="I532" s="39"/>
      <c r="J532" s="39"/>
      <c r="K532" s="39"/>
      <c r="L532" s="39"/>
      <c r="M532" s="39"/>
      <c r="N532" s="39"/>
      <c r="O532" s="49"/>
      <c r="P532" s="49"/>
      <c r="Q532" s="44"/>
      <c r="R532" s="44"/>
      <c r="S532" s="44"/>
      <c r="T532" s="44"/>
      <c r="U532" s="44"/>
      <c r="V532" s="44"/>
      <c r="W532" s="44"/>
      <c r="X532" s="44"/>
      <c r="Y532" s="44"/>
      <c r="Z532" s="44"/>
      <c r="AA532" s="44"/>
      <c r="AB532" s="44"/>
      <c r="AC532" s="44"/>
      <c r="AD532" s="1490"/>
      <c r="AE532" s="1490"/>
      <c r="AF532" s="1490"/>
      <c r="AG532" s="1490"/>
      <c r="AH532" s="1490"/>
      <c r="AI532" s="1490"/>
      <c r="AJ532" s="1490"/>
      <c r="AK532" s="1490"/>
      <c r="AL532" s="1490"/>
      <c r="AM532" s="1490"/>
      <c r="AN532" s="1490"/>
      <c r="AO532" s="1490"/>
      <c r="AP532" s="1490"/>
      <c r="AQ532" s="1490"/>
      <c r="AR532" s="1490"/>
      <c r="AS532" s="1490"/>
      <c r="AT532" s="1490"/>
      <c r="AU532" s="1490"/>
      <c r="AV532" s="1490"/>
      <c r="AW532" s="1490"/>
      <c r="AX532" s="1490"/>
      <c r="AY532" s="1490"/>
      <c r="AZ532" s="1490"/>
      <c r="BA532" s="1490"/>
      <c r="BB532" s="1490"/>
      <c r="BC532" s="1490"/>
      <c r="BD532" s="1490"/>
      <c r="BE532" s="1490"/>
      <c r="BF532" s="1490"/>
      <c r="BG532" s="1490"/>
      <c r="BH532" s="1490"/>
      <c r="BI532" s="1490"/>
      <c r="BJ532" s="1490"/>
      <c r="BK532" s="1490"/>
      <c r="BL532" s="1490"/>
      <c r="BM532" s="1490"/>
      <c r="BN532" s="1490"/>
      <c r="BO532" s="1490"/>
      <c r="BP532" s="1490"/>
      <c r="BQ532" s="1490"/>
      <c r="BR532" s="1490"/>
      <c r="BS532" s="1490"/>
      <c r="BT532" s="1490"/>
      <c r="BU532" s="1490"/>
      <c r="BV532" s="1490"/>
      <c r="BW532" s="1490"/>
      <c r="BX532" s="1490"/>
      <c r="BY532" s="1490"/>
      <c r="BZ532" s="1490"/>
      <c r="CA532" s="1490"/>
      <c r="CB532" s="1490"/>
      <c r="CC532" s="1490"/>
      <c r="CD532" s="1490"/>
      <c r="CE532" s="1490"/>
      <c r="CF532" s="1490"/>
      <c r="CG532" s="1490"/>
      <c r="CH532" s="1490"/>
      <c r="CI532" s="1490"/>
      <c r="CJ532" s="1490"/>
      <c r="CK532" s="1490"/>
      <c r="CL532" s="1490"/>
      <c r="CM532" s="1490"/>
      <c r="CN532" s="1490"/>
      <c r="CO532" s="1490"/>
      <c r="CP532" s="1490"/>
      <c r="CQ532" s="1490"/>
      <c r="CR532" s="1490"/>
      <c r="CS532" s="1490"/>
      <c r="CT532" s="1490"/>
      <c r="CU532" s="1490"/>
      <c r="CV532" s="1490"/>
      <c r="CW532" s="1490"/>
      <c r="CX532" s="1490"/>
      <c r="CY532" s="1490"/>
      <c r="CZ532" s="1490"/>
      <c r="DA532" s="1490"/>
      <c r="DB532" s="1490"/>
      <c r="DC532" s="1490"/>
      <c r="DD532" s="1490"/>
      <c r="DE532" s="1490"/>
      <c r="DF532" s="1490"/>
      <c r="DG532" s="1490"/>
      <c r="DH532" s="1490"/>
      <c r="DI532" s="1490"/>
      <c r="DJ532" s="1490"/>
      <c r="DK532" s="1490"/>
      <c r="DL532" s="1490"/>
      <c r="DM532" s="1490"/>
      <c r="DN532" s="1490"/>
      <c r="DO532" s="1490"/>
      <c r="DP532" s="1490"/>
      <c r="DQ532" s="1490"/>
      <c r="DR532" s="1490"/>
      <c r="DS532" s="1490"/>
      <c r="DT532" s="1490"/>
      <c r="DU532" s="1490"/>
      <c r="DV532" s="1490"/>
      <c r="DW532" s="1490"/>
      <c r="DX532" s="1490"/>
      <c r="DY532" s="1490"/>
      <c r="DZ532" s="1490"/>
      <c r="EA532" s="1490"/>
      <c r="EB532" s="1490"/>
      <c r="EC532" s="1490"/>
      <c r="ED532" s="1490"/>
      <c r="EE532" s="1490"/>
      <c r="EF532" s="1490"/>
      <c r="EG532" s="1490"/>
      <c r="EH532" s="1490"/>
      <c r="EI532" s="1490"/>
      <c r="EJ532" s="1490"/>
      <c r="EK532" s="1490"/>
      <c r="EL532" s="1490"/>
      <c r="EM532" s="1490"/>
      <c r="EN532" s="1490"/>
      <c r="EO532" s="1490"/>
      <c r="EP532" s="1490"/>
      <c r="EQ532" s="1490"/>
      <c r="ER532" s="1490"/>
      <c r="ES532" s="1490"/>
      <c r="ET532" s="1490"/>
      <c r="EU532" s="1490"/>
      <c r="EV532" s="1490"/>
      <c r="EW532" s="1490"/>
      <c r="EX532" s="1490"/>
      <c r="EY532" s="1490"/>
      <c r="EZ532" s="1490"/>
      <c r="FA532" s="1490"/>
      <c r="FB532" s="1490"/>
      <c r="FC532" s="1490"/>
      <c r="FD532" s="1490"/>
      <c r="FE532" s="1490"/>
      <c r="FF532" s="1490"/>
      <c r="FG532" s="1490"/>
      <c r="FH532" s="1490"/>
      <c r="FI532" s="1490"/>
      <c r="FJ532" s="1490"/>
      <c r="FK532" s="1490"/>
      <c r="FL532" s="1490"/>
      <c r="FM532" s="1490"/>
      <c r="FN532" s="1490"/>
      <c r="FO532" s="1490"/>
      <c r="FP532" s="1490"/>
      <c r="FQ532" s="1490"/>
      <c r="FR532" s="1490"/>
      <c r="FS532" s="1490"/>
      <c r="FT532" s="1490"/>
      <c r="FU532" s="1490"/>
      <c r="FV532" s="1490"/>
      <c r="FW532" s="1490"/>
      <c r="FX532" s="1490"/>
      <c r="FY532" s="1490"/>
      <c r="FZ532" s="1490"/>
      <c r="GA532" s="1490"/>
      <c r="GB532" s="1490"/>
      <c r="GC532" s="1490"/>
      <c r="GD532" s="1490"/>
      <c r="GE532" s="1490"/>
      <c r="GF532" s="1490"/>
      <c r="GG532" s="1490"/>
      <c r="GH532" s="1490"/>
      <c r="GI532" s="1490"/>
      <c r="GJ532" s="1490"/>
      <c r="GK532" s="1490"/>
      <c r="GL532" s="1490"/>
      <c r="GM532" s="1490"/>
      <c r="GN532" s="1490"/>
      <c r="GO532" s="1490"/>
      <c r="GP532" s="1490"/>
      <c r="GQ532" s="1490"/>
      <c r="GR532" s="1490"/>
      <c r="GS532" s="1490"/>
      <c r="GT532" s="1490"/>
      <c r="GU532" s="1490"/>
      <c r="GV532" s="1490"/>
      <c r="GW532" s="1490"/>
      <c r="GX532" s="1490"/>
      <c r="GY532" s="1490"/>
      <c r="GZ532" s="1490"/>
      <c r="HA532" s="1490"/>
      <c r="HB532" s="1490"/>
      <c r="HC532" s="1490"/>
      <c r="HD532" s="1490"/>
      <c r="HE532" s="1490"/>
      <c r="HF532" s="1490"/>
      <c r="HG532" s="1490"/>
      <c r="HH532" s="1490"/>
      <c r="HI532" s="1490"/>
      <c r="HJ532" s="1490"/>
      <c r="HK532" s="1490"/>
      <c r="HL532" s="1490"/>
      <c r="HM532" s="1490"/>
      <c r="HN532" s="1490"/>
      <c r="HO532" s="1490"/>
      <c r="HP532" s="1490"/>
      <c r="HQ532" s="1490"/>
      <c r="HR532" s="1490"/>
      <c r="HS532" s="1490"/>
      <c r="HT532" s="1490"/>
      <c r="HU532" s="1490"/>
      <c r="HV532" s="1490"/>
      <c r="HW532" s="1490"/>
      <c r="HX532" s="1490"/>
      <c r="HY532" s="1490"/>
      <c r="HZ532" s="1490"/>
      <c r="IA532" s="1490"/>
      <c r="IB532" s="1490"/>
      <c r="IC532" s="1490"/>
      <c r="ID532" s="1490"/>
      <c r="IE532" s="1490"/>
      <c r="IF532" s="1490"/>
      <c r="IG532" s="1490"/>
      <c r="IH532" s="1490"/>
      <c r="II532" s="1490"/>
      <c r="IJ532" s="1490"/>
      <c r="IK532" s="1490"/>
      <c r="IL532" s="1490"/>
      <c r="IM532" s="1490"/>
      <c r="IN532" s="1490"/>
      <c r="IO532" s="44"/>
    </row>
    <row r="533" spans="1:249" s="5" customFormat="1" ht="24.75" customHeight="1">
      <c r="A533" s="1495" t="s">
        <v>235</v>
      </c>
      <c r="B533" s="1495"/>
      <c r="C533" s="1495"/>
      <c r="D533" s="1495"/>
      <c r="E533" s="1495"/>
      <c r="F533" s="1495"/>
      <c r="G533" s="1495"/>
      <c r="H533" s="1495"/>
      <c r="I533" s="1495"/>
      <c r="J533" s="1495"/>
      <c r="K533" s="1495"/>
      <c r="L533" s="1495"/>
      <c r="M533" s="1495"/>
      <c r="N533" s="1495"/>
      <c r="O533" s="49"/>
      <c r="P533" s="49"/>
      <c r="Q533" s="129"/>
      <c r="R533" s="129"/>
      <c r="S533" s="129"/>
      <c r="T533" s="129"/>
      <c r="U533" s="127"/>
      <c r="V533" s="127"/>
      <c r="W533" s="127"/>
      <c r="X533" s="127"/>
      <c r="Y533" s="127"/>
      <c r="Z533" s="127"/>
      <c r="AA533" s="127"/>
      <c r="AB533" s="127"/>
      <c r="AC533" s="127"/>
      <c r="AD533" s="127"/>
      <c r="AE533" s="127"/>
      <c r="AF533" s="127"/>
    </row>
    <row r="534" spans="1:249" s="5" customFormat="1" ht="24.75" customHeight="1">
      <c r="A534" s="99" t="s">
        <v>281</v>
      </c>
      <c r="B534" s="44"/>
      <c r="C534" s="44"/>
      <c r="D534" s="44"/>
      <c r="E534" s="44"/>
      <c r="F534" s="104" t="str">
        <f>A464</f>
        <v>sè:  PM-B1-LT/800</v>
      </c>
      <c r="G534" s="44"/>
      <c r="H534" s="44"/>
      <c r="I534" s="44"/>
      <c r="J534" s="44"/>
      <c r="K534" s="44"/>
      <c r="L534" s="44"/>
      <c r="M534" s="44"/>
      <c r="N534" s="44"/>
      <c r="O534" s="49"/>
      <c r="P534" s="49"/>
      <c r="Q534" s="49"/>
      <c r="R534" s="49"/>
      <c r="S534" s="49"/>
      <c r="T534" s="49"/>
      <c r="U534" s="49"/>
      <c r="V534" s="49"/>
      <c r="W534" s="49"/>
      <c r="X534" s="49"/>
      <c r="Y534" s="49"/>
      <c r="Z534" s="49"/>
      <c r="AA534" s="49"/>
      <c r="AB534" s="49"/>
      <c r="AC534" s="49"/>
      <c r="AD534" s="1494"/>
      <c r="AE534" s="1494"/>
      <c r="AF534" s="1494"/>
      <c r="AG534" s="1494"/>
      <c r="AH534" s="1494"/>
      <c r="AI534" s="1494"/>
      <c r="AJ534" s="1494"/>
      <c r="AK534" s="1494"/>
      <c r="AL534" s="1494"/>
      <c r="AM534" s="1494"/>
      <c r="AN534" s="1494"/>
      <c r="AO534" s="1494"/>
      <c r="AP534" s="1494"/>
      <c r="AQ534" s="1494"/>
      <c r="AR534" s="1494"/>
      <c r="AS534" s="1494"/>
      <c r="AT534" s="1494"/>
      <c r="AU534" s="1494"/>
      <c r="AV534" s="1494"/>
      <c r="AW534" s="1494"/>
      <c r="AX534" s="1494"/>
      <c r="AY534" s="1494"/>
      <c r="AZ534" s="1494"/>
      <c r="BA534" s="1494"/>
      <c r="BB534" s="1494"/>
      <c r="BC534" s="1494"/>
      <c r="BD534" s="1494"/>
      <c r="BE534" s="1494"/>
      <c r="BF534" s="1494"/>
      <c r="BG534" s="1494"/>
      <c r="BH534" s="1494"/>
      <c r="BI534" s="1494"/>
      <c r="BJ534" s="1494"/>
      <c r="BK534" s="1494"/>
      <c r="BL534" s="1494"/>
      <c r="BM534" s="1494"/>
      <c r="BN534" s="1494"/>
      <c r="BO534" s="1494"/>
      <c r="BP534" s="1494"/>
      <c r="BQ534" s="1494"/>
      <c r="BR534" s="1494"/>
      <c r="BS534" s="1494"/>
      <c r="BT534" s="1494"/>
      <c r="BU534" s="1494"/>
      <c r="BV534" s="1494"/>
      <c r="BW534" s="1494"/>
      <c r="BX534" s="1494"/>
      <c r="BY534" s="1494"/>
      <c r="BZ534" s="1494"/>
      <c r="CA534" s="1494"/>
      <c r="CB534" s="1494"/>
      <c r="CC534" s="1494"/>
      <c r="CD534" s="1494"/>
      <c r="CE534" s="1494"/>
      <c r="CF534" s="1494"/>
      <c r="CG534" s="1494"/>
      <c r="CH534" s="1494"/>
      <c r="CI534" s="1494"/>
      <c r="CJ534" s="1494"/>
      <c r="CK534" s="1494"/>
      <c r="CL534" s="1494"/>
      <c r="CM534" s="1494"/>
      <c r="CN534" s="1494"/>
      <c r="CO534" s="1494"/>
      <c r="CP534" s="1494"/>
      <c r="CQ534" s="1494"/>
      <c r="CR534" s="1494"/>
      <c r="CS534" s="1494"/>
      <c r="CT534" s="1494"/>
      <c r="CU534" s="1494"/>
      <c r="CV534" s="1494"/>
      <c r="CW534" s="1494"/>
      <c r="CX534" s="1494"/>
      <c r="CY534" s="1494"/>
      <c r="CZ534" s="1494"/>
      <c r="DA534" s="1494"/>
      <c r="DB534" s="1494"/>
      <c r="DC534" s="1494"/>
      <c r="DD534" s="1494"/>
      <c r="DE534" s="1494"/>
      <c r="DF534" s="1494"/>
      <c r="DG534" s="1494"/>
      <c r="DH534" s="1494"/>
      <c r="DI534" s="1494"/>
      <c r="DJ534" s="1494"/>
      <c r="DK534" s="1494"/>
      <c r="DL534" s="1494"/>
      <c r="DM534" s="1494"/>
      <c r="DN534" s="1494"/>
      <c r="DO534" s="1494"/>
      <c r="DP534" s="1494"/>
      <c r="DQ534" s="1494"/>
      <c r="DR534" s="1494"/>
      <c r="DS534" s="1494"/>
      <c r="DT534" s="1494"/>
      <c r="DU534" s="1494"/>
      <c r="DV534" s="1494"/>
      <c r="DW534" s="1494"/>
      <c r="DX534" s="1494"/>
      <c r="DY534" s="1494"/>
      <c r="DZ534" s="1494"/>
      <c r="EA534" s="1494"/>
      <c r="EB534" s="1494"/>
      <c r="EC534" s="1494"/>
      <c r="ED534" s="1494"/>
      <c r="EE534" s="1494"/>
      <c r="EF534" s="1494"/>
      <c r="EG534" s="1494"/>
      <c r="EH534" s="1494"/>
      <c r="EI534" s="1494"/>
      <c r="EJ534" s="1494"/>
      <c r="EK534" s="1494"/>
      <c r="EL534" s="1494"/>
      <c r="EM534" s="1494"/>
      <c r="EN534" s="1494"/>
      <c r="EO534" s="1494"/>
      <c r="EP534" s="1494"/>
      <c r="EQ534" s="1494"/>
      <c r="ER534" s="1494"/>
      <c r="ES534" s="1494"/>
      <c r="ET534" s="1494"/>
      <c r="EU534" s="1494"/>
      <c r="EV534" s="1494"/>
      <c r="EW534" s="1494"/>
      <c r="EX534" s="1494"/>
      <c r="EY534" s="1494"/>
      <c r="EZ534" s="1494"/>
      <c r="FA534" s="1494"/>
      <c r="FB534" s="1494"/>
      <c r="FC534" s="1494"/>
      <c r="FD534" s="1494"/>
      <c r="FE534" s="1494"/>
      <c r="FF534" s="1494"/>
      <c r="FG534" s="1494"/>
      <c r="FH534" s="1494"/>
      <c r="FI534" s="1494"/>
      <c r="FJ534" s="1494"/>
      <c r="FK534" s="1494"/>
      <c r="FL534" s="1494"/>
      <c r="FM534" s="1494"/>
      <c r="FN534" s="1494"/>
      <c r="FO534" s="1494"/>
      <c r="FP534" s="1494"/>
      <c r="FQ534" s="1494"/>
      <c r="FR534" s="1494"/>
      <c r="FS534" s="1494"/>
      <c r="FT534" s="1494"/>
      <c r="FU534" s="1494"/>
      <c r="FV534" s="1494"/>
      <c r="FW534" s="1494"/>
      <c r="FX534" s="1494"/>
      <c r="FY534" s="1494"/>
      <c r="FZ534" s="1494"/>
      <c r="GA534" s="1494"/>
      <c r="GB534" s="1494"/>
      <c r="GC534" s="1494"/>
      <c r="GD534" s="1494"/>
      <c r="GE534" s="1494"/>
      <c r="GF534" s="1494"/>
      <c r="GG534" s="1494"/>
      <c r="GH534" s="1494"/>
      <c r="GI534" s="1494"/>
      <c r="GJ534" s="1494"/>
      <c r="GK534" s="1494"/>
      <c r="GL534" s="1494"/>
      <c r="GM534" s="1494"/>
      <c r="GN534" s="1494"/>
      <c r="GO534" s="1494"/>
      <c r="GP534" s="1494"/>
      <c r="GQ534" s="1494"/>
      <c r="GR534" s="1494"/>
      <c r="GS534" s="1494"/>
      <c r="GT534" s="1494"/>
      <c r="GU534" s="1494"/>
      <c r="GV534" s="1494"/>
      <c r="GW534" s="1494"/>
      <c r="GX534" s="1494"/>
      <c r="GY534" s="1494"/>
      <c r="GZ534" s="1494"/>
      <c r="HA534" s="1494"/>
      <c r="HB534" s="1494"/>
      <c r="HC534" s="1494"/>
      <c r="HD534" s="1494"/>
      <c r="HE534" s="1494"/>
      <c r="HF534" s="1494"/>
      <c r="HG534" s="1494"/>
      <c r="HH534" s="1494"/>
      <c r="HI534" s="1494"/>
      <c r="HJ534" s="1494"/>
      <c r="HK534" s="1494"/>
      <c r="HL534" s="1494"/>
      <c r="HM534" s="1494"/>
      <c r="HN534" s="1494"/>
      <c r="HO534" s="1494"/>
      <c r="HP534" s="1494"/>
      <c r="HQ534" s="1494"/>
      <c r="HR534" s="1494"/>
      <c r="HS534" s="1494"/>
      <c r="HT534" s="1494"/>
      <c r="HU534" s="1494"/>
      <c r="HV534" s="1494"/>
      <c r="HW534" s="1494"/>
      <c r="HX534" s="1494"/>
      <c r="HY534" s="1494"/>
      <c r="HZ534" s="1494"/>
      <c r="IA534" s="1494"/>
      <c r="IB534" s="1494"/>
      <c r="IC534" s="1494"/>
      <c r="ID534" s="1494"/>
      <c r="IE534" s="1494"/>
      <c r="IF534" s="1494"/>
      <c r="IG534" s="1494"/>
      <c r="IH534" s="1494"/>
      <c r="II534" s="1494"/>
      <c r="IJ534" s="1494"/>
      <c r="IK534" s="1494"/>
      <c r="IL534" s="1494"/>
      <c r="IM534" s="1494"/>
      <c r="IN534" s="1494"/>
      <c r="IO534" s="49"/>
    </row>
    <row r="535" spans="1:249" s="5" customFormat="1" ht="25.5" customHeight="1">
      <c r="A535" s="99" t="s">
        <v>282</v>
      </c>
      <c r="B535" s="44"/>
      <c r="C535" s="44"/>
      <c r="D535" s="44"/>
      <c r="E535" s="44"/>
      <c r="F535" s="44"/>
      <c r="G535" s="44"/>
      <c r="I535" s="104" t="str">
        <f>E476</f>
        <v>B1/ Nb-LT/800</v>
      </c>
      <c r="J535" s="44"/>
      <c r="K535" s="44"/>
      <c r="L535" s="44"/>
      <c r="M535" s="44"/>
      <c r="N535" s="44"/>
      <c r="O535" s="49"/>
      <c r="P535" s="49"/>
      <c r="Q535" s="49"/>
      <c r="R535" s="49"/>
      <c r="S535" s="49"/>
      <c r="T535" s="49"/>
      <c r="U535" s="49"/>
      <c r="V535" s="49"/>
      <c r="W535" s="49"/>
      <c r="X535" s="49"/>
      <c r="Y535" s="49"/>
      <c r="Z535" s="49"/>
      <c r="AA535" s="49"/>
      <c r="AB535" s="49"/>
      <c r="AC535" s="49"/>
      <c r="AD535" s="1494"/>
      <c r="AE535" s="1494"/>
      <c r="AF535" s="1494"/>
      <c r="AG535" s="1494"/>
      <c r="AH535" s="1494"/>
      <c r="AI535" s="1494"/>
      <c r="AJ535" s="1494"/>
      <c r="AK535" s="1494"/>
      <c r="AL535" s="1494"/>
      <c r="AM535" s="1494"/>
      <c r="AN535" s="1494"/>
      <c r="AO535" s="1494"/>
      <c r="AP535" s="1494"/>
      <c r="AQ535" s="1494"/>
      <c r="AR535" s="1494"/>
      <c r="AS535" s="1494"/>
      <c r="AT535" s="1494"/>
      <c r="AU535" s="1494"/>
      <c r="AV535" s="1494"/>
      <c r="AW535" s="1494"/>
      <c r="AX535" s="1494"/>
      <c r="AY535" s="1494"/>
      <c r="AZ535" s="1494"/>
      <c r="BA535" s="1494"/>
      <c r="BB535" s="1494"/>
      <c r="BC535" s="1494"/>
      <c r="BD535" s="1494"/>
      <c r="BE535" s="1494"/>
      <c r="BF535" s="1494"/>
      <c r="BG535" s="1494"/>
      <c r="BH535" s="1494"/>
      <c r="BI535" s="1494"/>
      <c r="BJ535" s="1494"/>
      <c r="BK535" s="1494"/>
      <c r="BL535" s="1494"/>
      <c r="BM535" s="1494"/>
      <c r="BN535" s="1494"/>
      <c r="BO535" s="1494"/>
      <c r="BP535" s="1494"/>
      <c r="BQ535" s="1494"/>
      <c r="BR535" s="1494"/>
      <c r="BS535" s="1494"/>
      <c r="BT535" s="1494"/>
      <c r="BU535" s="1494"/>
      <c r="BV535" s="1494"/>
      <c r="BW535" s="1494"/>
      <c r="BX535" s="1494"/>
      <c r="BY535" s="1494"/>
      <c r="BZ535" s="1494"/>
      <c r="CA535" s="1494"/>
      <c r="CB535" s="1494"/>
      <c r="CC535" s="1494"/>
      <c r="CD535" s="1494"/>
      <c r="CE535" s="1494"/>
      <c r="CF535" s="1494"/>
      <c r="CG535" s="1494"/>
      <c r="CH535" s="1494"/>
      <c r="CI535" s="1494"/>
      <c r="CJ535" s="1494"/>
      <c r="CK535" s="1494"/>
      <c r="CL535" s="1494"/>
      <c r="CM535" s="1494"/>
      <c r="CN535" s="1494"/>
      <c r="CO535" s="1494"/>
      <c r="CP535" s="1494"/>
      <c r="CQ535" s="1494"/>
      <c r="CR535" s="1494"/>
      <c r="CS535" s="1494"/>
      <c r="CT535" s="1494"/>
      <c r="CU535" s="1494"/>
      <c r="CV535" s="1494"/>
      <c r="CW535" s="1494"/>
      <c r="CX535" s="1494"/>
      <c r="CY535" s="1494"/>
      <c r="CZ535" s="1494"/>
      <c r="DA535" s="1494"/>
      <c r="DB535" s="1494"/>
      <c r="DC535" s="1494"/>
      <c r="DD535" s="1494"/>
      <c r="DE535" s="1494"/>
      <c r="DF535" s="1494"/>
      <c r="DG535" s="1494"/>
      <c r="DH535" s="1494"/>
      <c r="DI535" s="1494"/>
      <c r="DJ535" s="1494"/>
      <c r="DK535" s="1494"/>
      <c r="DL535" s="1494"/>
      <c r="DM535" s="1494"/>
      <c r="DN535" s="1494"/>
      <c r="DO535" s="1494"/>
      <c r="DP535" s="1494"/>
      <c r="DQ535" s="1494"/>
      <c r="DR535" s="1494"/>
      <c r="DS535" s="1494"/>
      <c r="DT535" s="1494"/>
      <c r="DU535" s="1494"/>
      <c r="DV535" s="1494"/>
      <c r="DW535" s="1494"/>
      <c r="DX535" s="1494"/>
      <c r="DY535" s="1494"/>
      <c r="DZ535" s="1494"/>
      <c r="EA535" s="1494"/>
      <c r="EB535" s="1494"/>
      <c r="EC535" s="1494"/>
      <c r="ED535" s="1494"/>
      <c r="EE535" s="1494"/>
      <c r="EF535" s="1494"/>
      <c r="EG535" s="1494"/>
      <c r="EH535" s="1494"/>
      <c r="EI535" s="1494"/>
      <c r="EJ535" s="1494"/>
      <c r="EK535" s="1494"/>
      <c r="EL535" s="1494"/>
      <c r="EM535" s="1494"/>
      <c r="EN535" s="1494"/>
      <c r="EO535" s="1494"/>
      <c r="EP535" s="1494"/>
      <c r="EQ535" s="1494"/>
      <c r="ER535" s="1494"/>
      <c r="ES535" s="1494"/>
      <c r="ET535" s="1494"/>
      <c r="EU535" s="1494"/>
      <c r="EV535" s="1494"/>
      <c r="EW535" s="1494"/>
      <c r="EX535" s="1494"/>
      <c r="EY535" s="1494"/>
      <c r="EZ535" s="1494"/>
      <c r="FA535" s="1494"/>
      <c r="FB535" s="1494"/>
      <c r="FC535" s="1494"/>
      <c r="FD535" s="1494"/>
      <c r="FE535" s="1494"/>
      <c r="FF535" s="1494"/>
      <c r="FG535" s="1494"/>
      <c r="FH535" s="1494"/>
      <c r="FI535" s="1494"/>
      <c r="FJ535" s="1494"/>
      <c r="FK535" s="1494"/>
      <c r="FL535" s="1494"/>
      <c r="FM535" s="1494"/>
      <c r="FN535" s="1494"/>
      <c r="FO535" s="1494"/>
      <c r="FP535" s="1494"/>
      <c r="FQ535" s="1494"/>
      <c r="FR535" s="1494"/>
      <c r="FS535" s="1494"/>
      <c r="FT535" s="1494"/>
      <c r="FU535" s="1494"/>
      <c r="FV535" s="1494"/>
      <c r="FW535" s="1494"/>
      <c r="FX535" s="1494"/>
      <c r="FY535" s="1494"/>
      <c r="FZ535" s="1494"/>
      <c r="GA535" s="1494"/>
      <c r="GB535" s="1494"/>
      <c r="GC535" s="1494"/>
      <c r="GD535" s="1494"/>
      <c r="GE535" s="1494"/>
      <c r="GF535" s="1494"/>
      <c r="GG535" s="1494"/>
      <c r="GH535" s="1494"/>
      <c r="GI535" s="1494"/>
      <c r="GJ535" s="1494"/>
      <c r="GK535" s="1494"/>
      <c r="GL535" s="1494"/>
      <c r="GM535" s="1494"/>
      <c r="GN535" s="1494"/>
      <c r="GO535" s="1494"/>
      <c r="GP535" s="1494"/>
      <c r="GQ535" s="1494"/>
      <c r="GR535" s="1494"/>
      <c r="GS535" s="1494"/>
      <c r="GT535" s="1494"/>
      <c r="GU535" s="1494"/>
      <c r="GV535" s="1494"/>
      <c r="GW535" s="1494"/>
      <c r="GX535" s="1494"/>
      <c r="GY535" s="1494"/>
      <c r="GZ535" s="1494"/>
      <c r="HA535" s="1494"/>
      <c r="HB535" s="1494"/>
      <c r="HC535" s="1494"/>
      <c r="HD535" s="1494"/>
      <c r="HE535" s="1494"/>
      <c r="HF535" s="1494"/>
      <c r="HG535" s="1494"/>
      <c r="HH535" s="1494"/>
      <c r="HI535" s="1494"/>
      <c r="HJ535" s="1494"/>
      <c r="HK535" s="1494"/>
      <c r="HL535" s="1494"/>
      <c r="HM535" s="1494"/>
      <c r="HN535" s="1494"/>
      <c r="HO535" s="1494"/>
      <c r="HP535" s="1494"/>
      <c r="HQ535" s="1494"/>
      <c r="HR535" s="1494"/>
      <c r="HS535" s="1494"/>
      <c r="HT535" s="1494"/>
      <c r="HU535" s="1494"/>
      <c r="HV535" s="1494"/>
      <c r="HW535" s="1494"/>
      <c r="HX535" s="1494"/>
      <c r="HY535" s="1494"/>
      <c r="HZ535" s="1494"/>
      <c r="IA535" s="1494"/>
      <c r="IB535" s="1494"/>
      <c r="IC535" s="1494"/>
      <c r="ID535" s="1494"/>
      <c r="IE535" s="1494"/>
      <c r="IF535" s="1494"/>
      <c r="IG535" s="1494"/>
      <c r="IH535" s="1494"/>
      <c r="II535" s="1494"/>
      <c r="IJ535" s="1494"/>
      <c r="IK535" s="1494"/>
      <c r="IL535" s="1494"/>
      <c r="IM535" s="1494"/>
      <c r="IN535" s="1494"/>
      <c r="IO535" s="49"/>
    </row>
    <row r="536" spans="1:249" s="5" customFormat="1" ht="24" customHeight="1">
      <c r="A536" s="1488" t="s">
        <v>236</v>
      </c>
      <c r="B536" s="1488"/>
      <c r="C536" s="1488"/>
      <c r="D536" s="1488"/>
      <c r="E536" s="1488"/>
      <c r="F536" s="1488"/>
      <c r="G536" s="1488"/>
      <c r="H536" s="1488"/>
      <c r="I536" s="1488"/>
      <c r="J536" s="1488"/>
      <c r="K536" s="1488"/>
      <c r="L536" s="1488"/>
      <c r="M536" s="1488"/>
      <c r="N536" s="1488"/>
      <c r="O536" s="49"/>
      <c r="P536" s="49"/>
      <c r="Q536" s="49"/>
      <c r="R536" s="49"/>
      <c r="S536" s="49"/>
      <c r="T536" s="49"/>
      <c r="U536" s="49"/>
      <c r="V536" s="49"/>
      <c r="W536" s="49"/>
      <c r="X536" s="49"/>
      <c r="Y536" s="49"/>
      <c r="Z536" s="49"/>
      <c r="AA536" s="49"/>
      <c r="AB536" s="49"/>
      <c r="AC536" s="49"/>
      <c r="AD536" s="1494"/>
      <c r="AE536" s="1494"/>
      <c r="AF536" s="1494"/>
      <c r="AG536" s="1494"/>
      <c r="AH536" s="1494"/>
      <c r="AI536" s="1494"/>
      <c r="AJ536" s="1494"/>
      <c r="AK536" s="1494"/>
      <c r="AL536" s="1494"/>
      <c r="AM536" s="1494"/>
      <c r="AN536" s="1494"/>
      <c r="AO536" s="1494"/>
      <c r="AP536" s="1494"/>
      <c r="AQ536" s="1494"/>
      <c r="AR536" s="1494"/>
      <c r="AS536" s="1494"/>
      <c r="AT536" s="1494"/>
      <c r="AU536" s="1494"/>
      <c r="AV536" s="1494"/>
      <c r="AW536" s="1494"/>
      <c r="AX536" s="1494"/>
      <c r="AY536" s="1494"/>
      <c r="AZ536" s="1494"/>
      <c r="BA536" s="1494"/>
      <c r="BB536" s="1494"/>
      <c r="BC536" s="1494"/>
      <c r="BD536" s="1494"/>
      <c r="BE536" s="1494"/>
      <c r="BF536" s="1494"/>
      <c r="BG536" s="1494"/>
      <c r="BH536" s="1494"/>
      <c r="BI536" s="1494"/>
      <c r="BJ536" s="1494"/>
      <c r="BK536" s="1494"/>
      <c r="BL536" s="1494"/>
      <c r="BM536" s="1494"/>
      <c r="BN536" s="1494"/>
      <c r="BO536" s="1494"/>
      <c r="BP536" s="1494"/>
      <c r="BQ536" s="1494"/>
      <c r="BR536" s="1494"/>
      <c r="BS536" s="1494"/>
      <c r="BT536" s="1494"/>
      <c r="BU536" s="1494"/>
      <c r="BV536" s="1494"/>
      <c r="BW536" s="1494"/>
      <c r="BX536" s="1494"/>
      <c r="BY536" s="1494"/>
      <c r="BZ536" s="1494"/>
      <c r="CA536" s="1494"/>
      <c r="CB536" s="1494"/>
      <c r="CC536" s="1494"/>
      <c r="CD536" s="1494"/>
      <c r="CE536" s="1494"/>
      <c r="CF536" s="1494"/>
      <c r="CG536" s="1494"/>
      <c r="CH536" s="1494"/>
      <c r="CI536" s="1494"/>
      <c r="CJ536" s="1494"/>
      <c r="CK536" s="1494"/>
      <c r="CL536" s="1494"/>
      <c r="CM536" s="1494"/>
      <c r="CN536" s="1494"/>
      <c r="CO536" s="1494"/>
      <c r="CP536" s="1494"/>
      <c r="CQ536" s="1494"/>
      <c r="CR536" s="1494"/>
      <c r="CS536" s="1494"/>
      <c r="CT536" s="1494"/>
      <c r="CU536" s="1494"/>
      <c r="CV536" s="1494"/>
      <c r="CW536" s="1494"/>
      <c r="CX536" s="1494"/>
      <c r="CY536" s="1494"/>
      <c r="CZ536" s="1494"/>
      <c r="DA536" s="1494"/>
      <c r="DB536" s="1494"/>
      <c r="DC536" s="1494"/>
      <c r="DD536" s="1494"/>
      <c r="DE536" s="1494"/>
      <c r="DF536" s="1494"/>
      <c r="DG536" s="1494"/>
      <c r="DH536" s="1494"/>
      <c r="DI536" s="1494"/>
      <c r="DJ536" s="1494"/>
      <c r="DK536" s="1494"/>
      <c r="DL536" s="1494"/>
      <c r="DM536" s="1494"/>
      <c r="DN536" s="1494"/>
      <c r="DO536" s="1494"/>
      <c r="DP536" s="1494"/>
      <c r="DQ536" s="1494"/>
      <c r="DR536" s="1494"/>
      <c r="DS536" s="1494"/>
      <c r="DT536" s="1494"/>
      <c r="DU536" s="1494"/>
      <c r="DV536" s="1494"/>
      <c r="DW536" s="1494"/>
      <c r="DX536" s="1494"/>
      <c r="DY536" s="1494"/>
      <c r="DZ536" s="1494"/>
      <c r="EA536" s="1494"/>
      <c r="EB536" s="1494"/>
      <c r="EC536" s="1494"/>
      <c r="ED536" s="1494"/>
      <c r="EE536" s="1494"/>
      <c r="EF536" s="1494"/>
      <c r="EG536" s="1494"/>
      <c r="EH536" s="1494"/>
      <c r="EI536" s="1494"/>
      <c r="EJ536" s="1494"/>
      <c r="EK536" s="1494"/>
      <c r="EL536" s="1494"/>
      <c r="EM536" s="1494"/>
      <c r="EN536" s="1494"/>
      <c r="EO536" s="1494"/>
      <c r="EP536" s="1494"/>
      <c r="EQ536" s="1494"/>
      <c r="ER536" s="1494"/>
      <c r="ES536" s="1494"/>
      <c r="ET536" s="1494"/>
      <c r="EU536" s="1494"/>
      <c r="EV536" s="1494"/>
      <c r="EW536" s="1494"/>
      <c r="EX536" s="1494"/>
      <c r="EY536" s="1494"/>
      <c r="EZ536" s="1494"/>
      <c r="FA536" s="1494"/>
      <c r="FB536" s="1494"/>
      <c r="FC536" s="1494"/>
      <c r="FD536" s="1494"/>
      <c r="FE536" s="1494"/>
      <c r="FF536" s="1494"/>
      <c r="FG536" s="1494"/>
      <c r="FH536" s="1494"/>
      <c r="FI536" s="1494"/>
      <c r="FJ536" s="1494"/>
      <c r="FK536" s="1494"/>
      <c r="FL536" s="1494"/>
      <c r="FM536" s="1494"/>
      <c r="FN536" s="1494"/>
      <c r="FO536" s="1494"/>
      <c r="FP536" s="1494"/>
      <c r="FQ536" s="1494"/>
      <c r="FR536" s="1494"/>
      <c r="FS536" s="1494"/>
      <c r="FT536" s="1494"/>
      <c r="FU536" s="1494"/>
      <c r="FV536" s="1494"/>
      <c r="FW536" s="1494"/>
      <c r="FX536" s="1494"/>
      <c r="FY536" s="1494"/>
      <c r="FZ536" s="1494"/>
      <c r="GA536" s="1494"/>
      <c r="GB536" s="1494"/>
      <c r="GC536" s="1494"/>
      <c r="GD536" s="1494"/>
      <c r="GE536" s="1494"/>
      <c r="GF536" s="1494"/>
      <c r="GG536" s="1494"/>
      <c r="GH536" s="1494"/>
      <c r="GI536" s="1494"/>
      <c r="GJ536" s="1494"/>
      <c r="GK536" s="1494"/>
      <c r="GL536" s="1494"/>
      <c r="GM536" s="1494"/>
      <c r="GN536" s="1494"/>
      <c r="GO536" s="1494"/>
      <c r="GP536" s="1494"/>
      <c r="GQ536" s="1494"/>
      <c r="GR536" s="1494"/>
      <c r="GS536" s="1494"/>
      <c r="GT536" s="1494"/>
      <c r="GU536" s="1494"/>
      <c r="GV536" s="1494"/>
      <c r="GW536" s="1494"/>
      <c r="GX536" s="1494"/>
      <c r="GY536" s="1494"/>
      <c r="GZ536" s="1494"/>
      <c r="HA536" s="1494"/>
      <c r="HB536" s="1494"/>
      <c r="HC536" s="1494"/>
      <c r="HD536" s="1494"/>
      <c r="HE536" s="1494"/>
      <c r="HF536" s="1494"/>
      <c r="HG536" s="1494"/>
      <c r="HH536" s="1494"/>
      <c r="HI536" s="1494"/>
      <c r="HJ536" s="1494"/>
      <c r="HK536" s="1494"/>
      <c r="HL536" s="1494"/>
      <c r="HM536" s="1494"/>
      <c r="HN536" s="1494"/>
      <c r="HO536" s="1494"/>
      <c r="HP536" s="1494"/>
      <c r="HQ536" s="1494"/>
      <c r="HR536" s="1494"/>
      <c r="HS536" s="1494"/>
      <c r="HT536" s="1494"/>
      <c r="HU536" s="1494"/>
      <c r="HV536" s="1494"/>
      <c r="HW536" s="1494"/>
      <c r="HX536" s="1494"/>
      <c r="HY536" s="1494"/>
      <c r="HZ536" s="1494"/>
      <c r="IA536" s="1494"/>
      <c r="IB536" s="1494"/>
      <c r="IC536" s="1494"/>
      <c r="ID536" s="1494"/>
      <c r="IE536" s="1494"/>
      <c r="IF536" s="1494"/>
      <c r="IG536" s="1494"/>
      <c r="IH536" s="1494"/>
      <c r="II536" s="1494"/>
      <c r="IJ536" s="1494"/>
      <c r="IK536" s="1494"/>
      <c r="IL536" s="1494"/>
      <c r="IM536" s="1494"/>
      <c r="IN536" s="1494"/>
      <c r="IO536" s="49"/>
    </row>
    <row r="537" spans="1:249" s="5" customFormat="1" ht="24" customHeight="1">
      <c r="A537"/>
      <c r="B537" s="1520" t="s">
        <v>237</v>
      </c>
      <c r="C537" s="1520"/>
      <c r="D537" s="1520"/>
      <c r="E537" s="1520"/>
      <c r="F537" s="1520"/>
      <c r="G537" s="1520"/>
      <c r="H537" s="1520"/>
      <c r="I537" s="1520"/>
      <c r="J537" s="50"/>
      <c r="K537" s="50"/>
      <c r="L537" s="50"/>
      <c r="M537" s="50"/>
      <c r="N537" s="50"/>
      <c r="P537" s="4"/>
      <c r="Q537" s="105"/>
      <c r="R537" s="105"/>
      <c r="S537" s="105"/>
      <c r="T537" s="105"/>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c r="BP537" s="49"/>
      <c r="BQ537" s="49"/>
      <c r="BR537" s="49"/>
      <c r="BS537" s="49"/>
      <c r="BT537" s="49"/>
      <c r="BU537" s="49"/>
      <c r="BV537" s="49"/>
      <c r="BW537" s="49"/>
      <c r="BX537" s="49"/>
      <c r="BY537" s="49"/>
      <c r="BZ537" s="49"/>
      <c r="CA537" s="49"/>
      <c r="CB537" s="49"/>
      <c r="CC537" s="49"/>
      <c r="CD537" s="49"/>
      <c r="CE537" s="49"/>
      <c r="CF537" s="49"/>
      <c r="CG537" s="49"/>
      <c r="CH537" s="49"/>
      <c r="CI537" s="49"/>
      <c r="CJ537" s="49"/>
      <c r="CK537" s="49"/>
      <c r="CL537" s="49"/>
      <c r="CM537" s="49"/>
      <c r="CN537" s="49"/>
      <c r="CO537" s="49"/>
      <c r="CP537" s="49"/>
      <c r="CQ537" s="49"/>
      <c r="CR537" s="49"/>
      <c r="CS537" s="49"/>
      <c r="CT537" s="49"/>
      <c r="CU537" s="49"/>
      <c r="CV537" s="49"/>
      <c r="CW537" s="49"/>
      <c r="CX537" s="49"/>
      <c r="CY537" s="49"/>
      <c r="CZ537" s="49"/>
      <c r="DA537" s="49"/>
      <c r="DB537" s="49"/>
      <c r="DC537" s="49"/>
      <c r="DD537" s="49"/>
      <c r="DE537" s="49"/>
      <c r="DF537" s="49"/>
      <c r="DG537" s="49"/>
      <c r="DH537" s="49"/>
      <c r="DI537" s="49"/>
      <c r="DJ537" s="49"/>
      <c r="DK537" s="49"/>
      <c r="DL537" s="49"/>
      <c r="DM537" s="49"/>
      <c r="DN537" s="49"/>
      <c r="DO537" s="49"/>
      <c r="DP537" s="49"/>
      <c r="DQ537" s="49"/>
      <c r="DR537" s="49"/>
      <c r="DS537" s="49"/>
      <c r="DT537" s="49"/>
      <c r="DU537" s="49"/>
      <c r="DV537" s="49"/>
      <c r="DW537" s="49"/>
      <c r="DX537" s="49"/>
      <c r="DY537" s="49"/>
      <c r="DZ537" s="49"/>
      <c r="EA537" s="49"/>
      <c r="EB537" s="49"/>
      <c r="EC537" s="49"/>
      <c r="ED537" s="49"/>
      <c r="EE537" s="49"/>
      <c r="EF537" s="49"/>
      <c r="EG537" s="49"/>
      <c r="EH537" s="49"/>
      <c r="EI537" s="49"/>
      <c r="EJ537" s="49"/>
      <c r="EK537" s="49"/>
      <c r="EL537" s="49"/>
      <c r="EM537" s="49"/>
      <c r="EN537" s="49"/>
      <c r="EO537" s="49"/>
      <c r="EP537" s="49"/>
      <c r="EQ537" s="49"/>
      <c r="ER537" s="49"/>
      <c r="ES537" s="49"/>
      <c r="ET537" s="49"/>
      <c r="EU537" s="49"/>
      <c r="EV537" s="49"/>
      <c r="EW537" s="49"/>
      <c r="EX537" s="49"/>
      <c r="EY537" s="49"/>
      <c r="EZ537" s="49"/>
      <c r="FA537" s="49"/>
      <c r="FB537" s="49"/>
      <c r="FC537" s="49"/>
      <c r="FD537" s="49"/>
      <c r="FE537" s="49"/>
      <c r="FF537" s="49"/>
      <c r="FG537" s="49"/>
      <c r="FH537" s="49"/>
      <c r="FI537" s="49"/>
      <c r="FJ537" s="49"/>
      <c r="FK537" s="49"/>
      <c r="FL537" s="49"/>
      <c r="FM537" s="49"/>
      <c r="FN537" s="49"/>
      <c r="FO537" s="49"/>
      <c r="FP537" s="49"/>
      <c r="FQ537" s="49"/>
      <c r="FR537" s="49"/>
      <c r="FS537" s="49"/>
      <c r="FT537" s="49"/>
      <c r="FU537" s="49"/>
      <c r="FV537" s="49"/>
      <c r="FW537" s="49"/>
      <c r="FX537" s="49"/>
      <c r="FY537" s="49"/>
      <c r="FZ537" s="49"/>
      <c r="GA537" s="49"/>
      <c r="GB537" s="49"/>
      <c r="GC537" s="49"/>
      <c r="GD537" s="49"/>
      <c r="GE537" s="49"/>
      <c r="GF537" s="49"/>
      <c r="GG537" s="49"/>
      <c r="GH537" s="49"/>
      <c r="GI537" s="49"/>
      <c r="GJ537" s="49"/>
      <c r="GK537" s="49"/>
      <c r="GL537" s="49"/>
      <c r="GM537" s="49"/>
      <c r="GN537" s="49"/>
      <c r="GO537" s="49"/>
      <c r="GP537" s="49"/>
      <c r="GQ537" s="49"/>
      <c r="GR537" s="49"/>
      <c r="GS537" s="49"/>
      <c r="GT537" s="49"/>
      <c r="GU537" s="49"/>
      <c r="GV537" s="49"/>
      <c r="GW537" s="49"/>
      <c r="GX537" s="49"/>
      <c r="GY537" s="49"/>
      <c r="GZ537" s="49"/>
      <c r="HA537" s="49"/>
      <c r="HB537" s="49"/>
      <c r="HC537" s="49"/>
      <c r="HD537" s="49"/>
      <c r="HE537" s="49"/>
      <c r="HF537" s="49"/>
      <c r="HG537" s="49"/>
      <c r="HH537" s="49"/>
      <c r="HI537" s="49"/>
      <c r="HJ537" s="49"/>
      <c r="HK537" s="49"/>
      <c r="HL537" s="49"/>
      <c r="HM537" s="49"/>
      <c r="HN537" s="49"/>
      <c r="HO537" s="49"/>
      <c r="HP537" s="49"/>
      <c r="HQ537" s="49"/>
      <c r="HR537" s="49"/>
      <c r="HS537" s="49"/>
      <c r="HT537" s="49"/>
      <c r="HU537" s="49"/>
      <c r="HV537" s="49"/>
      <c r="HW537" s="49"/>
      <c r="HX537" s="49"/>
      <c r="HY537" s="49"/>
      <c r="HZ537" s="49"/>
      <c r="IA537" s="49"/>
      <c r="IB537" s="49"/>
      <c r="IC537" s="49"/>
      <c r="ID537" s="49"/>
      <c r="IE537" s="49"/>
      <c r="IF537" s="49"/>
      <c r="IG537" s="49"/>
      <c r="IH537" s="49"/>
      <c r="II537" s="49"/>
      <c r="IJ537" s="49"/>
      <c r="IK537" s="49"/>
      <c r="IL537" s="49"/>
      <c r="IM537" s="49"/>
      <c r="IN537" s="49"/>
      <c r="IO537" s="49"/>
    </row>
    <row r="538" spans="1:249" s="5" customFormat="1" ht="24" customHeight="1">
      <c r="A538" s="1559" t="s">
        <v>191</v>
      </c>
      <c r="B538" s="1523" t="s">
        <v>238</v>
      </c>
      <c r="C538" s="1524"/>
      <c r="D538" s="1524"/>
      <c r="E538" s="1524"/>
      <c r="F538" s="1524"/>
      <c r="G538" s="1525"/>
      <c r="H538" s="1523" t="s">
        <v>239</v>
      </c>
      <c r="I538" s="1524"/>
      <c r="J538" s="1524"/>
      <c r="K538" s="1524"/>
      <c r="L538" s="1525"/>
      <c r="M538" s="1529" t="s">
        <v>240</v>
      </c>
      <c r="N538" s="1530"/>
      <c r="P538" s="4"/>
      <c r="Q538" s="105"/>
      <c r="R538" s="105"/>
      <c r="S538" s="105"/>
      <c r="T538" s="105"/>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row>
    <row r="539" spans="1:249" s="5" customFormat="1" ht="23.25" customHeight="1">
      <c r="A539" s="1560"/>
      <c r="B539" s="1526"/>
      <c r="C539" s="1527"/>
      <c r="D539" s="1527"/>
      <c r="E539" s="1527"/>
      <c r="F539" s="1527"/>
      <c r="G539" s="1528"/>
      <c r="H539" s="1526"/>
      <c r="I539" s="1527"/>
      <c r="J539" s="1527"/>
      <c r="K539" s="1527"/>
      <c r="L539" s="1528"/>
      <c r="M539" s="51" t="s">
        <v>241</v>
      </c>
      <c r="N539" s="51" t="s">
        <v>242</v>
      </c>
      <c r="P539" s="4"/>
      <c r="Q539" s="129"/>
      <c r="R539" s="129"/>
      <c r="S539" s="129"/>
      <c r="T539" s="129"/>
      <c r="U539" s="127"/>
      <c r="V539" s="127"/>
      <c r="W539" s="127"/>
      <c r="X539" s="127"/>
      <c r="Y539" s="127"/>
      <c r="Z539" s="127"/>
      <c r="AA539" s="127"/>
      <c r="AB539" s="127"/>
      <c r="AC539" s="127"/>
      <c r="AD539" s="127"/>
      <c r="AE539" s="127"/>
      <c r="AF539" s="127"/>
    </row>
    <row r="540" spans="1:249" s="5" customFormat="1" ht="23.25" customHeight="1">
      <c r="A540" s="52">
        <v>1</v>
      </c>
      <c r="B540" s="1508" t="str">
        <f>B423</f>
        <v>§­êng kÝnh cèt thÐp</v>
      </c>
      <c r="C540" s="1509"/>
      <c r="D540" s="1509"/>
      <c r="E540" s="1509"/>
      <c r="F540" s="1509"/>
      <c r="G540" s="1510"/>
      <c r="H540" s="1567" t="str">
        <f>H423</f>
        <v>Th­íc kÑp</v>
      </c>
      <c r="I540" s="1568"/>
      <c r="J540" s="1568"/>
      <c r="K540" s="1568"/>
      <c r="L540" s="1569"/>
      <c r="M540" s="52" t="s">
        <v>245</v>
      </c>
      <c r="N540" s="53"/>
      <c r="P540" s="4"/>
      <c r="Q540" s="129"/>
      <c r="R540" s="129"/>
      <c r="S540" s="129"/>
      <c r="T540" s="129"/>
      <c r="U540" s="127"/>
      <c r="V540" s="127"/>
      <c r="W540" s="127"/>
      <c r="X540" s="127"/>
      <c r="Y540" s="127"/>
      <c r="Z540" s="127"/>
      <c r="AA540" s="127"/>
      <c r="AB540" s="127"/>
      <c r="AC540" s="127"/>
      <c r="AD540" s="127"/>
      <c r="AE540" s="127"/>
      <c r="AF540" s="127"/>
    </row>
    <row r="541" spans="1:249" s="5" customFormat="1" ht="22.5" customHeight="1">
      <c r="A541" s="54">
        <v>2</v>
      </c>
      <c r="B541" s="1514" t="str">
        <f>B424</f>
        <v>Sè l­îng thÐp chñ, thÐp ®ai</v>
      </c>
      <c r="C541" s="1515"/>
      <c r="D541" s="1515"/>
      <c r="E541" s="1515"/>
      <c r="F541" s="1515"/>
      <c r="G541" s="1516"/>
      <c r="H541" s="1564" t="str">
        <f>H424</f>
        <v>Trùc quan</v>
      </c>
      <c r="I541" s="1565"/>
      <c r="J541" s="1565"/>
      <c r="K541" s="1565"/>
      <c r="L541" s="1566"/>
      <c r="M541" s="54" t="s">
        <v>245</v>
      </c>
      <c r="N541" s="55"/>
      <c r="P541" s="4"/>
      <c r="Q541" s="129"/>
      <c r="R541" s="129"/>
      <c r="S541" s="129"/>
      <c r="T541" s="129"/>
      <c r="U541" s="127"/>
      <c r="V541" s="127"/>
      <c r="W541" s="127"/>
      <c r="X541" s="127"/>
      <c r="Y541" s="127"/>
      <c r="Z541" s="127"/>
      <c r="AA541" s="127"/>
      <c r="AB541" s="127"/>
      <c r="AC541" s="127"/>
      <c r="AD541" s="127"/>
      <c r="AE541" s="127"/>
      <c r="AF541" s="127"/>
    </row>
    <row r="542" spans="1:249" s="5" customFormat="1" ht="21.75" customHeight="1">
      <c r="A542" s="54">
        <v>3</v>
      </c>
      <c r="B542" s="1514" t="str">
        <f>B425</f>
        <v>Quy c¸ch gia c«ng</v>
      </c>
      <c r="C542" s="1515"/>
      <c r="D542" s="1515"/>
      <c r="E542" s="1515"/>
      <c r="F542" s="1515"/>
      <c r="G542" s="1516"/>
      <c r="H542" s="1564" t="str">
        <f>H425</f>
        <v>Th­íc mÐt</v>
      </c>
      <c r="I542" s="1565"/>
      <c r="J542" s="1565"/>
      <c r="K542" s="1565"/>
      <c r="L542" s="1566"/>
      <c r="M542" s="54" t="s">
        <v>245</v>
      </c>
      <c r="N542" s="55"/>
      <c r="P542" s="4"/>
      <c r="Q542" s="129"/>
      <c r="R542" s="129"/>
      <c r="S542" s="129"/>
      <c r="T542" s="129"/>
      <c r="U542" s="127"/>
      <c r="V542" s="127"/>
      <c r="W542" s="127"/>
      <c r="X542" s="127"/>
      <c r="Y542" s="127"/>
      <c r="Z542" s="127"/>
      <c r="AA542" s="127"/>
      <c r="AB542" s="127"/>
      <c r="AC542" s="127"/>
      <c r="AD542" s="127"/>
      <c r="AE542" s="127"/>
      <c r="AF542" s="127"/>
    </row>
    <row r="543" spans="1:249" s="5" customFormat="1" ht="21.75" customHeight="1">
      <c r="A543" s="54">
        <v>4</v>
      </c>
      <c r="B543" s="1514" t="str">
        <f>B426</f>
        <v>Sè l­îng, chñng lo¹i èng siªu ©m</v>
      </c>
      <c r="C543" s="1515"/>
      <c r="D543" s="1515"/>
      <c r="E543" s="1515"/>
      <c r="F543" s="1515"/>
      <c r="G543" s="1516"/>
      <c r="H543" s="1564" t="str">
        <f>H426</f>
        <v>Th­íc mÐt, trùc quan</v>
      </c>
      <c r="I543" s="1565"/>
      <c r="J543" s="1565"/>
      <c r="K543" s="1565"/>
      <c r="L543" s="1566"/>
      <c r="M543" s="54" t="s">
        <v>245</v>
      </c>
      <c r="N543" s="55"/>
      <c r="P543" s="4"/>
      <c r="Q543" s="129"/>
      <c r="R543" s="129"/>
      <c r="S543" s="129"/>
      <c r="T543" s="129"/>
      <c r="U543" s="127"/>
      <c r="V543" s="127"/>
      <c r="W543" s="127"/>
      <c r="X543" s="127"/>
      <c r="Y543" s="127"/>
      <c r="Z543" s="127"/>
      <c r="AA543" s="127"/>
      <c r="AB543" s="127"/>
      <c r="AC543" s="127"/>
      <c r="AD543" s="127"/>
      <c r="AE543" s="127"/>
      <c r="AF543" s="127"/>
    </row>
    <row r="544" spans="1:249" s="5" customFormat="1" ht="21" customHeight="1">
      <c r="A544" s="56">
        <v>5</v>
      </c>
      <c r="B544" s="1498" t="str">
        <f>B427</f>
        <v>VÖ sinh</v>
      </c>
      <c r="C544" s="1499"/>
      <c r="D544" s="1499"/>
      <c r="E544" s="1499"/>
      <c r="F544" s="1499"/>
      <c r="G544" s="1500"/>
      <c r="H544" s="1570" t="str">
        <f>H427</f>
        <v>Trùc quan</v>
      </c>
      <c r="I544" s="1571"/>
      <c r="J544" s="1571"/>
      <c r="K544" s="1571"/>
      <c r="L544" s="1572"/>
      <c r="M544" s="56" t="s">
        <v>245</v>
      </c>
      <c r="N544" s="57"/>
      <c r="P544" s="4"/>
      <c r="Q544" s="129"/>
      <c r="R544" s="129"/>
      <c r="S544" s="129"/>
      <c r="T544" s="129"/>
      <c r="U544" s="127"/>
      <c r="V544" s="127"/>
      <c r="W544" s="127"/>
      <c r="X544" s="127"/>
      <c r="Y544" s="127"/>
      <c r="Z544" s="127"/>
      <c r="AA544" s="127"/>
      <c r="AB544" s="127"/>
      <c r="AC544" s="127"/>
      <c r="AD544" s="127"/>
      <c r="AE544" s="127"/>
      <c r="AF544" s="127"/>
    </row>
    <row r="545" spans="1:32" s="5" customFormat="1" ht="24" customHeight="1">
      <c r="A545" s="58"/>
      <c r="B545" s="106" t="s">
        <v>249</v>
      </c>
      <c r="C545" s="106"/>
      <c r="D545" s="106"/>
      <c r="E545" s="106"/>
      <c r="F545" s="60"/>
      <c r="G545" s="1504" t="s">
        <v>176</v>
      </c>
      <c r="H545" s="1504"/>
      <c r="I545" s="1504"/>
      <c r="J545" s="1504"/>
      <c r="K545" s="60"/>
      <c r="L545" s="60"/>
      <c r="M545" s="60"/>
      <c r="N545" s="60"/>
      <c r="P545" s="4"/>
      <c r="Q545" s="129"/>
      <c r="R545" s="129"/>
      <c r="S545" s="129"/>
      <c r="T545" s="129"/>
      <c r="U545" s="127"/>
      <c r="V545" s="127"/>
      <c r="W545" s="127"/>
      <c r="X545" s="127"/>
      <c r="Y545" s="127"/>
      <c r="Z545" s="127"/>
      <c r="AA545" s="127"/>
      <c r="AB545" s="127"/>
      <c r="AC545" s="127"/>
      <c r="AD545" s="127"/>
      <c r="AE545" s="127"/>
      <c r="AF545" s="127"/>
    </row>
    <row r="546" spans="1:32" s="5" customFormat="1" ht="23.25" customHeight="1">
      <c r="A546" s="31" t="s">
        <v>250</v>
      </c>
      <c r="B546" s="31"/>
      <c r="C546" s="31"/>
      <c r="D546" s="31"/>
      <c r="E546" s="61"/>
      <c r="F546" s="61"/>
      <c r="G546" s="61"/>
      <c r="H546" s="61"/>
      <c r="I546" s="61"/>
      <c r="J546" s="61"/>
      <c r="K546" s="61"/>
      <c r="L546" s="61"/>
      <c r="M546" s="61"/>
      <c r="N546" s="61"/>
      <c r="P546" s="4"/>
      <c r="Q546" s="129"/>
      <c r="R546" s="129"/>
      <c r="S546" s="129"/>
      <c r="T546" s="129"/>
      <c r="U546" s="127"/>
      <c r="V546" s="127"/>
      <c r="W546" s="127"/>
      <c r="X546" s="127"/>
      <c r="Y546" s="127"/>
      <c r="Z546" s="127"/>
      <c r="AA546" s="127"/>
      <c r="AB546" s="127"/>
      <c r="AC546" s="127"/>
      <c r="AD546" s="127"/>
      <c r="AE546" s="127"/>
      <c r="AF546" s="127"/>
    </row>
    <row r="547" spans="1:32" s="5" customFormat="1" ht="35.25" customHeight="1">
      <c r="A547" s="62"/>
      <c r="B547" s="1505" t="s">
        <v>251</v>
      </c>
      <c r="C547" s="1505"/>
      <c r="D547" s="1505"/>
      <c r="E547" s="1505"/>
      <c r="F547" s="1505"/>
      <c r="G547" s="1505"/>
      <c r="H547" s="1505"/>
      <c r="I547" s="1505"/>
      <c r="J547" s="1505"/>
      <c r="K547" s="1505"/>
      <c r="L547" s="1505"/>
      <c r="M547" s="1505"/>
      <c r="N547" s="1505"/>
      <c r="P547" s="4"/>
      <c r="Q547" s="129"/>
      <c r="R547" s="129"/>
      <c r="S547" s="129"/>
      <c r="T547" s="129"/>
      <c r="U547" s="127"/>
      <c r="V547" s="127"/>
      <c r="W547" s="127"/>
      <c r="X547" s="127"/>
      <c r="Y547" s="127"/>
      <c r="Z547" s="127"/>
      <c r="AA547" s="127"/>
      <c r="AB547" s="127"/>
      <c r="AC547" s="127"/>
      <c r="AD547" s="127"/>
      <c r="AE547" s="127"/>
      <c r="AF547" s="127"/>
    </row>
    <row r="548" spans="1:32" s="5" customFormat="1" ht="24.75" customHeight="1">
      <c r="A548" s="58"/>
      <c r="B548" s="1506"/>
      <c r="C548" s="1506"/>
      <c r="D548" s="1506"/>
      <c r="E548" s="1506"/>
      <c r="F548" s="1507"/>
      <c r="G548" s="1507"/>
      <c r="H548" s="1507"/>
      <c r="I548" s="1507"/>
      <c r="J548" s="1507"/>
      <c r="K548" s="1507"/>
      <c r="L548" s="1507"/>
      <c r="M548" s="50"/>
      <c r="N548" s="50"/>
      <c r="P548" s="4"/>
      <c r="Q548" s="129"/>
      <c r="R548" s="129"/>
      <c r="S548" s="129"/>
      <c r="T548" s="129"/>
      <c r="U548" s="127"/>
      <c r="V548" s="127"/>
      <c r="W548" s="127"/>
      <c r="X548" s="127"/>
      <c r="Y548" s="127"/>
      <c r="Z548" s="127"/>
      <c r="AA548" s="127"/>
      <c r="AB548" s="127"/>
      <c r="AC548" s="127"/>
      <c r="AD548" s="127"/>
      <c r="AE548" s="127"/>
      <c r="AF548" s="127"/>
    </row>
    <row r="549" spans="1:32" s="5" customFormat="1" ht="20.25" customHeight="1">
      <c r="A549" s="107"/>
      <c r="B549" s="1561" t="s">
        <v>283</v>
      </c>
      <c r="C549" s="1561"/>
      <c r="D549" s="1561"/>
      <c r="E549" s="1561"/>
      <c r="F549" s="1561"/>
      <c r="G549" s="107"/>
      <c r="M549" s="1561" t="s">
        <v>273</v>
      </c>
      <c r="N549" s="1561"/>
      <c r="P549" s="4"/>
      <c r="Q549" s="129"/>
      <c r="R549" s="129"/>
      <c r="S549" s="129"/>
      <c r="T549" s="129"/>
      <c r="U549" s="127"/>
      <c r="V549" s="127"/>
      <c r="W549" s="127"/>
      <c r="X549" s="127"/>
      <c r="Y549" s="127"/>
      <c r="Z549" s="127"/>
      <c r="AA549" s="127"/>
      <c r="AB549" s="127"/>
      <c r="AC549" s="127"/>
      <c r="AD549" s="127"/>
      <c r="AE549" s="127"/>
      <c r="AF549" s="127"/>
    </row>
    <row r="550" spans="1:32" s="5" customFormat="1" ht="21.75" customHeight="1">
      <c r="A550" s="1532"/>
      <c r="B550" s="1532"/>
      <c r="C550" s="1532"/>
      <c r="D550" s="1532"/>
      <c r="E550" s="1532"/>
      <c r="F550" s="1532"/>
      <c r="G550" s="1532"/>
      <c r="M550" s="50"/>
      <c r="N550" s="50"/>
      <c r="O550" s="108"/>
      <c r="P550" s="73"/>
      <c r="Q550" s="129"/>
      <c r="R550" s="129"/>
      <c r="S550" s="129"/>
      <c r="T550" s="129"/>
      <c r="U550" s="127"/>
      <c r="V550" s="127"/>
      <c r="W550" s="127"/>
      <c r="X550" s="127"/>
      <c r="Y550" s="127"/>
      <c r="Z550" s="127"/>
      <c r="AA550" s="127"/>
      <c r="AB550" s="127"/>
      <c r="AC550" s="127"/>
      <c r="AD550" s="127"/>
      <c r="AE550" s="127"/>
      <c r="AF550" s="127"/>
    </row>
    <row r="551" spans="1:32" s="5" customFormat="1" ht="16.5">
      <c r="A551" s="1532"/>
      <c r="B551" s="1532"/>
      <c r="C551" s="1532"/>
      <c r="D551" s="1532"/>
      <c r="E551" s="1532"/>
      <c r="F551" s="1532"/>
      <c r="G551" s="1532"/>
      <c r="M551" s="50"/>
      <c r="N551" s="50"/>
      <c r="P551" s="4"/>
      <c r="Q551" s="129"/>
      <c r="R551" s="129"/>
      <c r="S551" s="129"/>
      <c r="T551" s="129"/>
      <c r="U551" s="127"/>
      <c r="V551" s="127"/>
      <c r="W551" s="127"/>
      <c r="X551" s="127"/>
      <c r="Y551" s="127"/>
      <c r="Z551" s="127"/>
      <c r="AA551" s="127"/>
      <c r="AB551" s="127"/>
      <c r="AC551" s="127"/>
      <c r="AD551" s="127"/>
      <c r="AE551" s="127"/>
      <c r="AF551" s="127"/>
    </row>
    <row r="552" spans="1:32" s="108" customFormat="1" ht="24.75" customHeight="1">
      <c r="A552" s="5"/>
      <c r="B552" s="5"/>
      <c r="C552" s="5"/>
      <c r="D552" s="5"/>
      <c r="E552" s="5"/>
      <c r="F552" s="5"/>
      <c r="G552" s="5"/>
      <c r="M552" s="5"/>
      <c r="N552" s="5"/>
      <c r="O552" s="5"/>
      <c r="P552" s="4"/>
      <c r="Q552" s="111"/>
      <c r="R552" s="111"/>
      <c r="S552" s="111"/>
      <c r="T552" s="111"/>
    </row>
    <row r="553" spans="1:32" s="5" customFormat="1" ht="16.5" customHeight="1">
      <c r="Q553" s="129"/>
      <c r="R553" s="129"/>
      <c r="S553" s="129"/>
      <c r="T553" s="129"/>
      <c r="U553" s="127"/>
      <c r="V553" s="127"/>
      <c r="W553" s="127"/>
      <c r="X553" s="127"/>
      <c r="Y553" s="127"/>
      <c r="Z553" s="127"/>
      <c r="AA553" s="127"/>
      <c r="AB553" s="127"/>
      <c r="AC553" s="127"/>
      <c r="AD553" s="127"/>
      <c r="AE553" s="127"/>
      <c r="AF553" s="127"/>
    </row>
    <row r="554" spans="1:32" s="5" customFormat="1" ht="16.5" customHeight="1">
      <c r="A554" s="112"/>
      <c r="B554" s="112"/>
      <c r="C554" s="112"/>
      <c r="D554" s="112"/>
      <c r="E554" s="112"/>
      <c r="F554" s="112"/>
      <c r="G554" s="112"/>
      <c r="M554" s="112"/>
      <c r="Q554" s="129"/>
      <c r="R554" s="129"/>
      <c r="S554" s="129"/>
      <c r="T554" s="129"/>
      <c r="U554" s="127"/>
      <c r="V554" s="127"/>
      <c r="W554" s="127"/>
      <c r="X554" s="127"/>
      <c r="Y554" s="127"/>
      <c r="Z554" s="127"/>
      <c r="AA554" s="127"/>
      <c r="AB554" s="127"/>
      <c r="AC554" s="127"/>
      <c r="AD554" s="127"/>
      <c r="AE554" s="127"/>
      <c r="AF554" s="127"/>
    </row>
    <row r="555" spans="1:32" s="5" customFormat="1" ht="16.5">
      <c r="A555" s="112"/>
      <c r="B555" s="1562" t="str">
        <f>E512</f>
        <v>.....................................</v>
      </c>
      <c r="C555" s="1562"/>
      <c r="D555" s="1562"/>
      <c r="E555" s="1562"/>
      <c r="F555" s="1562"/>
      <c r="G555" s="1562"/>
      <c r="M555" s="1562" t="str">
        <f>E515</f>
        <v>CÔNG TY TNHH MTV HANTECH</v>
      </c>
      <c r="N555" s="1562"/>
      <c r="Q555" s="129"/>
      <c r="R555" s="129"/>
      <c r="S555" s="129"/>
      <c r="T555" s="129"/>
      <c r="U555" s="127"/>
      <c r="V555" s="127"/>
      <c r="W555" s="127"/>
      <c r="X555" s="127"/>
      <c r="Y555" s="127"/>
      <c r="Z555" s="127"/>
      <c r="AA555" s="127"/>
      <c r="AB555" s="127"/>
      <c r="AC555" s="127"/>
      <c r="AD555" s="127"/>
      <c r="AE555" s="127"/>
      <c r="AF555" s="127"/>
    </row>
    <row r="556" spans="1:32" s="5" customFormat="1" ht="16.5">
      <c r="A556" s="109"/>
      <c r="Q556" s="129"/>
      <c r="R556" s="129"/>
      <c r="S556" s="129"/>
      <c r="T556" s="129"/>
      <c r="U556" s="127"/>
      <c r="V556" s="127"/>
      <c r="W556" s="127"/>
      <c r="X556" s="127"/>
      <c r="Y556" s="127"/>
      <c r="Z556" s="127"/>
      <c r="AA556" s="127"/>
      <c r="AB556" s="127"/>
      <c r="AC556" s="127"/>
      <c r="AD556" s="127"/>
      <c r="AE556" s="127"/>
      <c r="AF556" s="127"/>
    </row>
    <row r="557" spans="1:32" s="5" customFormat="1" ht="16.5">
      <c r="A557" s="113"/>
      <c r="Q557" s="129"/>
      <c r="R557" s="129"/>
      <c r="S557" s="129"/>
      <c r="T557" s="129"/>
      <c r="U557" s="127"/>
      <c r="V557" s="127"/>
      <c r="W557" s="127"/>
      <c r="X557" s="127"/>
      <c r="Y557" s="127"/>
      <c r="Z557" s="127"/>
      <c r="AA557" s="127"/>
      <c r="AB557" s="127"/>
      <c r="AC557" s="127"/>
      <c r="AD557" s="127"/>
      <c r="AE557" s="127"/>
      <c r="AF557" s="127"/>
    </row>
    <row r="558" spans="1:32" s="5" customFormat="1" ht="16.5">
      <c r="A558" s="110"/>
      <c r="Q558" s="129"/>
      <c r="R558" s="129"/>
      <c r="S558" s="129"/>
      <c r="T558" s="129"/>
      <c r="U558" s="127"/>
      <c r="V558" s="127"/>
      <c r="W558" s="127"/>
      <c r="X558" s="127"/>
      <c r="Y558" s="127"/>
      <c r="Z558" s="127"/>
      <c r="AA558" s="127"/>
      <c r="AB558" s="127"/>
      <c r="AC558" s="127"/>
      <c r="AD558" s="127"/>
      <c r="AE558" s="127"/>
      <c r="AF558" s="127"/>
    </row>
    <row r="559" spans="1:32" s="5" customFormat="1" ht="16.5">
      <c r="A559" s="110"/>
      <c r="Q559" s="129"/>
      <c r="R559" s="129"/>
      <c r="S559" s="129"/>
      <c r="T559" s="129"/>
      <c r="U559" s="127"/>
      <c r="V559" s="127"/>
      <c r="W559" s="127"/>
      <c r="X559" s="127"/>
      <c r="Y559" s="127"/>
      <c r="Z559" s="127"/>
      <c r="AA559" s="127"/>
      <c r="AB559" s="127"/>
      <c r="AC559" s="127"/>
      <c r="AD559" s="127"/>
      <c r="AE559" s="127"/>
      <c r="AF559" s="127"/>
    </row>
    <row r="560" spans="1:32" s="5" customFormat="1" ht="16.5">
      <c r="A560" s="113"/>
      <c r="Q560" s="129"/>
      <c r="R560" s="129"/>
      <c r="S560" s="129"/>
      <c r="T560" s="129"/>
      <c r="U560" s="127"/>
      <c r="V560" s="127"/>
      <c r="W560" s="127"/>
      <c r="X560" s="127"/>
      <c r="Y560" s="127"/>
      <c r="Z560" s="127"/>
      <c r="AA560" s="127"/>
      <c r="AB560" s="127"/>
      <c r="AC560" s="127"/>
      <c r="AD560" s="127"/>
      <c r="AE560" s="127"/>
      <c r="AF560" s="127"/>
    </row>
    <row r="561" spans="1:249" s="5" customFormat="1" ht="16.5">
      <c r="A561" s="113"/>
      <c r="Q561" s="129"/>
      <c r="R561" s="129"/>
      <c r="S561" s="129"/>
      <c r="T561" s="129"/>
      <c r="U561" s="127"/>
      <c r="V561" s="127"/>
      <c r="W561" s="127"/>
      <c r="X561" s="127"/>
      <c r="Y561" s="127"/>
      <c r="Z561" s="127"/>
      <c r="AA561" s="127"/>
      <c r="AB561" s="127"/>
      <c r="AC561" s="127"/>
      <c r="AD561" s="127"/>
      <c r="AE561" s="127"/>
      <c r="AF561" s="127"/>
    </row>
    <row r="562" spans="1:249" s="5" customFormat="1" ht="16.5">
      <c r="A562" s="110"/>
      <c r="Q562" s="129"/>
      <c r="R562" s="129"/>
      <c r="S562" s="129"/>
      <c r="T562" s="129"/>
      <c r="U562" s="127"/>
      <c r="V562" s="127"/>
      <c r="W562" s="127"/>
      <c r="X562" s="127"/>
      <c r="Y562" s="127"/>
      <c r="Z562" s="127"/>
      <c r="AA562" s="127"/>
      <c r="AB562" s="127"/>
      <c r="AC562" s="127"/>
      <c r="AD562" s="127"/>
      <c r="AE562" s="127"/>
      <c r="AF562" s="127"/>
    </row>
    <row r="563" spans="1:249" s="5" customFormat="1" ht="16.5">
      <c r="A563" s="110"/>
      <c r="Q563" s="129"/>
      <c r="R563" s="129"/>
      <c r="S563" s="129"/>
      <c r="T563" s="129"/>
      <c r="U563" s="127"/>
      <c r="V563" s="127"/>
      <c r="W563" s="127"/>
      <c r="X563" s="127"/>
      <c r="Y563" s="127"/>
      <c r="Z563" s="127"/>
      <c r="AA563" s="127"/>
      <c r="AB563" s="127"/>
      <c r="AC563" s="127"/>
      <c r="AD563" s="127"/>
      <c r="AE563" s="127"/>
      <c r="AF563" s="127"/>
    </row>
    <row r="564" spans="1:249" s="5" customFormat="1" ht="16.5">
      <c r="B564" s="110"/>
      <c r="C564" s="110"/>
      <c r="Q564" s="129"/>
      <c r="R564" s="129"/>
      <c r="S564" s="129"/>
      <c r="T564" s="129"/>
      <c r="U564" s="127"/>
      <c r="V564" s="127"/>
      <c r="W564" s="127"/>
      <c r="X564" s="127"/>
      <c r="Y564" s="127"/>
      <c r="Z564" s="127"/>
      <c r="AA564" s="127"/>
      <c r="AB564" s="127"/>
      <c r="AC564" s="127"/>
      <c r="AD564" s="127"/>
      <c r="AE564" s="127"/>
      <c r="AF564" s="127"/>
    </row>
    <row r="565" spans="1:249" s="5" customFormat="1" ht="16.5">
      <c r="B565" s="110"/>
      <c r="C565" s="110"/>
      <c r="Q565" s="129"/>
      <c r="R565" s="129"/>
      <c r="S565" s="129"/>
      <c r="T565" s="129"/>
      <c r="U565" s="127"/>
      <c r="V565" s="127"/>
      <c r="W565" s="127"/>
      <c r="X565" s="127"/>
      <c r="Y565" s="127"/>
      <c r="Z565" s="127"/>
      <c r="AA565" s="127"/>
      <c r="AB565" s="127"/>
      <c r="AC565" s="127"/>
      <c r="AD565" s="127"/>
      <c r="AE565" s="127"/>
      <c r="AF565" s="127"/>
    </row>
    <row r="566" spans="1:249" s="5" customFormat="1" ht="16.5">
      <c r="B566" s="110"/>
      <c r="C566" s="110"/>
      <c r="Q566" s="129"/>
      <c r="R566" s="129"/>
      <c r="S566" s="129"/>
      <c r="T566" s="129"/>
      <c r="U566" s="127"/>
      <c r="V566" s="127"/>
      <c r="W566" s="127"/>
      <c r="X566" s="127"/>
      <c r="Y566" s="127"/>
      <c r="Z566" s="127"/>
      <c r="AA566" s="127"/>
      <c r="AB566" s="127"/>
      <c r="AC566" s="127"/>
      <c r="AD566" s="127"/>
      <c r="AE566" s="127"/>
      <c r="AF566" s="127"/>
    </row>
    <row r="567" spans="1:249" s="5" customFormat="1" ht="16.5">
      <c r="B567" s="110"/>
      <c r="C567" s="110"/>
      <c r="Q567" s="129"/>
      <c r="R567" s="129"/>
      <c r="S567" s="129"/>
      <c r="T567" s="129"/>
      <c r="U567" s="127"/>
      <c r="V567" s="127"/>
      <c r="W567" s="127"/>
      <c r="X567" s="127"/>
      <c r="Y567" s="127"/>
      <c r="Z567" s="127"/>
      <c r="AA567" s="127"/>
      <c r="AB567" s="127"/>
      <c r="AC567" s="127"/>
      <c r="AD567" s="127"/>
      <c r="AE567" s="127"/>
      <c r="AF567" s="127"/>
    </row>
    <row r="568" spans="1:249" s="5" customFormat="1" ht="16.5">
      <c r="A568" s="113"/>
      <c r="Q568" s="129"/>
      <c r="R568" s="129"/>
      <c r="S568" s="129"/>
      <c r="T568" s="129"/>
      <c r="U568" s="127"/>
      <c r="V568" s="127"/>
      <c r="W568" s="127"/>
      <c r="X568" s="127"/>
      <c r="Y568" s="127"/>
      <c r="Z568" s="127"/>
      <c r="AA568" s="127"/>
      <c r="AB568" s="127"/>
      <c r="AC568" s="127"/>
      <c r="AD568" s="127"/>
      <c r="AE568" s="127"/>
      <c r="AF568" s="127"/>
    </row>
    <row r="569" spans="1:249" s="5" customFormat="1" ht="16.5">
      <c r="B569" s="114"/>
      <c r="C569" s="114"/>
      <c r="Q569" s="129"/>
      <c r="R569" s="129"/>
      <c r="S569" s="129"/>
      <c r="T569" s="129"/>
      <c r="U569" s="127"/>
      <c r="V569" s="127"/>
      <c r="W569" s="127"/>
      <c r="X569" s="127"/>
      <c r="Y569" s="127"/>
      <c r="Z569" s="127"/>
      <c r="AA569" s="127"/>
      <c r="AB569" s="127"/>
      <c r="AC569" s="127"/>
      <c r="AD569" s="127"/>
      <c r="AE569" s="127"/>
      <c r="AF569" s="127"/>
    </row>
    <row r="570" spans="1:249" s="5" customFormat="1" ht="16.5">
      <c r="A570" s="1563"/>
      <c r="B570" s="1563"/>
      <c r="C570" s="115"/>
      <c r="D570" s="74"/>
      <c r="E570" s="74"/>
      <c r="F570" s="74"/>
      <c r="G570" s="74"/>
      <c r="H570" s="74"/>
      <c r="Q570" s="129"/>
      <c r="R570" s="129"/>
      <c r="S570" s="129"/>
      <c r="T570" s="129"/>
      <c r="U570" s="127"/>
      <c r="V570" s="127"/>
      <c r="W570" s="127"/>
      <c r="X570" s="127"/>
      <c r="Y570" s="127"/>
      <c r="Z570" s="127"/>
      <c r="AA570" s="127"/>
      <c r="AB570" s="127"/>
      <c r="AC570" s="127"/>
      <c r="AD570" s="127"/>
      <c r="AE570" s="127"/>
      <c r="AF570" s="127"/>
    </row>
    <row r="571" spans="1:249" s="5" customFormat="1" ht="17.25">
      <c r="A571" s="1593" t="str">
        <f>'Du lieu'!$C$13</f>
        <v>.....................................</v>
      </c>
      <c r="B571" s="1593"/>
      <c r="C571" s="1593"/>
      <c r="D571" s="1593"/>
      <c r="E571" s="1593"/>
      <c r="F571" s="1593"/>
      <c r="G571" s="1592"/>
      <c r="H571" s="1483" t="s">
        <v>199</v>
      </c>
      <c r="I571" s="1483"/>
      <c r="J571" s="1483"/>
      <c r="K571" s="1483"/>
      <c r="L571" s="1483"/>
      <c r="M571" s="1483"/>
      <c r="N571" s="1483"/>
      <c r="Q571" s="129"/>
      <c r="R571" s="129"/>
      <c r="S571" s="129"/>
      <c r="T571" s="129"/>
      <c r="U571" s="127"/>
      <c r="V571" s="127"/>
      <c r="W571" s="127"/>
      <c r="X571" s="127"/>
      <c r="Y571" s="127"/>
      <c r="Z571" s="127"/>
      <c r="AA571" s="127"/>
      <c r="AB571" s="127"/>
      <c r="AC571" s="127"/>
      <c r="AD571" s="127"/>
      <c r="AE571" s="127"/>
      <c r="AF571" s="127"/>
    </row>
    <row r="572" spans="1:249" ht="23.25" customHeight="1">
      <c r="A572" s="1592"/>
      <c r="B572" s="1592"/>
      <c r="C572" s="1592"/>
      <c r="D572" s="1592"/>
      <c r="E572" s="1592"/>
      <c r="F572" s="1592"/>
      <c r="G572" s="1592"/>
      <c r="H572" s="1484" t="s">
        <v>200</v>
      </c>
      <c r="I572" s="1484"/>
      <c r="J572" s="1484"/>
      <c r="K572" s="1484"/>
      <c r="L572" s="1484"/>
      <c r="M572" s="1484"/>
      <c r="N572" s="1484"/>
    </row>
    <row r="573" spans="1:249" ht="17.25" customHeight="1">
      <c r="A573" s="1592"/>
      <c r="B573" s="1592"/>
      <c r="C573" s="1592"/>
      <c r="D573" s="1592"/>
      <c r="E573" s="1592"/>
      <c r="F573" s="1592"/>
      <c r="G573" s="1592"/>
      <c r="H573" s="14"/>
      <c r="I573" s="1486">
        <f>$U$18</f>
        <v>0</v>
      </c>
      <c r="J573" s="1486"/>
      <c r="K573" s="1486"/>
      <c r="L573" s="1486"/>
      <c r="M573" s="1486"/>
      <c r="N573" s="1486"/>
    </row>
    <row r="574" spans="1:249" ht="17.25" customHeight="1">
      <c r="A574" s="1592"/>
      <c r="B574" s="1592"/>
      <c r="C574" s="1592"/>
      <c r="D574" s="1592"/>
      <c r="E574" s="1592"/>
      <c r="F574" s="1592"/>
      <c r="G574" s="1592"/>
      <c r="I574" s="19"/>
      <c r="J574" s="3"/>
      <c r="K574" s="20"/>
      <c r="L574" s="21"/>
      <c r="M574" s="20"/>
      <c r="O574" s="15"/>
      <c r="P574" s="15"/>
      <c r="Q574" s="16" t="s">
        <v>201</v>
      </c>
      <c r="R574" s="16" t="str">
        <f>'Du lieu'!$C$4</f>
        <v>KHU HỖN HỢP CHUNG CƯ, VĂN PHÒNG, TRUNG TÂM THƯƠNG MẠI VÀ NHÀ Ở KẾT HỢP KHU MUA SẮM</v>
      </c>
      <c r="S574" s="137"/>
      <c r="T574" s="17"/>
      <c r="U574" s="15"/>
      <c r="V574" s="15"/>
      <c r="W574" s="15"/>
      <c r="X574" s="15"/>
      <c r="Y574" s="15"/>
      <c r="Z574" s="15"/>
      <c r="AA574" s="15"/>
      <c r="AB574" s="15"/>
      <c r="AC574" s="15"/>
      <c r="AD574" s="1492"/>
      <c r="AE574" s="1492"/>
      <c r="AF574" s="1492"/>
      <c r="AG574" s="1492"/>
      <c r="AH574" s="1492"/>
      <c r="AI574" s="1492"/>
      <c r="AJ574" s="1492"/>
      <c r="AK574" s="1492"/>
      <c r="AL574" s="1492"/>
      <c r="AM574" s="1492"/>
      <c r="AN574" s="1492"/>
      <c r="AO574" s="1492"/>
      <c r="AP574" s="1492"/>
      <c r="AQ574" s="1492"/>
      <c r="AR574" s="1492"/>
      <c r="AS574" s="1492"/>
      <c r="AT574" s="1492"/>
      <c r="AU574" s="1492"/>
      <c r="AV574" s="1492"/>
      <c r="AW574" s="1492"/>
      <c r="AX574" s="1492"/>
      <c r="AY574" s="1492"/>
      <c r="AZ574" s="1492"/>
      <c r="BA574" s="1492"/>
      <c r="BB574" s="1492"/>
      <c r="BC574" s="1492"/>
      <c r="BD574" s="1492"/>
      <c r="BE574" s="1492"/>
      <c r="BF574" s="1492"/>
      <c r="BG574" s="1492"/>
      <c r="BH574" s="1492"/>
      <c r="BI574" s="1492"/>
      <c r="BJ574" s="1492"/>
      <c r="BK574" s="1492"/>
      <c r="BL574" s="1492"/>
      <c r="BM574" s="1492"/>
      <c r="BN574" s="1492"/>
      <c r="BO574" s="1492"/>
      <c r="BP574" s="1492"/>
      <c r="BQ574" s="1492"/>
      <c r="BR574" s="1492"/>
      <c r="BS574" s="1492"/>
      <c r="BT574" s="1492"/>
      <c r="BU574" s="1492"/>
      <c r="BV574" s="1492"/>
      <c r="BW574" s="1492"/>
      <c r="BX574" s="1492"/>
      <c r="BY574" s="1492"/>
      <c r="BZ574" s="1492"/>
      <c r="CA574" s="1492"/>
      <c r="CB574" s="1492"/>
      <c r="CC574" s="1492"/>
      <c r="CD574" s="1492"/>
      <c r="CE574" s="1492"/>
      <c r="CF574" s="1492"/>
      <c r="CG574" s="1492"/>
      <c r="CH574" s="1492"/>
      <c r="CI574" s="1492"/>
      <c r="CJ574" s="1492"/>
      <c r="CK574" s="1492"/>
      <c r="CL574" s="1492"/>
      <c r="CM574" s="1492"/>
      <c r="CN574" s="1492"/>
      <c r="CO574" s="1492"/>
      <c r="CP574" s="1492"/>
      <c r="CQ574" s="1492"/>
      <c r="CR574" s="1492"/>
      <c r="CS574" s="1492"/>
      <c r="CT574" s="1492"/>
      <c r="CU574" s="1492"/>
      <c r="CV574" s="1492"/>
      <c r="CW574" s="1492"/>
      <c r="CX574" s="1492"/>
      <c r="CY574" s="1492"/>
      <c r="CZ574" s="1492"/>
      <c r="DA574" s="1492"/>
      <c r="DB574" s="1492"/>
      <c r="DC574" s="1492"/>
      <c r="DD574" s="1492"/>
      <c r="DE574" s="1492"/>
      <c r="DF574" s="1492"/>
      <c r="DG574" s="1492"/>
      <c r="DH574" s="1492"/>
      <c r="DI574" s="1492"/>
      <c r="DJ574" s="1492"/>
      <c r="DK574" s="1492"/>
      <c r="DL574" s="1492"/>
      <c r="DM574" s="1492"/>
      <c r="DN574" s="1492"/>
      <c r="DO574" s="1492"/>
      <c r="DP574" s="1492"/>
      <c r="DQ574" s="1492"/>
      <c r="DR574" s="1492"/>
      <c r="DS574" s="1492"/>
      <c r="DT574" s="1492"/>
      <c r="DU574" s="1492"/>
      <c r="DV574" s="1492"/>
      <c r="DW574" s="1492"/>
      <c r="DX574" s="1492"/>
      <c r="DY574" s="1492"/>
      <c r="DZ574" s="1492"/>
      <c r="EA574" s="1492"/>
      <c r="EB574" s="1492"/>
      <c r="EC574" s="1492"/>
      <c r="ED574" s="1492"/>
      <c r="EE574" s="1492"/>
      <c r="EF574" s="1492"/>
      <c r="EG574" s="1492"/>
      <c r="EH574" s="1492"/>
      <c r="EI574" s="1492"/>
      <c r="EJ574" s="1492"/>
      <c r="EK574" s="1492"/>
      <c r="EL574" s="1492"/>
      <c r="EM574" s="1492"/>
      <c r="EN574" s="1492"/>
      <c r="EO574" s="1492"/>
      <c r="EP574" s="1492"/>
      <c r="EQ574" s="1492"/>
      <c r="ER574" s="1492"/>
      <c r="ES574" s="1492"/>
      <c r="ET574" s="1492"/>
      <c r="EU574" s="1492"/>
      <c r="EV574" s="1492"/>
      <c r="EW574" s="1492"/>
      <c r="EX574" s="1492"/>
      <c r="EY574" s="1492"/>
      <c r="EZ574" s="1492"/>
      <c r="FA574" s="1492"/>
      <c r="FB574" s="1492"/>
      <c r="FC574" s="1492"/>
      <c r="FD574" s="1492"/>
      <c r="FE574" s="1492"/>
      <c r="FF574" s="1492"/>
      <c r="FG574" s="1492"/>
      <c r="FH574" s="1492"/>
      <c r="FI574" s="1492"/>
      <c r="FJ574" s="1492"/>
      <c r="FK574" s="1492"/>
      <c r="FL574" s="1492"/>
      <c r="FM574" s="1492"/>
      <c r="FN574" s="1492"/>
      <c r="FO574" s="1492"/>
      <c r="FP574" s="1492"/>
      <c r="FQ574" s="1492"/>
      <c r="FR574" s="1492"/>
      <c r="FS574" s="1492"/>
      <c r="FT574" s="1492"/>
      <c r="FU574" s="1492"/>
      <c r="FV574" s="1492"/>
      <c r="FW574" s="1492"/>
      <c r="FX574" s="1492"/>
      <c r="FY574" s="1492"/>
      <c r="FZ574" s="1492"/>
      <c r="GA574" s="1492"/>
      <c r="GB574" s="1492"/>
      <c r="GC574" s="1492"/>
      <c r="GD574" s="1492"/>
      <c r="GE574" s="1492"/>
      <c r="GF574" s="1492"/>
      <c r="GG574" s="1492"/>
      <c r="GH574" s="1492"/>
      <c r="GI574" s="1492"/>
      <c r="GJ574" s="1492"/>
      <c r="GK574" s="1492"/>
      <c r="GL574" s="1492"/>
      <c r="GM574" s="1492"/>
      <c r="GN574" s="1492"/>
      <c r="GO574" s="1492"/>
      <c r="GP574" s="1492"/>
      <c r="GQ574" s="1492"/>
      <c r="GR574" s="1492"/>
      <c r="GS574" s="1492"/>
      <c r="GT574" s="1492"/>
      <c r="GU574" s="1492"/>
      <c r="GV574" s="1492"/>
      <c r="GW574" s="1492"/>
      <c r="GX574" s="1492"/>
      <c r="GY574" s="1492"/>
      <c r="GZ574" s="1492"/>
      <c r="HA574" s="1492"/>
      <c r="HB574" s="1492"/>
      <c r="HC574" s="1492"/>
      <c r="HD574" s="1492"/>
      <c r="HE574" s="1492"/>
      <c r="HF574" s="1492"/>
      <c r="HG574" s="1492"/>
      <c r="HH574" s="1492"/>
      <c r="HI574" s="1492"/>
      <c r="HJ574" s="1492"/>
      <c r="HK574" s="1492"/>
      <c r="HL574" s="1492"/>
      <c r="HM574" s="1492"/>
      <c r="HN574" s="1492"/>
      <c r="HO574" s="1492"/>
      <c r="HP574" s="1492"/>
      <c r="HQ574" s="1492"/>
      <c r="HR574" s="1492"/>
      <c r="HS574" s="1492"/>
      <c r="HT574" s="1492"/>
      <c r="HU574" s="1492"/>
      <c r="HV574" s="1492"/>
      <c r="HW574" s="1492"/>
      <c r="HX574" s="1492"/>
      <c r="HY574" s="1492"/>
      <c r="HZ574" s="1492"/>
      <c r="IA574" s="1492"/>
      <c r="IB574" s="1492"/>
      <c r="IC574" s="1492"/>
      <c r="ID574" s="1492"/>
      <c r="IE574" s="1492"/>
      <c r="IF574" s="1492"/>
      <c r="IG574" s="1492"/>
      <c r="IH574" s="1492"/>
      <c r="II574" s="1492"/>
      <c r="IJ574" s="1492"/>
      <c r="IK574" s="1492"/>
      <c r="IL574" s="1492"/>
      <c r="IM574" s="1492"/>
      <c r="IN574" s="1492"/>
      <c r="IO574" s="14"/>
    </row>
    <row r="575" spans="1:249" ht="17.25" customHeight="1">
      <c r="A575" s="1493" t="str">
        <f>"Biªn b¶n sè: "&amp;$R$12&amp;"/ Nb-HK/"&amp;$R$14</f>
        <v>Biªn b¶n sè: B1/ Nb-HK/800</v>
      </c>
      <c r="B575" s="1493"/>
      <c r="C575" s="1493"/>
      <c r="D575" s="1493"/>
      <c r="E575" s="1493"/>
      <c r="F575" s="1493"/>
      <c r="G575" s="1493"/>
      <c r="H575" s="1493"/>
      <c r="I575" s="1493"/>
      <c r="J575" s="1493"/>
      <c r="K575" s="1493"/>
      <c r="L575" s="1493"/>
      <c r="M575" s="1493"/>
      <c r="N575" s="1493"/>
      <c r="Q575" s="22" t="s">
        <v>202</v>
      </c>
      <c r="R575" s="16" t="str">
        <f>'Du lieu'!$C$6</f>
        <v>P. BẠCH ĐẰNG, TP. HẠ LONG, TỈNH QUẢNG NINH</v>
      </c>
      <c r="S575" s="137"/>
      <c r="T575" s="23"/>
    </row>
    <row r="576" spans="1:249" s="24" customFormat="1" ht="22.5" customHeight="1">
      <c r="A576" s="1493" t="s">
        <v>204</v>
      </c>
      <c r="B576" s="1493"/>
      <c r="C576" s="1493"/>
      <c r="D576" s="1493"/>
      <c r="E576" s="1493"/>
      <c r="F576" s="1493"/>
      <c r="G576" s="1493"/>
      <c r="H576" s="1493"/>
      <c r="I576" s="1493"/>
      <c r="J576" s="1493"/>
      <c r="K576" s="1493"/>
      <c r="L576" s="1493"/>
      <c r="M576" s="1493"/>
      <c r="N576" s="1493"/>
      <c r="Q576" s="22" t="s">
        <v>203</v>
      </c>
      <c r="R576" s="16" t="str">
        <f>'Du lieu'!$C$5</f>
        <v>CỌC KHOAN NHỒI</v>
      </c>
      <c r="S576" s="137"/>
      <c r="T576" s="23"/>
    </row>
    <row r="577" spans="1:24" s="24" customFormat="1" ht="21" customHeight="1">
      <c r="A577" s="12"/>
      <c r="B577"/>
      <c r="C577"/>
      <c r="D577"/>
      <c r="E577"/>
      <c r="F577"/>
      <c r="G577"/>
      <c r="H577"/>
      <c r="I577"/>
      <c r="J577"/>
      <c r="K577"/>
      <c r="L577"/>
      <c r="M577"/>
      <c r="N577"/>
      <c r="T577" s="25"/>
    </row>
    <row r="578" spans="1:24" ht="26.25">
      <c r="B578" s="27"/>
      <c r="C578" s="28" t="str">
        <f>"C«ng tr×nh: "&amp;$R$3</f>
        <v>C«ng tr×nh: KHU HỖN HỢP CHUNG CƯ, VĂN PHÒNG, TRUNG TÂM THƯƠNG MẠI VÀ NHÀ Ở KẾT HỢP KHU MUA SẮM</v>
      </c>
      <c r="D578" s="27"/>
      <c r="E578" s="27"/>
      <c r="F578" s="27"/>
      <c r="G578" s="27"/>
      <c r="H578" s="27"/>
      <c r="I578" s="27"/>
      <c r="J578" s="27"/>
      <c r="K578" s="27"/>
      <c r="L578" s="27"/>
      <c r="R578" s="26"/>
      <c r="S578" s="26"/>
      <c r="T578" s="25"/>
    </row>
    <row r="579" spans="1:24" ht="21.95" customHeight="1">
      <c r="B579" s="27"/>
      <c r="C579" s="28" t="str">
        <f>"H¹ng môc: "&amp;$R$5</f>
        <v>H¹ng môc: CỌC KHOAN NHỒI</v>
      </c>
      <c r="D579" s="27"/>
      <c r="E579" s="29"/>
      <c r="F579" s="28"/>
      <c r="G579" s="28"/>
      <c r="H579" s="28"/>
      <c r="I579" s="28"/>
      <c r="J579" s="28"/>
      <c r="K579" s="28"/>
      <c r="L579" s="28"/>
      <c r="M579" s="28"/>
    </row>
    <row r="580" spans="1:24" ht="21.95" customHeight="1">
      <c r="B580" s="30"/>
      <c r="C580" s="1487" t="str">
        <f>"§Þa ®iÓm x©y dùng: "&amp;$R$4</f>
        <v>§Þa ®iÓm x©y dùng: P. BẠCH ĐẰNG, TP. HẠ LONG, TỈNH QUẢNG NINH</v>
      </c>
      <c r="D580" s="1487"/>
      <c r="E580" s="1487"/>
      <c r="F580" s="1487"/>
      <c r="G580" s="1487"/>
      <c r="H580" s="1487"/>
      <c r="I580" s="1487"/>
      <c r="J580" s="1487"/>
      <c r="K580" s="1487"/>
      <c r="L580" s="1487"/>
      <c r="M580" s="1487"/>
      <c r="N580" s="1487"/>
    </row>
    <row r="581" spans="1:24" ht="21.95" customHeight="1">
      <c r="B581" s="30"/>
      <c r="C581" s="31"/>
      <c r="D581" s="30"/>
      <c r="E581" s="30"/>
      <c r="F581" s="30"/>
      <c r="G581" s="30"/>
      <c r="H581" s="30"/>
      <c r="I581" s="30"/>
      <c r="J581" s="30"/>
      <c r="K581" s="30"/>
      <c r="L581" s="30"/>
    </row>
    <row r="582" spans="1:24" ht="16.5">
      <c r="A582" s="30" t="str">
        <f>"1.§èi t­îng nghiÖm thu: Lç khoan cäc: "&amp;$R$12</f>
        <v>1.§èi t­îng nghiÖm thu: Lç khoan cäc: B1</v>
      </c>
      <c r="B582" s="30"/>
      <c r="C582" s="30"/>
      <c r="D582" s="30"/>
      <c r="E582" s="30"/>
      <c r="F582" s="27"/>
      <c r="H582" s="30"/>
      <c r="I582" s="30"/>
      <c r="J582" s="30"/>
      <c r="K582" s="30"/>
      <c r="L582" s="30"/>
    </row>
    <row r="583" spans="1:24" ht="16.5">
      <c r="A583" s="30"/>
      <c r="B583" s="30"/>
      <c r="C583" s="30"/>
      <c r="D583" s="30"/>
      <c r="E583" s="30"/>
      <c r="F583" s="27"/>
      <c r="H583" s="30"/>
      <c r="I583" s="30"/>
      <c r="J583" s="30"/>
      <c r="K583" s="30"/>
      <c r="L583" s="30"/>
      <c r="Q583" s="119" t="s">
        <v>205</v>
      </c>
      <c r="R583" s="119" t="e">
        <v>#REF!</v>
      </c>
      <c r="S583" s="119"/>
      <c r="T583" s="119"/>
      <c r="U583" s="1"/>
      <c r="V583" s="120">
        <v>3.472222222222222E-3</v>
      </c>
      <c r="W583" s="6" t="s">
        <v>206</v>
      </c>
    </row>
    <row r="584" spans="1:24" ht="27" hidden="1" customHeight="1">
      <c r="A584" s="1488" t="s">
        <v>207</v>
      </c>
      <c r="B584" s="1488"/>
      <c r="C584" s="1488"/>
      <c r="D584" s="1488"/>
      <c r="E584" s="1488"/>
      <c r="F584" s="1488"/>
      <c r="G584" s="1488"/>
      <c r="H584" s="1488"/>
      <c r="I584" s="1488"/>
      <c r="J584" s="1488"/>
      <c r="K584" s="1488"/>
      <c r="L584" s="1488"/>
      <c r="Q584" s="32"/>
      <c r="R584" s="119"/>
      <c r="S584" s="119"/>
      <c r="T584" s="119"/>
      <c r="U584" s="1"/>
    </row>
    <row r="585" spans="1:24" ht="21.95" customHeight="1">
      <c r="A585" s="27"/>
      <c r="B585" s="33" t="s">
        <v>208</v>
      </c>
      <c r="C585" s="34"/>
      <c r="D585" s="34"/>
      <c r="E585" s="27"/>
      <c r="F585" s="27"/>
      <c r="G585" s="27"/>
      <c r="H585" s="27"/>
      <c r="I585" s="27"/>
      <c r="J585" s="27"/>
      <c r="K585" s="27"/>
      <c r="L585" s="27"/>
      <c r="Q585" s="119" t="s">
        <v>156</v>
      </c>
      <c r="R585" s="119" t="e">
        <v>#REF!</v>
      </c>
      <c r="S585" s="119"/>
      <c r="T585" s="119"/>
      <c r="U585" s="1"/>
    </row>
    <row r="586" spans="1:24" ht="21.95" customHeight="1">
      <c r="A586" s="35"/>
      <c r="C586" s="34"/>
      <c r="D586" s="36" t="s">
        <v>210</v>
      </c>
      <c r="E586" s="36" t="str">
        <f>R604</f>
        <v>Nguyễn Mạnh Hùng</v>
      </c>
      <c r="F586" s="36"/>
      <c r="G586" s="35"/>
      <c r="I586" s="37" t="s">
        <v>211</v>
      </c>
      <c r="J586" s="37"/>
      <c r="K586" s="36" t="str">
        <f>T604</f>
        <v>Chỉ huy phó công trường</v>
      </c>
      <c r="L586" s="35"/>
      <c r="M586" s="35"/>
      <c r="Q586" s="119" t="s">
        <v>209</v>
      </c>
      <c r="R586" s="121" t="e">
        <v>#REF!</v>
      </c>
      <c r="S586" s="121"/>
      <c r="T586" s="121" t="e">
        <v>#REF!</v>
      </c>
      <c r="U586" s="122" t="e">
        <v>#REF!</v>
      </c>
      <c r="V586" s="120">
        <v>1.0416666666666666E-2</v>
      </c>
      <c r="W586" s="123" t="e">
        <f>R586-V586</f>
        <v>#REF!</v>
      </c>
      <c r="X586" s="124"/>
    </row>
    <row r="587" spans="1:24" ht="24.75" customHeight="1">
      <c r="A587" s="27"/>
      <c r="B587" s="33" t="s">
        <v>213</v>
      </c>
      <c r="C587" s="34"/>
      <c r="D587" s="34"/>
      <c r="E587" s="27"/>
      <c r="F587" s="27"/>
      <c r="G587" s="27"/>
      <c r="H587" s="27"/>
      <c r="I587" s="27"/>
      <c r="J587" s="27"/>
      <c r="K587" s="27"/>
      <c r="L587" s="27"/>
      <c r="Q587" s="119" t="s">
        <v>212</v>
      </c>
      <c r="R587" s="121" t="e">
        <v>#REF!</v>
      </c>
      <c r="S587" s="121"/>
      <c r="T587" s="121" t="e">
        <v>#REF!</v>
      </c>
      <c r="U587" s="122" t="e">
        <v>#REF!</v>
      </c>
    </row>
    <row r="588" spans="1:24" ht="21.95" customHeight="1">
      <c r="A588" s="35"/>
      <c r="C588" s="38"/>
      <c r="D588" s="39" t="s">
        <v>210</v>
      </c>
      <c r="E588" s="36" t="str">
        <f>R601</f>
        <v>CÔNG TY TNHH MTV HANTECH</v>
      </c>
      <c r="F588" s="36"/>
      <c r="G588" s="35"/>
      <c r="I588" s="37" t="s">
        <v>211</v>
      </c>
      <c r="J588" s="37"/>
      <c r="K588" s="36" t="str">
        <f>T601</f>
        <v>Công ty TNHH MTV HANTECH</v>
      </c>
      <c r="L588" s="36"/>
      <c r="Q588" s="119" t="s">
        <v>214</v>
      </c>
      <c r="R588" s="121" t="e">
        <v>#REF!</v>
      </c>
      <c r="S588" s="121"/>
      <c r="T588" s="121" t="e">
        <v>#REF!</v>
      </c>
      <c r="U588" s="122" t="e">
        <v>#REF!</v>
      </c>
    </row>
    <row r="589" spans="1:24" ht="26.25" customHeight="1">
      <c r="A589" s="35"/>
      <c r="C589" s="38"/>
      <c r="D589" s="39" t="s">
        <v>210</v>
      </c>
      <c r="E589" s="36" t="str">
        <f>R603</f>
        <v>Ngô Văn Khánh</v>
      </c>
      <c r="F589" s="36"/>
      <c r="G589" s="35"/>
      <c r="I589" s="37" t="s">
        <v>211</v>
      </c>
      <c r="J589" s="37"/>
      <c r="K589" s="36" t="str">
        <f>T603</f>
        <v>Chỉ huy trưởng công trường</v>
      </c>
      <c r="L589" s="36"/>
      <c r="Q589" s="119" t="s">
        <v>215</v>
      </c>
      <c r="R589" s="121" t="e">
        <v>#REF!</v>
      </c>
      <c r="S589" s="121"/>
      <c r="T589" s="121" t="e">
        <v>#REF!</v>
      </c>
      <c r="U589" s="122" t="e">
        <v>#REF!</v>
      </c>
    </row>
    <row r="590" spans="1:24" ht="26.25" customHeight="1">
      <c r="A590" s="1488" t="s">
        <v>217</v>
      </c>
      <c r="B590" s="1488"/>
      <c r="C590" s="1488"/>
      <c r="D590" s="1488"/>
      <c r="E590" s="1488"/>
      <c r="F590" s="1488"/>
      <c r="G590" s="1488"/>
      <c r="H590" s="1488"/>
      <c r="I590" s="1488"/>
      <c r="J590" s="1488"/>
      <c r="K590" s="1488"/>
      <c r="L590" s="1488"/>
      <c r="Q590" s="119" t="s">
        <v>216</v>
      </c>
      <c r="R590" s="121" t="e">
        <v>#REF!</v>
      </c>
      <c r="S590" s="121"/>
      <c r="T590" s="121" t="e">
        <v>#REF!</v>
      </c>
      <c r="U590" s="122" t="e">
        <v>#REF!</v>
      </c>
    </row>
    <row r="591" spans="1:24" ht="22.5" customHeight="1">
      <c r="A591" s="40"/>
      <c r="C591" s="24"/>
      <c r="D591" s="24" t="s">
        <v>219</v>
      </c>
      <c r="E591" s="41">
        <f>$W$18</f>
        <v>0.80555555555555525</v>
      </c>
      <c r="F591" s="1489">
        <f>I573</f>
        <v>0</v>
      </c>
      <c r="G591" s="1489"/>
      <c r="H591" s="1489"/>
      <c r="I591" s="1489"/>
      <c r="J591" s="1489"/>
      <c r="K591" s="1489"/>
      <c r="L591" s="1489"/>
      <c r="M591" s="24"/>
      <c r="N591" s="24"/>
      <c r="Q591" s="119" t="s">
        <v>218</v>
      </c>
      <c r="R591" s="121">
        <v>0.33333333333333331</v>
      </c>
      <c r="S591" s="121"/>
      <c r="T591" s="121">
        <v>0.375</v>
      </c>
      <c r="U591" s="122" t="e">
        <f>U590+30</f>
        <v>#REF!</v>
      </c>
    </row>
    <row r="592" spans="1:24" ht="21.95" customHeight="1">
      <c r="A592" s="40"/>
      <c r="C592" s="24"/>
      <c r="D592" s="24" t="s">
        <v>162</v>
      </c>
      <c r="E592" s="41">
        <f>$E591+$V$12</f>
        <v>0.80902777777777746</v>
      </c>
      <c r="F592" s="1489">
        <f>I573</f>
        <v>0</v>
      </c>
      <c r="G592" s="1489"/>
      <c r="H592" s="1489"/>
      <c r="I592" s="1489"/>
      <c r="J592" s="1489"/>
      <c r="K592" s="1489"/>
      <c r="L592" s="1489"/>
    </row>
    <row r="593" spans="1:249" ht="21.95" customHeight="1">
      <c r="D593" s="36" t="s">
        <v>220</v>
      </c>
      <c r="F593" s="36" t="str">
        <f>$R$3</f>
        <v>KHU HỖN HỢP CHUNG CƯ, VĂN PHÒNG, TRUNG TÂM THƯƠNG MẠI VÀ NHÀ Ở KẾT HỢP KHU MUA SẮM</v>
      </c>
      <c r="G593" s="30"/>
      <c r="H593" s="30"/>
      <c r="I593" s="30"/>
      <c r="J593" s="30"/>
      <c r="K593" s="30"/>
      <c r="L593" s="30"/>
      <c r="Q593" s="119" t="s">
        <v>192</v>
      </c>
      <c r="R593" s="119" t="str">
        <f>'Du lieu'!$C$7</f>
        <v>CÔNG TY CỔ PHẦN ĐẦU TƯ VÀ KHÁCH SẠN MYWAY HẠ LONG</v>
      </c>
      <c r="S593" s="119"/>
      <c r="T593" s="119" t="str">
        <f>'Du lieu'!$D$7</f>
        <v>Công ty Cổ phần đầu tư và Khách sạn MyWay Hạ Long</v>
      </c>
      <c r="U593" s="1"/>
    </row>
    <row r="594" spans="1:249" ht="23.25" customHeight="1">
      <c r="D594" s="36" t="s">
        <v>221</v>
      </c>
      <c r="F594" s="36" t="str">
        <f>$R$4</f>
        <v>P. BẠCH ĐẰNG, TP. HẠ LONG, TỈNH QUẢNG NINH</v>
      </c>
      <c r="G594" s="30"/>
      <c r="H594" s="30"/>
      <c r="I594" s="30"/>
      <c r="J594" s="30"/>
      <c r="K594" s="30"/>
      <c r="L594" s="30"/>
      <c r="Q594" s="119" t="s">
        <v>193</v>
      </c>
      <c r="R594" s="119" t="str">
        <f>'Du lieu'!$C$8</f>
        <v>Nguyễn Thanh Tân</v>
      </c>
      <c r="S594" s="119"/>
      <c r="T594" s="119" t="str">
        <f>'Du lieu'!$D$8</f>
        <v>GĐ BQLDA</v>
      </c>
      <c r="U594" s="1"/>
    </row>
    <row r="595" spans="1:249" ht="23.25" customHeight="1">
      <c r="A595" s="1488" t="s">
        <v>222</v>
      </c>
      <c r="B595" s="1488"/>
      <c r="C595" s="1488"/>
      <c r="D595" s="1488"/>
      <c r="E595" s="1488"/>
      <c r="F595" s="1488"/>
      <c r="G595" s="1488"/>
      <c r="H595" s="1488"/>
      <c r="I595" s="1488"/>
      <c r="J595" s="1488"/>
      <c r="K595" s="1488"/>
      <c r="L595" s="1488"/>
      <c r="Q595" s="119" t="s">
        <v>193</v>
      </c>
      <c r="R595" s="119" t="str">
        <f>'Du lieu'!$C$9</f>
        <v>Phạm Tiến Dũng</v>
      </c>
      <c r="S595" s="119"/>
      <c r="T595" s="119" t="str">
        <f>'Du lieu'!$D$9</f>
        <v>Cán bộ BQLDA</v>
      </c>
      <c r="U595" s="1"/>
    </row>
    <row r="596" spans="1:249" ht="36.75" customHeight="1">
      <c r="A596" s="1491" t="s">
        <v>223</v>
      </c>
      <c r="B596" s="1491"/>
      <c r="C596" s="1491"/>
      <c r="D596" s="1491"/>
      <c r="E596" s="1491"/>
      <c r="F596" s="1491"/>
      <c r="G596" s="1491"/>
      <c r="H596" s="1491"/>
      <c r="I596" s="1491"/>
      <c r="J596" s="1491"/>
      <c r="K596" s="1491"/>
      <c r="L596" s="1491"/>
      <c r="M596" s="1491"/>
      <c r="N596" s="1491"/>
      <c r="O596" s="43"/>
      <c r="P596" s="43"/>
      <c r="Q596" s="119" t="s">
        <v>194</v>
      </c>
      <c r="R596" s="119" t="str">
        <f>'Du lieu'!$C$10</f>
        <v>………………..</v>
      </c>
      <c r="S596" s="119"/>
      <c r="T596" s="119" t="str">
        <f>'Du lieu'!$D$10</f>
        <v>Cán bộ BQLDA</v>
      </c>
      <c r="U596" s="125"/>
      <c r="V596" s="126"/>
      <c r="W596" s="126"/>
      <c r="X596" s="126"/>
      <c r="Y596" s="126"/>
      <c r="Z596" s="126"/>
      <c r="AA596" s="126"/>
      <c r="AB596" s="126"/>
      <c r="AC596" s="126"/>
    </row>
    <row r="597" spans="1:249" s="5" customFormat="1" ht="16.5">
      <c r="A597" s="1490" t="s">
        <v>224</v>
      </c>
      <c r="B597" s="1490"/>
      <c r="C597" s="1490"/>
      <c r="D597" s="1490"/>
      <c r="E597" s="1490"/>
      <c r="F597" s="1490"/>
      <c r="G597" s="1490"/>
      <c r="H597" s="1490"/>
      <c r="I597" s="1490"/>
      <c r="J597" s="1490"/>
      <c r="K597" s="1490"/>
      <c r="L597" s="1490"/>
      <c r="M597" s="1490"/>
      <c r="N597" s="1490"/>
      <c r="O597" s="43"/>
      <c r="P597" s="43"/>
      <c r="Q597" s="119" t="s">
        <v>193</v>
      </c>
      <c r="R597" s="119" t="str">
        <f>'Du lieu'!$C$11</f>
        <v>CÔNG TY CỔ PHẦN TƯ VẤN KIỂM ĐỊNH VÀ THƯƠNG MẠI XÂY DỰNG GOLDSUN</v>
      </c>
      <c r="S597" s="119"/>
      <c r="T597" s="119" t="str">
        <f>'Du lieu'!$D$11</f>
        <v>Công ty Cổ phần tư vấn kiểm định và thương mại xây dựng Goldsun</v>
      </c>
      <c r="U597" s="125"/>
      <c r="V597" s="126"/>
      <c r="W597" s="126"/>
      <c r="X597" s="126"/>
      <c r="Y597" s="126"/>
      <c r="Z597" s="126"/>
      <c r="AA597" s="126"/>
      <c r="AB597" s="126"/>
      <c r="AC597" s="126"/>
      <c r="AD597" s="127"/>
      <c r="AE597" s="127"/>
      <c r="AF597" s="127"/>
    </row>
    <row r="598" spans="1:249" s="5" customFormat="1" ht="24" customHeight="1">
      <c r="B598" s="36" t="s">
        <v>226</v>
      </c>
      <c r="C598" s="36"/>
      <c r="D598" s="36"/>
      <c r="E598" s="36"/>
      <c r="F598" s="36"/>
      <c r="G598" s="36"/>
      <c r="H598" s="36"/>
      <c r="I598" s="36"/>
      <c r="J598" s="36"/>
      <c r="K598" s="36"/>
      <c r="L598" s="36"/>
      <c r="M598" s="36"/>
      <c r="N598" s="36"/>
      <c r="O598" s="43"/>
      <c r="P598" s="43"/>
      <c r="Q598" s="119" t="s">
        <v>193</v>
      </c>
      <c r="R598" s="119" t="str">
        <f>'Du lieu'!$C$12</f>
        <v>.....................................</v>
      </c>
      <c r="S598" s="119"/>
      <c r="T598" s="119" t="str">
        <f>'Du lieu'!$D$12</f>
        <v>.....................................</v>
      </c>
      <c r="U598" s="125"/>
      <c r="V598" s="126"/>
      <c r="W598" s="126"/>
      <c r="X598" s="126"/>
      <c r="Y598" s="126"/>
      <c r="Z598" s="126"/>
      <c r="AA598" s="126"/>
      <c r="AB598" s="126"/>
      <c r="AC598" s="126"/>
      <c r="AD598" s="127"/>
      <c r="AE598" s="127"/>
      <c r="AF598" s="127"/>
    </row>
    <row r="599" spans="1:249" s="5" customFormat="1" ht="24" customHeight="1">
      <c r="B599" s="36" t="s">
        <v>227</v>
      </c>
      <c r="C599" s="36"/>
      <c r="D599" s="36"/>
      <c r="E599" s="36"/>
      <c r="F599" s="36"/>
      <c r="G599" s="36"/>
      <c r="H599" s="36"/>
      <c r="I599" s="36"/>
      <c r="J599" s="36"/>
      <c r="K599" s="36"/>
      <c r="L599" s="36"/>
      <c r="M599" s="36"/>
      <c r="N599" s="36"/>
      <c r="O599" s="43"/>
      <c r="P599" s="43"/>
      <c r="Q599" s="119" t="s">
        <v>195</v>
      </c>
      <c r="R599" s="119" t="str">
        <f>'Du lieu'!$C$13</f>
        <v>.....................................</v>
      </c>
      <c r="S599" s="119"/>
      <c r="T599" s="119" t="str">
        <f>'Du lieu'!$D$13</f>
        <v>.....................................</v>
      </c>
      <c r="U599" s="125"/>
      <c r="V599" s="126"/>
      <c r="W599" s="126"/>
      <c r="X599" s="126"/>
      <c r="Y599" s="126"/>
      <c r="Z599" s="126"/>
      <c r="AA599" s="126"/>
      <c r="AB599" s="126"/>
      <c r="AC599" s="126"/>
      <c r="AD599" s="1490"/>
      <c r="AE599" s="1490"/>
      <c r="AF599" s="1490"/>
      <c r="AG599" s="1490"/>
      <c r="AH599" s="1490"/>
      <c r="AI599" s="1490"/>
      <c r="AJ599" s="1490"/>
      <c r="AK599" s="1490"/>
      <c r="AL599" s="1490"/>
      <c r="AM599" s="1490"/>
      <c r="AN599" s="1490"/>
      <c r="AO599" s="1490"/>
      <c r="AP599" s="1490"/>
      <c r="AQ599" s="1490"/>
      <c r="AR599" s="1490"/>
      <c r="AS599" s="1490"/>
      <c r="AT599" s="1490"/>
      <c r="AU599" s="1490"/>
      <c r="AV599" s="1490"/>
      <c r="AW599" s="1490"/>
      <c r="AX599" s="1490"/>
      <c r="AY599" s="1490"/>
      <c r="AZ599" s="1490"/>
      <c r="BA599" s="1490"/>
      <c r="BB599" s="1490"/>
      <c r="BC599" s="1490"/>
      <c r="BD599" s="1490"/>
      <c r="BE599" s="1490"/>
      <c r="BF599" s="1490"/>
      <c r="BG599" s="1490"/>
      <c r="BH599" s="1490"/>
      <c r="BI599" s="1490"/>
      <c r="BJ599" s="1490"/>
      <c r="BK599" s="1490"/>
      <c r="BL599" s="1490"/>
      <c r="BM599" s="1490"/>
      <c r="BN599" s="1490"/>
      <c r="BO599" s="1490"/>
      <c r="BP599" s="1490"/>
      <c r="BQ599" s="1490"/>
      <c r="BR599" s="1490"/>
      <c r="BS599" s="1490"/>
      <c r="BT599" s="1490"/>
      <c r="BU599" s="1490"/>
      <c r="BV599" s="1490"/>
      <c r="BW599" s="1490"/>
      <c r="BX599" s="1490"/>
      <c r="BY599" s="1490"/>
      <c r="BZ599" s="1490"/>
      <c r="CA599" s="1490"/>
      <c r="CB599" s="1490"/>
      <c r="CC599" s="1490"/>
      <c r="CD599" s="1490"/>
      <c r="CE599" s="1490"/>
      <c r="CF599" s="1490"/>
      <c r="CG599" s="1490"/>
      <c r="CH599" s="1490"/>
      <c r="CI599" s="1490"/>
      <c r="CJ599" s="1490"/>
      <c r="CK599" s="1490"/>
      <c r="CL599" s="1490"/>
      <c r="CM599" s="1490"/>
      <c r="CN599" s="1490"/>
      <c r="CO599" s="1490"/>
      <c r="CP599" s="1490"/>
      <c r="CQ599" s="1490"/>
      <c r="CR599" s="1490"/>
      <c r="CS599" s="1490"/>
      <c r="CT599" s="1490"/>
      <c r="CU599" s="1490"/>
      <c r="CV599" s="1490"/>
      <c r="CW599" s="1490"/>
      <c r="CX599" s="1490"/>
      <c r="CY599" s="1490"/>
      <c r="CZ599" s="1490"/>
      <c r="DA599" s="1490"/>
      <c r="DB599" s="1490"/>
      <c r="DC599" s="1490"/>
      <c r="DD599" s="1490"/>
      <c r="DE599" s="1490"/>
      <c r="DF599" s="1490"/>
      <c r="DG599" s="1490"/>
      <c r="DH599" s="1490"/>
      <c r="DI599" s="1490"/>
      <c r="DJ599" s="1490"/>
      <c r="DK599" s="1490"/>
      <c r="DL599" s="1490"/>
      <c r="DM599" s="1490"/>
      <c r="DN599" s="1490"/>
      <c r="DO599" s="1490"/>
      <c r="DP599" s="1490"/>
      <c r="DQ599" s="1490"/>
      <c r="DR599" s="1490"/>
      <c r="DS599" s="1490"/>
      <c r="DT599" s="1490"/>
      <c r="DU599" s="1490"/>
      <c r="DV599" s="1490"/>
      <c r="DW599" s="1490"/>
      <c r="DX599" s="1490"/>
      <c r="DY599" s="1490"/>
      <c r="DZ599" s="1490"/>
      <c r="EA599" s="1490"/>
      <c r="EB599" s="1490"/>
      <c r="EC599" s="1490"/>
      <c r="ED599" s="1490"/>
      <c r="EE599" s="1490"/>
      <c r="EF599" s="1490"/>
      <c r="EG599" s="1490"/>
      <c r="EH599" s="1490"/>
      <c r="EI599" s="1490"/>
      <c r="EJ599" s="1490"/>
      <c r="EK599" s="1490"/>
      <c r="EL599" s="1490"/>
      <c r="EM599" s="1490"/>
      <c r="EN599" s="1490"/>
      <c r="EO599" s="1490"/>
      <c r="EP599" s="1490"/>
      <c r="EQ599" s="1490"/>
      <c r="ER599" s="1490"/>
      <c r="ES599" s="1490"/>
      <c r="ET599" s="1490"/>
      <c r="EU599" s="1490"/>
      <c r="EV599" s="1490"/>
      <c r="EW599" s="1490"/>
      <c r="EX599" s="1490"/>
      <c r="EY599" s="1490"/>
      <c r="EZ599" s="1490"/>
      <c r="FA599" s="1490"/>
      <c r="FB599" s="1490"/>
      <c r="FC599" s="1490"/>
      <c r="FD599" s="1490"/>
      <c r="FE599" s="1490"/>
      <c r="FF599" s="1490"/>
      <c r="FG599" s="1490"/>
      <c r="FH599" s="1490"/>
      <c r="FI599" s="1490"/>
      <c r="FJ599" s="1490"/>
      <c r="FK599" s="1490"/>
      <c r="FL599" s="1490"/>
      <c r="FM599" s="1490"/>
      <c r="FN599" s="1490"/>
      <c r="FO599" s="1490"/>
      <c r="FP599" s="1490"/>
      <c r="FQ599" s="1490"/>
      <c r="FR599" s="1490"/>
      <c r="FS599" s="1490"/>
      <c r="FT599" s="1490"/>
      <c r="FU599" s="1490"/>
      <c r="FV599" s="1490"/>
      <c r="FW599" s="1490"/>
      <c r="FX599" s="1490"/>
      <c r="FY599" s="1490"/>
      <c r="FZ599" s="1490"/>
      <c r="GA599" s="1490"/>
      <c r="GB599" s="1490"/>
      <c r="GC599" s="1490"/>
      <c r="GD599" s="1490"/>
      <c r="GE599" s="1490"/>
      <c r="GF599" s="1490"/>
      <c r="GG599" s="1490"/>
      <c r="GH599" s="1490"/>
      <c r="GI599" s="1490"/>
      <c r="GJ599" s="1490"/>
      <c r="GK599" s="1490"/>
      <c r="GL599" s="1490"/>
      <c r="GM599" s="1490"/>
      <c r="GN599" s="1490"/>
      <c r="GO599" s="1490"/>
      <c r="GP599" s="1490"/>
      <c r="GQ599" s="1490"/>
      <c r="GR599" s="1490"/>
      <c r="GS599" s="1490"/>
      <c r="GT599" s="1490"/>
      <c r="GU599" s="1490"/>
      <c r="GV599" s="1490"/>
      <c r="GW599" s="1490"/>
      <c r="GX599" s="1490"/>
      <c r="GY599" s="1490"/>
      <c r="GZ599" s="1490"/>
      <c r="HA599" s="1490"/>
      <c r="HB599" s="1490"/>
      <c r="HC599" s="1490"/>
      <c r="HD599" s="1490"/>
      <c r="HE599" s="1490"/>
      <c r="HF599" s="1490"/>
      <c r="HG599" s="1490"/>
      <c r="HH599" s="1490"/>
      <c r="HI599" s="1490"/>
      <c r="HJ599" s="1490"/>
      <c r="HK599" s="1490"/>
      <c r="HL599" s="1490"/>
      <c r="HM599" s="1490"/>
      <c r="HN599" s="1490"/>
      <c r="HO599" s="1490"/>
      <c r="HP599" s="1490"/>
      <c r="HQ599" s="1490"/>
      <c r="HR599" s="1490"/>
      <c r="HS599" s="1490"/>
      <c r="HT599" s="1490"/>
      <c r="HU599" s="1490"/>
      <c r="HV599" s="1490"/>
      <c r="HW599" s="1490"/>
      <c r="HX599" s="1490"/>
      <c r="HY599" s="1490"/>
      <c r="HZ599" s="1490"/>
      <c r="IA599" s="1490"/>
      <c r="IB599" s="1490"/>
      <c r="IC599" s="1490"/>
      <c r="ID599" s="1490"/>
      <c r="IE599" s="1490"/>
      <c r="IF599" s="1490"/>
      <c r="IG599" s="1490"/>
      <c r="IH599" s="1490"/>
      <c r="II599" s="1490"/>
      <c r="IJ599" s="1490"/>
      <c r="IK599" s="1490"/>
      <c r="IL599" s="1490"/>
      <c r="IM599" s="1490"/>
      <c r="IN599" s="1490"/>
      <c r="IO599" s="44"/>
    </row>
    <row r="600" spans="1:249" s="5" customFormat="1" ht="24" customHeight="1">
      <c r="B600" s="36" t="s">
        <v>228</v>
      </c>
      <c r="C600" s="36"/>
      <c r="D600" s="36"/>
      <c r="E600" s="36"/>
      <c r="F600" s="36"/>
      <c r="G600" s="36"/>
      <c r="H600" s="36"/>
      <c r="I600" s="36"/>
      <c r="J600" s="36"/>
      <c r="K600" s="36"/>
      <c r="L600" s="36"/>
      <c r="M600" s="36"/>
      <c r="N600" s="36"/>
      <c r="O600" s="43"/>
      <c r="P600" s="43"/>
      <c r="Q600" s="119" t="s">
        <v>193</v>
      </c>
      <c r="R600" s="119" t="str">
        <f>'Du lieu'!$C$14</f>
        <v>.....................................</v>
      </c>
      <c r="S600" s="119"/>
      <c r="T600" s="119" t="str">
        <f>'Du lieu'!$D$14</f>
        <v>.....................................</v>
      </c>
      <c r="U600" s="125"/>
      <c r="V600" s="126"/>
      <c r="W600" s="126"/>
      <c r="X600" s="126"/>
      <c r="Y600" s="126"/>
      <c r="Z600" s="126"/>
      <c r="AA600" s="126"/>
      <c r="AB600" s="126"/>
      <c r="AC600" s="126"/>
      <c r="AD600" s="1490"/>
      <c r="AE600" s="1490"/>
      <c r="AF600" s="1490"/>
      <c r="AG600" s="1490"/>
      <c r="AH600" s="1490"/>
      <c r="AI600" s="1490"/>
      <c r="AJ600" s="1490"/>
      <c r="AK600" s="1490"/>
      <c r="AL600" s="1490"/>
      <c r="AM600" s="1490"/>
      <c r="AN600" s="1490"/>
      <c r="AO600" s="1490"/>
      <c r="AP600" s="1490"/>
      <c r="AQ600" s="1490"/>
      <c r="AR600" s="1490"/>
      <c r="AS600" s="1490"/>
      <c r="AT600" s="1490"/>
      <c r="AU600" s="1490"/>
      <c r="AV600" s="1490"/>
      <c r="AW600" s="1490"/>
      <c r="AX600" s="1490"/>
      <c r="AY600" s="1490"/>
      <c r="AZ600" s="1490"/>
      <c r="BA600" s="1490"/>
      <c r="BB600" s="1490"/>
      <c r="BC600" s="1490"/>
      <c r="BD600" s="1490"/>
      <c r="BE600" s="1490"/>
      <c r="BF600" s="1490"/>
      <c r="BG600" s="1490"/>
      <c r="BH600" s="1490"/>
      <c r="BI600" s="1490"/>
      <c r="BJ600" s="1490"/>
      <c r="BK600" s="1490"/>
      <c r="BL600" s="1490"/>
      <c r="BM600" s="1490"/>
      <c r="BN600" s="1490"/>
      <c r="BO600" s="1490"/>
      <c r="BP600" s="1490"/>
      <c r="BQ600" s="1490"/>
      <c r="BR600" s="1490"/>
      <c r="BS600" s="1490"/>
      <c r="BT600" s="1490"/>
      <c r="BU600" s="1490"/>
      <c r="BV600" s="1490"/>
      <c r="BW600" s="1490"/>
      <c r="BX600" s="1490"/>
      <c r="BY600" s="1490"/>
      <c r="BZ600" s="1490"/>
      <c r="CA600" s="1490"/>
      <c r="CB600" s="1490"/>
      <c r="CC600" s="1490"/>
      <c r="CD600" s="1490"/>
      <c r="CE600" s="1490"/>
      <c r="CF600" s="1490"/>
      <c r="CG600" s="1490"/>
      <c r="CH600" s="1490"/>
      <c r="CI600" s="1490"/>
      <c r="CJ600" s="1490"/>
      <c r="CK600" s="1490"/>
      <c r="CL600" s="1490"/>
      <c r="CM600" s="1490"/>
      <c r="CN600" s="1490"/>
      <c r="CO600" s="1490"/>
      <c r="CP600" s="1490"/>
      <c r="CQ600" s="1490"/>
      <c r="CR600" s="1490"/>
      <c r="CS600" s="1490"/>
      <c r="CT600" s="1490"/>
      <c r="CU600" s="1490"/>
      <c r="CV600" s="1490"/>
      <c r="CW600" s="1490"/>
      <c r="CX600" s="1490"/>
      <c r="CY600" s="1490"/>
      <c r="CZ600" s="1490"/>
      <c r="DA600" s="1490"/>
      <c r="DB600" s="1490"/>
      <c r="DC600" s="1490"/>
      <c r="DD600" s="1490"/>
      <c r="DE600" s="1490"/>
      <c r="DF600" s="1490"/>
      <c r="DG600" s="1490"/>
      <c r="DH600" s="1490"/>
      <c r="DI600" s="1490"/>
      <c r="DJ600" s="1490"/>
      <c r="DK600" s="1490"/>
      <c r="DL600" s="1490"/>
      <c r="DM600" s="1490"/>
      <c r="DN600" s="1490"/>
      <c r="DO600" s="1490"/>
      <c r="DP600" s="1490"/>
      <c r="DQ600" s="1490"/>
      <c r="DR600" s="1490"/>
      <c r="DS600" s="1490"/>
      <c r="DT600" s="1490"/>
      <c r="DU600" s="1490"/>
      <c r="DV600" s="1490"/>
      <c r="DW600" s="1490"/>
      <c r="DX600" s="1490"/>
      <c r="DY600" s="1490"/>
      <c r="DZ600" s="1490"/>
      <c r="EA600" s="1490"/>
      <c r="EB600" s="1490"/>
      <c r="EC600" s="1490"/>
      <c r="ED600" s="1490"/>
      <c r="EE600" s="1490"/>
      <c r="EF600" s="1490"/>
      <c r="EG600" s="1490"/>
      <c r="EH600" s="1490"/>
      <c r="EI600" s="1490"/>
      <c r="EJ600" s="1490"/>
      <c r="EK600" s="1490"/>
      <c r="EL600" s="1490"/>
      <c r="EM600" s="1490"/>
      <c r="EN600" s="1490"/>
      <c r="EO600" s="1490"/>
      <c r="EP600" s="1490"/>
      <c r="EQ600" s="1490"/>
      <c r="ER600" s="1490"/>
      <c r="ES600" s="1490"/>
      <c r="ET600" s="1490"/>
      <c r="EU600" s="1490"/>
      <c r="EV600" s="1490"/>
      <c r="EW600" s="1490"/>
      <c r="EX600" s="1490"/>
      <c r="EY600" s="1490"/>
      <c r="EZ600" s="1490"/>
      <c r="FA600" s="1490"/>
      <c r="FB600" s="1490"/>
      <c r="FC600" s="1490"/>
      <c r="FD600" s="1490"/>
      <c r="FE600" s="1490"/>
      <c r="FF600" s="1490"/>
      <c r="FG600" s="1490"/>
      <c r="FH600" s="1490"/>
      <c r="FI600" s="1490"/>
      <c r="FJ600" s="1490"/>
      <c r="FK600" s="1490"/>
      <c r="FL600" s="1490"/>
      <c r="FM600" s="1490"/>
      <c r="FN600" s="1490"/>
      <c r="FO600" s="1490"/>
      <c r="FP600" s="1490"/>
      <c r="FQ600" s="1490"/>
      <c r="FR600" s="1490"/>
      <c r="FS600" s="1490"/>
      <c r="FT600" s="1490"/>
      <c r="FU600" s="1490"/>
      <c r="FV600" s="1490"/>
      <c r="FW600" s="1490"/>
      <c r="FX600" s="1490"/>
      <c r="FY600" s="1490"/>
      <c r="FZ600" s="1490"/>
      <c r="GA600" s="1490"/>
      <c r="GB600" s="1490"/>
      <c r="GC600" s="1490"/>
      <c r="GD600" s="1490"/>
      <c r="GE600" s="1490"/>
      <c r="GF600" s="1490"/>
      <c r="GG600" s="1490"/>
      <c r="GH600" s="1490"/>
      <c r="GI600" s="1490"/>
      <c r="GJ600" s="1490"/>
      <c r="GK600" s="1490"/>
      <c r="GL600" s="1490"/>
      <c r="GM600" s="1490"/>
      <c r="GN600" s="1490"/>
      <c r="GO600" s="1490"/>
      <c r="GP600" s="1490"/>
      <c r="GQ600" s="1490"/>
      <c r="GR600" s="1490"/>
      <c r="GS600" s="1490"/>
      <c r="GT600" s="1490"/>
      <c r="GU600" s="1490"/>
      <c r="GV600" s="1490"/>
      <c r="GW600" s="1490"/>
      <c r="GX600" s="1490"/>
      <c r="GY600" s="1490"/>
      <c r="GZ600" s="1490"/>
      <c r="HA600" s="1490"/>
      <c r="HB600" s="1490"/>
      <c r="HC600" s="1490"/>
      <c r="HD600" s="1490"/>
      <c r="HE600" s="1490"/>
      <c r="HF600" s="1490"/>
      <c r="HG600" s="1490"/>
      <c r="HH600" s="1490"/>
      <c r="HI600" s="1490"/>
      <c r="HJ600" s="1490"/>
      <c r="HK600" s="1490"/>
      <c r="HL600" s="1490"/>
      <c r="HM600" s="1490"/>
      <c r="HN600" s="1490"/>
      <c r="HO600" s="1490"/>
      <c r="HP600" s="1490"/>
      <c r="HQ600" s="1490"/>
      <c r="HR600" s="1490"/>
      <c r="HS600" s="1490"/>
      <c r="HT600" s="1490"/>
      <c r="HU600" s="1490"/>
      <c r="HV600" s="1490"/>
      <c r="HW600" s="1490"/>
      <c r="HX600" s="1490"/>
      <c r="HY600" s="1490"/>
      <c r="HZ600" s="1490"/>
      <c r="IA600" s="1490"/>
      <c r="IB600" s="1490"/>
      <c r="IC600" s="1490"/>
      <c r="ID600" s="1490"/>
      <c r="IE600" s="1490"/>
      <c r="IF600" s="1490"/>
      <c r="IG600" s="1490"/>
      <c r="IH600" s="1490"/>
      <c r="II600" s="1490"/>
      <c r="IJ600" s="1490"/>
      <c r="IK600" s="1490"/>
      <c r="IL600" s="1490"/>
      <c r="IM600" s="1490"/>
      <c r="IN600" s="1490"/>
      <c r="IO600" s="44"/>
    </row>
    <row r="601" spans="1:249" s="5" customFormat="1" ht="24" customHeight="1">
      <c r="B601" s="36" t="s">
        <v>290</v>
      </c>
      <c r="C601" s="36"/>
      <c r="D601" s="36"/>
      <c r="E601" s="36"/>
      <c r="F601" s="36"/>
      <c r="G601" s="36"/>
      <c r="H601" s="36"/>
      <c r="I601" s="36"/>
      <c r="J601" s="36"/>
      <c r="K601" s="36"/>
      <c r="L601" s="36"/>
      <c r="M601" s="36"/>
      <c r="N601" s="36"/>
      <c r="O601" s="43"/>
      <c r="P601" s="43"/>
      <c r="Q601" s="119" t="s">
        <v>193</v>
      </c>
      <c r="R601" s="119" t="str">
        <f>'Du lieu'!$C$15</f>
        <v>CÔNG TY TNHH MTV HANTECH</v>
      </c>
      <c r="S601" s="119"/>
      <c r="T601" s="119" t="str">
        <f>'Du lieu'!$D$15</f>
        <v>Công ty TNHH MTV HANTECH</v>
      </c>
      <c r="U601" s="125"/>
      <c r="V601" s="126"/>
      <c r="W601" s="126"/>
      <c r="X601" s="126"/>
      <c r="Y601" s="126"/>
      <c r="Z601" s="126"/>
      <c r="AA601" s="126"/>
      <c r="AB601" s="126"/>
      <c r="AC601" s="126"/>
      <c r="AD601" s="1490"/>
      <c r="AE601" s="1490"/>
      <c r="AF601" s="1490"/>
      <c r="AG601" s="1490"/>
      <c r="AH601" s="1490"/>
      <c r="AI601" s="1490"/>
      <c r="AJ601" s="1490"/>
      <c r="AK601" s="1490"/>
      <c r="AL601" s="1490"/>
      <c r="AM601" s="1490"/>
      <c r="AN601" s="1490"/>
      <c r="AO601" s="1490"/>
      <c r="AP601" s="1490"/>
      <c r="AQ601" s="1490"/>
      <c r="AR601" s="1490"/>
      <c r="AS601" s="1490"/>
      <c r="AT601" s="1490"/>
      <c r="AU601" s="1490"/>
      <c r="AV601" s="1490"/>
      <c r="AW601" s="1490"/>
      <c r="AX601" s="1490"/>
      <c r="AY601" s="1490"/>
      <c r="AZ601" s="1490"/>
      <c r="BA601" s="1490"/>
      <c r="BB601" s="1490"/>
      <c r="BC601" s="1490"/>
      <c r="BD601" s="1490"/>
      <c r="BE601" s="1490"/>
      <c r="BF601" s="1490"/>
      <c r="BG601" s="1490"/>
      <c r="BH601" s="1490"/>
      <c r="BI601" s="1490"/>
      <c r="BJ601" s="1490"/>
      <c r="BK601" s="1490"/>
      <c r="BL601" s="1490"/>
      <c r="BM601" s="1490"/>
      <c r="BN601" s="1490"/>
      <c r="BO601" s="1490"/>
      <c r="BP601" s="1490"/>
      <c r="BQ601" s="1490"/>
      <c r="BR601" s="1490"/>
      <c r="BS601" s="1490"/>
      <c r="BT601" s="1490"/>
      <c r="BU601" s="1490"/>
      <c r="BV601" s="1490"/>
      <c r="BW601" s="1490"/>
      <c r="BX601" s="1490"/>
      <c r="BY601" s="1490"/>
      <c r="BZ601" s="1490"/>
      <c r="CA601" s="1490"/>
      <c r="CB601" s="1490"/>
      <c r="CC601" s="1490"/>
      <c r="CD601" s="1490"/>
      <c r="CE601" s="1490"/>
      <c r="CF601" s="1490"/>
      <c r="CG601" s="1490"/>
      <c r="CH601" s="1490"/>
      <c r="CI601" s="1490"/>
      <c r="CJ601" s="1490"/>
      <c r="CK601" s="1490"/>
      <c r="CL601" s="1490"/>
      <c r="CM601" s="1490"/>
      <c r="CN601" s="1490"/>
      <c r="CO601" s="1490"/>
      <c r="CP601" s="1490"/>
      <c r="CQ601" s="1490"/>
      <c r="CR601" s="1490"/>
      <c r="CS601" s="1490"/>
      <c r="CT601" s="1490"/>
      <c r="CU601" s="1490"/>
      <c r="CV601" s="1490"/>
      <c r="CW601" s="1490"/>
      <c r="CX601" s="1490"/>
      <c r="CY601" s="1490"/>
      <c r="CZ601" s="1490"/>
      <c r="DA601" s="1490"/>
      <c r="DB601" s="1490"/>
      <c r="DC601" s="1490"/>
      <c r="DD601" s="1490"/>
      <c r="DE601" s="1490"/>
      <c r="DF601" s="1490"/>
      <c r="DG601" s="1490"/>
      <c r="DH601" s="1490"/>
      <c r="DI601" s="1490"/>
      <c r="DJ601" s="1490"/>
      <c r="DK601" s="1490"/>
      <c r="DL601" s="1490"/>
      <c r="DM601" s="1490"/>
      <c r="DN601" s="1490"/>
      <c r="DO601" s="1490"/>
      <c r="DP601" s="1490"/>
      <c r="DQ601" s="1490"/>
      <c r="DR601" s="1490"/>
      <c r="DS601" s="1490"/>
      <c r="DT601" s="1490"/>
      <c r="DU601" s="1490"/>
      <c r="DV601" s="1490"/>
      <c r="DW601" s="1490"/>
      <c r="DX601" s="1490"/>
      <c r="DY601" s="1490"/>
      <c r="DZ601" s="1490"/>
      <c r="EA601" s="1490"/>
      <c r="EB601" s="1490"/>
      <c r="EC601" s="1490"/>
      <c r="ED601" s="1490"/>
      <c r="EE601" s="1490"/>
      <c r="EF601" s="1490"/>
      <c r="EG601" s="1490"/>
      <c r="EH601" s="1490"/>
      <c r="EI601" s="1490"/>
      <c r="EJ601" s="1490"/>
      <c r="EK601" s="1490"/>
      <c r="EL601" s="1490"/>
      <c r="EM601" s="1490"/>
      <c r="EN601" s="1490"/>
      <c r="EO601" s="1490"/>
      <c r="EP601" s="1490"/>
      <c r="EQ601" s="1490"/>
      <c r="ER601" s="1490"/>
      <c r="ES601" s="1490"/>
      <c r="ET601" s="1490"/>
      <c r="EU601" s="1490"/>
      <c r="EV601" s="1490"/>
      <c r="EW601" s="1490"/>
      <c r="EX601" s="1490"/>
      <c r="EY601" s="1490"/>
      <c r="EZ601" s="1490"/>
      <c r="FA601" s="1490"/>
      <c r="FB601" s="1490"/>
      <c r="FC601" s="1490"/>
      <c r="FD601" s="1490"/>
      <c r="FE601" s="1490"/>
      <c r="FF601" s="1490"/>
      <c r="FG601" s="1490"/>
      <c r="FH601" s="1490"/>
      <c r="FI601" s="1490"/>
      <c r="FJ601" s="1490"/>
      <c r="FK601" s="1490"/>
      <c r="FL601" s="1490"/>
      <c r="FM601" s="1490"/>
      <c r="FN601" s="1490"/>
      <c r="FO601" s="1490"/>
      <c r="FP601" s="1490"/>
      <c r="FQ601" s="1490"/>
      <c r="FR601" s="1490"/>
      <c r="FS601" s="1490"/>
      <c r="FT601" s="1490"/>
      <c r="FU601" s="1490"/>
      <c r="FV601" s="1490"/>
      <c r="FW601" s="1490"/>
      <c r="FX601" s="1490"/>
      <c r="FY601" s="1490"/>
      <c r="FZ601" s="1490"/>
      <c r="GA601" s="1490"/>
      <c r="GB601" s="1490"/>
      <c r="GC601" s="1490"/>
      <c r="GD601" s="1490"/>
      <c r="GE601" s="1490"/>
      <c r="GF601" s="1490"/>
      <c r="GG601" s="1490"/>
      <c r="GH601" s="1490"/>
      <c r="GI601" s="1490"/>
      <c r="GJ601" s="1490"/>
      <c r="GK601" s="1490"/>
      <c r="GL601" s="1490"/>
      <c r="GM601" s="1490"/>
      <c r="GN601" s="1490"/>
      <c r="GO601" s="1490"/>
      <c r="GP601" s="1490"/>
      <c r="GQ601" s="1490"/>
      <c r="GR601" s="1490"/>
      <c r="GS601" s="1490"/>
      <c r="GT601" s="1490"/>
      <c r="GU601" s="1490"/>
      <c r="GV601" s="1490"/>
      <c r="GW601" s="1490"/>
      <c r="GX601" s="1490"/>
      <c r="GY601" s="1490"/>
      <c r="GZ601" s="1490"/>
      <c r="HA601" s="1490"/>
      <c r="HB601" s="1490"/>
      <c r="HC601" s="1490"/>
      <c r="HD601" s="1490"/>
      <c r="HE601" s="1490"/>
      <c r="HF601" s="1490"/>
      <c r="HG601" s="1490"/>
      <c r="HH601" s="1490"/>
      <c r="HI601" s="1490"/>
      <c r="HJ601" s="1490"/>
      <c r="HK601" s="1490"/>
      <c r="HL601" s="1490"/>
      <c r="HM601" s="1490"/>
      <c r="HN601" s="1490"/>
      <c r="HO601" s="1490"/>
      <c r="HP601" s="1490"/>
      <c r="HQ601" s="1490"/>
      <c r="HR601" s="1490"/>
      <c r="HS601" s="1490"/>
      <c r="HT601" s="1490"/>
      <c r="HU601" s="1490"/>
      <c r="HV601" s="1490"/>
      <c r="HW601" s="1490"/>
      <c r="HX601" s="1490"/>
      <c r="HY601" s="1490"/>
      <c r="HZ601" s="1490"/>
      <c r="IA601" s="1490"/>
      <c r="IB601" s="1490"/>
      <c r="IC601" s="1490"/>
      <c r="ID601" s="1490"/>
      <c r="IE601" s="1490"/>
      <c r="IF601" s="1490"/>
      <c r="IG601" s="1490"/>
      <c r="IH601" s="1490"/>
      <c r="II601" s="1490"/>
      <c r="IJ601" s="1490"/>
      <c r="IK601" s="1490"/>
      <c r="IL601" s="1490"/>
      <c r="IM601" s="1490"/>
      <c r="IN601" s="1490"/>
      <c r="IO601" s="44"/>
    </row>
    <row r="602" spans="1:249" s="5" customFormat="1" ht="24" customHeight="1">
      <c r="A602" s="45"/>
      <c r="B602" s="46" t="s">
        <v>229</v>
      </c>
      <c r="C602" s="46"/>
      <c r="D602" s="46"/>
      <c r="E602" s="46"/>
      <c r="F602" s="46"/>
      <c r="G602" s="46"/>
      <c r="H602" s="46"/>
      <c r="I602" s="46"/>
      <c r="J602" s="46"/>
      <c r="K602" s="46"/>
      <c r="L602" s="46"/>
      <c r="M602" s="46"/>
      <c r="N602" s="46"/>
      <c r="O602" s="43"/>
      <c r="P602" s="43"/>
      <c r="Q602" s="119" t="s">
        <v>196</v>
      </c>
      <c r="R602" s="119"/>
      <c r="S602" s="119"/>
      <c r="T602" s="119" t="str">
        <f>'Du lieu'!$D$16</f>
        <v>.....................................</v>
      </c>
      <c r="U602" s="125"/>
      <c r="V602" s="126"/>
      <c r="W602" s="126"/>
      <c r="X602" s="126"/>
      <c r="Y602" s="126"/>
      <c r="Z602" s="126"/>
      <c r="AA602" s="126"/>
      <c r="AB602" s="126"/>
      <c r="AC602" s="126"/>
      <c r="AD602" s="1490"/>
      <c r="AE602" s="1490"/>
      <c r="AF602" s="1490"/>
      <c r="AG602" s="1490"/>
      <c r="AH602" s="1490"/>
      <c r="AI602" s="1490"/>
      <c r="AJ602" s="1490"/>
      <c r="AK602" s="1490"/>
      <c r="AL602" s="1490"/>
      <c r="AM602" s="1490"/>
      <c r="AN602" s="1490"/>
      <c r="AO602" s="1490"/>
      <c r="AP602" s="1490"/>
      <c r="AQ602" s="1490"/>
      <c r="AR602" s="1490"/>
      <c r="AS602" s="1490"/>
      <c r="AT602" s="1490"/>
      <c r="AU602" s="1490"/>
      <c r="AV602" s="1490"/>
      <c r="AW602" s="1490"/>
      <c r="AX602" s="1490"/>
      <c r="AY602" s="1490"/>
      <c r="AZ602" s="1490"/>
      <c r="BA602" s="1490"/>
      <c r="BB602" s="1490"/>
      <c r="BC602" s="1490"/>
      <c r="BD602" s="1490"/>
      <c r="BE602" s="1490"/>
      <c r="BF602" s="1490"/>
      <c r="BG602" s="1490"/>
      <c r="BH602" s="1490"/>
      <c r="BI602" s="1490"/>
      <c r="BJ602" s="1490"/>
      <c r="BK602" s="1490"/>
      <c r="BL602" s="1490"/>
      <c r="BM602" s="1490"/>
      <c r="BN602" s="1490"/>
      <c r="BO602" s="1490"/>
      <c r="BP602" s="1490"/>
      <c r="BQ602" s="1490"/>
      <c r="BR602" s="1490"/>
      <c r="BS602" s="1490"/>
      <c r="BT602" s="1490"/>
      <c r="BU602" s="1490"/>
      <c r="BV602" s="1490"/>
      <c r="BW602" s="1490"/>
      <c r="BX602" s="1490"/>
      <c r="BY602" s="1490"/>
      <c r="BZ602" s="1490"/>
      <c r="CA602" s="1490"/>
      <c r="CB602" s="1490"/>
      <c r="CC602" s="1490"/>
      <c r="CD602" s="1490"/>
      <c r="CE602" s="1490"/>
      <c r="CF602" s="1490"/>
      <c r="CG602" s="1490"/>
      <c r="CH602" s="1490"/>
      <c r="CI602" s="1490"/>
      <c r="CJ602" s="1490"/>
      <c r="CK602" s="1490"/>
      <c r="CL602" s="1490"/>
      <c r="CM602" s="1490"/>
      <c r="CN602" s="1490"/>
      <c r="CO602" s="1490"/>
      <c r="CP602" s="1490"/>
      <c r="CQ602" s="1490"/>
      <c r="CR602" s="1490"/>
      <c r="CS602" s="1490"/>
      <c r="CT602" s="1490"/>
      <c r="CU602" s="1490"/>
      <c r="CV602" s="1490"/>
      <c r="CW602" s="1490"/>
      <c r="CX602" s="1490"/>
      <c r="CY602" s="1490"/>
      <c r="CZ602" s="1490"/>
      <c r="DA602" s="1490"/>
      <c r="DB602" s="1490"/>
      <c r="DC602" s="1490"/>
      <c r="DD602" s="1490"/>
      <c r="DE602" s="1490"/>
      <c r="DF602" s="1490"/>
      <c r="DG602" s="1490"/>
      <c r="DH602" s="1490"/>
      <c r="DI602" s="1490"/>
      <c r="DJ602" s="1490"/>
      <c r="DK602" s="1490"/>
      <c r="DL602" s="1490"/>
      <c r="DM602" s="1490"/>
      <c r="DN602" s="1490"/>
      <c r="DO602" s="1490"/>
      <c r="DP602" s="1490"/>
      <c r="DQ602" s="1490"/>
      <c r="DR602" s="1490"/>
      <c r="DS602" s="1490"/>
      <c r="DT602" s="1490"/>
      <c r="DU602" s="1490"/>
      <c r="DV602" s="1490"/>
      <c r="DW602" s="1490"/>
      <c r="DX602" s="1490"/>
      <c r="DY602" s="1490"/>
      <c r="DZ602" s="1490"/>
      <c r="EA602" s="1490"/>
      <c r="EB602" s="1490"/>
      <c r="EC602" s="1490"/>
      <c r="ED602" s="1490"/>
      <c r="EE602" s="1490"/>
      <c r="EF602" s="1490"/>
      <c r="EG602" s="1490"/>
      <c r="EH602" s="1490"/>
      <c r="EI602" s="1490"/>
      <c r="EJ602" s="1490"/>
      <c r="EK602" s="1490"/>
      <c r="EL602" s="1490"/>
      <c r="EM602" s="1490"/>
      <c r="EN602" s="1490"/>
      <c r="EO602" s="1490"/>
      <c r="EP602" s="1490"/>
      <c r="EQ602" s="1490"/>
      <c r="ER602" s="1490"/>
      <c r="ES602" s="1490"/>
      <c r="ET602" s="1490"/>
      <c r="EU602" s="1490"/>
      <c r="EV602" s="1490"/>
      <c r="EW602" s="1490"/>
      <c r="EX602" s="1490"/>
      <c r="EY602" s="1490"/>
      <c r="EZ602" s="1490"/>
      <c r="FA602" s="1490"/>
      <c r="FB602" s="1490"/>
      <c r="FC602" s="1490"/>
      <c r="FD602" s="1490"/>
      <c r="FE602" s="1490"/>
      <c r="FF602" s="1490"/>
      <c r="FG602" s="1490"/>
      <c r="FH602" s="1490"/>
      <c r="FI602" s="1490"/>
      <c r="FJ602" s="1490"/>
      <c r="FK602" s="1490"/>
      <c r="FL602" s="1490"/>
      <c r="FM602" s="1490"/>
      <c r="FN602" s="1490"/>
      <c r="FO602" s="1490"/>
      <c r="FP602" s="1490"/>
      <c r="FQ602" s="1490"/>
      <c r="FR602" s="1490"/>
      <c r="FS602" s="1490"/>
      <c r="FT602" s="1490"/>
      <c r="FU602" s="1490"/>
      <c r="FV602" s="1490"/>
      <c r="FW602" s="1490"/>
      <c r="FX602" s="1490"/>
      <c r="FY602" s="1490"/>
      <c r="FZ602" s="1490"/>
      <c r="GA602" s="1490"/>
      <c r="GB602" s="1490"/>
      <c r="GC602" s="1490"/>
      <c r="GD602" s="1490"/>
      <c r="GE602" s="1490"/>
      <c r="GF602" s="1490"/>
      <c r="GG602" s="1490"/>
      <c r="GH602" s="1490"/>
      <c r="GI602" s="1490"/>
      <c r="GJ602" s="1490"/>
      <c r="GK602" s="1490"/>
      <c r="GL602" s="1490"/>
      <c r="GM602" s="1490"/>
      <c r="GN602" s="1490"/>
      <c r="GO602" s="1490"/>
      <c r="GP602" s="1490"/>
      <c r="GQ602" s="1490"/>
      <c r="GR602" s="1490"/>
      <c r="GS602" s="1490"/>
      <c r="GT602" s="1490"/>
      <c r="GU602" s="1490"/>
      <c r="GV602" s="1490"/>
      <c r="GW602" s="1490"/>
      <c r="GX602" s="1490"/>
      <c r="GY602" s="1490"/>
      <c r="GZ602" s="1490"/>
      <c r="HA602" s="1490"/>
      <c r="HB602" s="1490"/>
      <c r="HC602" s="1490"/>
      <c r="HD602" s="1490"/>
      <c r="HE602" s="1490"/>
      <c r="HF602" s="1490"/>
      <c r="HG602" s="1490"/>
      <c r="HH602" s="1490"/>
      <c r="HI602" s="1490"/>
      <c r="HJ602" s="1490"/>
      <c r="HK602" s="1490"/>
      <c r="HL602" s="1490"/>
      <c r="HM602" s="1490"/>
      <c r="HN602" s="1490"/>
      <c r="HO602" s="1490"/>
      <c r="HP602" s="1490"/>
      <c r="HQ602" s="1490"/>
      <c r="HR602" s="1490"/>
      <c r="HS602" s="1490"/>
      <c r="HT602" s="1490"/>
      <c r="HU602" s="1490"/>
      <c r="HV602" s="1490"/>
      <c r="HW602" s="1490"/>
      <c r="HX602" s="1490"/>
      <c r="HY602" s="1490"/>
      <c r="HZ602" s="1490"/>
      <c r="IA602" s="1490"/>
      <c r="IB602" s="1490"/>
      <c r="IC602" s="1490"/>
      <c r="ID602" s="1490"/>
      <c r="IE602" s="1490"/>
      <c r="IF602" s="1490"/>
      <c r="IG602" s="1490"/>
      <c r="IH602" s="1490"/>
      <c r="II602" s="1490"/>
      <c r="IJ602" s="1490"/>
      <c r="IK602" s="1490"/>
      <c r="IL602" s="1490"/>
      <c r="IM602" s="1490"/>
      <c r="IN602" s="1490"/>
      <c r="IO602" s="44"/>
    </row>
    <row r="603" spans="1:249" s="5" customFormat="1" ht="24" customHeight="1">
      <c r="A603" s="1490" t="s">
        <v>231</v>
      </c>
      <c r="B603" s="1490"/>
      <c r="C603" s="1490"/>
      <c r="D603" s="1490"/>
      <c r="E603" s="1490"/>
      <c r="F603" s="1490"/>
      <c r="G603" s="1490"/>
      <c r="H603" s="1490"/>
      <c r="I603" s="1490"/>
      <c r="J603" s="1490"/>
      <c r="K603" s="1490"/>
      <c r="L603" s="1490"/>
      <c r="M603" s="1490"/>
      <c r="N603" s="1490"/>
      <c r="O603" s="43"/>
      <c r="P603" s="43"/>
      <c r="Q603" s="119" t="s">
        <v>193</v>
      </c>
      <c r="R603" s="119" t="str">
        <f>'Du lieu'!$C$17</f>
        <v>Ngô Văn Khánh</v>
      </c>
      <c r="S603" s="119"/>
      <c r="T603" s="119" t="str">
        <f>'Du lieu'!$D$17</f>
        <v>Chỉ huy trưởng công trường</v>
      </c>
      <c r="U603" s="125"/>
      <c r="V603" s="126"/>
      <c r="W603" s="126"/>
      <c r="X603" s="126"/>
      <c r="Y603" s="126"/>
      <c r="Z603" s="126"/>
      <c r="AA603" s="126"/>
      <c r="AB603" s="126"/>
      <c r="AC603" s="126"/>
      <c r="AD603" s="1490"/>
      <c r="AE603" s="1490"/>
      <c r="AF603" s="1490"/>
      <c r="AG603" s="1490"/>
      <c r="AH603" s="1490"/>
      <c r="AI603" s="1490"/>
      <c r="AJ603" s="1490"/>
      <c r="AK603" s="1490"/>
      <c r="AL603" s="1490"/>
      <c r="AM603" s="1490"/>
      <c r="AN603" s="1490"/>
      <c r="AO603" s="1490"/>
      <c r="AP603" s="1490"/>
      <c r="AQ603" s="1490"/>
      <c r="AR603" s="1490"/>
      <c r="AS603" s="1490"/>
      <c r="AT603" s="1490"/>
      <c r="AU603" s="1490"/>
      <c r="AV603" s="1490"/>
      <c r="AW603" s="1490"/>
      <c r="AX603" s="1490"/>
      <c r="AY603" s="1490"/>
      <c r="AZ603" s="1490"/>
      <c r="BA603" s="1490"/>
      <c r="BB603" s="1490"/>
      <c r="BC603" s="1490"/>
      <c r="BD603" s="1490"/>
      <c r="BE603" s="1490"/>
      <c r="BF603" s="1490"/>
      <c r="BG603" s="1490"/>
      <c r="BH603" s="1490"/>
      <c r="BI603" s="1490"/>
      <c r="BJ603" s="1490"/>
      <c r="BK603" s="1490"/>
      <c r="BL603" s="1490"/>
      <c r="BM603" s="1490"/>
      <c r="BN603" s="1490"/>
      <c r="BO603" s="1490"/>
      <c r="BP603" s="1490"/>
      <c r="BQ603" s="1490"/>
      <c r="BR603" s="1490"/>
      <c r="BS603" s="1490"/>
      <c r="BT603" s="1490"/>
      <c r="BU603" s="1490"/>
      <c r="BV603" s="1490"/>
      <c r="BW603" s="1490"/>
      <c r="BX603" s="1490"/>
      <c r="BY603" s="1490"/>
      <c r="BZ603" s="1490"/>
      <c r="CA603" s="1490"/>
      <c r="CB603" s="1490"/>
      <c r="CC603" s="1490"/>
      <c r="CD603" s="1490"/>
      <c r="CE603" s="1490"/>
      <c r="CF603" s="1490"/>
      <c r="CG603" s="1490"/>
      <c r="CH603" s="1490"/>
      <c r="CI603" s="1490"/>
      <c r="CJ603" s="1490"/>
      <c r="CK603" s="1490"/>
      <c r="CL603" s="1490"/>
      <c r="CM603" s="1490"/>
      <c r="CN603" s="1490"/>
      <c r="CO603" s="1490"/>
      <c r="CP603" s="1490"/>
      <c r="CQ603" s="1490"/>
      <c r="CR603" s="1490"/>
      <c r="CS603" s="1490"/>
      <c r="CT603" s="1490"/>
      <c r="CU603" s="1490"/>
      <c r="CV603" s="1490"/>
      <c r="CW603" s="1490"/>
      <c r="CX603" s="1490"/>
      <c r="CY603" s="1490"/>
      <c r="CZ603" s="1490"/>
      <c r="DA603" s="1490"/>
      <c r="DB603" s="1490"/>
      <c r="DC603" s="1490"/>
      <c r="DD603" s="1490"/>
      <c r="DE603" s="1490"/>
      <c r="DF603" s="1490"/>
      <c r="DG603" s="1490"/>
      <c r="DH603" s="1490"/>
      <c r="DI603" s="1490"/>
      <c r="DJ603" s="1490"/>
      <c r="DK603" s="1490"/>
      <c r="DL603" s="1490"/>
      <c r="DM603" s="1490"/>
      <c r="DN603" s="1490"/>
      <c r="DO603" s="1490"/>
      <c r="DP603" s="1490"/>
      <c r="DQ603" s="1490"/>
      <c r="DR603" s="1490"/>
      <c r="DS603" s="1490"/>
      <c r="DT603" s="1490"/>
      <c r="DU603" s="1490"/>
      <c r="DV603" s="1490"/>
      <c r="DW603" s="1490"/>
      <c r="DX603" s="1490"/>
      <c r="DY603" s="1490"/>
      <c r="DZ603" s="1490"/>
      <c r="EA603" s="1490"/>
      <c r="EB603" s="1490"/>
      <c r="EC603" s="1490"/>
      <c r="ED603" s="1490"/>
      <c r="EE603" s="1490"/>
      <c r="EF603" s="1490"/>
      <c r="EG603" s="1490"/>
      <c r="EH603" s="1490"/>
      <c r="EI603" s="1490"/>
      <c r="EJ603" s="1490"/>
      <c r="EK603" s="1490"/>
      <c r="EL603" s="1490"/>
      <c r="EM603" s="1490"/>
      <c r="EN603" s="1490"/>
      <c r="EO603" s="1490"/>
      <c r="EP603" s="1490"/>
      <c r="EQ603" s="1490"/>
      <c r="ER603" s="1490"/>
      <c r="ES603" s="1490"/>
      <c r="ET603" s="1490"/>
      <c r="EU603" s="1490"/>
      <c r="EV603" s="1490"/>
      <c r="EW603" s="1490"/>
      <c r="EX603" s="1490"/>
      <c r="EY603" s="1490"/>
      <c r="EZ603" s="1490"/>
      <c r="FA603" s="1490"/>
      <c r="FB603" s="1490"/>
      <c r="FC603" s="1490"/>
      <c r="FD603" s="1490"/>
      <c r="FE603" s="1490"/>
      <c r="FF603" s="1490"/>
      <c r="FG603" s="1490"/>
      <c r="FH603" s="1490"/>
      <c r="FI603" s="1490"/>
      <c r="FJ603" s="1490"/>
      <c r="FK603" s="1490"/>
      <c r="FL603" s="1490"/>
      <c r="FM603" s="1490"/>
      <c r="FN603" s="1490"/>
      <c r="FO603" s="1490"/>
      <c r="FP603" s="1490"/>
      <c r="FQ603" s="1490"/>
      <c r="FR603" s="1490"/>
      <c r="FS603" s="1490"/>
      <c r="FT603" s="1490"/>
      <c r="FU603" s="1490"/>
      <c r="FV603" s="1490"/>
      <c r="FW603" s="1490"/>
      <c r="FX603" s="1490"/>
      <c r="FY603" s="1490"/>
      <c r="FZ603" s="1490"/>
      <c r="GA603" s="1490"/>
      <c r="GB603" s="1490"/>
      <c r="GC603" s="1490"/>
      <c r="GD603" s="1490"/>
      <c r="GE603" s="1490"/>
      <c r="GF603" s="1490"/>
      <c r="GG603" s="1490"/>
      <c r="GH603" s="1490"/>
      <c r="GI603" s="1490"/>
      <c r="GJ603" s="1490"/>
      <c r="GK603" s="1490"/>
      <c r="GL603" s="1490"/>
      <c r="GM603" s="1490"/>
      <c r="GN603" s="1490"/>
      <c r="GO603" s="1490"/>
      <c r="GP603" s="1490"/>
      <c r="GQ603" s="1490"/>
      <c r="GR603" s="1490"/>
      <c r="GS603" s="1490"/>
      <c r="GT603" s="1490"/>
      <c r="GU603" s="1490"/>
      <c r="GV603" s="1490"/>
      <c r="GW603" s="1490"/>
      <c r="GX603" s="1490"/>
      <c r="GY603" s="1490"/>
      <c r="GZ603" s="1490"/>
      <c r="HA603" s="1490"/>
      <c r="HB603" s="1490"/>
      <c r="HC603" s="1490"/>
      <c r="HD603" s="1490"/>
      <c r="HE603" s="1490"/>
      <c r="HF603" s="1490"/>
      <c r="HG603" s="1490"/>
      <c r="HH603" s="1490"/>
      <c r="HI603" s="1490"/>
      <c r="HJ603" s="1490"/>
      <c r="HK603" s="1490"/>
      <c r="HL603" s="1490"/>
      <c r="HM603" s="1490"/>
      <c r="HN603" s="1490"/>
      <c r="HO603" s="1490"/>
      <c r="HP603" s="1490"/>
      <c r="HQ603" s="1490"/>
      <c r="HR603" s="1490"/>
      <c r="HS603" s="1490"/>
      <c r="HT603" s="1490"/>
      <c r="HU603" s="1490"/>
      <c r="HV603" s="1490"/>
      <c r="HW603" s="1490"/>
      <c r="HX603" s="1490"/>
      <c r="HY603" s="1490"/>
      <c r="HZ603" s="1490"/>
      <c r="IA603" s="1490"/>
      <c r="IB603" s="1490"/>
      <c r="IC603" s="1490"/>
      <c r="ID603" s="1490"/>
      <c r="IE603" s="1490"/>
      <c r="IF603" s="1490"/>
      <c r="IG603" s="1490"/>
      <c r="IH603" s="1490"/>
      <c r="II603" s="1490"/>
      <c r="IJ603" s="1490"/>
      <c r="IK603" s="1490"/>
      <c r="IL603" s="1490"/>
      <c r="IM603" s="1490"/>
      <c r="IN603" s="1490"/>
      <c r="IO603" s="44"/>
    </row>
    <row r="604" spans="1:249" s="5" customFormat="1" ht="24" customHeight="1">
      <c r="A604" s="1495" t="s">
        <v>232</v>
      </c>
      <c r="B604" s="1495"/>
      <c r="C604" s="1495"/>
      <c r="D604" s="1495"/>
      <c r="E604" s="1495"/>
      <c r="F604" s="1495"/>
      <c r="G604" s="1495"/>
      <c r="H604" s="1495"/>
      <c r="I604" s="1495"/>
      <c r="J604" s="1495"/>
      <c r="K604" s="1495"/>
      <c r="L604" s="1495"/>
      <c r="M604" s="1495"/>
      <c r="N604" s="1495"/>
      <c r="O604" s="43"/>
      <c r="P604" s="43"/>
      <c r="Q604" s="119" t="s">
        <v>193</v>
      </c>
      <c r="R604" s="119" t="str">
        <f>'Du lieu'!$C$18</f>
        <v>Nguyễn Mạnh Hùng</v>
      </c>
      <c r="S604" s="119"/>
      <c r="T604" s="119" t="str">
        <f>'Du lieu'!$D$18</f>
        <v>Chỉ huy phó công trường</v>
      </c>
      <c r="U604" s="125"/>
      <c r="V604" s="126"/>
      <c r="W604" s="126"/>
      <c r="X604" s="126"/>
      <c r="Y604" s="126"/>
      <c r="Z604" s="126"/>
      <c r="AA604" s="126"/>
      <c r="AB604" s="126"/>
      <c r="AC604" s="126"/>
      <c r="AD604" s="44"/>
      <c r="AE604" s="44"/>
      <c r="AF604" s="44"/>
      <c r="AG604" s="44"/>
      <c r="AH604" s="44"/>
      <c r="AI604" s="44"/>
      <c r="AJ604" s="44"/>
      <c r="AK604" s="44"/>
      <c r="AL604" s="44"/>
      <c r="AM604" s="44"/>
      <c r="AN604" s="44"/>
      <c r="AO604" s="44"/>
      <c r="AP604" s="44"/>
      <c r="AQ604" s="44"/>
      <c r="AR604" s="44"/>
      <c r="AS604" s="44"/>
      <c r="AT604" s="44"/>
      <c r="AU604" s="44"/>
      <c r="AV604" s="44"/>
      <c r="AW604" s="44"/>
      <c r="AX604" s="44"/>
      <c r="AY604" s="44"/>
      <c r="AZ604" s="44"/>
      <c r="BA604" s="44"/>
      <c r="BB604" s="44"/>
      <c r="BC604" s="44"/>
      <c r="BD604" s="44"/>
      <c r="BE604" s="44"/>
      <c r="BF604" s="44"/>
      <c r="BG604" s="44"/>
      <c r="BH604" s="44"/>
      <c r="BI604" s="44"/>
      <c r="BJ604" s="44"/>
      <c r="BK604" s="44"/>
      <c r="BL604" s="44"/>
      <c r="BM604" s="44"/>
      <c r="BN604" s="44"/>
      <c r="BO604" s="44"/>
      <c r="BP604" s="44"/>
      <c r="BQ604" s="44"/>
      <c r="BR604" s="44"/>
      <c r="BS604" s="44"/>
      <c r="BT604" s="44"/>
      <c r="BU604" s="44"/>
      <c r="BV604" s="44"/>
      <c r="BW604" s="44"/>
      <c r="BX604" s="44"/>
      <c r="BY604" s="44"/>
      <c r="BZ604" s="44"/>
      <c r="CA604" s="44"/>
      <c r="CB604" s="44"/>
      <c r="CC604" s="44"/>
      <c r="CD604" s="44"/>
      <c r="CE604" s="44"/>
      <c r="CF604" s="44"/>
      <c r="CG604" s="44"/>
      <c r="CH604" s="44"/>
      <c r="CI604" s="44"/>
      <c r="CJ604" s="44"/>
      <c r="CK604" s="44"/>
      <c r="CL604" s="44"/>
      <c r="CM604" s="44"/>
      <c r="CN604" s="44"/>
      <c r="CO604" s="44"/>
      <c r="CP604" s="44"/>
      <c r="CQ604" s="44"/>
      <c r="CR604" s="44"/>
      <c r="CS604" s="44"/>
      <c r="CT604" s="44"/>
      <c r="CU604" s="44"/>
      <c r="CV604" s="44"/>
      <c r="CW604" s="44"/>
      <c r="CX604" s="44"/>
      <c r="CY604" s="44"/>
      <c r="CZ604" s="44"/>
      <c r="DA604" s="44"/>
      <c r="DB604" s="44"/>
      <c r="DC604" s="44"/>
      <c r="DD604" s="44"/>
      <c r="DE604" s="44"/>
      <c r="DF604" s="44"/>
      <c r="DG604" s="44"/>
      <c r="DH604" s="44"/>
      <c r="DI604" s="44"/>
      <c r="DJ604" s="44"/>
      <c r="DK604" s="44"/>
      <c r="DL604" s="44"/>
      <c r="DM604" s="44"/>
      <c r="DN604" s="44"/>
      <c r="DO604" s="44"/>
      <c r="DP604" s="44"/>
      <c r="DQ604" s="44"/>
      <c r="DR604" s="44"/>
      <c r="DS604" s="44"/>
      <c r="DT604" s="44"/>
      <c r="DU604" s="44"/>
      <c r="DV604" s="44"/>
      <c r="DW604" s="44"/>
      <c r="DX604" s="44"/>
      <c r="DY604" s="44"/>
      <c r="DZ604" s="44"/>
      <c r="EA604" s="44"/>
      <c r="EB604" s="44"/>
      <c r="EC604" s="44"/>
      <c r="ED604" s="44"/>
      <c r="EE604" s="44"/>
      <c r="EF604" s="44"/>
      <c r="EG604" s="44"/>
      <c r="EH604" s="44"/>
      <c r="EI604" s="44"/>
      <c r="EJ604" s="44"/>
      <c r="EK604" s="44"/>
      <c r="EL604" s="44"/>
      <c r="EM604" s="44"/>
      <c r="EN604" s="44"/>
      <c r="EO604" s="44"/>
      <c r="EP604" s="44"/>
      <c r="EQ604" s="44"/>
      <c r="ER604" s="44"/>
      <c r="ES604" s="44"/>
      <c r="ET604" s="44"/>
      <c r="EU604" s="44"/>
      <c r="EV604" s="44"/>
      <c r="EW604" s="44"/>
      <c r="EX604" s="44"/>
      <c r="EY604" s="44"/>
      <c r="EZ604" s="44"/>
      <c r="FA604" s="44"/>
      <c r="FB604" s="44"/>
      <c r="FC604" s="44"/>
      <c r="FD604" s="44"/>
      <c r="FE604" s="44"/>
      <c r="FF604" s="44"/>
      <c r="FG604" s="44"/>
      <c r="FH604" s="44"/>
      <c r="FI604" s="44"/>
      <c r="FJ604" s="44"/>
      <c r="FK604" s="44"/>
      <c r="FL604" s="44"/>
      <c r="FM604" s="44"/>
      <c r="FN604" s="44"/>
      <c r="FO604" s="44"/>
      <c r="FP604" s="44"/>
      <c r="FQ604" s="44"/>
      <c r="FR604" s="44"/>
      <c r="FS604" s="44"/>
      <c r="FT604" s="44"/>
      <c r="FU604" s="44"/>
      <c r="FV604" s="44"/>
      <c r="FW604" s="44"/>
      <c r="FX604" s="44"/>
      <c r="FY604" s="44"/>
      <c r="FZ604" s="44"/>
      <c r="GA604" s="44"/>
      <c r="GB604" s="44"/>
      <c r="GC604" s="44"/>
      <c r="GD604" s="44"/>
      <c r="GE604" s="44"/>
      <c r="GF604" s="44"/>
      <c r="GG604" s="44"/>
      <c r="GH604" s="44"/>
      <c r="GI604" s="44"/>
      <c r="GJ604" s="44"/>
      <c r="GK604" s="44"/>
      <c r="GL604" s="44"/>
      <c r="GM604" s="44"/>
      <c r="GN604" s="44"/>
      <c r="GO604" s="44"/>
      <c r="GP604" s="44"/>
      <c r="GQ604" s="44"/>
      <c r="GR604" s="44"/>
      <c r="GS604" s="44"/>
      <c r="GT604" s="44"/>
      <c r="GU604" s="44"/>
      <c r="GV604" s="44"/>
      <c r="GW604" s="44"/>
      <c r="GX604" s="44"/>
      <c r="GY604" s="44"/>
      <c r="GZ604" s="44"/>
      <c r="HA604" s="44"/>
      <c r="HB604" s="44"/>
      <c r="HC604" s="44"/>
      <c r="HD604" s="44"/>
      <c r="HE604" s="44"/>
      <c r="HF604" s="44"/>
      <c r="HG604" s="44"/>
      <c r="HH604" s="44"/>
      <c r="HI604" s="44"/>
      <c r="HJ604" s="44"/>
      <c r="HK604" s="44"/>
      <c r="HL604" s="44"/>
      <c r="HM604" s="44"/>
      <c r="HN604" s="44"/>
      <c r="HO604" s="44"/>
      <c r="HP604" s="44"/>
      <c r="HQ604" s="44"/>
      <c r="HR604" s="44"/>
      <c r="HS604" s="44"/>
      <c r="HT604" s="44"/>
      <c r="HU604" s="44"/>
      <c r="HV604" s="44"/>
      <c r="HW604" s="44"/>
      <c r="HX604" s="44"/>
      <c r="HY604" s="44"/>
      <c r="HZ604" s="44"/>
      <c r="IA604" s="44"/>
      <c r="IB604" s="44"/>
      <c r="IC604" s="44"/>
      <c r="ID604" s="44"/>
      <c r="IE604" s="44"/>
      <c r="IF604" s="44"/>
      <c r="IG604" s="44"/>
      <c r="IH604" s="44"/>
      <c r="II604" s="44"/>
      <c r="IJ604" s="44"/>
      <c r="IK604" s="44"/>
      <c r="IL604" s="44"/>
      <c r="IM604" s="44"/>
      <c r="IN604" s="44"/>
      <c r="IO604" s="44"/>
    </row>
    <row r="605" spans="1:249" s="45" customFormat="1" ht="21.95" customHeight="1">
      <c r="A605" s="1495" t="s">
        <v>233</v>
      </c>
      <c r="B605" s="1495"/>
      <c r="C605" s="1495"/>
      <c r="D605" s="1495"/>
      <c r="E605" s="1495"/>
      <c r="F605" s="1495"/>
      <c r="G605" s="1495"/>
      <c r="H605" s="1495"/>
      <c r="I605" s="1495"/>
      <c r="J605" s="1495"/>
      <c r="K605" s="1495"/>
      <c r="L605" s="1495"/>
      <c r="M605" s="1495"/>
      <c r="N605" s="1495"/>
      <c r="O605" s="43"/>
      <c r="P605" s="43"/>
      <c r="Q605" s="10"/>
      <c r="R605" s="126"/>
      <c r="S605" s="126"/>
      <c r="T605" s="126"/>
      <c r="U605" s="126"/>
      <c r="V605" s="126"/>
      <c r="W605" s="126"/>
      <c r="X605" s="126"/>
      <c r="Y605" s="126"/>
      <c r="Z605" s="126"/>
      <c r="AA605" s="126"/>
      <c r="AB605" s="126"/>
      <c r="AC605" s="126"/>
      <c r="AD605" s="47"/>
      <c r="AE605" s="47"/>
      <c r="AF605" s="47"/>
      <c r="AG605" s="47"/>
      <c r="AH605" s="47"/>
      <c r="AI605" s="47"/>
      <c r="AJ605" s="47"/>
      <c r="AK605" s="47"/>
      <c r="AL605" s="47"/>
      <c r="AM605" s="47"/>
      <c r="AN605" s="47"/>
      <c r="AO605" s="47"/>
      <c r="AP605" s="47"/>
      <c r="AQ605" s="47"/>
      <c r="AR605" s="47"/>
      <c r="AS605" s="47"/>
      <c r="AT605" s="47"/>
      <c r="AU605" s="47"/>
      <c r="AV605" s="47"/>
      <c r="AW605" s="47"/>
      <c r="AX605" s="47"/>
      <c r="AY605" s="47"/>
      <c r="AZ605" s="47"/>
      <c r="BA605" s="47"/>
      <c r="BB605" s="47"/>
      <c r="BC605" s="47"/>
      <c r="BD605" s="47"/>
      <c r="BE605" s="47"/>
      <c r="BF605" s="47"/>
      <c r="BG605" s="47"/>
      <c r="BH605" s="47"/>
      <c r="BI605" s="47"/>
      <c r="BJ605" s="47"/>
      <c r="BK605" s="47"/>
      <c r="BL605" s="47"/>
      <c r="BM605" s="47"/>
      <c r="BN605" s="47"/>
      <c r="BO605" s="47"/>
      <c r="BP605" s="47"/>
      <c r="BQ605" s="47"/>
      <c r="BR605" s="47"/>
      <c r="BS605" s="47"/>
      <c r="BT605" s="47"/>
      <c r="BU605" s="47"/>
      <c r="BV605" s="47"/>
      <c r="BW605" s="47"/>
      <c r="BX605" s="47"/>
      <c r="BY605" s="47"/>
      <c r="BZ605" s="47"/>
      <c r="CA605" s="47"/>
      <c r="CB605" s="47"/>
      <c r="CC605" s="47"/>
      <c r="CD605" s="47"/>
      <c r="CE605" s="47"/>
      <c r="CF605" s="47"/>
      <c r="CG605" s="47"/>
      <c r="CH605" s="47"/>
      <c r="CI605" s="47"/>
      <c r="CJ605" s="47"/>
      <c r="CK605" s="47"/>
      <c r="CL605" s="47"/>
      <c r="CM605" s="47"/>
      <c r="CN605" s="47"/>
      <c r="CO605" s="47"/>
      <c r="CP605" s="47"/>
      <c r="CQ605" s="47"/>
      <c r="CR605" s="47"/>
      <c r="CS605" s="47"/>
      <c r="CT605" s="47"/>
      <c r="CU605" s="47"/>
      <c r="CV605" s="47"/>
      <c r="CW605" s="47"/>
      <c r="CX605" s="47"/>
      <c r="CY605" s="47"/>
      <c r="CZ605" s="47"/>
      <c r="DA605" s="47"/>
      <c r="DB605" s="47"/>
      <c r="DC605" s="47"/>
      <c r="DD605" s="47"/>
      <c r="DE605" s="47"/>
      <c r="DF605" s="47"/>
      <c r="DG605" s="47"/>
      <c r="DH605" s="47"/>
      <c r="DI605" s="47"/>
      <c r="DJ605" s="47"/>
      <c r="DK605" s="47"/>
      <c r="DL605" s="47"/>
      <c r="DM605" s="47"/>
      <c r="DN605" s="47"/>
      <c r="DO605" s="47"/>
      <c r="DP605" s="47"/>
      <c r="DQ605" s="47"/>
      <c r="DR605" s="47"/>
      <c r="DS605" s="47"/>
      <c r="DT605" s="47"/>
      <c r="DU605" s="47"/>
      <c r="DV605" s="47"/>
      <c r="DW605" s="47"/>
      <c r="DX605" s="47"/>
      <c r="DY605" s="47"/>
      <c r="DZ605" s="47"/>
      <c r="EA605" s="47"/>
      <c r="EB605" s="47"/>
      <c r="EC605" s="47"/>
      <c r="ED605" s="47"/>
      <c r="EE605" s="47"/>
      <c r="EF605" s="47"/>
      <c r="EG605" s="47"/>
      <c r="EH605" s="47"/>
      <c r="EI605" s="47"/>
      <c r="EJ605" s="47"/>
      <c r="EK605" s="47"/>
      <c r="EL605" s="47"/>
      <c r="EM605" s="47"/>
      <c r="EN605" s="47"/>
      <c r="EO605" s="47"/>
      <c r="EP605" s="47"/>
      <c r="EQ605" s="47"/>
      <c r="ER605" s="47"/>
      <c r="ES605" s="47"/>
      <c r="ET605" s="47"/>
      <c r="EU605" s="47"/>
      <c r="EV605" s="47"/>
      <c r="EW605" s="47"/>
      <c r="EX605" s="47"/>
      <c r="EY605" s="47"/>
      <c r="EZ605" s="47"/>
      <c r="FA605" s="47"/>
      <c r="FB605" s="47"/>
      <c r="FC605" s="47"/>
      <c r="FD605" s="47"/>
      <c r="FE605" s="47"/>
      <c r="FF605" s="47"/>
      <c r="FG605" s="47"/>
      <c r="FH605" s="47"/>
      <c r="FI605" s="47"/>
      <c r="FJ605" s="47"/>
      <c r="FK605" s="47"/>
      <c r="FL605" s="47"/>
      <c r="FM605" s="47"/>
      <c r="FN605" s="47"/>
      <c r="FO605" s="47"/>
      <c r="FP605" s="47"/>
      <c r="FQ605" s="47"/>
      <c r="FR605" s="47"/>
      <c r="FS605" s="47"/>
      <c r="FT605" s="47"/>
      <c r="FU605" s="47"/>
      <c r="FV605" s="47"/>
      <c r="FW605" s="47"/>
      <c r="FX605" s="47"/>
      <c r="FY605" s="47"/>
      <c r="FZ605" s="47"/>
      <c r="GA605" s="47"/>
      <c r="GB605" s="47"/>
      <c r="GC605" s="47"/>
      <c r="GD605" s="47"/>
      <c r="GE605" s="47"/>
      <c r="GF605" s="47"/>
      <c r="GG605" s="47"/>
      <c r="GH605" s="47"/>
      <c r="GI605" s="47"/>
      <c r="GJ605" s="47"/>
      <c r="GK605" s="47"/>
      <c r="GL605" s="47"/>
      <c r="GM605" s="47"/>
      <c r="GN605" s="47"/>
      <c r="GO605" s="47"/>
      <c r="GP605" s="47"/>
      <c r="GQ605" s="47"/>
      <c r="GR605" s="47"/>
      <c r="GS605" s="47"/>
      <c r="GT605" s="47"/>
      <c r="GU605" s="47"/>
      <c r="GV605" s="47"/>
      <c r="GW605" s="47"/>
      <c r="GX605" s="47"/>
      <c r="GY605" s="47"/>
      <c r="GZ605" s="47"/>
      <c r="HA605" s="47"/>
      <c r="HB605" s="47"/>
      <c r="HC605" s="47"/>
      <c r="HD605" s="47"/>
      <c r="HE605" s="47"/>
      <c r="HF605" s="47"/>
      <c r="HG605" s="47"/>
      <c r="HH605" s="47"/>
      <c r="HI605" s="47"/>
      <c r="HJ605" s="47"/>
      <c r="HK605" s="47"/>
      <c r="HL605" s="47"/>
      <c r="HM605" s="47"/>
      <c r="HN605" s="47"/>
      <c r="HO605" s="47"/>
      <c r="HP605" s="47"/>
      <c r="HQ605" s="47"/>
      <c r="HR605" s="47"/>
      <c r="HS605" s="47"/>
      <c r="HT605" s="47"/>
      <c r="HU605" s="47"/>
      <c r="HV605" s="47"/>
      <c r="HW605" s="47"/>
      <c r="HX605" s="47"/>
      <c r="HY605" s="47"/>
      <c r="HZ605" s="47"/>
      <c r="IA605" s="47"/>
      <c r="IB605" s="47"/>
      <c r="IC605" s="47"/>
      <c r="ID605" s="47"/>
      <c r="IE605" s="47"/>
      <c r="IF605" s="47"/>
      <c r="IG605" s="47"/>
      <c r="IH605" s="47"/>
      <c r="II605" s="47"/>
      <c r="IJ605" s="47"/>
      <c r="IK605" s="47"/>
      <c r="IL605" s="47"/>
      <c r="IM605" s="47"/>
      <c r="IN605" s="47"/>
    </row>
    <row r="606" spans="1:249" s="5" customFormat="1" ht="24" customHeight="1">
      <c r="A606" s="48" t="s">
        <v>234</v>
      </c>
      <c r="B606" s="39"/>
      <c r="C606" s="39"/>
      <c r="D606" s="39"/>
      <c r="E606" s="39"/>
      <c r="F606" s="39"/>
      <c r="G606" s="39"/>
      <c r="H606" s="39"/>
      <c r="I606" s="39"/>
      <c r="J606" s="39"/>
      <c r="K606" s="39"/>
      <c r="L606" s="39"/>
      <c r="M606" s="39"/>
      <c r="N606" s="39"/>
      <c r="O606" s="43"/>
      <c r="P606" s="43"/>
      <c r="Q606" s="10"/>
      <c r="R606" s="126"/>
      <c r="S606" s="126"/>
      <c r="T606" s="126"/>
      <c r="U606" s="126"/>
      <c r="V606" s="126"/>
      <c r="W606" s="126"/>
      <c r="X606" s="126"/>
      <c r="Y606" s="126"/>
      <c r="Z606" s="126"/>
      <c r="AA606" s="126"/>
      <c r="AB606" s="126"/>
      <c r="AC606" s="126"/>
      <c r="AD606" s="1490"/>
      <c r="AE606" s="1490"/>
      <c r="AF606" s="1490"/>
      <c r="AG606" s="1490"/>
      <c r="AH606" s="1490"/>
      <c r="AI606" s="1490"/>
      <c r="AJ606" s="1490"/>
      <c r="AK606" s="1490"/>
      <c r="AL606" s="1490"/>
      <c r="AM606" s="1490"/>
      <c r="AN606" s="1490"/>
      <c r="AO606" s="1490"/>
      <c r="AP606" s="1490"/>
      <c r="AQ606" s="1490"/>
      <c r="AR606" s="1490"/>
      <c r="AS606" s="1490"/>
      <c r="AT606" s="1490"/>
      <c r="AU606" s="1490"/>
      <c r="AV606" s="1490"/>
      <c r="AW606" s="1490"/>
      <c r="AX606" s="1490"/>
      <c r="AY606" s="1490"/>
      <c r="AZ606" s="1490"/>
      <c r="BA606" s="1490"/>
      <c r="BB606" s="1490"/>
      <c r="BC606" s="1490"/>
      <c r="BD606" s="1490"/>
      <c r="BE606" s="1490"/>
      <c r="BF606" s="1490"/>
      <c r="BG606" s="1490"/>
      <c r="BH606" s="1490"/>
      <c r="BI606" s="1490"/>
      <c r="BJ606" s="1490"/>
      <c r="BK606" s="1490"/>
      <c r="BL606" s="1490"/>
      <c r="BM606" s="1490"/>
      <c r="BN606" s="1490"/>
      <c r="BO606" s="1490"/>
      <c r="BP606" s="1490"/>
      <c r="BQ606" s="1490"/>
      <c r="BR606" s="1490"/>
      <c r="BS606" s="1490"/>
      <c r="BT606" s="1490"/>
      <c r="BU606" s="1490"/>
      <c r="BV606" s="1490"/>
      <c r="BW606" s="1490"/>
      <c r="BX606" s="1490"/>
      <c r="BY606" s="1490"/>
      <c r="BZ606" s="1490"/>
      <c r="CA606" s="1490"/>
      <c r="CB606" s="1490"/>
      <c r="CC606" s="1490"/>
      <c r="CD606" s="1490"/>
      <c r="CE606" s="1490"/>
      <c r="CF606" s="1490"/>
      <c r="CG606" s="1490"/>
      <c r="CH606" s="1490"/>
      <c r="CI606" s="1490"/>
      <c r="CJ606" s="1490"/>
      <c r="CK606" s="1490"/>
      <c r="CL606" s="1490"/>
      <c r="CM606" s="1490"/>
      <c r="CN606" s="1490"/>
      <c r="CO606" s="1490"/>
      <c r="CP606" s="1490"/>
      <c r="CQ606" s="1490"/>
      <c r="CR606" s="1490"/>
      <c r="CS606" s="1490"/>
      <c r="CT606" s="1490"/>
      <c r="CU606" s="1490"/>
      <c r="CV606" s="1490"/>
      <c r="CW606" s="1490"/>
      <c r="CX606" s="1490"/>
      <c r="CY606" s="1490"/>
      <c r="CZ606" s="1490"/>
      <c r="DA606" s="1490"/>
      <c r="DB606" s="1490"/>
      <c r="DC606" s="1490"/>
      <c r="DD606" s="1490"/>
      <c r="DE606" s="1490"/>
      <c r="DF606" s="1490"/>
      <c r="DG606" s="1490"/>
      <c r="DH606" s="1490"/>
      <c r="DI606" s="1490"/>
      <c r="DJ606" s="1490"/>
      <c r="DK606" s="1490"/>
      <c r="DL606" s="1490"/>
      <c r="DM606" s="1490"/>
      <c r="DN606" s="1490"/>
      <c r="DO606" s="1490"/>
      <c r="DP606" s="1490"/>
      <c r="DQ606" s="1490"/>
      <c r="DR606" s="1490"/>
      <c r="DS606" s="1490"/>
      <c r="DT606" s="1490"/>
      <c r="DU606" s="1490"/>
      <c r="DV606" s="1490"/>
      <c r="DW606" s="1490"/>
      <c r="DX606" s="1490"/>
      <c r="DY606" s="1490"/>
      <c r="DZ606" s="1490"/>
      <c r="EA606" s="1490"/>
      <c r="EB606" s="1490"/>
      <c r="EC606" s="1490"/>
      <c r="ED606" s="1490"/>
      <c r="EE606" s="1490"/>
      <c r="EF606" s="1490"/>
      <c r="EG606" s="1490"/>
      <c r="EH606" s="1490"/>
      <c r="EI606" s="1490"/>
      <c r="EJ606" s="1490"/>
      <c r="EK606" s="1490"/>
      <c r="EL606" s="1490"/>
      <c r="EM606" s="1490"/>
      <c r="EN606" s="1490"/>
      <c r="EO606" s="1490"/>
      <c r="EP606" s="1490"/>
      <c r="EQ606" s="1490"/>
      <c r="ER606" s="1490"/>
      <c r="ES606" s="1490"/>
      <c r="ET606" s="1490"/>
      <c r="EU606" s="1490"/>
      <c r="EV606" s="1490"/>
      <c r="EW606" s="1490"/>
      <c r="EX606" s="1490"/>
      <c r="EY606" s="1490"/>
      <c r="EZ606" s="1490"/>
      <c r="FA606" s="1490"/>
      <c r="FB606" s="1490"/>
      <c r="FC606" s="1490"/>
      <c r="FD606" s="1490"/>
      <c r="FE606" s="1490"/>
      <c r="FF606" s="1490"/>
      <c r="FG606" s="1490"/>
      <c r="FH606" s="1490"/>
      <c r="FI606" s="1490"/>
      <c r="FJ606" s="1490"/>
      <c r="FK606" s="1490"/>
      <c r="FL606" s="1490"/>
      <c r="FM606" s="1490"/>
      <c r="FN606" s="1490"/>
      <c r="FO606" s="1490"/>
      <c r="FP606" s="1490"/>
      <c r="FQ606" s="1490"/>
      <c r="FR606" s="1490"/>
      <c r="FS606" s="1490"/>
      <c r="FT606" s="1490"/>
      <c r="FU606" s="1490"/>
      <c r="FV606" s="1490"/>
      <c r="FW606" s="1490"/>
      <c r="FX606" s="1490"/>
      <c r="FY606" s="1490"/>
      <c r="FZ606" s="1490"/>
      <c r="GA606" s="1490"/>
      <c r="GB606" s="1490"/>
      <c r="GC606" s="1490"/>
      <c r="GD606" s="1490"/>
      <c r="GE606" s="1490"/>
      <c r="GF606" s="1490"/>
      <c r="GG606" s="1490"/>
      <c r="GH606" s="1490"/>
      <c r="GI606" s="1490"/>
      <c r="GJ606" s="1490"/>
      <c r="GK606" s="1490"/>
      <c r="GL606" s="1490"/>
      <c r="GM606" s="1490"/>
      <c r="GN606" s="1490"/>
      <c r="GO606" s="1490"/>
      <c r="GP606" s="1490"/>
      <c r="GQ606" s="1490"/>
      <c r="GR606" s="1490"/>
      <c r="GS606" s="1490"/>
      <c r="GT606" s="1490"/>
      <c r="GU606" s="1490"/>
      <c r="GV606" s="1490"/>
      <c r="GW606" s="1490"/>
      <c r="GX606" s="1490"/>
      <c r="GY606" s="1490"/>
      <c r="GZ606" s="1490"/>
      <c r="HA606" s="1490"/>
      <c r="HB606" s="1490"/>
      <c r="HC606" s="1490"/>
      <c r="HD606" s="1490"/>
      <c r="HE606" s="1490"/>
      <c r="HF606" s="1490"/>
      <c r="HG606" s="1490"/>
      <c r="HH606" s="1490"/>
      <c r="HI606" s="1490"/>
      <c r="HJ606" s="1490"/>
      <c r="HK606" s="1490"/>
      <c r="HL606" s="1490"/>
      <c r="HM606" s="1490"/>
      <c r="HN606" s="1490"/>
      <c r="HO606" s="1490"/>
      <c r="HP606" s="1490"/>
      <c r="HQ606" s="1490"/>
      <c r="HR606" s="1490"/>
      <c r="HS606" s="1490"/>
      <c r="HT606" s="1490"/>
      <c r="HU606" s="1490"/>
      <c r="HV606" s="1490"/>
      <c r="HW606" s="1490"/>
      <c r="HX606" s="1490"/>
      <c r="HY606" s="1490"/>
      <c r="HZ606" s="1490"/>
      <c r="IA606" s="1490"/>
      <c r="IB606" s="1490"/>
      <c r="IC606" s="1490"/>
      <c r="ID606" s="1490"/>
      <c r="IE606" s="1490"/>
      <c r="IF606" s="1490"/>
      <c r="IG606" s="1490"/>
      <c r="IH606" s="1490"/>
      <c r="II606" s="1490"/>
      <c r="IJ606" s="1490"/>
      <c r="IK606" s="1490"/>
      <c r="IL606" s="1490"/>
      <c r="IM606" s="1490"/>
      <c r="IN606" s="1490"/>
      <c r="IO606" s="44"/>
    </row>
    <row r="607" spans="1:249" s="5" customFormat="1" ht="25.5" customHeight="1">
      <c r="A607" s="1495" t="s">
        <v>235</v>
      </c>
      <c r="B607" s="1495"/>
      <c r="C607" s="1495"/>
      <c r="D607" s="1495"/>
      <c r="E607" s="1495"/>
      <c r="F607" s="1495"/>
      <c r="G607" s="1495"/>
      <c r="H607" s="1495"/>
      <c r="I607" s="1495"/>
      <c r="J607" s="1495"/>
      <c r="K607" s="1495"/>
      <c r="L607" s="1495"/>
      <c r="M607" s="1495"/>
      <c r="N607" s="1495"/>
      <c r="O607" s="43"/>
      <c r="P607" s="43"/>
      <c r="Q607" s="10"/>
      <c r="R607" s="126"/>
      <c r="S607" s="126"/>
      <c r="T607" s="126"/>
      <c r="U607" s="126"/>
      <c r="V607" s="126"/>
      <c r="W607" s="126"/>
      <c r="X607" s="126"/>
      <c r="Y607" s="126"/>
      <c r="Z607" s="126"/>
      <c r="AA607" s="126"/>
      <c r="AB607" s="126"/>
      <c r="AC607" s="126"/>
      <c r="AD607" s="1490"/>
      <c r="AE607" s="1490"/>
      <c r="AF607" s="1490"/>
      <c r="AG607" s="1490"/>
      <c r="AH607" s="1490"/>
      <c r="AI607" s="1490"/>
      <c r="AJ607" s="1490"/>
      <c r="AK607" s="1490"/>
      <c r="AL607" s="1490"/>
      <c r="AM607" s="1490"/>
      <c r="AN607" s="1490"/>
      <c r="AO607" s="1490"/>
      <c r="AP607" s="1490"/>
      <c r="AQ607" s="1490"/>
      <c r="AR607" s="1490"/>
      <c r="AS607" s="1490"/>
      <c r="AT607" s="1490"/>
      <c r="AU607" s="1490"/>
      <c r="AV607" s="1490"/>
      <c r="AW607" s="1490"/>
      <c r="AX607" s="1490"/>
      <c r="AY607" s="1490"/>
      <c r="AZ607" s="1490"/>
      <c r="BA607" s="1490"/>
      <c r="BB607" s="1490"/>
      <c r="BC607" s="1490"/>
      <c r="BD607" s="1490"/>
      <c r="BE607" s="1490"/>
      <c r="BF607" s="1490"/>
      <c r="BG607" s="1490"/>
      <c r="BH607" s="1490"/>
      <c r="BI607" s="1490"/>
      <c r="BJ607" s="1490"/>
      <c r="BK607" s="1490"/>
      <c r="BL607" s="1490"/>
      <c r="BM607" s="1490"/>
      <c r="BN607" s="1490"/>
      <c r="BO607" s="1490"/>
      <c r="BP607" s="1490"/>
      <c r="BQ607" s="1490"/>
      <c r="BR607" s="1490"/>
      <c r="BS607" s="1490"/>
      <c r="BT607" s="1490"/>
      <c r="BU607" s="1490"/>
      <c r="BV607" s="1490"/>
      <c r="BW607" s="1490"/>
      <c r="BX607" s="1490"/>
      <c r="BY607" s="1490"/>
      <c r="BZ607" s="1490"/>
      <c r="CA607" s="1490"/>
      <c r="CB607" s="1490"/>
      <c r="CC607" s="1490"/>
      <c r="CD607" s="1490"/>
      <c r="CE607" s="1490"/>
      <c r="CF607" s="1490"/>
      <c r="CG607" s="1490"/>
      <c r="CH607" s="1490"/>
      <c r="CI607" s="1490"/>
      <c r="CJ607" s="1490"/>
      <c r="CK607" s="1490"/>
      <c r="CL607" s="1490"/>
      <c r="CM607" s="1490"/>
      <c r="CN607" s="1490"/>
      <c r="CO607" s="1490"/>
      <c r="CP607" s="1490"/>
      <c r="CQ607" s="1490"/>
      <c r="CR607" s="1490"/>
      <c r="CS607" s="1490"/>
      <c r="CT607" s="1490"/>
      <c r="CU607" s="1490"/>
      <c r="CV607" s="1490"/>
      <c r="CW607" s="1490"/>
      <c r="CX607" s="1490"/>
      <c r="CY607" s="1490"/>
      <c r="CZ607" s="1490"/>
      <c r="DA607" s="1490"/>
      <c r="DB607" s="1490"/>
      <c r="DC607" s="1490"/>
      <c r="DD607" s="1490"/>
      <c r="DE607" s="1490"/>
      <c r="DF607" s="1490"/>
      <c r="DG607" s="1490"/>
      <c r="DH607" s="1490"/>
      <c r="DI607" s="1490"/>
      <c r="DJ607" s="1490"/>
      <c r="DK607" s="1490"/>
      <c r="DL607" s="1490"/>
      <c r="DM607" s="1490"/>
      <c r="DN607" s="1490"/>
      <c r="DO607" s="1490"/>
      <c r="DP607" s="1490"/>
      <c r="DQ607" s="1490"/>
      <c r="DR607" s="1490"/>
      <c r="DS607" s="1490"/>
      <c r="DT607" s="1490"/>
      <c r="DU607" s="1490"/>
      <c r="DV607" s="1490"/>
      <c r="DW607" s="1490"/>
      <c r="DX607" s="1490"/>
      <c r="DY607" s="1490"/>
      <c r="DZ607" s="1490"/>
      <c r="EA607" s="1490"/>
      <c r="EB607" s="1490"/>
      <c r="EC607" s="1490"/>
      <c r="ED607" s="1490"/>
      <c r="EE607" s="1490"/>
      <c r="EF607" s="1490"/>
      <c r="EG607" s="1490"/>
      <c r="EH607" s="1490"/>
      <c r="EI607" s="1490"/>
      <c r="EJ607" s="1490"/>
      <c r="EK607" s="1490"/>
      <c r="EL607" s="1490"/>
      <c r="EM607" s="1490"/>
      <c r="EN607" s="1490"/>
      <c r="EO607" s="1490"/>
      <c r="EP607" s="1490"/>
      <c r="EQ607" s="1490"/>
      <c r="ER607" s="1490"/>
      <c r="ES607" s="1490"/>
      <c r="ET607" s="1490"/>
      <c r="EU607" s="1490"/>
      <c r="EV607" s="1490"/>
      <c r="EW607" s="1490"/>
      <c r="EX607" s="1490"/>
      <c r="EY607" s="1490"/>
      <c r="EZ607" s="1490"/>
      <c r="FA607" s="1490"/>
      <c r="FB607" s="1490"/>
      <c r="FC607" s="1490"/>
      <c r="FD607" s="1490"/>
      <c r="FE607" s="1490"/>
      <c r="FF607" s="1490"/>
      <c r="FG607" s="1490"/>
      <c r="FH607" s="1490"/>
      <c r="FI607" s="1490"/>
      <c r="FJ607" s="1490"/>
      <c r="FK607" s="1490"/>
      <c r="FL607" s="1490"/>
      <c r="FM607" s="1490"/>
      <c r="FN607" s="1490"/>
      <c r="FO607" s="1490"/>
      <c r="FP607" s="1490"/>
      <c r="FQ607" s="1490"/>
      <c r="FR607" s="1490"/>
      <c r="FS607" s="1490"/>
      <c r="FT607" s="1490"/>
      <c r="FU607" s="1490"/>
      <c r="FV607" s="1490"/>
      <c r="FW607" s="1490"/>
      <c r="FX607" s="1490"/>
      <c r="FY607" s="1490"/>
      <c r="FZ607" s="1490"/>
      <c r="GA607" s="1490"/>
      <c r="GB607" s="1490"/>
      <c r="GC607" s="1490"/>
      <c r="GD607" s="1490"/>
      <c r="GE607" s="1490"/>
      <c r="GF607" s="1490"/>
      <c r="GG607" s="1490"/>
      <c r="GH607" s="1490"/>
      <c r="GI607" s="1490"/>
      <c r="GJ607" s="1490"/>
      <c r="GK607" s="1490"/>
      <c r="GL607" s="1490"/>
      <c r="GM607" s="1490"/>
      <c r="GN607" s="1490"/>
      <c r="GO607" s="1490"/>
      <c r="GP607" s="1490"/>
      <c r="GQ607" s="1490"/>
      <c r="GR607" s="1490"/>
      <c r="GS607" s="1490"/>
      <c r="GT607" s="1490"/>
      <c r="GU607" s="1490"/>
      <c r="GV607" s="1490"/>
      <c r="GW607" s="1490"/>
      <c r="GX607" s="1490"/>
      <c r="GY607" s="1490"/>
      <c r="GZ607" s="1490"/>
      <c r="HA607" s="1490"/>
      <c r="HB607" s="1490"/>
      <c r="HC607" s="1490"/>
      <c r="HD607" s="1490"/>
      <c r="HE607" s="1490"/>
      <c r="HF607" s="1490"/>
      <c r="HG607" s="1490"/>
      <c r="HH607" s="1490"/>
      <c r="HI607" s="1490"/>
      <c r="HJ607" s="1490"/>
      <c r="HK607" s="1490"/>
      <c r="HL607" s="1490"/>
      <c r="HM607" s="1490"/>
      <c r="HN607" s="1490"/>
      <c r="HO607" s="1490"/>
      <c r="HP607" s="1490"/>
      <c r="HQ607" s="1490"/>
      <c r="HR607" s="1490"/>
      <c r="HS607" s="1490"/>
      <c r="HT607" s="1490"/>
      <c r="HU607" s="1490"/>
      <c r="HV607" s="1490"/>
      <c r="HW607" s="1490"/>
      <c r="HX607" s="1490"/>
      <c r="HY607" s="1490"/>
      <c r="HZ607" s="1490"/>
      <c r="IA607" s="1490"/>
      <c r="IB607" s="1490"/>
      <c r="IC607" s="1490"/>
      <c r="ID607" s="1490"/>
      <c r="IE607" s="1490"/>
      <c r="IF607" s="1490"/>
      <c r="IG607" s="1490"/>
      <c r="IH607" s="1490"/>
      <c r="II607" s="1490"/>
      <c r="IJ607" s="1490"/>
      <c r="IK607" s="1490"/>
      <c r="IL607" s="1490"/>
      <c r="IM607" s="1490"/>
      <c r="IN607" s="1490"/>
      <c r="IO607" s="44"/>
    </row>
    <row r="608" spans="1:249" s="5" customFormat="1" ht="26.25" customHeight="1">
      <c r="A608" s="1488" t="s">
        <v>236</v>
      </c>
      <c r="B608" s="1488"/>
      <c r="C608" s="1488"/>
      <c r="D608" s="1488"/>
      <c r="E608" s="1488"/>
      <c r="F608" s="1488"/>
      <c r="G608" s="1488"/>
      <c r="H608" s="1488"/>
      <c r="I608" s="1488"/>
      <c r="J608" s="1488"/>
      <c r="K608" s="1488"/>
      <c r="L608" s="1488"/>
      <c r="M608" s="1488"/>
      <c r="N608" s="1488"/>
      <c r="O608" s="43"/>
      <c r="P608" s="43"/>
      <c r="Q608" s="126"/>
      <c r="R608" s="126"/>
      <c r="S608" s="126"/>
      <c r="T608" s="126"/>
      <c r="U608" s="126"/>
      <c r="V608" s="126"/>
      <c r="W608" s="126"/>
      <c r="X608" s="126"/>
      <c r="Y608" s="126"/>
      <c r="Z608" s="126"/>
      <c r="AA608" s="126"/>
      <c r="AB608" s="126"/>
      <c r="AC608" s="126"/>
      <c r="AD608" s="127"/>
      <c r="AE608" s="127"/>
      <c r="AF608" s="127"/>
    </row>
    <row r="609" spans="1:249" s="5" customFormat="1" ht="27" customHeight="1">
      <c r="A609"/>
      <c r="B609" s="1520" t="s">
        <v>237</v>
      </c>
      <c r="C609" s="1520"/>
      <c r="D609" s="1520"/>
      <c r="E609" s="1520"/>
      <c r="F609" s="1520"/>
      <c r="G609" s="1520"/>
      <c r="H609" s="1520"/>
      <c r="I609" s="1520"/>
      <c r="J609" s="50"/>
      <c r="K609" s="50"/>
      <c r="L609" s="50"/>
      <c r="M609" s="50"/>
      <c r="N609" s="50"/>
      <c r="O609" s="43"/>
      <c r="P609" s="43"/>
      <c r="Q609" s="126"/>
      <c r="R609" s="126"/>
      <c r="S609" s="126"/>
      <c r="T609" s="126"/>
      <c r="U609" s="126"/>
      <c r="V609" s="126"/>
      <c r="W609" s="126"/>
      <c r="X609" s="126"/>
      <c r="Y609" s="126"/>
      <c r="Z609" s="126"/>
      <c r="AA609" s="126"/>
      <c r="AB609" s="126"/>
      <c r="AC609" s="126"/>
      <c r="AD609" s="1494"/>
      <c r="AE609" s="1494"/>
      <c r="AF609" s="1494"/>
      <c r="AG609" s="1494"/>
      <c r="AH609" s="1494"/>
      <c r="AI609" s="1494"/>
      <c r="AJ609" s="1494"/>
      <c r="AK609" s="1494"/>
      <c r="AL609" s="1494"/>
      <c r="AM609" s="1494"/>
      <c r="AN609" s="1494"/>
      <c r="AO609" s="1494"/>
      <c r="AP609" s="1494"/>
      <c r="AQ609" s="1494"/>
      <c r="AR609" s="1494"/>
      <c r="AS609" s="1494"/>
      <c r="AT609" s="1494"/>
      <c r="AU609" s="1494"/>
      <c r="AV609" s="1494"/>
      <c r="AW609" s="1494"/>
      <c r="AX609" s="1494"/>
      <c r="AY609" s="1494"/>
      <c r="AZ609" s="1494"/>
      <c r="BA609" s="1494"/>
      <c r="BB609" s="1494"/>
      <c r="BC609" s="1494"/>
      <c r="BD609" s="1494"/>
      <c r="BE609" s="1494"/>
      <c r="BF609" s="1494"/>
      <c r="BG609" s="1494"/>
      <c r="BH609" s="1494"/>
      <c r="BI609" s="1494"/>
      <c r="BJ609" s="1494"/>
      <c r="BK609" s="1494"/>
      <c r="BL609" s="1494"/>
      <c r="BM609" s="1494"/>
      <c r="BN609" s="1494"/>
      <c r="BO609" s="1494"/>
      <c r="BP609" s="1494"/>
      <c r="BQ609" s="1494"/>
      <c r="BR609" s="1494"/>
      <c r="BS609" s="1494"/>
      <c r="BT609" s="1494"/>
      <c r="BU609" s="1494"/>
      <c r="BV609" s="1494"/>
      <c r="BW609" s="1494"/>
      <c r="BX609" s="1494"/>
      <c r="BY609" s="1494"/>
      <c r="BZ609" s="1494"/>
      <c r="CA609" s="1494"/>
      <c r="CB609" s="1494"/>
      <c r="CC609" s="1494"/>
      <c r="CD609" s="1494"/>
      <c r="CE609" s="1494"/>
      <c r="CF609" s="1494"/>
      <c r="CG609" s="1494"/>
      <c r="CH609" s="1494"/>
      <c r="CI609" s="1494"/>
      <c r="CJ609" s="1494"/>
      <c r="CK609" s="1494"/>
      <c r="CL609" s="1494"/>
      <c r="CM609" s="1494"/>
      <c r="CN609" s="1494"/>
      <c r="CO609" s="1494"/>
      <c r="CP609" s="1494"/>
      <c r="CQ609" s="1494"/>
      <c r="CR609" s="1494"/>
      <c r="CS609" s="1494"/>
      <c r="CT609" s="1494"/>
      <c r="CU609" s="1494"/>
      <c r="CV609" s="1494"/>
      <c r="CW609" s="1494"/>
      <c r="CX609" s="1494"/>
      <c r="CY609" s="1494"/>
      <c r="CZ609" s="1494"/>
      <c r="DA609" s="1494"/>
      <c r="DB609" s="1494"/>
      <c r="DC609" s="1494"/>
      <c r="DD609" s="1494"/>
      <c r="DE609" s="1494"/>
      <c r="DF609" s="1494"/>
      <c r="DG609" s="1494"/>
      <c r="DH609" s="1494"/>
      <c r="DI609" s="1494"/>
      <c r="DJ609" s="1494"/>
      <c r="DK609" s="1494"/>
      <c r="DL609" s="1494"/>
      <c r="DM609" s="1494"/>
      <c r="DN609" s="1494"/>
      <c r="DO609" s="1494"/>
      <c r="DP609" s="1494"/>
      <c r="DQ609" s="1494"/>
      <c r="DR609" s="1494"/>
      <c r="DS609" s="1494"/>
      <c r="DT609" s="1494"/>
      <c r="DU609" s="1494"/>
      <c r="DV609" s="1494"/>
      <c r="DW609" s="1494"/>
      <c r="DX609" s="1494"/>
      <c r="DY609" s="1494"/>
      <c r="DZ609" s="1494"/>
      <c r="EA609" s="1494"/>
      <c r="EB609" s="1494"/>
      <c r="EC609" s="1494"/>
      <c r="ED609" s="1494"/>
      <c r="EE609" s="1494"/>
      <c r="EF609" s="1494"/>
      <c r="EG609" s="1494"/>
      <c r="EH609" s="1494"/>
      <c r="EI609" s="1494"/>
      <c r="EJ609" s="1494"/>
      <c r="EK609" s="1494"/>
      <c r="EL609" s="1494"/>
      <c r="EM609" s="1494"/>
      <c r="EN609" s="1494"/>
      <c r="EO609" s="1494"/>
      <c r="EP609" s="1494"/>
      <c r="EQ609" s="1494"/>
      <c r="ER609" s="1494"/>
      <c r="ES609" s="1494"/>
      <c r="ET609" s="1494"/>
      <c r="EU609" s="1494"/>
      <c r="EV609" s="1494"/>
      <c r="EW609" s="1494"/>
      <c r="EX609" s="1494"/>
      <c r="EY609" s="1494"/>
      <c r="EZ609" s="1494"/>
      <c r="FA609" s="1494"/>
      <c r="FB609" s="1494"/>
      <c r="FC609" s="1494"/>
      <c r="FD609" s="1494"/>
      <c r="FE609" s="1494"/>
      <c r="FF609" s="1494"/>
      <c r="FG609" s="1494"/>
      <c r="FH609" s="1494"/>
      <c r="FI609" s="1494"/>
      <c r="FJ609" s="1494"/>
      <c r="FK609" s="1494"/>
      <c r="FL609" s="1494"/>
      <c r="FM609" s="1494"/>
      <c r="FN609" s="1494"/>
      <c r="FO609" s="1494"/>
      <c r="FP609" s="1494"/>
      <c r="FQ609" s="1494"/>
      <c r="FR609" s="1494"/>
      <c r="FS609" s="1494"/>
      <c r="FT609" s="1494"/>
      <c r="FU609" s="1494"/>
      <c r="FV609" s="1494"/>
      <c r="FW609" s="1494"/>
      <c r="FX609" s="1494"/>
      <c r="FY609" s="1494"/>
      <c r="FZ609" s="1494"/>
      <c r="GA609" s="1494"/>
      <c r="GB609" s="1494"/>
      <c r="GC609" s="1494"/>
      <c r="GD609" s="1494"/>
      <c r="GE609" s="1494"/>
      <c r="GF609" s="1494"/>
      <c r="GG609" s="1494"/>
      <c r="GH609" s="1494"/>
      <c r="GI609" s="1494"/>
      <c r="GJ609" s="1494"/>
      <c r="GK609" s="1494"/>
      <c r="GL609" s="1494"/>
      <c r="GM609" s="1494"/>
      <c r="GN609" s="1494"/>
      <c r="GO609" s="1494"/>
      <c r="GP609" s="1494"/>
      <c r="GQ609" s="1494"/>
      <c r="GR609" s="1494"/>
      <c r="GS609" s="1494"/>
      <c r="GT609" s="1494"/>
      <c r="GU609" s="1494"/>
      <c r="GV609" s="1494"/>
      <c r="GW609" s="1494"/>
      <c r="GX609" s="1494"/>
      <c r="GY609" s="1494"/>
      <c r="GZ609" s="1494"/>
      <c r="HA609" s="1494"/>
      <c r="HB609" s="1494"/>
      <c r="HC609" s="1494"/>
      <c r="HD609" s="1494"/>
      <c r="HE609" s="1494"/>
      <c r="HF609" s="1494"/>
      <c r="HG609" s="1494"/>
      <c r="HH609" s="1494"/>
      <c r="HI609" s="1494"/>
      <c r="HJ609" s="1494"/>
      <c r="HK609" s="1494"/>
      <c r="HL609" s="1494"/>
      <c r="HM609" s="1494"/>
      <c r="HN609" s="1494"/>
      <c r="HO609" s="1494"/>
      <c r="HP609" s="1494"/>
      <c r="HQ609" s="1494"/>
      <c r="HR609" s="1494"/>
      <c r="HS609" s="1494"/>
      <c r="HT609" s="1494"/>
      <c r="HU609" s="1494"/>
      <c r="HV609" s="1494"/>
      <c r="HW609" s="1494"/>
      <c r="HX609" s="1494"/>
      <c r="HY609" s="1494"/>
      <c r="HZ609" s="1494"/>
      <c r="IA609" s="1494"/>
      <c r="IB609" s="1494"/>
      <c r="IC609" s="1494"/>
      <c r="ID609" s="1494"/>
      <c r="IE609" s="1494"/>
      <c r="IF609" s="1494"/>
      <c r="IG609" s="1494"/>
      <c r="IH609" s="1494"/>
      <c r="II609" s="1494"/>
      <c r="IJ609" s="1494"/>
      <c r="IK609" s="1494"/>
      <c r="IL609" s="1494"/>
      <c r="IM609" s="1494"/>
      <c r="IN609" s="1494"/>
      <c r="IO609" s="49"/>
    </row>
    <row r="610" spans="1:249" s="5" customFormat="1" ht="23.25" customHeight="1">
      <c r="A610" s="1521" t="s">
        <v>191</v>
      </c>
      <c r="B610" s="1523" t="s">
        <v>238</v>
      </c>
      <c r="C610" s="1524"/>
      <c r="D610" s="1524"/>
      <c r="E610" s="1524"/>
      <c r="F610" s="1524"/>
      <c r="G610" s="1525"/>
      <c r="H610" s="1523" t="s">
        <v>239</v>
      </c>
      <c r="I610" s="1524"/>
      <c r="J610" s="1524"/>
      <c r="K610" s="1524"/>
      <c r="L610" s="1525"/>
      <c r="M610" s="1529" t="s">
        <v>240</v>
      </c>
      <c r="N610" s="1530"/>
      <c r="O610" s="43"/>
      <c r="P610" s="43"/>
      <c r="Q610" s="126"/>
      <c r="R610" s="126"/>
      <c r="S610" s="126"/>
      <c r="T610" s="126"/>
      <c r="U610" s="126"/>
      <c r="V610" s="126"/>
      <c r="W610" s="126"/>
      <c r="X610" s="126"/>
      <c r="Y610" s="126"/>
      <c r="Z610" s="126"/>
      <c r="AA610" s="126"/>
      <c r="AB610" s="126"/>
      <c r="AC610" s="126"/>
      <c r="AD610" s="1494"/>
      <c r="AE610" s="1494"/>
      <c r="AF610" s="1494"/>
      <c r="AG610" s="1494"/>
      <c r="AH610" s="1494"/>
      <c r="AI610" s="1494"/>
      <c r="AJ610" s="1494"/>
      <c r="AK610" s="1494"/>
      <c r="AL610" s="1494"/>
      <c r="AM610" s="1494"/>
      <c r="AN610" s="1494"/>
      <c r="AO610" s="1494"/>
      <c r="AP610" s="1494"/>
      <c r="AQ610" s="1494"/>
      <c r="AR610" s="1494"/>
      <c r="AS610" s="1494"/>
      <c r="AT610" s="1494"/>
      <c r="AU610" s="1494"/>
      <c r="AV610" s="1494"/>
      <c r="AW610" s="1494"/>
      <c r="AX610" s="1494"/>
      <c r="AY610" s="1494"/>
      <c r="AZ610" s="1494"/>
      <c r="BA610" s="1494"/>
      <c r="BB610" s="1494"/>
      <c r="BC610" s="1494"/>
      <c r="BD610" s="1494"/>
      <c r="BE610" s="1494"/>
      <c r="BF610" s="1494"/>
      <c r="BG610" s="1494"/>
      <c r="BH610" s="1494"/>
      <c r="BI610" s="1494"/>
      <c r="BJ610" s="1494"/>
      <c r="BK610" s="1494"/>
      <c r="BL610" s="1494"/>
      <c r="BM610" s="1494"/>
      <c r="BN610" s="1494"/>
      <c r="BO610" s="1494"/>
      <c r="BP610" s="1494"/>
      <c r="BQ610" s="1494"/>
      <c r="BR610" s="1494"/>
      <c r="BS610" s="1494"/>
      <c r="BT610" s="1494"/>
      <c r="BU610" s="1494"/>
      <c r="BV610" s="1494"/>
      <c r="BW610" s="1494"/>
      <c r="BX610" s="1494"/>
      <c r="BY610" s="1494"/>
      <c r="BZ610" s="1494"/>
      <c r="CA610" s="1494"/>
      <c r="CB610" s="1494"/>
      <c r="CC610" s="1494"/>
      <c r="CD610" s="1494"/>
      <c r="CE610" s="1494"/>
      <c r="CF610" s="1494"/>
      <c r="CG610" s="1494"/>
      <c r="CH610" s="1494"/>
      <c r="CI610" s="1494"/>
      <c r="CJ610" s="1494"/>
      <c r="CK610" s="1494"/>
      <c r="CL610" s="1494"/>
      <c r="CM610" s="1494"/>
      <c r="CN610" s="1494"/>
      <c r="CO610" s="1494"/>
      <c r="CP610" s="1494"/>
      <c r="CQ610" s="1494"/>
      <c r="CR610" s="1494"/>
      <c r="CS610" s="1494"/>
      <c r="CT610" s="1494"/>
      <c r="CU610" s="1494"/>
      <c r="CV610" s="1494"/>
      <c r="CW610" s="1494"/>
      <c r="CX610" s="1494"/>
      <c r="CY610" s="1494"/>
      <c r="CZ610" s="1494"/>
      <c r="DA610" s="1494"/>
      <c r="DB610" s="1494"/>
      <c r="DC610" s="1494"/>
      <c r="DD610" s="1494"/>
      <c r="DE610" s="1494"/>
      <c r="DF610" s="1494"/>
      <c r="DG610" s="1494"/>
      <c r="DH610" s="1494"/>
      <c r="DI610" s="1494"/>
      <c r="DJ610" s="1494"/>
      <c r="DK610" s="1494"/>
      <c r="DL610" s="1494"/>
      <c r="DM610" s="1494"/>
      <c r="DN610" s="1494"/>
      <c r="DO610" s="1494"/>
      <c r="DP610" s="1494"/>
      <c r="DQ610" s="1494"/>
      <c r="DR610" s="1494"/>
      <c r="DS610" s="1494"/>
      <c r="DT610" s="1494"/>
      <c r="DU610" s="1494"/>
      <c r="DV610" s="1494"/>
      <c r="DW610" s="1494"/>
      <c r="DX610" s="1494"/>
      <c r="DY610" s="1494"/>
      <c r="DZ610" s="1494"/>
      <c r="EA610" s="1494"/>
      <c r="EB610" s="1494"/>
      <c r="EC610" s="1494"/>
      <c r="ED610" s="1494"/>
      <c r="EE610" s="1494"/>
      <c r="EF610" s="1494"/>
      <c r="EG610" s="1494"/>
      <c r="EH610" s="1494"/>
      <c r="EI610" s="1494"/>
      <c r="EJ610" s="1494"/>
      <c r="EK610" s="1494"/>
      <c r="EL610" s="1494"/>
      <c r="EM610" s="1494"/>
      <c r="EN610" s="1494"/>
      <c r="EO610" s="1494"/>
      <c r="EP610" s="1494"/>
      <c r="EQ610" s="1494"/>
      <c r="ER610" s="1494"/>
      <c r="ES610" s="1494"/>
      <c r="ET610" s="1494"/>
      <c r="EU610" s="1494"/>
      <c r="EV610" s="1494"/>
      <c r="EW610" s="1494"/>
      <c r="EX610" s="1494"/>
      <c r="EY610" s="1494"/>
      <c r="EZ610" s="1494"/>
      <c r="FA610" s="1494"/>
      <c r="FB610" s="1494"/>
      <c r="FC610" s="1494"/>
      <c r="FD610" s="1494"/>
      <c r="FE610" s="1494"/>
      <c r="FF610" s="1494"/>
      <c r="FG610" s="1494"/>
      <c r="FH610" s="1494"/>
      <c r="FI610" s="1494"/>
      <c r="FJ610" s="1494"/>
      <c r="FK610" s="1494"/>
      <c r="FL610" s="1494"/>
      <c r="FM610" s="1494"/>
      <c r="FN610" s="1494"/>
      <c r="FO610" s="1494"/>
      <c r="FP610" s="1494"/>
      <c r="FQ610" s="1494"/>
      <c r="FR610" s="1494"/>
      <c r="FS610" s="1494"/>
      <c r="FT610" s="1494"/>
      <c r="FU610" s="1494"/>
      <c r="FV610" s="1494"/>
      <c r="FW610" s="1494"/>
      <c r="FX610" s="1494"/>
      <c r="FY610" s="1494"/>
      <c r="FZ610" s="1494"/>
      <c r="GA610" s="1494"/>
      <c r="GB610" s="1494"/>
      <c r="GC610" s="1494"/>
      <c r="GD610" s="1494"/>
      <c r="GE610" s="1494"/>
      <c r="GF610" s="1494"/>
      <c r="GG610" s="1494"/>
      <c r="GH610" s="1494"/>
      <c r="GI610" s="1494"/>
      <c r="GJ610" s="1494"/>
      <c r="GK610" s="1494"/>
      <c r="GL610" s="1494"/>
      <c r="GM610" s="1494"/>
      <c r="GN610" s="1494"/>
      <c r="GO610" s="1494"/>
      <c r="GP610" s="1494"/>
      <c r="GQ610" s="1494"/>
      <c r="GR610" s="1494"/>
      <c r="GS610" s="1494"/>
      <c r="GT610" s="1494"/>
      <c r="GU610" s="1494"/>
      <c r="GV610" s="1494"/>
      <c r="GW610" s="1494"/>
      <c r="GX610" s="1494"/>
      <c r="GY610" s="1494"/>
      <c r="GZ610" s="1494"/>
      <c r="HA610" s="1494"/>
      <c r="HB610" s="1494"/>
      <c r="HC610" s="1494"/>
      <c r="HD610" s="1494"/>
      <c r="HE610" s="1494"/>
      <c r="HF610" s="1494"/>
      <c r="HG610" s="1494"/>
      <c r="HH610" s="1494"/>
      <c r="HI610" s="1494"/>
      <c r="HJ610" s="1494"/>
      <c r="HK610" s="1494"/>
      <c r="HL610" s="1494"/>
      <c r="HM610" s="1494"/>
      <c r="HN610" s="1494"/>
      <c r="HO610" s="1494"/>
      <c r="HP610" s="1494"/>
      <c r="HQ610" s="1494"/>
      <c r="HR610" s="1494"/>
      <c r="HS610" s="1494"/>
      <c r="HT610" s="1494"/>
      <c r="HU610" s="1494"/>
      <c r="HV610" s="1494"/>
      <c r="HW610" s="1494"/>
      <c r="HX610" s="1494"/>
      <c r="HY610" s="1494"/>
      <c r="HZ610" s="1494"/>
      <c r="IA610" s="1494"/>
      <c r="IB610" s="1494"/>
      <c r="IC610" s="1494"/>
      <c r="ID610" s="1494"/>
      <c r="IE610" s="1494"/>
      <c r="IF610" s="1494"/>
      <c r="IG610" s="1494"/>
      <c r="IH610" s="1494"/>
      <c r="II610" s="1494"/>
      <c r="IJ610" s="1494"/>
      <c r="IK610" s="1494"/>
      <c r="IL610" s="1494"/>
      <c r="IM610" s="1494"/>
      <c r="IN610" s="1494"/>
      <c r="IO610" s="49"/>
    </row>
    <row r="611" spans="1:249" s="5" customFormat="1" ht="23.25" customHeight="1">
      <c r="A611" s="1522"/>
      <c r="B611" s="1526"/>
      <c r="C611" s="1527"/>
      <c r="D611" s="1527"/>
      <c r="E611" s="1527"/>
      <c r="F611" s="1527"/>
      <c r="G611" s="1528"/>
      <c r="H611" s="1526"/>
      <c r="I611" s="1527"/>
      <c r="J611" s="1527"/>
      <c r="K611" s="1527"/>
      <c r="L611" s="1528"/>
      <c r="M611" s="51" t="s">
        <v>241</v>
      </c>
      <c r="N611" s="51" t="s">
        <v>242</v>
      </c>
      <c r="O611" s="43"/>
      <c r="P611" s="43"/>
      <c r="Q611" s="126"/>
      <c r="R611" s="126"/>
      <c r="S611" s="126"/>
      <c r="T611" s="126"/>
      <c r="U611" s="126"/>
      <c r="V611" s="126"/>
      <c r="W611" s="126"/>
      <c r="X611" s="126"/>
      <c r="Y611" s="126"/>
      <c r="Z611" s="126"/>
      <c r="AA611" s="126"/>
      <c r="AB611" s="126"/>
      <c r="AC611" s="126"/>
      <c r="AD611" s="1494"/>
      <c r="AE611" s="1494"/>
      <c r="AF611" s="1494"/>
      <c r="AG611" s="1494"/>
      <c r="AH611" s="1494"/>
      <c r="AI611" s="1494"/>
      <c r="AJ611" s="1494"/>
      <c r="AK611" s="1494"/>
      <c r="AL611" s="1494"/>
      <c r="AM611" s="1494"/>
      <c r="AN611" s="1494"/>
      <c r="AO611" s="1494"/>
      <c r="AP611" s="1494"/>
      <c r="AQ611" s="1494"/>
      <c r="AR611" s="1494"/>
      <c r="AS611" s="1494"/>
      <c r="AT611" s="1494"/>
      <c r="AU611" s="1494"/>
      <c r="AV611" s="1494"/>
      <c r="AW611" s="1494"/>
      <c r="AX611" s="1494"/>
      <c r="AY611" s="1494"/>
      <c r="AZ611" s="1494"/>
      <c r="BA611" s="1494"/>
      <c r="BB611" s="1494"/>
      <c r="BC611" s="1494"/>
      <c r="BD611" s="1494"/>
      <c r="BE611" s="1494"/>
      <c r="BF611" s="1494"/>
      <c r="BG611" s="1494"/>
      <c r="BH611" s="1494"/>
      <c r="BI611" s="1494"/>
      <c r="BJ611" s="1494"/>
      <c r="BK611" s="1494"/>
      <c r="BL611" s="1494"/>
      <c r="BM611" s="1494"/>
      <c r="BN611" s="1494"/>
      <c r="BO611" s="1494"/>
      <c r="BP611" s="1494"/>
      <c r="BQ611" s="1494"/>
      <c r="BR611" s="1494"/>
      <c r="BS611" s="1494"/>
      <c r="BT611" s="1494"/>
      <c r="BU611" s="1494"/>
      <c r="BV611" s="1494"/>
      <c r="BW611" s="1494"/>
      <c r="BX611" s="1494"/>
      <c r="BY611" s="1494"/>
      <c r="BZ611" s="1494"/>
      <c r="CA611" s="1494"/>
      <c r="CB611" s="1494"/>
      <c r="CC611" s="1494"/>
      <c r="CD611" s="1494"/>
      <c r="CE611" s="1494"/>
      <c r="CF611" s="1494"/>
      <c r="CG611" s="1494"/>
      <c r="CH611" s="1494"/>
      <c r="CI611" s="1494"/>
      <c r="CJ611" s="1494"/>
      <c r="CK611" s="1494"/>
      <c r="CL611" s="1494"/>
      <c r="CM611" s="1494"/>
      <c r="CN611" s="1494"/>
      <c r="CO611" s="1494"/>
      <c r="CP611" s="1494"/>
      <c r="CQ611" s="1494"/>
      <c r="CR611" s="1494"/>
      <c r="CS611" s="1494"/>
      <c r="CT611" s="1494"/>
      <c r="CU611" s="1494"/>
      <c r="CV611" s="1494"/>
      <c r="CW611" s="1494"/>
      <c r="CX611" s="1494"/>
      <c r="CY611" s="1494"/>
      <c r="CZ611" s="1494"/>
      <c r="DA611" s="1494"/>
      <c r="DB611" s="1494"/>
      <c r="DC611" s="1494"/>
      <c r="DD611" s="1494"/>
      <c r="DE611" s="1494"/>
      <c r="DF611" s="1494"/>
      <c r="DG611" s="1494"/>
      <c r="DH611" s="1494"/>
      <c r="DI611" s="1494"/>
      <c r="DJ611" s="1494"/>
      <c r="DK611" s="1494"/>
      <c r="DL611" s="1494"/>
      <c r="DM611" s="1494"/>
      <c r="DN611" s="1494"/>
      <c r="DO611" s="1494"/>
      <c r="DP611" s="1494"/>
      <c r="DQ611" s="1494"/>
      <c r="DR611" s="1494"/>
      <c r="DS611" s="1494"/>
      <c r="DT611" s="1494"/>
      <c r="DU611" s="1494"/>
      <c r="DV611" s="1494"/>
      <c r="DW611" s="1494"/>
      <c r="DX611" s="1494"/>
      <c r="DY611" s="1494"/>
      <c r="DZ611" s="1494"/>
      <c r="EA611" s="1494"/>
      <c r="EB611" s="1494"/>
      <c r="EC611" s="1494"/>
      <c r="ED611" s="1494"/>
      <c r="EE611" s="1494"/>
      <c r="EF611" s="1494"/>
      <c r="EG611" s="1494"/>
      <c r="EH611" s="1494"/>
      <c r="EI611" s="1494"/>
      <c r="EJ611" s="1494"/>
      <c r="EK611" s="1494"/>
      <c r="EL611" s="1494"/>
      <c r="EM611" s="1494"/>
      <c r="EN611" s="1494"/>
      <c r="EO611" s="1494"/>
      <c r="EP611" s="1494"/>
      <c r="EQ611" s="1494"/>
      <c r="ER611" s="1494"/>
      <c r="ES611" s="1494"/>
      <c r="ET611" s="1494"/>
      <c r="EU611" s="1494"/>
      <c r="EV611" s="1494"/>
      <c r="EW611" s="1494"/>
      <c r="EX611" s="1494"/>
      <c r="EY611" s="1494"/>
      <c r="EZ611" s="1494"/>
      <c r="FA611" s="1494"/>
      <c r="FB611" s="1494"/>
      <c r="FC611" s="1494"/>
      <c r="FD611" s="1494"/>
      <c r="FE611" s="1494"/>
      <c r="FF611" s="1494"/>
      <c r="FG611" s="1494"/>
      <c r="FH611" s="1494"/>
      <c r="FI611" s="1494"/>
      <c r="FJ611" s="1494"/>
      <c r="FK611" s="1494"/>
      <c r="FL611" s="1494"/>
      <c r="FM611" s="1494"/>
      <c r="FN611" s="1494"/>
      <c r="FO611" s="1494"/>
      <c r="FP611" s="1494"/>
      <c r="FQ611" s="1494"/>
      <c r="FR611" s="1494"/>
      <c r="FS611" s="1494"/>
      <c r="FT611" s="1494"/>
      <c r="FU611" s="1494"/>
      <c r="FV611" s="1494"/>
      <c r="FW611" s="1494"/>
      <c r="FX611" s="1494"/>
      <c r="FY611" s="1494"/>
      <c r="FZ611" s="1494"/>
      <c r="GA611" s="1494"/>
      <c r="GB611" s="1494"/>
      <c r="GC611" s="1494"/>
      <c r="GD611" s="1494"/>
      <c r="GE611" s="1494"/>
      <c r="GF611" s="1494"/>
      <c r="GG611" s="1494"/>
      <c r="GH611" s="1494"/>
      <c r="GI611" s="1494"/>
      <c r="GJ611" s="1494"/>
      <c r="GK611" s="1494"/>
      <c r="GL611" s="1494"/>
      <c r="GM611" s="1494"/>
      <c r="GN611" s="1494"/>
      <c r="GO611" s="1494"/>
      <c r="GP611" s="1494"/>
      <c r="GQ611" s="1494"/>
      <c r="GR611" s="1494"/>
      <c r="GS611" s="1494"/>
      <c r="GT611" s="1494"/>
      <c r="GU611" s="1494"/>
      <c r="GV611" s="1494"/>
      <c r="GW611" s="1494"/>
      <c r="GX611" s="1494"/>
      <c r="GY611" s="1494"/>
      <c r="GZ611" s="1494"/>
      <c r="HA611" s="1494"/>
      <c r="HB611" s="1494"/>
      <c r="HC611" s="1494"/>
      <c r="HD611" s="1494"/>
      <c r="HE611" s="1494"/>
      <c r="HF611" s="1494"/>
      <c r="HG611" s="1494"/>
      <c r="HH611" s="1494"/>
      <c r="HI611" s="1494"/>
      <c r="HJ611" s="1494"/>
      <c r="HK611" s="1494"/>
      <c r="HL611" s="1494"/>
      <c r="HM611" s="1494"/>
      <c r="HN611" s="1494"/>
      <c r="HO611" s="1494"/>
      <c r="HP611" s="1494"/>
      <c r="HQ611" s="1494"/>
      <c r="HR611" s="1494"/>
      <c r="HS611" s="1494"/>
      <c r="HT611" s="1494"/>
      <c r="HU611" s="1494"/>
      <c r="HV611" s="1494"/>
      <c r="HW611" s="1494"/>
      <c r="HX611" s="1494"/>
      <c r="HY611" s="1494"/>
      <c r="HZ611" s="1494"/>
      <c r="IA611" s="1494"/>
      <c r="IB611" s="1494"/>
      <c r="IC611" s="1494"/>
      <c r="ID611" s="1494"/>
      <c r="IE611" s="1494"/>
      <c r="IF611" s="1494"/>
      <c r="IG611" s="1494"/>
      <c r="IH611" s="1494"/>
      <c r="II611" s="1494"/>
      <c r="IJ611" s="1494"/>
      <c r="IK611" s="1494"/>
      <c r="IL611" s="1494"/>
      <c r="IM611" s="1494"/>
      <c r="IN611" s="1494"/>
      <c r="IO611" s="49"/>
    </row>
    <row r="612" spans="1:249" s="5" customFormat="1" ht="25.5" customHeight="1">
      <c r="A612" s="52">
        <v>1</v>
      </c>
      <c r="B612" s="1508" t="s">
        <v>299</v>
      </c>
      <c r="C612" s="1509"/>
      <c r="D612" s="1509"/>
      <c r="E612" s="1509"/>
      <c r="F612" s="1509"/>
      <c r="G612" s="1510"/>
      <c r="H612" s="1567" t="s">
        <v>295</v>
      </c>
      <c r="I612" s="1568"/>
      <c r="J612" s="1568"/>
      <c r="K612" s="1568"/>
      <c r="L612" s="1569"/>
      <c r="M612" s="52" t="s">
        <v>245</v>
      </c>
      <c r="N612" s="53"/>
      <c r="O612" s="43"/>
      <c r="P612" s="43"/>
      <c r="Q612" s="126"/>
      <c r="R612" s="126"/>
      <c r="S612" s="126"/>
      <c r="T612" s="126"/>
      <c r="U612" s="126"/>
      <c r="V612" s="126"/>
      <c r="W612" s="126"/>
      <c r="X612" s="126"/>
      <c r="Y612" s="126"/>
      <c r="Z612" s="126"/>
      <c r="AA612" s="126"/>
      <c r="AB612" s="126"/>
      <c r="AC612" s="126"/>
      <c r="AD612" s="127"/>
      <c r="AE612" s="127"/>
      <c r="AF612" s="127"/>
    </row>
    <row r="613" spans="1:249" s="5" customFormat="1" ht="25.5" customHeight="1">
      <c r="A613" s="54">
        <v>2</v>
      </c>
      <c r="B613" s="1514" t="s">
        <v>300</v>
      </c>
      <c r="C613" s="1515"/>
      <c r="D613" s="1515"/>
      <c r="E613" s="1515"/>
      <c r="F613" s="1515"/>
      <c r="G613" s="1516"/>
      <c r="H613" s="1564" t="s">
        <v>301</v>
      </c>
      <c r="I613" s="1565"/>
      <c r="J613" s="1565"/>
      <c r="K613" s="1565"/>
      <c r="L613" s="1566"/>
      <c r="M613" s="54" t="s">
        <v>245</v>
      </c>
      <c r="N613" s="55"/>
      <c r="P613" s="4"/>
      <c r="Q613" s="126"/>
      <c r="R613" s="126"/>
      <c r="S613" s="126"/>
      <c r="T613" s="126"/>
      <c r="U613" s="126"/>
      <c r="V613" s="126"/>
      <c r="W613" s="126"/>
      <c r="X613" s="126"/>
      <c r="Y613" s="126"/>
      <c r="Z613" s="126"/>
      <c r="AA613" s="126"/>
      <c r="AB613" s="126"/>
      <c r="AC613" s="126"/>
      <c r="AD613" s="127"/>
      <c r="AE613" s="127"/>
      <c r="AF613" s="127"/>
    </row>
    <row r="614" spans="1:249" s="5" customFormat="1" ht="25.5" customHeight="1">
      <c r="A614" s="116">
        <v>3</v>
      </c>
      <c r="B614" s="1514" t="s">
        <v>302</v>
      </c>
      <c r="C614" s="1515"/>
      <c r="D614" s="1515"/>
      <c r="E614" s="1515"/>
      <c r="F614" s="1515"/>
      <c r="G614" s="1516"/>
      <c r="H614" s="1564" t="s">
        <v>247</v>
      </c>
      <c r="I614" s="1565"/>
      <c r="J614" s="1565"/>
      <c r="K614" s="1565"/>
      <c r="L614" s="1566"/>
      <c r="M614" s="54" t="s">
        <v>245</v>
      </c>
      <c r="N614" s="117"/>
      <c r="P614" s="4"/>
      <c r="Q614" s="126"/>
      <c r="R614" s="126"/>
      <c r="S614" s="126"/>
      <c r="T614" s="126"/>
      <c r="U614" s="126"/>
      <c r="V614" s="126"/>
      <c r="W614" s="126"/>
      <c r="X614" s="126"/>
      <c r="Y614" s="126"/>
      <c r="Z614" s="126"/>
      <c r="AA614" s="126"/>
      <c r="AB614" s="126"/>
      <c r="AC614" s="126"/>
      <c r="AD614" s="127"/>
      <c r="AE614" s="127"/>
      <c r="AF614" s="127"/>
    </row>
    <row r="615" spans="1:249" s="5" customFormat="1" ht="21.75" customHeight="1">
      <c r="A615" s="56">
        <v>4</v>
      </c>
      <c r="B615" s="1498" t="s">
        <v>303</v>
      </c>
      <c r="C615" s="1499"/>
      <c r="D615" s="1499"/>
      <c r="E615" s="1499"/>
      <c r="F615" s="1499"/>
      <c r="G615" s="1500"/>
      <c r="H615" s="1570" t="s">
        <v>247</v>
      </c>
      <c r="I615" s="1571"/>
      <c r="J615" s="1571"/>
      <c r="K615" s="1571"/>
      <c r="L615" s="1572"/>
      <c r="M615" s="56" t="s">
        <v>245</v>
      </c>
      <c r="N615" s="57"/>
      <c r="P615" s="4"/>
      <c r="Q615" s="126"/>
      <c r="R615" s="126"/>
      <c r="S615" s="126"/>
      <c r="T615" s="126"/>
      <c r="U615" s="126"/>
      <c r="V615" s="126"/>
      <c r="W615" s="126"/>
      <c r="X615" s="126"/>
      <c r="Y615" s="126"/>
      <c r="Z615" s="126"/>
      <c r="AA615" s="126"/>
      <c r="AB615" s="126"/>
      <c r="AC615" s="126"/>
      <c r="AD615" s="127"/>
      <c r="AE615" s="127"/>
      <c r="AF615" s="127"/>
    </row>
    <row r="616" spans="1:249" s="5" customFormat="1" ht="21" customHeight="1">
      <c r="A616" s="58"/>
      <c r="B616" s="59" t="s">
        <v>249</v>
      </c>
      <c r="C616" s="59"/>
      <c r="D616" s="59"/>
      <c r="E616" s="59"/>
      <c r="F616" s="60"/>
      <c r="G616" s="60"/>
      <c r="H616" s="1573" t="s">
        <v>176</v>
      </c>
      <c r="I616" s="1573"/>
      <c r="J616" s="1573"/>
      <c r="K616" s="1573"/>
      <c r="L616" s="60"/>
      <c r="M616" s="60"/>
      <c r="N616" s="60"/>
      <c r="P616" s="4"/>
      <c r="Q616" s="129"/>
      <c r="R616" s="129"/>
      <c r="S616" s="129"/>
      <c r="T616" s="129"/>
      <c r="U616" s="127"/>
      <c r="V616" s="127"/>
      <c r="W616" s="127"/>
      <c r="X616" s="127"/>
      <c r="Y616" s="127"/>
      <c r="Z616" s="127"/>
      <c r="AA616" s="127"/>
      <c r="AB616" s="127"/>
      <c r="AC616" s="127"/>
      <c r="AD616" s="127"/>
      <c r="AE616" s="127"/>
      <c r="AF616" s="127"/>
    </row>
    <row r="617" spans="1:249" s="5" customFormat="1" ht="30.75" customHeight="1">
      <c r="A617" s="31" t="s">
        <v>250</v>
      </c>
      <c r="B617" s="31"/>
      <c r="C617" s="31"/>
      <c r="D617" s="31"/>
      <c r="E617" s="61"/>
      <c r="F617" s="61"/>
      <c r="G617" s="61"/>
      <c r="H617" s="61"/>
      <c r="I617" s="61"/>
      <c r="J617" s="61"/>
      <c r="K617" s="61"/>
      <c r="L617" s="61"/>
      <c r="M617" s="61"/>
      <c r="N617" s="61"/>
      <c r="P617" s="4"/>
      <c r="Q617" s="129"/>
      <c r="R617" s="129"/>
      <c r="S617" s="129"/>
      <c r="T617" s="129"/>
      <c r="U617" s="127"/>
      <c r="V617" s="127"/>
      <c r="W617" s="127"/>
      <c r="X617" s="127"/>
      <c r="Y617" s="127"/>
      <c r="Z617" s="127"/>
      <c r="AA617" s="127"/>
      <c r="AB617" s="127"/>
      <c r="AC617" s="127"/>
      <c r="AD617" s="127"/>
      <c r="AE617" s="127"/>
      <c r="AF617" s="127"/>
    </row>
    <row r="618" spans="1:249" s="5" customFormat="1" ht="24" customHeight="1">
      <c r="A618" s="62"/>
      <c r="B618" s="60"/>
      <c r="C618" s="60"/>
      <c r="D618" s="1505" t="s">
        <v>251</v>
      </c>
      <c r="E618" s="1505"/>
      <c r="F618" s="1505"/>
      <c r="G618" s="1505"/>
      <c r="H618" s="1505"/>
      <c r="I618" s="1505"/>
      <c r="J618" s="1505"/>
      <c r="K618" s="1505"/>
      <c r="L618" s="1505"/>
      <c r="M618" s="1505"/>
      <c r="N618" s="1505"/>
      <c r="P618" s="4"/>
      <c r="Q618" s="129"/>
      <c r="R618" s="129"/>
      <c r="S618" s="129"/>
      <c r="T618" s="129"/>
      <c r="U618" s="127"/>
      <c r="V618" s="127"/>
      <c r="W618" s="127"/>
      <c r="X618" s="127"/>
      <c r="Y618" s="127"/>
      <c r="Z618" s="127"/>
      <c r="AA618" s="127"/>
      <c r="AB618" s="127"/>
      <c r="AC618" s="127"/>
      <c r="AD618" s="127"/>
      <c r="AE618" s="127"/>
      <c r="AF618" s="127"/>
    </row>
    <row r="619" spans="1:249" s="5" customFormat="1" ht="35.25" customHeight="1">
      <c r="A619" s="58"/>
      <c r="B619" s="1506"/>
      <c r="C619" s="1506"/>
      <c r="D619" s="1506"/>
      <c r="E619" s="1506"/>
      <c r="F619" s="1507"/>
      <c r="G619" s="1507"/>
      <c r="H619" s="1507"/>
      <c r="I619" s="1507"/>
      <c r="J619" s="1507"/>
      <c r="K619" s="1507"/>
      <c r="L619" s="1507"/>
      <c r="M619" s="50"/>
      <c r="N619" s="50"/>
      <c r="P619" s="4"/>
      <c r="Q619" s="129"/>
      <c r="R619" s="129"/>
      <c r="S619" s="129"/>
      <c r="T619" s="129"/>
      <c r="U619" s="127"/>
      <c r="V619" s="127"/>
      <c r="W619" s="127"/>
      <c r="X619" s="127"/>
      <c r="Y619" s="127"/>
      <c r="Z619" s="127"/>
      <c r="AA619" s="127"/>
      <c r="AB619" s="127"/>
      <c r="AC619" s="127"/>
      <c r="AD619" s="127"/>
      <c r="AE619" s="127"/>
      <c r="AF619" s="127"/>
    </row>
    <row r="620" spans="1:249" s="5" customFormat="1" ht="25.5" customHeight="1">
      <c r="A620" s="1496" t="s">
        <v>252</v>
      </c>
      <c r="B620" s="1496"/>
      <c r="C620" s="1496"/>
      <c r="D620" s="1496"/>
      <c r="E620" s="1496"/>
      <c r="F620" s="1496" t="s">
        <v>253</v>
      </c>
      <c r="G620" s="1496"/>
      <c r="H620" s="1496"/>
      <c r="I620" s="1496"/>
      <c r="J620" s="1496"/>
      <c r="K620" s="1496"/>
      <c r="L620" s="1496"/>
      <c r="M620" s="1496"/>
      <c r="N620" s="1496"/>
      <c r="P620" s="4"/>
      <c r="Q620" s="129"/>
      <c r="R620" s="129"/>
      <c r="S620" s="129"/>
      <c r="T620" s="129"/>
      <c r="U620" s="127"/>
      <c r="V620" s="127"/>
      <c r="W620" s="127"/>
      <c r="X620" s="127"/>
      <c r="Y620" s="127"/>
      <c r="Z620" s="127"/>
      <c r="AA620" s="127"/>
      <c r="AB620" s="127"/>
      <c r="AC620" s="127"/>
      <c r="AD620" s="127"/>
      <c r="AE620" s="127"/>
      <c r="AF620" s="127"/>
    </row>
    <row r="621" spans="1:249" s="5" customFormat="1" ht="21" customHeight="1">
      <c r="A621" s="64"/>
      <c r="B621" s="64"/>
      <c r="C621" s="64"/>
      <c r="D621" s="64"/>
      <c r="E621" s="64"/>
      <c r="F621" s="1496" t="str">
        <f>$T$30</f>
        <v>Công ty TNHH MTV HANTECH</v>
      </c>
      <c r="G621" s="1496"/>
      <c r="H621" s="1496"/>
      <c r="I621" s="1496"/>
      <c r="J621" s="1496"/>
      <c r="K621" s="1496"/>
      <c r="L621" s="1496" t="str">
        <f>$T$32</f>
        <v>Chỉ huy trưởng công trường</v>
      </c>
      <c r="M621" s="1496"/>
      <c r="N621" s="1496"/>
      <c r="P621" s="4"/>
      <c r="Q621" s="129"/>
      <c r="R621" s="129"/>
      <c r="S621" s="129"/>
      <c r="T621" s="129"/>
      <c r="U621" s="127"/>
      <c r="V621" s="127"/>
      <c r="W621" s="127"/>
      <c r="X621" s="127"/>
      <c r="Y621" s="127"/>
      <c r="Z621" s="127"/>
      <c r="AA621" s="127"/>
      <c r="AB621" s="127"/>
      <c r="AC621" s="127"/>
      <c r="AD621" s="127"/>
      <c r="AE621" s="127"/>
      <c r="AF621" s="127"/>
    </row>
    <row r="622" spans="1:249" s="5" customFormat="1" ht="24" customHeight="1">
      <c r="A622" s="64"/>
      <c r="B622" s="64"/>
      <c r="C622" s="64"/>
      <c r="D622" s="64"/>
      <c r="E622" s="64"/>
      <c r="F622" s="64"/>
      <c r="G622" s="64"/>
      <c r="H622" s="64"/>
      <c r="I622" s="64"/>
      <c r="J622" s="64"/>
      <c r="K622" s="64"/>
      <c r="L622" s="64"/>
      <c r="M622" s="64"/>
      <c r="N622" s="64"/>
      <c r="O622" s="63"/>
      <c r="P622" s="63"/>
      <c r="Q622" s="129"/>
      <c r="R622" s="129"/>
      <c r="S622" s="129"/>
      <c r="T622" s="129"/>
      <c r="U622" s="127"/>
      <c r="V622" s="127"/>
      <c r="W622" s="127"/>
      <c r="X622" s="127"/>
      <c r="Y622" s="127"/>
      <c r="Z622" s="127"/>
      <c r="AA622" s="127"/>
      <c r="AB622" s="127"/>
      <c r="AC622" s="127"/>
      <c r="AD622" s="127"/>
      <c r="AE622" s="127"/>
      <c r="AF622" s="127"/>
    </row>
    <row r="623" spans="1:249" s="5" customFormat="1" ht="16.5">
      <c r="A623" s="66"/>
      <c r="B623"/>
      <c r="C623"/>
      <c r="D623"/>
      <c r="E623"/>
      <c r="F623" s="67"/>
      <c r="G623" s="68"/>
      <c r="H623" s="69"/>
      <c r="I623" s="69"/>
      <c r="J623" s="69"/>
      <c r="K623" s="69"/>
      <c r="L623" s="69"/>
      <c r="M623" s="69"/>
      <c r="N623" s="43"/>
      <c r="O623"/>
      <c r="P623"/>
      <c r="Q623" s="129"/>
      <c r="R623" s="129"/>
      <c r="S623" s="129"/>
      <c r="T623" s="129"/>
      <c r="U623" s="127"/>
      <c r="V623" s="127"/>
      <c r="W623" s="127"/>
      <c r="X623" s="127"/>
      <c r="Y623" s="127"/>
      <c r="Z623" s="127"/>
      <c r="AA623" s="127"/>
      <c r="AB623" s="127"/>
      <c r="AC623" s="127"/>
      <c r="AD623" s="127"/>
      <c r="AE623" s="127"/>
      <c r="AF623" s="127"/>
    </row>
    <row r="624" spans="1:249" s="63" customFormat="1" ht="29.25" customHeight="1">
      <c r="A624" s="12"/>
      <c r="B624" s="12"/>
      <c r="C624" s="12"/>
      <c r="D624" s="12"/>
      <c r="E624" s="12"/>
      <c r="F624" s="12"/>
      <c r="G624" s="12"/>
      <c r="H624" s="12"/>
      <c r="I624" s="7"/>
      <c r="J624" s="7"/>
      <c r="K624" s="7"/>
      <c r="L624" s="7"/>
      <c r="M624" s="2"/>
      <c r="N624" s="2"/>
      <c r="O624"/>
      <c r="P624"/>
      <c r="Q624" s="65"/>
      <c r="R624" s="65"/>
      <c r="S624" s="65"/>
      <c r="T624" s="65"/>
    </row>
    <row r="625" spans="1:32" ht="23.25" customHeight="1">
      <c r="A625" s="1497" t="str">
        <f>$E$16</f>
        <v>Nguyễn Mạnh Hùng</v>
      </c>
      <c r="B625" s="1497"/>
      <c r="C625" s="1497"/>
      <c r="D625" s="1497"/>
      <c r="E625" s="1497"/>
      <c r="F625" s="1497" t="str">
        <f>E588</f>
        <v>CÔNG TY TNHH MTV HANTECH</v>
      </c>
      <c r="G625" s="1497"/>
      <c r="H625" s="1497"/>
      <c r="I625" s="1497"/>
      <c r="J625" s="1497"/>
      <c r="K625" s="1497"/>
      <c r="L625" s="1497" t="str">
        <f>$E$19</f>
        <v>Ngô Văn Khánh</v>
      </c>
      <c r="M625" s="1497"/>
      <c r="N625" s="1497"/>
    </row>
    <row r="626" spans="1:32" ht="23.25" customHeight="1">
      <c r="A626" s="1535"/>
      <c r="B626" s="1535"/>
      <c r="C626" s="1535"/>
      <c r="D626" s="1535"/>
      <c r="E626" s="1535"/>
      <c r="F626" s="71"/>
      <c r="G626" s="71"/>
      <c r="H626" s="71"/>
      <c r="I626" s="71"/>
      <c r="J626" s="71"/>
      <c r="K626" s="71"/>
      <c r="L626" s="71"/>
      <c r="M626" s="71"/>
      <c r="N626" s="71"/>
      <c r="O626" s="7"/>
      <c r="P626" s="7"/>
    </row>
    <row r="627" spans="1:32" ht="17.25" customHeight="1">
      <c r="A627" s="58"/>
      <c r="B627" s="1531"/>
      <c r="C627" s="1531"/>
      <c r="D627" s="1531"/>
      <c r="E627" s="1531"/>
      <c r="F627" s="1532"/>
      <c r="G627" s="1532"/>
      <c r="H627" s="1532"/>
      <c r="I627" s="1532"/>
      <c r="J627" s="1532"/>
      <c r="K627" s="1532"/>
      <c r="L627" s="1532"/>
      <c r="M627" s="50"/>
      <c r="N627" s="50"/>
      <c r="O627" s="70"/>
      <c r="P627" s="70"/>
    </row>
    <row r="628" spans="1:32" s="7" customFormat="1" ht="19.5" customHeight="1">
      <c r="A628" s="58"/>
      <c r="B628" s="1531"/>
      <c r="C628" s="1531"/>
      <c r="D628" s="1531"/>
      <c r="E628" s="1531"/>
      <c r="F628" s="1532"/>
      <c r="G628" s="1532"/>
      <c r="H628" s="1532"/>
      <c r="I628" s="1532"/>
      <c r="J628" s="1532"/>
      <c r="K628" s="1532"/>
      <c r="L628" s="1532"/>
      <c r="M628" s="50"/>
      <c r="N628" s="50"/>
      <c r="O628" s="72"/>
      <c r="P628" s="73"/>
      <c r="Q628" s="11"/>
      <c r="R628" s="11"/>
      <c r="S628" s="11"/>
      <c r="T628" s="11"/>
    </row>
    <row r="629" spans="1:32" s="70" customFormat="1" ht="20.100000000000001" customHeight="1">
      <c r="A629" s="58"/>
      <c r="B629" s="74"/>
      <c r="C629" s="74"/>
      <c r="D629" s="74"/>
      <c r="E629" s="74"/>
      <c r="F629" s="75"/>
      <c r="G629" s="75"/>
      <c r="H629" s="75"/>
      <c r="I629" s="75"/>
      <c r="J629" s="75"/>
      <c r="K629" s="75"/>
      <c r="L629" s="75"/>
      <c r="M629" s="50"/>
      <c r="N629" s="50"/>
      <c r="O629" s="5"/>
      <c r="P629" s="4"/>
      <c r="Q629" s="76"/>
      <c r="R629" s="76"/>
      <c r="S629" s="76"/>
      <c r="T629" s="76"/>
    </row>
    <row r="630" spans="1:32" s="72" customFormat="1" ht="16.5" customHeight="1">
      <c r="A630" s="58"/>
      <c r="B630" s="74"/>
      <c r="C630" s="74"/>
      <c r="D630" s="74"/>
      <c r="E630" s="74"/>
      <c r="F630" s="75"/>
      <c r="G630" s="75"/>
      <c r="H630" s="75"/>
      <c r="I630" s="75"/>
      <c r="J630" s="75"/>
      <c r="K630" s="75"/>
      <c r="L630" s="75"/>
      <c r="M630" s="50"/>
      <c r="N630" s="50"/>
      <c r="O630" s="5"/>
      <c r="P630" s="4"/>
      <c r="Q630" s="77"/>
      <c r="R630" s="77"/>
      <c r="S630" s="77"/>
      <c r="T630" s="77"/>
    </row>
    <row r="631" spans="1:32" s="5" customFormat="1" ht="16.5" customHeight="1">
      <c r="A631" s="58"/>
      <c r="B631" s="74"/>
      <c r="C631" s="74"/>
      <c r="D631" s="74"/>
      <c r="E631" s="74"/>
      <c r="F631" s="75"/>
      <c r="G631" s="75"/>
      <c r="H631" s="75"/>
      <c r="I631" s="75"/>
      <c r="J631" s="75"/>
      <c r="K631" s="75"/>
      <c r="L631" s="75"/>
      <c r="M631" s="50"/>
      <c r="N631" s="50"/>
      <c r="P631" s="4"/>
      <c r="Q631" s="129"/>
      <c r="R631" s="129"/>
      <c r="S631" s="129"/>
      <c r="T631" s="129"/>
      <c r="U631" s="127"/>
      <c r="V631" s="127"/>
      <c r="W631" s="127"/>
      <c r="X631" s="127"/>
      <c r="Y631" s="127"/>
      <c r="Z631" s="127"/>
      <c r="AA631" s="127"/>
      <c r="AB631" s="127"/>
      <c r="AC631" s="127"/>
      <c r="AD631" s="127"/>
      <c r="AE631" s="127"/>
      <c r="AF631" s="127"/>
    </row>
    <row r="632" spans="1:32" s="5" customFormat="1" ht="16.5" customHeight="1">
      <c r="A632" s="58"/>
      <c r="B632" s="74"/>
      <c r="C632" s="74"/>
      <c r="D632" s="74"/>
      <c r="E632" s="74"/>
      <c r="F632" s="75"/>
      <c r="G632" s="75"/>
      <c r="H632" s="75"/>
      <c r="I632" s="75"/>
      <c r="J632" s="75"/>
      <c r="K632" s="75"/>
      <c r="L632" s="75"/>
      <c r="M632" s="50"/>
      <c r="N632" s="50"/>
      <c r="P632" s="4"/>
      <c r="Q632" s="129"/>
      <c r="R632" s="129"/>
      <c r="S632" s="129"/>
      <c r="T632" s="129"/>
      <c r="U632" s="127"/>
      <c r="V632" s="127"/>
      <c r="W632" s="127"/>
      <c r="X632" s="127"/>
      <c r="Y632" s="127"/>
      <c r="Z632" s="127"/>
      <c r="AA632" s="127"/>
      <c r="AB632" s="127"/>
      <c r="AC632" s="127"/>
      <c r="AD632" s="127"/>
      <c r="AE632" s="127"/>
      <c r="AF632" s="127"/>
    </row>
    <row r="633" spans="1:32" s="5" customFormat="1" ht="16.5" customHeight="1">
      <c r="A633" s="58"/>
      <c r="B633" s="74"/>
      <c r="C633" s="74"/>
      <c r="D633" s="74"/>
      <c r="E633" s="74"/>
      <c r="F633" s="75"/>
      <c r="G633" s="75"/>
      <c r="H633" s="75"/>
      <c r="I633" s="75"/>
      <c r="J633" s="75"/>
      <c r="K633" s="75"/>
      <c r="L633" s="75"/>
      <c r="M633" s="50"/>
      <c r="N633" s="50"/>
      <c r="P633" s="4"/>
      <c r="Q633" s="129"/>
      <c r="R633" s="129"/>
      <c r="S633" s="129"/>
      <c r="T633" s="129"/>
      <c r="U633" s="127"/>
      <c r="V633" s="127"/>
      <c r="W633" s="127"/>
      <c r="X633" s="127"/>
      <c r="Y633" s="127"/>
      <c r="Z633" s="127"/>
      <c r="AA633" s="127"/>
      <c r="AB633" s="127"/>
      <c r="AC633" s="127"/>
      <c r="AD633" s="127"/>
      <c r="AE633" s="127"/>
      <c r="AF633" s="127"/>
    </row>
    <row r="634" spans="1:32" s="5" customFormat="1" ht="16.5" customHeight="1">
      <c r="A634" s="58"/>
      <c r="B634" s="74"/>
      <c r="C634" s="74"/>
      <c r="D634" s="74"/>
      <c r="E634" s="74"/>
      <c r="F634" s="75"/>
      <c r="G634" s="75"/>
      <c r="H634" s="75"/>
      <c r="I634" s="75"/>
      <c r="J634" s="75"/>
      <c r="K634" s="75"/>
      <c r="L634" s="75"/>
      <c r="M634" s="50"/>
      <c r="N634" s="50"/>
      <c r="P634" s="4"/>
      <c r="Q634" s="129"/>
      <c r="R634" s="129"/>
      <c r="S634" s="129"/>
      <c r="T634" s="129"/>
      <c r="U634" s="127"/>
      <c r="V634" s="127"/>
      <c r="W634" s="127"/>
      <c r="X634" s="127"/>
      <c r="Y634" s="127"/>
      <c r="Z634" s="127"/>
      <c r="AA634" s="127"/>
      <c r="AB634" s="127"/>
      <c r="AC634" s="127"/>
      <c r="AD634" s="127"/>
      <c r="AE634" s="127"/>
      <c r="AF634" s="127"/>
    </row>
    <row r="635" spans="1:32" s="5" customFormat="1" ht="16.5" customHeight="1">
      <c r="A635" s="58"/>
      <c r="B635" s="74"/>
      <c r="C635" s="74"/>
      <c r="D635" s="74"/>
      <c r="E635" s="74"/>
      <c r="F635" s="75"/>
      <c r="G635" s="75"/>
      <c r="H635" s="75"/>
      <c r="I635" s="75"/>
      <c r="J635" s="75"/>
      <c r="K635" s="75"/>
      <c r="L635" s="75"/>
      <c r="M635" s="50"/>
      <c r="N635" s="50"/>
      <c r="P635" s="4"/>
      <c r="Q635" s="129"/>
      <c r="R635" s="129"/>
      <c r="S635" s="129"/>
      <c r="T635" s="129"/>
      <c r="U635" s="127"/>
      <c r="V635" s="127"/>
      <c r="W635" s="127"/>
      <c r="X635" s="127"/>
      <c r="Y635" s="127"/>
      <c r="Z635" s="127"/>
      <c r="AA635" s="127"/>
      <c r="AB635" s="127"/>
      <c r="AC635" s="127"/>
      <c r="AD635" s="127"/>
      <c r="AE635" s="127"/>
      <c r="AF635" s="127"/>
    </row>
    <row r="636" spans="1:32" s="5" customFormat="1" ht="16.5" customHeight="1">
      <c r="A636" s="58"/>
      <c r="B636" s="74"/>
      <c r="C636" s="74"/>
      <c r="D636" s="74"/>
      <c r="E636" s="74"/>
      <c r="F636" s="75"/>
      <c r="G636" s="75"/>
      <c r="H636" s="75"/>
      <c r="I636" s="75"/>
      <c r="J636" s="75"/>
      <c r="K636" s="75"/>
      <c r="L636" s="75"/>
      <c r="M636" s="50"/>
      <c r="N636" s="50"/>
      <c r="P636" s="4"/>
      <c r="Q636" s="129"/>
      <c r="R636" s="129"/>
      <c r="S636" s="129"/>
      <c r="T636" s="129"/>
      <c r="U636" s="127"/>
      <c r="V636" s="127"/>
      <c r="W636" s="127"/>
      <c r="X636" s="127"/>
      <c r="Y636" s="127"/>
      <c r="Z636" s="127"/>
      <c r="AA636" s="127"/>
      <c r="AB636" s="127"/>
      <c r="AC636" s="127"/>
      <c r="AD636" s="127"/>
      <c r="AE636" s="127"/>
      <c r="AF636" s="127"/>
    </row>
    <row r="637" spans="1:32" s="5" customFormat="1" ht="16.5" customHeight="1">
      <c r="A637" s="58"/>
      <c r="B637" s="1531"/>
      <c r="C637" s="1531"/>
      <c r="D637" s="1531"/>
      <c r="E637" s="1531"/>
      <c r="F637" s="1532"/>
      <c r="G637" s="1532"/>
      <c r="H637" s="1532"/>
      <c r="I637" s="1532"/>
      <c r="J637" s="1532"/>
      <c r="K637" s="1532"/>
      <c r="L637" s="1532"/>
      <c r="M637" s="50"/>
      <c r="N637" s="50"/>
      <c r="P637" s="4"/>
      <c r="Q637" s="129"/>
      <c r="R637" s="129"/>
      <c r="S637" s="129"/>
      <c r="T637" s="129"/>
      <c r="U637" s="127"/>
      <c r="V637" s="127"/>
      <c r="W637" s="127"/>
      <c r="X637" s="127"/>
      <c r="Y637" s="127"/>
      <c r="Z637" s="127"/>
      <c r="AA637" s="127"/>
      <c r="AB637" s="127"/>
      <c r="AC637" s="127"/>
      <c r="AD637" s="127"/>
      <c r="AE637" s="127"/>
      <c r="AF637" s="127"/>
    </row>
    <row r="638" spans="1:32" s="5" customFormat="1" ht="16.5" customHeight="1">
      <c r="A638" s="1534"/>
      <c r="B638" s="1534"/>
      <c r="C638" s="1534"/>
      <c r="D638" s="1534"/>
      <c r="E638" s="1534"/>
      <c r="F638" s="1534"/>
      <c r="G638" s="1534"/>
      <c r="H638" s="1534"/>
      <c r="I638" s="1534"/>
      <c r="J638" s="1534"/>
      <c r="K638" s="1534"/>
      <c r="L638" s="1534"/>
      <c r="M638" s="1534"/>
      <c r="N638" s="1534"/>
      <c r="P638" s="4"/>
      <c r="Q638" s="129"/>
      <c r="R638" s="129"/>
      <c r="S638" s="129"/>
      <c r="T638" s="129"/>
      <c r="U638" s="127"/>
      <c r="V638" s="127"/>
      <c r="W638" s="127"/>
      <c r="X638" s="127"/>
      <c r="Y638" s="127"/>
      <c r="Z638" s="127"/>
      <c r="AA638" s="127"/>
      <c r="AB638" s="127"/>
      <c r="AC638" s="127"/>
      <c r="AD638" s="127"/>
      <c r="AE638" s="127"/>
      <c r="AF638" s="127"/>
    </row>
    <row r="639" spans="1:32" s="5" customFormat="1" ht="16.5" customHeight="1">
      <c r="A639" s="58"/>
      <c r="B639" s="1531"/>
      <c r="C639" s="1531"/>
      <c r="D639" s="1531"/>
      <c r="E639" s="1531"/>
      <c r="F639" s="1532"/>
      <c r="G639" s="1532"/>
      <c r="H639" s="1532"/>
      <c r="I639" s="1532"/>
      <c r="J639" s="1532"/>
      <c r="K639" s="1532"/>
      <c r="L639" s="1532"/>
      <c r="M639" s="50"/>
      <c r="N639" s="50"/>
      <c r="P639" s="4"/>
      <c r="Q639" s="129"/>
      <c r="R639" s="129"/>
      <c r="S639" s="129"/>
      <c r="T639" s="129"/>
      <c r="U639" s="127"/>
      <c r="V639" s="127"/>
      <c r="W639" s="127"/>
      <c r="X639" s="127"/>
      <c r="Y639" s="127"/>
      <c r="Z639" s="127"/>
      <c r="AA639" s="127"/>
      <c r="AB639" s="127"/>
      <c r="AC639" s="127"/>
      <c r="AD639" s="127"/>
      <c r="AE639" s="127"/>
      <c r="AF639" s="127"/>
    </row>
    <row r="640" spans="1:32" s="5" customFormat="1" ht="16.5" customHeight="1">
      <c r="I640" s="64"/>
      <c r="J640" s="64"/>
      <c r="K640" s="64"/>
      <c r="L640" s="64"/>
      <c r="M640" s="64"/>
      <c r="N640" s="64"/>
      <c r="P640" s="4"/>
      <c r="Q640" s="129"/>
      <c r="R640" s="129"/>
      <c r="S640" s="129"/>
      <c r="T640" s="129"/>
      <c r="U640" s="127"/>
      <c r="V640" s="127"/>
      <c r="W640" s="127"/>
      <c r="X640" s="127"/>
      <c r="Y640" s="127"/>
      <c r="Z640" s="127"/>
      <c r="AA640" s="127"/>
      <c r="AB640" s="127"/>
      <c r="AC640" s="127"/>
      <c r="AD640" s="127"/>
      <c r="AE640" s="127"/>
      <c r="AF640" s="127"/>
    </row>
    <row r="641" spans="1:32" s="5" customFormat="1" ht="19.5" customHeight="1">
      <c r="A641" s="58"/>
      <c r="B641" s="58"/>
      <c r="C641" s="78"/>
      <c r="D641" s="78"/>
      <c r="E641" s="74"/>
      <c r="F641" s="50"/>
      <c r="G641" s="50"/>
      <c r="H641" s="50"/>
      <c r="I641" s="50"/>
      <c r="J641" s="50"/>
      <c r="K641" s="50"/>
      <c r="L641" s="50"/>
      <c r="M641" s="50"/>
      <c r="N641" s="50"/>
      <c r="P641" s="4"/>
      <c r="Q641" s="129"/>
      <c r="R641" s="129"/>
      <c r="S641" s="129"/>
      <c r="T641" s="129"/>
      <c r="U641" s="127"/>
      <c r="V641" s="127"/>
      <c r="W641" s="127"/>
      <c r="X641" s="127"/>
      <c r="Y641" s="127"/>
      <c r="Z641" s="127"/>
      <c r="AA641" s="127"/>
      <c r="AB641" s="127"/>
      <c r="AC641" s="127"/>
      <c r="AD641" s="127"/>
      <c r="AE641" s="127"/>
      <c r="AF641" s="127"/>
    </row>
    <row r="642" spans="1:32" s="5" customFormat="1" ht="15" customHeight="1">
      <c r="A642" s="58"/>
      <c r="B642" s="58"/>
      <c r="C642" s="78"/>
      <c r="D642" s="78"/>
      <c r="E642" s="74"/>
      <c r="F642" s="50"/>
      <c r="G642" s="50"/>
      <c r="H642" s="50"/>
      <c r="I642" s="50"/>
      <c r="J642" s="50"/>
      <c r="K642" s="50"/>
      <c r="L642" s="50"/>
      <c r="M642" s="50"/>
      <c r="N642" s="50"/>
      <c r="O642" s="64"/>
      <c r="P642" s="64"/>
      <c r="Q642" s="129"/>
      <c r="R642" s="129"/>
      <c r="S642" s="129"/>
      <c r="T642" s="129"/>
      <c r="U642" s="127"/>
      <c r="V642" s="127"/>
      <c r="W642" s="127"/>
      <c r="X642" s="127"/>
      <c r="Y642" s="127"/>
      <c r="Z642" s="127"/>
      <c r="AA642" s="127"/>
      <c r="AB642" s="127"/>
      <c r="AC642" s="127"/>
      <c r="AD642" s="127"/>
      <c r="AE642" s="127"/>
      <c r="AF642" s="127"/>
    </row>
    <row r="643" spans="1:32" s="5" customFormat="1" ht="24" customHeight="1">
      <c r="A643" s="58"/>
      <c r="B643" s="58"/>
      <c r="C643" s="78"/>
      <c r="D643" s="78"/>
      <c r="E643" s="74"/>
      <c r="F643" s="50"/>
      <c r="G643" s="50"/>
      <c r="H643" s="50"/>
      <c r="I643" s="50"/>
      <c r="J643" s="50"/>
      <c r="K643" s="50"/>
      <c r="L643" s="50"/>
      <c r="M643" s="50"/>
      <c r="N643" s="50"/>
      <c r="P643" s="4"/>
      <c r="Q643" s="129"/>
      <c r="R643" s="129"/>
      <c r="S643" s="129"/>
      <c r="T643" s="129"/>
      <c r="U643" s="127"/>
      <c r="V643" s="127"/>
      <c r="W643" s="127"/>
      <c r="X643" s="127"/>
      <c r="Y643" s="127"/>
      <c r="Z643" s="127"/>
      <c r="AA643" s="127"/>
      <c r="AB643" s="127"/>
      <c r="AC643" s="127"/>
      <c r="AD643" s="127"/>
      <c r="AE643" s="127"/>
      <c r="AF643" s="127"/>
    </row>
    <row r="644" spans="1:32" s="5" customFormat="1" ht="16.5" customHeight="1">
      <c r="A644" s="58"/>
      <c r="B644" s="58"/>
      <c r="C644" s="78"/>
      <c r="D644" s="78"/>
      <c r="E644" s="74"/>
      <c r="F644" s="50"/>
      <c r="G644" s="50"/>
      <c r="H644" s="50"/>
      <c r="I644" s="50"/>
      <c r="J644" s="50"/>
      <c r="K644" s="50"/>
      <c r="L644" s="50"/>
      <c r="M644" s="50"/>
      <c r="N644" s="50"/>
      <c r="P644" s="4"/>
      <c r="Q644" s="129"/>
      <c r="R644" s="129"/>
      <c r="S644" s="129"/>
      <c r="T644" s="129"/>
      <c r="U644" s="127"/>
      <c r="V644" s="127"/>
      <c r="W644" s="127"/>
      <c r="X644" s="127"/>
      <c r="Y644" s="127"/>
      <c r="Z644" s="127"/>
      <c r="AA644" s="127"/>
      <c r="AB644" s="127"/>
      <c r="AC644" s="127"/>
      <c r="AD644" s="127"/>
      <c r="AE644" s="127"/>
      <c r="AF644" s="127"/>
    </row>
    <row r="645" spans="1:32" s="5" customFormat="1" ht="16.5" customHeight="1">
      <c r="A645" s="58"/>
      <c r="B645" s="58"/>
      <c r="C645" s="78"/>
      <c r="D645" s="78"/>
      <c r="E645" s="74"/>
      <c r="F645" s="50"/>
      <c r="G645" s="50"/>
      <c r="H645" s="50"/>
      <c r="I645" s="50"/>
      <c r="J645" s="50"/>
      <c r="K645" s="50"/>
      <c r="L645" s="50"/>
      <c r="M645" s="50"/>
      <c r="N645" s="50"/>
      <c r="P645" s="4"/>
      <c r="Q645" s="129"/>
      <c r="R645" s="129"/>
      <c r="S645" s="129"/>
      <c r="T645" s="129"/>
      <c r="U645" s="127"/>
      <c r="V645" s="127"/>
      <c r="W645" s="127"/>
      <c r="X645" s="127"/>
      <c r="Y645" s="127"/>
      <c r="Z645" s="127"/>
      <c r="AA645" s="127"/>
      <c r="AB645" s="127"/>
      <c r="AC645" s="127"/>
      <c r="AD645" s="127"/>
      <c r="AE645" s="127"/>
      <c r="AF645" s="127"/>
    </row>
    <row r="646" spans="1:32" s="5" customFormat="1" ht="16.5" customHeight="1">
      <c r="A646" s="58"/>
      <c r="B646" s="58"/>
      <c r="C646" s="78"/>
      <c r="D646" s="78"/>
      <c r="E646" s="74"/>
      <c r="F646" s="50"/>
      <c r="G646" s="50"/>
      <c r="H646" s="50"/>
      <c r="I646" s="50"/>
      <c r="J646" s="50"/>
      <c r="K646" s="50"/>
      <c r="L646" s="50"/>
      <c r="M646" s="50"/>
      <c r="N646" s="50"/>
      <c r="P646" s="4"/>
      <c r="Q646" s="129"/>
      <c r="R646" s="129"/>
      <c r="S646" s="129"/>
      <c r="T646" s="129"/>
      <c r="U646" s="127"/>
      <c r="V646" s="127"/>
      <c r="W646" s="127"/>
      <c r="X646" s="127"/>
      <c r="Y646" s="127"/>
      <c r="Z646" s="127"/>
      <c r="AA646" s="127"/>
      <c r="AB646" s="127"/>
      <c r="AC646" s="127"/>
      <c r="AD646" s="127"/>
      <c r="AE646" s="127"/>
      <c r="AF646" s="127"/>
    </row>
    <row r="647" spans="1:32" s="5" customFormat="1" ht="16.5" customHeight="1">
      <c r="A647" s="1535" t="str">
        <f>$A$1</f>
        <v>.....................................</v>
      </c>
      <c r="B647" s="1535"/>
      <c r="C647" s="1535"/>
      <c r="D647" s="1535"/>
      <c r="E647" s="1535"/>
      <c r="F647" s="1592"/>
      <c r="G647" s="1535" t="s">
        <v>199</v>
      </c>
      <c r="H647" s="1535"/>
      <c r="I647" s="1535"/>
      <c r="J647" s="1535"/>
      <c r="K647" s="1535"/>
      <c r="L647" s="1535"/>
      <c r="M647" s="1535"/>
      <c r="N647" s="1535"/>
      <c r="P647" s="4"/>
      <c r="Q647" s="129"/>
      <c r="R647" s="129"/>
      <c r="S647" s="129"/>
      <c r="T647" s="129"/>
      <c r="U647" s="127"/>
      <c r="V647" s="127"/>
      <c r="W647" s="127"/>
      <c r="X647" s="127"/>
      <c r="Y647" s="127"/>
      <c r="Z647" s="127"/>
      <c r="AA647" s="127"/>
      <c r="AB647" s="127"/>
      <c r="AC647" s="127"/>
      <c r="AD647" s="127"/>
      <c r="AE647" s="127"/>
      <c r="AF647" s="127"/>
    </row>
    <row r="648" spans="1:32" s="5" customFormat="1" ht="16.5" customHeight="1">
      <c r="A648" s="1592"/>
      <c r="B648" s="1592"/>
      <c r="C648" s="1592"/>
      <c r="D648" s="1592"/>
      <c r="E648" s="1592"/>
      <c r="F648" s="1592"/>
      <c r="G648" s="1536" t="s">
        <v>254</v>
      </c>
      <c r="H648" s="1536"/>
      <c r="I648" s="1536"/>
      <c r="J648" s="1536"/>
      <c r="K648" s="1536"/>
      <c r="L648" s="1536"/>
      <c r="M648" s="1536"/>
      <c r="N648" s="1536"/>
      <c r="P648" s="4"/>
      <c r="Q648" s="129"/>
      <c r="R648" s="129"/>
      <c r="S648" s="129"/>
      <c r="T648" s="129"/>
      <c r="U648" s="127"/>
      <c r="V648" s="127"/>
      <c r="W648" s="127"/>
      <c r="X648" s="127"/>
      <c r="Y648" s="127"/>
      <c r="Z648" s="127"/>
      <c r="AA648" s="127"/>
      <c r="AB648" s="127"/>
      <c r="AC648" s="127"/>
      <c r="AD648" s="127"/>
      <c r="AE648" s="127"/>
      <c r="AF648" s="127"/>
    </row>
    <row r="649" spans="1:32" s="5" customFormat="1" ht="16.5" customHeight="1">
      <c r="A649" s="1592"/>
      <c r="B649" s="1592"/>
      <c r="C649" s="1592"/>
      <c r="D649" s="1592"/>
      <c r="E649" s="1592"/>
      <c r="F649" s="1592"/>
      <c r="G649" s="79"/>
      <c r="H649" s="79"/>
      <c r="I649" s="79"/>
      <c r="J649" s="1537">
        <f>I573</f>
        <v>0</v>
      </c>
      <c r="K649" s="1537"/>
      <c r="L649" s="1537"/>
      <c r="M649" s="1537"/>
      <c r="N649" s="1537"/>
      <c r="P649"/>
      <c r="Q649" s="129"/>
      <c r="R649" s="129"/>
      <c r="S649" s="129"/>
      <c r="T649" s="129"/>
      <c r="U649" s="127"/>
      <c r="V649" s="127"/>
      <c r="W649" s="127"/>
      <c r="X649" s="127"/>
      <c r="Y649" s="127"/>
      <c r="Z649" s="127"/>
      <c r="AA649" s="127"/>
      <c r="AB649" s="127"/>
      <c r="AC649" s="127"/>
      <c r="AD649" s="127"/>
      <c r="AE649" s="127"/>
      <c r="AF649" s="127"/>
    </row>
    <row r="650" spans="1:32" s="5" customFormat="1">
      <c r="A650" s="1592"/>
      <c r="B650" s="1592"/>
      <c r="C650" s="1592"/>
      <c r="D650" s="1592"/>
      <c r="E650" s="1592"/>
      <c r="F650" s="1592"/>
      <c r="P650"/>
      <c r="Q650" s="129"/>
      <c r="R650" s="129"/>
      <c r="S650" s="129"/>
      <c r="T650" s="129"/>
      <c r="U650" s="127"/>
      <c r="V650" s="127"/>
      <c r="W650" s="127"/>
      <c r="X650" s="127"/>
      <c r="Y650" s="127"/>
      <c r="Z650" s="127"/>
      <c r="AA650" s="127"/>
      <c r="AB650" s="127"/>
      <c r="AC650" s="127"/>
      <c r="AD650" s="127"/>
      <c r="AE650" s="127"/>
      <c r="AF650" s="127"/>
    </row>
    <row r="651" spans="1:32" ht="21.95" customHeight="1">
      <c r="A651" s="1553" t="s">
        <v>255</v>
      </c>
      <c r="B651" s="1553"/>
      <c r="C651" s="1553"/>
      <c r="D651" s="1553"/>
      <c r="E651" s="1553"/>
      <c r="F651" s="1553"/>
      <c r="G651" s="1553"/>
      <c r="H651" s="1553"/>
      <c r="I651" s="1553"/>
      <c r="J651" s="1553"/>
      <c r="K651" s="1553"/>
      <c r="L651" s="1553"/>
      <c r="M651" s="1553"/>
      <c r="N651" s="1553"/>
      <c r="O651" s="79"/>
      <c r="P651" s="80"/>
    </row>
    <row r="652" spans="1:32" ht="21.95" customHeight="1">
      <c r="A652" s="1554" t="str">
        <f>"sè:  PM-"&amp;$R$12&amp;"-HK/"&amp;$R$14</f>
        <v>sè:  PM-B1-HK/800</v>
      </c>
      <c r="B652" s="1554"/>
      <c r="C652" s="1554"/>
      <c r="D652" s="1554"/>
      <c r="E652" s="1554"/>
      <c r="F652" s="1554"/>
      <c r="G652" s="1554"/>
      <c r="H652" s="1554"/>
      <c r="I652" s="1554"/>
      <c r="J652" s="1554"/>
      <c r="K652" s="1554"/>
      <c r="L652" s="1554"/>
      <c r="M652" s="1554"/>
      <c r="N652" s="1554"/>
      <c r="O652" s="5"/>
    </row>
    <row r="653" spans="1:32" s="80" customFormat="1" ht="21.95" customHeight="1">
      <c r="A653"/>
      <c r="B653" s="81"/>
      <c r="C653" s="28" t="str">
        <f>"C«ng tr×nh: "&amp;$R$3</f>
        <v>C«ng tr×nh: KHU HỖN HỢP CHUNG CƯ, VĂN PHÒNG, TRUNG TÂM THƯƠNG MẠI VÀ NHÀ Ở KẾT HỢP KHU MUA SẮM</v>
      </c>
      <c r="D653" s="27"/>
      <c r="E653" s="27"/>
      <c r="F653" s="27"/>
      <c r="G653" s="27"/>
      <c r="H653" s="27"/>
      <c r="I653" s="27"/>
      <c r="J653" s="27"/>
      <c r="K653" s="27"/>
      <c r="L653" s="27"/>
      <c r="M653"/>
      <c r="N653"/>
      <c r="O653"/>
      <c r="P653"/>
      <c r="Q653" s="131"/>
      <c r="R653" s="131"/>
      <c r="S653" s="131"/>
      <c r="T653" s="131"/>
      <c r="U653" s="132"/>
      <c r="V653" s="132"/>
      <c r="W653" s="132"/>
      <c r="X653" s="132"/>
      <c r="Y653" s="132"/>
      <c r="Z653" s="132"/>
      <c r="AA653" s="132"/>
      <c r="AB653" s="132"/>
      <c r="AC653" s="132"/>
      <c r="AD653" s="132"/>
      <c r="AE653" s="132"/>
      <c r="AF653" s="132"/>
    </row>
    <row r="654" spans="1:32" ht="21.95" customHeight="1">
      <c r="B654" s="81"/>
      <c r="C654" s="28" t="str">
        <f>"H¹ng môc: "&amp;$R$5</f>
        <v>H¹ng môc: CỌC KHOAN NHỒI</v>
      </c>
      <c r="D654" s="27"/>
      <c r="E654" s="29"/>
      <c r="F654" s="28"/>
      <c r="G654" s="28"/>
      <c r="H654" s="28"/>
      <c r="I654" s="28"/>
      <c r="J654" s="28"/>
      <c r="K654" s="28"/>
      <c r="L654" s="28"/>
      <c r="M654" s="28"/>
    </row>
    <row r="655" spans="1:32" ht="21.95" customHeight="1">
      <c r="B655" s="82"/>
      <c r="C655" s="1487" t="str">
        <f>"§Þa ®iÓm x©y dùng: "&amp;$R$4</f>
        <v>§Þa ®iÓm x©y dùng: P. BẠCH ĐẰNG, TP. HẠ LONG, TỈNH QUẢNG NINH</v>
      </c>
      <c r="D655" s="1487"/>
      <c r="E655" s="1487"/>
      <c r="F655" s="1487"/>
      <c r="G655" s="1487"/>
      <c r="H655" s="1487"/>
      <c r="I655" s="1487"/>
      <c r="J655" s="1487"/>
      <c r="K655" s="1487"/>
      <c r="L655" s="1487"/>
      <c r="M655" s="1487"/>
      <c r="N655" s="1487"/>
    </row>
    <row r="656" spans="1:32" ht="21.95" customHeight="1">
      <c r="B656" s="82"/>
      <c r="C656" s="31"/>
      <c r="D656" s="30"/>
      <c r="E656" s="30"/>
      <c r="F656" s="30"/>
      <c r="G656" s="30"/>
      <c r="H656" s="30"/>
      <c r="I656" s="30"/>
      <c r="J656" s="30"/>
      <c r="K656" s="30"/>
      <c r="L656" s="30"/>
    </row>
    <row r="657" spans="1:32" ht="16.5">
      <c r="A657" s="35"/>
      <c r="B657" s="83" t="s">
        <v>256</v>
      </c>
      <c r="C657" s="84"/>
      <c r="D657" s="84"/>
      <c r="E657" s="84" t="str">
        <f>$R$22</f>
        <v>CÔNG TY CỔ PHẦN ĐẦU TƯ VÀ KHÁCH SẠN MYWAY HẠ LONG</v>
      </c>
      <c r="F657" s="84"/>
      <c r="G657" s="84"/>
      <c r="H657" s="84"/>
      <c r="I657" s="84"/>
      <c r="J657" s="84"/>
      <c r="K657" s="84"/>
      <c r="L657" s="84"/>
      <c r="M657" s="84"/>
      <c r="N657" s="35"/>
    </row>
    <row r="658" spans="1:32" ht="21.95" customHeight="1">
      <c r="A658" s="35"/>
      <c r="B658" s="36"/>
      <c r="C658" s="84"/>
      <c r="D658" s="84"/>
      <c r="E658" s="84" t="s">
        <v>257</v>
      </c>
      <c r="F658" s="84"/>
      <c r="G658" s="84"/>
      <c r="H658" s="84"/>
      <c r="I658" s="84"/>
      <c r="J658" s="84"/>
      <c r="K658" s="84"/>
      <c r="L658" s="84"/>
      <c r="M658" s="84"/>
      <c r="N658" s="35"/>
    </row>
    <row r="659" spans="1:32" ht="21.95" customHeight="1">
      <c r="A659" s="30"/>
      <c r="B659" s="36" t="str">
        <f>"Nhµ thÇu - "&amp;R599&amp;" ®· thi c«ng hoµn thµnh c«ng viÖc x©y dùng cô thÓ nh­ sau:"</f>
        <v>Nhµ thÇu - ..................................... ®· thi c«ng hoµn thµnh c«ng viÖc x©y dùng cô thÓ nh­ sau:</v>
      </c>
      <c r="C659" s="30"/>
      <c r="D659" s="30"/>
      <c r="E659" s="30"/>
      <c r="F659" s="30"/>
      <c r="G659" s="30"/>
      <c r="H659" s="30"/>
      <c r="I659" s="30"/>
      <c r="J659" s="30"/>
      <c r="K659" s="30"/>
      <c r="L659" s="30"/>
      <c r="M659" s="30"/>
      <c r="N659" s="35"/>
      <c r="O659" s="35"/>
      <c r="P659" s="35"/>
    </row>
    <row r="660" spans="1:32" ht="17.25" customHeight="1">
      <c r="A660" s="85" t="s">
        <v>258</v>
      </c>
      <c r="B660" s="86" t="s">
        <v>259</v>
      </c>
      <c r="C660" s="87"/>
      <c r="D660" s="87"/>
      <c r="E660" s="87"/>
      <c r="F660" s="1555" t="str">
        <f>" Lç khoan cäc: "&amp;$R$12</f>
        <v xml:space="preserve"> Lç khoan cäc: B1</v>
      </c>
      <c r="G660" s="1555"/>
      <c r="H660" s="1555"/>
      <c r="I660" s="1555"/>
      <c r="J660" s="1555"/>
      <c r="K660" s="1555"/>
      <c r="L660" s="1555"/>
      <c r="M660" s="1555"/>
      <c r="N660" s="1555"/>
      <c r="O660" s="35"/>
      <c r="P660" s="35"/>
    </row>
    <row r="661" spans="1:32" s="35" customFormat="1" ht="19.5" customHeight="1">
      <c r="A661" s="39"/>
      <c r="B661" s="39" t="str">
        <f>"VÞ trÝ x©y dùng: T¹i C«ng tr×nh "&amp;$R$3</f>
        <v>VÞ trÝ x©y dùng: T¹i C«ng tr×nh KHU HỖN HỢP CHUNG CƯ, VĂN PHÒNG, TRUNG TÂM THƯƠNG MẠI VÀ NHÀ Ở KẾT HỢP KHU MUA SẮM</v>
      </c>
      <c r="C661" s="39"/>
      <c r="D661" s="39"/>
      <c r="E661" s="39"/>
      <c r="F661" s="39"/>
      <c r="G661" s="39"/>
      <c r="H661" s="39"/>
      <c r="I661" s="39"/>
      <c r="J661" s="39"/>
      <c r="K661" s="39"/>
      <c r="L661" s="39"/>
      <c r="M661" s="39"/>
      <c r="N661" s="24"/>
      <c r="Q661" s="91"/>
      <c r="R661" s="91"/>
      <c r="S661" s="91"/>
      <c r="T661" s="91"/>
      <c r="U661" s="24"/>
      <c r="V661" s="24"/>
      <c r="W661" s="24"/>
      <c r="X661" s="24"/>
      <c r="Y661" s="24"/>
      <c r="Z661" s="24"/>
      <c r="AA661" s="24"/>
      <c r="AB661" s="24"/>
      <c r="AC661" s="24"/>
      <c r="AD661" s="24"/>
      <c r="AE661" s="24"/>
      <c r="AF661" s="24"/>
    </row>
    <row r="662" spans="1:32" s="35" customFormat="1" ht="15.75" customHeight="1">
      <c r="A662" s="39"/>
      <c r="B662" s="39" t="s">
        <v>202</v>
      </c>
      <c r="C662" s="39"/>
      <c r="D662" s="39"/>
      <c r="E662" s="39" t="str">
        <f>$R$4</f>
        <v>P. BẠCH ĐẰNG, TP. HẠ LONG, TỈNH QUẢNG NINH</v>
      </c>
      <c r="F662" s="39"/>
      <c r="G662" s="39"/>
      <c r="H662" s="39"/>
      <c r="I662" s="39"/>
      <c r="J662" s="39"/>
      <c r="K662" s="39"/>
      <c r="L662" s="39"/>
      <c r="M662" s="39"/>
      <c r="N662" s="24"/>
      <c r="O662" s="88"/>
      <c r="P662" s="88"/>
      <c r="Q662" s="91"/>
      <c r="R662" s="91"/>
      <c r="S662" s="91"/>
      <c r="T662" s="91"/>
      <c r="U662" s="24"/>
      <c r="V662" s="24"/>
      <c r="W662" s="24"/>
      <c r="X662" s="24"/>
      <c r="Y662" s="24"/>
      <c r="Z662" s="24"/>
      <c r="AA662" s="24"/>
      <c r="AB662" s="24"/>
      <c r="AC662" s="24"/>
      <c r="AD662" s="24"/>
      <c r="AE662" s="24"/>
      <c r="AF662" s="24"/>
    </row>
    <row r="663" spans="1:32" s="35" customFormat="1" ht="21.95" customHeight="1">
      <c r="A663" s="89"/>
      <c r="B663" s="39" t="s">
        <v>260</v>
      </c>
      <c r="C663" s="39"/>
      <c r="D663" s="39"/>
      <c r="E663" s="39"/>
      <c r="F663" s="39"/>
      <c r="G663" s="39"/>
      <c r="H663" s="39"/>
      <c r="I663" s="39"/>
      <c r="J663" s="39"/>
      <c r="K663" s="39"/>
      <c r="L663" s="39"/>
      <c r="M663" s="39"/>
      <c r="O663" s="24"/>
      <c r="P663" s="24"/>
      <c r="Q663" s="91"/>
      <c r="R663" s="91"/>
      <c r="S663" s="91"/>
      <c r="T663" s="91"/>
      <c r="U663" s="24"/>
      <c r="V663" s="24"/>
      <c r="W663" s="24"/>
      <c r="X663" s="24"/>
      <c r="Y663" s="24"/>
      <c r="Z663" s="24"/>
      <c r="AA663" s="24"/>
      <c r="AB663" s="24"/>
      <c r="AC663" s="24"/>
      <c r="AD663" s="24"/>
      <c r="AE663" s="24"/>
      <c r="AF663" s="24"/>
    </row>
    <row r="664" spans="1:32" s="35" customFormat="1" ht="21.95" customHeight="1">
      <c r="A664" s="24" t="s">
        <v>261</v>
      </c>
      <c r="B664" s="39"/>
      <c r="C664" s="39"/>
      <c r="D664" s="24"/>
      <c r="E664" s="90" t="str">
        <f>$R$12&amp;"/ Nb-HK/"&amp;$R$14</f>
        <v>B1/ Nb-HK/800</v>
      </c>
      <c r="F664" s="24"/>
      <c r="G664" s="24"/>
      <c r="H664" s="24"/>
      <c r="I664" s="24" t="s">
        <v>262</v>
      </c>
      <c r="J664" s="24"/>
      <c r="K664" s="24"/>
      <c r="L664" s="24"/>
      <c r="M664" s="24"/>
      <c r="N664" s="24"/>
      <c r="O664" s="24"/>
      <c r="P664" s="24"/>
      <c r="Q664" s="91"/>
      <c r="R664" s="91"/>
      <c r="S664" s="91"/>
      <c r="T664" s="91"/>
      <c r="U664" s="24"/>
      <c r="V664" s="24"/>
      <c r="W664" s="24"/>
      <c r="X664" s="24"/>
      <c r="Y664" s="24"/>
      <c r="Z664" s="24"/>
      <c r="AA664" s="24"/>
      <c r="AB664" s="24"/>
      <c r="AC664" s="24"/>
      <c r="AD664" s="24"/>
      <c r="AE664" s="24"/>
      <c r="AF664" s="24"/>
    </row>
    <row r="665" spans="1:32" s="88" customFormat="1" ht="23.25" customHeight="1">
      <c r="A665" s="24" t="s">
        <v>263</v>
      </c>
      <c r="B665" s="39"/>
      <c r="C665" s="39"/>
      <c r="D665" s="24"/>
      <c r="E665" s="24"/>
      <c r="F665" s="24"/>
      <c r="G665" s="24"/>
      <c r="H665" s="24"/>
      <c r="I665" s="24"/>
      <c r="J665" s="24"/>
      <c r="K665" s="24"/>
      <c r="L665" s="24"/>
      <c r="M665" s="24"/>
      <c r="N665" s="24"/>
      <c r="O665" s="35"/>
      <c r="P665" s="35"/>
      <c r="Q665" s="133"/>
      <c r="R665" s="133"/>
      <c r="S665" s="133"/>
      <c r="T665" s="133"/>
      <c r="U665" s="86"/>
      <c r="V665" s="86"/>
      <c r="W665" s="86"/>
      <c r="X665" s="86"/>
      <c r="Y665" s="86"/>
      <c r="Z665" s="86"/>
      <c r="AA665" s="86"/>
      <c r="AB665" s="86"/>
      <c r="AC665" s="86"/>
      <c r="AD665" s="86"/>
      <c r="AE665" s="86"/>
      <c r="AF665" s="86"/>
    </row>
    <row r="666" spans="1:32" s="24" customFormat="1" ht="21.95" customHeight="1">
      <c r="B666" s="39" t="s">
        <v>264</v>
      </c>
      <c r="C666" s="39"/>
      <c r="Q666" s="91"/>
      <c r="R666" s="91"/>
      <c r="S666" s="91"/>
      <c r="T666" s="91"/>
    </row>
    <row r="667" spans="1:32" s="35" customFormat="1" ht="21.95" customHeight="1">
      <c r="A667" s="24" t="s">
        <v>265</v>
      </c>
      <c r="B667" s="39"/>
      <c r="C667" s="39"/>
      <c r="D667" s="24"/>
      <c r="E667" s="24"/>
      <c r="F667" s="24"/>
      <c r="G667" s="24"/>
      <c r="H667" s="24"/>
      <c r="I667" s="24"/>
      <c r="J667" s="24"/>
      <c r="K667" s="24"/>
      <c r="L667" s="24"/>
      <c r="M667" s="24"/>
      <c r="N667" s="24"/>
      <c r="O667" s="24"/>
      <c r="P667" s="24"/>
      <c r="Q667" s="91"/>
      <c r="R667" s="91"/>
      <c r="S667" s="91"/>
      <c r="T667" s="91"/>
      <c r="U667" s="24"/>
      <c r="V667" s="24"/>
      <c r="W667" s="24"/>
      <c r="X667" s="24"/>
      <c r="Y667" s="24"/>
      <c r="Z667" s="24"/>
      <c r="AA667" s="24"/>
      <c r="AB667" s="24"/>
      <c r="AC667" s="24"/>
      <c r="AD667" s="24"/>
      <c r="AE667" s="24"/>
      <c r="AF667" s="24"/>
    </row>
    <row r="668" spans="1:32" s="24" customFormat="1" ht="21.95" customHeight="1">
      <c r="A668" s="24" t="s">
        <v>266</v>
      </c>
      <c r="B668" s="39"/>
      <c r="C668" s="39"/>
      <c r="Q668" s="91"/>
      <c r="R668" s="91"/>
      <c r="S668" s="91"/>
      <c r="T668" s="91"/>
    </row>
    <row r="669" spans="1:32" s="24" customFormat="1" ht="21.95" customHeight="1">
      <c r="A669" s="36"/>
      <c r="B669" s="36" t="s">
        <v>267</v>
      </c>
      <c r="G669" s="1556">
        <f>E707</f>
        <v>0.81944444444444409</v>
      </c>
      <c r="H669" s="1556"/>
      <c r="I669" s="1489">
        <f>F707</f>
        <v>0</v>
      </c>
      <c r="J669" s="1489"/>
      <c r="K669" s="1489"/>
      <c r="L669" s="1489"/>
      <c r="M669" s="1489"/>
      <c r="N669" s="1489"/>
      <c r="Q669" s="91"/>
      <c r="R669" s="91"/>
      <c r="S669" s="91"/>
      <c r="T669" s="91"/>
    </row>
    <row r="670" spans="1:32" s="24" customFormat="1" ht="21.95" customHeight="1">
      <c r="A670" s="35"/>
      <c r="B670" s="35"/>
      <c r="C670" s="48" t="s">
        <v>268</v>
      </c>
      <c r="E670" s="24" t="str">
        <f>C653</f>
        <v>C«ng tr×nh: KHU HỖN HỢP CHUNG CƯ, VĂN PHÒNG, TRUNG TÂM THƯƠNG MẠI VÀ NHÀ Ở KẾT HỢP KHU MUA SẮM</v>
      </c>
      <c r="F670" s="35"/>
      <c r="G670" s="35"/>
      <c r="J670" s="35"/>
      <c r="K670" s="35"/>
      <c r="L670" s="35"/>
      <c r="M670" s="35"/>
      <c r="N670" s="35"/>
      <c r="Q670" s="91"/>
      <c r="R670" s="91"/>
      <c r="S670" s="91"/>
      <c r="T670" s="91"/>
    </row>
    <row r="671" spans="1:32" s="24" customFormat="1" ht="21.95" customHeight="1">
      <c r="A671" s="35"/>
      <c r="B671" s="35"/>
      <c r="C671" s="48" t="s">
        <v>269</v>
      </c>
      <c r="E671" s="24" t="str">
        <f>E662</f>
        <v>P. BẠCH ĐẰNG, TP. HẠ LONG, TỈNH QUẢNG NINH</v>
      </c>
      <c r="F671" s="35"/>
      <c r="G671" s="35"/>
      <c r="J671" s="35"/>
      <c r="K671" s="35"/>
      <c r="L671" s="35"/>
      <c r="M671" s="35"/>
      <c r="N671" s="35"/>
      <c r="Q671" s="91"/>
      <c r="R671" s="91"/>
      <c r="S671" s="91"/>
      <c r="T671" s="91"/>
    </row>
    <row r="672" spans="1:32" s="24" customFormat="1" ht="21.95" customHeight="1">
      <c r="A672" s="36"/>
      <c r="B672" s="36"/>
      <c r="G672" s="41"/>
      <c r="H672" s="41"/>
      <c r="I672" s="42"/>
      <c r="J672" s="42"/>
      <c r="K672" s="42"/>
      <c r="L672" s="42"/>
      <c r="M672" s="42"/>
      <c r="N672" s="42"/>
      <c r="O672" s="35"/>
      <c r="P672" s="35"/>
      <c r="Q672" s="91"/>
      <c r="R672" s="91"/>
      <c r="S672" s="91"/>
      <c r="T672" s="91"/>
    </row>
    <row r="673" spans="1:32" s="24" customFormat="1" ht="33" customHeight="1">
      <c r="A673" s="1541" t="s">
        <v>191</v>
      </c>
      <c r="B673" s="1542"/>
      <c r="C673" s="1541" t="s">
        <v>270</v>
      </c>
      <c r="D673" s="1543"/>
      <c r="E673" s="1543"/>
      <c r="F673" s="1543"/>
      <c r="G673" s="1542"/>
      <c r="H673" s="92" t="s">
        <v>271</v>
      </c>
      <c r="I673" s="93"/>
      <c r="J673" s="93"/>
      <c r="K673" s="94"/>
      <c r="L673" s="92"/>
      <c r="M673" s="1541" t="s">
        <v>272</v>
      </c>
      <c r="N673" s="1542"/>
      <c r="O673" s="35"/>
      <c r="P673" s="35"/>
      <c r="Q673" s="91"/>
      <c r="R673" s="91"/>
      <c r="S673" s="91"/>
      <c r="T673" s="91"/>
    </row>
    <row r="674" spans="1:32" s="24" customFormat="1" ht="16.5">
      <c r="A674" s="156"/>
      <c r="B674" s="157"/>
      <c r="C674" s="156"/>
      <c r="D674" s="158"/>
      <c r="E674" s="158"/>
      <c r="F674" s="158"/>
      <c r="G674" s="157"/>
      <c r="H674" s="159"/>
      <c r="I674" s="160"/>
      <c r="J674" s="160"/>
      <c r="K674" s="160"/>
      <c r="L674" s="161"/>
      <c r="M674" s="156"/>
      <c r="N674" s="157"/>
      <c r="O674" s="35"/>
      <c r="P674" s="35"/>
      <c r="Q674" s="91"/>
      <c r="R674" s="91"/>
      <c r="S674" s="91"/>
      <c r="T674" s="91"/>
    </row>
    <row r="675" spans="1:32" s="24" customFormat="1" ht="16.5">
      <c r="A675" s="1583">
        <v>1</v>
      </c>
      <c r="B675" s="1584"/>
      <c r="C675" s="1585" t="s">
        <v>194</v>
      </c>
      <c r="D675" s="1586"/>
      <c r="E675" s="1586"/>
      <c r="F675" s="1586"/>
      <c r="G675" s="1587"/>
      <c r="H675" s="1588">
        <f>E592+Q681</f>
        <v>0.81249999999999967</v>
      </c>
      <c r="I675" s="1589"/>
      <c r="J675" s="1590">
        <f>J649</f>
        <v>0</v>
      </c>
      <c r="K675" s="1590"/>
      <c r="L675" s="1591"/>
      <c r="M675" s="1583"/>
      <c r="N675" s="1584"/>
      <c r="Q675" s="91"/>
      <c r="R675" s="91"/>
      <c r="S675" s="91"/>
      <c r="T675" s="91"/>
    </row>
    <row r="676" spans="1:32" s="24" customFormat="1" ht="16.5">
      <c r="A676" s="150"/>
      <c r="B676" s="151"/>
      <c r="C676" s="152"/>
      <c r="D676" s="59"/>
      <c r="E676" s="59"/>
      <c r="F676" s="59"/>
      <c r="G676" s="153"/>
      <c r="H676" s="154"/>
      <c r="I676" s="139"/>
      <c r="J676" s="140"/>
      <c r="K676" s="140"/>
      <c r="L676" s="155"/>
      <c r="M676" s="150"/>
      <c r="N676" s="151"/>
      <c r="Q676" s="91"/>
      <c r="R676" s="91"/>
      <c r="S676" s="91"/>
      <c r="T676" s="91"/>
    </row>
    <row r="677" spans="1:32" s="24" customFormat="1" ht="16.5">
      <c r="A677" s="1578"/>
      <c r="B677" s="1579"/>
      <c r="C677" s="1580"/>
      <c r="D677" s="1581"/>
      <c r="E677" s="1581"/>
      <c r="F677" s="1581"/>
      <c r="G677" s="1582"/>
      <c r="H677" s="1574"/>
      <c r="I677" s="1575"/>
      <c r="J677" s="1576"/>
      <c r="K677" s="1576"/>
      <c r="L677" s="1577"/>
      <c r="M677" s="1578"/>
      <c r="N677" s="1579"/>
      <c r="Q677" s="91"/>
      <c r="R677" s="91"/>
      <c r="S677" s="91"/>
      <c r="T677" s="91"/>
    </row>
    <row r="678" spans="1:32" s="24" customFormat="1" ht="39" customHeight="1">
      <c r="A678" s="138"/>
      <c r="B678" s="138"/>
      <c r="C678" s="59"/>
      <c r="D678" s="59"/>
      <c r="E678" s="59"/>
      <c r="F678" s="59"/>
      <c r="G678" s="59"/>
      <c r="H678" s="139"/>
      <c r="I678" s="139"/>
      <c r="J678" s="140"/>
      <c r="K678" s="140"/>
      <c r="L678" s="140"/>
      <c r="M678" s="138"/>
      <c r="N678" s="138"/>
      <c r="Q678" s="91"/>
      <c r="R678" s="91"/>
      <c r="S678" s="91"/>
      <c r="T678" s="91"/>
    </row>
    <row r="679" spans="1:32" s="24" customFormat="1" ht="39" customHeight="1">
      <c r="A679" s="1538"/>
      <c r="B679" s="1538"/>
      <c r="C679" s="1538"/>
      <c r="D679" s="1538"/>
      <c r="E679" s="1538"/>
      <c r="F679" s="1538"/>
      <c r="G679" s="1538"/>
      <c r="H679" s="1538"/>
      <c r="I679" s="1538" t="s">
        <v>273</v>
      </c>
      <c r="J679" s="1538"/>
      <c r="K679" s="1538"/>
      <c r="L679" s="1538"/>
      <c r="M679" s="1538"/>
      <c r="N679" s="1538"/>
      <c r="Q679" s="91"/>
      <c r="R679" s="91"/>
      <c r="S679" s="91"/>
      <c r="T679" s="91"/>
    </row>
    <row r="680" spans="1:32" s="24" customFormat="1" ht="21.95" customHeight="1">
      <c r="A680" s="66"/>
      <c r="B680" s="1539"/>
      <c r="C680" s="1539"/>
      <c r="D680" s="1539"/>
      <c r="E680" s="1539"/>
      <c r="F680" s="67"/>
      <c r="G680" s="95"/>
      <c r="H680" s="96"/>
      <c r="I680" s="96"/>
      <c r="J680" s="96"/>
      <c r="K680" s="96"/>
      <c r="L680" s="96"/>
      <c r="M680" s="96"/>
      <c r="N680"/>
      <c r="O680" s="35"/>
      <c r="P680" s="35"/>
      <c r="Q680" s="91"/>
      <c r="R680" s="91"/>
      <c r="S680" s="91"/>
      <c r="T680" s="91"/>
    </row>
    <row r="681" spans="1:32" s="89" customFormat="1" ht="21.95" customHeight="1">
      <c r="A681" s="97"/>
      <c r="B681" s="97"/>
      <c r="C681" s="97"/>
      <c r="D681" s="35"/>
      <c r="E681" s="35"/>
      <c r="F681" s="35"/>
      <c r="G681" s="35"/>
      <c r="H681" s="35"/>
      <c r="I681" s="35"/>
      <c r="J681" s="35"/>
      <c r="K681" s="35"/>
      <c r="L681" s="35"/>
      <c r="M681"/>
      <c r="N681"/>
      <c r="O681" s="24"/>
      <c r="P681" s="24"/>
      <c r="Q681" s="134">
        <v>3.472222222222222E-3</v>
      </c>
      <c r="R681" s="135"/>
      <c r="S681" s="135"/>
      <c r="T681" s="135"/>
      <c r="U681" s="36"/>
      <c r="V681" s="36"/>
      <c r="W681" s="36"/>
      <c r="X681" s="36"/>
      <c r="Y681" s="36"/>
      <c r="Z681" s="36"/>
      <c r="AA681" s="36"/>
      <c r="AB681" s="36"/>
      <c r="AC681" s="36"/>
      <c r="AD681" s="36"/>
      <c r="AE681" s="36"/>
      <c r="AF681" s="36"/>
    </row>
    <row r="682" spans="1:32" s="43" customFormat="1" ht="20.25" customHeight="1">
      <c r="A682" s="97"/>
      <c r="B682" s="97"/>
      <c r="C682" s="97"/>
      <c r="D682" s="35"/>
      <c r="E682" s="35"/>
      <c r="F682" s="35"/>
      <c r="G682" s="35"/>
      <c r="H682" s="35"/>
      <c r="I682" s="35"/>
      <c r="J682" s="35"/>
      <c r="K682" s="35"/>
      <c r="L682" s="35"/>
      <c r="M682"/>
      <c r="N682"/>
      <c r="O682"/>
      <c r="P682"/>
      <c r="Q682" s="136"/>
      <c r="R682" s="136"/>
      <c r="S682" s="136"/>
      <c r="T682" s="136"/>
      <c r="U682" s="126"/>
      <c r="V682" s="126"/>
      <c r="W682" s="126"/>
      <c r="X682" s="126"/>
      <c r="Y682" s="126"/>
      <c r="Z682" s="126"/>
      <c r="AA682" s="126"/>
      <c r="AB682" s="126"/>
      <c r="AC682" s="126"/>
      <c r="AD682" s="126"/>
      <c r="AE682" s="126"/>
      <c r="AF682" s="126"/>
    </row>
    <row r="683" spans="1:32" s="24" customFormat="1" ht="18" customHeight="1">
      <c r="A683" s="97"/>
      <c r="B683" s="97"/>
      <c r="C683" s="97"/>
      <c r="D683" s="35"/>
      <c r="E683" s="35"/>
      <c r="F683" s="35"/>
      <c r="G683" s="35"/>
      <c r="H683" s="35"/>
      <c r="I683" s="35"/>
      <c r="J683" s="35"/>
      <c r="K683" s="35"/>
      <c r="L683" s="35"/>
      <c r="M683"/>
      <c r="N683"/>
      <c r="O683"/>
      <c r="P683"/>
      <c r="Q683" s="91"/>
      <c r="R683" s="91"/>
      <c r="S683" s="91"/>
      <c r="T683" s="91"/>
    </row>
    <row r="684" spans="1:32" ht="18">
      <c r="A684" s="97"/>
      <c r="B684" s="97"/>
      <c r="C684" s="97"/>
      <c r="D684" s="35"/>
      <c r="E684" s="35"/>
      <c r="F684" s="35"/>
      <c r="G684" s="35"/>
      <c r="H684" s="35"/>
      <c r="I684" s="35"/>
      <c r="J684" s="35"/>
      <c r="K684" s="35"/>
      <c r="L684" s="35"/>
    </row>
    <row r="685" spans="1:32" ht="16.5">
      <c r="A685" s="1540"/>
      <c r="B685" s="1540"/>
      <c r="C685" s="1540"/>
      <c r="D685" s="1540"/>
      <c r="E685" s="1540"/>
      <c r="F685" s="1540"/>
      <c r="G685" s="1540"/>
      <c r="H685" s="1540"/>
      <c r="I685" s="1540" t="str">
        <f>$E$135</f>
        <v>CÔNG TY TNHH MTV HANTECH</v>
      </c>
      <c r="J685" s="1540"/>
      <c r="K685" s="1540"/>
      <c r="L685" s="1540"/>
      <c r="M685" s="1540"/>
      <c r="N685" s="1540"/>
    </row>
    <row r="686" spans="1:32" ht="18">
      <c r="A686" s="97"/>
      <c r="B686" s="97"/>
      <c r="C686" s="97"/>
      <c r="D686" s="35"/>
      <c r="E686" s="35"/>
      <c r="F686" s="35"/>
      <c r="G686" s="35"/>
      <c r="H686" s="35"/>
      <c r="I686" s="35"/>
      <c r="J686" s="35"/>
      <c r="K686" s="35"/>
      <c r="L686" s="35"/>
    </row>
    <row r="687" spans="1:32" ht="18" customHeight="1">
      <c r="A687" s="1483" t="s">
        <v>199</v>
      </c>
      <c r="B687" s="1483"/>
      <c r="C687" s="1483"/>
      <c r="D687" s="1483"/>
      <c r="E687" s="1483"/>
      <c r="F687" s="1483"/>
      <c r="G687" s="1483"/>
      <c r="H687" s="1483"/>
      <c r="I687" s="1483"/>
      <c r="J687" s="1483"/>
      <c r="K687" s="1483"/>
      <c r="L687" s="1483"/>
      <c r="M687" s="1483"/>
      <c r="N687" s="1483"/>
    </row>
    <row r="688" spans="1:32" ht="15.75">
      <c r="A688" s="1492" t="s">
        <v>200</v>
      </c>
      <c r="B688" s="1492"/>
      <c r="C688" s="1492"/>
      <c r="D688" s="1492"/>
      <c r="E688" s="1492"/>
      <c r="F688" s="1492"/>
      <c r="G688" s="1492"/>
      <c r="H688" s="1492"/>
      <c r="I688" s="1492"/>
      <c r="J688" s="1492"/>
      <c r="K688" s="1492"/>
      <c r="L688" s="1492"/>
      <c r="M688" s="1492"/>
      <c r="N688" s="1492"/>
    </row>
    <row r="689" spans="1:20" ht="14.25">
      <c r="A689" s="1557" t="s">
        <v>274</v>
      </c>
      <c r="B689" s="1557"/>
      <c r="C689" s="1557"/>
      <c r="D689" s="1557"/>
      <c r="E689" s="1557"/>
      <c r="F689" s="1557"/>
      <c r="G689" s="1557"/>
      <c r="H689" s="1557"/>
      <c r="I689" s="1557"/>
      <c r="J689" s="1557"/>
      <c r="K689" s="1557"/>
      <c r="L689" s="1557"/>
      <c r="M689" s="1557"/>
      <c r="N689" s="1557"/>
    </row>
    <row r="690" spans="1:20" ht="16.5">
      <c r="A690" s="18"/>
      <c r="B690" s="18"/>
      <c r="C690" s="18"/>
      <c r="D690" s="18"/>
      <c r="E690" s="18"/>
      <c r="F690" s="18"/>
      <c r="I690" s="19"/>
      <c r="J690" s="1558">
        <f>$U$18</f>
        <v>0</v>
      </c>
      <c r="K690" s="1558"/>
      <c r="L690" s="1558"/>
      <c r="M690" s="1558"/>
      <c r="N690" s="1558"/>
    </row>
    <row r="691" spans="1:20" ht="17.25" customHeight="1">
      <c r="A691" s="8"/>
    </row>
    <row r="692" spans="1:20" ht="17.25" customHeight="1">
      <c r="A692" s="1493" t="str">
        <f>"Biªn b¶n sè: "&amp;$R$12&amp;"/ CV-LT/"&amp;$R$14</f>
        <v>Biªn b¶n sè: B1/ CV-LT/800</v>
      </c>
      <c r="B692" s="1493"/>
      <c r="C692" s="1493"/>
      <c r="D692" s="1493"/>
      <c r="E692" s="1493"/>
      <c r="F692" s="1493"/>
      <c r="G692" s="1493"/>
      <c r="H692" s="1493"/>
      <c r="I692" s="1493"/>
      <c r="J692" s="1493"/>
      <c r="K692" s="1493"/>
      <c r="L692" s="1493"/>
      <c r="M692" s="1493"/>
      <c r="N692" s="1493"/>
    </row>
    <row r="693" spans="1:20" ht="18">
      <c r="A693" s="1493" t="s">
        <v>275</v>
      </c>
      <c r="B693" s="1493"/>
      <c r="C693" s="1493"/>
      <c r="D693" s="1493"/>
      <c r="E693" s="1493"/>
      <c r="F693" s="1493"/>
      <c r="G693" s="1493"/>
      <c r="H693" s="1493"/>
      <c r="I693" s="1493"/>
      <c r="J693" s="1493"/>
      <c r="K693" s="1493"/>
      <c r="L693" s="1493"/>
      <c r="M693" s="1493"/>
      <c r="N693" s="1493"/>
    </row>
    <row r="694" spans="1:20" ht="17.25" customHeight="1">
      <c r="A694" s="12"/>
      <c r="O694" s="24"/>
      <c r="P694" s="24"/>
    </row>
    <row r="695" spans="1:20" ht="19.5" customHeight="1">
      <c r="B695" s="39"/>
      <c r="C695" s="28" t="str">
        <f>"C«ng tr×nh: "&amp;$R$3</f>
        <v>C«ng tr×nh: KHU HỖN HỢP CHUNG CƯ, VĂN PHÒNG, TRUNG TÂM THƯƠNG MẠI VÀ NHÀ Ở KẾT HỢP KHU MUA SẮM</v>
      </c>
      <c r="D695" s="27"/>
      <c r="E695" s="27"/>
      <c r="F695" s="27"/>
      <c r="G695" s="27"/>
      <c r="H695" s="27"/>
      <c r="I695" s="27"/>
      <c r="J695" s="27"/>
      <c r="K695" s="27"/>
      <c r="L695" s="27"/>
      <c r="O695" s="24"/>
      <c r="P695" s="24"/>
    </row>
    <row r="696" spans="1:20" s="24" customFormat="1" ht="21" customHeight="1">
      <c r="A696"/>
      <c r="B696" s="39"/>
      <c r="C696" s="28" t="str">
        <f>"H¹ng môc: "&amp;$R$5</f>
        <v>H¹ng môc: CỌC KHOAN NHỒI</v>
      </c>
      <c r="D696" s="27"/>
      <c r="E696" s="29"/>
      <c r="F696" s="28"/>
      <c r="G696" s="28"/>
      <c r="H696" s="28"/>
      <c r="I696" s="28"/>
      <c r="J696" s="28"/>
      <c r="K696" s="28"/>
      <c r="L696" s="28"/>
      <c r="M696" s="28"/>
      <c r="N696"/>
      <c r="O696"/>
      <c r="P696"/>
      <c r="Q696" s="91"/>
      <c r="R696" s="91"/>
      <c r="S696" s="91"/>
      <c r="T696" s="91"/>
    </row>
    <row r="697" spans="1:20" s="24" customFormat="1" ht="21" customHeight="1">
      <c r="A697"/>
      <c r="B697" s="36"/>
      <c r="C697" s="1487" t="str">
        <f>"§Þa ®iÓm x©y dùng: "&amp;$R$4</f>
        <v>§Þa ®iÓm x©y dùng: P. BẠCH ĐẰNG, TP. HẠ LONG, TỈNH QUẢNG NINH</v>
      </c>
      <c r="D697" s="1487"/>
      <c r="E697" s="1487"/>
      <c r="F697" s="1487"/>
      <c r="G697" s="1487"/>
      <c r="H697" s="1487"/>
      <c r="I697" s="1487"/>
      <c r="J697" s="1487"/>
      <c r="K697" s="1487"/>
      <c r="L697" s="1487"/>
      <c r="M697" s="1487"/>
      <c r="N697" s="1487"/>
      <c r="O697"/>
      <c r="P697"/>
      <c r="Q697" s="91"/>
      <c r="R697" s="91"/>
      <c r="S697" s="91"/>
      <c r="T697" s="91"/>
    </row>
    <row r="698" spans="1:20" ht="16.5">
      <c r="A698" s="30" t="str">
        <f>A582</f>
        <v>1.§èi t­îng nghiÖm thu: Lç khoan cäc: B1</v>
      </c>
      <c r="B698" s="30"/>
      <c r="C698" s="30"/>
      <c r="D698" s="30"/>
      <c r="E698" s="30"/>
      <c r="F698" s="30"/>
      <c r="H698" s="30"/>
      <c r="I698" s="30"/>
      <c r="J698" s="30"/>
      <c r="K698" s="30"/>
      <c r="L698" s="30"/>
    </row>
    <row r="699" spans="1:20" ht="21.95" customHeight="1">
      <c r="A699" s="1488" t="s">
        <v>207</v>
      </c>
      <c r="B699" s="1488"/>
      <c r="C699" s="1488"/>
      <c r="D699" s="1488"/>
      <c r="E699" s="1488"/>
      <c r="F699" s="1488"/>
      <c r="G699" s="1488"/>
      <c r="H699" s="1488"/>
      <c r="I699" s="1488"/>
      <c r="J699" s="1488"/>
      <c r="K699" s="1488"/>
      <c r="L699" s="1488"/>
    </row>
    <row r="700" spans="1:20" ht="16.5" customHeight="1">
      <c r="A700" s="99" t="s">
        <v>277</v>
      </c>
      <c r="B700" s="36"/>
      <c r="C700" s="36"/>
      <c r="D700" s="36"/>
      <c r="E700" s="36"/>
      <c r="F700" s="30" t="str">
        <f>R596</f>
        <v>………………..</v>
      </c>
      <c r="G700" s="36"/>
      <c r="H700" s="36"/>
      <c r="I700" s="36"/>
      <c r="J700" s="36"/>
      <c r="K700" s="36"/>
      <c r="L700" s="36"/>
      <c r="M700" s="36"/>
    </row>
    <row r="701" spans="1:20" ht="21.95" customHeight="1">
      <c r="A701" s="35"/>
      <c r="C701" s="34" t="s">
        <v>276</v>
      </c>
      <c r="D701" s="34"/>
      <c r="E701" s="36" t="str">
        <f>$R$26</f>
        <v>CÔNG TY CỔ PHẦN TƯ VẤN KIỂM ĐỊNH VÀ THƯƠNG MẠI XÂY DỰNG GOLDSUN</v>
      </c>
      <c r="F701" s="36"/>
      <c r="G701" s="35"/>
      <c r="I701" s="37" t="s">
        <v>211</v>
      </c>
      <c r="J701" s="37"/>
      <c r="K701" s="36" t="str">
        <f>$T$26</f>
        <v>Công ty Cổ phần tư vấn kiểm định và thương mại xây dựng Goldsun</v>
      </c>
      <c r="L701" s="35"/>
    </row>
    <row r="702" spans="1:20" ht="22.5" customHeight="1">
      <c r="A702" s="35"/>
      <c r="C702" s="34" t="s">
        <v>276</v>
      </c>
      <c r="D702" s="34"/>
      <c r="E702" s="36" t="str">
        <f>$R$27</f>
        <v>.....................................</v>
      </c>
      <c r="F702" s="36"/>
      <c r="G702" s="35"/>
      <c r="I702" s="37" t="s">
        <v>211</v>
      </c>
      <c r="J702" s="37"/>
      <c r="K702" s="36" t="str">
        <f>$T$27</f>
        <v>.....................................</v>
      </c>
      <c r="L702" s="35"/>
    </row>
    <row r="703" spans="1:20" ht="16.5" customHeight="1">
      <c r="A703" s="100" t="s">
        <v>278</v>
      </c>
      <c r="B703" s="100"/>
      <c r="C703" s="100"/>
      <c r="D703" s="100"/>
      <c r="E703" s="100"/>
      <c r="F703" s="100" t="str">
        <f>$R$28</f>
        <v>.....................................</v>
      </c>
      <c r="G703" s="100"/>
      <c r="H703" s="100"/>
      <c r="I703" s="100"/>
      <c r="J703" s="100"/>
      <c r="K703" s="100"/>
      <c r="L703" s="100"/>
      <c r="M703" s="100"/>
      <c r="N703" s="100"/>
    </row>
    <row r="704" spans="1:20" ht="16.5" customHeight="1">
      <c r="A704" s="35"/>
      <c r="C704" s="34" t="s">
        <v>279</v>
      </c>
      <c r="D704" s="34"/>
      <c r="E704" s="36" t="str">
        <f>$R$29</f>
        <v>.....................................</v>
      </c>
      <c r="F704" s="36"/>
      <c r="G704" s="35"/>
      <c r="I704" s="37" t="s">
        <v>280</v>
      </c>
      <c r="J704" s="37"/>
      <c r="K704" s="36" t="str">
        <f>$T$29</f>
        <v>.....................................</v>
      </c>
      <c r="L704" s="36"/>
    </row>
    <row r="705" spans="1:249" ht="21.95" customHeight="1">
      <c r="A705" s="35"/>
      <c r="C705" s="34" t="s">
        <v>276</v>
      </c>
      <c r="D705" s="34"/>
      <c r="E705" s="36" t="str">
        <f>$R$30</f>
        <v>CÔNG TY TNHH MTV HANTECH</v>
      </c>
      <c r="F705" s="36"/>
      <c r="G705" s="35"/>
      <c r="I705" s="37" t="s">
        <v>211</v>
      </c>
      <c r="J705" s="37"/>
      <c r="K705" s="36" t="str">
        <f>$T$30</f>
        <v>Công ty TNHH MTV HANTECH</v>
      </c>
      <c r="L705" s="36"/>
    </row>
    <row r="706" spans="1:249" ht="21.95" customHeight="1">
      <c r="A706" s="1488" t="s">
        <v>217</v>
      </c>
      <c r="B706" s="1488"/>
      <c r="C706" s="1488"/>
      <c r="D706" s="1488"/>
      <c r="E706" s="1488"/>
      <c r="F706" s="1488"/>
      <c r="G706" s="1488"/>
      <c r="H706" s="1488"/>
      <c r="I706" s="1488"/>
      <c r="J706" s="1488"/>
      <c r="K706" s="1488"/>
      <c r="L706" s="1488"/>
    </row>
    <row r="707" spans="1:249" ht="21.95" customHeight="1">
      <c r="A707" s="40"/>
      <c r="C707" s="24" t="s">
        <v>219</v>
      </c>
      <c r="D707" s="24"/>
      <c r="E707" s="101">
        <f>$R$18</f>
        <v>0.81944444444444409</v>
      </c>
      <c r="F707" s="1489">
        <f>J690</f>
        <v>0</v>
      </c>
      <c r="G707" s="1489"/>
      <c r="H707" s="1489"/>
      <c r="I707" s="1489"/>
      <c r="J707" s="1489"/>
      <c r="K707" s="1489"/>
      <c r="L707" s="1489"/>
      <c r="M707" s="24"/>
      <c r="N707" s="24"/>
    </row>
    <row r="708" spans="1:249" ht="21.95" customHeight="1">
      <c r="A708" s="40"/>
      <c r="C708" s="24" t="s">
        <v>162</v>
      </c>
      <c r="D708" s="24"/>
      <c r="E708" s="101">
        <f>$T$18</f>
        <v>0</v>
      </c>
      <c r="F708" s="1489">
        <f>F707</f>
        <v>0</v>
      </c>
      <c r="G708" s="1489"/>
      <c r="H708" s="1489"/>
      <c r="I708" s="1489"/>
      <c r="J708" s="1489"/>
      <c r="K708" s="1489"/>
      <c r="L708" s="1489"/>
    </row>
    <row r="709" spans="1:249" ht="24" customHeight="1">
      <c r="C709" s="36" t="s">
        <v>220</v>
      </c>
      <c r="E709" s="36" t="str">
        <f>$R$3</f>
        <v>KHU HỖN HỢP CHUNG CƯ, VĂN PHÒNG, TRUNG TÂM THƯƠNG MẠI VÀ NHÀ Ở KẾT HỢP KHU MUA SẮM</v>
      </c>
      <c r="F709" s="30"/>
      <c r="G709" s="30"/>
      <c r="H709" s="30"/>
      <c r="I709" s="30"/>
      <c r="J709" s="30"/>
      <c r="K709" s="30"/>
      <c r="L709" s="30"/>
    </row>
    <row r="710" spans="1:249" ht="21.95" customHeight="1">
      <c r="C710" s="36" t="s">
        <v>221</v>
      </c>
      <c r="E710" s="36" t="str">
        <f>$R$4</f>
        <v>P. BẠCH ĐẰNG, TP. HẠ LONG, TỈNH QUẢNG NINH</v>
      </c>
      <c r="F710" s="30"/>
      <c r="G710" s="30"/>
      <c r="H710" s="30"/>
      <c r="I710" s="30"/>
      <c r="J710" s="30"/>
      <c r="K710" s="30"/>
      <c r="L710" s="30"/>
    </row>
    <row r="711" spans="1:249" ht="30.75" customHeight="1">
      <c r="A711" s="1488" t="s">
        <v>222</v>
      </c>
      <c r="B711" s="1488"/>
      <c r="C711" s="1488"/>
      <c r="D711" s="1488"/>
      <c r="E711" s="1488"/>
      <c r="F711" s="1488"/>
      <c r="G711" s="1488"/>
      <c r="H711" s="1488"/>
      <c r="I711" s="1488"/>
      <c r="J711" s="1488"/>
      <c r="K711" s="1488"/>
      <c r="L711" s="1488"/>
    </row>
    <row r="712" spans="1:249" ht="33.75" customHeight="1">
      <c r="A712" s="1491" t="s">
        <v>223</v>
      </c>
      <c r="B712" s="1491"/>
      <c r="C712" s="1491"/>
      <c r="D712" s="1491"/>
      <c r="E712" s="1491"/>
      <c r="F712" s="1491"/>
      <c r="G712" s="1491"/>
      <c r="H712" s="1491"/>
      <c r="I712" s="1491"/>
      <c r="J712" s="1491"/>
      <c r="K712" s="1491"/>
      <c r="L712" s="1491"/>
      <c r="M712" s="1491"/>
      <c r="N712" s="1491"/>
    </row>
    <row r="713" spans="1:249" ht="16.5">
      <c r="A713" s="1490" t="s">
        <v>224</v>
      </c>
      <c r="B713" s="1490"/>
      <c r="C713" s="1490"/>
      <c r="D713" s="1490"/>
      <c r="E713" s="1490"/>
      <c r="F713" s="1490"/>
      <c r="G713" s="1490"/>
      <c r="H713" s="1490"/>
      <c r="I713" s="1490"/>
      <c r="J713" s="1490"/>
      <c r="K713" s="1490"/>
      <c r="L713" s="1490"/>
      <c r="M713" s="1490"/>
      <c r="N713" s="1490"/>
      <c r="O713" s="5"/>
      <c r="P713" s="5"/>
    </row>
    <row r="714" spans="1:249" ht="21.95" customHeight="1">
      <c r="A714" s="5"/>
      <c r="B714" s="36" t="s">
        <v>226</v>
      </c>
      <c r="C714" s="36"/>
      <c r="D714" s="36"/>
      <c r="E714" s="36"/>
      <c r="F714" s="36"/>
      <c r="G714" s="36"/>
      <c r="H714" s="36"/>
      <c r="I714" s="36"/>
      <c r="J714" s="36"/>
      <c r="K714" s="36"/>
      <c r="L714" s="36"/>
      <c r="M714" s="36"/>
      <c r="N714" s="36"/>
      <c r="O714" s="5"/>
      <c r="P714" s="5"/>
    </row>
    <row r="715" spans="1:249" s="5" customFormat="1" ht="16.5">
      <c r="B715" s="36" t="s">
        <v>227</v>
      </c>
      <c r="C715" s="36"/>
      <c r="D715" s="36"/>
      <c r="E715" s="36"/>
      <c r="F715" s="36"/>
      <c r="G715" s="36"/>
      <c r="H715" s="36"/>
      <c r="I715" s="36"/>
      <c r="J715" s="36"/>
      <c r="K715" s="36"/>
      <c r="L715" s="36"/>
      <c r="M715" s="36"/>
      <c r="N715" s="36"/>
      <c r="O715" s="44"/>
      <c r="P715" s="44"/>
      <c r="Q715" s="129"/>
      <c r="R715" s="129"/>
      <c r="S715" s="129"/>
      <c r="T715" s="129"/>
      <c r="U715" s="127"/>
      <c r="V715" s="127"/>
      <c r="W715" s="127"/>
      <c r="X715" s="127"/>
      <c r="Y715" s="127"/>
      <c r="Z715" s="127"/>
      <c r="AA715" s="127"/>
      <c r="AB715" s="127"/>
      <c r="AC715" s="127"/>
      <c r="AD715" s="127"/>
      <c r="AE715" s="127"/>
      <c r="AF715" s="127"/>
    </row>
    <row r="716" spans="1:249" s="5" customFormat="1" ht="21.95" customHeight="1">
      <c r="B716" s="36" t="s">
        <v>228</v>
      </c>
      <c r="C716" s="36"/>
      <c r="D716" s="36"/>
      <c r="E716" s="36"/>
      <c r="F716" s="36"/>
      <c r="G716" s="36"/>
      <c r="H716" s="36"/>
      <c r="I716" s="36"/>
      <c r="J716" s="36"/>
      <c r="K716" s="36"/>
      <c r="L716" s="36"/>
      <c r="M716" s="36"/>
      <c r="N716" s="36"/>
      <c r="O716" s="44"/>
      <c r="P716" s="44"/>
      <c r="Q716" s="129"/>
      <c r="R716" s="129"/>
      <c r="S716" s="129"/>
      <c r="T716" s="129"/>
      <c r="U716" s="127"/>
      <c r="V716" s="127"/>
      <c r="W716" s="127"/>
      <c r="X716" s="127"/>
      <c r="Y716" s="127"/>
      <c r="Z716" s="127"/>
      <c r="AA716" s="127"/>
      <c r="AB716" s="127"/>
      <c r="AC716" s="127"/>
      <c r="AD716" s="127"/>
      <c r="AE716" s="127"/>
      <c r="AF716" s="127"/>
    </row>
    <row r="717" spans="1:249" s="5" customFormat="1" ht="24" customHeight="1">
      <c r="B717" s="36" t="s">
        <v>290</v>
      </c>
      <c r="C717" s="36"/>
      <c r="D717" s="36"/>
      <c r="E717" s="36"/>
      <c r="F717" s="36"/>
      <c r="G717" s="36"/>
      <c r="H717" s="36"/>
      <c r="I717" s="36"/>
      <c r="J717" s="36"/>
      <c r="K717" s="36"/>
      <c r="L717" s="36"/>
      <c r="M717" s="36"/>
      <c r="N717" s="36"/>
      <c r="O717" s="44"/>
      <c r="P717" s="44"/>
      <c r="Q717" s="44"/>
      <c r="R717" s="44"/>
      <c r="S717" s="44"/>
      <c r="T717" s="44"/>
      <c r="U717" s="44"/>
      <c r="V717" s="44"/>
      <c r="W717" s="44"/>
      <c r="X717" s="44"/>
      <c r="Y717" s="44"/>
      <c r="Z717" s="44"/>
      <c r="AA717" s="44"/>
      <c r="AB717" s="44"/>
      <c r="AC717" s="44"/>
      <c r="AD717" s="1490"/>
      <c r="AE717" s="1490"/>
      <c r="AF717" s="1490"/>
      <c r="AG717" s="1490"/>
      <c r="AH717" s="1490"/>
      <c r="AI717" s="1490"/>
      <c r="AJ717" s="1490"/>
      <c r="AK717" s="1490"/>
      <c r="AL717" s="1490"/>
      <c r="AM717" s="1490"/>
      <c r="AN717" s="1490"/>
      <c r="AO717" s="1490"/>
      <c r="AP717" s="1490"/>
      <c r="AQ717" s="1490"/>
      <c r="AR717" s="1490"/>
      <c r="AS717" s="1490"/>
      <c r="AT717" s="1490"/>
      <c r="AU717" s="1490"/>
      <c r="AV717" s="1490"/>
      <c r="AW717" s="1490"/>
      <c r="AX717" s="1490"/>
      <c r="AY717" s="1490"/>
      <c r="AZ717" s="1490"/>
      <c r="BA717" s="1490"/>
      <c r="BB717" s="1490"/>
      <c r="BC717" s="1490"/>
      <c r="BD717" s="1490"/>
      <c r="BE717" s="1490"/>
      <c r="BF717" s="1490"/>
      <c r="BG717" s="1490"/>
      <c r="BH717" s="1490"/>
      <c r="BI717" s="1490"/>
      <c r="BJ717" s="1490"/>
      <c r="BK717" s="1490"/>
      <c r="BL717" s="1490"/>
      <c r="BM717" s="1490"/>
      <c r="BN717" s="1490"/>
      <c r="BO717" s="1490"/>
      <c r="BP717" s="1490"/>
      <c r="BQ717" s="1490"/>
      <c r="BR717" s="1490"/>
      <c r="BS717" s="1490"/>
      <c r="BT717" s="1490"/>
      <c r="BU717" s="1490"/>
      <c r="BV717" s="1490"/>
      <c r="BW717" s="1490"/>
      <c r="BX717" s="1490"/>
      <c r="BY717" s="1490"/>
      <c r="BZ717" s="1490"/>
      <c r="CA717" s="1490"/>
      <c r="CB717" s="1490"/>
      <c r="CC717" s="1490"/>
      <c r="CD717" s="1490"/>
      <c r="CE717" s="1490"/>
      <c r="CF717" s="1490"/>
      <c r="CG717" s="1490"/>
      <c r="CH717" s="1490"/>
      <c r="CI717" s="1490"/>
      <c r="CJ717" s="1490"/>
      <c r="CK717" s="1490"/>
      <c r="CL717" s="1490"/>
      <c r="CM717" s="1490"/>
      <c r="CN717" s="1490"/>
      <c r="CO717" s="1490"/>
      <c r="CP717" s="1490"/>
      <c r="CQ717" s="1490"/>
      <c r="CR717" s="1490"/>
      <c r="CS717" s="1490"/>
      <c r="CT717" s="1490"/>
      <c r="CU717" s="1490"/>
      <c r="CV717" s="1490"/>
      <c r="CW717" s="1490"/>
      <c r="CX717" s="1490"/>
      <c r="CY717" s="1490"/>
      <c r="CZ717" s="1490"/>
      <c r="DA717" s="1490"/>
      <c r="DB717" s="1490"/>
      <c r="DC717" s="1490"/>
      <c r="DD717" s="1490"/>
      <c r="DE717" s="1490"/>
      <c r="DF717" s="1490"/>
      <c r="DG717" s="1490"/>
      <c r="DH717" s="1490"/>
      <c r="DI717" s="1490"/>
      <c r="DJ717" s="1490"/>
      <c r="DK717" s="1490"/>
      <c r="DL717" s="1490"/>
      <c r="DM717" s="1490"/>
      <c r="DN717" s="1490"/>
      <c r="DO717" s="1490"/>
      <c r="DP717" s="1490"/>
      <c r="DQ717" s="1490"/>
      <c r="DR717" s="1490"/>
      <c r="DS717" s="1490"/>
      <c r="DT717" s="1490"/>
      <c r="DU717" s="1490"/>
      <c r="DV717" s="1490"/>
      <c r="DW717" s="1490"/>
      <c r="DX717" s="1490"/>
      <c r="DY717" s="1490"/>
      <c r="DZ717" s="1490"/>
      <c r="EA717" s="1490"/>
      <c r="EB717" s="1490"/>
      <c r="EC717" s="1490"/>
      <c r="ED717" s="1490"/>
      <c r="EE717" s="1490"/>
      <c r="EF717" s="1490"/>
      <c r="EG717" s="1490"/>
      <c r="EH717" s="1490"/>
      <c r="EI717" s="1490"/>
      <c r="EJ717" s="1490"/>
      <c r="EK717" s="1490"/>
      <c r="EL717" s="1490"/>
      <c r="EM717" s="1490"/>
      <c r="EN717" s="1490"/>
      <c r="EO717" s="1490"/>
      <c r="EP717" s="1490"/>
      <c r="EQ717" s="1490"/>
      <c r="ER717" s="1490"/>
      <c r="ES717" s="1490"/>
      <c r="ET717" s="1490"/>
      <c r="EU717" s="1490"/>
      <c r="EV717" s="1490"/>
      <c r="EW717" s="1490"/>
      <c r="EX717" s="1490"/>
      <c r="EY717" s="1490"/>
      <c r="EZ717" s="1490"/>
      <c r="FA717" s="1490"/>
      <c r="FB717" s="1490"/>
      <c r="FC717" s="1490"/>
      <c r="FD717" s="1490"/>
      <c r="FE717" s="1490"/>
      <c r="FF717" s="1490"/>
      <c r="FG717" s="1490"/>
      <c r="FH717" s="1490"/>
      <c r="FI717" s="1490"/>
      <c r="FJ717" s="1490"/>
      <c r="FK717" s="1490"/>
      <c r="FL717" s="1490"/>
      <c r="FM717" s="1490"/>
      <c r="FN717" s="1490"/>
      <c r="FO717" s="1490"/>
      <c r="FP717" s="1490"/>
      <c r="FQ717" s="1490"/>
      <c r="FR717" s="1490"/>
      <c r="FS717" s="1490"/>
      <c r="FT717" s="1490"/>
      <c r="FU717" s="1490"/>
      <c r="FV717" s="1490"/>
      <c r="FW717" s="1490"/>
      <c r="FX717" s="1490"/>
      <c r="FY717" s="1490"/>
      <c r="FZ717" s="1490"/>
      <c r="GA717" s="1490"/>
      <c r="GB717" s="1490"/>
      <c r="GC717" s="1490"/>
      <c r="GD717" s="1490"/>
      <c r="GE717" s="1490"/>
      <c r="GF717" s="1490"/>
      <c r="GG717" s="1490"/>
      <c r="GH717" s="1490"/>
      <c r="GI717" s="1490"/>
      <c r="GJ717" s="1490"/>
      <c r="GK717" s="1490"/>
      <c r="GL717" s="1490"/>
      <c r="GM717" s="1490"/>
      <c r="GN717" s="1490"/>
      <c r="GO717" s="1490"/>
      <c r="GP717" s="1490"/>
      <c r="GQ717" s="1490"/>
      <c r="GR717" s="1490"/>
      <c r="GS717" s="1490"/>
      <c r="GT717" s="1490"/>
      <c r="GU717" s="1490"/>
      <c r="GV717" s="1490"/>
      <c r="GW717" s="1490"/>
      <c r="GX717" s="1490"/>
      <c r="GY717" s="1490"/>
      <c r="GZ717" s="1490"/>
      <c r="HA717" s="1490"/>
      <c r="HB717" s="1490"/>
      <c r="HC717" s="1490"/>
      <c r="HD717" s="1490"/>
      <c r="HE717" s="1490"/>
      <c r="HF717" s="1490"/>
      <c r="HG717" s="1490"/>
      <c r="HH717" s="1490"/>
      <c r="HI717" s="1490"/>
      <c r="HJ717" s="1490"/>
      <c r="HK717" s="1490"/>
      <c r="HL717" s="1490"/>
      <c r="HM717" s="1490"/>
      <c r="HN717" s="1490"/>
      <c r="HO717" s="1490"/>
      <c r="HP717" s="1490"/>
      <c r="HQ717" s="1490"/>
      <c r="HR717" s="1490"/>
      <c r="HS717" s="1490"/>
      <c r="HT717" s="1490"/>
      <c r="HU717" s="1490"/>
      <c r="HV717" s="1490"/>
      <c r="HW717" s="1490"/>
      <c r="HX717" s="1490"/>
      <c r="HY717" s="1490"/>
      <c r="HZ717" s="1490"/>
      <c r="IA717" s="1490"/>
      <c r="IB717" s="1490"/>
      <c r="IC717" s="1490"/>
      <c r="ID717" s="1490"/>
      <c r="IE717" s="1490"/>
      <c r="IF717" s="1490"/>
      <c r="IG717" s="1490"/>
      <c r="IH717" s="1490"/>
      <c r="II717" s="1490"/>
      <c r="IJ717" s="1490"/>
      <c r="IK717" s="1490"/>
      <c r="IL717" s="1490"/>
      <c r="IM717" s="1490"/>
      <c r="IN717" s="1490"/>
      <c r="IO717" s="44"/>
    </row>
    <row r="718" spans="1:249" s="5" customFormat="1" ht="24" customHeight="1">
      <c r="A718" s="45"/>
      <c r="B718" s="46" t="s">
        <v>229</v>
      </c>
      <c r="C718" s="46"/>
      <c r="D718" s="46"/>
      <c r="E718" s="46"/>
      <c r="F718" s="46"/>
      <c r="G718" s="46"/>
      <c r="H718" s="46"/>
      <c r="I718" s="46"/>
      <c r="J718" s="46"/>
      <c r="K718" s="46"/>
      <c r="L718" s="46"/>
      <c r="M718" s="46"/>
      <c r="N718" s="46"/>
      <c r="O718" s="47"/>
      <c r="P718" s="47"/>
      <c r="Q718" s="44"/>
      <c r="R718" s="44"/>
      <c r="S718" s="44"/>
      <c r="T718" s="44"/>
      <c r="U718" s="44"/>
      <c r="V718" s="44"/>
      <c r="W718" s="44"/>
      <c r="X718" s="44"/>
      <c r="Y718" s="44"/>
      <c r="Z718" s="44"/>
      <c r="AA718" s="44"/>
      <c r="AB718" s="44"/>
      <c r="AC718" s="44"/>
      <c r="AD718" s="1490"/>
      <c r="AE718" s="1490"/>
      <c r="AF718" s="1490"/>
      <c r="AG718" s="1490"/>
      <c r="AH718" s="1490"/>
      <c r="AI718" s="1490"/>
      <c r="AJ718" s="1490"/>
      <c r="AK718" s="1490"/>
      <c r="AL718" s="1490"/>
      <c r="AM718" s="1490"/>
      <c r="AN718" s="1490"/>
      <c r="AO718" s="1490"/>
      <c r="AP718" s="1490"/>
      <c r="AQ718" s="1490"/>
      <c r="AR718" s="1490"/>
      <c r="AS718" s="1490"/>
      <c r="AT718" s="1490"/>
      <c r="AU718" s="1490"/>
      <c r="AV718" s="1490"/>
      <c r="AW718" s="1490"/>
      <c r="AX718" s="1490"/>
      <c r="AY718" s="1490"/>
      <c r="AZ718" s="1490"/>
      <c r="BA718" s="1490"/>
      <c r="BB718" s="1490"/>
      <c r="BC718" s="1490"/>
      <c r="BD718" s="1490"/>
      <c r="BE718" s="1490"/>
      <c r="BF718" s="1490"/>
      <c r="BG718" s="1490"/>
      <c r="BH718" s="1490"/>
      <c r="BI718" s="1490"/>
      <c r="BJ718" s="1490"/>
      <c r="BK718" s="1490"/>
      <c r="BL718" s="1490"/>
      <c r="BM718" s="1490"/>
      <c r="BN718" s="1490"/>
      <c r="BO718" s="1490"/>
      <c r="BP718" s="1490"/>
      <c r="BQ718" s="1490"/>
      <c r="BR718" s="1490"/>
      <c r="BS718" s="1490"/>
      <c r="BT718" s="1490"/>
      <c r="BU718" s="1490"/>
      <c r="BV718" s="1490"/>
      <c r="BW718" s="1490"/>
      <c r="BX718" s="1490"/>
      <c r="BY718" s="1490"/>
      <c r="BZ718" s="1490"/>
      <c r="CA718" s="1490"/>
      <c r="CB718" s="1490"/>
      <c r="CC718" s="1490"/>
      <c r="CD718" s="1490"/>
      <c r="CE718" s="1490"/>
      <c r="CF718" s="1490"/>
      <c r="CG718" s="1490"/>
      <c r="CH718" s="1490"/>
      <c r="CI718" s="1490"/>
      <c r="CJ718" s="1490"/>
      <c r="CK718" s="1490"/>
      <c r="CL718" s="1490"/>
      <c r="CM718" s="1490"/>
      <c r="CN718" s="1490"/>
      <c r="CO718" s="1490"/>
      <c r="CP718" s="1490"/>
      <c r="CQ718" s="1490"/>
      <c r="CR718" s="1490"/>
      <c r="CS718" s="1490"/>
      <c r="CT718" s="1490"/>
      <c r="CU718" s="1490"/>
      <c r="CV718" s="1490"/>
      <c r="CW718" s="1490"/>
      <c r="CX718" s="1490"/>
      <c r="CY718" s="1490"/>
      <c r="CZ718" s="1490"/>
      <c r="DA718" s="1490"/>
      <c r="DB718" s="1490"/>
      <c r="DC718" s="1490"/>
      <c r="DD718" s="1490"/>
      <c r="DE718" s="1490"/>
      <c r="DF718" s="1490"/>
      <c r="DG718" s="1490"/>
      <c r="DH718" s="1490"/>
      <c r="DI718" s="1490"/>
      <c r="DJ718" s="1490"/>
      <c r="DK718" s="1490"/>
      <c r="DL718" s="1490"/>
      <c r="DM718" s="1490"/>
      <c r="DN718" s="1490"/>
      <c r="DO718" s="1490"/>
      <c r="DP718" s="1490"/>
      <c r="DQ718" s="1490"/>
      <c r="DR718" s="1490"/>
      <c r="DS718" s="1490"/>
      <c r="DT718" s="1490"/>
      <c r="DU718" s="1490"/>
      <c r="DV718" s="1490"/>
      <c r="DW718" s="1490"/>
      <c r="DX718" s="1490"/>
      <c r="DY718" s="1490"/>
      <c r="DZ718" s="1490"/>
      <c r="EA718" s="1490"/>
      <c r="EB718" s="1490"/>
      <c r="EC718" s="1490"/>
      <c r="ED718" s="1490"/>
      <c r="EE718" s="1490"/>
      <c r="EF718" s="1490"/>
      <c r="EG718" s="1490"/>
      <c r="EH718" s="1490"/>
      <c r="EI718" s="1490"/>
      <c r="EJ718" s="1490"/>
      <c r="EK718" s="1490"/>
      <c r="EL718" s="1490"/>
      <c r="EM718" s="1490"/>
      <c r="EN718" s="1490"/>
      <c r="EO718" s="1490"/>
      <c r="EP718" s="1490"/>
      <c r="EQ718" s="1490"/>
      <c r="ER718" s="1490"/>
      <c r="ES718" s="1490"/>
      <c r="ET718" s="1490"/>
      <c r="EU718" s="1490"/>
      <c r="EV718" s="1490"/>
      <c r="EW718" s="1490"/>
      <c r="EX718" s="1490"/>
      <c r="EY718" s="1490"/>
      <c r="EZ718" s="1490"/>
      <c r="FA718" s="1490"/>
      <c r="FB718" s="1490"/>
      <c r="FC718" s="1490"/>
      <c r="FD718" s="1490"/>
      <c r="FE718" s="1490"/>
      <c r="FF718" s="1490"/>
      <c r="FG718" s="1490"/>
      <c r="FH718" s="1490"/>
      <c r="FI718" s="1490"/>
      <c r="FJ718" s="1490"/>
      <c r="FK718" s="1490"/>
      <c r="FL718" s="1490"/>
      <c r="FM718" s="1490"/>
      <c r="FN718" s="1490"/>
      <c r="FO718" s="1490"/>
      <c r="FP718" s="1490"/>
      <c r="FQ718" s="1490"/>
      <c r="FR718" s="1490"/>
      <c r="FS718" s="1490"/>
      <c r="FT718" s="1490"/>
      <c r="FU718" s="1490"/>
      <c r="FV718" s="1490"/>
      <c r="FW718" s="1490"/>
      <c r="FX718" s="1490"/>
      <c r="FY718" s="1490"/>
      <c r="FZ718" s="1490"/>
      <c r="GA718" s="1490"/>
      <c r="GB718" s="1490"/>
      <c r="GC718" s="1490"/>
      <c r="GD718" s="1490"/>
      <c r="GE718" s="1490"/>
      <c r="GF718" s="1490"/>
      <c r="GG718" s="1490"/>
      <c r="GH718" s="1490"/>
      <c r="GI718" s="1490"/>
      <c r="GJ718" s="1490"/>
      <c r="GK718" s="1490"/>
      <c r="GL718" s="1490"/>
      <c r="GM718" s="1490"/>
      <c r="GN718" s="1490"/>
      <c r="GO718" s="1490"/>
      <c r="GP718" s="1490"/>
      <c r="GQ718" s="1490"/>
      <c r="GR718" s="1490"/>
      <c r="GS718" s="1490"/>
      <c r="GT718" s="1490"/>
      <c r="GU718" s="1490"/>
      <c r="GV718" s="1490"/>
      <c r="GW718" s="1490"/>
      <c r="GX718" s="1490"/>
      <c r="GY718" s="1490"/>
      <c r="GZ718" s="1490"/>
      <c r="HA718" s="1490"/>
      <c r="HB718" s="1490"/>
      <c r="HC718" s="1490"/>
      <c r="HD718" s="1490"/>
      <c r="HE718" s="1490"/>
      <c r="HF718" s="1490"/>
      <c r="HG718" s="1490"/>
      <c r="HH718" s="1490"/>
      <c r="HI718" s="1490"/>
      <c r="HJ718" s="1490"/>
      <c r="HK718" s="1490"/>
      <c r="HL718" s="1490"/>
      <c r="HM718" s="1490"/>
      <c r="HN718" s="1490"/>
      <c r="HO718" s="1490"/>
      <c r="HP718" s="1490"/>
      <c r="HQ718" s="1490"/>
      <c r="HR718" s="1490"/>
      <c r="HS718" s="1490"/>
      <c r="HT718" s="1490"/>
      <c r="HU718" s="1490"/>
      <c r="HV718" s="1490"/>
      <c r="HW718" s="1490"/>
      <c r="HX718" s="1490"/>
      <c r="HY718" s="1490"/>
      <c r="HZ718" s="1490"/>
      <c r="IA718" s="1490"/>
      <c r="IB718" s="1490"/>
      <c r="IC718" s="1490"/>
      <c r="ID718" s="1490"/>
      <c r="IE718" s="1490"/>
      <c r="IF718" s="1490"/>
      <c r="IG718" s="1490"/>
      <c r="IH718" s="1490"/>
      <c r="II718" s="1490"/>
      <c r="IJ718" s="1490"/>
      <c r="IK718" s="1490"/>
      <c r="IL718" s="1490"/>
      <c r="IM718" s="1490"/>
      <c r="IN718" s="1490"/>
      <c r="IO718" s="44"/>
    </row>
    <row r="719" spans="1:249" s="5" customFormat="1" ht="24" customHeight="1">
      <c r="A719" s="1490" t="s">
        <v>231</v>
      </c>
      <c r="B719" s="1490"/>
      <c r="C719" s="1490"/>
      <c r="D719" s="1490"/>
      <c r="E719" s="1490"/>
      <c r="F719" s="1490"/>
      <c r="G719" s="1490"/>
      <c r="H719" s="1490"/>
      <c r="I719" s="1490"/>
      <c r="J719" s="1490"/>
      <c r="K719" s="1490"/>
      <c r="L719" s="1490"/>
      <c r="M719" s="1490"/>
      <c r="N719" s="1490"/>
      <c r="O719" s="44"/>
      <c r="P719" s="44"/>
      <c r="Q719" s="102"/>
      <c r="R719" s="102"/>
      <c r="S719" s="102"/>
      <c r="T719" s="102"/>
      <c r="U719" s="44"/>
      <c r="V719" s="44"/>
      <c r="W719" s="44"/>
      <c r="X719" s="44"/>
      <c r="Y719" s="44"/>
      <c r="Z719" s="44"/>
      <c r="AA719" s="44"/>
      <c r="AB719" s="44"/>
      <c r="AC719" s="44"/>
      <c r="AD719" s="44"/>
      <c r="AE719" s="44"/>
      <c r="AF719" s="44"/>
      <c r="AG719" s="44"/>
      <c r="AH719" s="44"/>
      <c r="AI719" s="44"/>
      <c r="AJ719" s="44"/>
      <c r="AK719" s="44"/>
      <c r="AL719" s="44"/>
      <c r="AM719" s="44"/>
      <c r="AN719" s="44"/>
      <c r="AO719" s="44"/>
      <c r="AP719" s="44"/>
      <c r="AQ719" s="44"/>
      <c r="AR719" s="44"/>
      <c r="AS719" s="44"/>
      <c r="AT719" s="44"/>
      <c r="AU719" s="44"/>
      <c r="AV719" s="44"/>
      <c r="AW719" s="44"/>
      <c r="AX719" s="44"/>
      <c r="AY719" s="44"/>
      <c r="AZ719" s="44"/>
      <c r="BA719" s="44"/>
      <c r="BB719" s="44"/>
      <c r="BC719" s="44"/>
      <c r="BD719" s="44"/>
      <c r="BE719" s="44"/>
      <c r="BF719" s="44"/>
      <c r="BG719" s="44"/>
      <c r="BH719" s="44"/>
      <c r="BI719" s="44"/>
      <c r="BJ719" s="44"/>
      <c r="BK719" s="44"/>
      <c r="BL719" s="44"/>
      <c r="BM719" s="44"/>
      <c r="BN719" s="44"/>
      <c r="BO719" s="44"/>
      <c r="BP719" s="44"/>
      <c r="BQ719" s="44"/>
      <c r="BR719" s="44"/>
      <c r="BS719" s="44"/>
      <c r="BT719" s="44"/>
      <c r="BU719" s="44"/>
      <c r="BV719" s="44"/>
      <c r="BW719" s="44"/>
      <c r="BX719" s="44"/>
      <c r="BY719" s="44"/>
      <c r="BZ719" s="44"/>
      <c r="CA719" s="44"/>
      <c r="CB719" s="44"/>
      <c r="CC719" s="44"/>
      <c r="CD719" s="44"/>
      <c r="CE719" s="44"/>
      <c r="CF719" s="44"/>
      <c r="CG719" s="44"/>
      <c r="CH719" s="44"/>
      <c r="CI719" s="44"/>
      <c r="CJ719" s="44"/>
      <c r="CK719" s="44"/>
      <c r="CL719" s="44"/>
      <c r="CM719" s="44"/>
      <c r="CN719" s="44"/>
      <c r="CO719" s="44"/>
      <c r="CP719" s="44"/>
      <c r="CQ719" s="44"/>
      <c r="CR719" s="44"/>
      <c r="CS719" s="44"/>
      <c r="CT719" s="44"/>
      <c r="CU719" s="44"/>
      <c r="CV719" s="44"/>
      <c r="CW719" s="44"/>
      <c r="CX719" s="44"/>
      <c r="CY719" s="44"/>
      <c r="CZ719" s="44"/>
      <c r="DA719" s="44"/>
      <c r="DB719" s="44"/>
      <c r="DC719" s="44"/>
      <c r="DD719" s="44"/>
      <c r="DE719" s="44"/>
      <c r="DF719" s="44"/>
      <c r="DG719" s="44"/>
      <c r="DH719" s="44"/>
      <c r="DI719" s="44"/>
      <c r="DJ719" s="44"/>
      <c r="DK719" s="44"/>
      <c r="DL719" s="44"/>
      <c r="DM719" s="44"/>
      <c r="DN719" s="44"/>
      <c r="DO719" s="44"/>
      <c r="DP719" s="44"/>
      <c r="DQ719" s="44"/>
      <c r="DR719" s="44"/>
      <c r="DS719" s="44"/>
      <c r="DT719" s="44"/>
      <c r="DU719" s="44"/>
      <c r="DV719" s="44"/>
      <c r="DW719" s="44"/>
      <c r="DX719" s="44"/>
      <c r="DY719" s="44"/>
      <c r="DZ719" s="44"/>
      <c r="EA719" s="44"/>
      <c r="EB719" s="44"/>
      <c r="EC719" s="44"/>
      <c r="ED719" s="44"/>
      <c r="EE719" s="44"/>
      <c r="EF719" s="44"/>
      <c r="EG719" s="44"/>
      <c r="EH719" s="44"/>
      <c r="EI719" s="44"/>
      <c r="EJ719" s="44"/>
      <c r="EK719" s="44"/>
      <c r="EL719" s="44"/>
      <c r="EM719" s="44"/>
      <c r="EN719" s="44"/>
      <c r="EO719" s="44"/>
      <c r="EP719" s="44"/>
      <c r="EQ719" s="44"/>
      <c r="ER719" s="44"/>
      <c r="ES719" s="44"/>
      <c r="ET719" s="44"/>
      <c r="EU719" s="44"/>
      <c r="EV719" s="44"/>
      <c r="EW719" s="44"/>
      <c r="EX719" s="44"/>
      <c r="EY719" s="44"/>
      <c r="EZ719" s="44"/>
      <c r="FA719" s="44"/>
      <c r="FB719" s="44"/>
      <c r="FC719" s="44"/>
      <c r="FD719" s="44"/>
      <c r="FE719" s="44"/>
      <c r="FF719" s="44"/>
      <c r="FG719" s="44"/>
      <c r="FH719" s="44"/>
      <c r="FI719" s="44"/>
      <c r="FJ719" s="44"/>
      <c r="FK719" s="44"/>
      <c r="FL719" s="44"/>
      <c r="FM719" s="44"/>
      <c r="FN719" s="44"/>
      <c r="FO719" s="44"/>
      <c r="FP719" s="44"/>
      <c r="FQ719" s="44"/>
      <c r="FR719" s="44"/>
      <c r="FS719" s="44"/>
      <c r="FT719" s="44"/>
      <c r="FU719" s="44"/>
      <c r="FV719" s="44"/>
      <c r="FW719" s="44"/>
      <c r="FX719" s="44"/>
      <c r="FY719" s="44"/>
      <c r="FZ719" s="44"/>
      <c r="GA719" s="44"/>
      <c r="GB719" s="44"/>
      <c r="GC719" s="44"/>
      <c r="GD719" s="44"/>
      <c r="GE719" s="44"/>
      <c r="GF719" s="44"/>
      <c r="GG719" s="44"/>
      <c r="GH719" s="44"/>
      <c r="GI719" s="44"/>
      <c r="GJ719" s="44"/>
      <c r="GK719" s="44"/>
      <c r="GL719" s="44"/>
      <c r="GM719" s="44"/>
      <c r="GN719" s="44"/>
      <c r="GO719" s="44"/>
      <c r="GP719" s="44"/>
      <c r="GQ719" s="44"/>
      <c r="GR719" s="44"/>
      <c r="GS719" s="44"/>
      <c r="GT719" s="44"/>
      <c r="GU719" s="44"/>
      <c r="GV719" s="44"/>
      <c r="GW719" s="44"/>
      <c r="GX719" s="44"/>
      <c r="GY719" s="44"/>
      <c r="GZ719" s="44"/>
      <c r="HA719" s="44"/>
      <c r="HB719" s="44"/>
      <c r="HC719" s="44"/>
      <c r="HD719" s="44"/>
      <c r="HE719" s="44"/>
      <c r="HF719" s="44"/>
      <c r="HG719" s="44"/>
      <c r="HH719" s="44"/>
      <c r="HI719" s="44"/>
      <c r="HJ719" s="44"/>
      <c r="HK719" s="44"/>
      <c r="HL719" s="44"/>
      <c r="HM719" s="44"/>
      <c r="HN719" s="44"/>
      <c r="HO719" s="44"/>
      <c r="HP719" s="44"/>
      <c r="HQ719" s="44"/>
      <c r="HR719" s="44"/>
      <c r="HS719" s="44"/>
      <c r="HT719" s="44"/>
      <c r="HU719" s="44"/>
      <c r="HV719" s="44"/>
      <c r="HW719" s="44"/>
      <c r="HX719" s="44"/>
      <c r="HY719" s="44"/>
      <c r="HZ719" s="44"/>
      <c r="IA719" s="44"/>
      <c r="IB719" s="44"/>
      <c r="IC719" s="44"/>
      <c r="ID719" s="44"/>
      <c r="IE719" s="44"/>
      <c r="IF719" s="44"/>
      <c r="IG719" s="44"/>
      <c r="IH719" s="44"/>
      <c r="II719" s="44"/>
      <c r="IJ719" s="44"/>
      <c r="IK719" s="44"/>
      <c r="IL719" s="44"/>
      <c r="IM719" s="44"/>
      <c r="IN719" s="44"/>
      <c r="IO719" s="44"/>
    </row>
    <row r="720" spans="1:249" s="45" customFormat="1" ht="21.95" customHeight="1">
      <c r="A720" s="1495" t="s">
        <v>232</v>
      </c>
      <c r="B720" s="1495"/>
      <c r="C720" s="1495"/>
      <c r="D720" s="1495"/>
      <c r="E720" s="1495"/>
      <c r="F720" s="1495"/>
      <c r="G720" s="1495"/>
      <c r="H720" s="1495"/>
      <c r="I720" s="1495"/>
      <c r="J720" s="1495"/>
      <c r="K720" s="1495"/>
      <c r="L720" s="1495"/>
      <c r="M720" s="1495"/>
      <c r="N720" s="1495"/>
      <c r="O720" s="44"/>
      <c r="P720" s="44"/>
      <c r="Q720" s="103"/>
      <c r="R720" s="103"/>
      <c r="S720" s="103"/>
      <c r="T720" s="103"/>
      <c r="U720" s="47"/>
      <c r="V720" s="47"/>
      <c r="W720" s="47"/>
      <c r="X720" s="47"/>
      <c r="Y720" s="47"/>
      <c r="Z720" s="47"/>
      <c r="AA720" s="47"/>
      <c r="AB720" s="47"/>
      <c r="AC720" s="47"/>
      <c r="AD720" s="47"/>
      <c r="AE720" s="47"/>
      <c r="AF720" s="47"/>
      <c r="AG720" s="47"/>
      <c r="AH720" s="47"/>
      <c r="AI720" s="47"/>
      <c r="AJ720" s="47"/>
      <c r="AK720" s="47"/>
      <c r="AL720" s="47"/>
      <c r="AM720" s="47"/>
      <c r="AN720" s="47"/>
      <c r="AO720" s="47"/>
      <c r="AP720" s="47"/>
      <c r="AQ720" s="47"/>
      <c r="AR720" s="47"/>
      <c r="AS720" s="47"/>
      <c r="AT720" s="47"/>
      <c r="AU720" s="47"/>
      <c r="AV720" s="47"/>
      <c r="AW720" s="47"/>
      <c r="AX720" s="47"/>
      <c r="AY720" s="47"/>
      <c r="AZ720" s="47"/>
      <c r="BA720" s="47"/>
      <c r="BB720" s="47"/>
      <c r="BC720" s="47"/>
      <c r="BD720" s="47"/>
      <c r="BE720" s="47"/>
      <c r="BF720" s="47"/>
      <c r="BG720" s="47"/>
      <c r="BH720" s="47"/>
      <c r="BI720" s="47"/>
      <c r="BJ720" s="47"/>
      <c r="BK720" s="47"/>
      <c r="BL720" s="47"/>
      <c r="BM720" s="47"/>
      <c r="BN720" s="47"/>
      <c r="BO720" s="47"/>
      <c r="BP720" s="47"/>
      <c r="BQ720" s="47"/>
      <c r="BR720" s="47"/>
      <c r="BS720" s="47"/>
      <c r="BT720" s="47"/>
      <c r="BU720" s="47"/>
      <c r="BV720" s="47"/>
      <c r="BW720" s="47"/>
      <c r="BX720" s="47"/>
      <c r="BY720" s="47"/>
      <c r="BZ720" s="47"/>
      <c r="CA720" s="47"/>
      <c r="CB720" s="47"/>
      <c r="CC720" s="47"/>
      <c r="CD720" s="47"/>
      <c r="CE720" s="47"/>
      <c r="CF720" s="47"/>
      <c r="CG720" s="47"/>
      <c r="CH720" s="47"/>
      <c r="CI720" s="47"/>
      <c r="CJ720" s="47"/>
      <c r="CK720" s="47"/>
      <c r="CL720" s="47"/>
      <c r="CM720" s="47"/>
      <c r="CN720" s="47"/>
      <c r="CO720" s="47"/>
      <c r="CP720" s="47"/>
      <c r="CQ720" s="47"/>
      <c r="CR720" s="47"/>
      <c r="CS720" s="47"/>
      <c r="CT720" s="47"/>
      <c r="CU720" s="47"/>
      <c r="CV720" s="47"/>
      <c r="CW720" s="47"/>
      <c r="CX720" s="47"/>
      <c r="CY720" s="47"/>
      <c r="CZ720" s="47"/>
      <c r="DA720" s="47"/>
      <c r="DB720" s="47"/>
      <c r="DC720" s="47"/>
      <c r="DD720" s="47"/>
      <c r="DE720" s="47"/>
      <c r="DF720" s="47"/>
      <c r="DG720" s="47"/>
      <c r="DH720" s="47"/>
      <c r="DI720" s="47"/>
      <c r="DJ720" s="47"/>
      <c r="DK720" s="47"/>
      <c r="DL720" s="47"/>
      <c r="DM720" s="47"/>
      <c r="DN720" s="47"/>
      <c r="DO720" s="47"/>
      <c r="DP720" s="47"/>
      <c r="DQ720" s="47"/>
      <c r="DR720" s="47"/>
      <c r="DS720" s="47"/>
      <c r="DT720" s="47"/>
      <c r="DU720" s="47"/>
      <c r="DV720" s="47"/>
      <c r="DW720" s="47"/>
      <c r="DX720" s="47"/>
      <c r="DY720" s="47"/>
      <c r="DZ720" s="47"/>
      <c r="EA720" s="47"/>
      <c r="EB720" s="47"/>
      <c r="EC720" s="47"/>
      <c r="ED720" s="47"/>
      <c r="EE720" s="47"/>
      <c r="EF720" s="47"/>
      <c r="EG720" s="47"/>
      <c r="EH720" s="47"/>
      <c r="EI720" s="47"/>
      <c r="EJ720" s="47"/>
      <c r="EK720" s="47"/>
      <c r="EL720" s="47"/>
      <c r="EM720" s="47"/>
      <c r="EN720" s="47"/>
      <c r="EO720" s="47"/>
      <c r="EP720" s="47"/>
      <c r="EQ720" s="47"/>
      <c r="ER720" s="47"/>
      <c r="ES720" s="47"/>
      <c r="ET720" s="47"/>
      <c r="EU720" s="47"/>
      <c r="EV720" s="47"/>
      <c r="EW720" s="47"/>
      <c r="EX720" s="47"/>
      <c r="EY720" s="47"/>
      <c r="EZ720" s="47"/>
      <c r="FA720" s="47"/>
      <c r="FB720" s="47"/>
      <c r="FC720" s="47"/>
      <c r="FD720" s="47"/>
      <c r="FE720" s="47"/>
      <c r="FF720" s="47"/>
      <c r="FG720" s="47"/>
      <c r="FH720" s="47"/>
      <c r="FI720" s="47"/>
      <c r="FJ720" s="47"/>
      <c r="FK720" s="47"/>
      <c r="FL720" s="47"/>
      <c r="FM720" s="47"/>
      <c r="FN720" s="47"/>
      <c r="FO720" s="47"/>
      <c r="FP720" s="47"/>
      <c r="FQ720" s="47"/>
      <c r="FR720" s="47"/>
      <c r="FS720" s="47"/>
      <c r="FT720" s="47"/>
      <c r="FU720" s="47"/>
      <c r="FV720" s="47"/>
      <c r="FW720" s="47"/>
      <c r="FX720" s="47"/>
      <c r="FY720" s="47"/>
      <c r="FZ720" s="47"/>
      <c r="GA720" s="47"/>
      <c r="GB720" s="47"/>
      <c r="GC720" s="47"/>
      <c r="GD720" s="47"/>
      <c r="GE720" s="47"/>
      <c r="GF720" s="47"/>
      <c r="GG720" s="47"/>
      <c r="GH720" s="47"/>
      <c r="GI720" s="47"/>
      <c r="GJ720" s="47"/>
      <c r="GK720" s="47"/>
      <c r="GL720" s="47"/>
      <c r="GM720" s="47"/>
      <c r="GN720" s="47"/>
      <c r="GO720" s="47"/>
      <c r="GP720" s="47"/>
      <c r="GQ720" s="47"/>
      <c r="GR720" s="47"/>
      <c r="GS720" s="47"/>
      <c r="GT720" s="47"/>
      <c r="GU720" s="47"/>
      <c r="GV720" s="47"/>
      <c r="GW720" s="47"/>
      <c r="GX720" s="47"/>
      <c r="GY720" s="47"/>
      <c r="GZ720" s="47"/>
      <c r="HA720" s="47"/>
      <c r="HB720" s="47"/>
      <c r="HC720" s="47"/>
      <c r="HD720" s="47"/>
      <c r="HE720" s="47"/>
      <c r="HF720" s="47"/>
      <c r="HG720" s="47"/>
      <c r="HH720" s="47"/>
      <c r="HI720" s="47"/>
      <c r="HJ720" s="47"/>
      <c r="HK720" s="47"/>
      <c r="HL720" s="47"/>
      <c r="HM720" s="47"/>
      <c r="HN720" s="47"/>
      <c r="HO720" s="47"/>
      <c r="HP720" s="47"/>
      <c r="HQ720" s="47"/>
      <c r="HR720" s="47"/>
      <c r="HS720" s="47"/>
      <c r="HT720" s="47"/>
      <c r="HU720" s="47"/>
      <c r="HV720" s="47"/>
      <c r="HW720" s="47"/>
      <c r="HX720" s="47"/>
      <c r="HY720" s="47"/>
      <c r="HZ720" s="47"/>
      <c r="IA720" s="47"/>
      <c r="IB720" s="47"/>
      <c r="IC720" s="47"/>
      <c r="ID720" s="47"/>
      <c r="IE720" s="47"/>
      <c r="IF720" s="47"/>
      <c r="IG720" s="47"/>
      <c r="IH720" s="47"/>
      <c r="II720" s="47"/>
      <c r="IJ720" s="47"/>
      <c r="IK720" s="47"/>
      <c r="IL720" s="47"/>
      <c r="IM720" s="47"/>
      <c r="IN720" s="47"/>
    </row>
    <row r="721" spans="1:249" s="5" customFormat="1" ht="21.95" customHeight="1">
      <c r="A721" s="1495" t="s">
        <v>233</v>
      </c>
      <c r="B721" s="1495"/>
      <c r="C721" s="1495"/>
      <c r="D721" s="1495"/>
      <c r="E721" s="1495"/>
      <c r="F721" s="1495"/>
      <c r="G721" s="1495"/>
      <c r="H721" s="1495"/>
      <c r="I721" s="1495"/>
      <c r="J721" s="1495"/>
      <c r="K721" s="1495"/>
      <c r="L721" s="1495"/>
      <c r="M721" s="1495"/>
      <c r="N721" s="1495"/>
      <c r="Q721" s="44"/>
      <c r="R721" s="44"/>
      <c r="S721" s="44"/>
      <c r="T721" s="44"/>
      <c r="U721" s="44"/>
      <c r="V721" s="44"/>
      <c r="W721" s="44"/>
      <c r="X721" s="44"/>
      <c r="Y721" s="44"/>
      <c r="Z721" s="44"/>
      <c r="AA721" s="44"/>
      <c r="AB721" s="44"/>
      <c r="AC721" s="44"/>
      <c r="AD721" s="1490"/>
      <c r="AE721" s="1490"/>
      <c r="AF721" s="1490"/>
      <c r="AG721" s="1490"/>
      <c r="AH721" s="1490"/>
      <c r="AI721" s="1490"/>
      <c r="AJ721" s="1490"/>
      <c r="AK721" s="1490"/>
      <c r="AL721" s="1490"/>
      <c r="AM721" s="1490"/>
      <c r="AN721" s="1490"/>
      <c r="AO721" s="1490"/>
      <c r="AP721" s="1490"/>
      <c r="AQ721" s="1490"/>
      <c r="AR721" s="1490"/>
      <c r="AS721" s="1490"/>
      <c r="AT721" s="1490"/>
      <c r="AU721" s="1490"/>
      <c r="AV721" s="1490"/>
      <c r="AW721" s="1490"/>
      <c r="AX721" s="1490"/>
      <c r="AY721" s="1490"/>
      <c r="AZ721" s="1490"/>
      <c r="BA721" s="1490"/>
      <c r="BB721" s="1490"/>
      <c r="BC721" s="1490"/>
      <c r="BD721" s="1490"/>
      <c r="BE721" s="1490"/>
      <c r="BF721" s="1490"/>
      <c r="BG721" s="1490"/>
      <c r="BH721" s="1490"/>
      <c r="BI721" s="1490"/>
      <c r="BJ721" s="1490"/>
      <c r="BK721" s="1490"/>
      <c r="BL721" s="1490"/>
      <c r="BM721" s="1490"/>
      <c r="BN721" s="1490"/>
      <c r="BO721" s="1490"/>
      <c r="BP721" s="1490"/>
      <c r="BQ721" s="1490"/>
      <c r="BR721" s="1490"/>
      <c r="BS721" s="1490"/>
      <c r="BT721" s="1490"/>
      <c r="BU721" s="1490"/>
      <c r="BV721" s="1490"/>
      <c r="BW721" s="1490"/>
      <c r="BX721" s="1490"/>
      <c r="BY721" s="1490"/>
      <c r="BZ721" s="1490"/>
      <c r="CA721" s="1490"/>
      <c r="CB721" s="1490"/>
      <c r="CC721" s="1490"/>
      <c r="CD721" s="1490"/>
      <c r="CE721" s="1490"/>
      <c r="CF721" s="1490"/>
      <c r="CG721" s="1490"/>
      <c r="CH721" s="1490"/>
      <c r="CI721" s="1490"/>
      <c r="CJ721" s="1490"/>
      <c r="CK721" s="1490"/>
      <c r="CL721" s="1490"/>
      <c r="CM721" s="1490"/>
      <c r="CN721" s="1490"/>
      <c r="CO721" s="1490"/>
      <c r="CP721" s="1490"/>
      <c r="CQ721" s="1490"/>
      <c r="CR721" s="1490"/>
      <c r="CS721" s="1490"/>
      <c r="CT721" s="1490"/>
      <c r="CU721" s="1490"/>
      <c r="CV721" s="1490"/>
      <c r="CW721" s="1490"/>
      <c r="CX721" s="1490"/>
      <c r="CY721" s="1490"/>
      <c r="CZ721" s="1490"/>
      <c r="DA721" s="1490"/>
      <c r="DB721" s="1490"/>
      <c r="DC721" s="1490"/>
      <c r="DD721" s="1490"/>
      <c r="DE721" s="1490"/>
      <c r="DF721" s="1490"/>
      <c r="DG721" s="1490"/>
      <c r="DH721" s="1490"/>
      <c r="DI721" s="1490"/>
      <c r="DJ721" s="1490"/>
      <c r="DK721" s="1490"/>
      <c r="DL721" s="1490"/>
      <c r="DM721" s="1490"/>
      <c r="DN721" s="1490"/>
      <c r="DO721" s="1490"/>
      <c r="DP721" s="1490"/>
      <c r="DQ721" s="1490"/>
      <c r="DR721" s="1490"/>
      <c r="DS721" s="1490"/>
      <c r="DT721" s="1490"/>
      <c r="DU721" s="1490"/>
      <c r="DV721" s="1490"/>
      <c r="DW721" s="1490"/>
      <c r="DX721" s="1490"/>
      <c r="DY721" s="1490"/>
      <c r="DZ721" s="1490"/>
      <c r="EA721" s="1490"/>
      <c r="EB721" s="1490"/>
      <c r="EC721" s="1490"/>
      <c r="ED721" s="1490"/>
      <c r="EE721" s="1490"/>
      <c r="EF721" s="1490"/>
      <c r="EG721" s="1490"/>
      <c r="EH721" s="1490"/>
      <c r="EI721" s="1490"/>
      <c r="EJ721" s="1490"/>
      <c r="EK721" s="1490"/>
      <c r="EL721" s="1490"/>
      <c r="EM721" s="1490"/>
      <c r="EN721" s="1490"/>
      <c r="EO721" s="1490"/>
      <c r="EP721" s="1490"/>
      <c r="EQ721" s="1490"/>
      <c r="ER721" s="1490"/>
      <c r="ES721" s="1490"/>
      <c r="ET721" s="1490"/>
      <c r="EU721" s="1490"/>
      <c r="EV721" s="1490"/>
      <c r="EW721" s="1490"/>
      <c r="EX721" s="1490"/>
      <c r="EY721" s="1490"/>
      <c r="EZ721" s="1490"/>
      <c r="FA721" s="1490"/>
      <c r="FB721" s="1490"/>
      <c r="FC721" s="1490"/>
      <c r="FD721" s="1490"/>
      <c r="FE721" s="1490"/>
      <c r="FF721" s="1490"/>
      <c r="FG721" s="1490"/>
      <c r="FH721" s="1490"/>
      <c r="FI721" s="1490"/>
      <c r="FJ721" s="1490"/>
      <c r="FK721" s="1490"/>
      <c r="FL721" s="1490"/>
      <c r="FM721" s="1490"/>
      <c r="FN721" s="1490"/>
      <c r="FO721" s="1490"/>
      <c r="FP721" s="1490"/>
      <c r="FQ721" s="1490"/>
      <c r="FR721" s="1490"/>
      <c r="FS721" s="1490"/>
      <c r="FT721" s="1490"/>
      <c r="FU721" s="1490"/>
      <c r="FV721" s="1490"/>
      <c r="FW721" s="1490"/>
      <c r="FX721" s="1490"/>
      <c r="FY721" s="1490"/>
      <c r="FZ721" s="1490"/>
      <c r="GA721" s="1490"/>
      <c r="GB721" s="1490"/>
      <c r="GC721" s="1490"/>
      <c r="GD721" s="1490"/>
      <c r="GE721" s="1490"/>
      <c r="GF721" s="1490"/>
      <c r="GG721" s="1490"/>
      <c r="GH721" s="1490"/>
      <c r="GI721" s="1490"/>
      <c r="GJ721" s="1490"/>
      <c r="GK721" s="1490"/>
      <c r="GL721" s="1490"/>
      <c r="GM721" s="1490"/>
      <c r="GN721" s="1490"/>
      <c r="GO721" s="1490"/>
      <c r="GP721" s="1490"/>
      <c r="GQ721" s="1490"/>
      <c r="GR721" s="1490"/>
      <c r="GS721" s="1490"/>
      <c r="GT721" s="1490"/>
      <c r="GU721" s="1490"/>
      <c r="GV721" s="1490"/>
      <c r="GW721" s="1490"/>
      <c r="GX721" s="1490"/>
      <c r="GY721" s="1490"/>
      <c r="GZ721" s="1490"/>
      <c r="HA721" s="1490"/>
      <c r="HB721" s="1490"/>
      <c r="HC721" s="1490"/>
      <c r="HD721" s="1490"/>
      <c r="HE721" s="1490"/>
      <c r="HF721" s="1490"/>
      <c r="HG721" s="1490"/>
      <c r="HH721" s="1490"/>
      <c r="HI721" s="1490"/>
      <c r="HJ721" s="1490"/>
      <c r="HK721" s="1490"/>
      <c r="HL721" s="1490"/>
      <c r="HM721" s="1490"/>
      <c r="HN721" s="1490"/>
      <c r="HO721" s="1490"/>
      <c r="HP721" s="1490"/>
      <c r="HQ721" s="1490"/>
      <c r="HR721" s="1490"/>
      <c r="HS721" s="1490"/>
      <c r="HT721" s="1490"/>
      <c r="HU721" s="1490"/>
      <c r="HV721" s="1490"/>
      <c r="HW721" s="1490"/>
      <c r="HX721" s="1490"/>
      <c r="HY721" s="1490"/>
      <c r="HZ721" s="1490"/>
      <c r="IA721" s="1490"/>
      <c r="IB721" s="1490"/>
      <c r="IC721" s="1490"/>
      <c r="ID721" s="1490"/>
      <c r="IE721" s="1490"/>
      <c r="IF721" s="1490"/>
      <c r="IG721" s="1490"/>
      <c r="IH721" s="1490"/>
      <c r="II721" s="1490"/>
      <c r="IJ721" s="1490"/>
      <c r="IK721" s="1490"/>
      <c r="IL721" s="1490"/>
      <c r="IM721" s="1490"/>
      <c r="IN721" s="1490"/>
      <c r="IO721" s="44"/>
    </row>
    <row r="722" spans="1:249" s="5" customFormat="1" ht="25.5" customHeight="1">
      <c r="A722" s="48" t="s">
        <v>234</v>
      </c>
      <c r="B722" s="39"/>
      <c r="C722" s="39"/>
      <c r="D722" s="39"/>
      <c r="E722" s="39"/>
      <c r="F722" s="39"/>
      <c r="G722" s="39"/>
      <c r="H722" s="39"/>
      <c r="I722" s="39"/>
      <c r="J722" s="39"/>
      <c r="K722" s="39"/>
      <c r="L722" s="39"/>
      <c r="M722" s="39"/>
      <c r="N722" s="39"/>
      <c r="O722" s="49"/>
      <c r="P722" s="49"/>
      <c r="Q722" s="44"/>
      <c r="R722" s="44"/>
      <c r="S722" s="44"/>
      <c r="T722" s="44"/>
      <c r="U722" s="44"/>
      <c r="V722" s="44"/>
      <c r="W722" s="44"/>
      <c r="X722" s="44"/>
      <c r="Y722" s="44"/>
      <c r="Z722" s="44"/>
      <c r="AA722" s="44"/>
      <c r="AB722" s="44"/>
      <c r="AC722" s="44"/>
      <c r="AD722" s="1490"/>
      <c r="AE722" s="1490"/>
      <c r="AF722" s="1490"/>
      <c r="AG722" s="1490"/>
      <c r="AH722" s="1490"/>
      <c r="AI722" s="1490"/>
      <c r="AJ722" s="1490"/>
      <c r="AK722" s="1490"/>
      <c r="AL722" s="1490"/>
      <c r="AM722" s="1490"/>
      <c r="AN722" s="1490"/>
      <c r="AO722" s="1490"/>
      <c r="AP722" s="1490"/>
      <c r="AQ722" s="1490"/>
      <c r="AR722" s="1490"/>
      <c r="AS722" s="1490"/>
      <c r="AT722" s="1490"/>
      <c r="AU722" s="1490"/>
      <c r="AV722" s="1490"/>
      <c r="AW722" s="1490"/>
      <c r="AX722" s="1490"/>
      <c r="AY722" s="1490"/>
      <c r="AZ722" s="1490"/>
      <c r="BA722" s="1490"/>
      <c r="BB722" s="1490"/>
      <c r="BC722" s="1490"/>
      <c r="BD722" s="1490"/>
      <c r="BE722" s="1490"/>
      <c r="BF722" s="1490"/>
      <c r="BG722" s="1490"/>
      <c r="BH722" s="1490"/>
      <c r="BI722" s="1490"/>
      <c r="BJ722" s="1490"/>
      <c r="BK722" s="1490"/>
      <c r="BL722" s="1490"/>
      <c r="BM722" s="1490"/>
      <c r="BN722" s="1490"/>
      <c r="BO722" s="1490"/>
      <c r="BP722" s="1490"/>
      <c r="BQ722" s="1490"/>
      <c r="BR722" s="1490"/>
      <c r="BS722" s="1490"/>
      <c r="BT722" s="1490"/>
      <c r="BU722" s="1490"/>
      <c r="BV722" s="1490"/>
      <c r="BW722" s="1490"/>
      <c r="BX722" s="1490"/>
      <c r="BY722" s="1490"/>
      <c r="BZ722" s="1490"/>
      <c r="CA722" s="1490"/>
      <c r="CB722" s="1490"/>
      <c r="CC722" s="1490"/>
      <c r="CD722" s="1490"/>
      <c r="CE722" s="1490"/>
      <c r="CF722" s="1490"/>
      <c r="CG722" s="1490"/>
      <c r="CH722" s="1490"/>
      <c r="CI722" s="1490"/>
      <c r="CJ722" s="1490"/>
      <c r="CK722" s="1490"/>
      <c r="CL722" s="1490"/>
      <c r="CM722" s="1490"/>
      <c r="CN722" s="1490"/>
      <c r="CO722" s="1490"/>
      <c r="CP722" s="1490"/>
      <c r="CQ722" s="1490"/>
      <c r="CR722" s="1490"/>
      <c r="CS722" s="1490"/>
      <c r="CT722" s="1490"/>
      <c r="CU722" s="1490"/>
      <c r="CV722" s="1490"/>
      <c r="CW722" s="1490"/>
      <c r="CX722" s="1490"/>
      <c r="CY722" s="1490"/>
      <c r="CZ722" s="1490"/>
      <c r="DA722" s="1490"/>
      <c r="DB722" s="1490"/>
      <c r="DC722" s="1490"/>
      <c r="DD722" s="1490"/>
      <c r="DE722" s="1490"/>
      <c r="DF722" s="1490"/>
      <c r="DG722" s="1490"/>
      <c r="DH722" s="1490"/>
      <c r="DI722" s="1490"/>
      <c r="DJ722" s="1490"/>
      <c r="DK722" s="1490"/>
      <c r="DL722" s="1490"/>
      <c r="DM722" s="1490"/>
      <c r="DN722" s="1490"/>
      <c r="DO722" s="1490"/>
      <c r="DP722" s="1490"/>
      <c r="DQ722" s="1490"/>
      <c r="DR722" s="1490"/>
      <c r="DS722" s="1490"/>
      <c r="DT722" s="1490"/>
      <c r="DU722" s="1490"/>
      <c r="DV722" s="1490"/>
      <c r="DW722" s="1490"/>
      <c r="DX722" s="1490"/>
      <c r="DY722" s="1490"/>
      <c r="DZ722" s="1490"/>
      <c r="EA722" s="1490"/>
      <c r="EB722" s="1490"/>
      <c r="EC722" s="1490"/>
      <c r="ED722" s="1490"/>
      <c r="EE722" s="1490"/>
      <c r="EF722" s="1490"/>
      <c r="EG722" s="1490"/>
      <c r="EH722" s="1490"/>
      <c r="EI722" s="1490"/>
      <c r="EJ722" s="1490"/>
      <c r="EK722" s="1490"/>
      <c r="EL722" s="1490"/>
      <c r="EM722" s="1490"/>
      <c r="EN722" s="1490"/>
      <c r="EO722" s="1490"/>
      <c r="EP722" s="1490"/>
      <c r="EQ722" s="1490"/>
      <c r="ER722" s="1490"/>
      <c r="ES722" s="1490"/>
      <c r="ET722" s="1490"/>
      <c r="EU722" s="1490"/>
      <c r="EV722" s="1490"/>
      <c r="EW722" s="1490"/>
      <c r="EX722" s="1490"/>
      <c r="EY722" s="1490"/>
      <c r="EZ722" s="1490"/>
      <c r="FA722" s="1490"/>
      <c r="FB722" s="1490"/>
      <c r="FC722" s="1490"/>
      <c r="FD722" s="1490"/>
      <c r="FE722" s="1490"/>
      <c r="FF722" s="1490"/>
      <c r="FG722" s="1490"/>
      <c r="FH722" s="1490"/>
      <c r="FI722" s="1490"/>
      <c r="FJ722" s="1490"/>
      <c r="FK722" s="1490"/>
      <c r="FL722" s="1490"/>
      <c r="FM722" s="1490"/>
      <c r="FN722" s="1490"/>
      <c r="FO722" s="1490"/>
      <c r="FP722" s="1490"/>
      <c r="FQ722" s="1490"/>
      <c r="FR722" s="1490"/>
      <c r="FS722" s="1490"/>
      <c r="FT722" s="1490"/>
      <c r="FU722" s="1490"/>
      <c r="FV722" s="1490"/>
      <c r="FW722" s="1490"/>
      <c r="FX722" s="1490"/>
      <c r="FY722" s="1490"/>
      <c r="FZ722" s="1490"/>
      <c r="GA722" s="1490"/>
      <c r="GB722" s="1490"/>
      <c r="GC722" s="1490"/>
      <c r="GD722" s="1490"/>
      <c r="GE722" s="1490"/>
      <c r="GF722" s="1490"/>
      <c r="GG722" s="1490"/>
      <c r="GH722" s="1490"/>
      <c r="GI722" s="1490"/>
      <c r="GJ722" s="1490"/>
      <c r="GK722" s="1490"/>
      <c r="GL722" s="1490"/>
      <c r="GM722" s="1490"/>
      <c r="GN722" s="1490"/>
      <c r="GO722" s="1490"/>
      <c r="GP722" s="1490"/>
      <c r="GQ722" s="1490"/>
      <c r="GR722" s="1490"/>
      <c r="GS722" s="1490"/>
      <c r="GT722" s="1490"/>
      <c r="GU722" s="1490"/>
      <c r="GV722" s="1490"/>
      <c r="GW722" s="1490"/>
      <c r="GX722" s="1490"/>
      <c r="GY722" s="1490"/>
      <c r="GZ722" s="1490"/>
      <c r="HA722" s="1490"/>
      <c r="HB722" s="1490"/>
      <c r="HC722" s="1490"/>
      <c r="HD722" s="1490"/>
      <c r="HE722" s="1490"/>
      <c r="HF722" s="1490"/>
      <c r="HG722" s="1490"/>
      <c r="HH722" s="1490"/>
      <c r="HI722" s="1490"/>
      <c r="HJ722" s="1490"/>
      <c r="HK722" s="1490"/>
      <c r="HL722" s="1490"/>
      <c r="HM722" s="1490"/>
      <c r="HN722" s="1490"/>
      <c r="HO722" s="1490"/>
      <c r="HP722" s="1490"/>
      <c r="HQ722" s="1490"/>
      <c r="HR722" s="1490"/>
      <c r="HS722" s="1490"/>
      <c r="HT722" s="1490"/>
      <c r="HU722" s="1490"/>
      <c r="HV722" s="1490"/>
      <c r="HW722" s="1490"/>
      <c r="HX722" s="1490"/>
      <c r="HY722" s="1490"/>
      <c r="HZ722" s="1490"/>
      <c r="IA722" s="1490"/>
      <c r="IB722" s="1490"/>
      <c r="IC722" s="1490"/>
      <c r="ID722" s="1490"/>
      <c r="IE722" s="1490"/>
      <c r="IF722" s="1490"/>
      <c r="IG722" s="1490"/>
      <c r="IH722" s="1490"/>
      <c r="II722" s="1490"/>
      <c r="IJ722" s="1490"/>
      <c r="IK722" s="1490"/>
      <c r="IL722" s="1490"/>
      <c r="IM722" s="1490"/>
      <c r="IN722" s="1490"/>
      <c r="IO722" s="44"/>
    </row>
    <row r="723" spans="1:249" s="5" customFormat="1" ht="24.75" customHeight="1">
      <c r="A723" s="1495" t="s">
        <v>235</v>
      </c>
      <c r="B723" s="1495"/>
      <c r="C723" s="1495"/>
      <c r="D723" s="1495"/>
      <c r="E723" s="1495"/>
      <c r="F723" s="1495"/>
      <c r="G723" s="1495"/>
      <c r="H723" s="1495"/>
      <c r="I723" s="1495"/>
      <c r="J723" s="1495"/>
      <c r="K723" s="1495"/>
      <c r="L723" s="1495"/>
      <c r="M723" s="1495"/>
      <c r="N723" s="1495"/>
      <c r="O723" s="49"/>
      <c r="P723" s="49"/>
      <c r="Q723" s="129"/>
      <c r="R723" s="129"/>
      <c r="S723" s="129"/>
      <c r="T723" s="129"/>
      <c r="U723" s="127"/>
      <c r="V723" s="127"/>
      <c r="W723" s="127"/>
      <c r="X723" s="127"/>
      <c r="Y723" s="127"/>
      <c r="Z723" s="127"/>
      <c r="AA723" s="127"/>
      <c r="AB723" s="127"/>
      <c r="AC723" s="127"/>
      <c r="AD723" s="127"/>
      <c r="AE723" s="127"/>
      <c r="AF723" s="127"/>
    </row>
    <row r="724" spans="1:249" s="5" customFormat="1" ht="24.75" customHeight="1">
      <c r="A724" s="99" t="s">
        <v>281</v>
      </c>
      <c r="B724" s="44"/>
      <c r="C724" s="44"/>
      <c r="D724" s="44"/>
      <c r="E724" s="44"/>
      <c r="F724" s="104" t="str">
        <f>A652</f>
        <v>sè:  PM-B1-HK/800</v>
      </c>
      <c r="G724" s="44"/>
      <c r="H724" s="44"/>
      <c r="I724" s="44"/>
      <c r="J724" s="44"/>
      <c r="K724" s="44"/>
      <c r="L724" s="44"/>
      <c r="M724" s="44"/>
      <c r="N724" s="44"/>
      <c r="O724" s="49"/>
      <c r="P724" s="49"/>
      <c r="Q724" s="49"/>
      <c r="R724" s="49"/>
      <c r="S724" s="49"/>
      <c r="T724" s="49"/>
      <c r="U724" s="49"/>
      <c r="V724" s="49"/>
      <c r="W724" s="49"/>
      <c r="X724" s="49"/>
      <c r="Y724" s="49"/>
      <c r="Z724" s="49"/>
      <c r="AA724" s="49"/>
      <c r="AB724" s="49"/>
      <c r="AC724" s="49"/>
      <c r="AD724" s="1494"/>
      <c r="AE724" s="1494"/>
      <c r="AF724" s="1494"/>
      <c r="AG724" s="1494"/>
      <c r="AH724" s="1494"/>
      <c r="AI724" s="1494"/>
      <c r="AJ724" s="1494"/>
      <c r="AK724" s="1494"/>
      <c r="AL724" s="1494"/>
      <c r="AM724" s="1494"/>
      <c r="AN724" s="1494"/>
      <c r="AO724" s="1494"/>
      <c r="AP724" s="1494"/>
      <c r="AQ724" s="1494"/>
      <c r="AR724" s="1494"/>
      <c r="AS724" s="1494"/>
      <c r="AT724" s="1494"/>
      <c r="AU724" s="1494"/>
      <c r="AV724" s="1494"/>
      <c r="AW724" s="1494"/>
      <c r="AX724" s="1494"/>
      <c r="AY724" s="1494"/>
      <c r="AZ724" s="1494"/>
      <c r="BA724" s="1494"/>
      <c r="BB724" s="1494"/>
      <c r="BC724" s="1494"/>
      <c r="BD724" s="1494"/>
      <c r="BE724" s="1494"/>
      <c r="BF724" s="1494"/>
      <c r="BG724" s="1494"/>
      <c r="BH724" s="1494"/>
      <c r="BI724" s="1494"/>
      <c r="BJ724" s="1494"/>
      <c r="BK724" s="1494"/>
      <c r="BL724" s="1494"/>
      <c r="BM724" s="1494"/>
      <c r="BN724" s="1494"/>
      <c r="BO724" s="1494"/>
      <c r="BP724" s="1494"/>
      <c r="BQ724" s="1494"/>
      <c r="BR724" s="1494"/>
      <c r="BS724" s="1494"/>
      <c r="BT724" s="1494"/>
      <c r="BU724" s="1494"/>
      <c r="BV724" s="1494"/>
      <c r="BW724" s="1494"/>
      <c r="BX724" s="1494"/>
      <c r="BY724" s="1494"/>
      <c r="BZ724" s="1494"/>
      <c r="CA724" s="1494"/>
      <c r="CB724" s="1494"/>
      <c r="CC724" s="1494"/>
      <c r="CD724" s="1494"/>
      <c r="CE724" s="1494"/>
      <c r="CF724" s="1494"/>
      <c r="CG724" s="1494"/>
      <c r="CH724" s="1494"/>
      <c r="CI724" s="1494"/>
      <c r="CJ724" s="1494"/>
      <c r="CK724" s="1494"/>
      <c r="CL724" s="1494"/>
      <c r="CM724" s="1494"/>
      <c r="CN724" s="1494"/>
      <c r="CO724" s="1494"/>
      <c r="CP724" s="1494"/>
      <c r="CQ724" s="1494"/>
      <c r="CR724" s="1494"/>
      <c r="CS724" s="1494"/>
      <c r="CT724" s="1494"/>
      <c r="CU724" s="1494"/>
      <c r="CV724" s="1494"/>
      <c r="CW724" s="1494"/>
      <c r="CX724" s="1494"/>
      <c r="CY724" s="1494"/>
      <c r="CZ724" s="1494"/>
      <c r="DA724" s="1494"/>
      <c r="DB724" s="1494"/>
      <c r="DC724" s="1494"/>
      <c r="DD724" s="1494"/>
      <c r="DE724" s="1494"/>
      <c r="DF724" s="1494"/>
      <c r="DG724" s="1494"/>
      <c r="DH724" s="1494"/>
      <c r="DI724" s="1494"/>
      <c r="DJ724" s="1494"/>
      <c r="DK724" s="1494"/>
      <c r="DL724" s="1494"/>
      <c r="DM724" s="1494"/>
      <c r="DN724" s="1494"/>
      <c r="DO724" s="1494"/>
      <c r="DP724" s="1494"/>
      <c r="DQ724" s="1494"/>
      <c r="DR724" s="1494"/>
      <c r="DS724" s="1494"/>
      <c r="DT724" s="1494"/>
      <c r="DU724" s="1494"/>
      <c r="DV724" s="1494"/>
      <c r="DW724" s="1494"/>
      <c r="DX724" s="1494"/>
      <c r="DY724" s="1494"/>
      <c r="DZ724" s="1494"/>
      <c r="EA724" s="1494"/>
      <c r="EB724" s="1494"/>
      <c r="EC724" s="1494"/>
      <c r="ED724" s="1494"/>
      <c r="EE724" s="1494"/>
      <c r="EF724" s="1494"/>
      <c r="EG724" s="1494"/>
      <c r="EH724" s="1494"/>
      <c r="EI724" s="1494"/>
      <c r="EJ724" s="1494"/>
      <c r="EK724" s="1494"/>
      <c r="EL724" s="1494"/>
      <c r="EM724" s="1494"/>
      <c r="EN724" s="1494"/>
      <c r="EO724" s="1494"/>
      <c r="EP724" s="1494"/>
      <c r="EQ724" s="1494"/>
      <c r="ER724" s="1494"/>
      <c r="ES724" s="1494"/>
      <c r="ET724" s="1494"/>
      <c r="EU724" s="1494"/>
      <c r="EV724" s="1494"/>
      <c r="EW724" s="1494"/>
      <c r="EX724" s="1494"/>
      <c r="EY724" s="1494"/>
      <c r="EZ724" s="1494"/>
      <c r="FA724" s="1494"/>
      <c r="FB724" s="1494"/>
      <c r="FC724" s="1494"/>
      <c r="FD724" s="1494"/>
      <c r="FE724" s="1494"/>
      <c r="FF724" s="1494"/>
      <c r="FG724" s="1494"/>
      <c r="FH724" s="1494"/>
      <c r="FI724" s="1494"/>
      <c r="FJ724" s="1494"/>
      <c r="FK724" s="1494"/>
      <c r="FL724" s="1494"/>
      <c r="FM724" s="1494"/>
      <c r="FN724" s="1494"/>
      <c r="FO724" s="1494"/>
      <c r="FP724" s="1494"/>
      <c r="FQ724" s="1494"/>
      <c r="FR724" s="1494"/>
      <c r="FS724" s="1494"/>
      <c r="FT724" s="1494"/>
      <c r="FU724" s="1494"/>
      <c r="FV724" s="1494"/>
      <c r="FW724" s="1494"/>
      <c r="FX724" s="1494"/>
      <c r="FY724" s="1494"/>
      <c r="FZ724" s="1494"/>
      <c r="GA724" s="1494"/>
      <c r="GB724" s="1494"/>
      <c r="GC724" s="1494"/>
      <c r="GD724" s="1494"/>
      <c r="GE724" s="1494"/>
      <c r="GF724" s="1494"/>
      <c r="GG724" s="1494"/>
      <c r="GH724" s="1494"/>
      <c r="GI724" s="1494"/>
      <c r="GJ724" s="1494"/>
      <c r="GK724" s="1494"/>
      <c r="GL724" s="1494"/>
      <c r="GM724" s="1494"/>
      <c r="GN724" s="1494"/>
      <c r="GO724" s="1494"/>
      <c r="GP724" s="1494"/>
      <c r="GQ724" s="1494"/>
      <c r="GR724" s="1494"/>
      <c r="GS724" s="1494"/>
      <c r="GT724" s="1494"/>
      <c r="GU724" s="1494"/>
      <c r="GV724" s="1494"/>
      <c r="GW724" s="1494"/>
      <c r="GX724" s="1494"/>
      <c r="GY724" s="1494"/>
      <c r="GZ724" s="1494"/>
      <c r="HA724" s="1494"/>
      <c r="HB724" s="1494"/>
      <c r="HC724" s="1494"/>
      <c r="HD724" s="1494"/>
      <c r="HE724" s="1494"/>
      <c r="HF724" s="1494"/>
      <c r="HG724" s="1494"/>
      <c r="HH724" s="1494"/>
      <c r="HI724" s="1494"/>
      <c r="HJ724" s="1494"/>
      <c r="HK724" s="1494"/>
      <c r="HL724" s="1494"/>
      <c r="HM724" s="1494"/>
      <c r="HN724" s="1494"/>
      <c r="HO724" s="1494"/>
      <c r="HP724" s="1494"/>
      <c r="HQ724" s="1494"/>
      <c r="HR724" s="1494"/>
      <c r="HS724" s="1494"/>
      <c r="HT724" s="1494"/>
      <c r="HU724" s="1494"/>
      <c r="HV724" s="1494"/>
      <c r="HW724" s="1494"/>
      <c r="HX724" s="1494"/>
      <c r="HY724" s="1494"/>
      <c r="HZ724" s="1494"/>
      <c r="IA724" s="1494"/>
      <c r="IB724" s="1494"/>
      <c r="IC724" s="1494"/>
      <c r="ID724" s="1494"/>
      <c r="IE724" s="1494"/>
      <c r="IF724" s="1494"/>
      <c r="IG724" s="1494"/>
      <c r="IH724" s="1494"/>
      <c r="II724" s="1494"/>
      <c r="IJ724" s="1494"/>
      <c r="IK724" s="1494"/>
      <c r="IL724" s="1494"/>
      <c r="IM724" s="1494"/>
      <c r="IN724" s="1494"/>
      <c r="IO724" s="49"/>
    </row>
    <row r="725" spans="1:249" s="5" customFormat="1" ht="25.5" customHeight="1">
      <c r="A725" s="99" t="s">
        <v>282</v>
      </c>
      <c r="B725" s="44"/>
      <c r="C725" s="44"/>
      <c r="D725" s="44"/>
      <c r="E725" s="44"/>
      <c r="F725" s="44"/>
      <c r="G725" s="44"/>
      <c r="I725" s="104" t="str">
        <f>E664</f>
        <v>B1/ Nb-HK/800</v>
      </c>
      <c r="J725" s="44"/>
      <c r="K725" s="44"/>
      <c r="L725" s="44"/>
      <c r="M725" s="44"/>
      <c r="N725" s="44"/>
      <c r="O725" s="49"/>
      <c r="P725" s="49"/>
      <c r="Q725" s="49"/>
      <c r="R725" s="49"/>
      <c r="S725" s="49"/>
      <c r="T725" s="49"/>
      <c r="U725" s="49"/>
      <c r="V725" s="49"/>
      <c r="W725" s="49"/>
      <c r="X725" s="49"/>
      <c r="Y725" s="49"/>
      <c r="Z725" s="49"/>
      <c r="AA725" s="49"/>
      <c r="AB725" s="49"/>
      <c r="AC725" s="49"/>
      <c r="AD725" s="1494"/>
      <c r="AE725" s="1494"/>
      <c r="AF725" s="1494"/>
      <c r="AG725" s="1494"/>
      <c r="AH725" s="1494"/>
      <c r="AI725" s="1494"/>
      <c r="AJ725" s="1494"/>
      <c r="AK725" s="1494"/>
      <c r="AL725" s="1494"/>
      <c r="AM725" s="1494"/>
      <c r="AN725" s="1494"/>
      <c r="AO725" s="1494"/>
      <c r="AP725" s="1494"/>
      <c r="AQ725" s="1494"/>
      <c r="AR725" s="1494"/>
      <c r="AS725" s="1494"/>
      <c r="AT725" s="1494"/>
      <c r="AU725" s="1494"/>
      <c r="AV725" s="1494"/>
      <c r="AW725" s="1494"/>
      <c r="AX725" s="1494"/>
      <c r="AY725" s="1494"/>
      <c r="AZ725" s="1494"/>
      <c r="BA725" s="1494"/>
      <c r="BB725" s="1494"/>
      <c r="BC725" s="1494"/>
      <c r="BD725" s="1494"/>
      <c r="BE725" s="1494"/>
      <c r="BF725" s="1494"/>
      <c r="BG725" s="1494"/>
      <c r="BH725" s="1494"/>
      <c r="BI725" s="1494"/>
      <c r="BJ725" s="1494"/>
      <c r="BK725" s="1494"/>
      <c r="BL725" s="1494"/>
      <c r="BM725" s="1494"/>
      <c r="BN725" s="1494"/>
      <c r="BO725" s="1494"/>
      <c r="BP725" s="1494"/>
      <c r="BQ725" s="1494"/>
      <c r="BR725" s="1494"/>
      <c r="BS725" s="1494"/>
      <c r="BT725" s="1494"/>
      <c r="BU725" s="1494"/>
      <c r="BV725" s="1494"/>
      <c r="BW725" s="1494"/>
      <c r="BX725" s="1494"/>
      <c r="BY725" s="1494"/>
      <c r="BZ725" s="1494"/>
      <c r="CA725" s="1494"/>
      <c r="CB725" s="1494"/>
      <c r="CC725" s="1494"/>
      <c r="CD725" s="1494"/>
      <c r="CE725" s="1494"/>
      <c r="CF725" s="1494"/>
      <c r="CG725" s="1494"/>
      <c r="CH725" s="1494"/>
      <c r="CI725" s="1494"/>
      <c r="CJ725" s="1494"/>
      <c r="CK725" s="1494"/>
      <c r="CL725" s="1494"/>
      <c r="CM725" s="1494"/>
      <c r="CN725" s="1494"/>
      <c r="CO725" s="1494"/>
      <c r="CP725" s="1494"/>
      <c r="CQ725" s="1494"/>
      <c r="CR725" s="1494"/>
      <c r="CS725" s="1494"/>
      <c r="CT725" s="1494"/>
      <c r="CU725" s="1494"/>
      <c r="CV725" s="1494"/>
      <c r="CW725" s="1494"/>
      <c r="CX725" s="1494"/>
      <c r="CY725" s="1494"/>
      <c r="CZ725" s="1494"/>
      <c r="DA725" s="1494"/>
      <c r="DB725" s="1494"/>
      <c r="DC725" s="1494"/>
      <c r="DD725" s="1494"/>
      <c r="DE725" s="1494"/>
      <c r="DF725" s="1494"/>
      <c r="DG725" s="1494"/>
      <c r="DH725" s="1494"/>
      <c r="DI725" s="1494"/>
      <c r="DJ725" s="1494"/>
      <c r="DK725" s="1494"/>
      <c r="DL725" s="1494"/>
      <c r="DM725" s="1494"/>
      <c r="DN725" s="1494"/>
      <c r="DO725" s="1494"/>
      <c r="DP725" s="1494"/>
      <c r="DQ725" s="1494"/>
      <c r="DR725" s="1494"/>
      <c r="DS725" s="1494"/>
      <c r="DT725" s="1494"/>
      <c r="DU725" s="1494"/>
      <c r="DV725" s="1494"/>
      <c r="DW725" s="1494"/>
      <c r="DX725" s="1494"/>
      <c r="DY725" s="1494"/>
      <c r="DZ725" s="1494"/>
      <c r="EA725" s="1494"/>
      <c r="EB725" s="1494"/>
      <c r="EC725" s="1494"/>
      <c r="ED725" s="1494"/>
      <c r="EE725" s="1494"/>
      <c r="EF725" s="1494"/>
      <c r="EG725" s="1494"/>
      <c r="EH725" s="1494"/>
      <c r="EI725" s="1494"/>
      <c r="EJ725" s="1494"/>
      <c r="EK725" s="1494"/>
      <c r="EL725" s="1494"/>
      <c r="EM725" s="1494"/>
      <c r="EN725" s="1494"/>
      <c r="EO725" s="1494"/>
      <c r="EP725" s="1494"/>
      <c r="EQ725" s="1494"/>
      <c r="ER725" s="1494"/>
      <c r="ES725" s="1494"/>
      <c r="ET725" s="1494"/>
      <c r="EU725" s="1494"/>
      <c r="EV725" s="1494"/>
      <c r="EW725" s="1494"/>
      <c r="EX725" s="1494"/>
      <c r="EY725" s="1494"/>
      <c r="EZ725" s="1494"/>
      <c r="FA725" s="1494"/>
      <c r="FB725" s="1494"/>
      <c r="FC725" s="1494"/>
      <c r="FD725" s="1494"/>
      <c r="FE725" s="1494"/>
      <c r="FF725" s="1494"/>
      <c r="FG725" s="1494"/>
      <c r="FH725" s="1494"/>
      <c r="FI725" s="1494"/>
      <c r="FJ725" s="1494"/>
      <c r="FK725" s="1494"/>
      <c r="FL725" s="1494"/>
      <c r="FM725" s="1494"/>
      <c r="FN725" s="1494"/>
      <c r="FO725" s="1494"/>
      <c r="FP725" s="1494"/>
      <c r="FQ725" s="1494"/>
      <c r="FR725" s="1494"/>
      <c r="FS725" s="1494"/>
      <c r="FT725" s="1494"/>
      <c r="FU725" s="1494"/>
      <c r="FV725" s="1494"/>
      <c r="FW725" s="1494"/>
      <c r="FX725" s="1494"/>
      <c r="FY725" s="1494"/>
      <c r="FZ725" s="1494"/>
      <c r="GA725" s="1494"/>
      <c r="GB725" s="1494"/>
      <c r="GC725" s="1494"/>
      <c r="GD725" s="1494"/>
      <c r="GE725" s="1494"/>
      <c r="GF725" s="1494"/>
      <c r="GG725" s="1494"/>
      <c r="GH725" s="1494"/>
      <c r="GI725" s="1494"/>
      <c r="GJ725" s="1494"/>
      <c r="GK725" s="1494"/>
      <c r="GL725" s="1494"/>
      <c r="GM725" s="1494"/>
      <c r="GN725" s="1494"/>
      <c r="GO725" s="1494"/>
      <c r="GP725" s="1494"/>
      <c r="GQ725" s="1494"/>
      <c r="GR725" s="1494"/>
      <c r="GS725" s="1494"/>
      <c r="GT725" s="1494"/>
      <c r="GU725" s="1494"/>
      <c r="GV725" s="1494"/>
      <c r="GW725" s="1494"/>
      <c r="GX725" s="1494"/>
      <c r="GY725" s="1494"/>
      <c r="GZ725" s="1494"/>
      <c r="HA725" s="1494"/>
      <c r="HB725" s="1494"/>
      <c r="HC725" s="1494"/>
      <c r="HD725" s="1494"/>
      <c r="HE725" s="1494"/>
      <c r="HF725" s="1494"/>
      <c r="HG725" s="1494"/>
      <c r="HH725" s="1494"/>
      <c r="HI725" s="1494"/>
      <c r="HJ725" s="1494"/>
      <c r="HK725" s="1494"/>
      <c r="HL725" s="1494"/>
      <c r="HM725" s="1494"/>
      <c r="HN725" s="1494"/>
      <c r="HO725" s="1494"/>
      <c r="HP725" s="1494"/>
      <c r="HQ725" s="1494"/>
      <c r="HR725" s="1494"/>
      <c r="HS725" s="1494"/>
      <c r="HT725" s="1494"/>
      <c r="HU725" s="1494"/>
      <c r="HV725" s="1494"/>
      <c r="HW725" s="1494"/>
      <c r="HX725" s="1494"/>
      <c r="HY725" s="1494"/>
      <c r="HZ725" s="1494"/>
      <c r="IA725" s="1494"/>
      <c r="IB725" s="1494"/>
      <c r="IC725" s="1494"/>
      <c r="ID725" s="1494"/>
      <c r="IE725" s="1494"/>
      <c r="IF725" s="1494"/>
      <c r="IG725" s="1494"/>
      <c r="IH725" s="1494"/>
      <c r="II725" s="1494"/>
      <c r="IJ725" s="1494"/>
      <c r="IK725" s="1494"/>
      <c r="IL725" s="1494"/>
      <c r="IM725" s="1494"/>
      <c r="IN725" s="1494"/>
      <c r="IO725" s="49"/>
    </row>
    <row r="726" spans="1:249" s="5" customFormat="1" ht="24" customHeight="1">
      <c r="A726" s="1488" t="s">
        <v>236</v>
      </c>
      <c r="B726" s="1488"/>
      <c r="C726" s="1488"/>
      <c r="D726" s="1488"/>
      <c r="E726" s="1488"/>
      <c r="F726" s="1488"/>
      <c r="G726" s="1488"/>
      <c r="H726" s="1488"/>
      <c r="I726" s="1488"/>
      <c r="J726" s="1488"/>
      <c r="K726" s="1488"/>
      <c r="L726" s="1488"/>
      <c r="M726" s="1488"/>
      <c r="N726" s="1488"/>
      <c r="O726" s="49"/>
      <c r="P726" s="49"/>
      <c r="Q726" s="49"/>
      <c r="R726" s="49"/>
      <c r="S726" s="49"/>
      <c r="T726" s="49"/>
      <c r="U726" s="49"/>
      <c r="V726" s="49"/>
      <c r="W726" s="49"/>
      <c r="X726" s="49"/>
      <c r="Y726" s="49"/>
      <c r="Z726" s="49"/>
      <c r="AA726" s="49"/>
      <c r="AB726" s="49"/>
      <c r="AC726" s="49"/>
      <c r="AD726" s="1494"/>
      <c r="AE726" s="1494"/>
      <c r="AF726" s="1494"/>
      <c r="AG726" s="1494"/>
      <c r="AH726" s="1494"/>
      <c r="AI726" s="1494"/>
      <c r="AJ726" s="1494"/>
      <c r="AK726" s="1494"/>
      <c r="AL726" s="1494"/>
      <c r="AM726" s="1494"/>
      <c r="AN726" s="1494"/>
      <c r="AO726" s="1494"/>
      <c r="AP726" s="1494"/>
      <c r="AQ726" s="1494"/>
      <c r="AR726" s="1494"/>
      <c r="AS726" s="1494"/>
      <c r="AT726" s="1494"/>
      <c r="AU726" s="1494"/>
      <c r="AV726" s="1494"/>
      <c r="AW726" s="1494"/>
      <c r="AX726" s="1494"/>
      <c r="AY726" s="1494"/>
      <c r="AZ726" s="1494"/>
      <c r="BA726" s="1494"/>
      <c r="BB726" s="1494"/>
      <c r="BC726" s="1494"/>
      <c r="BD726" s="1494"/>
      <c r="BE726" s="1494"/>
      <c r="BF726" s="1494"/>
      <c r="BG726" s="1494"/>
      <c r="BH726" s="1494"/>
      <c r="BI726" s="1494"/>
      <c r="BJ726" s="1494"/>
      <c r="BK726" s="1494"/>
      <c r="BL726" s="1494"/>
      <c r="BM726" s="1494"/>
      <c r="BN726" s="1494"/>
      <c r="BO726" s="1494"/>
      <c r="BP726" s="1494"/>
      <c r="BQ726" s="1494"/>
      <c r="BR726" s="1494"/>
      <c r="BS726" s="1494"/>
      <c r="BT726" s="1494"/>
      <c r="BU726" s="1494"/>
      <c r="BV726" s="1494"/>
      <c r="BW726" s="1494"/>
      <c r="BX726" s="1494"/>
      <c r="BY726" s="1494"/>
      <c r="BZ726" s="1494"/>
      <c r="CA726" s="1494"/>
      <c r="CB726" s="1494"/>
      <c r="CC726" s="1494"/>
      <c r="CD726" s="1494"/>
      <c r="CE726" s="1494"/>
      <c r="CF726" s="1494"/>
      <c r="CG726" s="1494"/>
      <c r="CH726" s="1494"/>
      <c r="CI726" s="1494"/>
      <c r="CJ726" s="1494"/>
      <c r="CK726" s="1494"/>
      <c r="CL726" s="1494"/>
      <c r="CM726" s="1494"/>
      <c r="CN726" s="1494"/>
      <c r="CO726" s="1494"/>
      <c r="CP726" s="1494"/>
      <c r="CQ726" s="1494"/>
      <c r="CR726" s="1494"/>
      <c r="CS726" s="1494"/>
      <c r="CT726" s="1494"/>
      <c r="CU726" s="1494"/>
      <c r="CV726" s="1494"/>
      <c r="CW726" s="1494"/>
      <c r="CX726" s="1494"/>
      <c r="CY726" s="1494"/>
      <c r="CZ726" s="1494"/>
      <c r="DA726" s="1494"/>
      <c r="DB726" s="1494"/>
      <c r="DC726" s="1494"/>
      <c r="DD726" s="1494"/>
      <c r="DE726" s="1494"/>
      <c r="DF726" s="1494"/>
      <c r="DG726" s="1494"/>
      <c r="DH726" s="1494"/>
      <c r="DI726" s="1494"/>
      <c r="DJ726" s="1494"/>
      <c r="DK726" s="1494"/>
      <c r="DL726" s="1494"/>
      <c r="DM726" s="1494"/>
      <c r="DN726" s="1494"/>
      <c r="DO726" s="1494"/>
      <c r="DP726" s="1494"/>
      <c r="DQ726" s="1494"/>
      <c r="DR726" s="1494"/>
      <c r="DS726" s="1494"/>
      <c r="DT726" s="1494"/>
      <c r="DU726" s="1494"/>
      <c r="DV726" s="1494"/>
      <c r="DW726" s="1494"/>
      <c r="DX726" s="1494"/>
      <c r="DY726" s="1494"/>
      <c r="DZ726" s="1494"/>
      <c r="EA726" s="1494"/>
      <c r="EB726" s="1494"/>
      <c r="EC726" s="1494"/>
      <c r="ED726" s="1494"/>
      <c r="EE726" s="1494"/>
      <c r="EF726" s="1494"/>
      <c r="EG726" s="1494"/>
      <c r="EH726" s="1494"/>
      <c r="EI726" s="1494"/>
      <c r="EJ726" s="1494"/>
      <c r="EK726" s="1494"/>
      <c r="EL726" s="1494"/>
      <c r="EM726" s="1494"/>
      <c r="EN726" s="1494"/>
      <c r="EO726" s="1494"/>
      <c r="EP726" s="1494"/>
      <c r="EQ726" s="1494"/>
      <c r="ER726" s="1494"/>
      <c r="ES726" s="1494"/>
      <c r="ET726" s="1494"/>
      <c r="EU726" s="1494"/>
      <c r="EV726" s="1494"/>
      <c r="EW726" s="1494"/>
      <c r="EX726" s="1494"/>
      <c r="EY726" s="1494"/>
      <c r="EZ726" s="1494"/>
      <c r="FA726" s="1494"/>
      <c r="FB726" s="1494"/>
      <c r="FC726" s="1494"/>
      <c r="FD726" s="1494"/>
      <c r="FE726" s="1494"/>
      <c r="FF726" s="1494"/>
      <c r="FG726" s="1494"/>
      <c r="FH726" s="1494"/>
      <c r="FI726" s="1494"/>
      <c r="FJ726" s="1494"/>
      <c r="FK726" s="1494"/>
      <c r="FL726" s="1494"/>
      <c r="FM726" s="1494"/>
      <c r="FN726" s="1494"/>
      <c r="FO726" s="1494"/>
      <c r="FP726" s="1494"/>
      <c r="FQ726" s="1494"/>
      <c r="FR726" s="1494"/>
      <c r="FS726" s="1494"/>
      <c r="FT726" s="1494"/>
      <c r="FU726" s="1494"/>
      <c r="FV726" s="1494"/>
      <c r="FW726" s="1494"/>
      <c r="FX726" s="1494"/>
      <c r="FY726" s="1494"/>
      <c r="FZ726" s="1494"/>
      <c r="GA726" s="1494"/>
      <c r="GB726" s="1494"/>
      <c r="GC726" s="1494"/>
      <c r="GD726" s="1494"/>
      <c r="GE726" s="1494"/>
      <c r="GF726" s="1494"/>
      <c r="GG726" s="1494"/>
      <c r="GH726" s="1494"/>
      <c r="GI726" s="1494"/>
      <c r="GJ726" s="1494"/>
      <c r="GK726" s="1494"/>
      <c r="GL726" s="1494"/>
      <c r="GM726" s="1494"/>
      <c r="GN726" s="1494"/>
      <c r="GO726" s="1494"/>
      <c r="GP726" s="1494"/>
      <c r="GQ726" s="1494"/>
      <c r="GR726" s="1494"/>
      <c r="GS726" s="1494"/>
      <c r="GT726" s="1494"/>
      <c r="GU726" s="1494"/>
      <c r="GV726" s="1494"/>
      <c r="GW726" s="1494"/>
      <c r="GX726" s="1494"/>
      <c r="GY726" s="1494"/>
      <c r="GZ726" s="1494"/>
      <c r="HA726" s="1494"/>
      <c r="HB726" s="1494"/>
      <c r="HC726" s="1494"/>
      <c r="HD726" s="1494"/>
      <c r="HE726" s="1494"/>
      <c r="HF726" s="1494"/>
      <c r="HG726" s="1494"/>
      <c r="HH726" s="1494"/>
      <c r="HI726" s="1494"/>
      <c r="HJ726" s="1494"/>
      <c r="HK726" s="1494"/>
      <c r="HL726" s="1494"/>
      <c r="HM726" s="1494"/>
      <c r="HN726" s="1494"/>
      <c r="HO726" s="1494"/>
      <c r="HP726" s="1494"/>
      <c r="HQ726" s="1494"/>
      <c r="HR726" s="1494"/>
      <c r="HS726" s="1494"/>
      <c r="HT726" s="1494"/>
      <c r="HU726" s="1494"/>
      <c r="HV726" s="1494"/>
      <c r="HW726" s="1494"/>
      <c r="HX726" s="1494"/>
      <c r="HY726" s="1494"/>
      <c r="HZ726" s="1494"/>
      <c r="IA726" s="1494"/>
      <c r="IB726" s="1494"/>
      <c r="IC726" s="1494"/>
      <c r="ID726" s="1494"/>
      <c r="IE726" s="1494"/>
      <c r="IF726" s="1494"/>
      <c r="IG726" s="1494"/>
      <c r="IH726" s="1494"/>
      <c r="II726" s="1494"/>
      <c r="IJ726" s="1494"/>
      <c r="IK726" s="1494"/>
      <c r="IL726" s="1494"/>
      <c r="IM726" s="1494"/>
      <c r="IN726" s="1494"/>
      <c r="IO726" s="49"/>
    </row>
    <row r="727" spans="1:249" s="5" customFormat="1" ht="24" customHeight="1">
      <c r="A727"/>
      <c r="B727" s="1520" t="s">
        <v>237</v>
      </c>
      <c r="C727" s="1520"/>
      <c r="D727" s="1520"/>
      <c r="E727" s="1520"/>
      <c r="F727" s="1520"/>
      <c r="G727" s="1520"/>
      <c r="H727" s="1520"/>
      <c r="I727" s="1520"/>
      <c r="J727" s="50"/>
      <c r="K727" s="50"/>
      <c r="L727" s="50"/>
      <c r="M727" s="50"/>
      <c r="N727" s="50"/>
      <c r="P727" s="4"/>
      <c r="Q727" s="105"/>
      <c r="R727" s="105"/>
      <c r="S727" s="105"/>
      <c r="T727" s="105"/>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c r="BP727" s="49"/>
      <c r="BQ727" s="49"/>
      <c r="BR727" s="49"/>
      <c r="BS727" s="49"/>
      <c r="BT727" s="49"/>
      <c r="BU727" s="49"/>
      <c r="BV727" s="49"/>
      <c r="BW727" s="49"/>
      <c r="BX727" s="49"/>
      <c r="BY727" s="49"/>
      <c r="BZ727" s="49"/>
      <c r="CA727" s="49"/>
      <c r="CB727" s="49"/>
      <c r="CC727" s="49"/>
      <c r="CD727" s="49"/>
      <c r="CE727" s="49"/>
      <c r="CF727" s="49"/>
      <c r="CG727" s="49"/>
      <c r="CH727" s="49"/>
      <c r="CI727" s="49"/>
      <c r="CJ727" s="49"/>
      <c r="CK727" s="49"/>
      <c r="CL727" s="49"/>
      <c r="CM727" s="49"/>
      <c r="CN727" s="49"/>
      <c r="CO727" s="49"/>
      <c r="CP727" s="49"/>
      <c r="CQ727" s="49"/>
      <c r="CR727" s="49"/>
      <c r="CS727" s="49"/>
      <c r="CT727" s="49"/>
      <c r="CU727" s="49"/>
      <c r="CV727" s="49"/>
      <c r="CW727" s="49"/>
      <c r="CX727" s="49"/>
      <c r="CY727" s="49"/>
      <c r="CZ727" s="49"/>
      <c r="DA727" s="49"/>
      <c r="DB727" s="49"/>
      <c r="DC727" s="49"/>
      <c r="DD727" s="49"/>
      <c r="DE727" s="49"/>
      <c r="DF727" s="49"/>
      <c r="DG727" s="49"/>
      <c r="DH727" s="49"/>
      <c r="DI727" s="49"/>
      <c r="DJ727" s="49"/>
      <c r="DK727" s="49"/>
      <c r="DL727" s="49"/>
      <c r="DM727" s="49"/>
      <c r="DN727" s="49"/>
      <c r="DO727" s="49"/>
      <c r="DP727" s="49"/>
      <c r="DQ727" s="49"/>
      <c r="DR727" s="49"/>
      <c r="DS727" s="49"/>
      <c r="DT727" s="49"/>
      <c r="DU727" s="49"/>
      <c r="DV727" s="49"/>
      <c r="DW727" s="49"/>
      <c r="DX727" s="49"/>
      <c r="DY727" s="49"/>
      <c r="DZ727" s="49"/>
      <c r="EA727" s="49"/>
      <c r="EB727" s="49"/>
      <c r="EC727" s="49"/>
      <c r="ED727" s="49"/>
      <c r="EE727" s="49"/>
      <c r="EF727" s="49"/>
      <c r="EG727" s="49"/>
      <c r="EH727" s="49"/>
      <c r="EI727" s="49"/>
      <c r="EJ727" s="49"/>
      <c r="EK727" s="49"/>
      <c r="EL727" s="49"/>
      <c r="EM727" s="49"/>
      <c r="EN727" s="49"/>
      <c r="EO727" s="49"/>
      <c r="EP727" s="49"/>
      <c r="EQ727" s="49"/>
      <c r="ER727" s="49"/>
      <c r="ES727" s="49"/>
      <c r="ET727" s="49"/>
      <c r="EU727" s="49"/>
      <c r="EV727" s="49"/>
      <c r="EW727" s="49"/>
      <c r="EX727" s="49"/>
      <c r="EY727" s="49"/>
      <c r="EZ727" s="49"/>
      <c r="FA727" s="49"/>
      <c r="FB727" s="49"/>
      <c r="FC727" s="49"/>
      <c r="FD727" s="49"/>
      <c r="FE727" s="49"/>
      <c r="FF727" s="49"/>
      <c r="FG727" s="49"/>
      <c r="FH727" s="49"/>
      <c r="FI727" s="49"/>
      <c r="FJ727" s="49"/>
      <c r="FK727" s="49"/>
      <c r="FL727" s="49"/>
      <c r="FM727" s="49"/>
      <c r="FN727" s="49"/>
      <c r="FO727" s="49"/>
      <c r="FP727" s="49"/>
      <c r="FQ727" s="49"/>
      <c r="FR727" s="49"/>
      <c r="FS727" s="49"/>
      <c r="FT727" s="49"/>
      <c r="FU727" s="49"/>
      <c r="FV727" s="49"/>
      <c r="FW727" s="49"/>
      <c r="FX727" s="49"/>
      <c r="FY727" s="49"/>
      <c r="FZ727" s="49"/>
      <c r="GA727" s="49"/>
      <c r="GB727" s="49"/>
      <c r="GC727" s="49"/>
      <c r="GD727" s="49"/>
      <c r="GE727" s="49"/>
      <c r="GF727" s="49"/>
      <c r="GG727" s="49"/>
      <c r="GH727" s="49"/>
      <c r="GI727" s="49"/>
      <c r="GJ727" s="49"/>
      <c r="GK727" s="49"/>
      <c r="GL727" s="49"/>
      <c r="GM727" s="49"/>
      <c r="GN727" s="49"/>
      <c r="GO727" s="49"/>
      <c r="GP727" s="49"/>
      <c r="GQ727" s="49"/>
      <c r="GR727" s="49"/>
      <c r="GS727" s="49"/>
      <c r="GT727" s="49"/>
      <c r="GU727" s="49"/>
      <c r="GV727" s="49"/>
      <c r="GW727" s="49"/>
      <c r="GX727" s="49"/>
      <c r="GY727" s="49"/>
      <c r="GZ727" s="49"/>
      <c r="HA727" s="49"/>
      <c r="HB727" s="49"/>
      <c r="HC727" s="49"/>
      <c r="HD727" s="49"/>
      <c r="HE727" s="49"/>
      <c r="HF727" s="49"/>
      <c r="HG727" s="49"/>
      <c r="HH727" s="49"/>
      <c r="HI727" s="49"/>
      <c r="HJ727" s="49"/>
      <c r="HK727" s="49"/>
      <c r="HL727" s="49"/>
      <c r="HM727" s="49"/>
      <c r="HN727" s="49"/>
      <c r="HO727" s="49"/>
      <c r="HP727" s="49"/>
      <c r="HQ727" s="49"/>
      <c r="HR727" s="49"/>
      <c r="HS727" s="49"/>
      <c r="HT727" s="49"/>
      <c r="HU727" s="49"/>
      <c r="HV727" s="49"/>
      <c r="HW727" s="49"/>
      <c r="HX727" s="49"/>
      <c r="HY727" s="49"/>
      <c r="HZ727" s="49"/>
      <c r="IA727" s="49"/>
      <c r="IB727" s="49"/>
      <c r="IC727" s="49"/>
      <c r="ID727" s="49"/>
      <c r="IE727" s="49"/>
      <c r="IF727" s="49"/>
      <c r="IG727" s="49"/>
      <c r="IH727" s="49"/>
      <c r="II727" s="49"/>
      <c r="IJ727" s="49"/>
      <c r="IK727" s="49"/>
      <c r="IL727" s="49"/>
      <c r="IM727" s="49"/>
      <c r="IN727" s="49"/>
      <c r="IO727" s="49"/>
    </row>
    <row r="728" spans="1:249" s="5" customFormat="1" ht="24" customHeight="1">
      <c r="A728" s="1559" t="s">
        <v>191</v>
      </c>
      <c r="B728" s="1523" t="s">
        <v>238</v>
      </c>
      <c r="C728" s="1524"/>
      <c r="D728" s="1524"/>
      <c r="E728" s="1524"/>
      <c r="F728" s="1524"/>
      <c r="G728" s="1525"/>
      <c r="H728" s="1523" t="s">
        <v>239</v>
      </c>
      <c r="I728" s="1524"/>
      <c r="J728" s="1524"/>
      <c r="K728" s="1524"/>
      <c r="L728" s="1525"/>
      <c r="M728" s="1529" t="s">
        <v>240</v>
      </c>
      <c r="N728" s="1530"/>
      <c r="P728" s="4"/>
      <c r="Q728" s="105"/>
      <c r="R728" s="105"/>
      <c r="S728" s="105"/>
      <c r="T728" s="105"/>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c r="BP728" s="49"/>
      <c r="BQ728" s="49"/>
      <c r="BR728" s="49"/>
      <c r="BS728" s="49"/>
      <c r="BT728" s="49"/>
      <c r="BU728" s="49"/>
      <c r="BV728" s="49"/>
      <c r="BW728" s="49"/>
      <c r="BX728" s="49"/>
      <c r="BY728" s="49"/>
      <c r="BZ728" s="49"/>
      <c r="CA728" s="49"/>
      <c r="CB728" s="49"/>
      <c r="CC728" s="49"/>
      <c r="CD728" s="49"/>
      <c r="CE728" s="49"/>
      <c r="CF728" s="49"/>
      <c r="CG728" s="49"/>
      <c r="CH728" s="49"/>
      <c r="CI728" s="49"/>
      <c r="CJ728" s="49"/>
      <c r="CK728" s="49"/>
      <c r="CL728" s="49"/>
      <c r="CM728" s="49"/>
      <c r="CN728" s="49"/>
      <c r="CO728" s="49"/>
      <c r="CP728" s="49"/>
      <c r="CQ728" s="49"/>
      <c r="CR728" s="49"/>
      <c r="CS728" s="49"/>
      <c r="CT728" s="49"/>
      <c r="CU728" s="49"/>
      <c r="CV728" s="49"/>
      <c r="CW728" s="49"/>
      <c r="CX728" s="49"/>
      <c r="CY728" s="49"/>
      <c r="CZ728" s="49"/>
      <c r="DA728" s="49"/>
      <c r="DB728" s="49"/>
      <c r="DC728" s="49"/>
      <c r="DD728" s="49"/>
      <c r="DE728" s="49"/>
      <c r="DF728" s="49"/>
      <c r="DG728" s="49"/>
      <c r="DH728" s="49"/>
      <c r="DI728" s="49"/>
      <c r="DJ728" s="49"/>
      <c r="DK728" s="49"/>
      <c r="DL728" s="49"/>
      <c r="DM728" s="49"/>
      <c r="DN728" s="49"/>
      <c r="DO728" s="49"/>
      <c r="DP728" s="49"/>
      <c r="DQ728" s="49"/>
      <c r="DR728" s="49"/>
      <c r="DS728" s="49"/>
      <c r="DT728" s="49"/>
      <c r="DU728" s="49"/>
      <c r="DV728" s="49"/>
      <c r="DW728" s="49"/>
      <c r="DX728" s="49"/>
      <c r="DY728" s="49"/>
      <c r="DZ728" s="49"/>
      <c r="EA728" s="49"/>
      <c r="EB728" s="49"/>
      <c r="EC728" s="49"/>
      <c r="ED728" s="49"/>
      <c r="EE728" s="49"/>
      <c r="EF728" s="49"/>
      <c r="EG728" s="49"/>
      <c r="EH728" s="49"/>
      <c r="EI728" s="49"/>
      <c r="EJ728" s="49"/>
      <c r="EK728" s="49"/>
      <c r="EL728" s="49"/>
      <c r="EM728" s="49"/>
      <c r="EN728" s="49"/>
      <c r="EO728" s="49"/>
      <c r="EP728" s="49"/>
      <c r="EQ728" s="49"/>
      <c r="ER728" s="49"/>
      <c r="ES728" s="49"/>
      <c r="ET728" s="49"/>
      <c r="EU728" s="49"/>
      <c r="EV728" s="49"/>
      <c r="EW728" s="49"/>
      <c r="EX728" s="49"/>
      <c r="EY728" s="49"/>
      <c r="EZ728" s="49"/>
      <c r="FA728" s="49"/>
      <c r="FB728" s="49"/>
      <c r="FC728" s="49"/>
      <c r="FD728" s="49"/>
      <c r="FE728" s="49"/>
      <c r="FF728" s="49"/>
      <c r="FG728" s="49"/>
      <c r="FH728" s="49"/>
      <c r="FI728" s="49"/>
      <c r="FJ728" s="49"/>
      <c r="FK728" s="49"/>
      <c r="FL728" s="49"/>
      <c r="FM728" s="49"/>
      <c r="FN728" s="49"/>
      <c r="FO728" s="49"/>
      <c r="FP728" s="49"/>
      <c r="FQ728" s="49"/>
      <c r="FR728" s="49"/>
      <c r="FS728" s="49"/>
      <c r="FT728" s="49"/>
      <c r="FU728" s="49"/>
      <c r="FV728" s="49"/>
      <c r="FW728" s="49"/>
      <c r="FX728" s="49"/>
      <c r="FY728" s="49"/>
      <c r="FZ728" s="49"/>
      <c r="GA728" s="49"/>
      <c r="GB728" s="49"/>
      <c r="GC728" s="49"/>
      <c r="GD728" s="49"/>
      <c r="GE728" s="49"/>
      <c r="GF728" s="49"/>
      <c r="GG728" s="49"/>
      <c r="GH728" s="49"/>
      <c r="GI728" s="49"/>
      <c r="GJ728" s="49"/>
      <c r="GK728" s="49"/>
      <c r="GL728" s="49"/>
      <c r="GM728" s="49"/>
      <c r="GN728" s="49"/>
      <c r="GO728" s="49"/>
      <c r="GP728" s="49"/>
      <c r="GQ728" s="49"/>
      <c r="GR728" s="49"/>
      <c r="GS728" s="49"/>
      <c r="GT728" s="49"/>
      <c r="GU728" s="49"/>
      <c r="GV728" s="49"/>
      <c r="GW728" s="49"/>
      <c r="GX728" s="49"/>
      <c r="GY728" s="49"/>
      <c r="GZ728" s="49"/>
      <c r="HA728" s="49"/>
      <c r="HB728" s="49"/>
      <c r="HC728" s="49"/>
      <c r="HD728" s="49"/>
      <c r="HE728" s="49"/>
      <c r="HF728" s="49"/>
      <c r="HG728" s="49"/>
      <c r="HH728" s="49"/>
      <c r="HI728" s="49"/>
      <c r="HJ728" s="49"/>
      <c r="HK728" s="49"/>
      <c r="HL728" s="49"/>
      <c r="HM728" s="49"/>
      <c r="HN728" s="49"/>
      <c r="HO728" s="49"/>
      <c r="HP728" s="49"/>
      <c r="HQ728" s="49"/>
      <c r="HR728" s="49"/>
      <c r="HS728" s="49"/>
      <c r="HT728" s="49"/>
      <c r="HU728" s="49"/>
      <c r="HV728" s="49"/>
      <c r="HW728" s="49"/>
      <c r="HX728" s="49"/>
      <c r="HY728" s="49"/>
      <c r="HZ728" s="49"/>
      <c r="IA728" s="49"/>
      <c r="IB728" s="49"/>
      <c r="IC728" s="49"/>
      <c r="ID728" s="49"/>
      <c r="IE728" s="49"/>
      <c r="IF728" s="49"/>
      <c r="IG728" s="49"/>
      <c r="IH728" s="49"/>
      <c r="II728" s="49"/>
      <c r="IJ728" s="49"/>
      <c r="IK728" s="49"/>
      <c r="IL728" s="49"/>
      <c r="IM728" s="49"/>
      <c r="IN728" s="49"/>
      <c r="IO728" s="49"/>
    </row>
    <row r="729" spans="1:249" s="5" customFormat="1" ht="23.25" customHeight="1">
      <c r="A729" s="1560"/>
      <c r="B729" s="1526"/>
      <c r="C729" s="1527"/>
      <c r="D729" s="1527"/>
      <c r="E729" s="1527"/>
      <c r="F729" s="1527"/>
      <c r="G729" s="1528"/>
      <c r="H729" s="1526"/>
      <c r="I729" s="1527"/>
      <c r="J729" s="1527"/>
      <c r="K729" s="1527"/>
      <c r="L729" s="1528"/>
      <c r="M729" s="51" t="s">
        <v>241</v>
      </c>
      <c r="N729" s="51" t="s">
        <v>242</v>
      </c>
      <c r="P729" s="4"/>
      <c r="Q729" s="129"/>
      <c r="R729" s="129"/>
      <c r="S729" s="129"/>
      <c r="T729" s="129"/>
      <c r="U729" s="127"/>
      <c r="V729" s="127"/>
      <c r="W729" s="127"/>
      <c r="X729" s="127"/>
      <c r="Y729" s="127"/>
      <c r="Z729" s="127"/>
      <c r="AA729" s="127"/>
      <c r="AB729" s="127"/>
      <c r="AC729" s="127"/>
      <c r="AD729" s="127"/>
      <c r="AE729" s="127"/>
      <c r="AF729" s="127"/>
    </row>
    <row r="730" spans="1:249" s="5" customFormat="1" ht="23.25" customHeight="1">
      <c r="A730" s="52">
        <v>1</v>
      </c>
      <c r="B730" s="1508" t="str">
        <f>B612</f>
        <v xml:space="preserve">KiÓm tra ®é l¾ng </v>
      </c>
      <c r="C730" s="1509"/>
      <c r="D730" s="1509"/>
      <c r="E730" s="1509"/>
      <c r="F730" s="1509"/>
      <c r="G730" s="1510"/>
      <c r="H730" s="1567" t="str">
        <f>H612</f>
        <v>Th­íc mÐt</v>
      </c>
      <c r="I730" s="1568"/>
      <c r="J730" s="1568"/>
      <c r="K730" s="1568"/>
      <c r="L730" s="1569"/>
      <c r="M730" s="52" t="s">
        <v>245</v>
      </c>
      <c r="N730" s="53"/>
      <c r="P730" s="4"/>
      <c r="Q730" s="129"/>
      <c r="R730" s="129"/>
      <c r="S730" s="129"/>
      <c r="T730" s="129"/>
      <c r="U730" s="127"/>
      <c r="V730" s="127"/>
      <c r="W730" s="127"/>
      <c r="X730" s="127"/>
      <c r="Y730" s="127"/>
      <c r="Z730" s="127"/>
      <c r="AA730" s="127"/>
      <c r="AB730" s="127"/>
      <c r="AC730" s="127"/>
      <c r="AD730" s="127"/>
      <c r="AE730" s="127"/>
      <c r="AF730" s="127"/>
    </row>
    <row r="731" spans="1:249" s="5" customFormat="1" ht="22.5" customHeight="1">
      <c r="A731" s="54">
        <v>2</v>
      </c>
      <c r="B731" s="1514" t="str">
        <f>B613</f>
        <v>KiÓm tra dung dich khoan</v>
      </c>
      <c r="C731" s="1515"/>
      <c r="D731" s="1515"/>
      <c r="E731" s="1515"/>
      <c r="F731" s="1515"/>
      <c r="G731" s="1516"/>
      <c r="H731" s="1564" t="str">
        <f>H613</f>
        <v>Bé thö Bentonite</v>
      </c>
      <c r="I731" s="1565"/>
      <c r="J731" s="1565"/>
      <c r="K731" s="1565"/>
      <c r="L731" s="1566"/>
      <c r="M731" s="54" t="s">
        <v>245</v>
      </c>
      <c r="N731" s="55"/>
      <c r="P731" s="4"/>
      <c r="Q731" s="129"/>
      <c r="R731" s="129"/>
      <c r="S731" s="129"/>
      <c r="T731" s="129"/>
      <c r="U731" s="127"/>
      <c r="V731" s="127"/>
      <c r="W731" s="127"/>
      <c r="X731" s="127"/>
      <c r="Y731" s="127"/>
      <c r="Z731" s="127"/>
      <c r="AA731" s="127"/>
      <c r="AB731" s="127"/>
      <c r="AC731" s="127"/>
      <c r="AD731" s="127"/>
      <c r="AE731" s="127"/>
      <c r="AF731" s="127"/>
    </row>
    <row r="732" spans="1:249" s="5" customFormat="1" ht="21.75" customHeight="1">
      <c r="A732" s="54">
        <v>3</v>
      </c>
      <c r="B732" s="1514" t="str">
        <f>B614</f>
        <v>KiÓm tra neo gi÷ lång thÐp</v>
      </c>
      <c r="C732" s="1515"/>
      <c r="D732" s="1515"/>
      <c r="E732" s="1515"/>
      <c r="F732" s="1515"/>
      <c r="G732" s="1516"/>
      <c r="H732" s="1564" t="str">
        <f>H614</f>
        <v>Trùc quan</v>
      </c>
      <c r="I732" s="1565"/>
      <c r="J732" s="1565"/>
      <c r="K732" s="1565"/>
      <c r="L732" s="1566"/>
      <c r="M732" s="54" t="s">
        <v>245</v>
      </c>
      <c r="N732" s="55"/>
      <c r="P732" s="4"/>
      <c r="Q732" s="129"/>
      <c r="R732" s="129"/>
      <c r="S732" s="129"/>
      <c r="T732" s="129"/>
      <c r="U732" s="127"/>
      <c r="V732" s="127"/>
      <c r="W732" s="127"/>
      <c r="X732" s="127"/>
      <c r="Y732" s="127"/>
      <c r="Z732" s="127"/>
      <c r="AA732" s="127"/>
      <c r="AB732" s="127"/>
      <c r="AC732" s="127"/>
      <c r="AD732" s="127"/>
      <c r="AE732" s="127"/>
      <c r="AF732" s="127"/>
    </row>
    <row r="733" spans="1:249" s="5" customFormat="1" ht="21" customHeight="1">
      <c r="A733" s="56">
        <v>4</v>
      </c>
      <c r="B733" s="1498" t="str">
        <f>B615</f>
        <v>KiÓm tra vÖ sinh miÖng hè khoan</v>
      </c>
      <c r="C733" s="1499"/>
      <c r="D733" s="1499"/>
      <c r="E733" s="1499"/>
      <c r="F733" s="1499"/>
      <c r="G733" s="1500"/>
      <c r="H733" s="1570" t="str">
        <f>H615</f>
        <v>Trùc quan</v>
      </c>
      <c r="I733" s="1571"/>
      <c r="J733" s="1571"/>
      <c r="K733" s="1571"/>
      <c r="L733" s="1572"/>
      <c r="M733" s="56" t="s">
        <v>245</v>
      </c>
      <c r="N733" s="57"/>
      <c r="P733" s="4"/>
      <c r="Q733" s="129"/>
      <c r="R733" s="129"/>
      <c r="S733" s="129"/>
      <c r="T733" s="129"/>
      <c r="U733" s="127"/>
      <c r="V733" s="127"/>
      <c r="W733" s="127"/>
      <c r="X733" s="127"/>
      <c r="Y733" s="127"/>
      <c r="Z733" s="127"/>
      <c r="AA733" s="127"/>
      <c r="AB733" s="127"/>
      <c r="AC733" s="127"/>
      <c r="AD733" s="127"/>
      <c r="AE733" s="127"/>
      <c r="AF733" s="127"/>
    </row>
    <row r="734" spans="1:249" s="5" customFormat="1" ht="24" customHeight="1">
      <c r="A734" s="58"/>
      <c r="B734" s="106" t="s">
        <v>249</v>
      </c>
      <c r="C734" s="106"/>
      <c r="D734" s="106"/>
      <c r="E734" s="106"/>
      <c r="F734" s="60"/>
      <c r="G734" s="1504" t="s">
        <v>176</v>
      </c>
      <c r="H734" s="1504"/>
      <c r="I734" s="1504"/>
      <c r="J734" s="1504"/>
      <c r="K734" s="60"/>
      <c r="L734" s="60"/>
      <c r="M734" s="60"/>
      <c r="N734" s="60"/>
      <c r="P734" s="4"/>
      <c r="Q734" s="129"/>
      <c r="R734" s="129"/>
      <c r="S734" s="129"/>
      <c r="T734" s="129"/>
      <c r="U734" s="127"/>
      <c r="V734" s="127"/>
      <c r="W734" s="127"/>
      <c r="X734" s="127"/>
      <c r="Y734" s="127"/>
      <c r="Z734" s="127"/>
      <c r="AA734" s="127"/>
      <c r="AB734" s="127"/>
      <c r="AC734" s="127"/>
      <c r="AD734" s="127"/>
      <c r="AE734" s="127"/>
      <c r="AF734" s="127"/>
    </row>
    <row r="735" spans="1:249" s="5" customFormat="1" ht="23.25" customHeight="1">
      <c r="A735" s="31" t="s">
        <v>250</v>
      </c>
      <c r="B735" s="31"/>
      <c r="C735" s="31"/>
      <c r="D735" s="31"/>
      <c r="E735" s="61"/>
      <c r="F735" s="61"/>
      <c r="G735" s="61"/>
      <c r="H735" s="61"/>
      <c r="I735" s="61"/>
      <c r="J735" s="61"/>
      <c r="K735" s="61"/>
      <c r="L735" s="61"/>
      <c r="M735" s="61"/>
      <c r="N735" s="61"/>
      <c r="P735" s="4"/>
      <c r="Q735" s="129"/>
      <c r="R735" s="129"/>
      <c r="S735" s="129"/>
      <c r="T735" s="129"/>
      <c r="U735" s="127"/>
      <c r="V735" s="127"/>
      <c r="W735" s="127"/>
      <c r="X735" s="127"/>
      <c r="Y735" s="127"/>
      <c r="Z735" s="127"/>
      <c r="AA735" s="127"/>
      <c r="AB735" s="127"/>
      <c r="AC735" s="127"/>
      <c r="AD735" s="127"/>
      <c r="AE735" s="127"/>
      <c r="AF735" s="127"/>
    </row>
    <row r="736" spans="1:249" s="5" customFormat="1" ht="35.25" customHeight="1">
      <c r="A736" s="62"/>
      <c r="B736" s="1505" t="s">
        <v>251</v>
      </c>
      <c r="C736" s="1505"/>
      <c r="D736" s="1505"/>
      <c r="E736" s="1505"/>
      <c r="F736" s="1505"/>
      <c r="G736" s="1505"/>
      <c r="H736" s="1505"/>
      <c r="I736" s="1505"/>
      <c r="J736" s="1505"/>
      <c r="K736" s="1505"/>
      <c r="L736" s="1505"/>
      <c r="M736" s="1505"/>
      <c r="N736" s="1505"/>
      <c r="P736" s="4"/>
      <c r="Q736" s="129"/>
      <c r="R736" s="129"/>
      <c r="S736" s="129"/>
      <c r="T736" s="129"/>
      <c r="U736" s="127"/>
      <c r="V736" s="127"/>
      <c r="W736" s="127"/>
      <c r="X736" s="127"/>
      <c r="Y736" s="127"/>
      <c r="Z736" s="127"/>
      <c r="AA736" s="127"/>
      <c r="AB736" s="127"/>
      <c r="AC736" s="127"/>
      <c r="AD736" s="127"/>
      <c r="AE736" s="127"/>
      <c r="AF736" s="127"/>
    </row>
    <row r="737" spans="1:32" s="5" customFormat="1" ht="24.75" customHeight="1">
      <c r="A737" s="58"/>
      <c r="B737" s="1506"/>
      <c r="C737" s="1506"/>
      <c r="D737" s="1506"/>
      <c r="E737" s="1506"/>
      <c r="F737" s="1507"/>
      <c r="G737" s="1507"/>
      <c r="H737" s="1507"/>
      <c r="I737" s="1507"/>
      <c r="J737" s="1507"/>
      <c r="K737" s="1507"/>
      <c r="L737" s="1507"/>
      <c r="M737" s="50"/>
      <c r="N737" s="50"/>
      <c r="P737" s="4"/>
      <c r="Q737" s="129"/>
      <c r="R737" s="129"/>
      <c r="S737" s="129"/>
      <c r="T737" s="129"/>
      <c r="U737" s="127"/>
      <c r="V737" s="127"/>
      <c r="W737" s="127"/>
      <c r="X737" s="127"/>
      <c r="Y737" s="127"/>
      <c r="Z737" s="127"/>
      <c r="AA737" s="127"/>
      <c r="AB737" s="127"/>
      <c r="AC737" s="127"/>
      <c r="AD737" s="127"/>
      <c r="AE737" s="127"/>
      <c r="AF737" s="127"/>
    </row>
    <row r="738" spans="1:32" s="5" customFormat="1" ht="20.25" customHeight="1">
      <c r="A738" s="107"/>
      <c r="B738" s="1561" t="s">
        <v>283</v>
      </c>
      <c r="C738" s="1561"/>
      <c r="D738" s="1561"/>
      <c r="E738" s="1561"/>
      <c r="F738" s="1561"/>
      <c r="G738" s="107"/>
      <c r="M738" s="1561" t="s">
        <v>273</v>
      </c>
      <c r="N738" s="1561"/>
      <c r="P738" s="4"/>
      <c r="Q738" s="129"/>
      <c r="R738" s="129"/>
      <c r="S738" s="129"/>
      <c r="T738" s="129"/>
      <c r="U738" s="127"/>
      <c r="V738" s="127"/>
      <c r="W738" s="127"/>
      <c r="X738" s="127"/>
      <c r="Y738" s="127"/>
      <c r="Z738" s="127"/>
      <c r="AA738" s="127"/>
      <c r="AB738" s="127"/>
      <c r="AC738" s="127"/>
      <c r="AD738" s="127"/>
      <c r="AE738" s="127"/>
      <c r="AF738" s="127"/>
    </row>
    <row r="739" spans="1:32" s="5" customFormat="1" ht="21.75" customHeight="1">
      <c r="A739" s="1532"/>
      <c r="B739" s="1532"/>
      <c r="C739" s="1532"/>
      <c r="D739" s="1532"/>
      <c r="E739" s="1532"/>
      <c r="F739" s="1532"/>
      <c r="G739" s="1532"/>
      <c r="M739" s="50"/>
      <c r="N739" s="50"/>
      <c r="O739" s="108"/>
      <c r="P739" s="73"/>
      <c r="Q739" s="129"/>
      <c r="R739" s="129"/>
      <c r="S739" s="129"/>
      <c r="T739" s="129"/>
      <c r="U739" s="127"/>
      <c r="V739" s="127"/>
      <c r="W739" s="127"/>
      <c r="X739" s="127"/>
      <c r="Y739" s="127"/>
      <c r="Z739" s="127"/>
      <c r="AA739" s="127"/>
      <c r="AB739" s="127"/>
      <c r="AC739" s="127"/>
      <c r="AD739" s="127"/>
      <c r="AE739" s="127"/>
      <c r="AF739" s="127"/>
    </row>
    <row r="740" spans="1:32" s="5" customFormat="1" ht="16.5">
      <c r="A740" s="1532"/>
      <c r="B740" s="1532"/>
      <c r="C740" s="1532"/>
      <c r="D740" s="1532"/>
      <c r="E740" s="1532"/>
      <c r="F740" s="1532"/>
      <c r="G740" s="1532"/>
      <c r="M740" s="50"/>
      <c r="N740" s="50"/>
      <c r="P740" s="4"/>
      <c r="Q740" s="129"/>
      <c r="R740" s="129"/>
      <c r="S740" s="129"/>
      <c r="T740" s="129"/>
      <c r="U740" s="127"/>
      <c r="V740" s="127"/>
      <c r="W740" s="127"/>
      <c r="X740" s="127"/>
      <c r="Y740" s="127"/>
      <c r="Z740" s="127"/>
      <c r="AA740" s="127"/>
      <c r="AB740" s="127"/>
      <c r="AC740" s="127"/>
      <c r="AD740" s="127"/>
      <c r="AE740" s="127"/>
      <c r="AF740" s="127"/>
    </row>
    <row r="741" spans="1:32" s="108" customFormat="1" ht="24.75" customHeight="1">
      <c r="A741" s="5"/>
      <c r="B741" s="5"/>
      <c r="C741" s="5"/>
      <c r="D741" s="5"/>
      <c r="E741" s="5"/>
      <c r="F741" s="5"/>
      <c r="G741" s="5"/>
      <c r="M741" s="5"/>
      <c r="N741" s="5"/>
      <c r="O741" s="5"/>
      <c r="P741" s="4"/>
      <c r="Q741" s="111"/>
      <c r="R741" s="111"/>
      <c r="S741" s="111"/>
      <c r="T741" s="111"/>
    </row>
    <row r="742" spans="1:32" s="5" customFormat="1" ht="16.5" customHeight="1">
      <c r="Q742" s="129"/>
      <c r="R742" s="129"/>
      <c r="S742" s="129"/>
      <c r="T742" s="129"/>
      <c r="U742" s="127"/>
      <c r="V742" s="127"/>
      <c r="W742" s="127"/>
      <c r="X742" s="127"/>
      <c r="Y742" s="127"/>
      <c r="Z742" s="127"/>
      <c r="AA742" s="127"/>
      <c r="AB742" s="127"/>
      <c r="AC742" s="127"/>
      <c r="AD742" s="127"/>
      <c r="AE742" s="127"/>
      <c r="AF742" s="127"/>
    </row>
    <row r="743" spans="1:32" s="5" customFormat="1" ht="16.5" customHeight="1">
      <c r="A743" s="112"/>
      <c r="B743" s="112"/>
      <c r="C743" s="112"/>
      <c r="D743" s="112"/>
      <c r="E743" s="112"/>
      <c r="F743" s="112"/>
      <c r="G743" s="112"/>
      <c r="M743" s="112"/>
      <c r="Q743" s="129"/>
      <c r="R743" s="129"/>
      <c r="S743" s="129"/>
      <c r="T743" s="129"/>
      <c r="U743" s="127"/>
      <c r="V743" s="127"/>
      <c r="W743" s="127"/>
      <c r="X743" s="127"/>
      <c r="Y743" s="127"/>
      <c r="Z743" s="127"/>
      <c r="AA743" s="127"/>
      <c r="AB743" s="127"/>
      <c r="AC743" s="127"/>
      <c r="AD743" s="127"/>
      <c r="AE743" s="127"/>
      <c r="AF743" s="127"/>
    </row>
    <row r="744" spans="1:32" s="5" customFormat="1" ht="16.5">
      <c r="A744" s="112"/>
      <c r="B744" s="1562" t="str">
        <f>E702</f>
        <v>.....................................</v>
      </c>
      <c r="C744" s="1562"/>
      <c r="D744" s="1562"/>
      <c r="E744" s="1562"/>
      <c r="F744" s="1562"/>
      <c r="G744" s="1562"/>
      <c r="M744" s="1562" t="str">
        <f>E705</f>
        <v>CÔNG TY TNHH MTV HANTECH</v>
      </c>
      <c r="N744" s="1562"/>
      <c r="Q744" s="129"/>
      <c r="R744" s="129"/>
      <c r="S744" s="129"/>
      <c r="T744" s="129"/>
      <c r="U744" s="127"/>
      <c r="V744" s="127"/>
      <c r="W744" s="127"/>
      <c r="X744" s="127"/>
      <c r="Y744" s="127"/>
      <c r="Z744" s="127"/>
      <c r="AA744" s="127"/>
      <c r="AB744" s="127"/>
      <c r="AC744" s="127"/>
      <c r="AD744" s="127"/>
      <c r="AE744" s="127"/>
      <c r="AF744" s="127"/>
    </row>
    <row r="745" spans="1:32" s="5" customFormat="1" ht="16.5">
      <c r="A745" s="109"/>
      <c r="Q745" s="129"/>
      <c r="R745" s="129"/>
      <c r="S745" s="129"/>
      <c r="T745" s="129"/>
      <c r="U745" s="127"/>
      <c r="V745" s="127"/>
      <c r="W745" s="127"/>
      <c r="X745" s="127"/>
      <c r="Y745" s="127"/>
      <c r="Z745" s="127"/>
      <c r="AA745" s="127"/>
      <c r="AB745" s="127"/>
      <c r="AC745" s="127"/>
      <c r="AD745" s="127"/>
      <c r="AE745" s="127"/>
      <c r="AF745" s="127"/>
    </row>
    <row r="746" spans="1:32" s="5" customFormat="1" ht="16.5">
      <c r="A746" s="113"/>
      <c r="Q746" s="129"/>
      <c r="R746" s="129"/>
      <c r="S746" s="129"/>
      <c r="T746" s="129"/>
      <c r="U746" s="127"/>
      <c r="V746" s="127"/>
      <c r="W746" s="127"/>
      <c r="X746" s="127"/>
      <c r="Y746" s="127"/>
      <c r="Z746" s="127"/>
      <c r="AA746" s="127"/>
      <c r="AB746" s="127"/>
      <c r="AC746" s="127"/>
      <c r="AD746" s="127"/>
      <c r="AE746" s="127"/>
      <c r="AF746" s="127"/>
    </row>
    <row r="747" spans="1:32" s="5" customFormat="1" ht="16.5">
      <c r="A747" s="110"/>
      <c r="Q747" s="129"/>
      <c r="R747" s="129"/>
      <c r="S747" s="129"/>
      <c r="T747" s="129"/>
      <c r="U747" s="127"/>
      <c r="V747" s="127"/>
      <c r="W747" s="127"/>
      <c r="X747" s="127"/>
      <c r="Y747" s="127"/>
      <c r="Z747" s="127"/>
      <c r="AA747" s="127"/>
      <c r="AB747" s="127"/>
      <c r="AC747" s="127"/>
      <c r="AD747" s="127"/>
      <c r="AE747" s="127"/>
      <c r="AF747" s="127"/>
    </row>
    <row r="748" spans="1:32" s="5" customFormat="1" ht="16.5">
      <c r="A748" s="110"/>
      <c r="Q748" s="129"/>
      <c r="R748" s="129"/>
      <c r="S748" s="129"/>
      <c r="T748" s="129"/>
      <c r="U748" s="127"/>
      <c r="V748" s="127"/>
      <c r="W748" s="127"/>
      <c r="X748" s="127"/>
      <c r="Y748" s="127"/>
      <c r="Z748" s="127"/>
      <c r="AA748" s="127"/>
      <c r="AB748" s="127"/>
      <c r="AC748" s="127"/>
      <c r="AD748" s="127"/>
      <c r="AE748" s="127"/>
      <c r="AF748" s="127"/>
    </row>
    <row r="749" spans="1:32" s="5" customFormat="1" ht="16.5">
      <c r="A749" s="113"/>
      <c r="Q749" s="129"/>
      <c r="R749" s="129"/>
      <c r="S749" s="129"/>
      <c r="T749" s="129"/>
      <c r="U749" s="127"/>
      <c r="V749" s="127"/>
      <c r="W749" s="127"/>
      <c r="X749" s="127"/>
      <c r="Y749" s="127"/>
      <c r="Z749" s="127"/>
      <c r="AA749" s="127"/>
      <c r="AB749" s="127"/>
      <c r="AC749" s="127"/>
      <c r="AD749" s="127"/>
      <c r="AE749" s="127"/>
      <c r="AF749" s="127"/>
    </row>
    <row r="750" spans="1:32" s="5" customFormat="1" ht="16.5">
      <c r="A750" s="113"/>
      <c r="Q750" s="129"/>
      <c r="R750" s="129"/>
      <c r="S750" s="129"/>
      <c r="T750" s="129"/>
      <c r="U750" s="127"/>
      <c r="V750" s="127"/>
      <c r="W750" s="127"/>
      <c r="X750" s="127"/>
      <c r="Y750" s="127"/>
      <c r="Z750" s="127"/>
      <c r="AA750" s="127"/>
      <c r="AB750" s="127"/>
      <c r="AC750" s="127"/>
      <c r="AD750" s="127"/>
      <c r="AE750" s="127"/>
      <c r="AF750" s="127"/>
    </row>
    <row r="751" spans="1:32" s="5" customFormat="1" ht="16.5">
      <c r="A751" s="110"/>
      <c r="Q751" s="129"/>
      <c r="R751" s="129"/>
      <c r="S751" s="129"/>
      <c r="T751" s="129"/>
      <c r="U751" s="127"/>
      <c r="V751" s="127"/>
      <c r="W751" s="127"/>
      <c r="X751" s="127"/>
      <c r="Y751" s="127"/>
      <c r="Z751" s="127"/>
      <c r="AA751" s="127"/>
      <c r="AB751" s="127"/>
      <c r="AC751" s="127"/>
      <c r="AD751" s="127"/>
      <c r="AE751" s="127"/>
      <c r="AF751" s="127"/>
    </row>
    <row r="752" spans="1:32" s="5" customFormat="1" ht="16.5">
      <c r="A752" s="110"/>
      <c r="Q752" s="129"/>
      <c r="R752" s="129"/>
      <c r="S752" s="129"/>
      <c r="T752" s="129"/>
      <c r="U752" s="127"/>
      <c r="V752" s="127"/>
      <c r="W752" s="127"/>
      <c r="X752" s="127"/>
      <c r="Y752" s="127"/>
      <c r="Z752" s="127"/>
      <c r="AA752" s="127"/>
      <c r="AB752" s="127"/>
      <c r="AC752" s="127"/>
      <c r="AD752" s="127"/>
      <c r="AE752" s="127"/>
      <c r="AF752" s="127"/>
    </row>
    <row r="753" spans="1:249" s="5" customFormat="1" ht="16.5">
      <c r="B753" s="110"/>
      <c r="C753" s="110"/>
      <c r="Q753" s="129"/>
      <c r="R753" s="129"/>
      <c r="S753" s="129"/>
      <c r="T753" s="129"/>
      <c r="U753" s="127"/>
      <c r="V753" s="127"/>
      <c r="W753" s="127"/>
      <c r="X753" s="127"/>
      <c r="Y753" s="127"/>
      <c r="Z753" s="127"/>
      <c r="AA753" s="127"/>
      <c r="AB753" s="127"/>
      <c r="AC753" s="127"/>
      <c r="AD753" s="127"/>
      <c r="AE753" s="127"/>
      <c r="AF753" s="127"/>
    </row>
    <row r="754" spans="1:249" s="5" customFormat="1" ht="16.5">
      <c r="B754" s="110"/>
      <c r="C754" s="110"/>
      <c r="Q754" s="129"/>
      <c r="R754" s="129"/>
      <c r="S754" s="129"/>
      <c r="T754" s="129"/>
      <c r="U754" s="127"/>
      <c r="V754" s="127"/>
      <c r="W754" s="127"/>
      <c r="X754" s="127"/>
      <c r="Y754" s="127"/>
      <c r="Z754" s="127"/>
      <c r="AA754" s="127"/>
      <c r="AB754" s="127"/>
      <c r="AC754" s="127"/>
      <c r="AD754" s="127"/>
      <c r="AE754" s="127"/>
      <c r="AF754" s="127"/>
    </row>
    <row r="755" spans="1:249" s="5" customFormat="1" ht="16.5">
      <c r="B755" s="110"/>
      <c r="C755" s="110"/>
      <c r="Q755" s="129"/>
      <c r="R755" s="129"/>
      <c r="S755" s="129"/>
      <c r="T755" s="129"/>
      <c r="U755" s="127"/>
      <c r="V755" s="127"/>
      <c r="W755" s="127"/>
      <c r="X755" s="127"/>
      <c r="Y755" s="127"/>
      <c r="Z755" s="127"/>
      <c r="AA755" s="127"/>
      <c r="AB755" s="127"/>
      <c r="AC755" s="127"/>
      <c r="AD755" s="127"/>
      <c r="AE755" s="127"/>
      <c r="AF755" s="127"/>
    </row>
    <row r="756" spans="1:249" s="5" customFormat="1" ht="16.5">
      <c r="B756" s="110"/>
      <c r="C756" s="110"/>
      <c r="Q756" s="129"/>
      <c r="R756" s="129"/>
      <c r="S756" s="129"/>
      <c r="T756" s="129"/>
      <c r="U756" s="127"/>
      <c r="V756" s="127"/>
      <c r="W756" s="127"/>
      <c r="X756" s="127"/>
      <c r="Y756" s="127"/>
      <c r="Z756" s="127"/>
      <c r="AA756" s="127"/>
      <c r="AB756" s="127"/>
      <c r="AC756" s="127"/>
      <c r="AD756" s="127"/>
      <c r="AE756" s="127"/>
      <c r="AF756" s="127"/>
    </row>
    <row r="757" spans="1:249" s="5" customFormat="1" ht="16.5">
      <c r="A757" s="113"/>
      <c r="Q757" s="129"/>
      <c r="R757" s="129"/>
      <c r="S757" s="129"/>
      <c r="T757" s="129"/>
      <c r="U757" s="127"/>
      <c r="V757" s="127"/>
      <c r="W757" s="127"/>
      <c r="X757" s="127"/>
      <c r="Y757" s="127"/>
      <c r="Z757" s="127"/>
      <c r="AA757" s="127"/>
      <c r="AB757" s="127"/>
      <c r="AC757" s="127"/>
      <c r="AD757" s="127"/>
      <c r="AE757" s="127"/>
      <c r="AF757" s="127"/>
    </row>
    <row r="758" spans="1:249" s="5" customFormat="1" ht="16.5">
      <c r="B758" s="114"/>
      <c r="C758" s="114"/>
      <c r="Q758" s="129"/>
      <c r="R758" s="129"/>
      <c r="S758" s="129"/>
      <c r="T758" s="129"/>
      <c r="U758" s="127"/>
      <c r="V758" s="127"/>
      <c r="W758" s="127"/>
      <c r="X758" s="127"/>
      <c r="Y758" s="127"/>
      <c r="Z758" s="127"/>
      <c r="AA758" s="127"/>
      <c r="AB758" s="127"/>
      <c r="AC758" s="127"/>
      <c r="AD758" s="127"/>
      <c r="AE758" s="127"/>
      <c r="AF758" s="127"/>
    </row>
    <row r="759" spans="1:249" s="5" customFormat="1" ht="16.5">
      <c r="A759" s="1563"/>
      <c r="B759" s="1563"/>
      <c r="C759" s="115"/>
      <c r="D759" s="74"/>
      <c r="E759" s="74"/>
      <c r="F759" s="74"/>
      <c r="G759" s="74"/>
      <c r="H759" s="74"/>
      <c r="Q759" s="129"/>
      <c r="R759" s="129"/>
      <c r="S759" s="129"/>
      <c r="T759" s="129"/>
      <c r="U759" s="127"/>
      <c r="V759" s="127"/>
      <c r="W759" s="127"/>
      <c r="X759" s="127"/>
      <c r="Y759" s="127"/>
      <c r="Z759" s="127"/>
      <c r="AA759" s="127"/>
      <c r="AB759" s="127"/>
      <c r="AC759" s="127"/>
      <c r="AD759" s="127"/>
      <c r="AE759" s="127"/>
      <c r="AF759" s="127"/>
    </row>
    <row r="760" spans="1:249" s="5" customFormat="1" ht="16.5">
      <c r="A760" s="58"/>
      <c r="B760" s="58"/>
      <c r="C760" s="58"/>
      <c r="D760" s="58"/>
      <c r="E760" s="58"/>
      <c r="F760" s="58"/>
      <c r="G760" s="58"/>
      <c r="H760" s="58"/>
      <c r="Q760" s="129"/>
      <c r="R760" s="129"/>
      <c r="S760" s="129"/>
      <c r="T760" s="129"/>
      <c r="U760" s="127"/>
      <c r="V760" s="127"/>
      <c r="W760" s="127"/>
      <c r="X760" s="127"/>
      <c r="Y760" s="127"/>
      <c r="Z760" s="127"/>
      <c r="AA760" s="127"/>
      <c r="AB760" s="127"/>
      <c r="AC760" s="127"/>
      <c r="AD760" s="127"/>
      <c r="AE760" s="127"/>
      <c r="AF760" s="127"/>
    </row>
    <row r="761" spans="1:249" s="5" customFormat="1" ht="17.25">
      <c r="A761" s="1593" t="str">
        <f>'Du lieu'!$C$13</f>
        <v>.....................................</v>
      </c>
      <c r="B761" s="1593"/>
      <c r="C761" s="1593"/>
      <c r="D761" s="1593"/>
      <c r="E761" s="1593"/>
      <c r="F761" s="1593"/>
      <c r="G761" s="9"/>
      <c r="H761" s="1483" t="s">
        <v>199</v>
      </c>
      <c r="I761" s="1483"/>
      <c r="J761" s="1483"/>
      <c r="K761" s="1483"/>
      <c r="L761" s="1483"/>
      <c r="M761" s="1483"/>
      <c r="N761" s="1483"/>
      <c r="Q761" s="129"/>
      <c r="R761" s="129"/>
      <c r="S761" s="129"/>
      <c r="T761" s="129"/>
      <c r="U761" s="127"/>
      <c r="V761" s="127"/>
      <c r="W761" s="127"/>
      <c r="X761" s="127"/>
      <c r="Y761" s="127"/>
      <c r="Z761" s="127"/>
      <c r="AA761" s="127"/>
      <c r="AB761" s="127"/>
      <c r="AC761" s="127"/>
      <c r="AD761" s="127"/>
      <c r="AE761" s="127"/>
      <c r="AF761" s="127"/>
    </row>
    <row r="762" spans="1:249" ht="23.25" customHeight="1">
      <c r="A762" s="1592"/>
      <c r="B762" s="1592"/>
      <c r="C762" s="1592"/>
      <c r="D762" s="1592"/>
      <c r="E762" s="1592"/>
      <c r="F762" s="1592"/>
      <c r="G762" s="13"/>
      <c r="H762" s="1484" t="s">
        <v>200</v>
      </c>
      <c r="I762" s="1484"/>
      <c r="J762" s="1484"/>
      <c r="K762" s="1484"/>
      <c r="L762" s="1484"/>
      <c r="M762" s="1484"/>
      <c r="N762" s="1484"/>
    </row>
    <row r="763" spans="1:249" ht="17.25" customHeight="1">
      <c r="A763" s="1592"/>
      <c r="B763" s="1592"/>
      <c r="C763" s="1592"/>
      <c r="D763" s="1592"/>
      <c r="E763" s="1592"/>
      <c r="F763" s="1592"/>
      <c r="G763" s="14"/>
      <c r="H763" s="14"/>
      <c r="I763" s="1486">
        <f>$U$19</f>
        <v>42466</v>
      </c>
      <c r="J763" s="1486"/>
      <c r="K763" s="1486"/>
      <c r="L763" s="1486"/>
      <c r="M763" s="1486"/>
      <c r="N763" s="1486"/>
    </row>
    <row r="764" spans="1:249" ht="17.25" customHeight="1">
      <c r="A764" s="1592"/>
      <c r="B764" s="1592"/>
      <c r="C764" s="1592"/>
      <c r="D764" s="1592"/>
      <c r="E764" s="1592"/>
      <c r="F764" s="1592"/>
      <c r="I764" s="19"/>
      <c r="J764" s="3"/>
      <c r="K764" s="20"/>
      <c r="L764" s="21"/>
      <c r="M764" s="20"/>
      <c r="O764" s="15"/>
      <c r="P764" s="15"/>
      <c r="Q764" s="16" t="s">
        <v>201</v>
      </c>
      <c r="R764" s="16" t="str">
        <f>'Du lieu'!$C$4</f>
        <v>KHU HỖN HỢP CHUNG CƯ, VĂN PHÒNG, TRUNG TÂM THƯƠNG MẠI VÀ NHÀ Ở KẾT HỢP KHU MUA SẮM</v>
      </c>
      <c r="S764" s="137"/>
      <c r="T764" s="17"/>
      <c r="U764" s="15"/>
      <c r="V764" s="15"/>
      <c r="W764" s="15"/>
      <c r="X764" s="15"/>
      <c r="Y764" s="15"/>
      <c r="Z764" s="15"/>
      <c r="AA764" s="15"/>
      <c r="AB764" s="15"/>
      <c r="AC764" s="15"/>
      <c r="AD764" s="1492"/>
      <c r="AE764" s="1492"/>
      <c r="AF764" s="1492"/>
      <c r="AG764" s="1492"/>
      <c r="AH764" s="1492"/>
      <c r="AI764" s="1492"/>
      <c r="AJ764" s="1492"/>
      <c r="AK764" s="1492"/>
      <c r="AL764" s="1492"/>
      <c r="AM764" s="1492"/>
      <c r="AN764" s="1492"/>
      <c r="AO764" s="1492"/>
      <c r="AP764" s="1492"/>
      <c r="AQ764" s="1492"/>
      <c r="AR764" s="1492"/>
      <c r="AS764" s="1492"/>
      <c r="AT764" s="1492"/>
      <c r="AU764" s="1492"/>
      <c r="AV764" s="1492"/>
      <c r="AW764" s="1492"/>
      <c r="AX764" s="1492"/>
      <c r="AY764" s="1492"/>
      <c r="AZ764" s="1492"/>
      <c r="BA764" s="1492"/>
      <c r="BB764" s="1492"/>
      <c r="BC764" s="1492"/>
      <c r="BD764" s="1492"/>
      <c r="BE764" s="1492"/>
      <c r="BF764" s="1492"/>
      <c r="BG764" s="1492"/>
      <c r="BH764" s="1492"/>
      <c r="BI764" s="1492"/>
      <c r="BJ764" s="1492"/>
      <c r="BK764" s="1492"/>
      <c r="BL764" s="1492"/>
      <c r="BM764" s="1492"/>
      <c r="BN764" s="1492"/>
      <c r="BO764" s="1492"/>
      <c r="BP764" s="1492"/>
      <c r="BQ764" s="1492"/>
      <c r="BR764" s="1492"/>
      <c r="BS764" s="1492"/>
      <c r="BT764" s="1492"/>
      <c r="BU764" s="1492"/>
      <c r="BV764" s="1492"/>
      <c r="BW764" s="1492"/>
      <c r="BX764" s="1492"/>
      <c r="BY764" s="1492"/>
      <c r="BZ764" s="1492"/>
      <c r="CA764" s="1492"/>
      <c r="CB764" s="1492"/>
      <c r="CC764" s="1492"/>
      <c r="CD764" s="1492"/>
      <c r="CE764" s="1492"/>
      <c r="CF764" s="1492"/>
      <c r="CG764" s="1492"/>
      <c r="CH764" s="1492"/>
      <c r="CI764" s="1492"/>
      <c r="CJ764" s="1492"/>
      <c r="CK764" s="1492"/>
      <c r="CL764" s="1492"/>
      <c r="CM764" s="1492"/>
      <c r="CN764" s="1492"/>
      <c r="CO764" s="1492"/>
      <c r="CP764" s="1492"/>
      <c r="CQ764" s="1492"/>
      <c r="CR764" s="1492"/>
      <c r="CS764" s="1492"/>
      <c r="CT764" s="1492"/>
      <c r="CU764" s="1492"/>
      <c r="CV764" s="1492"/>
      <c r="CW764" s="1492"/>
      <c r="CX764" s="1492"/>
      <c r="CY764" s="1492"/>
      <c r="CZ764" s="1492"/>
      <c r="DA764" s="1492"/>
      <c r="DB764" s="1492"/>
      <c r="DC764" s="1492"/>
      <c r="DD764" s="1492"/>
      <c r="DE764" s="1492"/>
      <c r="DF764" s="1492"/>
      <c r="DG764" s="1492"/>
      <c r="DH764" s="1492"/>
      <c r="DI764" s="1492"/>
      <c r="DJ764" s="1492"/>
      <c r="DK764" s="1492"/>
      <c r="DL764" s="1492"/>
      <c r="DM764" s="1492"/>
      <c r="DN764" s="1492"/>
      <c r="DO764" s="1492"/>
      <c r="DP764" s="1492"/>
      <c r="DQ764" s="1492"/>
      <c r="DR764" s="1492"/>
      <c r="DS764" s="1492"/>
      <c r="DT764" s="1492"/>
      <c r="DU764" s="1492"/>
      <c r="DV764" s="1492"/>
      <c r="DW764" s="1492"/>
      <c r="DX764" s="1492"/>
      <c r="DY764" s="1492"/>
      <c r="DZ764" s="1492"/>
      <c r="EA764" s="1492"/>
      <c r="EB764" s="1492"/>
      <c r="EC764" s="1492"/>
      <c r="ED764" s="1492"/>
      <c r="EE764" s="1492"/>
      <c r="EF764" s="1492"/>
      <c r="EG764" s="1492"/>
      <c r="EH764" s="1492"/>
      <c r="EI764" s="1492"/>
      <c r="EJ764" s="1492"/>
      <c r="EK764" s="1492"/>
      <c r="EL764" s="1492"/>
      <c r="EM764" s="1492"/>
      <c r="EN764" s="1492"/>
      <c r="EO764" s="1492"/>
      <c r="EP764" s="1492"/>
      <c r="EQ764" s="1492"/>
      <c r="ER764" s="1492"/>
      <c r="ES764" s="1492"/>
      <c r="ET764" s="1492"/>
      <c r="EU764" s="1492"/>
      <c r="EV764" s="1492"/>
      <c r="EW764" s="1492"/>
      <c r="EX764" s="1492"/>
      <c r="EY764" s="1492"/>
      <c r="EZ764" s="1492"/>
      <c r="FA764" s="1492"/>
      <c r="FB764" s="1492"/>
      <c r="FC764" s="1492"/>
      <c r="FD764" s="1492"/>
      <c r="FE764" s="1492"/>
      <c r="FF764" s="1492"/>
      <c r="FG764" s="1492"/>
      <c r="FH764" s="1492"/>
      <c r="FI764" s="1492"/>
      <c r="FJ764" s="1492"/>
      <c r="FK764" s="1492"/>
      <c r="FL764" s="1492"/>
      <c r="FM764" s="1492"/>
      <c r="FN764" s="1492"/>
      <c r="FO764" s="1492"/>
      <c r="FP764" s="1492"/>
      <c r="FQ764" s="1492"/>
      <c r="FR764" s="1492"/>
      <c r="FS764" s="1492"/>
      <c r="FT764" s="1492"/>
      <c r="FU764" s="1492"/>
      <c r="FV764" s="1492"/>
      <c r="FW764" s="1492"/>
      <c r="FX764" s="1492"/>
      <c r="FY764" s="1492"/>
      <c r="FZ764" s="1492"/>
      <c r="GA764" s="1492"/>
      <c r="GB764" s="1492"/>
      <c r="GC764" s="1492"/>
      <c r="GD764" s="1492"/>
      <c r="GE764" s="1492"/>
      <c r="GF764" s="1492"/>
      <c r="GG764" s="1492"/>
      <c r="GH764" s="1492"/>
      <c r="GI764" s="1492"/>
      <c r="GJ764" s="1492"/>
      <c r="GK764" s="1492"/>
      <c r="GL764" s="1492"/>
      <c r="GM764" s="1492"/>
      <c r="GN764" s="1492"/>
      <c r="GO764" s="1492"/>
      <c r="GP764" s="1492"/>
      <c r="GQ764" s="1492"/>
      <c r="GR764" s="1492"/>
      <c r="GS764" s="1492"/>
      <c r="GT764" s="1492"/>
      <c r="GU764" s="1492"/>
      <c r="GV764" s="1492"/>
      <c r="GW764" s="1492"/>
      <c r="GX764" s="1492"/>
      <c r="GY764" s="1492"/>
      <c r="GZ764" s="1492"/>
      <c r="HA764" s="1492"/>
      <c r="HB764" s="1492"/>
      <c r="HC764" s="1492"/>
      <c r="HD764" s="1492"/>
      <c r="HE764" s="1492"/>
      <c r="HF764" s="1492"/>
      <c r="HG764" s="1492"/>
      <c r="HH764" s="1492"/>
      <c r="HI764" s="1492"/>
      <c r="HJ764" s="1492"/>
      <c r="HK764" s="1492"/>
      <c r="HL764" s="1492"/>
      <c r="HM764" s="1492"/>
      <c r="HN764" s="1492"/>
      <c r="HO764" s="1492"/>
      <c r="HP764" s="1492"/>
      <c r="HQ764" s="1492"/>
      <c r="HR764" s="1492"/>
      <c r="HS764" s="1492"/>
      <c r="HT764" s="1492"/>
      <c r="HU764" s="1492"/>
      <c r="HV764" s="1492"/>
      <c r="HW764" s="1492"/>
      <c r="HX764" s="1492"/>
      <c r="HY764" s="1492"/>
      <c r="HZ764" s="1492"/>
      <c r="IA764" s="1492"/>
      <c r="IB764" s="1492"/>
      <c r="IC764" s="1492"/>
      <c r="ID764" s="1492"/>
      <c r="IE764" s="1492"/>
      <c r="IF764" s="1492"/>
      <c r="IG764" s="1492"/>
      <c r="IH764" s="1492"/>
      <c r="II764" s="1492"/>
      <c r="IJ764" s="1492"/>
      <c r="IK764" s="1492"/>
      <c r="IL764" s="1492"/>
      <c r="IM764" s="1492"/>
      <c r="IN764" s="1492"/>
      <c r="IO764" s="14"/>
    </row>
    <row r="765" spans="1:249" ht="17.25" customHeight="1">
      <c r="A765" s="1493" t="str">
        <f>"Biªn b¶n sè: "&amp;$R$12&amp;"/ Nb-§BT/"&amp;$R$14</f>
        <v>Biªn b¶n sè: B1/ Nb-§BT/800</v>
      </c>
      <c r="B765" s="1493"/>
      <c r="C765" s="1493"/>
      <c r="D765" s="1493"/>
      <c r="E765" s="1493"/>
      <c r="F765" s="1493"/>
      <c r="G765" s="1493"/>
      <c r="H765" s="1493"/>
      <c r="I765" s="1493"/>
      <c r="J765" s="1493"/>
      <c r="K765" s="1493"/>
      <c r="L765" s="1493"/>
      <c r="M765" s="1493"/>
      <c r="N765" s="1493"/>
      <c r="Q765" s="22" t="s">
        <v>202</v>
      </c>
      <c r="R765" s="16" t="str">
        <f>'Du lieu'!$C$6</f>
        <v>P. BẠCH ĐẰNG, TP. HẠ LONG, TỈNH QUẢNG NINH</v>
      </c>
      <c r="S765" s="137"/>
      <c r="T765" s="23"/>
    </row>
    <row r="766" spans="1:249" s="24" customFormat="1" ht="22.5" customHeight="1">
      <c r="A766" s="1493" t="s">
        <v>204</v>
      </c>
      <c r="B766" s="1493"/>
      <c r="C766" s="1493"/>
      <c r="D766" s="1493"/>
      <c r="E766" s="1493"/>
      <c r="F766" s="1493"/>
      <c r="G766" s="1493"/>
      <c r="H766" s="1493"/>
      <c r="I766" s="1493"/>
      <c r="J766" s="1493"/>
      <c r="K766" s="1493"/>
      <c r="L766" s="1493"/>
      <c r="M766" s="1493"/>
      <c r="N766" s="1493"/>
      <c r="Q766" s="22" t="s">
        <v>203</v>
      </c>
      <c r="R766" s="16" t="str">
        <f>'Du lieu'!$C$5</f>
        <v>CỌC KHOAN NHỒI</v>
      </c>
      <c r="S766" s="137"/>
      <c r="T766" s="23"/>
    </row>
    <row r="767" spans="1:249" s="24" customFormat="1" ht="21" customHeight="1">
      <c r="A767" s="12"/>
      <c r="B767"/>
      <c r="C767"/>
      <c r="D767"/>
      <c r="E767"/>
      <c r="F767"/>
      <c r="G767"/>
      <c r="H767"/>
      <c r="I767"/>
      <c r="J767"/>
      <c r="K767"/>
      <c r="L767"/>
      <c r="M767"/>
      <c r="N767"/>
      <c r="T767" s="25"/>
    </row>
    <row r="768" spans="1:249" ht="26.25">
      <c r="B768" s="27"/>
      <c r="C768" s="28" t="str">
        <f>"C«ng tr×nh: "&amp;$R$3</f>
        <v>C«ng tr×nh: KHU HỖN HỢP CHUNG CƯ, VĂN PHÒNG, TRUNG TÂM THƯƠNG MẠI VÀ NHÀ Ở KẾT HỢP KHU MUA SẮM</v>
      </c>
      <c r="D768" s="27"/>
      <c r="E768" s="27"/>
      <c r="F768" s="27"/>
      <c r="G768" s="27"/>
      <c r="H768" s="27"/>
      <c r="I768" s="27"/>
      <c r="J768" s="27"/>
      <c r="K768" s="27"/>
      <c r="L768" s="27"/>
      <c r="R768" s="26"/>
      <c r="S768" s="26"/>
      <c r="T768" s="25"/>
    </row>
    <row r="769" spans="1:24" ht="21.95" customHeight="1">
      <c r="B769" s="27"/>
      <c r="C769" s="28" t="str">
        <f>"H¹ng môc: "&amp;$R$5</f>
        <v>H¹ng môc: CỌC KHOAN NHỒI</v>
      </c>
      <c r="D769" s="27"/>
      <c r="E769" s="29"/>
      <c r="F769" s="28"/>
      <c r="G769" s="28"/>
      <c r="H769" s="28"/>
      <c r="I769" s="28"/>
      <c r="J769" s="28"/>
      <c r="K769" s="28"/>
      <c r="L769" s="28"/>
      <c r="M769" s="28"/>
    </row>
    <row r="770" spans="1:24" ht="21.95" customHeight="1">
      <c r="B770" s="30"/>
      <c r="C770" s="1487" t="str">
        <f>"§Þa ®iÓm x©y dùng: "&amp;$R$4</f>
        <v>§Þa ®iÓm x©y dùng: P. BẠCH ĐẰNG, TP. HẠ LONG, TỈNH QUẢNG NINH</v>
      </c>
      <c r="D770" s="1487"/>
      <c r="E770" s="1487"/>
      <c r="F770" s="1487"/>
      <c r="G770" s="1487"/>
      <c r="H770" s="1487"/>
      <c r="I770" s="1487"/>
      <c r="J770" s="1487"/>
      <c r="K770" s="1487"/>
      <c r="L770" s="1487"/>
      <c r="M770" s="1487"/>
      <c r="N770" s="1487"/>
    </row>
    <row r="771" spans="1:24" ht="21.95" customHeight="1">
      <c r="B771" s="30"/>
      <c r="C771" s="31"/>
      <c r="D771" s="30"/>
      <c r="E771" s="30"/>
      <c r="F771" s="30"/>
      <c r="G771" s="30"/>
      <c r="H771" s="30"/>
      <c r="I771" s="30"/>
      <c r="J771" s="30"/>
      <c r="K771" s="30"/>
      <c r="L771" s="30"/>
    </row>
    <row r="772" spans="1:24" ht="16.5">
      <c r="A772" s="30" t="str">
        <f>"1.§èi t­îng nghiÖm thu: Theo dâi ®æ bª t«ng cäc: "&amp;$R$12</f>
        <v>1.§èi t­îng nghiÖm thu: Theo dâi ®æ bª t«ng cäc: B1</v>
      </c>
      <c r="B772" s="30"/>
      <c r="C772" s="30"/>
      <c r="D772" s="30"/>
      <c r="E772" s="30"/>
      <c r="F772" s="27"/>
      <c r="H772" s="30"/>
      <c r="I772" s="30"/>
      <c r="J772" s="30"/>
      <c r="K772" s="30"/>
      <c r="L772" s="30"/>
    </row>
    <row r="773" spans="1:24" ht="16.5">
      <c r="A773" s="30"/>
      <c r="B773" s="30"/>
      <c r="C773" s="30"/>
      <c r="D773" s="30"/>
      <c r="E773" s="30"/>
      <c r="F773" s="27"/>
      <c r="H773" s="30"/>
      <c r="I773" s="30"/>
      <c r="J773" s="30"/>
      <c r="K773" s="30"/>
      <c r="L773" s="30"/>
      <c r="Q773" s="119" t="s">
        <v>205</v>
      </c>
      <c r="R773" s="119" t="e">
        <v>#REF!</v>
      </c>
      <c r="S773" s="119"/>
      <c r="T773" s="119"/>
      <c r="U773" s="1"/>
      <c r="V773" s="120">
        <v>3.472222222222222E-3</v>
      </c>
      <c r="W773" s="6" t="s">
        <v>206</v>
      </c>
    </row>
    <row r="774" spans="1:24" ht="27" hidden="1" customHeight="1">
      <c r="A774" s="1488" t="s">
        <v>207</v>
      </c>
      <c r="B774" s="1488"/>
      <c r="C774" s="1488"/>
      <c r="D774" s="1488"/>
      <c r="E774" s="1488"/>
      <c r="F774" s="1488"/>
      <c r="G774" s="1488"/>
      <c r="H774" s="1488"/>
      <c r="I774" s="1488"/>
      <c r="J774" s="1488"/>
      <c r="K774" s="1488"/>
      <c r="L774" s="1488"/>
      <c r="Q774" s="32"/>
      <c r="R774" s="119"/>
      <c r="S774" s="119"/>
      <c r="T774" s="119"/>
      <c r="U774" s="1"/>
    </row>
    <row r="775" spans="1:24" ht="21.95" customHeight="1">
      <c r="A775" s="27"/>
      <c r="B775" s="33" t="s">
        <v>208</v>
      </c>
      <c r="C775" s="34"/>
      <c r="D775" s="34"/>
      <c r="E775" s="27"/>
      <c r="F775" s="27"/>
      <c r="G775" s="27"/>
      <c r="H775" s="27"/>
      <c r="I775" s="27"/>
      <c r="J775" s="27"/>
      <c r="K775" s="27"/>
      <c r="L775" s="27"/>
      <c r="Q775" s="119" t="s">
        <v>156</v>
      </c>
      <c r="R775" s="119" t="e">
        <v>#REF!</v>
      </c>
      <c r="S775" s="119"/>
      <c r="T775" s="119"/>
      <c r="U775" s="1"/>
    </row>
    <row r="776" spans="1:24" ht="21.95" customHeight="1">
      <c r="A776" s="35"/>
      <c r="C776" s="34"/>
      <c r="D776" s="36" t="s">
        <v>210</v>
      </c>
      <c r="E776" s="36" t="str">
        <f>R794</f>
        <v>Nguyễn Mạnh Hùng</v>
      </c>
      <c r="F776" s="36"/>
      <c r="G776" s="35"/>
      <c r="I776" s="37" t="s">
        <v>211</v>
      </c>
      <c r="J776" s="37"/>
      <c r="K776" s="36" t="str">
        <f>T794</f>
        <v>Chỉ huy phó công trường</v>
      </c>
      <c r="L776" s="35"/>
      <c r="M776" s="35"/>
      <c r="Q776" s="119" t="s">
        <v>209</v>
      </c>
      <c r="R776" s="121" t="e">
        <v>#REF!</v>
      </c>
      <c r="S776" s="121"/>
      <c r="T776" s="121" t="e">
        <v>#REF!</v>
      </c>
      <c r="U776" s="122" t="e">
        <v>#REF!</v>
      </c>
      <c r="V776" s="120">
        <v>1.0416666666666666E-2</v>
      </c>
      <c r="W776" s="123" t="e">
        <f>R776-V776</f>
        <v>#REF!</v>
      </c>
      <c r="X776" s="124"/>
    </row>
    <row r="777" spans="1:24" ht="24.75" customHeight="1">
      <c r="A777" s="27"/>
      <c r="B777" s="33" t="s">
        <v>213</v>
      </c>
      <c r="C777" s="34"/>
      <c r="D777" s="34"/>
      <c r="E777" s="27"/>
      <c r="F777" s="27"/>
      <c r="G777" s="27"/>
      <c r="H777" s="27"/>
      <c r="I777" s="27"/>
      <c r="J777" s="27"/>
      <c r="K777" s="27"/>
      <c r="L777" s="27"/>
      <c r="Q777" s="119" t="s">
        <v>212</v>
      </c>
      <c r="R777" s="121" t="e">
        <v>#REF!</v>
      </c>
      <c r="S777" s="121"/>
      <c r="T777" s="121" t="e">
        <v>#REF!</v>
      </c>
      <c r="U777" s="122" t="e">
        <v>#REF!</v>
      </c>
    </row>
    <row r="778" spans="1:24" ht="21.95" customHeight="1">
      <c r="A778" s="35"/>
      <c r="C778" s="38"/>
      <c r="D778" s="39" t="s">
        <v>210</v>
      </c>
      <c r="E778" s="36" t="str">
        <f>R791</f>
        <v>CÔNG TY TNHH MTV HANTECH</v>
      </c>
      <c r="F778" s="36"/>
      <c r="G778" s="35"/>
      <c r="I778" s="37" t="s">
        <v>211</v>
      </c>
      <c r="J778" s="37"/>
      <c r="K778" s="36" t="str">
        <f>T791</f>
        <v>Công ty TNHH MTV HANTECH</v>
      </c>
      <c r="L778" s="36"/>
      <c r="Q778" s="119" t="s">
        <v>214</v>
      </c>
      <c r="R778" s="121" t="e">
        <v>#REF!</v>
      </c>
      <c r="S778" s="121"/>
      <c r="T778" s="121" t="e">
        <v>#REF!</v>
      </c>
      <c r="U778" s="122" t="e">
        <v>#REF!</v>
      </c>
    </row>
    <row r="779" spans="1:24" ht="26.25" customHeight="1">
      <c r="A779" s="35"/>
      <c r="C779" s="38"/>
      <c r="D779" s="39" t="s">
        <v>210</v>
      </c>
      <c r="E779" s="36" t="str">
        <f>R793</f>
        <v>Ngô Văn Khánh</v>
      </c>
      <c r="F779" s="36"/>
      <c r="G779" s="35"/>
      <c r="I779" s="37" t="s">
        <v>211</v>
      </c>
      <c r="J779" s="37"/>
      <c r="K779" s="36" t="str">
        <f>T793</f>
        <v>Chỉ huy trưởng công trường</v>
      </c>
      <c r="L779" s="36"/>
      <c r="Q779" s="119" t="s">
        <v>215</v>
      </c>
      <c r="R779" s="121" t="e">
        <v>#REF!</v>
      </c>
      <c r="S779" s="121"/>
      <c r="T779" s="121" t="e">
        <v>#REF!</v>
      </c>
      <c r="U779" s="122" t="e">
        <v>#REF!</v>
      </c>
    </row>
    <row r="780" spans="1:24" ht="26.25" customHeight="1">
      <c r="A780" s="1488" t="s">
        <v>217</v>
      </c>
      <c r="B780" s="1488"/>
      <c r="C780" s="1488"/>
      <c r="D780" s="1488"/>
      <c r="E780" s="1488"/>
      <c r="F780" s="1488"/>
      <c r="G780" s="1488"/>
      <c r="H780" s="1488"/>
      <c r="I780" s="1488"/>
      <c r="J780" s="1488"/>
      <c r="K780" s="1488"/>
      <c r="L780" s="1488"/>
      <c r="Q780" s="119" t="s">
        <v>216</v>
      </c>
      <c r="R780" s="121" t="e">
        <v>#REF!</v>
      </c>
      <c r="S780" s="121"/>
      <c r="T780" s="121" t="e">
        <v>#REF!</v>
      </c>
      <c r="U780" s="122" t="e">
        <v>#REF!</v>
      </c>
    </row>
    <row r="781" spans="1:24" ht="22.5" customHeight="1">
      <c r="A781" s="40"/>
      <c r="C781" s="24"/>
      <c r="D781" s="24" t="s">
        <v>219</v>
      </c>
      <c r="E781" s="41">
        <f>$R$19</f>
        <v>0.83333333333333293</v>
      </c>
      <c r="F781" s="1489">
        <f>I763</f>
        <v>42466</v>
      </c>
      <c r="G781" s="1489"/>
      <c r="H781" s="1489"/>
      <c r="I781" s="1489"/>
      <c r="J781" s="1489"/>
      <c r="K781" s="1489"/>
      <c r="L781" s="1489"/>
      <c r="M781" s="24"/>
      <c r="N781" s="24"/>
      <c r="Q781" s="119" t="s">
        <v>218</v>
      </c>
      <c r="R781" s="121">
        <v>0.33333333333333331</v>
      </c>
      <c r="S781" s="121"/>
      <c r="T781" s="121">
        <v>0.375</v>
      </c>
      <c r="U781" s="122" t="e">
        <f>U780+30</f>
        <v>#REF!</v>
      </c>
    </row>
    <row r="782" spans="1:24" ht="21.95" customHeight="1">
      <c r="A782" s="40"/>
      <c r="C782" s="24"/>
      <c r="D782" s="24" t="s">
        <v>162</v>
      </c>
      <c r="E782" s="41">
        <f>$T$19</f>
        <v>0.87499999999999956</v>
      </c>
      <c r="F782" s="1489">
        <f>I763</f>
        <v>42466</v>
      </c>
      <c r="G782" s="1489"/>
      <c r="H782" s="1489"/>
      <c r="I782" s="1489"/>
      <c r="J782" s="1489"/>
      <c r="K782" s="1489"/>
      <c r="L782" s="1489"/>
    </row>
    <row r="783" spans="1:24" ht="21.95" customHeight="1">
      <c r="D783" s="36" t="s">
        <v>220</v>
      </c>
      <c r="F783" s="36" t="str">
        <f>$R$3</f>
        <v>KHU HỖN HỢP CHUNG CƯ, VĂN PHÒNG, TRUNG TÂM THƯƠNG MẠI VÀ NHÀ Ở KẾT HỢP KHU MUA SẮM</v>
      </c>
      <c r="G783" s="30"/>
      <c r="H783" s="30"/>
      <c r="I783" s="30"/>
      <c r="J783" s="30"/>
      <c r="K783" s="30"/>
      <c r="L783" s="30"/>
      <c r="Q783" s="119" t="s">
        <v>192</v>
      </c>
      <c r="R783" s="119" t="str">
        <f>'Du lieu'!$C$7</f>
        <v>CÔNG TY CỔ PHẦN ĐẦU TƯ VÀ KHÁCH SẠN MYWAY HẠ LONG</v>
      </c>
      <c r="S783" s="119"/>
      <c r="T783" s="119" t="str">
        <f>'Du lieu'!$D$7</f>
        <v>Công ty Cổ phần đầu tư và Khách sạn MyWay Hạ Long</v>
      </c>
      <c r="U783" s="1"/>
    </row>
    <row r="784" spans="1:24" ht="23.25" customHeight="1">
      <c r="D784" s="36" t="s">
        <v>221</v>
      </c>
      <c r="F784" s="36" t="str">
        <f>$R$4</f>
        <v>P. BẠCH ĐẰNG, TP. HẠ LONG, TỈNH QUẢNG NINH</v>
      </c>
      <c r="G784" s="30"/>
      <c r="H784" s="30"/>
      <c r="I784" s="30"/>
      <c r="J784" s="30"/>
      <c r="K784" s="30"/>
      <c r="L784" s="30"/>
      <c r="Q784" s="119" t="s">
        <v>193</v>
      </c>
      <c r="R784" s="119" t="str">
        <f>'Du lieu'!$C$8</f>
        <v>Nguyễn Thanh Tân</v>
      </c>
      <c r="S784" s="119"/>
      <c r="T784" s="119" t="str">
        <f>'Du lieu'!$D$8</f>
        <v>GĐ BQLDA</v>
      </c>
      <c r="U784" s="1"/>
    </row>
    <row r="785" spans="1:249" ht="23.25" customHeight="1">
      <c r="A785" s="1488" t="s">
        <v>222</v>
      </c>
      <c r="B785" s="1488"/>
      <c r="C785" s="1488"/>
      <c r="D785" s="1488"/>
      <c r="E785" s="1488"/>
      <c r="F785" s="1488"/>
      <c r="G785" s="1488"/>
      <c r="H785" s="1488"/>
      <c r="I785" s="1488"/>
      <c r="J785" s="1488"/>
      <c r="K785" s="1488"/>
      <c r="L785" s="1488"/>
      <c r="Q785" s="119" t="s">
        <v>193</v>
      </c>
      <c r="R785" s="119" t="str">
        <f>'Du lieu'!$C$9</f>
        <v>Phạm Tiến Dũng</v>
      </c>
      <c r="S785" s="119"/>
      <c r="T785" s="119" t="str">
        <f>'Du lieu'!$D$9</f>
        <v>Cán bộ BQLDA</v>
      </c>
      <c r="U785" s="1"/>
    </row>
    <row r="786" spans="1:249" ht="36.75" customHeight="1">
      <c r="A786" s="1491" t="s">
        <v>223</v>
      </c>
      <c r="B786" s="1491"/>
      <c r="C786" s="1491"/>
      <c r="D786" s="1491"/>
      <c r="E786" s="1491"/>
      <c r="F786" s="1491"/>
      <c r="G786" s="1491"/>
      <c r="H786" s="1491"/>
      <c r="I786" s="1491"/>
      <c r="J786" s="1491"/>
      <c r="K786" s="1491"/>
      <c r="L786" s="1491"/>
      <c r="M786" s="1491"/>
      <c r="N786" s="1491"/>
      <c r="O786" s="43"/>
      <c r="P786" s="43"/>
      <c r="Q786" s="119" t="s">
        <v>194</v>
      </c>
      <c r="R786" s="119" t="str">
        <f>'Du lieu'!$C$10</f>
        <v>………………..</v>
      </c>
      <c r="S786" s="119"/>
      <c r="T786" s="119" t="str">
        <f>'Du lieu'!$D$10</f>
        <v>Cán bộ BQLDA</v>
      </c>
      <c r="U786" s="125"/>
      <c r="V786" s="126"/>
      <c r="W786" s="126"/>
      <c r="X786" s="126"/>
      <c r="Y786" s="126"/>
      <c r="Z786" s="126"/>
      <c r="AA786" s="126"/>
      <c r="AB786" s="126"/>
      <c r="AC786" s="126"/>
    </row>
    <row r="787" spans="1:249" s="5" customFormat="1" ht="16.5">
      <c r="A787" s="1490" t="s">
        <v>224</v>
      </c>
      <c r="B787" s="1490"/>
      <c r="C787" s="1490"/>
      <c r="D787" s="1490"/>
      <c r="E787" s="1490"/>
      <c r="F787" s="1490"/>
      <c r="G787" s="1490"/>
      <c r="H787" s="1490"/>
      <c r="I787" s="1490"/>
      <c r="J787" s="1490"/>
      <c r="K787" s="1490"/>
      <c r="L787" s="1490"/>
      <c r="M787" s="1490"/>
      <c r="N787" s="1490"/>
      <c r="O787" s="43"/>
      <c r="P787" s="43"/>
      <c r="Q787" s="119" t="s">
        <v>193</v>
      </c>
      <c r="R787" s="119" t="str">
        <f>'Du lieu'!$C$11</f>
        <v>CÔNG TY CỔ PHẦN TƯ VẤN KIỂM ĐỊNH VÀ THƯƠNG MẠI XÂY DỰNG GOLDSUN</v>
      </c>
      <c r="S787" s="119"/>
      <c r="T787" s="119" t="str">
        <f>'Du lieu'!$D$11</f>
        <v>Công ty Cổ phần tư vấn kiểm định và thương mại xây dựng Goldsun</v>
      </c>
      <c r="U787" s="125"/>
      <c r="V787" s="126"/>
      <c r="W787" s="126"/>
      <c r="X787" s="126"/>
      <c r="Y787" s="126"/>
      <c r="Z787" s="126"/>
      <c r="AA787" s="126"/>
      <c r="AB787" s="126"/>
      <c r="AC787" s="126"/>
      <c r="AD787" s="127"/>
      <c r="AE787" s="127"/>
      <c r="AF787" s="127"/>
    </row>
    <row r="788" spans="1:249" s="5" customFormat="1" ht="24" customHeight="1">
      <c r="B788" s="36" t="s">
        <v>226</v>
      </c>
      <c r="C788" s="36"/>
      <c r="D788" s="36"/>
      <c r="E788" s="36"/>
      <c r="F788" s="36"/>
      <c r="G788" s="36"/>
      <c r="H788" s="36"/>
      <c r="I788" s="36"/>
      <c r="J788" s="36"/>
      <c r="K788" s="36"/>
      <c r="L788" s="36"/>
      <c r="M788" s="36"/>
      <c r="N788" s="36"/>
      <c r="O788" s="43"/>
      <c r="P788" s="43"/>
      <c r="Q788" s="119" t="s">
        <v>193</v>
      </c>
      <c r="R788" s="119" t="str">
        <f>'Du lieu'!$C$12</f>
        <v>.....................................</v>
      </c>
      <c r="S788" s="119"/>
      <c r="T788" s="119" t="str">
        <f>'Du lieu'!$D$12</f>
        <v>.....................................</v>
      </c>
      <c r="U788" s="125"/>
      <c r="V788" s="126"/>
      <c r="W788" s="126"/>
      <c r="X788" s="126"/>
      <c r="Y788" s="126"/>
      <c r="Z788" s="126"/>
      <c r="AA788" s="126"/>
      <c r="AB788" s="126"/>
      <c r="AC788" s="126"/>
      <c r="AD788" s="127"/>
      <c r="AE788" s="127"/>
      <c r="AF788" s="127"/>
    </row>
    <row r="789" spans="1:249" s="5" customFormat="1" ht="24" customHeight="1">
      <c r="B789" s="36" t="s">
        <v>227</v>
      </c>
      <c r="C789" s="36"/>
      <c r="D789" s="36"/>
      <c r="E789" s="36"/>
      <c r="F789" s="36"/>
      <c r="G789" s="36"/>
      <c r="H789" s="36"/>
      <c r="I789" s="36"/>
      <c r="J789" s="36"/>
      <c r="K789" s="36"/>
      <c r="L789" s="36"/>
      <c r="M789" s="36"/>
      <c r="N789" s="36"/>
      <c r="O789" s="43"/>
      <c r="P789" s="43"/>
      <c r="Q789" s="119" t="s">
        <v>195</v>
      </c>
      <c r="R789" s="119" t="str">
        <f>'Du lieu'!$C$13</f>
        <v>.....................................</v>
      </c>
      <c r="S789" s="119"/>
      <c r="T789" s="119" t="str">
        <f>'Du lieu'!$D$13</f>
        <v>.....................................</v>
      </c>
      <c r="U789" s="125"/>
      <c r="V789" s="126"/>
      <c r="W789" s="126"/>
      <c r="X789" s="126"/>
      <c r="Y789" s="126"/>
      <c r="Z789" s="126"/>
      <c r="AA789" s="126"/>
      <c r="AB789" s="126"/>
      <c r="AC789" s="126"/>
      <c r="AD789" s="1490"/>
      <c r="AE789" s="1490"/>
      <c r="AF789" s="1490"/>
      <c r="AG789" s="1490"/>
      <c r="AH789" s="1490"/>
      <c r="AI789" s="1490"/>
      <c r="AJ789" s="1490"/>
      <c r="AK789" s="1490"/>
      <c r="AL789" s="1490"/>
      <c r="AM789" s="1490"/>
      <c r="AN789" s="1490"/>
      <c r="AO789" s="1490"/>
      <c r="AP789" s="1490"/>
      <c r="AQ789" s="1490"/>
      <c r="AR789" s="1490"/>
      <c r="AS789" s="1490"/>
      <c r="AT789" s="1490"/>
      <c r="AU789" s="1490"/>
      <c r="AV789" s="1490"/>
      <c r="AW789" s="1490"/>
      <c r="AX789" s="1490"/>
      <c r="AY789" s="1490"/>
      <c r="AZ789" s="1490"/>
      <c r="BA789" s="1490"/>
      <c r="BB789" s="1490"/>
      <c r="BC789" s="1490"/>
      <c r="BD789" s="1490"/>
      <c r="BE789" s="1490"/>
      <c r="BF789" s="1490"/>
      <c r="BG789" s="1490"/>
      <c r="BH789" s="1490"/>
      <c r="BI789" s="1490"/>
      <c r="BJ789" s="1490"/>
      <c r="BK789" s="1490"/>
      <c r="BL789" s="1490"/>
      <c r="BM789" s="1490"/>
      <c r="BN789" s="1490"/>
      <c r="BO789" s="1490"/>
      <c r="BP789" s="1490"/>
      <c r="BQ789" s="1490"/>
      <c r="BR789" s="1490"/>
      <c r="BS789" s="1490"/>
      <c r="BT789" s="1490"/>
      <c r="BU789" s="1490"/>
      <c r="BV789" s="1490"/>
      <c r="BW789" s="1490"/>
      <c r="BX789" s="1490"/>
      <c r="BY789" s="1490"/>
      <c r="BZ789" s="1490"/>
      <c r="CA789" s="1490"/>
      <c r="CB789" s="1490"/>
      <c r="CC789" s="1490"/>
      <c r="CD789" s="1490"/>
      <c r="CE789" s="1490"/>
      <c r="CF789" s="1490"/>
      <c r="CG789" s="1490"/>
      <c r="CH789" s="1490"/>
      <c r="CI789" s="1490"/>
      <c r="CJ789" s="1490"/>
      <c r="CK789" s="1490"/>
      <c r="CL789" s="1490"/>
      <c r="CM789" s="1490"/>
      <c r="CN789" s="1490"/>
      <c r="CO789" s="1490"/>
      <c r="CP789" s="1490"/>
      <c r="CQ789" s="1490"/>
      <c r="CR789" s="1490"/>
      <c r="CS789" s="1490"/>
      <c r="CT789" s="1490"/>
      <c r="CU789" s="1490"/>
      <c r="CV789" s="1490"/>
      <c r="CW789" s="1490"/>
      <c r="CX789" s="1490"/>
      <c r="CY789" s="1490"/>
      <c r="CZ789" s="1490"/>
      <c r="DA789" s="1490"/>
      <c r="DB789" s="1490"/>
      <c r="DC789" s="1490"/>
      <c r="DD789" s="1490"/>
      <c r="DE789" s="1490"/>
      <c r="DF789" s="1490"/>
      <c r="DG789" s="1490"/>
      <c r="DH789" s="1490"/>
      <c r="DI789" s="1490"/>
      <c r="DJ789" s="1490"/>
      <c r="DK789" s="1490"/>
      <c r="DL789" s="1490"/>
      <c r="DM789" s="1490"/>
      <c r="DN789" s="1490"/>
      <c r="DO789" s="1490"/>
      <c r="DP789" s="1490"/>
      <c r="DQ789" s="1490"/>
      <c r="DR789" s="1490"/>
      <c r="DS789" s="1490"/>
      <c r="DT789" s="1490"/>
      <c r="DU789" s="1490"/>
      <c r="DV789" s="1490"/>
      <c r="DW789" s="1490"/>
      <c r="DX789" s="1490"/>
      <c r="DY789" s="1490"/>
      <c r="DZ789" s="1490"/>
      <c r="EA789" s="1490"/>
      <c r="EB789" s="1490"/>
      <c r="EC789" s="1490"/>
      <c r="ED789" s="1490"/>
      <c r="EE789" s="1490"/>
      <c r="EF789" s="1490"/>
      <c r="EG789" s="1490"/>
      <c r="EH789" s="1490"/>
      <c r="EI789" s="1490"/>
      <c r="EJ789" s="1490"/>
      <c r="EK789" s="1490"/>
      <c r="EL789" s="1490"/>
      <c r="EM789" s="1490"/>
      <c r="EN789" s="1490"/>
      <c r="EO789" s="1490"/>
      <c r="EP789" s="1490"/>
      <c r="EQ789" s="1490"/>
      <c r="ER789" s="1490"/>
      <c r="ES789" s="1490"/>
      <c r="ET789" s="1490"/>
      <c r="EU789" s="1490"/>
      <c r="EV789" s="1490"/>
      <c r="EW789" s="1490"/>
      <c r="EX789" s="1490"/>
      <c r="EY789" s="1490"/>
      <c r="EZ789" s="1490"/>
      <c r="FA789" s="1490"/>
      <c r="FB789" s="1490"/>
      <c r="FC789" s="1490"/>
      <c r="FD789" s="1490"/>
      <c r="FE789" s="1490"/>
      <c r="FF789" s="1490"/>
      <c r="FG789" s="1490"/>
      <c r="FH789" s="1490"/>
      <c r="FI789" s="1490"/>
      <c r="FJ789" s="1490"/>
      <c r="FK789" s="1490"/>
      <c r="FL789" s="1490"/>
      <c r="FM789" s="1490"/>
      <c r="FN789" s="1490"/>
      <c r="FO789" s="1490"/>
      <c r="FP789" s="1490"/>
      <c r="FQ789" s="1490"/>
      <c r="FR789" s="1490"/>
      <c r="FS789" s="1490"/>
      <c r="FT789" s="1490"/>
      <c r="FU789" s="1490"/>
      <c r="FV789" s="1490"/>
      <c r="FW789" s="1490"/>
      <c r="FX789" s="1490"/>
      <c r="FY789" s="1490"/>
      <c r="FZ789" s="1490"/>
      <c r="GA789" s="1490"/>
      <c r="GB789" s="1490"/>
      <c r="GC789" s="1490"/>
      <c r="GD789" s="1490"/>
      <c r="GE789" s="1490"/>
      <c r="GF789" s="1490"/>
      <c r="GG789" s="1490"/>
      <c r="GH789" s="1490"/>
      <c r="GI789" s="1490"/>
      <c r="GJ789" s="1490"/>
      <c r="GK789" s="1490"/>
      <c r="GL789" s="1490"/>
      <c r="GM789" s="1490"/>
      <c r="GN789" s="1490"/>
      <c r="GO789" s="1490"/>
      <c r="GP789" s="1490"/>
      <c r="GQ789" s="1490"/>
      <c r="GR789" s="1490"/>
      <c r="GS789" s="1490"/>
      <c r="GT789" s="1490"/>
      <c r="GU789" s="1490"/>
      <c r="GV789" s="1490"/>
      <c r="GW789" s="1490"/>
      <c r="GX789" s="1490"/>
      <c r="GY789" s="1490"/>
      <c r="GZ789" s="1490"/>
      <c r="HA789" s="1490"/>
      <c r="HB789" s="1490"/>
      <c r="HC789" s="1490"/>
      <c r="HD789" s="1490"/>
      <c r="HE789" s="1490"/>
      <c r="HF789" s="1490"/>
      <c r="HG789" s="1490"/>
      <c r="HH789" s="1490"/>
      <c r="HI789" s="1490"/>
      <c r="HJ789" s="1490"/>
      <c r="HK789" s="1490"/>
      <c r="HL789" s="1490"/>
      <c r="HM789" s="1490"/>
      <c r="HN789" s="1490"/>
      <c r="HO789" s="1490"/>
      <c r="HP789" s="1490"/>
      <c r="HQ789" s="1490"/>
      <c r="HR789" s="1490"/>
      <c r="HS789" s="1490"/>
      <c r="HT789" s="1490"/>
      <c r="HU789" s="1490"/>
      <c r="HV789" s="1490"/>
      <c r="HW789" s="1490"/>
      <c r="HX789" s="1490"/>
      <c r="HY789" s="1490"/>
      <c r="HZ789" s="1490"/>
      <c r="IA789" s="1490"/>
      <c r="IB789" s="1490"/>
      <c r="IC789" s="1490"/>
      <c r="ID789" s="1490"/>
      <c r="IE789" s="1490"/>
      <c r="IF789" s="1490"/>
      <c r="IG789" s="1490"/>
      <c r="IH789" s="1490"/>
      <c r="II789" s="1490"/>
      <c r="IJ789" s="1490"/>
      <c r="IK789" s="1490"/>
      <c r="IL789" s="1490"/>
      <c r="IM789" s="1490"/>
      <c r="IN789" s="1490"/>
      <c r="IO789" s="44"/>
    </row>
    <row r="790" spans="1:249" s="5" customFormat="1" ht="24" customHeight="1">
      <c r="B790" s="36" t="s">
        <v>228</v>
      </c>
      <c r="C790" s="36"/>
      <c r="D790" s="36"/>
      <c r="E790" s="36"/>
      <c r="F790" s="36"/>
      <c r="G790" s="36"/>
      <c r="H790" s="36"/>
      <c r="I790" s="36"/>
      <c r="J790" s="36"/>
      <c r="K790" s="36"/>
      <c r="L790" s="36"/>
      <c r="M790" s="36"/>
      <c r="N790" s="36"/>
      <c r="O790" s="43"/>
      <c r="P790" s="43"/>
      <c r="Q790" s="119" t="s">
        <v>193</v>
      </c>
      <c r="R790" s="119" t="str">
        <f>'Du lieu'!$C$14</f>
        <v>.....................................</v>
      </c>
      <c r="S790" s="119"/>
      <c r="T790" s="119" t="str">
        <f>'Du lieu'!$D$14</f>
        <v>.....................................</v>
      </c>
      <c r="U790" s="125"/>
      <c r="V790" s="126"/>
      <c r="W790" s="126"/>
      <c r="X790" s="126"/>
      <c r="Y790" s="126"/>
      <c r="Z790" s="126"/>
      <c r="AA790" s="126"/>
      <c r="AB790" s="126"/>
      <c r="AC790" s="126"/>
      <c r="AD790" s="1490"/>
      <c r="AE790" s="1490"/>
      <c r="AF790" s="1490"/>
      <c r="AG790" s="1490"/>
      <c r="AH790" s="1490"/>
      <c r="AI790" s="1490"/>
      <c r="AJ790" s="1490"/>
      <c r="AK790" s="1490"/>
      <c r="AL790" s="1490"/>
      <c r="AM790" s="1490"/>
      <c r="AN790" s="1490"/>
      <c r="AO790" s="1490"/>
      <c r="AP790" s="1490"/>
      <c r="AQ790" s="1490"/>
      <c r="AR790" s="1490"/>
      <c r="AS790" s="1490"/>
      <c r="AT790" s="1490"/>
      <c r="AU790" s="1490"/>
      <c r="AV790" s="1490"/>
      <c r="AW790" s="1490"/>
      <c r="AX790" s="1490"/>
      <c r="AY790" s="1490"/>
      <c r="AZ790" s="1490"/>
      <c r="BA790" s="1490"/>
      <c r="BB790" s="1490"/>
      <c r="BC790" s="1490"/>
      <c r="BD790" s="1490"/>
      <c r="BE790" s="1490"/>
      <c r="BF790" s="1490"/>
      <c r="BG790" s="1490"/>
      <c r="BH790" s="1490"/>
      <c r="BI790" s="1490"/>
      <c r="BJ790" s="1490"/>
      <c r="BK790" s="1490"/>
      <c r="BL790" s="1490"/>
      <c r="BM790" s="1490"/>
      <c r="BN790" s="1490"/>
      <c r="BO790" s="1490"/>
      <c r="BP790" s="1490"/>
      <c r="BQ790" s="1490"/>
      <c r="BR790" s="1490"/>
      <c r="BS790" s="1490"/>
      <c r="BT790" s="1490"/>
      <c r="BU790" s="1490"/>
      <c r="BV790" s="1490"/>
      <c r="BW790" s="1490"/>
      <c r="BX790" s="1490"/>
      <c r="BY790" s="1490"/>
      <c r="BZ790" s="1490"/>
      <c r="CA790" s="1490"/>
      <c r="CB790" s="1490"/>
      <c r="CC790" s="1490"/>
      <c r="CD790" s="1490"/>
      <c r="CE790" s="1490"/>
      <c r="CF790" s="1490"/>
      <c r="CG790" s="1490"/>
      <c r="CH790" s="1490"/>
      <c r="CI790" s="1490"/>
      <c r="CJ790" s="1490"/>
      <c r="CK790" s="1490"/>
      <c r="CL790" s="1490"/>
      <c r="CM790" s="1490"/>
      <c r="CN790" s="1490"/>
      <c r="CO790" s="1490"/>
      <c r="CP790" s="1490"/>
      <c r="CQ790" s="1490"/>
      <c r="CR790" s="1490"/>
      <c r="CS790" s="1490"/>
      <c r="CT790" s="1490"/>
      <c r="CU790" s="1490"/>
      <c r="CV790" s="1490"/>
      <c r="CW790" s="1490"/>
      <c r="CX790" s="1490"/>
      <c r="CY790" s="1490"/>
      <c r="CZ790" s="1490"/>
      <c r="DA790" s="1490"/>
      <c r="DB790" s="1490"/>
      <c r="DC790" s="1490"/>
      <c r="DD790" s="1490"/>
      <c r="DE790" s="1490"/>
      <c r="DF790" s="1490"/>
      <c r="DG790" s="1490"/>
      <c r="DH790" s="1490"/>
      <c r="DI790" s="1490"/>
      <c r="DJ790" s="1490"/>
      <c r="DK790" s="1490"/>
      <c r="DL790" s="1490"/>
      <c r="DM790" s="1490"/>
      <c r="DN790" s="1490"/>
      <c r="DO790" s="1490"/>
      <c r="DP790" s="1490"/>
      <c r="DQ790" s="1490"/>
      <c r="DR790" s="1490"/>
      <c r="DS790" s="1490"/>
      <c r="DT790" s="1490"/>
      <c r="DU790" s="1490"/>
      <c r="DV790" s="1490"/>
      <c r="DW790" s="1490"/>
      <c r="DX790" s="1490"/>
      <c r="DY790" s="1490"/>
      <c r="DZ790" s="1490"/>
      <c r="EA790" s="1490"/>
      <c r="EB790" s="1490"/>
      <c r="EC790" s="1490"/>
      <c r="ED790" s="1490"/>
      <c r="EE790" s="1490"/>
      <c r="EF790" s="1490"/>
      <c r="EG790" s="1490"/>
      <c r="EH790" s="1490"/>
      <c r="EI790" s="1490"/>
      <c r="EJ790" s="1490"/>
      <c r="EK790" s="1490"/>
      <c r="EL790" s="1490"/>
      <c r="EM790" s="1490"/>
      <c r="EN790" s="1490"/>
      <c r="EO790" s="1490"/>
      <c r="EP790" s="1490"/>
      <c r="EQ790" s="1490"/>
      <c r="ER790" s="1490"/>
      <c r="ES790" s="1490"/>
      <c r="ET790" s="1490"/>
      <c r="EU790" s="1490"/>
      <c r="EV790" s="1490"/>
      <c r="EW790" s="1490"/>
      <c r="EX790" s="1490"/>
      <c r="EY790" s="1490"/>
      <c r="EZ790" s="1490"/>
      <c r="FA790" s="1490"/>
      <c r="FB790" s="1490"/>
      <c r="FC790" s="1490"/>
      <c r="FD790" s="1490"/>
      <c r="FE790" s="1490"/>
      <c r="FF790" s="1490"/>
      <c r="FG790" s="1490"/>
      <c r="FH790" s="1490"/>
      <c r="FI790" s="1490"/>
      <c r="FJ790" s="1490"/>
      <c r="FK790" s="1490"/>
      <c r="FL790" s="1490"/>
      <c r="FM790" s="1490"/>
      <c r="FN790" s="1490"/>
      <c r="FO790" s="1490"/>
      <c r="FP790" s="1490"/>
      <c r="FQ790" s="1490"/>
      <c r="FR790" s="1490"/>
      <c r="FS790" s="1490"/>
      <c r="FT790" s="1490"/>
      <c r="FU790" s="1490"/>
      <c r="FV790" s="1490"/>
      <c r="FW790" s="1490"/>
      <c r="FX790" s="1490"/>
      <c r="FY790" s="1490"/>
      <c r="FZ790" s="1490"/>
      <c r="GA790" s="1490"/>
      <c r="GB790" s="1490"/>
      <c r="GC790" s="1490"/>
      <c r="GD790" s="1490"/>
      <c r="GE790" s="1490"/>
      <c r="GF790" s="1490"/>
      <c r="GG790" s="1490"/>
      <c r="GH790" s="1490"/>
      <c r="GI790" s="1490"/>
      <c r="GJ790" s="1490"/>
      <c r="GK790" s="1490"/>
      <c r="GL790" s="1490"/>
      <c r="GM790" s="1490"/>
      <c r="GN790" s="1490"/>
      <c r="GO790" s="1490"/>
      <c r="GP790" s="1490"/>
      <c r="GQ790" s="1490"/>
      <c r="GR790" s="1490"/>
      <c r="GS790" s="1490"/>
      <c r="GT790" s="1490"/>
      <c r="GU790" s="1490"/>
      <c r="GV790" s="1490"/>
      <c r="GW790" s="1490"/>
      <c r="GX790" s="1490"/>
      <c r="GY790" s="1490"/>
      <c r="GZ790" s="1490"/>
      <c r="HA790" s="1490"/>
      <c r="HB790" s="1490"/>
      <c r="HC790" s="1490"/>
      <c r="HD790" s="1490"/>
      <c r="HE790" s="1490"/>
      <c r="HF790" s="1490"/>
      <c r="HG790" s="1490"/>
      <c r="HH790" s="1490"/>
      <c r="HI790" s="1490"/>
      <c r="HJ790" s="1490"/>
      <c r="HK790" s="1490"/>
      <c r="HL790" s="1490"/>
      <c r="HM790" s="1490"/>
      <c r="HN790" s="1490"/>
      <c r="HO790" s="1490"/>
      <c r="HP790" s="1490"/>
      <c r="HQ790" s="1490"/>
      <c r="HR790" s="1490"/>
      <c r="HS790" s="1490"/>
      <c r="HT790" s="1490"/>
      <c r="HU790" s="1490"/>
      <c r="HV790" s="1490"/>
      <c r="HW790" s="1490"/>
      <c r="HX790" s="1490"/>
      <c r="HY790" s="1490"/>
      <c r="HZ790" s="1490"/>
      <c r="IA790" s="1490"/>
      <c r="IB790" s="1490"/>
      <c r="IC790" s="1490"/>
      <c r="ID790" s="1490"/>
      <c r="IE790" s="1490"/>
      <c r="IF790" s="1490"/>
      <c r="IG790" s="1490"/>
      <c r="IH790" s="1490"/>
      <c r="II790" s="1490"/>
      <c r="IJ790" s="1490"/>
      <c r="IK790" s="1490"/>
      <c r="IL790" s="1490"/>
      <c r="IM790" s="1490"/>
      <c r="IN790" s="1490"/>
      <c r="IO790" s="44"/>
    </row>
    <row r="791" spans="1:249" s="5" customFormat="1" ht="24" customHeight="1">
      <c r="B791" s="36" t="s">
        <v>290</v>
      </c>
      <c r="C791" s="36"/>
      <c r="D791" s="36"/>
      <c r="E791" s="36"/>
      <c r="F791" s="36"/>
      <c r="G791" s="36"/>
      <c r="H791" s="36"/>
      <c r="I791" s="36"/>
      <c r="J791" s="36"/>
      <c r="K791" s="36"/>
      <c r="L791" s="36"/>
      <c r="M791" s="36"/>
      <c r="N791" s="36"/>
      <c r="O791" s="43"/>
      <c r="P791" s="43"/>
      <c r="Q791" s="119" t="s">
        <v>193</v>
      </c>
      <c r="R791" s="119" t="str">
        <f>'Du lieu'!$C$15</f>
        <v>CÔNG TY TNHH MTV HANTECH</v>
      </c>
      <c r="S791" s="119"/>
      <c r="T791" s="119" t="str">
        <f>'Du lieu'!$D$15</f>
        <v>Công ty TNHH MTV HANTECH</v>
      </c>
      <c r="U791" s="125"/>
      <c r="V791" s="126"/>
      <c r="W791" s="126"/>
      <c r="X791" s="126"/>
      <c r="Y791" s="126"/>
      <c r="Z791" s="126"/>
      <c r="AA791" s="126"/>
      <c r="AB791" s="126"/>
      <c r="AC791" s="126"/>
      <c r="AD791" s="1490"/>
      <c r="AE791" s="1490"/>
      <c r="AF791" s="1490"/>
      <c r="AG791" s="1490"/>
      <c r="AH791" s="1490"/>
      <c r="AI791" s="1490"/>
      <c r="AJ791" s="1490"/>
      <c r="AK791" s="1490"/>
      <c r="AL791" s="1490"/>
      <c r="AM791" s="1490"/>
      <c r="AN791" s="1490"/>
      <c r="AO791" s="1490"/>
      <c r="AP791" s="1490"/>
      <c r="AQ791" s="1490"/>
      <c r="AR791" s="1490"/>
      <c r="AS791" s="1490"/>
      <c r="AT791" s="1490"/>
      <c r="AU791" s="1490"/>
      <c r="AV791" s="1490"/>
      <c r="AW791" s="1490"/>
      <c r="AX791" s="1490"/>
      <c r="AY791" s="1490"/>
      <c r="AZ791" s="1490"/>
      <c r="BA791" s="1490"/>
      <c r="BB791" s="1490"/>
      <c r="BC791" s="1490"/>
      <c r="BD791" s="1490"/>
      <c r="BE791" s="1490"/>
      <c r="BF791" s="1490"/>
      <c r="BG791" s="1490"/>
      <c r="BH791" s="1490"/>
      <c r="BI791" s="1490"/>
      <c r="BJ791" s="1490"/>
      <c r="BK791" s="1490"/>
      <c r="BL791" s="1490"/>
      <c r="BM791" s="1490"/>
      <c r="BN791" s="1490"/>
      <c r="BO791" s="1490"/>
      <c r="BP791" s="1490"/>
      <c r="BQ791" s="1490"/>
      <c r="BR791" s="1490"/>
      <c r="BS791" s="1490"/>
      <c r="BT791" s="1490"/>
      <c r="BU791" s="1490"/>
      <c r="BV791" s="1490"/>
      <c r="BW791" s="1490"/>
      <c r="BX791" s="1490"/>
      <c r="BY791" s="1490"/>
      <c r="BZ791" s="1490"/>
      <c r="CA791" s="1490"/>
      <c r="CB791" s="1490"/>
      <c r="CC791" s="1490"/>
      <c r="CD791" s="1490"/>
      <c r="CE791" s="1490"/>
      <c r="CF791" s="1490"/>
      <c r="CG791" s="1490"/>
      <c r="CH791" s="1490"/>
      <c r="CI791" s="1490"/>
      <c r="CJ791" s="1490"/>
      <c r="CK791" s="1490"/>
      <c r="CL791" s="1490"/>
      <c r="CM791" s="1490"/>
      <c r="CN791" s="1490"/>
      <c r="CO791" s="1490"/>
      <c r="CP791" s="1490"/>
      <c r="CQ791" s="1490"/>
      <c r="CR791" s="1490"/>
      <c r="CS791" s="1490"/>
      <c r="CT791" s="1490"/>
      <c r="CU791" s="1490"/>
      <c r="CV791" s="1490"/>
      <c r="CW791" s="1490"/>
      <c r="CX791" s="1490"/>
      <c r="CY791" s="1490"/>
      <c r="CZ791" s="1490"/>
      <c r="DA791" s="1490"/>
      <c r="DB791" s="1490"/>
      <c r="DC791" s="1490"/>
      <c r="DD791" s="1490"/>
      <c r="DE791" s="1490"/>
      <c r="DF791" s="1490"/>
      <c r="DG791" s="1490"/>
      <c r="DH791" s="1490"/>
      <c r="DI791" s="1490"/>
      <c r="DJ791" s="1490"/>
      <c r="DK791" s="1490"/>
      <c r="DL791" s="1490"/>
      <c r="DM791" s="1490"/>
      <c r="DN791" s="1490"/>
      <c r="DO791" s="1490"/>
      <c r="DP791" s="1490"/>
      <c r="DQ791" s="1490"/>
      <c r="DR791" s="1490"/>
      <c r="DS791" s="1490"/>
      <c r="DT791" s="1490"/>
      <c r="DU791" s="1490"/>
      <c r="DV791" s="1490"/>
      <c r="DW791" s="1490"/>
      <c r="DX791" s="1490"/>
      <c r="DY791" s="1490"/>
      <c r="DZ791" s="1490"/>
      <c r="EA791" s="1490"/>
      <c r="EB791" s="1490"/>
      <c r="EC791" s="1490"/>
      <c r="ED791" s="1490"/>
      <c r="EE791" s="1490"/>
      <c r="EF791" s="1490"/>
      <c r="EG791" s="1490"/>
      <c r="EH791" s="1490"/>
      <c r="EI791" s="1490"/>
      <c r="EJ791" s="1490"/>
      <c r="EK791" s="1490"/>
      <c r="EL791" s="1490"/>
      <c r="EM791" s="1490"/>
      <c r="EN791" s="1490"/>
      <c r="EO791" s="1490"/>
      <c r="EP791" s="1490"/>
      <c r="EQ791" s="1490"/>
      <c r="ER791" s="1490"/>
      <c r="ES791" s="1490"/>
      <c r="ET791" s="1490"/>
      <c r="EU791" s="1490"/>
      <c r="EV791" s="1490"/>
      <c r="EW791" s="1490"/>
      <c r="EX791" s="1490"/>
      <c r="EY791" s="1490"/>
      <c r="EZ791" s="1490"/>
      <c r="FA791" s="1490"/>
      <c r="FB791" s="1490"/>
      <c r="FC791" s="1490"/>
      <c r="FD791" s="1490"/>
      <c r="FE791" s="1490"/>
      <c r="FF791" s="1490"/>
      <c r="FG791" s="1490"/>
      <c r="FH791" s="1490"/>
      <c r="FI791" s="1490"/>
      <c r="FJ791" s="1490"/>
      <c r="FK791" s="1490"/>
      <c r="FL791" s="1490"/>
      <c r="FM791" s="1490"/>
      <c r="FN791" s="1490"/>
      <c r="FO791" s="1490"/>
      <c r="FP791" s="1490"/>
      <c r="FQ791" s="1490"/>
      <c r="FR791" s="1490"/>
      <c r="FS791" s="1490"/>
      <c r="FT791" s="1490"/>
      <c r="FU791" s="1490"/>
      <c r="FV791" s="1490"/>
      <c r="FW791" s="1490"/>
      <c r="FX791" s="1490"/>
      <c r="FY791" s="1490"/>
      <c r="FZ791" s="1490"/>
      <c r="GA791" s="1490"/>
      <c r="GB791" s="1490"/>
      <c r="GC791" s="1490"/>
      <c r="GD791" s="1490"/>
      <c r="GE791" s="1490"/>
      <c r="GF791" s="1490"/>
      <c r="GG791" s="1490"/>
      <c r="GH791" s="1490"/>
      <c r="GI791" s="1490"/>
      <c r="GJ791" s="1490"/>
      <c r="GK791" s="1490"/>
      <c r="GL791" s="1490"/>
      <c r="GM791" s="1490"/>
      <c r="GN791" s="1490"/>
      <c r="GO791" s="1490"/>
      <c r="GP791" s="1490"/>
      <c r="GQ791" s="1490"/>
      <c r="GR791" s="1490"/>
      <c r="GS791" s="1490"/>
      <c r="GT791" s="1490"/>
      <c r="GU791" s="1490"/>
      <c r="GV791" s="1490"/>
      <c r="GW791" s="1490"/>
      <c r="GX791" s="1490"/>
      <c r="GY791" s="1490"/>
      <c r="GZ791" s="1490"/>
      <c r="HA791" s="1490"/>
      <c r="HB791" s="1490"/>
      <c r="HC791" s="1490"/>
      <c r="HD791" s="1490"/>
      <c r="HE791" s="1490"/>
      <c r="HF791" s="1490"/>
      <c r="HG791" s="1490"/>
      <c r="HH791" s="1490"/>
      <c r="HI791" s="1490"/>
      <c r="HJ791" s="1490"/>
      <c r="HK791" s="1490"/>
      <c r="HL791" s="1490"/>
      <c r="HM791" s="1490"/>
      <c r="HN791" s="1490"/>
      <c r="HO791" s="1490"/>
      <c r="HP791" s="1490"/>
      <c r="HQ791" s="1490"/>
      <c r="HR791" s="1490"/>
      <c r="HS791" s="1490"/>
      <c r="HT791" s="1490"/>
      <c r="HU791" s="1490"/>
      <c r="HV791" s="1490"/>
      <c r="HW791" s="1490"/>
      <c r="HX791" s="1490"/>
      <c r="HY791" s="1490"/>
      <c r="HZ791" s="1490"/>
      <c r="IA791" s="1490"/>
      <c r="IB791" s="1490"/>
      <c r="IC791" s="1490"/>
      <c r="ID791" s="1490"/>
      <c r="IE791" s="1490"/>
      <c r="IF791" s="1490"/>
      <c r="IG791" s="1490"/>
      <c r="IH791" s="1490"/>
      <c r="II791" s="1490"/>
      <c r="IJ791" s="1490"/>
      <c r="IK791" s="1490"/>
      <c r="IL791" s="1490"/>
      <c r="IM791" s="1490"/>
      <c r="IN791" s="1490"/>
      <c r="IO791" s="44"/>
    </row>
    <row r="792" spans="1:249" s="5" customFormat="1" ht="24" customHeight="1">
      <c r="A792" s="45"/>
      <c r="B792" s="46" t="s">
        <v>229</v>
      </c>
      <c r="C792" s="46"/>
      <c r="D792" s="46"/>
      <c r="E792" s="46"/>
      <c r="F792" s="46"/>
      <c r="G792" s="46"/>
      <c r="H792" s="46"/>
      <c r="I792" s="46"/>
      <c r="J792" s="46"/>
      <c r="K792" s="46"/>
      <c r="L792" s="46"/>
      <c r="M792" s="46"/>
      <c r="N792" s="46"/>
      <c r="O792" s="43"/>
      <c r="P792" s="43"/>
      <c r="Q792" s="119" t="s">
        <v>196</v>
      </c>
      <c r="R792" s="119"/>
      <c r="S792" s="119"/>
      <c r="T792" s="119" t="str">
        <f>'Du lieu'!$D$16</f>
        <v>.....................................</v>
      </c>
      <c r="U792" s="125"/>
      <c r="V792" s="126"/>
      <c r="W792" s="126"/>
      <c r="X792" s="126"/>
      <c r="Y792" s="126"/>
      <c r="Z792" s="126"/>
      <c r="AA792" s="126"/>
      <c r="AB792" s="126"/>
      <c r="AC792" s="126"/>
      <c r="AD792" s="1490"/>
      <c r="AE792" s="1490"/>
      <c r="AF792" s="1490"/>
      <c r="AG792" s="1490"/>
      <c r="AH792" s="1490"/>
      <c r="AI792" s="1490"/>
      <c r="AJ792" s="1490"/>
      <c r="AK792" s="1490"/>
      <c r="AL792" s="1490"/>
      <c r="AM792" s="1490"/>
      <c r="AN792" s="1490"/>
      <c r="AO792" s="1490"/>
      <c r="AP792" s="1490"/>
      <c r="AQ792" s="1490"/>
      <c r="AR792" s="1490"/>
      <c r="AS792" s="1490"/>
      <c r="AT792" s="1490"/>
      <c r="AU792" s="1490"/>
      <c r="AV792" s="1490"/>
      <c r="AW792" s="1490"/>
      <c r="AX792" s="1490"/>
      <c r="AY792" s="1490"/>
      <c r="AZ792" s="1490"/>
      <c r="BA792" s="1490"/>
      <c r="BB792" s="1490"/>
      <c r="BC792" s="1490"/>
      <c r="BD792" s="1490"/>
      <c r="BE792" s="1490"/>
      <c r="BF792" s="1490"/>
      <c r="BG792" s="1490"/>
      <c r="BH792" s="1490"/>
      <c r="BI792" s="1490"/>
      <c r="BJ792" s="1490"/>
      <c r="BK792" s="1490"/>
      <c r="BL792" s="1490"/>
      <c r="BM792" s="1490"/>
      <c r="BN792" s="1490"/>
      <c r="BO792" s="1490"/>
      <c r="BP792" s="1490"/>
      <c r="BQ792" s="1490"/>
      <c r="BR792" s="1490"/>
      <c r="BS792" s="1490"/>
      <c r="BT792" s="1490"/>
      <c r="BU792" s="1490"/>
      <c r="BV792" s="1490"/>
      <c r="BW792" s="1490"/>
      <c r="BX792" s="1490"/>
      <c r="BY792" s="1490"/>
      <c r="BZ792" s="1490"/>
      <c r="CA792" s="1490"/>
      <c r="CB792" s="1490"/>
      <c r="CC792" s="1490"/>
      <c r="CD792" s="1490"/>
      <c r="CE792" s="1490"/>
      <c r="CF792" s="1490"/>
      <c r="CG792" s="1490"/>
      <c r="CH792" s="1490"/>
      <c r="CI792" s="1490"/>
      <c r="CJ792" s="1490"/>
      <c r="CK792" s="1490"/>
      <c r="CL792" s="1490"/>
      <c r="CM792" s="1490"/>
      <c r="CN792" s="1490"/>
      <c r="CO792" s="1490"/>
      <c r="CP792" s="1490"/>
      <c r="CQ792" s="1490"/>
      <c r="CR792" s="1490"/>
      <c r="CS792" s="1490"/>
      <c r="CT792" s="1490"/>
      <c r="CU792" s="1490"/>
      <c r="CV792" s="1490"/>
      <c r="CW792" s="1490"/>
      <c r="CX792" s="1490"/>
      <c r="CY792" s="1490"/>
      <c r="CZ792" s="1490"/>
      <c r="DA792" s="1490"/>
      <c r="DB792" s="1490"/>
      <c r="DC792" s="1490"/>
      <c r="DD792" s="1490"/>
      <c r="DE792" s="1490"/>
      <c r="DF792" s="1490"/>
      <c r="DG792" s="1490"/>
      <c r="DH792" s="1490"/>
      <c r="DI792" s="1490"/>
      <c r="DJ792" s="1490"/>
      <c r="DK792" s="1490"/>
      <c r="DL792" s="1490"/>
      <c r="DM792" s="1490"/>
      <c r="DN792" s="1490"/>
      <c r="DO792" s="1490"/>
      <c r="DP792" s="1490"/>
      <c r="DQ792" s="1490"/>
      <c r="DR792" s="1490"/>
      <c r="DS792" s="1490"/>
      <c r="DT792" s="1490"/>
      <c r="DU792" s="1490"/>
      <c r="DV792" s="1490"/>
      <c r="DW792" s="1490"/>
      <c r="DX792" s="1490"/>
      <c r="DY792" s="1490"/>
      <c r="DZ792" s="1490"/>
      <c r="EA792" s="1490"/>
      <c r="EB792" s="1490"/>
      <c r="EC792" s="1490"/>
      <c r="ED792" s="1490"/>
      <c r="EE792" s="1490"/>
      <c r="EF792" s="1490"/>
      <c r="EG792" s="1490"/>
      <c r="EH792" s="1490"/>
      <c r="EI792" s="1490"/>
      <c r="EJ792" s="1490"/>
      <c r="EK792" s="1490"/>
      <c r="EL792" s="1490"/>
      <c r="EM792" s="1490"/>
      <c r="EN792" s="1490"/>
      <c r="EO792" s="1490"/>
      <c r="EP792" s="1490"/>
      <c r="EQ792" s="1490"/>
      <c r="ER792" s="1490"/>
      <c r="ES792" s="1490"/>
      <c r="ET792" s="1490"/>
      <c r="EU792" s="1490"/>
      <c r="EV792" s="1490"/>
      <c r="EW792" s="1490"/>
      <c r="EX792" s="1490"/>
      <c r="EY792" s="1490"/>
      <c r="EZ792" s="1490"/>
      <c r="FA792" s="1490"/>
      <c r="FB792" s="1490"/>
      <c r="FC792" s="1490"/>
      <c r="FD792" s="1490"/>
      <c r="FE792" s="1490"/>
      <c r="FF792" s="1490"/>
      <c r="FG792" s="1490"/>
      <c r="FH792" s="1490"/>
      <c r="FI792" s="1490"/>
      <c r="FJ792" s="1490"/>
      <c r="FK792" s="1490"/>
      <c r="FL792" s="1490"/>
      <c r="FM792" s="1490"/>
      <c r="FN792" s="1490"/>
      <c r="FO792" s="1490"/>
      <c r="FP792" s="1490"/>
      <c r="FQ792" s="1490"/>
      <c r="FR792" s="1490"/>
      <c r="FS792" s="1490"/>
      <c r="FT792" s="1490"/>
      <c r="FU792" s="1490"/>
      <c r="FV792" s="1490"/>
      <c r="FW792" s="1490"/>
      <c r="FX792" s="1490"/>
      <c r="FY792" s="1490"/>
      <c r="FZ792" s="1490"/>
      <c r="GA792" s="1490"/>
      <c r="GB792" s="1490"/>
      <c r="GC792" s="1490"/>
      <c r="GD792" s="1490"/>
      <c r="GE792" s="1490"/>
      <c r="GF792" s="1490"/>
      <c r="GG792" s="1490"/>
      <c r="GH792" s="1490"/>
      <c r="GI792" s="1490"/>
      <c r="GJ792" s="1490"/>
      <c r="GK792" s="1490"/>
      <c r="GL792" s="1490"/>
      <c r="GM792" s="1490"/>
      <c r="GN792" s="1490"/>
      <c r="GO792" s="1490"/>
      <c r="GP792" s="1490"/>
      <c r="GQ792" s="1490"/>
      <c r="GR792" s="1490"/>
      <c r="GS792" s="1490"/>
      <c r="GT792" s="1490"/>
      <c r="GU792" s="1490"/>
      <c r="GV792" s="1490"/>
      <c r="GW792" s="1490"/>
      <c r="GX792" s="1490"/>
      <c r="GY792" s="1490"/>
      <c r="GZ792" s="1490"/>
      <c r="HA792" s="1490"/>
      <c r="HB792" s="1490"/>
      <c r="HC792" s="1490"/>
      <c r="HD792" s="1490"/>
      <c r="HE792" s="1490"/>
      <c r="HF792" s="1490"/>
      <c r="HG792" s="1490"/>
      <c r="HH792" s="1490"/>
      <c r="HI792" s="1490"/>
      <c r="HJ792" s="1490"/>
      <c r="HK792" s="1490"/>
      <c r="HL792" s="1490"/>
      <c r="HM792" s="1490"/>
      <c r="HN792" s="1490"/>
      <c r="HO792" s="1490"/>
      <c r="HP792" s="1490"/>
      <c r="HQ792" s="1490"/>
      <c r="HR792" s="1490"/>
      <c r="HS792" s="1490"/>
      <c r="HT792" s="1490"/>
      <c r="HU792" s="1490"/>
      <c r="HV792" s="1490"/>
      <c r="HW792" s="1490"/>
      <c r="HX792" s="1490"/>
      <c r="HY792" s="1490"/>
      <c r="HZ792" s="1490"/>
      <c r="IA792" s="1490"/>
      <c r="IB792" s="1490"/>
      <c r="IC792" s="1490"/>
      <c r="ID792" s="1490"/>
      <c r="IE792" s="1490"/>
      <c r="IF792" s="1490"/>
      <c r="IG792" s="1490"/>
      <c r="IH792" s="1490"/>
      <c r="II792" s="1490"/>
      <c r="IJ792" s="1490"/>
      <c r="IK792" s="1490"/>
      <c r="IL792" s="1490"/>
      <c r="IM792" s="1490"/>
      <c r="IN792" s="1490"/>
      <c r="IO792" s="44"/>
    </row>
    <row r="793" spans="1:249" s="5" customFormat="1" ht="24" customHeight="1">
      <c r="A793" s="1490" t="s">
        <v>231</v>
      </c>
      <c r="B793" s="1490"/>
      <c r="C793" s="1490"/>
      <c r="D793" s="1490"/>
      <c r="E793" s="1490"/>
      <c r="F793" s="1490"/>
      <c r="G793" s="1490"/>
      <c r="H793" s="1490"/>
      <c r="I793" s="1490"/>
      <c r="J793" s="1490"/>
      <c r="K793" s="1490"/>
      <c r="L793" s="1490"/>
      <c r="M793" s="1490"/>
      <c r="N793" s="1490"/>
      <c r="O793" s="43"/>
      <c r="P793" s="43"/>
      <c r="Q793" s="119" t="s">
        <v>193</v>
      </c>
      <c r="R793" s="119" t="str">
        <f>'Du lieu'!$C$17</f>
        <v>Ngô Văn Khánh</v>
      </c>
      <c r="S793" s="119"/>
      <c r="T793" s="119" t="str">
        <f>'Du lieu'!$D$17</f>
        <v>Chỉ huy trưởng công trường</v>
      </c>
      <c r="U793" s="125"/>
      <c r="V793" s="126"/>
      <c r="W793" s="126"/>
      <c r="X793" s="126"/>
      <c r="Y793" s="126"/>
      <c r="Z793" s="126"/>
      <c r="AA793" s="126"/>
      <c r="AB793" s="126"/>
      <c r="AC793" s="126"/>
      <c r="AD793" s="1490"/>
      <c r="AE793" s="1490"/>
      <c r="AF793" s="1490"/>
      <c r="AG793" s="1490"/>
      <c r="AH793" s="1490"/>
      <c r="AI793" s="1490"/>
      <c r="AJ793" s="1490"/>
      <c r="AK793" s="1490"/>
      <c r="AL793" s="1490"/>
      <c r="AM793" s="1490"/>
      <c r="AN793" s="1490"/>
      <c r="AO793" s="1490"/>
      <c r="AP793" s="1490"/>
      <c r="AQ793" s="1490"/>
      <c r="AR793" s="1490"/>
      <c r="AS793" s="1490"/>
      <c r="AT793" s="1490"/>
      <c r="AU793" s="1490"/>
      <c r="AV793" s="1490"/>
      <c r="AW793" s="1490"/>
      <c r="AX793" s="1490"/>
      <c r="AY793" s="1490"/>
      <c r="AZ793" s="1490"/>
      <c r="BA793" s="1490"/>
      <c r="BB793" s="1490"/>
      <c r="BC793" s="1490"/>
      <c r="BD793" s="1490"/>
      <c r="BE793" s="1490"/>
      <c r="BF793" s="1490"/>
      <c r="BG793" s="1490"/>
      <c r="BH793" s="1490"/>
      <c r="BI793" s="1490"/>
      <c r="BJ793" s="1490"/>
      <c r="BK793" s="1490"/>
      <c r="BL793" s="1490"/>
      <c r="BM793" s="1490"/>
      <c r="BN793" s="1490"/>
      <c r="BO793" s="1490"/>
      <c r="BP793" s="1490"/>
      <c r="BQ793" s="1490"/>
      <c r="BR793" s="1490"/>
      <c r="BS793" s="1490"/>
      <c r="BT793" s="1490"/>
      <c r="BU793" s="1490"/>
      <c r="BV793" s="1490"/>
      <c r="BW793" s="1490"/>
      <c r="BX793" s="1490"/>
      <c r="BY793" s="1490"/>
      <c r="BZ793" s="1490"/>
      <c r="CA793" s="1490"/>
      <c r="CB793" s="1490"/>
      <c r="CC793" s="1490"/>
      <c r="CD793" s="1490"/>
      <c r="CE793" s="1490"/>
      <c r="CF793" s="1490"/>
      <c r="CG793" s="1490"/>
      <c r="CH793" s="1490"/>
      <c r="CI793" s="1490"/>
      <c r="CJ793" s="1490"/>
      <c r="CK793" s="1490"/>
      <c r="CL793" s="1490"/>
      <c r="CM793" s="1490"/>
      <c r="CN793" s="1490"/>
      <c r="CO793" s="1490"/>
      <c r="CP793" s="1490"/>
      <c r="CQ793" s="1490"/>
      <c r="CR793" s="1490"/>
      <c r="CS793" s="1490"/>
      <c r="CT793" s="1490"/>
      <c r="CU793" s="1490"/>
      <c r="CV793" s="1490"/>
      <c r="CW793" s="1490"/>
      <c r="CX793" s="1490"/>
      <c r="CY793" s="1490"/>
      <c r="CZ793" s="1490"/>
      <c r="DA793" s="1490"/>
      <c r="DB793" s="1490"/>
      <c r="DC793" s="1490"/>
      <c r="DD793" s="1490"/>
      <c r="DE793" s="1490"/>
      <c r="DF793" s="1490"/>
      <c r="DG793" s="1490"/>
      <c r="DH793" s="1490"/>
      <c r="DI793" s="1490"/>
      <c r="DJ793" s="1490"/>
      <c r="DK793" s="1490"/>
      <c r="DL793" s="1490"/>
      <c r="DM793" s="1490"/>
      <c r="DN793" s="1490"/>
      <c r="DO793" s="1490"/>
      <c r="DP793" s="1490"/>
      <c r="DQ793" s="1490"/>
      <c r="DR793" s="1490"/>
      <c r="DS793" s="1490"/>
      <c r="DT793" s="1490"/>
      <c r="DU793" s="1490"/>
      <c r="DV793" s="1490"/>
      <c r="DW793" s="1490"/>
      <c r="DX793" s="1490"/>
      <c r="DY793" s="1490"/>
      <c r="DZ793" s="1490"/>
      <c r="EA793" s="1490"/>
      <c r="EB793" s="1490"/>
      <c r="EC793" s="1490"/>
      <c r="ED793" s="1490"/>
      <c r="EE793" s="1490"/>
      <c r="EF793" s="1490"/>
      <c r="EG793" s="1490"/>
      <c r="EH793" s="1490"/>
      <c r="EI793" s="1490"/>
      <c r="EJ793" s="1490"/>
      <c r="EK793" s="1490"/>
      <c r="EL793" s="1490"/>
      <c r="EM793" s="1490"/>
      <c r="EN793" s="1490"/>
      <c r="EO793" s="1490"/>
      <c r="EP793" s="1490"/>
      <c r="EQ793" s="1490"/>
      <c r="ER793" s="1490"/>
      <c r="ES793" s="1490"/>
      <c r="ET793" s="1490"/>
      <c r="EU793" s="1490"/>
      <c r="EV793" s="1490"/>
      <c r="EW793" s="1490"/>
      <c r="EX793" s="1490"/>
      <c r="EY793" s="1490"/>
      <c r="EZ793" s="1490"/>
      <c r="FA793" s="1490"/>
      <c r="FB793" s="1490"/>
      <c r="FC793" s="1490"/>
      <c r="FD793" s="1490"/>
      <c r="FE793" s="1490"/>
      <c r="FF793" s="1490"/>
      <c r="FG793" s="1490"/>
      <c r="FH793" s="1490"/>
      <c r="FI793" s="1490"/>
      <c r="FJ793" s="1490"/>
      <c r="FK793" s="1490"/>
      <c r="FL793" s="1490"/>
      <c r="FM793" s="1490"/>
      <c r="FN793" s="1490"/>
      <c r="FO793" s="1490"/>
      <c r="FP793" s="1490"/>
      <c r="FQ793" s="1490"/>
      <c r="FR793" s="1490"/>
      <c r="FS793" s="1490"/>
      <c r="FT793" s="1490"/>
      <c r="FU793" s="1490"/>
      <c r="FV793" s="1490"/>
      <c r="FW793" s="1490"/>
      <c r="FX793" s="1490"/>
      <c r="FY793" s="1490"/>
      <c r="FZ793" s="1490"/>
      <c r="GA793" s="1490"/>
      <c r="GB793" s="1490"/>
      <c r="GC793" s="1490"/>
      <c r="GD793" s="1490"/>
      <c r="GE793" s="1490"/>
      <c r="GF793" s="1490"/>
      <c r="GG793" s="1490"/>
      <c r="GH793" s="1490"/>
      <c r="GI793" s="1490"/>
      <c r="GJ793" s="1490"/>
      <c r="GK793" s="1490"/>
      <c r="GL793" s="1490"/>
      <c r="GM793" s="1490"/>
      <c r="GN793" s="1490"/>
      <c r="GO793" s="1490"/>
      <c r="GP793" s="1490"/>
      <c r="GQ793" s="1490"/>
      <c r="GR793" s="1490"/>
      <c r="GS793" s="1490"/>
      <c r="GT793" s="1490"/>
      <c r="GU793" s="1490"/>
      <c r="GV793" s="1490"/>
      <c r="GW793" s="1490"/>
      <c r="GX793" s="1490"/>
      <c r="GY793" s="1490"/>
      <c r="GZ793" s="1490"/>
      <c r="HA793" s="1490"/>
      <c r="HB793" s="1490"/>
      <c r="HC793" s="1490"/>
      <c r="HD793" s="1490"/>
      <c r="HE793" s="1490"/>
      <c r="HF793" s="1490"/>
      <c r="HG793" s="1490"/>
      <c r="HH793" s="1490"/>
      <c r="HI793" s="1490"/>
      <c r="HJ793" s="1490"/>
      <c r="HK793" s="1490"/>
      <c r="HL793" s="1490"/>
      <c r="HM793" s="1490"/>
      <c r="HN793" s="1490"/>
      <c r="HO793" s="1490"/>
      <c r="HP793" s="1490"/>
      <c r="HQ793" s="1490"/>
      <c r="HR793" s="1490"/>
      <c r="HS793" s="1490"/>
      <c r="HT793" s="1490"/>
      <c r="HU793" s="1490"/>
      <c r="HV793" s="1490"/>
      <c r="HW793" s="1490"/>
      <c r="HX793" s="1490"/>
      <c r="HY793" s="1490"/>
      <c r="HZ793" s="1490"/>
      <c r="IA793" s="1490"/>
      <c r="IB793" s="1490"/>
      <c r="IC793" s="1490"/>
      <c r="ID793" s="1490"/>
      <c r="IE793" s="1490"/>
      <c r="IF793" s="1490"/>
      <c r="IG793" s="1490"/>
      <c r="IH793" s="1490"/>
      <c r="II793" s="1490"/>
      <c r="IJ793" s="1490"/>
      <c r="IK793" s="1490"/>
      <c r="IL793" s="1490"/>
      <c r="IM793" s="1490"/>
      <c r="IN793" s="1490"/>
      <c r="IO793" s="44"/>
    </row>
    <row r="794" spans="1:249" s="5" customFormat="1" ht="24" customHeight="1">
      <c r="A794" s="1495" t="s">
        <v>232</v>
      </c>
      <c r="B794" s="1495"/>
      <c r="C794" s="1495"/>
      <c r="D794" s="1495"/>
      <c r="E794" s="1495"/>
      <c r="F794" s="1495"/>
      <c r="G794" s="1495"/>
      <c r="H794" s="1495"/>
      <c r="I794" s="1495"/>
      <c r="J794" s="1495"/>
      <c r="K794" s="1495"/>
      <c r="L794" s="1495"/>
      <c r="M794" s="1495"/>
      <c r="N794" s="1495"/>
      <c r="O794" s="43"/>
      <c r="P794" s="43"/>
      <c r="Q794" s="119" t="s">
        <v>193</v>
      </c>
      <c r="R794" s="119" t="str">
        <f>'Du lieu'!$C$18</f>
        <v>Nguyễn Mạnh Hùng</v>
      </c>
      <c r="S794" s="119"/>
      <c r="T794" s="119" t="str">
        <f>'Du lieu'!$D$18</f>
        <v>Chỉ huy phó công trường</v>
      </c>
      <c r="U794" s="125"/>
      <c r="V794" s="126"/>
      <c r="W794" s="126"/>
      <c r="X794" s="126"/>
      <c r="Y794" s="126"/>
      <c r="Z794" s="126"/>
      <c r="AA794" s="126"/>
      <c r="AB794" s="126"/>
      <c r="AC794" s="126"/>
      <c r="AD794" s="44"/>
      <c r="AE794" s="44"/>
      <c r="AF794" s="44"/>
      <c r="AG794" s="44"/>
      <c r="AH794" s="44"/>
      <c r="AI794" s="44"/>
      <c r="AJ794" s="44"/>
      <c r="AK794" s="44"/>
      <c r="AL794" s="44"/>
      <c r="AM794" s="44"/>
      <c r="AN794" s="44"/>
      <c r="AO794" s="44"/>
      <c r="AP794" s="44"/>
      <c r="AQ794" s="44"/>
      <c r="AR794" s="44"/>
      <c r="AS794" s="44"/>
      <c r="AT794" s="44"/>
      <c r="AU794" s="44"/>
      <c r="AV794" s="44"/>
      <c r="AW794" s="44"/>
      <c r="AX794" s="44"/>
      <c r="AY794" s="44"/>
      <c r="AZ794" s="44"/>
      <c r="BA794" s="44"/>
      <c r="BB794" s="44"/>
      <c r="BC794" s="44"/>
      <c r="BD794" s="44"/>
      <c r="BE794" s="44"/>
      <c r="BF794" s="44"/>
      <c r="BG794" s="44"/>
      <c r="BH794" s="44"/>
      <c r="BI794" s="44"/>
      <c r="BJ794" s="44"/>
      <c r="BK794" s="44"/>
      <c r="BL794" s="44"/>
      <c r="BM794" s="44"/>
      <c r="BN794" s="44"/>
      <c r="BO794" s="44"/>
      <c r="BP794" s="44"/>
      <c r="BQ794" s="44"/>
      <c r="BR794" s="44"/>
      <c r="BS794" s="44"/>
      <c r="BT794" s="44"/>
      <c r="BU794" s="44"/>
      <c r="BV794" s="44"/>
      <c r="BW794" s="44"/>
      <c r="BX794" s="44"/>
      <c r="BY794" s="44"/>
      <c r="BZ794" s="44"/>
      <c r="CA794" s="44"/>
      <c r="CB794" s="44"/>
      <c r="CC794" s="44"/>
      <c r="CD794" s="44"/>
      <c r="CE794" s="44"/>
      <c r="CF794" s="44"/>
      <c r="CG794" s="44"/>
      <c r="CH794" s="44"/>
      <c r="CI794" s="44"/>
      <c r="CJ794" s="44"/>
      <c r="CK794" s="44"/>
      <c r="CL794" s="44"/>
      <c r="CM794" s="44"/>
      <c r="CN794" s="44"/>
      <c r="CO794" s="44"/>
      <c r="CP794" s="44"/>
      <c r="CQ794" s="44"/>
      <c r="CR794" s="44"/>
      <c r="CS794" s="44"/>
      <c r="CT794" s="44"/>
      <c r="CU794" s="44"/>
      <c r="CV794" s="44"/>
      <c r="CW794" s="44"/>
      <c r="CX794" s="44"/>
      <c r="CY794" s="44"/>
      <c r="CZ794" s="44"/>
      <c r="DA794" s="44"/>
      <c r="DB794" s="44"/>
      <c r="DC794" s="44"/>
      <c r="DD794" s="44"/>
      <c r="DE794" s="44"/>
      <c r="DF794" s="44"/>
      <c r="DG794" s="44"/>
      <c r="DH794" s="44"/>
      <c r="DI794" s="44"/>
      <c r="DJ794" s="44"/>
      <c r="DK794" s="44"/>
      <c r="DL794" s="44"/>
      <c r="DM794" s="44"/>
      <c r="DN794" s="44"/>
      <c r="DO794" s="44"/>
      <c r="DP794" s="44"/>
      <c r="DQ794" s="44"/>
      <c r="DR794" s="44"/>
      <c r="DS794" s="44"/>
      <c r="DT794" s="44"/>
      <c r="DU794" s="44"/>
      <c r="DV794" s="44"/>
      <c r="DW794" s="44"/>
      <c r="DX794" s="44"/>
      <c r="DY794" s="44"/>
      <c r="DZ794" s="44"/>
      <c r="EA794" s="44"/>
      <c r="EB794" s="44"/>
      <c r="EC794" s="44"/>
      <c r="ED794" s="44"/>
      <c r="EE794" s="44"/>
      <c r="EF794" s="44"/>
      <c r="EG794" s="44"/>
      <c r="EH794" s="44"/>
      <c r="EI794" s="44"/>
      <c r="EJ794" s="44"/>
      <c r="EK794" s="44"/>
      <c r="EL794" s="44"/>
      <c r="EM794" s="44"/>
      <c r="EN794" s="44"/>
      <c r="EO794" s="44"/>
      <c r="EP794" s="44"/>
      <c r="EQ794" s="44"/>
      <c r="ER794" s="44"/>
      <c r="ES794" s="44"/>
      <c r="ET794" s="44"/>
      <c r="EU794" s="44"/>
      <c r="EV794" s="44"/>
      <c r="EW794" s="44"/>
      <c r="EX794" s="44"/>
      <c r="EY794" s="44"/>
      <c r="EZ794" s="44"/>
      <c r="FA794" s="44"/>
      <c r="FB794" s="44"/>
      <c r="FC794" s="44"/>
      <c r="FD794" s="44"/>
      <c r="FE794" s="44"/>
      <c r="FF794" s="44"/>
      <c r="FG794" s="44"/>
      <c r="FH794" s="44"/>
      <c r="FI794" s="44"/>
      <c r="FJ794" s="44"/>
      <c r="FK794" s="44"/>
      <c r="FL794" s="44"/>
      <c r="FM794" s="44"/>
      <c r="FN794" s="44"/>
      <c r="FO794" s="44"/>
      <c r="FP794" s="44"/>
      <c r="FQ794" s="44"/>
      <c r="FR794" s="44"/>
      <c r="FS794" s="44"/>
      <c r="FT794" s="44"/>
      <c r="FU794" s="44"/>
      <c r="FV794" s="44"/>
      <c r="FW794" s="44"/>
      <c r="FX794" s="44"/>
      <c r="FY794" s="44"/>
      <c r="FZ794" s="44"/>
      <c r="GA794" s="44"/>
      <c r="GB794" s="44"/>
      <c r="GC794" s="44"/>
      <c r="GD794" s="44"/>
      <c r="GE794" s="44"/>
      <c r="GF794" s="44"/>
      <c r="GG794" s="44"/>
      <c r="GH794" s="44"/>
      <c r="GI794" s="44"/>
      <c r="GJ794" s="44"/>
      <c r="GK794" s="44"/>
      <c r="GL794" s="44"/>
      <c r="GM794" s="44"/>
      <c r="GN794" s="44"/>
      <c r="GO794" s="44"/>
      <c r="GP794" s="44"/>
      <c r="GQ794" s="44"/>
      <c r="GR794" s="44"/>
      <c r="GS794" s="44"/>
      <c r="GT794" s="44"/>
      <c r="GU794" s="44"/>
      <c r="GV794" s="44"/>
      <c r="GW794" s="44"/>
      <c r="GX794" s="44"/>
      <c r="GY794" s="44"/>
      <c r="GZ794" s="44"/>
      <c r="HA794" s="44"/>
      <c r="HB794" s="44"/>
      <c r="HC794" s="44"/>
      <c r="HD794" s="44"/>
      <c r="HE794" s="44"/>
      <c r="HF794" s="44"/>
      <c r="HG794" s="44"/>
      <c r="HH794" s="44"/>
      <c r="HI794" s="44"/>
      <c r="HJ794" s="44"/>
      <c r="HK794" s="44"/>
      <c r="HL794" s="44"/>
      <c r="HM794" s="44"/>
      <c r="HN794" s="44"/>
      <c r="HO794" s="44"/>
      <c r="HP794" s="44"/>
      <c r="HQ794" s="44"/>
      <c r="HR794" s="44"/>
      <c r="HS794" s="44"/>
      <c r="HT794" s="44"/>
      <c r="HU794" s="44"/>
      <c r="HV794" s="44"/>
      <c r="HW794" s="44"/>
      <c r="HX794" s="44"/>
      <c r="HY794" s="44"/>
      <c r="HZ794" s="44"/>
      <c r="IA794" s="44"/>
      <c r="IB794" s="44"/>
      <c r="IC794" s="44"/>
      <c r="ID794" s="44"/>
      <c r="IE794" s="44"/>
      <c r="IF794" s="44"/>
      <c r="IG794" s="44"/>
      <c r="IH794" s="44"/>
      <c r="II794" s="44"/>
      <c r="IJ794" s="44"/>
      <c r="IK794" s="44"/>
      <c r="IL794" s="44"/>
      <c r="IM794" s="44"/>
      <c r="IN794" s="44"/>
      <c r="IO794" s="44"/>
    </row>
    <row r="795" spans="1:249" s="45" customFormat="1" ht="21.95" customHeight="1">
      <c r="A795" s="1495" t="s">
        <v>233</v>
      </c>
      <c r="B795" s="1495"/>
      <c r="C795" s="1495"/>
      <c r="D795" s="1495"/>
      <c r="E795" s="1495"/>
      <c r="F795" s="1495"/>
      <c r="G795" s="1495"/>
      <c r="H795" s="1495"/>
      <c r="I795" s="1495"/>
      <c r="J795" s="1495"/>
      <c r="K795" s="1495"/>
      <c r="L795" s="1495"/>
      <c r="M795" s="1495"/>
      <c r="N795" s="1495"/>
      <c r="O795" s="43"/>
      <c r="P795" s="43"/>
      <c r="Q795" s="10"/>
      <c r="R795" s="126"/>
      <c r="S795" s="126"/>
      <c r="T795" s="126"/>
      <c r="U795" s="126"/>
      <c r="V795" s="126"/>
      <c r="W795" s="126"/>
      <c r="X795" s="126"/>
      <c r="Y795" s="126"/>
      <c r="Z795" s="126"/>
      <c r="AA795" s="126"/>
      <c r="AB795" s="126"/>
      <c r="AC795" s="126"/>
      <c r="AD795" s="47"/>
      <c r="AE795" s="47"/>
      <c r="AF795" s="47"/>
      <c r="AG795" s="47"/>
      <c r="AH795" s="47"/>
      <c r="AI795" s="47"/>
      <c r="AJ795" s="47"/>
      <c r="AK795" s="47"/>
      <c r="AL795" s="47"/>
      <c r="AM795" s="47"/>
      <c r="AN795" s="47"/>
      <c r="AO795" s="47"/>
      <c r="AP795" s="47"/>
      <c r="AQ795" s="47"/>
      <c r="AR795" s="47"/>
      <c r="AS795" s="47"/>
      <c r="AT795" s="47"/>
      <c r="AU795" s="47"/>
      <c r="AV795" s="47"/>
      <c r="AW795" s="47"/>
      <c r="AX795" s="47"/>
      <c r="AY795" s="47"/>
      <c r="AZ795" s="47"/>
      <c r="BA795" s="47"/>
      <c r="BB795" s="47"/>
      <c r="BC795" s="47"/>
      <c r="BD795" s="47"/>
      <c r="BE795" s="47"/>
      <c r="BF795" s="47"/>
      <c r="BG795" s="47"/>
      <c r="BH795" s="47"/>
      <c r="BI795" s="47"/>
      <c r="BJ795" s="47"/>
      <c r="BK795" s="47"/>
      <c r="BL795" s="47"/>
      <c r="BM795" s="47"/>
      <c r="BN795" s="47"/>
      <c r="BO795" s="47"/>
      <c r="BP795" s="47"/>
      <c r="BQ795" s="47"/>
      <c r="BR795" s="47"/>
      <c r="BS795" s="47"/>
      <c r="BT795" s="47"/>
      <c r="BU795" s="47"/>
      <c r="BV795" s="47"/>
      <c r="BW795" s="47"/>
      <c r="BX795" s="47"/>
      <c r="BY795" s="47"/>
      <c r="BZ795" s="47"/>
      <c r="CA795" s="47"/>
      <c r="CB795" s="47"/>
      <c r="CC795" s="47"/>
      <c r="CD795" s="47"/>
      <c r="CE795" s="47"/>
      <c r="CF795" s="47"/>
      <c r="CG795" s="47"/>
      <c r="CH795" s="47"/>
      <c r="CI795" s="47"/>
      <c r="CJ795" s="47"/>
      <c r="CK795" s="47"/>
      <c r="CL795" s="47"/>
      <c r="CM795" s="47"/>
      <c r="CN795" s="47"/>
      <c r="CO795" s="47"/>
      <c r="CP795" s="47"/>
      <c r="CQ795" s="47"/>
      <c r="CR795" s="47"/>
      <c r="CS795" s="47"/>
      <c r="CT795" s="47"/>
      <c r="CU795" s="47"/>
      <c r="CV795" s="47"/>
      <c r="CW795" s="47"/>
      <c r="CX795" s="47"/>
      <c r="CY795" s="47"/>
      <c r="CZ795" s="47"/>
      <c r="DA795" s="47"/>
      <c r="DB795" s="47"/>
      <c r="DC795" s="47"/>
      <c r="DD795" s="47"/>
      <c r="DE795" s="47"/>
      <c r="DF795" s="47"/>
      <c r="DG795" s="47"/>
      <c r="DH795" s="47"/>
      <c r="DI795" s="47"/>
      <c r="DJ795" s="47"/>
      <c r="DK795" s="47"/>
      <c r="DL795" s="47"/>
      <c r="DM795" s="47"/>
      <c r="DN795" s="47"/>
      <c r="DO795" s="47"/>
      <c r="DP795" s="47"/>
      <c r="DQ795" s="47"/>
      <c r="DR795" s="47"/>
      <c r="DS795" s="47"/>
      <c r="DT795" s="47"/>
      <c r="DU795" s="47"/>
      <c r="DV795" s="47"/>
      <c r="DW795" s="47"/>
      <c r="DX795" s="47"/>
      <c r="DY795" s="47"/>
      <c r="DZ795" s="47"/>
      <c r="EA795" s="47"/>
      <c r="EB795" s="47"/>
      <c r="EC795" s="47"/>
      <c r="ED795" s="47"/>
      <c r="EE795" s="47"/>
      <c r="EF795" s="47"/>
      <c r="EG795" s="47"/>
      <c r="EH795" s="47"/>
      <c r="EI795" s="47"/>
      <c r="EJ795" s="47"/>
      <c r="EK795" s="47"/>
      <c r="EL795" s="47"/>
      <c r="EM795" s="47"/>
      <c r="EN795" s="47"/>
      <c r="EO795" s="47"/>
      <c r="EP795" s="47"/>
      <c r="EQ795" s="47"/>
      <c r="ER795" s="47"/>
      <c r="ES795" s="47"/>
      <c r="ET795" s="47"/>
      <c r="EU795" s="47"/>
      <c r="EV795" s="47"/>
      <c r="EW795" s="47"/>
      <c r="EX795" s="47"/>
      <c r="EY795" s="47"/>
      <c r="EZ795" s="47"/>
      <c r="FA795" s="47"/>
      <c r="FB795" s="47"/>
      <c r="FC795" s="47"/>
      <c r="FD795" s="47"/>
      <c r="FE795" s="47"/>
      <c r="FF795" s="47"/>
      <c r="FG795" s="47"/>
      <c r="FH795" s="47"/>
      <c r="FI795" s="47"/>
      <c r="FJ795" s="47"/>
      <c r="FK795" s="47"/>
      <c r="FL795" s="47"/>
      <c r="FM795" s="47"/>
      <c r="FN795" s="47"/>
      <c r="FO795" s="47"/>
      <c r="FP795" s="47"/>
      <c r="FQ795" s="47"/>
      <c r="FR795" s="47"/>
      <c r="FS795" s="47"/>
      <c r="FT795" s="47"/>
      <c r="FU795" s="47"/>
      <c r="FV795" s="47"/>
      <c r="FW795" s="47"/>
      <c r="FX795" s="47"/>
      <c r="FY795" s="47"/>
      <c r="FZ795" s="47"/>
      <c r="GA795" s="47"/>
      <c r="GB795" s="47"/>
      <c r="GC795" s="47"/>
      <c r="GD795" s="47"/>
      <c r="GE795" s="47"/>
      <c r="GF795" s="47"/>
      <c r="GG795" s="47"/>
      <c r="GH795" s="47"/>
      <c r="GI795" s="47"/>
      <c r="GJ795" s="47"/>
      <c r="GK795" s="47"/>
      <c r="GL795" s="47"/>
      <c r="GM795" s="47"/>
      <c r="GN795" s="47"/>
      <c r="GO795" s="47"/>
      <c r="GP795" s="47"/>
      <c r="GQ795" s="47"/>
      <c r="GR795" s="47"/>
      <c r="GS795" s="47"/>
      <c r="GT795" s="47"/>
      <c r="GU795" s="47"/>
      <c r="GV795" s="47"/>
      <c r="GW795" s="47"/>
      <c r="GX795" s="47"/>
      <c r="GY795" s="47"/>
      <c r="GZ795" s="47"/>
      <c r="HA795" s="47"/>
      <c r="HB795" s="47"/>
      <c r="HC795" s="47"/>
      <c r="HD795" s="47"/>
      <c r="HE795" s="47"/>
      <c r="HF795" s="47"/>
      <c r="HG795" s="47"/>
      <c r="HH795" s="47"/>
      <c r="HI795" s="47"/>
      <c r="HJ795" s="47"/>
      <c r="HK795" s="47"/>
      <c r="HL795" s="47"/>
      <c r="HM795" s="47"/>
      <c r="HN795" s="47"/>
      <c r="HO795" s="47"/>
      <c r="HP795" s="47"/>
      <c r="HQ795" s="47"/>
      <c r="HR795" s="47"/>
      <c r="HS795" s="47"/>
      <c r="HT795" s="47"/>
      <c r="HU795" s="47"/>
      <c r="HV795" s="47"/>
      <c r="HW795" s="47"/>
      <c r="HX795" s="47"/>
      <c r="HY795" s="47"/>
      <c r="HZ795" s="47"/>
      <c r="IA795" s="47"/>
      <c r="IB795" s="47"/>
      <c r="IC795" s="47"/>
      <c r="ID795" s="47"/>
      <c r="IE795" s="47"/>
      <c r="IF795" s="47"/>
      <c r="IG795" s="47"/>
      <c r="IH795" s="47"/>
      <c r="II795" s="47"/>
      <c r="IJ795" s="47"/>
      <c r="IK795" s="47"/>
      <c r="IL795" s="47"/>
      <c r="IM795" s="47"/>
      <c r="IN795" s="47"/>
    </row>
    <row r="796" spans="1:249" s="5" customFormat="1" ht="24" customHeight="1">
      <c r="A796" s="48" t="s">
        <v>234</v>
      </c>
      <c r="B796" s="39"/>
      <c r="C796" s="39"/>
      <c r="D796" s="39"/>
      <c r="E796" s="39"/>
      <c r="F796" s="39"/>
      <c r="G796" s="39"/>
      <c r="H796" s="39"/>
      <c r="I796" s="39"/>
      <c r="J796" s="39"/>
      <c r="K796" s="39"/>
      <c r="L796" s="39"/>
      <c r="M796" s="39"/>
      <c r="N796" s="39"/>
      <c r="O796" s="43"/>
      <c r="P796" s="43"/>
      <c r="Q796" s="10"/>
      <c r="R796" s="126"/>
      <c r="S796" s="126"/>
      <c r="T796" s="126"/>
      <c r="U796" s="126"/>
      <c r="V796" s="126"/>
      <c r="W796" s="126"/>
      <c r="X796" s="126"/>
      <c r="Y796" s="126"/>
      <c r="Z796" s="126"/>
      <c r="AA796" s="126"/>
      <c r="AB796" s="126"/>
      <c r="AC796" s="126"/>
      <c r="AD796" s="1490"/>
      <c r="AE796" s="1490"/>
      <c r="AF796" s="1490"/>
      <c r="AG796" s="1490"/>
      <c r="AH796" s="1490"/>
      <c r="AI796" s="1490"/>
      <c r="AJ796" s="1490"/>
      <c r="AK796" s="1490"/>
      <c r="AL796" s="1490"/>
      <c r="AM796" s="1490"/>
      <c r="AN796" s="1490"/>
      <c r="AO796" s="1490"/>
      <c r="AP796" s="1490"/>
      <c r="AQ796" s="1490"/>
      <c r="AR796" s="1490"/>
      <c r="AS796" s="1490"/>
      <c r="AT796" s="1490"/>
      <c r="AU796" s="1490"/>
      <c r="AV796" s="1490"/>
      <c r="AW796" s="1490"/>
      <c r="AX796" s="1490"/>
      <c r="AY796" s="1490"/>
      <c r="AZ796" s="1490"/>
      <c r="BA796" s="1490"/>
      <c r="BB796" s="1490"/>
      <c r="BC796" s="1490"/>
      <c r="BD796" s="1490"/>
      <c r="BE796" s="1490"/>
      <c r="BF796" s="1490"/>
      <c r="BG796" s="1490"/>
      <c r="BH796" s="1490"/>
      <c r="BI796" s="1490"/>
      <c r="BJ796" s="1490"/>
      <c r="BK796" s="1490"/>
      <c r="BL796" s="1490"/>
      <c r="BM796" s="1490"/>
      <c r="BN796" s="1490"/>
      <c r="BO796" s="1490"/>
      <c r="BP796" s="1490"/>
      <c r="BQ796" s="1490"/>
      <c r="BR796" s="1490"/>
      <c r="BS796" s="1490"/>
      <c r="BT796" s="1490"/>
      <c r="BU796" s="1490"/>
      <c r="BV796" s="1490"/>
      <c r="BW796" s="1490"/>
      <c r="BX796" s="1490"/>
      <c r="BY796" s="1490"/>
      <c r="BZ796" s="1490"/>
      <c r="CA796" s="1490"/>
      <c r="CB796" s="1490"/>
      <c r="CC796" s="1490"/>
      <c r="CD796" s="1490"/>
      <c r="CE796" s="1490"/>
      <c r="CF796" s="1490"/>
      <c r="CG796" s="1490"/>
      <c r="CH796" s="1490"/>
      <c r="CI796" s="1490"/>
      <c r="CJ796" s="1490"/>
      <c r="CK796" s="1490"/>
      <c r="CL796" s="1490"/>
      <c r="CM796" s="1490"/>
      <c r="CN796" s="1490"/>
      <c r="CO796" s="1490"/>
      <c r="CP796" s="1490"/>
      <c r="CQ796" s="1490"/>
      <c r="CR796" s="1490"/>
      <c r="CS796" s="1490"/>
      <c r="CT796" s="1490"/>
      <c r="CU796" s="1490"/>
      <c r="CV796" s="1490"/>
      <c r="CW796" s="1490"/>
      <c r="CX796" s="1490"/>
      <c r="CY796" s="1490"/>
      <c r="CZ796" s="1490"/>
      <c r="DA796" s="1490"/>
      <c r="DB796" s="1490"/>
      <c r="DC796" s="1490"/>
      <c r="DD796" s="1490"/>
      <c r="DE796" s="1490"/>
      <c r="DF796" s="1490"/>
      <c r="DG796" s="1490"/>
      <c r="DH796" s="1490"/>
      <c r="DI796" s="1490"/>
      <c r="DJ796" s="1490"/>
      <c r="DK796" s="1490"/>
      <c r="DL796" s="1490"/>
      <c r="DM796" s="1490"/>
      <c r="DN796" s="1490"/>
      <c r="DO796" s="1490"/>
      <c r="DP796" s="1490"/>
      <c r="DQ796" s="1490"/>
      <c r="DR796" s="1490"/>
      <c r="DS796" s="1490"/>
      <c r="DT796" s="1490"/>
      <c r="DU796" s="1490"/>
      <c r="DV796" s="1490"/>
      <c r="DW796" s="1490"/>
      <c r="DX796" s="1490"/>
      <c r="DY796" s="1490"/>
      <c r="DZ796" s="1490"/>
      <c r="EA796" s="1490"/>
      <c r="EB796" s="1490"/>
      <c r="EC796" s="1490"/>
      <c r="ED796" s="1490"/>
      <c r="EE796" s="1490"/>
      <c r="EF796" s="1490"/>
      <c r="EG796" s="1490"/>
      <c r="EH796" s="1490"/>
      <c r="EI796" s="1490"/>
      <c r="EJ796" s="1490"/>
      <c r="EK796" s="1490"/>
      <c r="EL796" s="1490"/>
      <c r="EM796" s="1490"/>
      <c r="EN796" s="1490"/>
      <c r="EO796" s="1490"/>
      <c r="EP796" s="1490"/>
      <c r="EQ796" s="1490"/>
      <c r="ER796" s="1490"/>
      <c r="ES796" s="1490"/>
      <c r="ET796" s="1490"/>
      <c r="EU796" s="1490"/>
      <c r="EV796" s="1490"/>
      <c r="EW796" s="1490"/>
      <c r="EX796" s="1490"/>
      <c r="EY796" s="1490"/>
      <c r="EZ796" s="1490"/>
      <c r="FA796" s="1490"/>
      <c r="FB796" s="1490"/>
      <c r="FC796" s="1490"/>
      <c r="FD796" s="1490"/>
      <c r="FE796" s="1490"/>
      <c r="FF796" s="1490"/>
      <c r="FG796" s="1490"/>
      <c r="FH796" s="1490"/>
      <c r="FI796" s="1490"/>
      <c r="FJ796" s="1490"/>
      <c r="FK796" s="1490"/>
      <c r="FL796" s="1490"/>
      <c r="FM796" s="1490"/>
      <c r="FN796" s="1490"/>
      <c r="FO796" s="1490"/>
      <c r="FP796" s="1490"/>
      <c r="FQ796" s="1490"/>
      <c r="FR796" s="1490"/>
      <c r="FS796" s="1490"/>
      <c r="FT796" s="1490"/>
      <c r="FU796" s="1490"/>
      <c r="FV796" s="1490"/>
      <c r="FW796" s="1490"/>
      <c r="FX796" s="1490"/>
      <c r="FY796" s="1490"/>
      <c r="FZ796" s="1490"/>
      <c r="GA796" s="1490"/>
      <c r="GB796" s="1490"/>
      <c r="GC796" s="1490"/>
      <c r="GD796" s="1490"/>
      <c r="GE796" s="1490"/>
      <c r="GF796" s="1490"/>
      <c r="GG796" s="1490"/>
      <c r="GH796" s="1490"/>
      <c r="GI796" s="1490"/>
      <c r="GJ796" s="1490"/>
      <c r="GK796" s="1490"/>
      <c r="GL796" s="1490"/>
      <c r="GM796" s="1490"/>
      <c r="GN796" s="1490"/>
      <c r="GO796" s="1490"/>
      <c r="GP796" s="1490"/>
      <c r="GQ796" s="1490"/>
      <c r="GR796" s="1490"/>
      <c r="GS796" s="1490"/>
      <c r="GT796" s="1490"/>
      <c r="GU796" s="1490"/>
      <c r="GV796" s="1490"/>
      <c r="GW796" s="1490"/>
      <c r="GX796" s="1490"/>
      <c r="GY796" s="1490"/>
      <c r="GZ796" s="1490"/>
      <c r="HA796" s="1490"/>
      <c r="HB796" s="1490"/>
      <c r="HC796" s="1490"/>
      <c r="HD796" s="1490"/>
      <c r="HE796" s="1490"/>
      <c r="HF796" s="1490"/>
      <c r="HG796" s="1490"/>
      <c r="HH796" s="1490"/>
      <c r="HI796" s="1490"/>
      <c r="HJ796" s="1490"/>
      <c r="HK796" s="1490"/>
      <c r="HL796" s="1490"/>
      <c r="HM796" s="1490"/>
      <c r="HN796" s="1490"/>
      <c r="HO796" s="1490"/>
      <c r="HP796" s="1490"/>
      <c r="HQ796" s="1490"/>
      <c r="HR796" s="1490"/>
      <c r="HS796" s="1490"/>
      <c r="HT796" s="1490"/>
      <c r="HU796" s="1490"/>
      <c r="HV796" s="1490"/>
      <c r="HW796" s="1490"/>
      <c r="HX796" s="1490"/>
      <c r="HY796" s="1490"/>
      <c r="HZ796" s="1490"/>
      <c r="IA796" s="1490"/>
      <c r="IB796" s="1490"/>
      <c r="IC796" s="1490"/>
      <c r="ID796" s="1490"/>
      <c r="IE796" s="1490"/>
      <c r="IF796" s="1490"/>
      <c r="IG796" s="1490"/>
      <c r="IH796" s="1490"/>
      <c r="II796" s="1490"/>
      <c r="IJ796" s="1490"/>
      <c r="IK796" s="1490"/>
      <c r="IL796" s="1490"/>
      <c r="IM796" s="1490"/>
      <c r="IN796" s="1490"/>
      <c r="IO796" s="44"/>
    </row>
    <row r="797" spans="1:249" s="5" customFormat="1" ht="25.5" customHeight="1">
      <c r="A797" s="1495" t="s">
        <v>235</v>
      </c>
      <c r="B797" s="1495"/>
      <c r="C797" s="1495"/>
      <c r="D797" s="1495"/>
      <c r="E797" s="1495"/>
      <c r="F797" s="1495"/>
      <c r="G797" s="1495"/>
      <c r="H797" s="1495"/>
      <c r="I797" s="1495"/>
      <c r="J797" s="1495"/>
      <c r="K797" s="1495"/>
      <c r="L797" s="1495"/>
      <c r="M797" s="1495"/>
      <c r="N797" s="1495"/>
      <c r="O797" s="43"/>
      <c r="P797" s="43"/>
      <c r="Q797" s="10"/>
      <c r="R797" s="126"/>
      <c r="S797" s="126"/>
      <c r="T797" s="126"/>
      <c r="U797" s="126"/>
      <c r="V797" s="126"/>
      <c r="W797" s="126"/>
      <c r="X797" s="126"/>
      <c r="Y797" s="126"/>
      <c r="Z797" s="126"/>
      <c r="AA797" s="126"/>
      <c r="AB797" s="126"/>
      <c r="AC797" s="126"/>
      <c r="AD797" s="1490"/>
      <c r="AE797" s="1490"/>
      <c r="AF797" s="1490"/>
      <c r="AG797" s="1490"/>
      <c r="AH797" s="1490"/>
      <c r="AI797" s="1490"/>
      <c r="AJ797" s="1490"/>
      <c r="AK797" s="1490"/>
      <c r="AL797" s="1490"/>
      <c r="AM797" s="1490"/>
      <c r="AN797" s="1490"/>
      <c r="AO797" s="1490"/>
      <c r="AP797" s="1490"/>
      <c r="AQ797" s="1490"/>
      <c r="AR797" s="1490"/>
      <c r="AS797" s="1490"/>
      <c r="AT797" s="1490"/>
      <c r="AU797" s="1490"/>
      <c r="AV797" s="1490"/>
      <c r="AW797" s="1490"/>
      <c r="AX797" s="1490"/>
      <c r="AY797" s="1490"/>
      <c r="AZ797" s="1490"/>
      <c r="BA797" s="1490"/>
      <c r="BB797" s="1490"/>
      <c r="BC797" s="1490"/>
      <c r="BD797" s="1490"/>
      <c r="BE797" s="1490"/>
      <c r="BF797" s="1490"/>
      <c r="BG797" s="1490"/>
      <c r="BH797" s="1490"/>
      <c r="BI797" s="1490"/>
      <c r="BJ797" s="1490"/>
      <c r="BK797" s="1490"/>
      <c r="BL797" s="1490"/>
      <c r="BM797" s="1490"/>
      <c r="BN797" s="1490"/>
      <c r="BO797" s="1490"/>
      <c r="BP797" s="1490"/>
      <c r="BQ797" s="1490"/>
      <c r="BR797" s="1490"/>
      <c r="BS797" s="1490"/>
      <c r="BT797" s="1490"/>
      <c r="BU797" s="1490"/>
      <c r="BV797" s="1490"/>
      <c r="BW797" s="1490"/>
      <c r="BX797" s="1490"/>
      <c r="BY797" s="1490"/>
      <c r="BZ797" s="1490"/>
      <c r="CA797" s="1490"/>
      <c r="CB797" s="1490"/>
      <c r="CC797" s="1490"/>
      <c r="CD797" s="1490"/>
      <c r="CE797" s="1490"/>
      <c r="CF797" s="1490"/>
      <c r="CG797" s="1490"/>
      <c r="CH797" s="1490"/>
      <c r="CI797" s="1490"/>
      <c r="CJ797" s="1490"/>
      <c r="CK797" s="1490"/>
      <c r="CL797" s="1490"/>
      <c r="CM797" s="1490"/>
      <c r="CN797" s="1490"/>
      <c r="CO797" s="1490"/>
      <c r="CP797" s="1490"/>
      <c r="CQ797" s="1490"/>
      <c r="CR797" s="1490"/>
      <c r="CS797" s="1490"/>
      <c r="CT797" s="1490"/>
      <c r="CU797" s="1490"/>
      <c r="CV797" s="1490"/>
      <c r="CW797" s="1490"/>
      <c r="CX797" s="1490"/>
      <c r="CY797" s="1490"/>
      <c r="CZ797" s="1490"/>
      <c r="DA797" s="1490"/>
      <c r="DB797" s="1490"/>
      <c r="DC797" s="1490"/>
      <c r="DD797" s="1490"/>
      <c r="DE797" s="1490"/>
      <c r="DF797" s="1490"/>
      <c r="DG797" s="1490"/>
      <c r="DH797" s="1490"/>
      <c r="DI797" s="1490"/>
      <c r="DJ797" s="1490"/>
      <c r="DK797" s="1490"/>
      <c r="DL797" s="1490"/>
      <c r="DM797" s="1490"/>
      <c r="DN797" s="1490"/>
      <c r="DO797" s="1490"/>
      <c r="DP797" s="1490"/>
      <c r="DQ797" s="1490"/>
      <c r="DR797" s="1490"/>
      <c r="DS797" s="1490"/>
      <c r="DT797" s="1490"/>
      <c r="DU797" s="1490"/>
      <c r="DV797" s="1490"/>
      <c r="DW797" s="1490"/>
      <c r="DX797" s="1490"/>
      <c r="DY797" s="1490"/>
      <c r="DZ797" s="1490"/>
      <c r="EA797" s="1490"/>
      <c r="EB797" s="1490"/>
      <c r="EC797" s="1490"/>
      <c r="ED797" s="1490"/>
      <c r="EE797" s="1490"/>
      <c r="EF797" s="1490"/>
      <c r="EG797" s="1490"/>
      <c r="EH797" s="1490"/>
      <c r="EI797" s="1490"/>
      <c r="EJ797" s="1490"/>
      <c r="EK797" s="1490"/>
      <c r="EL797" s="1490"/>
      <c r="EM797" s="1490"/>
      <c r="EN797" s="1490"/>
      <c r="EO797" s="1490"/>
      <c r="EP797" s="1490"/>
      <c r="EQ797" s="1490"/>
      <c r="ER797" s="1490"/>
      <c r="ES797" s="1490"/>
      <c r="ET797" s="1490"/>
      <c r="EU797" s="1490"/>
      <c r="EV797" s="1490"/>
      <c r="EW797" s="1490"/>
      <c r="EX797" s="1490"/>
      <c r="EY797" s="1490"/>
      <c r="EZ797" s="1490"/>
      <c r="FA797" s="1490"/>
      <c r="FB797" s="1490"/>
      <c r="FC797" s="1490"/>
      <c r="FD797" s="1490"/>
      <c r="FE797" s="1490"/>
      <c r="FF797" s="1490"/>
      <c r="FG797" s="1490"/>
      <c r="FH797" s="1490"/>
      <c r="FI797" s="1490"/>
      <c r="FJ797" s="1490"/>
      <c r="FK797" s="1490"/>
      <c r="FL797" s="1490"/>
      <c r="FM797" s="1490"/>
      <c r="FN797" s="1490"/>
      <c r="FO797" s="1490"/>
      <c r="FP797" s="1490"/>
      <c r="FQ797" s="1490"/>
      <c r="FR797" s="1490"/>
      <c r="FS797" s="1490"/>
      <c r="FT797" s="1490"/>
      <c r="FU797" s="1490"/>
      <c r="FV797" s="1490"/>
      <c r="FW797" s="1490"/>
      <c r="FX797" s="1490"/>
      <c r="FY797" s="1490"/>
      <c r="FZ797" s="1490"/>
      <c r="GA797" s="1490"/>
      <c r="GB797" s="1490"/>
      <c r="GC797" s="1490"/>
      <c r="GD797" s="1490"/>
      <c r="GE797" s="1490"/>
      <c r="GF797" s="1490"/>
      <c r="GG797" s="1490"/>
      <c r="GH797" s="1490"/>
      <c r="GI797" s="1490"/>
      <c r="GJ797" s="1490"/>
      <c r="GK797" s="1490"/>
      <c r="GL797" s="1490"/>
      <c r="GM797" s="1490"/>
      <c r="GN797" s="1490"/>
      <c r="GO797" s="1490"/>
      <c r="GP797" s="1490"/>
      <c r="GQ797" s="1490"/>
      <c r="GR797" s="1490"/>
      <c r="GS797" s="1490"/>
      <c r="GT797" s="1490"/>
      <c r="GU797" s="1490"/>
      <c r="GV797" s="1490"/>
      <c r="GW797" s="1490"/>
      <c r="GX797" s="1490"/>
      <c r="GY797" s="1490"/>
      <c r="GZ797" s="1490"/>
      <c r="HA797" s="1490"/>
      <c r="HB797" s="1490"/>
      <c r="HC797" s="1490"/>
      <c r="HD797" s="1490"/>
      <c r="HE797" s="1490"/>
      <c r="HF797" s="1490"/>
      <c r="HG797" s="1490"/>
      <c r="HH797" s="1490"/>
      <c r="HI797" s="1490"/>
      <c r="HJ797" s="1490"/>
      <c r="HK797" s="1490"/>
      <c r="HL797" s="1490"/>
      <c r="HM797" s="1490"/>
      <c r="HN797" s="1490"/>
      <c r="HO797" s="1490"/>
      <c r="HP797" s="1490"/>
      <c r="HQ797" s="1490"/>
      <c r="HR797" s="1490"/>
      <c r="HS797" s="1490"/>
      <c r="HT797" s="1490"/>
      <c r="HU797" s="1490"/>
      <c r="HV797" s="1490"/>
      <c r="HW797" s="1490"/>
      <c r="HX797" s="1490"/>
      <c r="HY797" s="1490"/>
      <c r="HZ797" s="1490"/>
      <c r="IA797" s="1490"/>
      <c r="IB797" s="1490"/>
      <c r="IC797" s="1490"/>
      <c r="ID797" s="1490"/>
      <c r="IE797" s="1490"/>
      <c r="IF797" s="1490"/>
      <c r="IG797" s="1490"/>
      <c r="IH797" s="1490"/>
      <c r="II797" s="1490"/>
      <c r="IJ797" s="1490"/>
      <c r="IK797" s="1490"/>
      <c r="IL797" s="1490"/>
      <c r="IM797" s="1490"/>
      <c r="IN797" s="1490"/>
      <c r="IO797" s="44"/>
    </row>
    <row r="798" spans="1:249" s="5" customFormat="1" ht="26.25" customHeight="1">
      <c r="A798" s="1488" t="s">
        <v>236</v>
      </c>
      <c r="B798" s="1488"/>
      <c r="C798" s="1488"/>
      <c r="D798" s="1488"/>
      <c r="E798" s="1488"/>
      <c r="F798" s="1488"/>
      <c r="G798" s="1488"/>
      <c r="H798" s="1488"/>
      <c r="I798" s="1488"/>
      <c r="J798" s="1488"/>
      <c r="K798" s="1488"/>
      <c r="L798" s="1488"/>
      <c r="M798" s="1488"/>
      <c r="N798" s="1488"/>
      <c r="O798" s="43"/>
      <c r="P798" s="43"/>
      <c r="Q798" s="126"/>
      <c r="R798" s="126"/>
      <c r="S798" s="126"/>
      <c r="T798" s="126"/>
      <c r="U798" s="126"/>
      <c r="V798" s="126"/>
      <c r="W798" s="126"/>
      <c r="X798" s="126"/>
      <c r="Y798" s="126"/>
      <c r="Z798" s="126"/>
      <c r="AA798" s="126"/>
      <c r="AB798" s="126"/>
      <c r="AC798" s="126"/>
      <c r="AD798" s="127"/>
      <c r="AE798" s="127"/>
      <c r="AF798" s="127"/>
    </row>
    <row r="799" spans="1:249" s="5" customFormat="1" ht="27" customHeight="1">
      <c r="A799"/>
      <c r="B799" s="1520" t="s">
        <v>237</v>
      </c>
      <c r="C799" s="1520"/>
      <c r="D799" s="1520"/>
      <c r="E799" s="1520"/>
      <c r="F799" s="1520"/>
      <c r="G799" s="1520"/>
      <c r="H799" s="1520"/>
      <c r="I799" s="1520"/>
      <c r="J799" s="50"/>
      <c r="K799" s="50"/>
      <c r="L799" s="50"/>
      <c r="M799" s="50"/>
      <c r="N799" s="50"/>
      <c r="O799" s="43"/>
      <c r="P799" s="43"/>
      <c r="Q799" s="126"/>
      <c r="R799" s="126"/>
      <c r="S799" s="126"/>
      <c r="T799" s="126"/>
      <c r="U799" s="126"/>
      <c r="V799" s="126"/>
      <c r="W799" s="126"/>
      <c r="X799" s="126"/>
      <c r="Y799" s="126"/>
      <c r="Z799" s="126"/>
      <c r="AA799" s="126"/>
      <c r="AB799" s="126"/>
      <c r="AC799" s="126"/>
      <c r="AD799" s="1494"/>
      <c r="AE799" s="1494"/>
      <c r="AF799" s="1494"/>
      <c r="AG799" s="1494"/>
      <c r="AH799" s="1494"/>
      <c r="AI799" s="1494"/>
      <c r="AJ799" s="1494"/>
      <c r="AK799" s="1494"/>
      <c r="AL799" s="1494"/>
      <c r="AM799" s="1494"/>
      <c r="AN799" s="1494"/>
      <c r="AO799" s="1494"/>
      <c r="AP799" s="1494"/>
      <c r="AQ799" s="1494"/>
      <c r="AR799" s="1494"/>
      <c r="AS799" s="1494"/>
      <c r="AT799" s="1494"/>
      <c r="AU799" s="1494"/>
      <c r="AV799" s="1494"/>
      <c r="AW799" s="1494"/>
      <c r="AX799" s="1494"/>
      <c r="AY799" s="1494"/>
      <c r="AZ799" s="1494"/>
      <c r="BA799" s="1494"/>
      <c r="BB799" s="1494"/>
      <c r="BC799" s="1494"/>
      <c r="BD799" s="1494"/>
      <c r="BE799" s="1494"/>
      <c r="BF799" s="1494"/>
      <c r="BG799" s="1494"/>
      <c r="BH799" s="1494"/>
      <c r="BI799" s="1494"/>
      <c r="BJ799" s="1494"/>
      <c r="BK799" s="1494"/>
      <c r="BL799" s="1494"/>
      <c r="BM799" s="1494"/>
      <c r="BN799" s="1494"/>
      <c r="BO799" s="1494"/>
      <c r="BP799" s="1494"/>
      <c r="BQ799" s="1494"/>
      <c r="BR799" s="1494"/>
      <c r="BS799" s="1494"/>
      <c r="BT799" s="1494"/>
      <c r="BU799" s="1494"/>
      <c r="BV799" s="1494"/>
      <c r="BW799" s="1494"/>
      <c r="BX799" s="1494"/>
      <c r="BY799" s="1494"/>
      <c r="BZ799" s="1494"/>
      <c r="CA799" s="1494"/>
      <c r="CB799" s="1494"/>
      <c r="CC799" s="1494"/>
      <c r="CD799" s="1494"/>
      <c r="CE799" s="1494"/>
      <c r="CF799" s="1494"/>
      <c r="CG799" s="1494"/>
      <c r="CH799" s="1494"/>
      <c r="CI799" s="1494"/>
      <c r="CJ799" s="1494"/>
      <c r="CK799" s="1494"/>
      <c r="CL799" s="1494"/>
      <c r="CM799" s="1494"/>
      <c r="CN799" s="1494"/>
      <c r="CO799" s="1494"/>
      <c r="CP799" s="1494"/>
      <c r="CQ799" s="1494"/>
      <c r="CR799" s="1494"/>
      <c r="CS799" s="1494"/>
      <c r="CT799" s="1494"/>
      <c r="CU799" s="1494"/>
      <c r="CV799" s="1494"/>
      <c r="CW799" s="1494"/>
      <c r="CX799" s="1494"/>
      <c r="CY799" s="1494"/>
      <c r="CZ799" s="1494"/>
      <c r="DA799" s="1494"/>
      <c r="DB799" s="1494"/>
      <c r="DC799" s="1494"/>
      <c r="DD799" s="1494"/>
      <c r="DE799" s="1494"/>
      <c r="DF799" s="1494"/>
      <c r="DG799" s="1494"/>
      <c r="DH799" s="1494"/>
      <c r="DI799" s="1494"/>
      <c r="DJ799" s="1494"/>
      <c r="DK799" s="1494"/>
      <c r="DL799" s="1494"/>
      <c r="DM799" s="1494"/>
      <c r="DN799" s="1494"/>
      <c r="DO799" s="1494"/>
      <c r="DP799" s="1494"/>
      <c r="DQ799" s="1494"/>
      <c r="DR799" s="1494"/>
      <c r="DS799" s="1494"/>
      <c r="DT799" s="1494"/>
      <c r="DU799" s="1494"/>
      <c r="DV799" s="1494"/>
      <c r="DW799" s="1494"/>
      <c r="DX799" s="1494"/>
      <c r="DY799" s="1494"/>
      <c r="DZ799" s="1494"/>
      <c r="EA799" s="1494"/>
      <c r="EB799" s="1494"/>
      <c r="EC799" s="1494"/>
      <c r="ED799" s="1494"/>
      <c r="EE799" s="1494"/>
      <c r="EF799" s="1494"/>
      <c r="EG799" s="1494"/>
      <c r="EH799" s="1494"/>
      <c r="EI799" s="1494"/>
      <c r="EJ799" s="1494"/>
      <c r="EK799" s="1494"/>
      <c r="EL799" s="1494"/>
      <c r="EM799" s="1494"/>
      <c r="EN799" s="1494"/>
      <c r="EO799" s="1494"/>
      <c r="EP799" s="1494"/>
      <c r="EQ799" s="1494"/>
      <c r="ER799" s="1494"/>
      <c r="ES799" s="1494"/>
      <c r="ET799" s="1494"/>
      <c r="EU799" s="1494"/>
      <c r="EV799" s="1494"/>
      <c r="EW799" s="1494"/>
      <c r="EX799" s="1494"/>
      <c r="EY799" s="1494"/>
      <c r="EZ799" s="1494"/>
      <c r="FA799" s="1494"/>
      <c r="FB799" s="1494"/>
      <c r="FC799" s="1494"/>
      <c r="FD799" s="1494"/>
      <c r="FE799" s="1494"/>
      <c r="FF799" s="1494"/>
      <c r="FG799" s="1494"/>
      <c r="FH799" s="1494"/>
      <c r="FI799" s="1494"/>
      <c r="FJ799" s="1494"/>
      <c r="FK799" s="1494"/>
      <c r="FL799" s="1494"/>
      <c r="FM799" s="1494"/>
      <c r="FN799" s="1494"/>
      <c r="FO799" s="1494"/>
      <c r="FP799" s="1494"/>
      <c r="FQ799" s="1494"/>
      <c r="FR799" s="1494"/>
      <c r="FS799" s="1494"/>
      <c r="FT799" s="1494"/>
      <c r="FU799" s="1494"/>
      <c r="FV799" s="1494"/>
      <c r="FW799" s="1494"/>
      <c r="FX799" s="1494"/>
      <c r="FY799" s="1494"/>
      <c r="FZ799" s="1494"/>
      <c r="GA799" s="1494"/>
      <c r="GB799" s="1494"/>
      <c r="GC799" s="1494"/>
      <c r="GD799" s="1494"/>
      <c r="GE799" s="1494"/>
      <c r="GF799" s="1494"/>
      <c r="GG799" s="1494"/>
      <c r="GH799" s="1494"/>
      <c r="GI799" s="1494"/>
      <c r="GJ799" s="1494"/>
      <c r="GK799" s="1494"/>
      <c r="GL799" s="1494"/>
      <c r="GM799" s="1494"/>
      <c r="GN799" s="1494"/>
      <c r="GO799" s="1494"/>
      <c r="GP799" s="1494"/>
      <c r="GQ799" s="1494"/>
      <c r="GR799" s="1494"/>
      <c r="GS799" s="1494"/>
      <c r="GT799" s="1494"/>
      <c r="GU799" s="1494"/>
      <c r="GV799" s="1494"/>
      <c r="GW799" s="1494"/>
      <c r="GX799" s="1494"/>
      <c r="GY799" s="1494"/>
      <c r="GZ799" s="1494"/>
      <c r="HA799" s="1494"/>
      <c r="HB799" s="1494"/>
      <c r="HC799" s="1494"/>
      <c r="HD799" s="1494"/>
      <c r="HE799" s="1494"/>
      <c r="HF799" s="1494"/>
      <c r="HG799" s="1494"/>
      <c r="HH799" s="1494"/>
      <c r="HI799" s="1494"/>
      <c r="HJ799" s="1494"/>
      <c r="HK799" s="1494"/>
      <c r="HL799" s="1494"/>
      <c r="HM799" s="1494"/>
      <c r="HN799" s="1494"/>
      <c r="HO799" s="1494"/>
      <c r="HP799" s="1494"/>
      <c r="HQ799" s="1494"/>
      <c r="HR799" s="1494"/>
      <c r="HS799" s="1494"/>
      <c r="HT799" s="1494"/>
      <c r="HU799" s="1494"/>
      <c r="HV799" s="1494"/>
      <c r="HW799" s="1494"/>
      <c r="HX799" s="1494"/>
      <c r="HY799" s="1494"/>
      <c r="HZ799" s="1494"/>
      <c r="IA799" s="1494"/>
      <c r="IB799" s="1494"/>
      <c r="IC799" s="1494"/>
      <c r="ID799" s="1494"/>
      <c r="IE799" s="1494"/>
      <c r="IF799" s="1494"/>
      <c r="IG799" s="1494"/>
      <c r="IH799" s="1494"/>
      <c r="II799" s="1494"/>
      <c r="IJ799" s="1494"/>
      <c r="IK799" s="1494"/>
      <c r="IL799" s="1494"/>
      <c r="IM799" s="1494"/>
      <c r="IN799" s="1494"/>
      <c r="IO799" s="49"/>
    </row>
    <row r="800" spans="1:249" s="5" customFormat="1" ht="23.25" customHeight="1">
      <c r="A800" s="1521" t="s">
        <v>191</v>
      </c>
      <c r="B800" s="1523" t="s">
        <v>238</v>
      </c>
      <c r="C800" s="1524"/>
      <c r="D800" s="1524"/>
      <c r="E800" s="1524"/>
      <c r="F800" s="1524"/>
      <c r="G800" s="1525"/>
      <c r="H800" s="1523" t="s">
        <v>239</v>
      </c>
      <c r="I800" s="1524"/>
      <c r="J800" s="1524"/>
      <c r="K800" s="1524"/>
      <c r="L800" s="1525"/>
      <c r="M800" s="1529" t="s">
        <v>240</v>
      </c>
      <c r="N800" s="1530"/>
      <c r="O800" s="43"/>
      <c r="P800" s="43"/>
      <c r="Q800" s="126"/>
      <c r="R800" s="126"/>
      <c r="S800" s="126"/>
      <c r="T800" s="126"/>
      <c r="U800" s="126"/>
      <c r="V800" s="126"/>
      <c r="W800" s="126"/>
      <c r="X800" s="126"/>
      <c r="Y800" s="126"/>
      <c r="Z800" s="126"/>
      <c r="AA800" s="126"/>
      <c r="AB800" s="126"/>
      <c r="AC800" s="126"/>
      <c r="AD800" s="1494"/>
      <c r="AE800" s="1494"/>
      <c r="AF800" s="1494"/>
      <c r="AG800" s="1494"/>
      <c r="AH800" s="1494"/>
      <c r="AI800" s="1494"/>
      <c r="AJ800" s="1494"/>
      <c r="AK800" s="1494"/>
      <c r="AL800" s="1494"/>
      <c r="AM800" s="1494"/>
      <c r="AN800" s="1494"/>
      <c r="AO800" s="1494"/>
      <c r="AP800" s="1494"/>
      <c r="AQ800" s="1494"/>
      <c r="AR800" s="1494"/>
      <c r="AS800" s="1494"/>
      <c r="AT800" s="1494"/>
      <c r="AU800" s="1494"/>
      <c r="AV800" s="1494"/>
      <c r="AW800" s="1494"/>
      <c r="AX800" s="1494"/>
      <c r="AY800" s="1494"/>
      <c r="AZ800" s="1494"/>
      <c r="BA800" s="1494"/>
      <c r="BB800" s="1494"/>
      <c r="BC800" s="1494"/>
      <c r="BD800" s="1494"/>
      <c r="BE800" s="1494"/>
      <c r="BF800" s="1494"/>
      <c r="BG800" s="1494"/>
      <c r="BH800" s="1494"/>
      <c r="BI800" s="1494"/>
      <c r="BJ800" s="1494"/>
      <c r="BK800" s="1494"/>
      <c r="BL800" s="1494"/>
      <c r="BM800" s="1494"/>
      <c r="BN800" s="1494"/>
      <c r="BO800" s="1494"/>
      <c r="BP800" s="1494"/>
      <c r="BQ800" s="1494"/>
      <c r="BR800" s="1494"/>
      <c r="BS800" s="1494"/>
      <c r="BT800" s="1494"/>
      <c r="BU800" s="1494"/>
      <c r="BV800" s="1494"/>
      <c r="BW800" s="1494"/>
      <c r="BX800" s="1494"/>
      <c r="BY800" s="1494"/>
      <c r="BZ800" s="1494"/>
      <c r="CA800" s="1494"/>
      <c r="CB800" s="1494"/>
      <c r="CC800" s="1494"/>
      <c r="CD800" s="1494"/>
      <c r="CE800" s="1494"/>
      <c r="CF800" s="1494"/>
      <c r="CG800" s="1494"/>
      <c r="CH800" s="1494"/>
      <c r="CI800" s="1494"/>
      <c r="CJ800" s="1494"/>
      <c r="CK800" s="1494"/>
      <c r="CL800" s="1494"/>
      <c r="CM800" s="1494"/>
      <c r="CN800" s="1494"/>
      <c r="CO800" s="1494"/>
      <c r="CP800" s="1494"/>
      <c r="CQ800" s="1494"/>
      <c r="CR800" s="1494"/>
      <c r="CS800" s="1494"/>
      <c r="CT800" s="1494"/>
      <c r="CU800" s="1494"/>
      <c r="CV800" s="1494"/>
      <c r="CW800" s="1494"/>
      <c r="CX800" s="1494"/>
      <c r="CY800" s="1494"/>
      <c r="CZ800" s="1494"/>
      <c r="DA800" s="1494"/>
      <c r="DB800" s="1494"/>
      <c r="DC800" s="1494"/>
      <c r="DD800" s="1494"/>
      <c r="DE800" s="1494"/>
      <c r="DF800" s="1494"/>
      <c r="DG800" s="1494"/>
      <c r="DH800" s="1494"/>
      <c r="DI800" s="1494"/>
      <c r="DJ800" s="1494"/>
      <c r="DK800" s="1494"/>
      <c r="DL800" s="1494"/>
      <c r="DM800" s="1494"/>
      <c r="DN800" s="1494"/>
      <c r="DO800" s="1494"/>
      <c r="DP800" s="1494"/>
      <c r="DQ800" s="1494"/>
      <c r="DR800" s="1494"/>
      <c r="DS800" s="1494"/>
      <c r="DT800" s="1494"/>
      <c r="DU800" s="1494"/>
      <c r="DV800" s="1494"/>
      <c r="DW800" s="1494"/>
      <c r="DX800" s="1494"/>
      <c r="DY800" s="1494"/>
      <c r="DZ800" s="1494"/>
      <c r="EA800" s="1494"/>
      <c r="EB800" s="1494"/>
      <c r="EC800" s="1494"/>
      <c r="ED800" s="1494"/>
      <c r="EE800" s="1494"/>
      <c r="EF800" s="1494"/>
      <c r="EG800" s="1494"/>
      <c r="EH800" s="1494"/>
      <c r="EI800" s="1494"/>
      <c r="EJ800" s="1494"/>
      <c r="EK800" s="1494"/>
      <c r="EL800" s="1494"/>
      <c r="EM800" s="1494"/>
      <c r="EN800" s="1494"/>
      <c r="EO800" s="1494"/>
      <c r="EP800" s="1494"/>
      <c r="EQ800" s="1494"/>
      <c r="ER800" s="1494"/>
      <c r="ES800" s="1494"/>
      <c r="ET800" s="1494"/>
      <c r="EU800" s="1494"/>
      <c r="EV800" s="1494"/>
      <c r="EW800" s="1494"/>
      <c r="EX800" s="1494"/>
      <c r="EY800" s="1494"/>
      <c r="EZ800" s="1494"/>
      <c r="FA800" s="1494"/>
      <c r="FB800" s="1494"/>
      <c r="FC800" s="1494"/>
      <c r="FD800" s="1494"/>
      <c r="FE800" s="1494"/>
      <c r="FF800" s="1494"/>
      <c r="FG800" s="1494"/>
      <c r="FH800" s="1494"/>
      <c r="FI800" s="1494"/>
      <c r="FJ800" s="1494"/>
      <c r="FK800" s="1494"/>
      <c r="FL800" s="1494"/>
      <c r="FM800" s="1494"/>
      <c r="FN800" s="1494"/>
      <c r="FO800" s="1494"/>
      <c r="FP800" s="1494"/>
      <c r="FQ800" s="1494"/>
      <c r="FR800" s="1494"/>
      <c r="FS800" s="1494"/>
      <c r="FT800" s="1494"/>
      <c r="FU800" s="1494"/>
      <c r="FV800" s="1494"/>
      <c r="FW800" s="1494"/>
      <c r="FX800" s="1494"/>
      <c r="FY800" s="1494"/>
      <c r="FZ800" s="1494"/>
      <c r="GA800" s="1494"/>
      <c r="GB800" s="1494"/>
      <c r="GC800" s="1494"/>
      <c r="GD800" s="1494"/>
      <c r="GE800" s="1494"/>
      <c r="GF800" s="1494"/>
      <c r="GG800" s="1494"/>
      <c r="GH800" s="1494"/>
      <c r="GI800" s="1494"/>
      <c r="GJ800" s="1494"/>
      <c r="GK800" s="1494"/>
      <c r="GL800" s="1494"/>
      <c r="GM800" s="1494"/>
      <c r="GN800" s="1494"/>
      <c r="GO800" s="1494"/>
      <c r="GP800" s="1494"/>
      <c r="GQ800" s="1494"/>
      <c r="GR800" s="1494"/>
      <c r="GS800" s="1494"/>
      <c r="GT800" s="1494"/>
      <c r="GU800" s="1494"/>
      <c r="GV800" s="1494"/>
      <c r="GW800" s="1494"/>
      <c r="GX800" s="1494"/>
      <c r="GY800" s="1494"/>
      <c r="GZ800" s="1494"/>
      <c r="HA800" s="1494"/>
      <c r="HB800" s="1494"/>
      <c r="HC800" s="1494"/>
      <c r="HD800" s="1494"/>
      <c r="HE800" s="1494"/>
      <c r="HF800" s="1494"/>
      <c r="HG800" s="1494"/>
      <c r="HH800" s="1494"/>
      <c r="HI800" s="1494"/>
      <c r="HJ800" s="1494"/>
      <c r="HK800" s="1494"/>
      <c r="HL800" s="1494"/>
      <c r="HM800" s="1494"/>
      <c r="HN800" s="1494"/>
      <c r="HO800" s="1494"/>
      <c r="HP800" s="1494"/>
      <c r="HQ800" s="1494"/>
      <c r="HR800" s="1494"/>
      <c r="HS800" s="1494"/>
      <c r="HT800" s="1494"/>
      <c r="HU800" s="1494"/>
      <c r="HV800" s="1494"/>
      <c r="HW800" s="1494"/>
      <c r="HX800" s="1494"/>
      <c r="HY800" s="1494"/>
      <c r="HZ800" s="1494"/>
      <c r="IA800" s="1494"/>
      <c r="IB800" s="1494"/>
      <c r="IC800" s="1494"/>
      <c r="ID800" s="1494"/>
      <c r="IE800" s="1494"/>
      <c r="IF800" s="1494"/>
      <c r="IG800" s="1494"/>
      <c r="IH800" s="1494"/>
      <c r="II800" s="1494"/>
      <c r="IJ800" s="1494"/>
      <c r="IK800" s="1494"/>
      <c r="IL800" s="1494"/>
      <c r="IM800" s="1494"/>
      <c r="IN800" s="1494"/>
      <c r="IO800" s="49"/>
    </row>
    <row r="801" spans="1:249" s="5" customFormat="1" ht="23.25" customHeight="1">
      <c r="A801" s="1522"/>
      <c r="B801" s="1526"/>
      <c r="C801" s="1527"/>
      <c r="D801" s="1527"/>
      <c r="E801" s="1527"/>
      <c r="F801" s="1527"/>
      <c r="G801" s="1528"/>
      <c r="H801" s="1526"/>
      <c r="I801" s="1527"/>
      <c r="J801" s="1527"/>
      <c r="K801" s="1527"/>
      <c r="L801" s="1528"/>
      <c r="M801" s="51" t="s">
        <v>241</v>
      </c>
      <c r="N801" s="51" t="s">
        <v>242</v>
      </c>
      <c r="O801" s="43"/>
      <c r="P801" s="43"/>
      <c r="Q801" s="126"/>
      <c r="R801" s="126"/>
      <c r="S801" s="126"/>
      <c r="T801" s="126"/>
      <c r="U801" s="126"/>
      <c r="V801" s="126"/>
      <c r="W801" s="126"/>
      <c r="X801" s="126"/>
      <c r="Y801" s="126"/>
      <c r="Z801" s="126"/>
      <c r="AA801" s="126"/>
      <c r="AB801" s="126"/>
      <c r="AC801" s="126"/>
      <c r="AD801" s="1494"/>
      <c r="AE801" s="1494"/>
      <c r="AF801" s="1494"/>
      <c r="AG801" s="1494"/>
      <c r="AH801" s="1494"/>
      <c r="AI801" s="1494"/>
      <c r="AJ801" s="1494"/>
      <c r="AK801" s="1494"/>
      <c r="AL801" s="1494"/>
      <c r="AM801" s="1494"/>
      <c r="AN801" s="1494"/>
      <c r="AO801" s="1494"/>
      <c r="AP801" s="1494"/>
      <c r="AQ801" s="1494"/>
      <c r="AR801" s="1494"/>
      <c r="AS801" s="1494"/>
      <c r="AT801" s="1494"/>
      <c r="AU801" s="1494"/>
      <c r="AV801" s="1494"/>
      <c r="AW801" s="1494"/>
      <c r="AX801" s="1494"/>
      <c r="AY801" s="1494"/>
      <c r="AZ801" s="1494"/>
      <c r="BA801" s="1494"/>
      <c r="BB801" s="1494"/>
      <c r="BC801" s="1494"/>
      <c r="BD801" s="1494"/>
      <c r="BE801" s="1494"/>
      <c r="BF801" s="1494"/>
      <c r="BG801" s="1494"/>
      <c r="BH801" s="1494"/>
      <c r="BI801" s="1494"/>
      <c r="BJ801" s="1494"/>
      <c r="BK801" s="1494"/>
      <c r="BL801" s="1494"/>
      <c r="BM801" s="1494"/>
      <c r="BN801" s="1494"/>
      <c r="BO801" s="1494"/>
      <c r="BP801" s="1494"/>
      <c r="BQ801" s="1494"/>
      <c r="BR801" s="1494"/>
      <c r="BS801" s="1494"/>
      <c r="BT801" s="1494"/>
      <c r="BU801" s="1494"/>
      <c r="BV801" s="1494"/>
      <c r="BW801" s="1494"/>
      <c r="BX801" s="1494"/>
      <c r="BY801" s="1494"/>
      <c r="BZ801" s="1494"/>
      <c r="CA801" s="1494"/>
      <c r="CB801" s="1494"/>
      <c r="CC801" s="1494"/>
      <c r="CD801" s="1494"/>
      <c r="CE801" s="1494"/>
      <c r="CF801" s="1494"/>
      <c r="CG801" s="1494"/>
      <c r="CH801" s="1494"/>
      <c r="CI801" s="1494"/>
      <c r="CJ801" s="1494"/>
      <c r="CK801" s="1494"/>
      <c r="CL801" s="1494"/>
      <c r="CM801" s="1494"/>
      <c r="CN801" s="1494"/>
      <c r="CO801" s="1494"/>
      <c r="CP801" s="1494"/>
      <c r="CQ801" s="1494"/>
      <c r="CR801" s="1494"/>
      <c r="CS801" s="1494"/>
      <c r="CT801" s="1494"/>
      <c r="CU801" s="1494"/>
      <c r="CV801" s="1494"/>
      <c r="CW801" s="1494"/>
      <c r="CX801" s="1494"/>
      <c r="CY801" s="1494"/>
      <c r="CZ801" s="1494"/>
      <c r="DA801" s="1494"/>
      <c r="DB801" s="1494"/>
      <c r="DC801" s="1494"/>
      <c r="DD801" s="1494"/>
      <c r="DE801" s="1494"/>
      <c r="DF801" s="1494"/>
      <c r="DG801" s="1494"/>
      <c r="DH801" s="1494"/>
      <c r="DI801" s="1494"/>
      <c r="DJ801" s="1494"/>
      <c r="DK801" s="1494"/>
      <c r="DL801" s="1494"/>
      <c r="DM801" s="1494"/>
      <c r="DN801" s="1494"/>
      <c r="DO801" s="1494"/>
      <c r="DP801" s="1494"/>
      <c r="DQ801" s="1494"/>
      <c r="DR801" s="1494"/>
      <c r="DS801" s="1494"/>
      <c r="DT801" s="1494"/>
      <c r="DU801" s="1494"/>
      <c r="DV801" s="1494"/>
      <c r="DW801" s="1494"/>
      <c r="DX801" s="1494"/>
      <c r="DY801" s="1494"/>
      <c r="DZ801" s="1494"/>
      <c r="EA801" s="1494"/>
      <c r="EB801" s="1494"/>
      <c r="EC801" s="1494"/>
      <c r="ED801" s="1494"/>
      <c r="EE801" s="1494"/>
      <c r="EF801" s="1494"/>
      <c r="EG801" s="1494"/>
      <c r="EH801" s="1494"/>
      <c r="EI801" s="1494"/>
      <c r="EJ801" s="1494"/>
      <c r="EK801" s="1494"/>
      <c r="EL801" s="1494"/>
      <c r="EM801" s="1494"/>
      <c r="EN801" s="1494"/>
      <c r="EO801" s="1494"/>
      <c r="EP801" s="1494"/>
      <c r="EQ801" s="1494"/>
      <c r="ER801" s="1494"/>
      <c r="ES801" s="1494"/>
      <c r="ET801" s="1494"/>
      <c r="EU801" s="1494"/>
      <c r="EV801" s="1494"/>
      <c r="EW801" s="1494"/>
      <c r="EX801" s="1494"/>
      <c r="EY801" s="1494"/>
      <c r="EZ801" s="1494"/>
      <c r="FA801" s="1494"/>
      <c r="FB801" s="1494"/>
      <c r="FC801" s="1494"/>
      <c r="FD801" s="1494"/>
      <c r="FE801" s="1494"/>
      <c r="FF801" s="1494"/>
      <c r="FG801" s="1494"/>
      <c r="FH801" s="1494"/>
      <c r="FI801" s="1494"/>
      <c r="FJ801" s="1494"/>
      <c r="FK801" s="1494"/>
      <c r="FL801" s="1494"/>
      <c r="FM801" s="1494"/>
      <c r="FN801" s="1494"/>
      <c r="FO801" s="1494"/>
      <c r="FP801" s="1494"/>
      <c r="FQ801" s="1494"/>
      <c r="FR801" s="1494"/>
      <c r="FS801" s="1494"/>
      <c r="FT801" s="1494"/>
      <c r="FU801" s="1494"/>
      <c r="FV801" s="1494"/>
      <c r="FW801" s="1494"/>
      <c r="FX801" s="1494"/>
      <c r="FY801" s="1494"/>
      <c r="FZ801" s="1494"/>
      <c r="GA801" s="1494"/>
      <c r="GB801" s="1494"/>
      <c r="GC801" s="1494"/>
      <c r="GD801" s="1494"/>
      <c r="GE801" s="1494"/>
      <c r="GF801" s="1494"/>
      <c r="GG801" s="1494"/>
      <c r="GH801" s="1494"/>
      <c r="GI801" s="1494"/>
      <c r="GJ801" s="1494"/>
      <c r="GK801" s="1494"/>
      <c r="GL801" s="1494"/>
      <c r="GM801" s="1494"/>
      <c r="GN801" s="1494"/>
      <c r="GO801" s="1494"/>
      <c r="GP801" s="1494"/>
      <c r="GQ801" s="1494"/>
      <c r="GR801" s="1494"/>
      <c r="GS801" s="1494"/>
      <c r="GT801" s="1494"/>
      <c r="GU801" s="1494"/>
      <c r="GV801" s="1494"/>
      <c r="GW801" s="1494"/>
      <c r="GX801" s="1494"/>
      <c r="GY801" s="1494"/>
      <c r="GZ801" s="1494"/>
      <c r="HA801" s="1494"/>
      <c r="HB801" s="1494"/>
      <c r="HC801" s="1494"/>
      <c r="HD801" s="1494"/>
      <c r="HE801" s="1494"/>
      <c r="HF801" s="1494"/>
      <c r="HG801" s="1494"/>
      <c r="HH801" s="1494"/>
      <c r="HI801" s="1494"/>
      <c r="HJ801" s="1494"/>
      <c r="HK801" s="1494"/>
      <c r="HL801" s="1494"/>
      <c r="HM801" s="1494"/>
      <c r="HN801" s="1494"/>
      <c r="HO801" s="1494"/>
      <c r="HP801" s="1494"/>
      <c r="HQ801" s="1494"/>
      <c r="HR801" s="1494"/>
      <c r="HS801" s="1494"/>
      <c r="HT801" s="1494"/>
      <c r="HU801" s="1494"/>
      <c r="HV801" s="1494"/>
      <c r="HW801" s="1494"/>
      <c r="HX801" s="1494"/>
      <c r="HY801" s="1494"/>
      <c r="HZ801" s="1494"/>
      <c r="IA801" s="1494"/>
      <c r="IB801" s="1494"/>
      <c r="IC801" s="1494"/>
      <c r="ID801" s="1494"/>
      <c r="IE801" s="1494"/>
      <c r="IF801" s="1494"/>
      <c r="IG801" s="1494"/>
      <c r="IH801" s="1494"/>
      <c r="II801" s="1494"/>
      <c r="IJ801" s="1494"/>
      <c r="IK801" s="1494"/>
      <c r="IL801" s="1494"/>
      <c r="IM801" s="1494"/>
      <c r="IN801" s="1494"/>
      <c r="IO801" s="49"/>
    </row>
    <row r="802" spans="1:249" s="5" customFormat="1" ht="25.5" customHeight="1">
      <c r="A802" s="52">
        <v>1</v>
      </c>
      <c r="B802" s="1508" t="s">
        <v>304</v>
      </c>
      <c r="C802" s="1509"/>
      <c r="D802" s="1509"/>
      <c r="E802" s="1509"/>
      <c r="F802" s="1509"/>
      <c r="G802" s="1510"/>
      <c r="H802" s="1567" t="s">
        <v>305</v>
      </c>
      <c r="I802" s="1568"/>
      <c r="J802" s="1568"/>
      <c r="K802" s="1568"/>
      <c r="L802" s="1569"/>
      <c r="M802" s="52" t="s">
        <v>245</v>
      </c>
      <c r="N802" s="53"/>
      <c r="O802" s="43"/>
      <c r="P802" s="43"/>
      <c r="Q802" s="126"/>
      <c r="R802" s="126"/>
      <c r="S802" s="126"/>
      <c r="T802" s="126"/>
      <c r="U802" s="126"/>
      <c r="V802" s="126"/>
      <c r="W802" s="126"/>
      <c r="X802" s="126"/>
      <c r="Y802" s="126"/>
      <c r="Z802" s="126"/>
      <c r="AA802" s="126"/>
      <c r="AB802" s="126"/>
      <c r="AC802" s="126"/>
      <c r="AD802" s="127"/>
      <c r="AE802" s="127"/>
      <c r="AF802" s="127"/>
    </row>
    <row r="803" spans="1:249" s="5" customFormat="1" ht="25.5" customHeight="1">
      <c r="A803" s="54">
        <v>2</v>
      </c>
      <c r="B803" s="1514" t="s">
        <v>306</v>
      </c>
      <c r="C803" s="1515"/>
      <c r="D803" s="1515"/>
      <c r="E803" s="1515"/>
      <c r="F803" s="1515"/>
      <c r="G803" s="1516"/>
      <c r="H803" s="1564" t="s">
        <v>307</v>
      </c>
      <c r="I803" s="1565"/>
      <c r="J803" s="1565"/>
      <c r="K803" s="1565"/>
      <c r="L803" s="1566"/>
      <c r="M803" s="54" t="s">
        <v>245</v>
      </c>
      <c r="N803" s="55"/>
      <c r="P803" s="4"/>
      <c r="Q803" s="126"/>
      <c r="R803" s="126"/>
      <c r="S803" s="126"/>
      <c r="T803" s="126"/>
      <c r="U803" s="126"/>
      <c r="V803" s="126"/>
      <c r="W803" s="126"/>
      <c r="X803" s="126"/>
      <c r="Y803" s="126"/>
      <c r="Z803" s="126"/>
      <c r="AA803" s="126"/>
      <c r="AB803" s="126"/>
      <c r="AC803" s="126"/>
      <c r="AD803" s="127"/>
      <c r="AE803" s="127"/>
      <c r="AF803" s="127"/>
    </row>
    <row r="804" spans="1:249" s="5" customFormat="1" ht="25.5" customHeight="1">
      <c r="A804" s="116">
        <v>3</v>
      </c>
      <c r="B804" s="1514" t="s">
        <v>308</v>
      </c>
      <c r="C804" s="1515"/>
      <c r="D804" s="1515"/>
      <c r="E804" s="1515"/>
      <c r="F804" s="1515"/>
      <c r="G804" s="1516"/>
      <c r="H804" s="1564" t="s">
        <v>295</v>
      </c>
      <c r="I804" s="1565"/>
      <c r="J804" s="1565"/>
      <c r="K804" s="1565"/>
      <c r="L804" s="1566"/>
      <c r="M804" s="54" t="s">
        <v>245</v>
      </c>
      <c r="N804" s="117"/>
      <c r="P804" s="4"/>
      <c r="Q804" s="126"/>
      <c r="R804" s="126"/>
      <c r="S804" s="126"/>
      <c r="T804" s="126"/>
      <c r="U804" s="126"/>
      <c r="V804" s="126"/>
      <c r="W804" s="126"/>
      <c r="X804" s="126"/>
      <c r="Y804" s="126"/>
      <c r="Z804" s="126"/>
      <c r="AA804" s="126"/>
      <c r="AB804" s="126"/>
      <c r="AC804" s="126"/>
      <c r="AD804" s="127"/>
      <c r="AE804" s="127"/>
      <c r="AF804" s="127"/>
    </row>
    <row r="805" spans="1:249" s="5" customFormat="1" ht="21.75" customHeight="1">
      <c r="A805" s="56">
        <v>4</v>
      </c>
      <c r="B805" s="1498" t="s">
        <v>309</v>
      </c>
      <c r="C805" s="1499"/>
      <c r="D805" s="1499"/>
      <c r="E805" s="1499"/>
      <c r="F805" s="1499"/>
      <c r="G805" s="1500"/>
      <c r="H805" s="1570" t="s">
        <v>295</v>
      </c>
      <c r="I805" s="1571"/>
      <c r="J805" s="1571"/>
      <c r="K805" s="1571"/>
      <c r="L805" s="1572"/>
      <c r="M805" s="56" t="s">
        <v>245</v>
      </c>
      <c r="N805" s="57"/>
      <c r="P805" s="4"/>
      <c r="Q805" s="126"/>
      <c r="R805" s="126"/>
      <c r="S805" s="126"/>
      <c r="T805" s="126"/>
      <c r="U805" s="126"/>
      <c r="V805" s="126"/>
      <c r="W805" s="126"/>
      <c r="X805" s="126"/>
      <c r="Y805" s="126"/>
      <c r="Z805" s="126"/>
      <c r="AA805" s="126"/>
      <c r="AB805" s="126"/>
      <c r="AC805" s="126"/>
      <c r="AD805" s="127"/>
      <c r="AE805" s="127"/>
      <c r="AF805" s="127"/>
    </row>
    <row r="806" spans="1:249" s="5" customFormat="1" ht="21" customHeight="1">
      <c r="A806" s="58"/>
      <c r="B806" s="59" t="s">
        <v>249</v>
      </c>
      <c r="C806" s="59"/>
      <c r="D806" s="59"/>
      <c r="E806" s="59"/>
      <c r="F806" s="60"/>
      <c r="G806" s="60"/>
      <c r="H806" s="1573" t="s">
        <v>176</v>
      </c>
      <c r="I806" s="1573"/>
      <c r="J806" s="1573"/>
      <c r="K806" s="1573"/>
      <c r="L806" s="60"/>
      <c r="M806" s="60"/>
      <c r="N806" s="60"/>
      <c r="P806" s="4"/>
      <c r="Q806" s="129"/>
      <c r="R806" s="129"/>
      <c r="S806" s="129"/>
      <c r="T806" s="129"/>
      <c r="U806" s="127"/>
      <c r="V806" s="127"/>
      <c r="W806" s="127"/>
      <c r="X806" s="127"/>
      <c r="Y806" s="127"/>
      <c r="Z806" s="127"/>
      <c r="AA806" s="127"/>
      <c r="AB806" s="127"/>
      <c r="AC806" s="127"/>
      <c r="AD806" s="127"/>
      <c r="AE806" s="127"/>
      <c r="AF806" s="127"/>
    </row>
    <row r="807" spans="1:249" s="5" customFormat="1" ht="30.75" customHeight="1">
      <c r="A807" s="31" t="s">
        <v>250</v>
      </c>
      <c r="B807" s="31"/>
      <c r="C807" s="31"/>
      <c r="D807" s="31"/>
      <c r="E807" s="61"/>
      <c r="F807" s="61"/>
      <c r="G807" s="61"/>
      <c r="H807" s="61"/>
      <c r="I807" s="61"/>
      <c r="J807" s="61"/>
      <c r="K807" s="61"/>
      <c r="L807" s="61"/>
      <c r="M807" s="61"/>
      <c r="N807" s="61"/>
      <c r="P807" s="4"/>
      <c r="Q807" s="129"/>
      <c r="R807" s="129"/>
      <c r="S807" s="129"/>
      <c r="T807" s="129"/>
      <c r="U807" s="127"/>
      <c r="V807" s="127"/>
      <c r="W807" s="127"/>
      <c r="X807" s="127"/>
      <c r="Y807" s="127"/>
      <c r="Z807" s="127"/>
      <c r="AA807" s="127"/>
      <c r="AB807" s="127"/>
      <c r="AC807" s="127"/>
      <c r="AD807" s="127"/>
      <c r="AE807" s="127"/>
      <c r="AF807" s="127"/>
    </row>
    <row r="808" spans="1:249" s="5" customFormat="1" ht="24" customHeight="1">
      <c r="A808" s="62"/>
      <c r="B808" s="60"/>
      <c r="C808" s="60"/>
      <c r="D808" s="1505" t="s">
        <v>251</v>
      </c>
      <c r="E808" s="1505"/>
      <c r="F808" s="1505"/>
      <c r="G808" s="1505"/>
      <c r="H808" s="1505"/>
      <c r="I808" s="1505"/>
      <c r="J808" s="1505"/>
      <c r="K808" s="1505"/>
      <c r="L808" s="1505"/>
      <c r="M808" s="1505"/>
      <c r="N808" s="1505"/>
      <c r="P808" s="4"/>
      <c r="Q808" s="129"/>
      <c r="R808" s="129"/>
      <c r="S808" s="129"/>
      <c r="T808" s="129"/>
      <c r="U808" s="127"/>
      <c r="V808" s="127"/>
      <c r="W808" s="127"/>
      <c r="X808" s="127"/>
      <c r="Y808" s="127"/>
      <c r="Z808" s="127"/>
      <c r="AA808" s="127"/>
      <c r="AB808" s="127"/>
      <c r="AC808" s="127"/>
      <c r="AD808" s="127"/>
      <c r="AE808" s="127"/>
      <c r="AF808" s="127"/>
    </row>
    <row r="809" spans="1:249" s="5" customFormat="1" ht="35.25" customHeight="1">
      <c r="A809" s="58"/>
      <c r="B809" s="1506"/>
      <c r="C809" s="1506"/>
      <c r="D809" s="1506"/>
      <c r="E809" s="1506"/>
      <c r="F809" s="1507"/>
      <c r="G809" s="1507"/>
      <c r="H809" s="1507"/>
      <c r="I809" s="1507"/>
      <c r="J809" s="1507"/>
      <c r="K809" s="1507"/>
      <c r="L809" s="1507"/>
      <c r="M809" s="50"/>
      <c r="N809" s="50"/>
      <c r="P809" s="4"/>
      <c r="Q809" s="129"/>
      <c r="R809" s="129"/>
      <c r="S809" s="129"/>
      <c r="T809" s="129"/>
      <c r="U809" s="127"/>
      <c r="V809" s="127"/>
      <c r="W809" s="127"/>
      <c r="X809" s="127"/>
      <c r="Y809" s="127"/>
      <c r="Z809" s="127"/>
      <c r="AA809" s="127"/>
      <c r="AB809" s="127"/>
      <c r="AC809" s="127"/>
      <c r="AD809" s="127"/>
      <c r="AE809" s="127"/>
      <c r="AF809" s="127"/>
    </row>
    <row r="810" spans="1:249" s="5" customFormat="1" ht="25.5" customHeight="1">
      <c r="A810" s="1496" t="s">
        <v>252</v>
      </c>
      <c r="B810" s="1496"/>
      <c r="C810" s="1496"/>
      <c r="D810" s="1496"/>
      <c r="E810" s="1496"/>
      <c r="F810" s="1496" t="s">
        <v>253</v>
      </c>
      <c r="G810" s="1496"/>
      <c r="H810" s="1496"/>
      <c r="I810" s="1496"/>
      <c r="J810" s="1496"/>
      <c r="K810" s="1496"/>
      <c r="L810" s="1496"/>
      <c r="M810" s="1496"/>
      <c r="N810" s="1496"/>
      <c r="P810" s="4"/>
      <c r="Q810" s="129"/>
      <c r="R810" s="129"/>
      <c r="S810" s="129"/>
      <c r="T810" s="129"/>
      <c r="U810" s="127"/>
      <c r="V810" s="127"/>
      <c r="W810" s="127"/>
      <c r="X810" s="127"/>
      <c r="Y810" s="127"/>
      <c r="Z810" s="127"/>
      <c r="AA810" s="127"/>
      <c r="AB810" s="127"/>
      <c r="AC810" s="127"/>
      <c r="AD810" s="127"/>
      <c r="AE810" s="127"/>
      <c r="AF810" s="127"/>
    </row>
    <row r="811" spans="1:249" s="5" customFormat="1" ht="21" customHeight="1">
      <c r="A811" s="64"/>
      <c r="B811" s="64"/>
      <c r="C811" s="64"/>
      <c r="D811" s="64"/>
      <c r="E811" s="64"/>
      <c r="F811" s="1496" t="str">
        <f>$T$30</f>
        <v>Công ty TNHH MTV HANTECH</v>
      </c>
      <c r="G811" s="1496"/>
      <c r="H811" s="1496"/>
      <c r="I811" s="1496"/>
      <c r="J811" s="1496"/>
      <c r="K811" s="1496"/>
      <c r="L811" s="1496" t="str">
        <f>$T$32</f>
        <v>Chỉ huy trưởng công trường</v>
      </c>
      <c r="M811" s="1496"/>
      <c r="N811" s="1496"/>
      <c r="P811" s="4"/>
      <c r="Q811" s="129"/>
      <c r="R811" s="129"/>
      <c r="S811" s="129"/>
      <c r="T811" s="129"/>
      <c r="U811" s="127"/>
      <c r="V811" s="127"/>
      <c r="W811" s="127"/>
      <c r="X811" s="127"/>
      <c r="Y811" s="127"/>
      <c r="Z811" s="127"/>
      <c r="AA811" s="127"/>
      <c r="AB811" s="127"/>
      <c r="AC811" s="127"/>
      <c r="AD811" s="127"/>
      <c r="AE811" s="127"/>
      <c r="AF811" s="127"/>
    </row>
    <row r="812" spans="1:249" s="5" customFormat="1" ht="24" customHeight="1">
      <c r="A812" s="64"/>
      <c r="B812" s="64"/>
      <c r="C812" s="64"/>
      <c r="D812" s="64"/>
      <c r="E812" s="64"/>
      <c r="F812" s="64"/>
      <c r="G812" s="64"/>
      <c r="H812" s="64"/>
      <c r="I812" s="64"/>
      <c r="J812" s="64"/>
      <c r="K812" s="64"/>
      <c r="L812" s="64"/>
      <c r="M812" s="64"/>
      <c r="N812" s="64"/>
      <c r="O812" s="63"/>
      <c r="P812" s="63"/>
      <c r="Q812" s="129"/>
      <c r="R812" s="129"/>
      <c r="S812" s="129"/>
      <c r="T812" s="129"/>
      <c r="U812" s="127"/>
      <c r="V812" s="127"/>
      <c r="W812" s="127"/>
      <c r="X812" s="127"/>
      <c r="Y812" s="127"/>
      <c r="Z812" s="127"/>
      <c r="AA812" s="127"/>
      <c r="AB812" s="127"/>
      <c r="AC812" s="127"/>
      <c r="AD812" s="127"/>
      <c r="AE812" s="127"/>
      <c r="AF812" s="127"/>
    </row>
    <row r="813" spans="1:249" s="5" customFormat="1" ht="16.5">
      <c r="A813" s="66"/>
      <c r="B813"/>
      <c r="C813"/>
      <c r="D813"/>
      <c r="E813"/>
      <c r="F813" s="67"/>
      <c r="G813" s="68"/>
      <c r="H813" s="69"/>
      <c r="I813" s="69"/>
      <c r="J813" s="69"/>
      <c r="K813" s="69"/>
      <c r="L813" s="69"/>
      <c r="M813" s="69"/>
      <c r="N813" s="43"/>
      <c r="O813"/>
      <c r="P813"/>
      <c r="Q813" s="129"/>
      <c r="R813" s="129"/>
      <c r="S813" s="129"/>
      <c r="T813" s="129"/>
      <c r="U813" s="127"/>
      <c r="V813" s="127"/>
      <c r="W813" s="127"/>
      <c r="X813" s="127"/>
      <c r="Y813" s="127"/>
      <c r="Z813" s="127"/>
      <c r="AA813" s="127"/>
      <c r="AB813" s="127"/>
      <c r="AC813" s="127"/>
      <c r="AD813" s="127"/>
      <c r="AE813" s="127"/>
      <c r="AF813" s="127"/>
    </row>
    <row r="814" spans="1:249" s="63" customFormat="1" ht="29.25" customHeight="1">
      <c r="A814" s="12"/>
      <c r="B814" s="12"/>
      <c r="C814" s="12"/>
      <c r="D814" s="12"/>
      <c r="E814" s="12"/>
      <c r="F814" s="12"/>
      <c r="G814" s="12"/>
      <c r="H814" s="12"/>
      <c r="I814" s="7"/>
      <c r="J814" s="7"/>
      <c r="K814" s="7"/>
      <c r="L814" s="7"/>
      <c r="M814" s="2"/>
      <c r="N814" s="2"/>
      <c r="O814"/>
      <c r="P814"/>
      <c r="Q814" s="65"/>
      <c r="R814" s="65"/>
      <c r="S814" s="65"/>
      <c r="T814" s="65"/>
    </row>
    <row r="815" spans="1:249" ht="23.25" customHeight="1">
      <c r="A815" s="1497" t="str">
        <f>$E$16</f>
        <v>Nguyễn Mạnh Hùng</v>
      </c>
      <c r="B815" s="1497"/>
      <c r="C815" s="1497"/>
      <c r="D815" s="1497"/>
      <c r="E815" s="1497"/>
      <c r="F815" s="1497" t="str">
        <f>E778</f>
        <v>CÔNG TY TNHH MTV HANTECH</v>
      </c>
      <c r="G815" s="1497"/>
      <c r="H815" s="1497"/>
      <c r="I815" s="1497"/>
      <c r="J815" s="1497"/>
      <c r="K815" s="1497"/>
      <c r="L815" s="1497" t="str">
        <f>$E$19</f>
        <v>Ngô Văn Khánh</v>
      </c>
      <c r="M815" s="1497"/>
      <c r="N815" s="1497"/>
    </row>
    <row r="816" spans="1:249" ht="23.25" customHeight="1">
      <c r="A816" s="1535"/>
      <c r="B816" s="1535"/>
      <c r="C816" s="1535"/>
      <c r="D816" s="1535"/>
      <c r="E816" s="1535"/>
      <c r="F816" s="71"/>
      <c r="G816" s="71"/>
      <c r="H816" s="71"/>
      <c r="I816" s="71"/>
      <c r="J816" s="71"/>
      <c r="K816" s="71"/>
      <c r="L816" s="71"/>
      <c r="M816" s="71"/>
      <c r="N816" s="71"/>
      <c r="O816" s="7"/>
      <c r="P816" s="7"/>
    </row>
    <row r="817" spans="1:32" ht="17.25" customHeight="1">
      <c r="A817" s="58"/>
      <c r="B817" s="1531"/>
      <c r="C817" s="1531"/>
      <c r="D817" s="1531"/>
      <c r="E817" s="1531"/>
      <c r="F817" s="1532"/>
      <c r="G817" s="1532"/>
      <c r="H817" s="1532"/>
      <c r="I817" s="1532"/>
      <c r="J817" s="1532"/>
      <c r="K817" s="1532"/>
      <c r="L817" s="1532"/>
      <c r="M817" s="50"/>
      <c r="N817" s="50"/>
      <c r="O817" s="70"/>
      <c r="P817" s="70"/>
    </row>
    <row r="818" spans="1:32" s="7" customFormat="1" ht="19.5" customHeight="1">
      <c r="A818" s="58"/>
      <c r="B818" s="1531"/>
      <c r="C818" s="1531"/>
      <c r="D818" s="1531"/>
      <c r="E818" s="1531"/>
      <c r="F818" s="1532"/>
      <c r="G818" s="1532"/>
      <c r="H818" s="1532"/>
      <c r="I818" s="1532"/>
      <c r="J818" s="1532"/>
      <c r="K818" s="1532"/>
      <c r="L818" s="1532"/>
      <c r="M818" s="50"/>
      <c r="N818" s="50"/>
      <c r="O818" s="72"/>
      <c r="P818" s="73"/>
      <c r="Q818" s="11"/>
      <c r="R818" s="11"/>
      <c r="S818" s="11"/>
      <c r="T818" s="11"/>
    </row>
    <row r="819" spans="1:32" s="70" customFormat="1" ht="20.100000000000001" customHeight="1">
      <c r="A819" s="58"/>
      <c r="B819" s="74"/>
      <c r="C819" s="74"/>
      <c r="D819" s="74"/>
      <c r="E819" s="74"/>
      <c r="F819" s="75"/>
      <c r="G819" s="75"/>
      <c r="H819" s="75"/>
      <c r="I819" s="75"/>
      <c r="J819" s="75"/>
      <c r="K819" s="75"/>
      <c r="L819" s="75"/>
      <c r="M819" s="50"/>
      <c r="N819" s="50"/>
      <c r="O819" s="5"/>
      <c r="P819" s="4"/>
      <c r="Q819" s="76"/>
      <c r="R819" s="76"/>
      <c r="S819" s="76"/>
      <c r="T819" s="76"/>
    </row>
    <row r="820" spans="1:32" s="72" customFormat="1" ht="16.5" customHeight="1">
      <c r="A820" s="58"/>
      <c r="B820" s="74"/>
      <c r="C820" s="74"/>
      <c r="D820" s="74"/>
      <c r="E820" s="74"/>
      <c r="F820" s="75"/>
      <c r="G820" s="75"/>
      <c r="H820" s="75"/>
      <c r="I820" s="75"/>
      <c r="J820" s="75"/>
      <c r="K820" s="75"/>
      <c r="L820" s="75"/>
      <c r="M820" s="50"/>
      <c r="N820" s="50"/>
      <c r="O820" s="5"/>
      <c r="P820" s="4"/>
      <c r="Q820" s="77"/>
      <c r="R820" s="77"/>
      <c r="S820" s="77"/>
      <c r="T820" s="77"/>
    </row>
    <row r="821" spans="1:32" s="5" customFormat="1" ht="16.5" customHeight="1">
      <c r="A821" s="58"/>
      <c r="B821" s="74"/>
      <c r="C821" s="74"/>
      <c r="D821" s="74"/>
      <c r="E821" s="74"/>
      <c r="F821" s="75"/>
      <c r="G821" s="75"/>
      <c r="H821" s="75"/>
      <c r="I821" s="75"/>
      <c r="J821" s="75"/>
      <c r="K821" s="75"/>
      <c r="L821" s="75"/>
      <c r="M821" s="50"/>
      <c r="N821" s="50"/>
      <c r="P821" s="4"/>
      <c r="Q821" s="129"/>
      <c r="R821" s="129"/>
      <c r="S821" s="129"/>
      <c r="T821" s="129"/>
      <c r="U821" s="127"/>
      <c r="V821" s="127"/>
      <c r="W821" s="127"/>
      <c r="X821" s="127"/>
      <c r="Y821" s="127"/>
      <c r="Z821" s="127"/>
      <c r="AA821" s="127"/>
      <c r="AB821" s="127"/>
      <c r="AC821" s="127"/>
      <c r="AD821" s="127"/>
      <c r="AE821" s="127"/>
      <c r="AF821" s="127"/>
    </row>
    <row r="822" spans="1:32" s="5" customFormat="1" ht="16.5" customHeight="1">
      <c r="A822" s="58"/>
      <c r="B822" s="74"/>
      <c r="C822" s="74"/>
      <c r="D822" s="74"/>
      <c r="E822" s="74"/>
      <c r="F822" s="75"/>
      <c r="G822" s="75"/>
      <c r="H822" s="75"/>
      <c r="I822" s="75"/>
      <c r="J822" s="75"/>
      <c r="K822" s="75"/>
      <c r="L822" s="75"/>
      <c r="M822" s="50"/>
      <c r="N822" s="50"/>
      <c r="P822" s="4"/>
      <c r="Q822" s="129"/>
      <c r="R822" s="129"/>
      <c r="S822" s="129"/>
      <c r="T822" s="129"/>
      <c r="U822" s="127"/>
      <c r="V822" s="127"/>
      <c r="W822" s="127"/>
      <c r="X822" s="127"/>
      <c r="Y822" s="127"/>
      <c r="Z822" s="127"/>
      <c r="AA822" s="127"/>
      <c r="AB822" s="127"/>
      <c r="AC822" s="127"/>
      <c r="AD822" s="127"/>
      <c r="AE822" s="127"/>
      <c r="AF822" s="127"/>
    </row>
    <row r="823" spans="1:32" s="5" customFormat="1" ht="16.5" customHeight="1">
      <c r="A823" s="58"/>
      <c r="B823" s="74"/>
      <c r="C823" s="74"/>
      <c r="D823" s="74"/>
      <c r="E823" s="74"/>
      <c r="F823" s="75"/>
      <c r="G823" s="75"/>
      <c r="H823" s="75"/>
      <c r="I823" s="75"/>
      <c r="J823" s="75"/>
      <c r="K823" s="75"/>
      <c r="L823" s="75"/>
      <c r="M823" s="50"/>
      <c r="N823" s="50"/>
      <c r="P823" s="4"/>
      <c r="Q823" s="129"/>
      <c r="R823" s="129"/>
      <c r="S823" s="129"/>
      <c r="T823" s="129"/>
      <c r="U823" s="127"/>
      <c r="V823" s="127"/>
      <c r="W823" s="127"/>
      <c r="X823" s="127"/>
      <c r="Y823" s="127"/>
      <c r="Z823" s="127"/>
      <c r="AA823" s="127"/>
      <c r="AB823" s="127"/>
      <c r="AC823" s="127"/>
      <c r="AD823" s="127"/>
      <c r="AE823" s="127"/>
      <c r="AF823" s="127"/>
    </row>
    <row r="824" spans="1:32" s="5" customFormat="1" ht="16.5" customHeight="1">
      <c r="A824" s="58"/>
      <c r="B824" s="74"/>
      <c r="C824" s="74"/>
      <c r="D824" s="74"/>
      <c r="E824" s="74"/>
      <c r="F824" s="75"/>
      <c r="G824" s="75"/>
      <c r="H824" s="75"/>
      <c r="I824" s="75"/>
      <c r="J824" s="75"/>
      <c r="K824" s="75"/>
      <c r="L824" s="75"/>
      <c r="M824" s="50"/>
      <c r="N824" s="50"/>
      <c r="P824" s="4"/>
      <c r="Q824" s="129"/>
      <c r="R824" s="129"/>
      <c r="S824" s="129"/>
      <c r="T824" s="129"/>
      <c r="U824" s="127"/>
      <c r="V824" s="127"/>
      <c r="W824" s="127"/>
      <c r="X824" s="127"/>
      <c r="Y824" s="127"/>
      <c r="Z824" s="127"/>
      <c r="AA824" s="127"/>
      <c r="AB824" s="127"/>
      <c r="AC824" s="127"/>
      <c r="AD824" s="127"/>
      <c r="AE824" s="127"/>
      <c r="AF824" s="127"/>
    </row>
    <row r="825" spans="1:32" s="5" customFormat="1" ht="16.5" customHeight="1">
      <c r="A825" s="58"/>
      <c r="B825" s="74"/>
      <c r="C825" s="74"/>
      <c r="D825" s="74"/>
      <c r="E825" s="74"/>
      <c r="F825" s="75"/>
      <c r="G825" s="75"/>
      <c r="H825" s="75"/>
      <c r="I825" s="75"/>
      <c r="J825" s="75"/>
      <c r="K825" s="75"/>
      <c r="L825" s="75"/>
      <c r="M825" s="50"/>
      <c r="N825" s="50"/>
      <c r="P825" s="4"/>
      <c r="Q825" s="129"/>
      <c r="R825" s="129"/>
      <c r="S825" s="129"/>
      <c r="T825" s="129"/>
      <c r="U825" s="127"/>
      <c r="V825" s="127"/>
      <c r="W825" s="127"/>
      <c r="X825" s="127"/>
      <c r="Y825" s="127"/>
      <c r="Z825" s="127"/>
      <c r="AA825" s="127"/>
      <c r="AB825" s="127"/>
      <c r="AC825" s="127"/>
      <c r="AD825" s="127"/>
      <c r="AE825" s="127"/>
      <c r="AF825" s="127"/>
    </row>
    <row r="826" spans="1:32" s="5" customFormat="1" ht="16.5" customHeight="1">
      <c r="A826" s="58"/>
      <c r="B826" s="74"/>
      <c r="C826" s="74"/>
      <c r="D826" s="74"/>
      <c r="E826" s="74"/>
      <c r="F826" s="75"/>
      <c r="G826" s="75"/>
      <c r="H826" s="75"/>
      <c r="I826" s="75"/>
      <c r="J826" s="75"/>
      <c r="K826" s="75"/>
      <c r="L826" s="75"/>
      <c r="M826" s="50"/>
      <c r="N826" s="50"/>
      <c r="P826" s="4"/>
      <c r="Q826" s="129"/>
      <c r="R826" s="129"/>
      <c r="S826" s="129"/>
      <c r="T826" s="129"/>
      <c r="U826" s="127"/>
      <c r="V826" s="127"/>
      <c r="W826" s="127"/>
      <c r="X826" s="127"/>
      <c r="Y826" s="127"/>
      <c r="Z826" s="127"/>
      <c r="AA826" s="127"/>
      <c r="AB826" s="127"/>
      <c r="AC826" s="127"/>
      <c r="AD826" s="127"/>
      <c r="AE826" s="127"/>
      <c r="AF826" s="127"/>
    </row>
    <row r="827" spans="1:32" s="5" customFormat="1" ht="16.5" customHeight="1">
      <c r="A827" s="58"/>
      <c r="B827" s="1531"/>
      <c r="C827" s="1531"/>
      <c r="D827" s="1531"/>
      <c r="E827" s="1531"/>
      <c r="F827" s="1532"/>
      <c r="G827" s="1532"/>
      <c r="H827" s="1532"/>
      <c r="I827" s="1532"/>
      <c r="J827" s="1532"/>
      <c r="K827" s="1532"/>
      <c r="L827" s="1532"/>
      <c r="M827" s="50"/>
      <c r="N827" s="50"/>
      <c r="P827" s="4"/>
      <c r="Q827" s="129"/>
      <c r="R827" s="129"/>
      <c r="S827" s="129"/>
      <c r="T827" s="129"/>
      <c r="U827" s="127"/>
      <c r="V827" s="127"/>
      <c r="W827" s="127"/>
      <c r="X827" s="127"/>
      <c r="Y827" s="127"/>
      <c r="Z827" s="127"/>
      <c r="AA827" s="127"/>
      <c r="AB827" s="127"/>
      <c r="AC827" s="127"/>
      <c r="AD827" s="127"/>
      <c r="AE827" s="127"/>
      <c r="AF827" s="127"/>
    </row>
    <row r="828" spans="1:32" s="5" customFormat="1" ht="16.5" customHeight="1">
      <c r="A828" s="1534"/>
      <c r="B828" s="1534"/>
      <c r="C828" s="1534"/>
      <c r="D828" s="1534"/>
      <c r="E828" s="1534"/>
      <c r="F828" s="1534"/>
      <c r="G828" s="1534"/>
      <c r="H828" s="1534"/>
      <c r="I828" s="1534"/>
      <c r="J828" s="1534"/>
      <c r="K828" s="1534"/>
      <c r="L828" s="1534"/>
      <c r="M828" s="1534"/>
      <c r="N828" s="1534"/>
      <c r="P828" s="4"/>
      <c r="Q828" s="129"/>
      <c r="R828" s="129"/>
      <c r="S828" s="129"/>
      <c r="T828" s="129"/>
      <c r="U828" s="127"/>
      <c r="V828" s="127"/>
      <c r="W828" s="127"/>
      <c r="X828" s="127"/>
      <c r="Y828" s="127"/>
      <c r="Z828" s="127"/>
      <c r="AA828" s="127"/>
      <c r="AB828" s="127"/>
      <c r="AC828" s="127"/>
      <c r="AD828" s="127"/>
      <c r="AE828" s="127"/>
      <c r="AF828" s="127"/>
    </row>
    <row r="829" spans="1:32" s="5" customFormat="1" ht="16.5" customHeight="1">
      <c r="A829" s="58"/>
      <c r="B829" s="1531"/>
      <c r="C829" s="1531"/>
      <c r="D829" s="1531"/>
      <c r="E829" s="1531"/>
      <c r="F829" s="1532"/>
      <c r="G829" s="1532"/>
      <c r="H829" s="1532"/>
      <c r="I829" s="1532"/>
      <c r="J829" s="1532"/>
      <c r="K829" s="1532"/>
      <c r="L829" s="1532"/>
      <c r="M829" s="50"/>
      <c r="N829" s="50"/>
      <c r="P829" s="4"/>
      <c r="Q829" s="129"/>
      <c r="R829" s="129"/>
      <c r="S829" s="129"/>
      <c r="T829" s="129"/>
      <c r="U829" s="127"/>
      <c r="V829" s="127"/>
      <c r="W829" s="127"/>
      <c r="X829" s="127"/>
      <c r="Y829" s="127"/>
      <c r="Z829" s="127"/>
      <c r="AA829" s="127"/>
      <c r="AB829" s="127"/>
      <c r="AC829" s="127"/>
      <c r="AD829" s="127"/>
      <c r="AE829" s="127"/>
      <c r="AF829" s="127"/>
    </row>
    <row r="830" spans="1:32" s="5" customFormat="1" ht="16.5" customHeight="1">
      <c r="I830" s="64"/>
      <c r="J830" s="64"/>
      <c r="K830" s="64"/>
      <c r="L830" s="64"/>
      <c r="M830" s="64"/>
      <c r="N830" s="64"/>
      <c r="P830" s="4"/>
      <c r="Q830" s="129"/>
      <c r="R830" s="129"/>
      <c r="S830" s="129"/>
      <c r="T830" s="129"/>
      <c r="U830" s="127"/>
      <c r="V830" s="127"/>
      <c r="W830" s="127"/>
      <c r="X830" s="127"/>
      <c r="Y830" s="127"/>
      <c r="Z830" s="127"/>
      <c r="AA830" s="127"/>
      <c r="AB830" s="127"/>
      <c r="AC830" s="127"/>
      <c r="AD830" s="127"/>
      <c r="AE830" s="127"/>
      <c r="AF830" s="127"/>
    </row>
    <row r="831" spans="1:32" s="5" customFormat="1" ht="19.5" customHeight="1">
      <c r="A831" s="58"/>
      <c r="B831" s="58"/>
      <c r="C831" s="78"/>
      <c r="D831" s="78"/>
      <c r="E831" s="74"/>
      <c r="F831" s="50"/>
      <c r="G831" s="50"/>
      <c r="H831" s="50"/>
      <c r="I831" s="50"/>
      <c r="J831" s="50"/>
      <c r="K831" s="50"/>
      <c r="L831" s="50"/>
      <c r="M831" s="50"/>
      <c r="N831" s="50"/>
      <c r="P831" s="4"/>
      <c r="Q831" s="129"/>
      <c r="R831" s="129"/>
      <c r="S831" s="129"/>
      <c r="T831" s="129"/>
      <c r="U831" s="127"/>
      <c r="V831" s="127"/>
      <c r="W831" s="127"/>
      <c r="X831" s="127"/>
      <c r="Y831" s="127"/>
      <c r="Z831" s="127"/>
      <c r="AA831" s="127"/>
      <c r="AB831" s="127"/>
      <c r="AC831" s="127"/>
      <c r="AD831" s="127"/>
      <c r="AE831" s="127"/>
      <c r="AF831" s="127"/>
    </row>
    <row r="832" spans="1:32" s="5" customFormat="1" ht="15" customHeight="1">
      <c r="A832" s="58"/>
      <c r="B832" s="58"/>
      <c r="C832" s="78"/>
      <c r="D832" s="78"/>
      <c r="E832" s="74"/>
      <c r="F832" s="50"/>
      <c r="G832" s="50"/>
      <c r="H832" s="50"/>
      <c r="I832" s="50"/>
      <c r="J832" s="50"/>
      <c r="K832" s="50"/>
      <c r="L832" s="50"/>
      <c r="M832" s="50"/>
      <c r="N832" s="50"/>
      <c r="O832" s="64"/>
      <c r="P832" s="64"/>
      <c r="Q832" s="129"/>
      <c r="R832" s="129"/>
      <c r="S832" s="129"/>
      <c r="T832" s="129"/>
      <c r="U832" s="127"/>
      <c r="V832" s="127"/>
      <c r="W832" s="127"/>
      <c r="X832" s="127"/>
      <c r="Y832" s="127"/>
      <c r="Z832" s="127"/>
      <c r="AA832" s="127"/>
      <c r="AB832" s="127"/>
      <c r="AC832" s="127"/>
      <c r="AD832" s="127"/>
      <c r="AE832" s="127"/>
      <c r="AF832" s="127"/>
    </row>
    <row r="833" spans="1:32" s="5" customFormat="1" ht="24" customHeight="1">
      <c r="A833" s="58"/>
      <c r="B833" s="58"/>
      <c r="C833" s="78"/>
      <c r="D833" s="78"/>
      <c r="E833" s="74"/>
      <c r="F833" s="50"/>
      <c r="G833" s="50"/>
      <c r="H833" s="50"/>
      <c r="I833" s="50"/>
      <c r="J833" s="50"/>
      <c r="K833" s="50"/>
      <c r="L833" s="50"/>
      <c r="M833" s="50"/>
      <c r="N833" s="50"/>
      <c r="P833" s="4"/>
      <c r="Q833" s="129"/>
      <c r="R833" s="129"/>
      <c r="S833" s="129"/>
      <c r="T833" s="129"/>
      <c r="U833" s="127"/>
      <c r="V833" s="127"/>
      <c r="W833" s="127"/>
      <c r="X833" s="127"/>
      <c r="Y833" s="127"/>
      <c r="Z833" s="127"/>
      <c r="AA833" s="127"/>
      <c r="AB833" s="127"/>
      <c r="AC833" s="127"/>
      <c r="AD833" s="127"/>
      <c r="AE833" s="127"/>
      <c r="AF833" s="127"/>
    </row>
    <row r="834" spans="1:32" s="5" customFormat="1" ht="16.5" customHeight="1">
      <c r="A834" s="58"/>
      <c r="B834" s="58"/>
      <c r="C834" s="78"/>
      <c r="D834" s="78"/>
      <c r="E834" s="74"/>
      <c r="F834" s="50"/>
      <c r="G834" s="50"/>
      <c r="H834" s="50"/>
      <c r="I834" s="50"/>
      <c r="J834" s="50"/>
      <c r="K834" s="50"/>
      <c r="L834" s="50"/>
      <c r="M834" s="50"/>
      <c r="N834" s="50"/>
      <c r="P834" s="4"/>
      <c r="Q834" s="129"/>
      <c r="R834" s="129"/>
      <c r="S834" s="129"/>
      <c r="T834" s="129"/>
      <c r="U834" s="127"/>
      <c r="V834" s="127"/>
      <c r="W834" s="127"/>
      <c r="X834" s="127"/>
      <c r="Y834" s="127"/>
      <c r="Z834" s="127"/>
      <c r="AA834" s="127"/>
      <c r="AB834" s="127"/>
      <c r="AC834" s="127"/>
      <c r="AD834" s="127"/>
      <c r="AE834" s="127"/>
      <c r="AF834" s="127"/>
    </row>
    <row r="835" spans="1:32" s="5" customFormat="1" ht="16.5" customHeight="1">
      <c r="A835" s="58"/>
      <c r="B835" s="58"/>
      <c r="C835" s="78"/>
      <c r="D835" s="78"/>
      <c r="E835" s="74"/>
      <c r="F835" s="50"/>
      <c r="G835" s="50"/>
      <c r="H835" s="50"/>
      <c r="I835" s="50"/>
      <c r="J835" s="50"/>
      <c r="K835" s="50"/>
      <c r="L835" s="50"/>
      <c r="M835" s="50"/>
      <c r="N835" s="50"/>
      <c r="P835" s="4"/>
      <c r="Q835" s="129"/>
      <c r="R835" s="129"/>
      <c r="S835" s="129"/>
      <c r="T835" s="129"/>
      <c r="U835" s="127"/>
      <c r="V835" s="127"/>
      <c r="W835" s="127"/>
      <c r="X835" s="127"/>
      <c r="Y835" s="127"/>
      <c r="Z835" s="127"/>
      <c r="AA835" s="127"/>
      <c r="AB835" s="127"/>
      <c r="AC835" s="127"/>
      <c r="AD835" s="127"/>
      <c r="AE835" s="127"/>
      <c r="AF835" s="127"/>
    </row>
    <row r="836" spans="1:32" s="5" customFormat="1" ht="16.5" customHeight="1">
      <c r="A836" s="58"/>
      <c r="B836" s="58"/>
      <c r="C836" s="78"/>
      <c r="D836" s="78"/>
      <c r="E836" s="74"/>
      <c r="F836" s="50"/>
      <c r="G836" s="50"/>
      <c r="H836" s="50"/>
      <c r="I836" s="50"/>
      <c r="J836" s="50"/>
      <c r="K836" s="50"/>
      <c r="L836" s="50"/>
      <c r="M836" s="50"/>
      <c r="N836" s="50"/>
      <c r="P836" s="4"/>
      <c r="Q836" s="129"/>
      <c r="R836" s="129"/>
      <c r="S836" s="129"/>
      <c r="T836" s="129"/>
      <c r="U836" s="127"/>
      <c r="V836" s="127"/>
      <c r="W836" s="127"/>
      <c r="X836" s="127"/>
      <c r="Y836" s="127"/>
      <c r="Z836" s="127"/>
      <c r="AA836" s="127"/>
      <c r="AB836" s="127"/>
      <c r="AC836" s="127"/>
      <c r="AD836" s="127"/>
      <c r="AE836" s="127"/>
      <c r="AF836" s="127"/>
    </row>
    <row r="837" spans="1:32" s="5" customFormat="1" ht="16.5" customHeight="1">
      <c r="A837" s="1535" t="str">
        <f>$A$1</f>
        <v>.....................................</v>
      </c>
      <c r="B837" s="1535"/>
      <c r="C837" s="1535"/>
      <c r="D837" s="1535"/>
      <c r="E837" s="1535"/>
      <c r="F837" s="1592"/>
      <c r="G837" s="1535" t="s">
        <v>199</v>
      </c>
      <c r="H837" s="1535"/>
      <c r="I837" s="1535"/>
      <c r="J837" s="1535"/>
      <c r="K837" s="1535"/>
      <c r="L837" s="1535"/>
      <c r="M837" s="1535"/>
      <c r="N837" s="1535"/>
      <c r="P837" s="4"/>
      <c r="Q837" s="129"/>
      <c r="R837" s="129"/>
      <c r="S837" s="129"/>
      <c r="T837" s="129"/>
      <c r="U837" s="127"/>
      <c r="V837" s="127"/>
      <c r="W837" s="127"/>
      <c r="X837" s="127"/>
      <c r="Y837" s="127"/>
      <c r="Z837" s="127"/>
      <c r="AA837" s="127"/>
      <c r="AB837" s="127"/>
      <c r="AC837" s="127"/>
      <c r="AD837" s="127"/>
      <c r="AE837" s="127"/>
      <c r="AF837" s="127"/>
    </row>
    <row r="838" spans="1:32" s="5" customFormat="1" ht="16.5" customHeight="1">
      <c r="A838" s="1592"/>
      <c r="B838" s="1592"/>
      <c r="C838" s="1592"/>
      <c r="D838" s="1592"/>
      <c r="E838" s="1592"/>
      <c r="F838" s="1592"/>
      <c r="G838" s="1536" t="s">
        <v>254</v>
      </c>
      <c r="H838" s="1536"/>
      <c r="I838" s="1536"/>
      <c r="J838" s="1536"/>
      <c r="K838" s="1536"/>
      <c r="L838" s="1536"/>
      <c r="M838" s="1536"/>
      <c r="N838" s="1536"/>
      <c r="P838" s="4"/>
      <c r="Q838" s="129"/>
      <c r="R838" s="129"/>
      <c r="S838" s="129"/>
      <c r="T838" s="129"/>
      <c r="U838" s="127"/>
      <c r="V838" s="127"/>
      <c r="W838" s="127"/>
      <c r="X838" s="127"/>
      <c r="Y838" s="127"/>
      <c r="Z838" s="127"/>
      <c r="AA838" s="127"/>
      <c r="AB838" s="127"/>
      <c r="AC838" s="127"/>
      <c r="AD838" s="127"/>
      <c r="AE838" s="127"/>
      <c r="AF838" s="127"/>
    </row>
    <row r="839" spans="1:32" s="5" customFormat="1" ht="16.5" customHeight="1">
      <c r="A839" s="1592"/>
      <c r="B839" s="1592"/>
      <c r="C839" s="1592"/>
      <c r="D839" s="1592"/>
      <c r="E839" s="1592"/>
      <c r="F839" s="1592"/>
      <c r="G839" s="79"/>
      <c r="H839" s="79"/>
      <c r="I839" s="79"/>
      <c r="J839" s="1537">
        <f>I763</f>
        <v>42466</v>
      </c>
      <c r="K839" s="1537"/>
      <c r="L839" s="1537"/>
      <c r="M839" s="1537"/>
      <c r="N839" s="1537"/>
      <c r="P839"/>
      <c r="Q839" s="129"/>
      <c r="R839" s="129"/>
      <c r="S839" s="129"/>
      <c r="T839" s="129"/>
      <c r="U839" s="127"/>
      <c r="V839" s="127"/>
      <c r="W839" s="127"/>
      <c r="X839" s="127"/>
      <c r="Y839" s="127"/>
      <c r="Z839" s="127"/>
      <c r="AA839" s="127"/>
      <c r="AB839" s="127"/>
      <c r="AC839" s="127"/>
      <c r="AD839" s="127"/>
      <c r="AE839" s="127"/>
      <c r="AF839" s="127"/>
    </row>
    <row r="840" spans="1:32" s="5" customFormat="1">
      <c r="A840" s="1592"/>
      <c r="B840" s="1592"/>
      <c r="C840" s="1592"/>
      <c r="D840" s="1592"/>
      <c r="E840" s="1592"/>
      <c r="F840" s="1592"/>
      <c r="P840"/>
      <c r="Q840" s="129"/>
      <c r="R840" s="129"/>
      <c r="S840" s="129"/>
      <c r="T840" s="129"/>
      <c r="U840" s="127"/>
      <c r="V840" s="127"/>
      <c r="W840" s="127"/>
      <c r="X840" s="127"/>
      <c r="Y840" s="127"/>
      <c r="Z840" s="127"/>
      <c r="AA840" s="127"/>
      <c r="AB840" s="127"/>
      <c r="AC840" s="127"/>
      <c r="AD840" s="127"/>
      <c r="AE840" s="127"/>
      <c r="AF840" s="127"/>
    </row>
    <row r="841" spans="1:32" ht="21.95" customHeight="1">
      <c r="A841" s="1553" t="s">
        <v>255</v>
      </c>
      <c r="B841" s="1553"/>
      <c r="C841" s="1553"/>
      <c r="D841" s="1553"/>
      <c r="E841" s="1553"/>
      <c r="F841" s="1553"/>
      <c r="G841" s="1553"/>
      <c r="H841" s="1553"/>
      <c r="I841" s="1553"/>
      <c r="J841" s="1553"/>
      <c r="K841" s="1553"/>
      <c r="L841" s="1553"/>
      <c r="M841" s="1553"/>
      <c r="N841" s="1553"/>
      <c r="O841" s="79"/>
      <c r="P841" s="80"/>
    </row>
    <row r="842" spans="1:32" ht="21.95" customHeight="1">
      <c r="A842" s="1554" t="str">
        <f>"sè:  PM-"&amp;$R$12&amp;"-§BT/"&amp;$R$14</f>
        <v>sè:  PM-B1-§BT/800</v>
      </c>
      <c r="B842" s="1554"/>
      <c r="C842" s="1554"/>
      <c r="D842" s="1554"/>
      <c r="E842" s="1554"/>
      <c r="F842" s="1554"/>
      <c r="G842" s="1554"/>
      <c r="H842" s="1554"/>
      <c r="I842" s="1554"/>
      <c r="J842" s="1554"/>
      <c r="K842" s="1554"/>
      <c r="L842" s="1554"/>
      <c r="M842" s="1554"/>
      <c r="N842" s="1554"/>
      <c r="O842" s="5"/>
    </row>
    <row r="843" spans="1:32" s="80" customFormat="1" ht="21.95" customHeight="1">
      <c r="A843"/>
      <c r="B843" s="81"/>
      <c r="C843" s="28" t="str">
        <f>"C«ng tr×nh: "&amp;$R$3</f>
        <v>C«ng tr×nh: KHU HỖN HỢP CHUNG CƯ, VĂN PHÒNG, TRUNG TÂM THƯƠNG MẠI VÀ NHÀ Ở KẾT HỢP KHU MUA SẮM</v>
      </c>
      <c r="D843" s="27"/>
      <c r="E843" s="27"/>
      <c r="F843" s="27"/>
      <c r="G843" s="27"/>
      <c r="H843" s="27"/>
      <c r="I843" s="27"/>
      <c r="J843" s="27"/>
      <c r="K843" s="27"/>
      <c r="L843" s="27"/>
      <c r="M843"/>
      <c r="N843"/>
      <c r="O843"/>
      <c r="P843"/>
      <c r="Q843" s="131"/>
      <c r="R843" s="131"/>
      <c r="S843" s="131"/>
      <c r="T843" s="131"/>
      <c r="U843" s="132"/>
      <c r="V843" s="132"/>
      <c r="W843" s="132"/>
      <c r="X843" s="132"/>
      <c r="Y843" s="132"/>
      <c r="Z843" s="132"/>
      <c r="AA843" s="132"/>
      <c r="AB843" s="132"/>
      <c r="AC843" s="132"/>
      <c r="AD843" s="132"/>
      <c r="AE843" s="132"/>
      <c r="AF843" s="132"/>
    </row>
    <row r="844" spans="1:32" ht="21.95" customHeight="1">
      <c r="B844" s="81"/>
      <c r="C844" s="28" t="str">
        <f>"H¹ng môc: "&amp;$R$5</f>
        <v>H¹ng môc: CỌC KHOAN NHỒI</v>
      </c>
      <c r="D844" s="27"/>
      <c r="E844" s="29"/>
      <c r="F844" s="28"/>
      <c r="G844" s="28"/>
      <c r="H844" s="28"/>
      <c r="I844" s="28"/>
      <c r="J844" s="28"/>
      <c r="K844" s="28"/>
      <c r="L844" s="28"/>
      <c r="M844" s="28"/>
    </row>
    <row r="845" spans="1:32" ht="21.95" customHeight="1">
      <c r="B845" s="82"/>
      <c r="C845" s="1487" t="str">
        <f>"§Þa ®iÓm x©y dùng: "&amp;$R$4</f>
        <v>§Þa ®iÓm x©y dùng: P. BẠCH ĐẰNG, TP. HẠ LONG, TỈNH QUẢNG NINH</v>
      </c>
      <c r="D845" s="1487"/>
      <c r="E845" s="1487"/>
      <c r="F845" s="1487"/>
      <c r="G845" s="1487"/>
      <c r="H845" s="1487"/>
      <c r="I845" s="1487"/>
      <c r="J845" s="1487"/>
      <c r="K845" s="1487"/>
      <c r="L845" s="1487"/>
      <c r="M845" s="1487"/>
      <c r="N845" s="1487"/>
    </row>
    <row r="846" spans="1:32" ht="21.95" customHeight="1">
      <c r="B846" s="82"/>
      <c r="C846" s="31"/>
      <c r="D846" s="30"/>
      <c r="E846" s="30"/>
      <c r="F846" s="30"/>
      <c r="G846" s="30"/>
      <c r="H846" s="30"/>
      <c r="I846" s="30"/>
      <c r="J846" s="30"/>
      <c r="K846" s="30"/>
      <c r="L846" s="30"/>
    </row>
    <row r="847" spans="1:32" ht="16.5">
      <c r="A847" s="35"/>
      <c r="B847" s="83" t="s">
        <v>256</v>
      </c>
      <c r="C847" s="84"/>
      <c r="D847" s="84"/>
      <c r="E847" s="84" t="str">
        <f>$R$22</f>
        <v>CÔNG TY CỔ PHẦN ĐẦU TƯ VÀ KHÁCH SẠN MYWAY HẠ LONG</v>
      </c>
      <c r="F847" s="84"/>
      <c r="G847" s="84"/>
      <c r="H847" s="84"/>
      <c r="I847" s="84"/>
      <c r="J847" s="84"/>
      <c r="K847" s="84"/>
      <c r="L847" s="84"/>
      <c r="M847" s="84"/>
      <c r="N847" s="35"/>
    </row>
    <row r="848" spans="1:32" ht="21.95" customHeight="1">
      <c r="A848" s="35"/>
      <c r="B848" s="36"/>
      <c r="C848" s="84"/>
      <c r="D848" s="84"/>
      <c r="E848" s="84" t="s">
        <v>257</v>
      </c>
      <c r="F848" s="84"/>
      <c r="G848" s="84"/>
      <c r="H848" s="84"/>
      <c r="I848" s="84"/>
      <c r="J848" s="84"/>
      <c r="K848" s="84"/>
      <c r="L848" s="84"/>
      <c r="M848" s="84"/>
      <c r="N848" s="35"/>
    </row>
    <row r="849" spans="1:32" ht="21.95" customHeight="1">
      <c r="A849" s="30"/>
      <c r="B849" s="36" t="str">
        <f>"Nhµ thÇu - "&amp;R789&amp;" ®· ®ñ ®iÒu kiÖn ®Ó thi c«ng c«ng viÖc x©y dùng cô thÓ nh­ sau:"</f>
        <v>Nhµ thÇu - ..................................... ®· ®ñ ®iÒu kiÖn ®Ó thi c«ng c«ng viÖc x©y dùng cô thÓ nh­ sau:</v>
      </c>
      <c r="C849" s="30"/>
      <c r="D849" s="30"/>
      <c r="E849" s="30"/>
      <c r="F849" s="30"/>
      <c r="G849" s="30"/>
      <c r="H849" s="30"/>
      <c r="I849" s="30"/>
      <c r="J849" s="30"/>
      <c r="K849" s="30"/>
      <c r="L849" s="30"/>
      <c r="M849" s="30"/>
      <c r="N849" s="35"/>
      <c r="O849" s="35"/>
      <c r="P849" s="35"/>
    </row>
    <row r="850" spans="1:32" ht="17.25" customHeight="1">
      <c r="A850" s="85" t="s">
        <v>258</v>
      </c>
      <c r="B850" s="86" t="s">
        <v>310</v>
      </c>
      <c r="C850" s="87"/>
      <c r="D850" s="87"/>
      <c r="E850" s="87"/>
      <c r="F850" s="1555" t="str">
        <f>" Theo dâi ®æ bª t«ng cäc: "&amp;$R$12</f>
        <v xml:space="preserve"> Theo dâi ®æ bª t«ng cäc: B1</v>
      </c>
      <c r="G850" s="1555"/>
      <c r="H850" s="1555"/>
      <c r="I850" s="1555"/>
      <c r="J850" s="1555"/>
      <c r="K850" s="1555"/>
      <c r="L850" s="1555"/>
      <c r="M850" s="1555"/>
      <c r="N850" s="1555"/>
      <c r="O850" s="35"/>
      <c r="P850" s="35"/>
    </row>
    <row r="851" spans="1:32" s="35" customFormat="1" ht="19.5" customHeight="1">
      <c r="A851" s="39"/>
      <c r="B851" s="39" t="str">
        <f>"VÞ trÝ x©y dùng: T¹i C«ng tr×nh "&amp;$R$3</f>
        <v>VÞ trÝ x©y dùng: T¹i C«ng tr×nh KHU HỖN HỢP CHUNG CƯ, VĂN PHÒNG, TRUNG TÂM THƯƠNG MẠI VÀ NHÀ Ở KẾT HỢP KHU MUA SẮM</v>
      </c>
      <c r="C851" s="39"/>
      <c r="D851" s="39"/>
      <c r="E851" s="39"/>
      <c r="F851" s="39"/>
      <c r="G851" s="39"/>
      <c r="H851" s="39"/>
      <c r="I851" s="39"/>
      <c r="J851" s="39"/>
      <c r="K851" s="39"/>
      <c r="L851" s="39"/>
      <c r="M851" s="39"/>
      <c r="N851" s="24"/>
      <c r="Q851" s="91"/>
      <c r="R851" s="91"/>
      <c r="S851" s="91"/>
      <c r="T851" s="91"/>
      <c r="U851" s="24"/>
      <c r="V851" s="24"/>
      <c r="W851" s="24"/>
      <c r="X851" s="24"/>
      <c r="Y851" s="24"/>
      <c r="Z851" s="24"/>
      <c r="AA851" s="24"/>
      <c r="AB851" s="24"/>
      <c r="AC851" s="24"/>
      <c r="AD851" s="24"/>
      <c r="AE851" s="24"/>
      <c r="AF851" s="24"/>
    </row>
    <row r="852" spans="1:32" s="35" customFormat="1" ht="15.75" customHeight="1">
      <c r="A852" s="39"/>
      <c r="B852" s="39" t="s">
        <v>202</v>
      </c>
      <c r="C852" s="39"/>
      <c r="D852" s="39"/>
      <c r="E852" s="39" t="str">
        <f>$R$4</f>
        <v>P. BẠCH ĐẰNG, TP. HẠ LONG, TỈNH QUẢNG NINH</v>
      </c>
      <c r="F852" s="39"/>
      <c r="G852" s="39"/>
      <c r="H852" s="39"/>
      <c r="I852" s="39"/>
      <c r="J852" s="39"/>
      <c r="K852" s="39"/>
      <c r="L852" s="39"/>
      <c r="M852" s="39"/>
      <c r="N852" s="24"/>
      <c r="O852" s="88"/>
      <c r="P852" s="88"/>
      <c r="Q852" s="91"/>
      <c r="R852" s="91"/>
      <c r="S852" s="91"/>
      <c r="T852" s="91"/>
      <c r="U852" s="24"/>
      <c r="V852" s="24"/>
      <c r="W852" s="24"/>
      <c r="X852" s="24"/>
      <c r="Y852" s="24"/>
      <c r="Z852" s="24"/>
      <c r="AA852" s="24"/>
      <c r="AB852" s="24"/>
      <c r="AC852" s="24"/>
      <c r="AD852" s="24"/>
      <c r="AE852" s="24"/>
      <c r="AF852" s="24"/>
    </row>
    <row r="853" spans="1:32" s="35" customFormat="1" ht="21.95" customHeight="1">
      <c r="A853" s="89"/>
      <c r="B853" s="39" t="s">
        <v>311</v>
      </c>
      <c r="C853" s="39"/>
      <c r="D853" s="39"/>
      <c r="E853" s="39"/>
      <c r="F853" s="39"/>
      <c r="G853" s="39"/>
      <c r="H853" s="39"/>
      <c r="I853" s="39"/>
      <c r="J853" s="39"/>
      <c r="K853" s="39"/>
      <c r="L853" s="39"/>
      <c r="M853" s="39"/>
      <c r="N853" s="118" t="str">
        <f>$R$12</f>
        <v>B1</v>
      </c>
      <c r="O853" s="24"/>
      <c r="P853" s="24"/>
      <c r="Q853" s="91"/>
      <c r="R853" s="91"/>
      <c r="S853" s="91"/>
      <c r="T853" s="91"/>
      <c r="U853" s="24"/>
      <c r="V853" s="24"/>
      <c r="W853" s="24"/>
      <c r="X853" s="24"/>
      <c r="Y853" s="24"/>
      <c r="Z853" s="24"/>
      <c r="AA853" s="24"/>
      <c r="AB853" s="24"/>
      <c r="AC853" s="24"/>
      <c r="AD853" s="24"/>
      <c r="AE853" s="24"/>
      <c r="AF853" s="24"/>
    </row>
    <row r="854" spans="1:32" s="24" customFormat="1" ht="21.95" customHeight="1">
      <c r="B854" s="39" t="s">
        <v>264</v>
      </c>
      <c r="C854" s="39"/>
      <c r="Q854" s="91"/>
      <c r="R854" s="91"/>
      <c r="S854" s="91"/>
      <c r="T854" s="91"/>
    </row>
    <row r="855" spans="1:32" s="35" customFormat="1" ht="21.95" customHeight="1">
      <c r="A855" s="24" t="s">
        <v>265</v>
      </c>
      <c r="B855" s="39"/>
      <c r="C855" s="39"/>
      <c r="D855" s="24"/>
      <c r="E855" s="24"/>
      <c r="F855" s="24"/>
      <c r="G855" s="24"/>
      <c r="H855" s="24"/>
      <c r="I855" s="24"/>
      <c r="J855" s="24"/>
      <c r="K855" s="24"/>
      <c r="L855" s="24"/>
      <c r="M855" s="24"/>
      <c r="N855" s="24"/>
      <c r="O855" s="24"/>
      <c r="P855" s="24"/>
      <c r="Q855" s="91"/>
      <c r="R855" s="91"/>
      <c r="S855" s="91"/>
      <c r="T855" s="91"/>
      <c r="U855" s="24"/>
      <c r="V855" s="24"/>
      <c r="W855" s="24"/>
      <c r="X855" s="24"/>
      <c r="Y855" s="24"/>
      <c r="Z855" s="24"/>
      <c r="AA855" s="24"/>
      <c r="AB855" s="24"/>
      <c r="AC855" s="24"/>
      <c r="AD855" s="24"/>
      <c r="AE855" s="24"/>
      <c r="AF855" s="24"/>
    </row>
    <row r="856" spans="1:32" s="24" customFormat="1" ht="21.95" customHeight="1">
      <c r="A856" s="24" t="s">
        <v>266</v>
      </c>
      <c r="B856" s="39"/>
      <c r="C856" s="39"/>
      <c r="Q856" s="91"/>
      <c r="R856" s="91"/>
      <c r="S856" s="91"/>
      <c r="T856" s="91"/>
    </row>
    <row r="857" spans="1:32" s="24" customFormat="1" ht="21.95" customHeight="1">
      <c r="A857" s="36"/>
      <c r="B857" s="36" t="s">
        <v>267</v>
      </c>
      <c r="G857" s="1556">
        <f>E897</f>
        <v>0.83333333333333293</v>
      </c>
      <c r="H857" s="1556"/>
      <c r="I857" s="1489">
        <f>F897</f>
        <v>42466</v>
      </c>
      <c r="J857" s="1489"/>
      <c r="K857" s="1489"/>
      <c r="L857" s="1489"/>
      <c r="M857" s="1489"/>
      <c r="N857" s="1489"/>
      <c r="Q857" s="91"/>
      <c r="R857" s="91"/>
      <c r="S857" s="91"/>
      <c r="T857" s="91"/>
    </row>
    <row r="858" spans="1:32" s="24" customFormat="1" ht="21.95" customHeight="1">
      <c r="A858" s="35"/>
      <c r="B858" s="35"/>
      <c r="C858" s="48" t="s">
        <v>268</v>
      </c>
      <c r="E858" s="24" t="str">
        <f>C843</f>
        <v>C«ng tr×nh: KHU HỖN HỢP CHUNG CƯ, VĂN PHÒNG, TRUNG TÂM THƯƠNG MẠI VÀ NHÀ Ở KẾT HỢP KHU MUA SẮM</v>
      </c>
      <c r="F858" s="35"/>
      <c r="G858" s="35"/>
      <c r="J858" s="35"/>
      <c r="K858" s="35"/>
      <c r="L858" s="35"/>
      <c r="M858" s="35"/>
      <c r="N858" s="35"/>
      <c r="Q858" s="91"/>
      <c r="R858" s="91"/>
      <c r="S858" s="91"/>
      <c r="T858" s="91"/>
    </row>
    <row r="859" spans="1:32" s="24" customFormat="1" ht="21.95" customHeight="1">
      <c r="A859" s="35"/>
      <c r="B859" s="35"/>
      <c r="C859" s="48" t="s">
        <v>269</v>
      </c>
      <c r="E859" s="24" t="str">
        <f>E852</f>
        <v>P. BẠCH ĐẰNG, TP. HẠ LONG, TỈNH QUẢNG NINH</v>
      </c>
      <c r="F859" s="35"/>
      <c r="G859" s="35"/>
      <c r="J859" s="35"/>
      <c r="K859" s="35"/>
      <c r="L859" s="35"/>
      <c r="M859" s="35"/>
      <c r="N859" s="35"/>
      <c r="Q859" s="91"/>
      <c r="R859" s="91"/>
      <c r="S859" s="91"/>
      <c r="T859" s="91"/>
    </row>
    <row r="860" spans="1:32" s="24" customFormat="1" ht="21.95" customHeight="1">
      <c r="A860" s="36"/>
      <c r="B860" s="36"/>
      <c r="G860" s="41"/>
      <c r="H860" s="41"/>
      <c r="I860" s="42"/>
      <c r="J860" s="42"/>
      <c r="K860" s="42"/>
      <c r="L860" s="42"/>
      <c r="M860" s="42"/>
      <c r="N860" s="42"/>
      <c r="O860" s="35"/>
      <c r="P860" s="35"/>
      <c r="Q860" s="91"/>
      <c r="R860" s="91"/>
      <c r="S860" s="91"/>
      <c r="T860" s="91"/>
    </row>
    <row r="861" spans="1:32" s="24" customFormat="1" ht="33" customHeight="1">
      <c r="A861" s="1541" t="s">
        <v>191</v>
      </c>
      <c r="B861" s="1542"/>
      <c r="C861" s="1541" t="s">
        <v>270</v>
      </c>
      <c r="D861" s="1543"/>
      <c r="E861" s="1543"/>
      <c r="F861" s="1543"/>
      <c r="G861" s="1542"/>
      <c r="H861" s="92" t="s">
        <v>271</v>
      </c>
      <c r="I861" s="93"/>
      <c r="J861" s="93"/>
      <c r="K861" s="94"/>
      <c r="L861" s="92"/>
      <c r="M861" s="1541" t="s">
        <v>272</v>
      </c>
      <c r="N861" s="1542"/>
      <c r="O861" s="35"/>
      <c r="P861" s="35"/>
      <c r="Q861" s="91"/>
      <c r="R861" s="91"/>
      <c r="S861" s="91"/>
      <c r="T861" s="91"/>
    </row>
    <row r="862" spans="1:32" s="24" customFormat="1" ht="16.5">
      <c r="A862" s="156"/>
      <c r="B862" s="157"/>
      <c r="C862" s="156"/>
      <c r="D862" s="158"/>
      <c r="E862" s="158"/>
      <c r="F862" s="158"/>
      <c r="G862" s="157"/>
      <c r="H862" s="159"/>
      <c r="I862" s="160"/>
      <c r="J862" s="160"/>
      <c r="K862" s="160"/>
      <c r="L862" s="161"/>
      <c r="M862" s="156"/>
      <c r="N862" s="157"/>
      <c r="O862" s="35"/>
      <c r="P862" s="35"/>
      <c r="Q862" s="91"/>
      <c r="R862" s="91"/>
      <c r="S862" s="91"/>
      <c r="T862" s="91"/>
    </row>
    <row r="863" spans="1:32" s="24" customFormat="1" ht="33" customHeight="1">
      <c r="A863" s="1583">
        <v>1</v>
      </c>
      <c r="B863" s="1584"/>
      <c r="C863" s="1585" t="s">
        <v>194</v>
      </c>
      <c r="D863" s="1586"/>
      <c r="E863" s="1586"/>
      <c r="F863" s="1586"/>
      <c r="G863" s="1587"/>
      <c r="H863" s="1588">
        <f>E781-Q869</f>
        <v>0.82986111111111072</v>
      </c>
      <c r="I863" s="1589"/>
      <c r="J863" s="1590">
        <f>J839</f>
        <v>42466</v>
      </c>
      <c r="K863" s="1590"/>
      <c r="L863" s="1591"/>
      <c r="M863" s="1583"/>
      <c r="N863" s="1584"/>
      <c r="Q863" s="91"/>
      <c r="R863" s="91"/>
      <c r="S863" s="91"/>
      <c r="T863" s="91"/>
    </row>
    <row r="864" spans="1:32" s="24" customFormat="1" ht="16.5">
      <c r="A864" s="150"/>
      <c r="B864" s="151"/>
      <c r="C864" s="152"/>
      <c r="D864" s="59"/>
      <c r="E864" s="59"/>
      <c r="F864" s="59"/>
      <c r="G864" s="153"/>
      <c r="H864" s="154"/>
      <c r="I864" s="139"/>
      <c r="J864" s="140"/>
      <c r="K864" s="140"/>
      <c r="L864" s="155"/>
      <c r="M864" s="150"/>
      <c r="N864" s="151"/>
      <c r="Q864" s="91"/>
      <c r="R864" s="91"/>
      <c r="S864" s="91"/>
      <c r="T864" s="91"/>
    </row>
    <row r="865" spans="1:32" s="24" customFormat="1" ht="16.5">
      <c r="A865" s="150"/>
      <c r="B865" s="151"/>
      <c r="C865" s="152"/>
      <c r="D865" s="59"/>
      <c r="E865" s="59"/>
      <c r="F865" s="59"/>
      <c r="G865" s="153"/>
      <c r="H865" s="154"/>
      <c r="I865" s="139"/>
      <c r="J865" s="140"/>
      <c r="K865" s="140"/>
      <c r="L865" s="155"/>
      <c r="M865" s="150"/>
      <c r="N865" s="151"/>
      <c r="Q865" s="91"/>
      <c r="R865" s="91"/>
      <c r="S865" s="91"/>
      <c r="T865" s="91"/>
    </row>
    <row r="866" spans="1:32" s="24" customFormat="1" ht="16.5">
      <c r="A866" s="162"/>
      <c r="B866" s="163"/>
      <c r="C866" s="164"/>
      <c r="D866" s="165"/>
      <c r="E866" s="165"/>
      <c r="F866" s="165"/>
      <c r="G866" s="163"/>
      <c r="H866" s="166"/>
      <c r="I866" s="167"/>
      <c r="J866" s="165"/>
      <c r="K866" s="165"/>
      <c r="L866" s="163"/>
      <c r="M866" s="162"/>
      <c r="N866" s="163"/>
      <c r="Q866" s="91"/>
      <c r="R866" s="91"/>
      <c r="S866" s="91"/>
      <c r="T866" s="91"/>
    </row>
    <row r="867" spans="1:32" s="24" customFormat="1" ht="39" customHeight="1">
      <c r="A867" s="1538"/>
      <c r="B867" s="1538"/>
      <c r="C867" s="1538"/>
      <c r="D867" s="1538"/>
      <c r="E867" s="1538"/>
      <c r="F867" s="1538"/>
      <c r="G867" s="1538"/>
      <c r="H867" s="1538"/>
      <c r="I867" s="1538" t="s">
        <v>273</v>
      </c>
      <c r="J867" s="1538"/>
      <c r="K867" s="1538"/>
      <c r="L867" s="1538"/>
      <c r="M867" s="1538"/>
      <c r="N867" s="1538"/>
      <c r="Q867" s="91"/>
      <c r="R867" s="91"/>
      <c r="S867" s="91"/>
      <c r="T867" s="91"/>
    </row>
    <row r="868" spans="1:32" s="24" customFormat="1" ht="21.95" customHeight="1">
      <c r="A868" s="66"/>
      <c r="B868" s="1539"/>
      <c r="C868" s="1539"/>
      <c r="D868" s="1539"/>
      <c r="E868" s="1539"/>
      <c r="F868" s="67"/>
      <c r="G868" s="95"/>
      <c r="H868" s="96"/>
      <c r="I868" s="96"/>
      <c r="J868" s="96"/>
      <c r="K868" s="96"/>
      <c r="L868" s="96"/>
      <c r="M868" s="96"/>
      <c r="N868"/>
      <c r="O868" s="35"/>
      <c r="P868" s="35"/>
      <c r="Q868" s="91"/>
      <c r="R868" s="91"/>
      <c r="S868" s="91"/>
      <c r="T868" s="91"/>
    </row>
    <row r="869" spans="1:32" s="89" customFormat="1" ht="21.95" customHeight="1">
      <c r="A869" s="97"/>
      <c r="B869" s="97"/>
      <c r="C869" s="97"/>
      <c r="D869" s="35"/>
      <c r="E869" s="35"/>
      <c r="F869" s="35"/>
      <c r="G869" s="35"/>
      <c r="H869" s="35"/>
      <c r="I869" s="35"/>
      <c r="J869" s="35"/>
      <c r="K869" s="35"/>
      <c r="L869" s="35"/>
      <c r="M869"/>
      <c r="N869"/>
      <c r="O869" s="24"/>
      <c r="P869" s="24"/>
      <c r="Q869" s="134">
        <v>3.472222222222222E-3</v>
      </c>
      <c r="R869" s="135"/>
      <c r="S869" s="135"/>
      <c r="T869" s="135"/>
      <c r="U869" s="36"/>
      <c r="V869" s="36"/>
      <c r="W869" s="36"/>
      <c r="X869" s="36"/>
      <c r="Y869" s="36"/>
      <c r="Z869" s="36"/>
      <c r="AA869" s="36"/>
      <c r="AB869" s="36"/>
      <c r="AC869" s="36"/>
      <c r="AD869" s="36"/>
      <c r="AE869" s="36"/>
      <c r="AF869" s="36"/>
    </row>
    <row r="870" spans="1:32" s="43" customFormat="1" ht="20.25" customHeight="1">
      <c r="A870" s="97"/>
      <c r="B870" s="97"/>
      <c r="C870" s="97"/>
      <c r="D870" s="35"/>
      <c r="E870" s="35"/>
      <c r="F870" s="35"/>
      <c r="G870" s="35"/>
      <c r="H870" s="35"/>
      <c r="I870" s="35"/>
      <c r="J870" s="35"/>
      <c r="K870" s="35"/>
      <c r="L870" s="35"/>
      <c r="M870"/>
      <c r="N870"/>
      <c r="O870"/>
      <c r="P870"/>
      <c r="Q870" s="136"/>
      <c r="R870" s="136"/>
      <c r="S870" s="136"/>
      <c r="T870" s="136"/>
      <c r="U870" s="126"/>
      <c r="V870" s="126"/>
      <c r="W870" s="126"/>
      <c r="X870" s="126"/>
      <c r="Y870" s="126"/>
      <c r="Z870" s="126"/>
      <c r="AA870" s="126"/>
      <c r="AB870" s="126"/>
      <c r="AC870" s="126"/>
      <c r="AD870" s="126"/>
      <c r="AE870" s="126"/>
      <c r="AF870" s="126"/>
    </row>
    <row r="871" spans="1:32" s="24" customFormat="1" ht="18" customHeight="1">
      <c r="A871" s="97"/>
      <c r="B871" s="97"/>
      <c r="C871" s="97"/>
      <c r="D871" s="35"/>
      <c r="E871" s="35"/>
      <c r="F871" s="35"/>
      <c r="G871" s="35"/>
      <c r="H871" s="35"/>
      <c r="I871" s="35"/>
      <c r="J871" s="35"/>
      <c r="K871" s="35"/>
      <c r="L871" s="35"/>
      <c r="M871"/>
      <c r="N871"/>
      <c r="O871"/>
      <c r="P871"/>
      <c r="Q871" s="91"/>
      <c r="R871" s="91"/>
      <c r="S871" s="91"/>
      <c r="T871" s="91"/>
    </row>
    <row r="872" spans="1:32" ht="18">
      <c r="A872" s="97"/>
      <c r="B872" s="97"/>
      <c r="C872" s="97"/>
      <c r="D872" s="35"/>
      <c r="E872" s="35"/>
      <c r="F872" s="35"/>
      <c r="G872" s="35"/>
      <c r="H872" s="35"/>
      <c r="I872" s="35"/>
      <c r="J872" s="35"/>
      <c r="K872" s="35"/>
      <c r="L872" s="35"/>
    </row>
    <row r="873" spans="1:32" ht="16.5">
      <c r="A873" s="1540"/>
      <c r="B873" s="1540"/>
      <c r="C873" s="1540"/>
      <c r="D873" s="1540"/>
      <c r="E873" s="1540"/>
      <c r="F873" s="1540"/>
      <c r="G873" s="1540"/>
      <c r="H873" s="1540"/>
      <c r="I873" s="1540" t="str">
        <f>$E$135</f>
        <v>CÔNG TY TNHH MTV HANTECH</v>
      </c>
      <c r="J873" s="1540"/>
      <c r="K873" s="1540"/>
      <c r="L873" s="1540"/>
      <c r="M873" s="1540"/>
      <c r="N873" s="1540"/>
    </row>
    <row r="874" spans="1:32" ht="16.5">
      <c r="A874" s="98"/>
      <c r="B874" s="98"/>
      <c r="C874" s="98"/>
      <c r="D874" s="98"/>
      <c r="E874" s="98"/>
      <c r="F874" s="98"/>
      <c r="G874" s="98"/>
      <c r="H874" s="98"/>
      <c r="I874" s="98"/>
      <c r="J874" s="98"/>
      <c r="K874" s="98"/>
      <c r="L874" s="98"/>
      <c r="M874" s="98"/>
      <c r="N874" s="98"/>
    </row>
    <row r="875" spans="1:32" ht="16.5">
      <c r="A875" s="98"/>
      <c r="B875" s="98"/>
      <c r="C875" s="98"/>
      <c r="D875" s="98"/>
      <c r="E875" s="98"/>
      <c r="F875" s="98"/>
      <c r="G875" s="98"/>
      <c r="H875" s="98"/>
      <c r="I875" s="98"/>
      <c r="J875" s="98"/>
      <c r="K875" s="98"/>
      <c r="L875" s="98"/>
      <c r="M875" s="98"/>
      <c r="N875" s="98"/>
    </row>
    <row r="876" spans="1:32" ht="18">
      <c r="A876" s="97"/>
      <c r="B876" s="97"/>
      <c r="C876" s="97"/>
      <c r="D876" s="35"/>
      <c r="E876" s="35"/>
      <c r="F876" s="35"/>
      <c r="G876" s="35"/>
      <c r="H876" s="35"/>
      <c r="I876" s="35"/>
      <c r="J876" s="35"/>
      <c r="K876" s="35"/>
      <c r="L876" s="35"/>
    </row>
    <row r="877" spans="1:32" ht="18" customHeight="1">
      <c r="A877" s="1483" t="s">
        <v>199</v>
      </c>
      <c r="B877" s="1483"/>
      <c r="C877" s="1483"/>
      <c r="D877" s="1483"/>
      <c r="E877" s="1483"/>
      <c r="F877" s="1483"/>
      <c r="G877" s="1483"/>
      <c r="H877" s="1483"/>
      <c r="I877" s="1483"/>
      <c r="J877" s="1483"/>
      <c r="K877" s="1483"/>
      <c r="L877" s="1483"/>
      <c r="M877" s="1483"/>
      <c r="N877" s="1483"/>
    </row>
    <row r="878" spans="1:32" ht="15.75">
      <c r="A878" s="1492" t="s">
        <v>200</v>
      </c>
      <c r="B878" s="1492"/>
      <c r="C878" s="1492"/>
      <c r="D878" s="1492"/>
      <c r="E878" s="1492"/>
      <c r="F878" s="1492"/>
      <c r="G878" s="1492"/>
      <c r="H878" s="1492"/>
      <c r="I878" s="1492"/>
      <c r="J878" s="1492"/>
      <c r="K878" s="1492"/>
      <c r="L878" s="1492"/>
      <c r="M878" s="1492"/>
      <c r="N878" s="1492"/>
    </row>
    <row r="879" spans="1:32" ht="14.25">
      <c r="A879" s="1557" t="s">
        <v>274</v>
      </c>
      <c r="B879" s="1557"/>
      <c r="C879" s="1557"/>
      <c r="D879" s="1557"/>
      <c r="E879" s="1557"/>
      <c r="F879" s="1557"/>
      <c r="G879" s="1557"/>
      <c r="H879" s="1557"/>
      <c r="I879" s="1557"/>
      <c r="J879" s="1557"/>
      <c r="K879" s="1557"/>
      <c r="L879" s="1557"/>
      <c r="M879" s="1557"/>
      <c r="N879" s="1557"/>
    </row>
    <row r="880" spans="1:32" ht="16.5">
      <c r="A880" s="18"/>
      <c r="B880" s="18"/>
      <c r="C880" s="18"/>
      <c r="D880" s="18"/>
      <c r="E880" s="18"/>
      <c r="F880" s="18"/>
      <c r="I880" s="19"/>
      <c r="J880" s="1558">
        <f>$U$19</f>
        <v>42466</v>
      </c>
      <c r="K880" s="1558"/>
      <c r="L880" s="1558"/>
      <c r="M880" s="1558"/>
      <c r="N880" s="1558"/>
    </row>
    <row r="881" spans="1:20" ht="17.25" customHeight="1">
      <c r="A881" s="8"/>
    </row>
    <row r="882" spans="1:20" ht="17.25" customHeight="1">
      <c r="A882" s="1493" t="str">
        <f>"Biªn b¶n sè: "&amp;$R$12&amp;"/ CV-§BT/"&amp;$R$14</f>
        <v>Biªn b¶n sè: B1/ CV-§BT/800</v>
      </c>
      <c r="B882" s="1493"/>
      <c r="C882" s="1493"/>
      <c r="D882" s="1493"/>
      <c r="E882" s="1493"/>
      <c r="F882" s="1493"/>
      <c r="G882" s="1493"/>
      <c r="H882" s="1493"/>
      <c r="I882" s="1493"/>
      <c r="J882" s="1493"/>
      <c r="K882" s="1493"/>
      <c r="L882" s="1493"/>
      <c r="M882" s="1493"/>
      <c r="N882" s="1493"/>
    </row>
    <row r="883" spans="1:20" ht="18">
      <c r="A883" s="1493" t="s">
        <v>275</v>
      </c>
      <c r="B883" s="1493"/>
      <c r="C883" s="1493"/>
      <c r="D883" s="1493"/>
      <c r="E883" s="1493"/>
      <c r="F883" s="1493"/>
      <c r="G883" s="1493"/>
      <c r="H883" s="1493"/>
      <c r="I883" s="1493"/>
      <c r="J883" s="1493"/>
      <c r="K883" s="1493"/>
      <c r="L883" s="1493"/>
      <c r="M883" s="1493"/>
      <c r="N883" s="1493"/>
    </row>
    <row r="884" spans="1:20" ht="17.25" customHeight="1">
      <c r="A884" s="12"/>
      <c r="O884" s="24"/>
      <c r="P884" s="24"/>
    </row>
    <row r="885" spans="1:20" ht="19.5" customHeight="1">
      <c r="B885" s="39"/>
      <c r="C885" s="28" t="str">
        <f>"C«ng tr×nh: "&amp;$R$3</f>
        <v>C«ng tr×nh: KHU HỖN HỢP CHUNG CƯ, VĂN PHÒNG, TRUNG TÂM THƯƠNG MẠI VÀ NHÀ Ở KẾT HỢP KHU MUA SẮM</v>
      </c>
      <c r="D885" s="27"/>
      <c r="E885" s="27"/>
      <c r="F885" s="27"/>
      <c r="G885" s="27"/>
      <c r="H885" s="27"/>
      <c r="I885" s="27"/>
      <c r="J885" s="27"/>
      <c r="K885" s="27"/>
      <c r="L885" s="27"/>
      <c r="O885" s="24"/>
      <c r="P885" s="24"/>
    </row>
    <row r="886" spans="1:20" s="24" customFormat="1" ht="21" customHeight="1">
      <c r="A886"/>
      <c r="B886" s="39"/>
      <c r="C886" s="28" t="str">
        <f>"H¹ng môc: "&amp;$R$5</f>
        <v>H¹ng môc: CỌC KHOAN NHỒI</v>
      </c>
      <c r="D886" s="27"/>
      <c r="E886" s="29"/>
      <c r="F886" s="28"/>
      <c r="G886" s="28"/>
      <c r="H886" s="28"/>
      <c r="I886" s="28"/>
      <c r="J886" s="28"/>
      <c r="K886" s="28"/>
      <c r="L886" s="28"/>
      <c r="M886" s="28"/>
      <c r="N886"/>
      <c r="O886"/>
      <c r="P886"/>
      <c r="Q886" s="91"/>
      <c r="R886" s="91"/>
      <c r="S886" s="91"/>
      <c r="T886" s="91"/>
    </row>
    <row r="887" spans="1:20" s="24" customFormat="1" ht="21" customHeight="1">
      <c r="A887"/>
      <c r="B887" s="36"/>
      <c r="C887" s="1487" t="str">
        <f>"§Þa ®iÓm x©y dùng: "&amp;$R$4</f>
        <v>§Þa ®iÓm x©y dùng: P. BẠCH ĐẰNG, TP. HẠ LONG, TỈNH QUẢNG NINH</v>
      </c>
      <c r="D887" s="1487"/>
      <c r="E887" s="1487"/>
      <c r="F887" s="1487"/>
      <c r="G887" s="1487"/>
      <c r="H887" s="1487"/>
      <c r="I887" s="1487"/>
      <c r="J887" s="1487"/>
      <c r="K887" s="1487"/>
      <c r="L887" s="1487"/>
      <c r="M887" s="1487"/>
      <c r="N887" s="1487"/>
      <c r="O887"/>
      <c r="P887"/>
      <c r="Q887" s="91"/>
      <c r="R887" s="91"/>
      <c r="S887" s="91"/>
      <c r="T887" s="91"/>
    </row>
    <row r="888" spans="1:20" ht="16.5">
      <c r="A888" s="30" t="str">
        <f>A772</f>
        <v>1.§èi t­îng nghiÖm thu: Theo dâi ®æ bª t«ng cäc: B1</v>
      </c>
      <c r="B888" s="30"/>
      <c r="C888" s="30"/>
      <c r="D888" s="30"/>
      <c r="E888" s="30"/>
      <c r="F888" s="30"/>
      <c r="H888" s="30"/>
      <c r="I888" s="30"/>
      <c r="J888" s="30"/>
      <c r="K888" s="30"/>
      <c r="L888" s="30"/>
    </row>
    <row r="889" spans="1:20" ht="21.95" customHeight="1">
      <c r="A889" s="1488" t="s">
        <v>207</v>
      </c>
      <c r="B889" s="1488"/>
      <c r="C889" s="1488"/>
      <c r="D889" s="1488"/>
      <c r="E889" s="1488"/>
      <c r="F889" s="1488"/>
      <c r="G889" s="1488"/>
      <c r="H889" s="1488"/>
      <c r="I889" s="1488"/>
      <c r="J889" s="1488"/>
      <c r="K889" s="1488"/>
      <c r="L889" s="1488"/>
    </row>
    <row r="890" spans="1:20" ht="16.5" customHeight="1">
      <c r="A890" s="99" t="s">
        <v>277</v>
      </c>
      <c r="B890" s="36"/>
      <c r="C890" s="36"/>
      <c r="D890" s="36"/>
      <c r="E890" s="36"/>
      <c r="F890" s="30" t="str">
        <f>R786</f>
        <v>………………..</v>
      </c>
      <c r="G890" s="36"/>
      <c r="H890" s="36"/>
      <c r="I890" s="36"/>
      <c r="J890" s="36"/>
      <c r="K890" s="36"/>
      <c r="L890" s="36"/>
      <c r="M890" s="36"/>
    </row>
    <row r="891" spans="1:20" ht="21.95" customHeight="1">
      <c r="A891" s="35"/>
      <c r="C891" s="34" t="s">
        <v>276</v>
      </c>
      <c r="D891" s="34"/>
      <c r="E891" s="36" t="str">
        <f>$R$26</f>
        <v>CÔNG TY CỔ PHẦN TƯ VẤN KIỂM ĐỊNH VÀ THƯƠNG MẠI XÂY DỰNG GOLDSUN</v>
      </c>
      <c r="F891" s="36"/>
      <c r="G891" s="35"/>
      <c r="I891" s="37" t="s">
        <v>211</v>
      </c>
      <c r="J891" s="37"/>
      <c r="K891" s="36" t="str">
        <f>$T$26</f>
        <v>Công ty Cổ phần tư vấn kiểm định và thương mại xây dựng Goldsun</v>
      </c>
      <c r="L891" s="35"/>
    </row>
    <row r="892" spans="1:20" ht="22.5" customHeight="1">
      <c r="A892" s="35"/>
      <c r="C892" s="34" t="s">
        <v>276</v>
      </c>
      <c r="D892" s="34"/>
      <c r="E892" s="36" t="str">
        <f>$R$27</f>
        <v>.....................................</v>
      </c>
      <c r="F892" s="36"/>
      <c r="G892" s="35"/>
      <c r="I892" s="37" t="s">
        <v>211</v>
      </c>
      <c r="J892" s="37"/>
      <c r="K892" s="36" t="str">
        <f>$T$27</f>
        <v>.....................................</v>
      </c>
      <c r="L892" s="35"/>
    </row>
    <row r="893" spans="1:20" ht="16.5" customHeight="1">
      <c r="A893" s="100" t="s">
        <v>278</v>
      </c>
      <c r="B893" s="100"/>
      <c r="C893" s="100"/>
      <c r="D893" s="100"/>
      <c r="E893" s="100"/>
      <c r="F893" s="100" t="str">
        <f>$R$28</f>
        <v>.....................................</v>
      </c>
      <c r="G893" s="100"/>
      <c r="H893" s="100"/>
      <c r="I893" s="100"/>
      <c r="J893" s="100"/>
      <c r="K893" s="100"/>
      <c r="L893" s="100"/>
      <c r="M893" s="100"/>
      <c r="N893" s="100"/>
    </row>
    <row r="894" spans="1:20" ht="16.5" customHeight="1">
      <c r="A894" s="35"/>
      <c r="C894" s="34" t="s">
        <v>279</v>
      </c>
      <c r="D894" s="34"/>
      <c r="E894" s="36" t="str">
        <f>$R$29</f>
        <v>.....................................</v>
      </c>
      <c r="F894" s="36"/>
      <c r="G894" s="35"/>
      <c r="I894" s="37" t="s">
        <v>280</v>
      </c>
      <c r="J894" s="37"/>
      <c r="K894" s="36" t="str">
        <f>$T$29</f>
        <v>.....................................</v>
      </c>
      <c r="L894" s="36"/>
    </row>
    <row r="895" spans="1:20" ht="21.95" customHeight="1">
      <c r="A895" s="35"/>
      <c r="C895" s="34" t="s">
        <v>276</v>
      </c>
      <c r="D895" s="34"/>
      <c r="E895" s="36" t="str">
        <f>$R$30</f>
        <v>CÔNG TY TNHH MTV HANTECH</v>
      </c>
      <c r="F895" s="36"/>
      <c r="G895" s="35"/>
      <c r="I895" s="37" t="s">
        <v>211</v>
      </c>
      <c r="J895" s="37"/>
      <c r="K895" s="36" t="str">
        <f>$T$30</f>
        <v>Công ty TNHH MTV HANTECH</v>
      </c>
      <c r="L895" s="36"/>
    </row>
    <row r="896" spans="1:20" ht="21.95" customHeight="1">
      <c r="A896" s="1488" t="s">
        <v>217</v>
      </c>
      <c r="B896" s="1488"/>
      <c r="C896" s="1488"/>
      <c r="D896" s="1488"/>
      <c r="E896" s="1488"/>
      <c r="F896" s="1488"/>
      <c r="G896" s="1488"/>
      <c r="H896" s="1488"/>
      <c r="I896" s="1488"/>
      <c r="J896" s="1488"/>
      <c r="K896" s="1488"/>
      <c r="L896" s="1488"/>
    </row>
    <row r="897" spans="1:249" ht="21.95" customHeight="1">
      <c r="A897" s="40"/>
      <c r="C897" s="24" t="s">
        <v>219</v>
      </c>
      <c r="D897" s="24"/>
      <c r="E897" s="101">
        <f>$R$19</f>
        <v>0.83333333333333293</v>
      </c>
      <c r="F897" s="1489">
        <f>J880</f>
        <v>42466</v>
      </c>
      <c r="G897" s="1489"/>
      <c r="H897" s="1489"/>
      <c r="I897" s="1489"/>
      <c r="J897" s="1489"/>
      <c r="K897" s="1489"/>
      <c r="L897" s="1489"/>
      <c r="M897" s="24"/>
      <c r="N897" s="24"/>
    </row>
    <row r="898" spans="1:249" ht="21.95" customHeight="1">
      <c r="A898" s="40"/>
      <c r="C898" s="24" t="s">
        <v>162</v>
      </c>
      <c r="D898" s="24"/>
      <c r="E898" s="101">
        <f>$T$19</f>
        <v>0.87499999999999956</v>
      </c>
      <c r="F898" s="1489">
        <f>F897</f>
        <v>42466</v>
      </c>
      <c r="G898" s="1489"/>
      <c r="H898" s="1489"/>
      <c r="I898" s="1489"/>
      <c r="J898" s="1489"/>
      <c r="K898" s="1489"/>
      <c r="L898" s="1489"/>
    </row>
    <row r="899" spans="1:249" ht="24" customHeight="1">
      <c r="C899" s="36" t="s">
        <v>220</v>
      </c>
      <c r="E899" s="36" t="str">
        <f>$R$3</f>
        <v>KHU HỖN HỢP CHUNG CƯ, VĂN PHÒNG, TRUNG TÂM THƯƠNG MẠI VÀ NHÀ Ở KẾT HỢP KHU MUA SẮM</v>
      </c>
      <c r="F899" s="30"/>
      <c r="G899" s="30"/>
      <c r="H899" s="30"/>
      <c r="I899" s="30"/>
      <c r="J899" s="30"/>
      <c r="K899" s="30"/>
      <c r="L899" s="30"/>
    </row>
    <row r="900" spans="1:249" ht="21.95" customHeight="1">
      <c r="C900" s="36" t="s">
        <v>221</v>
      </c>
      <c r="E900" s="36" t="str">
        <f>$R$4</f>
        <v>P. BẠCH ĐẰNG, TP. HẠ LONG, TỈNH QUẢNG NINH</v>
      </c>
      <c r="F900" s="30"/>
      <c r="G900" s="30"/>
      <c r="H900" s="30"/>
      <c r="I900" s="30"/>
      <c r="J900" s="30"/>
      <c r="K900" s="30"/>
      <c r="L900" s="30"/>
    </row>
    <row r="901" spans="1:249" ht="30.75" customHeight="1">
      <c r="A901" s="1488" t="s">
        <v>222</v>
      </c>
      <c r="B901" s="1488"/>
      <c r="C901" s="1488"/>
      <c r="D901" s="1488"/>
      <c r="E901" s="1488"/>
      <c r="F901" s="1488"/>
      <c r="G901" s="1488"/>
      <c r="H901" s="1488"/>
      <c r="I901" s="1488"/>
      <c r="J901" s="1488"/>
      <c r="K901" s="1488"/>
      <c r="L901" s="1488"/>
    </row>
    <row r="902" spans="1:249" ht="33.75" customHeight="1">
      <c r="A902" s="1491" t="s">
        <v>223</v>
      </c>
      <c r="B902" s="1491"/>
      <c r="C902" s="1491"/>
      <c r="D902" s="1491"/>
      <c r="E902" s="1491"/>
      <c r="F902" s="1491"/>
      <c r="G902" s="1491"/>
      <c r="H902" s="1491"/>
      <c r="I902" s="1491"/>
      <c r="J902" s="1491"/>
      <c r="K902" s="1491"/>
      <c r="L902" s="1491"/>
      <c r="M902" s="1491"/>
      <c r="N902" s="1491"/>
    </row>
    <row r="903" spans="1:249" ht="16.5">
      <c r="A903" s="1490" t="s">
        <v>224</v>
      </c>
      <c r="B903" s="1490"/>
      <c r="C903" s="1490"/>
      <c r="D903" s="1490"/>
      <c r="E903" s="1490"/>
      <c r="F903" s="1490"/>
      <c r="G903" s="1490"/>
      <c r="H903" s="1490"/>
      <c r="I903" s="1490"/>
      <c r="J903" s="1490"/>
      <c r="K903" s="1490"/>
      <c r="L903" s="1490"/>
      <c r="M903" s="1490"/>
      <c r="N903" s="1490"/>
      <c r="O903" s="5"/>
      <c r="P903" s="5"/>
    </row>
    <row r="904" spans="1:249" ht="21.95" customHeight="1">
      <c r="A904" s="5"/>
      <c r="B904" s="36" t="s">
        <v>226</v>
      </c>
      <c r="C904" s="36"/>
      <c r="D904" s="36"/>
      <c r="E904" s="36"/>
      <c r="F904" s="36"/>
      <c r="G904" s="36"/>
      <c r="H904" s="36"/>
      <c r="I904" s="36"/>
      <c r="J904" s="36"/>
      <c r="K904" s="36"/>
      <c r="L904" s="36"/>
      <c r="M904" s="36"/>
      <c r="N904" s="36"/>
      <c r="O904" s="5"/>
      <c r="P904" s="5"/>
    </row>
    <row r="905" spans="1:249" s="5" customFormat="1" ht="16.5">
      <c r="B905" s="36" t="s">
        <v>227</v>
      </c>
      <c r="C905" s="36"/>
      <c r="D905" s="36"/>
      <c r="E905" s="36"/>
      <c r="F905" s="36"/>
      <c r="G905" s="36"/>
      <c r="H905" s="36"/>
      <c r="I905" s="36"/>
      <c r="J905" s="36"/>
      <c r="K905" s="36"/>
      <c r="L905" s="36"/>
      <c r="M905" s="36"/>
      <c r="N905" s="36"/>
      <c r="O905" s="44"/>
      <c r="P905" s="44"/>
      <c r="Q905" s="129"/>
      <c r="R905" s="129"/>
      <c r="S905" s="129"/>
      <c r="T905" s="129"/>
      <c r="U905" s="127"/>
      <c r="V905" s="127"/>
      <c r="W905" s="127"/>
      <c r="X905" s="127"/>
      <c r="Y905" s="127"/>
      <c r="Z905" s="127"/>
      <c r="AA905" s="127"/>
      <c r="AB905" s="127"/>
      <c r="AC905" s="127"/>
      <c r="AD905" s="127"/>
      <c r="AE905" s="127"/>
      <c r="AF905" s="127"/>
    </row>
    <row r="906" spans="1:249" s="5" customFormat="1" ht="21.95" customHeight="1">
      <c r="B906" s="36" t="s">
        <v>228</v>
      </c>
      <c r="C906" s="36"/>
      <c r="D906" s="36"/>
      <c r="E906" s="36"/>
      <c r="F906" s="36"/>
      <c r="G906" s="36"/>
      <c r="H906" s="36"/>
      <c r="I906" s="36"/>
      <c r="J906" s="36"/>
      <c r="K906" s="36"/>
      <c r="L906" s="36"/>
      <c r="M906" s="36"/>
      <c r="N906" s="36"/>
      <c r="O906" s="44"/>
      <c r="P906" s="44"/>
      <c r="Q906" s="129"/>
      <c r="R906" s="129"/>
      <c r="S906" s="129"/>
      <c r="T906" s="129"/>
      <c r="U906" s="127"/>
      <c r="V906" s="127"/>
      <c r="W906" s="127"/>
      <c r="X906" s="127"/>
      <c r="Y906" s="127"/>
      <c r="Z906" s="127"/>
      <c r="AA906" s="127"/>
      <c r="AB906" s="127"/>
      <c r="AC906" s="127"/>
      <c r="AD906" s="127"/>
      <c r="AE906" s="127"/>
      <c r="AF906" s="127"/>
    </row>
    <row r="907" spans="1:249" s="5" customFormat="1" ht="24" customHeight="1">
      <c r="B907" s="36" t="s">
        <v>290</v>
      </c>
      <c r="C907" s="36"/>
      <c r="D907" s="36"/>
      <c r="E907" s="36"/>
      <c r="F907" s="36"/>
      <c r="G907" s="36"/>
      <c r="H907" s="36"/>
      <c r="I907" s="36"/>
      <c r="J907" s="36"/>
      <c r="K907" s="36"/>
      <c r="L907" s="36"/>
      <c r="M907" s="36"/>
      <c r="N907" s="36"/>
      <c r="O907" s="44"/>
      <c r="P907" s="44"/>
      <c r="Q907" s="44"/>
      <c r="R907" s="44"/>
      <c r="S907" s="44"/>
      <c r="T907" s="44"/>
      <c r="U907" s="44"/>
      <c r="V907" s="44"/>
      <c r="W907" s="44"/>
      <c r="X907" s="44"/>
      <c r="Y907" s="44"/>
      <c r="Z907" s="44"/>
      <c r="AA907" s="44"/>
      <c r="AB907" s="44"/>
      <c r="AC907" s="44"/>
      <c r="AD907" s="1490"/>
      <c r="AE907" s="1490"/>
      <c r="AF907" s="1490"/>
      <c r="AG907" s="1490"/>
      <c r="AH907" s="1490"/>
      <c r="AI907" s="1490"/>
      <c r="AJ907" s="1490"/>
      <c r="AK907" s="1490"/>
      <c r="AL907" s="1490"/>
      <c r="AM907" s="1490"/>
      <c r="AN907" s="1490"/>
      <c r="AO907" s="1490"/>
      <c r="AP907" s="1490"/>
      <c r="AQ907" s="1490"/>
      <c r="AR907" s="1490"/>
      <c r="AS907" s="1490"/>
      <c r="AT907" s="1490"/>
      <c r="AU907" s="1490"/>
      <c r="AV907" s="1490"/>
      <c r="AW907" s="1490"/>
      <c r="AX907" s="1490"/>
      <c r="AY907" s="1490"/>
      <c r="AZ907" s="1490"/>
      <c r="BA907" s="1490"/>
      <c r="BB907" s="1490"/>
      <c r="BC907" s="1490"/>
      <c r="BD907" s="1490"/>
      <c r="BE907" s="1490"/>
      <c r="BF907" s="1490"/>
      <c r="BG907" s="1490"/>
      <c r="BH907" s="1490"/>
      <c r="BI907" s="1490"/>
      <c r="BJ907" s="1490"/>
      <c r="BK907" s="1490"/>
      <c r="BL907" s="1490"/>
      <c r="BM907" s="1490"/>
      <c r="BN907" s="1490"/>
      <c r="BO907" s="1490"/>
      <c r="BP907" s="1490"/>
      <c r="BQ907" s="1490"/>
      <c r="BR907" s="1490"/>
      <c r="BS907" s="1490"/>
      <c r="BT907" s="1490"/>
      <c r="BU907" s="1490"/>
      <c r="BV907" s="1490"/>
      <c r="BW907" s="1490"/>
      <c r="BX907" s="1490"/>
      <c r="BY907" s="1490"/>
      <c r="BZ907" s="1490"/>
      <c r="CA907" s="1490"/>
      <c r="CB907" s="1490"/>
      <c r="CC907" s="1490"/>
      <c r="CD907" s="1490"/>
      <c r="CE907" s="1490"/>
      <c r="CF907" s="1490"/>
      <c r="CG907" s="1490"/>
      <c r="CH907" s="1490"/>
      <c r="CI907" s="1490"/>
      <c r="CJ907" s="1490"/>
      <c r="CK907" s="1490"/>
      <c r="CL907" s="1490"/>
      <c r="CM907" s="1490"/>
      <c r="CN907" s="1490"/>
      <c r="CO907" s="1490"/>
      <c r="CP907" s="1490"/>
      <c r="CQ907" s="1490"/>
      <c r="CR907" s="1490"/>
      <c r="CS907" s="1490"/>
      <c r="CT907" s="1490"/>
      <c r="CU907" s="1490"/>
      <c r="CV907" s="1490"/>
      <c r="CW907" s="1490"/>
      <c r="CX907" s="1490"/>
      <c r="CY907" s="1490"/>
      <c r="CZ907" s="1490"/>
      <c r="DA907" s="1490"/>
      <c r="DB907" s="1490"/>
      <c r="DC907" s="1490"/>
      <c r="DD907" s="1490"/>
      <c r="DE907" s="1490"/>
      <c r="DF907" s="1490"/>
      <c r="DG907" s="1490"/>
      <c r="DH907" s="1490"/>
      <c r="DI907" s="1490"/>
      <c r="DJ907" s="1490"/>
      <c r="DK907" s="1490"/>
      <c r="DL907" s="1490"/>
      <c r="DM907" s="1490"/>
      <c r="DN907" s="1490"/>
      <c r="DO907" s="1490"/>
      <c r="DP907" s="1490"/>
      <c r="DQ907" s="1490"/>
      <c r="DR907" s="1490"/>
      <c r="DS907" s="1490"/>
      <c r="DT907" s="1490"/>
      <c r="DU907" s="1490"/>
      <c r="DV907" s="1490"/>
      <c r="DW907" s="1490"/>
      <c r="DX907" s="1490"/>
      <c r="DY907" s="1490"/>
      <c r="DZ907" s="1490"/>
      <c r="EA907" s="1490"/>
      <c r="EB907" s="1490"/>
      <c r="EC907" s="1490"/>
      <c r="ED907" s="1490"/>
      <c r="EE907" s="1490"/>
      <c r="EF907" s="1490"/>
      <c r="EG907" s="1490"/>
      <c r="EH907" s="1490"/>
      <c r="EI907" s="1490"/>
      <c r="EJ907" s="1490"/>
      <c r="EK907" s="1490"/>
      <c r="EL907" s="1490"/>
      <c r="EM907" s="1490"/>
      <c r="EN907" s="1490"/>
      <c r="EO907" s="1490"/>
      <c r="EP907" s="1490"/>
      <c r="EQ907" s="1490"/>
      <c r="ER907" s="1490"/>
      <c r="ES907" s="1490"/>
      <c r="ET907" s="1490"/>
      <c r="EU907" s="1490"/>
      <c r="EV907" s="1490"/>
      <c r="EW907" s="1490"/>
      <c r="EX907" s="1490"/>
      <c r="EY907" s="1490"/>
      <c r="EZ907" s="1490"/>
      <c r="FA907" s="1490"/>
      <c r="FB907" s="1490"/>
      <c r="FC907" s="1490"/>
      <c r="FD907" s="1490"/>
      <c r="FE907" s="1490"/>
      <c r="FF907" s="1490"/>
      <c r="FG907" s="1490"/>
      <c r="FH907" s="1490"/>
      <c r="FI907" s="1490"/>
      <c r="FJ907" s="1490"/>
      <c r="FK907" s="1490"/>
      <c r="FL907" s="1490"/>
      <c r="FM907" s="1490"/>
      <c r="FN907" s="1490"/>
      <c r="FO907" s="1490"/>
      <c r="FP907" s="1490"/>
      <c r="FQ907" s="1490"/>
      <c r="FR907" s="1490"/>
      <c r="FS907" s="1490"/>
      <c r="FT907" s="1490"/>
      <c r="FU907" s="1490"/>
      <c r="FV907" s="1490"/>
      <c r="FW907" s="1490"/>
      <c r="FX907" s="1490"/>
      <c r="FY907" s="1490"/>
      <c r="FZ907" s="1490"/>
      <c r="GA907" s="1490"/>
      <c r="GB907" s="1490"/>
      <c r="GC907" s="1490"/>
      <c r="GD907" s="1490"/>
      <c r="GE907" s="1490"/>
      <c r="GF907" s="1490"/>
      <c r="GG907" s="1490"/>
      <c r="GH907" s="1490"/>
      <c r="GI907" s="1490"/>
      <c r="GJ907" s="1490"/>
      <c r="GK907" s="1490"/>
      <c r="GL907" s="1490"/>
      <c r="GM907" s="1490"/>
      <c r="GN907" s="1490"/>
      <c r="GO907" s="1490"/>
      <c r="GP907" s="1490"/>
      <c r="GQ907" s="1490"/>
      <c r="GR907" s="1490"/>
      <c r="GS907" s="1490"/>
      <c r="GT907" s="1490"/>
      <c r="GU907" s="1490"/>
      <c r="GV907" s="1490"/>
      <c r="GW907" s="1490"/>
      <c r="GX907" s="1490"/>
      <c r="GY907" s="1490"/>
      <c r="GZ907" s="1490"/>
      <c r="HA907" s="1490"/>
      <c r="HB907" s="1490"/>
      <c r="HC907" s="1490"/>
      <c r="HD907" s="1490"/>
      <c r="HE907" s="1490"/>
      <c r="HF907" s="1490"/>
      <c r="HG907" s="1490"/>
      <c r="HH907" s="1490"/>
      <c r="HI907" s="1490"/>
      <c r="HJ907" s="1490"/>
      <c r="HK907" s="1490"/>
      <c r="HL907" s="1490"/>
      <c r="HM907" s="1490"/>
      <c r="HN907" s="1490"/>
      <c r="HO907" s="1490"/>
      <c r="HP907" s="1490"/>
      <c r="HQ907" s="1490"/>
      <c r="HR907" s="1490"/>
      <c r="HS907" s="1490"/>
      <c r="HT907" s="1490"/>
      <c r="HU907" s="1490"/>
      <c r="HV907" s="1490"/>
      <c r="HW907" s="1490"/>
      <c r="HX907" s="1490"/>
      <c r="HY907" s="1490"/>
      <c r="HZ907" s="1490"/>
      <c r="IA907" s="1490"/>
      <c r="IB907" s="1490"/>
      <c r="IC907" s="1490"/>
      <c r="ID907" s="1490"/>
      <c r="IE907" s="1490"/>
      <c r="IF907" s="1490"/>
      <c r="IG907" s="1490"/>
      <c r="IH907" s="1490"/>
      <c r="II907" s="1490"/>
      <c r="IJ907" s="1490"/>
      <c r="IK907" s="1490"/>
      <c r="IL907" s="1490"/>
      <c r="IM907" s="1490"/>
      <c r="IN907" s="1490"/>
      <c r="IO907" s="44"/>
    </row>
    <row r="908" spans="1:249" s="5" customFormat="1" ht="24" customHeight="1">
      <c r="A908" s="45"/>
      <c r="B908" s="46" t="s">
        <v>229</v>
      </c>
      <c r="C908" s="46"/>
      <c r="D908" s="46"/>
      <c r="E908" s="46"/>
      <c r="F908" s="46"/>
      <c r="G908" s="46"/>
      <c r="H908" s="46"/>
      <c r="I908" s="46"/>
      <c r="J908" s="46"/>
      <c r="K908" s="46"/>
      <c r="L908" s="46"/>
      <c r="M908" s="46"/>
      <c r="N908" s="46"/>
      <c r="O908" s="47"/>
      <c r="P908" s="47"/>
      <c r="Q908" s="44"/>
      <c r="R908" s="44"/>
      <c r="S908" s="44"/>
      <c r="T908" s="44"/>
      <c r="U908" s="44"/>
      <c r="V908" s="44"/>
      <c r="W908" s="44"/>
      <c r="X908" s="44"/>
      <c r="Y908" s="44"/>
      <c r="Z908" s="44"/>
      <c r="AA908" s="44"/>
      <c r="AB908" s="44"/>
      <c r="AC908" s="44"/>
      <c r="AD908" s="1490"/>
      <c r="AE908" s="1490"/>
      <c r="AF908" s="1490"/>
      <c r="AG908" s="1490"/>
      <c r="AH908" s="1490"/>
      <c r="AI908" s="1490"/>
      <c r="AJ908" s="1490"/>
      <c r="AK908" s="1490"/>
      <c r="AL908" s="1490"/>
      <c r="AM908" s="1490"/>
      <c r="AN908" s="1490"/>
      <c r="AO908" s="1490"/>
      <c r="AP908" s="1490"/>
      <c r="AQ908" s="1490"/>
      <c r="AR908" s="1490"/>
      <c r="AS908" s="1490"/>
      <c r="AT908" s="1490"/>
      <c r="AU908" s="1490"/>
      <c r="AV908" s="1490"/>
      <c r="AW908" s="1490"/>
      <c r="AX908" s="1490"/>
      <c r="AY908" s="1490"/>
      <c r="AZ908" s="1490"/>
      <c r="BA908" s="1490"/>
      <c r="BB908" s="1490"/>
      <c r="BC908" s="1490"/>
      <c r="BD908" s="1490"/>
      <c r="BE908" s="1490"/>
      <c r="BF908" s="1490"/>
      <c r="BG908" s="1490"/>
      <c r="BH908" s="1490"/>
      <c r="BI908" s="1490"/>
      <c r="BJ908" s="1490"/>
      <c r="BK908" s="1490"/>
      <c r="BL908" s="1490"/>
      <c r="BM908" s="1490"/>
      <c r="BN908" s="1490"/>
      <c r="BO908" s="1490"/>
      <c r="BP908" s="1490"/>
      <c r="BQ908" s="1490"/>
      <c r="BR908" s="1490"/>
      <c r="BS908" s="1490"/>
      <c r="BT908" s="1490"/>
      <c r="BU908" s="1490"/>
      <c r="BV908" s="1490"/>
      <c r="BW908" s="1490"/>
      <c r="BX908" s="1490"/>
      <c r="BY908" s="1490"/>
      <c r="BZ908" s="1490"/>
      <c r="CA908" s="1490"/>
      <c r="CB908" s="1490"/>
      <c r="CC908" s="1490"/>
      <c r="CD908" s="1490"/>
      <c r="CE908" s="1490"/>
      <c r="CF908" s="1490"/>
      <c r="CG908" s="1490"/>
      <c r="CH908" s="1490"/>
      <c r="CI908" s="1490"/>
      <c r="CJ908" s="1490"/>
      <c r="CK908" s="1490"/>
      <c r="CL908" s="1490"/>
      <c r="CM908" s="1490"/>
      <c r="CN908" s="1490"/>
      <c r="CO908" s="1490"/>
      <c r="CP908" s="1490"/>
      <c r="CQ908" s="1490"/>
      <c r="CR908" s="1490"/>
      <c r="CS908" s="1490"/>
      <c r="CT908" s="1490"/>
      <c r="CU908" s="1490"/>
      <c r="CV908" s="1490"/>
      <c r="CW908" s="1490"/>
      <c r="CX908" s="1490"/>
      <c r="CY908" s="1490"/>
      <c r="CZ908" s="1490"/>
      <c r="DA908" s="1490"/>
      <c r="DB908" s="1490"/>
      <c r="DC908" s="1490"/>
      <c r="DD908" s="1490"/>
      <c r="DE908" s="1490"/>
      <c r="DF908" s="1490"/>
      <c r="DG908" s="1490"/>
      <c r="DH908" s="1490"/>
      <c r="DI908" s="1490"/>
      <c r="DJ908" s="1490"/>
      <c r="DK908" s="1490"/>
      <c r="DL908" s="1490"/>
      <c r="DM908" s="1490"/>
      <c r="DN908" s="1490"/>
      <c r="DO908" s="1490"/>
      <c r="DP908" s="1490"/>
      <c r="DQ908" s="1490"/>
      <c r="DR908" s="1490"/>
      <c r="DS908" s="1490"/>
      <c r="DT908" s="1490"/>
      <c r="DU908" s="1490"/>
      <c r="DV908" s="1490"/>
      <c r="DW908" s="1490"/>
      <c r="DX908" s="1490"/>
      <c r="DY908" s="1490"/>
      <c r="DZ908" s="1490"/>
      <c r="EA908" s="1490"/>
      <c r="EB908" s="1490"/>
      <c r="EC908" s="1490"/>
      <c r="ED908" s="1490"/>
      <c r="EE908" s="1490"/>
      <c r="EF908" s="1490"/>
      <c r="EG908" s="1490"/>
      <c r="EH908" s="1490"/>
      <c r="EI908" s="1490"/>
      <c r="EJ908" s="1490"/>
      <c r="EK908" s="1490"/>
      <c r="EL908" s="1490"/>
      <c r="EM908" s="1490"/>
      <c r="EN908" s="1490"/>
      <c r="EO908" s="1490"/>
      <c r="EP908" s="1490"/>
      <c r="EQ908" s="1490"/>
      <c r="ER908" s="1490"/>
      <c r="ES908" s="1490"/>
      <c r="ET908" s="1490"/>
      <c r="EU908" s="1490"/>
      <c r="EV908" s="1490"/>
      <c r="EW908" s="1490"/>
      <c r="EX908" s="1490"/>
      <c r="EY908" s="1490"/>
      <c r="EZ908" s="1490"/>
      <c r="FA908" s="1490"/>
      <c r="FB908" s="1490"/>
      <c r="FC908" s="1490"/>
      <c r="FD908" s="1490"/>
      <c r="FE908" s="1490"/>
      <c r="FF908" s="1490"/>
      <c r="FG908" s="1490"/>
      <c r="FH908" s="1490"/>
      <c r="FI908" s="1490"/>
      <c r="FJ908" s="1490"/>
      <c r="FK908" s="1490"/>
      <c r="FL908" s="1490"/>
      <c r="FM908" s="1490"/>
      <c r="FN908" s="1490"/>
      <c r="FO908" s="1490"/>
      <c r="FP908" s="1490"/>
      <c r="FQ908" s="1490"/>
      <c r="FR908" s="1490"/>
      <c r="FS908" s="1490"/>
      <c r="FT908" s="1490"/>
      <c r="FU908" s="1490"/>
      <c r="FV908" s="1490"/>
      <c r="FW908" s="1490"/>
      <c r="FX908" s="1490"/>
      <c r="FY908" s="1490"/>
      <c r="FZ908" s="1490"/>
      <c r="GA908" s="1490"/>
      <c r="GB908" s="1490"/>
      <c r="GC908" s="1490"/>
      <c r="GD908" s="1490"/>
      <c r="GE908" s="1490"/>
      <c r="GF908" s="1490"/>
      <c r="GG908" s="1490"/>
      <c r="GH908" s="1490"/>
      <c r="GI908" s="1490"/>
      <c r="GJ908" s="1490"/>
      <c r="GK908" s="1490"/>
      <c r="GL908" s="1490"/>
      <c r="GM908" s="1490"/>
      <c r="GN908" s="1490"/>
      <c r="GO908" s="1490"/>
      <c r="GP908" s="1490"/>
      <c r="GQ908" s="1490"/>
      <c r="GR908" s="1490"/>
      <c r="GS908" s="1490"/>
      <c r="GT908" s="1490"/>
      <c r="GU908" s="1490"/>
      <c r="GV908" s="1490"/>
      <c r="GW908" s="1490"/>
      <c r="GX908" s="1490"/>
      <c r="GY908" s="1490"/>
      <c r="GZ908" s="1490"/>
      <c r="HA908" s="1490"/>
      <c r="HB908" s="1490"/>
      <c r="HC908" s="1490"/>
      <c r="HD908" s="1490"/>
      <c r="HE908" s="1490"/>
      <c r="HF908" s="1490"/>
      <c r="HG908" s="1490"/>
      <c r="HH908" s="1490"/>
      <c r="HI908" s="1490"/>
      <c r="HJ908" s="1490"/>
      <c r="HK908" s="1490"/>
      <c r="HL908" s="1490"/>
      <c r="HM908" s="1490"/>
      <c r="HN908" s="1490"/>
      <c r="HO908" s="1490"/>
      <c r="HP908" s="1490"/>
      <c r="HQ908" s="1490"/>
      <c r="HR908" s="1490"/>
      <c r="HS908" s="1490"/>
      <c r="HT908" s="1490"/>
      <c r="HU908" s="1490"/>
      <c r="HV908" s="1490"/>
      <c r="HW908" s="1490"/>
      <c r="HX908" s="1490"/>
      <c r="HY908" s="1490"/>
      <c r="HZ908" s="1490"/>
      <c r="IA908" s="1490"/>
      <c r="IB908" s="1490"/>
      <c r="IC908" s="1490"/>
      <c r="ID908" s="1490"/>
      <c r="IE908" s="1490"/>
      <c r="IF908" s="1490"/>
      <c r="IG908" s="1490"/>
      <c r="IH908" s="1490"/>
      <c r="II908" s="1490"/>
      <c r="IJ908" s="1490"/>
      <c r="IK908" s="1490"/>
      <c r="IL908" s="1490"/>
      <c r="IM908" s="1490"/>
      <c r="IN908" s="1490"/>
      <c r="IO908" s="44"/>
    </row>
    <row r="909" spans="1:249" s="5" customFormat="1" ht="24" customHeight="1">
      <c r="A909" s="1490" t="s">
        <v>231</v>
      </c>
      <c r="B909" s="1490"/>
      <c r="C909" s="1490"/>
      <c r="D909" s="1490"/>
      <c r="E909" s="1490"/>
      <c r="F909" s="1490"/>
      <c r="G909" s="1490"/>
      <c r="H909" s="1490"/>
      <c r="I909" s="1490"/>
      <c r="J909" s="1490"/>
      <c r="K909" s="1490"/>
      <c r="L909" s="1490"/>
      <c r="M909" s="1490"/>
      <c r="N909" s="1490"/>
      <c r="O909" s="44"/>
      <c r="P909" s="44"/>
      <c r="Q909" s="102"/>
      <c r="R909" s="102"/>
      <c r="S909" s="102"/>
      <c r="T909" s="102"/>
      <c r="U909" s="44"/>
      <c r="V909" s="44"/>
      <c r="W909" s="44"/>
      <c r="X909" s="44"/>
      <c r="Y909" s="44"/>
      <c r="Z909" s="44"/>
      <c r="AA909" s="44"/>
      <c r="AB909" s="44"/>
      <c r="AC909" s="44"/>
      <c r="AD909" s="44"/>
      <c r="AE909" s="44"/>
      <c r="AF909" s="44"/>
      <c r="AG909" s="44"/>
      <c r="AH909" s="44"/>
      <c r="AI909" s="44"/>
      <c r="AJ909" s="44"/>
      <c r="AK909" s="44"/>
      <c r="AL909" s="44"/>
      <c r="AM909" s="44"/>
      <c r="AN909" s="44"/>
      <c r="AO909" s="44"/>
      <c r="AP909" s="44"/>
      <c r="AQ909" s="44"/>
      <c r="AR909" s="44"/>
      <c r="AS909" s="44"/>
      <c r="AT909" s="44"/>
      <c r="AU909" s="44"/>
      <c r="AV909" s="44"/>
      <c r="AW909" s="44"/>
      <c r="AX909" s="44"/>
      <c r="AY909" s="44"/>
      <c r="AZ909" s="44"/>
      <c r="BA909" s="44"/>
      <c r="BB909" s="44"/>
      <c r="BC909" s="44"/>
      <c r="BD909" s="44"/>
      <c r="BE909" s="44"/>
      <c r="BF909" s="44"/>
      <c r="BG909" s="44"/>
      <c r="BH909" s="44"/>
      <c r="BI909" s="44"/>
      <c r="BJ909" s="44"/>
      <c r="BK909" s="44"/>
      <c r="BL909" s="44"/>
      <c r="BM909" s="44"/>
      <c r="BN909" s="44"/>
      <c r="BO909" s="44"/>
      <c r="BP909" s="44"/>
      <c r="BQ909" s="44"/>
      <c r="BR909" s="44"/>
      <c r="BS909" s="44"/>
      <c r="BT909" s="44"/>
      <c r="BU909" s="44"/>
      <c r="BV909" s="44"/>
      <c r="BW909" s="44"/>
      <c r="BX909" s="44"/>
      <c r="BY909" s="44"/>
      <c r="BZ909" s="44"/>
      <c r="CA909" s="44"/>
      <c r="CB909" s="44"/>
      <c r="CC909" s="44"/>
      <c r="CD909" s="44"/>
      <c r="CE909" s="44"/>
      <c r="CF909" s="44"/>
      <c r="CG909" s="44"/>
      <c r="CH909" s="44"/>
      <c r="CI909" s="44"/>
      <c r="CJ909" s="44"/>
      <c r="CK909" s="44"/>
      <c r="CL909" s="44"/>
      <c r="CM909" s="44"/>
      <c r="CN909" s="44"/>
      <c r="CO909" s="44"/>
      <c r="CP909" s="44"/>
      <c r="CQ909" s="44"/>
      <c r="CR909" s="44"/>
      <c r="CS909" s="44"/>
      <c r="CT909" s="44"/>
      <c r="CU909" s="44"/>
      <c r="CV909" s="44"/>
      <c r="CW909" s="44"/>
      <c r="CX909" s="44"/>
      <c r="CY909" s="44"/>
      <c r="CZ909" s="44"/>
      <c r="DA909" s="44"/>
      <c r="DB909" s="44"/>
      <c r="DC909" s="44"/>
      <c r="DD909" s="44"/>
      <c r="DE909" s="44"/>
      <c r="DF909" s="44"/>
      <c r="DG909" s="44"/>
      <c r="DH909" s="44"/>
      <c r="DI909" s="44"/>
      <c r="DJ909" s="44"/>
      <c r="DK909" s="44"/>
      <c r="DL909" s="44"/>
      <c r="DM909" s="44"/>
      <c r="DN909" s="44"/>
      <c r="DO909" s="44"/>
      <c r="DP909" s="44"/>
      <c r="DQ909" s="44"/>
      <c r="DR909" s="44"/>
      <c r="DS909" s="44"/>
      <c r="DT909" s="44"/>
      <c r="DU909" s="44"/>
      <c r="DV909" s="44"/>
      <c r="DW909" s="44"/>
      <c r="DX909" s="44"/>
      <c r="DY909" s="44"/>
      <c r="DZ909" s="44"/>
      <c r="EA909" s="44"/>
      <c r="EB909" s="44"/>
      <c r="EC909" s="44"/>
      <c r="ED909" s="44"/>
      <c r="EE909" s="44"/>
      <c r="EF909" s="44"/>
      <c r="EG909" s="44"/>
      <c r="EH909" s="44"/>
      <c r="EI909" s="44"/>
      <c r="EJ909" s="44"/>
      <c r="EK909" s="44"/>
      <c r="EL909" s="44"/>
      <c r="EM909" s="44"/>
      <c r="EN909" s="44"/>
      <c r="EO909" s="44"/>
      <c r="EP909" s="44"/>
      <c r="EQ909" s="44"/>
      <c r="ER909" s="44"/>
      <c r="ES909" s="44"/>
      <c r="ET909" s="44"/>
      <c r="EU909" s="44"/>
      <c r="EV909" s="44"/>
      <c r="EW909" s="44"/>
      <c r="EX909" s="44"/>
      <c r="EY909" s="44"/>
      <c r="EZ909" s="44"/>
      <c r="FA909" s="44"/>
      <c r="FB909" s="44"/>
      <c r="FC909" s="44"/>
      <c r="FD909" s="44"/>
      <c r="FE909" s="44"/>
      <c r="FF909" s="44"/>
      <c r="FG909" s="44"/>
      <c r="FH909" s="44"/>
      <c r="FI909" s="44"/>
      <c r="FJ909" s="44"/>
      <c r="FK909" s="44"/>
      <c r="FL909" s="44"/>
      <c r="FM909" s="44"/>
      <c r="FN909" s="44"/>
      <c r="FO909" s="44"/>
      <c r="FP909" s="44"/>
      <c r="FQ909" s="44"/>
      <c r="FR909" s="44"/>
      <c r="FS909" s="44"/>
      <c r="FT909" s="44"/>
      <c r="FU909" s="44"/>
      <c r="FV909" s="44"/>
      <c r="FW909" s="44"/>
      <c r="FX909" s="44"/>
      <c r="FY909" s="44"/>
      <c r="FZ909" s="44"/>
      <c r="GA909" s="44"/>
      <c r="GB909" s="44"/>
      <c r="GC909" s="44"/>
      <c r="GD909" s="44"/>
      <c r="GE909" s="44"/>
      <c r="GF909" s="44"/>
      <c r="GG909" s="44"/>
      <c r="GH909" s="44"/>
      <c r="GI909" s="44"/>
      <c r="GJ909" s="44"/>
      <c r="GK909" s="44"/>
      <c r="GL909" s="44"/>
      <c r="GM909" s="44"/>
      <c r="GN909" s="44"/>
      <c r="GO909" s="44"/>
      <c r="GP909" s="44"/>
      <c r="GQ909" s="44"/>
      <c r="GR909" s="44"/>
      <c r="GS909" s="44"/>
      <c r="GT909" s="44"/>
      <c r="GU909" s="44"/>
      <c r="GV909" s="44"/>
      <c r="GW909" s="44"/>
      <c r="GX909" s="44"/>
      <c r="GY909" s="44"/>
      <c r="GZ909" s="44"/>
      <c r="HA909" s="44"/>
      <c r="HB909" s="44"/>
      <c r="HC909" s="44"/>
      <c r="HD909" s="44"/>
      <c r="HE909" s="44"/>
      <c r="HF909" s="44"/>
      <c r="HG909" s="44"/>
      <c r="HH909" s="44"/>
      <c r="HI909" s="44"/>
      <c r="HJ909" s="44"/>
      <c r="HK909" s="44"/>
      <c r="HL909" s="44"/>
      <c r="HM909" s="44"/>
      <c r="HN909" s="44"/>
      <c r="HO909" s="44"/>
      <c r="HP909" s="44"/>
      <c r="HQ909" s="44"/>
      <c r="HR909" s="44"/>
      <c r="HS909" s="44"/>
      <c r="HT909" s="44"/>
      <c r="HU909" s="44"/>
      <c r="HV909" s="44"/>
      <c r="HW909" s="44"/>
      <c r="HX909" s="44"/>
      <c r="HY909" s="44"/>
      <c r="HZ909" s="44"/>
      <c r="IA909" s="44"/>
      <c r="IB909" s="44"/>
      <c r="IC909" s="44"/>
      <c r="ID909" s="44"/>
      <c r="IE909" s="44"/>
      <c r="IF909" s="44"/>
      <c r="IG909" s="44"/>
      <c r="IH909" s="44"/>
      <c r="II909" s="44"/>
      <c r="IJ909" s="44"/>
      <c r="IK909" s="44"/>
      <c r="IL909" s="44"/>
      <c r="IM909" s="44"/>
      <c r="IN909" s="44"/>
      <c r="IO909" s="44"/>
    </row>
    <row r="910" spans="1:249" s="45" customFormat="1" ht="21.95" customHeight="1">
      <c r="A910" s="1495" t="s">
        <v>232</v>
      </c>
      <c r="B910" s="1495"/>
      <c r="C910" s="1495"/>
      <c r="D910" s="1495"/>
      <c r="E910" s="1495"/>
      <c r="F910" s="1495"/>
      <c r="G910" s="1495"/>
      <c r="H910" s="1495"/>
      <c r="I910" s="1495"/>
      <c r="J910" s="1495"/>
      <c r="K910" s="1495"/>
      <c r="L910" s="1495"/>
      <c r="M910" s="1495"/>
      <c r="N910" s="1495"/>
      <c r="O910" s="44"/>
      <c r="P910" s="44"/>
      <c r="Q910" s="103"/>
      <c r="R910" s="103"/>
      <c r="S910" s="103"/>
      <c r="T910" s="103"/>
      <c r="U910" s="47"/>
      <c r="V910" s="47"/>
      <c r="W910" s="47"/>
      <c r="X910" s="47"/>
      <c r="Y910" s="47"/>
      <c r="Z910" s="47"/>
      <c r="AA910" s="47"/>
      <c r="AB910" s="47"/>
      <c r="AC910" s="47"/>
      <c r="AD910" s="47"/>
      <c r="AE910" s="47"/>
      <c r="AF910" s="47"/>
      <c r="AG910" s="47"/>
      <c r="AH910" s="47"/>
      <c r="AI910" s="47"/>
      <c r="AJ910" s="47"/>
      <c r="AK910" s="47"/>
      <c r="AL910" s="47"/>
      <c r="AM910" s="47"/>
      <c r="AN910" s="47"/>
      <c r="AO910" s="47"/>
      <c r="AP910" s="47"/>
      <c r="AQ910" s="47"/>
      <c r="AR910" s="47"/>
      <c r="AS910" s="47"/>
      <c r="AT910" s="47"/>
      <c r="AU910" s="47"/>
      <c r="AV910" s="47"/>
      <c r="AW910" s="47"/>
      <c r="AX910" s="47"/>
      <c r="AY910" s="47"/>
      <c r="AZ910" s="47"/>
      <c r="BA910" s="47"/>
      <c r="BB910" s="47"/>
      <c r="BC910" s="47"/>
      <c r="BD910" s="47"/>
      <c r="BE910" s="47"/>
      <c r="BF910" s="47"/>
      <c r="BG910" s="47"/>
      <c r="BH910" s="47"/>
      <c r="BI910" s="47"/>
      <c r="BJ910" s="47"/>
      <c r="BK910" s="47"/>
      <c r="BL910" s="47"/>
      <c r="BM910" s="47"/>
      <c r="BN910" s="47"/>
      <c r="BO910" s="47"/>
      <c r="BP910" s="47"/>
      <c r="BQ910" s="47"/>
      <c r="BR910" s="47"/>
      <c r="BS910" s="47"/>
      <c r="BT910" s="47"/>
      <c r="BU910" s="47"/>
      <c r="BV910" s="47"/>
      <c r="BW910" s="47"/>
      <c r="BX910" s="47"/>
      <c r="BY910" s="47"/>
      <c r="BZ910" s="47"/>
      <c r="CA910" s="47"/>
      <c r="CB910" s="47"/>
      <c r="CC910" s="47"/>
      <c r="CD910" s="47"/>
      <c r="CE910" s="47"/>
      <c r="CF910" s="47"/>
      <c r="CG910" s="47"/>
      <c r="CH910" s="47"/>
      <c r="CI910" s="47"/>
      <c r="CJ910" s="47"/>
      <c r="CK910" s="47"/>
      <c r="CL910" s="47"/>
      <c r="CM910" s="47"/>
      <c r="CN910" s="47"/>
      <c r="CO910" s="47"/>
      <c r="CP910" s="47"/>
      <c r="CQ910" s="47"/>
      <c r="CR910" s="47"/>
      <c r="CS910" s="47"/>
      <c r="CT910" s="47"/>
      <c r="CU910" s="47"/>
      <c r="CV910" s="47"/>
      <c r="CW910" s="47"/>
      <c r="CX910" s="47"/>
      <c r="CY910" s="47"/>
      <c r="CZ910" s="47"/>
      <c r="DA910" s="47"/>
      <c r="DB910" s="47"/>
      <c r="DC910" s="47"/>
      <c r="DD910" s="47"/>
      <c r="DE910" s="47"/>
      <c r="DF910" s="47"/>
      <c r="DG910" s="47"/>
      <c r="DH910" s="47"/>
      <c r="DI910" s="47"/>
      <c r="DJ910" s="47"/>
      <c r="DK910" s="47"/>
      <c r="DL910" s="47"/>
      <c r="DM910" s="47"/>
      <c r="DN910" s="47"/>
      <c r="DO910" s="47"/>
      <c r="DP910" s="47"/>
      <c r="DQ910" s="47"/>
      <c r="DR910" s="47"/>
      <c r="DS910" s="47"/>
      <c r="DT910" s="47"/>
      <c r="DU910" s="47"/>
      <c r="DV910" s="47"/>
      <c r="DW910" s="47"/>
      <c r="DX910" s="47"/>
      <c r="DY910" s="47"/>
      <c r="DZ910" s="47"/>
      <c r="EA910" s="47"/>
      <c r="EB910" s="47"/>
      <c r="EC910" s="47"/>
      <c r="ED910" s="47"/>
      <c r="EE910" s="47"/>
      <c r="EF910" s="47"/>
      <c r="EG910" s="47"/>
      <c r="EH910" s="47"/>
      <c r="EI910" s="47"/>
      <c r="EJ910" s="47"/>
      <c r="EK910" s="47"/>
      <c r="EL910" s="47"/>
      <c r="EM910" s="47"/>
      <c r="EN910" s="47"/>
      <c r="EO910" s="47"/>
      <c r="EP910" s="47"/>
      <c r="EQ910" s="47"/>
      <c r="ER910" s="47"/>
      <c r="ES910" s="47"/>
      <c r="ET910" s="47"/>
      <c r="EU910" s="47"/>
      <c r="EV910" s="47"/>
      <c r="EW910" s="47"/>
      <c r="EX910" s="47"/>
      <c r="EY910" s="47"/>
      <c r="EZ910" s="47"/>
      <c r="FA910" s="47"/>
      <c r="FB910" s="47"/>
      <c r="FC910" s="47"/>
      <c r="FD910" s="47"/>
      <c r="FE910" s="47"/>
      <c r="FF910" s="47"/>
      <c r="FG910" s="47"/>
      <c r="FH910" s="47"/>
      <c r="FI910" s="47"/>
      <c r="FJ910" s="47"/>
      <c r="FK910" s="47"/>
      <c r="FL910" s="47"/>
      <c r="FM910" s="47"/>
      <c r="FN910" s="47"/>
      <c r="FO910" s="47"/>
      <c r="FP910" s="47"/>
      <c r="FQ910" s="47"/>
      <c r="FR910" s="47"/>
      <c r="FS910" s="47"/>
      <c r="FT910" s="47"/>
      <c r="FU910" s="47"/>
      <c r="FV910" s="47"/>
      <c r="FW910" s="47"/>
      <c r="FX910" s="47"/>
      <c r="FY910" s="47"/>
      <c r="FZ910" s="47"/>
      <c r="GA910" s="47"/>
      <c r="GB910" s="47"/>
      <c r="GC910" s="47"/>
      <c r="GD910" s="47"/>
      <c r="GE910" s="47"/>
      <c r="GF910" s="47"/>
      <c r="GG910" s="47"/>
      <c r="GH910" s="47"/>
      <c r="GI910" s="47"/>
      <c r="GJ910" s="47"/>
      <c r="GK910" s="47"/>
      <c r="GL910" s="47"/>
      <c r="GM910" s="47"/>
      <c r="GN910" s="47"/>
      <c r="GO910" s="47"/>
      <c r="GP910" s="47"/>
      <c r="GQ910" s="47"/>
      <c r="GR910" s="47"/>
      <c r="GS910" s="47"/>
      <c r="GT910" s="47"/>
      <c r="GU910" s="47"/>
      <c r="GV910" s="47"/>
      <c r="GW910" s="47"/>
      <c r="GX910" s="47"/>
      <c r="GY910" s="47"/>
      <c r="GZ910" s="47"/>
      <c r="HA910" s="47"/>
      <c r="HB910" s="47"/>
      <c r="HC910" s="47"/>
      <c r="HD910" s="47"/>
      <c r="HE910" s="47"/>
      <c r="HF910" s="47"/>
      <c r="HG910" s="47"/>
      <c r="HH910" s="47"/>
      <c r="HI910" s="47"/>
      <c r="HJ910" s="47"/>
      <c r="HK910" s="47"/>
      <c r="HL910" s="47"/>
      <c r="HM910" s="47"/>
      <c r="HN910" s="47"/>
      <c r="HO910" s="47"/>
      <c r="HP910" s="47"/>
      <c r="HQ910" s="47"/>
      <c r="HR910" s="47"/>
      <c r="HS910" s="47"/>
      <c r="HT910" s="47"/>
      <c r="HU910" s="47"/>
      <c r="HV910" s="47"/>
      <c r="HW910" s="47"/>
      <c r="HX910" s="47"/>
      <c r="HY910" s="47"/>
      <c r="HZ910" s="47"/>
      <c r="IA910" s="47"/>
      <c r="IB910" s="47"/>
      <c r="IC910" s="47"/>
      <c r="ID910" s="47"/>
      <c r="IE910" s="47"/>
      <c r="IF910" s="47"/>
      <c r="IG910" s="47"/>
      <c r="IH910" s="47"/>
      <c r="II910" s="47"/>
      <c r="IJ910" s="47"/>
      <c r="IK910" s="47"/>
      <c r="IL910" s="47"/>
      <c r="IM910" s="47"/>
      <c r="IN910" s="47"/>
    </row>
    <row r="911" spans="1:249" s="5" customFormat="1" ht="21.95" customHeight="1">
      <c r="A911" s="1495" t="s">
        <v>233</v>
      </c>
      <c r="B911" s="1495"/>
      <c r="C911" s="1495"/>
      <c r="D911" s="1495"/>
      <c r="E911" s="1495"/>
      <c r="F911" s="1495"/>
      <c r="G911" s="1495"/>
      <c r="H911" s="1495"/>
      <c r="I911" s="1495"/>
      <c r="J911" s="1495"/>
      <c r="K911" s="1495"/>
      <c r="L911" s="1495"/>
      <c r="M911" s="1495"/>
      <c r="N911" s="1495"/>
      <c r="Q911" s="44"/>
      <c r="R911" s="44"/>
      <c r="S911" s="44"/>
      <c r="T911" s="44"/>
      <c r="U911" s="44"/>
      <c r="V911" s="44"/>
      <c r="W911" s="44"/>
      <c r="X911" s="44"/>
      <c r="Y911" s="44"/>
      <c r="Z911" s="44"/>
      <c r="AA911" s="44"/>
      <c r="AB911" s="44"/>
      <c r="AC911" s="44"/>
      <c r="AD911" s="1490"/>
      <c r="AE911" s="1490"/>
      <c r="AF911" s="1490"/>
      <c r="AG911" s="1490"/>
      <c r="AH911" s="1490"/>
      <c r="AI911" s="1490"/>
      <c r="AJ911" s="1490"/>
      <c r="AK911" s="1490"/>
      <c r="AL911" s="1490"/>
      <c r="AM911" s="1490"/>
      <c r="AN911" s="1490"/>
      <c r="AO911" s="1490"/>
      <c r="AP911" s="1490"/>
      <c r="AQ911" s="1490"/>
      <c r="AR911" s="1490"/>
      <c r="AS911" s="1490"/>
      <c r="AT911" s="1490"/>
      <c r="AU911" s="1490"/>
      <c r="AV911" s="1490"/>
      <c r="AW911" s="1490"/>
      <c r="AX911" s="1490"/>
      <c r="AY911" s="1490"/>
      <c r="AZ911" s="1490"/>
      <c r="BA911" s="1490"/>
      <c r="BB911" s="1490"/>
      <c r="BC911" s="1490"/>
      <c r="BD911" s="1490"/>
      <c r="BE911" s="1490"/>
      <c r="BF911" s="1490"/>
      <c r="BG911" s="1490"/>
      <c r="BH911" s="1490"/>
      <c r="BI911" s="1490"/>
      <c r="BJ911" s="1490"/>
      <c r="BK911" s="1490"/>
      <c r="BL911" s="1490"/>
      <c r="BM911" s="1490"/>
      <c r="BN911" s="1490"/>
      <c r="BO911" s="1490"/>
      <c r="BP911" s="1490"/>
      <c r="BQ911" s="1490"/>
      <c r="BR911" s="1490"/>
      <c r="BS911" s="1490"/>
      <c r="BT911" s="1490"/>
      <c r="BU911" s="1490"/>
      <c r="BV911" s="1490"/>
      <c r="BW911" s="1490"/>
      <c r="BX911" s="1490"/>
      <c r="BY911" s="1490"/>
      <c r="BZ911" s="1490"/>
      <c r="CA911" s="1490"/>
      <c r="CB911" s="1490"/>
      <c r="CC911" s="1490"/>
      <c r="CD911" s="1490"/>
      <c r="CE911" s="1490"/>
      <c r="CF911" s="1490"/>
      <c r="CG911" s="1490"/>
      <c r="CH911" s="1490"/>
      <c r="CI911" s="1490"/>
      <c r="CJ911" s="1490"/>
      <c r="CK911" s="1490"/>
      <c r="CL911" s="1490"/>
      <c r="CM911" s="1490"/>
      <c r="CN911" s="1490"/>
      <c r="CO911" s="1490"/>
      <c r="CP911" s="1490"/>
      <c r="CQ911" s="1490"/>
      <c r="CR911" s="1490"/>
      <c r="CS911" s="1490"/>
      <c r="CT911" s="1490"/>
      <c r="CU911" s="1490"/>
      <c r="CV911" s="1490"/>
      <c r="CW911" s="1490"/>
      <c r="CX911" s="1490"/>
      <c r="CY911" s="1490"/>
      <c r="CZ911" s="1490"/>
      <c r="DA911" s="1490"/>
      <c r="DB911" s="1490"/>
      <c r="DC911" s="1490"/>
      <c r="DD911" s="1490"/>
      <c r="DE911" s="1490"/>
      <c r="DF911" s="1490"/>
      <c r="DG911" s="1490"/>
      <c r="DH911" s="1490"/>
      <c r="DI911" s="1490"/>
      <c r="DJ911" s="1490"/>
      <c r="DK911" s="1490"/>
      <c r="DL911" s="1490"/>
      <c r="DM911" s="1490"/>
      <c r="DN911" s="1490"/>
      <c r="DO911" s="1490"/>
      <c r="DP911" s="1490"/>
      <c r="DQ911" s="1490"/>
      <c r="DR911" s="1490"/>
      <c r="DS911" s="1490"/>
      <c r="DT911" s="1490"/>
      <c r="DU911" s="1490"/>
      <c r="DV911" s="1490"/>
      <c r="DW911" s="1490"/>
      <c r="DX911" s="1490"/>
      <c r="DY911" s="1490"/>
      <c r="DZ911" s="1490"/>
      <c r="EA911" s="1490"/>
      <c r="EB911" s="1490"/>
      <c r="EC911" s="1490"/>
      <c r="ED911" s="1490"/>
      <c r="EE911" s="1490"/>
      <c r="EF911" s="1490"/>
      <c r="EG911" s="1490"/>
      <c r="EH911" s="1490"/>
      <c r="EI911" s="1490"/>
      <c r="EJ911" s="1490"/>
      <c r="EK911" s="1490"/>
      <c r="EL911" s="1490"/>
      <c r="EM911" s="1490"/>
      <c r="EN911" s="1490"/>
      <c r="EO911" s="1490"/>
      <c r="EP911" s="1490"/>
      <c r="EQ911" s="1490"/>
      <c r="ER911" s="1490"/>
      <c r="ES911" s="1490"/>
      <c r="ET911" s="1490"/>
      <c r="EU911" s="1490"/>
      <c r="EV911" s="1490"/>
      <c r="EW911" s="1490"/>
      <c r="EX911" s="1490"/>
      <c r="EY911" s="1490"/>
      <c r="EZ911" s="1490"/>
      <c r="FA911" s="1490"/>
      <c r="FB911" s="1490"/>
      <c r="FC911" s="1490"/>
      <c r="FD911" s="1490"/>
      <c r="FE911" s="1490"/>
      <c r="FF911" s="1490"/>
      <c r="FG911" s="1490"/>
      <c r="FH911" s="1490"/>
      <c r="FI911" s="1490"/>
      <c r="FJ911" s="1490"/>
      <c r="FK911" s="1490"/>
      <c r="FL911" s="1490"/>
      <c r="FM911" s="1490"/>
      <c r="FN911" s="1490"/>
      <c r="FO911" s="1490"/>
      <c r="FP911" s="1490"/>
      <c r="FQ911" s="1490"/>
      <c r="FR911" s="1490"/>
      <c r="FS911" s="1490"/>
      <c r="FT911" s="1490"/>
      <c r="FU911" s="1490"/>
      <c r="FV911" s="1490"/>
      <c r="FW911" s="1490"/>
      <c r="FX911" s="1490"/>
      <c r="FY911" s="1490"/>
      <c r="FZ911" s="1490"/>
      <c r="GA911" s="1490"/>
      <c r="GB911" s="1490"/>
      <c r="GC911" s="1490"/>
      <c r="GD911" s="1490"/>
      <c r="GE911" s="1490"/>
      <c r="GF911" s="1490"/>
      <c r="GG911" s="1490"/>
      <c r="GH911" s="1490"/>
      <c r="GI911" s="1490"/>
      <c r="GJ911" s="1490"/>
      <c r="GK911" s="1490"/>
      <c r="GL911" s="1490"/>
      <c r="GM911" s="1490"/>
      <c r="GN911" s="1490"/>
      <c r="GO911" s="1490"/>
      <c r="GP911" s="1490"/>
      <c r="GQ911" s="1490"/>
      <c r="GR911" s="1490"/>
      <c r="GS911" s="1490"/>
      <c r="GT911" s="1490"/>
      <c r="GU911" s="1490"/>
      <c r="GV911" s="1490"/>
      <c r="GW911" s="1490"/>
      <c r="GX911" s="1490"/>
      <c r="GY911" s="1490"/>
      <c r="GZ911" s="1490"/>
      <c r="HA911" s="1490"/>
      <c r="HB911" s="1490"/>
      <c r="HC911" s="1490"/>
      <c r="HD911" s="1490"/>
      <c r="HE911" s="1490"/>
      <c r="HF911" s="1490"/>
      <c r="HG911" s="1490"/>
      <c r="HH911" s="1490"/>
      <c r="HI911" s="1490"/>
      <c r="HJ911" s="1490"/>
      <c r="HK911" s="1490"/>
      <c r="HL911" s="1490"/>
      <c r="HM911" s="1490"/>
      <c r="HN911" s="1490"/>
      <c r="HO911" s="1490"/>
      <c r="HP911" s="1490"/>
      <c r="HQ911" s="1490"/>
      <c r="HR911" s="1490"/>
      <c r="HS911" s="1490"/>
      <c r="HT911" s="1490"/>
      <c r="HU911" s="1490"/>
      <c r="HV911" s="1490"/>
      <c r="HW911" s="1490"/>
      <c r="HX911" s="1490"/>
      <c r="HY911" s="1490"/>
      <c r="HZ911" s="1490"/>
      <c r="IA911" s="1490"/>
      <c r="IB911" s="1490"/>
      <c r="IC911" s="1490"/>
      <c r="ID911" s="1490"/>
      <c r="IE911" s="1490"/>
      <c r="IF911" s="1490"/>
      <c r="IG911" s="1490"/>
      <c r="IH911" s="1490"/>
      <c r="II911" s="1490"/>
      <c r="IJ911" s="1490"/>
      <c r="IK911" s="1490"/>
      <c r="IL911" s="1490"/>
      <c r="IM911" s="1490"/>
      <c r="IN911" s="1490"/>
      <c r="IO911" s="44"/>
    </row>
    <row r="912" spans="1:249" s="5" customFormat="1" ht="25.5" customHeight="1">
      <c r="A912" s="48" t="s">
        <v>234</v>
      </c>
      <c r="B912" s="39"/>
      <c r="C912" s="39"/>
      <c r="D912" s="39"/>
      <c r="E912" s="39"/>
      <c r="F912" s="39"/>
      <c r="G912" s="39"/>
      <c r="H912" s="39"/>
      <c r="I912" s="39"/>
      <c r="J912" s="39"/>
      <c r="K912" s="39"/>
      <c r="L912" s="39"/>
      <c r="M912" s="39"/>
      <c r="N912" s="39"/>
      <c r="O912" s="49"/>
      <c r="P912" s="49"/>
      <c r="Q912" s="44"/>
      <c r="R912" s="44"/>
      <c r="S912" s="44"/>
      <c r="T912" s="44"/>
      <c r="U912" s="44"/>
      <c r="V912" s="44"/>
      <c r="W912" s="44"/>
      <c r="X912" s="44"/>
      <c r="Y912" s="44"/>
      <c r="Z912" s="44"/>
      <c r="AA912" s="44"/>
      <c r="AB912" s="44"/>
      <c r="AC912" s="44"/>
      <c r="AD912" s="1490"/>
      <c r="AE912" s="1490"/>
      <c r="AF912" s="1490"/>
      <c r="AG912" s="1490"/>
      <c r="AH912" s="1490"/>
      <c r="AI912" s="1490"/>
      <c r="AJ912" s="1490"/>
      <c r="AK912" s="1490"/>
      <c r="AL912" s="1490"/>
      <c r="AM912" s="1490"/>
      <c r="AN912" s="1490"/>
      <c r="AO912" s="1490"/>
      <c r="AP912" s="1490"/>
      <c r="AQ912" s="1490"/>
      <c r="AR912" s="1490"/>
      <c r="AS912" s="1490"/>
      <c r="AT912" s="1490"/>
      <c r="AU912" s="1490"/>
      <c r="AV912" s="1490"/>
      <c r="AW912" s="1490"/>
      <c r="AX912" s="1490"/>
      <c r="AY912" s="1490"/>
      <c r="AZ912" s="1490"/>
      <c r="BA912" s="1490"/>
      <c r="BB912" s="1490"/>
      <c r="BC912" s="1490"/>
      <c r="BD912" s="1490"/>
      <c r="BE912" s="1490"/>
      <c r="BF912" s="1490"/>
      <c r="BG912" s="1490"/>
      <c r="BH912" s="1490"/>
      <c r="BI912" s="1490"/>
      <c r="BJ912" s="1490"/>
      <c r="BK912" s="1490"/>
      <c r="BL912" s="1490"/>
      <c r="BM912" s="1490"/>
      <c r="BN912" s="1490"/>
      <c r="BO912" s="1490"/>
      <c r="BP912" s="1490"/>
      <c r="BQ912" s="1490"/>
      <c r="BR912" s="1490"/>
      <c r="BS912" s="1490"/>
      <c r="BT912" s="1490"/>
      <c r="BU912" s="1490"/>
      <c r="BV912" s="1490"/>
      <c r="BW912" s="1490"/>
      <c r="BX912" s="1490"/>
      <c r="BY912" s="1490"/>
      <c r="BZ912" s="1490"/>
      <c r="CA912" s="1490"/>
      <c r="CB912" s="1490"/>
      <c r="CC912" s="1490"/>
      <c r="CD912" s="1490"/>
      <c r="CE912" s="1490"/>
      <c r="CF912" s="1490"/>
      <c r="CG912" s="1490"/>
      <c r="CH912" s="1490"/>
      <c r="CI912" s="1490"/>
      <c r="CJ912" s="1490"/>
      <c r="CK912" s="1490"/>
      <c r="CL912" s="1490"/>
      <c r="CM912" s="1490"/>
      <c r="CN912" s="1490"/>
      <c r="CO912" s="1490"/>
      <c r="CP912" s="1490"/>
      <c r="CQ912" s="1490"/>
      <c r="CR912" s="1490"/>
      <c r="CS912" s="1490"/>
      <c r="CT912" s="1490"/>
      <c r="CU912" s="1490"/>
      <c r="CV912" s="1490"/>
      <c r="CW912" s="1490"/>
      <c r="CX912" s="1490"/>
      <c r="CY912" s="1490"/>
      <c r="CZ912" s="1490"/>
      <c r="DA912" s="1490"/>
      <c r="DB912" s="1490"/>
      <c r="DC912" s="1490"/>
      <c r="DD912" s="1490"/>
      <c r="DE912" s="1490"/>
      <c r="DF912" s="1490"/>
      <c r="DG912" s="1490"/>
      <c r="DH912" s="1490"/>
      <c r="DI912" s="1490"/>
      <c r="DJ912" s="1490"/>
      <c r="DK912" s="1490"/>
      <c r="DL912" s="1490"/>
      <c r="DM912" s="1490"/>
      <c r="DN912" s="1490"/>
      <c r="DO912" s="1490"/>
      <c r="DP912" s="1490"/>
      <c r="DQ912" s="1490"/>
      <c r="DR912" s="1490"/>
      <c r="DS912" s="1490"/>
      <c r="DT912" s="1490"/>
      <c r="DU912" s="1490"/>
      <c r="DV912" s="1490"/>
      <c r="DW912" s="1490"/>
      <c r="DX912" s="1490"/>
      <c r="DY912" s="1490"/>
      <c r="DZ912" s="1490"/>
      <c r="EA912" s="1490"/>
      <c r="EB912" s="1490"/>
      <c r="EC912" s="1490"/>
      <c r="ED912" s="1490"/>
      <c r="EE912" s="1490"/>
      <c r="EF912" s="1490"/>
      <c r="EG912" s="1490"/>
      <c r="EH912" s="1490"/>
      <c r="EI912" s="1490"/>
      <c r="EJ912" s="1490"/>
      <c r="EK912" s="1490"/>
      <c r="EL912" s="1490"/>
      <c r="EM912" s="1490"/>
      <c r="EN912" s="1490"/>
      <c r="EO912" s="1490"/>
      <c r="EP912" s="1490"/>
      <c r="EQ912" s="1490"/>
      <c r="ER912" s="1490"/>
      <c r="ES912" s="1490"/>
      <c r="ET912" s="1490"/>
      <c r="EU912" s="1490"/>
      <c r="EV912" s="1490"/>
      <c r="EW912" s="1490"/>
      <c r="EX912" s="1490"/>
      <c r="EY912" s="1490"/>
      <c r="EZ912" s="1490"/>
      <c r="FA912" s="1490"/>
      <c r="FB912" s="1490"/>
      <c r="FC912" s="1490"/>
      <c r="FD912" s="1490"/>
      <c r="FE912" s="1490"/>
      <c r="FF912" s="1490"/>
      <c r="FG912" s="1490"/>
      <c r="FH912" s="1490"/>
      <c r="FI912" s="1490"/>
      <c r="FJ912" s="1490"/>
      <c r="FK912" s="1490"/>
      <c r="FL912" s="1490"/>
      <c r="FM912" s="1490"/>
      <c r="FN912" s="1490"/>
      <c r="FO912" s="1490"/>
      <c r="FP912" s="1490"/>
      <c r="FQ912" s="1490"/>
      <c r="FR912" s="1490"/>
      <c r="FS912" s="1490"/>
      <c r="FT912" s="1490"/>
      <c r="FU912" s="1490"/>
      <c r="FV912" s="1490"/>
      <c r="FW912" s="1490"/>
      <c r="FX912" s="1490"/>
      <c r="FY912" s="1490"/>
      <c r="FZ912" s="1490"/>
      <c r="GA912" s="1490"/>
      <c r="GB912" s="1490"/>
      <c r="GC912" s="1490"/>
      <c r="GD912" s="1490"/>
      <c r="GE912" s="1490"/>
      <c r="GF912" s="1490"/>
      <c r="GG912" s="1490"/>
      <c r="GH912" s="1490"/>
      <c r="GI912" s="1490"/>
      <c r="GJ912" s="1490"/>
      <c r="GK912" s="1490"/>
      <c r="GL912" s="1490"/>
      <c r="GM912" s="1490"/>
      <c r="GN912" s="1490"/>
      <c r="GO912" s="1490"/>
      <c r="GP912" s="1490"/>
      <c r="GQ912" s="1490"/>
      <c r="GR912" s="1490"/>
      <c r="GS912" s="1490"/>
      <c r="GT912" s="1490"/>
      <c r="GU912" s="1490"/>
      <c r="GV912" s="1490"/>
      <c r="GW912" s="1490"/>
      <c r="GX912" s="1490"/>
      <c r="GY912" s="1490"/>
      <c r="GZ912" s="1490"/>
      <c r="HA912" s="1490"/>
      <c r="HB912" s="1490"/>
      <c r="HC912" s="1490"/>
      <c r="HD912" s="1490"/>
      <c r="HE912" s="1490"/>
      <c r="HF912" s="1490"/>
      <c r="HG912" s="1490"/>
      <c r="HH912" s="1490"/>
      <c r="HI912" s="1490"/>
      <c r="HJ912" s="1490"/>
      <c r="HK912" s="1490"/>
      <c r="HL912" s="1490"/>
      <c r="HM912" s="1490"/>
      <c r="HN912" s="1490"/>
      <c r="HO912" s="1490"/>
      <c r="HP912" s="1490"/>
      <c r="HQ912" s="1490"/>
      <c r="HR912" s="1490"/>
      <c r="HS912" s="1490"/>
      <c r="HT912" s="1490"/>
      <c r="HU912" s="1490"/>
      <c r="HV912" s="1490"/>
      <c r="HW912" s="1490"/>
      <c r="HX912" s="1490"/>
      <c r="HY912" s="1490"/>
      <c r="HZ912" s="1490"/>
      <c r="IA912" s="1490"/>
      <c r="IB912" s="1490"/>
      <c r="IC912" s="1490"/>
      <c r="ID912" s="1490"/>
      <c r="IE912" s="1490"/>
      <c r="IF912" s="1490"/>
      <c r="IG912" s="1490"/>
      <c r="IH912" s="1490"/>
      <c r="II912" s="1490"/>
      <c r="IJ912" s="1490"/>
      <c r="IK912" s="1490"/>
      <c r="IL912" s="1490"/>
      <c r="IM912" s="1490"/>
      <c r="IN912" s="1490"/>
      <c r="IO912" s="44"/>
    </row>
    <row r="913" spans="1:249" s="5" customFormat="1" ht="24.75" customHeight="1">
      <c r="A913" s="1495" t="s">
        <v>235</v>
      </c>
      <c r="B913" s="1495"/>
      <c r="C913" s="1495"/>
      <c r="D913" s="1495"/>
      <c r="E913" s="1495"/>
      <c r="F913" s="1495"/>
      <c r="G913" s="1495"/>
      <c r="H913" s="1495"/>
      <c r="I913" s="1495"/>
      <c r="J913" s="1495"/>
      <c r="K913" s="1495"/>
      <c r="L913" s="1495"/>
      <c r="M913" s="1495"/>
      <c r="N913" s="1495"/>
      <c r="O913" s="49"/>
      <c r="P913" s="49"/>
      <c r="Q913" s="129"/>
      <c r="R913" s="129"/>
      <c r="S913" s="129"/>
      <c r="T913" s="129"/>
      <c r="U913" s="127"/>
      <c r="V913" s="127"/>
      <c r="W913" s="127"/>
      <c r="X913" s="127"/>
      <c r="Y913" s="127"/>
      <c r="Z913" s="127"/>
      <c r="AA913" s="127"/>
      <c r="AB913" s="127"/>
      <c r="AC913" s="127"/>
      <c r="AD913" s="127"/>
      <c r="AE913" s="127"/>
      <c r="AF913" s="127"/>
    </row>
    <row r="914" spans="1:249" s="5" customFormat="1" ht="24.75" customHeight="1">
      <c r="A914" s="99" t="s">
        <v>281</v>
      </c>
      <c r="B914" s="44"/>
      <c r="C914" s="44"/>
      <c r="D914" s="44"/>
      <c r="E914" s="44"/>
      <c r="F914" s="104" t="str">
        <f>A842</f>
        <v>sè:  PM-B1-§BT/800</v>
      </c>
      <c r="G914" s="44"/>
      <c r="H914" s="44"/>
      <c r="I914" s="44"/>
      <c r="J914" s="44"/>
      <c r="K914" s="44"/>
      <c r="L914" s="44"/>
      <c r="M914" s="44"/>
      <c r="N914" s="44"/>
      <c r="O914" s="49"/>
      <c r="P914" s="49"/>
      <c r="Q914" s="49"/>
      <c r="R914" s="49"/>
      <c r="S914" s="49"/>
      <c r="T914" s="49"/>
      <c r="U914" s="49"/>
      <c r="V914" s="49"/>
      <c r="W914" s="49"/>
      <c r="X914" s="49"/>
      <c r="Y914" s="49"/>
      <c r="Z914" s="49"/>
      <c r="AA914" s="49"/>
      <c r="AB914" s="49"/>
      <c r="AC914" s="49"/>
      <c r="AD914" s="1494"/>
      <c r="AE914" s="1494"/>
      <c r="AF914" s="1494"/>
      <c r="AG914" s="1494"/>
      <c r="AH914" s="1494"/>
      <c r="AI914" s="1494"/>
      <c r="AJ914" s="1494"/>
      <c r="AK914" s="1494"/>
      <c r="AL914" s="1494"/>
      <c r="AM914" s="1494"/>
      <c r="AN914" s="1494"/>
      <c r="AO914" s="1494"/>
      <c r="AP914" s="1494"/>
      <c r="AQ914" s="1494"/>
      <c r="AR914" s="1494"/>
      <c r="AS914" s="1494"/>
      <c r="AT914" s="1494"/>
      <c r="AU914" s="1494"/>
      <c r="AV914" s="1494"/>
      <c r="AW914" s="1494"/>
      <c r="AX914" s="1494"/>
      <c r="AY914" s="1494"/>
      <c r="AZ914" s="1494"/>
      <c r="BA914" s="1494"/>
      <c r="BB914" s="1494"/>
      <c r="BC914" s="1494"/>
      <c r="BD914" s="1494"/>
      <c r="BE914" s="1494"/>
      <c r="BF914" s="1494"/>
      <c r="BG914" s="1494"/>
      <c r="BH914" s="1494"/>
      <c r="BI914" s="1494"/>
      <c r="BJ914" s="1494"/>
      <c r="BK914" s="1494"/>
      <c r="BL914" s="1494"/>
      <c r="BM914" s="1494"/>
      <c r="BN914" s="1494"/>
      <c r="BO914" s="1494"/>
      <c r="BP914" s="1494"/>
      <c r="BQ914" s="1494"/>
      <c r="BR914" s="1494"/>
      <c r="BS914" s="1494"/>
      <c r="BT914" s="1494"/>
      <c r="BU914" s="1494"/>
      <c r="BV914" s="1494"/>
      <c r="BW914" s="1494"/>
      <c r="BX914" s="1494"/>
      <c r="BY914" s="1494"/>
      <c r="BZ914" s="1494"/>
      <c r="CA914" s="1494"/>
      <c r="CB914" s="1494"/>
      <c r="CC914" s="1494"/>
      <c r="CD914" s="1494"/>
      <c r="CE914" s="1494"/>
      <c r="CF914" s="1494"/>
      <c r="CG914" s="1494"/>
      <c r="CH914" s="1494"/>
      <c r="CI914" s="1494"/>
      <c r="CJ914" s="1494"/>
      <c r="CK914" s="1494"/>
      <c r="CL914" s="1494"/>
      <c r="CM914" s="1494"/>
      <c r="CN914" s="1494"/>
      <c r="CO914" s="1494"/>
      <c r="CP914" s="1494"/>
      <c r="CQ914" s="1494"/>
      <c r="CR914" s="1494"/>
      <c r="CS914" s="1494"/>
      <c r="CT914" s="1494"/>
      <c r="CU914" s="1494"/>
      <c r="CV914" s="1494"/>
      <c r="CW914" s="1494"/>
      <c r="CX914" s="1494"/>
      <c r="CY914" s="1494"/>
      <c r="CZ914" s="1494"/>
      <c r="DA914" s="1494"/>
      <c r="DB914" s="1494"/>
      <c r="DC914" s="1494"/>
      <c r="DD914" s="1494"/>
      <c r="DE914" s="1494"/>
      <c r="DF914" s="1494"/>
      <c r="DG914" s="1494"/>
      <c r="DH914" s="1494"/>
      <c r="DI914" s="1494"/>
      <c r="DJ914" s="1494"/>
      <c r="DK914" s="1494"/>
      <c r="DL914" s="1494"/>
      <c r="DM914" s="1494"/>
      <c r="DN914" s="1494"/>
      <c r="DO914" s="1494"/>
      <c r="DP914" s="1494"/>
      <c r="DQ914" s="1494"/>
      <c r="DR914" s="1494"/>
      <c r="DS914" s="1494"/>
      <c r="DT914" s="1494"/>
      <c r="DU914" s="1494"/>
      <c r="DV914" s="1494"/>
      <c r="DW914" s="1494"/>
      <c r="DX914" s="1494"/>
      <c r="DY914" s="1494"/>
      <c r="DZ914" s="1494"/>
      <c r="EA914" s="1494"/>
      <c r="EB914" s="1494"/>
      <c r="EC914" s="1494"/>
      <c r="ED914" s="1494"/>
      <c r="EE914" s="1494"/>
      <c r="EF914" s="1494"/>
      <c r="EG914" s="1494"/>
      <c r="EH914" s="1494"/>
      <c r="EI914" s="1494"/>
      <c r="EJ914" s="1494"/>
      <c r="EK914" s="1494"/>
      <c r="EL914" s="1494"/>
      <c r="EM914" s="1494"/>
      <c r="EN914" s="1494"/>
      <c r="EO914" s="1494"/>
      <c r="EP914" s="1494"/>
      <c r="EQ914" s="1494"/>
      <c r="ER914" s="1494"/>
      <c r="ES914" s="1494"/>
      <c r="ET914" s="1494"/>
      <c r="EU914" s="1494"/>
      <c r="EV914" s="1494"/>
      <c r="EW914" s="1494"/>
      <c r="EX914" s="1494"/>
      <c r="EY914" s="1494"/>
      <c r="EZ914" s="1494"/>
      <c r="FA914" s="1494"/>
      <c r="FB914" s="1494"/>
      <c r="FC914" s="1494"/>
      <c r="FD914" s="1494"/>
      <c r="FE914" s="1494"/>
      <c r="FF914" s="1494"/>
      <c r="FG914" s="1494"/>
      <c r="FH914" s="1494"/>
      <c r="FI914" s="1494"/>
      <c r="FJ914" s="1494"/>
      <c r="FK914" s="1494"/>
      <c r="FL914" s="1494"/>
      <c r="FM914" s="1494"/>
      <c r="FN914" s="1494"/>
      <c r="FO914" s="1494"/>
      <c r="FP914" s="1494"/>
      <c r="FQ914" s="1494"/>
      <c r="FR914" s="1494"/>
      <c r="FS914" s="1494"/>
      <c r="FT914" s="1494"/>
      <c r="FU914" s="1494"/>
      <c r="FV914" s="1494"/>
      <c r="FW914" s="1494"/>
      <c r="FX914" s="1494"/>
      <c r="FY914" s="1494"/>
      <c r="FZ914" s="1494"/>
      <c r="GA914" s="1494"/>
      <c r="GB914" s="1494"/>
      <c r="GC914" s="1494"/>
      <c r="GD914" s="1494"/>
      <c r="GE914" s="1494"/>
      <c r="GF914" s="1494"/>
      <c r="GG914" s="1494"/>
      <c r="GH914" s="1494"/>
      <c r="GI914" s="1494"/>
      <c r="GJ914" s="1494"/>
      <c r="GK914" s="1494"/>
      <c r="GL914" s="1494"/>
      <c r="GM914" s="1494"/>
      <c r="GN914" s="1494"/>
      <c r="GO914" s="1494"/>
      <c r="GP914" s="1494"/>
      <c r="GQ914" s="1494"/>
      <c r="GR914" s="1494"/>
      <c r="GS914" s="1494"/>
      <c r="GT914" s="1494"/>
      <c r="GU914" s="1494"/>
      <c r="GV914" s="1494"/>
      <c r="GW914" s="1494"/>
      <c r="GX914" s="1494"/>
      <c r="GY914" s="1494"/>
      <c r="GZ914" s="1494"/>
      <c r="HA914" s="1494"/>
      <c r="HB914" s="1494"/>
      <c r="HC914" s="1494"/>
      <c r="HD914" s="1494"/>
      <c r="HE914" s="1494"/>
      <c r="HF914" s="1494"/>
      <c r="HG914" s="1494"/>
      <c r="HH914" s="1494"/>
      <c r="HI914" s="1494"/>
      <c r="HJ914" s="1494"/>
      <c r="HK914" s="1494"/>
      <c r="HL914" s="1494"/>
      <c r="HM914" s="1494"/>
      <c r="HN914" s="1494"/>
      <c r="HO914" s="1494"/>
      <c r="HP914" s="1494"/>
      <c r="HQ914" s="1494"/>
      <c r="HR914" s="1494"/>
      <c r="HS914" s="1494"/>
      <c r="HT914" s="1494"/>
      <c r="HU914" s="1494"/>
      <c r="HV914" s="1494"/>
      <c r="HW914" s="1494"/>
      <c r="HX914" s="1494"/>
      <c r="HY914" s="1494"/>
      <c r="HZ914" s="1494"/>
      <c r="IA914" s="1494"/>
      <c r="IB914" s="1494"/>
      <c r="IC914" s="1494"/>
      <c r="ID914" s="1494"/>
      <c r="IE914" s="1494"/>
      <c r="IF914" s="1494"/>
      <c r="IG914" s="1494"/>
      <c r="IH914" s="1494"/>
      <c r="II914" s="1494"/>
      <c r="IJ914" s="1494"/>
      <c r="IK914" s="1494"/>
      <c r="IL914" s="1494"/>
      <c r="IM914" s="1494"/>
      <c r="IN914" s="1494"/>
      <c r="IO914" s="49"/>
    </row>
    <row r="915" spans="1:249" s="5" customFormat="1" ht="24" customHeight="1">
      <c r="A915" s="1488" t="s">
        <v>236</v>
      </c>
      <c r="B915" s="1488"/>
      <c r="C915" s="1488"/>
      <c r="D915" s="1488"/>
      <c r="E915" s="1488"/>
      <c r="F915" s="1488"/>
      <c r="G915" s="1488"/>
      <c r="H915" s="1488"/>
      <c r="I915" s="1488"/>
      <c r="J915" s="1488"/>
      <c r="K915" s="1488"/>
      <c r="L915" s="1488"/>
      <c r="M915" s="1488"/>
      <c r="N915" s="1488"/>
      <c r="O915" s="49"/>
      <c r="P915" s="49"/>
      <c r="Q915" s="49"/>
      <c r="R915" s="49"/>
      <c r="S915" s="49"/>
      <c r="T915" s="49"/>
      <c r="U915" s="49"/>
      <c r="V915" s="49"/>
      <c r="W915" s="49"/>
      <c r="X915" s="49"/>
      <c r="Y915" s="49"/>
      <c r="Z915" s="49"/>
      <c r="AA915" s="49"/>
      <c r="AB915" s="49"/>
      <c r="AC915" s="49"/>
      <c r="AD915" s="1494"/>
      <c r="AE915" s="1494"/>
      <c r="AF915" s="1494"/>
      <c r="AG915" s="1494"/>
      <c r="AH915" s="1494"/>
      <c r="AI915" s="1494"/>
      <c r="AJ915" s="1494"/>
      <c r="AK915" s="1494"/>
      <c r="AL915" s="1494"/>
      <c r="AM915" s="1494"/>
      <c r="AN915" s="1494"/>
      <c r="AO915" s="1494"/>
      <c r="AP915" s="1494"/>
      <c r="AQ915" s="1494"/>
      <c r="AR915" s="1494"/>
      <c r="AS915" s="1494"/>
      <c r="AT915" s="1494"/>
      <c r="AU915" s="1494"/>
      <c r="AV915" s="1494"/>
      <c r="AW915" s="1494"/>
      <c r="AX915" s="1494"/>
      <c r="AY915" s="1494"/>
      <c r="AZ915" s="1494"/>
      <c r="BA915" s="1494"/>
      <c r="BB915" s="1494"/>
      <c r="BC915" s="1494"/>
      <c r="BD915" s="1494"/>
      <c r="BE915" s="1494"/>
      <c r="BF915" s="1494"/>
      <c r="BG915" s="1494"/>
      <c r="BH915" s="1494"/>
      <c r="BI915" s="1494"/>
      <c r="BJ915" s="1494"/>
      <c r="BK915" s="1494"/>
      <c r="BL915" s="1494"/>
      <c r="BM915" s="1494"/>
      <c r="BN915" s="1494"/>
      <c r="BO915" s="1494"/>
      <c r="BP915" s="1494"/>
      <c r="BQ915" s="1494"/>
      <c r="BR915" s="1494"/>
      <c r="BS915" s="1494"/>
      <c r="BT915" s="1494"/>
      <c r="BU915" s="1494"/>
      <c r="BV915" s="1494"/>
      <c r="BW915" s="1494"/>
      <c r="BX915" s="1494"/>
      <c r="BY915" s="1494"/>
      <c r="BZ915" s="1494"/>
      <c r="CA915" s="1494"/>
      <c r="CB915" s="1494"/>
      <c r="CC915" s="1494"/>
      <c r="CD915" s="1494"/>
      <c r="CE915" s="1494"/>
      <c r="CF915" s="1494"/>
      <c r="CG915" s="1494"/>
      <c r="CH915" s="1494"/>
      <c r="CI915" s="1494"/>
      <c r="CJ915" s="1494"/>
      <c r="CK915" s="1494"/>
      <c r="CL915" s="1494"/>
      <c r="CM915" s="1494"/>
      <c r="CN915" s="1494"/>
      <c r="CO915" s="1494"/>
      <c r="CP915" s="1494"/>
      <c r="CQ915" s="1494"/>
      <c r="CR915" s="1494"/>
      <c r="CS915" s="1494"/>
      <c r="CT915" s="1494"/>
      <c r="CU915" s="1494"/>
      <c r="CV915" s="1494"/>
      <c r="CW915" s="1494"/>
      <c r="CX915" s="1494"/>
      <c r="CY915" s="1494"/>
      <c r="CZ915" s="1494"/>
      <c r="DA915" s="1494"/>
      <c r="DB915" s="1494"/>
      <c r="DC915" s="1494"/>
      <c r="DD915" s="1494"/>
      <c r="DE915" s="1494"/>
      <c r="DF915" s="1494"/>
      <c r="DG915" s="1494"/>
      <c r="DH915" s="1494"/>
      <c r="DI915" s="1494"/>
      <c r="DJ915" s="1494"/>
      <c r="DK915" s="1494"/>
      <c r="DL915" s="1494"/>
      <c r="DM915" s="1494"/>
      <c r="DN915" s="1494"/>
      <c r="DO915" s="1494"/>
      <c r="DP915" s="1494"/>
      <c r="DQ915" s="1494"/>
      <c r="DR915" s="1494"/>
      <c r="DS915" s="1494"/>
      <c r="DT915" s="1494"/>
      <c r="DU915" s="1494"/>
      <c r="DV915" s="1494"/>
      <c r="DW915" s="1494"/>
      <c r="DX915" s="1494"/>
      <c r="DY915" s="1494"/>
      <c r="DZ915" s="1494"/>
      <c r="EA915" s="1494"/>
      <c r="EB915" s="1494"/>
      <c r="EC915" s="1494"/>
      <c r="ED915" s="1494"/>
      <c r="EE915" s="1494"/>
      <c r="EF915" s="1494"/>
      <c r="EG915" s="1494"/>
      <c r="EH915" s="1494"/>
      <c r="EI915" s="1494"/>
      <c r="EJ915" s="1494"/>
      <c r="EK915" s="1494"/>
      <c r="EL915" s="1494"/>
      <c r="EM915" s="1494"/>
      <c r="EN915" s="1494"/>
      <c r="EO915" s="1494"/>
      <c r="EP915" s="1494"/>
      <c r="EQ915" s="1494"/>
      <c r="ER915" s="1494"/>
      <c r="ES915" s="1494"/>
      <c r="ET915" s="1494"/>
      <c r="EU915" s="1494"/>
      <c r="EV915" s="1494"/>
      <c r="EW915" s="1494"/>
      <c r="EX915" s="1494"/>
      <c r="EY915" s="1494"/>
      <c r="EZ915" s="1494"/>
      <c r="FA915" s="1494"/>
      <c r="FB915" s="1494"/>
      <c r="FC915" s="1494"/>
      <c r="FD915" s="1494"/>
      <c r="FE915" s="1494"/>
      <c r="FF915" s="1494"/>
      <c r="FG915" s="1494"/>
      <c r="FH915" s="1494"/>
      <c r="FI915" s="1494"/>
      <c r="FJ915" s="1494"/>
      <c r="FK915" s="1494"/>
      <c r="FL915" s="1494"/>
      <c r="FM915" s="1494"/>
      <c r="FN915" s="1494"/>
      <c r="FO915" s="1494"/>
      <c r="FP915" s="1494"/>
      <c r="FQ915" s="1494"/>
      <c r="FR915" s="1494"/>
      <c r="FS915" s="1494"/>
      <c r="FT915" s="1494"/>
      <c r="FU915" s="1494"/>
      <c r="FV915" s="1494"/>
      <c r="FW915" s="1494"/>
      <c r="FX915" s="1494"/>
      <c r="FY915" s="1494"/>
      <c r="FZ915" s="1494"/>
      <c r="GA915" s="1494"/>
      <c r="GB915" s="1494"/>
      <c r="GC915" s="1494"/>
      <c r="GD915" s="1494"/>
      <c r="GE915" s="1494"/>
      <c r="GF915" s="1494"/>
      <c r="GG915" s="1494"/>
      <c r="GH915" s="1494"/>
      <c r="GI915" s="1494"/>
      <c r="GJ915" s="1494"/>
      <c r="GK915" s="1494"/>
      <c r="GL915" s="1494"/>
      <c r="GM915" s="1494"/>
      <c r="GN915" s="1494"/>
      <c r="GO915" s="1494"/>
      <c r="GP915" s="1494"/>
      <c r="GQ915" s="1494"/>
      <c r="GR915" s="1494"/>
      <c r="GS915" s="1494"/>
      <c r="GT915" s="1494"/>
      <c r="GU915" s="1494"/>
      <c r="GV915" s="1494"/>
      <c r="GW915" s="1494"/>
      <c r="GX915" s="1494"/>
      <c r="GY915" s="1494"/>
      <c r="GZ915" s="1494"/>
      <c r="HA915" s="1494"/>
      <c r="HB915" s="1494"/>
      <c r="HC915" s="1494"/>
      <c r="HD915" s="1494"/>
      <c r="HE915" s="1494"/>
      <c r="HF915" s="1494"/>
      <c r="HG915" s="1494"/>
      <c r="HH915" s="1494"/>
      <c r="HI915" s="1494"/>
      <c r="HJ915" s="1494"/>
      <c r="HK915" s="1494"/>
      <c r="HL915" s="1494"/>
      <c r="HM915" s="1494"/>
      <c r="HN915" s="1494"/>
      <c r="HO915" s="1494"/>
      <c r="HP915" s="1494"/>
      <c r="HQ915" s="1494"/>
      <c r="HR915" s="1494"/>
      <c r="HS915" s="1494"/>
      <c r="HT915" s="1494"/>
      <c r="HU915" s="1494"/>
      <c r="HV915" s="1494"/>
      <c r="HW915" s="1494"/>
      <c r="HX915" s="1494"/>
      <c r="HY915" s="1494"/>
      <c r="HZ915" s="1494"/>
      <c r="IA915" s="1494"/>
      <c r="IB915" s="1494"/>
      <c r="IC915" s="1494"/>
      <c r="ID915" s="1494"/>
      <c r="IE915" s="1494"/>
      <c r="IF915" s="1494"/>
      <c r="IG915" s="1494"/>
      <c r="IH915" s="1494"/>
      <c r="II915" s="1494"/>
      <c r="IJ915" s="1494"/>
      <c r="IK915" s="1494"/>
      <c r="IL915" s="1494"/>
      <c r="IM915" s="1494"/>
      <c r="IN915" s="1494"/>
      <c r="IO915" s="49"/>
    </row>
    <row r="916" spans="1:249" s="5" customFormat="1" ht="24" customHeight="1">
      <c r="A916"/>
      <c r="B916" s="1520" t="s">
        <v>237</v>
      </c>
      <c r="C916" s="1520"/>
      <c r="D916" s="1520"/>
      <c r="E916" s="1520"/>
      <c r="F916" s="1520"/>
      <c r="G916" s="1520"/>
      <c r="H916" s="1520"/>
      <c r="I916" s="1520"/>
      <c r="J916" s="50"/>
      <c r="K916" s="50"/>
      <c r="L916" s="50"/>
      <c r="M916" s="50"/>
      <c r="N916" s="50"/>
      <c r="P916" s="4"/>
      <c r="Q916" s="105"/>
      <c r="R916" s="105"/>
      <c r="S916" s="105"/>
      <c r="T916" s="105"/>
      <c r="U916" s="49"/>
      <c r="V916" s="49"/>
      <c r="W916" s="49"/>
      <c r="X916" s="49"/>
      <c r="Y916" s="49"/>
      <c r="Z916" s="49"/>
      <c r="AA916" s="49"/>
      <c r="AB916" s="49"/>
      <c r="AC916" s="49"/>
      <c r="AD916" s="49"/>
      <c r="AE916" s="49"/>
      <c r="AF916" s="49"/>
      <c r="AG916" s="49"/>
      <c r="AH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c r="BN916" s="49"/>
      <c r="BO916" s="49"/>
      <c r="BP916" s="49"/>
      <c r="BQ916" s="49"/>
      <c r="BR916" s="49"/>
      <c r="BS916" s="49"/>
      <c r="BT916" s="49"/>
      <c r="BU916" s="49"/>
      <c r="BV916" s="49"/>
      <c r="BW916" s="49"/>
      <c r="BX916" s="49"/>
      <c r="BY916" s="49"/>
      <c r="BZ916" s="49"/>
      <c r="CA916" s="49"/>
      <c r="CB916" s="49"/>
      <c r="CC916" s="49"/>
      <c r="CD916" s="49"/>
      <c r="CE916" s="49"/>
      <c r="CF916" s="49"/>
      <c r="CG916" s="49"/>
      <c r="CH916" s="49"/>
      <c r="CI916" s="49"/>
      <c r="CJ916" s="49"/>
      <c r="CK916" s="49"/>
      <c r="CL916" s="49"/>
      <c r="CM916" s="49"/>
      <c r="CN916" s="49"/>
      <c r="CO916" s="49"/>
      <c r="CP916" s="49"/>
      <c r="CQ916" s="49"/>
      <c r="CR916" s="49"/>
      <c r="CS916" s="49"/>
      <c r="CT916" s="49"/>
      <c r="CU916" s="49"/>
      <c r="CV916" s="49"/>
      <c r="CW916" s="49"/>
      <c r="CX916" s="49"/>
      <c r="CY916" s="49"/>
      <c r="CZ916" s="49"/>
      <c r="DA916" s="49"/>
      <c r="DB916" s="49"/>
      <c r="DC916" s="49"/>
      <c r="DD916" s="49"/>
      <c r="DE916" s="49"/>
      <c r="DF916" s="49"/>
      <c r="DG916" s="49"/>
      <c r="DH916" s="49"/>
      <c r="DI916" s="49"/>
      <c r="DJ916" s="49"/>
      <c r="DK916" s="49"/>
      <c r="DL916" s="49"/>
      <c r="DM916" s="49"/>
      <c r="DN916" s="49"/>
      <c r="DO916" s="49"/>
      <c r="DP916" s="49"/>
      <c r="DQ916" s="49"/>
      <c r="DR916" s="49"/>
      <c r="DS916" s="49"/>
      <c r="DT916" s="49"/>
      <c r="DU916" s="49"/>
      <c r="DV916" s="49"/>
      <c r="DW916" s="49"/>
      <c r="DX916" s="49"/>
      <c r="DY916" s="49"/>
      <c r="DZ916" s="49"/>
      <c r="EA916" s="49"/>
      <c r="EB916" s="49"/>
      <c r="EC916" s="49"/>
      <c r="ED916" s="49"/>
      <c r="EE916" s="49"/>
      <c r="EF916" s="49"/>
      <c r="EG916" s="49"/>
      <c r="EH916" s="49"/>
      <c r="EI916" s="49"/>
      <c r="EJ916" s="49"/>
      <c r="EK916" s="49"/>
      <c r="EL916" s="49"/>
      <c r="EM916" s="49"/>
      <c r="EN916" s="49"/>
      <c r="EO916" s="49"/>
      <c r="EP916" s="49"/>
      <c r="EQ916" s="49"/>
      <c r="ER916" s="49"/>
      <c r="ES916" s="49"/>
      <c r="ET916" s="49"/>
      <c r="EU916" s="49"/>
      <c r="EV916" s="49"/>
      <c r="EW916" s="49"/>
      <c r="EX916" s="49"/>
      <c r="EY916" s="49"/>
      <c r="EZ916" s="49"/>
      <c r="FA916" s="49"/>
      <c r="FB916" s="49"/>
      <c r="FC916" s="49"/>
      <c r="FD916" s="49"/>
      <c r="FE916" s="49"/>
      <c r="FF916" s="49"/>
      <c r="FG916" s="49"/>
      <c r="FH916" s="49"/>
      <c r="FI916" s="49"/>
      <c r="FJ916" s="49"/>
      <c r="FK916" s="49"/>
      <c r="FL916" s="49"/>
      <c r="FM916" s="49"/>
      <c r="FN916" s="49"/>
      <c r="FO916" s="49"/>
      <c r="FP916" s="49"/>
      <c r="FQ916" s="49"/>
      <c r="FR916" s="49"/>
      <c r="FS916" s="49"/>
      <c r="FT916" s="49"/>
      <c r="FU916" s="49"/>
      <c r="FV916" s="49"/>
      <c r="FW916" s="49"/>
      <c r="FX916" s="49"/>
      <c r="FY916" s="49"/>
      <c r="FZ916" s="49"/>
      <c r="GA916" s="49"/>
      <c r="GB916" s="49"/>
      <c r="GC916" s="49"/>
      <c r="GD916" s="49"/>
      <c r="GE916" s="49"/>
      <c r="GF916" s="49"/>
      <c r="GG916" s="49"/>
      <c r="GH916" s="49"/>
      <c r="GI916" s="49"/>
      <c r="GJ916" s="49"/>
      <c r="GK916" s="49"/>
      <c r="GL916" s="49"/>
      <c r="GM916" s="49"/>
      <c r="GN916" s="49"/>
      <c r="GO916" s="49"/>
      <c r="GP916" s="49"/>
      <c r="GQ916" s="49"/>
      <c r="GR916" s="49"/>
      <c r="GS916" s="49"/>
      <c r="GT916" s="49"/>
      <c r="GU916" s="49"/>
      <c r="GV916" s="49"/>
      <c r="GW916" s="49"/>
      <c r="GX916" s="49"/>
      <c r="GY916" s="49"/>
      <c r="GZ916" s="49"/>
      <c r="HA916" s="49"/>
      <c r="HB916" s="49"/>
      <c r="HC916" s="49"/>
      <c r="HD916" s="49"/>
      <c r="HE916" s="49"/>
      <c r="HF916" s="49"/>
      <c r="HG916" s="49"/>
      <c r="HH916" s="49"/>
      <c r="HI916" s="49"/>
      <c r="HJ916" s="49"/>
      <c r="HK916" s="49"/>
      <c r="HL916" s="49"/>
      <c r="HM916" s="49"/>
      <c r="HN916" s="49"/>
      <c r="HO916" s="49"/>
      <c r="HP916" s="49"/>
      <c r="HQ916" s="49"/>
      <c r="HR916" s="49"/>
      <c r="HS916" s="49"/>
      <c r="HT916" s="49"/>
      <c r="HU916" s="49"/>
      <c r="HV916" s="49"/>
      <c r="HW916" s="49"/>
      <c r="HX916" s="49"/>
      <c r="HY916" s="49"/>
      <c r="HZ916" s="49"/>
      <c r="IA916" s="49"/>
      <c r="IB916" s="49"/>
      <c r="IC916" s="49"/>
      <c r="ID916" s="49"/>
      <c r="IE916" s="49"/>
      <c r="IF916" s="49"/>
      <c r="IG916" s="49"/>
      <c r="IH916" s="49"/>
      <c r="II916" s="49"/>
      <c r="IJ916" s="49"/>
      <c r="IK916" s="49"/>
      <c r="IL916" s="49"/>
      <c r="IM916" s="49"/>
      <c r="IN916" s="49"/>
      <c r="IO916" s="49"/>
    </row>
    <row r="917" spans="1:249" s="5" customFormat="1" ht="24" customHeight="1">
      <c r="A917" s="1559" t="s">
        <v>191</v>
      </c>
      <c r="B917" s="1523" t="s">
        <v>238</v>
      </c>
      <c r="C917" s="1524"/>
      <c r="D917" s="1524"/>
      <c r="E917" s="1524"/>
      <c r="F917" s="1524"/>
      <c r="G917" s="1525"/>
      <c r="H917" s="1523" t="s">
        <v>239</v>
      </c>
      <c r="I917" s="1524"/>
      <c r="J917" s="1524"/>
      <c r="K917" s="1524"/>
      <c r="L917" s="1525"/>
      <c r="M917" s="1529" t="s">
        <v>240</v>
      </c>
      <c r="N917" s="1530"/>
      <c r="P917" s="4"/>
      <c r="Q917" s="105"/>
      <c r="R917" s="105"/>
      <c r="S917" s="105"/>
      <c r="T917" s="105"/>
      <c r="U917" s="49"/>
      <c r="V917" s="49"/>
      <c r="W917" s="49"/>
      <c r="X917" s="49"/>
      <c r="Y917" s="49"/>
      <c r="Z917" s="49"/>
      <c r="AA917" s="49"/>
      <c r="AB917" s="49"/>
      <c r="AC917" s="49"/>
      <c r="AD917" s="49"/>
      <c r="AE917" s="49"/>
      <c r="AF917" s="49"/>
      <c r="AG917" s="49"/>
      <c r="AH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c r="BN917" s="49"/>
      <c r="BO917" s="49"/>
      <c r="BP917" s="49"/>
      <c r="BQ917" s="49"/>
      <c r="BR917" s="49"/>
      <c r="BS917" s="49"/>
      <c r="BT917" s="49"/>
      <c r="BU917" s="49"/>
      <c r="BV917" s="49"/>
      <c r="BW917" s="49"/>
      <c r="BX917" s="49"/>
      <c r="BY917" s="49"/>
      <c r="BZ917" s="49"/>
      <c r="CA917" s="49"/>
      <c r="CB917" s="49"/>
      <c r="CC917" s="49"/>
      <c r="CD917" s="49"/>
      <c r="CE917" s="49"/>
      <c r="CF917" s="49"/>
      <c r="CG917" s="49"/>
      <c r="CH917" s="49"/>
      <c r="CI917" s="49"/>
      <c r="CJ917" s="49"/>
      <c r="CK917" s="49"/>
      <c r="CL917" s="49"/>
      <c r="CM917" s="49"/>
      <c r="CN917" s="49"/>
      <c r="CO917" s="49"/>
      <c r="CP917" s="49"/>
      <c r="CQ917" s="49"/>
      <c r="CR917" s="49"/>
      <c r="CS917" s="49"/>
      <c r="CT917" s="49"/>
      <c r="CU917" s="49"/>
      <c r="CV917" s="49"/>
      <c r="CW917" s="49"/>
      <c r="CX917" s="49"/>
      <c r="CY917" s="49"/>
      <c r="CZ917" s="49"/>
      <c r="DA917" s="49"/>
      <c r="DB917" s="49"/>
      <c r="DC917" s="49"/>
      <c r="DD917" s="49"/>
      <c r="DE917" s="49"/>
      <c r="DF917" s="49"/>
      <c r="DG917" s="49"/>
      <c r="DH917" s="49"/>
      <c r="DI917" s="49"/>
      <c r="DJ917" s="49"/>
      <c r="DK917" s="49"/>
      <c r="DL917" s="49"/>
      <c r="DM917" s="49"/>
      <c r="DN917" s="49"/>
      <c r="DO917" s="49"/>
      <c r="DP917" s="49"/>
      <c r="DQ917" s="49"/>
      <c r="DR917" s="49"/>
      <c r="DS917" s="49"/>
      <c r="DT917" s="49"/>
      <c r="DU917" s="49"/>
      <c r="DV917" s="49"/>
      <c r="DW917" s="49"/>
      <c r="DX917" s="49"/>
      <c r="DY917" s="49"/>
      <c r="DZ917" s="49"/>
      <c r="EA917" s="49"/>
      <c r="EB917" s="49"/>
      <c r="EC917" s="49"/>
      <c r="ED917" s="49"/>
      <c r="EE917" s="49"/>
      <c r="EF917" s="49"/>
      <c r="EG917" s="49"/>
      <c r="EH917" s="49"/>
      <c r="EI917" s="49"/>
      <c r="EJ917" s="49"/>
      <c r="EK917" s="49"/>
      <c r="EL917" s="49"/>
      <c r="EM917" s="49"/>
      <c r="EN917" s="49"/>
      <c r="EO917" s="49"/>
      <c r="EP917" s="49"/>
      <c r="EQ917" s="49"/>
      <c r="ER917" s="49"/>
      <c r="ES917" s="49"/>
      <c r="ET917" s="49"/>
      <c r="EU917" s="49"/>
      <c r="EV917" s="49"/>
      <c r="EW917" s="49"/>
      <c r="EX917" s="49"/>
      <c r="EY917" s="49"/>
      <c r="EZ917" s="49"/>
      <c r="FA917" s="49"/>
      <c r="FB917" s="49"/>
      <c r="FC917" s="49"/>
      <c r="FD917" s="49"/>
      <c r="FE917" s="49"/>
      <c r="FF917" s="49"/>
      <c r="FG917" s="49"/>
      <c r="FH917" s="49"/>
      <c r="FI917" s="49"/>
      <c r="FJ917" s="49"/>
      <c r="FK917" s="49"/>
      <c r="FL917" s="49"/>
      <c r="FM917" s="49"/>
      <c r="FN917" s="49"/>
      <c r="FO917" s="49"/>
      <c r="FP917" s="49"/>
      <c r="FQ917" s="49"/>
      <c r="FR917" s="49"/>
      <c r="FS917" s="49"/>
      <c r="FT917" s="49"/>
      <c r="FU917" s="49"/>
      <c r="FV917" s="49"/>
      <c r="FW917" s="49"/>
      <c r="FX917" s="49"/>
      <c r="FY917" s="49"/>
      <c r="FZ917" s="49"/>
      <c r="GA917" s="49"/>
      <c r="GB917" s="49"/>
      <c r="GC917" s="49"/>
      <c r="GD917" s="49"/>
      <c r="GE917" s="49"/>
      <c r="GF917" s="49"/>
      <c r="GG917" s="49"/>
      <c r="GH917" s="49"/>
      <c r="GI917" s="49"/>
      <c r="GJ917" s="49"/>
      <c r="GK917" s="49"/>
      <c r="GL917" s="49"/>
      <c r="GM917" s="49"/>
      <c r="GN917" s="49"/>
      <c r="GO917" s="49"/>
      <c r="GP917" s="49"/>
      <c r="GQ917" s="49"/>
      <c r="GR917" s="49"/>
      <c r="GS917" s="49"/>
      <c r="GT917" s="49"/>
      <c r="GU917" s="49"/>
      <c r="GV917" s="49"/>
      <c r="GW917" s="49"/>
      <c r="GX917" s="49"/>
      <c r="GY917" s="49"/>
      <c r="GZ917" s="49"/>
      <c r="HA917" s="49"/>
      <c r="HB917" s="49"/>
      <c r="HC917" s="49"/>
      <c r="HD917" s="49"/>
      <c r="HE917" s="49"/>
      <c r="HF917" s="49"/>
      <c r="HG917" s="49"/>
      <c r="HH917" s="49"/>
      <c r="HI917" s="49"/>
      <c r="HJ917" s="49"/>
      <c r="HK917" s="49"/>
      <c r="HL917" s="49"/>
      <c r="HM917" s="49"/>
      <c r="HN917" s="49"/>
      <c r="HO917" s="49"/>
      <c r="HP917" s="49"/>
      <c r="HQ917" s="49"/>
      <c r="HR917" s="49"/>
      <c r="HS917" s="49"/>
      <c r="HT917" s="49"/>
      <c r="HU917" s="49"/>
      <c r="HV917" s="49"/>
      <c r="HW917" s="49"/>
      <c r="HX917" s="49"/>
      <c r="HY917" s="49"/>
      <c r="HZ917" s="49"/>
      <c r="IA917" s="49"/>
      <c r="IB917" s="49"/>
      <c r="IC917" s="49"/>
      <c r="ID917" s="49"/>
      <c r="IE917" s="49"/>
      <c r="IF917" s="49"/>
      <c r="IG917" s="49"/>
      <c r="IH917" s="49"/>
      <c r="II917" s="49"/>
      <c r="IJ917" s="49"/>
      <c r="IK917" s="49"/>
      <c r="IL917" s="49"/>
      <c r="IM917" s="49"/>
      <c r="IN917" s="49"/>
      <c r="IO917" s="49"/>
    </row>
    <row r="918" spans="1:249" s="5" customFormat="1" ht="23.25" customHeight="1">
      <c r="A918" s="1560"/>
      <c r="B918" s="1526"/>
      <c r="C918" s="1527"/>
      <c r="D918" s="1527"/>
      <c r="E918" s="1527"/>
      <c r="F918" s="1527"/>
      <c r="G918" s="1528"/>
      <c r="H918" s="1526"/>
      <c r="I918" s="1527"/>
      <c r="J918" s="1527"/>
      <c r="K918" s="1527"/>
      <c r="L918" s="1528"/>
      <c r="M918" s="51" t="s">
        <v>241</v>
      </c>
      <c r="N918" s="51" t="s">
        <v>242</v>
      </c>
      <c r="P918" s="4"/>
      <c r="Q918" s="129"/>
      <c r="R918" s="129"/>
      <c r="S918" s="129"/>
      <c r="T918" s="129"/>
      <c r="U918" s="127"/>
      <c r="V918" s="127"/>
      <c r="W918" s="127"/>
      <c r="X918" s="127"/>
      <c r="Y918" s="127"/>
      <c r="Z918" s="127"/>
      <c r="AA918" s="127"/>
      <c r="AB918" s="127"/>
      <c r="AC918" s="127"/>
      <c r="AD918" s="127"/>
      <c r="AE918" s="127"/>
      <c r="AF918" s="127"/>
    </row>
    <row r="919" spans="1:249" s="5" customFormat="1" ht="23.25" customHeight="1">
      <c r="A919" s="52">
        <v>1</v>
      </c>
      <c r="B919" s="1508" t="str">
        <f>B802</f>
        <v>§é sôt bª t«ng</v>
      </c>
      <c r="C919" s="1509"/>
      <c r="D919" s="1509"/>
      <c r="E919" s="1509"/>
      <c r="F919" s="1509"/>
      <c r="G919" s="1510"/>
      <c r="H919" s="1567" t="str">
        <f>H802</f>
        <v>Bé thö ®é sôt BT</v>
      </c>
      <c r="I919" s="1568"/>
      <c r="J919" s="1568"/>
      <c r="K919" s="1568"/>
      <c r="L919" s="1569"/>
      <c r="M919" s="52" t="s">
        <v>245</v>
      </c>
      <c r="N919" s="53"/>
      <c r="P919" s="4"/>
      <c r="Q919" s="129"/>
      <c r="R919" s="129"/>
      <c r="S919" s="129"/>
      <c r="T919" s="129"/>
      <c r="U919" s="127"/>
      <c r="V919" s="127"/>
      <c r="W919" s="127"/>
      <c r="X919" s="127"/>
      <c r="Y919" s="127"/>
      <c r="Z919" s="127"/>
      <c r="AA919" s="127"/>
      <c r="AB919" s="127"/>
      <c r="AC919" s="127"/>
      <c r="AD919" s="127"/>
      <c r="AE919" s="127"/>
      <c r="AF919" s="127"/>
    </row>
    <row r="920" spans="1:249" s="5" customFormat="1" ht="22.5" customHeight="1">
      <c r="A920" s="54">
        <v>2</v>
      </c>
      <c r="B920" s="1514" t="str">
        <f>B803</f>
        <v>CÊp phèi bª t«ng</v>
      </c>
      <c r="C920" s="1515"/>
      <c r="D920" s="1515"/>
      <c r="E920" s="1515"/>
      <c r="F920" s="1515"/>
      <c r="G920" s="1516"/>
      <c r="H920" s="1564" t="str">
        <f>H803</f>
        <v>PhiÕu xe, lÊy mÉu</v>
      </c>
      <c r="I920" s="1565"/>
      <c r="J920" s="1565"/>
      <c r="K920" s="1565"/>
      <c r="L920" s="1566"/>
      <c r="M920" s="54" t="s">
        <v>245</v>
      </c>
      <c r="N920" s="55"/>
      <c r="P920" s="4"/>
      <c r="Q920" s="129"/>
      <c r="R920" s="129"/>
      <c r="S920" s="129"/>
      <c r="T920" s="129"/>
      <c r="U920" s="127"/>
      <c r="V920" s="127"/>
      <c r="W920" s="127"/>
      <c r="X920" s="127"/>
      <c r="Y920" s="127"/>
      <c r="Z920" s="127"/>
      <c r="AA920" s="127"/>
      <c r="AB920" s="127"/>
      <c r="AC920" s="127"/>
      <c r="AD920" s="127"/>
      <c r="AE920" s="127"/>
      <c r="AF920" s="127"/>
    </row>
    <row r="921" spans="1:249" s="5" customFormat="1" ht="21.75" customHeight="1">
      <c r="A921" s="54">
        <v>3</v>
      </c>
      <c r="B921" s="1514" t="str">
        <f>B804</f>
        <v>§é d©ng bª t«ng, c¾t «ng ®æ</v>
      </c>
      <c r="C921" s="1515"/>
      <c r="D921" s="1515"/>
      <c r="E921" s="1515"/>
      <c r="F921" s="1515"/>
      <c r="G921" s="1516"/>
      <c r="H921" s="1564" t="str">
        <f>H804</f>
        <v>Th­íc mÐt</v>
      </c>
      <c r="I921" s="1565"/>
      <c r="J921" s="1565"/>
      <c r="K921" s="1565"/>
      <c r="L921" s="1566"/>
      <c r="M921" s="54" t="s">
        <v>245</v>
      </c>
      <c r="N921" s="55"/>
      <c r="P921" s="4"/>
      <c r="Q921" s="129"/>
      <c r="R921" s="129"/>
      <c r="S921" s="129"/>
      <c r="T921" s="129"/>
      <c r="U921" s="127"/>
      <c r="V921" s="127"/>
      <c r="W921" s="127"/>
      <c r="X921" s="127"/>
      <c r="Y921" s="127"/>
      <c r="Z921" s="127"/>
      <c r="AA921" s="127"/>
      <c r="AB921" s="127"/>
      <c r="AC921" s="127"/>
      <c r="AD921" s="127"/>
      <c r="AE921" s="127"/>
      <c r="AF921" s="127"/>
    </row>
    <row r="922" spans="1:249" s="5" customFormat="1" ht="21" customHeight="1">
      <c r="A922" s="56">
        <v>4</v>
      </c>
      <c r="B922" s="1498" t="str">
        <f>B805</f>
        <v>Cao ®é dõng ®æ bª t«ng</v>
      </c>
      <c r="C922" s="1499"/>
      <c r="D922" s="1499"/>
      <c r="E922" s="1499"/>
      <c r="F922" s="1499"/>
      <c r="G922" s="1500"/>
      <c r="H922" s="1570" t="str">
        <f>H805</f>
        <v>Th­íc mÐt</v>
      </c>
      <c r="I922" s="1571"/>
      <c r="J922" s="1571"/>
      <c r="K922" s="1571"/>
      <c r="L922" s="1572"/>
      <c r="M922" s="56" t="s">
        <v>245</v>
      </c>
      <c r="N922" s="57"/>
      <c r="P922" s="4"/>
      <c r="Q922" s="129"/>
      <c r="R922" s="129"/>
      <c r="S922" s="129"/>
      <c r="T922" s="129"/>
      <c r="U922" s="127"/>
      <c r="V922" s="127"/>
      <c r="W922" s="127"/>
      <c r="X922" s="127"/>
      <c r="Y922" s="127"/>
      <c r="Z922" s="127"/>
      <c r="AA922" s="127"/>
      <c r="AB922" s="127"/>
      <c r="AC922" s="127"/>
      <c r="AD922" s="127"/>
      <c r="AE922" s="127"/>
      <c r="AF922" s="127"/>
    </row>
    <row r="923" spans="1:249" s="5" customFormat="1" ht="24" customHeight="1">
      <c r="A923" s="58"/>
      <c r="B923" s="106" t="s">
        <v>249</v>
      </c>
      <c r="C923" s="106"/>
      <c r="D923" s="106"/>
      <c r="E923" s="106"/>
      <c r="F923" s="60"/>
      <c r="G923" s="1504" t="s">
        <v>176</v>
      </c>
      <c r="H923" s="1504"/>
      <c r="I923" s="1504"/>
      <c r="J923" s="1504"/>
      <c r="K923" s="60"/>
      <c r="L923" s="60"/>
      <c r="M923" s="60"/>
      <c r="N923" s="60"/>
      <c r="P923" s="4"/>
      <c r="Q923" s="129"/>
      <c r="R923" s="129"/>
      <c r="S923" s="129"/>
      <c r="T923" s="129"/>
      <c r="U923" s="127"/>
      <c r="V923" s="127"/>
      <c r="W923" s="127"/>
      <c r="X923" s="127"/>
      <c r="Y923" s="127"/>
      <c r="Z923" s="127"/>
      <c r="AA923" s="127"/>
      <c r="AB923" s="127"/>
      <c r="AC923" s="127"/>
      <c r="AD923" s="127"/>
      <c r="AE923" s="127"/>
      <c r="AF923" s="127"/>
    </row>
    <row r="924" spans="1:249" s="5" customFormat="1" ht="23.25" customHeight="1">
      <c r="A924" s="31" t="s">
        <v>250</v>
      </c>
      <c r="B924" s="31"/>
      <c r="C924" s="31"/>
      <c r="D924" s="31"/>
      <c r="E924" s="61"/>
      <c r="F924" s="61"/>
      <c r="G924" s="61"/>
      <c r="H924" s="61"/>
      <c r="I924" s="61"/>
      <c r="J924" s="61"/>
      <c r="K924" s="61"/>
      <c r="L924" s="61"/>
      <c r="M924" s="61"/>
      <c r="N924" s="61"/>
      <c r="P924" s="4"/>
      <c r="Q924" s="129"/>
      <c r="R924" s="129"/>
      <c r="S924" s="129"/>
      <c r="T924" s="129"/>
      <c r="U924" s="127"/>
      <c r="V924" s="127"/>
      <c r="W924" s="127"/>
      <c r="X924" s="127"/>
      <c r="Y924" s="127"/>
      <c r="Z924" s="127"/>
      <c r="AA924" s="127"/>
      <c r="AB924" s="127"/>
      <c r="AC924" s="127"/>
      <c r="AD924" s="127"/>
      <c r="AE924" s="127"/>
      <c r="AF924" s="127"/>
    </row>
    <row r="925" spans="1:249" s="5" customFormat="1" ht="35.25" customHeight="1">
      <c r="A925" s="62"/>
      <c r="B925" s="1505" t="s">
        <v>251</v>
      </c>
      <c r="C925" s="1505"/>
      <c r="D925" s="1505"/>
      <c r="E925" s="1505"/>
      <c r="F925" s="1505"/>
      <c r="G925" s="1505"/>
      <c r="H925" s="1505"/>
      <c r="I925" s="1505"/>
      <c r="J925" s="1505"/>
      <c r="K925" s="1505"/>
      <c r="L925" s="1505"/>
      <c r="M925" s="1505"/>
      <c r="N925" s="1505"/>
      <c r="P925" s="4"/>
      <c r="Q925" s="129"/>
      <c r="R925" s="129"/>
      <c r="S925" s="129"/>
      <c r="T925" s="129"/>
      <c r="U925" s="127"/>
      <c r="V925" s="127"/>
      <c r="W925" s="127"/>
      <c r="X925" s="127"/>
      <c r="Y925" s="127"/>
      <c r="Z925" s="127"/>
      <c r="AA925" s="127"/>
      <c r="AB925" s="127"/>
      <c r="AC925" s="127"/>
      <c r="AD925" s="127"/>
      <c r="AE925" s="127"/>
      <c r="AF925" s="127"/>
    </row>
    <row r="926" spans="1:249" s="5" customFormat="1" ht="24.75" customHeight="1">
      <c r="A926" s="58"/>
      <c r="B926" s="1506"/>
      <c r="C926" s="1506"/>
      <c r="D926" s="1506"/>
      <c r="E926" s="1506"/>
      <c r="F926" s="1507"/>
      <c r="G926" s="1507"/>
      <c r="H926" s="1507"/>
      <c r="I926" s="1507"/>
      <c r="J926" s="1507"/>
      <c r="K926" s="1507"/>
      <c r="L926" s="1507"/>
      <c r="M926" s="50"/>
      <c r="N926" s="50"/>
      <c r="P926" s="4"/>
      <c r="Q926" s="129"/>
      <c r="R926" s="129"/>
      <c r="S926" s="129"/>
      <c r="T926" s="129"/>
      <c r="U926" s="127"/>
      <c r="V926" s="127"/>
      <c r="W926" s="127"/>
      <c r="X926" s="127"/>
      <c r="Y926" s="127"/>
      <c r="Z926" s="127"/>
      <c r="AA926" s="127"/>
      <c r="AB926" s="127"/>
      <c r="AC926" s="127"/>
      <c r="AD926" s="127"/>
      <c r="AE926" s="127"/>
      <c r="AF926" s="127"/>
    </row>
    <row r="927" spans="1:249" s="5" customFormat="1" ht="20.25" customHeight="1">
      <c r="A927" s="107"/>
      <c r="B927" s="1561" t="s">
        <v>283</v>
      </c>
      <c r="C927" s="1561"/>
      <c r="D927" s="1561"/>
      <c r="E927" s="1561"/>
      <c r="F927" s="1561"/>
      <c r="G927" s="107"/>
      <c r="M927" s="1561" t="s">
        <v>273</v>
      </c>
      <c r="N927" s="1561"/>
      <c r="P927" s="4"/>
      <c r="Q927" s="129"/>
      <c r="R927" s="129"/>
      <c r="S927" s="129"/>
      <c r="T927" s="129"/>
      <c r="U927" s="127"/>
      <c r="V927" s="127"/>
      <c r="W927" s="127"/>
      <c r="X927" s="127"/>
      <c r="Y927" s="127"/>
      <c r="Z927" s="127"/>
      <c r="AA927" s="127"/>
      <c r="AB927" s="127"/>
      <c r="AC927" s="127"/>
      <c r="AD927" s="127"/>
      <c r="AE927" s="127"/>
      <c r="AF927" s="127"/>
    </row>
    <row r="928" spans="1:249" s="5" customFormat="1" ht="21.75" customHeight="1">
      <c r="A928" s="1532"/>
      <c r="B928" s="1532"/>
      <c r="C928" s="1532"/>
      <c r="D928" s="1532"/>
      <c r="E928" s="1532"/>
      <c r="F928" s="1532"/>
      <c r="G928" s="1532"/>
      <c r="M928" s="50"/>
      <c r="N928" s="50"/>
      <c r="O928" s="108"/>
      <c r="P928" s="73"/>
      <c r="Q928" s="129"/>
      <c r="R928" s="129"/>
      <c r="S928" s="129"/>
      <c r="T928" s="129"/>
      <c r="U928" s="127"/>
      <c r="V928" s="127"/>
      <c r="W928" s="127"/>
      <c r="X928" s="127"/>
      <c r="Y928" s="127"/>
      <c r="Z928" s="127"/>
      <c r="AA928" s="127"/>
      <c r="AB928" s="127"/>
      <c r="AC928" s="127"/>
      <c r="AD928" s="127"/>
      <c r="AE928" s="127"/>
      <c r="AF928" s="127"/>
    </row>
    <row r="929" spans="1:32" s="5" customFormat="1" ht="16.5">
      <c r="A929" s="1532"/>
      <c r="B929" s="1532"/>
      <c r="C929" s="1532"/>
      <c r="D929" s="1532"/>
      <c r="E929" s="1532"/>
      <c r="F929" s="1532"/>
      <c r="G929" s="1532"/>
      <c r="M929" s="50"/>
      <c r="N929" s="50"/>
      <c r="P929" s="4"/>
      <c r="Q929" s="129"/>
      <c r="R929" s="129"/>
      <c r="S929" s="129"/>
      <c r="T929" s="129"/>
      <c r="U929" s="127"/>
      <c r="V929" s="127"/>
      <c r="W929" s="127"/>
      <c r="X929" s="127"/>
      <c r="Y929" s="127"/>
      <c r="Z929" s="127"/>
      <c r="AA929" s="127"/>
      <c r="AB929" s="127"/>
      <c r="AC929" s="127"/>
      <c r="AD929" s="127"/>
      <c r="AE929" s="127"/>
      <c r="AF929" s="127"/>
    </row>
    <row r="930" spans="1:32" s="108" customFormat="1" ht="24.75" customHeight="1">
      <c r="A930" s="5"/>
      <c r="B930" s="5"/>
      <c r="C930" s="5"/>
      <c r="D930" s="5"/>
      <c r="E930" s="5"/>
      <c r="F930" s="5"/>
      <c r="G930" s="5"/>
      <c r="M930" s="5"/>
      <c r="N930" s="5"/>
      <c r="O930" s="5"/>
      <c r="P930" s="4"/>
      <c r="Q930" s="111"/>
      <c r="R930" s="111"/>
      <c r="S930" s="111"/>
      <c r="T930" s="111"/>
    </row>
    <row r="931" spans="1:32" s="5" customFormat="1" ht="16.5" customHeight="1">
      <c r="Q931" s="129"/>
      <c r="R931" s="129"/>
      <c r="S931" s="129"/>
      <c r="T931" s="129"/>
      <c r="U931" s="127"/>
      <c r="V931" s="127"/>
      <c r="W931" s="127"/>
      <c r="X931" s="127"/>
      <c r="Y931" s="127"/>
      <c r="Z931" s="127"/>
      <c r="AA931" s="127"/>
      <c r="AB931" s="127"/>
      <c r="AC931" s="127"/>
      <c r="AD931" s="127"/>
      <c r="AE931" s="127"/>
      <c r="AF931" s="127"/>
    </row>
    <row r="932" spans="1:32" s="5" customFormat="1" ht="16.5" customHeight="1">
      <c r="A932" s="112"/>
      <c r="B932" s="112"/>
      <c r="C932" s="112"/>
      <c r="D932" s="112"/>
      <c r="E932" s="112"/>
      <c r="F932" s="112"/>
      <c r="G932" s="112"/>
      <c r="M932" s="112"/>
      <c r="Q932" s="129"/>
      <c r="R932" s="129"/>
      <c r="S932" s="129"/>
      <c r="T932" s="129"/>
      <c r="U932" s="127"/>
      <c r="V932" s="127"/>
      <c r="W932" s="127"/>
      <c r="X932" s="127"/>
      <c r="Y932" s="127"/>
      <c r="Z932" s="127"/>
      <c r="AA932" s="127"/>
      <c r="AB932" s="127"/>
      <c r="AC932" s="127"/>
      <c r="AD932" s="127"/>
      <c r="AE932" s="127"/>
      <c r="AF932" s="127"/>
    </row>
    <row r="933" spans="1:32" s="5" customFormat="1" ht="16.5">
      <c r="A933" s="112"/>
      <c r="B933" s="1562" t="str">
        <f>E892</f>
        <v>.....................................</v>
      </c>
      <c r="C933" s="1562"/>
      <c r="D933" s="1562"/>
      <c r="E933" s="1562"/>
      <c r="F933" s="1562"/>
      <c r="G933" s="1562"/>
      <c r="M933" s="1562" t="str">
        <f>E895</f>
        <v>CÔNG TY TNHH MTV HANTECH</v>
      </c>
      <c r="N933" s="1562"/>
      <c r="Q933" s="129"/>
      <c r="R933" s="129"/>
      <c r="S933" s="129"/>
      <c r="T933" s="129"/>
      <c r="U933" s="127"/>
      <c r="V933" s="127"/>
      <c r="W933" s="127"/>
      <c r="X933" s="127"/>
      <c r="Y933" s="127"/>
      <c r="Z933" s="127"/>
      <c r="AA933" s="127"/>
      <c r="AB933" s="127"/>
      <c r="AC933" s="127"/>
      <c r="AD933" s="127"/>
      <c r="AE933" s="127"/>
      <c r="AF933" s="127"/>
    </row>
    <row r="934" spans="1:32" s="5" customFormat="1">
      <c r="Q934" s="129"/>
      <c r="R934" s="129"/>
      <c r="S934" s="129"/>
      <c r="T934" s="129"/>
      <c r="U934" s="127"/>
      <c r="V934" s="127"/>
      <c r="W934" s="127"/>
      <c r="X934" s="127"/>
      <c r="Y934" s="127"/>
      <c r="Z934" s="127"/>
      <c r="AA934" s="127"/>
      <c r="AB934" s="127"/>
      <c r="AC934" s="127"/>
      <c r="AD934" s="127"/>
      <c r="AE934" s="127"/>
      <c r="AF934" s="127"/>
    </row>
    <row r="935" spans="1:32" s="5" customFormat="1" ht="16.5">
      <c r="A935" s="113"/>
      <c r="Q935" s="129"/>
      <c r="R935" s="129"/>
      <c r="S935" s="129"/>
      <c r="T935" s="129"/>
      <c r="U935" s="127"/>
      <c r="V935" s="127"/>
      <c r="W935" s="127"/>
      <c r="X935" s="127"/>
      <c r="Y935" s="127"/>
      <c r="Z935" s="127"/>
      <c r="AA935" s="127"/>
      <c r="AB935" s="127"/>
      <c r="AC935" s="127"/>
      <c r="AD935" s="127"/>
      <c r="AE935" s="127"/>
      <c r="AF935" s="127"/>
    </row>
    <row r="936" spans="1:32" s="5" customFormat="1" ht="16.5">
      <c r="A936" s="110"/>
      <c r="Q936" s="129"/>
      <c r="R936" s="129"/>
      <c r="S936" s="129"/>
      <c r="T936" s="129"/>
      <c r="U936" s="127"/>
      <c r="V936" s="127"/>
      <c r="W936" s="127"/>
      <c r="X936" s="127"/>
      <c r="Y936" s="127"/>
      <c r="Z936" s="127"/>
      <c r="AA936" s="127"/>
      <c r="AB936" s="127"/>
      <c r="AC936" s="127"/>
      <c r="AD936" s="127"/>
      <c r="AE936" s="127"/>
      <c r="AF936" s="127"/>
    </row>
    <row r="937" spans="1:32" s="5" customFormat="1" ht="16.5">
      <c r="A937" s="110"/>
      <c r="Q937" s="129"/>
      <c r="R937" s="129"/>
      <c r="S937" s="129"/>
      <c r="T937" s="129"/>
      <c r="U937" s="127"/>
      <c r="V937" s="127"/>
      <c r="W937" s="127"/>
      <c r="X937" s="127"/>
      <c r="Y937" s="127"/>
      <c r="Z937" s="127"/>
      <c r="AA937" s="127"/>
      <c r="AB937" s="127"/>
      <c r="AC937" s="127"/>
      <c r="AD937" s="127"/>
      <c r="AE937" s="127"/>
      <c r="AF937" s="127"/>
    </row>
    <row r="938" spans="1:32" s="5" customFormat="1" ht="16.5">
      <c r="A938" s="113"/>
      <c r="Q938" s="129"/>
      <c r="R938" s="129"/>
      <c r="S938" s="129"/>
      <c r="T938" s="129"/>
      <c r="U938" s="127"/>
      <c r="V938" s="127"/>
      <c r="W938" s="127"/>
      <c r="X938" s="127"/>
      <c r="Y938" s="127"/>
      <c r="Z938" s="127"/>
      <c r="AA938" s="127"/>
      <c r="AB938" s="127"/>
      <c r="AC938" s="127"/>
      <c r="AD938" s="127"/>
      <c r="AE938" s="127"/>
      <c r="AF938" s="127"/>
    </row>
    <row r="939" spans="1:32" s="5" customFormat="1" ht="16.5">
      <c r="A939" s="113"/>
      <c r="Q939" s="129"/>
      <c r="R939" s="129"/>
      <c r="S939" s="129"/>
      <c r="T939" s="129"/>
      <c r="U939" s="127"/>
      <c r="V939" s="127"/>
      <c r="W939" s="127"/>
      <c r="X939" s="127"/>
      <c r="Y939" s="127"/>
      <c r="Z939" s="127"/>
      <c r="AA939" s="127"/>
      <c r="AB939" s="127"/>
      <c r="AC939" s="127"/>
      <c r="AD939" s="127"/>
      <c r="AE939" s="127"/>
      <c r="AF939" s="127"/>
    </row>
    <row r="940" spans="1:32" s="5" customFormat="1" ht="16.5">
      <c r="A940" s="110"/>
      <c r="Q940" s="129"/>
      <c r="R940" s="129"/>
      <c r="S940" s="129"/>
      <c r="T940" s="129"/>
      <c r="U940" s="127"/>
      <c r="V940" s="127"/>
      <c r="W940" s="127"/>
      <c r="X940" s="127"/>
      <c r="Y940" s="127"/>
      <c r="Z940" s="127"/>
      <c r="AA940" s="127"/>
      <c r="AB940" s="127"/>
      <c r="AC940" s="127"/>
      <c r="AD940" s="127"/>
      <c r="AE940" s="127"/>
      <c r="AF940" s="127"/>
    </row>
    <row r="941" spans="1:32" s="5" customFormat="1" ht="16.5">
      <c r="A941" s="110"/>
      <c r="Q941" s="129"/>
      <c r="R941" s="129"/>
      <c r="S941" s="129"/>
      <c r="T941" s="129"/>
      <c r="U941" s="127"/>
      <c r="V941" s="127"/>
      <c r="W941" s="127"/>
      <c r="X941" s="127"/>
      <c r="Y941" s="127"/>
      <c r="Z941" s="127"/>
      <c r="AA941" s="127"/>
      <c r="AB941" s="127"/>
      <c r="AC941" s="127"/>
      <c r="AD941" s="127"/>
      <c r="AE941" s="127"/>
      <c r="AF941" s="127"/>
    </row>
    <row r="942" spans="1:32" s="5" customFormat="1" ht="16.5">
      <c r="B942" s="110"/>
      <c r="C942" s="110"/>
      <c r="Q942" s="129"/>
      <c r="R942" s="129"/>
      <c r="S942" s="129"/>
      <c r="T942" s="129"/>
      <c r="U942" s="127"/>
      <c r="V942" s="127"/>
      <c r="W942" s="127"/>
      <c r="X942" s="127"/>
      <c r="Y942" s="127"/>
      <c r="Z942" s="127"/>
      <c r="AA942" s="127"/>
      <c r="AB942" s="127"/>
      <c r="AC942" s="127"/>
      <c r="AD942" s="127"/>
      <c r="AE942" s="127"/>
      <c r="AF942" s="127"/>
    </row>
    <row r="943" spans="1:32" s="5" customFormat="1" ht="16.5">
      <c r="B943" s="110"/>
      <c r="C943" s="110"/>
      <c r="Q943" s="129"/>
      <c r="R943" s="129"/>
      <c r="S943" s="129"/>
      <c r="T943" s="129"/>
      <c r="U943" s="127"/>
      <c r="V943" s="127"/>
      <c r="W943" s="127"/>
      <c r="X943" s="127"/>
      <c r="Y943" s="127"/>
      <c r="Z943" s="127"/>
      <c r="AA943" s="127"/>
      <c r="AB943" s="127"/>
      <c r="AC943" s="127"/>
      <c r="AD943" s="127"/>
      <c r="AE943" s="127"/>
      <c r="AF943" s="127"/>
    </row>
    <row r="944" spans="1:32" s="5" customFormat="1" ht="16.5">
      <c r="B944" s="110"/>
      <c r="C944" s="110"/>
      <c r="Q944" s="129"/>
      <c r="R944" s="129"/>
      <c r="S944" s="129"/>
      <c r="T944" s="129"/>
      <c r="U944" s="127"/>
      <c r="V944" s="127"/>
      <c r="W944" s="127"/>
      <c r="X944" s="127"/>
      <c r="Y944" s="127"/>
      <c r="Z944" s="127"/>
      <c r="AA944" s="127"/>
      <c r="AB944" s="127"/>
      <c r="AC944" s="127"/>
      <c r="AD944" s="127"/>
      <c r="AE944" s="127"/>
      <c r="AF944" s="127"/>
    </row>
    <row r="945" spans="1:249" s="5" customFormat="1" ht="16.5">
      <c r="B945" s="110"/>
      <c r="C945" s="110"/>
      <c r="Q945" s="129"/>
      <c r="R945" s="129"/>
      <c r="S945" s="129"/>
      <c r="T945" s="129"/>
      <c r="U945" s="127"/>
      <c r="V945" s="127"/>
      <c r="W945" s="127"/>
      <c r="X945" s="127"/>
      <c r="Y945" s="127"/>
      <c r="Z945" s="127"/>
      <c r="AA945" s="127"/>
      <c r="AB945" s="127"/>
      <c r="AC945" s="127"/>
      <c r="AD945" s="127"/>
      <c r="AE945" s="127"/>
      <c r="AF945" s="127"/>
    </row>
    <row r="946" spans="1:249" s="5" customFormat="1" ht="16.5">
      <c r="A946" s="113"/>
      <c r="Q946" s="129"/>
      <c r="R946" s="129"/>
      <c r="S946" s="129"/>
      <c r="T946" s="129"/>
      <c r="U946" s="127"/>
      <c r="V946" s="127"/>
      <c r="W946" s="127"/>
      <c r="X946" s="127"/>
      <c r="Y946" s="127"/>
      <c r="Z946" s="127"/>
      <c r="AA946" s="127"/>
      <c r="AB946" s="127"/>
      <c r="AC946" s="127"/>
      <c r="AD946" s="127"/>
      <c r="AE946" s="127"/>
      <c r="AF946" s="127"/>
    </row>
    <row r="947" spans="1:249" s="5" customFormat="1" ht="16.5">
      <c r="B947" s="114"/>
      <c r="C947" s="114"/>
      <c r="Q947" s="129"/>
      <c r="R947" s="129"/>
      <c r="S947" s="129"/>
      <c r="T947" s="129"/>
      <c r="U947" s="127"/>
      <c r="V947" s="127"/>
      <c r="W947" s="127"/>
      <c r="X947" s="127"/>
      <c r="Y947" s="127"/>
      <c r="Z947" s="127"/>
      <c r="AA947" s="127"/>
      <c r="AB947" s="127"/>
      <c r="AC947" s="127"/>
      <c r="AD947" s="127"/>
      <c r="AE947" s="127"/>
      <c r="AF947" s="127"/>
    </row>
    <row r="948" spans="1:249" s="5" customFormat="1" ht="16.5">
      <c r="A948" s="1563"/>
      <c r="B948" s="1563"/>
      <c r="C948" s="115"/>
      <c r="D948" s="74"/>
      <c r="E948" s="74"/>
      <c r="F948" s="74"/>
      <c r="G948" s="74"/>
      <c r="H948" s="74"/>
      <c r="Q948" s="129"/>
      <c r="R948" s="129"/>
      <c r="S948" s="129"/>
      <c r="T948" s="129"/>
      <c r="U948" s="127"/>
      <c r="V948" s="127"/>
      <c r="W948" s="127"/>
      <c r="X948" s="127"/>
      <c r="Y948" s="127"/>
      <c r="Z948" s="127"/>
      <c r="AA948" s="127"/>
      <c r="AB948" s="127"/>
      <c r="AC948" s="127"/>
      <c r="AD948" s="127"/>
      <c r="AE948" s="127"/>
      <c r="AF948" s="127"/>
    </row>
    <row r="949" spans="1:249" s="5" customFormat="1" ht="16.5">
      <c r="A949" s="58"/>
      <c r="B949" s="58"/>
      <c r="C949" s="58"/>
      <c r="D949" s="58"/>
      <c r="E949" s="58"/>
      <c r="F949" s="58"/>
      <c r="G949" s="58"/>
      <c r="H949" s="58"/>
      <c r="Q949" s="129"/>
      <c r="R949" s="129"/>
      <c r="S949" s="129"/>
      <c r="T949" s="129"/>
      <c r="U949" s="127"/>
      <c r="V949" s="127"/>
      <c r="W949" s="127"/>
      <c r="X949" s="127"/>
      <c r="Y949" s="127"/>
      <c r="Z949" s="127"/>
      <c r="AA949" s="127"/>
      <c r="AB949" s="127"/>
      <c r="AC949" s="127"/>
      <c r="AD949" s="127"/>
      <c r="AE949" s="127"/>
      <c r="AF949" s="127"/>
    </row>
    <row r="950" spans="1:249" s="5" customFormat="1" ht="16.5">
      <c r="A950" s="74"/>
      <c r="B950" s="58"/>
      <c r="C950" s="58"/>
      <c r="D950" s="58"/>
      <c r="E950" s="58"/>
      <c r="F950" s="58"/>
      <c r="G950" s="58"/>
      <c r="H950" s="58"/>
      <c r="Q950" s="129"/>
      <c r="R950" s="129"/>
      <c r="S950" s="129"/>
      <c r="T950" s="129"/>
      <c r="U950" s="127"/>
      <c r="V950" s="127"/>
      <c r="W950" s="127"/>
      <c r="X950" s="127"/>
      <c r="Y950" s="127"/>
      <c r="Z950" s="127"/>
      <c r="AA950" s="127"/>
      <c r="AB950" s="127"/>
      <c r="AC950" s="127"/>
      <c r="AD950" s="127"/>
      <c r="AE950" s="127"/>
      <c r="AF950" s="127"/>
    </row>
    <row r="951" spans="1:249" s="5" customFormat="1" ht="16.5">
      <c r="A951" s="74"/>
      <c r="B951" s="58"/>
      <c r="C951" s="58"/>
      <c r="D951" s="58"/>
      <c r="E951" s="58"/>
      <c r="F951" s="58"/>
      <c r="G951" s="58"/>
      <c r="H951" s="58"/>
      <c r="Q951" s="129"/>
      <c r="R951" s="129"/>
      <c r="S951" s="129"/>
      <c r="T951" s="129"/>
      <c r="U951" s="127"/>
      <c r="V951" s="127"/>
      <c r="W951" s="127"/>
      <c r="X951" s="127"/>
      <c r="Y951" s="127"/>
      <c r="Z951" s="127"/>
      <c r="AA951" s="127"/>
      <c r="AB951" s="127"/>
      <c r="AC951" s="127"/>
      <c r="AD951" s="127"/>
      <c r="AE951" s="127"/>
      <c r="AF951" s="127"/>
    </row>
    <row r="952" spans="1:249" s="5" customFormat="1" ht="16.5">
      <c r="A952" s="74"/>
      <c r="B952" s="58"/>
      <c r="C952" s="58"/>
      <c r="D952" s="58"/>
      <c r="E952" s="58"/>
      <c r="F952" s="58"/>
      <c r="G952" s="58"/>
      <c r="H952" s="58"/>
      <c r="Q952" s="129"/>
      <c r="R952" s="129"/>
      <c r="S952" s="129"/>
      <c r="T952" s="129"/>
      <c r="U952" s="127"/>
      <c r="V952" s="127"/>
      <c r="W952" s="127"/>
      <c r="X952" s="127"/>
      <c r="Y952" s="127"/>
      <c r="Z952" s="127"/>
      <c r="AA952" s="127"/>
      <c r="AB952" s="127"/>
      <c r="AC952" s="127"/>
      <c r="AD952" s="127"/>
      <c r="AE952" s="127"/>
      <c r="AF952" s="127"/>
    </row>
    <row r="953" spans="1:249" s="5" customFormat="1" ht="17.25">
      <c r="A953" s="1593" t="str">
        <f>'Du lieu'!$C$13</f>
        <v>.....................................</v>
      </c>
      <c r="B953" s="1593"/>
      <c r="C953" s="1593"/>
      <c r="D953" s="1593"/>
      <c r="E953" s="1593"/>
      <c r="F953" s="1593"/>
      <c r="G953" s="1592"/>
      <c r="H953" s="1483" t="s">
        <v>199</v>
      </c>
      <c r="I953" s="1483"/>
      <c r="J953" s="1483"/>
      <c r="K953" s="1483"/>
      <c r="L953" s="1483"/>
      <c r="M953" s="1483"/>
      <c r="N953" s="1483"/>
      <c r="Q953" s="129"/>
      <c r="R953" s="129"/>
      <c r="S953" s="129"/>
      <c r="T953" s="129"/>
      <c r="U953" s="127"/>
      <c r="V953" s="127"/>
      <c r="W953" s="127"/>
      <c r="X953" s="127"/>
      <c r="Y953" s="127"/>
      <c r="Z953" s="127"/>
      <c r="AA953" s="127"/>
      <c r="AB953" s="127"/>
      <c r="AC953" s="127"/>
      <c r="AD953" s="127"/>
      <c r="AE953" s="127"/>
      <c r="AF953" s="127"/>
    </row>
    <row r="954" spans="1:249" ht="23.25" customHeight="1">
      <c r="A954" s="1592"/>
      <c r="B954" s="1592"/>
      <c r="C954" s="1592"/>
      <c r="D954" s="1592"/>
      <c r="E954" s="1592"/>
      <c r="F954" s="1592"/>
      <c r="G954" s="1592"/>
      <c r="H954" s="1484" t="s">
        <v>200</v>
      </c>
      <c r="I954" s="1484"/>
      <c r="J954" s="1484"/>
      <c r="K954" s="1484"/>
      <c r="L954" s="1484"/>
      <c r="M954" s="1484"/>
      <c r="N954" s="1484"/>
    </row>
    <row r="955" spans="1:249" ht="17.25" customHeight="1">
      <c r="A955" s="1592"/>
      <c r="B955" s="1592"/>
      <c r="C955" s="1592"/>
      <c r="D955" s="1592"/>
      <c r="E955" s="1592"/>
      <c r="F955" s="1592"/>
      <c r="G955" s="1592"/>
      <c r="H955" s="14"/>
      <c r="I955" s="1486">
        <f>$U$20</f>
        <v>42496</v>
      </c>
      <c r="J955" s="1486"/>
      <c r="K955" s="1486"/>
      <c r="L955" s="1486"/>
      <c r="M955" s="1486"/>
      <c r="N955" s="1486"/>
    </row>
    <row r="956" spans="1:249" ht="17.25" customHeight="1">
      <c r="A956" s="1592"/>
      <c r="B956" s="1592"/>
      <c r="C956" s="1592"/>
      <c r="D956" s="1592"/>
      <c r="E956" s="1592"/>
      <c r="F956" s="1592"/>
      <c r="G956" s="1592"/>
      <c r="I956" s="19"/>
      <c r="J956" s="3"/>
      <c r="K956" s="20"/>
      <c r="L956" s="21"/>
      <c r="M956" s="20"/>
      <c r="O956" s="15"/>
      <c r="P956" s="15"/>
      <c r="Q956" s="16" t="s">
        <v>201</v>
      </c>
      <c r="R956" s="16" t="str">
        <f>'Du lieu'!$C$4</f>
        <v>KHU HỖN HỢP CHUNG CƯ, VĂN PHÒNG, TRUNG TÂM THƯƠNG MẠI VÀ NHÀ Ở KẾT HỢP KHU MUA SẮM</v>
      </c>
      <c r="S956" s="137"/>
      <c r="T956" s="17"/>
      <c r="U956" s="15"/>
      <c r="V956" s="15"/>
      <c r="W956" s="15"/>
      <c r="X956" s="15"/>
      <c r="Y956" s="15"/>
      <c r="Z956" s="15"/>
      <c r="AA956" s="15"/>
      <c r="AB956" s="15"/>
      <c r="AC956" s="15"/>
      <c r="AD956" s="1492"/>
      <c r="AE956" s="1492"/>
      <c r="AF956" s="1492"/>
      <c r="AG956" s="1492"/>
      <c r="AH956" s="1492"/>
      <c r="AI956" s="1492"/>
      <c r="AJ956" s="1492"/>
      <c r="AK956" s="1492"/>
      <c r="AL956" s="1492"/>
      <c r="AM956" s="1492"/>
      <c r="AN956" s="1492"/>
      <c r="AO956" s="1492"/>
      <c r="AP956" s="1492"/>
      <c r="AQ956" s="1492"/>
      <c r="AR956" s="1492"/>
      <c r="AS956" s="1492"/>
      <c r="AT956" s="1492"/>
      <c r="AU956" s="1492"/>
      <c r="AV956" s="1492"/>
      <c r="AW956" s="1492"/>
      <c r="AX956" s="1492"/>
      <c r="AY956" s="1492"/>
      <c r="AZ956" s="1492"/>
      <c r="BA956" s="1492"/>
      <c r="BB956" s="1492"/>
      <c r="BC956" s="1492"/>
      <c r="BD956" s="1492"/>
      <c r="BE956" s="1492"/>
      <c r="BF956" s="1492"/>
      <c r="BG956" s="1492"/>
      <c r="BH956" s="1492"/>
      <c r="BI956" s="1492"/>
      <c r="BJ956" s="1492"/>
      <c r="BK956" s="1492"/>
      <c r="BL956" s="1492"/>
      <c r="BM956" s="1492"/>
      <c r="BN956" s="1492"/>
      <c r="BO956" s="1492"/>
      <c r="BP956" s="1492"/>
      <c r="BQ956" s="1492"/>
      <c r="BR956" s="1492"/>
      <c r="BS956" s="1492"/>
      <c r="BT956" s="1492"/>
      <c r="BU956" s="1492"/>
      <c r="BV956" s="1492"/>
      <c r="BW956" s="1492"/>
      <c r="BX956" s="1492"/>
      <c r="BY956" s="1492"/>
      <c r="BZ956" s="1492"/>
      <c r="CA956" s="1492"/>
      <c r="CB956" s="1492"/>
      <c r="CC956" s="1492"/>
      <c r="CD956" s="1492"/>
      <c r="CE956" s="1492"/>
      <c r="CF956" s="1492"/>
      <c r="CG956" s="1492"/>
      <c r="CH956" s="1492"/>
      <c r="CI956" s="1492"/>
      <c r="CJ956" s="1492"/>
      <c r="CK956" s="1492"/>
      <c r="CL956" s="1492"/>
      <c r="CM956" s="1492"/>
      <c r="CN956" s="1492"/>
      <c r="CO956" s="1492"/>
      <c r="CP956" s="1492"/>
      <c r="CQ956" s="1492"/>
      <c r="CR956" s="1492"/>
      <c r="CS956" s="1492"/>
      <c r="CT956" s="1492"/>
      <c r="CU956" s="1492"/>
      <c r="CV956" s="1492"/>
      <c r="CW956" s="1492"/>
      <c r="CX956" s="1492"/>
      <c r="CY956" s="1492"/>
      <c r="CZ956" s="1492"/>
      <c r="DA956" s="1492"/>
      <c r="DB956" s="1492"/>
      <c r="DC956" s="1492"/>
      <c r="DD956" s="1492"/>
      <c r="DE956" s="1492"/>
      <c r="DF956" s="1492"/>
      <c r="DG956" s="1492"/>
      <c r="DH956" s="1492"/>
      <c r="DI956" s="1492"/>
      <c r="DJ956" s="1492"/>
      <c r="DK956" s="1492"/>
      <c r="DL956" s="1492"/>
      <c r="DM956" s="1492"/>
      <c r="DN956" s="1492"/>
      <c r="DO956" s="1492"/>
      <c r="DP956" s="1492"/>
      <c r="DQ956" s="1492"/>
      <c r="DR956" s="1492"/>
      <c r="DS956" s="1492"/>
      <c r="DT956" s="1492"/>
      <c r="DU956" s="1492"/>
      <c r="DV956" s="1492"/>
      <c r="DW956" s="1492"/>
      <c r="DX956" s="1492"/>
      <c r="DY956" s="1492"/>
      <c r="DZ956" s="1492"/>
      <c r="EA956" s="1492"/>
      <c r="EB956" s="1492"/>
      <c r="EC956" s="1492"/>
      <c r="ED956" s="1492"/>
      <c r="EE956" s="1492"/>
      <c r="EF956" s="1492"/>
      <c r="EG956" s="1492"/>
      <c r="EH956" s="1492"/>
      <c r="EI956" s="1492"/>
      <c r="EJ956" s="1492"/>
      <c r="EK956" s="1492"/>
      <c r="EL956" s="1492"/>
      <c r="EM956" s="1492"/>
      <c r="EN956" s="1492"/>
      <c r="EO956" s="1492"/>
      <c r="EP956" s="1492"/>
      <c r="EQ956" s="1492"/>
      <c r="ER956" s="1492"/>
      <c r="ES956" s="1492"/>
      <c r="ET956" s="1492"/>
      <c r="EU956" s="1492"/>
      <c r="EV956" s="1492"/>
      <c r="EW956" s="1492"/>
      <c r="EX956" s="1492"/>
      <c r="EY956" s="1492"/>
      <c r="EZ956" s="1492"/>
      <c r="FA956" s="1492"/>
      <c r="FB956" s="1492"/>
      <c r="FC956" s="1492"/>
      <c r="FD956" s="1492"/>
      <c r="FE956" s="1492"/>
      <c r="FF956" s="1492"/>
      <c r="FG956" s="1492"/>
      <c r="FH956" s="1492"/>
      <c r="FI956" s="1492"/>
      <c r="FJ956" s="1492"/>
      <c r="FK956" s="1492"/>
      <c r="FL956" s="1492"/>
      <c r="FM956" s="1492"/>
      <c r="FN956" s="1492"/>
      <c r="FO956" s="1492"/>
      <c r="FP956" s="1492"/>
      <c r="FQ956" s="1492"/>
      <c r="FR956" s="1492"/>
      <c r="FS956" s="1492"/>
      <c r="FT956" s="1492"/>
      <c r="FU956" s="1492"/>
      <c r="FV956" s="1492"/>
      <c r="FW956" s="1492"/>
      <c r="FX956" s="1492"/>
      <c r="FY956" s="1492"/>
      <c r="FZ956" s="1492"/>
      <c r="GA956" s="1492"/>
      <c r="GB956" s="1492"/>
      <c r="GC956" s="1492"/>
      <c r="GD956" s="1492"/>
      <c r="GE956" s="1492"/>
      <c r="GF956" s="1492"/>
      <c r="GG956" s="1492"/>
      <c r="GH956" s="1492"/>
      <c r="GI956" s="1492"/>
      <c r="GJ956" s="1492"/>
      <c r="GK956" s="1492"/>
      <c r="GL956" s="1492"/>
      <c r="GM956" s="1492"/>
      <c r="GN956" s="1492"/>
      <c r="GO956" s="1492"/>
      <c r="GP956" s="1492"/>
      <c r="GQ956" s="1492"/>
      <c r="GR956" s="1492"/>
      <c r="GS956" s="1492"/>
      <c r="GT956" s="1492"/>
      <c r="GU956" s="1492"/>
      <c r="GV956" s="1492"/>
      <c r="GW956" s="1492"/>
      <c r="GX956" s="1492"/>
      <c r="GY956" s="1492"/>
      <c r="GZ956" s="1492"/>
      <c r="HA956" s="1492"/>
      <c r="HB956" s="1492"/>
      <c r="HC956" s="1492"/>
      <c r="HD956" s="1492"/>
      <c r="HE956" s="1492"/>
      <c r="HF956" s="1492"/>
      <c r="HG956" s="1492"/>
      <c r="HH956" s="1492"/>
      <c r="HI956" s="1492"/>
      <c r="HJ956" s="1492"/>
      <c r="HK956" s="1492"/>
      <c r="HL956" s="1492"/>
      <c r="HM956" s="1492"/>
      <c r="HN956" s="1492"/>
      <c r="HO956" s="1492"/>
      <c r="HP956" s="1492"/>
      <c r="HQ956" s="1492"/>
      <c r="HR956" s="1492"/>
      <c r="HS956" s="1492"/>
      <c r="HT956" s="1492"/>
      <c r="HU956" s="1492"/>
      <c r="HV956" s="1492"/>
      <c r="HW956" s="1492"/>
      <c r="HX956" s="1492"/>
      <c r="HY956" s="1492"/>
      <c r="HZ956" s="1492"/>
      <c r="IA956" s="1492"/>
      <c r="IB956" s="1492"/>
      <c r="IC956" s="1492"/>
      <c r="ID956" s="1492"/>
      <c r="IE956" s="1492"/>
      <c r="IF956" s="1492"/>
      <c r="IG956" s="1492"/>
      <c r="IH956" s="1492"/>
      <c r="II956" s="1492"/>
      <c r="IJ956" s="1492"/>
      <c r="IK956" s="1492"/>
      <c r="IL956" s="1492"/>
      <c r="IM956" s="1492"/>
      <c r="IN956" s="1492"/>
      <c r="IO956" s="14"/>
    </row>
    <row r="957" spans="1:249" ht="17.25" customHeight="1">
      <c r="A957" s="1493" t="str">
        <f>"Biªn b¶n sè: "&amp;$R$12&amp;"/ Nb-BT/"&amp;$R$14</f>
        <v>Biªn b¶n sè: B1/ Nb-BT/800</v>
      </c>
      <c r="B957" s="1493"/>
      <c r="C957" s="1493"/>
      <c r="D957" s="1493"/>
      <c r="E957" s="1493"/>
      <c r="F957" s="1493"/>
      <c r="G957" s="1493"/>
      <c r="H957" s="1493"/>
      <c r="I957" s="1493"/>
      <c r="J957" s="1493"/>
      <c r="K957" s="1493"/>
      <c r="L957" s="1493"/>
      <c r="M957" s="1493"/>
      <c r="N957" s="1493"/>
      <c r="Q957" s="22" t="s">
        <v>202</v>
      </c>
      <c r="R957" s="16" t="str">
        <f>'Du lieu'!$C$6</f>
        <v>P. BẠCH ĐẰNG, TP. HẠ LONG, TỈNH QUẢNG NINH</v>
      </c>
      <c r="S957" s="137"/>
      <c r="T957" s="23"/>
    </row>
    <row r="958" spans="1:249" s="24" customFormat="1" ht="22.5" customHeight="1">
      <c r="A958" s="1493" t="s">
        <v>204</v>
      </c>
      <c r="B958" s="1493"/>
      <c r="C958" s="1493"/>
      <c r="D958" s="1493"/>
      <c r="E958" s="1493"/>
      <c r="F958" s="1493"/>
      <c r="G958" s="1493"/>
      <c r="H958" s="1493"/>
      <c r="I958" s="1493"/>
      <c r="J958" s="1493"/>
      <c r="K958" s="1493"/>
      <c r="L958" s="1493"/>
      <c r="M958" s="1493"/>
      <c r="N958" s="1493"/>
      <c r="Q958" s="22" t="s">
        <v>203</v>
      </c>
      <c r="R958" s="16" t="str">
        <f>'Du lieu'!$C$5</f>
        <v>CỌC KHOAN NHỒI</v>
      </c>
      <c r="S958" s="137"/>
      <c r="T958" s="23"/>
    </row>
    <row r="959" spans="1:249" s="24" customFormat="1" ht="21" customHeight="1">
      <c r="A959" s="12"/>
      <c r="B959"/>
      <c r="C959"/>
      <c r="D959"/>
      <c r="E959"/>
      <c r="F959"/>
      <c r="G959"/>
      <c r="H959"/>
      <c r="I959"/>
      <c r="J959"/>
      <c r="K959"/>
      <c r="L959"/>
      <c r="M959"/>
      <c r="N959"/>
      <c r="T959" s="25"/>
    </row>
    <row r="960" spans="1:249" ht="26.25">
      <c r="B960" s="27"/>
      <c r="C960" s="28" t="str">
        <f>"C«ng tr×nh: "&amp;$R$3</f>
        <v>C«ng tr×nh: KHU HỖN HỢP CHUNG CƯ, VĂN PHÒNG, TRUNG TÂM THƯƠNG MẠI VÀ NHÀ Ở KẾT HỢP KHU MUA SẮM</v>
      </c>
      <c r="D960" s="27"/>
      <c r="E960" s="27"/>
      <c r="F960" s="27"/>
      <c r="G960" s="27"/>
      <c r="H960" s="27"/>
      <c r="I960" s="27"/>
      <c r="J960" s="27"/>
      <c r="K960" s="27"/>
      <c r="L960" s="27"/>
      <c r="R960" s="26"/>
      <c r="S960" s="26"/>
      <c r="T960" s="25"/>
    </row>
    <row r="961" spans="1:24" ht="21.95" customHeight="1">
      <c r="B961" s="27"/>
      <c r="C961" s="28" t="str">
        <f>"H¹ng môc: "&amp;$R$5</f>
        <v>H¹ng môc: CỌC KHOAN NHỒI</v>
      </c>
      <c r="D961" s="27"/>
      <c r="E961" s="29"/>
      <c r="F961" s="28"/>
      <c r="G961" s="28"/>
      <c r="H961" s="28"/>
      <c r="I961" s="28"/>
      <c r="J961" s="28"/>
      <c r="K961" s="28"/>
      <c r="L961" s="28"/>
      <c r="M961" s="28"/>
    </row>
    <row r="962" spans="1:24" ht="21.95" customHeight="1">
      <c r="B962" s="30"/>
      <c r="C962" s="1487" t="str">
        <f>"§Þa ®iÓm x©y dùng: "&amp;$R$4</f>
        <v>§Þa ®iÓm x©y dùng: P. BẠCH ĐẰNG, TP. HẠ LONG, TỈNH QUẢNG NINH</v>
      </c>
      <c r="D962" s="1487"/>
      <c r="E962" s="1487"/>
      <c r="F962" s="1487"/>
      <c r="G962" s="1487"/>
      <c r="H962" s="1487"/>
      <c r="I962" s="1487"/>
      <c r="J962" s="1487"/>
      <c r="K962" s="1487"/>
      <c r="L962" s="1487"/>
      <c r="M962" s="1487"/>
      <c r="N962" s="1487"/>
    </row>
    <row r="963" spans="1:24" ht="21.95" customHeight="1">
      <c r="B963" s="30"/>
      <c r="C963" s="31"/>
      <c r="D963" s="30"/>
      <c r="E963" s="30"/>
      <c r="F963" s="30"/>
      <c r="G963" s="30"/>
      <c r="H963" s="30"/>
      <c r="I963" s="30"/>
      <c r="J963" s="30"/>
      <c r="K963" s="30"/>
      <c r="L963" s="30"/>
    </row>
    <row r="964" spans="1:24" ht="16.5">
      <c r="A964" s="30" t="str">
        <f>"1.§èi t­îng nghiÖm thu: Bª t«ng cäc: "&amp;$R$12</f>
        <v>1.§èi t­îng nghiÖm thu: Bª t«ng cäc: B1</v>
      </c>
      <c r="B964" s="30"/>
      <c r="C964" s="30"/>
      <c r="D964" s="30"/>
      <c r="E964" s="30"/>
      <c r="F964" s="27"/>
      <c r="H964" s="30"/>
      <c r="I964" s="30"/>
      <c r="J964" s="30"/>
      <c r="K964" s="30"/>
      <c r="L964" s="30"/>
    </row>
    <row r="965" spans="1:24" ht="16.5">
      <c r="A965" s="30"/>
      <c r="B965" s="30"/>
      <c r="C965" s="30"/>
      <c r="D965" s="30"/>
      <c r="E965" s="30"/>
      <c r="F965" s="27"/>
      <c r="H965" s="30"/>
      <c r="I965" s="30"/>
      <c r="J965" s="30"/>
      <c r="K965" s="30"/>
      <c r="L965" s="30"/>
      <c r="Q965" s="119" t="s">
        <v>205</v>
      </c>
      <c r="R965" s="119" t="e">
        <v>#REF!</v>
      </c>
      <c r="S965" s="119"/>
      <c r="T965" s="119"/>
      <c r="U965" s="1"/>
      <c r="V965" s="120">
        <v>3.472222222222222E-3</v>
      </c>
      <c r="W965" s="6" t="s">
        <v>206</v>
      </c>
    </row>
    <row r="966" spans="1:24" ht="27" hidden="1" customHeight="1">
      <c r="A966" s="1488" t="s">
        <v>207</v>
      </c>
      <c r="B966" s="1488"/>
      <c r="C966" s="1488"/>
      <c r="D966" s="1488"/>
      <c r="E966" s="1488"/>
      <c r="F966" s="1488"/>
      <c r="G966" s="1488"/>
      <c r="H966" s="1488"/>
      <c r="I966" s="1488"/>
      <c r="J966" s="1488"/>
      <c r="K966" s="1488"/>
      <c r="L966" s="1488"/>
      <c r="Q966" s="32"/>
      <c r="R966" s="119"/>
      <c r="S966" s="119"/>
      <c r="T966" s="119"/>
      <c r="U966" s="1"/>
    </row>
    <row r="967" spans="1:24" ht="21.95" customHeight="1">
      <c r="A967" s="27"/>
      <c r="B967" s="33" t="s">
        <v>208</v>
      </c>
      <c r="C967" s="34"/>
      <c r="D967" s="34"/>
      <c r="E967" s="27"/>
      <c r="F967" s="27"/>
      <c r="G967" s="27"/>
      <c r="H967" s="27"/>
      <c r="I967" s="27"/>
      <c r="J967" s="27"/>
      <c r="K967" s="27"/>
      <c r="L967" s="27"/>
      <c r="Q967" s="119" t="s">
        <v>156</v>
      </c>
      <c r="R967" s="119" t="e">
        <v>#REF!</v>
      </c>
      <c r="S967" s="119"/>
      <c r="T967" s="119"/>
      <c r="U967" s="1"/>
    </row>
    <row r="968" spans="1:24" ht="21.95" customHeight="1">
      <c r="A968" s="35"/>
      <c r="C968" s="34"/>
      <c r="D968" s="36" t="s">
        <v>210</v>
      </c>
      <c r="E968" s="36" t="str">
        <f>R986</f>
        <v>Nguyễn Mạnh Hùng</v>
      </c>
      <c r="F968" s="36"/>
      <c r="G968" s="35"/>
      <c r="I968" s="37" t="s">
        <v>211</v>
      </c>
      <c r="J968" s="37"/>
      <c r="K968" s="36" t="str">
        <f>T986</f>
        <v>Chỉ huy phó công trường</v>
      </c>
      <c r="L968" s="35"/>
      <c r="M968" s="35"/>
      <c r="Q968" s="119" t="s">
        <v>209</v>
      </c>
      <c r="R968" s="121" t="e">
        <v>#REF!</v>
      </c>
      <c r="S968" s="121"/>
      <c r="T968" s="121" t="e">
        <v>#REF!</v>
      </c>
      <c r="U968" s="122" t="e">
        <v>#REF!</v>
      </c>
      <c r="V968" s="120">
        <v>1.0416666666666666E-2</v>
      </c>
      <c r="W968" s="123" t="e">
        <f>R968-V968</f>
        <v>#REF!</v>
      </c>
      <c r="X968" s="124"/>
    </row>
    <row r="969" spans="1:24" ht="24.75" customHeight="1">
      <c r="A969" s="27"/>
      <c r="B969" s="33" t="s">
        <v>213</v>
      </c>
      <c r="C969" s="34"/>
      <c r="D969" s="34"/>
      <c r="E969" s="27"/>
      <c r="F969" s="27"/>
      <c r="G969" s="27"/>
      <c r="H969" s="27"/>
      <c r="I969" s="27"/>
      <c r="J969" s="27"/>
      <c r="K969" s="27"/>
      <c r="L969" s="27"/>
      <c r="Q969" s="119" t="s">
        <v>212</v>
      </c>
      <c r="R969" s="121" t="e">
        <v>#REF!</v>
      </c>
      <c r="S969" s="121"/>
      <c r="T969" s="121" t="e">
        <v>#REF!</v>
      </c>
      <c r="U969" s="122" t="e">
        <v>#REF!</v>
      </c>
    </row>
    <row r="970" spans="1:24" ht="21.95" customHeight="1">
      <c r="A970" s="35"/>
      <c r="C970" s="38"/>
      <c r="D970" s="39" t="s">
        <v>210</v>
      </c>
      <c r="E970" s="36" t="str">
        <f>R983</f>
        <v>CÔNG TY TNHH MTV HANTECH</v>
      </c>
      <c r="F970" s="36"/>
      <c r="G970" s="35"/>
      <c r="I970" s="37" t="s">
        <v>211</v>
      </c>
      <c r="J970" s="37"/>
      <c r="K970" s="36" t="str">
        <f>T983</f>
        <v>Công ty TNHH MTV HANTECH</v>
      </c>
      <c r="L970" s="36"/>
      <c r="Q970" s="119" t="s">
        <v>214</v>
      </c>
      <c r="R970" s="121" t="e">
        <v>#REF!</v>
      </c>
      <c r="S970" s="121"/>
      <c r="T970" s="121" t="e">
        <v>#REF!</v>
      </c>
      <c r="U970" s="122" t="e">
        <v>#REF!</v>
      </c>
    </row>
    <row r="971" spans="1:24" ht="26.25" customHeight="1">
      <c r="A971" s="35"/>
      <c r="C971" s="38"/>
      <c r="D971" s="39" t="s">
        <v>210</v>
      </c>
      <c r="E971" s="36" t="str">
        <f>R985</f>
        <v>Ngô Văn Khánh</v>
      </c>
      <c r="F971" s="36"/>
      <c r="G971" s="35"/>
      <c r="I971" s="37" t="s">
        <v>211</v>
      </c>
      <c r="J971" s="37"/>
      <c r="K971" s="36" t="str">
        <f>T985</f>
        <v>Chỉ huy trưởng công trường</v>
      </c>
      <c r="L971" s="36"/>
      <c r="Q971" s="119" t="s">
        <v>215</v>
      </c>
      <c r="R971" s="121" t="e">
        <v>#REF!</v>
      </c>
      <c r="S971" s="121"/>
      <c r="T971" s="121" t="e">
        <v>#REF!</v>
      </c>
      <c r="U971" s="122" t="e">
        <v>#REF!</v>
      </c>
    </row>
    <row r="972" spans="1:24" ht="26.25" customHeight="1">
      <c r="A972" s="1488" t="s">
        <v>217</v>
      </c>
      <c r="B972" s="1488"/>
      <c r="C972" s="1488"/>
      <c r="D972" s="1488"/>
      <c r="E972" s="1488"/>
      <c r="F972" s="1488"/>
      <c r="G972" s="1488"/>
      <c r="H972" s="1488"/>
      <c r="I972" s="1488"/>
      <c r="J972" s="1488"/>
      <c r="K972" s="1488"/>
      <c r="L972" s="1488"/>
      <c r="Q972" s="119" t="s">
        <v>216</v>
      </c>
      <c r="R972" s="121" t="e">
        <v>#REF!</v>
      </c>
      <c r="S972" s="121"/>
      <c r="T972" s="121" t="e">
        <v>#REF!</v>
      </c>
      <c r="U972" s="122" t="e">
        <v>#REF!</v>
      </c>
    </row>
    <row r="973" spans="1:24" ht="22.5" customHeight="1">
      <c r="A973" s="40"/>
      <c r="C973" s="24"/>
      <c r="D973" s="24" t="s">
        <v>219</v>
      </c>
      <c r="E973" s="41">
        <f>$W$20</f>
        <v>0.31944444444444442</v>
      </c>
      <c r="F973" s="1489">
        <f>I955</f>
        <v>42496</v>
      </c>
      <c r="G973" s="1489"/>
      <c r="H973" s="1489"/>
      <c r="I973" s="1489"/>
      <c r="J973" s="1489"/>
      <c r="K973" s="1489"/>
      <c r="L973" s="1489"/>
      <c r="M973" s="24"/>
      <c r="N973" s="24"/>
      <c r="Q973" s="119" t="s">
        <v>218</v>
      </c>
      <c r="R973" s="121">
        <v>0.33333333333333331</v>
      </c>
      <c r="S973" s="121"/>
      <c r="T973" s="121">
        <v>0.375</v>
      </c>
      <c r="U973" s="122" t="e">
        <f>U972+30</f>
        <v>#REF!</v>
      </c>
    </row>
    <row r="974" spans="1:24" ht="21.95" customHeight="1">
      <c r="A974" s="40"/>
      <c r="C974" s="24"/>
      <c r="D974" s="24" t="s">
        <v>162</v>
      </c>
      <c r="E974" s="41">
        <f>E973+V12</f>
        <v>0.32291666666666663</v>
      </c>
      <c r="F974" s="1489">
        <f>I955</f>
        <v>42496</v>
      </c>
      <c r="G974" s="1489"/>
      <c r="H974" s="1489"/>
      <c r="I974" s="1489"/>
      <c r="J974" s="1489"/>
      <c r="K974" s="1489"/>
      <c r="L974" s="1489"/>
    </row>
    <row r="975" spans="1:24" ht="21.95" customHeight="1">
      <c r="D975" s="36" t="s">
        <v>220</v>
      </c>
      <c r="F975" s="36" t="str">
        <f>$R$3</f>
        <v>KHU HỖN HỢP CHUNG CƯ, VĂN PHÒNG, TRUNG TÂM THƯƠNG MẠI VÀ NHÀ Ở KẾT HỢP KHU MUA SẮM</v>
      </c>
      <c r="G975" s="30"/>
      <c r="H975" s="30"/>
      <c r="I975" s="30"/>
      <c r="J975" s="30"/>
      <c r="K975" s="30"/>
      <c r="L975" s="30"/>
      <c r="Q975" s="119" t="s">
        <v>192</v>
      </c>
      <c r="R975" s="119" t="str">
        <f>'Du lieu'!$C$7</f>
        <v>CÔNG TY CỔ PHẦN ĐẦU TƯ VÀ KHÁCH SẠN MYWAY HẠ LONG</v>
      </c>
      <c r="S975" s="119"/>
      <c r="T975" s="119" t="str">
        <f>'Du lieu'!$D$7</f>
        <v>Công ty Cổ phần đầu tư và Khách sạn MyWay Hạ Long</v>
      </c>
      <c r="U975" s="1"/>
    </row>
    <row r="976" spans="1:24" ht="23.25" customHeight="1">
      <c r="D976" s="36" t="s">
        <v>221</v>
      </c>
      <c r="F976" s="36" t="str">
        <f>$R$4</f>
        <v>P. BẠCH ĐẰNG, TP. HẠ LONG, TỈNH QUẢNG NINH</v>
      </c>
      <c r="G976" s="30"/>
      <c r="H976" s="30"/>
      <c r="I976" s="30"/>
      <c r="J976" s="30"/>
      <c r="K976" s="30"/>
      <c r="L976" s="30"/>
      <c r="Q976" s="119" t="s">
        <v>193</v>
      </c>
      <c r="R976" s="119" t="str">
        <f>'Du lieu'!$C$8</f>
        <v>Nguyễn Thanh Tân</v>
      </c>
      <c r="S976" s="119"/>
      <c r="T976" s="119" t="str">
        <f>'Du lieu'!$D$8</f>
        <v>GĐ BQLDA</v>
      </c>
      <c r="U976" s="1"/>
    </row>
    <row r="977" spans="1:249" ht="23.25" customHeight="1">
      <c r="A977" s="1488" t="s">
        <v>222</v>
      </c>
      <c r="B977" s="1488"/>
      <c r="C977" s="1488"/>
      <c r="D977" s="1488"/>
      <c r="E977" s="1488"/>
      <c r="F977" s="1488"/>
      <c r="G977" s="1488"/>
      <c r="H977" s="1488"/>
      <c r="I977" s="1488"/>
      <c r="J977" s="1488"/>
      <c r="K977" s="1488"/>
      <c r="L977" s="1488"/>
      <c r="Q977" s="119" t="s">
        <v>193</v>
      </c>
      <c r="R977" s="119" t="str">
        <f>'Du lieu'!$C$9</f>
        <v>Phạm Tiến Dũng</v>
      </c>
      <c r="S977" s="119"/>
      <c r="T977" s="119" t="str">
        <f>'Du lieu'!$D$9</f>
        <v>Cán bộ BQLDA</v>
      </c>
      <c r="U977" s="1"/>
    </row>
    <row r="978" spans="1:249" ht="36.75" customHeight="1">
      <c r="A978" s="1491" t="s">
        <v>223</v>
      </c>
      <c r="B978" s="1491"/>
      <c r="C978" s="1491"/>
      <c r="D978" s="1491"/>
      <c r="E978" s="1491"/>
      <c r="F978" s="1491"/>
      <c r="G978" s="1491"/>
      <c r="H978" s="1491"/>
      <c r="I978" s="1491"/>
      <c r="J978" s="1491"/>
      <c r="K978" s="1491"/>
      <c r="L978" s="1491"/>
      <c r="M978" s="1491"/>
      <c r="N978" s="1491"/>
      <c r="O978" s="43"/>
      <c r="P978" s="43"/>
      <c r="Q978" s="119" t="s">
        <v>194</v>
      </c>
      <c r="R978" s="119" t="str">
        <f>'Du lieu'!$C$10</f>
        <v>………………..</v>
      </c>
      <c r="S978" s="119"/>
      <c r="T978" s="119" t="str">
        <f>'Du lieu'!$D$10</f>
        <v>Cán bộ BQLDA</v>
      </c>
      <c r="U978" s="125"/>
      <c r="V978" s="126"/>
      <c r="W978" s="126"/>
      <c r="X978" s="126"/>
      <c r="Y978" s="126"/>
      <c r="Z978" s="126"/>
      <c r="AA978" s="126"/>
      <c r="AB978" s="126"/>
      <c r="AC978" s="126"/>
    </row>
    <row r="979" spans="1:249" s="5" customFormat="1" ht="16.5">
      <c r="A979" s="1490" t="s">
        <v>224</v>
      </c>
      <c r="B979" s="1490"/>
      <c r="C979" s="1490"/>
      <c r="D979" s="1490"/>
      <c r="E979" s="1490"/>
      <c r="F979" s="1490"/>
      <c r="G979" s="1490"/>
      <c r="H979" s="1490"/>
      <c r="I979" s="1490"/>
      <c r="J979" s="1490"/>
      <c r="K979" s="1490"/>
      <c r="L979" s="1490"/>
      <c r="M979" s="1490"/>
      <c r="N979" s="1490"/>
      <c r="O979" s="43"/>
      <c r="P979" s="43"/>
      <c r="Q979" s="119" t="s">
        <v>193</v>
      </c>
      <c r="R979" s="119" t="str">
        <f>'Du lieu'!$C$11</f>
        <v>CÔNG TY CỔ PHẦN TƯ VẤN KIỂM ĐỊNH VÀ THƯƠNG MẠI XÂY DỰNG GOLDSUN</v>
      </c>
      <c r="S979" s="119"/>
      <c r="T979" s="119" t="str">
        <f>'Du lieu'!$D$11</f>
        <v>Công ty Cổ phần tư vấn kiểm định và thương mại xây dựng Goldsun</v>
      </c>
      <c r="U979" s="125"/>
      <c r="V979" s="126"/>
      <c r="W979" s="126"/>
      <c r="X979" s="126"/>
      <c r="Y979" s="126"/>
      <c r="Z979" s="126"/>
      <c r="AA979" s="126"/>
      <c r="AB979" s="126"/>
      <c r="AC979" s="126"/>
      <c r="AD979" s="127"/>
      <c r="AE979" s="127"/>
      <c r="AF979" s="127"/>
    </row>
    <row r="980" spans="1:249" s="5" customFormat="1" ht="24" customHeight="1">
      <c r="B980" s="36" t="s">
        <v>226</v>
      </c>
      <c r="C980" s="36"/>
      <c r="D980" s="36"/>
      <c r="E980" s="36"/>
      <c r="F980" s="36"/>
      <c r="G980" s="36"/>
      <c r="H980" s="36"/>
      <c r="I980" s="36"/>
      <c r="J980" s="36"/>
      <c r="K980" s="36"/>
      <c r="L980" s="36"/>
      <c r="M980" s="36"/>
      <c r="N980" s="36"/>
      <c r="O980" s="43"/>
      <c r="P980" s="43"/>
      <c r="Q980" s="119" t="s">
        <v>193</v>
      </c>
      <c r="R980" s="119" t="str">
        <f>'Du lieu'!$C$12</f>
        <v>.....................................</v>
      </c>
      <c r="S980" s="119"/>
      <c r="T980" s="119" t="str">
        <f>'Du lieu'!$D$12</f>
        <v>.....................................</v>
      </c>
      <c r="U980" s="125"/>
      <c r="V980" s="126"/>
      <c r="W980" s="126"/>
      <c r="X980" s="126"/>
      <c r="Y980" s="126"/>
      <c r="Z980" s="126"/>
      <c r="AA980" s="126"/>
      <c r="AB980" s="126"/>
      <c r="AC980" s="126"/>
      <c r="AD980" s="127"/>
      <c r="AE980" s="127"/>
      <c r="AF980" s="127"/>
    </row>
    <row r="981" spans="1:249" s="5" customFormat="1" ht="24" customHeight="1">
      <c r="B981" s="36" t="s">
        <v>312</v>
      </c>
      <c r="C981" s="36"/>
      <c r="D981" s="36"/>
      <c r="E981" s="36"/>
      <c r="F981" s="36"/>
      <c r="G981" s="36"/>
      <c r="H981" s="36"/>
      <c r="I981" s="36"/>
      <c r="J981" s="36"/>
      <c r="K981" s="36"/>
      <c r="L981" s="36"/>
      <c r="M981" s="36"/>
      <c r="N981" s="36"/>
      <c r="O981" s="43"/>
      <c r="P981" s="43"/>
      <c r="Q981" s="119" t="s">
        <v>195</v>
      </c>
      <c r="R981" s="119" t="str">
        <f>'Du lieu'!$C$13</f>
        <v>.....................................</v>
      </c>
      <c r="S981" s="119"/>
      <c r="T981" s="119" t="str">
        <f>'Du lieu'!$D$13</f>
        <v>.....................................</v>
      </c>
      <c r="U981" s="125"/>
      <c r="V981" s="126"/>
      <c r="W981" s="126"/>
      <c r="X981" s="126"/>
      <c r="Y981" s="126"/>
      <c r="Z981" s="126"/>
      <c r="AA981" s="126"/>
      <c r="AB981" s="126"/>
      <c r="AC981" s="126"/>
      <c r="AD981" s="1490"/>
      <c r="AE981" s="1490"/>
      <c r="AF981" s="1490"/>
      <c r="AG981" s="1490"/>
      <c r="AH981" s="1490"/>
      <c r="AI981" s="1490"/>
      <c r="AJ981" s="1490"/>
      <c r="AK981" s="1490"/>
      <c r="AL981" s="1490"/>
      <c r="AM981" s="1490"/>
      <c r="AN981" s="1490"/>
      <c r="AO981" s="1490"/>
      <c r="AP981" s="1490"/>
      <c r="AQ981" s="1490"/>
      <c r="AR981" s="1490"/>
      <c r="AS981" s="1490"/>
      <c r="AT981" s="1490"/>
      <c r="AU981" s="1490"/>
      <c r="AV981" s="1490"/>
      <c r="AW981" s="1490"/>
      <c r="AX981" s="1490"/>
      <c r="AY981" s="1490"/>
      <c r="AZ981" s="1490"/>
      <c r="BA981" s="1490"/>
      <c r="BB981" s="1490"/>
      <c r="BC981" s="1490"/>
      <c r="BD981" s="1490"/>
      <c r="BE981" s="1490"/>
      <c r="BF981" s="1490"/>
      <c r="BG981" s="1490"/>
      <c r="BH981" s="1490"/>
      <c r="BI981" s="1490"/>
      <c r="BJ981" s="1490"/>
      <c r="BK981" s="1490"/>
      <c r="BL981" s="1490"/>
      <c r="BM981" s="1490"/>
      <c r="BN981" s="1490"/>
      <c r="BO981" s="1490"/>
      <c r="BP981" s="1490"/>
      <c r="BQ981" s="1490"/>
      <c r="BR981" s="1490"/>
      <c r="BS981" s="1490"/>
      <c r="BT981" s="1490"/>
      <c r="BU981" s="1490"/>
      <c r="BV981" s="1490"/>
      <c r="BW981" s="1490"/>
      <c r="BX981" s="1490"/>
      <c r="BY981" s="1490"/>
      <c r="BZ981" s="1490"/>
      <c r="CA981" s="1490"/>
      <c r="CB981" s="1490"/>
      <c r="CC981" s="1490"/>
      <c r="CD981" s="1490"/>
      <c r="CE981" s="1490"/>
      <c r="CF981" s="1490"/>
      <c r="CG981" s="1490"/>
      <c r="CH981" s="1490"/>
      <c r="CI981" s="1490"/>
      <c r="CJ981" s="1490"/>
      <c r="CK981" s="1490"/>
      <c r="CL981" s="1490"/>
      <c r="CM981" s="1490"/>
      <c r="CN981" s="1490"/>
      <c r="CO981" s="1490"/>
      <c r="CP981" s="1490"/>
      <c r="CQ981" s="1490"/>
      <c r="CR981" s="1490"/>
      <c r="CS981" s="1490"/>
      <c r="CT981" s="1490"/>
      <c r="CU981" s="1490"/>
      <c r="CV981" s="1490"/>
      <c r="CW981" s="1490"/>
      <c r="CX981" s="1490"/>
      <c r="CY981" s="1490"/>
      <c r="CZ981" s="1490"/>
      <c r="DA981" s="1490"/>
      <c r="DB981" s="1490"/>
      <c r="DC981" s="1490"/>
      <c r="DD981" s="1490"/>
      <c r="DE981" s="1490"/>
      <c r="DF981" s="1490"/>
      <c r="DG981" s="1490"/>
      <c r="DH981" s="1490"/>
      <c r="DI981" s="1490"/>
      <c r="DJ981" s="1490"/>
      <c r="DK981" s="1490"/>
      <c r="DL981" s="1490"/>
      <c r="DM981" s="1490"/>
      <c r="DN981" s="1490"/>
      <c r="DO981" s="1490"/>
      <c r="DP981" s="1490"/>
      <c r="DQ981" s="1490"/>
      <c r="DR981" s="1490"/>
      <c r="DS981" s="1490"/>
      <c r="DT981" s="1490"/>
      <c r="DU981" s="1490"/>
      <c r="DV981" s="1490"/>
      <c r="DW981" s="1490"/>
      <c r="DX981" s="1490"/>
      <c r="DY981" s="1490"/>
      <c r="DZ981" s="1490"/>
      <c r="EA981" s="1490"/>
      <c r="EB981" s="1490"/>
      <c r="EC981" s="1490"/>
      <c r="ED981" s="1490"/>
      <c r="EE981" s="1490"/>
      <c r="EF981" s="1490"/>
      <c r="EG981" s="1490"/>
      <c r="EH981" s="1490"/>
      <c r="EI981" s="1490"/>
      <c r="EJ981" s="1490"/>
      <c r="EK981" s="1490"/>
      <c r="EL981" s="1490"/>
      <c r="EM981" s="1490"/>
      <c r="EN981" s="1490"/>
      <c r="EO981" s="1490"/>
      <c r="EP981" s="1490"/>
      <c r="EQ981" s="1490"/>
      <c r="ER981" s="1490"/>
      <c r="ES981" s="1490"/>
      <c r="ET981" s="1490"/>
      <c r="EU981" s="1490"/>
      <c r="EV981" s="1490"/>
      <c r="EW981" s="1490"/>
      <c r="EX981" s="1490"/>
      <c r="EY981" s="1490"/>
      <c r="EZ981" s="1490"/>
      <c r="FA981" s="1490"/>
      <c r="FB981" s="1490"/>
      <c r="FC981" s="1490"/>
      <c r="FD981" s="1490"/>
      <c r="FE981" s="1490"/>
      <c r="FF981" s="1490"/>
      <c r="FG981" s="1490"/>
      <c r="FH981" s="1490"/>
      <c r="FI981" s="1490"/>
      <c r="FJ981" s="1490"/>
      <c r="FK981" s="1490"/>
      <c r="FL981" s="1490"/>
      <c r="FM981" s="1490"/>
      <c r="FN981" s="1490"/>
      <c r="FO981" s="1490"/>
      <c r="FP981" s="1490"/>
      <c r="FQ981" s="1490"/>
      <c r="FR981" s="1490"/>
      <c r="FS981" s="1490"/>
      <c r="FT981" s="1490"/>
      <c r="FU981" s="1490"/>
      <c r="FV981" s="1490"/>
      <c r="FW981" s="1490"/>
      <c r="FX981" s="1490"/>
      <c r="FY981" s="1490"/>
      <c r="FZ981" s="1490"/>
      <c r="GA981" s="1490"/>
      <c r="GB981" s="1490"/>
      <c r="GC981" s="1490"/>
      <c r="GD981" s="1490"/>
      <c r="GE981" s="1490"/>
      <c r="GF981" s="1490"/>
      <c r="GG981" s="1490"/>
      <c r="GH981" s="1490"/>
      <c r="GI981" s="1490"/>
      <c r="GJ981" s="1490"/>
      <c r="GK981" s="1490"/>
      <c r="GL981" s="1490"/>
      <c r="GM981" s="1490"/>
      <c r="GN981" s="1490"/>
      <c r="GO981" s="1490"/>
      <c r="GP981" s="1490"/>
      <c r="GQ981" s="1490"/>
      <c r="GR981" s="1490"/>
      <c r="GS981" s="1490"/>
      <c r="GT981" s="1490"/>
      <c r="GU981" s="1490"/>
      <c r="GV981" s="1490"/>
      <c r="GW981" s="1490"/>
      <c r="GX981" s="1490"/>
      <c r="GY981" s="1490"/>
      <c r="GZ981" s="1490"/>
      <c r="HA981" s="1490"/>
      <c r="HB981" s="1490"/>
      <c r="HC981" s="1490"/>
      <c r="HD981" s="1490"/>
      <c r="HE981" s="1490"/>
      <c r="HF981" s="1490"/>
      <c r="HG981" s="1490"/>
      <c r="HH981" s="1490"/>
      <c r="HI981" s="1490"/>
      <c r="HJ981" s="1490"/>
      <c r="HK981" s="1490"/>
      <c r="HL981" s="1490"/>
      <c r="HM981" s="1490"/>
      <c r="HN981" s="1490"/>
      <c r="HO981" s="1490"/>
      <c r="HP981" s="1490"/>
      <c r="HQ981" s="1490"/>
      <c r="HR981" s="1490"/>
      <c r="HS981" s="1490"/>
      <c r="HT981" s="1490"/>
      <c r="HU981" s="1490"/>
      <c r="HV981" s="1490"/>
      <c r="HW981" s="1490"/>
      <c r="HX981" s="1490"/>
      <c r="HY981" s="1490"/>
      <c r="HZ981" s="1490"/>
      <c r="IA981" s="1490"/>
      <c r="IB981" s="1490"/>
      <c r="IC981" s="1490"/>
      <c r="ID981" s="1490"/>
      <c r="IE981" s="1490"/>
      <c r="IF981" s="1490"/>
      <c r="IG981" s="1490"/>
      <c r="IH981" s="1490"/>
      <c r="II981" s="1490"/>
      <c r="IJ981" s="1490"/>
      <c r="IK981" s="1490"/>
      <c r="IL981" s="1490"/>
      <c r="IM981" s="1490"/>
      <c r="IN981" s="1490"/>
      <c r="IO981" s="44"/>
    </row>
    <row r="982" spans="1:249" s="5" customFormat="1" ht="24" customHeight="1">
      <c r="B982" s="36" t="s">
        <v>228</v>
      </c>
      <c r="C982" s="36"/>
      <c r="D982" s="36"/>
      <c r="E982" s="36"/>
      <c r="F982" s="36"/>
      <c r="G982" s="36"/>
      <c r="H982" s="36"/>
      <c r="I982" s="36"/>
      <c r="J982" s="36"/>
      <c r="K982" s="36"/>
      <c r="L982" s="36"/>
      <c r="M982" s="36"/>
      <c r="N982" s="36"/>
      <c r="O982" s="43"/>
      <c r="P982" s="43"/>
      <c r="Q982" s="119" t="s">
        <v>193</v>
      </c>
      <c r="R982" s="119" t="str">
        <f>'Du lieu'!$C$14</f>
        <v>.....................................</v>
      </c>
      <c r="S982" s="119"/>
      <c r="T982" s="119" t="str">
        <f>'Du lieu'!$D$14</f>
        <v>.....................................</v>
      </c>
      <c r="U982" s="125"/>
      <c r="V982" s="126"/>
      <c r="W982" s="126"/>
      <c r="X982" s="126"/>
      <c r="Y982" s="126"/>
      <c r="Z982" s="126"/>
      <c r="AA982" s="126"/>
      <c r="AB982" s="126"/>
      <c r="AC982" s="126"/>
      <c r="AD982" s="1490"/>
      <c r="AE982" s="1490"/>
      <c r="AF982" s="1490"/>
      <c r="AG982" s="1490"/>
      <c r="AH982" s="1490"/>
      <c r="AI982" s="1490"/>
      <c r="AJ982" s="1490"/>
      <c r="AK982" s="1490"/>
      <c r="AL982" s="1490"/>
      <c r="AM982" s="1490"/>
      <c r="AN982" s="1490"/>
      <c r="AO982" s="1490"/>
      <c r="AP982" s="1490"/>
      <c r="AQ982" s="1490"/>
      <c r="AR982" s="1490"/>
      <c r="AS982" s="1490"/>
      <c r="AT982" s="1490"/>
      <c r="AU982" s="1490"/>
      <c r="AV982" s="1490"/>
      <c r="AW982" s="1490"/>
      <c r="AX982" s="1490"/>
      <c r="AY982" s="1490"/>
      <c r="AZ982" s="1490"/>
      <c r="BA982" s="1490"/>
      <c r="BB982" s="1490"/>
      <c r="BC982" s="1490"/>
      <c r="BD982" s="1490"/>
      <c r="BE982" s="1490"/>
      <c r="BF982" s="1490"/>
      <c r="BG982" s="1490"/>
      <c r="BH982" s="1490"/>
      <c r="BI982" s="1490"/>
      <c r="BJ982" s="1490"/>
      <c r="BK982" s="1490"/>
      <c r="BL982" s="1490"/>
      <c r="BM982" s="1490"/>
      <c r="BN982" s="1490"/>
      <c r="BO982" s="1490"/>
      <c r="BP982" s="1490"/>
      <c r="BQ982" s="1490"/>
      <c r="BR982" s="1490"/>
      <c r="BS982" s="1490"/>
      <c r="BT982" s="1490"/>
      <c r="BU982" s="1490"/>
      <c r="BV982" s="1490"/>
      <c r="BW982" s="1490"/>
      <c r="BX982" s="1490"/>
      <c r="BY982" s="1490"/>
      <c r="BZ982" s="1490"/>
      <c r="CA982" s="1490"/>
      <c r="CB982" s="1490"/>
      <c r="CC982" s="1490"/>
      <c r="CD982" s="1490"/>
      <c r="CE982" s="1490"/>
      <c r="CF982" s="1490"/>
      <c r="CG982" s="1490"/>
      <c r="CH982" s="1490"/>
      <c r="CI982" s="1490"/>
      <c r="CJ982" s="1490"/>
      <c r="CK982" s="1490"/>
      <c r="CL982" s="1490"/>
      <c r="CM982" s="1490"/>
      <c r="CN982" s="1490"/>
      <c r="CO982" s="1490"/>
      <c r="CP982" s="1490"/>
      <c r="CQ982" s="1490"/>
      <c r="CR982" s="1490"/>
      <c r="CS982" s="1490"/>
      <c r="CT982" s="1490"/>
      <c r="CU982" s="1490"/>
      <c r="CV982" s="1490"/>
      <c r="CW982" s="1490"/>
      <c r="CX982" s="1490"/>
      <c r="CY982" s="1490"/>
      <c r="CZ982" s="1490"/>
      <c r="DA982" s="1490"/>
      <c r="DB982" s="1490"/>
      <c r="DC982" s="1490"/>
      <c r="DD982" s="1490"/>
      <c r="DE982" s="1490"/>
      <c r="DF982" s="1490"/>
      <c r="DG982" s="1490"/>
      <c r="DH982" s="1490"/>
      <c r="DI982" s="1490"/>
      <c r="DJ982" s="1490"/>
      <c r="DK982" s="1490"/>
      <c r="DL982" s="1490"/>
      <c r="DM982" s="1490"/>
      <c r="DN982" s="1490"/>
      <c r="DO982" s="1490"/>
      <c r="DP982" s="1490"/>
      <c r="DQ982" s="1490"/>
      <c r="DR982" s="1490"/>
      <c r="DS982" s="1490"/>
      <c r="DT982" s="1490"/>
      <c r="DU982" s="1490"/>
      <c r="DV982" s="1490"/>
      <c r="DW982" s="1490"/>
      <c r="DX982" s="1490"/>
      <c r="DY982" s="1490"/>
      <c r="DZ982" s="1490"/>
      <c r="EA982" s="1490"/>
      <c r="EB982" s="1490"/>
      <c r="EC982" s="1490"/>
      <c r="ED982" s="1490"/>
      <c r="EE982" s="1490"/>
      <c r="EF982" s="1490"/>
      <c r="EG982" s="1490"/>
      <c r="EH982" s="1490"/>
      <c r="EI982" s="1490"/>
      <c r="EJ982" s="1490"/>
      <c r="EK982" s="1490"/>
      <c r="EL982" s="1490"/>
      <c r="EM982" s="1490"/>
      <c r="EN982" s="1490"/>
      <c r="EO982" s="1490"/>
      <c r="EP982" s="1490"/>
      <c r="EQ982" s="1490"/>
      <c r="ER982" s="1490"/>
      <c r="ES982" s="1490"/>
      <c r="ET982" s="1490"/>
      <c r="EU982" s="1490"/>
      <c r="EV982" s="1490"/>
      <c r="EW982" s="1490"/>
      <c r="EX982" s="1490"/>
      <c r="EY982" s="1490"/>
      <c r="EZ982" s="1490"/>
      <c r="FA982" s="1490"/>
      <c r="FB982" s="1490"/>
      <c r="FC982" s="1490"/>
      <c r="FD982" s="1490"/>
      <c r="FE982" s="1490"/>
      <c r="FF982" s="1490"/>
      <c r="FG982" s="1490"/>
      <c r="FH982" s="1490"/>
      <c r="FI982" s="1490"/>
      <c r="FJ982" s="1490"/>
      <c r="FK982" s="1490"/>
      <c r="FL982" s="1490"/>
      <c r="FM982" s="1490"/>
      <c r="FN982" s="1490"/>
      <c r="FO982" s="1490"/>
      <c r="FP982" s="1490"/>
      <c r="FQ982" s="1490"/>
      <c r="FR982" s="1490"/>
      <c r="FS982" s="1490"/>
      <c r="FT982" s="1490"/>
      <c r="FU982" s="1490"/>
      <c r="FV982" s="1490"/>
      <c r="FW982" s="1490"/>
      <c r="FX982" s="1490"/>
      <c r="FY982" s="1490"/>
      <c r="FZ982" s="1490"/>
      <c r="GA982" s="1490"/>
      <c r="GB982" s="1490"/>
      <c r="GC982" s="1490"/>
      <c r="GD982" s="1490"/>
      <c r="GE982" s="1490"/>
      <c r="GF982" s="1490"/>
      <c r="GG982" s="1490"/>
      <c r="GH982" s="1490"/>
      <c r="GI982" s="1490"/>
      <c r="GJ982" s="1490"/>
      <c r="GK982" s="1490"/>
      <c r="GL982" s="1490"/>
      <c r="GM982" s="1490"/>
      <c r="GN982" s="1490"/>
      <c r="GO982" s="1490"/>
      <c r="GP982" s="1490"/>
      <c r="GQ982" s="1490"/>
      <c r="GR982" s="1490"/>
      <c r="GS982" s="1490"/>
      <c r="GT982" s="1490"/>
      <c r="GU982" s="1490"/>
      <c r="GV982" s="1490"/>
      <c r="GW982" s="1490"/>
      <c r="GX982" s="1490"/>
      <c r="GY982" s="1490"/>
      <c r="GZ982" s="1490"/>
      <c r="HA982" s="1490"/>
      <c r="HB982" s="1490"/>
      <c r="HC982" s="1490"/>
      <c r="HD982" s="1490"/>
      <c r="HE982" s="1490"/>
      <c r="HF982" s="1490"/>
      <c r="HG982" s="1490"/>
      <c r="HH982" s="1490"/>
      <c r="HI982" s="1490"/>
      <c r="HJ982" s="1490"/>
      <c r="HK982" s="1490"/>
      <c r="HL982" s="1490"/>
      <c r="HM982" s="1490"/>
      <c r="HN982" s="1490"/>
      <c r="HO982" s="1490"/>
      <c r="HP982" s="1490"/>
      <c r="HQ982" s="1490"/>
      <c r="HR982" s="1490"/>
      <c r="HS982" s="1490"/>
      <c r="HT982" s="1490"/>
      <c r="HU982" s="1490"/>
      <c r="HV982" s="1490"/>
      <c r="HW982" s="1490"/>
      <c r="HX982" s="1490"/>
      <c r="HY982" s="1490"/>
      <c r="HZ982" s="1490"/>
      <c r="IA982" s="1490"/>
      <c r="IB982" s="1490"/>
      <c r="IC982" s="1490"/>
      <c r="ID982" s="1490"/>
      <c r="IE982" s="1490"/>
      <c r="IF982" s="1490"/>
      <c r="IG982" s="1490"/>
      <c r="IH982" s="1490"/>
      <c r="II982" s="1490"/>
      <c r="IJ982" s="1490"/>
      <c r="IK982" s="1490"/>
      <c r="IL982" s="1490"/>
      <c r="IM982" s="1490"/>
      <c r="IN982" s="1490"/>
      <c r="IO982" s="44"/>
    </row>
    <row r="983" spans="1:249" s="5" customFormat="1" ht="24" customHeight="1">
      <c r="B983" s="36" t="s">
        <v>290</v>
      </c>
      <c r="C983" s="36"/>
      <c r="D983" s="36"/>
      <c r="E983" s="36"/>
      <c r="F983" s="36"/>
      <c r="G983" s="36"/>
      <c r="H983" s="36"/>
      <c r="I983" s="36"/>
      <c r="J983" s="36"/>
      <c r="K983" s="36"/>
      <c r="L983" s="36"/>
      <c r="M983" s="36"/>
      <c r="N983" s="36"/>
      <c r="O983" s="43"/>
      <c r="P983" s="43"/>
      <c r="Q983" s="119" t="s">
        <v>193</v>
      </c>
      <c r="R983" s="119" t="str">
        <f>'Du lieu'!$C$15</f>
        <v>CÔNG TY TNHH MTV HANTECH</v>
      </c>
      <c r="S983" s="119"/>
      <c r="T983" s="119" t="str">
        <f>'Du lieu'!$D$15</f>
        <v>Công ty TNHH MTV HANTECH</v>
      </c>
      <c r="U983" s="125"/>
      <c r="V983" s="126"/>
      <c r="W983" s="126"/>
      <c r="X983" s="126"/>
      <c r="Y983" s="126"/>
      <c r="Z983" s="126"/>
      <c r="AA983" s="126"/>
      <c r="AB983" s="126"/>
      <c r="AC983" s="126"/>
      <c r="AD983" s="1490"/>
      <c r="AE983" s="1490"/>
      <c r="AF983" s="1490"/>
      <c r="AG983" s="1490"/>
      <c r="AH983" s="1490"/>
      <c r="AI983" s="1490"/>
      <c r="AJ983" s="1490"/>
      <c r="AK983" s="1490"/>
      <c r="AL983" s="1490"/>
      <c r="AM983" s="1490"/>
      <c r="AN983" s="1490"/>
      <c r="AO983" s="1490"/>
      <c r="AP983" s="1490"/>
      <c r="AQ983" s="1490"/>
      <c r="AR983" s="1490"/>
      <c r="AS983" s="1490"/>
      <c r="AT983" s="1490"/>
      <c r="AU983" s="1490"/>
      <c r="AV983" s="1490"/>
      <c r="AW983" s="1490"/>
      <c r="AX983" s="1490"/>
      <c r="AY983" s="1490"/>
      <c r="AZ983" s="1490"/>
      <c r="BA983" s="1490"/>
      <c r="BB983" s="1490"/>
      <c r="BC983" s="1490"/>
      <c r="BD983" s="1490"/>
      <c r="BE983" s="1490"/>
      <c r="BF983" s="1490"/>
      <c r="BG983" s="1490"/>
      <c r="BH983" s="1490"/>
      <c r="BI983" s="1490"/>
      <c r="BJ983" s="1490"/>
      <c r="BK983" s="1490"/>
      <c r="BL983" s="1490"/>
      <c r="BM983" s="1490"/>
      <c r="BN983" s="1490"/>
      <c r="BO983" s="1490"/>
      <c r="BP983" s="1490"/>
      <c r="BQ983" s="1490"/>
      <c r="BR983" s="1490"/>
      <c r="BS983" s="1490"/>
      <c r="BT983" s="1490"/>
      <c r="BU983" s="1490"/>
      <c r="BV983" s="1490"/>
      <c r="BW983" s="1490"/>
      <c r="BX983" s="1490"/>
      <c r="BY983" s="1490"/>
      <c r="BZ983" s="1490"/>
      <c r="CA983" s="1490"/>
      <c r="CB983" s="1490"/>
      <c r="CC983" s="1490"/>
      <c r="CD983" s="1490"/>
      <c r="CE983" s="1490"/>
      <c r="CF983" s="1490"/>
      <c r="CG983" s="1490"/>
      <c r="CH983" s="1490"/>
      <c r="CI983" s="1490"/>
      <c r="CJ983" s="1490"/>
      <c r="CK983" s="1490"/>
      <c r="CL983" s="1490"/>
      <c r="CM983" s="1490"/>
      <c r="CN983" s="1490"/>
      <c r="CO983" s="1490"/>
      <c r="CP983" s="1490"/>
      <c r="CQ983" s="1490"/>
      <c r="CR983" s="1490"/>
      <c r="CS983" s="1490"/>
      <c r="CT983" s="1490"/>
      <c r="CU983" s="1490"/>
      <c r="CV983" s="1490"/>
      <c r="CW983" s="1490"/>
      <c r="CX983" s="1490"/>
      <c r="CY983" s="1490"/>
      <c r="CZ983" s="1490"/>
      <c r="DA983" s="1490"/>
      <c r="DB983" s="1490"/>
      <c r="DC983" s="1490"/>
      <c r="DD983" s="1490"/>
      <c r="DE983" s="1490"/>
      <c r="DF983" s="1490"/>
      <c r="DG983" s="1490"/>
      <c r="DH983" s="1490"/>
      <c r="DI983" s="1490"/>
      <c r="DJ983" s="1490"/>
      <c r="DK983" s="1490"/>
      <c r="DL983" s="1490"/>
      <c r="DM983" s="1490"/>
      <c r="DN983" s="1490"/>
      <c r="DO983" s="1490"/>
      <c r="DP983" s="1490"/>
      <c r="DQ983" s="1490"/>
      <c r="DR983" s="1490"/>
      <c r="DS983" s="1490"/>
      <c r="DT983" s="1490"/>
      <c r="DU983" s="1490"/>
      <c r="DV983" s="1490"/>
      <c r="DW983" s="1490"/>
      <c r="DX983" s="1490"/>
      <c r="DY983" s="1490"/>
      <c r="DZ983" s="1490"/>
      <c r="EA983" s="1490"/>
      <c r="EB983" s="1490"/>
      <c r="EC983" s="1490"/>
      <c r="ED983" s="1490"/>
      <c r="EE983" s="1490"/>
      <c r="EF983" s="1490"/>
      <c r="EG983" s="1490"/>
      <c r="EH983" s="1490"/>
      <c r="EI983" s="1490"/>
      <c r="EJ983" s="1490"/>
      <c r="EK983" s="1490"/>
      <c r="EL983" s="1490"/>
      <c r="EM983" s="1490"/>
      <c r="EN983" s="1490"/>
      <c r="EO983" s="1490"/>
      <c r="EP983" s="1490"/>
      <c r="EQ983" s="1490"/>
      <c r="ER983" s="1490"/>
      <c r="ES983" s="1490"/>
      <c r="ET983" s="1490"/>
      <c r="EU983" s="1490"/>
      <c r="EV983" s="1490"/>
      <c r="EW983" s="1490"/>
      <c r="EX983" s="1490"/>
      <c r="EY983" s="1490"/>
      <c r="EZ983" s="1490"/>
      <c r="FA983" s="1490"/>
      <c r="FB983" s="1490"/>
      <c r="FC983" s="1490"/>
      <c r="FD983" s="1490"/>
      <c r="FE983" s="1490"/>
      <c r="FF983" s="1490"/>
      <c r="FG983" s="1490"/>
      <c r="FH983" s="1490"/>
      <c r="FI983" s="1490"/>
      <c r="FJ983" s="1490"/>
      <c r="FK983" s="1490"/>
      <c r="FL983" s="1490"/>
      <c r="FM983" s="1490"/>
      <c r="FN983" s="1490"/>
      <c r="FO983" s="1490"/>
      <c r="FP983" s="1490"/>
      <c r="FQ983" s="1490"/>
      <c r="FR983" s="1490"/>
      <c r="FS983" s="1490"/>
      <c r="FT983" s="1490"/>
      <c r="FU983" s="1490"/>
      <c r="FV983" s="1490"/>
      <c r="FW983" s="1490"/>
      <c r="FX983" s="1490"/>
      <c r="FY983" s="1490"/>
      <c r="FZ983" s="1490"/>
      <c r="GA983" s="1490"/>
      <c r="GB983" s="1490"/>
      <c r="GC983" s="1490"/>
      <c r="GD983" s="1490"/>
      <c r="GE983" s="1490"/>
      <c r="GF983" s="1490"/>
      <c r="GG983" s="1490"/>
      <c r="GH983" s="1490"/>
      <c r="GI983" s="1490"/>
      <c r="GJ983" s="1490"/>
      <c r="GK983" s="1490"/>
      <c r="GL983" s="1490"/>
      <c r="GM983" s="1490"/>
      <c r="GN983" s="1490"/>
      <c r="GO983" s="1490"/>
      <c r="GP983" s="1490"/>
      <c r="GQ983" s="1490"/>
      <c r="GR983" s="1490"/>
      <c r="GS983" s="1490"/>
      <c r="GT983" s="1490"/>
      <c r="GU983" s="1490"/>
      <c r="GV983" s="1490"/>
      <c r="GW983" s="1490"/>
      <c r="GX983" s="1490"/>
      <c r="GY983" s="1490"/>
      <c r="GZ983" s="1490"/>
      <c r="HA983" s="1490"/>
      <c r="HB983" s="1490"/>
      <c r="HC983" s="1490"/>
      <c r="HD983" s="1490"/>
      <c r="HE983" s="1490"/>
      <c r="HF983" s="1490"/>
      <c r="HG983" s="1490"/>
      <c r="HH983" s="1490"/>
      <c r="HI983" s="1490"/>
      <c r="HJ983" s="1490"/>
      <c r="HK983" s="1490"/>
      <c r="HL983" s="1490"/>
      <c r="HM983" s="1490"/>
      <c r="HN983" s="1490"/>
      <c r="HO983" s="1490"/>
      <c r="HP983" s="1490"/>
      <c r="HQ983" s="1490"/>
      <c r="HR983" s="1490"/>
      <c r="HS983" s="1490"/>
      <c r="HT983" s="1490"/>
      <c r="HU983" s="1490"/>
      <c r="HV983" s="1490"/>
      <c r="HW983" s="1490"/>
      <c r="HX983" s="1490"/>
      <c r="HY983" s="1490"/>
      <c r="HZ983" s="1490"/>
      <c r="IA983" s="1490"/>
      <c r="IB983" s="1490"/>
      <c r="IC983" s="1490"/>
      <c r="ID983" s="1490"/>
      <c r="IE983" s="1490"/>
      <c r="IF983" s="1490"/>
      <c r="IG983" s="1490"/>
      <c r="IH983" s="1490"/>
      <c r="II983" s="1490"/>
      <c r="IJ983" s="1490"/>
      <c r="IK983" s="1490"/>
      <c r="IL983" s="1490"/>
      <c r="IM983" s="1490"/>
      <c r="IN983" s="1490"/>
      <c r="IO983" s="44"/>
    </row>
    <row r="984" spans="1:249" s="5" customFormat="1" ht="24" customHeight="1">
      <c r="A984" s="45"/>
      <c r="B984" s="46" t="s">
        <v>229</v>
      </c>
      <c r="C984" s="46"/>
      <c r="D984" s="46"/>
      <c r="E984" s="46"/>
      <c r="F984" s="46"/>
      <c r="G984" s="46"/>
      <c r="H984" s="46"/>
      <c r="I984" s="46"/>
      <c r="J984" s="46"/>
      <c r="K984" s="46"/>
      <c r="L984" s="46"/>
      <c r="M984" s="46"/>
      <c r="N984" s="46"/>
      <c r="O984" s="43"/>
      <c r="P984" s="43"/>
      <c r="Q984" s="119" t="s">
        <v>196</v>
      </c>
      <c r="R984" s="119"/>
      <c r="S984" s="119"/>
      <c r="T984" s="119" t="str">
        <f>'Du lieu'!$D$16</f>
        <v>.....................................</v>
      </c>
      <c r="U984" s="125"/>
      <c r="V984" s="126"/>
      <c r="W984" s="126"/>
      <c r="X984" s="126"/>
      <c r="Y984" s="126"/>
      <c r="Z984" s="126"/>
      <c r="AA984" s="126"/>
      <c r="AB984" s="126"/>
      <c r="AC984" s="126"/>
      <c r="AD984" s="1490"/>
      <c r="AE984" s="1490"/>
      <c r="AF984" s="1490"/>
      <c r="AG984" s="1490"/>
      <c r="AH984" s="1490"/>
      <c r="AI984" s="1490"/>
      <c r="AJ984" s="1490"/>
      <c r="AK984" s="1490"/>
      <c r="AL984" s="1490"/>
      <c r="AM984" s="1490"/>
      <c r="AN984" s="1490"/>
      <c r="AO984" s="1490"/>
      <c r="AP984" s="1490"/>
      <c r="AQ984" s="1490"/>
      <c r="AR984" s="1490"/>
      <c r="AS984" s="1490"/>
      <c r="AT984" s="1490"/>
      <c r="AU984" s="1490"/>
      <c r="AV984" s="1490"/>
      <c r="AW984" s="1490"/>
      <c r="AX984" s="1490"/>
      <c r="AY984" s="1490"/>
      <c r="AZ984" s="1490"/>
      <c r="BA984" s="1490"/>
      <c r="BB984" s="1490"/>
      <c r="BC984" s="1490"/>
      <c r="BD984" s="1490"/>
      <c r="BE984" s="1490"/>
      <c r="BF984" s="1490"/>
      <c r="BG984" s="1490"/>
      <c r="BH984" s="1490"/>
      <c r="BI984" s="1490"/>
      <c r="BJ984" s="1490"/>
      <c r="BK984" s="1490"/>
      <c r="BL984" s="1490"/>
      <c r="BM984" s="1490"/>
      <c r="BN984" s="1490"/>
      <c r="BO984" s="1490"/>
      <c r="BP984" s="1490"/>
      <c r="BQ984" s="1490"/>
      <c r="BR984" s="1490"/>
      <c r="BS984" s="1490"/>
      <c r="BT984" s="1490"/>
      <c r="BU984" s="1490"/>
      <c r="BV984" s="1490"/>
      <c r="BW984" s="1490"/>
      <c r="BX984" s="1490"/>
      <c r="BY984" s="1490"/>
      <c r="BZ984" s="1490"/>
      <c r="CA984" s="1490"/>
      <c r="CB984" s="1490"/>
      <c r="CC984" s="1490"/>
      <c r="CD984" s="1490"/>
      <c r="CE984" s="1490"/>
      <c r="CF984" s="1490"/>
      <c r="CG984" s="1490"/>
      <c r="CH984" s="1490"/>
      <c r="CI984" s="1490"/>
      <c r="CJ984" s="1490"/>
      <c r="CK984" s="1490"/>
      <c r="CL984" s="1490"/>
      <c r="CM984" s="1490"/>
      <c r="CN984" s="1490"/>
      <c r="CO984" s="1490"/>
      <c r="CP984" s="1490"/>
      <c r="CQ984" s="1490"/>
      <c r="CR984" s="1490"/>
      <c r="CS984" s="1490"/>
      <c r="CT984" s="1490"/>
      <c r="CU984" s="1490"/>
      <c r="CV984" s="1490"/>
      <c r="CW984" s="1490"/>
      <c r="CX984" s="1490"/>
      <c r="CY984" s="1490"/>
      <c r="CZ984" s="1490"/>
      <c r="DA984" s="1490"/>
      <c r="DB984" s="1490"/>
      <c r="DC984" s="1490"/>
      <c r="DD984" s="1490"/>
      <c r="DE984" s="1490"/>
      <c r="DF984" s="1490"/>
      <c r="DG984" s="1490"/>
      <c r="DH984" s="1490"/>
      <c r="DI984" s="1490"/>
      <c r="DJ984" s="1490"/>
      <c r="DK984" s="1490"/>
      <c r="DL984" s="1490"/>
      <c r="DM984" s="1490"/>
      <c r="DN984" s="1490"/>
      <c r="DO984" s="1490"/>
      <c r="DP984" s="1490"/>
      <c r="DQ984" s="1490"/>
      <c r="DR984" s="1490"/>
      <c r="DS984" s="1490"/>
      <c r="DT984" s="1490"/>
      <c r="DU984" s="1490"/>
      <c r="DV984" s="1490"/>
      <c r="DW984" s="1490"/>
      <c r="DX984" s="1490"/>
      <c r="DY984" s="1490"/>
      <c r="DZ984" s="1490"/>
      <c r="EA984" s="1490"/>
      <c r="EB984" s="1490"/>
      <c r="EC984" s="1490"/>
      <c r="ED984" s="1490"/>
      <c r="EE984" s="1490"/>
      <c r="EF984" s="1490"/>
      <c r="EG984" s="1490"/>
      <c r="EH984" s="1490"/>
      <c r="EI984" s="1490"/>
      <c r="EJ984" s="1490"/>
      <c r="EK984" s="1490"/>
      <c r="EL984" s="1490"/>
      <c r="EM984" s="1490"/>
      <c r="EN984" s="1490"/>
      <c r="EO984" s="1490"/>
      <c r="EP984" s="1490"/>
      <c r="EQ984" s="1490"/>
      <c r="ER984" s="1490"/>
      <c r="ES984" s="1490"/>
      <c r="ET984" s="1490"/>
      <c r="EU984" s="1490"/>
      <c r="EV984" s="1490"/>
      <c r="EW984" s="1490"/>
      <c r="EX984" s="1490"/>
      <c r="EY984" s="1490"/>
      <c r="EZ984" s="1490"/>
      <c r="FA984" s="1490"/>
      <c r="FB984" s="1490"/>
      <c r="FC984" s="1490"/>
      <c r="FD984" s="1490"/>
      <c r="FE984" s="1490"/>
      <c r="FF984" s="1490"/>
      <c r="FG984" s="1490"/>
      <c r="FH984" s="1490"/>
      <c r="FI984" s="1490"/>
      <c r="FJ984" s="1490"/>
      <c r="FK984" s="1490"/>
      <c r="FL984" s="1490"/>
      <c r="FM984" s="1490"/>
      <c r="FN984" s="1490"/>
      <c r="FO984" s="1490"/>
      <c r="FP984" s="1490"/>
      <c r="FQ984" s="1490"/>
      <c r="FR984" s="1490"/>
      <c r="FS984" s="1490"/>
      <c r="FT984" s="1490"/>
      <c r="FU984" s="1490"/>
      <c r="FV984" s="1490"/>
      <c r="FW984" s="1490"/>
      <c r="FX984" s="1490"/>
      <c r="FY984" s="1490"/>
      <c r="FZ984" s="1490"/>
      <c r="GA984" s="1490"/>
      <c r="GB984" s="1490"/>
      <c r="GC984" s="1490"/>
      <c r="GD984" s="1490"/>
      <c r="GE984" s="1490"/>
      <c r="GF984" s="1490"/>
      <c r="GG984" s="1490"/>
      <c r="GH984" s="1490"/>
      <c r="GI984" s="1490"/>
      <c r="GJ984" s="1490"/>
      <c r="GK984" s="1490"/>
      <c r="GL984" s="1490"/>
      <c r="GM984" s="1490"/>
      <c r="GN984" s="1490"/>
      <c r="GO984" s="1490"/>
      <c r="GP984" s="1490"/>
      <c r="GQ984" s="1490"/>
      <c r="GR984" s="1490"/>
      <c r="GS984" s="1490"/>
      <c r="GT984" s="1490"/>
      <c r="GU984" s="1490"/>
      <c r="GV984" s="1490"/>
      <c r="GW984" s="1490"/>
      <c r="GX984" s="1490"/>
      <c r="GY984" s="1490"/>
      <c r="GZ984" s="1490"/>
      <c r="HA984" s="1490"/>
      <c r="HB984" s="1490"/>
      <c r="HC984" s="1490"/>
      <c r="HD984" s="1490"/>
      <c r="HE984" s="1490"/>
      <c r="HF984" s="1490"/>
      <c r="HG984" s="1490"/>
      <c r="HH984" s="1490"/>
      <c r="HI984" s="1490"/>
      <c r="HJ984" s="1490"/>
      <c r="HK984" s="1490"/>
      <c r="HL984" s="1490"/>
      <c r="HM984" s="1490"/>
      <c r="HN984" s="1490"/>
      <c r="HO984" s="1490"/>
      <c r="HP984" s="1490"/>
      <c r="HQ984" s="1490"/>
      <c r="HR984" s="1490"/>
      <c r="HS984" s="1490"/>
      <c r="HT984" s="1490"/>
      <c r="HU984" s="1490"/>
      <c r="HV984" s="1490"/>
      <c r="HW984" s="1490"/>
      <c r="HX984" s="1490"/>
      <c r="HY984" s="1490"/>
      <c r="HZ984" s="1490"/>
      <c r="IA984" s="1490"/>
      <c r="IB984" s="1490"/>
      <c r="IC984" s="1490"/>
      <c r="ID984" s="1490"/>
      <c r="IE984" s="1490"/>
      <c r="IF984" s="1490"/>
      <c r="IG984" s="1490"/>
      <c r="IH984" s="1490"/>
      <c r="II984" s="1490"/>
      <c r="IJ984" s="1490"/>
      <c r="IK984" s="1490"/>
      <c r="IL984" s="1490"/>
      <c r="IM984" s="1490"/>
      <c r="IN984" s="1490"/>
      <c r="IO984" s="44"/>
    </row>
    <row r="985" spans="1:249" s="5" customFormat="1" ht="24" customHeight="1">
      <c r="A985" s="1490" t="s">
        <v>231</v>
      </c>
      <c r="B985" s="1490"/>
      <c r="C985" s="1490"/>
      <c r="D985" s="1490"/>
      <c r="E985" s="1490"/>
      <c r="F985" s="1490"/>
      <c r="G985" s="1490"/>
      <c r="H985" s="1490"/>
      <c r="I985" s="1490"/>
      <c r="J985" s="1490"/>
      <c r="K985" s="1490"/>
      <c r="L985" s="1490"/>
      <c r="M985" s="1490"/>
      <c r="N985" s="1490"/>
      <c r="O985" s="43"/>
      <c r="P985" s="43"/>
      <c r="Q985" s="119" t="s">
        <v>193</v>
      </c>
      <c r="R985" s="119" t="str">
        <f>'Du lieu'!$C$17</f>
        <v>Ngô Văn Khánh</v>
      </c>
      <c r="S985" s="119"/>
      <c r="T985" s="119" t="str">
        <f>'Du lieu'!$D$17</f>
        <v>Chỉ huy trưởng công trường</v>
      </c>
      <c r="U985" s="125"/>
      <c r="V985" s="126"/>
      <c r="W985" s="126"/>
      <c r="X985" s="126"/>
      <c r="Y985" s="126"/>
      <c r="Z985" s="126"/>
      <c r="AA985" s="126"/>
      <c r="AB985" s="126"/>
      <c r="AC985" s="126"/>
      <c r="AD985" s="1490"/>
      <c r="AE985" s="1490"/>
      <c r="AF985" s="1490"/>
      <c r="AG985" s="1490"/>
      <c r="AH985" s="1490"/>
      <c r="AI985" s="1490"/>
      <c r="AJ985" s="1490"/>
      <c r="AK985" s="1490"/>
      <c r="AL985" s="1490"/>
      <c r="AM985" s="1490"/>
      <c r="AN985" s="1490"/>
      <c r="AO985" s="1490"/>
      <c r="AP985" s="1490"/>
      <c r="AQ985" s="1490"/>
      <c r="AR985" s="1490"/>
      <c r="AS985" s="1490"/>
      <c r="AT985" s="1490"/>
      <c r="AU985" s="1490"/>
      <c r="AV985" s="1490"/>
      <c r="AW985" s="1490"/>
      <c r="AX985" s="1490"/>
      <c r="AY985" s="1490"/>
      <c r="AZ985" s="1490"/>
      <c r="BA985" s="1490"/>
      <c r="BB985" s="1490"/>
      <c r="BC985" s="1490"/>
      <c r="BD985" s="1490"/>
      <c r="BE985" s="1490"/>
      <c r="BF985" s="1490"/>
      <c r="BG985" s="1490"/>
      <c r="BH985" s="1490"/>
      <c r="BI985" s="1490"/>
      <c r="BJ985" s="1490"/>
      <c r="BK985" s="1490"/>
      <c r="BL985" s="1490"/>
      <c r="BM985" s="1490"/>
      <c r="BN985" s="1490"/>
      <c r="BO985" s="1490"/>
      <c r="BP985" s="1490"/>
      <c r="BQ985" s="1490"/>
      <c r="BR985" s="1490"/>
      <c r="BS985" s="1490"/>
      <c r="BT985" s="1490"/>
      <c r="BU985" s="1490"/>
      <c r="BV985" s="1490"/>
      <c r="BW985" s="1490"/>
      <c r="BX985" s="1490"/>
      <c r="BY985" s="1490"/>
      <c r="BZ985" s="1490"/>
      <c r="CA985" s="1490"/>
      <c r="CB985" s="1490"/>
      <c r="CC985" s="1490"/>
      <c r="CD985" s="1490"/>
      <c r="CE985" s="1490"/>
      <c r="CF985" s="1490"/>
      <c r="CG985" s="1490"/>
      <c r="CH985" s="1490"/>
      <c r="CI985" s="1490"/>
      <c r="CJ985" s="1490"/>
      <c r="CK985" s="1490"/>
      <c r="CL985" s="1490"/>
      <c r="CM985" s="1490"/>
      <c r="CN985" s="1490"/>
      <c r="CO985" s="1490"/>
      <c r="CP985" s="1490"/>
      <c r="CQ985" s="1490"/>
      <c r="CR985" s="1490"/>
      <c r="CS985" s="1490"/>
      <c r="CT985" s="1490"/>
      <c r="CU985" s="1490"/>
      <c r="CV985" s="1490"/>
      <c r="CW985" s="1490"/>
      <c r="CX985" s="1490"/>
      <c r="CY985" s="1490"/>
      <c r="CZ985" s="1490"/>
      <c r="DA985" s="1490"/>
      <c r="DB985" s="1490"/>
      <c r="DC985" s="1490"/>
      <c r="DD985" s="1490"/>
      <c r="DE985" s="1490"/>
      <c r="DF985" s="1490"/>
      <c r="DG985" s="1490"/>
      <c r="DH985" s="1490"/>
      <c r="DI985" s="1490"/>
      <c r="DJ985" s="1490"/>
      <c r="DK985" s="1490"/>
      <c r="DL985" s="1490"/>
      <c r="DM985" s="1490"/>
      <c r="DN985" s="1490"/>
      <c r="DO985" s="1490"/>
      <c r="DP985" s="1490"/>
      <c r="DQ985" s="1490"/>
      <c r="DR985" s="1490"/>
      <c r="DS985" s="1490"/>
      <c r="DT985" s="1490"/>
      <c r="DU985" s="1490"/>
      <c r="DV985" s="1490"/>
      <c r="DW985" s="1490"/>
      <c r="DX985" s="1490"/>
      <c r="DY985" s="1490"/>
      <c r="DZ985" s="1490"/>
      <c r="EA985" s="1490"/>
      <c r="EB985" s="1490"/>
      <c r="EC985" s="1490"/>
      <c r="ED985" s="1490"/>
      <c r="EE985" s="1490"/>
      <c r="EF985" s="1490"/>
      <c r="EG985" s="1490"/>
      <c r="EH985" s="1490"/>
      <c r="EI985" s="1490"/>
      <c r="EJ985" s="1490"/>
      <c r="EK985" s="1490"/>
      <c r="EL985" s="1490"/>
      <c r="EM985" s="1490"/>
      <c r="EN985" s="1490"/>
      <c r="EO985" s="1490"/>
      <c r="EP985" s="1490"/>
      <c r="EQ985" s="1490"/>
      <c r="ER985" s="1490"/>
      <c r="ES985" s="1490"/>
      <c r="ET985" s="1490"/>
      <c r="EU985" s="1490"/>
      <c r="EV985" s="1490"/>
      <c r="EW985" s="1490"/>
      <c r="EX985" s="1490"/>
      <c r="EY985" s="1490"/>
      <c r="EZ985" s="1490"/>
      <c r="FA985" s="1490"/>
      <c r="FB985" s="1490"/>
      <c r="FC985" s="1490"/>
      <c r="FD985" s="1490"/>
      <c r="FE985" s="1490"/>
      <c r="FF985" s="1490"/>
      <c r="FG985" s="1490"/>
      <c r="FH985" s="1490"/>
      <c r="FI985" s="1490"/>
      <c r="FJ985" s="1490"/>
      <c r="FK985" s="1490"/>
      <c r="FL985" s="1490"/>
      <c r="FM985" s="1490"/>
      <c r="FN985" s="1490"/>
      <c r="FO985" s="1490"/>
      <c r="FP985" s="1490"/>
      <c r="FQ985" s="1490"/>
      <c r="FR985" s="1490"/>
      <c r="FS985" s="1490"/>
      <c r="FT985" s="1490"/>
      <c r="FU985" s="1490"/>
      <c r="FV985" s="1490"/>
      <c r="FW985" s="1490"/>
      <c r="FX985" s="1490"/>
      <c r="FY985" s="1490"/>
      <c r="FZ985" s="1490"/>
      <c r="GA985" s="1490"/>
      <c r="GB985" s="1490"/>
      <c r="GC985" s="1490"/>
      <c r="GD985" s="1490"/>
      <c r="GE985" s="1490"/>
      <c r="GF985" s="1490"/>
      <c r="GG985" s="1490"/>
      <c r="GH985" s="1490"/>
      <c r="GI985" s="1490"/>
      <c r="GJ985" s="1490"/>
      <c r="GK985" s="1490"/>
      <c r="GL985" s="1490"/>
      <c r="GM985" s="1490"/>
      <c r="GN985" s="1490"/>
      <c r="GO985" s="1490"/>
      <c r="GP985" s="1490"/>
      <c r="GQ985" s="1490"/>
      <c r="GR985" s="1490"/>
      <c r="GS985" s="1490"/>
      <c r="GT985" s="1490"/>
      <c r="GU985" s="1490"/>
      <c r="GV985" s="1490"/>
      <c r="GW985" s="1490"/>
      <c r="GX985" s="1490"/>
      <c r="GY985" s="1490"/>
      <c r="GZ985" s="1490"/>
      <c r="HA985" s="1490"/>
      <c r="HB985" s="1490"/>
      <c r="HC985" s="1490"/>
      <c r="HD985" s="1490"/>
      <c r="HE985" s="1490"/>
      <c r="HF985" s="1490"/>
      <c r="HG985" s="1490"/>
      <c r="HH985" s="1490"/>
      <c r="HI985" s="1490"/>
      <c r="HJ985" s="1490"/>
      <c r="HK985" s="1490"/>
      <c r="HL985" s="1490"/>
      <c r="HM985" s="1490"/>
      <c r="HN985" s="1490"/>
      <c r="HO985" s="1490"/>
      <c r="HP985" s="1490"/>
      <c r="HQ985" s="1490"/>
      <c r="HR985" s="1490"/>
      <c r="HS985" s="1490"/>
      <c r="HT985" s="1490"/>
      <c r="HU985" s="1490"/>
      <c r="HV985" s="1490"/>
      <c r="HW985" s="1490"/>
      <c r="HX985" s="1490"/>
      <c r="HY985" s="1490"/>
      <c r="HZ985" s="1490"/>
      <c r="IA985" s="1490"/>
      <c r="IB985" s="1490"/>
      <c r="IC985" s="1490"/>
      <c r="ID985" s="1490"/>
      <c r="IE985" s="1490"/>
      <c r="IF985" s="1490"/>
      <c r="IG985" s="1490"/>
      <c r="IH985" s="1490"/>
      <c r="II985" s="1490"/>
      <c r="IJ985" s="1490"/>
      <c r="IK985" s="1490"/>
      <c r="IL985" s="1490"/>
      <c r="IM985" s="1490"/>
      <c r="IN985" s="1490"/>
      <c r="IO985" s="44"/>
    </row>
    <row r="986" spans="1:249" s="5" customFormat="1" ht="24" customHeight="1">
      <c r="A986" s="1495" t="s">
        <v>232</v>
      </c>
      <c r="B986" s="1495"/>
      <c r="C986" s="1495"/>
      <c r="D986" s="1495"/>
      <c r="E986" s="1495"/>
      <c r="F986" s="1495"/>
      <c r="G986" s="1495"/>
      <c r="H986" s="1495"/>
      <c r="I986" s="1495"/>
      <c r="J986" s="1495"/>
      <c r="K986" s="1495"/>
      <c r="L986" s="1495"/>
      <c r="M986" s="1495"/>
      <c r="N986" s="1495"/>
      <c r="O986" s="43"/>
      <c r="P986" s="43"/>
      <c r="Q986" s="119" t="s">
        <v>193</v>
      </c>
      <c r="R986" s="119" t="str">
        <f>'Du lieu'!$C$18</f>
        <v>Nguyễn Mạnh Hùng</v>
      </c>
      <c r="S986" s="119"/>
      <c r="T986" s="119" t="str">
        <f>'Du lieu'!$D$18</f>
        <v>Chỉ huy phó công trường</v>
      </c>
      <c r="U986" s="125"/>
      <c r="V986" s="126"/>
      <c r="W986" s="126"/>
      <c r="X986" s="126"/>
      <c r="Y986" s="126"/>
      <c r="Z986" s="126"/>
      <c r="AA986" s="126"/>
      <c r="AB986" s="126"/>
      <c r="AC986" s="126"/>
      <c r="AD986" s="44"/>
      <c r="AE986" s="44"/>
      <c r="AF986" s="44"/>
      <c r="AG986" s="44"/>
      <c r="AH986" s="44"/>
      <c r="AI986" s="44"/>
      <c r="AJ986" s="44"/>
      <c r="AK986" s="44"/>
      <c r="AL986" s="44"/>
      <c r="AM986" s="44"/>
      <c r="AN986" s="44"/>
      <c r="AO986" s="44"/>
      <c r="AP986" s="44"/>
      <c r="AQ986" s="44"/>
      <c r="AR986" s="44"/>
      <c r="AS986" s="44"/>
      <c r="AT986" s="44"/>
      <c r="AU986" s="44"/>
      <c r="AV986" s="44"/>
      <c r="AW986" s="44"/>
      <c r="AX986" s="44"/>
      <c r="AY986" s="44"/>
      <c r="AZ986" s="44"/>
      <c r="BA986" s="44"/>
      <c r="BB986" s="44"/>
      <c r="BC986" s="44"/>
      <c r="BD986" s="44"/>
      <c r="BE986" s="44"/>
      <c r="BF986" s="44"/>
      <c r="BG986" s="44"/>
      <c r="BH986" s="44"/>
      <c r="BI986" s="44"/>
      <c r="BJ986" s="44"/>
      <c r="BK986" s="44"/>
      <c r="BL986" s="44"/>
      <c r="BM986" s="44"/>
      <c r="BN986" s="44"/>
      <c r="BO986" s="44"/>
      <c r="BP986" s="44"/>
      <c r="BQ986" s="44"/>
      <c r="BR986" s="44"/>
      <c r="BS986" s="44"/>
      <c r="BT986" s="44"/>
      <c r="BU986" s="44"/>
      <c r="BV986" s="44"/>
      <c r="BW986" s="44"/>
      <c r="BX986" s="44"/>
      <c r="BY986" s="44"/>
      <c r="BZ986" s="44"/>
      <c r="CA986" s="44"/>
      <c r="CB986" s="44"/>
      <c r="CC986" s="44"/>
      <c r="CD986" s="44"/>
      <c r="CE986" s="44"/>
      <c r="CF986" s="44"/>
      <c r="CG986" s="44"/>
      <c r="CH986" s="44"/>
      <c r="CI986" s="44"/>
      <c r="CJ986" s="44"/>
      <c r="CK986" s="44"/>
      <c r="CL986" s="44"/>
      <c r="CM986" s="44"/>
      <c r="CN986" s="44"/>
      <c r="CO986" s="44"/>
      <c r="CP986" s="44"/>
      <c r="CQ986" s="44"/>
      <c r="CR986" s="44"/>
      <c r="CS986" s="44"/>
      <c r="CT986" s="44"/>
      <c r="CU986" s="44"/>
      <c r="CV986" s="44"/>
      <c r="CW986" s="44"/>
      <c r="CX986" s="44"/>
      <c r="CY986" s="44"/>
      <c r="CZ986" s="44"/>
      <c r="DA986" s="44"/>
      <c r="DB986" s="44"/>
      <c r="DC986" s="44"/>
      <c r="DD986" s="44"/>
      <c r="DE986" s="44"/>
      <c r="DF986" s="44"/>
      <c r="DG986" s="44"/>
      <c r="DH986" s="44"/>
      <c r="DI986" s="44"/>
      <c r="DJ986" s="44"/>
      <c r="DK986" s="44"/>
      <c r="DL986" s="44"/>
      <c r="DM986" s="44"/>
      <c r="DN986" s="44"/>
      <c r="DO986" s="44"/>
      <c r="DP986" s="44"/>
      <c r="DQ986" s="44"/>
      <c r="DR986" s="44"/>
      <c r="DS986" s="44"/>
      <c r="DT986" s="44"/>
      <c r="DU986" s="44"/>
      <c r="DV986" s="44"/>
      <c r="DW986" s="44"/>
      <c r="DX986" s="44"/>
      <c r="DY986" s="44"/>
      <c r="DZ986" s="44"/>
      <c r="EA986" s="44"/>
      <c r="EB986" s="44"/>
      <c r="EC986" s="44"/>
      <c r="ED986" s="44"/>
      <c r="EE986" s="44"/>
      <c r="EF986" s="44"/>
      <c r="EG986" s="44"/>
      <c r="EH986" s="44"/>
      <c r="EI986" s="44"/>
      <c r="EJ986" s="44"/>
      <c r="EK986" s="44"/>
      <c r="EL986" s="44"/>
      <c r="EM986" s="44"/>
      <c r="EN986" s="44"/>
      <c r="EO986" s="44"/>
      <c r="EP986" s="44"/>
      <c r="EQ986" s="44"/>
      <c r="ER986" s="44"/>
      <c r="ES986" s="44"/>
      <c r="ET986" s="44"/>
      <c r="EU986" s="44"/>
      <c r="EV986" s="44"/>
      <c r="EW986" s="44"/>
      <c r="EX986" s="44"/>
      <c r="EY986" s="44"/>
      <c r="EZ986" s="44"/>
      <c r="FA986" s="44"/>
      <c r="FB986" s="44"/>
      <c r="FC986" s="44"/>
      <c r="FD986" s="44"/>
      <c r="FE986" s="44"/>
      <c r="FF986" s="44"/>
      <c r="FG986" s="44"/>
      <c r="FH986" s="44"/>
      <c r="FI986" s="44"/>
      <c r="FJ986" s="44"/>
      <c r="FK986" s="44"/>
      <c r="FL986" s="44"/>
      <c r="FM986" s="44"/>
      <c r="FN986" s="44"/>
      <c r="FO986" s="44"/>
      <c r="FP986" s="44"/>
      <c r="FQ986" s="44"/>
      <c r="FR986" s="44"/>
      <c r="FS986" s="44"/>
      <c r="FT986" s="44"/>
      <c r="FU986" s="44"/>
      <c r="FV986" s="44"/>
      <c r="FW986" s="44"/>
      <c r="FX986" s="44"/>
      <c r="FY986" s="44"/>
      <c r="FZ986" s="44"/>
      <c r="GA986" s="44"/>
      <c r="GB986" s="44"/>
      <c r="GC986" s="44"/>
      <c r="GD986" s="44"/>
      <c r="GE986" s="44"/>
      <c r="GF986" s="44"/>
      <c r="GG986" s="44"/>
      <c r="GH986" s="44"/>
      <c r="GI986" s="44"/>
      <c r="GJ986" s="44"/>
      <c r="GK986" s="44"/>
      <c r="GL986" s="44"/>
      <c r="GM986" s="44"/>
      <c r="GN986" s="44"/>
      <c r="GO986" s="44"/>
      <c r="GP986" s="44"/>
      <c r="GQ986" s="44"/>
      <c r="GR986" s="44"/>
      <c r="GS986" s="44"/>
      <c r="GT986" s="44"/>
      <c r="GU986" s="44"/>
      <c r="GV986" s="44"/>
      <c r="GW986" s="44"/>
      <c r="GX986" s="44"/>
      <c r="GY986" s="44"/>
      <c r="GZ986" s="44"/>
      <c r="HA986" s="44"/>
      <c r="HB986" s="44"/>
      <c r="HC986" s="44"/>
      <c r="HD986" s="44"/>
      <c r="HE986" s="44"/>
      <c r="HF986" s="44"/>
      <c r="HG986" s="44"/>
      <c r="HH986" s="44"/>
      <c r="HI986" s="44"/>
      <c r="HJ986" s="44"/>
      <c r="HK986" s="44"/>
      <c r="HL986" s="44"/>
      <c r="HM986" s="44"/>
      <c r="HN986" s="44"/>
      <c r="HO986" s="44"/>
      <c r="HP986" s="44"/>
      <c r="HQ986" s="44"/>
      <c r="HR986" s="44"/>
      <c r="HS986" s="44"/>
      <c r="HT986" s="44"/>
      <c r="HU986" s="44"/>
      <c r="HV986" s="44"/>
      <c r="HW986" s="44"/>
      <c r="HX986" s="44"/>
      <c r="HY986" s="44"/>
      <c r="HZ986" s="44"/>
      <c r="IA986" s="44"/>
      <c r="IB986" s="44"/>
      <c r="IC986" s="44"/>
      <c r="ID986" s="44"/>
      <c r="IE986" s="44"/>
      <c r="IF986" s="44"/>
      <c r="IG986" s="44"/>
      <c r="IH986" s="44"/>
      <c r="II986" s="44"/>
      <c r="IJ986" s="44"/>
      <c r="IK986" s="44"/>
      <c r="IL986" s="44"/>
      <c r="IM986" s="44"/>
      <c r="IN986" s="44"/>
      <c r="IO986" s="44"/>
    </row>
    <row r="987" spans="1:249" s="45" customFormat="1" ht="21.95" customHeight="1">
      <c r="A987" s="1495" t="s">
        <v>233</v>
      </c>
      <c r="B987" s="1495"/>
      <c r="C987" s="1495"/>
      <c r="D987" s="1495"/>
      <c r="E987" s="1495"/>
      <c r="F987" s="1495"/>
      <c r="G987" s="1495"/>
      <c r="H987" s="1495"/>
      <c r="I987" s="1495"/>
      <c r="J987" s="1495"/>
      <c r="K987" s="1495"/>
      <c r="L987" s="1495"/>
      <c r="M987" s="1495"/>
      <c r="N987" s="1495"/>
      <c r="O987" s="43"/>
      <c r="P987" s="43"/>
      <c r="Q987" s="10"/>
      <c r="R987" s="126"/>
      <c r="S987" s="126"/>
      <c r="T987" s="126"/>
      <c r="U987" s="126"/>
      <c r="V987" s="126"/>
      <c r="W987" s="126"/>
      <c r="X987" s="126"/>
      <c r="Y987" s="126"/>
      <c r="Z987" s="126"/>
      <c r="AA987" s="126"/>
      <c r="AB987" s="126"/>
      <c r="AC987" s="126"/>
      <c r="AD987" s="47"/>
      <c r="AE987" s="47"/>
      <c r="AF987" s="47"/>
      <c r="AG987" s="47"/>
      <c r="AH987" s="47"/>
      <c r="AI987" s="47"/>
      <c r="AJ987" s="47"/>
      <c r="AK987" s="47"/>
      <c r="AL987" s="47"/>
      <c r="AM987" s="47"/>
      <c r="AN987" s="47"/>
      <c r="AO987" s="47"/>
      <c r="AP987" s="47"/>
      <c r="AQ987" s="47"/>
      <c r="AR987" s="47"/>
      <c r="AS987" s="47"/>
      <c r="AT987" s="47"/>
      <c r="AU987" s="47"/>
      <c r="AV987" s="47"/>
      <c r="AW987" s="47"/>
      <c r="AX987" s="47"/>
      <c r="AY987" s="47"/>
      <c r="AZ987" s="47"/>
      <c r="BA987" s="47"/>
      <c r="BB987" s="47"/>
      <c r="BC987" s="47"/>
      <c r="BD987" s="47"/>
      <c r="BE987" s="47"/>
      <c r="BF987" s="47"/>
      <c r="BG987" s="47"/>
      <c r="BH987" s="47"/>
      <c r="BI987" s="47"/>
      <c r="BJ987" s="47"/>
      <c r="BK987" s="47"/>
      <c r="BL987" s="47"/>
      <c r="BM987" s="47"/>
      <c r="BN987" s="47"/>
      <c r="BO987" s="47"/>
      <c r="BP987" s="47"/>
      <c r="BQ987" s="47"/>
      <c r="BR987" s="47"/>
      <c r="BS987" s="47"/>
      <c r="BT987" s="47"/>
      <c r="BU987" s="47"/>
      <c r="BV987" s="47"/>
      <c r="BW987" s="47"/>
      <c r="BX987" s="47"/>
      <c r="BY987" s="47"/>
      <c r="BZ987" s="47"/>
      <c r="CA987" s="47"/>
      <c r="CB987" s="47"/>
      <c r="CC987" s="47"/>
      <c r="CD987" s="47"/>
      <c r="CE987" s="47"/>
      <c r="CF987" s="47"/>
      <c r="CG987" s="47"/>
      <c r="CH987" s="47"/>
      <c r="CI987" s="47"/>
      <c r="CJ987" s="47"/>
      <c r="CK987" s="47"/>
      <c r="CL987" s="47"/>
      <c r="CM987" s="47"/>
      <c r="CN987" s="47"/>
      <c r="CO987" s="47"/>
      <c r="CP987" s="47"/>
      <c r="CQ987" s="47"/>
      <c r="CR987" s="47"/>
      <c r="CS987" s="47"/>
      <c r="CT987" s="47"/>
      <c r="CU987" s="47"/>
      <c r="CV987" s="47"/>
      <c r="CW987" s="47"/>
      <c r="CX987" s="47"/>
      <c r="CY987" s="47"/>
      <c r="CZ987" s="47"/>
      <c r="DA987" s="47"/>
      <c r="DB987" s="47"/>
      <c r="DC987" s="47"/>
      <c r="DD987" s="47"/>
      <c r="DE987" s="47"/>
      <c r="DF987" s="47"/>
      <c r="DG987" s="47"/>
      <c r="DH987" s="47"/>
      <c r="DI987" s="47"/>
      <c r="DJ987" s="47"/>
      <c r="DK987" s="47"/>
      <c r="DL987" s="47"/>
      <c r="DM987" s="47"/>
      <c r="DN987" s="47"/>
      <c r="DO987" s="47"/>
      <c r="DP987" s="47"/>
      <c r="DQ987" s="47"/>
      <c r="DR987" s="47"/>
      <c r="DS987" s="47"/>
      <c r="DT987" s="47"/>
      <c r="DU987" s="47"/>
      <c r="DV987" s="47"/>
      <c r="DW987" s="47"/>
      <c r="DX987" s="47"/>
      <c r="DY987" s="47"/>
      <c r="DZ987" s="47"/>
      <c r="EA987" s="47"/>
      <c r="EB987" s="47"/>
      <c r="EC987" s="47"/>
      <c r="ED987" s="47"/>
      <c r="EE987" s="47"/>
      <c r="EF987" s="47"/>
      <c r="EG987" s="47"/>
      <c r="EH987" s="47"/>
      <c r="EI987" s="47"/>
      <c r="EJ987" s="47"/>
      <c r="EK987" s="47"/>
      <c r="EL987" s="47"/>
      <c r="EM987" s="47"/>
      <c r="EN987" s="47"/>
      <c r="EO987" s="47"/>
      <c r="EP987" s="47"/>
      <c r="EQ987" s="47"/>
      <c r="ER987" s="47"/>
      <c r="ES987" s="47"/>
      <c r="ET987" s="47"/>
      <c r="EU987" s="47"/>
      <c r="EV987" s="47"/>
      <c r="EW987" s="47"/>
      <c r="EX987" s="47"/>
      <c r="EY987" s="47"/>
      <c r="EZ987" s="47"/>
      <c r="FA987" s="47"/>
      <c r="FB987" s="47"/>
      <c r="FC987" s="47"/>
      <c r="FD987" s="47"/>
      <c r="FE987" s="47"/>
      <c r="FF987" s="47"/>
      <c r="FG987" s="47"/>
      <c r="FH987" s="47"/>
      <c r="FI987" s="47"/>
      <c r="FJ987" s="47"/>
      <c r="FK987" s="47"/>
      <c r="FL987" s="47"/>
      <c r="FM987" s="47"/>
      <c r="FN987" s="47"/>
      <c r="FO987" s="47"/>
      <c r="FP987" s="47"/>
      <c r="FQ987" s="47"/>
      <c r="FR987" s="47"/>
      <c r="FS987" s="47"/>
      <c r="FT987" s="47"/>
      <c r="FU987" s="47"/>
      <c r="FV987" s="47"/>
      <c r="FW987" s="47"/>
      <c r="FX987" s="47"/>
      <c r="FY987" s="47"/>
      <c r="FZ987" s="47"/>
      <c r="GA987" s="47"/>
      <c r="GB987" s="47"/>
      <c r="GC987" s="47"/>
      <c r="GD987" s="47"/>
      <c r="GE987" s="47"/>
      <c r="GF987" s="47"/>
      <c r="GG987" s="47"/>
      <c r="GH987" s="47"/>
      <c r="GI987" s="47"/>
      <c r="GJ987" s="47"/>
      <c r="GK987" s="47"/>
      <c r="GL987" s="47"/>
      <c r="GM987" s="47"/>
      <c r="GN987" s="47"/>
      <c r="GO987" s="47"/>
      <c r="GP987" s="47"/>
      <c r="GQ987" s="47"/>
      <c r="GR987" s="47"/>
      <c r="GS987" s="47"/>
      <c r="GT987" s="47"/>
      <c r="GU987" s="47"/>
      <c r="GV987" s="47"/>
      <c r="GW987" s="47"/>
      <c r="GX987" s="47"/>
      <c r="GY987" s="47"/>
      <c r="GZ987" s="47"/>
      <c r="HA987" s="47"/>
      <c r="HB987" s="47"/>
      <c r="HC987" s="47"/>
      <c r="HD987" s="47"/>
      <c r="HE987" s="47"/>
      <c r="HF987" s="47"/>
      <c r="HG987" s="47"/>
      <c r="HH987" s="47"/>
      <c r="HI987" s="47"/>
      <c r="HJ987" s="47"/>
      <c r="HK987" s="47"/>
      <c r="HL987" s="47"/>
      <c r="HM987" s="47"/>
      <c r="HN987" s="47"/>
      <c r="HO987" s="47"/>
      <c r="HP987" s="47"/>
      <c r="HQ987" s="47"/>
      <c r="HR987" s="47"/>
      <c r="HS987" s="47"/>
      <c r="HT987" s="47"/>
      <c r="HU987" s="47"/>
      <c r="HV987" s="47"/>
      <c r="HW987" s="47"/>
      <c r="HX987" s="47"/>
      <c r="HY987" s="47"/>
      <c r="HZ987" s="47"/>
      <c r="IA987" s="47"/>
      <c r="IB987" s="47"/>
      <c r="IC987" s="47"/>
      <c r="ID987" s="47"/>
      <c r="IE987" s="47"/>
      <c r="IF987" s="47"/>
      <c r="IG987" s="47"/>
      <c r="IH987" s="47"/>
      <c r="II987" s="47"/>
      <c r="IJ987" s="47"/>
      <c r="IK987" s="47"/>
      <c r="IL987" s="47"/>
      <c r="IM987" s="47"/>
      <c r="IN987" s="47"/>
    </row>
    <row r="988" spans="1:249" s="5" customFormat="1" ht="24" customHeight="1">
      <c r="A988" s="48" t="s">
        <v>234</v>
      </c>
      <c r="B988" s="39"/>
      <c r="C988" s="39"/>
      <c r="D988" s="39"/>
      <c r="E988" s="39"/>
      <c r="F988" s="39"/>
      <c r="G988" s="39"/>
      <c r="H988" s="39"/>
      <c r="I988" s="39"/>
      <c r="J988" s="39"/>
      <c r="K988" s="39"/>
      <c r="L988" s="39"/>
      <c r="M988" s="39"/>
      <c r="N988" s="39"/>
      <c r="O988" s="43"/>
      <c r="P988" s="43"/>
      <c r="Q988" s="10"/>
      <c r="R988" s="126"/>
      <c r="S988" s="126"/>
      <c r="T988" s="126"/>
      <c r="U988" s="126"/>
      <c r="V988" s="126"/>
      <c r="W988" s="126"/>
      <c r="X988" s="126"/>
      <c r="Y988" s="126"/>
      <c r="Z988" s="126"/>
      <c r="AA988" s="126"/>
      <c r="AB988" s="126"/>
      <c r="AC988" s="126"/>
      <c r="AD988" s="1490"/>
      <c r="AE988" s="1490"/>
      <c r="AF988" s="1490"/>
      <c r="AG988" s="1490"/>
      <c r="AH988" s="1490"/>
      <c r="AI988" s="1490"/>
      <c r="AJ988" s="1490"/>
      <c r="AK988" s="1490"/>
      <c r="AL988" s="1490"/>
      <c r="AM988" s="1490"/>
      <c r="AN988" s="1490"/>
      <c r="AO988" s="1490"/>
      <c r="AP988" s="1490"/>
      <c r="AQ988" s="1490"/>
      <c r="AR988" s="1490"/>
      <c r="AS988" s="1490"/>
      <c r="AT988" s="1490"/>
      <c r="AU988" s="1490"/>
      <c r="AV988" s="1490"/>
      <c r="AW988" s="1490"/>
      <c r="AX988" s="1490"/>
      <c r="AY988" s="1490"/>
      <c r="AZ988" s="1490"/>
      <c r="BA988" s="1490"/>
      <c r="BB988" s="1490"/>
      <c r="BC988" s="1490"/>
      <c r="BD988" s="1490"/>
      <c r="BE988" s="1490"/>
      <c r="BF988" s="1490"/>
      <c r="BG988" s="1490"/>
      <c r="BH988" s="1490"/>
      <c r="BI988" s="1490"/>
      <c r="BJ988" s="1490"/>
      <c r="BK988" s="1490"/>
      <c r="BL988" s="1490"/>
      <c r="BM988" s="1490"/>
      <c r="BN988" s="1490"/>
      <c r="BO988" s="1490"/>
      <c r="BP988" s="1490"/>
      <c r="BQ988" s="1490"/>
      <c r="BR988" s="1490"/>
      <c r="BS988" s="1490"/>
      <c r="BT988" s="1490"/>
      <c r="BU988" s="1490"/>
      <c r="BV988" s="1490"/>
      <c r="BW988" s="1490"/>
      <c r="BX988" s="1490"/>
      <c r="BY988" s="1490"/>
      <c r="BZ988" s="1490"/>
      <c r="CA988" s="1490"/>
      <c r="CB988" s="1490"/>
      <c r="CC988" s="1490"/>
      <c r="CD988" s="1490"/>
      <c r="CE988" s="1490"/>
      <c r="CF988" s="1490"/>
      <c r="CG988" s="1490"/>
      <c r="CH988" s="1490"/>
      <c r="CI988" s="1490"/>
      <c r="CJ988" s="1490"/>
      <c r="CK988" s="1490"/>
      <c r="CL988" s="1490"/>
      <c r="CM988" s="1490"/>
      <c r="CN988" s="1490"/>
      <c r="CO988" s="1490"/>
      <c r="CP988" s="1490"/>
      <c r="CQ988" s="1490"/>
      <c r="CR988" s="1490"/>
      <c r="CS988" s="1490"/>
      <c r="CT988" s="1490"/>
      <c r="CU988" s="1490"/>
      <c r="CV988" s="1490"/>
      <c r="CW988" s="1490"/>
      <c r="CX988" s="1490"/>
      <c r="CY988" s="1490"/>
      <c r="CZ988" s="1490"/>
      <c r="DA988" s="1490"/>
      <c r="DB988" s="1490"/>
      <c r="DC988" s="1490"/>
      <c r="DD988" s="1490"/>
      <c r="DE988" s="1490"/>
      <c r="DF988" s="1490"/>
      <c r="DG988" s="1490"/>
      <c r="DH988" s="1490"/>
      <c r="DI988" s="1490"/>
      <c r="DJ988" s="1490"/>
      <c r="DK988" s="1490"/>
      <c r="DL988" s="1490"/>
      <c r="DM988" s="1490"/>
      <c r="DN988" s="1490"/>
      <c r="DO988" s="1490"/>
      <c r="DP988" s="1490"/>
      <c r="DQ988" s="1490"/>
      <c r="DR988" s="1490"/>
      <c r="DS988" s="1490"/>
      <c r="DT988" s="1490"/>
      <c r="DU988" s="1490"/>
      <c r="DV988" s="1490"/>
      <c r="DW988" s="1490"/>
      <c r="DX988" s="1490"/>
      <c r="DY988" s="1490"/>
      <c r="DZ988" s="1490"/>
      <c r="EA988" s="1490"/>
      <c r="EB988" s="1490"/>
      <c r="EC988" s="1490"/>
      <c r="ED988" s="1490"/>
      <c r="EE988" s="1490"/>
      <c r="EF988" s="1490"/>
      <c r="EG988" s="1490"/>
      <c r="EH988" s="1490"/>
      <c r="EI988" s="1490"/>
      <c r="EJ988" s="1490"/>
      <c r="EK988" s="1490"/>
      <c r="EL988" s="1490"/>
      <c r="EM988" s="1490"/>
      <c r="EN988" s="1490"/>
      <c r="EO988" s="1490"/>
      <c r="EP988" s="1490"/>
      <c r="EQ988" s="1490"/>
      <c r="ER988" s="1490"/>
      <c r="ES988" s="1490"/>
      <c r="ET988" s="1490"/>
      <c r="EU988" s="1490"/>
      <c r="EV988" s="1490"/>
      <c r="EW988" s="1490"/>
      <c r="EX988" s="1490"/>
      <c r="EY988" s="1490"/>
      <c r="EZ988" s="1490"/>
      <c r="FA988" s="1490"/>
      <c r="FB988" s="1490"/>
      <c r="FC988" s="1490"/>
      <c r="FD988" s="1490"/>
      <c r="FE988" s="1490"/>
      <c r="FF988" s="1490"/>
      <c r="FG988" s="1490"/>
      <c r="FH988" s="1490"/>
      <c r="FI988" s="1490"/>
      <c r="FJ988" s="1490"/>
      <c r="FK988" s="1490"/>
      <c r="FL988" s="1490"/>
      <c r="FM988" s="1490"/>
      <c r="FN988" s="1490"/>
      <c r="FO988" s="1490"/>
      <c r="FP988" s="1490"/>
      <c r="FQ988" s="1490"/>
      <c r="FR988" s="1490"/>
      <c r="FS988" s="1490"/>
      <c r="FT988" s="1490"/>
      <c r="FU988" s="1490"/>
      <c r="FV988" s="1490"/>
      <c r="FW988" s="1490"/>
      <c r="FX988" s="1490"/>
      <c r="FY988" s="1490"/>
      <c r="FZ988" s="1490"/>
      <c r="GA988" s="1490"/>
      <c r="GB988" s="1490"/>
      <c r="GC988" s="1490"/>
      <c r="GD988" s="1490"/>
      <c r="GE988" s="1490"/>
      <c r="GF988" s="1490"/>
      <c r="GG988" s="1490"/>
      <c r="GH988" s="1490"/>
      <c r="GI988" s="1490"/>
      <c r="GJ988" s="1490"/>
      <c r="GK988" s="1490"/>
      <c r="GL988" s="1490"/>
      <c r="GM988" s="1490"/>
      <c r="GN988" s="1490"/>
      <c r="GO988" s="1490"/>
      <c r="GP988" s="1490"/>
      <c r="GQ988" s="1490"/>
      <c r="GR988" s="1490"/>
      <c r="GS988" s="1490"/>
      <c r="GT988" s="1490"/>
      <c r="GU988" s="1490"/>
      <c r="GV988" s="1490"/>
      <c r="GW988" s="1490"/>
      <c r="GX988" s="1490"/>
      <c r="GY988" s="1490"/>
      <c r="GZ988" s="1490"/>
      <c r="HA988" s="1490"/>
      <c r="HB988" s="1490"/>
      <c r="HC988" s="1490"/>
      <c r="HD988" s="1490"/>
      <c r="HE988" s="1490"/>
      <c r="HF988" s="1490"/>
      <c r="HG988" s="1490"/>
      <c r="HH988" s="1490"/>
      <c r="HI988" s="1490"/>
      <c r="HJ988" s="1490"/>
      <c r="HK988" s="1490"/>
      <c r="HL988" s="1490"/>
      <c r="HM988" s="1490"/>
      <c r="HN988" s="1490"/>
      <c r="HO988" s="1490"/>
      <c r="HP988" s="1490"/>
      <c r="HQ988" s="1490"/>
      <c r="HR988" s="1490"/>
      <c r="HS988" s="1490"/>
      <c r="HT988" s="1490"/>
      <c r="HU988" s="1490"/>
      <c r="HV988" s="1490"/>
      <c r="HW988" s="1490"/>
      <c r="HX988" s="1490"/>
      <c r="HY988" s="1490"/>
      <c r="HZ988" s="1490"/>
      <c r="IA988" s="1490"/>
      <c r="IB988" s="1490"/>
      <c r="IC988" s="1490"/>
      <c r="ID988" s="1490"/>
      <c r="IE988" s="1490"/>
      <c r="IF988" s="1490"/>
      <c r="IG988" s="1490"/>
      <c r="IH988" s="1490"/>
      <c r="II988" s="1490"/>
      <c r="IJ988" s="1490"/>
      <c r="IK988" s="1490"/>
      <c r="IL988" s="1490"/>
      <c r="IM988" s="1490"/>
      <c r="IN988" s="1490"/>
      <c r="IO988" s="44"/>
    </row>
    <row r="989" spans="1:249" s="5" customFormat="1" ht="25.5" customHeight="1">
      <c r="A989" s="1495" t="s">
        <v>235</v>
      </c>
      <c r="B989" s="1495"/>
      <c r="C989" s="1495"/>
      <c r="D989" s="1495"/>
      <c r="E989" s="1495"/>
      <c r="F989" s="1495"/>
      <c r="G989" s="1495"/>
      <c r="H989" s="1495"/>
      <c r="I989" s="1495"/>
      <c r="J989" s="1495"/>
      <c r="K989" s="1495"/>
      <c r="L989" s="1495"/>
      <c r="M989" s="1495"/>
      <c r="N989" s="1495"/>
      <c r="O989" s="43"/>
      <c r="P989" s="43"/>
      <c r="Q989" s="10"/>
      <c r="R989" s="126"/>
      <c r="S989" s="126"/>
      <c r="T989" s="126"/>
      <c r="U989" s="126"/>
      <c r="V989" s="126"/>
      <c r="W989" s="126"/>
      <c r="X989" s="126"/>
      <c r="Y989" s="126"/>
      <c r="Z989" s="126"/>
      <c r="AA989" s="126"/>
      <c r="AB989" s="126"/>
      <c r="AC989" s="126"/>
      <c r="AD989" s="1490"/>
      <c r="AE989" s="1490"/>
      <c r="AF989" s="1490"/>
      <c r="AG989" s="1490"/>
      <c r="AH989" s="1490"/>
      <c r="AI989" s="1490"/>
      <c r="AJ989" s="1490"/>
      <c r="AK989" s="1490"/>
      <c r="AL989" s="1490"/>
      <c r="AM989" s="1490"/>
      <c r="AN989" s="1490"/>
      <c r="AO989" s="1490"/>
      <c r="AP989" s="1490"/>
      <c r="AQ989" s="1490"/>
      <c r="AR989" s="1490"/>
      <c r="AS989" s="1490"/>
      <c r="AT989" s="1490"/>
      <c r="AU989" s="1490"/>
      <c r="AV989" s="1490"/>
      <c r="AW989" s="1490"/>
      <c r="AX989" s="1490"/>
      <c r="AY989" s="1490"/>
      <c r="AZ989" s="1490"/>
      <c r="BA989" s="1490"/>
      <c r="BB989" s="1490"/>
      <c r="BC989" s="1490"/>
      <c r="BD989" s="1490"/>
      <c r="BE989" s="1490"/>
      <c r="BF989" s="1490"/>
      <c r="BG989" s="1490"/>
      <c r="BH989" s="1490"/>
      <c r="BI989" s="1490"/>
      <c r="BJ989" s="1490"/>
      <c r="BK989" s="1490"/>
      <c r="BL989" s="1490"/>
      <c r="BM989" s="1490"/>
      <c r="BN989" s="1490"/>
      <c r="BO989" s="1490"/>
      <c r="BP989" s="1490"/>
      <c r="BQ989" s="1490"/>
      <c r="BR989" s="1490"/>
      <c r="BS989" s="1490"/>
      <c r="BT989" s="1490"/>
      <c r="BU989" s="1490"/>
      <c r="BV989" s="1490"/>
      <c r="BW989" s="1490"/>
      <c r="BX989" s="1490"/>
      <c r="BY989" s="1490"/>
      <c r="BZ989" s="1490"/>
      <c r="CA989" s="1490"/>
      <c r="CB989" s="1490"/>
      <c r="CC989" s="1490"/>
      <c r="CD989" s="1490"/>
      <c r="CE989" s="1490"/>
      <c r="CF989" s="1490"/>
      <c r="CG989" s="1490"/>
      <c r="CH989" s="1490"/>
      <c r="CI989" s="1490"/>
      <c r="CJ989" s="1490"/>
      <c r="CK989" s="1490"/>
      <c r="CL989" s="1490"/>
      <c r="CM989" s="1490"/>
      <c r="CN989" s="1490"/>
      <c r="CO989" s="1490"/>
      <c r="CP989" s="1490"/>
      <c r="CQ989" s="1490"/>
      <c r="CR989" s="1490"/>
      <c r="CS989" s="1490"/>
      <c r="CT989" s="1490"/>
      <c r="CU989" s="1490"/>
      <c r="CV989" s="1490"/>
      <c r="CW989" s="1490"/>
      <c r="CX989" s="1490"/>
      <c r="CY989" s="1490"/>
      <c r="CZ989" s="1490"/>
      <c r="DA989" s="1490"/>
      <c r="DB989" s="1490"/>
      <c r="DC989" s="1490"/>
      <c r="DD989" s="1490"/>
      <c r="DE989" s="1490"/>
      <c r="DF989" s="1490"/>
      <c r="DG989" s="1490"/>
      <c r="DH989" s="1490"/>
      <c r="DI989" s="1490"/>
      <c r="DJ989" s="1490"/>
      <c r="DK989" s="1490"/>
      <c r="DL989" s="1490"/>
      <c r="DM989" s="1490"/>
      <c r="DN989" s="1490"/>
      <c r="DO989" s="1490"/>
      <c r="DP989" s="1490"/>
      <c r="DQ989" s="1490"/>
      <c r="DR989" s="1490"/>
      <c r="DS989" s="1490"/>
      <c r="DT989" s="1490"/>
      <c r="DU989" s="1490"/>
      <c r="DV989" s="1490"/>
      <c r="DW989" s="1490"/>
      <c r="DX989" s="1490"/>
      <c r="DY989" s="1490"/>
      <c r="DZ989" s="1490"/>
      <c r="EA989" s="1490"/>
      <c r="EB989" s="1490"/>
      <c r="EC989" s="1490"/>
      <c r="ED989" s="1490"/>
      <c r="EE989" s="1490"/>
      <c r="EF989" s="1490"/>
      <c r="EG989" s="1490"/>
      <c r="EH989" s="1490"/>
      <c r="EI989" s="1490"/>
      <c r="EJ989" s="1490"/>
      <c r="EK989" s="1490"/>
      <c r="EL989" s="1490"/>
      <c r="EM989" s="1490"/>
      <c r="EN989" s="1490"/>
      <c r="EO989" s="1490"/>
      <c r="EP989" s="1490"/>
      <c r="EQ989" s="1490"/>
      <c r="ER989" s="1490"/>
      <c r="ES989" s="1490"/>
      <c r="ET989" s="1490"/>
      <c r="EU989" s="1490"/>
      <c r="EV989" s="1490"/>
      <c r="EW989" s="1490"/>
      <c r="EX989" s="1490"/>
      <c r="EY989" s="1490"/>
      <c r="EZ989" s="1490"/>
      <c r="FA989" s="1490"/>
      <c r="FB989" s="1490"/>
      <c r="FC989" s="1490"/>
      <c r="FD989" s="1490"/>
      <c r="FE989" s="1490"/>
      <c r="FF989" s="1490"/>
      <c r="FG989" s="1490"/>
      <c r="FH989" s="1490"/>
      <c r="FI989" s="1490"/>
      <c r="FJ989" s="1490"/>
      <c r="FK989" s="1490"/>
      <c r="FL989" s="1490"/>
      <c r="FM989" s="1490"/>
      <c r="FN989" s="1490"/>
      <c r="FO989" s="1490"/>
      <c r="FP989" s="1490"/>
      <c r="FQ989" s="1490"/>
      <c r="FR989" s="1490"/>
      <c r="FS989" s="1490"/>
      <c r="FT989" s="1490"/>
      <c r="FU989" s="1490"/>
      <c r="FV989" s="1490"/>
      <c r="FW989" s="1490"/>
      <c r="FX989" s="1490"/>
      <c r="FY989" s="1490"/>
      <c r="FZ989" s="1490"/>
      <c r="GA989" s="1490"/>
      <c r="GB989" s="1490"/>
      <c r="GC989" s="1490"/>
      <c r="GD989" s="1490"/>
      <c r="GE989" s="1490"/>
      <c r="GF989" s="1490"/>
      <c r="GG989" s="1490"/>
      <c r="GH989" s="1490"/>
      <c r="GI989" s="1490"/>
      <c r="GJ989" s="1490"/>
      <c r="GK989" s="1490"/>
      <c r="GL989" s="1490"/>
      <c r="GM989" s="1490"/>
      <c r="GN989" s="1490"/>
      <c r="GO989" s="1490"/>
      <c r="GP989" s="1490"/>
      <c r="GQ989" s="1490"/>
      <c r="GR989" s="1490"/>
      <c r="GS989" s="1490"/>
      <c r="GT989" s="1490"/>
      <c r="GU989" s="1490"/>
      <c r="GV989" s="1490"/>
      <c r="GW989" s="1490"/>
      <c r="GX989" s="1490"/>
      <c r="GY989" s="1490"/>
      <c r="GZ989" s="1490"/>
      <c r="HA989" s="1490"/>
      <c r="HB989" s="1490"/>
      <c r="HC989" s="1490"/>
      <c r="HD989" s="1490"/>
      <c r="HE989" s="1490"/>
      <c r="HF989" s="1490"/>
      <c r="HG989" s="1490"/>
      <c r="HH989" s="1490"/>
      <c r="HI989" s="1490"/>
      <c r="HJ989" s="1490"/>
      <c r="HK989" s="1490"/>
      <c r="HL989" s="1490"/>
      <c r="HM989" s="1490"/>
      <c r="HN989" s="1490"/>
      <c r="HO989" s="1490"/>
      <c r="HP989" s="1490"/>
      <c r="HQ989" s="1490"/>
      <c r="HR989" s="1490"/>
      <c r="HS989" s="1490"/>
      <c r="HT989" s="1490"/>
      <c r="HU989" s="1490"/>
      <c r="HV989" s="1490"/>
      <c r="HW989" s="1490"/>
      <c r="HX989" s="1490"/>
      <c r="HY989" s="1490"/>
      <c r="HZ989" s="1490"/>
      <c r="IA989" s="1490"/>
      <c r="IB989" s="1490"/>
      <c r="IC989" s="1490"/>
      <c r="ID989" s="1490"/>
      <c r="IE989" s="1490"/>
      <c r="IF989" s="1490"/>
      <c r="IG989" s="1490"/>
      <c r="IH989" s="1490"/>
      <c r="II989" s="1490"/>
      <c r="IJ989" s="1490"/>
      <c r="IK989" s="1490"/>
      <c r="IL989" s="1490"/>
      <c r="IM989" s="1490"/>
      <c r="IN989" s="1490"/>
      <c r="IO989" s="44"/>
    </row>
    <row r="990" spans="1:249" s="5" customFormat="1" ht="26.25" customHeight="1">
      <c r="A990" s="1488" t="s">
        <v>236</v>
      </c>
      <c r="B990" s="1488"/>
      <c r="C990" s="1488"/>
      <c r="D990" s="1488"/>
      <c r="E990" s="1488"/>
      <c r="F990" s="1488"/>
      <c r="G990" s="1488"/>
      <c r="H990" s="1488"/>
      <c r="I990" s="1488"/>
      <c r="J990" s="1488"/>
      <c r="K990" s="1488"/>
      <c r="L990" s="1488"/>
      <c r="M990" s="1488"/>
      <c r="N990" s="1488"/>
      <c r="O990" s="43"/>
      <c r="P990" s="43"/>
      <c r="Q990" s="126"/>
      <c r="R990" s="126"/>
      <c r="S990" s="126"/>
      <c r="T990" s="126"/>
      <c r="U990" s="126"/>
      <c r="V990" s="126"/>
      <c r="W990" s="126"/>
      <c r="X990" s="126"/>
      <c r="Y990" s="126"/>
      <c r="Z990" s="126"/>
      <c r="AA990" s="126"/>
      <c r="AB990" s="126"/>
      <c r="AC990" s="126"/>
      <c r="AD990" s="127"/>
      <c r="AE990" s="127"/>
      <c r="AF990" s="127"/>
    </row>
    <row r="991" spans="1:249" s="5" customFormat="1" ht="27" customHeight="1">
      <c r="A991"/>
      <c r="B991" s="1520" t="s">
        <v>237</v>
      </c>
      <c r="C991" s="1520"/>
      <c r="D991" s="1520"/>
      <c r="E991" s="1520"/>
      <c r="F991" s="1520"/>
      <c r="G991" s="1520"/>
      <c r="H991" s="1520"/>
      <c r="I991" s="1520"/>
      <c r="J991" s="50"/>
      <c r="K991" s="50"/>
      <c r="L991" s="50"/>
      <c r="M991" s="50"/>
      <c r="N991" s="50"/>
      <c r="O991" s="43"/>
      <c r="P991" s="43"/>
      <c r="Q991" s="126"/>
      <c r="R991" s="126"/>
      <c r="S991" s="126"/>
      <c r="T991" s="126"/>
      <c r="U991" s="126"/>
      <c r="V991" s="126"/>
      <c r="W991" s="126"/>
      <c r="X991" s="126"/>
      <c r="Y991" s="126"/>
      <c r="Z991" s="126"/>
      <c r="AA991" s="126"/>
      <c r="AB991" s="126"/>
      <c r="AC991" s="126"/>
      <c r="AD991" s="1494"/>
      <c r="AE991" s="1494"/>
      <c r="AF991" s="1494"/>
      <c r="AG991" s="1494"/>
      <c r="AH991" s="1494"/>
      <c r="AI991" s="1494"/>
      <c r="AJ991" s="1494"/>
      <c r="AK991" s="1494"/>
      <c r="AL991" s="1494"/>
      <c r="AM991" s="1494"/>
      <c r="AN991" s="1494"/>
      <c r="AO991" s="1494"/>
      <c r="AP991" s="1494"/>
      <c r="AQ991" s="1494"/>
      <c r="AR991" s="1494"/>
      <c r="AS991" s="1494"/>
      <c r="AT991" s="1494"/>
      <c r="AU991" s="1494"/>
      <c r="AV991" s="1494"/>
      <c r="AW991" s="1494"/>
      <c r="AX991" s="1494"/>
      <c r="AY991" s="1494"/>
      <c r="AZ991" s="1494"/>
      <c r="BA991" s="1494"/>
      <c r="BB991" s="1494"/>
      <c r="BC991" s="1494"/>
      <c r="BD991" s="1494"/>
      <c r="BE991" s="1494"/>
      <c r="BF991" s="1494"/>
      <c r="BG991" s="1494"/>
      <c r="BH991" s="1494"/>
      <c r="BI991" s="1494"/>
      <c r="BJ991" s="1494"/>
      <c r="BK991" s="1494"/>
      <c r="BL991" s="1494"/>
      <c r="BM991" s="1494"/>
      <c r="BN991" s="1494"/>
      <c r="BO991" s="1494"/>
      <c r="BP991" s="1494"/>
      <c r="BQ991" s="1494"/>
      <c r="BR991" s="1494"/>
      <c r="BS991" s="1494"/>
      <c r="BT991" s="1494"/>
      <c r="BU991" s="1494"/>
      <c r="BV991" s="1494"/>
      <c r="BW991" s="1494"/>
      <c r="BX991" s="1494"/>
      <c r="BY991" s="1494"/>
      <c r="BZ991" s="1494"/>
      <c r="CA991" s="1494"/>
      <c r="CB991" s="1494"/>
      <c r="CC991" s="1494"/>
      <c r="CD991" s="1494"/>
      <c r="CE991" s="1494"/>
      <c r="CF991" s="1494"/>
      <c r="CG991" s="1494"/>
      <c r="CH991" s="1494"/>
      <c r="CI991" s="1494"/>
      <c r="CJ991" s="1494"/>
      <c r="CK991" s="1494"/>
      <c r="CL991" s="1494"/>
      <c r="CM991" s="1494"/>
      <c r="CN991" s="1494"/>
      <c r="CO991" s="1494"/>
      <c r="CP991" s="1494"/>
      <c r="CQ991" s="1494"/>
      <c r="CR991" s="1494"/>
      <c r="CS991" s="1494"/>
      <c r="CT991" s="1494"/>
      <c r="CU991" s="1494"/>
      <c r="CV991" s="1494"/>
      <c r="CW991" s="1494"/>
      <c r="CX991" s="1494"/>
      <c r="CY991" s="1494"/>
      <c r="CZ991" s="1494"/>
      <c r="DA991" s="1494"/>
      <c r="DB991" s="1494"/>
      <c r="DC991" s="1494"/>
      <c r="DD991" s="1494"/>
      <c r="DE991" s="1494"/>
      <c r="DF991" s="1494"/>
      <c r="DG991" s="1494"/>
      <c r="DH991" s="1494"/>
      <c r="DI991" s="1494"/>
      <c r="DJ991" s="1494"/>
      <c r="DK991" s="1494"/>
      <c r="DL991" s="1494"/>
      <c r="DM991" s="1494"/>
      <c r="DN991" s="1494"/>
      <c r="DO991" s="1494"/>
      <c r="DP991" s="1494"/>
      <c r="DQ991" s="1494"/>
      <c r="DR991" s="1494"/>
      <c r="DS991" s="1494"/>
      <c r="DT991" s="1494"/>
      <c r="DU991" s="1494"/>
      <c r="DV991" s="1494"/>
      <c r="DW991" s="1494"/>
      <c r="DX991" s="1494"/>
      <c r="DY991" s="1494"/>
      <c r="DZ991" s="1494"/>
      <c r="EA991" s="1494"/>
      <c r="EB991" s="1494"/>
      <c r="EC991" s="1494"/>
      <c r="ED991" s="1494"/>
      <c r="EE991" s="1494"/>
      <c r="EF991" s="1494"/>
      <c r="EG991" s="1494"/>
      <c r="EH991" s="1494"/>
      <c r="EI991" s="1494"/>
      <c r="EJ991" s="1494"/>
      <c r="EK991" s="1494"/>
      <c r="EL991" s="1494"/>
      <c r="EM991" s="1494"/>
      <c r="EN991" s="1494"/>
      <c r="EO991" s="1494"/>
      <c r="EP991" s="1494"/>
      <c r="EQ991" s="1494"/>
      <c r="ER991" s="1494"/>
      <c r="ES991" s="1494"/>
      <c r="ET991" s="1494"/>
      <c r="EU991" s="1494"/>
      <c r="EV991" s="1494"/>
      <c r="EW991" s="1494"/>
      <c r="EX991" s="1494"/>
      <c r="EY991" s="1494"/>
      <c r="EZ991" s="1494"/>
      <c r="FA991" s="1494"/>
      <c r="FB991" s="1494"/>
      <c r="FC991" s="1494"/>
      <c r="FD991" s="1494"/>
      <c r="FE991" s="1494"/>
      <c r="FF991" s="1494"/>
      <c r="FG991" s="1494"/>
      <c r="FH991" s="1494"/>
      <c r="FI991" s="1494"/>
      <c r="FJ991" s="1494"/>
      <c r="FK991" s="1494"/>
      <c r="FL991" s="1494"/>
      <c r="FM991" s="1494"/>
      <c r="FN991" s="1494"/>
      <c r="FO991" s="1494"/>
      <c r="FP991" s="1494"/>
      <c r="FQ991" s="1494"/>
      <c r="FR991" s="1494"/>
      <c r="FS991" s="1494"/>
      <c r="FT991" s="1494"/>
      <c r="FU991" s="1494"/>
      <c r="FV991" s="1494"/>
      <c r="FW991" s="1494"/>
      <c r="FX991" s="1494"/>
      <c r="FY991" s="1494"/>
      <c r="FZ991" s="1494"/>
      <c r="GA991" s="1494"/>
      <c r="GB991" s="1494"/>
      <c r="GC991" s="1494"/>
      <c r="GD991" s="1494"/>
      <c r="GE991" s="1494"/>
      <c r="GF991" s="1494"/>
      <c r="GG991" s="1494"/>
      <c r="GH991" s="1494"/>
      <c r="GI991" s="1494"/>
      <c r="GJ991" s="1494"/>
      <c r="GK991" s="1494"/>
      <c r="GL991" s="1494"/>
      <c r="GM991" s="1494"/>
      <c r="GN991" s="1494"/>
      <c r="GO991" s="1494"/>
      <c r="GP991" s="1494"/>
      <c r="GQ991" s="1494"/>
      <c r="GR991" s="1494"/>
      <c r="GS991" s="1494"/>
      <c r="GT991" s="1494"/>
      <c r="GU991" s="1494"/>
      <c r="GV991" s="1494"/>
      <c r="GW991" s="1494"/>
      <c r="GX991" s="1494"/>
      <c r="GY991" s="1494"/>
      <c r="GZ991" s="1494"/>
      <c r="HA991" s="1494"/>
      <c r="HB991" s="1494"/>
      <c r="HC991" s="1494"/>
      <c r="HD991" s="1494"/>
      <c r="HE991" s="1494"/>
      <c r="HF991" s="1494"/>
      <c r="HG991" s="1494"/>
      <c r="HH991" s="1494"/>
      <c r="HI991" s="1494"/>
      <c r="HJ991" s="1494"/>
      <c r="HK991" s="1494"/>
      <c r="HL991" s="1494"/>
      <c r="HM991" s="1494"/>
      <c r="HN991" s="1494"/>
      <c r="HO991" s="1494"/>
      <c r="HP991" s="1494"/>
      <c r="HQ991" s="1494"/>
      <c r="HR991" s="1494"/>
      <c r="HS991" s="1494"/>
      <c r="HT991" s="1494"/>
      <c r="HU991" s="1494"/>
      <c r="HV991" s="1494"/>
      <c r="HW991" s="1494"/>
      <c r="HX991" s="1494"/>
      <c r="HY991" s="1494"/>
      <c r="HZ991" s="1494"/>
      <c r="IA991" s="1494"/>
      <c r="IB991" s="1494"/>
      <c r="IC991" s="1494"/>
      <c r="ID991" s="1494"/>
      <c r="IE991" s="1494"/>
      <c r="IF991" s="1494"/>
      <c r="IG991" s="1494"/>
      <c r="IH991" s="1494"/>
      <c r="II991" s="1494"/>
      <c r="IJ991" s="1494"/>
      <c r="IK991" s="1494"/>
      <c r="IL991" s="1494"/>
      <c r="IM991" s="1494"/>
      <c r="IN991" s="1494"/>
      <c r="IO991" s="49"/>
    </row>
    <row r="992" spans="1:249" s="5" customFormat="1" ht="23.25" customHeight="1">
      <c r="A992" s="1521" t="s">
        <v>191</v>
      </c>
      <c r="B992" s="1523" t="s">
        <v>238</v>
      </c>
      <c r="C992" s="1524"/>
      <c r="D992" s="1524"/>
      <c r="E992" s="1524"/>
      <c r="F992" s="1524"/>
      <c r="G992" s="1525"/>
      <c r="H992" s="1523" t="s">
        <v>239</v>
      </c>
      <c r="I992" s="1524"/>
      <c r="J992" s="1524"/>
      <c r="K992" s="1524"/>
      <c r="L992" s="1525"/>
      <c r="M992" s="1529" t="s">
        <v>240</v>
      </c>
      <c r="N992" s="1530"/>
      <c r="O992" s="43"/>
      <c r="P992" s="43"/>
      <c r="Q992" s="126"/>
      <c r="R992" s="126"/>
      <c r="S992" s="126"/>
      <c r="T992" s="126"/>
      <c r="U992" s="126"/>
      <c r="V992" s="126"/>
      <c r="W992" s="126"/>
      <c r="X992" s="126"/>
      <c r="Y992" s="126"/>
      <c r="Z992" s="126"/>
      <c r="AA992" s="126"/>
      <c r="AB992" s="126"/>
      <c r="AC992" s="126"/>
      <c r="AD992" s="1494"/>
      <c r="AE992" s="1494"/>
      <c r="AF992" s="1494"/>
      <c r="AG992" s="1494"/>
      <c r="AH992" s="1494"/>
      <c r="AI992" s="1494"/>
      <c r="AJ992" s="1494"/>
      <c r="AK992" s="1494"/>
      <c r="AL992" s="1494"/>
      <c r="AM992" s="1494"/>
      <c r="AN992" s="1494"/>
      <c r="AO992" s="1494"/>
      <c r="AP992" s="1494"/>
      <c r="AQ992" s="1494"/>
      <c r="AR992" s="1494"/>
      <c r="AS992" s="1494"/>
      <c r="AT992" s="1494"/>
      <c r="AU992" s="1494"/>
      <c r="AV992" s="1494"/>
      <c r="AW992" s="1494"/>
      <c r="AX992" s="1494"/>
      <c r="AY992" s="1494"/>
      <c r="AZ992" s="1494"/>
      <c r="BA992" s="1494"/>
      <c r="BB992" s="1494"/>
      <c r="BC992" s="1494"/>
      <c r="BD992" s="1494"/>
      <c r="BE992" s="1494"/>
      <c r="BF992" s="1494"/>
      <c r="BG992" s="1494"/>
      <c r="BH992" s="1494"/>
      <c r="BI992" s="1494"/>
      <c r="BJ992" s="1494"/>
      <c r="BK992" s="1494"/>
      <c r="BL992" s="1494"/>
      <c r="BM992" s="1494"/>
      <c r="BN992" s="1494"/>
      <c r="BO992" s="1494"/>
      <c r="BP992" s="1494"/>
      <c r="BQ992" s="1494"/>
      <c r="BR992" s="1494"/>
      <c r="BS992" s="1494"/>
      <c r="BT992" s="1494"/>
      <c r="BU992" s="1494"/>
      <c r="BV992" s="1494"/>
      <c r="BW992" s="1494"/>
      <c r="BX992" s="1494"/>
      <c r="BY992" s="1494"/>
      <c r="BZ992" s="1494"/>
      <c r="CA992" s="1494"/>
      <c r="CB992" s="1494"/>
      <c r="CC992" s="1494"/>
      <c r="CD992" s="1494"/>
      <c r="CE992" s="1494"/>
      <c r="CF992" s="1494"/>
      <c r="CG992" s="1494"/>
      <c r="CH992" s="1494"/>
      <c r="CI992" s="1494"/>
      <c r="CJ992" s="1494"/>
      <c r="CK992" s="1494"/>
      <c r="CL992" s="1494"/>
      <c r="CM992" s="1494"/>
      <c r="CN992" s="1494"/>
      <c r="CO992" s="1494"/>
      <c r="CP992" s="1494"/>
      <c r="CQ992" s="1494"/>
      <c r="CR992" s="1494"/>
      <c r="CS992" s="1494"/>
      <c r="CT992" s="1494"/>
      <c r="CU992" s="1494"/>
      <c r="CV992" s="1494"/>
      <c r="CW992" s="1494"/>
      <c r="CX992" s="1494"/>
      <c r="CY992" s="1494"/>
      <c r="CZ992" s="1494"/>
      <c r="DA992" s="1494"/>
      <c r="DB992" s="1494"/>
      <c r="DC992" s="1494"/>
      <c r="DD992" s="1494"/>
      <c r="DE992" s="1494"/>
      <c r="DF992" s="1494"/>
      <c r="DG992" s="1494"/>
      <c r="DH992" s="1494"/>
      <c r="DI992" s="1494"/>
      <c r="DJ992" s="1494"/>
      <c r="DK992" s="1494"/>
      <c r="DL992" s="1494"/>
      <c r="DM992" s="1494"/>
      <c r="DN992" s="1494"/>
      <c r="DO992" s="1494"/>
      <c r="DP992" s="1494"/>
      <c r="DQ992" s="1494"/>
      <c r="DR992" s="1494"/>
      <c r="DS992" s="1494"/>
      <c r="DT992" s="1494"/>
      <c r="DU992" s="1494"/>
      <c r="DV992" s="1494"/>
      <c r="DW992" s="1494"/>
      <c r="DX992" s="1494"/>
      <c r="DY992" s="1494"/>
      <c r="DZ992" s="1494"/>
      <c r="EA992" s="1494"/>
      <c r="EB992" s="1494"/>
      <c r="EC992" s="1494"/>
      <c r="ED992" s="1494"/>
      <c r="EE992" s="1494"/>
      <c r="EF992" s="1494"/>
      <c r="EG992" s="1494"/>
      <c r="EH992" s="1494"/>
      <c r="EI992" s="1494"/>
      <c r="EJ992" s="1494"/>
      <c r="EK992" s="1494"/>
      <c r="EL992" s="1494"/>
      <c r="EM992" s="1494"/>
      <c r="EN992" s="1494"/>
      <c r="EO992" s="1494"/>
      <c r="EP992" s="1494"/>
      <c r="EQ992" s="1494"/>
      <c r="ER992" s="1494"/>
      <c r="ES992" s="1494"/>
      <c r="ET992" s="1494"/>
      <c r="EU992" s="1494"/>
      <c r="EV992" s="1494"/>
      <c r="EW992" s="1494"/>
      <c r="EX992" s="1494"/>
      <c r="EY992" s="1494"/>
      <c r="EZ992" s="1494"/>
      <c r="FA992" s="1494"/>
      <c r="FB992" s="1494"/>
      <c r="FC992" s="1494"/>
      <c r="FD992" s="1494"/>
      <c r="FE992" s="1494"/>
      <c r="FF992" s="1494"/>
      <c r="FG992" s="1494"/>
      <c r="FH992" s="1494"/>
      <c r="FI992" s="1494"/>
      <c r="FJ992" s="1494"/>
      <c r="FK992" s="1494"/>
      <c r="FL992" s="1494"/>
      <c r="FM992" s="1494"/>
      <c r="FN992" s="1494"/>
      <c r="FO992" s="1494"/>
      <c r="FP992" s="1494"/>
      <c r="FQ992" s="1494"/>
      <c r="FR992" s="1494"/>
      <c r="FS992" s="1494"/>
      <c r="FT992" s="1494"/>
      <c r="FU992" s="1494"/>
      <c r="FV992" s="1494"/>
      <c r="FW992" s="1494"/>
      <c r="FX992" s="1494"/>
      <c r="FY992" s="1494"/>
      <c r="FZ992" s="1494"/>
      <c r="GA992" s="1494"/>
      <c r="GB992" s="1494"/>
      <c r="GC992" s="1494"/>
      <c r="GD992" s="1494"/>
      <c r="GE992" s="1494"/>
      <c r="GF992" s="1494"/>
      <c r="GG992" s="1494"/>
      <c r="GH992" s="1494"/>
      <c r="GI992" s="1494"/>
      <c r="GJ992" s="1494"/>
      <c r="GK992" s="1494"/>
      <c r="GL992" s="1494"/>
      <c r="GM992" s="1494"/>
      <c r="GN992" s="1494"/>
      <c r="GO992" s="1494"/>
      <c r="GP992" s="1494"/>
      <c r="GQ992" s="1494"/>
      <c r="GR992" s="1494"/>
      <c r="GS992" s="1494"/>
      <c r="GT992" s="1494"/>
      <c r="GU992" s="1494"/>
      <c r="GV992" s="1494"/>
      <c r="GW992" s="1494"/>
      <c r="GX992" s="1494"/>
      <c r="GY992" s="1494"/>
      <c r="GZ992" s="1494"/>
      <c r="HA992" s="1494"/>
      <c r="HB992" s="1494"/>
      <c r="HC992" s="1494"/>
      <c r="HD992" s="1494"/>
      <c r="HE992" s="1494"/>
      <c r="HF992" s="1494"/>
      <c r="HG992" s="1494"/>
      <c r="HH992" s="1494"/>
      <c r="HI992" s="1494"/>
      <c r="HJ992" s="1494"/>
      <c r="HK992" s="1494"/>
      <c r="HL992" s="1494"/>
      <c r="HM992" s="1494"/>
      <c r="HN992" s="1494"/>
      <c r="HO992" s="1494"/>
      <c r="HP992" s="1494"/>
      <c r="HQ992" s="1494"/>
      <c r="HR992" s="1494"/>
      <c r="HS992" s="1494"/>
      <c r="HT992" s="1494"/>
      <c r="HU992" s="1494"/>
      <c r="HV992" s="1494"/>
      <c r="HW992" s="1494"/>
      <c r="HX992" s="1494"/>
      <c r="HY992" s="1494"/>
      <c r="HZ992" s="1494"/>
      <c r="IA992" s="1494"/>
      <c r="IB992" s="1494"/>
      <c r="IC992" s="1494"/>
      <c r="ID992" s="1494"/>
      <c r="IE992" s="1494"/>
      <c r="IF992" s="1494"/>
      <c r="IG992" s="1494"/>
      <c r="IH992" s="1494"/>
      <c r="II992" s="1494"/>
      <c r="IJ992" s="1494"/>
      <c r="IK992" s="1494"/>
      <c r="IL992" s="1494"/>
      <c r="IM992" s="1494"/>
      <c r="IN992" s="1494"/>
      <c r="IO992" s="49"/>
    </row>
    <row r="993" spans="1:249" s="5" customFormat="1" ht="23.25" customHeight="1">
      <c r="A993" s="1522"/>
      <c r="B993" s="1526"/>
      <c r="C993" s="1527"/>
      <c r="D993" s="1527"/>
      <c r="E993" s="1527"/>
      <c r="F993" s="1527"/>
      <c r="G993" s="1528"/>
      <c r="H993" s="1526"/>
      <c r="I993" s="1527"/>
      <c r="J993" s="1527"/>
      <c r="K993" s="1527"/>
      <c r="L993" s="1528"/>
      <c r="M993" s="51" t="s">
        <v>241</v>
      </c>
      <c r="N993" s="51" t="s">
        <v>242</v>
      </c>
      <c r="O993" s="43"/>
      <c r="P993" s="43"/>
      <c r="Q993" s="126"/>
      <c r="R993" s="126"/>
      <c r="S993" s="126"/>
      <c r="T993" s="126"/>
      <c r="U993" s="126"/>
      <c r="V993" s="126"/>
      <c r="W993" s="126"/>
      <c r="X993" s="126"/>
      <c r="Y993" s="126"/>
      <c r="Z993" s="126"/>
      <c r="AA993" s="126"/>
      <c r="AB993" s="126"/>
      <c r="AC993" s="126"/>
      <c r="AD993" s="1494"/>
      <c r="AE993" s="1494"/>
      <c r="AF993" s="1494"/>
      <c r="AG993" s="1494"/>
      <c r="AH993" s="1494"/>
      <c r="AI993" s="1494"/>
      <c r="AJ993" s="1494"/>
      <c r="AK993" s="1494"/>
      <c r="AL993" s="1494"/>
      <c r="AM993" s="1494"/>
      <c r="AN993" s="1494"/>
      <c r="AO993" s="1494"/>
      <c r="AP993" s="1494"/>
      <c r="AQ993" s="1494"/>
      <c r="AR993" s="1494"/>
      <c r="AS993" s="1494"/>
      <c r="AT993" s="1494"/>
      <c r="AU993" s="1494"/>
      <c r="AV993" s="1494"/>
      <c r="AW993" s="1494"/>
      <c r="AX993" s="1494"/>
      <c r="AY993" s="1494"/>
      <c r="AZ993" s="1494"/>
      <c r="BA993" s="1494"/>
      <c r="BB993" s="1494"/>
      <c r="BC993" s="1494"/>
      <c r="BD993" s="1494"/>
      <c r="BE993" s="1494"/>
      <c r="BF993" s="1494"/>
      <c r="BG993" s="1494"/>
      <c r="BH993" s="1494"/>
      <c r="BI993" s="1494"/>
      <c r="BJ993" s="1494"/>
      <c r="BK993" s="1494"/>
      <c r="BL993" s="1494"/>
      <c r="BM993" s="1494"/>
      <c r="BN993" s="1494"/>
      <c r="BO993" s="1494"/>
      <c r="BP993" s="1494"/>
      <c r="BQ993" s="1494"/>
      <c r="BR993" s="1494"/>
      <c r="BS993" s="1494"/>
      <c r="BT993" s="1494"/>
      <c r="BU993" s="1494"/>
      <c r="BV993" s="1494"/>
      <c r="BW993" s="1494"/>
      <c r="BX993" s="1494"/>
      <c r="BY993" s="1494"/>
      <c r="BZ993" s="1494"/>
      <c r="CA993" s="1494"/>
      <c r="CB993" s="1494"/>
      <c r="CC993" s="1494"/>
      <c r="CD993" s="1494"/>
      <c r="CE993" s="1494"/>
      <c r="CF993" s="1494"/>
      <c r="CG993" s="1494"/>
      <c r="CH993" s="1494"/>
      <c r="CI993" s="1494"/>
      <c r="CJ993" s="1494"/>
      <c r="CK993" s="1494"/>
      <c r="CL993" s="1494"/>
      <c r="CM993" s="1494"/>
      <c r="CN993" s="1494"/>
      <c r="CO993" s="1494"/>
      <c r="CP993" s="1494"/>
      <c r="CQ993" s="1494"/>
      <c r="CR993" s="1494"/>
      <c r="CS993" s="1494"/>
      <c r="CT993" s="1494"/>
      <c r="CU993" s="1494"/>
      <c r="CV993" s="1494"/>
      <c r="CW993" s="1494"/>
      <c r="CX993" s="1494"/>
      <c r="CY993" s="1494"/>
      <c r="CZ993" s="1494"/>
      <c r="DA993" s="1494"/>
      <c r="DB993" s="1494"/>
      <c r="DC993" s="1494"/>
      <c r="DD993" s="1494"/>
      <c r="DE993" s="1494"/>
      <c r="DF993" s="1494"/>
      <c r="DG993" s="1494"/>
      <c r="DH993" s="1494"/>
      <c r="DI993" s="1494"/>
      <c r="DJ993" s="1494"/>
      <c r="DK993" s="1494"/>
      <c r="DL993" s="1494"/>
      <c r="DM993" s="1494"/>
      <c r="DN993" s="1494"/>
      <c r="DO993" s="1494"/>
      <c r="DP993" s="1494"/>
      <c r="DQ993" s="1494"/>
      <c r="DR993" s="1494"/>
      <c r="DS993" s="1494"/>
      <c r="DT993" s="1494"/>
      <c r="DU993" s="1494"/>
      <c r="DV993" s="1494"/>
      <c r="DW993" s="1494"/>
      <c r="DX993" s="1494"/>
      <c r="DY993" s="1494"/>
      <c r="DZ993" s="1494"/>
      <c r="EA993" s="1494"/>
      <c r="EB993" s="1494"/>
      <c r="EC993" s="1494"/>
      <c r="ED993" s="1494"/>
      <c r="EE993" s="1494"/>
      <c r="EF993" s="1494"/>
      <c r="EG993" s="1494"/>
      <c r="EH993" s="1494"/>
      <c r="EI993" s="1494"/>
      <c r="EJ993" s="1494"/>
      <c r="EK993" s="1494"/>
      <c r="EL993" s="1494"/>
      <c r="EM993" s="1494"/>
      <c r="EN993" s="1494"/>
      <c r="EO993" s="1494"/>
      <c r="EP993" s="1494"/>
      <c r="EQ993" s="1494"/>
      <c r="ER993" s="1494"/>
      <c r="ES993" s="1494"/>
      <c r="ET993" s="1494"/>
      <c r="EU993" s="1494"/>
      <c r="EV993" s="1494"/>
      <c r="EW993" s="1494"/>
      <c r="EX993" s="1494"/>
      <c r="EY993" s="1494"/>
      <c r="EZ993" s="1494"/>
      <c r="FA993" s="1494"/>
      <c r="FB993" s="1494"/>
      <c r="FC993" s="1494"/>
      <c r="FD993" s="1494"/>
      <c r="FE993" s="1494"/>
      <c r="FF993" s="1494"/>
      <c r="FG993" s="1494"/>
      <c r="FH993" s="1494"/>
      <c r="FI993" s="1494"/>
      <c r="FJ993" s="1494"/>
      <c r="FK993" s="1494"/>
      <c r="FL993" s="1494"/>
      <c r="FM993" s="1494"/>
      <c r="FN993" s="1494"/>
      <c r="FO993" s="1494"/>
      <c r="FP993" s="1494"/>
      <c r="FQ993" s="1494"/>
      <c r="FR993" s="1494"/>
      <c r="FS993" s="1494"/>
      <c r="FT993" s="1494"/>
      <c r="FU993" s="1494"/>
      <c r="FV993" s="1494"/>
      <c r="FW993" s="1494"/>
      <c r="FX993" s="1494"/>
      <c r="FY993" s="1494"/>
      <c r="FZ993" s="1494"/>
      <c r="GA993" s="1494"/>
      <c r="GB993" s="1494"/>
      <c r="GC993" s="1494"/>
      <c r="GD993" s="1494"/>
      <c r="GE993" s="1494"/>
      <c r="GF993" s="1494"/>
      <c r="GG993" s="1494"/>
      <c r="GH993" s="1494"/>
      <c r="GI993" s="1494"/>
      <c r="GJ993" s="1494"/>
      <c r="GK993" s="1494"/>
      <c r="GL993" s="1494"/>
      <c r="GM993" s="1494"/>
      <c r="GN993" s="1494"/>
      <c r="GO993" s="1494"/>
      <c r="GP993" s="1494"/>
      <c r="GQ993" s="1494"/>
      <c r="GR993" s="1494"/>
      <c r="GS993" s="1494"/>
      <c r="GT993" s="1494"/>
      <c r="GU993" s="1494"/>
      <c r="GV993" s="1494"/>
      <c r="GW993" s="1494"/>
      <c r="GX993" s="1494"/>
      <c r="GY993" s="1494"/>
      <c r="GZ993" s="1494"/>
      <c r="HA993" s="1494"/>
      <c r="HB993" s="1494"/>
      <c r="HC993" s="1494"/>
      <c r="HD993" s="1494"/>
      <c r="HE993" s="1494"/>
      <c r="HF993" s="1494"/>
      <c r="HG993" s="1494"/>
      <c r="HH993" s="1494"/>
      <c r="HI993" s="1494"/>
      <c r="HJ993" s="1494"/>
      <c r="HK993" s="1494"/>
      <c r="HL993" s="1494"/>
      <c r="HM993" s="1494"/>
      <c r="HN993" s="1494"/>
      <c r="HO993" s="1494"/>
      <c r="HP993" s="1494"/>
      <c r="HQ993" s="1494"/>
      <c r="HR993" s="1494"/>
      <c r="HS993" s="1494"/>
      <c r="HT993" s="1494"/>
      <c r="HU993" s="1494"/>
      <c r="HV993" s="1494"/>
      <c r="HW993" s="1494"/>
      <c r="HX993" s="1494"/>
      <c r="HY993" s="1494"/>
      <c r="HZ993" s="1494"/>
      <c r="IA993" s="1494"/>
      <c r="IB993" s="1494"/>
      <c r="IC993" s="1494"/>
      <c r="ID993" s="1494"/>
      <c r="IE993" s="1494"/>
      <c r="IF993" s="1494"/>
      <c r="IG993" s="1494"/>
      <c r="IH993" s="1494"/>
      <c r="II993" s="1494"/>
      <c r="IJ993" s="1494"/>
      <c r="IK993" s="1494"/>
      <c r="IL993" s="1494"/>
      <c r="IM993" s="1494"/>
      <c r="IN993" s="1494"/>
      <c r="IO993" s="49"/>
    </row>
    <row r="994" spans="1:249" s="5" customFormat="1" ht="25.5" customHeight="1">
      <c r="A994" s="52">
        <v>1</v>
      </c>
      <c r="B994" s="1508" t="s">
        <v>313</v>
      </c>
      <c r="C994" s="1509"/>
      <c r="D994" s="1509"/>
      <c r="E994" s="1509"/>
      <c r="F994" s="1509"/>
      <c r="G994" s="1510"/>
      <c r="H994" s="1567" t="s">
        <v>314</v>
      </c>
      <c r="I994" s="1568"/>
      <c r="J994" s="1568"/>
      <c r="K994" s="1568"/>
      <c r="L994" s="1569"/>
      <c r="M994" s="52" t="s">
        <v>245</v>
      </c>
      <c r="N994" s="53"/>
      <c r="O994" s="43"/>
      <c r="P994" s="43"/>
      <c r="Q994" s="126"/>
      <c r="R994" s="126"/>
      <c r="S994" s="126"/>
      <c r="T994" s="126"/>
      <c r="U994" s="126"/>
      <c r="V994" s="126"/>
      <c r="W994" s="126"/>
      <c r="X994" s="126"/>
      <c r="Y994" s="126"/>
      <c r="Z994" s="126"/>
      <c r="AA994" s="126"/>
      <c r="AB994" s="126"/>
      <c r="AC994" s="126"/>
      <c r="AD994" s="127"/>
      <c r="AE994" s="127"/>
      <c r="AF994" s="127"/>
    </row>
    <row r="995" spans="1:249" s="5" customFormat="1" ht="25.5" customHeight="1">
      <c r="A995" s="56">
        <v>2</v>
      </c>
      <c r="B995" s="1498" t="s">
        <v>315</v>
      </c>
      <c r="C995" s="1499"/>
      <c r="D995" s="1499"/>
      <c r="E995" s="1499"/>
      <c r="F995" s="1499"/>
      <c r="G995" s="1500"/>
      <c r="H995" s="1570" t="s">
        <v>247</v>
      </c>
      <c r="I995" s="1571"/>
      <c r="J995" s="1571"/>
      <c r="K995" s="1571"/>
      <c r="L995" s="1572"/>
      <c r="M995" s="56" t="s">
        <v>245</v>
      </c>
      <c r="N995" s="57"/>
      <c r="P995" s="4"/>
      <c r="Q995" s="126"/>
      <c r="R995" s="126"/>
      <c r="S995" s="126"/>
      <c r="T995" s="126"/>
      <c r="U995" s="126"/>
      <c r="V995" s="126"/>
      <c r="W995" s="126"/>
      <c r="X995" s="126"/>
      <c r="Y995" s="126"/>
      <c r="Z995" s="126"/>
      <c r="AA995" s="126"/>
      <c r="AB995" s="126"/>
      <c r="AC995" s="126"/>
      <c r="AD995" s="127"/>
      <c r="AE995" s="127"/>
      <c r="AF995" s="127"/>
    </row>
    <row r="996" spans="1:249" s="5" customFormat="1" ht="21" customHeight="1">
      <c r="A996" s="58"/>
      <c r="B996" s="59" t="s">
        <v>249</v>
      </c>
      <c r="C996" s="59"/>
      <c r="D996" s="59"/>
      <c r="E996" s="59"/>
      <c r="F996" s="60"/>
      <c r="G996" s="60"/>
      <c r="H996" s="1573" t="s">
        <v>176</v>
      </c>
      <c r="I996" s="1573"/>
      <c r="J996" s="1573"/>
      <c r="K996" s="1573"/>
      <c r="L996" s="60"/>
      <c r="M996" s="60"/>
      <c r="N996" s="60"/>
      <c r="P996" s="4"/>
      <c r="Q996" s="129"/>
      <c r="R996" s="129"/>
      <c r="S996" s="129"/>
      <c r="T996" s="129"/>
      <c r="U996" s="127"/>
      <c r="V996" s="127"/>
      <c r="W996" s="127"/>
      <c r="X996" s="127"/>
      <c r="Y996" s="127"/>
      <c r="Z996" s="127"/>
      <c r="AA996" s="127"/>
      <c r="AB996" s="127"/>
      <c r="AC996" s="127"/>
      <c r="AD996" s="127"/>
      <c r="AE996" s="127"/>
      <c r="AF996" s="127"/>
    </row>
    <row r="997" spans="1:249" s="5" customFormat="1" ht="30.75" customHeight="1">
      <c r="A997" s="31" t="s">
        <v>250</v>
      </c>
      <c r="B997" s="31"/>
      <c r="C997" s="31"/>
      <c r="D997" s="31"/>
      <c r="E997" s="61"/>
      <c r="F997" s="61"/>
      <c r="G997" s="61"/>
      <c r="H997" s="61"/>
      <c r="I997" s="61"/>
      <c r="J997" s="61"/>
      <c r="K997" s="61"/>
      <c r="L997" s="61"/>
      <c r="M997" s="61"/>
      <c r="N997" s="61"/>
      <c r="P997" s="4"/>
      <c r="Q997" s="129"/>
      <c r="R997" s="129"/>
      <c r="S997" s="129"/>
      <c r="T997" s="129"/>
      <c r="U997" s="127"/>
      <c r="V997" s="127"/>
      <c r="W997" s="127"/>
      <c r="X997" s="127"/>
      <c r="Y997" s="127"/>
      <c r="Z997" s="127"/>
      <c r="AA997" s="127"/>
      <c r="AB997" s="127"/>
      <c r="AC997" s="127"/>
      <c r="AD997" s="127"/>
      <c r="AE997" s="127"/>
      <c r="AF997" s="127"/>
    </row>
    <row r="998" spans="1:249" s="5" customFormat="1" ht="24" customHeight="1">
      <c r="A998" s="62"/>
      <c r="B998" s="60"/>
      <c r="C998" s="60"/>
      <c r="D998" s="1505" t="s">
        <v>251</v>
      </c>
      <c r="E998" s="1505"/>
      <c r="F998" s="1505"/>
      <c r="G998" s="1505"/>
      <c r="H998" s="1505"/>
      <c r="I998" s="1505"/>
      <c r="J998" s="1505"/>
      <c r="K998" s="1505"/>
      <c r="L998" s="1505"/>
      <c r="M998" s="1505"/>
      <c r="N998" s="1505"/>
      <c r="P998" s="4"/>
      <c r="Q998" s="129"/>
      <c r="R998" s="129"/>
      <c r="S998" s="129"/>
      <c r="T998" s="129"/>
      <c r="U998" s="127"/>
      <c r="V998" s="127"/>
      <c r="W998" s="127"/>
      <c r="X998" s="127"/>
      <c r="Y998" s="127"/>
      <c r="Z998" s="127"/>
      <c r="AA998" s="127"/>
      <c r="AB998" s="127"/>
      <c r="AC998" s="127"/>
      <c r="AD998" s="127"/>
      <c r="AE998" s="127"/>
      <c r="AF998" s="127"/>
    </row>
    <row r="999" spans="1:249" s="5" customFormat="1" ht="35.25" customHeight="1">
      <c r="A999" s="58"/>
      <c r="B999" s="1506"/>
      <c r="C999" s="1506"/>
      <c r="D999" s="1506"/>
      <c r="E999" s="1506"/>
      <c r="F999" s="1507"/>
      <c r="G999" s="1507"/>
      <c r="H999" s="1507"/>
      <c r="I999" s="1507"/>
      <c r="J999" s="1507"/>
      <c r="K999" s="1507"/>
      <c r="L999" s="1507"/>
      <c r="M999" s="50"/>
      <c r="N999" s="50"/>
      <c r="P999" s="4"/>
      <c r="Q999" s="129"/>
      <c r="R999" s="129"/>
      <c r="S999" s="129"/>
      <c r="T999" s="129"/>
      <c r="U999" s="127"/>
      <c r="V999" s="127"/>
      <c r="W999" s="127"/>
      <c r="X999" s="127"/>
      <c r="Y999" s="127"/>
      <c r="Z999" s="127"/>
      <c r="AA999" s="127"/>
      <c r="AB999" s="127"/>
      <c r="AC999" s="127"/>
      <c r="AD999" s="127"/>
      <c r="AE999" s="127"/>
      <c r="AF999" s="127"/>
    </row>
    <row r="1000" spans="1:249" s="5" customFormat="1" ht="25.5" customHeight="1">
      <c r="A1000" s="1496" t="s">
        <v>252</v>
      </c>
      <c r="B1000" s="1496"/>
      <c r="C1000" s="1496"/>
      <c r="D1000" s="1496"/>
      <c r="E1000" s="1496"/>
      <c r="F1000" s="1496" t="s">
        <v>253</v>
      </c>
      <c r="G1000" s="1496"/>
      <c r="H1000" s="1496"/>
      <c r="I1000" s="1496"/>
      <c r="J1000" s="1496"/>
      <c r="K1000" s="1496"/>
      <c r="L1000" s="1496"/>
      <c r="M1000" s="1496"/>
      <c r="N1000" s="1496"/>
      <c r="P1000" s="4"/>
      <c r="Q1000" s="129"/>
      <c r="R1000" s="129"/>
      <c r="S1000" s="129"/>
      <c r="T1000" s="129"/>
      <c r="U1000" s="127"/>
      <c r="V1000" s="127"/>
      <c r="W1000" s="127"/>
      <c r="X1000" s="127"/>
      <c r="Y1000" s="127"/>
      <c r="Z1000" s="127"/>
      <c r="AA1000" s="127"/>
      <c r="AB1000" s="127"/>
      <c r="AC1000" s="127"/>
      <c r="AD1000" s="127"/>
      <c r="AE1000" s="127"/>
      <c r="AF1000" s="127"/>
    </row>
    <row r="1001" spans="1:249" s="5" customFormat="1" ht="21" customHeight="1">
      <c r="A1001" s="64"/>
      <c r="B1001" s="64"/>
      <c r="C1001" s="64"/>
      <c r="D1001" s="64"/>
      <c r="E1001" s="64"/>
      <c r="F1001" s="1496" t="str">
        <f>$T$30</f>
        <v>Công ty TNHH MTV HANTECH</v>
      </c>
      <c r="G1001" s="1496"/>
      <c r="H1001" s="1496"/>
      <c r="I1001" s="1496"/>
      <c r="J1001" s="1496"/>
      <c r="K1001" s="1496"/>
      <c r="L1001" s="1496" t="str">
        <f>$T$32</f>
        <v>Chỉ huy trưởng công trường</v>
      </c>
      <c r="M1001" s="1496"/>
      <c r="N1001" s="1496"/>
      <c r="P1001" s="4"/>
      <c r="Q1001" s="129"/>
      <c r="R1001" s="129"/>
      <c r="S1001" s="129"/>
      <c r="T1001" s="129"/>
      <c r="U1001" s="127"/>
      <c r="V1001" s="127"/>
      <c r="W1001" s="127"/>
      <c r="X1001" s="127"/>
      <c r="Y1001" s="127"/>
      <c r="Z1001" s="127"/>
      <c r="AA1001" s="127"/>
      <c r="AB1001" s="127"/>
      <c r="AC1001" s="127"/>
      <c r="AD1001" s="127"/>
      <c r="AE1001" s="127"/>
      <c r="AF1001" s="127"/>
    </row>
    <row r="1002" spans="1:249" s="5" customFormat="1" ht="24" customHeight="1">
      <c r="A1002" s="64"/>
      <c r="B1002" s="64"/>
      <c r="C1002" s="64"/>
      <c r="D1002" s="64"/>
      <c r="E1002" s="64"/>
      <c r="F1002" s="64"/>
      <c r="G1002" s="64"/>
      <c r="H1002" s="64"/>
      <c r="I1002" s="64"/>
      <c r="J1002" s="64"/>
      <c r="K1002" s="64"/>
      <c r="L1002" s="64"/>
      <c r="M1002" s="64"/>
      <c r="N1002" s="64"/>
      <c r="O1002" s="63"/>
      <c r="P1002" s="63"/>
      <c r="Q1002" s="129"/>
      <c r="R1002" s="129"/>
      <c r="S1002" s="129"/>
      <c r="T1002" s="129"/>
      <c r="U1002" s="127"/>
      <c r="V1002" s="127"/>
      <c r="W1002" s="127"/>
      <c r="X1002" s="127"/>
      <c r="Y1002" s="127"/>
      <c r="Z1002" s="127"/>
      <c r="AA1002" s="127"/>
      <c r="AB1002" s="127"/>
      <c r="AC1002" s="127"/>
      <c r="AD1002" s="127"/>
      <c r="AE1002" s="127"/>
      <c r="AF1002" s="127"/>
    </row>
    <row r="1003" spans="1:249" s="5" customFormat="1" ht="16.5">
      <c r="A1003" s="66"/>
      <c r="B1003"/>
      <c r="C1003"/>
      <c r="D1003"/>
      <c r="E1003"/>
      <c r="F1003" s="67"/>
      <c r="G1003" s="68"/>
      <c r="H1003" s="69"/>
      <c r="I1003" s="69"/>
      <c r="J1003" s="69"/>
      <c r="K1003" s="69"/>
      <c r="L1003" s="69"/>
      <c r="M1003" s="69"/>
      <c r="N1003" s="43"/>
      <c r="O1003"/>
      <c r="P1003"/>
      <c r="Q1003" s="129"/>
      <c r="R1003" s="129"/>
      <c r="S1003" s="129"/>
      <c r="T1003" s="129"/>
      <c r="U1003" s="127"/>
      <c r="V1003" s="127"/>
      <c r="W1003" s="127"/>
      <c r="X1003" s="127"/>
      <c r="Y1003" s="127"/>
      <c r="Z1003" s="127"/>
      <c r="AA1003" s="127"/>
      <c r="AB1003" s="127"/>
      <c r="AC1003" s="127"/>
      <c r="AD1003" s="127"/>
      <c r="AE1003" s="127"/>
      <c r="AF1003" s="127"/>
    </row>
    <row r="1004" spans="1:249" s="63" customFormat="1" ht="29.25" customHeight="1">
      <c r="A1004" s="12"/>
      <c r="B1004" s="12"/>
      <c r="C1004" s="12"/>
      <c r="D1004" s="12"/>
      <c r="E1004" s="12"/>
      <c r="F1004" s="12"/>
      <c r="G1004" s="12"/>
      <c r="H1004" s="12"/>
      <c r="I1004" s="7"/>
      <c r="J1004" s="7"/>
      <c r="K1004" s="7"/>
      <c r="L1004" s="7"/>
      <c r="M1004" s="2"/>
      <c r="N1004" s="2"/>
      <c r="O1004"/>
      <c r="P1004"/>
      <c r="Q1004" s="65"/>
      <c r="R1004" s="65"/>
      <c r="S1004" s="65"/>
      <c r="T1004" s="65"/>
    </row>
    <row r="1005" spans="1:249" ht="23.25" customHeight="1">
      <c r="A1005" s="1497" t="str">
        <f>$E$16</f>
        <v>Nguyễn Mạnh Hùng</v>
      </c>
      <c r="B1005" s="1497"/>
      <c r="C1005" s="1497"/>
      <c r="D1005" s="1497"/>
      <c r="E1005" s="1497"/>
      <c r="F1005" s="1497" t="str">
        <f>E970</f>
        <v>CÔNG TY TNHH MTV HANTECH</v>
      </c>
      <c r="G1005" s="1497"/>
      <c r="H1005" s="1497"/>
      <c r="I1005" s="1497"/>
      <c r="J1005" s="1497"/>
      <c r="K1005" s="1497"/>
      <c r="L1005" s="1497" t="str">
        <f>$E$19</f>
        <v>Ngô Văn Khánh</v>
      </c>
      <c r="M1005" s="1497"/>
      <c r="N1005" s="1497"/>
    </row>
    <row r="1006" spans="1:249" ht="23.25" customHeight="1">
      <c r="A1006" s="1535"/>
      <c r="B1006" s="1535"/>
      <c r="C1006" s="1535"/>
      <c r="D1006" s="1535"/>
      <c r="E1006" s="1535"/>
      <c r="F1006" s="71"/>
      <c r="G1006" s="71"/>
      <c r="H1006" s="71"/>
      <c r="I1006" s="71"/>
      <c r="J1006" s="71"/>
      <c r="K1006" s="71"/>
      <c r="L1006" s="71"/>
      <c r="M1006" s="71"/>
      <c r="N1006" s="71"/>
      <c r="O1006" s="7"/>
      <c r="P1006" s="7"/>
    </row>
    <row r="1007" spans="1:249" ht="17.25" customHeight="1">
      <c r="A1007" s="58"/>
      <c r="B1007" s="1531"/>
      <c r="C1007" s="1531"/>
      <c r="D1007" s="1531"/>
      <c r="E1007" s="1531"/>
      <c r="F1007" s="1532"/>
      <c r="G1007" s="1532"/>
      <c r="H1007" s="1532"/>
      <c r="I1007" s="1532"/>
      <c r="J1007" s="1532"/>
      <c r="K1007" s="1532"/>
      <c r="L1007" s="1532"/>
      <c r="M1007" s="50"/>
      <c r="N1007" s="50"/>
      <c r="O1007" s="70"/>
      <c r="P1007" s="70"/>
    </row>
    <row r="1008" spans="1:249" s="7" customFormat="1" ht="19.5" customHeight="1">
      <c r="A1008" s="58"/>
      <c r="B1008" s="1531"/>
      <c r="C1008" s="1531"/>
      <c r="D1008" s="1531"/>
      <c r="E1008" s="1531"/>
      <c r="F1008" s="1532"/>
      <c r="G1008" s="1532"/>
      <c r="H1008" s="1532"/>
      <c r="I1008" s="1532"/>
      <c r="J1008" s="1532"/>
      <c r="K1008" s="1532"/>
      <c r="L1008" s="1532"/>
      <c r="M1008" s="50"/>
      <c r="N1008" s="50"/>
      <c r="O1008" s="72"/>
      <c r="P1008" s="73"/>
      <c r="Q1008" s="11"/>
      <c r="R1008" s="11"/>
      <c r="S1008" s="11"/>
      <c r="T1008" s="11"/>
    </row>
    <row r="1009" spans="1:32" s="70" customFormat="1" ht="20.100000000000001" customHeight="1">
      <c r="A1009" s="58"/>
      <c r="B1009" s="74"/>
      <c r="C1009" s="74"/>
      <c r="D1009" s="74"/>
      <c r="E1009" s="74"/>
      <c r="F1009" s="75"/>
      <c r="G1009" s="75"/>
      <c r="H1009" s="75"/>
      <c r="I1009" s="75"/>
      <c r="J1009" s="75"/>
      <c r="K1009" s="75"/>
      <c r="L1009" s="75"/>
      <c r="M1009" s="50"/>
      <c r="N1009" s="50"/>
      <c r="O1009" s="5"/>
      <c r="P1009" s="4"/>
      <c r="Q1009" s="76"/>
      <c r="R1009" s="76"/>
      <c r="S1009" s="76"/>
      <c r="T1009" s="76"/>
    </row>
    <row r="1010" spans="1:32" s="72" customFormat="1" ht="16.5" customHeight="1">
      <c r="A1010" s="58"/>
      <c r="B1010" s="74"/>
      <c r="C1010" s="74"/>
      <c r="D1010" s="74"/>
      <c r="E1010" s="74"/>
      <c r="F1010" s="75"/>
      <c r="G1010" s="75"/>
      <c r="H1010" s="75"/>
      <c r="I1010" s="75"/>
      <c r="J1010" s="75"/>
      <c r="K1010" s="75"/>
      <c r="L1010" s="75"/>
      <c r="M1010" s="50"/>
      <c r="N1010" s="50"/>
      <c r="O1010" s="5"/>
      <c r="P1010" s="4"/>
      <c r="Q1010" s="77"/>
      <c r="R1010" s="77"/>
      <c r="S1010" s="77"/>
      <c r="T1010" s="77"/>
    </row>
    <row r="1011" spans="1:32" s="5" customFormat="1" ht="16.5" customHeight="1">
      <c r="A1011" s="58"/>
      <c r="B1011" s="74"/>
      <c r="C1011" s="74"/>
      <c r="D1011" s="74"/>
      <c r="E1011" s="74"/>
      <c r="F1011" s="75"/>
      <c r="G1011" s="75"/>
      <c r="H1011" s="75"/>
      <c r="I1011" s="75"/>
      <c r="J1011" s="75"/>
      <c r="K1011" s="75"/>
      <c r="L1011" s="75"/>
      <c r="M1011" s="50"/>
      <c r="N1011" s="50"/>
      <c r="P1011" s="4"/>
      <c r="Q1011" s="129"/>
      <c r="R1011" s="129"/>
      <c r="S1011" s="129"/>
      <c r="T1011" s="129"/>
      <c r="U1011" s="127"/>
      <c r="V1011" s="127"/>
      <c r="W1011" s="127"/>
      <c r="X1011" s="127"/>
      <c r="Y1011" s="127"/>
      <c r="Z1011" s="127"/>
      <c r="AA1011" s="127"/>
      <c r="AB1011" s="127"/>
      <c r="AC1011" s="127"/>
      <c r="AD1011" s="127"/>
      <c r="AE1011" s="127"/>
      <c r="AF1011" s="127"/>
    </row>
    <row r="1012" spans="1:32" s="5" customFormat="1" ht="16.5" customHeight="1">
      <c r="A1012" s="58"/>
      <c r="B1012" s="74"/>
      <c r="C1012" s="74"/>
      <c r="D1012" s="74"/>
      <c r="E1012" s="74"/>
      <c r="F1012" s="75"/>
      <c r="G1012" s="75"/>
      <c r="H1012" s="75"/>
      <c r="I1012" s="75"/>
      <c r="J1012" s="75"/>
      <c r="K1012" s="75"/>
      <c r="L1012" s="75"/>
      <c r="M1012" s="50"/>
      <c r="N1012" s="50"/>
      <c r="P1012" s="4"/>
      <c r="Q1012" s="129"/>
      <c r="R1012" s="129"/>
      <c r="S1012" s="129"/>
      <c r="T1012" s="129"/>
      <c r="U1012" s="127"/>
      <c r="V1012" s="127"/>
      <c r="W1012" s="127"/>
      <c r="X1012" s="127"/>
      <c r="Y1012" s="127"/>
      <c r="Z1012" s="127"/>
      <c r="AA1012" s="127"/>
      <c r="AB1012" s="127"/>
      <c r="AC1012" s="127"/>
      <c r="AD1012" s="127"/>
      <c r="AE1012" s="127"/>
      <c r="AF1012" s="127"/>
    </row>
    <row r="1013" spans="1:32" s="5" customFormat="1" ht="16.5" customHeight="1">
      <c r="A1013" s="58"/>
      <c r="B1013" s="74"/>
      <c r="C1013" s="74"/>
      <c r="D1013" s="74"/>
      <c r="E1013" s="74"/>
      <c r="F1013" s="75"/>
      <c r="G1013" s="75"/>
      <c r="H1013" s="75"/>
      <c r="I1013" s="75"/>
      <c r="J1013" s="75"/>
      <c r="K1013" s="75"/>
      <c r="L1013" s="75"/>
      <c r="M1013" s="50"/>
      <c r="N1013" s="50"/>
      <c r="P1013" s="4"/>
      <c r="Q1013" s="129"/>
      <c r="R1013" s="129"/>
      <c r="S1013" s="129"/>
      <c r="T1013" s="129"/>
      <c r="U1013" s="127"/>
      <c r="V1013" s="127"/>
      <c r="W1013" s="127"/>
      <c r="X1013" s="127"/>
      <c r="Y1013" s="127"/>
      <c r="Z1013" s="127"/>
      <c r="AA1013" s="127"/>
      <c r="AB1013" s="127"/>
      <c r="AC1013" s="127"/>
      <c r="AD1013" s="127"/>
      <c r="AE1013" s="127"/>
      <c r="AF1013" s="127"/>
    </row>
    <row r="1014" spans="1:32" s="5" customFormat="1" ht="16.5" customHeight="1">
      <c r="A1014" s="58"/>
      <c r="B1014" s="74"/>
      <c r="C1014" s="74"/>
      <c r="D1014" s="74"/>
      <c r="E1014" s="74"/>
      <c r="F1014" s="75"/>
      <c r="G1014" s="75"/>
      <c r="H1014" s="75"/>
      <c r="I1014" s="75"/>
      <c r="J1014" s="75"/>
      <c r="K1014" s="75"/>
      <c r="L1014" s="75"/>
      <c r="M1014" s="50"/>
      <c r="N1014" s="50"/>
      <c r="P1014" s="4"/>
      <c r="Q1014" s="129"/>
      <c r="R1014" s="129"/>
      <c r="S1014" s="129"/>
      <c r="T1014" s="129"/>
      <c r="U1014" s="127"/>
      <c r="V1014" s="127"/>
      <c r="W1014" s="127"/>
      <c r="X1014" s="127"/>
      <c r="Y1014" s="127"/>
      <c r="Z1014" s="127"/>
      <c r="AA1014" s="127"/>
      <c r="AB1014" s="127"/>
      <c r="AC1014" s="127"/>
      <c r="AD1014" s="127"/>
      <c r="AE1014" s="127"/>
      <c r="AF1014" s="127"/>
    </row>
    <row r="1015" spans="1:32" s="5" customFormat="1" ht="16.5" customHeight="1">
      <c r="A1015" s="58"/>
      <c r="B1015" s="74"/>
      <c r="C1015" s="74"/>
      <c r="D1015" s="74"/>
      <c r="E1015" s="74"/>
      <c r="F1015" s="75"/>
      <c r="G1015" s="75"/>
      <c r="H1015" s="75"/>
      <c r="I1015" s="75"/>
      <c r="J1015" s="75"/>
      <c r="K1015" s="75"/>
      <c r="L1015" s="75"/>
      <c r="M1015" s="50"/>
      <c r="N1015" s="50"/>
      <c r="P1015" s="4"/>
      <c r="Q1015" s="129"/>
      <c r="R1015" s="129"/>
      <c r="S1015" s="129"/>
      <c r="T1015" s="129"/>
      <c r="U1015" s="127"/>
      <c r="V1015" s="127"/>
      <c r="W1015" s="127"/>
      <c r="X1015" s="127"/>
      <c r="Y1015" s="127"/>
      <c r="Z1015" s="127"/>
      <c r="AA1015" s="127"/>
      <c r="AB1015" s="127"/>
      <c r="AC1015" s="127"/>
      <c r="AD1015" s="127"/>
      <c r="AE1015" s="127"/>
      <c r="AF1015" s="127"/>
    </row>
    <row r="1016" spans="1:32" s="5" customFormat="1" ht="16.5" customHeight="1">
      <c r="A1016" s="58"/>
      <c r="B1016" s="74"/>
      <c r="C1016" s="74"/>
      <c r="D1016" s="74"/>
      <c r="E1016" s="74"/>
      <c r="F1016" s="75"/>
      <c r="G1016" s="75"/>
      <c r="H1016" s="75"/>
      <c r="I1016" s="75"/>
      <c r="J1016" s="75"/>
      <c r="K1016" s="75"/>
      <c r="L1016" s="75"/>
      <c r="M1016" s="50"/>
      <c r="N1016" s="50"/>
      <c r="P1016" s="4"/>
      <c r="Q1016" s="129"/>
      <c r="R1016" s="129"/>
      <c r="S1016" s="129"/>
      <c r="T1016" s="129"/>
      <c r="U1016" s="127"/>
      <c r="V1016" s="127"/>
      <c r="W1016" s="127"/>
      <c r="X1016" s="127"/>
      <c r="Y1016" s="127"/>
      <c r="Z1016" s="127"/>
      <c r="AA1016" s="127"/>
      <c r="AB1016" s="127"/>
      <c r="AC1016" s="127"/>
      <c r="AD1016" s="127"/>
      <c r="AE1016" s="127"/>
      <c r="AF1016" s="127"/>
    </row>
    <row r="1017" spans="1:32" s="5" customFormat="1" ht="16.5" customHeight="1">
      <c r="A1017" s="58"/>
      <c r="B1017" s="1531"/>
      <c r="C1017" s="1531"/>
      <c r="D1017" s="1531"/>
      <c r="E1017" s="1531"/>
      <c r="F1017" s="1532"/>
      <c r="G1017" s="1532"/>
      <c r="H1017" s="1532"/>
      <c r="I1017" s="1532"/>
      <c r="J1017" s="1532"/>
      <c r="K1017" s="1532"/>
      <c r="L1017" s="1532"/>
      <c r="M1017" s="50"/>
      <c r="N1017" s="50"/>
      <c r="P1017" s="4"/>
      <c r="Q1017" s="129"/>
      <c r="R1017" s="129"/>
      <c r="S1017" s="129"/>
      <c r="T1017" s="129"/>
      <c r="U1017" s="127"/>
      <c r="V1017" s="127"/>
      <c r="W1017" s="127"/>
      <c r="X1017" s="127"/>
      <c r="Y1017" s="127"/>
      <c r="Z1017" s="127"/>
      <c r="AA1017" s="127"/>
      <c r="AB1017" s="127"/>
      <c r="AC1017" s="127"/>
      <c r="AD1017" s="127"/>
      <c r="AE1017" s="127"/>
      <c r="AF1017" s="127"/>
    </row>
    <row r="1018" spans="1:32" s="5" customFormat="1" ht="16.5" customHeight="1">
      <c r="A1018" s="1534"/>
      <c r="B1018" s="1534"/>
      <c r="C1018" s="1534"/>
      <c r="D1018" s="1534"/>
      <c r="E1018" s="1534"/>
      <c r="F1018" s="1534"/>
      <c r="G1018" s="1534"/>
      <c r="H1018" s="1534"/>
      <c r="I1018" s="1534"/>
      <c r="J1018" s="1534"/>
      <c r="K1018" s="1534"/>
      <c r="L1018" s="1534"/>
      <c r="M1018" s="1534"/>
      <c r="N1018" s="1534"/>
      <c r="P1018" s="4"/>
      <c r="Q1018" s="129"/>
      <c r="R1018" s="129"/>
      <c r="S1018" s="129"/>
      <c r="T1018" s="129"/>
      <c r="U1018" s="127"/>
      <c r="V1018" s="127"/>
      <c r="W1018" s="127"/>
      <c r="X1018" s="127"/>
      <c r="Y1018" s="127"/>
      <c r="Z1018" s="127"/>
      <c r="AA1018" s="127"/>
      <c r="AB1018" s="127"/>
      <c r="AC1018" s="127"/>
      <c r="AD1018" s="127"/>
      <c r="AE1018" s="127"/>
      <c r="AF1018" s="127"/>
    </row>
    <row r="1019" spans="1:32" s="5" customFormat="1" ht="16.5" customHeight="1">
      <c r="A1019" s="58"/>
      <c r="B1019" s="1531"/>
      <c r="C1019" s="1531"/>
      <c r="D1019" s="1531"/>
      <c r="E1019" s="1531"/>
      <c r="F1019" s="1532"/>
      <c r="G1019" s="1532"/>
      <c r="H1019" s="1532"/>
      <c r="I1019" s="1532"/>
      <c r="J1019" s="1532"/>
      <c r="K1019" s="1532"/>
      <c r="L1019" s="1532"/>
      <c r="M1019" s="50"/>
      <c r="N1019" s="50"/>
      <c r="P1019" s="4"/>
      <c r="Q1019" s="129"/>
      <c r="R1019" s="129"/>
      <c r="S1019" s="129"/>
      <c r="T1019" s="129"/>
      <c r="U1019" s="127"/>
      <c r="V1019" s="127"/>
      <c r="W1019" s="127"/>
      <c r="X1019" s="127"/>
      <c r="Y1019" s="127"/>
      <c r="Z1019" s="127"/>
      <c r="AA1019" s="127"/>
      <c r="AB1019" s="127"/>
      <c r="AC1019" s="127"/>
      <c r="AD1019" s="127"/>
      <c r="AE1019" s="127"/>
      <c r="AF1019" s="127"/>
    </row>
    <row r="1020" spans="1:32" s="5" customFormat="1" ht="16.5" customHeight="1">
      <c r="I1020" s="64"/>
      <c r="J1020" s="64"/>
      <c r="K1020" s="64"/>
      <c r="L1020" s="64"/>
      <c r="M1020" s="64"/>
      <c r="N1020" s="64"/>
      <c r="P1020" s="4"/>
      <c r="Q1020" s="129"/>
      <c r="R1020" s="129"/>
      <c r="S1020" s="129"/>
      <c r="T1020" s="129"/>
      <c r="U1020" s="127"/>
      <c r="V1020" s="127"/>
      <c r="W1020" s="127"/>
      <c r="X1020" s="127"/>
      <c r="Y1020" s="127"/>
      <c r="Z1020" s="127"/>
      <c r="AA1020" s="127"/>
      <c r="AB1020" s="127"/>
      <c r="AC1020" s="127"/>
      <c r="AD1020" s="127"/>
      <c r="AE1020" s="127"/>
      <c r="AF1020" s="127"/>
    </row>
    <row r="1021" spans="1:32" s="5" customFormat="1" ht="16.5" customHeight="1">
      <c r="I1021" s="64"/>
      <c r="J1021" s="64"/>
      <c r="K1021" s="64"/>
      <c r="L1021" s="64"/>
      <c r="M1021" s="64"/>
      <c r="N1021" s="64"/>
      <c r="P1021" s="4"/>
      <c r="Q1021" s="129"/>
      <c r="R1021" s="129"/>
      <c r="S1021" s="129"/>
      <c r="T1021" s="129"/>
      <c r="U1021" s="127"/>
      <c r="V1021" s="127"/>
      <c r="W1021" s="127"/>
      <c r="X1021" s="127"/>
      <c r="Y1021" s="127"/>
      <c r="Z1021" s="127"/>
      <c r="AA1021" s="127"/>
      <c r="AB1021" s="127"/>
      <c r="AC1021" s="127"/>
      <c r="AD1021" s="127"/>
      <c r="AE1021" s="127"/>
      <c r="AF1021" s="127"/>
    </row>
    <row r="1022" spans="1:32" s="5" customFormat="1" ht="16.5" customHeight="1">
      <c r="I1022" s="64"/>
      <c r="J1022" s="64"/>
      <c r="K1022" s="64"/>
      <c r="L1022" s="64"/>
      <c r="M1022" s="64"/>
      <c r="N1022" s="64"/>
      <c r="P1022" s="4"/>
      <c r="Q1022" s="129"/>
      <c r="R1022" s="129"/>
      <c r="S1022" s="129"/>
      <c r="T1022" s="129"/>
      <c r="U1022" s="127"/>
      <c r="V1022" s="127"/>
      <c r="W1022" s="127"/>
      <c r="X1022" s="127"/>
      <c r="Y1022" s="127"/>
      <c r="Z1022" s="127"/>
      <c r="AA1022" s="127"/>
      <c r="AB1022" s="127"/>
      <c r="AC1022" s="127"/>
      <c r="AD1022" s="127"/>
      <c r="AE1022" s="127"/>
      <c r="AF1022" s="127"/>
    </row>
    <row r="1023" spans="1:32" s="5" customFormat="1" ht="16.5">
      <c r="A1023" s="58"/>
      <c r="B1023" s="58"/>
      <c r="C1023" s="78"/>
      <c r="D1023" s="78"/>
      <c r="E1023" s="74"/>
      <c r="F1023" s="50"/>
      <c r="G1023" s="50"/>
      <c r="H1023" s="50"/>
      <c r="I1023" s="50"/>
      <c r="J1023" s="50"/>
      <c r="K1023" s="50"/>
      <c r="L1023" s="50"/>
      <c r="M1023" s="50"/>
      <c r="N1023" s="50"/>
      <c r="P1023" s="4"/>
      <c r="Q1023" s="129"/>
      <c r="R1023" s="129"/>
      <c r="S1023" s="129"/>
      <c r="T1023" s="129"/>
      <c r="U1023" s="127"/>
      <c r="V1023" s="127"/>
      <c r="W1023" s="127"/>
      <c r="X1023" s="127"/>
      <c r="Y1023" s="127"/>
      <c r="Z1023" s="127"/>
      <c r="AA1023" s="127"/>
      <c r="AB1023" s="127"/>
      <c r="AC1023" s="127"/>
      <c r="AD1023" s="127"/>
      <c r="AE1023" s="127"/>
      <c r="AF1023" s="127"/>
    </row>
    <row r="1024" spans="1:32" s="5" customFormat="1" ht="15" customHeight="1">
      <c r="A1024" s="58"/>
      <c r="B1024" s="58"/>
      <c r="C1024" s="78"/>
      <c r="D1024" s="78"/>
      <c r="E1024" s="74"/>
      <c r="F1024" s="50"/>
      <c r="G1024" s="50"/>
      <c r="H1024" s="50"/>
      <c r="I1024" s="50"/>
      <c r="J1024" s="50"/>
      <c r="K1024" s="50"/>
      <c r="L1024" s="50"/>
      <c r="M1024" s="50"/>
      <c r="N1024" s="50"/>
      <c r="O1024" s="64"/>
      <c r="P1024" s="64"/>
      <c r="Q1024" s="129"/>
      <c r="R1024" s="129"/>
      <c r="S1024" s="129"/>
      <c r="T1024" s="129"/>
      <c r="U1024" s="127"/>
      <c r="V1024" s="127"/>
      <c r="W1024" s="127"/>
      <c r="X1024" s="127"/>
      <c r="Y1024" s="127"/>
      <c r="Z1024" s="127"/>
      <c r="AA1024" s="127"/>
      <c r="AB1024" s="127"/>
      <c r="AC1024" s="127"/>
      <c r="AD1024" s="127"/>
      <c r="AE1024" s="127"/>
      <c r="AF1024" s="127"/>
    </row>
    <row r="1025" spans="1:32" s="5" customFormat="1" ht="15" customHeight="1">
      <c r="A1025" s="58"/>
      <c r="B1025" s="58"/>
      <c r="C1025" s="78"/>
      <c r="D1025" s="78"/>
      <c r="E1025" s="74"/>
      <c r="F1025" s="50"/>
      <c r="G1025" s="50"/>
      <c r="H1025" s="50"/>
      <c r="I1025" s="50"/>
      <c r="J1025" s="50"/>
      <c r="K1025" s="50"/>
      <c r="L1025" s="50"/>
      <c r="M1025" s="50"/>
      <c r="N1025" s="50"/>
      <c r="O1025" s="64"/>
      <c r="P1025" s="64"/>
      <c r="Q1025" s="129"/>
      <c r="R1025" s="129"/>
      <c r="S1025" s="129"/>
      <c r="T1025" s="129"/>
      <c r="U1025" s="127"/>
      <c r="V1025" s="127"/>
      <c r="W1025" s="127"/>
      <c r="X1025" s="127"/>
      <c r="Y1025" s="127"/>
      <c r="Z1025" s="127"/>
      <c r="AA1025" s="127"/>
      <c r="AB1025" s="127"/>
      <c r="AC1025" s="127"/>
      <c r="AD1025" s="127"/>
      <c r="AE1025" s="127"/>
      <c r="AF1025" s="127"/>
    </row>
    <row r="1026" spans="1:32" s="5" customFormat="1" ht="24" customHeight="1">
      <c r="A1026" s="58"/>
      <c r="B1026" s="58"/>
      <c r="C1026" s="78"/>
      <c r="D1026" s="78"/>
      <c r="E1026" s="74"/>
      <c r="F1026" s="50"/>
      <c r="G1026" s="50"/>
      <c r="H1026" s="50"/>
      <c r="I1026" s="50"/>
      <c r="J1026" s="50"/>
      <c r="K1026" s="50"/>
      <c r="L1026" s="50"/>
      <c r="M1026" s="50"/>
      <c r="N1026" s="50"/>
      <c r="P1026" s="4"/>
      <c r="Q1026" s="129"/>
      <c r="R1026" s="129"/>
      <c r="S1026" s="129"/>
      <c r="T1026" s="129"/>
      <c r="U1026" s="127"/>
      <c r="V1026" s="127"/>
      <c r="W1026" s="127"/>
      <c r="X1026" s="127"/>
      <c r="Y1026" s="127"/>
      <c r="Z1026" s="127"/>
      <c r="AA1026" s="127"/>
      <c r="AB1026" s="127"/>
      <c r="AC1026" s="127"/>
      <c r="AD1026" s="127"/>
      <c r="AE1026" s="127"/>
      <c r="AF1026" s="127"/>
    </row>
    <row r="1027" spans="1:32" s="5" customFormat="1" ht="16.5" customHeight="1">
      <c r="A1027" s="58"/>
      <c r="B1027" s="58"/>
      <c r="C1027" s="78"/>
      <c r="D1027" s="78"/>
      <c r="E1027" s="74"/>
      <c r="F1027" s="50"/>
      <c r="G1027" s="50"/>
      <c r="H1027" s="50"/>
      <c r="I1027" s="50"/>
      <c r="J1027" s="50"/>
      <c r="K1027" s="50"/>
      <c r="L1027" s="50"/>
      <c r="M1027" s="50"/>
      <c r="N1027" s="50"/>
      <c r="P1027" s="4"/>
      <c r="Q1027" s="129"/>
      <c r="R1027" s="129"/>
      <c r="S1027" s="129"/>
      <c r="T1027" s="129"/>
      <c r="U1027" s="127"/>
      <c r="V1027" s="127"/>
      <c r="W1027" s="127"/>
      <c r="X1027" s="127"/>
      <c r="Y1027" s="127"/>
      <c r="Z1027" s="127"/>
      <c r="AA1027" s="127"/>
      <c r="AB1027" s="127"/>
      <c r="AC1027" s="127"/>
      <c r="AD1027" s="127"/>
      <c r="AE1027" s="127"/>
      <c r="AF1027" s="127"/>
    </row>
    <row r="1028" spans="1:32" s="5" customFormat="1" ht="16.5" customHeight="1">
      <c r="A1028" s="58"/>
      <c r="B1028" s="58"/>
      <c r="C1028" s="78"/>
      <c r="D1028" s="78"/>
      <c r="E1028" s="74"/>
      <c r="F1028" s="50"/>
      <c r="G1028" s="50"/>
      <c r="H1028" s="50"/>
      <c r="I1028" s="50"/>
      <c r="J1028" s="50"/>
      <c r="K1028" s="50"/>
      <c r="L1028" s="50"/>
      <c r="M1028" s="50"/>
      <c r="N1028" s="50"/>
      <c r="P1028" s="4"/>
      <c r="Q1028" s="129"/>
      <c r="R1028" s="129"/>
      <c r="S1028" s="129"/>
      <c r="T1028" s="129"/>
      <c r="U1028" s="127"/>
      <c r="V1028" s="127"/>
      <c r="W1028" s="127"/>
      <c r="X1028" s="127"/>
      <c r="Y1028" s="127"/>
      <c r="Z1028" s="127"/>
      <c r="AA1028" s="127"/>
      <c r="AB1028" s="127"/>
      <c r="AC1028" s="127"/>
      <c r="AD1028" s="127"/>
      <c r="AE1028" s="127"/>
      <c r="AF1028" s="127"/>
    </row>
    <row r="1029" spans="1:32" s="5" customFormat="1" ht="16.5" customHeight="1">
      <c r="A1029" s="58"/>
      <c r="B1029" s="58"/>
      <c r="C1029" s="78"/>
      <c r="D1029" s="78"/>
      <c r="E1029" s="74"/>
      <c r="F1029" s="50"/>
      <c r="G1029" s="50"/>
      <c r="H1029" s="50"/>
      <c r="I1029" s="50"/>
      <c r="J1029" s="50"/>
      <c r="K1029" s="50"/>
      <c r="L1029" s="50"/>
      <c r="M1029" s="50"/>
      <c r="N1029" s="50"/>
      <c r="P1029" s="4"/>
      <c r="Q1029" s="129"/>
      <c r="R1029" s="129"/>
      <c r="S1029" s="129"/>
      <c r="T1029" s="129"/>
      <c r="U1029" s="127"/>
      <c r="V1029" s="127"/>
      <c r="W1029" s="127"/>
      <c r="X1029" s="127"/>
      <c r="Y1029" s="127"/>
      <c r="Z1029" s="127"/>
      <c r="AA1029" s="127"/>
      <c r="AB1029" s="127"/>
      <c r="AC1029" s="127"/>
      <c r="AD1029" s="127"/>
      <c r="AE1029" s="127"/>
      <c r="AF1029" s="127"/>
    </row>
    <row r="1030" spans="1:32" s="5" customFormat="1" ht="16.5" customHeight="1">
      <c r="A1030" s="1535" t="str">
        <f>$A$1</f>
        <v>.....................................</v>
      </c>
      <c r="B1030" s="1535"/>
      <c r="C1030" s="1535"/>
      <c r="D1030" s="1535"/>
      <c r="E1030" s="1535"/>
      <c r="F1030" s="1592"/>
      <c r="G1030" s="1535" t="s">
        <v>199</v>
      </c>
      <c r="H1030" s="1535"/>
      <c r="I1030" s="1535"/>
      <c r="J1030" s="1535"/>
      <c r="K1030" s="1535"/>
      <c r="L1030" s="1535"/>
      <c r="M1030" s="1535"/>
      <c r="N1030" s="1535"/>
      <c r="P1030" s="4"/>
      <c r="Q1030" s="129"/>
      <c r="R1030" s="129"/>
      <c r="S1030" s="129"/>
      <c r="T1030" s="129"/>
      <c r="U1030" s="127"/>
      <c r="V1030" s="127"/>
      <c r="W1030" s="127"/>
      <c r="X1030" s="127"/>
      <c r="Y1030" s="127"/>
      <c r="Z1030" s="127"/>
      <c r="AA1030" s="127"/>
      <c r="AB1030" s="127"/>
      <c r="AC1030" s="127"/>
      <c r="AD1030" s="127"/>
      <c r="AE1030" s="127"/>
      <c r="AF1030" s="127"/>
    </row>
    <row r="1031" spans="1:32" s="5" customFormat="1" ht="16.5" customHeight="1">
      <c r="A1031" s="1592"/>
      <c r="B1031" s="1592"/>
      <c r="C1031" s="1592"/>
      <c r="D1031" s="1592"/>
      <c r="E1031" s="1592"/>
      <c r="F1031" s="1592"/>
      <c r="G1031" s="1536" t="s">
        <v>254</v>
      </c>
      <c r="H1031" s="1536"/>
      <c r="I1031" s="1536"/>
      <c r="J1031" s="1536"/>
      <c r="K1031" s="1536"/>
      <c r="L1031" s="1536"/>
      <c r="M1031" s="1536"/>
      <c r="N1031" s="1536"/>
      <c r="P1031" s="4"/>
      <c r="Q1031" s="129"/>
      <c r="R1031" s="129"/>
      <c r="S1031" s="129"/>
      <c r="T1031" s="129"/>
      <c r="U1031" s="127"/>
      <c r="V1031" s="127"/>
      <c r="W1031" s="127"/>
      <c r="X1031" s="127"/>
      <c r="Y1031" s="127"/>
      <c r="Z1031" s="127"/>
      <c r="AA1031" s="127"/>
      <c r="AB1031" s="127"/>
      <c r="AC1031" s="127"/>
      <c r="AD1031" s="127"/>
      <c r="AE1031" s="127"/>
      <c r="AF1031" s="127"/>
    </row>
    <row r="1032" spans="1:32" s="5" customFormat="1" ht="16.5" customHeight="1">
      <c r="A1032" s="1592"/>
      <c r="B1032" s="1592"/>
      <c r="C1032" s="1592"/>
      <c r="D1032" s="1592"/>
      <c r="E1032" s="1592"/>
      <c r="F1032" s="1592"/>
      <c r="G1032" s="79"/>
      <c r="H1032" s="79"/>
      <c r="I1032" s="79"/>
      <c r="J1032" s="1537">
        <f>I955</f>
        <v>42496</v>
      </c>
      <c r="K1032" s="1537"/>
      <c r="L1032" s="1537"/>
      <c r="M1032" s="1537"/>
      <c r="N1032" s="1537"/>
      <c r="P1032"/>
      <c r="Q1032" s="129"/>
      <c r="R1032" s="129"/>
      <c r="S1032" s="129"/>
      <c r="T1032" s="129"/>
      <c r="U1032" s="127"/>
      <c r="V1032" s="127"/>
      <c r="W1032" s="127"/>
      <c r="X1032" s="127"/>
      <c r="Y1032" s="127"/>
      <c r="Z1032" s="127"/>
      <c r="AA1032" s="127"/>
      <c r="AB1032" s="127"/>
      <c r="AC1032" s="127"/>
      <c r="AD1032" s="127"/>
      <c r="AE1032" s="127"/>
      <c r="AF1032" s="127"/>
    </row>
    <row r="1033" spans="1:32" s="5" customFormat="1">
      <c r="A1033" s="1592"/>
      <c r="B1033" s="1592"/>
      <c r="C1033" s="1592"/>
      <c r="D1033" s="1592"/>
      <c r="E1033" s="1592"/>
      <c r="F1033" s="1592"/>
      <c r="P1033"/>
      <c r="Q1033" s="129"/>
      <c r="R1033" s="129"/>
      <c r="S1033" s="129"/>
      <c r="T1033" s="129"/>
      <c r="U1033" s="127"/>
      <c r="V1033" s="127"/>
      <c r="W1033" s="127"/>
      <c r="X1033" s="127"/>
      <c r="Y1033" s="127"/>
      <c r="Z1033" s="127"/>
      <c r="AA1033" s="127"/>
      <c r="AB1033" s="127"/>
      <c r="AC1033" s="127"/>
      <c r="AD1033" s="127"/>
      <c r="AE1033" s="127"/>
      <c r="AF1033" s="127"/>
    </row>
    <row r="1034" spans="1:32" ht="21.95" customHeight="1">
      <c r="A1034" s="1553" t="s">
        <v>255</v>
      </c>
      <c r="B1034" s="1553"/>
      <c r="C1034" s="1553"/>
      <c r="D1034" s="1553"/>
      <c r="E1034" s="1553"/>
      <c r="F1034" s="1553"/>
      <c r="G1034" s="1553"/>
      <c r="H1034" s="1553"/>
      <c r="I1034" s="1553"/>
      <c r="J1034" s="1553"/>
      <c r="K1034" s="1553"/>
      <c r="L1034" s="1553"/>
      <c r="M1034" s="1553"/>
      <c r="N1034" s="1553"/>
      <c r="O1034" s="79"/>
      <c r="P1034" s="80"/>
    </row>
    <row r="1035" spans="1:32" ht="21.95" customHeight="1">
      <c r="A1035" s="1554" t="str">
        <f>"sè:  PM-"&amp;$R$12&amp;"-BT/"&amp;$R$14</f>
        <v>sè:  PM-B1-BT/800</v>
      </c>
      <c r="B1035" s="1554"/>
      <c r="C1035" s="1554"/>
      <c r="D1035" s="1554"/>
      <c r="E1035" s="1554"/>
      <c r="F1035" s="1554"/>
      <c r="G1035" s="1554"/>
      <c r="H1035" s="1554"/>
      <c r="I1035" s="1554"/>
      <c r="J1035" s="1554"/>
      <c r="K1035" s="1554"/>
      <c r="L1035" s="1554"/>
      <c r="M1035" s="1554"/>
      <c r="N1035" s="1554"/>
      <c r="O1035" s="5"/>
    </row>
    <row r="1036" spans="1:32" s="80" customFormat="1" ht="21.95" customHeight="1">
      <c r="A1036"/>
      <c r="B1036" s="81"/>
      <c r="C1036" s="28" t="str">
        <f>"C«ng tr×nh: "&amp;$R$3</f>
        <v>C«ng tr×nh: KHU HỖN HỢP CHUNG CƯ, VĂN PHÒNG, TRUNG TÂM THƯƠNG MẠI VÀ NHÀ Ở KẾT HỢP KHU MUA SẮM</v>
      </c>
      <c r="D1036" s="27"/>
      <c r="E1036" s="27"/>
      <c r="F1036" s="27"/>
      <c r="G1036" s="27"/>
      <c r="H1036" s="27"/>
      <c r="I1036" s="27"/>
      <c r="J1036" s="27"/>
      <c r="K1036" s="27"/>
      <c r="L1036" s="27"/>
      <c r="M1036"/>
      <c r="N1036"/>
      <c r="O1036"/>
      <c r="P1036"/>
      <c r="Q1036" s="131"/>
      <c r="R1036" s="131"/>
      <c r="S1036" s="131"/>
      <c r="T1036" s="131"/>
      <c r="U1036" s="132"/>
      <c r="V1036" s="132"/>
      <c r="W1036" s="132"/>
      <c r="X1036" s="132"/>
      <c r="Y1036" s="132"/>
      <c r="Z1036" s="132"/>
      <c r="AA1036" s="132"/>
      <c r="AB1036" s="132"/>
      <c r="AC1036" s="132"/>
      <c r="AD1036" s="132"/>
      <c r="AE1036" s="132"/>
      <c r="AF1036" s="132"/>
    </row>
    <row r="1037" spans="1:32" ht="21.95" customHeight="1">
      <c r="B1037" s="81"/>
      <c r="C1037" s="28" t="str">
        <f>"H¹ng môc: "&amp;$R$5</f>
        <v>H¹ng môc: CỌC KHOAN NHỒI</v>
      </c>
      <c r="D1037" s="27"/>
      <c r="E1037" s="29"/>
      <c r="F1037" s="28"/>
      <c r="G1037" s="28"/>
      <c r="H1037" s="28"/>
      <c r="I1037" s="28"/>
      <c r="J1037" s="28"/>
      <c r="K1037" s="28"/>
      <c r="L1037" s="28"/>
      <c r="M1037" s="28"/>
    </row>
    <row r="1038" spans="1:32" ht="21.95" customHeight="1">
      <c r="B1038" s="82"/>
      <c r="C1038" s="1487" t="str">
        <f>"§Þa ®iÓm x©y dùng: "&amp;$R$4</f>
        <v>§Þa ®iÓm x©y dùng: P. BẠCH ĐẰNG, TP. HẠ LONG, TỈNH QUẢNG NINH</v>
      </c>
      <c r="D1038" s="1487"/>
      <c r="E1038" s="1487"/>
      <c r="F1038" s="1487"/>
      <c r="G1038" s="1487"/>
      <c r="H1038" s="1487"/>
      <c r="I1038" s="1487"/>
      <c r="J1038" s="1487"/>
      <c r="K1038" s="1487"/>
      <c r="L1038" s="1487"/>
      <c r="M1038" s="1487"/>
      <c r="N1038" s="1487"/>
    </row>
    <row r="1039" spans="1:32" ht="21.95" customHeight="1">
      <c r="B1039" s="82"/>
      <c r="C1039" s="31"/>
      <c r="D1039" s="30"/>
      <c r="E1039" s="30"/>
      <c r="F1039" s="30"/>
      <c r="G1039" s="30"/>
      <c r="H1039" s="30"/>
      <c r="I1039" s="30"/>
      <c r="J1039" s="30"/>
      <c r="K1039" s="30"/>
      <c r="L1039" s="30"/>
    </row>
    <row r="1040" spans="1:32" ht="16.5">
      <c r="A1040" s="35"/>
      <c r="B1040" s="83" t="s">
        <v>256</v>
      </c>
      <c r="C1040" s="84"/>
      <c r="D1040" s="84"/>
      <c r="E1040" s="84" t="str">
        <f>$R$22</f>
        <v>CÔNG TY CỔ PHẦN ĐẦU TƯ VÀ KHÁCH SẠN MYWAY HẠ LONG</v>
      </c>
      <c r="F1040" s="84"/>
      <c r="G1040" s="84"/>
      <c r="H1040" s="84"/>
      <c r="I1040" s="84"/>
      <c r="J1040" s="84"/>
      <c r="K1040" s="84"/>
      <c r="L1040" s="84"/>
      <c r="M1040" s="84"/>
      <c r="N1040" s="35"/>
    </row>
    <row r="1041" spans="1:32" ht="21.95" customHeight="1">
      <c r="A1041" s="35"/>
      <c r="B1041" s="36"/>
      <c r="C1041" s="84"/>
      <c r="D1041" s="84"/>
      <c r="E1041" s="84" t="s">
        <v>257</v>
      </c>
      <c r="F1041" s="84"/>
      <c r="G1041" s="84"/>
      <c r="H1041" s="84"/>
      <c r="I1041" s="84"/>
      <c r="J1041" s="84"/>
      <c r="K1041" s="84"/>
      <c r="L1041" s="84"/>
      <c r="M1041" s="84"/>
      <c r="N1041" s="35"/>
    </row>
    <row r="1042" spans="1:32" ht="21.95" customHeight="1">
      <c r="A1042" s="30"/>
      <c r="B1042" s="36" t="str">
        <f>"Nhµ thÇu - "&amp;R28&amp;" ®· thi c«ng hoµn thµnh c«ng viÖc x©y dùng cô thÓ nh­ sau:"</f>
        <v>Nhµ thÇu - ..................................... ®· thi c«ng hoµn thµnh c«ng viÖc x©y dùng cô thÓ nh­ sau:</v>
      </c>
      <c r="C1042" s="30"/>
      <c r="D1042" s="30"/>
      <c r="E1042" s="30"/>
      <c r="F1042" s="30"/>
      <c r="G1042" s="30"/>
      <c r="H1042" s="30"/>
      <c r="I1042" s="30"/>
      <c r="J1042" s="30"/>
      <c r="K1042" s="30"/>
      <c r="L1042" s="30"/>
      <c r="M1042" s="30"/>
      <c r="N1042" s="35"/>
      <c r="O1042" s="35"/>
      <c r="P1042" s="35"/>
    </row>
    <row r="1043" spans="1:32" ht="17.25" customHeight="1">
      <c r="A1043" s="85" t="s">
        <v>258</v>
      </c>
      <c r="B1043" s="86" t="s">
        <v>310</v>
      </c>
      <c r="C1043" s="87"/>
      <c r="D1043" s="87"/>
      <c r="E1043" s="87"/>
      <c r="F1043" s="1555" t="str">
        <f>" Bª t«ng cäc: "&amp;$R$12</f>
        <v xml:space="preserve"> Bª t«ng cäc: B1</v>
      </c>
      <c r="G1043" s="1555"/>
      <c r="H1043" s="1555"/>
      <c r="I1043" s="1555"/>
      <c r="J1043" s="1555"/>
      <c r="K1043" s="1555"/>
      <c r="L1043" s="1555"/>
      <c r="M1043" s="1555"/>
      <c r="N1043" s="1555"/>
      <c r="O1043" s="35"/>
      <c r="P1043" s="35"/>
    </row>
    <row r="1044" spans="1:32" s="35" customFormat="1" ht="19.5" customHeight="1">
      <c r="A1044" s="39"/>
      <c r="B1044" s="39" t="str">
        <f>"VÞ trÝ x©y dùng: T¹i C«ng tr×nh "&amp;$R$3</f>
        <v>VÞ trÝ x©y dùng: T¹i C«ng tr×nh KHU HỖN HỢP CHUNG CƯ, VĂN PHÒNG, TRUNG TÂM THƯƠNG MẠI VÀ NHÀ Ở KẾT HỢP KHU MUA SẮM</v>
      </c>
      <c r="C1044" s="39"/>
      <c r="D1044" s="39"/>
      <c r="E1044" s="39"/>
      <c r="F1044" s="39"/>
      <c r="G1044" s="39"/>
      <c r="H1044" s="39"/>
      <c r="I1044" s="39"/>
      <c r="J1044" s="39"/>
      <c r="K1044" s="39"/>
      <c r="L1044" s="39"/>
      <c r="M1044" s="39"/>
      <c r="N1044" s="24"/>
      <c r="Q1044" s="91"/>
      <c r="R1044" s="91"/>
      <c r="S1044" s="91"/>
      <c r="T1044" s="91"/>
      <c r="U1044" s="24"/>
      <c r="V1044" s="24"/>
      <c r="W1044" s="24"/>
      <c r="X1044" s="24"/>
      <c r="Y1044" s="24"/>
      <c r="Z1044" s="24"/>
      <c r="AA1044" s="24"/>
      <c r="AB1044" s="24"/>
      <c r="AC1044" s="24"/>
      <c r="AD1044" s="24"/>
      <c r="AE1044" s="24"/>
      <c r="AF1044" s="24"/>
    </row>
    <row r="1045" spans="1:32" s="35" customFormat="1" ht="15.75" customHeight="1">
      <c r="A1045" s="39"/>
      <c r="B1045" s="39" t="s">
        <v>202</v>
      </c>
      <c r="C1045" s="39"/>
      <c r="D1045" s="39"/>
      <c r="E1045" s="39" t="str">
        <f>$R$4</f>
        <v>P. BẠCH ĐẰNG, TP. HẠ LONG, TỈNH QUẢNG NINH</v>
      </c>
      <c r="F1045" s="39"/>
      <c r="G1045" s="39"/>
      <c r="H1045" s="39"/>
      <c r="I1045" s="39"/>
      <c r="J1045" s="39"/>
      <c r="K1045" s="39"/>
      <c r="L1045" s="39"/>
      <c r="M1045" s="39"/>
      <c r="N1045" s="24"/>
      <c r="O1045" s="88"/>
      <c r="P1045" s="88"/>
      <c r="Q1045" s="91"/>
      <c r="R1045" s="91"/>
      <c r="S1045" s="91"/>
      <c r="T1045" s="91"/>
      <c r="U1045" s="24"/>
      <c r="V1045" s="24"/>
      <c r="W1045" s="24"/>
      <c r="X1045" s="24"/>
      <c r="Y1045" s="24"/>
      <c r="Z1045" s="24"/>
      <c r="AA1045" s="24"/>
      <c r="AB1045" s="24"/>
      <c r="AC1045" s="24"/>
      <c r="AD1045" s="24"/>
      <c r="AE1045" s="24"/>
      <c r="AF1045" s="24"/>
    </row>
    <row r="1046" spans="1:32" s="35" customFormat="1" ht="21.95" customHeight="1">
      <c r="A1046" s="89"/>
      <c r="B1046" s="39" t="s">
        <v>311</v>
      </c>
      <c r="C1046" s="39"/>
      <c r="D1046" s="39"/>
      <c r="E1046" s="39"/>
      <c r="F1046" s="39"/>
      <c r="G1046" s="39"/>
      <c r="H1046" s="39"/>
      <c r="I1046" s="39"/>
      <c r="J1046" s="39"/>
      <c r="K1046" s="39"/>
      <c r="L1046" s="39"/>
      <c r="M1046" s="39"/>
      <c r="N1046" s="118" t="str">
        <f>$R$12</f>
        <v>B1</v>
      </c>
      <c r="O1046" s="24"/>
      <c r="P1046" s="24"/>
      <c r="Q1046" s="91"/>
      <c r="R1046" s="91"/>
      <c r="S1046" s="91"/>
      <c r="T1046" s="91"/>
      <c r="U1046" s="24"/>
      <c r="V1046" s="24"/>
      <c r="W1046" s="24"/>
      <c r="X1046" s="24"/>
      <c r="Y1046" s="24"/>
      <c r="Z1046" s="24"/>
      <c r="AA1046" s="24"/>
      <c r="AB1046" s="24"/>
      <c r="AC1046" s="24"/>
      <c r="AD1046" s="24"/>
      <c r="AE1046" s="24"/>
      <c r="AF1046" s="24"/>
    </row>
    <row r="1047" spans="1:32" s="88" customFormat="1" ht="23.25" customHeight="1">
      <c r="A1047" s="89"/>
      <c r="B1047" s="39" t="s">
        <v>260</v>
      </c>
      <c r="C1047" s="39"/>
      <c r="D1047" s="39"/>
      <c r="E1047" s="39"/>
      <c r="F1047" s="39"/>
      <c r="G1047" s="39"/>
      <c r="H1047" s="39"/>
      <c r="I1047" s="39"/>
      <c r="J1047" s="39"/>
      <c r="K1047" s="39"/>
      <c r="L1047" s="39"/>
      <c r="M1047" s="39"/>
      <c r="N1047" s="35"/>
      <c r="O1047" s="35"/>
      <c r="P1047" s="35"/>
      <c r="Q1047" s="133"/>
      <c r="R1047" s="133"/>
      <c r="S1047" s="133"/>
      <c r="T1047" s="133"/>
      <c r="U1047" s="86"/>
      <c r="V1047" s="86"/>
      <c r="W1047" s="86"/>
      <c r="X1047" s="86"/>
      <c r="Y1047" s="86"/>
      <c r="Z1047" s="86"/>
      <c r="AA1047" s="86"/>
      <c r="AB1047" s="86"/>
      <c r="AC1047" s="86"/>
      <c r="AD1047" s="86"/>
      <c r="AE1047" s="86"/>
      <c r="AF1047" s="86"/>
    </row>
    <row r="1048" spans="1:32" s="24" customFormat="1" ht="21.95" customHeight="1">
      <c r="A1048" s="24" t="s">
        <v>261</v>
      </c>
      <c r="B1048" s="39"/>
      <c r="C1048" s="39"/>
      <c r="E1048" s="90" t="str">
        <f>$R$12&amp;"/ Nb-BT/"&amp;$R$14</f>
        <v>B1/ Nb-BT/800</v>
      </c>
      <c r="I1048" s="24" t="s">
        <v>262</v>
      </c>
      <c r="Q1048" s="91"/>
      <c r="R1048" s="91"/>
      <c r="S1048" s="91"/>
      <c r="T1048" s="91"/>
    </row>
    <row r="1049" spans="1:32" s="35" customFormat="1" ht="21.95" customHeight="1">
      <c r="A1049" s="24" t="s">
        <v>263</v>
      </c>
      <c r="B1049" s="39"/>
      <c r="C1049" s="39"/>
      <c r="D1049" s="24"/>
      <c r="E1049" s="24"/>
      <c r="F1049" s="24"/>
      <c r="G1049" s="24"/>
      <c r="H1049" s="24"/>
      <c r="I1049" s="24"/>
      <c r="J1049" s="24"/>
      <c r="K1049" s="24"/>
      <c r="L1049" s="24"/>
      <c r="M1049" s="24"/>
      <c r="N1049" s="24"/>
      <c r="O1049" s="24"/>
      <c r="P1049" s="24"/>
      <c r="Q1049" s="91"/>
      <c r="R1049" s="91"/>
      <c r="S1049" s="91"/>
      <c r="T1049" s="91"/>
      <c r="U1049" s="24"/>
      <c r="V1049" s="24"/>
      <c r="W1049" s="24"/>
      <c r="X1049" s="24"/>
      <c r="Y1049" s="24"/>
      <c r="Z1049" s="24"/>
      <c r="AA1049" s="24"/>
      <c r="AB1049" s="24"/>
      <c r="AC1049" s="24"/>
      <c r="AD1049" s="24"/>
      <c r="AE1049" s="24"/>
      <c r="AF1049" s="24"/>
    </row>
    <row r="1050" spans="1:32" s="24" customFormat="1" ht="21.95" customHeight="1">
      <c r="B1050" s="39" t="s">
        <v>264</v>
      </c>
      <c r="C1050" s="39"/>
      <c r="Q1050" s="91"/>
      <c r="R1050" s="91"/>
      <c r="S1050" s="91"/>
      <c r="T1050" s="91"/>
    </row>
    <row r="1051" spans="1:32" s="35" customFormat="1" ht="21.95" customHeight="1">
      <c r="A1051" s="24" t="s">
        <v>265</v>
      </c>
      <c r="B1051" s="39"/>
      <c r="C1051" s="39"/>
      <c r="D1051" s="24"/>
      <c r="E1051" s="24"/>
      <c r="F1051" s="24"/>
      <c r="G1051" s="24"/>
      <c r="H1051" s="24"/>
      <c r="I1051" s="24"/>
      <c r="J1051" s="24"/>
      <c r="K1051" s="24"/>
      <c r="L1051" s="24"/>
      <c r="M1051" s="24"/>
      <c r="N1051" s="24"/>
      <c r="O1051" s="24"/>
      <c r="P1051" s="24"/>
      <c r="Q1051" s="91"/>
      <c r="R1051" s="91"/>
      <c r="S1051" s="91"/>
      <c r="T1051" s="91"/>
      <c r="U1051" s="24"/>
      <c r="V1051" s="24"/>
      <c r="W1051" s="24"/>
      <c r="X1051" s="24"/>
      <c r="Y1051" s="24"/>
      <c r="Z1051" s="24"/>
      <c r="AA1051" s="24"/>
      <c r="AB1051" s="24"/>
      <c r="AC1051" s="24"/>
      <c r="AD1051" s="24"/>
      <c r="AE1051" s="24"/>
      <c r="AF1051" s="24"/>
    </row>
    <row r="1052" spans="1:32" s="24" customFormat="1" ht="21.95" customHeight="1">
      <c r="A1052" s="24" t="s">
        <v>266</v>
      </c>
      <c r="B1052" s="39"/>
      <c r="C1052" s="39"/>
      <c r="Q1052" s="91"/>
      <c r="R1052" s="91"/>
      <c r="S1052" s="91"/>
      <c r="T1052" s="91"/>
    </row>
    <row r="1053" spans="1:32" s="24" customFormat="1" ht="21.95" customHeight="1">
      <c r="A1053" s="36"/>
      <c r="B1053" s="36" t="s">
        <v>267</v>
      </c>
      <c r="G1053" s="1556">
        <f>E1093</f>
        <v>0.33333333333333331</v>
      </c>
      <c r="H1053" s="1556"/>
      <c r="I1053" s="1489">
        <f>F1093</f>
        <v>42496</v>
      </c>
      <c r="J1053" s="1489"/>
      <c r="K1053" s="1489"/>
      <c r="L1053" s="1489"/>
      <c r="M1053" s="1489"/>
      <c r="N1053" s="1489"/>
      <c r="Q1053" s="91"/>
      <c r="R1053" s="91"/>
      <c r="S1053" s="91"/>
      <c r="T1053" s="91"/>
    </row>
    <row r="1054" spans="1:32" s="24" customFormat="1" ht="21.95" customHeight="1">
      <c r="A1054" s="35"/>
      <c r="B1054" s="35"/>
      <c r="C1054" s="48" t="s">
        <v>268</v>
      </c>
      <c r="E1054" s="24" t="str">
        <f>C1036</f>
        <v>C«ng tr×nh: KHU HỖN HỢP CHUNG CƯ, VĂN PHÒNG, TRUNG TÂM THƯƠNG MẠI VÀ NHÀ Ở KẾT HỢP KHU MUA SẮM</v>
      </c>
      <c r="F1054" s="35"/>
      <c r="G1054" s="35"/>
      <c r="J1054" s="35"/>
      <c r="K1054" s="35"/>
      <c r="L1054" s="35"/>
      <c r="M1054" s="35"/>
      <c r="N1054" s="35"/>
      <c r="Q1054" s="91"/>
      <c r="R1054" s="91"/>
      <c r="S1054" s="91"/>
      <c r="T1054" s="91"/>
    </row>
    <row r="1055" spans="1:32" s="24" customFormat="1" ht="21.95" customHeight="1">
      <c r="A1055" s="35"/>
      <c r="B1055" s="35"/>
      <c r="C1055" s="48" t="s">
        <v>269</v>
      </c>
      <c r="E1055" s="24" t="str">
        <f>E1045</f>
        <v>P. BẠCH ĐẰNG, TP. HẠ LONG, TỈNH QUẢNG NINH</v>
      </c>
      <c r="F1055" s="35"/>
      <c r="G1055" s="35"/>
      <c r="J1055" s="35"/>
      <c r="K1055" s="35"/>
      <c r="L1055" s="35"/>
      <c r="M1055" s="35"/>
      <c r="N1055" s="35"/>
      <c r="Q1055" s="91"/>
      <c r="R1055" s="91"/>
      <c r="S1055" s="91"/>
      <c r="T1055" s="91"/>
    </row>
    <row r="1056" spans="1:32" s="24" customFormat="1" ht="21.95" customHeight="1">
      <c r="A1056" s="36"/>
      <c r="B1056" s="36"/>
      <c r="G1056" s="41"/>
      <c r="H1056" s="41"/>
      <c r="I1056" s="42"/>
      <c r="J1056" s="42"/>
      <c r="K1056" s="42"/>
      <c r="L1056" s="42"/>
      <c r="M1056" s="42"/>
      <c r="N1056" s="42"/>
      <c r="O1056" s="35"/>
      <c r="P1056" s="35"/>
      <c r="Q1056" s="91"/>
      <c r="R1056" s="91"/>
      <c r="S1056" s="91"/>
      <c r="T1056" s="91"/>
    </row>
    <row r="1057" spans="1:32" s="24" customFormat="1" ht="33" customHeight="1">
      <c r="A1057" s="1541" t="s">
        <v>191</v>
      </c>
      <c r="B1057" s="1542"/>
      <c r="C1057" s="1541" t="s">
        <v>270</v>
      </c>
      <c r="D1057" s="1543"/>
      <c r="E1057" s="1543"/>
      <c r="F1057" s="1543"/>
      <c r="G1057" s="1542"/>
      <c r="H1057" s="92" t="s">
        <v>271</v>
      </c>
      <c r="I1057" s="93"/>
      <c r="J1057" s="93"/>
      <c r="K1057" s="94"/>
      <c r="L1057" s="92"/>
      <c r="M1057" s="1541" t="s">
        <v>272</v>
      </c>
      <c r="N1057" s="1542"/>
      <c r="O1057" s="35"/>
      <c r="P1057" s="35"/>
      <c r="Q1057" s="91"/>
      <c r="R1057" s="91"/>
      <c r="S1057" s="91"/>
      <c r="T1057" s="91"/>
    </row>
    <row r="1058" spans="1:32" s="24" customFormat="1" ht="16.5">
      <c r="A1058" s="156"/>
      <c r="B1058" s="157"/>
      <c r="C1058" s="156"/>
      <c r="D1058" s="158"/>
      <c r="E1058" s="158"/>
      <c r="F1058" s="158"/>
      <c r="G1058" s="157"/>
      <c r="H1058" s="159"/>
      <c r="I1058" s="160"/>
      <c r="J1058" s="160"/>
      <c r="K1058" s="160"/>
      <c r="L1058" s="161"/>
      <c r="M1058" s="156"/>
      <c r="N1058" s="157"/>
      <c r="O1058" s="35"/>
      <c r="P1058" s="35"/>
      <c r="Q1058" s="91"/>
      <c r="R1058" s="91"/>
      <c r="S1058" s="91"/>
      <c r="T1058" s="91"/>
    </row>
    <row r="1059" spans="1:32" s="24" customFormat="1" ht="16.5">
      <c r="A1059" s="168"/>
      <c r="B1059" s="169"/>
      <c r="C1059" s="168"/>
      <c r="D1059" s="170"/>
      <c r="E1059" s="170"/>
      <c r="F1059" s="170"/>
      <c r="G1059" s="169"/>
      <c r="H1059" s="171"/>
      <c r="I1059" s="172"/>
      <c r="J1059" s="172"/>
      <c r="K1059" s="172"/>
      <c r="L1059" s="173"/>
      <c r="M1059" s="168"/>
      <c r="N1059" s="169"/>
      <c r="O1059" s="35"/>
      <c r="P1059" s="35"/>
      <c r="Q1059" s="91"/>
      <c r="R1059" s="91"/>
      <c r="S1059" s="91"/>
      <c r="T1059" s="91"/>
    </row>
    <row r="1060" spans="1:32" s="24" customFormat="1" ht="16.5">
      <c r="A1060" s="1583">
        <v>1</v>
      </c>
      <c r="B1060" s="1584"/>
      <c r="C1060" s="1585" t="s">
        <v>194</v>
      </c>
      <c r="D1060" s="1586"/>
      <c r="E1060" s="1586"/>
      <c r="F1060" s="1586"/>
      <c r="G1060" s="1587"/>
      <c r="H1060" s="1588">
        <f>E974+Q1067</f>
        <v>0.32638888888888884</v>
      </c>
      <c r="I1060" s="1589"/>
      <c r="J1060" s="1590">
        <f>J1032</f>
        <v>42496</v>
      </c>
      <c r="K1060" s="1590"/>
      <c r="L1060" s="1591"/>
      <c r="M1060" s="1583"/>
      <c r="N1060" s="1584"/>
      <c r="Q1060" s="91"/>
      <c r="R1060" s="91"/>
      <c r="S1060" s="91"/>
      <c r="T1060" s="91"/>
    </row>
    <row r="1061" spans="1:32" s="24" customFormat="1" ht="16.5">
      <c r="A1061" s="150"/>
      <c r="B1061" s="151"/>
      <c r="C1061" s="152"/>
      <c r="D1061" s="59"/>
      <c r="E1061" s="59"/>
      <c r="F1061" s="59"/>
      <c r="G1061" s="153"/>
      <c r="H1061" s="154"/>
      <c r="I1061" s="139"/>
      <c r="J1061" s="140"/>
      <c r="K1061" s="140"/>
      <c r="L1061" s="155"/>
      <c r="M1061" s="150"/>
      <c r="N1061" s="151"/>
      <c r="Q1061" s="91"/>
      <c r="R1061" s="91"/>
      <c r="S1061" s="91"/>
      <c r="T1061" s="91"/>
    </row>
    <row r="1062" spans="1:32" s="24" customFormat="1" ht="16.5">
      <c r="A1062" s="150"/>
      <c r="B1062" s="151"/>
      <c r="C1062" s="152"/>
      <c r="D1062" s="59"/>
      <c r="E1062" s="59"/>
      <c r="F1062" s="59"/>
      <c r="G1062" s="153"/>
      <c r="H1062" s="154"/>
      <c r="I1062" s="139"/>
      <c r="J1062" s="140"/>
      <c r="K1062" s="140"/>
      <c r="L1062" s="155"/>
      <c r="M1062" s="150"/>
      <c r="N1062" s="151"/>
      <c r="Q1062" s="91"/>
      <c r="R1062" s="91"/>
      <c r="S1062" s="91"/>
      <c r="T1062" s="91"/>
    </row>
    <row r="1063" spans="1:32" s="24" customFormat="1" ht="16.5">
      <c r="A1063" s="141"/>
      <c r="B1063" s="142"/>
      <c r="C1063" s="143"/>
      <c r="D1063" s="144"/>
      <c r="E1063" s="144"/>
      <c r="F1063" s="144"/>
      <c r="G1063" s="145"/>
      <c r="H1063" s="146"/>
      <c r="I1063" s="147"/>
      <c r="J1063" s="148"/>
      <c r="K1063" s="148"/>
      <c r="L1063" s="149"/>
      <c r="M1063" s="141"/>
      <c r="N1063" s="142"/>
      <c r="Q1063" s="91"/>
      <c r="R1063" s="91"/>
      <c r="S1063" s="91"/>
      <c r="T1063" s="91"/>
    </row>
    <row r="1064" spans="1:32" s="24" customFormat="1" ht="16.5">
      <c r="A1064" s="35"/>
      <c r="B1064" s="35"/>
      <c r="C1064" s="48"/>
      <c r="D1064" s="35"/>
      <c r="E1064" s="35"/>
      <c r="F1064" s="35"/>
      <c r="G1064" s="35"/>
      <c r="J1064" s="35"/>
      <c r="K1064" s="35"/>
      <c r="L1064" s="35"/>
      <c r="M1064" s="35"/>
      <c r="N1064" s="35"/>
      <c r="Q1064" s="91"/>
      <c r="R1064" s="91"/>
      <c r="S1064" s="91"/>
      <c r="T1064" s="91"/>
    </row>
    <row r="1065" spans="1:32" s="24" customFormat="1" ht="18">
      <c r="A1065" s="1538"/>
      <c r="B1065" s="1538"/>
      <c r="C1065" s="1538"/>
      <c r="D1065" s="1538"/>
      <c r="E1065" s="1538"/>
      <c r="F1065" s="1538"/>
      <c r="G1065" s="1538"/>
      <c r="H1065" s="1538"/>
      <c r="I1065" s="1538" t="s">
        <v>273</v>
      </c>
      <c r="J1065" s="1538"/>
      <c r="K1065" s="1538"/>
      <c r="L1065" s="1538"/>
      <c r="M1065" s="1538"/>
      <c r="N1065" s="1538"/>
      <c r="Q1065" s="91"/>
      <c r="R1065" s="91"/>
      <c r="S1065" s="91"/>
      <c r="T1065" s="91"/>
    </row>
    <row r="1066" spans="1:32" s="24" customFormat="1" ht="21.95" customHeight="1">
      <c r="A1066" s="66"/>
      <c r="B1066" s="1539"/>
      <c r="C1066" s="1539"/>
      <c r="D1066" s="1539"/>
      <c r="E1066" s="1539"/>
      <c r="F1066" s="67"/>
      <c r="G1066" s="95"/>
      <c r="H1066" s="96"/>
      <c r="I1066" s="96"/>
      <c r="J1066" s="96"/>
      <c r="K1066" s="96"/>
      <c r="L1066" s="96"/>
      <c r="M1066" s="96"/>
      <c r="N1066"/>
      <c r="O1066" s="35"/>
      <c r="P1066" s="35"/>
      <c r="Q1066" s="91"/>
      <c r="R1066" s="91"/>
      <c r="S1066" s="91"/>
      <c r="T1066" s="91"/>
    </row>
    <row r="1067" spans="1:32" s="89" customFormat="1" ht="21.95" customHeight="1">
      <c r="A1067" s="97"/>
      <c r="B1067" s="97"/>
      <c r="C1067" s="97"/>
      <c r="D1067" s="35"/>
      <c r="E1067" s="35"/>
      <c r="F1067" s="35"/>
      <c r="G1067" s="35"/>
      <c r="H1067" s="35"/>
      <c r="I1067" s="35"/>
      <c r="J1067" s="35"/>
      <c r="K1067" s="35"/>
      <c r="L1067" s="35"/>
      <c r="M1067"/>
      <c r="N1067"/>
      <c r="O1067" s="24"/>
      <c r="P1067" s="24"/>
      <c r="Q1067" s="134">
        <v>3.472222222222222E-3</v>
      </c>
      <c r="R1067" s="135"/>
      <c r="S1067" s="135"/>
      <c r="T1067" s="135"/>
      <c r="U1067" s="36"/>
      <c r="V1067" s="36"/>
      <c r="W1067" s="36"/>
      <c r="X1067" s="36"/>
      <c r="Y1067" s="36"/>
      <c r="Z1067" s="36"/>
      <c r="AA1067" s="36"/>
      <c r="AB1067" s="36"/>
      <c r="AC1067" s="36"/>
      <c r="AD1067" s="36"/>
      <c r="AE1067" s="36"/>
      <c r="AF1067" s="36"/>
    </row>
    <row r="1068" spans="1:32" s="43" customFormat="1" ht="20.25" customHeight="1">
      <c r="A1068" s="97"/>
      <c r="B1068" s="97"/>
      <c r="C1068" s="97"/>
      <c r="D1068" s="35"/>
      <c r="E1068" s="35"/>
      <c r="F1068" s="35"/>
      <c r="G1068" s="35"/>
      <c r="H1068" s="35"/>
      <c r="I1068" s="35"/>
      <c r="J1068" s="35"/>
      <c r="K1068" s="35"/>
      <c r="L1068" s="35"/>
      <c r="M1068"/>
      <c r="N1068"/>
      <c r="O1068"/>
      <c r="P1068"/>
      <c r="Q1068" s="136"/>
      <c r="R1068" s="136"/>
      <c r="S1068" s="136"/>
      <c r="T1068" s="136"/>
      <c r="U1068" s="126"/>
      <c r="V1068" s="126"/>
      <c r="W1068" s="126"/>
      <c r="X1068" s="126"/>
      <c r="Y1068" s="126"/>
      <c r="Z1068" s="126"/>
      <c r="AA1068" s="126"/>
      <c r="AB1068" s="126"/>
      <c r="AC1068" s="126"/>
      <c r="AD1068" s="126"/>
      <c r="AE1068" s="126"/>
      <c r="AF1068" s="126"/>
    </row>
    <row r="1069" spans="1:32" s="24" customFormat="1" ht="18" customHeight="1">
      <c r="A1069" s="97"/>
      <c r="B1069" s="97"/>
      <c r="C1069" s="97"/>
      <c r="D1069" s="35"/>
      <c r="E1069" s="35"/>
      <c r="F1069" s="35"/>
      <c r="G1069" s="35"/>
      <c r="H1069" s="35"/>
      <c r="I1069" s="35"/>
      <c r="J1069" s="35"/>
      <c r="K1069" s="35"/>
      <c r="L1069" s="35"/>
      <c r="M1069"/>
      <c r="N1069"/>
      <c r="O1069"/>
      <c r="P1069"/>
      <c r="Q1069" s="91"/>
      <c r="R1069" s="91"/>
      <c r="S1069" s="91"/>
      <c r="T1069" s="91"/>
    </row>
    <row r="1070" spans="1:32" ht="18">
      <c r="A1070" s="97"/>
      <c r="B1070" s="97"/>
      <c r="C1070" s="97"/>
      <c r="D1070" s="35"/>
      <c r="E1070" s="35"/>
      <c r="F1070" s="35"/>
      <c r="G1070" s="35"/>
      <c r="H1070" s="35"/>
      <c r="I1070" s="35"/>
      <c r="J1070" s="35"/>
      <c r="K1070" s="35"/>
      <c r="L1070" s="35"/>
    </row>
    <row r="1071" spans="1:32" ht="16.5">
      <c r="A1071" s="1540"/>
      <c r="B1071" s="1540"/>
      <c r="C1071" s="1540"/>
      <c r="D1071" s="1540"/>
      <c r="E1071" s="1540"/>
      <c r="F1071" s="1540"/>
      <c r="G1071" s="1540"/>
      <c r="H1071" s="1540"/>
      <c r="I1071" s="1540" t="str">
        <f>$E$135</f>
        <v>CÔNG TY TNHH MTV HANTECH</v>
      </c>
      <c r="J1071" s="1540"/>
      <c r="K1071" s="1540"/>
      <c r="L1071" s="1540"/>
      <c r="M1071" s="1540"/>
      <c r="N1071" s="1540"/>
    </row>
    <row r="1072" spans="1:32" ht="16.5">
      <c r="A1072" s="98"/>
      <c r="B1072" s="98"/>
      <c r="C1072" s="98"/>
      <c r="D1072" s="98"/>
      <c r="E1072" s="98"/>
      <c r="F1072" s="98"/>
      <c r="G1072" s="98"/>
      <c r="H1072" s="98"/>
      <c r="I1072" s="98"/>
      <c r="J1072" s="98"/>
      <c r="K1072" s="98"/>
      <c r="L1072" s="98"/>
      <c r="M1072" s="98"/>
      <c r="N1072" s="98"/>
    </row>
    <row r="1073" spans="1:20" ht="18" customHeight="1">
      <c r="A1073" s="1483" t="s">
        <v>199</v>
      </c>
      <c r="B1073" s="1483"/>
      <c r="C1073" s="1483"/>
      <c r="D1073" s="1483"/>
      <c r="E1073" s="1483"/>
      <c r="F1073" s="1483"/>
      <c r="G1073" s="1483"/>
      <c r="H1073" s="1483"/>
      <c r="I1073" s="1483"/>
      <c r="J1073" s="1483"/>
      <c r="K1073" s="1483"/>
      <c r="L1073" s="1483"/>
      <c r="M1073" s="1483"/>
      <c r="N1073" s="1483"/>
    </row>
    <row r="1074" spans="1:20" ht="15.75">
      <c r="A1074" s="1492" t="s">
        <v>200</v>
      </c>
      <c r="B1074" s="1492"/>
      <c r="C1074" s="1492"/>
      <c r="D1074" s="1492"/>
      <c r="E1074" s="1492"/>
      <c r="F1074" s="1492"/>
      <c r="G1074" s="1492"/>
      <c r="H1074" s="1492"/>
      <c r="I1074" s="1492"/>
      <c r="J1074" s="1492"/>
      <c r="K1074" s="1492"/>
      <c r="L1074" s="1492"/>
      <c r="M1074" s="1492"/>
      <c r="N1074" s="1492"/>
    </row>
    <row r="1075" spans="1:20" ht="14.25">
      <c r="A1075" s="1557" t="s">
        <v>274</v>
      </c>
      <c r="B1075" s="1557"/>
      <c r="C1075" s="1557"/>
      <c r="D1075" s="1557"/>
      <c r="E1075" s="1557"/>
      <c r="F1075" s="1557"/>
      <c r="G1075" s="1557"/>
      <c r="H1075" s="1557"/>
      <c r="I1075" s="1557"/>
      <c r="J1075" s="1557"/>
      <c r="K1075" s="1557"/>
      <c r="L1075" s="1557"/>
      <c r="M1075" s="1557"/>
      <c r="N1075" s="1557"/>
    </row>
    <row r="1076" spans="1:20" ht="16.5">
      <c r="A1076" s="18"/>
      <c r="B1076" s="18"/>
      <c r="C1076" s="18"/>
      <c r="D1076" s="18"/>
      <c r="E1076" s="18"/>
      <c r="F1076" s="18"/>
      <c r="I1076" s="19"/>
      <c r="J1076" s="1558">
        <f>$U$20</f>
        <v>42496</v>
      </c>
      <c r="K1076" s="1558"/>
      <c r="L1076" s="1558"/>
      <c r="M1076" s="1558"/>
      <c r="N1076" s="1558"/>
    </row>
    <row r="1077" spans="1:20" ht="17.25" customHeight="1">
      <c r="A1077" s="8"/>
    </row>
    <row r="1078" spans="1:20" ht="17.25" customHeight="1">
      <c r="A1078" s="1493" t="str">
        <f>"Biªn b¶n sè: "&amp;$R$12&amp;"/ CV-BT/"&amp;$R$14</f>
        <v>Biªn b¶n sè: B1/ CV-BT/800</v>
      </c>
      <c r="B1078" s="1493"/>
      <c r="C1078" s="1493"/>
      <c r="D1078" s="1493"/>
      <c r="E1078" s="1493"/>
      <c r="F1078" s="1493"/>
      <c r="G1078" s="1493"/>
      <c r="H1078" s="1493"/>
      <c r="I1078" s="1493"/>
      <c r="J1078" s="1493"/>
      <c r="K1078" s="1493"/>
      <c r="L1078" s="1493"/>
      <c r="M1078" s="1493"/>
      <c r="N1078" s="1493"/>
    </row>
    <row r="1079" spans="1:20" ht="18">
      <c r="A1079" s="1493" t="s">
        <v>275</v>
      </c>
      <c r="B1079" s="1493"/>
      <c r="C1079" s="1493"/>
      <c r="D1079" s="1493"/>
      <c r="E1079" s="1493"/>
      <c r="F1079" s="1493"/>
      <c r="G1079" s="1493"/>
      <c r="H1079" s="1493"/>
      <c r="I1079" s="1493"/>
      <c r="J1079" s="1493"/>
      <c r="K1079" s="1493"/>
      <c r="L1079" s="1493"/>
      <c r="M1079" s="1493"/>
      <c r="N1079" s="1493"/>
    </row>
    <row r="1080" spans="1:20" ht="17.25" customHeight="1">
      <c r="A1080" s="12"/>
      <c r="O1080" s="24"/>
      <c r="P1080" s="24"/>
    </row>
    <row r="1081" spans="1:20" ht="19.5" customHeight="1">
      <c r="B1081" s="39"/>
      <c r="C1081" s="28" t="str">
        <f>"C«ng tr×nh: "&amp;$R$3</f>
        <v>C«ng tr×nh: KHU HỖN HỢP CHUNG CƯ, VĂN PHÒNG, TRUNG TÂM THƯƠNG MẠI VÀ NHÀ Ở KẾT HỢP KHU MUA SẮM</v>
      </c>
      <c r="D1081" s="27"/>
      <c r="E1081" s="27"/>
      <c r="F1081" s="27"/>
      <c r="G1081" s="27"/>
      <c r="H1081" s="27"/>
      <c r="I1081" s="27"/>
      <c r="J1081" s="27"/>
      <c r="K1081" s="27"/>
      <c r="L1081" s="27"/>
      <c r="O1081" s="24"/>
      <c r="P1081" s="24"/>
    </row>
    <row r="1082" spans="1:20" s="24" customFormat="1" ht="21" customHeight="1">
      <c r="A1082"/>
      <c r="B1082" s="39"/>
      <c r="C1082" s="28" t="str">
        <f>"H¹ng môc: "&amp;$R$5</f>
        <v>H¹ng môc: CỌC KHOAN NHỒI</v>
      </c>
      <c r="D1082" s="27"/>
      <c r="E1082" s="29"/>
      <c r="F1082" s="28"/>
      <c r="G1082" s="28"/>
      <c r="H1082" s="28"/>
      <c r="I1082" s="28"/>
      <c r="J1082" s="28"/>
      <c r="K1082" s="28"/>
      <c r="L1082" s="28"/>
      <c r="M1082" s="28"/>
      <c r="N1082"/>
      <c r="O1082"/>
      <c r="P1082"/>
      <c r="Q1082" s="91"/>
      <c r="R1082" s="91"/>
      <c r="S1082" s="91"/>
      <c r="T1082" s="91"/>
    </row>
    <row r="1083" spans="1:20" s="24" customFormat="1" ht="21" customHeight="1">
      <c r="A1083"/>
      <c r="B1083" s="36"/>
      <c r="C1083" s="1487" t="str">
        <f>"§Þa ®iÓm x©y dùng: "&amp;$R$4</f>
        <v>§Þa ®iÓm x©y dùng: P. BẠCH ĐẰNG, TP. HẠ LONG, TỈNH QUẢNG NINH</v>
      </c>
      <c r="D1083" s="1487"/>
      <c r="E1083" s="1487"/>
      <c r="F1083" s="1487"/>
      <c r="G1083" s="1487"/>
      <c r="H1083" s="1487"/>
      <c r="I1083" s="1487"/>
      <c r="J1083" s="1487"/>
      <c r="K1083" s="1487"/>
      <c r="L1083" s="1487"/>
      <c r="M1083" s="1487"/>
      <c r="N1083" s="1487"/>
      <c r="O1083"/>
      <c r="P1083"/>
      <c r="Q1083" s="91"/>
      <c r="R1083" s="91"/>
      <c r="S1083" s="91"/>
      <c r="T1083" s="91"/>
    </row>
    <row r="1084" spans="1:20" ht="16.5">
      <c r="A1084" s="30" t="str">
        <f>A964</f>
        <v>1.§èi t­îng nghiÖm thu: Bª t«ng cäc: B1</v>
      </c>
      <c r="B1084" s="30"/>
      <c r="C1084" s="30"/>
      <c r="D1084" s="30"/>
      <c r="E1084" s="30"/>
      <c r="F1084" s="30"/>
      <c r="H1084" s="30"/>
      <c r="I1084" s="30"/>
      <c r="J1084" s="30"/>
      <c r="K1084" s="30"/>
      <c r="L1084" s="30"/>
    </row>
    <row r="1085" spans="1:20" ht="21.95" customHeight="1">
      <c r="A1085" s="1488" t="s">
        <v>207</v>
      </c>
      <c r="B1085" s="1488"/>
      <c r="C1085" s="1488"/>
      <c r="D1085" s="1488"/>
      <c r="E1085" s="1488"/>
      <c r="F1085" s="1488"/>
      <c r="G1085" s="1488"/>
      <c r="H1085" s="1488"/>
      <c r="I1085" s="1488"/>
      <c r="J1085" s="1488"/>
      <c r="K1085" s="1488"/>
      <c r="L1085" s="1488"/>
    </row>
    <row r="1086" spans="1:20" ht="16.5" customHeight="1">
      <c r="A1086" s="99" t="s">
        <v>277</v>
      </c>
      <c r="B1086" s="36"/>
      <c r="C1086" s="36"/>
      <c r="D1086" s="36"/>
      <c r="E1086" s="36"/>
      <c r="F1086" s="30" t="str">
        <f>R978</f>
        <v>………………..</v>
      </c>
      <c r="G1086" s="36"/>
      <c r="H1086" s="36"/>
      <c r="I1086" s="36"/>
      <c r="J1086" s="36"/>
      <c r="K1086" s="36"/>
      <c r="L1086" s="36"/>
      <c r="M1086" s="36"/>
    </row>
    <row r="1087" spans="1:20" ht="21.95" customHeight="1">
      <c r="A1087" s="35"/>
      <c r="C1087" s="34" t="s">
        <v>276</v>
      </c>
      <c r="D1087" s="34"/>
      <c r="E1087" s="36" t="str">
        <f>$R$26</f>
        <v>CÔNG TY CỔ PHẦN TƯ VẤN KIỂM ĐỊNH VÀ THƯƠNG MẠI XÂY DỰNG GOLDSUN</v>
      </c>
      <c r="F1087" s="36"/>
      <c r="G1087" s="35"/>
      <c r="I1087" s="37" t="s">
        <v>211</v>
      </c>
      <c r="J1087" s="37"/>
      <c r="K1087" s="36" t="str">
        <f>$T$26</f>
        <v>Công ty Cổ phần tư vấn kiểm định và thương mại xây dựng Goldsun</v>
      </c>
      <c r="L1087" s="35"/>
    </row>
    <row r="1088" spans="1:20" ht="22.5" customHeight="1">
      <c r="A1088" s="35"/>
      <c r="C1088" s="34" t="s">
        <v>276</v>
      </c>
      <c r="D1088" s="34"/>
      <c r="E1088" s="36" t="str">
        <f>$R$27</f>
        <v>.....................................</v>
      </c>
      <c r="F1088" s="36"/>
      <c r="G1088" s="35"/>
      <c r="I1088" s="37" t="s">
        <v>211</v>
      </c>
      <c r="J1088" s="37"/>
      <c r="K1088" s="36" t="str">
        <f>$T$27</f>
        <v>.....................................</v>
      </c>
      <c r="L1088" s="35"/>
    </row>
    <row r="1089" spans="1:249" ht="16.5" customHeight="1">
      <c r="A1089" s="100" t="s">
        <v>278</v>
      </c>
      <c r="B1089" s="100"/>
      <c r="C1089" s="100"/>
      <c r="D1089" s="100"/>
      <c r="E1089" s="100"/>
      <c r="F1089" s="100" t="str">
        <f>$R$28</f>
        <v>.....................................</v>
      </c>
      <c r="G1089" s="100"/>
      <c r="H1089" s="100"/>
      <c r="I1089" s="100"/>
      <c r="J1089" s="100"/>
      <c r="K1089" s="100"/>
      <c r="L1089" s="100"/>
      <c r="M1089" s="100"/>
      <c r="N1089" s="100"/>
    </row>
    <row r="1090" spans="1:249" ht="16.5" customHeight="1">
      <c r="A1090" s="35"/>
      <c r="C1090" s="34" t="s">
        <v>279</v>
      </c>
      <c r="D1090" s="34"/>
      <c r="E1090" s="36" t="str">
        <f>$R$29</f>
        <v>.....................................</v>
      </c>
      <c r="F1090" s="36"/>
      <c r="G1090" s="35"/>
      <c r="I1090" s="37" t="s">
        <v>280</v>
      </c>
      <c r="J1090" s="37"/>
      <c r="K1090" s="36" t="str">
        <f>$T$29</f>
        <v>.....................................</v>
      </c>
      <c r="L1090" s="36"/>
    </row>
    <row r="1091" spans="1:249" ht="21.95" customHeight="1">
      <c r="A1091" s="35"/>
      <c r="C1091" s="34" t="s">
        <v>276</v>
      </c>
      <c r="D1091" s="34"/>
      <c r="E1091" s="36" t="str">
        <f>$R$30</f>
        <v>CÔNG TY TNHH MTV HANTECH</v>
      </c>
      <c r="F1091" s="36"/>
      <c r="G1091" s="35"/>
      <c r="I1091" s="37" t="s">
        <v>211</v>
      </c>
      <c r="J1091" s="37"/>
      <c r="K1091" s="36" t="str">
        <f>$T$30</f>
        <v>Công ty TNHH MTV HANTECH</v>
      </c>
      <c r="L1091" s="36"/>
    </row>
    <row r="1092" spans="1:249" ht="21.95" customHeight="1">
      <c r="A1092" s="1488" t="s">
        <v>217</v>
      </c>
      <c r="B1092" s="1488"/>
      <c r="C1092" s="1488"/>
      <c r="D1092" s="1488"/>
      <c r="E1092" s="1488"/>
      <c r="F1092" s="1488"/>
      <c r="G1092" s="1488"/>
      <c r="H1092" s="1488"/>
      <c r="I1092" s="1488"/>
      <c r="J1092" s="1488"/>
      <c r="K1092" s="1488"/>
      <c r="L1092" s="1488"/>
    </row>
    <row r="1093" spans="1:249" ht="21.95" customHeight="1">
      <c r="A1093" s="40"/>
      <c r="C1093" s="24" t="s">
        <v>219</v>
      </c>
      <c r="D1093" s="24"/>
      <c r="E1093" s="101">
        <f>$R$20</f>
        <v>0.33333333333333331</v>
      </c>
      <c r="F1093" s="1489">
        <f>J1076</f>
        <v>42496</v>
      </c>
      <c r="G1093" s="1489"/>
      <c r="H1093" s="1489"/>
      <c r="I1093" s="1489"/>
      <c r="J1093" s="1489"/>
      <c r="K1093" s="1489"/>
      <c r="L1093" s="1489"/>
      <c r="M1093" s="24"/>
      <c r="N1093" s="24"/>
    </row>
    <row r="1094" spans="1:249" ht="21.95" customHeight="1">
      <c r="A1094" s="40"/>
      <c r="C1094" s="24" t="s">
        <v>162</v>
      </c>
      <c r="D1094" s="24"/>
      <c r="E1094" s="101">
        <f>$T$20</f>
        <v>0.375</v>
      </c>
      <c r="F1094" s="1489">
        <f>F1093</f>
        <v>42496</v>
      </c>
      <c r="G1094" s="1489"/>
      <c r="H1094" s="1489"/>
      <c r="I1094" s="1489"/>
      <c r="J1094" s="1489"/>
      <c r="K1094" s="1489"/>
      <c r="L1094" s="1489"/>
    </row>
    <row r="1095" spans="1:249" ht="24" customHeight="1">
      <c r="C1095" s="36" t="s">
        <v>220</v>
      </c>
      <c r="E1095" s="36" t="str">
        <f>$R$3</f>
        <v>KHU HỖN HỢP CHUNG CƯ, VĂN PHÒNG, TRUNG TÂM THƯƠNG MẠI VÀ NHÀ Ở KẾT HỢP KHU MUA SẮM</v>
      </c>
      <c r="F1095" s="30"/>
      <c r="G1095" s="30"/>
      <c r="H1095" s="30"/>
      <c r="I1095" s="30"/>
      <c r="J1095" s="30"/>
      <c r="K1095" s="30"/>
      <c r="L1095" s="30"/>
    </row>
    <row r="1096" spans="1:249" ht="21.95" customHeight="1">
      <c r="C1096" s="36" t="s">
        <v>221</v>
      </c>
      <c r="E1096" s="36" t="str">
        <f>$R$4</f>
        <v>P. BẠCH ĐẰNG, TP. HẠ LONG, TỈNH QUẢNG NINH</v>
      </c>
      <c r="F1096" s="30"/>
      <c r="G1096" s="30"/>
      <c r="H1096" s="30"/>
      <c r="I1096" s="30"/>
      <c r="J1096" s="30"/>
      <c r="K1096" s="30"/>
      <c r="L1096" s="30"/>
    </row>
    <row r="1097" spans="1:249" ht="30.75" customHeight="1">
      <c r="A1097" s="1488" t="s">
        <v>222</v>
      </c>
      <c r="B1097" s="1488"/>
      <c r="C1097" s="1488"/>
      <c r="D1097" s="1488"/>
      <c r="E1097" s="1488"/>
      <c r="F1097" s="1488"/>
      <c r="G1097" s="1488"/>
      <c r="H1097" s="1488"/>
      <c r="I1097" s="1488"/>
      <c r="J1097" s="1488"/>
      <c r="K1097" s="1488"/>
      <c r="L1097" s="1488"/>
    </row>
    <row r="1098" spans="1:249" ht="33.75" customHeight="1">
      <c r="A1098" s="1491" t="s">
        <v>223</v>
      </c>
      <c r="B1098" s="1491"/>
      <c r="C1098" s="1491"/>
      <c r="D1098" s="1491"/>
      <c r="E1098" s="1491"/>
      <c r="F1098" s="1491"/>
      <c r="G1098" s="1491"/>
      <c r="H1098" s="1491"/>
      <c r="I1098" s="1491"/>
      <c r="J1098" s="1491"/>
      <c r="K1098" s="1491"/>
      <c r="L1098" s="1491"/>
      <c r="M1098" s="1491"/>
      <c r="N1098" s="1491"/>
    </row>
    <row r="1099" spans="1:249" ht="16.5">
      <c r="A1099" s="1490" t="s">
        <v>224</v>
      </c>
      <c r="B1099" s="1490"/>
      <c r="C1099" s="1490"/>
      <c r="D1099" s="1490"/>
      <c r="E1099" s="1490"/>
      <c r="F1099" s="1490"/>
      <c r="G1099" s="1490"/>
      <c r="H1099" s="1490"/>
      <c r="I1099" s="1490"/>
      <c r="J1099" s="1490"/>
      <c r="K1099" s="1490"/>
      <c r="L1099" s="1490"/>
      <c r="M1099" s="1490"/>
      <c r="N1099" s="1490"/>
      <c r="O1099" s="5"/>
      <c r="P1099" s="5"/>
    </row>
    <row r="1100" spans="1:249" ht="21.95" customHeight="1">
      <c r="A1100" s="5"/>
      <c r="B1100" s="36" t="s">
        <v>226</v>
      </c>
      <c r="C1100" s="36"/>
      <c r="D1100" s="36"/>
      <c r="E1100" s="36"/>
      <c r="F1100" s="36"/>
      <c r="G1100" s="36"/>
      <c r="H1100" s="36"/>
      <c r="I1100" s="36"/>
      <c r="J1100" s="36"/>
      <c r="K1100" s="36"/>
      <c r="L1100" s="36"/>
      <c r="M1100" s="36"/>
      <c r="N1100" s="36"/>
      <c r="O1100" s="5"/>
      <c r="P1100" s="5"/>
    </row>
    <row r="1101" spans="1:249" s="5" customFormat="1" ht="16.5">
      <c r="B1101" s="36" t="s">
        <v>312</v>
      </c>
      <c r="C1101" s="36"/>
      <c r="D1101" s="36"/>
      <c r="E1101" s="36"/>
      <c r="F1101" s="36"/>
      <c r="G1101" s="36"/>
      <c r="H1101" s="36"/>
      <c r="I1101" s="36"/>
      <c r="J1101" s="36"/>
      <c r="K1101" s="36"/>
      <c r="L1101" s="36"/>
      <c r="M1101" s="36"/>
      <c r="N1101" s="36"/>
      <c r="O1101" s="44"/>
      <c r="P1101" s="44"/>
      <c r="Q1101" s="129"/>
      <c r="R1101" s="129"/>
      <c r="S1101" s="129"/>
      <c r="T1101" s="129"/>
      <c r="U1101" s="127"/>
      <c r="V1101" s="127"/>
      <c r="W1101" s="127"/>
      <c r="X1101" s="127"/>
      <c r="Y1101" s="127"/>
      <c r="Z1101" s="127"/>
      <c r="AA1101" s="127"/>
      <c r="AB1101" s="127"/>
      <c r="AC1101" s="127"/>
      <c r="AD1101" s="127"/>
      <c r="AE1101" s="127"/>
      <c r="AF1101" s="127"/>
    </row>
    <row r="1102" spans="1:249" s="5" customFormat="1" ht="21.95" customHeight="1">
      <c r="B1102" s="36" t="s">
        <v>228</v>
      </c>
      <c r="C1102" s="36"/>
      <c r="D1102" s="36"/>
      <c r="E1102" s="36"/>
      <c r="F1102" s="36"/>
      <c r="G1102" s="36"/>
      <c r="H1102" s="36"/>
      <c r="I1102" s="36"/>
      <c r="J1102" s="36"/>
      <c r="K1102" s="36"/>
      <c r="L1102" s="36"/>
      <c r="M1102" s="36"/>
      <c r="N1102" s="36"/>
      <c r="O1102" s="44"/>
      <c r="P1102" s="44"/>
      <c r="Q1102" s="129"/>
      <c r="R1102" s="129"/>
      <c r="S1102" s="129"/>
      <c r="T1102" s="129"/>
      <c r="U1102" s="127"/>
      <c r="V1102" s="127"/>
      <c r="W1102" s="127"/>
      <c r="X1102" s="127"/>
      <c r="Y1102" s="127"/>
      <c r="Z1102" s="127"/>
      <c r="AA1102" s="127"/>
      <c r="AB1102" s="127"/>
      <c r="AC1102" s="127"/>
      <c r="AD1102" s="127"/>
      <c r="AE1102" s="127"/>
      <c r="AF1102" s="127"/>
    </row>
    <row r="1103" spans="1:249" s="5" customFormat="1" ht="24" customHeight="1">
      <c r="B1103" s="36" t="s">
        <v>290</v>
      </c>
      <c r="C1103" s="36"/>
      <c r="D1103" s="36"/>
      <c r="E1103" s="36"/>
      <c r="F1103" s="36"/>
      <c r="G1103" s="36"/>
      <c r="H1103" s="36"/>
      <c r="I1103" s="36"/>
      <c r="J1103" s="36"/>
      <c r="K1103" s="36"/>
      <c r="L1103" s="36"/>
      <c r="M1103" s="36"/>
      <c r="N1103" s="36"/>
      <c r="O1103" s="44"/>
      <c r="P1103" s="44"/>
      <c r="Q1103" s="44"/>
      <c r="R1103" s="44"/>
      <c r="S1103" s="44"/>
      <c r="T1103" s="44"/>
      <c r="U1103" s="44"/>
      <c r="V1103" s="44"/>
      <c r="W1103" s="44"/>
      <c r="X1103" s="44"/>
      <c r="Y1103" s="44"/>
      <c r="Z1103" s="44"/>
      <c r="AA1103" s="44"/>
      <c r="AB1103" s="44"/>
      <c r="AC1103" s="44"/>
      <c r="AD1103" s="1490"/>
      <c r="AE1103" s="1490"/>
      <c r="AF1103" s="1490"/>
      <c r="AG1103" s="1490"/>
      <c r="AH1103" s="1490"/>
      <c r="AI1103" s="1490"/>
      <c r="AJ1103" s="1490"/>
      <c r="AK1103" s="1490"/>
      <c r="AL1103" s="1490"/>
      <c r="AM1103" s="1490"/>
      <c r="AN1103" s="1490"/>
      <c r="AO1103" s="1490"/>
      <c r="AP1103" s="1490"/>
      <c r="AQ1103" s="1490"/>
      <c r="AR1103" s="1490"/>
      <c r="AS1103" s="1490"/>
      <c r="AT1103" s="1490"/>
      <c r="AU1103" s="1490"/>
      <c r="AV1103" s="1490"/>
      <c r="AW1103" s="1490"/>
      <c r="AX1103" s="1490"/>
      <c r="AY1103" s="1490"/>
      <c r="AZ1103" s="1490"/>
      <c r="BA1103" s="1490"/>
      <c r="BB1103" s="1490"/>
      <c r="BC1103" s="1490"/>
      <c r="BD1103" s="1490"/>
      <c r="BE1103" s="1490"/>
      <c r="BF1103" s="1490"/>
      <c r="BG1103" s="1490"/>
      <c r="BH1103" s="1490"/>
      <c r="BI1103" s="1490"/>
      <c r="BJ1103" s="1490"/>
      <c r="BK1103" s="1490"/>
      <c r="BL1103" s="1490"/>
      <c r="BM1103" s="1490"/>
      <c r="BN1103" s="1490"/>
      <c r="BO1103" s="1490"/>
      <c r="BP1103" s="1490"/>
      <c r="BQ1103" s="1490"/>
      <c r="BR1103" s="1490"/>
      <c r="BS1103" s="1490"/>
      <c r="BT1103" s="1490"/>
      <c r="BU1103" s="1490"/>
      <c r="BV1103" s="1490"/>
      <c r="BW1103" s="1490"/>
      <c r="BX1103" s="1490"/>
      <c r="BY1103" s="1490"/>
      <c r="BZ1103" s="1490"/>
      <c r="CA1103" s="1490"/>
      <c r="CB1103" s="1490"/>
      <c r="CC1103" s="1490"/>
      <c r="CD1103" s="1490"/>
      <c r="CE1103" s="1490"/>
      <c r="CF1103" s="1490"/>
      <c r="CG1103" s="1490"/>
      <c r="CH1103" s="1490"/>
      <c r="CI1103" s="1490"/>
      <c r="CJ1103" s="1490"/>
      <c r="CK1103" s="1490"/>
      <c r="CL1103" s="1490"/>
      <c r="CM1103" s="1490"/>
      <c r="CN1103" s="1490"/>
      <c r="CO1103" s="1490"/>
      <c r="CP1103" s="1490"/>
      <c r="CQ1103" s="1490"/>
      <c r="CR1103" s="1490"/>
      <c r="CS1103" s="1490"/>
      <c r="CT1103" s="1490"/>
      <c r="CU1103" s="1490"/>
      <c r="CV1103" s="1490"/>
      <c r="CW1103" s="1490"/>
      <c r="CX1103" s="1490"/>
      <c r="CY1103" s="1490"/>
      <c r="CZ1103" s="1490"/>
      <c r="DA1103" s="1490"/>
      <c r="DB1103" s="1490"/>
      <c r="DC1103" s="1490"/>
      <c r="DD1103" s="1490"/>
      <c r="DE1103" s="1490"/>
      <c r="DF1103" s="1490"/>
      <c r="DG1103" s="1490"/>
      <c r="DH1103" s="1490"/>
      <c r="DI1103" s="1490"/>
      <c r="DJ1103" s="1490"/>
      <c r="DK1103" s="1490"/>
      <c r="DL1103" s="1490"/>
      <c r="DM1103" s="1490"/>
      <c r="DN1103" s="1490"/>
      <c r="DO1103" s="1490"/>
      <c r="DP1103" s="1490"/>
      <c r="DQ1103" s="1490"/>
      <c r="DR1103" s="1490"/>
      <c r="DS1103" s="1490"/>
      <c r="DT1103" s="1490"/>
      <c r="DU1103" s="1490"/>
      <c r="DV1103" s="1490"/>
      <c r="DW1103" s="1490"/>
      <c r="DX1103" s="1490"/>
      <c r="DY1103" s="1490"/>
      <c r="DZ1103" s="1490"/>
      <c r="EA1103" s="1490"/>
      <c r="EB1103" s="1490"/>
      <c r="EC1103" s="1490"/>
      <c r="ED1103" s="1490"/>
      <c r="EE1103" s="1490"/>
      <c r="EF1103" s="1490"/>
      <c r="EG1103" s="1490"/>
      <c r="EH1103" s="1490"/>
      <c r="EI1103" s="1490"/>
      <c r="EJ1103" s="1490"/>
      <c r="EK1103" s="1490"/>
      <c r="EL1103" s="1490"/>
      <c r="EM1103" s="1490"/>
      <c r="EN1103" s="1490"/>
      <c r="EO1103" s="1490"/>
      <c r="EP1103" s="1490"/>
      <c r="EQ1103" s="1490"/>
      <c r="ER1103" s="1490"/>
      <c r="ES1103" s="1490"/>
      <c r="ET1103" s="1490"/>
      <c r="EU1103" s="1490"/>
      <c r="EV1103" s="1490"/>
      <c r="EW1103" s="1490"/>
      <c r="EX1103" s="1490"/>
      <c r="EY1103" s="1490"/>
      <c r="EZ1103" s="1490"/>
      <c r="FA1103" s="1490"/>
      <c r="FB1103" s="1490"/>
      <c r="FC1103" s="1490"/>
      <c r="FD1103" s="1490"/>
      <c r="FE1103" s="1490"/>
      <c r="FF1103" s="1490"/>
      <c r="FG1103" s="1490"/>
      <c r="FH1103" s="1490"/>
      <c r="FI1103" s="1490"/>
      <c r="FJ1103" s="1490"/>
      <c r="FK1103" s="1490"/>
      <c r="FL1103" s="1490"/>
      <c r="FM1103" s="1490"/>
      <c r="FN1103" s="1490"/>
      <c r="FO1103" s="1490"/>
      <c r="FP1103" s="1490"/>
      <c r="FQ1103" s="1490"/>
      <c r="FR1103" s="1490"/>
      <c r="FS1103" s="1490"/>
      <c r="FT1103" s="1490"/>
      <c r="FU1103" s="1490"/>
      <c r="FV1103" s="1490"/>
      <c r="FW1103" s="1490"/>
      <c r="FX1103" s="1490"/>
      <c r="FY1103" s="1490"/>
      <c r="FZ1103" s="1490"/>
      <c r="GA1103" s="1490"/>
      <c r="GB1103" s="1490"/>
      <c r="GC1103" s="1490"/>
      <c r="GD1103" s="1490"/>
      <c r="GE1103" s="1490"/>
      <c r="GF1103" s="1490"/>
      <c r="GG1103" s="1490"/>
      <c r="GH1103" s="1490"/>
      <c r="GI1103" s="1490"/>
      <c r="GJ1103" s="1490"/>
      <c r="GK1103" s="1490"/>
      <c r="GL1103" s="1490"/>
      <c r="GM1103" s="1490"/>
      <c r="GN1103" s="1490"/>
      <c r="GO1103" s="1490"/>
      <c r="GP1103" s="1490"/>
      <c r="GQ1103" s="1490"/>
      <c r="GR1103" s="1490"/>
      <c r="GS1103" s="1490"/>
      <c r="GT1103" s="1490"/>
      <c r="GU1103" s="1490"/>
      <c r="GV1103" s="1490"/>
      <c r="GW1103" s="1490"/>
      <c r="GX1103" s="1490"/>
      <c r="GY1103" s="1490"/>
      <c r="GZ1103" s="1490"/>
      <c r="HA1103" s="1490"/>
      <c r="HB1103" s="1490"/>
      <c r="HC1103" s="1490"/>
      <c r="HD1103" s="1490"/>
      <c r="HE1103" s="1490"/>
      <c r="HF1103" s="1490"/>
      <c r="HG1103" s="1490"/>
      <c r="HH1103" s="1490"/>
      <c r="HI1103" s="1490"/>
      <c r="HJ1103" s="1490"/>
      <c r="HK1103" s="1490"/>
      <c r="HL1103" s="1490"/>
      <c r="HM1103" s="1490"/>
      <c r="HN1103" s="1490"/>
      <c r="HO1103" s="1490"/>
      <c r="HP1103" s="1490"/>
      <c r="HQ1103" s="1490"/>
      <c r="HR1103" s="1490"/>
      <c r="HS1103" s="1490"/>
      <c r="HT1103" s="1490"/>
      <c r="HU1103" s="1490"/>
      <c r="HV1103" s="1490"/>
      <c r="HW1103" s="1490"/>
      <c r="HX1103" s="1490"/>
      <c r="HY1103" s="1490"/>
      <c r="HZ1103" s="1490"/>
      <c r="IA1103" s="1490"/>
      <c r="IB1103" s="1490"/>
      <c r="IC1103" s="1490"/>
      <c r="ID1103" s="1490"/>
      <c r="IE1103" s="1490"/>
      <c r="IF1103" s="1490"/>
      <c r="IG1103" s="1490"/>
      <c r="IH1103" s="1490"/>
      <c r="II1103" s="1490"/>
      <c r="IJ1103" s="1490"/>
      <c r="IK1103" s="1490"/>
      <c r="IL1103" s="1490"/>
      <c r="IM1103" s="1490"/>
      <c r="IN1103" s="1490"/>
      <c r="IO1103" s="44"/>
    </row>
    <row r="1104" spans="1:249" s="5" customFormat="1" ht="24" customHeight="1">
      <c r="A1104" s="45"/>
      <c r="B1104" s="46" t="s">
        <v>229</v>
      </c>
      <c r="C1104" s="46"/>
      <c r="D1104" s="46"/>
      <c r="E1104" s="46"/>
      <c r="F1104" s="46"/>
      <c r="G1104" s="46"/>
      <c r="H1104" s="46"/>
      <c r="I1104" s="46"/>
      <c r="J1104" s="46"/>
      <c r="K1104" s="46"/>
      <c r="L1104" s="46"/>
      <c r="M1104" s="46"/>
      <c r="N1104" s="46"/>
      <c r="O1104" s="47"/>
      <c r="P1104" s="47"/>
      <c r="Q1104" s="44"/>
      <c r="R1104" s="44"/>
      <c r="S1104" s="44"/>
      <c r="T1104" s="44"/>
      <c r="U1104" s="44"/>
      <c r="V1104" s="44"/>
      <c r="W1104" s="44"/>
      <c r="X1104" s="44"/>
      <c r="Y1104" s="44"/>
      <c r="Z1104" s="44"/>
      <c r="AA1104" s="44"/>
      <c r="AB1104" s="44"/>
      <c r="AC1104" s="44"/>
      <c r="AD1104" s="1490"/>
      <c r="AE1104" s="1490"/>
      <c r="AF1104" s="1490"/>
      <c r="AG1104" s="1490"/>
      <c r="AH1104" s="1490"/>
      <c r="AI1104" s="1490"/>
      <c r="AJ1104" s="1490"/>
      <c r="AK1104" s="1490"/>
      <c r="AL1104" s="1490"/>
      <c r="AM1104" s="1490"/>
      <c r="AN1104" s="1490"/>
      <c r="AO1104" s="1490"/>
      <c r="AP1104" s="1490"/>
      <c r="AQ1104" s="1490"/>
      <c r="AR1104" s="1490"/>
      <c r="AS1104" s="1490"/>
      <c r="AT1104" s="1490"/>
      <c r="AU1104" s="1490"/>
      <c r="AV1104" s="1490"/>
      <c r="AW1104" s="1490"/>
      <c r="AX1104" s="1490"/>
      <c r="AY1104" s="1490"/>
      <c r="AZ1104" s="1490"/>
      <c r="BA1104" s="1490"/>
      <c r="BB1104" s="1490"/>
      <c r="BC1104" s="1490"/>
      <c r="BD1104" s="1490"/>
      <c r="BE1104" s="1490"/>
      <c r="BF1104" s="1490"/>
      <c r="BG1104" s="1490"/>
      <c r="BH1104" s="1490"/>
      <c r="BI1104" s="1490"/>
      <c r="BJ1104" s="1490"/>
      <c r="BK1104" s="1490"/>
      <c r="BL1104" s="1490"/>
      <c r="BM1104" s="1490"/>
      <c r="BN1104" s="1490"/>
      <c r="BO1104" s="1490"/>
      <c r="BP1104" s="1490"/>
      <c r="BQ1104" s="1490"/>
      <c r="BR1104" s="1490"/>
      <c r="BS1104" s="1490"/>
      <c r="BT1104" s="1490"/>
      <c r="BU1104" s="1490"/>
      <c r="BV1104" s="1490"/>
      <c r="BW1104" s="1490"/>
      <c r="BX1104" s="1490"/>
      <c r="BY1104" s="1490"/>
      <c r="BZ1104" s="1490"/>
      <c r="CA1104" s="1490"/>
      <c r="CB1104" s="1490"/>
      <c r="CC1104" s="1490"/>
      <c r="CD1104" s="1490"/>
      <c r="CE1104" s="1490"/>
      <c r="CF1104" s="1490"/>
      <c r="CG1104" s="1490"/>
      <c r="CH1104" s="1490"/>
      <c r="CI1104" s="1490"/>
      <c r="CJ1104" s="1490"/>
      <c r="CK1104" s="1490"/>
      <c r="CL1104" s="1490"/>
      <c r="CM1104" s="1490"/>
      <c r="CN1104" s="1490"/>
      <c r="CO1104" s="1490"/>
      <c r="CP1104" s="1490"/>
      <c r="CQ1104" s="1490"/>
      <c r="CR1104" s="1490"/>
      <c r="CS1104" s="1490"/>
      <c r="CT1104" s="1490"/>
      <c r="CU1104" s="1490"/>
      <c r="CV1104" s="1490"/>
      <c r="CW1104" s="1490"/>
      <c r="CX1104" s="1490"/>
      <c r="CY1104" s="1490"/>
      <c r="CZ1104" s="1490"/>
      <c r="DA1104" s="1490"/>
      <c r="DB1104" s="1490"/>
      <c r="DC1104" s="1490"/>
      <c r="DD1104" s="1490"/>
      <c r="DE1104" s="1490"/>
      <c r="DF1104" s="1490"/>
      <c r="DG1104" s="1490"/>
      <c r="DH1104" s="1490"/>
      <c r="DI1104" s="1490"/>
      <c r="DJ1104" s="1490"/>
      <c r="DK1104" s="1490"/>
      <c r="DL1104" s="1490"/>
      <c r="DM1104" s="1490"/>
      <c r="DN1104" s="1490"/>
      <c r="DO1104" s="1490"/>
      <c r="DP1104" s="1490"/>
      <c r="DQ1104" s="1490"/>
      <c r="DR1104" s="1490"/>
      <c r="DS1104" s="1490"/>
      <c r="DT1104" s="1490"/>
      <c r="DU1104" s="1490"/>
      <c r="DV1104" s="1490"/>
      <c r="DW1104" s="1490"/>
      <c r="DX1104" s="1490"/>
      <c r="DY1104" s="1490"/>
      <c r="DZ1104" s="1490"/>
      <c r="EA1104" s="1490"/>
      <c r="EB1104" s="1490"/>
      <c r="EC1104" s="1490"/>
      <c r="ED1104" s="1490"/>
      <c r="EE1104" s="1490"/>
      <c r="EF1104" s="1490"/>
      <c r="EG1104" s="1490"/>
      <c r="EH1104" s="1490"/>
      <c r="EI1104" s="1490"/>
      <c r="EJ1104" s="1490"/>
      <c r="EK1104" s="1490"/>
      <c r="EL1104" s="1490"/>
      <c r="EM1104" s="1490"/>
      <c r="EN1104" s="1490"/>
      <c r="EO1104" s="1490"/>
      <c r="EP1104" s="1490"/>
      <c r="EQ1104" s="1490"/>
      <c r="ER1104" s="1490"/>
      <c r="ES1104" s="1490"/>
      <c r="ET1104" s="1490"/>
      <c r="EU1104" s="1490"/>
      <c r="EV1104" s="1490"/>
      <c r="EW1104" s="1490"/>
      <c r="EX1104" s="1490"/>
      <c r="EY1104" s="1490"/>
      <c r="EZ1104" s="1490"/>
      <c r="FA1104" s="1490"/>
      <c r="FB1104" s="1490"/>
      <c r="FC1104" s="1490"/>
      <c r="FD1104" s="1490"/>
      <c r="FE1104" s="1490"/>
      <c r="FF1104" s="1490"/>
      <c r="FG1104" s="1490"/>
      <c r="FH1104" s="1490"/>
      <c r="FI1104" s="1490"/>
      <c r="FJ1104" s="1490"/>
      <c r="FK1104" s="1490"/>
      <c r="FL1104" s="1490"/>
      <c r="FM1104" s="1490"/>
      <c r="FN1104" s="1490"/>
      <c r="FO1104" s="1490"/>
      <c r="FP1104" s="1490"/>
      <c r="FQ1104" s="1490"/>
      <c r="FR1104" s="1490"/>
      <c r="FS1104" s="1490"/>
      <c r="FT1104" s="1490"/>
      <c r="FU1104" s="1490"/>
      <c r="FV1104" s="1490"/>
      <c r="FW1104" s="1490"/>
      <c r="FX1104" s="1490"/>
      <c r="FY1104" s="1490"/>
      <c r="FZ1104" s="1490"/>
      <c r="GA1104" s="1490"/>
      <c r="GB1104" s="1490"/>
      <c r="GC1104" s="1490"/>
      <c r="GD1104" s="1490"/>
      <c r="GE1104" s="1490"/>
      <c r="GF1104" s="1490"/>
      <c r="GG1104" s="1490"/>
      <c r="GH1104" s="1490"/>
      <c r="GI1104" s="1490"/>
      <c r="GJ1104" s="1490"/>
      <c r="GK1104" s="1490"/>
      <c r="GL1104" s="1490"/>
      <c r="GM1104" s="1490"/>
      <c r="GN1104" s="1490"/>
      <c r="GO1104" s="1490"/>
      <c r="GP1104" s="1490"/>
      <c r="GQ1104" s="1490"/>
      <c r="GR1104" s="1490"/>
      <c r="GS1104" s="1490"/>
      <c r="GT1104" s="1490"/>
      <c r="GU1104" s="1490"/>
      <c r="GV1104" s="1490"/>
      <c r="GW1104" s="1490"/>
      <c r="GX1104" s="1490"/>
      <c r="GY1104" s="1490"/>
      <c r="GZ1104" s="1490"/>
      <c r="HA1104" s="1490"/>
      <c r="HB1104" s="1490"/>
      <c r="HC1104" s="1490"/>
      <c r="HD1104" s="1490"/>
      <c r="HE1104" s="1490"/>
      <c r="HF1104" s="1490"/>
      <c r="HG1104" s="1490"/>
      <c r="HH1104" s="1490"/>
      <c r="HI1104" s="1490"/>
      <c r="HJ1104" s="1490"/>
      <c r="HK1104" s="1490"/>
      <c r="HL1104" s="1490"/>
      <c r="HM1104" s="1490"/>
      <c r="HN1104" s="1490"/>
      <c r="HO1104" s="1490"/>
      <c r="HP1104" s="1490"/>
      <c r="HQ1104" s="1490"/>
      <c r="HR1104" s="1490"/>
      <c r="HS1104" s="1490"/>
      <c r="HT1104" s="1490"/>
      <c r="HU1104" s="1490"/>
      <c r="HV1104" s="1490"/>
      <c r="HW1104" s="1490"/>
      <c r="HX1104" s="1490"/>
      <c r="HY1104" s="1490"/>
      <c r="HZ1104" s="1490"/>
      <c r="IA1104" s="1490"/>
      <c r="IB1104" s="1490"/>
      <c r="IC1104" s="1490"/>
      <c r="ID1104" s="1490"/>
      <c r="IE1104" s="1490"/>
      <c r="IF1104" s="1490"/>
      <c r="IG1104" s="1490"/>
      <c r="IH1104" s="1490"/>
      <c r="II1104" s="1490"/>
      <c r="IJ1104" s="1490"/>
      <c r="IK1104" s="1490"/>
      <c r="IL1104" s="1490"/>
      <c r="IM1104" s="1490"/>
      <c r="IN1104" s="1490"/>
      <c r="IO1104" s="44"/>
    </row>
    <row r="1105" spans="1:249" s="5" customFormat="1" ht="24" customHeight="1">
      <c r="A1105" s="1490" t="s">
        <v>231</v>
      </c>
      <c r="B1105" s="1490"/>
      <c r="C1105" s="1490"/>
      <c r="D1105" s="1490"/>
      <c r="E1105" s="1490"/>
      <c r="F1105" s="1490"/>
      <c r="G1105" s="1490"/>
      <c r="H1105" s="1490"/>
      <c r="I1105" s="1490"/>
      <c r="J1105" s="1490"/>
      <c r="K1105" s="1490"/>
      <c r="L1105" s="1490"/>
      <c r="M1105" s="1490"/>
      <c r="N1105" s="1490"/>
      <c r="O1105" s="44"/>
      <c r="P1105" s="44"/>
      <c r="Q1105" s="102"/>
      <c r="R1105" s="102"/>
      <c r="S1105" s="102"/>
      <c r="T1105" s="102"/>
      <c r="U1105" s="44"/>
      <c r="V1105" s="44"/>
      <c r="W1105" s="44"/>
      <c r="X1105" s="44"/>
      <c r="Y1105" s="44"/>
      <c r="Z1105" s="44"/>
      <c r="AA1105" s="44"/>
      <c r="AB1105" s="44"/>
      <c r="AC1105" s="44"/>
      <c r="AD1105" s="44"/>
      <c r="AE1105" s="44"/>
      <c r="AF1105" s="44"/>
      <c r="AG1105" s="44"/>
      <c r="AH1105" s="44"/>
      <c r="AI1105" s="44"/>
      <c r="AJ1105" s="44"/>
      <c r="AK1105" s="44"/>
      <c r="AL1105" s="44"/>
      <c r="AM1105" s="44"/>
      <c r="AN1105" s="44"/>
      <c r="AO1105" s="44"/>
      <c r="AP1105" s="44"/>
      <c r="AQ1105" s="44"/>
      <c r="AR1105" s="44"/>
      <c r="AS1105" s="44"/>
      <c r="AT1105" s="44"/>
      <c r="AU1105" s="44"/>
      <c r="AV1105" s="44"/>
      <c r="AW1105" s="44"/>
      <c r="AX1105" s="44"/>
      <c r="AY1105" s="44"/>
      <c r="AZ1105" s="44"/>
      <c r="BA1105" s="44"/>
      <c r="BB1105" s="44"/>
      <c r="BC1105" s="44"/>
      <c r="BD1105" s="44"/>
      <c r="BE1105" s="44"/>
      <c r="BF1105" s="44"/>
      <c r="BG1105" s="44"/>
      <c r="BH1105" s="44"/>
      <c r="BI1105" s="44"/>
      <c r="BJ1105" s="44"/>
      <c r="BK1105" s="44"/>
      <c r="BL1105" s="44"/>
      <c r="BM1105" s="44"/>
      <c r="BN1105" s="44"/>
      <c r="BO1105" s="44"/>
      <c r="BP1105" s="44"/>
      <c r="BQ1105" s="44"/>
      <c r="BR1105" s="44"/>
      <c r="BS1105" s="44"/>
      <c r="BT1105" s="44"/>
      <c r="BU1105" s="44"/>
      <c r="BV1105" s="44"/>
      <c r="BW1105" s="44"/>
      <c r="BX1105" s="44"/>
      <c r="BY1105" s="44"/>
      <c r="BZ1105" s="44"/>
      <c r="CA1105" s="44"/>
      <c r="CB1105" s="44"/>
      <c r="CC1105" s="44"/>
      <c r="CD1105" s="44"/>
      <c r="CE1105" s="44"/>
      <c r="CF1105" s="44"/>
      <c r="CG1105" s="44"/>
      <c r="CH1105" s="44"/>
      <c r="CI1105" s="44"/>
      <c r="CJ1105" s="44"/>
      <c r="CK1105" s="44"/>
      <c r="CL1105" s="44"/>
      <c r="CM1105" s="44"/>
      <c r="CN1105" s="44"/>
      <c r="CO1105" s="44"/>
      <c r="CP1105" s="44"/>
      <c r="CQ1105" s="44"/>
      <c r="CR1105" s="44"/>
      <c r="CS1105" s="44"/>
      <c r="CT1105" s="44"/>
      <c r="CU1105" s="44"/>
      <c r="CV1105" s="44"/>
      <c r="CW1105" s="44"/>
      <c r="CX1105" s="44"/>
      <c r="CY1105" s="44"/>
      <c r="CZ1105" s="44"/>
      <c r="DA1105" s="44"/>
      <c r="DB1105" s="44"/>
      <c r="DC1105" s="44"/>
      <c r="DD1105" s="44"/>
      <c r="DE1105" s="44"/>
      <c r="DF1105" s="44"/>
      <c r="DG1105" s="44"/>
      <c r="DH1105" s="44"/>
      <c r="DI1105" s="44"/>
      <c r="DJ1105" s="44"/>
      <c r="DK1105" s="44"/>
      <c r="DL1105" s="44"/>
      <c r="DM1105" s="44"/>
      <c r="DN1105" s="44"/>
      <c r="DO1105" s="44"/>
      <c r="DP1105" s="44"/>
      <c r="DQ1105" s="44"/>
      <c r="DR1105" s="44"/>
      <c r="DS1105" s="44"/>
      <c r="DT1105" s="44"/>
      <c r="DU1105" s="44"/>
      <c r="DV1105" s="44"/>
      <c r="DW1105" s="44"/>
      <c r="DX1105" s="44"/>
      <c r="DY1105" s="44"/>
      <c r="DZ1105" s="44"/>
      <c r="EA1105" s="44"/>
      <c r="EB1105" s="44"/>
      <c r="EC1105" s="44"/>
      <c r="ED1105" s="44"/>
      <c r="EE1105" s="44"/>
      <c r="EF1105" s="44"/>
      <c r="EG1105" s="44"/>
      <c r="EH1105" s="44"/>
      <c r="EI1105" s="44"/>
      <c r="EJ1105" s="44"/>
      <c r="EK1105" s="44"/>
      <c r="EL1105" s="44"/>
      <c r="EM1105" s="44"/>
      <c r="EN1105" s="44"/>
      <c r="EO1105" s="44"/>
      <c r="EP1105" s="44"/>
      <c r="EQ1105" s="44"/>
      <c r="ER1105" s="44"/>
      <c r="ES1105" s="44"/>
      <c r="ET1105" s="44"/>
      <c r="EU1105" s="44"/>
      <c r="EV1105" s="44"/>
      <c r="EW1105" s="44"/>
      <c r="EX1105" s="44"/>
      <c r="EY1105" s="44"/>
      <c r="EZ1105" s="44"/>
      <c r="FA1105" s="44"/>
      <c r="FB1105" s="44"/>
      <c r="FC1105" s="44"/>
      <c r="FD1105" s="44"/>
      <c r="FE1105" s="44"/>
      <c r="FF1105" s="44"/>
      <c r="FG1105" s="44"/>
      <c r="FH1105" s="44"/>
      <c r="FI1105" s="44"/>
      <c r="FJ1105" s="44"/>
      <c r="FK1105" s="44"/>
      <c r="FL1105" s="44"/>
      <c r="FM1105" s="44"/>
      <c r="FN1105" s="44"/>
      <c r="FO1105" s="44"/>
      <c r="FP1105" s="44"/>
      <c r="FQ1105" s="44"/>
      <c r="FR1105" s="44"/>
      <c r="FS1105" s="44"/>
      <c r="FT1105" s="44"/>
      <c r="FU1105" s="44"/>
      <c r="FV1105" s="44"/>
      <c r="FW1105" s="44"/>
      <c r="FX1105" s="44"/>
      <c r="FY1105" s="44"/>
      <c r="FZ1105" s="44"/>
      <c r="GA1105" s="44"/>
      <c r="GB1105" s="44"/>
      <c r="GC1105" s="44"/>
      <c r="GD1105" s="44"/>
      <c r="GE1105" s="44"/>
      <c r="GF1105" s="44"/>
      <c r="GG1105" s="44"/>
      <c r="GH1105" s="44"/>
      <c r="GI1105" s="44"/>
      <c r="GJ1105" s="44"/>
      <c r="GK1105" s="44"/>
      <c r="GL1105" s="44"/>
      <c r="GM1105" s="44"/>
      <c r="GN1105" s="44"/>
      <c r="GO1105" s="44"/>
      <c r="GP1105" s="44"/>
      <c r="GQ1105" s="44"/>
      <c r="GR1105" s="44"/>
      <c r="GS1105" s="44"/>
      <c r="GT1105" s="44"/>
      <c r="GU1105" s="44"/>
      <c r="GV1105" s="44"/>
      <c r="GW1105" s="44"/>
      <c r="GX1105" s="44"/>
      <c r="GY1105" s="44"/>
      <c r="GZ1105" s="44"/>
      <c r="HA1105" s="44"/>
      <c r="HB1105" s="44"/>
      <c r="HC1105" s="44"/>
      <c r="HD1105" s="44"/>
      <c r="HE1105" s="44"/>
      <c r="HF1105" s="44"/>
      <c r="HG1105" s="44"/>
      <c r="HH1105" s="44"/>
      <c r="HI1105" s="44"/>
      <c r="HJ1105" s="44"/>
      <c r="HK1105" s="44"/>
      <c r="HL1105" s="44"/>
      <c r="HM1105" s="44"/>
      <c r="HN1105" s="44"/>
      <c r="HO1105" s="44"/>
      <c r="HP1105" s="44"/>
      <c r="HQ1105" s="44"/>
      <c r="HR1105" s="44"/>
      <c r="HS1105" s="44"/>
      <c r="HT1105" s="44"/>
      <c r="HU1105" s="44"/>
      <c r="HV1105" s="44"/>
      <c r="HW1105" s="44"/>
      <c r="HX1105" s="44"/>
      <c r="HY1105" s="44"/>
      <c r="HZ1105" s="44"/>
      <c r="IA1105" s="44"/>
      <c r="IB1105" s="44"/>
      <c r="IC1105" s="44"/>
      <c r="ID1105" s="44"/>
      <c r="IE1105" s="44"/>
      <c r="IF1105" s="44"/>
      <c r="IG1105" s="44"/>
      <c r="IH1105" s="44"/>
      <c r="II1105" s="44"/>
      <c r="IJ1105" s="44"/>
      <c r="IK1105" s="44"/>
      <c r="IL1105" s="44"/>
      <c r="IM1105" s="44"/>
      <c r="IN1105" s="44"/>
      <c r="IO1105" s="44"/>
    </row>
    <row r="1106" spans="1:249" s="45" customFormat="1" ht="21.95" customHeight="1">
      <c r="A1106" s="1495" t="s">
        <v>232</v>
      </c>
      <c r="B1106" s="1495"/>
      <c r="C1106" s="1495"/>
      <c r="D1106" s="1495"/>
      <c r="E1106" s="1495"/>
      <c r="F1106" s="1495"/>
      <c r="G1106" s="1495"/>
      <c r="H1106" s="1495"/>
      <c r="I1106" s="1495"/>
      <c r="J1106" s="1495"/>
      <c r="K1106" s="1495"/>
      <c r="L1106" s="1495"/>
      <c r="M1106" s="1495"/>
      <c r="N1106" s="1495"/>
      <c r="O1106" s="44"/>
      <c r="P1106" s="44"/>
      <c r="Q1106" s="103"/>
      <c r="R1106" s="103"/>
      <c r="S1106" s="103"/>
      <c r="T1106" s="103"/>
      <c r="U1106" s="47"/>
      <c r="V1106" s="47"/>
      <c r="W1106" s="47"/>
      <c r="X1106" s="47"/>
      <c r="Y1106" s="47"/>
      <c r="Z1106" s="47"/>
      <c r="AA1106" s="47"/>
      <c r="AB1106" s="47"/>
      <c r="AC1106" s="47"/>
      <c r="AD1106" s="47"/>
      <c r="AE1106" s="47"/>
      <c r="AF1106" s="47"/>
      <c r="AG1106" s="47"/>
      <c r="AH1106" s="47"/>
      <c r="AI1106" s="47"/>
      <c r="AJ1106" s="47"/>
      <c r="AK1106" s="47"/>
      <c r="AL1106" s="47"/>
      <c r="AM1106" s="47"/>
      <c r="AN1106" s="47"/>
      <c r="AO1106" s="47"/>
      <c r="AP1106" s="47"/>
      <c r="AQ1106" s="47"/>
      <c r="AR1106" s="47"/>
      <c r="AS1106" s="47"/>
      <c r="AT1106" s="47"/>
      <c r="AU1106" s="47"/>
      <c r="AV1106" s="47"/>
      <c r="AW1106" s="47"/>
      <c r="AX1106" s="47"/>
      <c r="AY1106" s="47"/>
      <c r="AZ1106" s="47"/>
      <c r="BA1106" s="47"/>
      <c r="BB1106" s="47"/>
      <c r="BC1106" s="47"/>
      <c r="BD1106" s="47"/>
      <c r="BE1106" s="47"/>
      <c r="BF1106" s="47"/>
      <c r="BG1106" s="47"/>
      <c r="BH1106" s="47"/>
      <c r="BI1106" s="47"/>
      <c r="BJ1106" s="47"/>
      <c r="BK1106" s="47"/>
      <c r="BL1106" s="47"/>
      <c r="BM1106" s="47"/>
      <c r="BN1106" s="47"/>
      <c r="BO1106" s="47"/>
      <c r="BP1106" s="47"/>
      <c r="BQ1106" s="47"/>
      <c r="BR1106" s="47"/>
      <c r="BS1106" s="47"/>
      <c r="BT1106" s="47"/>
      <c r="BU1106" s="47"/>
      <c r="BV1106" s="47"/>
      <c r="BW1106" s="47"/>
      <c r="BX1106" s="47"/>
      <c r="BY1106" s="47"/>
      <c r="BZ1106" s="47"/>
      <c r="CA1106" s="47"/>
      <c r="CB1106" s="47"/>
      <c r="CC1106" s="47"/>
      <c r="CD1106" s="47"/>
      <c r="CE1106" s="47"/>
      <c r="CF1106" s="47"/>
      <c r="CG1106" s="47"/>
      <c r="CH1106" s="47"/>
      <c r="CI1106" s="47"/>
      <c r="CJ1106" s="47"/>
      <c r="CK1106" s="47"/>
      <c r="CL1106" s="47"/>
      <c r="CM1106" s="47"/>
      <c r="CN1106" s="47"/>
      <c r="CO1106" s="47"/>
      <c r="CP1106" s="47"/>
      <c r="CQ1106" s="47"/>
      <c r="CR1106" s="47"/>
      <c r="CS1106" s="47"/>
      <c r="CT1106" s="47"/>
      <c r="CU1106" s="47"/>
      <c r="CV1106" s="47"/>
      <c r="CW1106" s="47"/>
      <c r="CX1106" s="47"/>
      <c r="CY1106" s="47"/>
      <c r="CZ1106" s="47"/>
      <c r="DA1106" s="47"/>
      <c r="DB1106" s="47"/>
      <c r="DC1106" s="47"/>
      <c r="DD1106" s="47"/>
      <c r="DE1106" s="47"/>
      <c r="DF1106" s="47"/>
      <c r="DG1106" s="47"/>
      <c r="DH1106" s="47"/>
      <c r="DI1106" s="47"/>
      <c r="DJ1106" s="47"/>
      <c r="DK1106" s="47"/>
      <c r="DL1106" s="47"/>
      <c r="DM1106" s="47"/>
      <c r="DN1106" s="47"/>
      <c r="DO1106" s="47"/>
      <c r="DP1106" s="47"/>
      <c r="DQ1106" s="47"/>
      <c r="DR1106" s="47"/>
      <c r="DS1106" s="47"/>
      <c r="DT1106" s="47"/>
      <c r="DU1106" s="47"/>
      <c r="DV1106" s="47"/>
      <c r="DW1106" s="47"/>
      <c r="DX1106" s="47"/>
      <c r="DY1106" s="47"/>
      <c r="DZ1106" s="47"/>
      <c r="EA1106" s="47"/>
      <c r="EB1106" s="47"/>
      <c r="EC1106" s="47"/>
      <c r="ED1106" s="47"/>
      <c r="EE1106" s="47"/>
      <c r="EF1106" s="47"/>
      <c r="EG1106" s="47"/>
      <c r="EH1106" s="47"/>
      <c r="EI1106" s="47"/>
      <c r="EJ1106" s="47"/>
      <c r="EK1106" s="47"/>
      <c r="EL1106" s="47"/>
      <c r="EM1106" s="47"/>
      <c r="EN1106" s="47"/>
      <c r="EO1106" s="47"/>
      <c r="EP1106" s="47"/>
      <c r="EQ1106" s="47"/>
      <c r="ER1106" s="47"/>
      <c r="ES1106" s="47"/>
      <c r="ET1106" s="47"/>
      <c r="EU1106" s="47"/>
      <c r="EV1106" s="47"/>
      <c r="EW1106" s="47"/>
      <c r="EX1106" s="47"/>
      <c r="EY1106" s="47"/>
      <c r="EZ1106" s="47"/>
      <c r="FA1106" s="47"/>
      <c r="FB1106" s="47"/>
      <c r="FC1106" s="47"/>
      <c r="FD1106" s="47"/>
      <c r="FE1106" s="47"/>
      <c r="FF1106" s="47"/>
      <c r="FG1106" s="47"/>
      <c r="FH1106" s="47"/>
      <c r="FI1106" s="47"/>
      <c r="FJ1106" s="47"/>
      <c r="FK1106" s="47"/>
      <c r="FL1106" s="47"/>
      <c r="FM1106" s="47"/>
      <c r="FN1106" s="47"/>
      <c r="FO1106" s="47"/>
      <c r="FP1106" s="47"/>
      <c r="FQ1106" s="47"/>
      <c r="FR1106" s="47"/>
      <c r="FS1106" s="47"/>
      <c r="FT1106" s="47"/>
      <c r="FU1106" s="47"/>
      <c r="FV1106" s="47"/>
      <c r="FW1106" s="47"/>
      <c r="FX1106" s="47"/>
      <c r="FY1106" s="47"/>
      <c r="FZ1106" s="47"/>
      <c r="GA1106" s="47"/>
      <c r="GB1106" s="47"/>
      <c r="GC1106" s="47"/>
      <c r="GD1106" s="47"/>
      <c r="GE1106" s="47"/>
      <c r="GF1106" s="47"/>
      <c r="GG1106" s="47"/>
      <c r="GH1106" s="47"/>
      <c r="GI1106" s="47"/>
      <c r="GJ1106" s="47"/>
      <c r="GK1106" s="47"/>
      <c r="GL1106" s="47"/>
      <c r="GM1106" s="47"/>
      <c r="GN1106" s="47"/>
      <c r="GO1106" s="47"/>
      <c r="GP1106" s="47"/>
      <c r="GQ1106" s="47"/>
      <c r="GR1106" s="47"/>
      <c r="GS1106" s="47"/>
      <c r="GT1106" s="47"/>
      <c r="GU1106" s="47"/>
      <c r="GV1106" s="47"/>
      <c r="GW1106" s="47"/>
      <c r="GX1106" s="47"/>
      <c r="GY1106" s="47"/>
      <c r="GZ1106" s="47"/>
      <c r="HA1106" s="47"/>
      <c r="HB1106" s="47"/>
      <c r="HC1106" s="47"/>
      <c r="HD1106" s="47"/>
      <c r="HE1106" s="47"/>
      <c r="HF1106" s="47"/>
      <c r="HG1106" s="47"/>
      <c r="HH1106" s="47"/>
      <c r="HI1106" s="47"/>
      <c r="HJ1106" s="47"/>
      <c r="HK1106" s="47"/>
      <c r="HL1106" s="47"/>
      <c r="HM1106" s="47"/>
      <c r="HN1106" s="47"/>
      <c r="HO1106" s="47"/>
      <c r="HP1106" s="47"/>
      <c r="HQ1106" s="47"/>
      <c r="HR1106" s="47"/>
      <c r="HS1106" s="47"/>
      <c r="HT1106" s="47"/>
      <c r="HU1106" s="47"/>
      <c r="HV1106" s="47"/>
      <c r="HW1106" s="47"/>
      <c r="HX1106" s="47"/>
      <c r="HY1106" s="47"/>
      <c r="HZ1106" s="47"/>
      <c r="IA1106" s="47"/>
      <c r="IB1106" s="47"/>
      <c r="IC1106" s="47"/>
      <c r="ID1106" s="47"/>
      <c r="IE1106" s="47"/>
      <c r="IF1106" s="47"/>
      <c r="IG1106" s="47"/>
      <c r="IH1106" s="47"/>
      <c r="II1106" s="47"/>
      <c r="IJ1106" s="47"/>
      <c r="IK1106" s="47"/>
      <c r="IL1106" s="47"/>
      <c r="IM1106" s="47"/>
      <c r="IN1106" s="47"/>
    </row>
    <row r="1107" spans="1:249" s="5" customFormat="1" ht="21.95" customHeight="1">
      <c r="A1107" s="1495" t="s">
        <v>233</v>
      </c>
      <c r="B1107" s="1495"/>
      <c r="C1107" s="1495"/>
      <c r="D1107" s="1495"/>
      <c r="E1107" s="1495"/>
      <c r="F1107" s="1495"/>
      <c r="G1107" s="1495"/>
      <c r="H1107" s="1495"/>
      <c r="I1107" s="1495"/>
      <c r="J1107" s="1495"/>
      <c r="K1107" s="1495"/>
      <c r="L1107" s="1495"/>
      <c r="M1107" s="1495"/>
      <c r="N1107" s="1495"/>
      <c r="Q1107" s="44"/>
      <c r="R1107" s="44"/>
      <c r="S1107" s="44"/>
      <c r="T1107" s="44"/>
      <c r="U1107" s="44"/>
      <c r="V1107" s="44"/>
      <c r="W1107" s="44"/>
      <c r="X1107" s="44"/>
      <c r="Y1107" s="44"/>
      <c r="Z1107" s="44"/>
      <c r="AA1107" s="44"/>
      <c r="AB1107" s="44"/>
      <c r="AC1107" s="44"/>
      <c r="AD1107" s="1490"/>
      <c r="AE1107" s="1490"/>
      <c r="AF1107" s="1490"/>
      <c r="AG1107" s="1490"/>
      <c r="AH1107" s="1490"/>
      <c r="AI1107" s="1490"/>
      <c r="AJ1107" s="1490"/>
      <c r="AK1107" s="1490"/>
      <c r="AL1107" s="1490"/>
      <c r="AM1107" s="1490"/>
      <c r="AN1107" s="1490"/>
      <c r="AO1107" s="1490"/>
      <c r="AP1107" s="1490"/>
      <c r="AQ1107" s="1490"/>
      <c r="AR1107" s="1490"/>
      <c r="AS1107" s="1490"/>
      <c r="AT1107" s="1490"/>
      <c r="AU1107" s="1490"/>
      <c r="AV1107" s="1490"/>
      <c r="AW1107" s="1490"/>
      <c r="AX1107" s="1490"/>
      <c r="AY1107" s="1490"/>
      <c r="AZ1107" s="1490"/>
      <c r="BA1107" s="1490"/>
      <c r="BB1107" s="1490"/>
      <c r="BC1107" s="1490"/>
      <c r="BD1107" s="1490"/>
      <c r="BE1107" s="1490"/>
      <c r="BF1107" s="1490"/>
      <c r="BG1107" s="1490"/>
      <c r="BH1107" s="1490"/>
      <c r="BI1107" s="1490"/>
      <c r="BJ1107" s="1490"/>
      <c r="BK1107" s="1490"/>
      <c r="BL1107" s="1490"/>
      <c r="BM1107" s="1490"/>
      <c r="BN1107" s="1490"/>
      <c r="BO1107" s="1490"/>
      <c r="BP1107" s="1490"/>
      <c r="BQ1107" s="1490"/>
      <c r="BR1107" s="1490"/>
      <c r="BS1107" s="1490"/>
      <c r="BT1107" s="1490"/>
      <c r="BU1107" s="1490"/>
      <c r="BV1107" s="1490"/>
      <c r="BW1107" s="1490"/>
      <c r="BX1107" s="1490"/>
      <c r="BY1107" s="1490"/>
      <c r="BZ1107" s="1490"/>
      <c r="CA1107" s="1490"/>
      <c r="CB1107" s="1490"/>
      <c r="CC1107" s="1490"/>
      <c r="CD1107" s="1490"/>
      <c r="CE1107" s="1490"/>
      <c r="CF1107" s="1490"/>
      <c r="CG1107" s="1490"/>
      <c r="CH1107" s="1490"/>
      <c r="CI1107" s="1490"/>
      <c r="CJ1107" s="1490"/>
      <c r="CK1107" s="1490"/>
      <c r="CL1107" s="1490"/>
      <c r="CM1107" s="1490"/>
      <c r="CN1107" s="1490"/>
      <c r="CO1107" s="1490"/>
      <c r="CP1107" s="1490"/>
      <c r="CQ1107" s="1490"/>
      <c r="CR1107" s="1490"/>
      <c r="CS1107" s="1490"/>
      <c r="CT1107" s="1490"/>
      <c r="CU1107" s="1490"/>
      <c r="CV1107" s="1490"/>
      <c r="CW1107" s="1490"/>
      <c r="CX1107" s="1490"/>
      <c r="CY1107" s="1490"/>
      <c r="CZ1107" s="1490"/>
      <c r="DA1107" s="1490"/>
      <c r="DB1107" s="1490"/>
      <c r="DC1107" s="1490"/>
      <c r="DD1107" s="1490"/>
      <c r="DE1107" s="1490"/>
      <c r="DF1107" s="1490"/>
      <c r="DG1107" s="1490"/>
      <c r="DH1107" s="1490"/>
      <c r="DI1107" s="1490"/>
      <c r="DJ1107" s="1490"/>
      <c r="DK1107" s="1490"/>
      <c r="DL1107" s="1490"/>
      <c r="DM1107" s="1490"/>
      <c r="DN1107" s="1490"/>
      <c r="DO1107" s="1490"/>
      <c r="DP1107" s="1490"/>
      <c r="DQ1107" s="1490"/>
      <c r="DR1107" s="1490"/>
      <c r="DS1107" s="1490"/>
      <c r="DT1107" s="1490"/>
      <c r="DU1107" s="1490"/>
      <c r="DV1107" s="1490"/>
      <c r="DW1107" s="1490"/>
      <c r="DX1107" s="1490"/>
      <c r="DY1107" s="1490"/>
      <c r="DZ1107" s="1490"/>
      <c r="EA1107" s="1490"/>
      <c r="EB1107" s="1490"/>
      <c r="EC1107" s="1490"/>
      <c r="ED1107" s="1490"/>
      <c r="EE1107" s="1490"/>
      <c r="EF1107" s="1490"/>
      <c r="EG1107" s="1490"/>
      <c r="EH1107" s="1490"/>
      <c r="EI1107" s="1490"/>
      <c r="EJ1107" s="1490"/>
      <c r="EK1107" s="1490"/>
      <c r="EL1107" s="1490"/>
      <c r="EM1107" s="1490"/>
      <c r="EN1107" s="1490"/>
      <c r="EO1107" s="1490"/>
      <c r="EP1107" s="1490"/>
      <c r="EQ1107" s="1490"/>
      <c r="ER1107" s="1490"/>
      <c r="ES1107" s="1490"/>
      <c r="ET1107" s="1490"/>
      <c r="EU1107" s="1490"/>
      <c r="EV1107" s="1490"/>
      <c r="EW1107" s="1490"/>
      <c r="EX1107" s="1490"/>
      <c r="EY1107" s="1490"/>
      <c r="EZ1107" s="1490"/>
      <c r="FA1107" s="1490"/>
      <c r="FB1107" s="1490"/>
      <c r="FC1107" s="1490"/>
      <c r="FD1107" s="1490"/>
      <c r="FE1107" s="1490"/>
      <c r="FF1107" s="1490"/>
      <c r="FG1107" s="1490"/>
      <c r="FH1107" s="1490"/>
      <c r="FI1107" s="1490"/>
      <c r="FJ1107" s="1490"/>
      <c r="FK1107" s="1490"/>
      <c r="FL1107" s="1490"/>
      <c r="FM1107" s="1490"/>
      <c r="FN1107" s="1490"/>
      <c r="FO1107" s="1490"/>
      <c r="FP1107" s="1490"/>
      <c r="FQ1107" s="1490"/>
      <c r="FR1107" s="1490"/>
      <c r="FS1107" s="1490"/>
      <c r="FT1107" s="1490"/>
      <c r="FU1107" s="1490"/>
      <c r="FV1107" s="1490"/>
      <c r="FW1107" s="1490"/>
      <c r="FX1107" s="1490"/>
      <c r="FY1107" s="1490"/>
      <c r="FZ1107" s="1490"/>
      <c r="GA1107" s="1490"/>
      <c r="GB1107" s="1490"/>
      <c r="GC1107" s="1490"/>
      <c r="GD1107" s="1490"/>
      <c r="GE1107" s="1490"/>
      <c r="GF1107" s="1490"/>
      <c r="GG1107" s="1490"/>
      <c r="GH1107" s="1490"/>
      <c r="GI1107" s="1490"/>
      <c r="GJ1107" s="1490"/>
      <c r="GK1107" s="1490"/>
      <c r="GL1107" s="1490"/>
      <c r="GM1107" s="1490"/>
      <c r="GN1107" s="1490"/>
      <c r="GO1107" s="1490"/>
      <c r="GP1107" s="1490"/>
      <c r="GQ1107" s="1490"/>
      <c r="GR1107" s="1490"/>
      <c r="GS1107" s="1490"/>
      <c r="GT1107" s="1490"/>
      <c r="GU1107" s="1490"/>
      <c r="GV1107" s="1490"/>
      <c r="GW1107" s="1490"/>
      <c r="GX1107" s="1490"/>
      <c r="GY1107" s="1490"/>
      <c r="GZ1107" s="1490"/>
      <c r="HA1107" s="1490"/>
      <c r="HB1107" s="1490"/>
      <c r="HC1107" s="1490"/>
      <c r="HD1107" s="1490"/>
      <c r="HE1107" s="1490"/>
      <c r="HF1107" s="1490"/>
      <c r="HG1107" s="1490"/>
      <c r="HH1107" s="1490"/>
      <c r="HI1107" s="1490"/>
      <c r="HJ1107" s="1490"/>
      <c r="HK1107" s="1490"/>
      <c r="HL1107" s="1490"/>
      <c r="HM1107" s="1490"/>
      <c r="HN1107" s="1490"/>
      <c r="HO1107" s="1490"/>
      <c r="HP1107" s="1490"/>
      <c r="HQ1107" s="1490"/>
      <c r="HR1107" s="1490"/>
      <c r="HS1107" s="1490"/>
      <c r="HT1107" s="1490"/>
      <c r="HU1107" s="1490"/>
      <c r="HV1107" s="1490"/>
      <c r="HW1107" s="1490"/>
      <c r="HX1107" s="1490"/>
      <c r="HY1107" s="1490"/>
      <c r="HZ1107" s="1490"/>
      <c r="IA1107" s="1490"/>
      <c r="IB1107" s="1490"/>
      <c r="IC1107" s="1490"/>
      <c r="ID1107" s="1490"/>
      <c r="IE1107" s="1490"/>
      <c r="IF1107" s="1490"/>
      <c r="IG1107" s="1490"/>
      <c r="IH1107" s="1490"/>
      <c r="II1107" s="1490"/>
      <c r="IJ1107" s="1490"/>
      <c r="IK1107" s="1490"/>
      <c r="IL1107" s="1490"/>
      <c r="IM1107" s="1490"/>
      <c r="IN1107" s="1490"/>
      <c r="IO1107" s="44"/>
    </row>
    <row r="1108" spans="1:249" s="5" customFormat="1" ht="25.5" customHeight="1">
      <c r="A1108" s="48" t="s">
        <v>234</v>
      </c>
      <c r="B1108" s="39"/>
      <c r="C1108" s="39"/>
      <c r="D1108" s="39"/>
      <c r="E1108" s="39"/>
      <c r="F1108" s="39"/>
      <c r="G1108" s="39"/>
      <c r="H1108" s="39"/>
      <c r="I1108" s="39"/>
      <c r="J1108" s="39"/>
      <c r="K1108" s="39"/>
      <c r="L1108" s="39"/>
      <c r="M1108" s="39"/>
      <c r="N1108" s="39"/>
      <c r="O1108" s="49"/>
      <c r="P1108" s="49"/>
      <c r="Q1108" s="44"/>
      <c r="R1108" s="44"/>
      <c r="S1108" s="44"/>
      <c r="T1108" s="44"/>
      <c r="U1108" s="44"/>
      <c r="V1108" s="44"/>
      <c r="W1108" s="44"/>
      <c r="X1108" s="44"/>
      <c r="Y1108" s="44"/>
      <c r="Z1108" s="44"/>
      <c r="AA1108" s="44"/>
      <c r="AB1108" s="44"/>
      <c r="AC1108" s="44"/>
      <c r="AD1108" s="1490"/>
      <c r="AE1108" s="1490"/>
      <c r="AF1108" s="1490"/>
      <c r="AG1108" s="1490"/>
      <c r="AH1108" s="1490"/>
      <c r="AI1108" s="1490"/>
      <c r="AJ1108" s="1490"/>
      <c r="AK1108" s="1490"/>
      <c r="AL1108" s="1490"/>
      <c r="AM1108" s="1490"/>
      <c r="AN1108" s="1490"/>
      <c r="AO1108" s="1490"/>
      <c r="AP1108" s="1490"/>
      <c r="AQ1108" s="1490"/>
      <c r="AR1108" s="1490"/>
      <c r="AS1108" s="1490"/>
      <c r="AT1108" s="1490"/>
      <c r="AU1108" s="1490"/>
      <c r="AV1108" s="1490"/>
      <c r="AW1108" s="1490"/>
      <c r="AX1108" s="1490"/>
      <c r="AY1108" s="1490"/>
      <c r="AZ1108" s="1490"/>
      <c r="BA1108" s="1490"/>
      <c r="BB1108" s="1490"/>
      <c r="BC1108" s="1490"/>
      <c r="BD1108" s="1490"/>
      <c r="BE1108" s="1490"/>
      <c r="BF1108" s="1490"/>
      <c r="BG1108" s="1490"/>
      <c r="BH1108" s="1490"/>
      <c r="BI1108" s="1490"/>
      <c r="BJ1108" s="1490"/>
      <c r="BK1108" s="1490"/>
      <c r="BL1108" s="1490"/>
      <c r="BM1108" s="1490"/>
      <c r="BN1108" s="1490"/>
      <c r="BO1108" s="1490"/>
      <c r="BP1108" s="1490"/>
      <c r="BQ1108" s="1490"/>
      <c r="BR1108" s="1490"/>
      <c r="BS1108" s="1490"/>
      <c r="BT1108" s="1490"/>
      <c r="BU1108" s="1490"/>
      <c r="BV1108" s="1490"/>
      <c r="BW1108" s="1490"/>
      <c r="BX1108" s="1490"/>
      <c r="BY1108" s="1490"/>
      <c r="BZ1108" s="1490"/>
      <c r="CA1108" s="1490"/>
      <c r="CB1108" s="1490"/>
      <c r="CC1108" s="1490"/>
      <c r="CD1108" s="1490"/>
      <c r="CE1108" s="1490"/>
      <c r="CF1108" s="1490"/>
      <c r="CG1108" s="1490"/>
      <c r="CH1108" s="1490"/>
      <c r="CI1108" s="1490"/>
      <c r="CJ1108" s="1490"/>
      <c r="CK1108" s="1490"/>
      <c r="CL1108" s="1490"/>
      <c r="CM1108" s="1490"/>
      <c r="CN1108" s="1490"/>
      <c r="CO1108" s="1490"/>
      <c r="CP1108" s="1490"/>
      <c r="CQ1108" s="1490"/>
      <c r="CR1108" s="1490"/>
      <c r="CS1108" s="1490"/>
      <c r="CT1108" s="1490"/>
      <c r="CU1108" s="1490"/>
      <c r="CV1108" s="1490"/>
      <c r="CW1108" s="1490"/>
      <c r="CX1108" s="1490"/>
      <c r="CY1108" s="1490"/>
      <c r="CZ1108" s="1490"/>
      <c r="DA1108" s="1490"/>
      <c r="DB1108" s="1490"/>
      <c r="DC1108" s="1490"/>
      <c r="DD1108" s="1490"/>
      <c r="DE1108" s="1490"/>
      <c r="DF1108" s="1490"/>
      <c r="DG1108" s="1490"/>
      <c r="DH1108" s="1490"/>
      <c r="DI1108" s="1490"/>
      <c r="DJ1108" s="1490"/>
      <c r="DK1108" s="1490"/>
      <c r="DL1108" s="1490"/>
      <c r="DM1108" s="1490"/>
      <c r="DN1108" s="1490"/>
      <c r="DO1108" s="1490"/>
      <c r="DP1108" s="1490"/>
      <c r="DQ1108" s="1490"/>
      <c r="DR1108" s="1490"/>
      <c r="DS1108" s="1490"/>
      <c r="DT1108" s="1490"/>
      <c r="DU1108" s="1490"/>
      <c r="DV1108" s="1490"/>
      <c r="DW1108" s="1490"/>
      <c r="DX1108" s="1490"/>
      <c r="DY1108" s="1490"/>
      <c r="DZ1108" s="1490"/>
      <c r="EA1108" s="1490"/>
      <c r="EB1108" s="1490"/>
      <c r="EC1108" s="1490"/>
      <c r="ED1108" s="1490"/>
      <c r="EE1108" s="1490"/>
      <c r="EF1108" s="1490"/>
      <c r="EG1108" s="1490"/>
      <c r="EH1108" s="1490"/>
      <c r="EI1108" s="1490"/>
      <c r="EJ1108" s="1490"/>
      <c r="EK1108" s="1490"/>
      <c r="EL1108" s="1490"/>
      <c r="EM1108" s="1490"/>
      <c r="EN1108" s="1490"/>
      <c r="EO1108" s="1490"/>
      <c r="EP1108" s="1490"/>
      <c r="EQ1108" s="1490"/>
      <c r="ER1108" s="1490"/>
      <c r="ES1108" s="1490"/>
      <c r="ET1108" s="1490"/>
      <c r="EU1108" s="1490"/>
      <c r="EV1108" s="1490"/>
      <c r="EW1108" s="1490"/>
      <c r="EX1108" s="1490"/>
      <c r="EY1108" s="1490"/>
      <c r="EZ1108" s="1490"/>
      <c r="FA1108" s="1490"/>
      <c r="FB1108" s="1490"/>
      <c r="FC1108" s="1490"/>
      <c r="FD1108" s="1490"/>
      <c r="FE1108" s="1490"/>
      <c r="FF1108" s="1490"/>
      <c r="FG1108" s="1490"/>
      <c r="FH1108" s="1490"/>
      <c r="FI1108" s="1490"/>
      <c r="FJ1108" s="1490"/>
      <c r="FK1108" s="1490"/>
      <c r="FL1108" s="1490"/>
      <c r="FM1108" s="1490"/>
      <c r="FN1108" s="1490"/>
      <c r="FO1108" s="1490"/>
      <c r="FP1108" s="1490"/>
      <c r="FQ1108" s="1490"/>
      <c r="FR1108" s="1490"/>
      <c r="FS1108" s="1490"/>
      <c r="FT1108" s="1490"/>
      <c r="FU1108" s="1490"/>
      <c r="FV1108" s="1490"/>
      <c r="FW1108" s="1490"/>
      <c r="FX1108" s="1490"/>
      <c r="FY1108" s="1490"/>
      <c r="FZ1108" s="1490"/>
      <c r="GA1108" s="1490"/>
      <c r="GB1108" s="1490"/>
      <c r="GC1108" s="1490"/>
      <c r="GD1108" s="1490"/>
      <c r="GE1108" s="1490"/>
      <c r="GF1108" s="1490"/>
      <c r="GG1108" s="1490"/>
      <c r="GH1108" s="1490"/>
      <c r="GI1108" s="1490"/>
      <c r="GJ1108" s="1490"/>
      <c r="GK1108" s="1490"/>
      <c r="GL1108" s="1490"/>
      <c r="GM1108" s="1490"/>
      <c r="GN1108" s="1490"/>
      <c r="GO1108" s="1490"/>
      <c r="GP1108" s="1490"/>
      <c r="GQ1108" s="1490"/>
      <c r="GR1108" s="1490"/>
      <c r="GS1108" s="1490"/>
      <c r="GT1108" s="1490"/>
      <c r="GU1108" s="1490"/>
      <c r="GV1108" s="1490"/>
      <c r="GW1108" s="1490"/>
      <c r="GX1108" s="1490"/>
      <c r="GY1108" s="1490"/>
      <c r="GZ1108" s="1490"/>
      <c r="HA1108" s="1490"/>
      <c r="HB1108" s="1490"/>
      <c r="HC1108" s="1490"/>
      <c r="HD1108" s="1490"/>
      <c r="HE1108" s="1490"/>
      <c r="HF1108" s="1490"/>
      <c r="HG1108" s="1490"/>
      <c r="HH1108" s="1490"/>
      <c r="HI1108" s="1490"/>
      <c r="HJ1108" s="1490"/>
      <c r="HK1108" s="1490"/>
      <c r="HL1108" s="1490"/>
      <c r="HM1108" s="1490"/>
      <c r="HN1108" s="1490"/>
      <c r="HO1108" s="1490"/>
      <c r="HP1108" s="1490"/>
      <c r="HQ1108" s="1490"/>
      <c r="HR1108" s="1490"/>
      <c r="HS1108" s="1490"/>
      <c r="HT1108" s="1490"/>
      <c r="HU1108" s="1490"/>
      <c r="HV1108" s="1490"/>
      <c r="HW1108" s="1490"/>
      <c r="HX1108" s="1490"/>
      <c r="HY1108" s="1490"/>
      <c r="HZ1108" s="1490"/>
      <c r="IA1108" s="1490"/>
      <c r="IB1108" s="1490"/>
      <c r="IC1108" s="1490"/>
      <c r="ID1108" s="1490"/>
      <c r="IE1108" s="1490"/>
      <c r="IF1108" s="1490"/>
      <c r="IG1108" s="1490"/>
      <c r="IH1108" s="1490"/>
      <c r="II1108" s="1490"/>
      <c r="IJ1108" s="1490"/>
      <c r="IK1108" s="1490"/>
      <c r="IL1108" s="1490"/>
      <c r="IM1108" s="1490"/>
      <c r="IN1108" s="1490"/>
      <c r="IO1108" s="44"/>
    </row>
    <row r="1109" spans="1:249" s="5" customFormat="1" ht="24.75" customHeight="1">
      <c r="A1109" s="1495" t="s">
        <v>235</v>
      </c>
      <c r="B1109" s="1495"/>
      <c r="C1109" s="1495"/>
      <c r="D1109" s="1495"/>
      <c r="E1109" s="1495"/>
      <c r="F1109" s="1495"/>
      <c r="G1109" s="1495"/>
      <c r="H1109" s="1495"/>
      <c r="I1109" s="1495"/>
      <c r="J1109" s="1495"/>
      <c r="K1109" s="1495"/>
      <c r="L1109" s="1495"/>
      <c r="M1109" s="1495"/>
      <c r="N1109" s="1495"/>
      <c r="O1109" s="49"/>
      <c r="P1109" s="49"/>
      <c r="Q1109" s="129"/>
      <c r="R1109" s="129"/>
      <c r="S1109" s="129"/>
      <c r="T1109" s="129"/>
      <c r="U1109" s="127"/>
      <c r="V1109" s="127"/>
      <c r="W1109" s="127"/>
      <c r="X1109" s="127"/>
      <c r="Y1109" s="127"/>
      <c r="Z1109" s="127"/>
      <c r="AA1109" s="127"/>
      <c r="AB1109" s="127"/>
      <c r="AC1109" s="127"/>
      <c r="AD1109" s="127"/>
      <c r="AE1109" s="127"/>
      <c r="AF1109" s="127"/>
    </row>
    <row r="1110" spans="1:249" s="5" customFormat="1" ht="24.75" customHeight="1">
      <c r="A1110" s="99" t="s">
        <v>281</v>
      </c>
      <c r="B1110" s="44"/>
      <c r="C1110" s="44"/>
      <c r="D1110" s="44"/>
      <c r="E1110" s="44"/>
      <c r="F1110" s="104" t="str">
        <f>A1035</f>
        <v>sè:  PM-B1-BT/800</v>
      </c>
      <c r="G1110" s="44"/>
      <c r="H1110" s="44"/>
      <c r="I1110" s="44"/>
      <c r="J1110" s="44"/>
      <c r="K1110" s="44"/>
      <c r="L1110" s="44"/>
      <c r="M1110" s="44"/>
      <c r="N1110" s="44"/>
      <c r="O1110" s="49"/>
      <c r="P1110" s="49"/>
      <c r="Q1110" s="49"/>
      <c r="R1110" s="49"/>
      <c r="S1110" s="49"/>
      <c r="T1110" s="49"/>
      <c r="U1110" s="49"/>
      <c r="V1110" s="49"/>
      <c r="W1110" s="49"/>
      <c r="X1110" s="49"/>
      <c r="Y1110" s="49"/>
      <c r="Z1110" s="49"/>
      <c r="AA1110" s="49"/>
      <c r="AB1110" s="49"/>
      <c r="AC1110" s="49"/>
      <c r="AD1110" s="1494"/>
      <c r="AE1110" s="1494"/>
      <c r="AF1110" s="1494"/>
      <c r="AG1110" s="1494"/>
      <c r="AH1110" s="1494"/>
      <c r="AI1110" s="1494"/>
      <c r="AJ1110" s="1494"/>
      <c r="AK1110" s="1494"/>
      <c r="AL1110" s="1494"/>
      <c r="AM1110" s="1494"/>
      <c r="AN1110" s="1494"/>
      <c r="AO1110" s="1494"/>
      <c r="AP1110" s="1494"/>
      <c r="AQ1110" s="1494"/>
      <c r="AR1110" s="1494"/>
      <c r="AS1110" s="1494"/>
      <c r="AT1110" s="1494"/>
      <c r="AU1110" s="1494"/>
      <c r="AV1110" s="1494"/>
      <c r="AW1110" s="1494"/>
      <c r="AX1110" s="1494"/>
      <c r="AY1110" s="1494"/>
      <c r="AZ1110" s="1494"/>
      <c r="BA1110" s="1494"/>
      <c r="BB1110" s="1494"/>
      <c r="BC1110" s="1494"/>
      <c r="BD1110" s="1494"/>
      <c r="BE1110" s="1494"/>
      <c r="BF1110" s="1494"/>
      <c r="BG1110" s="1494"/>
      <c r="BH1110" s="1494"/>
      <c r="BI1110" s="1494"/>
      <c r="BJ1110" s="1494"/>
      <c r="BK1110" s="1494"/>
      <c r="BL1110" s="1494"/>
      <c r="BM1110" s="1494"/>
      <c r="BN1110" s="1494"/>
      <c r="BO1110" s="1494"/>
      <c r="BP1110" s="1494"/>
      <c r="BQ1110" s="1494"/>
      <c r="BR1110" s="1494"/>
      <c r="BS1110" s="1494"/>
      <c r="BT1110" s="1494"/>
      <c r="BU1110" s="1494"/>
      <c r="BV1110" s="1494"/>
      <c r="BW1110" s="1494"/>
      <c r="BX1110" s="1494"/>
      <c r="BY1110" s="1494"/>
      <c r="BZ1110" s="1494"/>
      <c r="CA1110" s="1494"/>
      <c r="CB1110" s="1494"/>
      <c r="CC1110" s="1494"/>
      <c r="CD1110" s="1494"/>
      <c r="CE1110" s="1494"/>
      <c r="CF1110" s="1494"/>
      <c r="CG1110" s="1494"/>
      <c r="CH1110" s="1494"/>
      <c r="CI1110" s="1494"/>
      <c r="CJ1110" s="1494"/>
      <c r="CK1110" s="1494"/>
      <c r="CL1110" s="1494"/>
      <c r="CM1110" s="1494"/>
      <c r="CN1110" s="1494"/>
      <c r="CO1110" s="1494"/>
      <c r="CP1110" s="1494"/>
      <c r="CQ1110" s="1494"/>
      <c r="CR1110" s="1494"/>
      <c r="CS1110" s="1494"/>
      <c r="CT1110" s="1494"/>
      <c r="CU1110" s="1494"/>
      <c r="CV1110" s="1494"/>
      <c r="CW1110" s="1494"/>
      <c r="CX1110" s="1494"/>
      <c r="CY1110" s="1494"/>
      <c r="CZ1110" s="1494"/>
      <c r="DA1110" s="1494"/>
      <c r="DB1110" s="1494"/>
      <c r="DC1110" s="1494"/>
      <c r="DD1110" s="1494"/>
      <c r="DE1110" s="1494"/>
      <c r="DF1110" s="1494"/>
      <c r="DG1110" s="1494"/>
      <c r="DH1110" s="1494"/>
      <c r="DI1110" s="1494"/>
      <c r="DJ1110" s="1494"/>
      <c r="DK1110" s="1494"/>
      <c r="DL1110" s="1494"/>
      <c r="DM1110" s="1494"/>
      <c r="DN1110" s="1494"/>
      <c r="DO1110" s="1494"/>
      <c r="DP1110" s="1494"/>
      <c r="DQ1110" s="1494"/>
      <c r="DR1110" s="1494"/>
      <c r="DS1110" s="1494"/>
      <c r="DT1110" s="1494"/>
      <c r="DU1110" s="1494"/>
      <c r="DV1110" s="1494"/>
      <c r="DW1110" s="1494"/>
      <c r="DX1110" s="1494"/>
      <c r="DY1110" s="1494"/>
      <c r="DZ1110" s="1494"/>
      <c r="EA1110" s="1494"/>
      <c r="EB1110" s="1494"/>
      <c r="EC1110" s="1494"/>
      <c r="ED1110" s="1494"/>
      <c r="EE1110" s="1494"/>
      <c r="EF1110" s="1494"/>
      <c r="EG1110" s="1494"/>
      <c r="EH1110" s="1494"/>
      <c r="EI1110" s="1494"/>
      <c r="EJ1110" s="1494"/>
      <c r="EK1110" s="1494"/>
      <c r="EL1110" s="1494"/>
      <c r="EM1110" s="1494"/>
      <c r="EN1110" s="1494"/>
      <c r="EO1110" s="1494"/>
      <c r="EP1110" s="1494"/>
      <c r="EQ1110" s="1494"/>
      <c r="ER1110" s="1494"/>
      <c r="ES1110" s="1494"/>
      <c r="ET1110" s="1494"/>
      <c r="EU1110" s="1494"/>
      <c r="EV1110" s="1494"/>
      <c r="EW1110" s="1494"/>
      <c r="EX1110" s="1494"/>
      <c r="EY1110" s="1494"/>
      <c r="EZ1110" s="1494"/>
      <c r="FA1110" s="1494"/>
      <c r="FB1110" s="1494"/>
      <c r="FC1110" s="1494"/>
      <c r="FD1110" s="1494"/>
      <c r="FE1110" s="1494"/>
      <c r="FF1110" s="1494"/>
      <c r="FG1110" s="1494"/>
      <c r="FH1110" s="1494"/>
      <c r="FI1110" s="1494"/>
      <c r="FJ1110" s="1494"/>
      <c r="FK1110" s="1494"/>
      <c r="FL1110" s="1494"/>
      <c r="FM1110" s="1494"/>
      <c r="FN1110" s="1494"/>
      <c r="FO1110" s="1494"/>
      <c r="FP1110" s="1494"/>
      <c r="FQ1110" s="1494"/>
      <c r="FR1110" s="1494"/>
      <c r="FS1110" s="1494"/>
      <c r="FT1110" s="1494"/>
      <c r="FU1110" s="1494"/>
      <c r="FV1110" s="1494"/>
      <c r="FW1110" s="1494"/>
      <c r="FX1110" s="1494"/>
      <c r="FY1110" s="1494"/>
      <c r="FZ1110" s="1494"/>
      <c r="GA1110" s="1494"/>
      <c r="GB1110" s="1494"/>
      <c r="GC1110" s="1494"/>
      <c r="GD1110" s="1494"/>
      <c r="GE1110" s="1494"/>
      <c r="GF1110" s="1494"/>
      <c r="GG1110" s="1494"/>
      <c r="GH1110" s="1494"/>
      <c r="GI1110" s="1494"/>
      <c r="GJ1110" s="1494"/>
      <c r="GK1110" s="1494"/>
      <c r="GL1110" s="1494"/>
      <c r="GM1110" s="1494"/>
      <c r="GN1110" s="1494"/>
      <c r="GO1110" s="1494"/>
      <c r="GP1110" s="1494"/>
      <c r="GQ1110" s="1494"/>
      <c r="GR1110" s="1494"/>
      <c r="GS1110" s="1494"/>
      <c r="GT1110" s="1494"/>
      <c r="GU1110" s="1494"/>
      <c r="GV1110" s="1494"/>
      <c r="GW1110" s="1494"/>
      <c r="GX1110" s="1494"/>
      <c r="GY1110" s="1494"/>
      <c r="GZ1110" s="1494"/>
      <c r="HA1110" s="1494"/>
      <c r="HB1110" s="1494"/>
      <c r="HC1110" s="1494"/>
      <c r="HD1110" s="1494"/>
      <c r="HE1110" s="1494"/>
      <c r="HF1110" s="1494"/>
      <c r="HG1110" s="1494"/>
      <c r="HH1110" s="1494"/>
      <c r="HI1110" s="1494"/>
      <c r="HJ1110" s="1494"/>
      <c r="HK1110" s="1494"/>
      <c r="HL1110" s="1494"/>
      <c r="HM1110" s="1494"/>
      <c r="HN1110" s="1494"/>
      <c r="HO1110" s="1494"/>
      <c r="HP1110" s="1494"/>
      <c r="HQ1110" s="1494"/>
      <c r="HR1110" s="1494"/>
      <c r="HS1110" s="1494"/>
      <c r="HT1110" s="1494"/>
      <c r="HU1110" s="1494"/>
      <c r="HV1110" s="1494"/>
      <c r="HW1110" s="1494"/>
      <c r="HX1110" s="1494"/>
      <c r="HY1110" s="1494"/>
      <c r="HZ1110" s="1494"/>
      <c r="IA1110" s="1494"/>
      <c r="IB1110" s="1494"/>
      <c r="IC1110" s="1494"/>
      <c r="ID1110" s="1494"/>
      <c r="IE1110" s="1494"/>
      <c r="IF1110" s="1494"/>
      <c r="IG1110" s="1494"/>
      <c r="IH1110" s="1494"/>
      <c r="II1110" s="1494"/>
      <c r="IJ1110" s="1494"/>
      <c r="IK1110" s="1494"/>
      <c r="IL1110" s="1494"/>
      <c r="IM1110" s="1494"/>
      <c r="IN1110" s="1494"/>
      <c r="IO1110" s="49"/>
    </row>
    <row r="1111" spans="1:249" s="5" customFormat="1" ht="25.5" customHeight="1">
      <c r="A1111" s="99" t="s">
        <v>282</v>
      </c>
      <c r="B1111" s="44"/>
      <c r="C1111" s="44"/>
      <c r="D1111" s="44"/>
      <c r="E1111" s="44"/>
      <c r="F1111" s="44"/>
      <c r="G1111" s="44"/>
      <c r="I1111" s="104" t="str">
        <f>E1048</f>
        <v>B1/ Nb-BT/800</v>
      </c>
      <c r="J1111" s="44"/>
      <c r="K1111" s="44"/>
      <c r="L1111" s="44"/>
      <c r="M1111" s="44"/>
      <c r="N1111" s="44"/>
      <c r="O1111" s="49"/>
      <c r="P1111" s="49"/>
      <c r="Q1111" s="49"/>
      <c r="R1111" s="49"/>
      <c r="S1111" s="49"/>
      <c r="T1111" s="49"/>
      <c r="U1111" s="49"/>
      <c r="V1111" s="49"/>
      <c r="W1111" s="49"/>
      <c r="X1111" s="49"/>
      <c r="Y1111" s="49"/>
      <c r="Z1111" s="49"/>
      <c r="AA1111" s="49"/>
      <c r="AB1111" s="49"/>
      <c r="AC1111" s="49"/>
      <c r="AD1111" s="1494"/>
      <c r="AE1111" s="1494"/>
      <c r="AF1111" s="1494"/>
      <c r="AG1111" s="1494"/>
      <c r="AH1111" s="1494"/>
      <c r="AI1111" s="1494"/>
      <c r="AJ1111" s="1494"/>
      <c r="AK1111" s="1494"/>
      <c r="AL1111" s="1494"/>
      <c r="AM1111" s="1494"/>
      <c r="AN1111" s="1494"/>
      <c r="AO1111" s="1494"/>
      <c r="AP1111" s="1494"/>
      <c r="AQ1111" s="1494"/>
      <c r="AR1111" s="1494"/>
      <c r="AS1111" s="1494"/>
      <c r="AT1111" s="1494"/>
      <c r="AU1111" s="1494"/>
      <c r="AV1111" s="1494"/>
      <c r="AW1111" s="1494"/>
      <c r="AX1111" s="1494"/>
      <c r="AY1111" s="1494"/>
      <c r="AZ1111" s="1494"/>
      <c r="BA1111" s="1494"/>
      <c r="BB1111" s="1494"/>
      <c r="BC1111" s="1494"/>
      <c r="BD1111" s="1494"/>
      <c r="BE1111" s="1494"/>
      <c r="BF1111" s="1494"/>
      <c r="BG1111" s="1494"/>
      <c r="BH1111" s="1494"/>
      <c r="BI1111" s="1494"/>
      <c r="BJ1111" s="1494"/>
      <c r="BK1111" s="1494"/>
      <c r="BL1111" s="1494"/>
      <c r="BM1111" s="1494"/>
      <c r="BN1111" s="1494"/>
      <c r="BO1111" s="1494"/>
      <c r="BP1111" s="1494"/>
      <c r="BQ1111" s="1494"/>
      <c r="BR1111" s="1494"/>
      <c r="BS1111" s="1494"/>
      <c r="BT1111" s="1494"/>
      <c r="BU1111" s="1494"/>
      <c r="BV1111" s="1494"/>
      <c r="BW1111" s="1494"/>
      <c r="BX1111" s="1494"/>
      <c r="BY1111" s="1494"/>
      <c r="BZ1111" s="1494"/>
      <c r="CA1111" s="1494"/>
      <c r="CB1111" s="1494"/>
      <c r="CC1111" s="1494"/>
      <c r="CD1111" s="1494"/>
      <c r="CE1111" s="1494"/>
      <c r="CF1111" s="1494"/>
      <c r="CG1111" s="1494"/>
      <c r="CH1111" s="1494"/>
      <c r="CI1111" s="1494"/>
      <c r="CJ1111" s="1494"/>
      <c r="CK1111" s="1494"/>
      <c r="CL1111" s="1494"/>
      <c r="CM1111" s="1494"/>
      <c r="CN1111" s="1494"/>
      <c r="CO1111" s="1494"/>
      <c r="CP1111" s="1494"/>
      <c r="CQ1111" s="1494"/>
      <c r="CR1111" s="1494"/>
      <c r="CS1111" s="1494"/>
      <c r="CT1111" s="1494"/>
      <c r="CU1111" s="1494"/>
      <c r="CV1111" s="1494"/>
      <c r="CW1111" s="1494"/>
      <c r="CX1111" s="1494"/>
      <c r="CY1111" s="1494"/>
      <c r="CZ1111" s="1494"/>
      <c r="DA1111" s="1494"/>
      <c r="DB1111" s="1494"/>
      <c r="DC1111" s="1494"/>
      <c r="DD1111" s="1494"/>
      <c r="DE1111" s="1494"/>
      <c r="DF1111" s="1494"/>
      <c r="DG1111" s="1494"/>
      <c r="DH1111" s="1494"/>
      <c r="DI1111" s="1494"/>
      <c r="DJ1111" s="1494"/>
      <c r="DK1111" s="1494"/>
      <c r="DL1111" s="1494"/>
      <c r="DM1111" s="1494"/>
      <c r="DN1111" s="1494"/>
      <c r="DO1111" s="1494"/>
      <c r="DP1111" s="1494"/>
      <c r="DQ1111" s="1494"/>
      <c r="DR1111" s="1494"/>
      <c r="DS1111" s="1494"/>
      <c r="DT1111" s="1494"/>
      <c r="DU1111" s="1494"/>
      <c r="DV1111" s="1494"/>
      <c r="DW1111" s="1494"/>
      <c r="DX1111" s="1494"/>
      <c r="DY1111" s="1494"/>
      <c r="DZ1111" s="1494"/>
      <c r="EA1111" s="1494"/>
      <c r="EB1111" s="1494"/>
      <c r="EC1111" s="1494"/>
      <c r="ED1111" s="1494"/>
      <c r="EE1111" s="1494"/>
      <c r="EF1111" s="1494"/>
      <c r="EG1111" s="1494"/>
      <c r="EH1111" s="1494"/>
      <c r="EI1111" s="1494"/>
      <c r="EJ1111" s="1494"/>
      <c r="EK1111" s="1494"/>
      <c r="EL1111" s="1494"/>
      <c r="EM1111" s="1494"/>
      <c r="EN1111" s="1494"/>
      <c r="EO1111" s="1494"/>
      <c r="EP1111" s="1494"/>
      <c r="EQ1111" s="1494"/>
      <c r="ER1111" s="1494"/>
      <c r="ES1111" s="1494"/>
      <c r="ET1111" s="1494"/>
      <c r="EU1111" s="1494"/>
      <c r="EV1111" s="1494"/>
      <c r="EW1111" s="1494"/>
      <c r="EX1111" s="1494"/>
      <c r="EY1111" s="1494"/>
      <c r="EZ1111" s="1494"/>
      <c r="FA1111" s="1494"/>
      <c r="FB1111" s="1494"/>
      <c r="FC1111" s="1494"/>
      <c r="FD1111" s="1494"/>
      <c r="FE1111" s="1494"/>
      <c r="FF1111" s="1494"/>
      <c r="FG1111" s="1494"/>
      <c r="FH1111" s="1494"/>
      <c r="FI1111" s="1494"/>
      <c r="FJ1111" s="1494"/>
      <c r="FK1111" s="1494"/>
      <c r="FL1111" s="1494"/>
      <c r="FM1111" s="1494"/>
      <c r="FN1111" s="1494"/>
      <c r="FO1111" s="1494"/>
      <c r="FP1111" s="1494"/>
      <c r="FQ1111" s="1494"/>
      <c r="FR1111" s="1494"/>
      <c r="FS1111" s="1494"/>
      <c r="FT1111" s="1494"/>
      <c r="FU1111" s="1494"/>
      <c r="FV1111" s="1494"/>
      <c r="FW1111" s="1494"/>
      <c r="FX1111" s="1494"/>
      <c r="FY1111" s="1494"/>
      <c r="FZ1111" s="1494"/>
      <c r="GA1111" s="1494"/>
      <c r="GB1111" s="1494"/>
      <c r="GC1111" s="1494"/>
      <c r="GD1111" s="1494"/>
      <c r="GE1111" s="1494"/>
      <c r="GF1111" s="1494"/>
      <c r="GG1111" s="1494"/>
      <c r="GH1111" s="1494"/>
      <c r="GI1111" s="1494"/>
      <c r="GJ1111" s="1494"/>
      <c r="GK1111" s="1494"/>
      <c r="GL1111" s="1494"/>
      <c r="GM1111" s="1494"/>
      <c r="GN1111" s="1494"/>
      <c r="GO1111" s="1494"/>
      <c r="GP1111" s="1494"/>
      <c r="GQ1111" s="1494"/>
      <c r="GR1111" s="1494"/>
      <c r="GS1111" s="1494"/>
      <c r="GT1111" s="1494"/>
      <c r="GU1111" s="1494"/>
      <c r="GV1111" s="1494"/>
      <c r="GW1111" s="1494"/>
      <c r="GX1111" s="1494"/>
      <c r="GY1111" s="1494"/>
      <c r="GZ1111" s="1494"/>
      <c r="HA1111" s="1494"/>
      <c r="HB1111" s="1494"/>
      <c r="HC1111" s="1494"/>
      <c r="HD1111" s="1494"/>
      <c r="HE1111" s="1494"/>
      <c r="HF1111" s="1494"/>
      <c r="HG1111" s="1494"/>
      <c r="HH1111" s="1494"/>
      <c r="HI1111" s="1494"/>
      <c r="HJ1111" s="1494"/>
      <c r="HK1111" s="1494"/>
      <c r="HL1111" s="1494"/>
      <c r="HM1111" s="1494"/>
      <c r="HN1111" s="1494"/>
      <c r="HO1111" s="1494"/>
      <c r="HP1111" s="1494"/>
      <c r="HQ1111" s="1494"/>
      <c r="HR1111" s="1494"/>
      <c r="HS1111" s="1494"/>
      <c r="HT1111" s="1494"/>
      <c r="HU1111" s="1494"/>
      <c r="HV1111" s="1494"/>
      <c r="HW1111" s="1494"/>
      <c r="HX1111" s="1494"/>
      <c r="HY1111" s="1494"/>
      <c r="HZ1111" s="1494"/>
      <c r="IA1111" s="1494"/>
      <c r="IB1111" s="1494"/>
      <c r="IC1111" s="1494"/>
      <c r="ID1111" s="1494"/>
      <c r="IE1111" s="1494"/>
      <c r="IF1111" s="1494"/>
      <c r="IG1111" s="1494"/>
      <c r="IH1111" s="1494"/>
      <c r="II1111" s="1494"/>
      <c r="IJ1111" s="1494"/>
      <c r="IK1111" s="1494"/>
      <c r="IL1111" s="1494"/>
      <c r="IM1111" s="1494"/>
      <c r="IN1111" s="1494"/>
      <c r="IO1111" s="49"/>
    </row>
    <row r="1112" spans="1:249" s="5" customFormat="1" ht="24" customHeight="1">
      <c r="A1112" s="1488" t="s">
        <v>236</v>
      </c>
      <c r="B1112" s="1488"/>
      <c r="C1112" s="1488"/>
      <c r="D1112" s="1488"/>
      <c r="E1112" s="1488"/>
      <c r="F1112" s="1488"/>
      <c r="G1112" s="1488"/>
      <c r="H1112" s="1488"/>
      <c r="I1112" s="1488"/>
      <c r="J1112" s="1488"/>
      <c r="K1112" s="1488"/>
      <c r="L1112" s="1488"/>
      <c r="M1112" s="1488"/>
      <c r="N1112" s="1488"/>
      <c r="O1112" s="49"/>
      <c r="P1112" s="49"/>
      <c r="Q1112" s="49"/>
      <c r="R1112" s="49"/>
      <c r="S1112" s="49"/>
      <c r="T1112" s="49"/>
      <c r="U1112" s="49"/>
      <c r="V1112" s="49"/>
      <c r="W1112" s="49"/>
      <c r="X1112" s="49"/>
      <c r="Y1112" s="49"/>
      <c r="Z1112" s="49"/>
      <c r="AA1112" s="49"/>
      <c r="AB1112" s="49"/>
      <c r="AC1112" s="49"/>
      <c r="AD1112" s="1494"/>
      <c r="AE1112" s="1494"/>
      <c r="AF1112" s="1494"/>
      <c r="AG1112" s="1494"/>
      <c r="AH1112" s="1494"/>
      <c r="AI1112" s="1494"/>
      <c r="AJ1112" s="1494"/>
      <c r="AK1112" s="1494"/>
      <c r="AL1112" s="1494"/>
      <c r="AM1112" s="1494"/>
      <c r="AN1112" s="1494"/>
      <c r="AO1112" s="1494"/>
      <c r="AP1112" s="1494"/>
      <c r="AQ1112" s="1494"/>
      <c r="AR1112" s="1494"/>
      <c r="AS1112" s="1494"/>
      <c r="AT1112" s="1494"/>
      <c r="AU1112" s="1494"/>
      <c r="AV1112" s="1494"/>
      <c r="AW1112" s="1494"/>
      <c r="AX1112" s="1494"/>
      <c r="AY1112" s="1494"/>
      <c r="AZ1112" s="1494"/>
      <c r="BA1112" s="1494"/>
      <c r="BB1112" s="1494"/>
      <c r="BC1112" s="1494"/>
      <c r="BD1112" s="1494"/>
      <c r="BE1112" s="1494"/>
      <c r="BF1112" s="1494"/>
      <c r="BG1112" s="1494"/>
      <c r="BH1112" s="1494"/>
      <c r="BI1112" s="1494"/>
      <c r="BJ1112" s="1494"/>
      <c r="BK1112" s="1494"/>
      <c r="BL1112" s="1494"/>
      <c r="BM1112" s="1494"/>
      <c r="BN1112" s="1494"/>
      <c r="BO1112" s="1494"/>
      <c r="BP1112" s="1494"/>
      <c r="BQ1112" s="1494"/>
      <c r="BR1112" s="1494"/>
      <c r="BS1112" s="1494"/>
      <c r="BT1112" s="1494"/>
      <c r="BU1112" s="1494"/>
      <c r="BV1112" s="1494"/>
      <c r="BW1112" s="1494"/>
      <c r="BX1112" s="1494"/>
      <c r="BY1112" s="1494"/>
      <c r="BZ1112" s="1494"/>
      <c r="CA1112" s="1494"/>
      <c r="CB1112" s="1494"/>
      <c r="CC1112" s="1494"/>
      <c r="CD1112" s="1494"/>
      <c r="CE1112" s="1494"/>
      <c r="CF1112" s="1494"/>
      <c r="CG1112" s="1494"/>
      <c r="CH1112" s="1494"/>
      <c r="CI1112" s="1494"/>
      <c r="CJ1112" s="1494"/>
      <c r="CK1112" s="1494"/>
      <c r="CL1112" s="1494"/>
      <c r="CM1112" s="1494"/>
      <c r="CN1112" s="1494"/>
      <c r="CO1112" s="1494"/>
      <c r="CP1112" s="1494"/>
      <c r="CQ1112" s="1494"/>
      <c r="CR1112" s="1494"/>
      <c r="CS1112" s="1494"/>
      <c r="CT1112" s="1494"/>
      <c r="CU1112" s="1494"/>
      <c r="CV1112" s="1494"/>
      <c r="CW1112" s="1494"/>
      <c r="CX1112" s="1494"/>
      <c r="CY1112" s="1494"/>
      <c r="CZ1112" s="1494"/>
      <c r="DA1112" s="1494"/>
      <c r="DB1112" s="1494"/>
      <c r="DC1112" s="1494"/>
      <c r="DD1112" s="1494"/>
      <c r="DE1112" s="1494"/>
      <c r="DF1112" s="1494"/>
      <c r="DG1112" s="1494"/>
      <c r="DH1112" s="1494"/>
      <c r="DI1112" s="1494"/>
      <c r="DJ1112" s="1494"/>
      <c r="DK1112" s="1494"/>
      <c r="DL1112" s="1494"/>
      <c r="DM1112" s="1494"/>
      <c r="DN1112" s="1494"/>
      <c r="DO1112" s="1494"/>
      <c r="DP1112" s="1494"/>
      <c r="DQ1112" s="1494"/>
      <c r="DR1112" s="1494"/>
      <c r="DS1112" s="1494"/>
      <c r="DT1112" s="1494"/>
      <c r="DU1112" s="1494"/>
      <c r="DV1112" s="1494"/>
      <c r="DW1112" s="1494"/>
      <c r="DX1112" s="1494"/>
      <c r="DY1112" s="1494"/>
      <c r="DZ1112" s="1494"/>
      <c r="EA1112" s="1494"/>
      <c r="EB1112" s="1494"/>
      <c r="EC1112" s="1494"/>
      <c r="ED1112" s="1494"/>
      <c r="EE1112" s="1494"/>
      <c r="EF1112" s="1494"/>
      <c r="EG1112" s="1494"/>
      <c r="EH1112" s="1494"/>
      <c r="EI1112" s="1494"/>
      <c r="EJ1112" s="1494"/>
      <c r="EK1112" s="1494"/>
      <c r="EL1112" s="1494"/>
      <c r="EM1112" s="1494"/>
      <c r="EN1112" s="1494"/>
      <c r="EO1112" s="1494"/>
      <c r="EP1112" s="1494"/>
      <c r="EQ1112" s="1494"/>
      <c r="ER1112" s="1494"/>
      <c r="ES1112" s="1494"/>
      <c r="ET1112" s="1494"/>
      <c r="EU1112" s="1494"/>
      <c r="EV1112" s="1494"/>
      <c r="EW1112" s="1494"/>
      <c r="EX1112" s="1494"/>
      <c r="EY1112" s="1494"/>
      <c r="EZ1112" s="1494"/>
      <c r="FA1112" s="1494"/>
      <c r="FB1112" s="1494"/>
      <c r="FC1112" s="1494"/>
      <c r="FD1112" s="1494"/>
      <c r="FE1112" s="1494"/>
      <c r="FF1112" s="1494"/>
      <c r="FG1112" s="1494"/>
      <c r="FH1112" s="1494"/>
      <c r="FI1112" s="1494"/>
      <c r="FJ1112" s="1494"/>
      <c r="FK1112" s="1494"/>
      <c r="FL1112" s="1494"/>
      <c r="FM1112" s="1494"/>
      <c r="FN1112" s="1494"/>
      <c r="FO1112" s="1494"/>
      <c r="FP1112" s="1494"/>
      <c r="FQ1112" s="1494"/>
      <c r="FR1112" s="1494"/>
      <c r="FS1112" s="1494"/>
      <c r="FT1112" s="1494"/>
      <c r="FU1112" s="1494"/>
      <c r="FV1112" s="1494"/>
      <c r="FW1112" s="1494"/>
      <c r="FX1112" s="1494"/>
      <c r="FY1112" s="1494"/>
      <c r="FZ1112" s="1494"/>
      <c r="GA1112" s="1494"/>
      <c r="GB1112" s="1494"/>
      <c r="GC1112" s="1494"/>
      <c r="GD1112" s="1494"/>
      <c r="GE1112" s="1494"/>
      <c r="GF1112" s="1494"/>
      <c r="GG1112" s="1494"/>
      <c r="GH1112" s="1494"/>
      <c r="GI1112" s="1494"/>
      <c r="GJ1112" s="1494"/>
      <c r="GK1112" s="1494"/>
      <c r="GL1112" s="1494"/>
      <c r="GM1112" s="1494"/>
      <c r="GN1112" s="1494"/>
      <c r="GO1112" s="1494"/>
      <c r="GP1112" s="1494"/>
      <c r="GQ1112" s="1494"/>
      <c r="GR1112" s="1494"/>
      <c r="GS1112" s="1494"/>
      <c r="GT1112" s="1494"/>
      <c r="GU1112" s="1494"/>
      <c r="GV1112" s="1494"/>
      <c r="GW1112" s="1494"/>
      <c r="GX1112" s="1494"/>
      <c r="GY1112" s="1494"/>
      <c r="GZ1112" s="1494"/>
      <c r="HA1112" s="1494"/>
      <c r="HB1112" s="1494"/>
      <c r="HC1112" s="1494"/>
      <c r="HD1112" s="1494"/>
      <c r="HE1112" s="1494"/>
      <c r="HF1112" s="1494"/>
      <c r="HG1112" s="1494"/>
      <c r="HH1112" s="1494"/>
      <c r="HI1112" s="1494"/>
      <c r="HJ1112" s="1494"/>
      <c r="HK1112" s="1494"/>
      <c r="HL1112" s="1494"/>
      <c r="HM1112" s="1494"/>
      <c r="HN1112" s="1494"/>
      <c r="HO1112" s="1494"/>
      <c r="HP1112" s="1494"/>
      <c r="HQ1112" s="1494"/>
      <c r="HR1112" s="1494"/>
      <c r="HS1112" s="1494"/>
      <c r="HT1112" s="1494"/>
      <c r="HU1112" s="1494"/>
      <c r="HV1112" s="1494"/>
      <c r="HW1112" s="1494"/>
      <c r="HX1112" s="1494"/>
      <c r="HY1112" s="1494"/>
      <c r="HZ1112" s="1494"/>
      <c r="IA1112" s="1494"/>
      <c r="IB1112" s="1494"/>
      <c r="IC1112" s="1494"/>
      <c r="ID1112" s="1494"/>
      <c r="IE1112" s="1494"/>
      <c r="IF1112" s="1494"/>
      <c r="IG1112" s="1494"/>
      <c r="IH1112" s="1494"/>
      <c r="II1112" s="1494"/>
      <c r="IJ1112" s="1494"/>
      <c r="IK1112" s="1494"/>
      <c r="IL1112" s="1494"/>
      <c r="IM1112" s="1494"/>
      <c r="IN1112" s="1494"/>
      <c r="IO1112" s="49"/>
    </row>
    <row r="1113" spans="1:249" s="5" customFormat="1" ht="24" customHeight="1">
      <c r="A1113"/>
      <c r="B1113" s="1520" t="s">
        <v>237</v>
      </c>
      <c r="C1113" s="1520"/>
      <c r="D1113" s="1520"/>
      <c r="E1113" s="1520"/>
      <c r="F1113" s="1520"/>
      <c r="G1113" s="1520"/>
      <c r="H1113" s="1520"/>
      <c r="I1113" s="1520"/>
      <c r="J1113" s="50"/>
      <c r="K1113" s="50"/>
      <c r="L1113" s="50"/>
      <c r="M1113" s="50"/>
      <c r="N1113" s="50"/>
      <c r="P1113" s="4"/>
      <c r="Q1113" s="105"/>
      <c r="R1113" s="105"/>
      <c r="S1113" s="105"/>
      <c r="T1113" s="105"/>
      <c r="U1113" s="49"/>
      <c r="V1113" s="49"/>
      <c r="W1113" s="49"/>
      <c r="X1113" s="49"/>
      <c r="Y1113" s="49"/>
      <c r="Z1113" s="49"/>
      <c r="AA1113" s="49"/>
      <c r="AB1113" s="49"/>
      <c r="AC1113" s="49"/>
      <c r="AD1113" s="49"/>
      <c r="AE1113" s="49"/>
      <c r="AF1113" s="49"/>
      <c r="AG1113" s="49"/>
      <c r="AH1113" s="49"/>
      <c r="AI1113" s="49"/>
      <c r="AJ1113" s="49"/>
      <c r="AK1113" s="49"/>
      <c r="AL1113" s="49"/>
      <c r="AM1113" s="49"/>
      <c r="AN1113" s="49"/>
      <c r="AO1113" s="49"/>
      <c r="AP1113" s="49"/>
      <c r="AQ1113" s="49"/>
      <c r="AR1113" s="49"/>
      <c r="AS1113" s="49"/>
      <c r="AT1113" s="49"/>
      <c r="AU1113" s="49"/>
      <c r="AV1113" s="49"/>
      <c r="AW1113" s="49"/>
      <c r="AX1113" s="49"/>
      <c r="AY1113" s="49"/>
      <c r="AZ1113" s="49"/>
      <c r="BA1113" s="49"/>
      <c r="BB1113" s="49"/>
      <c r="BC1113" s="49"/>
      <c r="BD1113" s="49"/>
      <c r="BE1113" s="49"/>
      <c r="BF1113" s="49"/>
      <c r="BG1113" s="49"/>
      <c r="BH1113" s="49"/>
      <c r="BI1113" s="49"/>
      <c r="BJ1113" s="49"/>
      <c r="BK1113" s="49"/>
      <c r="BL1113" s="49"/>
      <c r="BM1113" s="49"/>
      <c r="BN1113" s="49"/>
      <c r="BO1113" s="49"/>
      <c r="BP1113" s="49"/>
      <c r="BQ1113" s="49"/>
      <c r="BR1113" s="49"/>
      <c r="BS1113" s="49"/>
      <c r="BT1113" s="49"/>
      <c r="BU1113" s="49"/>
      <c r="BV1113" s="49"/>
      <c r="BW1113" s="49"/>
      <c r="BX1113" s="49"/>
      <c r="BY1113" s="49"/>
      <c r="BZ1113" s="49"/>
      <c r="CA1113" s="49"/>
      <c r="CB1113" s="49"/>
      <c r="CC1113" s="49"/>
      <c r="CD1113" s="49"/>
      <c r="CE1113" s="49"/>
      <c r="CF1113" s="49"/>
      <c r="CG1113" s="49"/>
      <c r="CH1113" s="49"/>
      <c r="CI1113" s="49"/>
      <c r="CJ1113" s="49"/>
      <c r="CK1113" s="49"/>
      <c r="CL1113" s="49"/>
      <c r="CM1113" s="49"/>
      <c r="CN1113" s="49"/>
      <c r="CO1113" s="49"/>
      <c r="CP1113" s="49"/>
      <c r="CQ1113" s="49"/>
      <c r="CR1113" s="49"/>
      <c r="CS1113" s="49"/>
      <c r="CT1113" s="49"/>
      <c r="CU1113" s="49"/>
      <c r="CV1113" s="49"/>
      <c r="CW1113" s="49"/>
      <c r="CX1113" s="49"/>
      <c r="CY1113" s="49"/>
      <c r="CZ1113" s="49"/>
      <c r="DA1113" s="49"/>
      <c r="DB1113" s="49"/>
      <c r="DC1113" s="49"/>
      <c r="DD1113" s="49"/>
      <c r="DE1113" s="49"/>
      <c r="DF1113" s="49"/>
      <c r="DG1113" s="49"/>
      <c r="DH1113" s="49"/>
      <c r="DI1113" s="49"/>
      <c r="DJ1113" s="49"/>
      <c r="DK1113" s="49"/>
      <c r="DL1113" s="49"/>
      <c r="DM1113" s="49"/>
      <c r="DN1113" s="49"/>
      <c r="DO1113" s="49"/>
      <c r="DP1113" s="49"/>
      <c r="DQ1113" s="49"/>
      <c r="DR1113" s="49"/>
      <c r="DS1113" s="49"/>
      <c r="DT1113" s="49"/>
      <c r="DU1113" s="49"/>
      <c r="DV1113" s="49"/>
      <c r="DW1113" s="49"/>
      <c r="DX1113" s="49"/>
      <c r="DY1113" s="49"/>
      <c r="DZ1113" s="49"/>
      <c r="EA1113" s="49"/>
      <c r="EB1113" s="49"/>
      <c r="EC1113" s="49"/>
      <c r="ED1113" s="49"/>
      <c r="EE1113" s="49"/>
      <c r="EF1113" s="49"/>
      <c r="EG1113" s="49"/>
      <c r="EH1113" s="49"/>
      <c r="EI1113" s="49"/>
      <c r="EJ1113" s="49"/>
      <c r="EK1113" s="49"/>
      <c r="EL1113" s="49"/>
      <c r="EM1113" s="49"/>
      <c r="EN1113" s="49"/>
      <c r="EO1113" s="49"/>
      <c r="EP1113" s="49"/>
      <c r="EQ1113" s="49"/>
      <c r="ER1113" s="49"/>
      <c r="ES1113" s="49"/>
      <c r="ET1113" s="49"/>
      <c r="EU1113" s="49"/>
      <c r="EV1113" s="49"/>
      <c r="EW1113" s="49"/>
      <c r="EX1113" s="49"/>
      <c r="EY1113" s="49"/>
      <c r="EZ1113" s="49"/>
      <c r="FA1113" s="49"/>
      <c r="FB1113" s="49"/>
      <c r="FC1113" s="49"/>
      <c r="FD1113" s="49"/>
      <c r="FE1113" s="49"/>
      <c r="FF1113" s="49"/>
      <c r="FG1113" s="49"/>
      <c r="FH1113" s="49"/>
      <c r="FI1113" s="49"/>
      <c r="FJ1113" s="49"/>
      <c r="FK1113" s="49"/>
      <c r="FL1113" s="49"/>
      <c r="FM1113" s="49"/>
      <c r="FN1113" s="49"/>
      <c r="FO1113" s="49"/>
      <c r="FP1113" s="49"/>
      <c r="FQ1113" s="49"/>
      <c r="FR1113" s="49"/>
      <c r="FS1113" s="49"/>
      <c r="FT1113" s="49"/>
      <c r="FU1113" s="49"/>
      <c r="FV1113" s="49"/>
      <c r="FW1113" s="49"/>
      <c r="FX1113" s="49"/>
      <c r="FY1113" s="49"/>
      <c r="FZ1113" s="49"/>
      <c r="GA1113" s="49"/>
      <c r="GB1113" s="49"/>
      <c r="GC1113" s="49"/>
      <c r="GD1113" s="49"/>
      <c r="GE1113" s="49"/>
      <c r="GF1113" s="49"/>
      <c r="GG1113" s="49"/>
      <c r="GH1113" s="49"/>
      <c r="GI1113" s="49"/>
      <c r="GJ1113" s="49"/>
      <c r="GK1113" s="49"/>
      <c r="GL1113" s="49"/>
      <c r="GM1113" s="49"/>
      <c r="GN1113" s="49"/>
      <c r="GO1113" s="49"/>
      <c r="GP1113" s="49"/>
      <c r="GQ1113" s="49"/>
      <c r="GR1113" s="49"/>
      <c r="GS1113" s="49"/>
      <c r="GT1113" s="49"/>
      <c r="GU1113" s="49"/>
      <c r="GV1113" s="49"/>
      <c r="GW1113" s="49"/>
      <c r="GX1113" s="49"/>
      <c r="GY1113" s="49"/>
      <c r="GZ1113" s="49"/>
      <c r="HA1113" s="49"/>
      <c r="HB1113" s="49"/>
      <c r="HC1113" s="49"/>
      <c r="HD1113" s="49"/>
      <c r="HE1113" s="49"/>
      <c r="HF1113" s="49"/>
      <c r="HG1113" s="49"/>
      <c r="HH1113" s="49"/>
      <c r="HI1113" s="49"/>
      <c r="HJ1113" s="49"/>
      <c r="HK1113" s="49"/>
      <c r="HL1113" s="49"/>
      <c r="HM1113" s="49"/>
      <c r="HN1113" s="49"/>
      <c r="HO1113" s="49"/>
      <c r="HP1113" s="49"/>
      <c r="HQ1113" s="49"/>
      <c r="HR1113" s="49"/>
      <c r="HS1113" s="49"/>
      <c r="HT1113" s="49"/>
      <c r="HU1113" s="49"/>
      <c r="HV1113" s="49"/>
      <c r="HW1113" s="49"/>
      <c r="HX1113" s="49"/>
      <c r="HY1113" s="49"/>
      <c r="HZ1113" s="49"/>
      <c r="IA1113" s="49"/>
      <c r="IB1113" s="49"/>
      <c r="IC1113" s="49"/>
      <c r="ID1113" s="49"/>
      <c r="IE1113" s="49"/>
      <c r="IF1113" s="49"/>
      <c r="IG1113" s="49"/>
      <c r="IH1113" s="49"/>
      <c r="II1113" s="49"/>
      <c r="IJ1113" s="49"/>
      <c r="IK1113" s="49"/>
      <c r="IL1113" s="49"/>
      <c r="IM1113" s="49"/>
      <c r="IN1113" s="49"/>
      <c r="IO1113" s="49"/>
    </row>
    <row r="1114" spans="1:249" s="5" customFormat="1" ht="24" customHeight="1">
      <c r="A1114" s="1559" t="s">
        <v>191</v>
      </c>
      <c r="B1114" s="1523" t="s">
        <v>238</v>
      </c>
      <c r="C1114" s="1524"/>
      <c r="D1114" s="1524"/>
      <c r="E1114" s="1524"/>
      <c r="F1114" s="1524"/>
      <c r="G1114" s="1525"/>
      <c r="H1114" s="1523" t="s">
        <v>239</v>
      </c>
      <c r="I1114" s="1524"/>
      <c r="J1114" s="1524"/>
      <c r="K1114" s="1524"/>
      <c r="L1114" s="1525"/>
      <c r="M1114" s="1529" t="s">
        <v>240</v>
      </c>
      <c r="N1114" s="1530"/>
      <c r="P1114" s="4"/>
      <c r="Q1114" s="105"/>
      <c r="R1114" s="105"/>
      <c r="S1114" s="105"/>
      <c r="T1114" s="105"/>
      <c r="U1114" s="49"/>
      <c r="V1114" s="49"/>
      <c r="W1114" s="49"/>
      <c r="X1114" s="49"/>
      <c r="Y1114" s="49"/>
      <c r="Z1114" s="49"/>
      <c r="AA1114" s="49"/>
      <c r="AB1114" s="49"/>
      <c r="AC1114" s="49"/>
      <c r="AD1114" s="49"/>
      <c r="AE1114" s="49"/>
      <c r="AF1114" s="49"/>
      <c r="AG1114" s="49"/>
      <c r="AH1114" s="49"/>
      <c r="AI1114" s="49"/>
      <c r="AJ1114" s="49"/>
      <c r="AK1114" s="49"/>
      <c r="AL1114" s="49"/>
      <c r="AM1114" s="49"/>
      <c r="AN1114" s="49"/>
      <c r="AO1114" s="49"/>
      <c r="AP1114" s="49"/>
      <c r="AQ1114" s="49"/>
      <c r="AR1114" s="49"/>
      <c r="AS1114" s="49"/>
      <c r="AT1114" s="49"/>
      <c r="AU1114" s="49"/>
      <c r="AV1114" s="49"/>
      <c r="AW1114" s="49"/>
      <c r="AX1114" s="49"/>
      <c r="AY1114" s="49"/>
      <c r="AZ1114" s="49"/>
      <c r="BA1114" s="49"/>
      <c r="BB1114" s="49"/>
      <c r="BC1114" s="49"/>
      <c r="BD1114" s="49"/>
      <c r="BE1114" s="49"/>
      <c r="BF1114" s="49"/>
      <c r="BG1114" s="49"/>
      <c r="BH1114" s="49"/>
      <c r="BI1114" s="49"/>
      <c r="BJ1114" s="49"/>
      <c r="BK1114" s="49"/>
      <c r="BL1114" s="49"/>
      <c r="BM1114" s="49"/>
      <c r="BN1114" s="49"/>
      <c r="BO1114" s="49"/>
      <c r="BP1114" s="49"/>
      <c r="BQ1114" s="49"/>
      <c r="BR1114" s="49"/>
      <c r="BS1114" s="49"/>
      <c r="BT1114" s="49"/>
      <c r="BU1114" s="49"/>
      <c r="BV1114" s="49"/>
      <c r="BW1114" s="49"/>
      <c r="BX1114" s="49"/>
      <c r="BY1114" s="49"/>
      <c r="BZ1114" s="49"/>
      <c r="CA1114" s="49"/>
      <c r="CB1114" s="49"/>
      <c r="CC1114" s="49"/>
      <c r="CD1114" s="49"/>
      <c r="CE1114" s="49"/>
      <c r="CF1114" s="49"/>
      <c r="CG1114" s="49"/>
      <c r="CH1114" s="49"/>
      <c r="CI1114" s="49"/>
      <c r="CJ1114" s="49"/>
      <c r="CK1114" s="49"/>
      <c r="CL1114" s="49"/>
      <c r="CM1114" s="49"/>
      <c r="CN1114" s="49"/>
      <c r="CO1114" s="49"/>
      <c r="CP1114" s="49"/>
      <c r="CQ1114" s="49"/>
      <c r="CR1114" s="49"/>
      <c r="CS1114" s="49"/>
      <c r="CT1114" s="49"/>
      <c r="CU1114" s="49"/>
      <c r="CV1114" s="49"/>
      <c r="CW1114" s="49"/>
      <c r="CX1114" s="49"/>
      <c r="CY1114" s="49"/>
      <c r="CZ1114" s="49"/>
      <c r="DA1114" s="49"/>
      <c r="DB1114" s="49"/>
      <c r="DC1114" s="49"/>
      <c r="DD1114" s="49"/>
      <c r="DE1114" s="49"/>
      <c r="DF1114" s="49"/>
      <c r="DG1114" s="49"/>
      <c r="DH1114" s="49"/>
      <c r="DI1114" s="49"/>
      <c r="DJ1114" s="49"/>
      <c r="DK1114" s="49"/>
      <c r="DL1114" s="49"/>
      <c r="DM1114" s="49"/>
      <c r="DN1114" s="49"/>
      <c r="DO1114" s="49"/>
      <c r="DP1114" s="49"/>
      <c r="DQ1114" s="49"/>
      <c r="DR1114" s="49"/>
      <c r="DS1114" s="49"/>
      <c r="DT1114" s="49"/>
      <c r="DU1114" s="49"/>
      <c r="DV1114" s="49"/>
      <c r="DW1114" s="49"/>
      <c r="DX1114" s="49"/>
      <c r="DY1114" s="49"/>
      <c r="DZ1114" s="49"/>
      <c r="EA1114" s="49"/>
      <c r="EB1114" s="49"/>
      <c r="EC1114" s="49"/>
      <c r="ED1114" s="49"/>
      <c r="EE1114" s="49"/>
      <c r="EF1114" s="49"/>
      <c r="EG1114" s="49"/>
      <c r="EH1114" s="49"/>
      <c r="EI1114" s="49"/>
      <c r="EJ1114" s="49"/>
      <c r="EK1114" s="49"/>
      <c r="EL1114" s="49"/>
      <c r="EM1114" s="49"/>
      <c r="EN1114" s="49"/>
      <c r="EO1114" s="49"/>
      <c r="EP1114" s="49"/>
      <c r="EQ1114" s="49"/>
      <c r="ER1114" s="49"/>
      <c r="ES1114" s="49"/>
      <c r="ET1114" s="49"/>
      <c r="EU1114" s="49"/>
      <c r="EV1114" s="49"/>
      <c r="EW1114" s="49"/>
      <c r="EX1114" s="49"/>
      <c r="EY1114" s="49"/>
      <c r="EZ1114" s="49"/>
      <c r="FA1114" s="49"/>
      <c r="FB1114" s="49"/>
      <c r="FC1114" s="49"/>
      <c r="FD1114" s="49"/>
      <c r="FE1114" s="49"/>
      <c r="FF1114" s="49"/>
      <c r="FG1114" s="49"/>
      <c r="FH1114" s="49"/>
      <c r="FI1114" s="49"/>
      <c r="FJ1114" s="49"/>
      <c r="FK1114" s="49"/>
      <c r="FL1114" s="49"/>
      <c r="FM1114" s="49"/>
      <c r="FN1114" s="49"/>
      <c r="FO1114" s="49"/>
      <c r="FP1114" s="49"/>
      <c r="FQ1114" s="49"/>
      <c r="FR1114" s="49"/>
      <c r="FS1114" s="49"/>
      <c r="FT1114" s="49"/>
      <c r="FU1114" s="49"/>
      <c r="FV1114" s="49"/>
      <c r="FW1114" s="49"/>
      <c r="FX1114" s="49"/>
      <c r="FY1114" s="49"/>
      <c r="FZ1114" s="49"/>
      <c r="GA1114" s="49"/>
      <c r="GB1114" s="49"/>
      <c r="GC1114" s="49"/>
      <c r="GD1114" s="49"/>
      <c r="GE1114" s="49"/>
      <c r="GF1114" s="49"/>
      <c r="GG1114" s="49"/>
      <c r="GH1114" s="49"/>
      <c r="GI1114" s="49"/>
      <c r="GJ1114" s="49"/>
      <c r="GK1114" s="49"/>
      <c r="GL1114" s="49"/>
      <c r="GM1114" s="49"/>
      <c r="GN1114" s="49"/>
      <c r="GO1114" s="49"/>
      <c r="GP1114" s="49"/>
      <c r="GQ1114" s="49"/>
      <c r="GR1114" s="49"/>
      <c r="GS1114" s="49"/>
      <c r="GT1114" s="49"/>
      <c r="GU1114" s="49"/>
      <c r="GV1114" s="49"/>
      <c r="GW1114" s="49"/>
      <c r="GX1114" s="49"/>
      <c r="GY1114" s="49"/>
      <c r="GZ1114" s="49"/>
      <c r="HA1114" s="49"/>
      <c r="HB1114" s="49"/>
      <c r="HC1114" s="49"/>
      <c r="HD1114" s="49"/>
      <c r="HE1114" s="49"/>
      <c r="HF1114" s="49"/>
      <c r="HG1114" s="49"/>
      <c r="HH1114" s="49"/>
      <c r="HI1114" s="49"/>
      <c r="HJ1114" s="49"/>
      <c r="HK1114" s="49"/>
      <c r="HL1114" s="49"/>
      <c r="HM1114" s="49"/>
      <c r="HN1114" s="49"/>
      <c r="HO1114" s="49"/>
      <c r="HP1114" s="49"/>
      <c r="HQ1114" s="49"/>
      <c r="HR1114" s="49"/>
      <c r="HS1114" s="49"/>
      <c r="HT1114" s="49"/>
      <c r="HU1114" s="49"/>
      <c r="HV1114" s="49"/>
      <c r="HW1114" s="49"/>
      <c r="HX1114" s="49"/>
      <c r="HY1114" s="49"/>
      <c r="HZ1114" s="49"/>
      <c r="IA1114" s="49"/>
      <c r="IB1114" s="49"/>
      <c r="IC1114" s="49"/>
      <c r="ID1114" s="49"/>
      <c r="IE1114" s="49"/>
      <c r="IF1114" s="49"/>
      <c r="IG1114" s="49"/>
      <c r="IH1114" s="49"/>
      <c r="II1114" s="49"/>
      <c r="IJ1114" s="49"/>
      <c r="IK1114" s="49"/>
      <c r="IL1114" s="49"/>
      <c r="IM1114" s="49"/>
      <c r="IN1114" s="49"/>
      <c r="IO1114" s="49"/>
    </row>
    <row r="1115" spans="1:249" s="5" customFormat="1" ht="23.25" customHeight="1">
      <c r="A1115" s="1560"/>
      <c r="B1115" s="1526"/>
      <c r="C1115" s="1527"/>
      <c r="D1115" s="1527"/>
      <c r="E1115" s="1527"/>
      <c r="F1115" s="1527"/>
      <c r="G1115" s="1528"/>
      <c r="H1115" s="1526"/>
      <c r="I1115" s="1527"/>
      <c r="J1115" s="1527"/>
      <c r="K1115" s="1527"/>
      <c r="L1115" s="1528"/>
      <c r="M1115" s="51" t="s">
        <v>241</v>
      </c>
      <c r="N1115" s="51" t="s">
        <v>242</v>
      </c>
      <c r="P1115" s="4"/>
      <c r="Q1115" s="129"/>
      <c r="R1115" s="129"/>
      <c r="S1115" s="129"/>
      <c r="T1115" s="129"/>
      <c r="U1115" s="127"/>
      <c r="V1115" s="127"/>
      <c r="W1115" s="127"/>
      <c r="X1115" s="127"/>
      <c r="Y1115" s="127"/>
      <c r="Z1115" s="127"/>
      <c r="AA1115" s="127"/>
      <c r="AB1115" s="127"/>
      <c r="AC1115" s="127"/>
      <c r="AD1115" s="127"/>
      <c r="AE1115" s="127"/>
      <c r="AF1115" s="127"/>
    </row>
    <row r="1116" spans="1:249" s="5" customFormat="1" ht="23.25" customHeight="1">
      <c r="A1116" s="52">
        <v>1</v>
      </c>
      <c r="B1116" s="1508" t="str">
        <f>B994</f>
        <v>KÕt qu¶ thÝ nghiÖm BT R7, R28</v>
      </c>
      <c r="C1116" s="1509"/>
      <c r="D1116" s="1509"/>
      <c r="E1116" s="1509"/>
      <c r="F1116" s="1509"/>
      <c r="G1116" s="1510"/>
      <c r="H1116" s="1567" t="str">
        <f>H994</f>
        <v>KÕt qu¶ tõ phßngTN</v>
      </c>
      <c r="I1116" s="1568"/>
      <c r="J1116" s="1568"/>
      <c r="K1116" s="1568"/>
      <c r="L1116" s="1569"/>
      <c r="M1116" s="52" t="s">
        <v>245</v>
      </c>
      <c r="N1116" s="53"/>
      <c r="P1116" s="4"/>
      <c r="Q1116" s="129"/>
      <c r="R1116" s="129"/>
      <c r="S1116" s="129"/>
      <c r="T1116" s="129"/>
      <c r="U1116" s="127"/>
      <c r="V1116" s="127"/>
      <c r="W1116" s="127"/>
      <c r="X1116" s="127"/>
      <c r="Y1116" s="127"/>
      <c r="Z1116" s="127"/>
      <c r="AA1116" s="127"/>
      <c r="AB1116" s="127"/>
      <c r="AC1116" s="127"/>
      <c r="AD1116" s="127"/>
      <c r="AE1116" s="127"/>
      <c r="AF1116" s="127"/>
    </row>
    <row r="1117" spans="1:249" s="5" customFormat="1" ht="22.5" customHeight="1">
      <c r="A1117" s="56">
        <v>2</v>
      </c>
      <c r="B1117" s="1498" t="str">
        <f>B995</f>
        <v>§é ®ång nhÊt bª t«ng</v>
      </c>
      <c r="C1117" s="1499"/>
      <c r="D1117" s="1499"/>
      <c r="E1117" s="1499"/>
      <c r="F1117" s="1499"/>
      <c r="G1117" s="1500"/>
      <c r="H1117" s="1570" t="str">
        <f>H995</f>
        <v>Trùc quan</v>
      </c>
      <c r="I1117" s="1571"/>
      <c r="J1117" s="1571"/>
      <c r="K1117" s="1571"/>
      <c r="L1117" s="1572"/>
      <c r="M1117" s="56" t="s">
        <v>245</v>
      </c>
      <c r="N1117" s="57"/>
      <c r="P1117" s="4"/>
      <c r="Q1117" s="129"/>
      <c r="R1117" s="129"/>
      <c r="S1117" s="129"/>
      <c r="T1117" s="129"/>
      <c r="U1117" s="127"/>
      <c r="V1117" s="127"/>
      <c r="W1117" s="127"/>
      <c r="X1117" s="127"/>
      <c r="Y1117" s="127"/>
      <c r="Z1117" s="127"/>
      <c r="AA1117" s="127"/>
      <c r="AB1117" s="127"/>
      <c r="AC1117" s="127"/>
      <c r="AD1117" s="127"/>
      <c r="AE1117" s="127"/>
      <c r="AF1117" s="127"/>
    </row>
    <row r="1118" spans="1:249" s="5" customFormat="1" ht="24" customHeight="1">
      <c r="A1118" s="58"/>
      <c r="B1118" s="106" t="s">
        <v>249</v>
      </c>
      <c r="C1118" s="106"/>
      <c r="D1118" s="106"/>
      <c r="E1118" s="106"/>
      <c r="F1118" s="60"/>
      <c r="G1118" s="1573" t="s">
        <v>176</v>
      </c>
      <c r="H1118" s="1573"/>
      <c r="I1118" s="1573"/>
      <c r="J1118" s="1573"/>
      <c r="K1118" s="60"/>
      <c r="L1118" s="60"/>
      <c r="M1118" s="60"/>
      <c r="N1118" s="60"/>
      <c r="P1118" s="4"/>
      <c r="Q1118" s="129"/>
      <c r="R1118" s="129"/>
      <c r="S1118" s="129"/>
      <c r="T1118" s="129"/>
      <c r="U1118" s="127"/>
      <c r="V1118" s="127"/>
      <c r="W1118" s="127"/>
      <c r="X1118" s="127"/>
      <c r="Y1118" s="127"/>
      <c r="Z1118" s="127"/>
      <c r="AA1118" s="127"/>
      <c r="AB1118" s="127"/>
      <c r="AC1118" s="127"/>
      <c r="AD1118" s="127"/>
      <c r="AE1118" s="127"/>
      <c r="AF1118" s="127"/>
    </row>
    <row r="1119" spans="1:249" s="5" customFormat="1" ht="23.25" customHeight="1">
      <c r="A1119" s="31" t="s">
        <v>250</v>
      </c>
      <c r="B1119" s="31"/>
      <c r="C1119" s="31"/>
      <c r="D1119" s="31"/>
      <c r="E1119" s="61"/>
      <c r="F1119" s="61"/>
      <c r="G1119" s="61"/>
      <c r="H1119" s="61"/>
      <c r="I1119" s="61"/>
      <c r="J1119" s="61"/>
      <c r="K1119" s="61"/>
      <c r="L1119" s="61"/>
      <c r="M1119" s="61"/>
      <c r="N1119" s="61"/>
      <c r="P1119" s="4"/>
      <c r="Q1119" s="129"/>
      <c r="R1119" s="129"/>
      <c r="S1119" s="129"/>
      <c r="T1119" s="129"/>
      <c r="U1119" s="127"/>
      <c r="V1119" s="127"/>
      <c r="W1119" s="127"/>
      <c r="X1119" s="127"/>
      <c r="Y1119" s="127"/>
      <c r="Z1119" s="127"/>
      <c r="AA1119" s="127"/>
      <c r="AB1119" s="127"/>
      <c r="AC1119" s="127"/>
      <c r="AD1119" s="127"/>
      <c r="AE1119" s="127"/>
      <c r="AF1119" s="127"/>
    </row>
    <row r="1120" spans="1:249" s="5" customFormat="1" ht="35.25" customHeight="1">
      <c r="A1120" s="62"/>
      <c r="B1120" s="1505" t="s">
        <v>251</v>
      </c>
      <c r="C1120" s="1505"/>
      <c r="D1120" s="1505"/>
      <c r="E1120" s="1505"/>
      <c r="F1120" s="1505"/>
      <c r="G1120" s="1505"/>
      <c r="H1120" s="1505"/>
      <c r="I1120" s="1505"/>
      <c r="J1120" s="1505"/>
      <c r="K1120" s="1505"/>
      <c r="L1120" s="1505"/>
      <c r="M1120" s="1505"/>
      <c r="N1120" s="1505"/>
      <c r="P1120" s="4"/>
      <c r="Q1120" s="129"/>
      <c r="R1120" s="129"/>
      <c r="S1120" s="129"/>
      <c r="T1120" s="129"/>
      <c r="U1120" s="127"/>
      <c r="V1120" s="127"/>
      <c r="W1120" s="127"/>
      <c r="X1120" s="127"/>
      <c r="Y1120" s="127"/>
      <c r="Z1120" s="127"/>
      <c r="AA1120" s="127"/>
      <c r="AB1120" s="127"/>
      <c r="AC1120" s="127"/>
      <c r="AD1120" s="127"/>
      <c r="AE1120" s="127"/>
      <c r="AF1120" s="127"/>
    </row>
    <row r="1121" spans="1:32" s="5" customFormat="1" ht="24.75" customHeight="1">
      <c r="A1121" s="58"/>
      <c r="B1121" s="1506"/>
      <c r="C1121" s="1506"/>
      <c r="D1121" s="1506"/>
      <c r="E1121" s="1506"/>
      <c r="F1121" s="1507"/>
      <c r="G1121" s="1507"/>
      <c r="H1121" s="1507"/>
      <c r="I1121" s="1507"/>
      <c r="J1121" s="1507"/>
      <c r="K1121" s="1507"/>
      <c r="L1121" s="1507"/>
      <c r="M1121" s="50"/>
      <c r="N1121" s="50"/>
      <c r="P1121" s="4"/>
      <c r="Q1121" s="129"/>
      <c r="R1121" s="129"/>
      <c r="S1121" s="129"/>
      <c r="T1121" s="129"/>
      <c r="U1121" s="127"/>
      <c r="V1121" s="127"/>
      <c r="W1121" s="127"/>
      <c r="X1121" s="127"/>
      <c r="Y1121" s="127"/>
      <c r="Z1121" s="127"/>
      <c r="AA1121" s="127"/>
      <c r="AB1121" s="127"/>
      <c r="AC1121" s="127"/>
      <c r="AD1121" s="127"/>
      <c r="AE1121" s="127"/>
      <c r="AF1121" s="127"/>
    </row>
    <row r="1122" spans="1:32" s="5" customFormat="1" ht="20.25" customHeight="1">
      <c r="A1122" s="107"/>
      <c r="B1122" s="1561" t="s">
        <v>283</v>
      </c>
      <c r="C1122" s="1561"/>
      <c r="D1122" s="1561"/>
      <c r="E1122" s="1561"/>
      <c r="F1122" s="1561"/>
      <c r="G1122" s="107"/>
      <c r="M1122" s="1561" t="s">
        <v>273</v>
      </c>
      <c r="N1122" s="1561"/>
      <c r="P1122" s="4"/>
      <c r="Q1122" s="129"/>
      <c r="R1122" s="129"/>
      <c r="S1122" s="129"/>
      <c r="T1122" s="129"/>
      <c r="U1122" s="127"/>
      <c r="V1122" s="127"/>
      <c r="W1122" s="127"/>
      <c r="X1122" s="127"/>
      <c r="Y1122" s="127"/>
      <c r="Z1122" s="127"/>
      <c r="AA1122" s="127"/>
      <c r="AB1122" s="127"/>
      <c r="AC1122" s="127"/>
      <c r="AD1122" s="127"/>
      <c r="AE1122" s="127"/>
      <c r="AF1122" s="127"/>
    </row>
    <row r="1123" spans="1:32" s="5" customFormat="1" ht="21.75" customHeight="1">
      <c r="A1123" s="1532"/>
      <c r="B1123" s="1532"/>
      <c r="C1123" s="1532"/>
      <c r="D1123" s="1532"/>
      <c r="E1123" s="1532"/>
      <c r="F1123" s="1532"/>
      <c r="G1123" s="1532"/>
      <c r="M1123" s="50"/>
      <c r="N1123" s="50"/>
      <c r="O1123" s="108"/>
      <c r="P1123" s="73"/>
      <c r="Q1123" s="129"/>
      <c r="R1123" s="129"/>
      <c r="S1123" s="129"/>
      <c r="T1123" s="129"/>
      <c r="U1123" s="127"/>
      <c r="V1123" s="127"/>
      <c r="W1123" s="127"/>
      <c r="X1123" s="127"/>
      <c r="Y1123" s="127"/>
      <c r="Z1123" s="127"/>
      <c r="AA1123" s="127"/>
      <c r="AB1123" s="127"/>
      <c r="AC1123" s="127"/>
      <c r="AD1123" s="127"/>
      <c r="AE1123" s="127"/>
      <c r="AF1123" s="127"/>
    </row>
    <row r="1124" spans="1:32" s="5" customFormat="1" ht="16.5">
      <c r="A1124" s="1532"/>
      <c r="B1124" s="1532"/>
      <c r="C1124" s="1532"/>
      <c r="D1124" s="1532"/>
      <c r="E1124" s="1532"/>
      <c r="F1124" s="1532"/>
      <c r="G1124" s="1532"/>
      <c r="M1124" s="50"/>
      <c r="N1124" s="50"/>
      <c r="P1124" s="4"/>
      <c r="Q1124" s="129"/>
      <c r="R1124" s="129"/>
      <c r="S1124" s="129"/>
      <c r="T1124" s="129"/>
      <c r="U1124" s="127"/>
      <c r="V1124" s="127"/>
      <c r="W1124" s="127"/>
      <c r="X1124" s="127"/>
      <c r="Y1124" s="127"/>
      <c r="Z1124" s="127"/>
      <c r="AA1124" s="127"/>
      <c r="AB1124" s="127"/>
      <c r="AC1124" s="127"/>
      <c r="AD1124" s="127"/>
      <c r="AE1124" s="127"/>
      <c r="AF1124" s="127"/>
    </row>
    <row r="1125" spans="1:32" s="108" customFormat="1" ht="24.75" customHeight="1">
      <c r="A1125" s="5"/>
      <c r="B1125" s="5"/>
      <c r="C1125" s="5"/>
      <c r="D1125" s="5"/>
      <c r="E1125" s="5"/>
      <c r="F1125" s="5"/>
      <c r="G1125" s="5"/>
      <c r="M1125" s="5"/>
      <c r="N1125" s="5"/>
      <c r="O1125" s="5"/>
      <c r="P1125" s="4"/>
      <c r="Q1125" s="111"/>
      <c r="R1125" s="111"/>
      <c r="S1125" s="111"/>
      <c r="T1125" s="111"/>
    </row>
    <row r="1126" spans="1:32" s="5" customFormat="1" ht="16.5" customHeight="1">
      <c r="Q1126" s="129"/>
      <c r="R1126" s="129"/>
      <c r="S1126" s="129"/>
      <c r="T1126" s="129"/>
      <c r="U1126" s="127"/>
      <c r="V1126" s="127"/>
      <c r="W1126" s="127"/>
      <c r="X1126" s="127"/>
      <c r="Y1126" s="127"/>
      <c r="Z1126" s="127"/>
      <c r="AA1126" s="127"/>
      <c r="AB1126" s="127"/>
      <c r="AC1126" s="127"/>
      <c r="AD1126" s="127"/>
      <c r="AE1126" s="127"/>
      <c r="AF1126" s="127"/>
    </row>
    <row r="1127" spans="1:32" s="5" customFormat="1" ht="16.5" customHeight="1">
      <c r="A1127" s="112"/>
      <c r="B1127" s="112"/>
      <c r="C1127" s="112"/>
      <c r="D1127" s="112"/>
      <c r="E1127" s="112"/>
      <c r="F1127" s="112"/>
      <c r="G1127" s="112"/>
      <c r="M1127" s="112"/>
      <c r="Q1127" s="129"/>
      <c r="R1127" s="129"/>
      <c r="S1127" s="129"/>
      <c r="T1127" s="129"/>
      <c r="U1127" s="127"/>
      <c r="V1127" s="127"/>
      <c r="W1127" s="127"/>
      <c r="X1127" s="127"/>
      <c r="Y1127" s="127"/>
      <c r="Z1127" s="127"/>
      <c r="AA1127" s="127"/>
      <c r="AB1127" s="127"/>
      <c r="AC1127" s="127"/>
      <c r="AD1127" s="127"/>
      <c r="AE1127" s="127"/>
      <c r="AF1127" s="127"/>
    </row>
    <row r="1128" spans="1:32" s="5" customFormat="1" ht="16.5">
      <c r="A1128" s="112"/>
      <c r="B1128" s="1562" t="str">
        <f>E1088</f>
        <v>.....................................</v>
      </c>
      <c r="C1128" s="1562"/>
      <c r="D1128" s="1562"/>
      <c r="E1128" s="1562"/>
      <c r="F1128" s="1562"/>
      <c r="G1128" s="1562"/>
      <c r="M1128" s="1562" t="str">
        <f>E1091</f>
        <v>CÔNG TY TNHH MTV HANTECH</v>
      </c>
      <c r="N1128" s="1562"/>
      <c r="Q1128" s="129"/>
      <c r="R1128" s="129"/>
      <c r="S1128" s="129"/>
      <c r="T1128" s="129"/>
      <c r="U1128" s="127"/>
      <c r="V1128" s="127"/>
      <c r="W1128" s="127"/>
      <c r="X1128" s="127"/>
      <c r="Y1128" s="127"/>
      <c r="Z1128" s="127"/>
      <c r="AA1128" s="127"/>
      <c r="AB1128" s="127"/>
      <c r="AC1128" s="127"/>
      <c r="AD1128" s="127"/>
      <c r="AE1128" s="127"/>
      <c r="AF1128" s="127"/>
    </row>
    <row r="1129" spans="1:32" s="5" customFormat="1" ht="16.5">
      <c r="A1129" s="109"/>
      <c r="Q1129" s="129"/>
      <c r="R1129" s="129"/>
      <c r="S1129" s="129"/>
      <c r="T1129" s="129"/>
      <c r="U1129" s="127"/>
      <c r="V1129" s="127"/>
      <c r="W1129" s="127"/>
      <c r="X1129" s="127"/>
      <c r="Y1129" s="127"/>
      <c r="Z1129" s="127"/>
      <c r="AA1129" s="127"/>
      <c r="AB1129" s="127"/>
      <c r="AC1129" s="127"/>
      <c r="AD1129" s="127"/>
      <c r="AE1129" s="127"/>
      <c r="AF1129" s="127"/>
    </row>
    <row r="1130" spans="1:32" s="5" customFormat="1" ht="16.5">
      <c r="A1130" s="113"/>
      <c r="Q1130" s="129"/>
      <c r="R1130" s="129"/>
      <c r="S1130" s="129"/>
      <c r="T1130" s="129"/>
      <c r="U1130" s="127"/>
      <c r="V1130" s="127"/>
      <c r="W1130" s="127"/>
      <c r="X1130" s="127"/>
      <c r="Y1130" s="127"/>
      <c r="Z1130" s="127"/>
      <c r="AA1130" s="127"/>
      <c r="AB1130" s="127"/>
      <c r="AC1130" s="127"/>
      <c r="AD1130" s="127"/>
      <c r="AE1130" s="127"/>
      <c r="AF1130" s="127"/>
    </row>
    <row r="1131" spans="1:32" s="5" customFormat="1" ht="16.5">
      <c r="A1131" s="110"/>
      <c r="Q1131" s="129"/>
      <c r="R1131" s="129"/>
      <c r="S1131" s="129"/>
      <c r="T1131" s="129"/>
      <c r="U1131" s="127"/>
      <c r="V1131" s="127"/>
      <c r="W1131" s="127"/>
      <c r="X1131" s="127"/>
      <c r="Y1131" s="127"/>
      <c r="Z1131" s="127"/>
      <c r="AA1131" s="127"/>
      <c r="AB1131" s="127"/>
      <c r="AC1131" s="127"/>
      <c r="AD1131" s="127"/>
      <c r="AE1131" s="127"/>
      <c r="AF1131" s="127"/>
    </row>
    <row r="1132" spans="1:32" s="5" customFormat="1" ht="16.5">
      <c r="A1132" s="110"/>
      <c r="Q1132" s="129"/>
      <c r="R1132" s="129"/>
      <c r="S1132" s="129"/>
      <c r="T1132" s="129"/>
      <c r="U1132" s="127"/>
      <c r="V1132" s="127"/>
      <c r="W1132" s="127"/>
      <c r="X1132" s="127"/>
      <c r="Y1132" s="127"/>
      <c r="Z1132" s="127"/>
      <c r="AA1132" s="127"/>
      <c r="AB1132" s="127"/>
      <c r="AC1132" s="127"/>
      <c r="AD1132" s="127"/>
      <c r="AE1132" s="127"/>
      <c r="AF1132" s="127"/>
    </row>
    <row r="1133" spans="1:32" s="5" customFormat="1" ht="16.5">
      <c r="A1133" s="113"/>
      <c r="Q1133" s="129"/>
      <c r="R1133" s="129"/>
      <c r="S1133" s="129"/>
      <c r="T1133" s="129"/>
      <c r="U1133" s="127"/>
      <c r="V1133" s="127"/>
      <c r="W1133" s="127"/>
      <c r="X1133" s="127"/>
      <c r="Y1133" s="127"/>
      <c r="Z1133" s="127"/>
      <c r="AA1133" s="127"/>
      <c r="AB1133" s="127"/>
      <c r="AC1133" s="127"/>
      <c r="AD1133" s="127"/>
      <c r="AE1133" s="127"/>
      <c r="AF1133" s="127"/>
    </row>
    <row r="1134" spans="1:32" s="5" customFormat="1" ht="16.5">
      <c r="A1134" s="113"/>
      <c r="Q1134" s="129"/>
      <c r="R1134" s="129"/>
      <c r="S1134" s="129"/>
      <c r="T1134" s="129"/>
      <c r="U1134" s="127"/>
      <c r="V1134" s="127"/>
      <c r="W1134" s="127"/>
      <c r="X1134" s="127"/>
      <c r="Y1134" s="127"/>
      <c r="Z1134" s="127"/>
      <c r="AA1134" s="127"/>
      <c r="AB1134" s="127"/>
      <c r="AC1134" s="127"/>
      <c r="AD1134" s="127"/>
      <c r="AE1134" s="127"/>
      <c r="AF1134" s="127"/>
    </row>
    <row r="1135" spans="1:32" s="5" customFormat="1" ht="16.5">
      <c r="A1135" s="110"/>
      <c r="Q1135" s="129"/>
      <c r="R1135" s="129"/>
      <c r="S1135" s="129"/>
      <c r="T1135" s="129"/>
      <c r="U1135" s="127"/>
      <c r="V1135" s="127"/>
      <c r="W1135" s="127"/>
      <c r="X1135" s="127"/>
      <c r="Y1135" s="127"/>
      <c r="Z1135" s="127"/>
      <c r="AA1135" s="127"/>
      <c r="AB1135" s="127"/>
      <c r="AC1135" s="127"/>
      <c r="AD1135" s="127"/>
      <c r="AE1135" s="127"/>
      <c r="AF1135" s="127"/>
    </row>
    <row r="1136" spans="1:32" s="5" customFormat="1" ht="16.5">
      <c r="A1136" s="110"/>
      <c r="Q1136" s="129"/>
      <c r="R1136" s="129"/>
      <c r="S1136" s="129"/>
      <c r="T1136" s="129"/>
      <c r="U1136" s="127"/>
      <c r="V1136" s="127"/>
      <c r="W1136" s="127"/>
      <c r="X1136" s="127"/>
      <c r="Y1136" s="127"/>
      <c r="Z1136" s="127"/>
      <c r="AA1136" s="127"/>
      <c r="AB1136" s="127"/>
      <c r="AC1136" s="127"/>
      <c r="AD1136" s="127"/>
      <c r="AE1136" s="127"/>
      <c r="AF1136" s="127"/>
    </row>
    <row r="1137" spans="1:32" s="5" customFormat="1" ht="16.5">
      <c r="B1137" s="110"/>
      <c r="C1137" s="110"/>
      <c r="Q1137" s="129"/>
      <c r="R1137" s="129"/>
      <c r="S1137" s="129"/>
      <c r="T1137" s="129"/>
      <c r="U1137" s="127"/>
      <c r="V1137" s="127"/>
      <c r="W1137" s="127"/>
      <c r="X1137" s="127"/>
      <c r="Y1137" s="127"/>
      <c r="Z1137" s="127"/>
      <c r="AA1137" s="127"/>
      <c r="AB1137" s="127"/>
      <c r="AC1137" s="127"/>
      <c r="AD1137" s="127"/>
      <c r="AE1137" s="127"/>
      <c r="AF1137" s="127"/>
    </row>
    <row r="1138" spans="1:32" s="5" customFormat="1" ht="16.5">
      <c r="B1138" s="110"/>
      <c r="C1138" s="110"/>
      <c r="Q1138" s="129"/>
      <c r="R1138" s="129"/>
      <c r="S1138" s="129"/>
      <c r="T1138" s="129"/>
      <c r="U1138" s="127"/>
      <c r="V1138" s="127"/>
      <c r="W1138" s="127"/>
      <c r="X1138" s="127"/>
      <c r="Y1138" s="127"/>
      <c r="Z1138" s="127"/>
      <c r="AA1138" s="127"/>
      <c r="AB1138" s="127"/>
      <c r="AC1138" s="127"/>
      <c r="AD1138" s="127"/>
      <c r="AE1138" s="127"/>
      <c r="AF1138" s="127"/>
    </row>
    <row r="1139" spans="1:32" s="5" customFormat="1" ht="16.5">
      <c r="B1139" s="110"/>
      <c r="C1139" s="110"/>
      <c r="Q1139" s="129"/>
      <c r="R1139" s="129"/>
      <c r="S1139" s="129"/>
      <c r="T1139" s="129"/>
      <c r="U1139" s="127"/>
      <c r="V1139" s="127"/>
      <c r="W1139" s="127"/>
      <c r="X1139" s="127"/>
      <c r="Y1139" s="127"/>
      <c r="Z1139" s="127"/>
      <c r="AA1139" s="127"/>
      <c r="AB1139" s="127"/>
      <c r="AC1139" s="127"/>
      <c r="AD1139" s="127"/>
      <c r="AE1139" s="127"/>
      <c r="AF1139" s="127"/>
    </row>
    <row r="1140" spans="1:32" s="5" customFormat="1" ht="16.5">
      <c r="B1140" s="110"/>
      <c r="C1140" s="110"/>
      <c r="Q1140" s="129"/>
      <c r="R1140" s="129"/>
      <c r="S1140" s="129"/>
      <c r="T1140" s="129"/>
      <c r="U1140" s="127"/>
      <c r="V1140" s="127"/>
      <c r="W1140" s="127"/>
      <c r="X1140" s="127"/>
      <c r="Y1140" s="127"/>
      <c r="Z1140" s="127"/>
      <c r="AA1140" s="127"/>
      <c r="AB1140" s="127"/>
      <c r="AC1140" s="127"/>
      <c r="AD1140" s="127"/>
      <c r="AE1140" s="127"/>
      <c r="AF1140" s="127"/>
    </row>
    <row r="1141" spans="1:32" s="5" customFormat="1" ht="16.5">
      <c r="B1141" s="110"/>
      <c r="C1141" s="110"/>
      <c r="Q1141" s="129"/>
      <c r="R1141" s="129"/>
      <c r="S1141" s="129"/>
      <c r="T1141" s="129"/>
      <c r="U1141" s="127"/>
      <c r="V1141" s="127"/>
      <c r="W1141" s="127"/>
      <c r="X1141" s="127"/>
      <c r="Y1141" s="127"/>
      <c r="Z1141" s="127"/>
      <c r="AA1141" s="127"/>
      <c r="AB1141" s="127"/>
      <c r="AC1141" s="127"/>
      <c r="AD1141" s="127"/>
      <c r="AE1141" s="127"/>
      <c r="AF1141" s="127"/>
    </row>
    <row r="1142" spans="1:32" s="5" customFormat="1" ht="16.5">
      <c r="B1142" s="110"/>
      <c r="C1142" s="110"/>
      <c r="Q1142" s="129"/>
      <c r="R1142" s="129"/>
      <c r="S1142" s="129"/>
      <c r="T1142" s="129"/>
      <c r="U1142" s="127"/>
      <c r="V1142" s="127"/>
      <c r="W1142" s="127"/>
      <c r="X1142" s="127"/>
      <c r="Y1142" s="127"/>
      <c r="Z1142" s="127"/>
      <c r="AA1142" s="127"/>
      <c r="AB1142" s="127"/>
      <c r="AC1142" s="127"/>
      <c r="AD1142" s="127"/>
      <c r="AE1142" s="127"/>
      <c r="AF1142" s="127"/>
    </row>
    <row r="1143" spans="1:32" s="5" customFormat="1" ht="16.5">
      <c r="B1143" s="110"/>
      <c r="C1143" s="110"/>
      <c r="Q1143" s="129"/>
      <c r="R1143" s="129"/>
      <c r="S1143" s="129"/>
      <c r="T1143" s="129"/>
      <c r="U1143" s="127"/>
      <c r="V1143" s="127"/>
      <c r="W1143" s="127"/>
      <c r="X1143" s="127"/>
      <c r="Y1143" s="127"/>
      <c r="Z1143" s="127"/>
      <c r="AA1143" s="127"/>
      <c r="AB1143" s="127"/>
      <c r="AC1143" s="127"/>
      <c r="AD1143" s="127"/>
      <c r="AE1143" s="127"/>
      <c r="AF1143" s="127"/>
    </row>
    <row r="1144" spans="1:32" s="5" customFormat="1" ht="16.5">
      <c r="B1144" s="110"/>
      <c r="C1144" s="110"/>
      <c r="Q1144" s="129"/>
      <c r="R1144" s="129"/>
      <c r="S1144" s="129"/>
      <c r="T1144" s="129"/>
      <c r="U1144" s="127"/>
      <c r="V1144" s="127"/>
      <c r="W1144" s="127"/>
      <c r="X1144" s="127"/>
      <c r="Y1144" s="127"/>
      <c r="Z1144" s="127"/>
      <c r="AA1144" s="127"/>
      <c r="AB1144" s="127"/>
      <c r="AC1144" s="127"/>
      <c r="AD1144" s="127"/>
      <c r="AE1144" s="127"/>
      <c r="AF1144" s="127"/>
    </row>
    <row r="1145" spans="1:32" s="5" customFormat="1" ht="16.5">
      <c r="B1145" s="110"/>
      <c r="C1145" s="110"/>
      <c r="Q1145" s="129"/>
      <c r="R1145" s="129"/>
      <c r="S1145" s="129"/>
      <c r="T1145" s="129"/>
      <c r="U1145" s="127"/>
      <c r="V1145" s="127"/>
      <c r="W1145" s="127"/>
      <c r="X1145" s="127"/>
      <c r="Y1145" s="127"/>
      <c r="Z1145" s="127"/>
      <c r="AA1145" s="127"/>
      <c r="AB1145" s="127"/>
      <c r="AC1145" s="127"/>
      <c r="AD1145" s="127"/>
      <c r="AE1145" s="127"/>
      <c r="AF1145" s="127"/>
    </row>
    <row r="1146" spans="1:32" s="5" customFormat="1" ht="16.5">
      <c r="B1146" s="110"/>
      <c r="C1146" s="110"/>
      <c r="Q1146" s="129"/>
      <c r="R1146" s="129"/>
      <c r="S1146" s="129"/>
      <c r="T1146" s="129"/>
      <c r="U1146" s="127"/>
      <c r="V1146" s="127"/>
      <c r="W1146" s="127"/>
      <c r="X1146" s="127"/>
      <c r="Y1146" s="127"/>
      <c r="Z1146" s="127"/>
      <c r="AA1146" s="127"/>
      <c r="AB1146" s="127"/>
      <c r="AC1146" s="127"/>
      <c r="AD1146" s="127"/>
      <c r="AE1146" s="127"/>
      <c r="AF1146" s="127"/>
    </row>
    <row r="1147" spans="1:32" s="5" customFormat="1" ht="16.5">
      <c r="A1147" s="113"/>
      <c r="Q1147" s="129"/>
      <c r="R1147" s="129"/>
      <c r="S1147" s="129"/>
      <c r="T1147" s="129"/>
      <c r="U1147" s="127"/>
      <c r="V1147" s="127"/>
      <c r="W1147" s="127"/>
      <c r="X1147" s="127"/>
      <c r="Y1147" s="127"/>
      <c r="Z1147" s="127"/>
      <c r="AA1147" s="127"/>
      <c r="AB1147" s="127"/>
      <c r="AC1147" s="127"/>
      <c r="AD1147" s="127"/>
      <c r="AE1147" s="127"/>
      <c r="AF1147" s="127"/>
    </row>
    <row r="1148" spans="1:32" s="5" customFormat="1" ht="16.5">
      <c r="B1148" s="114"/>
      <c r="C1148" s="114"/>
      <c r="Q1148" s="129"/>
      <c r="R1148" s="129"/>
      <c r="S1148" s="129"/>
      <c r="T1148" s="129"/>
      <c r="U1148" s="127"/>
      <c r="V1148" s="127"/>
      <c r="W1148" s="127"/>
      <c r="X1148" s="127"/>
      <c r="Y1148" s="127"/>
      <c r="Z1148" s="127"/>
      <c r="AA1148" s="127"/>
      <c r="AB1148" s="127"/>
      <c r="AC1148" s="127"/>
      <c r="AD1148" s="127"/>
      <c r="AE1148" s="127"/>
      <c r="AF1148" s="127"/>
    </row>
  </sheetData>
  <mergeCells count="2577">
    <mergeCell ref="A1123:B1123"/>
    <mergeCell ref="C1123:D1123"/>
    <mergeCell ref="E1123:G1123"/>
    <mergeCell ref="B1128:G1128"/>
    <mergeCell ref="M1128:N1128"/>
    <mergeCell ref="A1124:B1124"/>
    <mergeCell ref="C1124:D1124"/>
    <mergeCell ref="E1124:G1124"/>
    <mergeCell ref="B1121:E1121"/>
    <mergeCell ref="F1121:G1121"/>
    <mergeCell ref="H1121:I1121"/>
    <mergeCell ref="J1121:L1121"/>
    <mergeCell ref="B1122:F1122"/>
    <mergeCell ref="M1122:N1122"/>
    <mergeCell ref="B1116:G1116"/>
    <mergeCell ref="H1116:L1116"/>
    <mergeCell ref="B1117:G1117"/>
    <mergeCell ref="H1117:L1117"/>
    <mergeCell ref="G1118:J1118"/>
    <mergeCell ref="B1120:N1120"/>
    <mergeCell ref="IF1112:IN1112"/>
    <mergeCell ref="B1113:I1113"/>
    <mergeCell ref="A1114:A1115"/>
    <mergeCell ref="B1114:G1115"/>
    <mergeCell ref="H1114:L1115"/>
    <mergeCell ref="M1114:N1114"/>
    <mergeCell ref="GB1112:GO1112"/>
    <mergeCell ref="GP1112:HC1112"/>
    <mergeCell ref="HD1112:HQ1112"/>
    <mergeCell ref="HR1112:IE1112"/>
    <mergeCell ref="CV1112:DI1112"/>
    <mergeCell ref="DJ1112:DW1112"/>
    <mergeCell ref="DX1112:EK1112"/>
    <mergeCell ref="EL1112:EY1112"/>
    <mergeCell ref="EZ1112:FM1112"/>
    <mergeCell ref="FN1112:GA1112"/>
    <mergeCell ref="A1112:N1112"/>
    <mergeCell ref="AD1112:AQ1112"/>
    <mergeCell ref="AR1112:BE1112"/>
    <mergeCell ref="BF1112:BS1112"/>
    <mergeCell ref="BT1112:CG1112"/>
    <mergeCell ref="CH1112:CU1112"/>
    <mergeCell ref="IF1111:IN1111"/>
    <mergeCell ref="A1:F3"/>
    <mergeCell ref="A78:F80"/>
    <mergeCell ref="A193:F196"/>
    <mergeCell ref="A269:F272"/>
    <mergeCell ref="A382:F385"/>
    <mergeCell ref="A459:F462"/>
    <mergeCell ref="A571:G574"/>
    <mergeCell ref="AD1111:AQ1111"/>
    <mergeCell ref="AR1111:BE1111"/>
    <mergeCell ref="DX1110:EK1110"/>
    <mergeCell ref="BF1111:BS1111"/>
    <mergeCell ref="BT1111:CG1111"/>
    <mergeCell ref="CH1111:CU1111"/>
    <mergeCell ref="CV1111:DI1111"/>
    <mergeCell ref="BT1110:CG1110"/>
    <mergeCell ref="CH1110:CU1110"/>
    <mergeCell ref="CV1110:DI1110"/>
    <mergeCell ref="DJ1110:DW1110"/>
    <mergeCell ref="HD1111:HQ1111"/>
    <mergeCell ref="HR1111:IE1111"/>
    <mergeCell ref="DJ1111:DW1111"/>
    <mergeCell ref="DX1111:EK1111"/>
    <mergeCell ref="EL1111:EY1111"/>
    <mergeCell ref="EZ1111:FM1111"/>
    <mergeCell ref="FN1111:GA1111"/>
    <mergeCell ref="GB1111:GO1111"/>
    <mergeCell ref="GP1111:HC1111"/>
    <mergeCell ref="EZ1110:FM1110"/>
    <mergeCell ref="FN1110:GA1110"/>
    <mergeCell ref="GB1110:GO1110"/>
    <mergeCell ref="HD1110:HQ1110"/>
    <mergeCell ref="HR1110:IE1110"/>
    <mergeCell ref="GP1110:HC1110"/>
    <mergeCell ref="GP1108:HC1108"/>
    <mergeCell ref="HD1108:HQ1108"/>
    <mergeCell ref="HR1108:IE1108"/>
    <mergeCell ref="IF1108:IN1108"/>
    <mergeCell ref="A1109:N1109"/>
    <mergeCell ref="AD1110:AQ1110"/>
    <mergeCell ref="AR1110:BE1110"/>
    <mergeCell ref="BF1110:BS1110"/>
    <mergeCell ref="IF1110:IN1110"/>
    <mergeCell ref="EL1110:EY1110"/>
    <mergeCell ref="DJ1108:DW1108"/>
    <mergeCell ref="DX1108:EK1108"/>
    <mergeCell ref="EL1108:EY1108"/>
    <mergeCell ref="EZ1108:FM1108"/>
    <mergeCell ref="FN1108:GA1108"/>
    <mergeCell ref="GB1108:GO1108"/>
    <mergeCell ref="AD1108:AQ1108"/>
    <mergeCell ref="AR1108:BE1108"/>
    <mergeCell ref="BF1108:BS1108"/>
    <mergeCell ref="BT1108:CG1108"/>
    <mergeCell ref="CH1108:CU1108"/>
    <mergeCell ref="CV1108:DI1108"/>
    <mergeCell ref="HD1107:HQ1107"/>
    <mergeCell ref="HR1107:IE1107"/>
    <mergeCell ref="IF1107:IN1107"/>
    <mergeCell ref="A647:F650"/>
    <mergeCell ref="A761:F764"/>
    <mergeCell ref="A837:F840"/>
    <mergeCell ref="A953:G956"/>
    <mergeCell ref="A1030:F1033"/>
    <mergeCell ref="EZ1107:FM1107"/>
    <mergeCell ref="FN1107:GA1107"/>
    <mergeCell ref="CH1107:CU1107"/>
    <mergeCell ref="GB1107:GO1107"/>
    <mergeCell ref="GP1107:HC1107"/>
    <mergeCell ref="CV1107:DI1107"/>
    <mergeCell ref="DJ1107:DW1107"/>
    <mergeCell ref="DX1107:EK1107"/>
    <mergeCell ref="EL1107:EY1107"/>
    <mergeCell ref="A1106:N1106"/>
    <mergeCell ref="A1107:N1107"/>
    <mergeCell ref="AD1107:AQ1107"/>
    <mergeCell ref="AR1107:BE1107"/>
    <mergeCell ref="BF1107:BS1107"/>
    <mergeCell ref="BT1107:CG1107"/>
    <mergeCell ref="IF1104:IN1104"/>
    <mergeCell ref="EZ1104:FM1104"/>
    <mergeCell ref="FN1104:GA1104"/>
    <mergeCell ref="GB1104:GO1104"/>
    <mergeCell ref="GP1104:HC1104"/>
    <mergeCell ref="A1105:N1105"/>
    <mergeCell ref="CH1104:CU1104"/>
    <mergeCell ref="CV1104:DI1104"/>
    <mergeCell ref="DJ1104:DW1104"/>
    <mergeCell ref="DX1104:EK1104"/>
    <mergeCell ref="AD1104:AQ1104"/>
    <mergeCell ref="AR1104:BE1104"/>
    <mergeCell ref="BF1104:BS1104"/>
    <mergeCell ref="BT1104:CG1104"/>
    <mergeCell ref="EL1104:EY1104"/>
    <mergeCell ref="GP1103:HC1103"/>
    <mergeCell ref="CH1103:CU1103"/>
    <mergeCell ref="HD1103:HQ1103"/>
    <mergeCell ref="HR1103:IE1103"/>
    <mergeCell ref="HD1104:HQ1104"/>
    <mergeCell ref="HR1104:IE1104"/>
    <mergeCell ref="CV1103:DI1103"/>
    <mergeCell ref="DJ1103:DW1103"/>
    <mergeCell ref="DX1103:EK1103"/>
    <mergeCell ref="IF1103:IN1103"/>
    <mergeCell ref="EL1103:EY1103"/>
    <mergeCell ref="EZ1103:FM1103"/>
    <mergeCell ref="FN1103:GA1103"/>
    <mergeCell ref="GB1103:GO1103"/>
    <mergeCell ref="A1099:N1099"/>
    <mergeCell ref="AD1103:AQ1103"/>
    <mergeCell ref="AR1103:BE1103"/>
    <mergeCell ref="BF1103:BS1103"/>
    <mergeCell ref="BT1103:CG1103"/>
    <mergeCell ref="A1085:L1085"/>
    <mergeCell ref="A1092:L1092"/>
    <mergeCell ref="F1093:L1093"/>
    <mergeCell ref="F1094:L1094"/>
    <mergeCell ref="A1097:L1097"/>
    <mergeCell ref="A1098:N1098"/>
    <mergeCell ref="A1074:N1074"/>
    <mergeCell ref="A1075:N1075"/>
    <mergeCell ref="J1076:N1076"/>
    <mergeCell ref="A1078:N1078"/>
    <mergeCell ref="A1079:N1079"/>
    <mergeCell ref="C1083:N1083"/>
    <mergeCell ref="A1065:H1065"/>
    <mergeCell ref="I1065:N1065"/>
    <mergeCell ref="B1066:E1066"/>
    <mergeCell ref="A1071:H1071"/>
    <mergeCell ref="I1071:N1071"/>
    <mergeCell ref="A1073:N1073"/>
    <mergeCell ref="A1057:B1057"/>
    <mergeCell ref="C1057:G1057"/>
    <mergeCell ref="M1057:N1057"/>
    <mergeCell ref="A1060:B1060"/>
    <mergeCell ref="C1060:G1060"/>
    <mergeCell ref="H1060:I1060"/>
    <mergeCell ref="J1060:L1060"/>
    <mergeCell ref="M1060:N1060"/>
    <mergeCell ref="A1035:N1035"/>
    <mergeCell ref="G1030:N1030"/>
    <mergeCell ref="G1031:N1031"/>
    <mergeCell ref="C1038:N1038"/>
    <mergeCell ref="F1043:N1043"/>
    <mergeCell ref="G1053:H1053"/>
    <mergeCell ref="I1053:N1053"/>
    <mergeCell ref="B1019:E1019"/>
    <mergeCell ref="F1019:G1019"/>
    <mergeCell ref="H1019:I1019"/>
    <mergeCell ref="J1019:L1019"/>
    <mergeCell ref="J1032:N1032"/>
    <mergeCell ref="A1034:N1034"/>
    <mergeCell ref="B1017:E1017"/>
    <mergeCell ref="F1017:G1017"/>
    <mergeCell ref="H1017:I1017"/>
    <mergeCell ref="J1017:L1017"/>
    <mergeCell ref="A1018:H1018"/>
    <mergeCell ref="I1018:N1018"/>
    <mergeCell ref="A1006:E1006"/>
    <mergeCell ref="B1007:E1007"/>
    <mergeCell ref="F1007:G1007"/>
    <mergeCell ref="H1007:I1007"/>
    <mergeCell ref="J1007:L1007"/>
    <mergeCell ref="B1008:E1008"/>
    <mergeCell ref="F1008:G1008"/>
    <mergeCell ref="H1008:I1008"/>
    <mergeCell ref="J1008:L1008"/>
    <mergeCell ref="A1000:E1000"/>
    <mergeCell ref="F1000:N1000"/>
    <mergeCell ref="F1001:K1001"/>
    <mergeCell ref="L1001:N1001"/>
    <mergeCell ref="A1005:E1005"/>
    <mergeCell ref="F1005:K1005"/>
    <mergeCell ref="L1005:N1005"/>
    <mergeCell ref="H996:K996"/>
    <mergeCell ref="D998:N998"/>
    <mergeCell ref="B999:E999"/>
    <mergeCell ref="F999:G999"/>
    <mergeCell ref="H999:I999"/>
    <mergeCell ref="J999:L999"/>
    <mergeCell ref="B994:G994"/>
    <mergeCell ref="H994:L994"/>
    <mergeCell ref="CH993:CU993"/>
    <mergeCell ref="CV993:DI993"/>
    <mergeCell ref="DJ993:DW993"/>
    <mergeCell ref="B995:G995"/>
    <mergeCell ref="H995:L995"/>
    <mergeCell ref="AD993:AQ993"/>
    <mergeCell ref="AR993:BE993"/>
    <mergeCell ref="BF993:BS993"/>
    <mergeCell ref="BT993:CG993"/>
    <mergeCell ref="EL993:EY993"/>
    <mergeCell ref="IF993:IN993"/>
    <mergeCell ref="EZ993:FM993"/>
    <mergeCell ref="FN993:GA993"/>
    <mergeCell ref="GB993:GO993"/>
    <mergeCell ref="GP993:HC993"/>
    <mergeCell ref="HR992:IE992"/>
    <mergeCell ref="HD993:HQ993"/>
    <mergeCell ref="HR993:IE993"/>
    <mergeCell ref="EZ991:FM991"/>
    <mergeCell ref="FN991:GA991"/>
    <mergeCell ref="DX993:EK993"/>
    <mergeCell ref="CH991:CU991"/>
    <mergeCell ref="CV991:DI991"/>
    <mergeCell ref="IF992:IN992"/>
    <mergeCell ref="EL992:EY992"/>
    <mergeCell ref="EZ992:FM992"/>
    <mergeCell ref="FN992:GA992"/>
    <mergeCell ref="GB992:GO992"/>
    <mergeCell ref="DJ991:DW991"/>
    <mergeCell ref="GP992:HC992"/>
    <mergeCell ref="HD992:HQ992"/>
    <mergeCell ref="AR992:BE992"/>
    <mergeCell ref="BF992:BS992"/>
    <mergeCell ref="BF991:BS991"/>
    <mergeCell ref="GP991:HC991"/>
    <mergeCell ref="HD991:HQ991"/>
    <mergeCell ref="HR991:IE991"/>
    <mergeCell ref="DX991:EK991"/>
    <mergeCell ref="EL991:EY991"/>
    <mergeCell ref="A989:N989"/>
    <mergeCell ref="AD989:AQ989"/>
    <mergeCell ref="AR989:BE989"/>
    <mergeCell ref="BF989:BS989"/>
    <mergeCell ref="IF989:IN989"/>
    <mergeCell ref="EL989:EY989"/>
    <mergeCell ref="EZ989:FM989"/>
    <mergeCell ref="FN989:GA989"/>
    <mergeCell ref="GB989:GO989"/>
    <mergeCell ref="GP989:HC989"/>
    <mergeCell ref="BT991:CG991"/>
    <mergeCell ref="BT992:CG992"/>
    <mergeCell ref="GB991:GO991"/>
    <mergeCell ref="CH992:CU992"/>
    <mergeCell ref="CV992:DI992"/>
    <mergeCell ref="DJ992:DW992"/>
    <mergeCell ref="DX992:EK992"/>
    <mergeCell ref="A990:N990"/>
    <mergeCell ref="B991:I991"/>
    <mergeCell ref="AD991:AQ991"/>
    <mergeCell ref="AR991:BE991"/>
    <mergeCell ref="IF991:IN991"/>
    <mergeCell ref="A992:A993"/>
    <mergeCell ref="B992:G993"/>
    <mergeCell ref="H992:L993"/>
    <mergeCell ref="M992:N992"/>
    <mergeCell ref="AD992:AQ992"/>
    <mergeCell ref="GP988:HC988"/>
    <mergeCell ref="HD988:HQ988"/>
    <mergeCell ref="HR988:IE988"/>
    <mergeCell ref="IF988:IN988"/>
    <mergeCell ref="BT989:CG989"/>
    <mergeCell ref="CH989:CU989"/>
    <mergeCell ref="CV989:DI989"/>
    <mergeCell ref="DJ989:DW989"/>
    <mergeCell ref="DJ988:DW988"/>
    <mergeCell ref="DX988:EK988"/>
    <mergeCell ref="EL988:EY988"/>
    <mergeCell ref="EZ988:FM988"/>
    <mergeCell ref="FN988:GA988"/>
    <mergeCell ref="GB988:GO988"/>
    <mergeCell ref="AD988:AQ988"/>
    <mergeCell ref="AR988:BE988"/>
    <mergeCell ref="BF988:BS988"/>
    <mergeCell ref="BT988:CG988"/>
    <mergeCell ref="CH988:CU988"/>
    <mergeCell ref="CV988:DI988"/>
    <mergeCell ref="HD989:HQ989"/>
    <mergeCell ref="HR989:IE989"/>
    <mergeCell ref="DX989:EK989"/>
    <mergeCell ref="A987:N987"/>
    <mergeCell ref="GB985:GO985"/>
    <mergeCell ref="GP985:HC985"/>
    <mergeCell ref="HD985:HQ985"/>
    <mergeCell ref="HR985:IE985"/>
    <mergeCell ref="DX985:EK985"/>
    <mergeCell ref="EL985:EY985"/>
    <mergeCell ref="EZ985:FM985"/>
    <mergeCell ref="BT985:CG985"/>
    <mergeCell ref="CH985:CU985"/>
    <mergeCell ref="CV985:DI985"/>
    <mergeCell ref="DJ985:DW985"/>
    <mergeCell ref="IF985:IN985"/>
    <mergeCell ref="A986:N986"/>
    <mergeCell ref="IF984:IN984"/>
    <mergeCell ref="EZ984:FM984"/>
    <mergeCell ref="FN984:GA984"/>
    <mergeCell ref="GB984:GO984"/>
    <mergeCell ref="GP984:HC984"/>
    <mergeCell ref="A985:N985"/>
    <mergeCell ref="AD985:AQ985"/>
    <mergeCell ref="AR985:BE985"/>
    <mergeCell ref="BF985:BS985"/>
    <mergeCell ref="FN985:GA985"/>
    <mergeCell ref="CH984:CU984"/>
    <mergeCell ref="CV984:DI984"/>
    <mergeCell ref="DJ984:DW984"/>
    <mergeCell ref="DX984:EK984"/>
    <mergeCell ref="AD984:AQ984"/>
    <mergeCell ref="AR984:BE984"/>
    <mergeCell ref="BF984:BS984"/>
    <mergeCell ref="BT984:CG984"/>
    <mergeCell ref="EL984:EY984"/>
    <mergeCell ref="GP983:HC983"/>
    <mergeCell ref="HD983:HQ983"/>
    <mergeCell ref="HR983:IE983"/>
    <mergeCell ref="HD984:HQ984"/>
    <mergeCell ref="HR984:IE984"/>
    <mergeCell ref="CV983:DI983"/>
    <mergeCell ref="DJ983:DW983"/>
    <mergeCell ref="DX983:EK983"/>
    <mergeCell ref="IF983:IN983"/>
    <mergeCell ref="EL983:EY983"/>
    <mergeCell ref="EZ983:FM983"/>
    <mergeCell ref="FN983:GA983"/>
    <mergeCell ref="GB983:GO983"/>
    <mergeCell ref="IF982:IN982"/>
    <mergeCell ref="EZ982:FM982"/>
    <mergeCell ref="FN982:GA982"/>
    <mergeCell ref="GB982:GO982"/>
    <mergeCell ref="GP982:HC982"/>
    <mergeCell ref="AD983:AQ983"/>
    <mergeCell ref="AR983:BE983"/>
    <mergeCell ref="BF983:BS983"/>
    <mergeCell ref="BT983:CG983"/>
    <mergeCell ref="CH983:CU983"/>
    <mergeCell ref="CH982:CU982"/>
    <mergeCell ref="CV982:DI982"/>
    <mergeCell ref="DJ982:DW982"/>
    <mergeCell ref="DX982:EK982"/>
    <mergeCell ref="AD982:AQ982"/>
    <mergeCell ref="AR982:BE982"/>
    <mergeCell ref="BF982:BS982"/>
    <mergeCell ref="BT982:CG982"/>
    <mergeCell ref="EL982:EY982"/>
    <mergeCell ref="GP981:HC981"/>
    <mergeCell ref="HD981:HQ981"/>
    <mergeCell ref="HR981:IE981"/>
    <mergeCell ref="HD982:HQ982"/>
    <mergeCell ref="HR982:IE982"/>
    <mergeCell ref="CH981:CU981"/>
    <mergeCell ref="CV981:DI981"/>
    <mergeCell ref="DJ981:DW981"/>
    <mergeCell ref="DX981:EK981"/>
    <mergeCell ref="IF981:IN981"/>
    <mergeCell ref="EL981:EY981"/>
    <mergeCell ref="EZ981:FM981"/>
    <mergeCell ref="FN981:GA981"/>
    <mergeCell ref="GB981:GO981"/>
    <mergeCell ref="A978:N978"/>
    <mergeCell ref="A979:N979"/>
    <mergeCell ref="AD981:AQ981"/>
    <mergeCell ref="AR981:BE981"/>
    <mergeCell ref="BF981:BS981"/>
    <mergeCell ref="BT981:CG981"/>
    <mergeCell ref="C962:N962"/>
    <mergeCell ref="A966:L966"/>
    <mergeCell ref="A972:L972"/>
    <mergeCell ref="F973:L973"/>
    <mergeCell ref="F974:L974"/>
    <mergeCell ref="A977:L977"/>
    <mergeCell ref="IF956:IN956"/>
    <mergeCell ref="A957:N957"/>
    <mergeCell ref="A958:N958"/>
    <mergeCell ref="GB956:GO956"/>
    <mergeCell ref="GP956:HC956"/>
    <mergeCell ref="HD956:HQ956"/>
    <mergeCell ref="HR956:IE956"/>
    <mergeCell ref="DX956:EK956"/>
    <mergeCell ref="EL956:EY956"/>
    <mergeCell ref="EZ956:FM956"/>
    <mergeCell ref="AD956:AQ956"/>
    <mergeCell ref="AR956:BE956"/>
    <mergeCell ref="BF956:BS956"/>
    <mergeCell ref="FN956:GA956"/>
    <mergeCell ref="BT956:CG956"/>
    <mergeCell ref="CH956:CU956"/>
    <mergeCell ref="CV956:DI956"/>
    <mergeCell ref="DJ956:DW956"/>
    <mergeCell ref="H953:N953"/>
    <mergeCell ref="H954:N954"/>
    <mergeCell ref="B933:G933"/>
    <mergeCell ref="M933:N933"/>
    <mergeCell ref="A948:B948"/>
    <mergeCell ref="I955:N955"/>
    <mergeCell ref="B927:F927"/>
    <mergeCell ref="M927:N927"/>
    <mergeCell ref="A928:B928"/>
    <mergeCell ref="C928:D928"/>
    <mergeCell ref="E928:G928"/>
    <mergeCell ref="A929:B929"/>
    <mergeCell ref="C929:D929"/>
    <mergeCell ref="E929:G929"/>
    <mergeCell ref="G923:J923"/>
    <mergeCell ref="B925:N925"/>
    <mergeCell ref="B926:E926"/>
    <mergeCell ref="F926:G926"/>
    <mergeCell ref="H926:I926"/>
    <mergeCell ref="J926:L926"/>
    <mergeCell ref="B921:G921"/>
    <mergeCell ref="H921:L921"/>
    <mergeCell ref="B922:G922"/>
    <mergeCell ref="H922:L922"/>
    <mergeCell ref="B916:I916"/>
    <mergeCell ref="A917:A918"/>
    <mergeCell ref="B917:G918"/>
    <mergeCell ref="H917:L918"/>
    <mergeCell ref="B919:G919"/>
    <mergeCell ref="H919:L919"/>
    <mergeCell ref="M917:N917"/>
    <mergeCell ref="GP915:HC915"/>
    <mergeCell ref="HD915:HQ915"/>
    <mergeCell ref="HR915:IE915"/>
    <mergeCell ref="A915:N915"/>
    <mergeCell ref="AD915:AQ915"/>
    <mergeCell ref="AR915:BE915"/>
    <mergeCell ref="BF915:BS915"/>
    <mergeCell ref="BT915:CG915"/>
    <mergeCell ref="CH915:CU915"/>
    <mergeCell ref="CV915:DI915"/>
    <mergeCell ref="DJ915:DW915"/>
    <mergeCell ref="DX915:EK915"/>
    <mergeCell ref="IF915:IN915"/>
    <mergeCell ref="EL915:EY915"/>
    <mergeCell ref="EZ915:FM915"/>
    <mergeCell ref="FN915:GA915"/>
    <mergeCell ref="GB915:GO915"/>
    <mergeCell ref="A913:N913"/>
    <mergeCell ref="AD914:AQ914"/>
    <mergeCell ref="AR914:BE914"/>
    <mergeCell ref="BF914:BS914"/>
    <mergeCell ref="HD914:HQ914"/>
    <mergeCell ref="HR914:IE914"/>
    <mergeCell ref="EL914:EY914"/>
    <mergeCell ref="EZ914:FM914"/>
    <mergeCell ref="FN914:GA914"/>
    <mergeCell ref="GB914:GO914"/>
    <mergeCell ref="B920:G920"/>
    <mergeCell ref="H920:L920"/>
    <mergeCell ref="BT914:CG914"/>
    <mergeCell ref="CH914:CU914"/>
    <mergeCell ref="CV914:DI914"/>
    <mergeCell ref="DJ914:DW914"/>
    <mergeCell ref="IF914:IN914"/>
    <mergeCell ref="CH912:CU912"/>
    <mergeCell ref="CV912:DI912"/>
    <mergeCell ref="DX912:EK912"/>
    <mergeCell ref="EL912:EY912"/>
    <mergeCell ref="GP914:HC914"/>
    <mergeCell ref="DX914:EK914"/>
    <mergeCell ref="HR911:IE911"/>
    <mergeCell ref="IF911:IN911"/>
    <mergeCell ref="EZ911:FM911"/>
    <mergeCell ref="FN911:GA911"/>
    <mergeCell ref="GB911:GO911"/>
    <mergeCell ref="GP911:HC911"/>
    <mergeCell ref="HD911:HQ911"/>
    <mergeCell ref="EZ912:FM912"/>
    <mergeCell ref="CH911:CU911"/>
    <mergeCell ref="CV911:DI911"/>
    <mergeCell ref="DJ911:DW911"/>
    <mergeCell ref="DX911:EK911"/>
    <mergeCell ref="EL911:EY911"/>
    <mergeCell ref="A910:N910"/>
    <mergeCell ref="A911:N911"/>
    <mergeCell ref="AD911:AQ911"/>
    <mergeCell ref="AR911:BE911"/>
    <mergeCell ref="BF911:BS911"/>
    <mergeCell ref="BT911:CG911"/>
    <mergeCell ref="GP912:HC912"/>
    <mergeCell ref="HD912:HQ912"/>
    <mergeCell ref="HR912:IE912"/>
    <mergeCell ref="IF912:IN912"/>
    <mergeCell ref="IF908:IN908"/>
    <mergeCell ref="EZ908:FM908"/>
    <mergeCell ref="FN908:GA908"/>
    <mergeCell ref="GB908:GO908"/>
    <mergeCell ref="GP908:HC908"/>
    <mergeCell ref="A909:N909"/>
    <mergeCell ref="CH908:CU908"/>
    <mergeCell ref="CV908:DI908"/>
    <mergeCell ref="DJ908:DW908"/>
    <mergeCell ref="DX908:EK908"/>
    <mergeCell ref="AD908:AQ908"/>
    <mergeCell ref="AR908:BE908"/>
    <mergeCell ref="BF908:BS908"/>
    <mergeCell ref="BT908:CG908"/>
    <mergeCell ref="EL908:EY908"/>
    <mergeCell ref="DJ912:DW912"/>
    <mergeCell ref="FN912:GA912"/>
    <mergeCell ref="GB912:GO912"/>
    <mergeCell ref="AD912:AQ912"/>
    <mergeCell ref="AR912:BE912"/>
    <mergeCell ref="BF912:BS912"/>
    <mergeCell ref="BT912:CG912"/>
    <mergeCell ref="GP907:HC907"/>
    <mergeCell ref="CH907:CU907"/>
    <mergeCell ref="HD907:HQ907"/>
    <mergeCell ref="HR907:IE907"/>
    <mergeCell ref="HD908:HQ908"/>
    <mergeCell ref="HR908:IE908"/>
    <mergeCell ref="CV907:DI907"/>
    <mergeCell ref="DJ907:DW907"/>
    <mergeCell ref="DX907:EK907"/>
    <mergeCell ref="IF907:IN907"/>
    <mergeCell ref="EL907:EY907"/>
    <mergeCell ref="EZ907:FM907"/>
    <mergeCell ref="FN907:GA907"/>
    <mergeCell ref="GB907:GO907"/>
    <mergeCell ref="A903:N903"/>
    <mergeCell ref="AD907:AQ907"/>
    <mergeCell ref="AR907:BE907"/>
    <mergeCell ref="BF907:BS907"/>
    <mergeCell ref="BT907:CG907"/>
    <mergeCell ref="A889:L889"/>
    <mergeCell ref="A896:L896"/>
    <mergeCell ref="F897:L897"/>
    <mergeCell ref="F898:L898"/>
    <mergeCell ref="A901:L901"/>
    <mergeCell ref="A902:N902"/>
    <mergeCell ref="A878:N878"/>
    <mergeCell ref="A879:N879"/>
    <mergeCell ref="J880:N880"/>
    <mergeCell ref="A882:N882"/>
    <mergeCell ref="A883:N883"/>
    <mergeCell ref="C887:N887"/>
    <mergeCell ref="A867:H867"/>
    <mergeCell ref="I867:N867"/>
    <mergeCell ref="B868:E868"/>
    <mergeCell ref="A873:H873"/>
    <mergeCell ref="I873:N873"/>
    <mergeCell ref="A877:N877"/>
    <mergeCell ref="A861:B861"/>
    <mergeCell ref="C861:G861"/>
    <mergeCell ref="M861:N861"/>
    <mergeCell ref="A863:B863"/>
    <mergeCell ref="C863:G863"/>
    <mergeCell ref="H863:I863"/>
    <mergeCell ref="J863:L863"/>
    <mergeCell ref="M863:N863"/>
    <mergeCell ref="A842:N842"/>
    <mergeCell ref="G837:N837"/>
    <mergeCell ref="G838:N838"/>
    <mergeCell ref="C845:N845"/>
    <mergeCell ref="F850:N850"/>
    <mergeCell ref="G857:H857"/>
    <mergeCell ref="I857:N857"/>
    <mergeCell ref="B829:E829"/>
    <mergeCell ref="F829:G829"/>
    <mergeCell ref="H829:I829"/>
    <mergeCell ref="J829:L829"/>
    <mergeCell ref="J839:N839"/>
    <mergeCell ref="A841:N841"/>
    <mergeCell ref="B827:E827"/>
    <mergeCell ref="F827:G827"/>
    <mergeCell ref="H827:I827"/>
    <mergeCell ref="J827:L827"/>
    <mergeCell ref="A828:H828"/>
    <mergeCell ref="I828:N828"/>
    <mergeCell ref="B817:E817"/>
    <mergeCell ref="F817:G817"/>
    <mergeCell ref="H817:I817"/>
    <mergeCell ref="J817:L817"/>
    <mergeCell ref="B818:E818"/>
    <mergeCell ref="F818:G818"/>
    <mergeCell ref="H818:I818"/>
    <mergeCell ref="J818:L818"/>
    <mergeCell ref="F811:K811"/>
    <mergeCell ref="L811:N811"/>
    <mergeCell ref="A815:E815"/>
    <mergeCell ref="F815:K815"/>
    <mergeCell ref="L815:N815"/>
    <mergeCell ref="A816:E816"/>
    <mergeCell ref="B809:E809"/>
    <mergeCell ref="F809:G809"/>
    <mergeCell ref="H809:I809"/>
    <mergeCell ref="J809:L809"/>
    <mergeCell ref="A810:E810"/>
    <mergeCell ref="F810:N810"/>
    <mergeCell ref="B804:G804"/>
    <mergeCell ref="H804:L804"/>
    <mergeCell ref="B805:G805"/>
    <mergeCell ref="H805:L805"/>
    <mergeCell ref="H806:K806"/>
    <mergeCell ref="D808:N808"/>
    <mergeCell ref="B802:G802"/>
    <mergeCell ref="H802:L802"/>
    <mergeCell ref="CH801:CU801"/>
    <mergeCell ref="CV801:DI801"/>
    <mergeCell ref="DJ801:DW801"/>
    <mergeCell ref="B803:G803"/>
    <mergeCell ref="H803:L803"/>
    <mergeCell ref="AD801:AQ801"/>
    <mergeCell ref="AR801:BE801"/>
    <mergeCell ref="BF801:BS801"/>
    <mergeCell ref="BT801:CG801"/>
    <mergeCell ref="B800:G801"/>
    <mergeCell ref="H800:L801"/>
    <mergeCell ref="M800:N800"/>
    <mergeCell ref="AD800:AQ800"/>
    <mergeCell ref="EZ801:FM801"/>
    <mergeCell ref="FN801:GA801"/>
    <mergeCell ref="GB801:GO801"/>
    <mergeCell ref="GP801:HC801"/>
    <mergeCell ref="FN799:GA799"/>
    <mergeCell ref="DX801:EK801"/>
    <mergeCell ref="CH799:CU799"/>
    <mergeCell ref="CV799:DI799"/>
    <mergeCell ref="IF800:IN800"/>
    <mergeCell ref="EL800:EY800"/>
    <mergeCell ref="EZ800:FM800"/>
    <mergeCell ref="FN800:GA800"/>
    <mergeCell ref="GB800:GO800"/>
    <mergeCell ref="DJ799:DW799"/>
    <mergeCell ref="GP800:HC800"/>
    <mergeCell ref="HD800:HQ800"/>
    <mergeCell ref="GP799:HC799"/>
    <mergeCell ref="HD799:HQ799"/>
    <mergeCell ref="HR799:IE799"/>
    <mergeCell ref="DX799:EK799"/>
    <mergeCell ref="EL799:EY799"/>
    <mergeCell ref="A797:N797"/>
    <mergeCell ref="AD797:AQ797"/>
    <mergeCell ref="AR797:BE797"/>
    <mergeCell ref="BF797:BS797"/>
    <mergeCell ref="IF797:IN797"/>
    <mergeCell ref="EL797:EY797"/>
    <mergeCell ref="EZ797:FM797"/>
    <mergeCell ref="FN797:GA797"/>
    <mergeCell ref="GB797:GO797"/>
    <mergeCell ref="GP797:HC797"/>
    <mergeCell ref="EZ799:FM799"/>
    <mergeCell ref="AR800:BE800"/>
    <mergeCell ref="BF800:BS800"/>
    <mergeCell ref="BF799:BS799"/>
    <mergeCell ref="BT799:CG799"/>
    <mergeCell ref="BT800:CG800"/>
    <mergeCell ref="GB799:GO799"/>
    <mergeCell ref="CH800:CU800"/>
    <mergeCell ref="CV800:DI800"/>
    <mergeCell ref="DJ800:DW800"/>
    <mergeCell ref="DX800:EK800"/>
    <mergeCell ref="A798:N798"/>
    <mergeCell ref="B799:I799"/>
    <mergeCell ref="AD799:AQ799"/>
    <mergeCell ref="AR799:BE799"/>
    <mergeCell ref="IF799:IN799"/>
    <mergeCell ref="A800:A801"/>
    <mergeCell ref="HR800:IE800"/>
    <mergeCell ref="HD801:HQ801"/>
    <mergeCell ref="HR801:IE801"/>
    <mergeCell ref="EL801:EY801"/>
    <mergeCell ref="IF801:IN801"/>
    <mergeCell ref="GP796:HC796"/>
    <mergeCell ref="HD796:HQ796"/>
    <mergeCell ref="HR796:IE796"/>
    <mergeCell ref="IF796:IN796"/>
    <mergeCell ref="BT797:CG797"/>
    <mergeCell ref="CH797:CU797"/>
    <mergeCell ref="CV797:DI797"/>
    <mergeCell ref="DJ797:DW797"/>
    <mergeCell ref="DJ796:DW796"/>
    <mergeCell ref="DX796:EK796"/>
    <mergeCell ref="EL796:EY796"/>
    <mergeCell ref="EZ796:FM796"/>
    <mergeCell ref="FN796:GA796"/>
    <mergeCell ref="GB796:GO796"/>
    <mergeCell ref="AD796:AQ796"/>
    <mergeCell ref="AR796:BE796"/>
    <mergeCell ref="BF796:BS796"/>
    <mergeCell ref="BT796:CG796"/>
    <mergeCell ref="CH796:CU796"/>
    <mergeCell ref="CV796:DI796"/>
    <mergeCell ref="HD797:HQ797"/>
    <mergeCell ref="HR797:IE797"/>
    <mergeCell ref="DX797:EK797"/>
    <mergeCell ref="A795:N795"/>
    <mergeCell ref="GB793:GO793"/>
    <mergeCell ref="GP793:HC793"/>
    <mergeCell ref="HD793:HQ793"/>
    <mergeCell ref="HR793:IE793"/>
    <mergeCell ref="DX793:EK793"/>
    <mergeCell ref="EL793:EY793"/>
    <mergeCell ref="EZ793:FM793"/>
    <mergeCell ref="BT793:CG793"/>
    <mergeCell ref="CH793:CU793"/>
    <mergeCell ref="CV793:DI793"/>
    <mergeCell ref="DJ793:DW793"/>
    <mergeCell ref="IF793:IN793"/>
    <mergeCell ref="A794:N794"/>
    <mergeCell ref="IF792:IN792"/>
    <mergeCell ref="EZ792:FM792"/>
    <mergeCell ref="FN792:GA792"/>
    <mergeCell ref="GB792:GO792"/>
    <mergeCell ref="GP792:HC792"/>
    <mergeCell ref="A793:N793"/>
    <mergeCell ref="AD793:AQ793"/>
    <mergeCell ref="AR793:BE793"/>
    <mergeCell ref="BF793:BS793"/>
    <mergeCell ref="FN793:GA793"/>
    <mergeCell ref="CH792:CU792"/>
    <mergeCell ref="CV792:DI792"/>
    <mergeCell ref="DJ792:DW792"/>
    <mergeCell ref="DX792:EK792"/>
    <mergeCell ref="AD792:AQ792"/>
    <mergeCell ref="AR792:BE792"/>
    <mergeCell ref="BF792:BS792"/>
    <mergeCell ref="BT792:CG792"/>
    <mergeCell ref="EL792:EY792"/>
    <mergeCell ref="GP791:HC791"/>
    <mergeCell ref="HD791:HQ791"/>
    <mergeCell ref="HR791:IE791"/>
    <mergeCell ref="HD792:HQ792"/>
    <mergeCell ref="HR792:IE792"/>
    <mergeCell ref="CV791:DI791"/>
    <mergeCell ref="DJ791:DW791"/>
    <mergeCell ref="DX791:EK791"/>
    <mergeCell ref="IF791:IN791"/>
    <mergeCell ref="EL791:EY791"/>
    <mergeCell ref="EZ791:FM791"/>
    <mergeCell ref="FN791:GA791"/>
    <mergeCell ref="GB791:GO791"/>
    <mergeCell ref="IF790:IN790"/>
    <mergeCell ref="EZ790:FM790"/>
    <mergeCell ref="FN790:GA790"/>
    <mergeCell ref="GB790:GO790"/>
    <mergeCell ref="GP790:HC790"/>
    <mergeCell ref="AD791:AQ791"/>
    <mergeCell ref="AR791:BE791"/>
    <mergeCell ref="BF791:BS791"/>
    <mergeCell ref="BT791:CG791"/>
    <mergeCell ref="CH791:CU791"/>
    <mergeCell ref="CH790:CU790"/>
    <mergeCell ref="CV790:DI790"/>
    <mergeCell ref="DJ790:DW790"/>
    <mergeCell ref="DX790:EK790"/>
    <mergeCell ref="AD790:AQ790"/>
    <mergeCell ref="AR790:BE790"/>
    <mergeCell ref="BF790:BS790"/>
    <mergeCell ref="BT790:CG790"/>
    <mergeCell ref="EL790:EY790"/>
    <mergeCell ref="GP789:HC789"/>
    <mergeCell ref="HD789:HQ789"/>
    <mergeCell ref="HR789:IE789"/>
    <mergeCell ref="HD790:HQ790"/>
    <mergeCell ref="HR790:IE790"/>
    <mergeCell ref="CH789:CU789"/>
    <mergeCell ref="CV789:DI789"/>
    <mergeCell ref="DJ789:DW789"/>
    <mergeCell ref="DX789:EK789"/>
    <mergeCell ref="IF789:IN789"/>
    <mergeCell ref="EL789:EY789"/>
    <mergeCell ref="EZ789:FM789"/>
    <mergeCell ref="FN789:GA789"/>
    <mergeCell ref="GB789:GO789"/>
    <mergeCell ref="A786:N786"/>
    <mergeCell ref="A787:N787"/>
    <mergeCell ref="AD789:AQ789"/>
    <mergeCell ref="AR789:BE789"/>
    <mergeCell ref="BF789:BS789"/>
    <mergeCell ref="BT789:CG789"/>
    <mergeCell ref="C770:N770"/>
    <mergeCell ref="A774:L774"/>
    <mergeCell ref="A780:L780"/>
    <mergeCell ref="F781:L781"/>
    <mergeCell ref="F782:L782"/>
    <mergeCell ref="A785:L785"/>
    <mergeCell ref="IF764:IN764"/>
    <mergeCell ref="A765:N765"/>
    <mergeCell ref="A766:N766"/>
    <mergeCell ref="GB764:GO764"/>
    <mergeCell ref="GP764:HC764"/>
    <mergeCell ref="HD764:HQ764"/>
    <mergeCell ref="HR764:IE764"/>
    <mergeCell ref="DX764:EK764"/>
    <mergeCell ref="EL764:EY764"/>
    <mergeCell ref="EZ764:FM764"/>
    <mergeCell ref="AD764:AQ764"/>
    <mergeCell ref="AR764:BE764"/>
    <mergeCell ref="BF764:BS764"/>
    <mergeCell ref="FN764:GA764"/>
    <mergeCell ref="BT764:CG764"/>
    <mergeCell ref="CH764:CU764"/>
    <mergeCell ref="CV764:DI764"/>
    <mergeCell ref="DJ764:DW764"/>
    <mergeCell ref="H761:N761"/>
    <mergeCell ref="H762:N762"/>
    <mergeCell ref="B744:G744"/>
    <mergeCell ref="M744:N744"/>
    <mergeCell ref="A759:B759"/>
    <mergeCell ref="A726:N726"/>
    <mergeCell ref="AD726:AQ726"/>
    <mergeCell ref="AR726:BE726"/>
    <mergeCell ref="BF726:BS726"/>
    <mergeCell ref="BT726:CG726"/>
    <mergeCell ref="I763:N763"/>
    <mergeCell ref="B738:F738"/>
    <mergeCell ref="M738:N738"/>
    <mergeCell ref="A739:B739"/>
    <mergeCell ref="C739:D739"/>
    <mergeCell ref="E739:G739"/>
    <mergeCell ref="A740:B740"/>
    <mergeCell ref="C740:D740"/>
    <mergeCell ref="E740:G740"/>
    <mergeCell ref="B733:G733"/>
    <mergeCell ref="H733:L733"/>
    <mergeCell ref="G734:J734"/>
    <mergeCell ref="B736:N736"/>
    <mergeCell ref="B737:E737"/>
    <mergeCell ref="F737:G737"/>
    <mergeCell ref="H737:I737"/>
    <mergeCell ref="J737:L737"/>
    <mergeCell ref="B732:G732"/>
    <mergeCell ref="H732:L732"/>
    <mergeCell ref="B730:G730"/>
    <mergeCell ref="H730:L730"/>
    <mergeCell ref="B731:G731"/>
    <mergeCell ref="IF726:IN726"/>
    <mergeCell ref="B727:I727"/>
    <mergeCell ref="A728:A729"/>
    <mergeCell ref="B728:G729"/>
    <mergeCell ref="H728:L729"/>
    <mergeCell ref="M728:N728"/>
    <mergeCell ref="GB726:GO726"/>
    <mergeCell ref="GP726:HC726"/>
    <mergeCell ref="HD726:HQ726"/>
    <mergeCell ref="CH726:CU726"/>
    <mergeCell ref="DX726:EK726"/>
    <mergeCell ref="EL726:EY726"/>
    <mergeCell ref="EZ726:FM726"/>
    <mergeCell ref="CH725:CU725"/>
    <mergeCell ref="IF725:IN725"/>
    <mergeCell ref="EZ725:FM725"/>
    <mergeCell ref="FN725:GA725"/>
    <mergeCell ref="GB725:GO725"/>
    <mergeCell ref="GP725:HC725"/>
    <mergeCell ref="EL725:EY725"/>
    <mergeCell ref="AR725:BE725"/>
    <mergeCell ref="BF725:BS725"/>
    <mergeCell ref="BT725:CG725"/>
    <mergeCell ref="HD725:HQ725"/>
    <mergeCell ref="HR725:IE725"/>
    <mergeCell ref="HR726:IE726"/>
    <mergeCell ref="H731:L731"/>
    <mergeCell ref="GP722:HC722"/>
    <mergeCell ref="HD722:HQ722"/>
    <mergeCell ref="HR722:IE722"/>
    <mergeCell ref="BT724:CG724"/>
    <mergeCell ref="CH724:CU724"/>
    <mergeCell ref="CV724:DI724"/>
    <mergeCell ref="DJ724:DW724"/>
    <mergeCell ref="DJ722:DW722"/>
    <mergeCell ref="DX722:EK722"/>
    <mergeCell ref="CV722:DI722"/>
    <mergeCell ref="FN726:GA726"/>
    <mergeCell ref="CV726:DI726"/>
    <mergeCell ref="DJ726:DW726"/>
    <mergeCell ref="A723:N723"/>
    <mergeCell ref="AD724:AQ724"/>
    <mergeCell ref="AR724:BE724"/>
    <mergeCell ref="BF724:BS724"/>
    <mergeCell ref="CV725:DI725"/>
    <mergeCell ref="DJ725:DW725"/>
    <mergeCell ref="DX725:EK725"/>
    <mergeCell ref="AD725:AQ725"/>
    <mergeCell ref="IF722:IN722"/>
    <mergeCell ref="EL722:EY722"/>
    <mergeCell ref="EZ722:FM722"/>
    <mergeCell ref="FN722:GA722"/>
    <mergeCell ref="GB722:GO722"/>
    <mergeCell ref="AD722:AQ722"/>
    <mergeCell ref="AR722:BE722"/>
    <mergeCell ref="BF722:BS722"/>
    <mergeCell ref="BT722:CG722"/>
    <mergeCell ref="CH722:CU722"/>
    <mergeCell ref="IF724:IN724"/>
    <mergeCell ref="EL724:EY724"/>
    <mergeCell ref="EZ724:FM724"/>
    <mergeCell ref="FN724:GA724"/>
    <mergeCell ref="GB724:GO724"/>
    <mergeCell ref="DX724:EK724"/>
    <mergeCell ref="GP724:HC724"/>
    <mergeCell ref="HD724:HQ724"/>
    <mergeCell ref="HR724:IE724"/>
    <mergeCell ref="HR721:IE721"/>
    <mergeCell ref="IF721:IN721"/>
    <mergeCell ref="EZ721:FM721"/>
    <mergeCell ref="FN721:GA721"/>
    <mergeCell ref="GB721:GO721"/>
    <mergeCell ref="GP721:HC721"/>
    <mergeCell ref="CH721:CU721"/>
    <mergeCell ref="CV721:DI721"/>
    <mergeCell ref="DJ721:DW721"/>
    <mergeCell ref="DX721:EK721"/>
    <mergeCell ref="EL721:EY721"/>
    <mergeCell ref="HD721:HQ721"/>
    <mergeCell ref="A720:N720"/>
    <mergeCell ref="A721:N721"/>
    <mergeCell ref="AD721:AQ721"/>
    <mergeCell ref="AR721:BE721"/>
    <mergeCell ref="BF721:BS721"/>
    <mergeCell ref="BT721:CG721"/>
    <mergeCell ref="IF718:IN718"/>
    <mergeCell ref="EZ718:FM718"/>
    <mergeCell ref="FN718:GA718"/>
    <mergeCell ref="GB718:GO718"/>
    <mergeCell ref="GP718:HC718"/>
    <mergeCell ref="A719:N719"/>
    <mergeCell ref="HR718:IE718"/>
    <mergeCell ref="CH718:CU718"/>
    <mergeCell ref="CV718:DI718"/>
    <mergeCell ref="DJ718:DW718"/>
    <mergeCell ref="DX718:EK718"/>
    <mergeCell ref="AD718:AQ718"/>
    <mergeCell ref="AR718:BE718"/>
    <mergeCell ref="BF718:BS718"/>
    <mergeCell ref="BT718:CG718"/>
    <mergeCell ref="IF717:IN717"/>
    <mergeCell ref="EL717:EY717"/>
    <mergeCell ref="EZ717:FM717"/>
    <mergeCell ref="FN717:GA717"/>
    <mergeCell ref="GB717:GO717"/>
    <mergeCell ref="EL718:EY718"/>
    <mergeCell ref="GP717:HC717"/>
    <mergeCell ref="HD717:HQ717"/>
    <mergeCell ref="HR717:IE717"/>
    <mergeCell ref="HD718:HQ718"/>
    <mergeCell ref="BF717:BS717"/>
    <mergeCell ref="BT717:CG717"/>
    <mergeCell ref="CH717:CU717"/>
    <mergeCell ref="CV717:DI717"/>
    <mergeCell ref="DJ717:DW717"/>
    <mergeCell ref="DX717:EK717"/>
    <mergeCell ref="F708:L708"/>
    <mergeCell ref="A711:L711"/>
    <mergeCell ref="A712:N712"/>
    <mergeCell ref="A713:N713"/>
    <mergeCell ref="AD717:AQ717"/>
    <mergeCell ref="AR717:BE717"/>
    <mergeCell ref="A692:N692"/>
    <mergeCell ref="A693:N693"/>
    <mergeCell ref="C697:N697"/>
    <mergeCell ref="A699:L699"/>
    <mergeCell ref="A706:L706"/>
    <mergeCell ref="F707:L707"/>
    <mergeCell ref="A685:H685"/>
    <mergeCell ref="I685:N685"/>
    <mergeCell ref="A687:N687"/>
    <mergeCell ref="A688:N688"/>
    <mergeCell ref="A689:N689"/>
    <mergeCell ref="J690:N690"/>
    <mergeCell ref="A679:H679"/>
    <mergeCell ref="I679:N679"/>
    <mergeCell ref="B680:E680"/>
    <mergeCell ref="J488:L488"/>
    <mergeCell ref="M488:N488"/>
    <mergeCell ref="A677:B677"/>
    <mergeCell ref="C677:G677"/>
    <mergeCell ref="H677:I677"/>
    <mergeCell ref="J677:L677"/>
    <mergeCell ref="M677:N677"/>
    <mergeCell ref="A673:B673"/>
    <mergeCell ref="C673:G673"/>
    <mergeCell ref="M673:N673"/>
    <mergeCell ref="A675:B675"/>
    <mergeCell ref="C675:G675"/>
    <mergeCell ref="H675:I675"/>
    <mergeCell ref="J675:L675"/>
    <mergeCell ref="M675:N675"/>
    <mergeCell ref="A652:N652"/>
    <mergeCell ref="G647:N647"/>
    <mergeCell ref="G648:N648"/>
    <mergeCell ref="C655:N655"/>
    <mergeCell ref="F660:N660"/>
    <mergeCell ref="G669:H669"/>
    <mergeCell ref="I669:N669"/>
    <mergeCell ref="B639:E639"/>
    <mergeCell ref="F639:G639"/>
    <mergeCell ref="H639:I639"/>
    <mergeCell ref="J639:L639"/>
    <mergeCell ref="J649:N649"/>
    <mergeCell ref="A651:N651"/>
    <mergeCell ref="B637:E637"/>
    <mergeCell ref="F637:G637"/>
    <mergeCell ref="H637:I637"/>
    <mergeCell ref="J637:L637"/>
    <mergeCell ref="A638:H638"/>
    <mergeCell ref="I638:N638"/>
    <mergeCell ref="B627:E627"/>
    <mergeCell ref="F627:G627"/>
    <mergeCell ref="H627:I627"/>
    <mergeCell ref="J627:L627"/>
    <mergeCell ref="B628:E628"/>
    <mergeCell ref="F628:G628"/>
    <mergeCell ref="H628:I628"/>
    <mergeCell ref="J628:L628"/>
    <mergeCell ref="F621:K621"/>
    <mergeCell ref="L621:N621"/>
    <mergeCell ref="A625:E625"/>
    <mergeCell ref="F625:K625"/>
    <mergeCell ref="L625:N625"/>
    <mergeCell ref="A626:E626"/>
    <mergeCell ref="B619:E619"/>
    <mergeCell ref="F619:G619"/>
    <mergeCell ref="H619:I619"/>
    <mergeCell ref="J619:L619"/>
    <mergeCell ref="A620:E620"/>
    <mergeCell ref="F620:N620"/>
    <mergeCell ref="B614:G614"/>
    <mergeCell ref="H614:L614"/>
    <mergeCell ref="B615:G615"/>
    <mergeCell ref="H615:L615"/>
    <mergeCell ref="H616:K616"/>
    <mergeCell ref="D618:N618"/>
    <mergeCell ref="B612:G612"/>
    <mergeCell ref="H612:L612"/>
    <mergeCell ref="CH611:CU611"/>
    <mergeCell ref="CV611:DI611"/>
    <mergeCell ref="DJ611:DW611"/>
    <mergeCell ref="B613:G613"/>
    <mergeCell ref="H613:L613"/>
    <mergeCell ref="AD611:AQ611"/>
    <mergeCell ref="AR611:BE611"/>
    <mergeCell ref="BF611:BS611"/>
    <mergeCell ref="BT611:CG611"/>
    <mergeCell ref="H610:L611"/>
    <mergeCell ref="M610:N610"/>
    <mergeCell ref="AD610:AQ610"/>
    <mergeCell ref="GP611:HC611"/>
    <mergeCell ref="HR610:IE610"/>
    <mergeCell ref="HD611:HQ611"/>
    <mergeCell ref="HR611:IE611"/>
    <mergeCell ref="EZ609:FM609"/>
    <mergeCell ref="FN609:GA609"/>
    <mergeCell ref="DX611:EK611"/>
    <mergeCell ref="CH609:CU609"/>
    <mergeCell ref="CV609:DI609"/>
    <mergeCell ref="IF610:IN610"/>
    <mergeCell ref="EL610:EY610"/>
    <mergeCell ref="EZ610:FM610"/>
    <mergeCell ref="FN610:GA610"/>
    <mergeCell ref="GB610:GO610"/>
    <mergeCell ref="DJ609:DW609"/>
    <mergeCell ref="GP610:HC610"/>
    <mergeCell ref="HD610:HQ610"/>
    <mergeCell ref="GP609:HC609"/>
    <mergeCell ref="HD609:HQ609"/>
    <mergeCell ref="HR609:IE609"/>
    <mergeCell ref="DX609:EK609"/>
    <mergeCell ref="EL609:EY609"/>
    <mergeCell ref="A607:N607"/>
    <mergeCell ref="AD607:AQ607"/>
    <mergeCell ref="AR607:BE607"/>
    <mergeCell ref="BF607:BS607"/>
    <mergeCell ref="IF607:IN607"/>
    <mergeCell ref="EL607:EY607"/>
    <mergeCell ref="EZ607:FM607"/>
    <mergeCell ref="FN607:GA607"/>
    <mergeCell ref="GB607:GO607"/>
    <mergeCell ref="GP607:HC607"/>
    <mergeCell ref="AR610:BE610"/>
    <mergeCell ref="BF610:BS610"/>
    <mergeCell ref="BF609:BS609"/>
    <mergeCell ref="BT609:CG609"/>
    <mergeCell ref="BT610:CG610"/>
    <mergeCell ref="GB609:GO609"/>
    <mergeCell ref="CH610:CU610"/>
    <mergeCell ref="CV610:DI610"/>
    <mergeCell ref="DJ610:DW610"/>
    <mergeCell ref="DX610:EK610"/>
    <mergeCell ref="A608:N608"/>
    <mergeCell ref="B609:I609"/>
    <mergeCell ref="AD609:AQ609"/>
    <mergeCell ref="AR609:BE609"/>
    <mergeCell ref="IF609:IN609"/>
    <mergeCell ref="A610:A611"/>
    <mergeCell ref="B610:G611"/>
    <mergeCell ref="EL611:EY611"/>
    <mergeCell ref="IF611:IN611"/>
    <mergeCell ref="EZ611:FM611"/>
    <mergeCell ref="FN611:GA611"/>
    <mergeCell ref="GB611:GO611"/>
    <mergeCell ref="GP606:HC606"/>
    <mergeCell ref="HD606:HQ606"/>
    <mergeCell ref="HR606:IE606"/>
    <mergeCell ref="IF606:IN606"/>
    <mergeCell ref="BT607:CG607"/>
    <mergeCell ref="CH607:CU607"/>
    <mergeCell ref="CV607:DI607"/>
    <mergeCell ref="DJ607:DW607"/>
    <mergeCell ref="DJ606:DW606"/>
    <mergeCell ref="DX606:EK606"/>
    <mergeCell ref="EL606:EY606"/>
    <mergeCell ref="EZ606:FM606"/>
    <mergeCell ref="FN606:GA606"/>
    <mergeCell ref="GB606:GO606"/>
    <mergeCell ref="AD606:AQ606"/>
    <mergeCell ref="AR606:BE606"/>
    <mergeCell ref="BF606:BS606"/>
    <mergeCell ref="BT606:CG606"/>
    <mergeCell ref="CH606:CU606"/>
    <mergeCell ref="CV606:DI606"/>
    <mergeCell ref="HD607:HQ607"/>
    <mergeCell ref="HR607:IE607"/>
    <mergeCell ref="DX607:EK607"/>
    <mergeCell ref="A605:N605"/>
    <mergeCell ref="GB603:GO603"/>
    <mergeCell ref="GP603:HC603"/>
    <mergeCell ref="HD603:HQ603"/>
    <mergeCell ref="HR603:IE603"/>
    <mergeCell ref="DX603:EK603"/>
    <mergeCell ref="EL603:EY603"/>
    <mergeCell ref="EZ603:FM603"/>
    <mergeCell ref="BT603:CG603"/>
    <mergeCell ref="CH603:CU603"/>
    <mergeCell ref="CV603:DI603"/>
    <mergeCell ref="DJ603:DW603"/>
    <mergeCell ref="IF603:IN603"/>
    <mergeCell ref="A604:N604"/>
    <mergeCell ref="IF602:IN602"/>
    <mergeCell ref="EZ602:FM602"/>
    <mergeCell ref="FN602:GA602"/>
    <mergeCell ref="GB602:GO602"/>
    <mergeCell ref="GP602:HC602"/>
    <mergeCell ref="A603:N603"/>
    <mergeCell ref="AD603:AQ603"/>
    <mergeCell ref="AR603:BE603"/>
    <mergeCell ref="BF603:BS603"/>
    <mergeCell ref="FN603:GA603"/>
    <mergeCell ref="CH602:CU602"/>
    <mergeCell ref="CV602:DI602"/>
    <mergeCell ref="DJ602:DW602"/>
    <mergeCell ref="DX602:EK602"/>
    <mergeCell ref="AD602:AQ602"/>
    <mergeCell ref="AR602:BE602"/>
    <mergeCell ref="BF602:BS602"/>
    <mergeCell ref="BT602:CG602"/>
    <mergeCell ref="EL602:EY602"/>
    <mergeCell ref="GP601:HC601"/>
    <mergeCell ref="HD601:HQ601"/>
    <mergeCell ref="HR601:IE601"/>
    <mergeCell ref="HD602:HQ602"/>
    <mergeCell ref="HR602:IE602"/>
    <mergeCell ref="CV601:DI601"/>
    <mergeCell ref="DJ601:DW601"/>
    <mergeCell ref="DX601:EK601"/>
    <mergeCell ref="IF601:IN601"/>
    <mergeCell ref="EL601:EY601"/>
    <mergeCell ref="EZ601:FM601"/>
    <mergeCell ref="FN601:GA601"/>
    <mergeCell ref="GB601:GO601"/>
    <mergeCell ref="IF600:IN600"/>
    <mergeCell ref="EZ600:FM600"/>
    <mergeCell ref="FN600:GA600"/>
    <mergeCell ref="GB600:GO600"/>
    <mergeCell ref="GP600:HC600"/>
    <mergeCell ref="AD601:AQ601"/>
    <mergeCell ref="AR601:BE601"/>
    <mergeCell ref="BF601:BS601"/>
    <mergeCell ref="BT601:CG601"/>
    <mergeCell ref="CH601:CU601"/>
    <mergeCell ref="CH600:CU600"/>
    <mergeCell ref="CV600:DI600"/>
    <mergeCell ref="DJ600:DW600"/>
    <mergeCell ref="DX600:EK600"/>
    <mergeCell ref="AD600:AQ600"/>
    <mergeCell ref="AR600:BE600"/>
    <mergeCell ref="BF600:BS600"/>
    <mergeCell ref="BT600:CG600"/>
    <mergeCell ref="EL600:EY600"/>
    <mergeCell ref="GP599:HC599"/>
    <mergeCell ref="HD599:HQ599"/>
    <mergeCell ref="HR599:IE599"/>
    <mergeCell ref="HD600:HQ600"/>
    <mergeCell ref="HR600:IE600"/>
    <mergeCell ref="CH599:CU599"/>
    <mergeCell ref="CV599:DI599"/>
    <mergeCell ref="DJ599:DW599"/>
    <mergeCell ref="DX599:EK599"/>
    <mergeCell ref="IF599:IN599"/>
    <mergeCell ref="EL599:EY599"/>
    <mergeCell ref="EZ599:FM599"/>
    <mergeCell ref="FN599:GA599"/>
    <mergeCell ref="GB599:GO599"/>
    <mergeCell ref="A596:N596"/>
    <mergeCell ref="A597:N597"/>
    <mergeCell ref="AD599:AQ599"/>
    <mergeCell ref="AR599:BE599"/>
    <mergeCell ref="BF599:BS599"/>
    <mergeCell ref="BT599:CG599"/>
    <mergeCell ref="C580:N580"/>
    <mergeCell ref="A584:L584"/>
    <mergeCell ref="A590:L590"/>
    <mergeCell ref="F591:L591"/>
    <mergeCell ref="F592:L592"/>
    <mergeCell ref="A595:L595"/>
    <mergeCell ref="IF574:IN574"/>
    <mergeCell ref="A575:N575"/>
    <mergeCell ref="A576:N576"/>
    <mergeCell ref="GB574:GO574"/>
    <mergeCell ref="GP574:HC574"/>
    <mergeCell ref="HD574:HQ574"/>
    <mergeCell ref="HR574:IE574"/>
    <mergeCell ref="DX574:EK574"/>
    <mergeCell ref="EL574:EY574"/>
    <mergeCell ref="EZ574:FM574"/>
    <mergeCell ref="AD574:AQ574"/>
    <mergeCell ref="AR574:BE574"/>
    <mergeCell ref="BF574:BS574"/>
    <mergeCell ref="FN574:GA574"/>
    <mergeCell ref="BT574:CG574"/>
    <mergeCell ref="CH574:CU574"/>
    <mergeCell ref="CV574:DI574"/>
    <mergeCell ref="DJ574:DW574"/>
    <mergeCell ref="H571:N571"/>
    <mergeCell ref="H572:N572"/>
    <mergeCell ref="B555:G555"/>
    <mergeCell ref="M555:N555"/>
    <mergeCell ref="A570:B570"/>
    <mergeCell ref="I573:N573"/>
    <mergeCell ref="H488:I488"/>
    <mergeCell ref="B549:F549"/>
    <mergeCell ref="B548:E548"/>
    <mergeCell ref="F548:G548"/>
    <mergeCell ref="H548:I548"/>
    <mergeCell ref="B542:G542"/>
    <mergeCell ref="H542:L542"/>
    <mergeCell ref="J548:L548"/>
    <mergeCell ref="B544:G544"/>
    <mergeCell ref="H544:L544"/>
    <mergeCell ref="A550:B550"/>
    <mergeCell ref="C550:D550"/>
    <mergeCell ref="E550:G550"/>
    <mergeCell ref="A551:B551"/>
    <mergeCell ref="C551:D551"/>
    <mergeCell ref="E551:G551"/>
    <mergeCell ref="G545:J545"/>
    <mergeCell ref="B547:N547"/>
    <mergeCell ref="M549:N549"/>
    <mergeCell ref="B543:G543"/>
    <mergeCell ref="H543:L543"/>
    <mergeCell ref="B540:G540"/>
    <mergeCell ref="H540:L540"/>
    <mergeCell ref="B541:G541"/>
    <mergeCell ref="H541:L541"/>
    <mergeCell ref="A533:N533"/>
    <mergeCell ref="IF536:IN536"/>
    <mergeCell ref="B537:I537"/>
    <mergeCell ref="A538:A539"/>
    <mergeCell ref="B538:G539"/>
    <mergeCell ref="H538:L539"/>
    <mergeCell ref="M538:N538"/>
    <mergeCell ref="GB536:GO536"/>
    <mergeCell ref="GP536:HC536"/>
    <mergeCell ref="HD536:HQ536"/>
    <mergeCell ref="HR536:IE536"/>
    <mergeCell ref="CV536:DI536"/>
    <mergeCell ref="DJ536:DW536"/>
    <mergeCell ref="DX536:EK536"/>
    <mergeCell ref="EL536:EY536"/>
    <mergeCell ref="EZ536:FM536"/>
    <mergeCell ref="FN536:GA536"/>
    <mergeCell ref="A536:N536"/>
    <mergeCell ref="AD536:AQ536"/>
    <mergeCell ref="AR536:BE536"/>
    <mergeCell ref="BF536:BS536"/>
    <mergeCell ref="BT536:CG536"/>
    <mergeCell ref="CH536:CU536"/>
    <mergeCell ref="AD535:AQ535"/>
    <mergeCell ref="AR535:BE535"/>
    <mergeCell ref="BF535:BS535"/>
    <mergeCell ref="BT535:CG535"/>
    <mergeCell ref="IF535:IN535"/>
    <mergeCell ref="EZ535:FM535"/>
    <mergeCell ref="FN535:GA535"/>
    <mergeCell ref="GB535:GO535"/>
    <mergeCell ref="GP535:HC535"/>
    <mergeCell ref="EL535:EY535"/>
    <mergeCell ref="HD535:HQ535"/>
    <mergeCell ref="HR535:IE535"/>
    <mergeCell ref="CH535:CU535"/>
    <mergeCell ref="CV535:DI535"/>
    <mergeCell ref="DJ535:DW535"/>
    <mergeCell ref="DX535:EK535"/>
    <mergeCell ref="BT534:CG534"/>
    <mergeCell ref="CH534:CU534"/>
    <mergeCell ref="CV534:DI534"/>
    <mergeCell ref="DJ534:DW534"/>
    <mergeCell ref="AD534:AQ534"/>
    <mergeCell ref="AR534:BE534"/>
    <mergeCell ref="BF534:BS534"/>
    <mergeCell ref="DX534:EK534"/>
    <mergeCell ref="IF534:IN534"/>
    <mergeCell ref="FN534:GA534"/>
    <mergeCell ref="GB534:GO534"/>
    <mergeCell ref="GP534:HC534"/>
    <mergeCell ref="HD534:HQ534"/>
    <mergeCell ref="HR534:IE534"/>
    <mergeCell ref="EL534:EY534"/>
    <mergeCell ref="EZ534:FM534"/>
    <mergeCell ref="BF532:BS532"/>
    <mergeCell ref="BT532:CG532"/>
    <mergeCell ref="CH532:CU532"/>
    <mergeCell ref="HR531:IE531"/>
    <mergeCell ref="CV532:DI532"/>
    <mergeCell ref="DJ532:DW532"/>
    <mergeCell ref="DX532:EK532"/>
    <mergeCell ref="FN531:GA531"/>
    <mergeCell ref="GP531:HC531"/>
    <mergeCell ref="DJ531:DW531"/>
    <mergeCell ref="GP532:HC532"/>
    <mergeCell ref="HD532:HQ532"/>
    <mergeCell ref="GB531:GO531"/>
    <mergeCell ref="HD531:HQ531"/>
    <mergeCell ref="DX531:EK531"/>
    <mergeCell ref="EL531:EY531"/>
    <mergeCell ref="EZ531:FM531"/>
    <mergeCell ref="A531:N531"/>
    <mergeCell ref="AD531:AQ531"/>
    <mergeCell ref="AR531:BE531"/>
    <mergeCell ref="BF531:BS531"/>
    <mergeCell ref="BT531:CG531"/>
    <mergeCell ref="CH531:CU531"/>
    <mergeCell ref="DJ528:DW528"/>
    <mergeCell ref="HR532:IE532"/>
    <mergeCell ref="IF528:IN528"/>
    <mergeCell ref="A529:N529"/>
    <mergeCell ref="A530:N530"/>
    <mergeCell ref="GB528:GO528"/>
    <mergeCell ref="GP528:HC528"/>
    <mergeCell ref="HD528:HQ528"/>
    <mergeCell ref="HR528:IE528"/>
    <mergeCell ref="DX528:EK528"/>
    <mergeCell ref="EL528:EY528"/>
    <mergeCell ref="AD528:AQ528"/>
    <mergeCell ref="AR528:BE528"/>
    <mergeCell ref="BF528:BS528"/>
    <mergeCell ref="BT528:CG528"/>
    <mergeCell ref="CH528:CU528"/>
    <mergeCell ref="CV528:DI528"/>
    <mergeCell ref="IF532:IN532"/>
    <mergeCell ref="EL532:EY532"/>
    <mergeCell ref="EZ532:FM532"/>
    <mergeCell ref="FN532:GA532"/>
    <mergeCell ref="GB532:GO532"/>
    <mergeCell ref="CV531:DI531"/>
    <mergeCell ref="IF531:IN531"/>
    <mergeCell ref="AD532:AQ532"/>
    <mergeCell ref="AR532:BE532"/>
    <mergeCell ref="GB527:GO527"/>
    <mergeCell ref="GP527:HC527"/>
    <mergeCell ref="HD527:HQ527"/>
    <mergeCell ref="FN528:GA528"/>
    <mergeCell ref="HR527:IE527"/>
    <mergeCell ref="IF527:IN527"/>
    <mergeCell ref="CV527:DI527"/>
    <mergeCell ref="DJ527:DW527"/>
    <mergeCell ref="DX527:EK527"/>
    <mergeCell ref="EL527:EY527"/>
    <mergeCell ref="EZ527:FM527"/>
    <mergeCell ref="FN527:GA527"/>
    <mergeCell ref="EZ528:FM528"/>
    <mergeCell ref="A523:N523"/>
    <mergeCell ref="AD527:AQ527"/>
    <mergeCell ref="AR527:BE527"/>
    <mergeCell ref="BF527:BS527"/>
    <mergeCell ref="BT527:CG527"/>
    <mergeCell ref="CH527:CU527"/>
    <mergeCell ref="A509:L509"/>
    <mergeCell ref="A516:L516"/>
    <mergeCell ref="F517:L517"/>
    <mergeCell ref="F518:L518"/>
    <mergeCell ref="A521:L521"/>
    <mergeCell ref="A522:N522"/>
    <mergeCell ref="A498:N498"/>
    <mergeCell ref="A499:N499"/>
    <mergeCell ref="J500:N500"/>
    <mergeCell ref="A502:N502"/>
    <mergeCell ref="A503:N503"/>
    <mergeCell ref="C507:N507"/>
    <mergeCell ref="A495:H495"/>
    <mergeCell ref="I495:N495"/>
    <mergeCell ref="A497:N497"/>
    <mergeCell ref="A485:B485"/>
    <mergeCell ref="C485:G485"/>
    <mergeCell ref="M485:N485"/>
    <mergeCell ref="M486:N486"/>
    <mergeCell ref="A486:B486"/>
    <mergeCell ref="C486:G486"/>
    <mergeCell ref="H486:I486"/>
    <mergeCell ref="J486:L486"/>
    <mergeCell ref="A489:H489"/>
    <mergeCell ref="I489:N489"/>
    <mergeCell ref="B490:E490"/>
    <mergeCell ref="A463:N463"/>
    <mergeCell ref="A464:N464"/>
    <mergeCell ref="C467:N467"/>
    <mergeCell ref="F472:N472"/>
    <mergeCell ref="G481:H481"/>
    <mergeCell ref="I481:N481"/>
    <mergeCell ref="G460:N460"/>
    <mergeCell ref="J461:N461"/>
    <mergeCell ref="A450:H450"/>
    <mergeCell ref="I450:N450"/>
    <mergeCell ref="G459:N459"/>
    <mergeCell ref="A438:E438"/>
    <mergeCell ref="B439:E439"/>
    <mergeCell ref="F439:G439"/>
    <mergeCell ref="H439:I439"/>
    <mergeCell ref="J439:L439"/>
    <mergeCell ref="B440:E440"/>
    <mergeCell ref="F440:G440"/>
    <mergeCell ref="H440:I440"/>
    <mergeCell ref="J440:L440"/>
    <mergeCell ref="F437:K437"/>
    <mergeCell ref="L437:N437"/>
    <mergeCell ref="H428:K428"/>
    <mergeCell ref="D430:N430"/>
    <mergeCell ref="B431:E431"/>
    <mergeCell ref="F431:G431"/>
    <mergeCell ref="H431:I431"/>
    <mergeCell ref="J431:L431"/>
    <mergeCell ref="B425:G425"/>
    <mergeCell ref="H425:L425"/>
    <mergeCell ref="B426:G426"/>
    <mergeCell ref="H426:L426"/>
    <mergeCell ref="B427:G427"/>
    <mergeCell ref="H427:L427"/>
    <mergeCell ref="B449:E449"/>
    <mergeCell ref="F449:G449"/>
    <mergeCell ref="H449:I449"/>
    <mergeCell ref="J449:L449"/>
    <mergeCell ref="L433:N433"/>
    <mergeCell ref="A437:E437"/>
    <mergeCell ref="CH422:CU422"/>
    <mergeCell ref="CV422:DI422"/>
    <mergeCell ref="DJ422:DW422"/>
    <mergeCell ref="B424:G424"/>
    <mergeCell ref="H424:L424"/>
    <mergeCell ref="AD422:AQ422"/>
    <mergeCell ref="AR422:BE422"/>
    <mergeCell ref="BF422:BS422"/>
    <mergeCell ref="BT422:CG422"/>
    <mergeCell ref="EL422:EY422"/>
    <mergeCell ref="IF422:IN422"/>
    <mergeCell ref="EZ422:FM422"/>
    <mergeCell ref="FN422:GA422"/>
    <mergeCell ref="GB422:GO422"/>
    <mergeCell ref="GP422:HC422"/>
    <mergeCell ref="A432:E432"/>
    <mergeCell ref="F432:N432"/>
    <mergeCell ref="CH420:CU420"/>
    <mergeCell ref="CV420:DI420"/>
    <mergeCell ref="IF421:IN421"/>
    <mergeCell ref="EL421:EY421"/>
    <mergeCell ref="EZ421:FM421"/>
    <mergeCell ref="FN421:GA421"/>
    <mergeCell ref="GB421:GO421"/>
    <mergeCell ref="DJ420:DW420"/>
    <mergeCell ref="GP421:HC421"/>
    <mergeCell ref="HD421:HQ421"/>
    <mergeCell ref="AR421:BE421"/>
    <mergeCell ref="BF421:BS421"/>
    <mergeCell ref="BF420:BS420"/>
    <mergeCell ref="BT420:CG420"/>
    <mergeCell ref="BT421:CG421"/>
    <mergeCell ref="GB420:GO420"/>
    <mergeCell ref="CH421:CU421"/>
    <mergeCell ref="CV421:DI421"/>
    <mergeCell ref="DJ421:DW421"/>
    <mergeCell ref="DX421:EK421"/>
    <mergeCell ref="AD420:AQ420"/>
    <mergeCell ref="AR420:BE420"/>
    <mergeCell ref="IF420:IN420"/>
    <mergeCell ref="A421:A422"/>
    <mergeCell ref="B421:G422"/>
    <mergeCell ref="H421:L422"/>
    <mergeCell ref="M421:N421"/>
    <mergeCell ref="AD421:AQ421"/>
    <mergeCell ref="HD418:HQ418"/>
    <mergeCell ref="HR418:IE418"/>
    <mergeCell ref="DX418:EK418"/>
    <mergeCell ref="GP420:HC420"/>
    <mergeCell ref="HD420:HQ420"/>
    <mergeCell ref="HR420:IE420"/>
    <mergeCell ref="DX420:EK420"/>
    <mergeCell ref="EL420:EY420"/>
    <mergeCell ref="A418:N418"/>
    <mergeCell ref="AD418:AQ418"/>
    <mergeCell ref="AR418:BE418"/>
    <mergeCell ref="BF418:BS418"/>
    <mergeCell ref="IF418:IN418"/>
    <mergeCell ref="EL418:EY418"/>
    <mergeCell ref="EZ418:FM418"/>
    <mergeCell ref="FN418:GA418"/>
    <mergeCell ref="GB418:GO418"/>
    <mergeCell ref="GP418:HC418"/>
    <mergeCell ref="HR421:IE421"/>
    <mergeCell ref="HD422:HQ422"/>
    <mergeCell ref="HR422:IE422"/>
    <mergeCell ref="EZ420:FM420"/>
    <mergeCell ref="FN420:GA420"/>
    <mergeCell ref="DX422:EK422"/>
    <mergeCell ref="GP417:HC417"/>
    <mergeCell ref="HD417:HQ417"/>
    <mergeCell ref="HR417:IE417"/>
    <mergeCell ref="IF417:IN417"/>
    <mergeCell ref="BT418:CG418"/>
    <mergeCell ref="CH418:CU418"/>
    <mergeCell ref="CV418:DI418"/>
    <mergeCell ref="DJ418:DW418"/>
    <mergeCell ref="DJ417:DW417"/>
    <mergeCell ref="DX417:EK417"/>
    <mergeCell ref="EL417:EY417"/>
    <mergeCell ref="EZ417:FM417"/>
    <mergeCell ref="FN417:GA417"/>
    <mergeCell ref="GB417:GO417"/>
    <mergeCell ref="AD417:AQ417"/>
    <mergeCell ref="AR417:BE417"/>
    <mergeCell ref="BF417:BS417"/>
    <mergeCell ref="BT417:CG417"/>
    <mergeCell ref="CH417:CU417"/>
    <mergeCell ref="CV417:DI417"/>
    <mergeCell ref="BT414:CG414"/>
    <mergeCell ref="CH414:CU414"/>
    <mergeCell ref="CV414:DI414"/>
    <mergeCell ref="DJ414:DW414"/>
    <mergeCell ref="IF414:IN414"/>
    <mergeCell ref="A415:N415"/>
    <mergeCell ref="IF413:IN413"/>
    <mergeCell ref="EZ413:FM413"/>
    <mergeCell ref="FN413:GA413"/>
    <mergeCell ref="GB413:GO413"/>
    <mergeCell ref="GP413:HC413"/>
    <mergeCell ref="A414:N414"/>
    <mergeCell ref="AD414:AQ414"/>
    <mergeCell ref="AR414:BE414"/>
    <mergeCell ref="BF414:BS414"/>
    <mergeCell ref="FN414:GA414"/>
    <mergeCell ref="CH413:CU413"/>
    <mergeCell ref="CV413:DI413"/>
    <mergeCell ref="DJ413:DW413"/>
    <mergeCell ref="DX413:EK413"/>
    <mergeCell ref="AD413:AQ413"/>
    <mergeCell ref="AR413:BE413"/>
    <mergeCell ref="BF413:BS413"/>
    <mergeCell ref="BT413:CG413"/>
    <mergeCell ref="EL413:EY413"/>
    <mergeCell ref="HD413:HQ413"/>
    <mergeCell ref="HR413:IE413"/>
    <mergeCell ref="IF412:IN412"/>
    <mergeCell ref="EL412:EY412"/>
    <mergeCell ref="EZ412:FM412"/>
    <mergeCell ref="FN412:GA412"/>
    <mergeCell ref="GB412:GO412"/>
    <mergeCell ref="IF411:IN411"/>
    <mergeCell ref="EZ411:FM411"/>
    <mergeCell ref="FN411:GA411"/>
    <mergeCell ref="GB411:GO411"/>
    <mergeCell ref="GP411:HC411"/>
    <mergeCell ref="GB414:GO414"/>
    <mergeCell ref="GP414:HC414"/>
    <mergeCell ref="HD414:HQ414"/>
    <mergeCell ref="HR414:IE414"/>
    <mergeCell ref="DX414:EK414"/>
    <mergeCell ref="EL414:EY414"/>
    <mergeCell ref="EZ414:FM414"/>
    <mergeCell ref="AR412:BE412"/>
    <mergeCell ref="BF412:BS412"/>
    <mergeCell ref="BT412:CG412"/>
    <mergeCell ref="CH412:CU412"/>
    <mergeCell ref="CH411:CU411"/>
    <mergeCell ref="CV411:DI411"/>
    <mergeCell ref="DJ411:DW411"/>
    <mergeCell ref="DX411:EK411"/>
    <mergeCell ref="AD411:AQ411"/>
    <mergeCell ref="AR411:BE411"/>
    <mergeCell ref="BF411:BS411"/>
    <mergeCell ref="BT411:CG411"/>
    <mergeCell ref="EL411:EY411"/>
    <mergeCell ref="GP410:HC410"/>
    <mergeCell ref="HD410:HQ410"/>
    <mergeCell ref="HR410:IE410"/>
    <mergeCell ref="HD411:HQ411"/>
    <mergeCell ref="HR411:IE411"/>
    <mergeCell ref="DJ410:DW410"/>
    <mergeCell ref="DX410:EK410"/>
    <mergeCell ref="GP412:HC412"/>
    <mergeCell ref="HD412:HQ412"/>
    <mergeCell ref="HR412:IE412"/>
    <mergeCell ref="AD412:AQ412"/>
    <mergeCell ref="CV412:DI412"/>
    <mergeCell ref="DJ412:DW412"/>
    <mergeCell ref="DX412:EK412"/>
    <mergeCell ref="IF410:IN410"/>
    <mergeCell ref="EL410:EY410"/>
    <mergeCell ref="EZ410:FM410"/>
    <mergeCell ref="FN410:GA410"/>
    <mergeCell ref="GB410:GO410"/>
    <mergeCell ref="AD410:AQ410"/>
    <mergeCell ref="AR410:BE410"/>
    <mergeCell ref="BF410:BS410"/>
    <mergeCell ref="BT410:CG410"/>
    <mergeCell ref="CH410:CU410"/>
    <mergeCell ref="CV410:DI410"/>
    <mergeCell ref="IF385:IN385"/>
    <mergeCell ref="A386:N386"/>
    <mergeCell ref="A387:N387"/>
    <mergeCell ref="GB385:GO385"/>
    <mergeCell ref="GP385:HC385"/>
    <mergeCell ref="HD385:HQ385"/>
    <mergeCell ref="HR385:IE385"/>
    <mergeCell ref="DX385:EK385"/>
    <mergeCell ref="EL385:EY385"/>
    <mergeCell ref="EZ385:FM385"/>
    <mergeCell ref="AD385:AQ385"/>
    <mergeCell ref="AR385:BE385"/>
    <mergeCell ref="BF385:BS385"/>
    <mergeCell ref="FN385:GA385"/>
    <mergeCell ref="BT385:CG385"/>
    <mergeCell ref="CH385:CU385"/>
    <mergeCell ref="CV385:DI385"/>
    <mergeCell ref="DJ385:DW385"/>
    <mergeCell ref="GB347:GO347"/>
    <mergeCell ref="GP347:HC347"/>
    <mergeCell ref="H382:N382"/>
    <mergeCell ref="H383:N383"/>
    <mergeCell ref="B363:G363"/>
    <mergeCell ref="M363:N363"/>
    <mergeCell ref="A378:B378"/>
    <mergeCell ref="I384:N384"/>
    <mergeCell ref="A488:B488"/>
    <mergeCell ref="C488:G488"/>
    <mergeCell ref="C391:N391"/>
    <mergeCell ref="A395:L395"/>
    <mergeCell ref="A401:L401"/>
    <mergeCell ref="F402:L402"/>
    <mergeCell ref="F403:L403"/>
    <mergeCell ref="A406:L406"/>
    <mergeCell ref="A407:N407"/>
    <mergeCell ref="A408:N408"/>
    <mergeCell ref="B357:F357"/>
    <mergeCell ref="M357:N357"/>
    <mergeCell ref="A358:B358"/>
    <mergeCell ref="C358:D358"/>
    <mergeCell ref="E358:G358"/>
    <mergeCell ref="A359:B359"/>
    <mergeCell ref="C359:D359"/>
    <mergeCell ref="E359:G359"/>
    <mergeCell ref="A416:N416"/>
    <mergeCell ref="A419:N419"/>
    <mergeCell ref="B420:I420"/>
    <mergeCell ref="B423:G423"/>
    <mergeCell ref="H423:L423"/>
    <mergeCell ref="F433:K433"/>
    <mergeCell ref="DX346:EK346"/>
    <mergeCell ref="EL346:EY346"/>
    <mergeCell ref="EZ346:FM346"/>
    <mergeCell ref="FN346:GA346"/>
    <mergeCell ref="B346:I346"/>
    <mergeCell ref="AD346:AQ346"/>
    <mergeCell ref="AR346:BE346"/>
    <mergeCell ref="BF346:BS346"/>
    <mergeCell ref="BT346:CG346"/>
    <mergeCell ref="CH346:CU346"/>
    <mergeCell ref="CV346:DI346"/>
    <mergeCell ref="DJ346:DW346"/>
    <mergeCell ref="B352:G352"/>
    <mergeCell ref="H352:L352"/>
    <mergeCell ref="G353:J353"/>
    <mergeCell ref="B355:N355"/>
    <mergeCell ref="B356:E356"/>
    <mergeCell ref="F356:G356"/>
    <mergeCell ref="H356:I356"/>
    <mergeCell ref="J356:L356"/>
    <mergeCell ref="B349:G349"/>
    <mergeCell ref="H349:L349"/>
    <mergeCell ref="B350:G350"/>
    <mergeCell ref="H350:L350"/>
    <mergeCell ref="B351:G351"/>
    <mergeCell ref="H351:L351"/>
    <mergeCell ref="FN347:GA347"/>
    <mergeCell ref="EZ345:FM345"/>
    <mergeCell ref="FN345:GA345"/>
    <mergeCell ref="HD347:HQ347"/>
    <mergeCell ref="HR347:IE347"/>
    <mergeCell ref="A345:N345"/>
    <mergeCell ref="AD345:AQ345"/>
    <mergeCell ref="AR345:BE345"/>
    <mergeCell ref="BF345:BS345"/>
    <mergeCell ref="BT345:CG345"/>
    <mergeCell ref="CH345:CU345"/>
    <mergeCell ref="CV345:DI345"/>
    <mergeCell ref="DJ345:DW345"/>
    <mergeCell ref="IF347:IN347"/>
    <mergeCell ref="CH347:CU347"/>
    <mergeCell ref="CV347:DI347"/>
    <mergeCell ref="DJ347:DW347"/>
    <mergeCell ref="DX347:EK347"/>
    <mergeCell ref="EL347:EY347"/>
    <mergeCell ref="EZ347:FM347"/>
    <mergeCell ref="IF346:IN346"/>
    <mergeCell ref="A347:A348"/>
    <mergeCell ref="B347:G348"/>
    <mergeCell ref="H347:L348"/>
    <mergeCell ref="M347:N347"/>
    <mergeCell ref="AD347:AQ347"/>
    <mergeCell ref="AR347:BE347"/>
    <mergeCell ref="BF347:BS347"/>
    <mergeCell ref="BT347:CG347"/>
    <mergeCell ref="GB346:GO346"/>
    <mergeCell ref="GP346:HC346"/>
    <mergeCell ref="HD346:HQ346"/>
    <mergeCell ref="HR346:IE346"/>
    <mergeCell ref="GB343:GO343"/>
    <mergeCell ref="GP343:HC343"/>
    <mergeCell ref="HD343:HQ343"/>
    <mergeCell ref="HR343:IE343"/>
    <mergeCell ref="DX343:EK343"/>
    <mergeCell ref="EL343:EY343"/>
    <mergeCell ref="EZ343:FM343"/>
    <mergeCell ref="FN343:GA343"/>
    <mergeCell ref="IF345:IN345"/>
    <mergeCell ref="IF342:IN342"/>
    <mergeCell ref="AD343:AQ343"/>
    <mergeCell ref="AR343:BE343"/>
    <mergeCell ref="BF343:BS343"/>
    <mergeCell ref="BT343:CG343"/>
    <mergeCell ref="CH343:CU343"/>
    <mergeCell ref="CV343:DI343"/>
    <mergeCell ref="DJ343:DW343"/>
    <mergeCell ref="FN342:GA342"/>
    <mergeCell ref="GB342:GO342"/>
    <mergeCell ref="GP342:HC342"/>
    <mergeCell ref="HD342:HQ342"/>
    <mergeCell ref="DJ342:DW342"/>
    <mergeCell ref="DX342:EK342"/>
    <mergeCell ref="EL342:EY342"/>
    <mergeCell ref="EZ342:FM342"/>
    <mergeCell ref="IF343:IN343"/>
    <mergeCell ref="GB345:GO345"/>
    <mergeCell ref="GP345:HC345"/>
    <mergeCell ref="HD345:HQ345"/>
    <mergeCell ref="HR345:IE345"/>
    <mergeCell ref="DX345:EK345"/>
    <mergeCell ref="EL345:EY345"/>
    <mergeCell ref="A340:N340"/>
    <mergeCell ref="A342:N342"/>
    <mergeCell ref="AD342:AQ342"/>
    <mergeCell ref="AR342:BE342"/>
    <mergeCell ref="BF342:BS342"/>
    <mergeCell ref="BT342:CG342"/>
    <mergeCell ref="CH342:CU342"/>
    <mergeCell ref="CV342:DI342"/>
    <mergeCell ref="GB339:GO339"/>
    <mergeCell ref="GP339:HC339"/>
    <mergeCell ref="HD339:HQ339"/>
    <mergeCell ref="HR339:IE339"/>
    <mergeCell ref="DX339:EK339"/>
    <mergeCell ref="EL339:EY339"/>
    <mergeCell ref="EZ339:FM339"/>
    <mergeCell ref="FN339:GA339"/>
    <mergeCell ref="HR342:IE342"/>
    <mergeCell ref="IF338:IN338"/>
    <mergeCell ref="A339:N339"/>
    <mergeCell ref="AD339:AQ339"/>
    <mergeCell ref="AR339:BE339"/>
    <mergeCell ref="BF339:BS339"/>
    <mergeCell ref="BT339:CG339"/>
    <mergeCell ref="CH339:CU339"/>
    <mergeCell ref="CV339:DI339"/>
    <mergeCell ref="DJ339:DW339"/>
    <mergeCell ref="GB338:GO338"/>
    <mergeCell ref="GP338:HC338"/>
    <mergeCell ref="HD338:HQ338"/>
    <mergeCell ref="HR338:IE338"/>
    <mergeCell ref="DX338:EK338"/>
    <mergeCell ref="EL338:EY338"/>
    <mergeCell ref="EZ338:FM338"/>
    <mergeCell ref="FN338:GA338"/>
    <mergeCell ref="AR338:BE338"/>
    <mergeCell ref="BF338:BS338"/>
    <mergeCell ref="BT338:CG338"/>
    <mergeCell ref="CH338:CU338"/>
    <mergeCell ref="CV338:DI338"/>
    <mergeCell ref="DJ338:DW338"/>
    <mergeCell ref="IF339:IN339"/>
    <mergeCell ref="F328:L328"/>
    <mergeCell ref="A331:L331"/>
    <mergeCell ref="A332:N332"/>
    <mergeCell ref="A333:N333"/>
    <mergeCell ref="A338:N338"/>
    <mergeCell ref="AD338:AQ338"/>
    <mergeCell ref="A312:N312"/>
    <mergeCell ref="A313:N313"/>
    <mergeCell ref="C317:N317"/>
    <mergeCell ref="A319:L319"/>
    <mergeCell ref="A326:L326"/>
    <mergeCell ref="F327:L327"/>
    <mergeCell ref="A305:H305"/>
    <mergeCell ref="I305:N305"/>
    <mergeCell ref="A307:N307"/>
    <mergeCell ref="A308:N308"/>
    <mergeCell ref="A309:N309"/>
    <mergeCell ref="J310:N310"/>
    <mergeCell ref="A299:H299"/>
    <mergeCell ref="I299:N299"/>
    <mergeCell ref="B300:E300"/>
    <mergeCell ref="H298:I298"/>
    <mergeCell ref="J298:L298"/>
    <mergeCell ref="M298:N298"/>
    <mergeCell ref="A298:B298"/>
    <mergeCell ref="C298:G298"/>
    <mergeCell ref="A295:B295"/>
    <mergeCell ref="C295:G295"/>
    <mergeCell ref="M295:N295"/>
    <mergeCell ref="A296:B296"/>
    <mergeCell ref="C296:G296"/>
    <mergeCell ref="H296:I296"/>
    <mergeCell ref="J296:L296"/>
    <mergeCell ref="M296:N296"/>
    <mergeCell ref="A274:N274"/>
    <mergeCell ref="G269:N269"/>
    <mergeCell ref="G270:N270"/>
    <mergeCell ref="C277:N277"/>
    <mergeCell ref="F282:N282"/>
    <mergeCell ref="G291:H291"/>
    <mergeCell ref="I291:N291"/>
    <mergeCell ref="B260:E260"/>
    <mergeCell ref="F260:G260"/>
    <mergeCell ref="H260:I260"/>
    <mergeCell ref="J260:L260"/>
    <mergeCell ref="J271:N271"/>
    <mergeCell ref="A273:N273"/>
    <mergeCell ref="B258:E258"/>
    <mergeCell ref="F258:G258"/>
    <mergeCell ref="H258:I258"/>
    <mergeCell ref="J258:L258"/>
    <mergeCell ref="A259:H259"/>
    <mergeCell ref="I259:N259"/>
    <mergeCell ref="BF233:BS233"/>
    <mergeCell ref="DJ232:DW232"/>
    <mergeCell ref="DX232:EK232"/>
    <mergeCell ref="A247:E247"/>
    <mergeCell ref="B248:E248"/>
    <mergeCell ref="F248:G248"/>
    <mergeCell ref="H248:I248"/>
    <mergeCell ref="J248:L248"/>
    <mergeCell ref="B249:E249"/>
    <mergeCell ref="F249:G249"/>
    <mergeCell ref="H249:I249"/>
    <mergeCell ref="J249:L249"/>
    <mergeCell ref="A241:E241"/>
    <mergeCell ref="F241:N241"/>
    <mergeCell ref="F242:K242"/>
    <mergeCell ref="L242:N242"/>
    <mergeCell ref="A246:E246"/>
    <mergeCell ref="F246:K246"/>
    <mergeCell ref="L246:N246"/>
    <mergeCell ref="B236:G236"/>
    <mergeCell ref="H236:L236"/>
    <mergeCell ref="H237:K237"/>
    <mergeCell ref="D239:N239"/>
    <mergeCell ref="B240:E240"/>
    <mergeCell ref="F240:G240"/>
    <mergeCell ref="H240:I240"/>
    <mergeCell ref="J240:L240"/>
    <mergeCell ref="IF231:IN231"/>
    <mergeCell ref="BT231:CG231"/>
    <mergeCell ref="CH231:CU231"/>
    <mergeCell ref="CV231:DI231"/>
    <mergeCell ref="DJ231:DW231"/>
    <mergeCell ref="GP231:HC231"/>
    <mergeCell ref="HD231:HQ231"/>
    <mergeCell ref="B235:G235"/>
    <mergeCell ref="H235:L235"/>
    <mergeCell ref="BT233:CG233"/>
    <mergeCell ref="CH233:CU233"/>
    <mergeCell ref="CV233:DI233"/>
    <mergeCell ref="DJ233:DW233"/>
    <mergeCell ref="IF233:IN233"/>
    <mergeCell ref="B234:G234"/>
    <mergeCell ref="H234:L234"/>
    <mergeCell ref="GB233:GO233"/>
    <mergeCell ref="GP233:HC233"/>
    <mergeCell ref="HD233:HQ233"/>
    <mergeCell ref="HR233:IE233"/>
    <mergeCell ref="DX233:EK233"/>
    <mergeCell ref="EL233:EY233"/>
    <mergeCell ref="EZ233:FM233"/>
    <mergeCell ref="GP232:HC232"/>
    <mergeCell ref="HD232:HQ232"/>
    <mergeCell ref="HR232:IE232"/>
    <mergeCell ref="IF232:IN232"/>
    <mergeCell ref="FN233:GA233"/>
    <mergeCell ref="B233:G233"/>
    <mergeCell ref="H233:L233"/>
    <mergeCell ref="AD233:AQ233"/>
    <mergeCell ref="AR233:BE233"/>
    <mergeCell ref="B230:I230"/>
    <mergeCell ref="A231:A232"/>
    <mergeCell ref="B231:G232"/>
    <mergeCell ref="H231:L232"/>
    <mergeCell ref="M231:N231"/>
    <mergeCell ref="AD231:AQ231"/>
    <mergeCell ref="AR231:BE231"/>
    <mergeCell ref="BF231:BS231"/>
    <mergeCell ref="GB229:GO229"/>
    <mergeCell ref="GP229:HC229"/>
    <mergeCell ref="HD229:HQ229"/>
    <mergeCell ref="HR229:IE229"/>
    <mergeCell ref="DX229:EK229"/>
    <mergeCell ref="EL229:EY229"/>
    <mergeCell ref="EZ229:FM229"/>
    <mergeCell ref="FN229:GA229"/>
    <mergeCell ref="GB231:GO231"/>
    <mergeCell ref="EL232:EY232"/>
    <mergeCell ref="EZ232:FM232"/>
    <mergeCell ref="FN232:GA232"/>
    <mergeCell ref="GB232:GO232"/>
    <mergeCell ref="AD232:AQ232"/>
    <mergeCell ref="AR232:BE232"/>
    <mergeCell ref="BF232:BS232"/>
    <mergeCell ref="BT232:CG232"/>
    <mergeCell ref="CH232:CU232"/>
    <mergeCell ref="CV232:DI232"/>
    <mergeCell ref="HR231:IE231"/>
    <mergeCell ref="DX231:EK231"/>
    <mergeCell ref="EL231:EY231"/>
    <mergeCell ref="EZ231:FM231"/>
    <mergeCell ref="FN231:GA231"/>
    <mergeCell ref="IF228:IN228"/>
    <mergeCell ref="A229:N229"/>
    <mergeCell ref="AD229:AQ229"/>
    <mergeCell ref="AR229:BE229"/>
    <mergeCell ref="BF229:BS229"/>
    <mergeCell ref="BT229:CG229"/>
    <mergeCell ref="CH229:CU229"/>
    <mergeCell ref="CV229:DI229"/>
    <mergeCell ref="DJ229:DW229"/>
    <mergeCell ref="GB228:GO228"/>
    <mergeCell ref="CV228:DI228"/>
    <mergeCell ref="GP228:HC228"/>
    <mergeCell ref="HD228:HQ228"/>
    <mergeCell ref="HR228:IE228"/>
    <mergeCell ref="DX228:EK228"/>
    <mergeCell ref="A226:N226"/>
    <mergeCell ref="A228:N228"/>
    <mergeCell ref="AD228:AQ228"/>
    <mergeCell ref="AR228:BE228"/>
    <mergeCell ref="IF229:IN229"/>
    <mergeCell ref="A224:N224"/>
    <mergeCell ref="AD224:AQ224"/>
    <mergeCell ref="AR224:BE224"/>
    <mergeCell ref="BF224:BS224"/>
    <mergeCell ref="DX224:EK224"/>
    <mergeCell ref="GP225:HC225"/>
    <mergeCell ref="HD225:HQ225"/>
    <mergeCell ref="EL228:EY228"/>
    <mergeCell ref="EZ228:FM228"/>
    <mergeCell ref="FN228:GA228"/>
    <mergeCell ref="HR225:IE225"/>
    <mergeCell ref="A225:N225"/>
    <mergeCell ref="AD225:AQ225"/>
    <mergeCell ref="AR225:BE225"/>
    <mergeCell ref="BF225:BS225"/>
    <mergeCell ref="GB225:GO225"/>
    <mergeCell ref="DJ228:DW228"/>
    <mergeCell ref="DX225:EK225"/>
    <mergeCell ref="BF228:BS228"/>
    <mergeCell ref="BT228:CG228"/>
    <mergeCell ref="CH228:CU228"/>
    <mergeCell ref="HR224:IE224"/>
    <mergeCell ref="EL224:EY224"/>
    <mergeCell ref="EZ224:FM224"/>
    <mergeCell ref="FN224:GA224"/>
    <mergeCell ref="GB224:GO224"/>
    <mergeCell ref="GP224:HC224"/>
    <mergeCell ref="HD224:HQ224"/>
    <mergeCell ref="IF223:IN223"/>
    <mergeCell ref="EL223:EY223"/>
    <mergeCell ref="EZ223:FM223"/>
    <mergeCell ref="FN223:GA223"/>
    <mergeCell ref="GB223:GO223"/>
    <mergeCell ref="IF224:IN224"/>
    <mergeCell ref="BT225:CG225"/>
    <mergeCell ref="CH225:CU225"/>
    <mergeCell ref="CV225:DI225"/>
    <mergeCell ref="DJ225:DW225"/>
    <mergeCell ref="IF225:IN225"/>
    <mergeCell ref="EL225:EY225"/>
    <mergeCell ref="EZ225:FM225"/>
    <mergeCell ref="FN225:GA225"/>
    <mergeCell ref="BT224:CG224"/>
    <mergeCell ref="CH224:CU224"/>
    <mergeCell ref="CV224:DI224"/>
    <mergeCell ref="DJ224:DW224"/>
    <mergeCell ref="AD223:AQ223"/>
    <mergeCell ref="AR223:BE223"/>
    <mergeCell ref="BF223:BS223"/>
    <mergeCell ref="BT223:CG223"/>
    <mergeCell ref="CH223:CU223"/>
    <mergeCell ref="CH222:CU222"/>
    <mergeCell ref="CV222:DI222"/>
    <mergeCell ref="DJ222:DW222"/>
    <mergeCell ref="DX222:EK222"/>
    <mergeCell ref="AD222:AQ222"/>
    <mergeCell ref="AR222:BE222"/>
    <mergeCell ref="BF222:BS222"/>
    <mergeCell ref="BT222:CG222"/>
    <mergeCell ref="EL222:EY222"/>
    <mergeCell ref="GP223:HC223"/>
    <mergeCell ref="HD223:HQ223"/>
    <mergeCell ref="HR223:IE223"/>
    <mergeCell ref="CV223:DI223"/>
    <mergeCell ref="DJ223:DW223"/>
    <mergeCell ref="DX223:EK223"/>
    <mergeCell ref="GP221:HC221"/>
    <mergeCell ref="HD221:HQ221"/>
    <mergeCell ref="HR221:IE221"/>
    <mergeCell ref="HD222:HQ222"/>
    <mergeCell ref="HR222:IE222"/>
    <mergeCell ref="DJ221:DW221"/>
    <mergeCell ref="DX221:EK221"/>
    <mergeCell ref="IF221:IN221"/>
    <mergeCell ref="EL221:EY221"/>
    <mergeCell ref="EZ221:FM221"/>
    <mergeCell ref="FN221:GA221"/>
    <mergeCell ref="GB221:GO221"/>
    <mergeCell ref="AD221:AQ221"/>
    <mergeCell ref="AR221:BE221"/>
    <mergeCell ref="BF221:BS221"/>
    <mergeCell ref="BT221:CG221"/>
    <mergeCell ref="CH221:CU221"/>
    <mergeCell ref="CV221:DI221"/>
    <mergeCell ref="IF222:IN222"/>
    <mergeCell ref="EZ222:FM222"/>
    <mergeCell ref="FN222:GA222"/>
    <mergeCell ref="GB222:GO222"/>
    <mergeCell ref="GP222:HC222"/>
    <mergeCell ref="IF196:IN196"/>
    <mergeCell ref="A197:N197"/>
    <mergeCell ref="A198:N198"/>
    <mergeCell ref="GB196:GO196"/>
    <mergeCell ref="GP196:HC196"/>
    <mergeCell ref="HD196:HQ196"/>
    <mergeCell ref="HR196:IE196"/>
    <mergeCell ref="DX196:EK196"/>
    <mergeCell ref="EL196:EY196"/>
    <mergeCell ref="EZ196:FM196"/>
    <mergeCell ref="BF196:BS196"/>
    <mergeCell ref="FN196:GA196"/>
    <mergeCell ref="BT196:CG196"/>
    <mergeCell ref="CH196:CU196"/>
    <mergeCell ref="CV196:DI196"/>
    <mergeCell ref="DJ196:DW196"/>
    <mergeCell ref="B173:G173"/>
    <mergeCell ref="M173:N173"/>
    <mergeCell ref="A188:B188"/>
    <mergeCell ref="I195:N195"/>
    <mergeCell ref="AD196:AQ196"/>
    <mergeCell ref="AR196:BE196"/>
    <mergeCell ref="A212:L212"/>
    <mergeCell ref="F213:L213"/>
    <mergeCell ref="F214:L214"/>
    <mergeCell ref="A217:L217"/>
    <mergeCell ref="H193:N193"/>
    <mergeCell ref="H194:N194"/>
    <mergeCell ref="A218:N218"/>
    <mergeCell ref="A219:N219"/>
    <mergeCell ref="A168:B168"/>
    <mergeCell ref="C168:D168"/>
    <mergeCell ref="E168:G168"/>
    <mergeCell ref="A169:B169"/>
    <mergeCell ref="C169:D169"/>
    <mergeCell ref="E169:G169"/>
    <mergeCell ref="C202:N202"/>
    <mergeCell ref="A206:L206"/>
    <mergeCell ref="B166:E166"/>
    <mergeCell ref="F166:G166"/>
    <mergeCell ref="H166:I166"/>
    <mergeCell ref="J166:L166"/>
    <mergeCell ref="B167:F167"/>
    <mergeCell ref="M167:N167"/>
    <mergeCell ref="B161:G161"/>
    <mergeCell ref="H161:L161"/>
    <mergeCell ref="B162:G162"/>
    <mergeCell ref="H162:L162"/>
    <mergeCell ref="G163:J163"/>
    <mergeCell ref="B165:N165"/>
    <mergeCell ref="B157:I157"/>
    <mergeCell ref="A158:A159"/>
    <mergeCell ref="B158:G159"/>
    <mergeCell ref="H158:L159"/>
    <mergeCell ref="B160:G160"/>
    <mergeCell ref="H160:L160"/>
    <mergeCell ref="M158:N158"/>
    <mergeCell ref="GP156:HC156"/>
    <mergeCell ref="HD156:HQ156"/>
    <mergeCell ref="HR156:IE156"/>
    <mergeCell ref="A156:N156"/>
    <mergeCell ref="AD156:AQ156"/>
    <mergeCell ref="AR156:BE156"/>
    <mergeCell ref="BF156:BS156"/>
    <mergeCell ref="BT156:CG156"/>
    <mergeCell ref="CH156:CU156"/>
    <mergeCell ref="CV156:DI156"/>
    <mergeCell ref="DJ156:DW156"/>
    <mergeCell ref="DX156:EK156"/>
    <mergeCell ref="GP155:HC155"/>
    <mergeCell ref="IF156:IN156"/>
    <mergeCell ref="EL156:EY156"/>
    <mergeCell ref="EZ156:FM156"/>
    <mergeCell ref="FN156:GA156"/>
    <mergeCell ref="GB156:GO156"/>
    <mergeCell ref="HD155:HQ155"/>
    <mergeCell ref="HR155:IE155"/>
    <mergeCell ref="IF155:IN155"/>
    <mergeCell ref="EL155:EY155"/>
    <mergeCell ref="EZ155:FM155"/>
    <mergeCell ref="FN155:GA155"/>
    <mergeCell ref="GB155:GO155"/>
    <mergeCell ref="IF154:IN154"/>
    <mergeCell ref="AD155:AQ155"/>
    <mergeCell ref="AR155:BE155"/>
    <mergeCell ref="BF155:BS155"/>
    <mergeCell ref="BT155:CG155"/>
    <mergeCell ref="CH155:CU155"/>
    <mergeCell ref="CV155:DI155"/>
    <mergeCell ref="DJ155:DW155"/>
    <mergeCell ref="DX155:EK155"/>
    <mergeCell ref="GB154:GO154"/>
    <mergeCell ref="GP154:HC154"/>
    <mergeCell ref="HD154:HQ154"/>
    <mergeCell ref="HR154:IE154"/>
    <mergeCell ref="DX154:EK154"/>
    <mergeCell ref="EL154:EY154"/>
    <mergeCell ref="EZ154:FM154"/>
    <mergeCell ref="FN154:GA154"/>
    <mergeCell ref="IF152:IN152"/>
    <mergeCell ref="A153:N153"/>
    <mergeCell ref="AD154:AQ154"/>
    <mergeCell ref="AR154:BE154"/>
    <mergeCell ref="BF154:BS154"/>
    <mergeCell ref="BT154:CG154"/>
    <mergeCell ref="CH154:CU154"/>
    <mergeCell ref="CV154:DI154"/>
    <mergeCell ref="DJ154:DW154"/>
    <mergeCell ref="GB152:GO152"/>
    <mergeCell ref="CV152:DI152"/>
    <mergeCell ref="DJ152:DW152"/>
    <mergeCell ref="GB151:GO151"/>
    <mergeCell ref="GP152:HC152"/>
    <mergeCell ref="HD152:HQ152"/>
    <mergeCell ref="HR152:IE152"/>
    <mergeCell ref="DX152:EK152"/>
    <mergeCell ref="EL152:EY152"/>
    <mergeCell ref="EZ152:FM152"/>
    <mergeCell ref="FN152:GA152"/>
    <mergeCell ref="A152:N152"/>
    <mergeCell ref="AD152:AQ152"/>
    <mergeCell ref="AR152:BE152"/>
    <mergeCell ref="BF152:BS152"/>
    <mergeCell ref="BT152:CG152"/>
    <mergeCell ref="CH152:CU152"/>
    <mergeCell ref="A151:N151"/>
    <mergeCell ref="AD151:AQ151"/>
    <mergeCell ref="AR151:BE151"/>
    <mergeCell ref="FN151:GA151"/>
    <mergeCell ref="IF151:IN151"/>
    <mergeCell ref="HD151:HQ151"/>
    <mergeCell ref="HR151:IE151"/>
    <mergeCell ref="DX151:EK151"/>
    <mergeCell ref="EL151:EY151"/>
    <mergeCell ref="EZ151:FM151"/>
    <mergeCell ref="BF151:BS151"/>
    <mergeCell ref="BT151:CG151"/>
    <mergeCell ref="CH151:CU151"/>
    <mergeCell ref="CV151:DI151"/>
    <mergeCell ref="IF148:IN148"/>
    <mergeCell ref="EL148:EY148"/>
    <mergeCell ref="EZ148:FM148"/>
    <mergeCell ref="FN148:GA148"/>
    <mergeCell ref="GB148:GO148"/>
    <mergeCell ref="DJ151:DW151"/>
    <mergeCell ref="GP148:HC148"/>
    <mergeCell ref="HD148:HQ148"/>
    <mergeCell ref="HR148:IE148"/>
    <mergeCell ref="GP151:HC151"/>
    <mergeCell ref="DJ148:DW148"/>
    <mergeCell ref="DX148:EK148"/>
    <mergeCell ref="A150:N150"/>
    <mergeCell ref="HR146:IE146"/>
    <mergeCell ref="IF146:IN146"/>
    <mergeCell ref="AD147:AQ147"/>
    <mergeCell ref="AR147:BE147"/>
    <mergeCell ref="BF147:BS147"/>
    <mergeCell ref="BT147:CG147"/>
    <mergeCell ref="CH147:CU147"/>
    <mergeCell ref="CV147:DI147"/>
    <mergeCell ref="DJ147:DW147"/>
    <mergeCell ref="FN146:GA146"/>
    <mergeCell ref="CV146:DI146"/>
    <mergeCell ref="GB146:GO146"/>
    <mergeCell ref="GP146:HC146"/>
    <mergeCell ref="HD146:HQ146"/>
    <mergeCell ref="DJ146:DW146"/>
    <mergeCell ref="DX146:EK146"/>
    <mergeCell ref="EL146:EY146"/>
    <mergeCell ref="EZ146:FM146"/>
    <mergeCell ref="IF147:IN147"/>
    <mergeCell ref="A141:L141"/>
    <mergeCell ref="A142:N142"/>
    <mergeCell ref="A118:N118"/>
    <mergeCell ref="A119:N119"/>
    <mergeCell ref="J120:N120"/>
    <mergeCell ref="A122:N122"/>
    <mergeCell ref="A123:N123"/>
    <mergeCell ref="C127:N127"/>
    <mergeCell ref="AD148:AQ148"/>
    <mergeCell ref="AR148:BE148"/>
    <mergeCell ref="BF148:BS148"/>
    <mergeCell ref="BT148:CG148"/>
    <mergeCell ref="CH148:CU148"/>
    <mergeCell ref="CV148:DI148"/>
    <mergeCell ref="HD147:HQ147"/>
    <mergeCell ref="HR147:IE147"/>
    <mergeCell ref="DX147:EK147"/>
    <mergeCell ref="EL147:EY147"/>
    <mergeCell ref="EZ147:FM147"/>
    <mergeCell ref="FN147:GA147"/>
    <mergeCell ref="GB147:GO147"/>
    <mergeCell ref="GP147:HC147"/>
    <mergeCell ref="A143:N143"/>
    <mergeCell ref="AD146:AQ146"/>
    <mergeCell ref="AR146:BE146"/>
    <mergeCell ref="BF146:BS146"/>
    <mergeCell ref="BT146:CG146"/>
    <mergeCell ref="CH146:CU146"/>
    <mergeCell ref="A129:L129"/>
    <mergeCell ref="A136:L136"/>
    <mergeCell ref="F137:L137"/>
    <mergeCell ref="F138:L138"/>
    <mergeCell ref="A109:H109"/>
    <mergeCell ref="I109:N109"/>
    <mergeCell ref="B110:E110"/>
    <mergeCell ref="A115:H115"/>
    <mergeCell ref="I115:N115"/>
    <mergeCell ref="A117:N117"/>
    <mergeCell ref="A104:B104"/>
    <mergeCell ref="C104:G104"/>
    <mergeCell ref="M104:N104"/>
    <mergeCell ref="M105:N105"/>
    <mergeCell ref="A105:B105"/>
    <mergeCell ref="C105:G105"/>
    <mergeCell ref="H105:I105"/>
    <mergeCell ref="J105:L105"/>
    <mergeCell ref="A82:N82"/>
    <mergeCell ref="A83:N83"/>
    <mergeCell ref="C86:N86"/>
    <mergeCell ref="F91:N91"/>
    <mergeCell ref="G100:H100"/>
    <mergeCell ref="I100:N100"/>
    <mergeCell ref="G79:N79"/>
    <mergeCell ref="J80:N80"/>
    <mergeCell ref="IH72:IN72"/>
    <mergeCell ref="G78:N78"/>
    <mergeCell ref="HB72:HI72"/>
    <mergeCell ref="HJ72:HQ72"/>
    <mergeCell ref="HR72:HY72"/>
    <mergeCell ref="HZ72:IG72"/>
    <mergeCell ref="FV72:GC72"/>
    <mergeCell ref="GD72:GK72"/>
    <mergeCell ref="DZ72:EG72"/>
    <mergeCell ref="EH72:EO72"/>
    <mergeCell ref="GL72:GS72"/>
    <mergeCell ref="GT72:HA72"/>
    <mergeCell ref="EP72:EW72"/>
    <mergeCell ref="EX72:FE72"/>
    <mergeCell ref="FF72:FM72"/>
    <mergeCell ref="FN72:FU72"/>
    <mergeCell ref="CD72:CK72"/>
    <mergeCell ref="CL72:CS72"/>
    <mergeCell ref="CT72:DA72"/>
    <mergeCell ref="DB72:DI72"/>
    <mergeCell ref="DJ72:DQ72"/>
    <mergeCell ref="DR72:DY72"/>
    <mergeCell ref="AH72:AO72"/>
    <mergeCell ref="AP72:AW72"/>
    <mergeCell ref="AX72:BE72"/>
    <mergeCell ref="BF72:BM72"/>
    <mergeCell ref="BN72:BU72"/>
    <mergeCell ref="BV72:CC72"/>
    <mergeCell ref="B69:E69"/>
    <mergeCell ref="F69:G69"/>
    <mergeCell ref="H69:I69"/>
    <mergeCell ref="J69:L69"/>
    <mergeCell ref="I70:P70"/>
    <mergeCell ref="Z72:AG72"/>
    <mergeCell ref="B67:E67"/>
    <mergeCell ref="F67:G67"/>
    <mergeCell ref="H67:I67"/>
    <mergeCell ref="J67:L67"/>
    <mergeCell ref="A68:H68"/>
    <mergeCell ref="I68:N68"/>
    <mergeCell ref="A56:E56"/>
    <mergeCell ref="B57:E57"/>
    <mergeCell ref="F57:G57"/>
    <mergeCell ref="H57:I57"/>
    <mergeCell ref="J57:L57"/>
    <mergeCell ref="B58:E58"/>
    <mergeCell ref="F58:G58"/>
    <mergeCell ref="H58:I58"/>
    <mergeCell ref="J58:L58"/>
    <mergeCell ref="A55:E55"/>
    <mergeCell ref="F55:K55"/>
    <mergeCell ref="L55:N55"/>
    <mergeCell ref="B45:G45"/>
    <mergeCell ref="H45:L45"/>
    <mergeCell ref="H46:K46"/>
    <mergeCell ref="D48:N48"/>
    <mergeCell ref="B49:E49"/>
    <mergeCell ref="F49:G49"/>
    <mergeCell ref="H49:I49"/>
    <mergeCell ref="J49:L49"/>
    <mergeCell ref="EZ40:FM40"/>
    <mergeCell ref="FN40:GA40"/>
    <mergeCell ref="B43:G43"/>
    <mergeCell ref="H43:L43"/>
    <mergeCell ref="B44:G44"/>
    <mergeCell ref="H44:L44"/>
    <mergeCell ref="BT40:CG40"/>
    <mergeCell ref="CH40:CU40"/>
    <mergeCell ref="CV40:DI40"/>
    <mergeCell ref="DJ40:DW40"/>
    <mergeCell ref="B40:I40"/>
    <mergeCell ref="AD40:AQ40"/>
    <mergeCell ref="A41:A42"/>
    <mergeCell ref="B41:G42"/>
    <mergeCell ref="H41:L42"/>
    <mergeCell ref="M41:N41"/>
    <mergeCell ref="DX40:EK40"/>
    <mergeCell ref="EL40:EY40"/>
    <mergeCell ref="AR40:BE40"/>
    <mergeCell ref="BF40:BS40"/>
    <mergeCell ref="IF40:IN40"/>
    <mergeCell ref="GB40:GO40"/>
    <mergeCell ref="A50:E50"/>
    <mergeCell ref="F50:N50"/>
    <mergeCell ref="F51:K51"/>
    <mergeCell ref="L51:N51"/>
    <mergeCell ref="A39:N39"/>
    <mergeCell ref="AD39:AQ39"/>
    <mergeCell ref="AR39:BE39"/>
    <mergeCell ref="BF39:BS39"/>
    <mergeCell ref="BT39:CG39"/>
    <mergeCell ref="GP38:HC38"/>
    <mergeCell ref="HD38:HQ38"/>
    <mergeCell ref="HR38:IE38"/>
    <mergeCell ref="DX38:EK38"/>
    <mergeCell ref="IF39:IN39"/>
    <mergeCell ref="GP39:HC39"/>
    <mergeCell ref="HD39:HQ39"/>
    <mergeCell ref="HR39:IE39"/>
    <mergeCell ref="CH39:CU39"/>
    <mergeCell ref="CV39:DI39"/>
    <mergeCell ref="DJ39:DW39"/>
    <mergeCell ref="GB38:GO38"/>
    <mergeCell ref="CV38:DI38"/>
    <mergeCell ref="DJ38:DW38"/>
    <mergeCell ref="EZ39:FM39"/>
    <mergeCell ref="FN39:GA39"/>
    <mergeCell ref="EL38:EY38"/>
    <mergeCell ref="EZ38:FM38"/>
    <mergeCell ref="FN38:GA38"/>
    <mergeCell ref="DX39:EK39"/>
    <mergeCell ref="EL39:EY39"/>
    <mergeCell ref="GB39:GO39"/>
    <mergeCell ref="HR40:IE40"/>
    <mergeCell ref="GP40:HC40"/>
    <mergeCell ref="HD40:HQ40"/>
    <mergeCell ref="IF36:IN36"/>
    <mergeCell ref="GB36:GO36"/>
    <mergeCell ref="A38:N38"/>
    <mergeCell ref="AD38:AQ38"/>
    <mergeCell ref="AR38:BE38"/>
    <mergeCell ref="BF38:BS38"/>
    <mergeCell ref="BT38:CG38"/>
    <mergeCell ref="CH38:CU38"/>
    <mergeCell ref="GB35:GO35"/>
    <mergeCell ref="GP36:HC36"/>
    <mergeCell ref="HD36:HQ36"/>
    <mergeCell ref="HR36:IE36"/>
    <mergeCell ref="DX36:EK36"/>
    <mergeCell ref="EL36:EY36"/>
    <mergeCell ref="EZ36:FM36"/>
    <mergeCell ref="FN36:GA36"/>
    <mergeCell ref="FN35:GA35"/>
    <mergeCell ref="IF35:IN35"/>
    <mergeCell ref="A36:N36"/>
    <mergeCell ref="AD36:AQ36"/>
    <mergeCell ref="AR36:BE36"/>
    <mergeCell ref="BF36:BS36"/>
    <mergeCell ref="BT36:CG36"/>
    <mergeCell ref="CH36:CU36"/>
    <mergeCell ref="CV36:DI36"/>
    <mergeCell ref="DJ36:DW36"/>
    <mergeCell ref="BF35:BS35"/>
    <mergeCell ref="BT35:CG35"/>
    <mergeCell ref="CH35:CU35"/>
    <mergeCell ref="CV35:DI35"/>
    <mergeCell ref="IF38:IN38"/>
    <mergeCell ref="GP35:HC35"/>
    <mergeCell ref="AD31:AQ31"/>
    <mergeCell ref="AR31:BE31"/>
    <mergeCell ref="BF31:BS31"/>
    <mergeCell ref="BT31:CG31"/>
    <mergeCell ref="EL31:EY31"/>
    <mergeCell ref="A34:N34"/>
    <mergeCell ref="A35:N35"/>
    <mergeCell ref="AD35:AQ35"/>
    <mergeCell ref="AR35:BE35"/>
    <mergeCell ref="DJ35:DW35"/>
    <mergeCell ref="IF30:IN30"/>
    <mergeCell ref="EL30:EY30"/>
    <mergeCell ref="EZ30:FM30"/>
    <mergeCell ref="FN30:GA30"/>
    <mergeCell ref="GB30:GO30"/>
    <mergeCell ref="CV32:DI32"/>
    <mergeCell ref="DJ32:DW32"/>
    <mergeCell ref="DX32:EK32"/>
    <mergeCell ref="AD32:AQ32"/>
    <mergeCell ref="AR32:BE32"/>
    <mergeCell ref="BF32:BS32"/>
    <mergeCell ref="BT32:CG32"/>
    <mergeCell ref="CH32:CU32"/>
    <mergeCell ref="HD35:HQ35"/>
    <mergeCell ref="HR35:IE35"/>
    <mergeCell ref="DX35:EK35"/>
    <mergeCell ref="EL35:EY35"/>
    <mergeCell ref="EZ35:FM35"/>
    <mergeCell ref="IF29:IN29"/>
    <mergeCell ref="EZ29:FM29"/>
    <mergeCell ref="FN29:GA29"/>
    <mergeCell ref="GB29:GO29"/>
    <mergeCell ref="GP29:HC29"/>
    <mergeCell ref="IF32:IN32"/>
    <mergeCell ref="EL32:EY32"/>
    <mergeCell ref="EZ32:FM32"/>
    <mergeCell ref="FN32:GA32"/>
    <mergeCell ref="GB32:GO32"/>
    <mergeCell ref="IF31:IN31"/>
    <mergeCell ref="EZ31:FM31"/>
    <mergeCell ref="FN31:GA31"/>
    <mergeCell ref="GB31:GO31"/>
    <mergeCell ref="GP31:HC31"/>
    <mergeCell ref="GP32:HC32"/>
    <mergeCell ref="HD32:HQ32"/>
    <mergeCell ref="HR32:IE32"/>
    <mergeCell ref="GP28:HC28"/>
    <mergeCell ref="HD28:HQ28"/>
    <mergeCell ref="HR28:IE28"/>
    <mergeCell ref="HD29:HQ29"/>
    <mergeCell ref="HR29:IE29"/>
    <mergeCell ref="BT28:CG28"/>
    <mergeCell ref="CH28:CU28"/>
    <mergeCell ref="CV28:DI28"/>
    <mergeCell ref="DJ28:DW28"/>
    <mergeCell ref="DX28:EK28"/>
    <mergeCell ref="GP30:HC30"/>
    <mergeCell ref="HD30:HQ30"/>
    <mergeCell ref="HR30:IE30"/>
    <mergeCell ref="HD31:HQ31"/>
    <mergeCell ref="HR31:IE31"/>
    <mergeCell ref="CV30:DI30"/>
    <mergeCell ref="DJ30:DW30"/>
    <mergeCell ref="DX30:EK30"/>
    <mergeCell ref="CH31:CU31"/>
    <mergeCell ref="CV31:DI31"/>
    <mergeCell ref="DJ31:DW31"/>
    <mergeCell ref="DX31:EK31"/>
    <mergeCell ref="AR3:BE3"/>
    <mergeCell ref="BF3:BS3"/>
    <mergeCell ref="FN3:GA3"/>
    <mergeCell ref="BT3:CG3"/>
    <mergeCell ref="CH3:CU3"/>
    <mergeCell ref="CV3:DI3"/>
    <mergeCell ref="DJ3:DW3"/>
    <mergeCell ref="AD30:AQ30"/>
    <mergeCell ref="AR30:BE30"/>
    <mergeCell ref="BF30:BS30"/>
    <mergeCell ref="BT30:CG30"/>
    <mergeCell ref="CH30:CU30"/>
    <mergeCell ref="CH29:CU29"/>
    <mergeCell ref="CV29:DI29"/>
    <mergeCell ref="DJ29:DW29"/>
    <mergeCell ref="DX29:EK29"/>
    <mergeCell ref="AD29:AQ29"/>
    <mergeCell ref="AR29:BE29"/>
    <mergeCell ref="BF29:BS29"/>
    <mergeCell ref="BT29:CG29"/>
    <mergeCell ref="EL29:EY29"/>
    <mergeCell ref="H1:N1"/>
    <mergeCell ref="H2:N2"/>
    <mergeCell ref="B90:N90"/>
    <mergeCell ref="B281:N281"/>
    <mergeCell ref="I3:N3"/>
    <mergeCell ref="C10:N10"/>
    <mergeCell ref="A14:L14"/>
    <mergeCell ref="A20:L20"/>
    <mergeCell ref="F21:L21"/>
    <mergeCell ref="F22:L22"/>
    <mergeCell ref="IF28:IN28"/>
    <mergeCell ref="EL28:EY28"/>
    <mergeCell ref="EZ28:FM28"/>
    <mergeCell ref="FN28:GA28"/>
    <mergeCell ref="GB28:GO28"/>
    <mergeCell ref="A25:L25"/>
    <mergeCell ref="A26:N26"/>
    <mergeCell ref="A27:N27"/>
    <mergeCell ref="AD28:AQ28"/>
    <mergeCell ref="AR28:BE28"/>
    <mergeCell ref="BF28:BS28"/>
    <mergeCell ref="IF3:IN3"/>
    <mergeCell ref="A5:N5"/>
    <mergeCell ref="A6:N6"/>
    <mergeCell ref="GB3:GO3"/>
    <mergeCell ref="GP3:HC3"/>
    <mergeCell ref="HD3:HQ3"/>
    <mergeCell ref="HR3:IE3"/>
    <mergeCell ref="DX3:EK3"/>
    <mergeCell ref="EL3:EY3"/>
    <mergeCell ref="EZ3:FM3"/>
    <mergeCell ref="AD3:AQ3"/>
  </mergeCells>
  <phoneticPr fontId="105" type="noConversion"/>
  <pageMargins left="0.63" right="0.25" top="0.47" bottom="0.56999999999999995" header="0.27" footer="0.23"/>
  <pageSetup paperSize="9" scale="94" orientation="portrait" verticalDpi="0" r:id="rId1"/>
  <headerFooter alignWithMargins="0"/>
  <rowBreaks count="17" manualBreakCount="17">
    <brk id="77" max="13" man="1"/>
    <brk id="115" max="13" man="1"/>
    <brk id="192" max="13" man="1"/>
    <brk id="268" max="13" man="1"/>
    <brk id="306" max="13" man="1"/>
    <brk id="381" max="13" man="1"/>
    <brk id="458" max="13" man="1"/>
    <brk id="496" max="13" man="1"/>
    <brk id="570" max="13" man="1"/>
    <brk id="646" max="13" man="1"/>
    <brk id="686" max="13" man="1"/>
    <brk id="760" max="13" man="1"/>
    <brk id="836" max="13" man="1"/>
    <brk id="876" max="13" man="1"/>
    <brk id="952" max="13" man="1"/>
    <brk id="1029" max="13" man="1"/>
    <brk id="1072" max="13" man="1"/>
  </rowBreaks>
  <colBreaks count="1" manualBreakCount="1">
    <brk id="14"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503"/>
  <sheetViews>
    <sheetView view="pageBreakPreview" topLeftCell="A61" zoomScale="85" zoomScaleNormal="100" workbookViewId="0">
      <selection activeCell="A65" sqref="A65:E65"/>
    </sheetView>
  </sheetViews>
  <sheetFormatPr defaultRowHeight="15"/>
  <cols>
    <col min="1" max="1" width="5.140625" style="463" customWidth="1"/>
    <col min="2" max="2" width="10.5703125" style="463" customWidth="1"/>
    <col min="3" max="3" width="10.140625" style="463" customWidth="1"/>
    <col min="4" max="4" width="8.5703125" style="463" customWidth="1"/>
    <col min="5" max="5" width="12.140625" style="463" customWidth="1"/>
    <col min="6" max="6" width="9.7109375" style="463" customWidth="1"/>
    <col min="7" max="7" width="8" style="463" customWidth="1"/>
    <col min="8" max="8" width="9.42578125" style="463" customWidth="1"/>
    <col min="9" max="9" width="9.7109375" style="463" customWidth="1"/>
    <col min="10" max="10" width="12.42578125" style="463" customWidth="1"/>
    <col min="11" max="12" width="9.140625" style="463"/>
    <col min="13" max="13" width="8.5703125" style="464" customWidth="1"/>
    <col min="14" max="14" width="24.7109375" style="464" bestFit="1" customWidth="1"/>
    <col min="15" max="15" width="18" style="464" customWidth="1"/>
    <col min="16" max="16" width="18.42578125" style="464" customWidth="1"/>
    <col min="17" max="24" width="9.140625" style="464"/>
    <col min="25" max="30" width="9.140625" style="468"/>
    <col min="31" max="16384" width="9.140625" style="463"/>
  </cols>
  <sheetData>
    <row r="1" spans="1:30" ht="20.100000000000001" customHeight="1">
      <c r="A1" s="1613" t="s">
        <v>77</v>
      </c>
      <c r="B1" s="1613"/>
      <c r="C1" s="1613"/>
      <c r="D1" s="1613"/>
      <c r="E1" s="1613"/>
      <c r="F1" s="1613"/>
      <c r="G1" s="1613"/>
      <c r="H1" s="1613"/>
      <c r="I1" s="1613"/>
      <c r="J1" s="1613"/>
      <c r="L1" s="464" t="s">
        <v>78</v>
      </c>
      <c r="M1" s="465"/>
      <c r="O1" s="466" t="s">
        <v>79</v>
      </c>
      <c r="P1" s="466" t="str">
        <f>'Du lieu'!$C$4</f>
        <v>KHU HỖN HỢP CHUNG CƯ, VĂN PHÒNG, TRUNG TÂM THƯƠNG MẠI VÀ NHÀ Ở KẾT HỢP KHU MUA SẮM</v>
      </c>
      <c r="Q1" s="467"/>
      <c r="V1" s="467" t="str">
        <f>'Du lieu'!$E$4</f>
        <v>Khu hỗn hợp chung cư, văn phòng, trung tâm thương mại và nhà ở kết hợp khu mua sắm</v>
      </c>
    </row>
    <row r="2" spans="1:30" ht="20.100000000000001" customHeight="1">
      <c r="A2" s="1614" t="s">
        <v>80</v>
      </c>
      <c r="B2" s="1614"/>
      <c r="C2" s="1614"/>
      <c r="D2" s="1614"/>
      <c r="E2" s="1614"/>
      <c r="F2" s="1614"/>
      <c r="G2" s="1614"/>
      <c r="H2" s="1614"/>
      <c r="I2" s="1614"/>
      <c r="J2" s="1614"/>
      <c r="L2" s="467" t="s">
        <v>81</v>
      </c>
      <c r="N2" s="467" t="str">
        <f>"Định vị cọc: "&amp;'2. NK'!$D$10</f>
        <v>Định vị cọc: B1</v>
      </c>
      <c r="O2" s="466" t="s">
        <v>346</v>
      </c>
      <c r="P2" s="466" t="str">
        <f>'Du lieu'!$C$5</f>
        <v>CỌC KHOAN NHỒI</v>
      </c>
      <c r="Q2" s="467"/>
      <c r="V2" s="467"/>
    </row>
    <row r="3" spans="1:30" ht="20.100000000000001" customHeight="1">
      <c r="A3" s="1616" t="s">
        <v>82</v>
      </c>
      <c r="B3" s="1616"/>
      <c r="C3" s="1616"/>
      <c r="D3" s="1616"/>
      <c r="E3" s="1616"/>
      <c r="F3" s="1616"/>
      <c r="G3" s="1616"/>
      <c r="H3" s="1616"/>
      <c r="I3" s="1616"/>
      <c r="J3" s="1616"/>
      <c r="L3" s="469" t="s">
        <v>83</v>
      </c>
      <c r="N3" s="467" t="str">
        <f>'2. NK'!$R$12</f>
        <v>Tại công trình</v>
      </c>
      <c r="P3" s="467" t="str">
        <f>'Du lieu'!$C$6</f>
        <v>P. BẠCH ĐẰNG, TP. HẠ LONG, TỈNH QUẢNG NINH</v>
      </c>
      <c r="V3" s="467" t="str">
        <f>'Du lieu'!$E$6</f>
        <v>P. Bạch Đằng, TP Hạ Long, Tỉnh Quảng Ninh</v>
      </c>
    </row>
    <row r="4" spans="1:30" ht="20.100000000000001" customHeight="1">
      <c r="A4" s="1617">
        <f>$N11</f>
        <v>42466</v>
      </c>
      <c r="B4" s="1617"/>
      <c r="C4" s="1617"/>
      <c r="D4" s="1617"/>
      <c r="E4" s="1617"/>
      <c r="F4" s="1617"/>
      <c r="G4" s="1617"/>
      <c r="H4" s="1617"/>
      <c r="I4" s="1617"/>
      <c r="J4" s="1617"/>
      <c r="L4" s="469" t="s">
        <v>84</v>
      </c>
      <c r="N4" s="467" t="str">
        <f>'2. NK'!$D$10&amp;"/"&amp;'2. NK'!$H$10</f>
        <v>B1/800</v>
      </c>
      <c r="O4" s="466" t="s">
        <v>85</v>
      </c>
      <c r="P4" s="466" t="str">
        <f>'Du lieu'!$C$7</f>
        <v>CÔNG TY CỔ PHẦN ĐẦU TƯ VÀ KHÁCH SẠN MYWAY HẠ LONG</v>
      </c>
      <c r="Q4" s="467"/>
    </row>
    <row r="5" spans="1:30" ht="20.100000000000001" customHeight="1">
      <c r="A5" s="1614" t="str">
        <f>"BIÊN BẢN SỐ: NB-ĐV"&amp;N4</f>
        <v>BIÊN BẢN SỐ: NB-ĐVB1/800</v>
      </c>
      <c r="B5" s="1614"/>
      <c r="C5" s="1614"/>
      <c r="D5" s="1614"/>
      <c r="E5" s="1614"/>
      <c r="F5" s="1614"/>
      <c r="G5" s="1614"/>
      <c r="H5" s="1614"/>
      <c r="I5" s="1614"/>
      <c r="J5" s="1614"/>
      <c r="L5" s="469" t="s">
        <v>36</v>
      </c>
      <c r="N5" s="467"/>
      <c r="O5" s="466"/>
      <c r="P5" s="466" t="str">
        <f>'Du lieu'!$C$9</f>
        <v>Phạm Tiến Dũng</v>
      </c>
      <c r="Q5" s="466" t="str">
        <f>'Du lieu'!$D$9</f>
        <v>Cán bộ BQLDA</v>
      </c>
    </row>
    <row r="6" spans="1:30" ht="20.100000000000001" customHeight="1">
      <c r="A6" s="1618" t="s">
        <v>86</v>
      </c>
      <c r="B6" s="1618"/>
      <c r="C6" s="1618"/>
      <c r="D6" s="1618"/>
      <c r="E6" s="1618"/>
      <c r="F6" s="1618"/>
      <c r="G6" s="1618"/>
      <c r="H6" s="1618"/>
      <c r="I6" s="1618"/>
      <c r="J6" s="1618"/>
      <c r="M6" s="469" t="s">
        <v>87</v>
      </c>
      <c r="N6" s="470">
        <v>0</v>
      </c>
      <c r="O6" s="466"/>
      <c r="P6" s="466" t="str">
        <f>'Du lieu'!$C$10</f>
        <v>………………..</v>
      </c>
      <c r="Q6" s="466" t="str">
        <f>'Du lieu'!$D$10</f>
        <v>Cán bộ BQLDA</v>
      </c>
    </row>
    <row r="7" spans="1:30" s="472" customFormat="1" ht="20.100000000000001" customHeight="1">
      <c r="A7" s="471"/>
      <c r="B7" s="471"/>
      <c r="C7" s="471"/>
      <c r="D7" s="471"/>
      <c r="E7" s="471"/>
      <c r="F7" s="471"/>
      <c r="G7" s="471"/>
      <c r="H7" s="471"/>
      <c r="I7" s="471"/>
      <c r="J7" s="471"/>
      <c r="L7" s="463"/>
      <c r="M7" s="469" t="s">
        <v>354</v>
      </c>
      <c r="N7" s="473">
        <v>0</v>
      </c>
      <c r="O7" s="466" t="s">
        <v>197</v>
      </c>
      <c r="P7" s="466" t="str">
        <f>'Du lieu'!$C$11</f>
        <v>CÔNG TY CỔ PHẦN TƯ VẤN KIỂM ĐỊNH VÀ THƯƠNG MẠI XÂY DỰNG GOLDSUN</v>
      </c>
      <c r="Q7" s="467"/>
      <c r="R7" s="464"/>
      <c r="S7" s="464"/>
      <c r="T7" s="464"/>
      <c r="U7" s="474"/>
      <c r="V7" s="474"/>
      <c r="W7" s="474"/>
      <c r="X7" s="474"/>
      <c r="Y7" s="475"/>
      <c r="Z7" s="475"/>
      <c r="AA7" s="475"/>
      <c r="AB7" s="475"/>
      <c r="AC7" s="475"/>
      <c r="AD7" s="475"/>
    </row>
    <row r="8" spans="1:30" ht="20.100000000000001" customHeight="1">
      <c r="A8" s="476" t="s">
        <v>332</v>
      </c>
      <c r="B8" s="476"/>
      <c r="C8" s="1615" t="str">
        <f>$P$1</f>
        <v>KHU HỖN HỢP CHUNG CƯ, VĂN PHÒNG, TRUNG TÂM THƯƠNG MẠI VÀ NHÀ Ở KẾT HỢP KHU MUA SẮM</v>
      </c>
      <c r="D8" s="1615"/>
      <c r="E8" s="1615"/>
      <c r="F8" s="1615"/>
      <c r="G8" s="1615"/>
      <c r="H8" s="1615"/>
      <c r="I8" s="1615"/>
      <c r="J8" s="1615"/>
      <c r="L8" s="469" t="s">
        <v>88</v>
      </c>
      <c r="M8" s="467"/>
      <c r="N8" s="467"/>
      <c r="O8" s="478"/>
      <c r="P8" s="479" t="str">
        <f>'Du lieu'!$C$13</f>
        <v>.....................................</v>
      </c>
      <c r="Q8" s="479" t="str">
        <f>'Du lieu'!$D$13</f>
        <v>.....................................</v>
      </c>
      <c r="R8" s="474"/>
      <c r="S8" s="474"/>
      <c r="T8" s="474"/>
    </row>
    <row r="9" spans="1:30" ht="20.100000000000001" customHeight="1">
      <c r="A9" s="476"/>
      <c r="B9" s="476"/>
      <c r="C9" s="1615"/>
      <c r="D9" s="1615"/>
      <c r="E9" s="1615"/>
      <c r="F9" s="1615"/>
      <c r="G9" s="1615"/>
      <c r="H9" s="1615"/>
      <c r="I9" s="1615"/>
      <c r="J9" s="1615"/>
      <c r="L9" s="469"/>
      <c r="M9" s="467"/>
      <c r="N9" s="467"/>
      <c r="O9" s="478"/>
      <c r="P9" s="479"/>
      <c r="Q9" s="479"/>
      <c r="R9" s="474"/>
      <c r="S9" s="474"/>
      <c r="T9" s="474"/>
    </row>
    <row r="10" spans="1:30" ht="20.100000000000001" customHeight="1">
      <c r="A10" s="476" t="s">
        <v>854</v>
      </c>
      <c r="B10" s="476"/>
      <c r="C10" s="477" t="str">
        <f>$P$2</f>
        <v>CỌC KHOAN NHỒI</v>
      </c>
      <c r="D10" s="476"/>
      <c r="E10" s="476"/>
      <c r="F10" s="476"/>
      <c r="G10" s="476"/>
      <c r="H10" s="476"/>
      <c r="I10" s="476"/>
      <c r="J10" s="476"/>
      <c r="L10" s="469"/>
      <c r="M10" s="469" t="s">
        <v>87</v>
      </c>
      <c r="N10" s="470">
        <f>N13-0.00694444444444444</f>
        <v>0.38541666666666669</v>
      </c>
      <c r="O10" s="466"/>
      <c r="P10" s="479" t="str">
        <f>'Du lieu'!$C$14</f>
        <v>.....................................</v>
      </c>
      <c r="Q10" s="479" t="str">
        <f>'Du lieu'!$D$14</f>
        <v>.....................................</v>
      </c>
    </row>
    <row r="11" spans="1:30" s="472" customFormat="1" ht="20.100000000000001" customHeight="1">
      <c r="A11" s="476" t="s">
        <v>333</v>
      </c>
      <c r="B11" s="480"/>
      <c r="C11" s="398" t="str">
        <f>$P$3</f>
        <v>P. BẠCH ĐẰNG, TP. HẠ LONG, TỈNH QUẢNG NINH</v>
      </c>
      <c r="D11" s="480"/>
      <c r="E11" s="480"/>
      <c r="F11" s="480"/>
      <c r="G11" s="480"/>
      <c r="H11" s="480"/>
      <c r="I11" s="480"/>
      <c r="J11" s="480"/>
      <c r="L11" s="469"/>
      <c r="M11" s="469" t="s">
        <v>354</v>
      </c>
      <c r="N11" s="473">
        <f>N17</f>
        <v>42466</v>
      </c>
      <c r="O11" s="466"/>
      <c r="P11" s="479"/>
      <c r="Q11" s="469"/>
      <c r="R11" s="464"/>
      <c r="S11" s="464"/>
      <c r="T11" s="464"/>
      <c r="U11" s="474"/>
      <c r="V11" s="474"/>
      <c r="W11" s="474"/>
      <c r="X11" s="474"/>
      <c r="Y11" s="475"/>
      <c r="Z11" s="475"/>
      <c r="AA11" s="475"/>
      <c r="AB11" s="475"/>
      <c r="AC11" s="475"/>
      <c r="AD11" s="475"/>
    </row>
    <row r="12" spans="1:30" ht="20.100000000000001" customHeight="1">
      <c r="A12" s="1596" t="s">
        <v>89</v>
      </c>
      <c r="B12" s="1596"/>
      <c r="C12" s="1596"/>
      <c r="D12" s="1596"/>
      <c r="E12" s="1596"/>
      <c r="F12" s="1596"/>
      <c r="G12" s="1596"/>
      <c r="H12" s="1596"/>
      <c r="I12" s="1596"/>
      <c r="J12" s="1596"/>
      <c r="L12" s="469" t="s">
        <v>90</v>
      </c>
      <c r="M12" s="467"/>
      <c r="N12" s="467"/>
      <c r="O12" s="478"/>
      <c r="P12" s="479"/>
      <c r="Q12" s="469"/>
      <c r="R12" s="474"/>
      <c r="S12" s="474"/>
      <c r="T12" s="474"/>
    </row>
    <row r="13" spans="1:30" ht="20.100000000000001" customHeight="1">
      <c r="A13" s="1610" t="str">
        <f>"- Tên công việc: "&amp;N2</f>
        <v>- Tên công việc: Định vị cọc: B1</v>
      </c>
      <c r="B13" s="1622"/>
      <c r="C13" s="1622"/>
      <c r="D13" s="1622"/>
      <c r="E13" s="1622"/>
      <c r="F13" s="1622"/>
      <c r="G13" s="1622"/>
      <c r="H13" s="1622"/>
      <c r="I13" s="1622"/>
      <c r="J13" s="1622"/>
      <c r="L13" s="469"/>
      <c r="M13" s="469" t="s">
        <v>87</v>
      </c>
      <c r="N13" s="470">
        <f>N16-0.00694444444444444</f>
        <v>0.3923611111111111</v>
      </c>
      <c r="O13" s="466" t="s">
        <v>91</v>
      </c>
      <c r="P13" s="466" t="str">
        <f>'Du lieu'!$C$15</f>
        <v>CÔNG TY TNHH MTV HANTECH</v>
      </c>
      <c r="Q13" s="467"/>
    </row>
    <row r="14" spans="1:30" ht="18.75" customHeight="1">
      <c r="A14" s="1610" t="str">
        <f>"- Vị trí: "&amp;N3</f>
        <v>- Vị trí: Tại công trình</v>
      </c>
      <c r="B14" s="1595"/>
      <c r="C14" s="1595"/>
      <c r="D14" s="1595"/>
      <c r="E14" s="1595"/>
      <c r="F14" s="1595"/>
      <c r="G14" s="1595"/>
      <c r="H14" s="1595"/>
      <c r="I14" s="1595"/>
      <c r="J14" s="1595"/>
      <c r="M14" s="469" t="s">
        <v>354</v>
      </c>
      <c r="N14" s="473">
        <f>N17</f>
        <v>42466</v>
      </c>
      <c r="P14" s="467" t="str">
        <f>'Du lieu'!$D$15</f>
        <v>Công ty TNHH MTV HANTECH</v>
      </c>
    </row>
    <row r="15" spans="1:30" ht="20.100000000000001" customHeight="1">
      <c r="A15" s="1596" t="s">
        <v>92</v>
      </c>
      <c r="B15" s="1596"/>
      <c r="C15" s="1596"/>
      <c r="D15" s="1596"/>
      <c r="E15" s="1596"/>
      <c r="F15" s="1596"/>
      <c r="G15" s="1596"/>
      <c r="H15" s="1596"/>
      <c r="I15" s="1596"/>
      <c r="J15" s="1596"/>
      <c r="L15" s="469" t="s">
        <v>93</v>
      </c>
      <c r="M15" s="467"/>
      <c r="N15" s="467"/>
      <c r="O15" s="466"/>
      <c r="P15" s="466" t="str">
        <f>'Du lieu'!$C$17</f>
        <v>Ngô Văn Khánh</v>
      </c>
      <c r="Q15" s="466" t="str">
        <f>'Du lieu'!$D$17</f>
        <v>Chỉ huy trưởng công trường</v>
      </c>
    </row>
    <row r="16" spans="1:30" ht="20.100000000000001" customHeight="1">
      <c r="A16" s="482" t="s">
        <v>440</v>
      </c>
      <c r="B16" s="118"/>
      <c r="C16" s="118"/>
      <c r="D16" s="118"/>
      <c r="E16" s="118"/>
      <c r="F16" s="483"/>
      <c r="G16" s="483"/>
      <c r="H16" s="483"/>
      <c r="I16" s="483"/>
      <c r="J16" s="483"/>
      <c r="M16" s="469" t="s">
        <v>87</v>
      </c>
      <c r="N16" s="545">
        <f>'2. NK'!$H$13-0.00694444444444444</f>
        <v>0.39930555555555552</v>
      </c>
      <c r="O16" s="466"/>
      <c r="P16" s="466" t="str">
        <f>'Du lieu'!$C$18</f>
        <v>Nguyễn Mạnh Hùng</v>
      </c>
      <c r="Q16" s="466" t="str">
        <f>'Du lieu'!$D$18</f>
        <v>Chỉ huy phó công trường</v>
      </c>
    </row>
    <row r="17" spans="1:232" ht="20.100000000000001" customHeight="1">
      <c r="A17" s="1595" t="str">
        <f>"Ông : "&amp;$P$15</f>
        <v>Ông : Ngô Văn Khánh</v>
      </c>
      <c r="B17" s="1595"/>
      <c r="C17" s="1595"/>
      <c r="D17" s="1595"/>
      <c r="E17" s="1595"/>
      <c r="F17" s="1595" t="str">
        <f>"Chức vụ: "&amp;$Q$15</f>
        <v>Chức vụ: Chỉ huy trưởng công trường</v>
      </c>
      <c r="G17" s="1595"/>
      <c r="H17" s="1595"/>
      <c r="I17" s="1595"/>
      <c r="J17" s="1595"/>
      <c r="M17" s="469" t="s">
        <v>354</v>
      </c>
      <c r="N17" s="546">
        <f>'2. NK'!$J$13</f>
        <v>42466</v>
      </c>
      <c r="O17" s="466" t="s">
        <v>94</v>
      </c>
      <c r="P17" s="466" t="str">
        <f>'Du lieu'!$D$19</f>
        <v xml:space="preserve"> </v>
      </c>
      <c r="Q17" s="467"/>
    </row>
    <row r="18" spans="1:232" ht="20.100000000000001" customHeight="1">
      <c r="A18" s="1595" t="str">
        <f>"Ông : "&amp;$P$16</f>
        <v>Ông : Nguyễn Mạnh Hùng</v>
      </c>
      <c r="B18" s="1595"/>
      <c r="C18" s="1595"/>
      <c r="D18" s="1595"/>
      <c r="E18" s="1595"/>
      <c r="F18" s="1595" t="str">
        <f>"Chức vụ: "&amp;$Q$16</f>
        <v>Chức vụ: Chỉ huy phó công trường</v>
      </c>
      <c r="G18" s="1595"/>
      <c r="H18" s="1595"/>
      <c r="I18" s="1595"/>
      <c r="J18" s="1595"/>
      <c r="N18" s="473"/>
      <c r="O18" s="466"/>
      <c r="P18" s="466" t="str">
        <f>'Du lieu'!$C$20</f>
        <v>.........................</v>
      </c>
      <c r="Q18" s="466" t="str">
        <f>'Du lieu'!$D$20</f>
        <v>.....................................</v>
      </c>
    </row>
    <row r="19" spans="1:232" ht="20.100000000000001" customHeight="1">
      <c r="A19" s="1604" t="str">
        <f>"2 - Đại diện đội thi công trực tiếp:"</f>
        <v>2 - Đại diện đội thi công trực tiếp:</v>
      </c>
      <c r="B19" s="1604"/>
      <c r="C19" s="1604"/>
      <c r="D19" s="1604"/>
      <c r="E19" s="1604"/>
      <c r="F19" s="1604"/>
      <c r="G19" s="1604"/>
      <c r="H19" s="1604"/>
      <c r="I19" s="1604"/>
      <c r="J19" s="1604"/>
      <c r="L19" s="541"/>
      <c r="P19" s="479" t="str">
        <f>'Du lieu'!$C$21</f>
        <v>.........................</v>
      </c>
      <c r="Q19" s="479" t="str">
        <f>'Du lieu'!$D$21</f>
        <v>.....................................</v>
      </c>
    </row>
    <row r="20" spans="1:232" ht="20.100000000000001" customHeight="1">
      <c r="A20" s="1595" t="str">
        <f>"Ông : "&amp;$P$19</f>
        <v>Ông : .........................</v>
      </c>
      <c r="B20" s="1595"/>
      <c r="C20" s="1595"/>
      <c r="D20" s="1595"/>
      <c r="E20" s="1595"/>
      <c r="F20" s="1595" t="str">
        <f>"Chức vụ: "&amp;$Q$19</f>
        <v>Chức vụ: .....................................</v>
      </c>
      <c r="G20" s="1595"/>
      <c r="H20" s="1595"/>
      <c r="I20" s="1595"/>
      <c r="J20" s="1595"/>
      <c r="K20" s="541"/>
      <c r="P20" s="479" t="str">
        <f>'Du lieu'!$C$22</f>
        <v>Nguyễn Văn Long</v>
      </c>
      <c r="Q20" s="479" t="str">
        <f>'Du lieu'!$D$22</f>
        <v>Cán bộ trắc địa</v>
      </c>
    </row>
    <row r="21" spans="1:232" ht="20.100000000000001" customHeight="1">
      <c r="A21" s="1595" t="str">
        <f>"Ông : "&amp;$P$20</f>
        <v>Ông : Nguyễn Văn Long</v>
      </c>
      <c r="B21" s="1595"/>
      <c r="C21" s="1595"/>
      <c r="D21" s="1595"/>
      <c r="E21" s="1595"/>
      <c r="F21" s="1595" t="str">
        <f>"Chức vụ: "&amp;$Q$20</f>
        <v>Chức vụ: Cán bộ trắc địa</v>
      </c>
      <c r="G21" s="1595"/>
      <c r="H21" s="1595"/>
      <c r="I21" s="1595"/>
      <c r="J21" s="1595"/>
      <c r="P21" s="479" t="str">
        <f>'Du lieu'!$C$23</f>
        <v>Nguyễn Văn Tĩnh</v>
      </c>
      <c r="Q21" s="479" t="str">
        <f>'Du lieu'!$D$23</f>
        <v>Tổ trưởng công nhân</v>
      </c>
    </row>
    <row r="22" spans="1:232" s="175" customFormat="1" ht="20.100000000000001" customHeight="1">
      <c r="A22" s="1596" t="s">
        <v>95</v>
      </c>
      <c r="B22" s="1596"/>
      <c r="C22" s="1596"/>
      <c r="D22" s="1596"/>
      <c r="E22" s="1596"/>
      <c r="F22" s="1596"/>
      <c r="G22" s="1596"/>
      <c r="H22" s="1596"/>
      <c r="I22" s="1596"/>
      <c r="J22" s="1596"/>
      <c r="N22" s="464"/>
      <c r="O22" s="467"/>
      <c r="P22" s="467"/>
      <c r="Q22" s="464"/>
      <c r="R22" s="464"/>
      <c r="S22" s="464"/>
    </row>
    <row r="23" spans="1:232" ht="20.100000000000001" customHeight="1">
      <c r="A23" s="477" t="s">
        <v>96</v>
      </c>
      <c r="B23" s="477"/>
      <c r="C23" s="477"/>
      <c r="D23" s="484">
        <f>$N10</f>
        <v>0.38541666666666669</v>
      </c>
      <c r="E23" s="1603">
        <f>A4</f>
        <v>42466</v>
      </c>
      <c r="F23" s="1603"/>
      <c r="G23" s="1603"/>
      <c r="H23" s="1603"/>
      <c r="I23" s="1603"/>
      <c r="J23" s="1603"/>
      <c r="N23" s="175"/>
      <c r="O23" s="467" t="s">
        <v>97</v>
      </c>
      <c r="P23" s="467" t="str">
        <f>'Du lieu'!$C$24</f>
        <v>…………………………….</v>
      </c>
      <c r="S23" s="175"/>
    </row>
    <row r="24" spans="1:232" ht="20.100000000000001" customHeight="1">
      <c r="A24" s="477" t="s">
        <v>98</v>
      </c>
      <c r="B24" s="477"/>
      <c r="C24" s="477"/>
      <c r="D24" s="484">
        <f>D23+0.010417</f>
        <v>0.39583366666666669</v>
      </c>
      <c r="E24" s="1603">
        <f>A4</f>
        <v>42466</v>
      </c>
      <c r="F24" s="1603"/>
      <c r="G24" s="1603"/>
      <c r="H24" s="1603"/>
      <c r="I24" s="1603"/>
      <c r="J24" s="1603"/>
      <c r="P24" s="467" t="str">
        <f>'Du lieu'!$C$25</f>
        <v>................................</v>
      </c>
      <c r="Q24" s="467" t="str">
        <f>'Du lieu'!$D$25</f>
        <v>................................</v>
      </c>
    </row>
    <row r="25" spans="1:232" ht="20.100000000000001" customHeight="1">
      <c r="A25" s="477" t="s">
        <v>99</v>
      </c>
      <c r="B25" s="477" t="str">
        <f>"Công trình: "&amp;$V$1</f>
        <v>Công trình: Khu hỗn hợp chung cư, văn phòng, trung tâm thương mại và nhà ở kết hợp khu mua sắm</v>
      </c>
      <c r="C25" s="477"/>
      <c r="D25" s="484"/>
      <c r="E25" s="485"/>
      <c r="F25" s="485"/>
      <c r="G25" s="485"/>
      <c r="H25" s="485"/>
      <c r="I25" s="485"/>
      <c r="J25" s="485"/>
      <c r="P25" s="467" t="str">
        <f>'Du lieu'!$C$26</f>
        <v>................................</v>
      </c>
      <c r="Q25" s="467" t="str">
        <f>'Du lieu'!$D$26</f>
        <v>Chủ nhiệm dự án</v>
      </c>
    </row>
    <row r="26" spans="1:232" ht="20.100000000000001" customHeight="1">
      <c r="A26" s="1595" t="str">
        <f>"Địa điểm: "&amp;$V$3</f>
        <v>Địa điểm: P. Bạch Đằng, TP Hạ Long, Tỉnh Quảng Ninh</v>
      </c>
      <c r="B26" s="1595"/>
      <c r="C26" s="1595"/>
      <c r="D26" s="1595"/>
      <c r="E26" s="1595"/>
      <c r="F26" s="1595"/>
      <c r="G26" s="1595"/>
      <c r="H26" s="1595"/>
      <c r="I26" s="1595"/>
      <c r="J26" s="1595"/>
      <c r="P26" s="467" t="str">
        <f>'Du lieu'!$C$27</f>
        <v>................................</v>
      </c>
      <c r="Q26" s="467" t="str">
        <f>'Du lieu'!$D$27</f>
        <v>Cán bộ TVTK</v>
      </c>
    </row>
    <row r="27" spans="1:232" ht="20.100000000000001" customHeight="1">
      <c r="A27" s="1596" t="s">
        <v>441</v>
      </c>
      <c r="B27" s="1596"/>
      <c r="C27" s="1596"/>
      <c r="D27" s="1596"/>
      <c r="E27" s="1596"/>
      <c r="F27" s="1596"/>
      <c r="G27" s="1596"/>
      <c r="H27" s="1596"/>
      <c r="I27" s="1596"/>
      <c r="J27" s="1596"/>
      <c r="O27" s="464" t="s">
        <v>100</v>
      </c>
      <c r="P27" s="467">
        <f>'Du lieu'!$C$29</f>
        <v>0</v>
      </c>
    </row>
    <row r="28" spans="1:232" s="175" customFormat="1" ht="20.100000000000001" customHeight="1">
      <c r="A28" s="1604" t="s">
        <v>101</v>
      </c>
      <c r="B28" s="1604"/>
      <c r="C28" s="1604"/>
      <c r="D28" s="1604"/>
      <c r="E28" s="1604"/>
      <c r="F28" s="1604"/>
      <c r="G28" s="1604"/>
      <c r="H28" s="1604"/>
      <c r="I28" s="1604"/>
      <c r="J28" s="1604"/>
      <c r="N28" s="464"/>
      <c r="O28" s="464"/>
      <c r="P28" s="467">
        <f>'Du lieu'!$C$30</f>
        <v>0</v>
      </c>
      <c r="Q28" s="467">
        <f>'Du lieu'!$D$30</f>
        <v>0</v>
      </c>
      <c r="R28" s="464"/>
      <c r="S28" s="464"/>
    </row>
    <row r="29" spans="1:232" ht="20.100000000000001" customHeight="1">
      <c r="A29" s="1595" t="s">
        <v>102</v>
      </c>
      <c r="B29" s="1595"/>
      <c r="C29" s="1595"/>
      <c r="D29" s="1595"/>
      <c r="E29" s="1595"/>
      <c r="F29" s="1595"/>
      <c r="G29" s="1595"/>
      <c r="H29" s="1595"/>
      <c r="I29" s="1595"/>
      <c r="J29" s="1595"/>
      <c r="N29" s="175"/>
      <c r="O29" s="175"/>
      <c r="P29" s="467" t="str">
        <f>'Du lieu'!$C$31</f>
        <v>Công ty TNHH kinh doanh và phát triển Vượng Phát</v>
      </c>
      <c r="R29" s="175"/>
      <c r="S29" s="175"/>
    </row>
    <row r="30" spans="1:232" ht="20.100000000000001" customHeight="1">
      <c r="A30" s="1609" t="s">
        <v>103</v>
      </c>
      <c r="B30" s="1609"/>
      <c r="C30" s="1609"/>
      <c r="D30" s="1609"/>
      <c r="E30" s="1609"/>
      <c r="F30" s="1609"/>
      <c r="G30" s="1609"/>
      <c r="H30" s="1609"/>
      <c r="I30" s="1609"/>
      <c r="J30" s="1609"/>
      <c r="P30" s="467" t="str">
        <f>'Du lieu'!$C$32</f>
        <v>................................</v>
      </c>
      <c r="Q30" s="467" t="str">
        <f>'Du lieu'!$D$32</f>
        <v>................................</v>
      </c>
    </row>
    <row r="31" spans="1:232" s="488" customFormat="1" ht="20.100000000000001" customHeight="1">
      <c r="A31" s="486" t="s">
        <v>104</v>
      </c>
      <c r="B31" s="477"/>
      <c r="C31" s="477"/>
      <c r="D31" s="477"/>
      <c r="E31" s="477"/>
      <c r="F31" s="477"/>
      <c r="G31" s="477"/>
      <c r="H31" s="477"/>
      <c r="I31" s="477"/>
      <c r="J31" s="477"/>
      <c r="K31" s="477"/>
      <c r="L31" s="477"/>
      <c r="M31" s="477"/>
      <c r="N31" s="464"/>
      <c r="O31" s="464"/>
      <c r="P31" s="467">
        <f>'Du lieu'!$C$33</f>
        <v>0</v>
      </c>
      <c r="Q31" s="464">
        <f>'Du lieu'!$D$33</f>
        <v>0</v>
      </c>
      <c r="R31" s="464"/>
      <c r="S31" s="464"/>
      <c r="T31" s="487"/>
      <c r="U31" s="487"/>
      <c r="V31" s="487"/>
      <c r="W31" s="487"/>
      <c r="X31" s="487"/>
      <c r="Y31" s="487"/>
      <c r="Z31" s="487"/>
      <c r="AA31" s="487"/>
      <c r="AB31" s="487"/>
      <c r="AC31" s="487"/>
      <c r="AD31" s="487"/>
      <c r="AE31" s="487"/>
      <c r="AF31" s="487"/>
      <c r="AG31" s="487"/>
      <c r="AH31" s="487"/>
      <c r="AI31" s="487"/>
      <c r="AJ31" s="487"/>
      <c r="AK31" s="487"/>
      <c r="AL31" s="487"/>
      <c r="AM31" s="487"/>
      <c r="AN31" s="487"/>
      <c r="AO31" s="487"/>
      <c r="AP31" s="487"/>
      <c r="AQ31" s="487"/>
      <c r="AR31" s="487"/>
      <c r="AS31" s="487"/>
      <c r="AT31" s="487"/>
      <c r="AU31" s="487"/>
      <c r="AV31" s="487"/>
      <c r="AW31" s="487"/>
      <c r="AX31" s="487"/>
      <c r="AY31" s="487"/>
      <c r="AZ31" s="487"/>
      <c r="BA31" s="487"/>
      <c r="BB31" s="487"/>
      <c r="BC31" s="487"/>
      <c r="BD31" s="487"/>
      <c r="BE31" s="487"/>
      <c r="BF31" s="487"/>
      <c r="BG31" s="487"/>
      <c r="BH31" s="487"/>
      <c r="BI31" s="487"/>
      <c r="BJ31" s="487"/>
      <c r="BK31" s="487"/>
      <c r="BL31" s="487"/>
      <c r="BM31" s="487"/>
      <c r="BN31" s="487"/>
      <c r="BO31" s="487"/>
      <c r="BP31" s="487"/>
      <c r="BQ31" s="487"/>
      <c r="BR31" s="487"/>
      <c r="BS31" s="487"/>
      <c r="BT31" s="487"/>
      <c r="BU31" s="487"/>
      <c r="BV31" s="487"/>
      <c r="BW31" s="487"/>
      <c r="BX31" s="487"/>
      <c r="BY31" s="487"/>
      <c r="BZ31" s="487"/>
      <c r="CA31" s="487"/>
      <c r="CB31" s="487"/>
      <c r="CC31" s="487"/>
      <c r="CD31" s="487"/>
      <c r="CE31" s="487"/>
      <c r="CF31" s="487"/>
      <c r="CG31" s="487"/>
      <c r="CH31" s="487"/>
      <c r="CI31" s="487"/>
      <c r="CJ31" s="487"/>
      <c r="CK31" s="487"/>
      <c r="CL31" s="487"/>
      <c r="CM31" s="487"/>
      <c r="CN31" s="487"/>
      <c r="CO31" s="487"/>
      <c r="CP31" s="487"/>
      <c r="CQ31" s="487"/>
      <c r="CR31" s="487"/>
      <c r="CS31" s="487"/>
      <c r="CT31" s="487"/>
      <c r="CU31" s="487"/>
      <c r="CV31" s="487"/>
      <c r="CW31" s="487"/>
      <c r="CX31" s="487"/>
      <c r="CY31" s="487"/>
      <c r="CZ31" s="487"/>
      <c r="DA31" s="487"/>
      <c r="DB31" s="487"/>
      <c r="DC31" s="487"/>
      <c r="DD31" s="487"/>
      <c r="DE31" s="487"/>
      <c r="DF31" s="487"/>
      <c r="DG31" s="487"/>
      <c r="DH31" s="487"/>
      <c r="DI31" s="487"/>
      <c r="DJ31" s="487"/>
      <c r="DK31" s="487"/>
      <c r="DL31" s="487"/>
      <c r="DM31" s="487"/>
      <c r="DN31" s="487"/>
      <c r="DO31" s="487"/>
      <c r="DP31" s="487"/>
      <c r="DQ31" s="487"/>
      <c r="DR31" s="487"/>
      <c r="DS31" s="487"/>
      <c r="DT31" s="487"/>
      <c r="DU31" s="487"/>
      <c r="DV31" s="487"/>
      <c r="DW31" s="487"/>
      <c r="DX31" s="487"/>
      <c r="DY31" s="487"/>
      <c r="DZ31" s="487"/>
      <c r="EA31" s="487"/>
      <c r="EB31" s="487"/>
      <c r="EC31" s="487"/>
      <c r="ED31" s="487"/>
      <c r="EE31" s="487"/>
      <c r="EF31" s="487"/>
      <c r="EG31" s="487"/>
      <c r="EH31" s="487"/>
      <c r="EI31" s="487"/>
      <c r="EJ31" s="487"/>
      <c r="EK31" s="487"/>
      <c r="EL31" s="487"/>
      <c r="EM31" s="487"/>
      <c r="EN31" s="487"/>
      <c r="EO31" s="487"/>
      <c r="EP31" s="487"/>
      <c r="EQ31" s="487"/>
      <c r="ER31" s="487"/>
      <c r="ES31" s="487"/>
      <c r="ET31" s="487"/>
      <c r="EU31" s="487"/>
      <c r="EV31" s="487"/>
      <c r="EW31" s="487"/>
      <c r="EX31" s="487"/>
      <c r="EY31" s="487"/>
      <c r="EZ31" s="487"/>
      <c r="FA31" s="487"/>
      <c r="FB31" s="487"/>
      <c r="FC31" s="487"/>
      <c r="FD31" s="487"/>
      <c r="FE31" s="487"/>
      <c r="FF31" s="487"/>
      <c r="FG31" s="487"/>
      <c r="FH31" s="487"/>
      <c r="FI31" s="487"/>
      <c r="FJ31" s="487"/>
      <c r="FK31" s="487"/>
      <c r="FL31" s="487"/>
      <c r="FM31" s="487"/>
      <c r="FN31" s="487"/>
      <c r="FO31" s="487"/>
      <c r="FP31" s="487"/>
      <c r="FQ31" s="487"/>
      <c r="FR31" s="487"/>
      <c r="FS31" s="487"/>
      <c r="FT31" s="487"/>
      <c r="FU31" s="487"/>
      <c r="FV31" s="487"/>
      <c r="FW31" s="487"/>
      <c r="FX31" s="487"/>
      <c r="FY31" s="487"/>
      <c r="FZ31" s="487"/>
      <c r="GA31" s="487"/>
      <c r="GB31" s="487"/>
      <c r="GC31" s="487"/>
      <c r="GD31" s="487"/>
      <c r="GE31" s="487"/>
      <c r="GF31" s="487"/>
      <c r="GG31" s="487"/>
      <c r="GH31" s="487"/>
      <c r="GI31" s="487"/>
      <c r="GJ31" s="487"/>
      <c r="GK31" s="487"/>
      <c r="GL31" s="487"/>
      <c r="GM31" s="487"/>
      <c r="GN31" s="487"/>
      <c r="GO31" s="487"/>
      <c r="GP31" s="487"/>
      <c r="GQ31" s="487"/>
      <c r="GR31" s="487"/>
      <c r="GS31" s="487"/>
      <c r="GT31" s="487"/>
      <c r="GU31" s="487"/>
      <c r="GV31" s="487"/>
      <c r="GW31" s="487"/>
      <c r="GX31" s="487"/>
      <c r="GY31" s="487"/>
      <c r="GZ31" s="487"/>
      <c r="HA31" s="487"/>
      <c r="HB31" s="487"/>
      <c r="HC31" s="487"/>
      <c r="HD31" s="487"/>
      <c r="HE31" s="487"/>
      <c r="HF31" s="487"/>
      <c r="HG31" s="487"/>
      <c r="HH31" s="487"/>
      <c r="HI31" s="487"/>
      <c r="HJ31" s="487"/>
      <c r="HK31" s="487"/>
      <c r="HL31" s="487"/>
      <c r="HM31" s="487"/>
      <c r="HN31" s="487"/>
      <c r="HO31" s="487"/>
      <c r="HP31" s="487"/>
      <c r="HQ31" s="487"/>
      <c r="HR31" s="487"/>
      <c r="HS31" s="487"/>
      <c r="HT31" s="487"/>
      <c r="HU31" s="487"/>
      <c r="HV31" s="487"/>
      <c r="HW31" s="487"/>
      <c r="HX31" s="487"/>
    </row>
    <row r="32" spans="1:232" s="488" customFormat="1" ht="20.100000000000001" customHeight="1">
      <c r="A32" s="487"/>
      <c r="B32" s="509" t="s">
        <v>152</v>
      </c>
      <c r="C32" s="477"/>
      <c r="D32" s="477"/>
      <c r="E32" s="477"/>
      <c r="F32" s="477"/>
      <c r="G32" s="477"/>
      <c r="H32" s="477"/>
      <c r="I32" s="477"/>
      <c r="J32" s="477"/>
      <c r="K32" s="477"/>
      <c r="L32" s="477"/>
      <c r="M32" s="477"/>
      <c r="N32" s="487"/>
      <c r="O32" s="487"/>
      <c r="P32" s="467" t="str">
        <f>'Du lieu'!$C$34</f>
        <v>..........................</v>
      </c>
      <c r="Q32" s="464" t="str">
        <f>'Du lieu'!$D$34</f>
        <v>.............................</v>
      </c>
      <c r="R32" s="487"/>
      <c r="S32" s="487"/>
      <c r="T32" s="487"/>
      <c r="U32" s="489"/>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7"/>
    </row>
    <row r="33" spans="1:232" s="488" customFormat="1" ht="20.100000000000001" customHeight="1">
      <c r="A33" s="487"/>
      <c r="B33" s="477" t="s">
        <v>105</v>
      </c>
      <c r="C33" s="477"/>
      <c r="D33" s="477"/>
      <c r="E33" s="477"/>
      <c r="F33" s="477"/>
      <c r="G33" s="477"/>
      <c r="H33" s="477"/>
      <c r="I33" s="477"/>
      <c r="J33" s="477"/>
      <c r="K33" s="477"/>
      <c r="L33" s="477"/>
      <c r="M33" s="477"/>
      <c r="N33" s="487"/>
      <c r="O33" s="487"/>
      <c r="P33" s="487"/>
      <c r="Q33" s="487"/>
      <c r="R33" s="487"/>
      <c r="S33" s="487"/>
      <c r="T33" s="477"/>
      <c r="U33" s="489"/>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7"/>
    </row>
    <row r="34" spans="1:232" s="488" customFormat="1" ht="20.100000000000001" customHeight="1">
      <c r="A34" s="490"/>
      <c r="B34" s="491" t="s">
        <v>106</v>
      </c>
      <c r="C34" s="491"/>
      <c r="D34" s="491"/>
      <c r="E34" s="491"/>
      <c r="F34" s="491"/>
      <c r="G34" s="491"/>
      <c r="H34" s="491"/>
      <c r="I34" s="491"/>
      <c r="J34" s="491"/>
      <c r="K34" s="491"/>
      <c r="L34" s="477"/>
      <c r="M34" s="477"/>
      <c r="N34" s="477"/>
      <c r="O34" s="477"/>
      <c r="P34" s="477"/>
      <c r="Q34" s="477"/>
      <c r="R34" s="477"/>
      <c r="S34" s="477"/>
      <c r="T34" s="492"/>
      <c r="U34" s="489"/>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7"/>
    </row>
    <row r="35" spans="1:232" s="488" customFormat="1" ht="41.25" customHeight="1">
      <c r="A35" s="490"/>
      <c r="B35" s="1602" t="s">
        <v>107</v>
      </c>
      <c r="C35" s="1602"/>
      <c r="D35" s="1602"/>
      <c r="E35" s="1602"/>
      <c r="F35" s="1602"/>
      <c r="G35" s="1602"/>
      <c r="H35" s="1602"/>
      <c r="I35" s="1602"/>
      <c r="J35" s="1602"/>
      <c r="K35" s="491"/>
      <c r="L35" s="477"/>
      <c r="M35" s="477"/>
      <c r="N35" s="492"/>
      <c r="O35" s="492"/>
      <c r="P35" s="492"/>
      <c r="Q35" s="492"/>
      <c r="R35" s="492"/>
      <c r="S35" s="492"/>
      <c r="T35" s="492"/>
      <c r="U35" s="489"/>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7"/>
    </row>
    <row r="36" spans="1:232" s="488" customFormat="1" ht="19.5" customHeight="1">
      <c r="A36" s="490"/>
      <c r="B36" s="1602" t="s">
        <v>451</v>
      </c>
      <c r="C36" s="1602"/>
      <c r="D36" s="1602"/>
      <c r="E36" s="1602"/>
      <c r="F36" s="1602"/>
      <c r="G36" s="1602"/>
      <c r="H36" s="1602"/>
      <c r="I36" s="1602"/>
      <c r="J36" s="1602"/>
      <c r="K36" s="491"/>
      <c r="L36" s="477"/>
      <c r="M36" s="477"/>
      <c r="N36" s="492"/>
      <c r="O36" s="492"/>
      <c r="P36" s="492"/>
      <c r="Q36" s="492"/>
      <c r="R36" s="492"/>
      <c r="S36" s="492"/>
      <c r="T36" s="492"/>
      <c r="U36" s="489"/>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7"/>
    </row>
    <row r="37" spans="1:232" s="488" customFormat="1" ht="19.5" customHeight="1">
      <c r="A37" s="490"/>
      <c r="B37" s="1602" t="s">
        <v>108</v>
      </c>
      <c r="C37" s="1602"/>
      <c r="D37" s="1602"/>
      <c r="E37" s="1602"/>
      <c r="F37" s="1602"/>
      <c r="G37" s="1602"/>
      <c r="H37" s="1602"/>
      <c r="I37" s="1602"/>
      <c r="J37" s="1602"/>
      <c r="K37" s="491"/>
      <c r="L37" s="477"/>
      <c r="M37" s="477"/>
      <c r="N37" s="492"/>
      <c r="O37" s="492"/>
      <c r="P37" s="492"/>
      <c r="Q37" s="492"/>
      <c r="R37" s="492"/>
      <c r="S37" s="492"/>
      <c r="T37" s="492"/>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7"/>
    </row>
    <row r="38" spans="1:232" s="488" customFormat="1" ht="19.5" customHeight="1">
      <c r="A38" s="490"/>
      <c r="B38" s="1602" t="s">
        <v>474</v>
      </c>
      <c r="C38" s="1602"/>
      <c r="D38" s="1602"/>
      <c r="E38" s="1602"/>
      <c r="F38" s="1602"/>
      <c r="G38" s="1602"/>
      <c r="H38" s="1602"/>
      <c r="I38" s="1602"/>
      <c r="J38" s="1602"/>
      <c r="K38" s="491"/>
      <c r="L38" s="477"/>
      <c r="M38" s="477"/>
      <c r="N38" s="492"/>
      <c r="O38" s="492"/>
      <c r="P38" s="492"/>
      <c r="Q38" s="492"/>
      <c r="R38" s="492"/>
      <c r="S38" s="492"/>
      <c r="T38" s="492"/>
      <c r="U38" s="489"/>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89"/>
      <c r="BC38" s="489"/>
      <c r="BD38" s="489"/>
      <c r="BE38" s="489"/>
      <c r="BF38" s="489"/>
      <c r="BG38" s="489"/>
      <c r="BH38" s="489"/>
      <c r="BI38" s="489"/>
      <c r="BJ38" s="489"/>
      <c r="BK38" s="489"/>
      <c r="BL38" s="489"/>
      <c r="BM38" s="489"/>
      <c r="BN38" s="489"/>
      <c r="BO38" s="489"/>
      <c r="BP38" s="489"/>
      <c r="BQ38" s="489"/>
      <c r="BR38" s="489"/>
      <c r="BS38" s="489"/>
      <c r="BT38" s="489"/>
      <c r="BU38" s="489"/>
      <c r="BV38" s="489"/>
      <c r="BW38" s="489"/>
      <c r="BX38" s="489"/>
      <c r="BY38" s="489"/>
      <c r="BZ38" s="489"/>
      <c r="CA38" s="489"/>
      <c r="CB38" s="489"/>
      <c r="CC38" s="489"/>
      <c r="CD38" s="489"/>
      <c r="CE38" s="489"/>
      <c r="CF38" s="489"/>
      <c r="CG38" s="489"/>
      <c r="CH38" s="489"/>
      <c r="CI38" s="489"/>
      <c r="CJ38" s="489"/>
      <c r="CK38" s="489"/>
      <c r="CL38" s="489"/>
      <c r="CM38" s="489"/>
      <c r="CN38" s="489"/>
      <c r="CO38" s="489"/>
      <c r="CP38" s="489"/>
      <c r="CQ38" s="489"/>
      <c r="CR38" s="489"/>
      <c r="CS38" s="489"/>
      <c r="CT38" s="489"/>
      <c r="CU38" s="489"/>
      <c r="CV38" s="489"/>
      <c r="CW38" s="489"/>
      <c r="CX38" s="489"/>
      <c r="CY38" s="489"/>
      <c r="CZ38" s="489"/>
      <c r="DA38" s="489"/>
      <c r="DB38" s="489"/>
      <c r="DC38" s="489"/>
      <c r="DD38" s="489"/>
      <c r="DE38" s="489"/>
      <c r="DF38" s="489"/>
      <c r="DG38" s="489"/>
      <c r="DH38" s="489"/>
      <c r="DI38" s="489"/>
      <c r="DJ38" s="489"/>
      <c r="DK38" s="489"/>
      <c r="DL38" s="489"/>
      <c r="DM38" s="489"/>
      <c r="DN38" s="489"/>
      <c r="DO38" s="489"/>
      <c r="DP38" s="489"/>
      <c r="DQ38" s="489"/>
      <c r="DR38" s="489"/>
      <c r="DS38" s="489"/>
      <c r="DT38" s="489"/>
      <c r="DU38" s="489"/>
      <c r="DV38" s="489"/>
      <c r="DW38" s="489"/>
      <c r="DX38" s="489"/>
      <c r="DY38" s="489"/>
      <c r="DZ38" s="489"/>
      <c r="EA38" s="489"/>
      <c r="EB38" s="489"/>
      <c r="EC38" s="489"/>
      <c r="ED38" s="489"/>
      <c r="EE38" s="489"/>
      <c r="EF38" s="489"/>
      <c r="EG38" s="489"/>
      <c r="EH38" s="489"/>
      <c r="EI38" s="489"/>
      <c r="EJ38" s="489"/>
      <c r="EK38" s="489"/>
      <c r="EL38" s="489"/>
      <c r="EM38" s="489"/>
      <c r="EN38" s="489"/>
      <c r="EO38" s="489"/>
      <c r="EP38" s="489"/>
      <c r="EQ38" s="489"/>
      <c r="ER38" s="489"/>
      <c r="ES38" s="489"/>
      <c r="ET38" s="489"/>
      <c r="EU38" s="489"/>
      <c r="EV38" s="489"/>
      <c r="EW38" s="489"/>
      <c r="EX38" s="489"/>
      <c r="EY38" s="489"/>
      <c r="EZ38" s="489"/>
      <c r="FA38" s="489"/>
      <c r="FB38" s="489"/>
      <c r="FC38" s="489"/>
      <c r="FD38" s="489"/>
      <c r="FE38" s="489"/>
      <c r="FF38" s="489"/>
      <c r="FG38" s="489"/>
      <c r="FH38" s="489"/>
      <c r="FI38" s="489"/>
      <c r="FJ38" s="489"/>
      <c r="FK38" s="489"/>
      <c r="FL38" s="489"/>
      <c r="FM38" s="489"/>
      <c r="FN38" s="489"/>
      <c r="FO38" s="489"/>
      <c r="FP38" s="489"/>
      <c r="FQ38" s="489"/>
      <c r="FR38" s="489"/>
      <c r="FS38" s="489"/>
      <c r="FT38" s="489"/>
      <c r="FU38" s="489"/>
      <c r="FV38" s="489"/>
      <c r="FW38" s="489"/>
      <c r="FX38" s="489"/>
      <c r="FY38" s="489"/>
      <c r="FZ38" s="489"/>
      <c r="GA38" s="489"/>
      <c r="GB38" s="489"/>
      <c r="GC38" s="489"/>
      <c r="GD38" s="489"/>
      <c r="GE38" s="489"/>
      <c r="GF38" s="489"/>
      <c r="GG38" s="489"/>
      <c r="GH38" s="489"/>
      <c r="GI38" s="489"/>
      <c r="GJ38" s="489"/>
      <c r="GK38" s="489"/>
      <c r="GL38" s="489"/>
      <c r="GM38" s="489"/>
      <c r="GN38" s="489"/>
      <c r="GO38" s="489"/>
      <c r="GP38" s="489"/>
      <c r="GQ38" s="489"/>
      <c r="GR38" s="489"/>
      <c r="GS38" s="489"/>
      <c r="GT38" s="489"/>
      <c r="GU38" s="489"/>
      <c r="GV38" s="489"/>
      <c r="GW38" s="489"/>
      <c r="GX38" s="489"/>
      <c r="GY38" s="489"/>
      <c r="GZ38" s="489"/>
      <c r="HA38" s="489"/>
      <c r="HB38" s="489"/>
      <c r="HC38" s="489"/>
      <c r="HD38" s="489"/>
      <c r="HE38" s="489"/>
      <c r="HF38" s="489"/>
      <c r="HG38" s="489"/>
      <c r="HH38" s="489"/>
      <c r="HI38" s="489"/>
      <c r="HJ38" s="489"/>
      <c r="HK38" s="489"/>
      <c r="HL38" s="489"/>
      <c r="HM38" s="489"/>
      <c r="HN38" s="489"/>
      <c r="HO38" s="489"/>
      <c r="HP38" s="489"/>
      <c r="HQ38" s="489"/>
      <c r="HR38" s="489"/>
      <c r="HS38" s="489"/>
      <c r="HT38" s="489"/>
      <c r="HU38" s="489"/>
      <c r="HV38" s="489"/>
      <c r="HW38" s="489"/>
      <c r="HX38" s="487"/>
    </row>
    <row r="39" spans="1:232" s="45" customFormat="1" ht="20.100000000000001" customHeight="1">
      <c r="A39" s="493" t="s">
        <v>109</v>
      </c>
      <c r="B39" s="489"/>
      <c r="C39" s="489"/>
      <c r="D39" s="489"/>
      <c r="E39" s="489"/>
      <c r="F39" s="489"/>
      <c r="G39" s="489"/>
      <c r="H39" s="489"/>
      <c r="I39" s="489"/>
      <c r="J39" s="489"/>
      <c r="K39" s="489"/>
      <c r="L39" s="494"/>
      <c r="M39" s="494"/>
      <c r="N39" s="492"/>
      <c r="O39" s="492"/>
      <c r="P39" s="492"/>
      <c r="Q39" s="492"/>
      <c r="R39" s="492"/>
      <c r="S39" s="492"/>
      <c r="T39" s="495"/>
      <c r="U39" s="496"/>
      <c r="V39" s="496"/>
      <c r="W39" s="496"/>
      <c r="X39" s="496"/>
      <c r="Y39" s="496"/>
      <c r="Z39" s="496"/>
      <c r="AA39" s="496"/>
      <c r="AB39" s="496"/>
      <c r="AC39" s="496"/>
      <c r="AD39" s="496"/>
      <c r="AE39" s="496"/>
      <c r="AF39" s="496"/>
      <c r="AG39" s="496"/>
      <c r="AH39" s="496"/>
      <c r="AI39" s="496"/>
      <c r="AJ39" s="496"/>
      <c r="AK39" s="496"/>
      <c r="AL39" s="496"/>
      <c r="AM39" s="496"/>
      <c r="AN39" s="496"/>
      <c r="AO39" s="496"/>
      <c r="AP39" s="496"/>
      <c r="AQ39" s="496"/>
      <c r="AR39" s="496"/>
      <c r="AS39" s="496"/>
      <c r="AT39" s="496"/>
      <c r="AU39" s="496"/>
      <c r="AV39" s="496"/>
      <c r="AW39" s="496"/>
      <c r="AX39" s="496"/>
      <c r="AY39" s="496"/>
      <c r="AZ39" s="496"/>
      <c r="BA39" s="496"/>
      <c r="BB39" s="496"/>
      <c r="BC39" s="496"/>
      <c r="BD39" s="496"/>
      <c r="BE39" s="496"/>
      <c r="BF39" s="496"/>
      <c r="BG39" s="496"/>
      <c r="BH39" s="496"/>
      <c r="BI39" s="496"/>
      <c r="BJ39" s="496"/>
      <c r="BK39" s="496"/>
      <c r="BL39" s="496"/>
      <c r="BM39" s="496"/>
      <c r="BN39" s="496"/>
      <c r="BO39" s="496"/>
      <c r="BP39" s="496"/>
      <c r="BQ39" s="496"/>
      <c r="BR39" s="496"/>
      <c r="BS39" s="496"/>
      <c r="BT39" s="496"/>
      <c r="BU39" s="496"/>
      <c r="BV39" s="496"/>
      <c r="BW39" s="496"/>
      <c r="BX39" s="496"/>
      <c r="BY39" s="496"/>
      <c r="BZ39" s="496"/>
      <c r="CA39" s="496"/>
      <c r="CB39" s="496"/>
      <c r="CC39" s="496"/>
      <c r="CD39" s="496"/>
      <c r="CE39" s="496"/>
      <c r="CF39" s="496"/>
      <c r="CG39" s="496"/>
      <c r="CH39" s="496"/>
      <c r="CI39" s="496"/>
      <c r="CJ39" s="496"/>
      <c r="CK39" s="496"/>
      <c r="CL39" s="496"/>
      <c r="CM39" s="496"/>
      <c r="CN39" s="496"/>
      <c r="CO39" s="496"/>
      <c r="CP39" s="496"/>
      <c r="CQ39" s="496"/>
      <c r="CR39" s="496"/>
      <c r="CS39" s="496"/>
      <c r="CT39" s="496"/>
      <c r="CU39" s="496"/>
      <c r="CV39" s="496"/>
      <c r="CW39" s="496"/>
      <c r="CX39" s="496"/>
      <c r="CY39" s="496"/>
      <c r="CZ39" s="496"/>
      <c r="DA39" s="496"/>
      <c r="DB39" s="496"/>
      <c r="DC39" s="496"/>
      <c r="DD39" s="496"/>
      <c r="DE39" s="496"/>
      <c r="DF39" s="496"/>
      <c r="DG39" s="496"/>
      <c r="DH39" s="496"/>
      <c r="DI39" s="496"/>
      <c r="DJ39" s="496"/>
      <c r="DK39" s="496"/>
      <c r="DL39" s="496"/>
      <c r="DM39" s="496"/>
      <c r="DN39" s="496"/>
      <c r="DO39" s="496"/>
      <c r="DP39" s="496"/>
      <c r="DQ39" s="496"/>
      <c r="DR39" s="496"/>
      <c r="DS39" s="496"/>
      <c r="DT39" s="496"/>
      <c r="DU39" s="496"/>
      <c r="DV39" s="496"/>
      <c r="DW39" s="496"/>
      <c r="DX39" s="496"/>
      <c r="DY39" s="496"/>
      <c r="DZ39" s="496"/>
      <c r="EA39" s="496"/>
      <c r="EB39" s="496"/>
      <c r="EC39" s="496"/>
      <c r="ED39" s="496"/>
      <c r="EE39" s="496"/>
      <c r="EF39" s="496"/>
      <c r="EG39" s="496"/>
      <c r="EH39" s="496"/>
      <c r="EI39" s="496"/>
      <c r="EJ39" s="496"/>
      <c r="EK39" s="496"/>
      <c r="EL39" s="496"/>
      <c r="EM39" s="496"/>
      <c r="EN39" s="496"/>
      <c r="EO39" s="496"/>
      <c r="EP39" s="496"/>
      <c r="EQ39" s="496"/>
      <c r="ER39" s="496"/>
      <c r="ES39" s="496"/>
      <c r="ET39" s="496"/>
      <c r="EU39" s="496"/>
      <c r="EV39" s="496"/>
      <c r="EW39" s="496"/>
      <c r="EX39" s="496"/>
      <c r="EY39" s="496"/>
      <c r="EZ39" s="496"/>
      <c r="FA39" s="496"/>
      <c r="FB39" s="496"/>
      <c r="FC39" s="496"/>
      <c r="FD39" s="496"/>
      <c r="FE39" s="496"/>
      <c r="FF39" s="496"/>
      <c r="FG39" s="496"/>
      <c r="FH39" s="496"/>
      <c r="FI39" s="496"/>
      <c r="FJ39" s="496"/>
      <c r="FK39" s="496"/>
      <c r="FL39" s="496"/>
      <c r="FM39" s="496"/>
      <c r="FN39" s="496"/>
      <c r="FO39" s="496"/>
      <c r="FP39" s="496"/>
      <c r="FQ39" s="496"/>
      <c r="FR39" s="496"/>
      <c r="FS39" s="496"/>
      <c r="FT39" s="496"/>
      <c r="FU39" s="496"/>
      <c r="FV39" s="496"/>
      <c r="FW39" s="496"/>
      <c r="FX39" s="496"/>
      <c r="FY39" s="496"/>
      <c r="FZ39" s="496"/>
      <c r="GA39" s="496"/>
      <c r="GB39" s="496"/>
      <c r="GC39" s="496"/>
      <c r="GD39" s="496"/>
      <c r="GE39" s="496"/>
      <c r="GF39" s="496"/>
      <c r="GG39" s="496"/>
      <c r="GH39" s="496"/>
      <c r="GI39" s="496"/>
      <c r="GJ39" s="496"/>
      <c r="GK39" s="496"/>
      <c r="GL39" s="496"/>
      <c r="GM39" s="496"/>
      <c r="GN39" s="496"/>
      <c r="GO39" s="496"/>
      <c r="GP39" s="496"/>
      <c r="GQ39" s="496"/>
      <c r="GR39" s="496"/>
      <c r="GS39" s="496"/>
      <c r="GT39" s="496"/>
      <c r="GU39" s="496"/>
      <c r="GV39" s="496"/>
      <c r="GW39" s="496"/>
      <c r="GX39" s="496"/>
      <c r="GY39" s="496"/>
      <c r="GZ39" s="496"/>
      <c r="HA39" s="496"/>
      <c r="HB39" s="496"/>
      <c r="HC39" s="496"/>
      <c r="HD39" s="496"/>
      <c r="HE39" s="496"/>
      <c r="HF39" s="496"/>
      <c r="HG39" s="496"/>
      <c r="HH39" s="496"/>
      <c r="HI39" s="496"/>
      <c r="HJ39" s="496"/>
      <c r="HK39" s="496"/>
      <c r="HL39" s="496"/>
      <c r="HM39" s="496"/>
      <c r="HN39" s="496"/>
      <c r="HO39" s="496"/>
      <c r="HP39" s="496"/>
      <c r="HQ39" s="496"/>
      <c r="HR39" s="496"/>
      <c r="HS39" s="496"/>
      <c r="HT39" s="496"/>
      <c r="HU39" s="496"/>
      <c r="HV39" s="496"/>
      <c r="HW39" s="490"/>
      <c r="HX39" s="490"/>
    </row>
    <row r="40" spans="1:232" s="5" customFormat="1" ht="20.100000000000001" customHeight="1">
      <c r="A40" s="497" t="s">
        <v>110</v>
      </c>
      <c r="B40" s="498"/>
      <c r="C40" s="498"/>
      <c r="D40" s="498"/>
      <c r="E40" s="498"/>
      <c r="F40" s="498"/>
      <c r="G40" s="498"/>
      <c r="H40" s="498"/>
      <c r="I40" s="498"/>
      <c r="J40" s="498"/>
      <c r="K40" s="498"/>
      <c r="L40" s="494"/>
      <c r="M40" s="494"/>
      <c r="N40" s="495"/>
      <c r="O40" s="495"/>
      <c r="P40" s="495"/>
      <c r="Q40" s="495"/>
      <c r="R40" s="495"/>
      <c r="S40" s="495"/>
      <c r="T40" s="495"/>
      <c r="U40" s="489"/>
      <c r="V40" s="489"/>
      <c r="W40" s="489"/>
      <c r="X40" s="489"/>
      <c r="Y40" s="489"/>
      <c r="Z40" s="489"/>
      <c r="AA40" s="489"/>
      <c r="AB40" s="489"/>
      <c r="AC40" s="489"/>
      <c r="AD40" s="489"/>
      <c r="AE40" s="489"/>
      <c r="AF40" s="489"/>
      <c r="AG40" s="489"/>
      <c r="AH40" s="489"/>
      <c r="AI40" s="489"/>
      <c r="AJ40" s="489"/>
      <c r="AK40" s="489"/>
      <c r="AL40" s="489"/>
      <c r="AM40" s="489"/>
      <c r="AN40" s="489"/>
      <c r="AO40" s="489"/>
      <c r="AP40" s="489"/>
      <c r="AQ40" s="489"/>
      <c r="AR40" s="489"/>
      <c r="AS40" s="489"/>
      <c r="AT40" s="489"/>
      <c r="AU40" s="489"/>
      <c r="AV40" s="489"/>
      <c r="AW40" s="489"/>
      <c r="AX40" s="489"/>
      <c r="AY40" s="489"/>
      <c r="AZ40" s="489"/>
      <c r="BA40" s="489"/>
      <c r="BB40" s="489"/>
      <c r="BC40" s="489"/>
      <c r="BD40" s="489"/>
      <c r="BE40" s="489"/>
      <c r="BF40" s="489"/>
      <c r="BG40" s="489"/>
      <c r="BH40" s="489"/>
      <c r="BI40" s="489"/>
      <c r="BJ40" s="489"/>
      <c r="BK40" s="489"/>
      <c r="BL40" s="489"/>
      <c r="BM40" s="489"/>
      <c r="BN40" s="489"/>
      <c r="BO40" s="489"/>
      <c r="BP40" s="489"/>
      <c r="BQ40" s="489"/>
      <c r="BR40" s="489"/>
      <c r="BS40" s="489"/>
      <c r="BT40" s="489"/>
      <c r="BU40" s="489"/>
      <c r="BV40" s="489"/>
      <c r="BW40" s="489"/>
      <c r="BX40" s="489"/>
      <c r="BY40" s="489"/>
      <c r="BZ40" s="489"/>
      <c r="CA40" s="489"/>
      <c r="CB40" s="489"/>
      <c r="CC40" s="489"/>
      <c r="CD40" s="489"/>
      <c r="CE40" s="489"/>
      <c r="CF40" s="489"/>
      <c r="CG40" s="489"/>
      <c r="CH40" s="489"/>
      <c r="CI40" s="489"/>
      <c r="CJ40" s="489"/>
      <c r="CK40" s="489"/>
      <c r="CL40" s="489"/>
      <c r="CM40" s="489"/>
      <c r="CN40" s="489"/>
      <c r="CO40" s="489"/>
      <c r="CP40" s="489"/>
      <c r="CQ40" s="489"/>
      <c r="CR40" s="489"/>
      <c r="CS40" s="489"/>
      <c r="CT40" s="489"/>
      <c r="CU40" s="489"/>
      <c r="CV40" s="489"/>
      <c r="CW40" s="489"/>
      <c r="CX40" s="489"/>
      <c r="CY40" s="489"/>
      <c r="CZ40" s="489"/>
      <c r="DA40" s="489"/>
      <c r="DB40" s="489"/>
      <c r="DC40" s="489"/>
      <c r="DD40" s="489"/>
      <c r="DE40" s="489"/>
      <c r="DF40" s="489"/>
      <c r="DG40" s="489"/>
      <c r="DH40" s="489"/>
      <c r="DI40" s="489"/>
      <c r="DJ40" s="489"/>
      <c r="DK40" s="489"/>
      <c r="DL40" s="489"/>
      <c r="DM40" s="489"/>
      <c r="DN40" s="489"/>
      <c r="DO40" s="489"/>
      <c r="DP40" s="489"/>
      <c r="DQ40" s="489"/>
      <c r="DR40" s="489"/>
      <c r="DS40" s="489"/>
      <c r="DT40" s="489"/>
      <c r="DU40" s="489"/>
      <c r="DV40" s="489"/>
      <c r="DW40" s="489"/>
      <c r="DX40" s="489"/>
      <c r="DY40" s="489"/>
      <c r="DZ40" s="489"/>
      <c r="EA40" s="489"/>
      <c r="EB40" s="489"/>
      <c r="EC40" s="489"/>
      <c r="ED40" s="489"/>
      <c r="EE40" s="489"/>
      <c r="EF40" s="489"/>
      <c r="EG40" s="489"/>
      <c r="EH40" s="489"/>
      <c r="EI40" s="489"/>
      <c r="EJ40" s="489"/>
      <c r="EK40" s="489"/>
      <c r="EL40" s="489"/>
      <c r="EM40" s="489"/>
      <c r="EN40" s="489"/>
      <c r="EO40" s="489"/>
      <c r="EP40" s="489"/>
      <c r="EQ40" s="489"/>
      <c r="ER40" s="489"/>
      <c r="ES40" s="489"/>
      <c r="ET40" s="489"/>
      <c r="EU40" s="489"/>
      <c r="EV40" s="489"/>
      <c r="EW40" s="489"/>
      <c r="EX40" s="489"/>
      <c r="EY40" s="489"/>
      <c r="EZ40" s="489"/>
      <c r="FA40" s="489"/>
      <c r="FB40" s="489"/>
      <c r="FC40" s="489"/>
      <c r="FD40" s="489"/>
      <c r="FE40" s="489"/>
      <c r="FF40" s="489"/>
      <c r="FG40" s="489"/>
      <c r="FH40" s="489"/>
      <c r="FI40" s="489"/>
      <c r="FJ40" s="489"/>
      <c r="FK40" s="489"/>
      <c r="FL40" s="489"/>
      <c r="FM40" s="489"/>
      <c r="FN40" s="489"/>
      <c r="FO40" s="489"/>
      <c r="FP40" s="489"/>
      <c r="FQ40" s="489"/>
      <c r="FR40" s="489"/>
      <c r="FS40" s="489"/>
      <c r="FT40" s="489"/>
      <c r="FU40" s="489"/>
      <c r="FV40" s="489"/>
      <c r="FW40" s="489"/>
      <c r="FX40" s="489"/>
      <c r="FY40" s="489"/>
      <c r="FZ40" s="489"/>
      <c r="GA40" s="489"/>
      <c r="GB40" s="489"/>
      <c r="GC40" s="489"/>
      <c r="GD40" s="489"/>
      <c r="GE40" s="489"/>
      <c r="GF40" s="489"/>
      <c r="GG40" s="489"/>
      <c r="GH40" s="489"/>
      <c r="GI40" s="489"/>
      <c r="GJ40" s="489"/>
      <c r="GK40" s="489"/>
      <c r="GL40" s="489"/>
      <c r="GM40" s="489"/>
      <c r="GN40" s="489"/>
      <c r="GO40" s="489"/>
      <c r="GP40" s="489"/>
      <c r="GQ40" s="489"/>
      <c r="GR40" s="489"/>
      <c r="GS40" s="489"/>
      <c r="GT40" s="489"/>
      <c r="GU40" s="489"/>
      <c r="GV40" s="489"/>
      <c r="GW40" s="489"/>
      <c r="GX40" s="489"/>
      <c r="GY40" s="489"/>
      <c r="GZ40" s="489"/>
      <c r="HA40" s="489"/>
      <c r="HB40" s="489"/>
      <c r="HC40" s="489"/>
      <c r="HD40" s="489"/>
      <c r="HE40" s="489"/>
      <c r="HF40" s="489"/>
      <c r="HG40" s="489"/>
      <c r="HH40" s="489"/>
      <c r="HI40" s="489"/>
      <c r="HJ40" s="489"/>
      <c r="HK40" s="489"/>
      <c r="HL40" s="489"/>
      <c r="HM40" s="489"/>
      <c r="HN40" s="489"/>
      <c r="HO40" s="489"/>
      <c r="HP40" s="489"/>
      <c r="HQ40" s="489"/>
      <c r="HR40" s="489"/>
      <c r="HS40" s="489"/>
      <c r="HT40" s="489"/>
      <c r="HU40" s="489"/>
      <c r="HV40" s="489"/>
      <c r="HW40" s="489"/>
      <c r="HX40" s="358"/>
    </row>
    <row r="41" spans="1:232" s="5" customFormat="1" ht="20.100000000000001" customHeight="1">
      <c r="A41" s="497" t="s">
        <v>111</v>
      </c>
      <c r="B41" s="498"/>
      <c r="C41" s="498"/>
      <c r="D41" s="498"/>
      <c r="E41" s="498"/>
      <c r="F41" s="498"/>
      <c r="G41" s="498"/>
      <c r="H41" s="498"/>
      <c r="I41" s="498"/>
      <c r="J41" s="498"/>
      <c r="K41" s="498"/>
      <c r="L41" s="494"/>
      <c r="M41" s="494"/>
      <c r="N41" s="495"/>
      <c r="O41" s="495"/>
      <c r="P41" s="495"/>
      <c r="Q41" s="495"/>
      <c r="R41" s="495"/>
      <c r="S41" s="495"/>
      <c r="T41" s="495"/>
      <c r="U41" s="499"/>
      <c r="V41" s="499"/>
      <c r="W41" s="499"/>
      <c r="X41" s="499"/>
      <c r="Y41" s="499"/>
      <c r="Z41" s="499"/>
      <c r="AA41" s="499"/>
      <c r="AB41" s="499"/>
      <c r="AC41" s="499"/>
      <c r="AD41" s="499"/>
      <c r="AE41" s="499"/>
      <c r="AF41" s="499"/>
      <c r="AG41" s="499"/>
      <c r="AH41" s="499"/>
      <c r="AI41" s="499"/>
      <c r="AJ41" s="499"/>
      <c r="AK41" s="499"/>
      <c r="AL41" s="499"/>
      <c r="AM41" s="499"/>
      <c r="AN41" s="499"/>
      <c r="AO41" s="499"/>
      <c r="AP41" s="499"/>
      <c r="AQ41" s="499"/>
      <c r="AR41" s="499"/>
      <c r="AS41" s="499"/>
      <c r="AT41" s="499"/>
      <c r="AU41" s="499"/>
      <c r="AV41" s="499"/>
      <c r="AW41" s="499"/>
      <c r="AX41" s="499"/>
      <c r="AY41" s="499"/>
      <c r="AZ41" s="499"/>
      <c r="BA41" s="499"/>
      <c r="BB41" s="499"/>
      <c r="BC41" s="499"/>
      <c r="BD41" s="499"/>
      <c r="BE41" s="499"/>
      <c r="BF41" s="499"/>
      <c r="BG41" s="499"/>
      <c r="BH41" s="499"/>
      <c r="BI41" s="499"/>
      <c r="BJ41" s="499"/>
      <c r="BK41" s="499"/>
      <c r="BL41" s="499"/>
      <c r="BM41" s="499"/>
      <c r="BN41" s="499"/>
      <c r="BO41" s="499"/>
      <c r="BP41" s="499"/>
      <c r="BQ41" s="499"/>
      <c r="BR41" s="499"/>
      <c r="BS41" s="499"/>
      <c r="BT41" s="499"/>
      <c r="BU41" s="499"/>
      <c r="BV41" s="499"/>
      <c r="BW41" s="499"/>
      <c r="BX41" s="499"/>
      <c r="BY41" s="499"/>
      <c r="BZ41" s="499"/>
      <c r="CA41" s="499"/>
      <c r="CB41" s="499"/>
      <c r="CC41" s="499"/>
      <c r="CD41" s="499"/>
      <c r="CE41" s="499"/>
      <c r="CF41" s="499"/>
      <c r="CG41" s="499"/>
      <c r="CH41" s="499"/>
      <c r="CI41" s="499"/>
      <c r="CJ41" s="499"/>
      <c r="CK41" s="499"/>
      <c r="CL41" s="499"/>
      <c r="CM41" s="499"/>
      <c r="CN41" s="499"/>
      <c r="CO41" s="499"/>
      <c r="CP41" s="499"/>
      <c r="CQ41" s="499"/>
      <c r="CR41" s="499"/>
      <c r="CS41" s="499"/>
      <c r="CT41" s="499"/>
      <c r="CU41" s="499"/>
      <c r="CV41" s="499"/>
      <c r="CW41" s="499"/>
      <c r="CX41" s="499"/>
      <c r="CY41" s="499"/>
      <c r="CZ41" s="499"/>
      <c r="DA41" s="499"/>
      <c r="DB41" s="499"/>
      <c r="DC41" s="499"/>
      <c r="DD41" s="499"/>
      <c r="DE41" s="499"/>
      <c r="DF41" s="499"/>
      <c r="DG41" s="499"/>
      <c r="DH41" s="499"/>
      <c r="DI41" s="499"/>
      <c r="DJ41" s="499"/>
      <c r="DK41" s="499"/>
      <c r="DL41" s="499"/>
      <c r="DM41" s="499"/>
      <c r="DN41" s="499"/>
      <c r="DO41" s="499"/>
      <c r="DP41" s="499"/>
      <c r="DQ41" s="499"/>
      <c r="DR41" s="499"/>
      <c r="DS41" s="499"/>
      <c r="DT41" s="499"/>
      <c r="DU41" s="499"/>
      <c r="DV41" s="499"/>
      <c r="DW41" s="499"/>
      <c r="DX41" s="499"/>
      <c r="DY41" s="499"/>
      <c r="DZ41" s="499"/>
      <c r="EA41" s="499"/>
      <c r="EB41" s="499"/>
      <c r="EC41" s="499"/>
      <c r="ED41" s="499"/>
      <c r="EE41" s="499"/>
      <c r="EF41" s="499"/>
      <c r="EG41" s="499"/>
      <c r="EH41" s="499"/>
      <c r="EI41" s="499"/>
      <c r="EJ41" s="499"/>
      <c r="EK41" s="499"/>
      <c r="EL41" s="499"/>
      <c r="EM41" s="499"/>
      <c r="EN41" s="499"/>
      <c r="EO41" s="499"/>
      <c r="EP41" s="499"/>
      <c r="EQ41" s="499"/>
      <c r="ER41" s="499"/>
      <c r="ES41" s="499"/>
      <c r="ET41" s="499"/>
      <c r="EU41" s="499"/>
      <c r="EV41" s="499"/>
      <c r="EW41" s="499"/>
      <c r="EX41" s="499"/>
      <c r="EY41" s="499"/>
      <c r="EZ41" s="499"/>
      <c r="FA41" s="499"/>
      <c r="FB41" s="499"/>
      <c r="FC41" s="499"/>
      <c r="FD41" s="499"/>
      <c r="FE41" s="499"/>
      <c r="FF41" s="499"/>
      <c r="FG41" s="499"/>
      <c r="FH41" s="499"/>
      <c r="FI41" s="499"/>
      <c r="FJ41" s="499"/>
      <c r="FK41" s="499"/>
      <c r="FL41" s="499"/>
      <c r="FM41" s="499"/>
      <c r="FN41" s="499"/>
      <c r="FO41" s="499"/>
      <c r="FP41" s="499"/>
      <c r="FQ41" s="499"/>
      <c r="FR41" s="499"/>
      <c r="FS41" s="499"/>
      <c r="FT41" s="499"/>
      <c r="FU41" s="499"/>
      <c r="FV41" s="499"/>
      <c r="FW41" s="499"/>
      <c r="FX41" s="499"/>
      <c r="FY41" s="499"/>
      <c r="FZ41" s="499"/>
      <c r="GA41" s="499"/>
      <c r="GB41" s="499"/>
      <c r="GC41" s="499"/>
      <c r="GD41" s="499"/>
      <c r="GE41" s="499"/>
      <c r="GF41" s="499"/>
      <c r="GG41" s="499"/>
      <c r="GH41" s="499"/>
      <c r="GI41" s="499"/>
      <c r="GJ41" s="499"/>
      <c r="GK41" s="499"/>
      <c r="GL41" s="499"/>
      <c r="GM41" s="499"/>
      <c r="GN41" s="499"/>
      <c r="GO41" s="499"/>
      <c r="GP41" s="499"/>
      <c r="GQ41" s="499"/>
      <c r="GR41" s="499"/>
      <c r="GS41" s="499"/>
      <c r="GT41" s="499"/>
      <c r="GU41" s="499"/>
      <c r="GV41" s="499"/>
      <c r="GW41" s="499"/>
      <c r="GX41" s="499"/>
      <c r="GY41" s="499"/>
      <c r="GZ41" s="499"/>
      <c r="HA41" s="499"/>
      <c r="HB41" s="499"/>
      <c r="HC41" s="499"/>
      <c r="HD41" s="499"/>
      <c r="HE41" s="499"/>
      <c r="HF41" s="499"/>
      <c r="HG41" s="499"/>
      <c r="HH41" s="499"/>
      <c r="HI41" s="499"/>
      <c r="HJ41" s="499"/>
      <c r="HK41" s="499"/>
      <c r="HL41" s="499"/>
      <c r="HM41" s="499"/>
      <c r="HN41" s="499"/>
      <c r="HO41" s="499"/>
      <c r="HP41" s="499"/>
      <c r="HQ41" s="499"/>
      <c r="HR41" s="499"/>
      <c r="HS41" s="499"/>
      <c r="HT41" s="499"/>
      <c r="HU41" s="499"/>
      <c r="HV41" s="499"/>
      <c r="HW41" s="499"/>
      <c r="HX41" s="358"/>
    </row>
    <row r="42" spans="1:232" ht="33" customHeight="1">
      <c r="A42" s="1607" t="s">
        <v>112</v>
      </c>
      <c r="B42" s="1607"/>
      <c r="C42" s="1607"/>
      <c r="D42" s="1607"/>
      <c r="E42" s="1607"/>
      <c r="F42" s="1607"/>
      <c r="G42" s="1607"/>
      <c r="H42" s="1607"/>
      <c r="I42" s="1607"/>
      <c r="J42" s="1607"/>
      <c r="N42" s="495"/>
      <c r="O42" s="495"/>
      <c r="P42" s="495"/>
      <c r="Q42" s="495"/>
      <c r="R42" s="495"/>
      <c r="S42" s="495"/>
    </row>
    <row r="43" spans="1:232" ht="20.100000000000001" customHeight="1">
      <c r="A43" s="1604" t="s">
        <v>113</v>
      </c>
      <c r="B43" s="1604"/>
      <c r="C43" s="1604"/>
      <c r="D43" s="1604"/>
      <c r="E43" s="1604"/>
      <c r="F43" s="1604"/>
      <c r="G43" s="1604"/>
      <c r="H43" s="1604"/>
      <c r="I43" s="1604"/>
      <c r="J43" s="1604"/>
    </row>
    <row r="44" spans="1:232" s="5" customFormat="1" ht="20.100000000000001" customHeight="1">
      <c r="A44" s="500" t="s">
        <v>114</v>
      </c>
      <c r="C44" s="501"/>
      <c r="D44" s="501"/>
      <c r="E44" s="501"/>
      <c r="F44" s="501"/>
      <c r="G44" s="501"/>
      <c r="H44" s="501"/>
      <c r="I44" s="501"/>
      <c r="J44" s="502"/>
      <c r="K44" s="502"/>
      <c r="L44" s="494"/>
      <c r="M44" s="494"/>
      <c r="N44" s="464"/>
      <c r="O44" s="464"/>
      <c r="P44" s="464"/>
      <c r="Q44" s="464"/>
      <c r="R44" s="464"/>
      <c r="S44" s="464"/>
      <c r="T44" s="495"/>
      <c r="U44" s="499"/>
      <c r="V44" s="499"/>
      <c r="W44" s="499"/>
      <c r="X44" s="499"/>
      <c r="Y44" s="499"/>
      <c r="Z44" s="499"/>
      <c r="AA44" s="499"/>
      <c r="AB44" s="499"/>
      <c r="AC44" s="499"/>
      <c r="AD44" s="499"/>
      <c r="AE44" s="499"/>
      <c r="AF44" s="499"/>
      <c r="AG44" s="499"/>
      <c r="AH44" s="499"/>
      <c r="AI44" s="499"/>
      <c r="AJ44" s="499"/>
      <c r="AK44" s="499"/>
      <c r="AL44" s="499"/>
      <c r="AM44" s="499"/>
      <c r="AN44" s="499"/>
      <c r="AO44" s="499"/>
      <c r="AP44" s="499"/>
      <c r="AQ44" s="499"/>
      <c r="AR44" s="499"/>
      <c r="AS44" s="499"/>
      <c r="AT44" s="499"/>
      <c r="AU44" s="499"/>
      <c r="AV44" s="499"/>
      <c r="AW44" s="499"/>
      <c r="AX44" s="499"/>
      <c r="AY44" s="499"/>
      <c r="AZ44" s="499"/>
      <c r="BA44" s="499"/>
      <c r="BB44" s="499"/>
      <c r="BC44" s="499"/>
      <c r="BD44" s="499"/>
      <c r="BE44" s="499"/>
      <c r="BF44" s="499"/>
      <c r="BG44" s="499"/>
      <c r="BH44" s="499"/>
      <c r="BI44" s="499"/>
      <c r="BJ44" s="499"/>
      <c r="BK44" s="499"/>
      <c r="BL44" s="499"/>
      <c r="BM44" s="499"/>
      <c r="BN44" s="499"/>
      <c r="BO44" s="499"/>
      <c r="BP44" s="499"/>
      <c r="BQ44" s="499"/>
      <c r="BR44" s="499"/>
      <c r="BS44" s="499"/>
      <c r="BT44" s="499"/>
      <c r="BU44" s="499"/>
      <c r="BV44" s="499"/>
      <c r="BW44" s="499"/>
      <c r="BX44" s="499"/>
      <c r="BY44" s="499"/>
      <c r="BZ44" s="499"/>
      <c r="CA44" s="499"/>
      <c r="CB44" s="499"/>
      <c r="CC44" s="499"/>
      <c r="CD44" s="499"/>
      <c r="CE44" s="499"/>
      <c r="CF44" s="499"/>
      <c r="CG44" s="499"/>
      <c r="CH44" s="499"/>
      <c r="CI44" s="499"/>
      <c r="CJ44" s="499"/>
      <c r="CK44" s="499"/>
      <c r="CL44" s="499"/>
      <c r="CM44" s="499"/>
      <c r="CN44" s="499"/>
      <c r="CO44" s="499"/>
      <c r="CP44" s="499"/>
      <c r="CQ44" s="499"/>
      <c r="CR44" s="499"/>
      <c r="CS44" s="499"/>
      <c r="CT44" s="499"/>
      <c r="CU44" s="499"/>
      <c r="CV44" s="499"/>
      <c r="CW44" s="499"/>
      <c r="CX44" s="499"/>
      <c r="CY44" s="499"/>
      <c r="CZ44" s="499"/>
      <c r="DA44" s="499"/>
      <c r="DB44" s="499"/>
      <c r="DC44" s="499"/>
      <c r="DD44" s="499"/>
      <c r="DE44" s="499"/>
      <c r="DF44" s="499"/>
      <c r="DG44" s="499"/>
      <c r="DH44" s="499"/>
      <c r="DI44" s="499"/>
      <c r="DJ44" s="499"/>
      <c r="DK44" s="499"/>
      <c r="DL44" s="499"/>
      <c r="DM44" s="499"/>
      <c r="DN44" s="499"/>
      <c r="DO44" s="499"/>
      <c r="DP44" s="499"/>
      <c r="DQ44" s="499"/>
      <c r="DR44" s="499"/>
      <c r="DS44" s="499"/>
      <c r="DT44" s="499"/>
      <c r="DU44" s="499"/>
      <c r="DV44" s="499"/>
      <c r="DW44" s="499"/>
      <c r="DX44" s="499"/>
      <c r="DY44" s="499"/>
      <c r="DZ44" s="499"/>
      <c r="EA44" s="499"/>
      <c r="EB44" s="499"/>
      <c r="EC44" s="499"/>
      <c r="ED44" s="499"/>
      <c r="EE44" s="499"/>
      <c r="EF44" s="499"/>
      <c r="EG44" s="499"/>
      <c r="EH44" s="499"/>
      <c r="EI44" s="499"/>
      <c r="EJ44" s="499"/>
      <c r="EK44" s="499"/>
      <c r="EL44" s="499"/>
      <c r="EM44" s="499"/>
      <c r="EN44" s="499"/>
      <c r="EO44" s="499"/>
      <c r="EP44" s="499"/>
      <c r="EQ44" s="499"/>
      <c r="ER44" s="499"/>
      <c r="ES44" s="499"/>
      <c r="ET44" s="499"/>
      <c r="EU44" s="499"/>
      <c r="EV44" s="499"/>
      <c r="EW44" s="499"/>
      <c r="EX44" s="499"/>
      <c r="EY44" s="499"/>
      <c r="EZ44" s="499"/>
      <c r="FA44" s="499"/>
      <c r="FB44" s="499"/>
      <c r="FC44" s="499"/>
      <c r="FD44" s="499"/>
      <c r="FE44" s="499"/>
      <c r="FF44" s="499"/>
      <c r="FG44" s="499"/>
      <c r="FH44" s="499"/>
      <c r="FI44" s="499"/>
      <c r="FJ44" s="499"/>
      <c r="FK44" s="499"/>
      <c r="FL44" s="499"/>
      <c r="FM44" s="499"/>
      <c r="FN44" s="499"/>
      <c r="FO44" s="499"/>
      <c r="FP44" s="499"/>
      <c r="FQ44" s="499"/>
      <c r="FR44" s="499"/>
      <c r="FS44" s="499"/>
      <c r="FT44" s="499"/>
      <c r="FU44" s="499"/>
      <c r="FV44" s="499"/>
      <c r="FW44" s="499"/>
      <c r="FX44" s="499"/>
      <c r="FY44" s="499"/>
      <c r="FZ44" s="499"/>
      <c r="GA44" s="499"/>
      <c r="GB44" s="499"/>
      <c r="GC44" s="499"/>
      <c r="GD44" s="499"/>
      <c r="GE44" s="499"/>
      <c r="GF44" s="499"/>
      <c r="GG44" s="499"/>
      <c r="GH44" s="499"/>
      <c r="GI44" s="499"/>
      <c r="GJ44" s="499"/>
      <c r="GK44" s="499"/>
      <c r="GL44" s="499"/>
      <c r="GM44" s="499"/>
      <c r="GN44" s="499"/>
      <c r="GO44" s="499"/>
      <c r="GP44" s="499"/>
      <c r="GQ44" s="499"/>
      <c r="GR44" s="499"/>
      <c r="GS44" s="499"/>
      <c r="GT44" s="499"/>
      <c r="GU44" s="499"/>
      <c r="GV44" s="499"/>
      <c r="GW44" s="499"/>
      <c r="GX44" s="499"/>
      <c r="GY44" s="499"/>
      <c r="GZ44" s="499"/>
      <c r="HA44" s="499"/>
      <c r="HB44" s="499"/>
      <c r="HC44" s="499"/>
      <c r="HD44" s="499"/>
      <c r="HE44" s="499"/>
      <c r="HF44" s="499"/>
      <c r="HG44" s="499"/>
      <c r="HH44" s="499"/>
      <c r="HI44" s="499"/>
      <c r="HJ44" s="499"/>
      <c r="HK44" s="499"/>
      <c r="HL44" s="499"/>
      <c r="HM44" s="499"/>
      <c r="HN44" s="499"/>
      <c r="HO44" s="499"/>
      <c r="HP44" s="499"/>
      <c r="HQ44" s="499"/>
      <c r="HR44" s="499"/>
      <c r="HS44" s="499"/>
      <c r="HT44" s="499"/>
      <c r="HU44" s="499"/>
      <c r="HV44" s="499"/>
      <c r="HW44" s="499"/>
      <c r="HX44" s="358"/>
    </row>
    <row r="45" spans="1:232" s="5" customFormat="1" ht="20.100000000000001" customHeight="1">
      <c r="A45" s="1605" t="s">
        <v>191</v>
      </c>
      <c r="B45" s="1631" t="s">
        <v>115</v>
      </c>
      <c r="C45" s="1632"/>
      <c r="D45" s="1632"/>
      <c r="E45" s="1632"/>
      <c r="F45" s="1632"/>
      <c r="G45" s="1632"/>
      <c r="H45" s="1633"/>
      <c r="I45" s="1606" t="s">
        <v>117</v>
      </c>
      <c r="J45" s="1606"/>
      <c r="N45" s="495"/>
      <c r="O45" s="495"/>
      <c r="P45" s="495"/>
      <c r="Q45" s="495"/>
      <c r="R45" s="495"/>
      <c r="S45" s="495"/>
      <c r="T45" s="504"/>
      <c r="U45" s="358"/>
      <c r="V45" s="358"/>
      <c r="W45" s="358"/>
      <c r="X45" s="358"/>
      <c r="Y45" s="358"/>
      <c r="Z45" s="358"/>
      <c r="AA45" s="358"/>
      <c r="AB45" s="358"/>
      <c r="AC45" s="358"/>
      <c r="AD45" s="358"/>
      <c r="AE45" s="358"/>
      <c r="AF45" s="358"/>
      <c r="AG45" s="358"/>
      <c r="AH45" s="358"/>
      <c r="AI45" s="358"/>
      <c r="AJ45" s="358"/>
      <c r="AK45" s="358"/>
      <c r="AL45" s="358"/>
      <c r="AM45" s="358"/>
      <c r="AN45" s="358"/>
      <c r="AO45" s="358"/>
      <c r="AP45" s="358"/>
      <c r="AQ45" s="358"/>
      <c r="AR45" s="358"/>
      <c r="AS45" s="358"/>
      <c r="AT45" s="358"/>
      <c r="AU45" s="358"/>
      <c r="AV45" s="358"/>
      <c r="AW45" s="358"/>
      <c r="AX45" s="358"/>
      <c r="AY45" s="358"/>
      <c r="AZ45" s="358"/>
      <c r="BA45" s="358"/>
      <c r="BB45" s="358"/>
      <c r="BC45" s="358"/>
      <c r="BD45" s="358"/>
      <c r="BE45" s="358"/>
      <c r="BF45" s="358"/>
      <c r="BG45" s="358"/>
      <c r="BH45" s="358"/>
      <c r="BI45" s="358"/>
      <c r="BJ45" s="358"/>
      <c r="BK45" s="358"/>
      <c r="BL45" s="358"/>
      <c r="BM45" s="358"/>
      <c r="BN45" s="358"/>
      <c r="BO45" s="358"/>
      <c r="BP45" s="358"/>
      <c r="BQ45" s="358"/>
      <c r="BR45" s="358"/>
      <c r="BS45" s="358"/>
      <c r="BT45" s="358"/>
      <c r="BU45" s="358"/>
      <c r="BV45" s="358"/>
      <c r="BW45" s="358"/>
      <c r="BX45" s="358"/>
      <c r="BY45" s="358"/>
      <c r="BZ45" s="358"/>
      <c r="CA45" s="358"/>
      <c r="CB45" s="358"/>
      <c r="CC45" s="358"/>
      <c r="CD45" s="358"/>
      <c r="CE45" s="358"/>
      <c r="CF45" s="358"/>
      <c r="CG45" s="358"/>
      <c r="CH45" s="358"/>
      <c r="CI45" s="358"/>
      <c r="CJ45" s="358"/>
      <c r="CK45" s="358"/>
      <c r="CL45" s="358"/>
      <c r="CM45" s="358"/>
      <c r="CN45" s="358"/>
      <c r="CO45" s="358"/>
      <c r="CP45" s="358"/>
      <c r="CQ45" s="358"/>
      <c r="CR45" s="358"/>
      <c r="CS45" s="358"/>
      <c r="CT45" s="358"/>
      <c r="CU45" s="358"/>
      <c r="CV45" s="358"/>
      <c r="CW45" s="358"/>
      <c r="CX45" s="358"/>
      <c r="CY45" s="358"/>
      <c r="CZ45" s="358"/>
      <c r="DA45" s="358"/>
      <c r="DB45" s="358"/>
      <c r="DC45" s="358"/>
      <c r="DD45" s="358"/>
      <c r="DE45" s="358"/>
      <c r="DF45" s="358"/>
      <c r="DG45" s="358"/>
      <c r="DH45" s="358"/>
      <c r="DI45" s="358"/>
      <c r="DJ45" s="358"/>
      <c r="DK45" s="358"/>
      <c r="DL45" s="358"/>
      <c r="DM45" s="358"/>
      <c r="DN45" s="358"/>
      <c r="DO45" s="358"/>
      <c r="DP45" s="358"/>
      <c r="DQ45" s="358"/>
      <c r="DR45" s="358"/>
      <c r="DS45" s="358"/>
      <c r="DT45" s="358"/>
      <c r="DU45" s="358"/>
      <c r="DV45" s="358"/>
      <c r="DW45" s="358"/>
      <c r="DX45" s="358"/>
      <c r="DY45" s="358"/>
      <c r="DZ45" s="358"/>
      <c r="EA45" s="358"/>
      <c r="EB45" s="358"/>
      <c r="EC45" s="358"/>
      <c r="ED45" s="358"/>
      <c r="EE45" s="358"/>
      <c r="EF45" s="358"/>
      <c r="EG45" s="358"/>
      <c r="EH45" s="358"/>
      <c r="EI45" s="358"/>
      <c r="EJ45" s="358"/>
      <c r="EK45" s="358"/>
      <c r="EL45" s="358"/>
      <c r="EM45" s="358"/>
      <c r="EN45" s="358"/>
      <c r="EO45" s="358"/>
      <c r="EP45" s="358"/>
      <c r="EQ45" s="358"/>
      <c r="ER45" s="358"/>
      <c r="ES45" s="358"/>
      <c r="ET45" s="358"/>
      <c r="EU45" s="358"/>
      <c r="EV45" s="358"/>
      <c r="EW45" s="358"/>
      <c r="EX45" s="358"/>
      <c r="EY45" s="358"/>
      <c r="EZ45" s="358"/>
      <c r="FA45" s="358"/>
      <c r="FB45" s="358"/>
      <c r="FC45" s="358"/>
      <c r="FD45" s="358"/>
      <c r="FE45" s="358"/>
      <c r="FF45" s="358"/>
      <c r="FG45" s="358"/>
      <c r="FH45" s="358"/>
      <c r="FI45" s="358"/>
      <c r="FJ45" s="358"/>
      <c r="FK45" s="358"/>
      <c r="FL45" s="358"/>
      <c r="FM45" s="358"/>
      <c r="FN45" s="358"/>
      <c r="FO45" s="358"/>
      <c r="FP45" s="358"/>
      <c r="FQ45" s="358"/>
      <c r="FR45" s="358"/>
      <c r="FS45" s="358"/>
      <c r="FT45" s="358"/>
      <c r="FU45" s="358"/>
      <c r="FV45" s="358"/>
      <c r="FW45" s="358"/>
      <c r="FX45" s="358"/>
      <c r="FY45" s="358"/>
      <c r="FZ45" s="358"/>
      <c r="GA45" s="358"/>
      <c r="GB45" s="358"/>
      <c r="GC45" s="358"/>
      <c r="GD45" s="358"/>
      <c r="GE45" s="358"/>
      <c r="GF45" s="358"/>
      <c r="GG45" s="358"/>
      <c r="GH45" s="358"/>
      <c r="GI45" s="358"/>
      <c r="GJ45" s="358"/>
      <c r="GK45" s="358"/>
      <c r="GL45" s="358"/>
      <c r="GM45" s="358"/>
      <c r="GN45" s="358"/>
      <c r="GO45" s="358"/>
      <c r="GP45" s="358"/>
      <c r="GQ45" s="358"/>
      <c r="GR45" s="358"/>
      <c r="GS45" s="358"/>
      <c r="GT45" s="358"/>
      <c r="GU45" s="358"/>
      <c r="GV45" s="358"/>
      <c r="GW45" s="358"/>
      <c r="GX45" s="358"/>
      <c r="GY45" s="358"/>
      <c r="GZ45" s="358"/>
      <c r="HA45" s="358"/>
      <c r="HB45" s="358"/>
      <c r="HC45" s="358"/>
      <c r="HD45" s="358"/>
      <c r="HE45" s="358"/>
      <c r="HF45" s="358"/>
      <c r="HG45" s="358"/>
      <c r="HH45" s="358"/>
      <c r="HI45" s="358"/>
      <c r="HJ45" s="358"/>
      <c r="HK45" s="358"/>
      <c r="HL45" s="358"/>
      <c r="HM45" s="358"/>
      <c r="HN45" s="358"/>
      <c r="HO45" s="358"/>
      <c r="HP45" s="358"/>
      <c r="HQ45" s="358"/>
      <c r="HR45" s="358"/>
      <c r="HS45" s="358"/>
      <c r="HT45" s="358"/>
      <c r="HU45" s="358"/>
      <c r="HV45" s="358"/>
      <c r="HW45" s="358"/>
      <c r="HX45" s="358"/>
    </row>
    <row r="46" spans="1:232" s="5" customFormat="1" ht="20.100000000000001" customHeight="1">
      <c r="A46" s="1605"/>
      <c r="B46" s="1637"/>
      <c r="C46" s="1638"/>
      <c r="D46" s="1638"/>
      <c r="E46" s="1638"/>
      <c r="F46" s="1638"/>
      <c r="G46" s="1638"/>
      <c r="H46" s="1639"/>
      <c r="I46" s="503" t="s">
        <v>118</v>
      </c>
      <c r="J46" s="503" t="s">
        <v>119</v>
      </c>
      <c r="O46" s="504"/>
      <c r="P46" s="504"/>
      <c r="Q46" s="504"/>
      <c r="R46" s="504"/>
      <c r="S46" s="504"/>
      <c r="T46" s="406"/>
      <c r="U46" s="358"/>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row>
    <row r="47" spans="1:232" s="5" customFormat="1" ht="20.100000000000001" customHeight="1">
      <c r="A47" s="503"/>
      <c r="B47" s="1667" t="s">
        <v>420</v>
      </c>
      <c r="C47" s="1667"/>
      <c r="D47" s="1667" t="s">
        <v>421</v>
      </c>
      <c r="E47" s="1667"/>
      <c r="F47" s="1668" t="s">
        <v>422</v>
      </c>
      <c r="G47" s="1669"/>
      <c r="H47" s="1670"/>
      <c r="I47" s="562" t="s">
        <v>471</v>
      </c>
      <c r="J47" s="506"/>
      <c r="O47" s="406"/>
      <c r="P47" s="406"/>
      <c r="Q47" s="406"/>
      <c r="R47" s="406"/>
      <c r="S47" s="406"/>
      <c r="T47" s="406"/>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row>
    <row r="48" spans="1:232" s="5" customFormat="1" ht="20.100000000000001" customHeight="1">
      <c r="A48" s="503" t="s">
        <v>188</v>
      </c>
      <c r="B48" s="1667">
        <f>'2. NK'!C14</f>
        <v>2317790.6910000001</v>
      </c>
      <c r="C48" s="1667"/>
      <c r="D48" s="1667">
        <f>'2. NK'!F14</f>
        <v>2317790.6920000003</v>
      </c>
      <c r="E48" s="1667"/>
      <c r="F48" s="1671">
        <f>D48-B48</f>
        <v>1.0000001639127731E-3</v>
      </c>
      <c r="G48" s="1671"/>
      <c r="H48" s="1671"/>
      <c r="I48" s="562" t="s">
        <v>471</v>
      </c>
      <c r="J48" s="506"/>
      <c r="O48" s="406"/>
      <c r="P48" s="406"/>
      <c r="Q48" s="406"/>
      <c r="R48" s="406"/>
      <c r="S48" s="406"/>
      <c r="T48" s="406"/>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row>
    <row r="49" spans="1:232" s="5" customFormat="1" ht="20.100000000000001" customHeight="1">
      <c r="A49" s="503" t="s">
        <v>423</v>
      </c>
      <c r="B49" s="1667">
        <f>'2. NK'!C15</f>
        <v>430397.96399999998</v>
      </c>
      <c r="C49" s="1667"/>
      <c r="D49" s="1667">
        <f>'2. NK'!F15</f>
        <v>430397.984</v>
      </c>
      <c r="E49" s="1667"/>
      <c r="F49" s="1671">
        <f>D49-B49</f>
        <v>2.0000000018626451E-2</v>
      </c>
      <c r="G49" s="1671"/>
      <c r="H49" s="1671"/>
      <c r="I49" s="562" t="s">
        <v>471</v>
      </c>
      <c r="J49" s="506"/>
      <c r="O49" s="406"/>
      <c r="P49" s="406"/>
      <c r="Q49" s="406"/>
      <c r="R49" s="406"/>
      <c r="S49" s="406"/>
      <c r="T49" s="405"/>
      <c r="U49" s="358"/>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row>
    <row r="50" spans="1:232" s="5" customFormat="1" ht="20.100000000000001" customHeight="1">
      <c r="A50" s="503"/>
      <c r="B50" s="1667"/>
      <c r="C50" s="1667"/>
      <c r="D50" s="1667"/>
      <c r="E50" s="1667"/>
      <c r="F50" s="1598"/>
      <c r="G50" s="1598"/>
      <c r="H50" s="1598"/>
      <c r="I50" s="505"/>
      <c r="J50" s="506"/>
      <c r="O50" s="405"/>
      <c r="P50" s="405"/>
      <c r="Q50" s="405"/>
      <c r="R50" s="405"/>
      <c r="S50" s="405"/>
      <c r="T50" s="405"/>
      <c r="U50" s="358"/>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row>
    <row r="51" spans="1:232" s="5" customFormat="1" ht="20.100000000000001" customHeight="1">
      <c r="A51" s="503"/>
      <c r="B51" s="1667"/>
      <c r="C51" s="1667"/>
      <c r="D51" s="1667"/>
      <c r="E51" s="1667"/>
      <c r="F51" s="1598"/>
      <c r="G51" s="1598"/>
      <c r="H51" s="1598"/>
      <c r="I51" s="505"/>
      <c r="J51" s="506"/>
      <c r="O51" s="405"/>
      <c r="P51" s="405"/>
      <c r="Q51" s="405"/>
      <c r="R51" s="405"/>
      <c r="S51" s="405"/>
      <c r="T51" s="405"/>
      <c r="U51" s="358"/>
      <c r="V51" s="358"/>
      <c r="W51" s="358"/>
      <c r="X51" s="358"/>
      <c r="Y51" s="358"/>
      <c r="Z51" s="358"/>
      <c r="AA51" s="358"/>
      <c r="AB51" s="358"/>
      <c r="AC51" s="358"/>
      <c r="AD51" s="358"/>
      <c r="AE51" s="358"/>
      <c r="AF51" s="358"/>
      <c r="AG51" s="358"/>
      <c r="AH51" s="358"/>
      <c r="AI51" s="358"/>
      <c r="AJ51" s="358"/>
      <c r="AK51" s="358"/>
      <c r="AL51" s="358"/>
      <c r="AM51" s="358"/>
      <c r="AN51" s="358"/>
      <c r="AO51" s="358"/>
      <c r="AP51" s="358"/>
      <c r="AQ51" s="358"/>
      <c r="AR51" s="358"/>
      <c r="AS51" s="358"/>
      <c r="AT51" s="358"/>
      <c r="AU51" s="358"/>
      <c r="AV51" s="358"/>
      <c r="AW51" s="358"/>
      <c r="AX51" s="358"/>
      <c r="AY51" s="358"/>
      <c r="AZ51" s="358"/>
      <c r="BA51" s="358"/>
      <c r="BB51" s="358"/>
      <c r="BC51" s="358"/>
      <c r="BD51" s="358"/>
      <c r="BE51" s="358"/>
      <c r="BF51" s="358"/>
      <c r="BG51" s="358"/>
      <c r="BH51" s="358"/>
      <c r="BI51" s="358"/>
      <c r="BJ51" s="358"/>
      <c r="BK51" s="358"/>
      <c r="BL51" s="358"/>
      <c r="BM51" s="358"/>
      <c r="BN51" s="358"/>
      <c r="BO51" s="358"/>
      <c r="BP51" s="358"/>
      <c r="BQ51" s="358"/>
      <c r="BR51" s="358"/>
      <c r="BS51" s="358"/>
      <c r="BT51" s="358"/>
      <c r="BU51" s="358"/>
      <c r="BV51" s="358"/>
      <c r="BW51" s="358"/>
      <c r="BX51" s="358"/>
      <c r="BY51" s="358"/>
      <c r="BZ51" s="358"/>
      <c r="CA51" s="358"/>
      <c r="CB51" s="358"/>
      <c r="CC51" s="358"/>
      <c r="CD51" s="358"/>
      <c r="CE51" s="358"/>
      <c r="CF51" s="358"/>
      <c r="CG51" s="358"/>
      <c r="CH51" s="358"/>
      <c r="CI51" s="358"/>
      <c r="CJ51" s="358"/>
      <c r="CK51" s="358"/>
      <c r="CL51" s="358"/>
      <c r="CM51" s="358"/>
      <c r="CN51" s="358"/>
      <c r="CO51" s="358"/>
      <c r="CP51" s="358"/>
      <c r="CQ51" s="358"/>
      <c r="CR51" s="358"/>
      <c r="CS51" s="358"/>
      <c r="CT51" s="358"/>
      <c r="CU51" s="358"/>
      <c r="CV51" s="358"/>
      <c r="CW51" s="358"/>
      <c r="CX51" s="358"/>
      <c r="CY51" s="358"/>
      <c r="CZ51" s="358"/>
      <c r="DA51" s="358"/>
      <c r="DB51" s="358"/>
      <c r="DC51" s="358"/>
      <c r="DD51" s="358"/>
      <c r="DE51" s="358"/>
      <c r="DF51" s="358"/>
      <c r="DG51" s="358"/>
      <c r="DH51" s="358"/>
      <c r="DI51" s="358"/>
      <c r="DJ51" s="358"/>
      <c r="DK51" s="358"/>
      <c r="DL51" s="358"/>
      <c r="DM51" s="358"/>
      <c r="DN51" s="358"/>
      <c r="DO51" s="358"/>
      <c r="DP51" s="358"/>
      <c r="DQ51" s="358"/>
      <c r="DR51" s="358"/>
      <c r="DS51" s="358"/>
      <c r="DT51" s="358"/>
      <c r="DU51" s="358"/>
      <c r="DV51" s="358"/>
      <c r="DW51" s="358"/>
      <c r="DX51" s="358"/>
      <c r="DY51" s="358"/>
      <c r="DZ51" s="358"/>
      <c r="EA51" s="358"/>
      <c r="EB51" s="358"/>
      <c r="EC51" s="358"/>
      <c r="ED51" s="358"/>
      <c r="EE51" s="358"/>
      <c r="EF51" s="358"/>
      <c r="EG51" s="358"/>
      <c r="EH51" s="358"/>
      <c r="EI51" s="358"/>
      <c r="EJ51" s="358"/>
      <c r="EK51" s="358"/>
      <c r="EL51" s="358"/>
      <c r="EM51" s="358"/>
      <c r="EN51" s="358"/>
      <c r="EO51" s="358"/>
      <c r="EP51" s="358"/>
      <c r="EQ51" s="358"/>
      <c r="ER51" s="358"/>
      <c r="ES51" s="358"/>
      <c r="ET51" s="358"/>
      <c r="EU51" s="358"/>
      <c r="EV51" s="358"/>
      <c r="EW51" s="358"/>
      <c r="EX51" s="358"/>
      <c r="EY51" s="358"/>
      <c r="EZ51" s="358"/>
      <c r="FA51" s="358"/>
      <c r="FB51" s="358"/>
      <c r="FC51" s="358"/>
      <c r="FD51" s="358"/>
      <c r="FE51" s="358"/>
      <c r="FF51" s="358"/>
      <c r="FG51" s="358"/>
      <c r="FH51" s="358"/>
      <c r="FI51" s="358"/>
      <c r="FJ51" s="358"/>
      <c r="FK51" s="358"/>
      <c r="FL51" s="358"/>
      <c r="FM51" s="358"/>
      <c r="FN51" s="358"/>
      <c r="FO51" s="358"/>
      <c r="FP51" s="358"/>
      <c r="FQ51" s="358"/>
      <c r="FR51" s="358"/>
      <c r="FS51" s="358"/>
      <c r="FT51" s="358"/>
      <c r="FU51" s="358"/>
      <c r="FV51" s="358"/>
      <c r="FW51" s="358"/>
      <c r="FX51" s="358"/>
      <c r="FY51" s="358"/>
      <c r="FZ51" s="358"/>
      <c r="GA51" s="358"/>
      <c r="GB51" s="358"/>
      <c r="GC51" s="358"/>
      <c r="GD51" s="358"/>
      <c r="GE51" s="358"/>
      <c r="GF51" s="358"/>
      <c r="GG51" s="358"/>
      <c r="GH51" s="358"/>
      <c r="GI51" s="358"/>
      <c r="GJ51" s="358"/>
      <c r="GK51" s="358"/>
      <c r="GL51" s="358"/>
      <c r="GM51" s="358"/>
      <c r="GN51" s="358"/>
      <c r="GO51" s="358"/>
      <c r="GP51" s="358"/>
      <c r="GQ51" s="358"/>
      <c r="GR51" s="358"/>
      <c r="GS51" s="358"/>
      <c r="GT51" s="358"/>
      <c r="GU51" s="358"/>
      <c r="GV51" s="358"/>
      <c r="GW51" s="358"/>
      <c r="GX51" s="358"/>
      <c r="GY51" s="358"/>
      <c r="GZ51" s="358"/>
      <c r="HA51" s="358"/>
      <c r="HB51" s="358"/>
      <c r="HC51" s="358"/>
      <c r="HD51" s="358"/>
      <c r="HE51" s="358"/>
      <c r="HF51" s="358"/>
      <c r="HG51" s="358"/>
      <c r="HH51" s="358"/>
      <c r="HI51" s="358"/>
      <c r="HJ51" s="358"/>
      <c r="HK51" s="358"/>
      <c r="HL51" s="358"/>
      <c r="HM51" s="358"/>
      <c r="HN51" s="358"/>
      <c r="HO51" s="358"/>
      <c r="HP51" s="358"/>
      <c r="HQ51" s="358"/>
      <c r="HR51" s="358"/>
      <c r="HS51" s="358"/>
      <c r="HT51" s="358"/>
      <c r="HU51" s="358"/>
      <c r="HV51" s="358"/>
      <c r="HW51" s="358"/>
      <c r="HX51" s="358"/>
    </row>
    <row r="52" spans="1:232" s="5" customFormat="1" ht="20.100000000000001" customHeight="1">
      <c r="A52" s="503"/>
      <c r="B52" s="1667"/>
      <c r="C52" s="1667"/>
      <c r="D52" s="1667"/>
      <c r="E52" s="1667"/>
      <c r="F52" s="1598"/>
      <c r="G52" s="1598"/>
      <c r="H52" s="1598"/>
      <c r="I52" s="505"/>
      <c r="J52" s="506"/>
      <c r="O52" s="405"/>
      <c r="P52" s="405"/>
      <c r="Q52" s="405"/>
      <c r="R52" s="405"/>
      <c r="S52" s="405"/>
      <c r="T52" s="405"/>
      <c r="U52" s="358"/>
      <c r="V52" s="358"/>
      <c r="W52" s="358"/>
      <c r="X52" s="358"/>
      <c r="Y52" s="358"/>
      <c r="Z52" s="358"/>
      <c r="AA52" s="358"/>
      <c r="AB52" s="358"/>
      <c r="AC52" s="358"/>
      <c r="AD52" s="358"/>
      <c r="AE52" s="358"/>
      <c r="AF52" s="358"/>
      <c r="AG52" s="358"/>
      <c r="AH52" s="358"/>
      <c r="AI52" s="358"/>
      <c r="AJ52" s="358"/>
      <c r="AK52" s="358"/>
      <c r="AL52" s="358"/>
      <c r="AM52" s="358"/>
      <c r="AN52" s="358"/>
      <c r="AO52" s="358"/>
      <c r="AP52" s="358"/>
      <c r="AQ52" s="358"/>
      <c r="AR52" s="358"/>
      <c r="AS52" s="358"/>
      <c r="AT52" s="358"/>
      <c r="AU52" s="358"/>
      <c r="AV52" s="358"/>
      <c r="AW52" s="358"/>
      <c r="AX52" s="358"/>
      <c r="AY52" s="358"/>
      <c r="AZ52" s="358"/>
      <c r="BA52" s="358"/>
      <c r="BB52" s="358"/>
      <c r="BC52" s="358"/>
      <c r="BD52" s="358"/>
      <c r="BE52" s="358"/>
      <c r="BF52" s="358"/>
      <c r="BG52" s="358"/>
      <c r="BH52" s="358"/>
      <c r="BI52" s="358"/>
      <c r="BJ52" s="358"/>
      <c r="BK52" s="358"/>
      <c r="BL52" s="358"/>
      <c r="BM52" s="358"/>
      <c r="BN52" s="358"/>
      <c r="BO52" s="358"/>
      <c r="BP52" s="358"/>
      <c r="BQ52" s="358"/>
      <c r="BR52" s="358"/>
      <c r="BS52" s="358"/>
      <c r="BT52" s="358"/>
      <c r="BU52" s="358"/>
      <c r="BV52" s="358"/>
      <c r="BW52" s="358"/>
      <c r="BX52" s="358"/>
      <c r="BY52" s="358"/>
      <c r="BZ52" s="358"/>
      <c r="CA52" s="358"/>
      <c r="CB52" s="358"/>
      <c r="CC52" s="358"/>
      <c r="CD52" s="358"/>
      <c r="CE52" s="358"/>
      <c r="CF52" s="358"/>
      <c r="CG52" s="358"/>
      <c r="CH52" s="358"/>
      <c r="CI52" s="358"/>
      <c r="CJ52" s="358"/>
      <c r="CK52" s="358"/>
      <c r="CL52" s="358"/>
      <c r="CM52" s="358"/>
      <c r="CN52" s="358"/>
      <c r="CO52" s="358"/>
      <c r="CP52" s="358"/>
      <c r="CQ52" s="358"/>
      <c r="CR52" s="358"/>
      <c r="CS52" s="358"/>
      <c r="CT52" s="358"/>
      <c r="CU52" s="358"/>
      <c r="CV52" s="358"/>
      <c r="CW52" s="358"/>
      <c r="CX52" s="358"/>
      <c r="CY52" s="358"/>
      <c r="CZ52" s="358"/>
      <c r="DA52" s="358"/>
      <c r="DB52" s="358"/>
      <c r="DC52" s="358"/>
      <c r="DD52" s="358"/>
      <c r="DE52" s="358"/>
      <c r="DF52" s="358"/>
      <c r="DG52" s="358"/>
      <c r="DH52" s="358"/>
      <c r="DI52" s="358"/>
      <c r="DJ52" s="358"/>
      <c r="DK52" s="358"/>
      <c r="DL52" s="358"/>
      <c r="DM52" s="358"/>
      <c r="DN52" s="358"/>
      <c r="DO52" s="358"/>
      <c r="DP52" s="358"/>
      <c r="DQ52" s="358"/>
      <c r="DR52" s="358"/>
      <c r="DS52" s="358"/>
      <c r="DT52" s="358"/>
      <c r="DU52" s="358"/>
      <c r="DV52" s="358"/>
      <c r="DW52" s="358"/>
      <c r="DX52" s="358"/>
      <c r="DY52" s="358"/>
      <c r="DZ52" s="358"/>
      <c r="EA52" s="358"/>
      <c r="EB52" s="358"/>
      <c r="EC52" s="358"/>
      <c r="ED52" s="358"/>
      <c r="EE52" s="358"/>
      <c r="EF52" s="358"/>
      <c r="EG52" s="358"/>
      <c r="EH52" s="358"/>
      <c r="EI52" s="358"/>
      <c r="EJ52" s="358"/>
      <c r="EK52" s="358"/>
      <c r="EL52" s="358"/>
      <c r="EM52" s="358"/>
      <c r="EN52" s="358"/>
      <c r="EO52" s="358"/>
      <c r="EP52" s="358"/>
      <c r="EQ52" s="358"/>
      <c r="ER52" s="358"/>
      <c r="ES52" s="358"/>
      <c r="ET52" s="358"/>
      <c r="EU52" s="358"/>
      <c r="EV52" s="358"/>
      <c r="EW52" s="358"/>
      <c r="EX52" s="358"/>
      <c r="EY52" s="358"/>
      <c r="EZ52" s="358"/>
      <c r="FA52" s="358"/>
      <c r="FB52" s="358"/>
      <c r="FC52" s="358"/>
      <c r="FD52" s="358"/>
      <c r="FE52" s="358"/>
      <c r="FF52" s="358"/>
      <c r="FG52" s="358"/>
      <c r="FH52" s="358"/>
      <c r="FI52" s="358"/>
      <c r="FJ52" s="358"/>
      <c r="FK52" s="358"/>
      <c r="FL52" s="358"/>
      <c r="FM52" s="358"/>
      <c r="FN52" s="358"/>
      <c r="FO52" s="358"/>
      <c r="FP52" s="358"/>
      <c r="FQ52" s="358"/>
      <c r="FR52" s="358"/>
      <c r="FS52" s="358"/>
      <c r="FT52" s="358"/>
      <c r="FU52" s="358"/>
      <c r="FV52" s="358"/>
      <c r="FW52" s="358"/>
      <c r="FX52" s="358"/>
      <c r="FY52" s="358"/>
      <c r="FZ52" s="358"/>
      <c r="GA52" s="358"/>
      <c r="GB52" s="358"/>
      <c r="GC52" s="358"/>
      <c r="GD52" s="358"/>
      <c r="GE52" s="358"/>
      <c r="GF52" s="358"/>
      <c r="GG52" s="358"/>
      <c r="GH52" s="358"/>
      <c r="GI52" s="358"/>
      <c r="GJ52" s="358"/>
      <c r="GK52" s="358"/>
      <c r="GL52" s="358"/>
      <c r="GM52" s="358"/>
      <c r="GN52" s="358"/>
      <c r="GO52" s="358"/>
      <c r="GP52" s="358"/>
      <c r="GQ52" s="358"/>
      <c r="GR52" s="358"/>
      <c r="GS52" s="358"/>
      <c r="GT52" s="358"/>
      <c r="GU52" s="358"/>
      <c r="GV52" s="358"/>
      <c r="GW52" s="358"/>
      <c r="GX52" s="358"/>
      <c r="GY52" s="358"/>
      <c r="GZ52" s="358"/>
      <c r="HA52" s="358"/>
      <c r="HB52" s="358"/>
      <c r="HC52" s="358"/>
      <c r="HD52" s="358"/>
      <c r="HE52" s="358"/>
      <c r="HF52" s="358"/>
      <c r="HG52" s="358"/>
      <c r="HH52" s="358"/>
      <c r="HI52" s="358"/>
      <c r="HJ52" s="358"/>
      <c r="HK52" s="358"/>
      <c r="HL52" s="358"/>
      <c r="HM52" s="358"/>
      <c r="HN52" s="358"/>
      <c r="HO52" s="358"/>
      <c r="HP52" s="358"/>
      <c r="HQ52" s="358"/>
      <c r="HR52" s="358"/>
      <c r="HS52" s="358"/>
      <c r="HT52" s="358"/>
      <c r="HU52" s="358"/>
      <c r="HV52" s="358"/>
      <c r="HW52" s="358"/>
      <c r="HX52" s="358"/>
    </row>
    <row r="53" spans="1:232" ht="20.100000000000001" customHeight="1">
      <c r="A53" s="1595" t="s">
        <v>120</v>
      </c>
      <c r="B53" s="1595"/>
      <c r="C53" s="1595"/>
      <c r="D53" s="1595"/>
      <c r="E53" s="1595"/>
      <c r="F53" s="1595"/>
      <c r="G53" s="1595"/>
      <c r="H53" s="1595"/>
      <c r="I53" s="1595"/>
      <c r="J53" s="1595"/>
      <c r="N53" s="5"/>
      <c r="O53" s="405"/>
      <c r="P53" s="405"/>
      <c r="Q53" s="405"/>
      <c r="R53" s="405"/>
      <c r="S53" s="405"/>
    </row>
    <row r="54" spans="1:232" ht="20.100000000000001" customHeight="1">
      <c r="A54" s="1596" t="s">
        <v>121</v>
      </c>
      <c r="B54" s="1596"/>
      <c r="C54" s="1596"/>
      <c r="D54" s="1596"/>
      <c r="E54" s="1596"/>
      <c r="F54" s="1596"/>
      <c r="G54" s="1596"/>
      <c r="H54" s="1596"/>
      <c r="I54" s="1596"/>
      <c r="J54" s="1596"/>
    </row>
    <row r="55" spans="1:232" ht="20.100000000000001" customHeight="1">
      <c r="A55" s="1600" t="s">
        <v>122</v>
      </c>
      <c r="B55" s="1600"/>
      <c r="C55" s="1600"/>
      <c r="D55" s="1600"/>
      <c r="E55" s="1600"/>
      <c r="F55" s="1600"/>
      <c r="G55" s="1600"/>
      <c r="H55" s="1600"/>
      <c r="I55" s="1600"/>
      <c r="J55" s="1600"/>
    </row>
    <row r="56" spans="1:232" ht="20.100000000000001" customHeight="1">
      <c r="A56" s="1595"/>
      <c r="B56" s="1595"/>
      <c r="C56" s="1595"/>
      <c r="D56" s="1595"/>
      <c r="E56" s="1595"/>
      <c r="F56" s="1595"/>
      <c r="G56" s="1595"/>
      <c r="H56" s="1595"/>
      <c r="I56" s="1595"/>
      <c r="J56" s="1595"/>
    </row>
    <row r="57" spans="1:232" ht="20.100000000000001" customHeight="1">
      <c r="A57" s="507"/>
      <c r="B57" s="507"/>
      <c r="C57" s="507"/>
      <c r="D57" s="507"/>
      <c r="E57" s="507"/>
      <c r="F57" s="507"/>
      <c r="G57" s="507"/>
      <c r="H57" s="507"/>
      <c r="I57" s="507"/>
      <c r="J57" s="507"/>
    </row>
    <row r="58" spans="1:232" ht="20.100000000000001" customHeight="1">
      <c r="A58" s="1599" t="s">
        <v>442</v>
      </c>
      <c r="B58" s="1599"/>
      <c r="C58" s="1599"/>
      <c r="D58" s="1599"/>
      <c r="E58" s="1599"/>
      <c r="F58" s="1666" t="s">
        <v>123</v>
      </c>
      <c r="G58" s="1666"/>
      <c r="H58" s="1666"/>
      <c r="I58" s="1666"/>
      <c r="J58" s="1666"/>
    </row>
    <row r="59" spans="1:232" ht="20.100000000000001" customHeight="1">
      <c r="A59" s="563"/>
      <c r="B59" s="508"/>
      <c r="C59" s="508"/>
      <c r="D59" s="508"/>
      <c r="E59" s="563"/>
      <c r="F59" s="1599" t="s">
        <v>124</v>
      </c>
      <c r="G59" s="1599"/>
      <c r="H59" s="1664" t="s">
        <v>125</v>
      </c>
      <c r="I59" s="1664"/>
      <c r="J59" s="1664"/>
    </row>
    <row r="60" spans="1:232" ht="20.100000000000001" customHeight="1">
      <c r="A60" s="508"/>
      <c r="B60" s="508"/>
      <c r="C60" s="508"/>
      <c r="D60" s="508"/>
      <c r="E60" s="508"/>
      <c r="F60" s="508"/>
      <c r="G60" s="508"/>
      <c r="H60" s="508"/>
      <c r="I60" s="508"/>
      <c r="J60" s="508"/>
    </row>
    <row r="61" spans="1:232" ht="20.100000000000001" customHeight="1">
      <c r="A61" s="508"/>
      <c r="B61" s="508"/>
      <c r="C61" s="508"/>
      <c r="D61" s="508"/>
      <c r="E61" s="508"/>
      <c r="F61" s="508"/>
      <c r="G61" s="508"/>
      <c r="H61" s="508"/>
      <c r="I61" s="508"/>
      <c r="J61" s="508"/>
    </row>
    <row r="62" spans="1:232" ht="20.100000000000001" customHeight="1">
      <c r="A62" s="508"/>
      <c r="B62" s="508"/>
      <c r="C62" s="508"/>
      <c r="D62" s="508"/>
      <c r="E62" s="508"/>
      <c r="F62" s="508"/>
      <c r="G62" s="508"/>
      <c r="H62" s="508"/>
      <c r="I62" s="508"/>
      <c r="J62" s="508"/>
    </row>
    <row r="63" spans="1:232" ht="20.100000000000001" customHeight="1">
      <c r="A63" s="1599" t="str">
        <f>$P$16</f>
        <v>Nguyễn Mạnh Hùng</v>
      </c>
      <c r="B63" s="1599"/>
      <c r="C63" s="1599"/>
      <c r="D63" s="1599"/>
      <c r="E63" s="1599"/>
      <c r="F63" s="1665" t="str">
        <f>$P$19&amp;"               "&amp;P$20</f>
        <v>.........................               Nguyễn Văn Long</v>
      </c>
      <c r="G63" s="1665"/>
      <c r="H63" s="1665"/>
      <c r="I63" s="1665"/>
      <c r="J63" s="1665"/>
    </row>
    <row r="64" spans="1:232" ht="20.100000000000001" customHeight="1">
      <c r="A64" s="72"/>
      <c r="B64" s="564"/>
      <c r="C64" s="564"/>
      <c r="D64" s="564"/>
      <c r="E64" s="564"/>
      <c r="F64" s="565"/>
      <c r="G64" s="565"/>
      <c r="H64" s="565"/>
      <c r="I64" s="565"/>
      <c r="J64" s="565"/>
    </row>
    <row r="65" spans="1:10" ht="20.100000000000001" customHeight="1">
      <c r="A65" s="1657" t="str">
        <f>$P$13</f>
        <v>CÔNG TY TNHH MTV HANTECH</v>
      </c>
      <c r="B65" s="1657"/>
      <c r="C65" s="1657"/>
      <c r="D65" s="1657"/>
      <c r="E65" s="1657"/>
      <c r="F65" s="1658" t="s">
        <v>126</v>
      </c>
      <c r="G65" s="1658"/>
      <c r="H65" s="1658"/>
      <c r="I65" s="1658"/>
      <c r="J65" s="1658"/>
    </row>
    <row r="66" spans="1:10" ht="20.100000000000001" customHeight="1">
      <c r="A66" s="1613" t="s">
        <v>127</v>
      </c>
      <c r="B66" s="1613"/>
      <c r="C66" s="1613"/>
      <c r="D66" s="1613"/>
      <c r="E66" s="1613"/>
      <c r="F66" s="1659" t="s">
        <v>128</v>
      </c>
      <c r="G66" s="1659"/>
      <c r="H66" s="1659"/>
      <c r="I66" s="1659"/>
      <c r="J66" s="1659"/>
    </row>
    <row r="67" spans="1:10" ht="20.100000000000001" customHeight="1">
      <c r="F67" s="1652" t="s">
        <v>404</v>
      </c>
      <c r="G67" s="1653"/>
      <c r="H67" s="1653"/>
      <c r="I67" s="1653"/>
      <c r="J67" s="1653"/>
    </row>
    <row r="68" spans="1:10" ht="20.100000000000001" customHeight="1">
      <c r="F68" s="1654">
        <f>N14</f>
        <v>42466</v>
      </c>
      <c r="G68" s="1654"/>
      <c r="H68" s="1654"/>
      <c r="I68" s="1654"/>
      <c r="J68" s="1654"/>
    </row>
    <row r="69" spans="1:10" ht="16.5">
      <c r="A69" s="509"/>
      <c r="B69" s="509"/>
      <c r="C69" s="509"/>
      <c r="D69" s="509"/>
      <c r="E69" s="509"/>
      <c r="F69" s="510"/>
      <c r="G69" s="510"/>
      <c r="H69" s="510"/>
      <c r="I69" s="510"/>
      <c r="J69" s="510"/>
    </row>
    <row r="70" spans="1:10" ht="20.100000000000001" customHeight="1">
      <c r="A70" s="1655" t="s">
        <v>438</v>
      </c>
      <c r="B70" s="1656"/>
      <c r="C70" s="1656"/>
      <c r="D70" s="1656"/>
      <c r="E70" s="1656"/>
      <c r="F70" s="1656"/>
      <c r="G70" s="1656"/>
      <c r="H70" s="1656"/>
      <c r="I70" s="1656"/>
      <c r="J70" s="1656"/>
    </row>
    <row r="71" spans="1:10" ht="20.100000000000001" customHeight="1">
      <c r="A71" s="530"/>
      <c r="B71" s="532"/>
      <c r="C71" s="532"/>
      <c r="D71" s="1613" t="str">
        <f>"Số: PM-ĐV-"&amp;N4</f>
        <v>Số: PM-ĐV-B1/800</v>
      </c>
      <c r="E71" s="1613"/>
      <c r="F71" s="1613"/>
      <c r="G71" s="1613"/>
      <c r="H71" s="1613"/>
      <c r="I71" s="532"/>
      <c r="J71" s="532"/>
    </row>
    <row r="72" spans="1:10" ht="20.100000000000001" customHeight="1">
      <c r="A72" s="1629" t="s">
        <v>129</v>
      </c>
      <c r="B72" s="1630"/>
      <c r="C72" s="1595" t="str">
        <f>$P$1</f>
        <v>KHU HỖN HỢP CHUNG CƯ, VĂN PHÒNG, TRUNG TÂM THƯƠNG MẠI VÀ NHÀ Ở KẾT HỢP KHU MUA SẮM</v>
      </c>
      <c r="D72" s="1595"/>
      <c r="E72" s="1595"/>
      <c r="F72" s="1595"/>
      <c r="G72" s="1595"/>
      <c r="H72" s="1595"/>
      <c r="I72" s="1595"/>
      <c r="J72" s="1595"/>
    </row>
    <row r="73" spans="1:10" ht="20.100000000000001" customHeight="1">
      <c r="A73" s="1629" t="s">
        <v>854</v>
      </c>
      <c r="B73" s="1630"/>
      <c r="C73" s="1595" t="str">
        <f>$P$2</f>
        <v>CỌC KHOAN NHỒI</v>
      </c>
      <c r="D73" s="1595"/>
      <c r="E73" s="1595"/>
      <c r="F73" s="1595"/>
      <c r="G73" s="1595"/>
      <c r="H73" s="1595"/>
      <c r="I73" s="1595"/>
      <c r="J73" s="1595"/>
    </row>
    <row r="74" spans="1:10" ht="16.5">
      <c r="A74" s="476" t="s">
        <v>333</v>
      </c>
      <c r="B74" s="480"/>
      <c r="C74" s="398" t="str">
        <f>$P$3</f>
        <v>P. BẠCH ĐẰNG, TP. HẠ LONG, TỈNH QUẢNG NINH</v>
      </c>
      <c r="D74" s="480"/>
      <c r="E74" s="477"/>
      <c r="F74" s="477"/>
      <c r="G74" s="477"/>
      <c r="H74" s="477"/>
      <c r="I74" s="477"/>
      <c r="J74" s="477"/>
    </row>
    <row r="75" spans="1:10" ht="16.5">
      <c r="A75" s="511"/>
      <c r="B75" s="512"/>
      <c r="C75" s="481"/>
      <c r="D75" s="481"/>
      <c r="E75" s="481"/>
      <c r="F75" s="481"/>
      <c r="G75" s="481"/>
      <c r="H75" s="481"/>
      <c r="I75" s="481"/>
      <c r="J75" s="481"/>
    </row>
    <row r="76" spans="1:10" ht="16.5">
      <c r="A76" s="1604" t="str">
        <f>"Kính gửi:   "&amp;$P$7</f>
        <v>Kính gửi:   CÔNG TY CỔ PHẦN TƯ VẤN KIỂM ĐỊNH VÀ THƯƠNG MẠI XÂY DỰNG GOLDSUN</v>
      </c>
      <c r="B76" s="1660"/>
      <c r="C76" s="1660"/>
      <c r="D76" s="1660"/>
      <c r="E76" s="1660"/>
      <c r="F76" s="1660"/>
      <c r="G76" s="1660"/>
      <c r="H76" s="1660"/>
      <c r="I76" s="1660"/>
      <c r="J76" s="1660"/>
    </row>
    <row r="77" spans="1:10" ht="16.5">
      <c r="A77" s="509"/>
      <c r="B77" s="509"/>
      <c r="C77" s="509"/>
      <c r="D77" s="509"/>
      <c r="E77" s="509"/>
      <c r="F77" s="510"/>
      <c r="G77" s="510"/>
      <c r="H77" s="510"/>
      <c r="I77" s="510"/>
      <c r="J77" s="510"/>
    </row>
    <row r="78" spans="1:10" ht="40.5" customHeight="1">
      <c r="A78" s="1626" t="s">
        <v>405</v>
      </c>
      <c r="B78" s="1627"/>
      <c r="C78" s="1627"/>
      <c r="D78" s="1627"/>
      <c r="E78" s="1627"/>
      <c r="F78" s="1627"/>
      <c r="G78" s="1627"/>
      <c r="H78" s="1627"/>
      <c r="I78" s="1627"/>
      <c r="J78" s="1627"/>
    </row>
    <row r="79" spans="1:10" ht="20.100000000000001" customHeight="1">
      <c r="A79" s="1628" t="s">
        <v>406</v>
      </c>
      <c r="B79" s="1628"/>
      <c r="C79" s="518" t="str">
        <f>N2</f>
        <v>Định vị cọc: B1</v>
      </c>
      <c r="D79" s="542"/>
      <c r="E79" s="542"/>
      <c r="F79" s="542"/>
      <c r="G79" s="542"/>
      <c r="H79" s="542"/>
      <c r="I79" s="542"/>
      <c r="J79" s="542"/>
    </row>
    <row r="80" spans="1:10" ht="20.100000000000001" customHeight="1">
      <c r="A80" s="543" t="s">
        <v>130</v>
      </c>
      <c r="B80" s="487"/>
      <c r="C80" s="487" t="str">
        <f>$N3</f>
        <v>Tại công trình</v>
      </c>
      <c r="D80" s="487"/>
      <c r="E80" s="487"/>
      <c r="F80" s="513"/>
      <c r="G80" s="513"/>
      <c r="H80" s="513"/>
      <c r="I80" s="513"/>
      <c r="J80" s="513"/>
    </row>
    <row r="81" spans="1:12" ht="20.100000000000001" customHeight="1">
      <c r="A81" s="543" t="s">
        <v>131</v>
      </c>
      <c r="B81" s="487"/>
      <c r="C81" s="514">
        <f>N16</f>
        <v>0.39930555555555552</v>
      </c>
      <c r="D81" s="513" t="s">
        <v>357</v>
      </c>
      <c r="E81" s="515">
        <f>N17</f>
        <v>42466</v>
      </c>
      <c r="F81" s="513"/>
      <c r="G81" s="513"/>
      <c r="H81" s="513"/>
      <c r="I81" s="513"/>
      <c r="J81" s="513"/>
    </row>
    <row r="82" spans="1:12" ht="20.100000000000001" customHeight="1">
      <c r="A82" s="543" t="s">
        <v>132</v>
      </c>
      <c r="B82" s="487"/>
      <c r="C82" s="487" t="str">
        <f>"Công trình: "&amp;V1</f>
        <v>Công trình: Khu hỗn hợp chung cư, văn phòng, trung tâm thương mại và nhà ở kết hợp khu mua sắm</v>
      </c>
      <c r="D82" s="487"/>
      <c r="E82" s="487"/>
      <c r="F82" s="513"/>
      <c r="G82" s="516"/>
      <c r="H82" s="513"/>
      <c r="I82" s="513"/>
      <c r="J82" s="513"/>
    </row>
    <row r="83" spans="1:12" ht="20.100000000000001" customHeight="1">
      <c r="A83" s="517"/>
      <c r="B83" s="517"/>
      <c r="C83" s="517" t="str">
        <f>$V$3</f>
        <v>P. Bạch Đằng, TP Hạ Long, Tỉnh Quảng Ninh</v>
      </c>
      <c r="D83" s="517"/>
      <c r="E83" s="517"/>
      <c r="F83" s="519"/>
      <c r="G83" s="519"/>
      <c r="H83" s="519"/>
      <c r="I83" s="519"/>
      <c r="J83" s="519"/>
    </row>
    <row r="84" spans="1:12" ht="34.5" customHeight="1">
      <c r="A84" s="1631" t="s">
        <v>197</v>
      </c>
      <c r="B84" s="1632"/>
      <c r="C84" s="1633"/>
      <c r="D84" s="1606" t="s">
        <v>407</v>
      </c>
      <c r="E84" s="1606"/>
      <c r="F84" s="1640" t="s">
        <v>408</v>
      </c>
      <c r="G84" s="1640"/>
      <c r="H84" s="1640"/>
      <c r="I84" s="1640" t="s">
        <v>409</v>
      </c>
      <c r="J84" s="1640"/>
    </row>
    <row r="85" spans="1:12" ht="20.100000000000001" customHeight="1">
      <c r="A85" s="1634"/>
      <c r="B85" s="1635"/>
      <c r="C85" s="1636"/>
      <c r="D85" s="1641">
        <f>N13</f>
        <v>0.3923611111111111</v>
      </c>
      <c r="E85" s="1643">
        <f>N14</f>
        <v>42466</v>
      </c>
      <c r="F85" s="1645"/>
      <c r="G85" s="1646"/>
      <c r="H85" s="1647"/>
      <c r="I85" s="1645"/>
      <c r="J85" s="1647"/>
    </row>
    <row r="86" spans="1:12" ht="16.5">
      <c r="A86" s="1637"/>
      <c r="B86" s="1638"/>
      <c r="C86" s="1639"/>
      <c r="D86" s="1642"/>
      <c r="E86" s="1644"/>
      <c r="F86" s="1648"/>
      <c r="G86" s="1649"/>
      <c r="H86" s="1650"/>
      <c r="I86" s="1651" t="s">
        <v>449</v>
      </c>
      <c r="J86" s="1651"/>
    </row>
    <row r="87" spans="1:12" ht="20.100000000000001" customHeight="1">
      <c r="A87" s="1621" t="s">
        <v>477</v>
      </c>
      <c r="B87" s="1621"/>
      <c r="C87" s="1621"/>
      <c r="D87" s="1621"/>
      <c r="E87" s="1621"/>
      <c r="F87" s="1621"/>
      <c r="G87" s="1621"/>
      <c r="H87" s="544"/>
      <c r="I87" s="544"/>
      <c r="J87" s="544"/>
    </row>
    <row r="88" spans="1:12" ht="20.100000000000001" customHeight="1">
      <c r="A88" s="1619" t="s">
        <v>410</v>
      </c>
      <c r="B88" s="1619"/>
      <c r="C88" s="1619"/>
      <c r="D88" s="1619"/>
      <c r="E88" s="1619"/>
      <c r="F88" s="1619"/>
      <c r="G88" s="1619"/>
      <c r="H88" s="513"/>
      <c r="I88" s="513"/>
      <c r="J88" s="513"/>
    </row>
    <row r="89" spans="1:12" ht="20.100000000000001" customHeight="1">
      <c r="A89" s="1619" t="s">
        <v>411</v>
      </c>
      <c r="B89" s="1619"/>
      <c r="C89" s="1619"/>
      <c r="D89" s="1619"/>
      <c r="E89" s="1619"/>
      <c r="F89" s="1619"/>
      <c r="G89" s="1619"/>
      <c r="H89" s="1625" t="s">
        <v>133</v>
      </c>
      <c r="I89" s="1625"/>
      <c r="J89" s="1625"/>
    </row>
    <row r="90" spans="1:12" ht="16.5" customHeight="1">
      <c r="A90" s="1619" t="s">
        <v>412</v>
      </c>
      <c r="B90" s="1619"/>
      <c r="C90" s="1619"/>
      <c r="D90" s="1619"/>
      <c r="E90" s="1619"/>
      <c r="F90" s="1619"/>
      <c r="G90" s="1619"/>
      <c r="H90" s="513"/>
      <c r="I90" s="513"/>
      <c r="J90" s="513"/>
    </row>
    <row r="91" spans="1:12" ht="16.5" customHeight="1">
      <c r="A91" s="1620" t="s">
        <v>413</v>
      </c>
      <c r="B91" s="1620"/>
      <c r="C91" s="1620"/>
      <c r="D91" s="1620"/>
      <c r="E91" s="1620"/>
      <c r="F91" s="1620"/>
      <c r="G91" s="1620"/>
      <c r="H91" s="513"/>
      <c r="I91" s="513"/>
      <c r="J91" s="513"/>
    </row>
    <row r="92" spans="1:12" ht="16.5" customHeight="1">
      <c r="A92" s="1620" t="s">
        <v>414</v>
      </c>
      <c r="B92" s="1620"/>
      <c r="C92" s="1620"/>
      <c r="D92" s="1620"/>
      <c r="E92" s="1620"/>
      <c r="F92" s="1620"/>
      <c r="G92" s="1620"/>
      <c r="H92" s="513"/>
      <c r="I92" s="513"/>
      <c r="J92" s="513"/>
    </row>
    <row r="93" spans="1:12" ht="16.5" customHeight="1">
      <c r="A93" s="1620" t="s">
        <v>415</v>
      </c>
      <c r="B93" s="1620"/>
      <c r="C93" s="1620"/>
      <c r="D93" s="1620"/>
      <c r="E93" s="1620"/>
      <c r="F93" s="1620"/>
      <c r="G93" s="1620"/>
      <c r="H93" s="513"/>
      <c r="I93" s="513"/>
      <c r="J93" s="513"/>
      <c r="L93" s="541"/>
    </row>
    <row r="94" spans="1:12" ht="16.5" customHeight="1">
      <c r="A94" s="1620" t="s">
        <v>416</v>
      </c>
      <c r="B94" s="1620"/>
      <c r="C94" s="1620"/>
      <c r="D94" s="1620"/>
      <c r="E94" s="1620"/>
      <c r="F94" s="1620"/>
      <c r="G94" s="1620"/>
      <c r="H94" s="513"/>
      <c r="I94" s="513"/>
      <c r="J94" s="513"/>
      <c r="L94" s="541"/>
    </row>
    <row r="95" spans="1:12" ht="16.5" customHeight="1">
      <c r="A95" s="1620" t="s">
        <v>417</v>
      </c>
      <c r="B95" s="1620"/>
      <c r="C95" s="1620"/>
      <c r="D95" s="1620"/>
      <c r="E95" s="1620"/>
      <c r="F95" s="1620"/>
      <c r="G95" s="1620"/>
      <c r="H95" s="513"/>
      <c r="I95" s="513"/>
      <c r="J95" s="513"/>
    </row>
    <row r="96" spans="1:12" ht="16.5" customHeight="1">
      <c r="A96" s="1624" t="s">
        <v>418</v>
      </c>
      <c r="B96" s="1624"/>
      <c r="C96" s="1624"/>
      <c r="D96" s="1624"/>
      <c r="E96" s="1624"/>
      <c r="F96" s="1624"/>
      <c r="G96" s="1624"/>
      <c r="H96" s="1625" t="str">
        <f>$P$16</f>
        <v>Nguyễn Mạnh Hùng</v>
      </c>
      <c r="I96" s="1625"/>
      <c r="J96" s="1625"/>
    </row>
    <row r="97" spans="1:30" ht="16.5">
      <c r="A97" s="1623" t="s">
        <v>419</v>
      </c>
      <c r="B97" s="1623"/>
      <c r="C97" s="1623"/>
      <c r="D97" s="1623"/>
      <c r="E97" s="1623"/>
      <c r="F97" s="1623"/>
      <c r="G97" s="1623"/>
      <c r="H97" s="531"/>
      <c r="I97" s="531"/>
      <c r="J97" s="531"/>
    </row>
    <row r="98" spans="1:30" ht="16.5">
      <c r="A98" s="1611" t="s">
        <v>476</v>
      </c>
      <c r="B98" s="1612"/>
      <c r="C98" s="1612"/>
      <c r="D98" s="1612"/>
      <c r="E98" s="1612"/>
      <c r="F98" s="1612"/>
      <c r="G98" s="1612"/>
      <c r="H98" s="531"/>
      <c r="I98" s="531"/>
      <c r="J98" s="531"/>
    </row>
    <row r="99" spans="1:30" ht="20.100000000000001" customHeight="1">
      <c r="A99" s="509"/>
      <c r="B99" s="509"/>
      <c r="C99" s="509"/>
      <c r="D99" s="509"/>
      <c r="E99" s="509"/>
      <c r="F99" s="510"/>
      <c r="G99" s="510"/>
      <c r="H99" s="510"/>
      <c r="I99" s="510"/>
      <c r="J99" s="510"/>
    </row>
    <row r="100" spans="1:30" ht="20.100000000000001" customHeight="1">
      <c r="A100" s="1613" t="s">
        <v>77</v>
      </c>
      <c r="B100" s="1613"/>
      <c r="C100" s="1613"/>
      <c r="D100" s="1613"/>
      <c r="E100" s="1613"/>
      <c r="F100" s="1613"/>
      <c r="G100" s="1613"/>
      <c r="H100" s="1613"/>
      <c r="I100" s="1613"/>
      <c r="J100" s="1613"/>
    </row>
    <row r="101" spans="1:30" ht="20.100000000000001" customHeight="1">
      <c r="A101" s="1614" t="s">
        <v>80</v>
      </c>
      <c r="B101" s="1614"/>
      <c r="C101" s="1614"/>
      <c r="D101" s="1614"/>
      <c r="E101" s="1614"/>
      <c r="F101" s="1614"/>
      <c r="G101" s="1614"/>
      <c r="H101" s="1614"/>
      <c r="I101" s="1614"/>
      <c r="J101" s="1614"/>
      <c r="L101" s="464"/>
      <c r="M101" s="465"/>
    </row>
    <row r="102" spans="1:30" ht="20.100000000000001" customHeight="1">
      <c r="A102" s="1616" t="s">
        <v>82</v>
      </c>
      <c r="B102" s="1616"/>
      <c r="C102" s="1616"/>
      <c r="D102" s="1616"/>
      <c r="E102" s="1616"/>
      <c r="F102" s="1616"/>
      <c r="G102" s="1616"/>
      <c r="H102" s="1616"/>
      <c r="I102" s="1616"/>
      <c r="J102" s="1616"/>
      <c r="L102" s="467"/>
      <c r="O102" s="466"/>
      <c r="P102" s="466"/>
      <c r="Q102" s="467"/>
    </row>
    <row r="103" spans="1:30" ht="20.100000000000001" customHeight="1">
      <c r="A103" s="1617">
        <f>$N17</f>
        <v>42466</v>
      </c>
      <c r="B103" s="1617"/>
      <c r="C103" s="1617"/>
      <c r="D103" s="1617"/>
      <c r="E103" s="1617"/>
      <c r="F103" s="1617"/>
      <c r="G103" s="1617"/>
      <c r="H103" s="1617"/>
      <c r="I103" s="1617"/>
      <c r="J103" s="1617"/>
      <c r="L103" s="469"/>
      <c r="N103" s="467"/>
      <c r="O103" s="466"/>
      <c r="P103" s="466"/>
      <c r="Q103" s="467"/>
    </row>
    <row r="104" spans="1:30" ht="20.100000000000001" customHeight="1">
      <c r="A104" s="1614" t="str">
        <f>"BIÊN BẢN SỐ: ĐV-"&amp;N4</f>
        <v>BIÊN BẢN SỐ: ĐV-B1/800</v>
      </c>
      <c r="B104" s="1614"/>
      <c r="C104" s="1614"/>
      <c r="D104" s="1614"/>
      <c r="E104" s="1614"/>
      <c r="F104" s="1614"/>
      <c r="G104" s="1614"/>
      <c r="H104" s="1614"/>
      <c r="I104" s="1614"/>
      <c r="J104" s="1614"/>
      <c r="L104" s="469"/>
      <c r="N104" s="467"/>
      <c r="P104" s="467"/>
    </row>
    <row r="105" spans="1:30" ht="20.100000000000001" customHeight="1">
      <c r="A105" s="1618" t="s">
        <v>134</v>
      </c>
      <c r="B105" s="1618"/>
      <c r="C105" s="1618"/>
      <c r="D105" s="1618"/>
      <c r="E105" s="1618"/>
      <c r="F105" s="1618"/>
      <c r="G105" s="1618"/>
      <c r="H105" s="1618"/>
      <c r="I105" s="1618"/>
      <c r="J105" s="1618"/>
      <c r="L105" s="469"/>
      <c r="N105" s="467"/>
      <c r="O105" s="466"/>
      <c r="P105" s="466"/>
      <c r="Q105" s="467"/>
    </row>
    <row r="106" spans="1:30" ht="20.100000000000001" customHeight="1">
      <c r="A106" s="471"/>
      <c r="B106" s="471"/>
      <c r="C106" s="471"/>
      <c r="D106" s="471"/>
      <c r="E106" s="471"/>
      <c r="F106" s="471"/>
      <c r="G106" s="471"/>
      <c r="H106" s="471"/>
      <c r="I106" s="471"/>
      <c r="J106" s="471"/>
      <c r="M106" s="469"/>
      <c r="O106" s="466"/>
      <c r="P106" s="466"/>
      <c r="Q106" s="467"/>
    </row>
    <row r="107" spans="1:30" s="472" customFormat="1" ht="20.100000000000001" customHeight="1">
      <c r="A107" s="476" t="s">
        <v>332</v>
      </c>
      <c r="B107" s="476"/>
      <c r="C107" s="1615" t="str">
        <f>$P$1</f>
        <v>KHU HỖN HỢP CHUNG CƯ, VĂN PHÒNG, TRUNG TÂM THƯƠNG MẠI VÀ NHÀ Ở KẾT HỢP KHU MUA SẮM</v>
      </c>
      <c r="D107" s="1615"/>
      <c r="E107" s="1615"/>
      <c r="F107" s="1615"/>
      <c r="G107" s="1615"/>
      <c r="H107" s="1615"/>
      <c r="I107" s="1615"/>
      <c r="J107" s="1615"/>
      <c r="L107" s="463"/>
      <c r="M107" s="469"/>
      <c r="N107" s="467"/>
      <c r="O107" s="466"/>
      <c r="P107" s="466"/>
      <c r="Q107" s="467"/>
      <c r="R107" s="464"/>
      <c r="S107" s="464"/>
      <c r="T107" s="464"/>
      <c r="U107" s="474"/>
      <c r="V107" s="474"/>
      <c r="W107" s="474"/>
      <c r="X107" s="474"/>
      <c r="Y107" s="475"/>
      <c r="Z107" s="475"/>
      <c r="AA107" s="475"/>
      <c r="AB107" s="475"/>
      <c r="AC107" s="475"/>
      <c r="AD107" s="475"/>
    </row>
    <row r="108" spans="1:30" s="472" customFormat="1" ht="20.100000000000001" customHeight="1">
      <c r="A108" s="476"/>
      <c r="B108" s="476"/>
      <c r="C108" s="1615"/>
      <c r="D108" s="1615"/>
      <c r="E108" s="1615"/>
      <c r="F108" s="1615"/>
      <c r="G108" s="1615"/>
      <c r="H108" s="1615"/>
      <c r="I108" s="1615"/>
      <c r="J108" s="1615"/>
      <c r="L108" s="463"/>
      <c r="M108" s="469"/>
      <c r="N108" s="467"/>
      <c r="O108" s="466"/>
      <c r="P108" s="466"/>
      <c r="Q108" s="467"/>
      <c r="R108" s="464"/>
      <c r="S108" s="464"/>
      <c r="T108" s="464"/>
      <c r="U108" s="474"/>
      <c r="V108" s="474"/>
      <c r="W108" s="474"/>
      <c r="X108" s="474"/>
      <c r="Y108" s="475"/>
      <c r="Z108" s="475"/>
      <c r="AA108" s="475"/>
      <c r="AB108" s="475"/>
      <c r="AC108" s="475"/>
      <c r="AD108" s="475"/>
    </row>
    <row r="109" spans="1:30" ht="20.100000000000001" customHeight="1">
      <c r="A109" s="476" t="s">
        <v>854</v>
      </c>
      <c r="B109" s="476"/>
      <c r="C109" s="477" t="str">
        <f>$P$2</f>
        <v>CỌC KHOAN NHỒI</v>
      </c>
      <c r="D109" s="476"/>
      <c r="E109" s="476"/>
      <c r="F109" s="476"/>
      <c r="G109" s="476"/>
      <c r="H109" s="476"/>
      <c r="I109" s="476"/>
      <c r="J109" s="476"/>
      <c r="L109" s="469"/>
      <c r="M109" s="467"/>
      <c r="N109" s="467"/>
      <c r="O109" s="466"/>
      <c r="P109" s="466"/>
      <c r="Q109" s="467"/>
      <c r="T109" s="474"/>
    </row>
    <row r="110" spans="1:30" ht="20.100000000000001" customHeight="1">
      <c r="A110" s="476" t="s">
        <v>333</v>
      </c>
      <c r="B110" s="480"/>
      <c r="C110" s="398" t="str">
        <f>$P$3</f>
        <v>P. BẠCH ĐẰNG, TP. HẠ LONG, TỈNH QUẢNG NINH</v>
      </c>
      <c r="D110" s="480"/>
      <c r="E110" s="480"/>
      <c r="F110" s="480"/>
      <c r="G110" s="480"/>
      <c r="H110" s="480"/>
      <c r="I110" s="480"/>
      <c r="J110" s="480"/>
      <c r="L110" s="469"/>
      <c r="M110" s="469"/>
      <c r="O110" s="478"/>
      <c r="P110" s="479"/>
      <c r="Q110" s="469"/>
      <c r="R110" s="474"/>
      <c r="S110" s="474"/>
    </row>
    <row r="111" spans="1:30" s="472" customFormat="1" ht="20.100000000000001" customHeight="1">
      <c r="A111" s="1596" t="s">
        <v>89</v>
      </c>
      <c r="B111" s="1596"/>
      <c r="C111" s="1596"/>
      <c r="D111" s="1596"/>
      <c r="E111" s="1596"/>
      <c r="F111" s="1596"/>
      <c r="G111" s="1596"/>
      <c r="H111" s="1596"/>
      <c r="I111" s="1596"/>
      <c r="J111" s="1596"/>
      <c r="L111" s="469"/>
      <c r="M111" s="469"/>
      <c r="N111" s="470"/>
      <c r="O111" s="466"/>
      <c r="P111" s="479"/>
      <c r="Q111" s="469"/>
      <c r="R111" s="464"/>
      <c r="S111" s="464"/>
      <c r="T111" s="464"/>
      <c r="U111" s="474"/>
      <c r="V111" s="474"/>
      <c r="W111" s="474"/>
      <c r="X111" s="474"/>
      <c r="Y111" s="475"/>
      <c r="Z111" s="475"/>
      <c r="AA111" s="475"/>
      <c r="AB111" s="475"/>
      <c r="AC111" s="475"/>
      <c r="AD111" s="475"/>
    </row>
    <row r="112" spans="1:30" s="175" customFormat="1" ht="20.100000000000001" customHeight="1">
      <c r="A112" s="1610" t="str">
        <f>"- Tên công việc: "&amp;N2</f>
        <v>- Tên công việc: Định vị cọc: B1</v>
      </c>
      <c r="B112" s="1622"/>
      <c r="C112" s="1622"/>
      <c r="D112" s="1622"/>
      <c r="E112" s="1622"/>
      <c r="F112" s="1622"/>
      <c r="G112" s="1622"/>
      <c r="H112" s="1622"/>
      <c r="I112" s="1622"/>
      <c r="J112" s="1622"/>
      <c r="L112" s="520"/>
      <c r="M112" s="520"/>
      <c r="N112" s="473"/>
      <c r="O112" s="466"/>
      <c r="P112" s="479"/>
      <c r="Q112" s="469"/>
      <c r="R112" s="464"/>
      <c r="S112" s="464"/>
    </row>
    <row r="113" spans="1:19" ht="20.100000000000001" customHeight="1">
      <c r="A113" s="1610" t="str">
        <f>"- Vị trí: "&amp;N3</f>
        <v>- Vị trí: Tại công trình</v>
      </c>
      <c r="B113" s="1595"/>
      <c r="C113" s="1595"/>
      <c r="D113" s="1595"/>
      <c r="E113" s="1595"/>
      <c r="F113" s="1595"/>
      <c r="G113" s="1595"/>
      <c r="H113" s="1595"/>
      <c r="I113" s="1595"/>
      <c r="J113" s="1595"/>
      <c r="L113" s="469"/>
      <c r="M113" s="469"/>
      <c r="N113" s="175"/>
      <c r="O113" s="401"/>
      <c r="P113" s="401"/>
      <c r="Q113" s="520"/>
      <c r="R113" s="175"/>
      <c r="S113" s="175"/>
    </row>
    <row r="114" spans="1:19" ht="20.100000000000001" customHeight="1">
      <c r="A114" s="1596" t="s">
        <v>92</v>
      </c>
      <c r="B114" s="1596"/>
      <c r="C114" s="1596"/>
      <c r="D114" s="1596"/>
      <c r="E114" s="1596"/>
      <c r="F114" s="1596"/>
      <c r="G114" s="1596"/>
      <c r="H114" s="1596"/>
      <c r="I114" s="1596"/>
      <c r="J114" s="1596"/>
      <c r="M114" s="469"/>
      <c r="N114" s="470"/>
      <c r="O114" s="466"/>
      <c r="P114" s="466"/>
      <c r="Q114" s="467"/>
    </row>
    <row r="115" spans="1:19" s="175" customFormat="1" ht="20.100000000000001" customHeight="1">
      <c r="A115" s="482" t="str">
        <f>"1 - Đại diện: "&amp;$P$7</f>
        <v>1 - Đại diện: CÔNG TY CỔ PHẦN TƯ VẤN KIỂM ĐỊNH VÀ THƯƠNG MẠI XÂY DỰNG GOLDSUN</v>
      </c>
      <c r="B115" s="118"/>
      <c r="C115" s="118"/>
      <c r="D115" s="118"/>
      <c r="E115" s="118"/>
      <c r="F115" s="483"/>
      <c r="G115" s="483"/>
      <c r="H115" s="483"/>
      <c r="I115" s="483"/>
      <c r="J115" s="483"/>
      <c r="L115" s="520"/>
      <c r="M115" s="520"/>
      <c r="N115" s="473"/>
      <c r="O115" s="464"/>
      <c r="P115" s="467"/>
      <c r="Q115" s="464"/>
      <c r="R115" s="464"/>
      <c r="S115" s="464"/>
    </row>
    <row r="116" spans="1:19" ht="20.100000000000001" customHeight="1">
      <c r="A116" s="1595" t="str">
        <f>"Ông : "&amp;$P$8</f>
        <v>Ông : .....................................</v>
      </c>
      <c r="B116" s="1595"/>
      <c r="C116" s="1595"/>
      <c r="D116" s="1595"/>
      <c r="E116" s="1595"/>
      <c r="F116" s="1595" t="str">
        <f>"Chức vụ: "&amp;$Q$8</f>
        <v>Chức vụ: .....................................</v>
      </c>
      <c r="G116" s="1595"/>
      <c r="H116" s="1595"/>
      <c r="I116" s="1595"/>
      <c r="J116" s="1595"/>
      <c r="M116" s="469"/>
      <c r="N116" s="175"/>
      <c r="O116" s="401"/>
      <c r="P116" s="401"/>
      <c r="Q116" s="520"/>
      <c r="R116" s="175"/>
      <c r="S116" s="175"/>
    </row>
    <row r="117" spans="1:19" ht="20.100000000000001" customHeight="1">
      <c r="A117" s="481" t="str">
        <f>"Ông : "&amp;$P$10</f>
        <v>Ông : .....................................</v>
      </c>
      <c r="B117" s="481"/>
      <c r="C117" s="481"/>
      <c r="D117" s="481"/>
      <c r="E117" s="481"/>
      <c r="F117" s="481" t="str">
        <f>"Chức vụ: "&amp;$Q$10</f>
        <v>Chức vụ: .....................................</v>
      </c>
      <c r="G117" s="481"/>
      <c r="H117" s="481"/>
      <c r="I117" s="481"/>
      <c r="J117" s="481"/>
      <c r="N117" s="470"/>
      <c r="O117" s="466"/>
      <c r="P117" s="466"/>
      <c r="Q117" s="467"/>
    </row>
    <row r="118" spans="1:19" ht="20.100000000000001" customHeight="1">
      <c r="A118" s="1604" t="str">
        <f>"2 - Đại diện nhà thầu: "&amp;$P$14</f>
        <v>2 - Đại diện nhà thầu: Công ty TNHH MTV HANTECH</v>
      </c>
      <c r="B118" s="1604"/>
      <c r="C118" s="1604"/>
      <c r="D118" s="1604"/>
      <c r="E118" s="1604"/>
      <c r="F118" s="1604"/>
      <c r="G118" s="1604"/>
      <c r="H118" s="1604"/>
      <c r="I118" s="1604"/>
      <c r="J118" s="1604"/>
      <c r="M118" s="469"/>
      <c r="P118" s="479"/>
      <c r="Q118" s="469"/>
    </row>
    <row r="119" spans="1:19" ht="20.100000000000001" customHeight="1">
      <c r="A119" s="1595" t="str">
        <f>"Ông : "&amp;$P$15</f>
        <v>Ông : Ngô Văn Khánh</v>
      </c>
      <c r="B119" s="1595"/>
      <c r="C119" s="1595"/>
      <c r="D119" s="1595"/>
      <c r="E119" s="1595"/>
      <c r="F119" s="1595" t="str">
        <f>"Chức vụ: "&amp;$Q$15</f>
        <v>Chức vụ: Chỉ huy trưởng công trường</v>
      </c>
      <c r="G119" s="1595"/>
      <c r="H119" s="1595"/>
      <c r="I119" s="1595"/>
      <c r="J119" s="1595"/>
      <c r="N119" s="470"/>
      <c r="O119" s="466"/>
      <c r="P119" s="466"/>
      <c r="Q119" s="467"/>
    </row>
    <row r="120" spans="1:19" ht="20.100000000000001" customHeight="1">
      <c r="A120" s="1595" t="str">
        <f>"Ông : "&amp;$P$16</f>
        <v>Ông : Nguyễn Mạnh Hùng</v>
      </c>
      <c r="B120" s="1595"/>
      <c r="C120" s="1595"/>
      <c r="D120" s="1595"/>
      <c r="E120" s="1595"/>
      <c r="F120" s="1595" t="str">
        <f>"Chức vụ: "&amp;$Q$16</f>
        <v>Chức vụ: Chỉ huy phó công trường</v>
      </c>
      <c r="G120" s="1595"/>
      <c r="H120" s="1595"/>
      <c r="I120" s="1595"/>
      <c r="J120" s="1595"/>
      <c r="P120" s="479"/>
      <c r="Q120" s="469"/>
    </row>
    <row r="121" spans="1:19" ht="20.100000000000001" customHeight="1">
      <c r="A121" s="1596" t="s">
        <v>95</v>
      </c>
      <c r="B121" s="1596"/>
      <c r="C121" s="1596"/>
      <c r="D121" s="1596"/>
      <c r="E121" s="1596"/>
      <c r="F121" s="1596"/>
      <c r="G121" s="1596"/>
      <c r="H121" s="1596"/>
      <c r="I121" s="1596"/>
      <c r="J121" s="1596"/>
      <c r="P121" s="479"/>
      <c r="Q121" s="469"/>
    </row>
    <row r="122" spans="1:19" ht="20.100000000000001" customHeight="1">
      <c r="A122" s="477" t="s">
        <v>96</v>
      </c>
      <c r="B122" s="477"/>
      <c r="C122" s="477"/>
      <c r="D122" s="484">
        <f>$N16</f>
        <v>0.39930555555555552</v>
      </c>
      <c r="E122" s="1603">
        <f>A103</f>
        <v>42466</v>
      </c>
      <c r="F122" s="1603"/>
      <c r="G122" s="1603"/>
      <c r="H122" s="1603"/>
      <c r="I122" s="1603"/>
      <c r="J122" s="1603"/>
      <c r="P122" s="479"/>
      <c r="Q122" s="469"/>
    </row>
    <row r="123" spans="1:19" s="175" customFormat="1" ht="20.100000000000001" customHeight="1">
      <c r="A123" s="477" t="s">
        <v>98</v>
      </c>
      <c r="B123" s="477"/>
      <c r="C123" s="477"/>
      <c r="D123" s="484">
        <f>D122+0.010417</f>
        <v>0.40972255555555553</v>
      </c>
      <c r="E123" s="1603">
        <f>E122</f>
        <v>42466</v>
      </c>
      <c r="F123" s="1603"/>
      <c r="G123" s="1603"/>
      <c r="H123" s="1603"/>
      <c r="I123" s="1603"/>
      <c r="J123" s="1603"/>
      <c r="N123" s="464"/>
      <c r="O123" s="464"/>
      <c r="P123" s="464"/>
      <c r="Q123" s="464"/>
      <c r="R123" s="464"/>
      <c r="S123" s="464"/>
    </row>
    <row r="124" spans="1:19" ht="20.100000000000001" customHeight="1">
      <c r="A124" s="477" t="s">
        <v>99</v>
      </c>
      <c r="B124" s="477" t="str">
        <f>"Công trình: "&amp;$V$1</f>
        <v>Công trình: Khu hỗn hợp chung cư, văn phòng, trung tâm thương mại và nhà ở kết hợp khu mua sắm</v>
      </c>
      <c r="C124" s="477"/>
      <c r="D124" s="484"/>
      <c r="E124" s="485"/>
      <c r="F124" s="485"/>
      <c r="G124" s="485"/>
      <c r="H124" s="485"/>
      <c r="I124" s="485"/>
      <c r="J124" s="485"/>
      <c r="N124" s="175"/>
      <c r="O124" s="175"/>
      <c r="P124" s="175"/>
      <c r="Q124" s="175"/>
      <c r="R124" s="175"/>
      <c r="S124" s="175"/>
    </row>
    <row r="125" spans="1:19" ht="20.100000000000001" customHeight="1">
      <c r="A125" s="1595" t="str">
        <f>"Địa điểm: "&amp;$V$3</f>
        <v>Địa điểm: P. Bạch Đằng, TP Hạ Long, Tỉnh Quảng Ninh</v>
      </c>
      <c r="B125" s="1595"/>
      <c r="C125" s="1595"/>
      <c r="D125" s="1595"/>
      <c r="E125" s="1595"/>
      <c r="F125" s="1595"/>
      <c r="G125" s="1595"/>
      <c r="H125" s="1595"/>
      <c r="I125" s="1595"/>
      <c r="J125" s="1595"/>
    </row>
    <row r="126" spans="1:19" ht="20.100000000000001" customHeight="1">
      <c r="A126" s="1596" t="s">
        <v>441</v>
      </c>
      <c r="B126" s="1596"/>
      <c r="C126" s="1596"/>
      <c r="D126" s="1596"/>
      <c r="E126" s="1596"/>
      <c r="F126" s="1596"/>
      <c r="G126" s="1596"/>
      <c r="H126" s="1596"/>
      <c r="I126" s="1596"/>
      <c r="J126" s="1596"/>
    </row>
    <row r="127" spans="1:19" ht="20.100000000000001" customHeight="1">
      <c r="A127" s="1604" t="s">
        <v>101</v>
      </c>
      <c r="B127" s="1604"/>
      <c r="C127" s="1604"/>
      <c r="D127" s="1604"/>
      <c r="E127" s="1604"/>
      <c r="F127" s="1604"/>
      <c r="G127" s="1604"/>
      <c r="H127" s="1604"/>
      <c r="I127" s="1604"/>
      <c r="J127" s="1604"/>
    </row>
    <row r="128" spans="1:19" s="175" customFormat="1" ht="20.100000000000001" customHeight="1">
      <c r="A128" s="1595" t="s">
        <v>135</v>
      </c>
      <c r="B128" s="1595"/>
      <c r="C128" s="1595"/>
      <c r="D128" s="1595"/>
      <c r="E128" s="1595"/>
      <c r="F128" s="1595"/>
      <c r="G128" s="1595"/>
      <c r="H128" s="1595"/>
      <c r="I128" s="1595"/>
      <c r="J128" s="1595"/>
      <c r="N128" s="464"/>
      <c r="O128" s="464"/>
      <c r="P128" s="464"/>
      <c r="Q128" s="464"/>
      <c r="R128" s="464"/>
      <c r="S128" s="464"/>
    </row>
    <row r="129" spans="1:232" ht="20.100000000000001" customHeight="1">
      <c r="A129" s="1609" t="s">
        <v>103</v>
      </c>
      <c r="B129" s="1609"/>
      <c r="C129" s="1609"/>
      <c r="D129" s="1609"/>
      <c r="E129" s="1609"/>
      <c r="F129" s="1609"/>
      <c r="G129" s="1609"/>
      <c r="H129" s="1609"/>
      <c r="I129" s="1609"/>
      <c r="J129" s="1609"/>
      <c r="N129" s="175"/>
      <c r="O129" s="175"/>
      <c r="P129" s="175"/>
      <c r="Q129" s="175"/>
      <c r="R129" s="175"/>
      <c r="S129" s="175"/>
    </row>
    <row r="130" spans="1:232" s="488" customFormat="1" ht="20.100000000000001" customHeight="1">
      <c r="A130" s="486" t="s">
        <v>104</v>
      </c>
      <c r="B130" s="477"/>
      <c r="C130" s="477"/>
      <c r="D130" s="477"/>
      <c r="E130" s="477"/>
      <c r="F130" s="477"/>
      <c r="G130" s="477"/>
      <c r="H130" s="477"/>
      <c r="I130" s="477"/>
      <c r="J130" s="477"/>
      <c r="K130" s="477"/>
      <c r="L130" s="477"/>
      <c r="M130" s="477"/>
      <c r="N130" s="464"/>
      <c r="O130" s="464"/>
      <c r="P130" s="464"/>
      <c r="Q130" s="464"/>
      <c r="R130" s="464"/>
      <c r="S130" s="464"/>
      <c r="T130" s="487"/>
      <c r="U130" s="487"/>
      <c r="V130" s="487"/>
      <c r="W130" s="487"/>
      <c r="X130" s="487"/>
      <c r="Y130" s="487"/>
      <c r="Z130" s="487"/>
      <c r="AA130" s="487"/>
      <c r="AB130" s="487"/>
      <c r="AC130" s="487"/>
      <c r="AD130" s="487"/>
      <c r="AE130" s="487"/>
      <c r="AF130" s="487"/>
      <c r="AG130" s="487"/>
      <c r="AH130" s="487"/>
      <c r="AI130" s="487"/>
      <c r="AJ130" s="487"/>
      <c r="AK130" s="487"/>
      <c r="AL130" s="487"/>
      <c r="AM130" s="487"/>
      <c r="AN130" s="487"/>
      <c r="AO130" s="487"/>
      <c r="AP130" s="487"/>
      <c r="AQ130" s="487"/>
      <c r="AR130" s="487"/>
      <c r="AS130" s="487"/>
      <c r="AT130" s="487"/>
      <c r="AU130" s="487"/>
      <c r="AV130" s="487"/>
      <c r="AW130" s="487"/>
      <c r="AX130" s="487"/>
      <c r="AY130" s="487"/>
      <c r="AZ130" s="487"/>
      <c r="BA130" s="487"/>
      <c r="BB130" s="487"/>
      <c r="BC130" s="487"/>
      <c r="BD130" s="487"/>
      <c r="BE130" s="487"/>
      <c r="BF130" s="487"/>
      <c r="BG130" s="487"/>
      <c r="BH130" s="487"/>
      <c r="BI130" s="487"/>
      <c r="BJ130" s="487"/>
      <c r="BK130" s="487"/>
      <c r="BL130" s="487"/>
      <c r="BM130" s="487"/>
      <c r="BN130" s="487"/>
      <c r="BO130" s="487"/>
      <c r="BP130" s="487"/>
      <c r="BQ130" s="487"/>
      <c r="BR130" s="487"/>
      <c r="BS130" s="487"/>
      <c r="BT130" s="487"/>
      <c r="BU130" s="487"/>
      <c r="BV130" s="487"/>
      <c r="BW130" s="487"/>
      <c r="BX130" s="487"/>
      <c r="BY130" s="487"/>
      <c r="BZ130" s="487"/>
      <c r="CA130" s="487"/>
      <c r="CB130" s="487"/>
      <c r="CC130" s="487"/>
      <c r="CD130" s="487"/>
      <c r="CE130" s="487"/>
      <c r="CF130" s="487"/>
      <c r="CG130" s="487"/>
      <c r="CH130" s="487"/>
      <c r="CI130" s="487"/>
      <c r="CJ130" s="487"/>
      <c r="CK130" s="487"/>
      <c r="CL130" s="487"/>
      <c r="CM130" s="487"/>
      <c r="CN130" s="487"/>
      <c r="CO130" s="487"/>
      <c r="CP130" s="487"/>
      <c r="CQ130" s="487"/>
      <c r="CR130" s="487"/>
      <c r="CS130" s="487"/>
      <c r="CT130" s="487"/>
      <c r="CU130" s="487"/>
      <c r="CV130" s="487"/>
      <c r="CW130" s="487"/>
      <c r="CX130" s="487"/>
      <c r="CY130" s="487"/>
      <c r="CZ130" s="487"/>
      <c r="DA130" s="487"/>
      <c r="DB130" s="487"/>
      <c r="DC130" s="487"/>
      <c r="DD130" s="487"/>
      <c r="DE130" s="487"/>
      <c r="DF130" s="487"/>
      <c r="DG130" s="487"/>
      <c r="DH130" s="487"/>
      <c r="DI130" s="487"/>
      <c r="DJ130" s="487"/>
      <c r="DK130" s="487"/>
      <c r="DL130" s="487"/>
      <c r="DM130" s="487"/>
      <c r="DN130" s="487"/>
      <c r="DO130" s="487"/>
      <c r="DP130" s="487"/>
      <c r="DQ130" s="487"/>
      <c r="DR130" s="487"/>
      <c r="DS130" s="487"/>
      <c r="DT130" s="487"/>
      <c r="DU130" s="487"/>
      <c r="DV130" s="487"/>
      <c r="DW130" s="487"/>
      <c r="DX130" s="487"/>
      <c r="DY130" s="487"/>
      <c r="DZ130" s="487"/>
      <c r="EA130" s="487"/>
      <c r="EB130" s="487"/>
      <c r="EC130" s="487"/>
      <c r="ED130" s="487"/>
      <c r="EE130" s="487"/>
      <c r="EF130" s="487"/>
      <c r="EG130" s="487"/>
      <c r="EH130" s="487"/>
      <c r="EI130" s="487"/>
      <c r="EJ130" s="487"/>
      <c r="EK130" s="487"/>
      <c r="EL130" s="487"/>
      <c r="EM130" s="487"/>
      <c r="EN130" s="487"/>
      <c r="EO130" s="487"/>
      <c r="EP130" s="487"/>
      <c r="EQ130" s="487"/>
      <c r="ER130" s="487"/>
      <c r="ES130" s="487"/>
      <c r="ET130" s="487"/>
      <c r="EU130" s="487"/>
      <c r="EV130" s="487"/>
      <c r="EW130" s="487"/>
      <c r="EX130" s="487"/>
      <c r="EY130" s="487"/>
      <c r="EZ130" s="487"/>
      <c r="FA130" s="487"/>
      <c r="FB130" s="487"/>
      <c r="FC130" s="487"/>
      <c r="FD130" s="487"/>
      <c r="FE130" s="487"/>
      <c r="FF130" s="487"/>
      <c r="FG130" s="487"/>
      <c r="FH130" s="487"/>
      <c r="FI130" s="487"/>
      <c r="FJ130" s="487"/>
      <c r="FK130" s="487"/>
      <c r="FL130" s="487"/>
      <c r="FM130" s="487"/>
      <c r="FN130" s="487"/>
      <c r="FO130" s="487"/>
      <c r="FP130" s="487"/>
      <c r="FQ130" s="487"/>
      <c r="FR130" s="487"/>
      <c r="FS130" s="487"/>
      <c r="FT130" s="487"/>
      <c r="FU130" s="487"/>
      <c r="FV130" s="487"/>
      <c r="FW130" s="487"/>
      <c r="FX130" s="487"/>
      <c r="FY130" s="487"/>
      <c r="FZ130" s="487"/>
      <c r="GA130" s="487"/>
      <c r="GB130" s="487"/>
      <c r="GC130" s="487"/>
      <c r="GD130" s="487"/>
      <c r="GE130" s="487"/>
      <c r="GF130" s="487"/>
      <c r="GG130" s="487"/>
      <c r="GH130" s="487"/>
      <c r="GI130" s="487"/>
      <c r="GJ130" s="487"/>
      <c r="GK130" s="487"/>
      <c r="GL130" s="487"/>
      <c r="GM130" s="487"/>
      <c r="GN130" s="487"/>
      <c r="GO130" s="487"/>
      <c r="GP130" s="487"/>
      <c r="GQ130" s="487"/>
      <c r="GR130" s="487"/>
      <c r="GS130" s="487"/>
      <c r="GT130" s="487"/>
      <c r="GU130" s="487"/>
      <c r="GV130" s="487"/>
      <c r="GW130" s="487"/>
      <c r="GX130" s="487"/>
      <c r="GY130" s="487"/>
      <c r="GZ130" s="487"/>
      <c r="HA130" s="487"/>
      <c r="HB130" s="487"/>
      <c r="HC130" s="487"/>
      <c r="HD130" s="487"/>
      <c r="HE130" s="487"/>
      <c r="HF130" s="487"/>
      <c r="HG130" s="487"/>
      <c r="HH130" s="487"/>
      <c r="HI130" s="487"/>
      <c r="HJ130" s="487"/>
      <c r="HK130" s="487"/>
      <c r="HL130" s="487"/>
      <c r="HM130" s="487"/>
      <c r="HN130" s="487"/>
      <c r="HO130" s="487"/>
      <c r="HP130" s="487"/>
      <c r="HQ130" s="487"/>
      <c r="HR130" s="487"/>
      <c r="HS130" s="487"/>
      <c r="HT130" s="487"/>
      <c r="HU130" s="487"/>
      <c r="HV130" s="487"/>
      <c r="HW130" s="487"/>
      <c r="HX130" s="487"/>
    </row>
    <row r="131" spans="1:232" s="488" customFormat="1" ht="20.100000000000001" customHeight="1">
      <c r="A131" s="487"/>
      <c r="B131" s="509" t="s">
        <v>152</v>
      </c>
      <c r="C131" s="477"/>
      <c r="D131" s="477"/>
      <c r="E131" s="477"/>
      <c r="F131" s="477"/>
      <c r="G131" s="477"/>
      <c r="H131" s="477"/>
      <c r="I131" s="477"/>
      <c r="J131" s="477"/>
      <c r="K131" s="477"/>
      <c r="L131" s="477"/>
      <c r="M131" s="477"/>
      <c r="N131" s="487"/>
      <c r="O131" s="487"/>
      <c r="P131" s="487"/>
      <c r="Q131" s="487"/>
      <c r="R131" s="487"/>
      <c r="S131" s="487"/>
      <c r="T131" s="487"/>
      <c r="U131" s="489"/>
      <c r="V131" s="489"/>
      <c r="W131" s="489"/>
      <c r="X131" s="489"/>
      <c r="Y131" s="489"/>
      <c r="Z131" s="489"/>
      <c r="AA131" s="489"/>
      <c r="AB131" s="489"/>
      <c r="AC131" s="489"/>
      <c r="AD131" s="489"/>
      <c r="AE131" s="489"/>
      <c r="AF131" s="489"/>
      <c r="AG131" s="489"/>
      <c r="AH131" s="489"/>
      <c r="AI131" s="489"/>
      <c r="AJ131" s="489"/>
      <c r="AK131" s="489"/>
      <c r="AL131" s="489"/>
      <c r="AM131" s="489"/>
      <c r="AN131" s="489"/>
      <c r="AO131" s="489"/>
      <c r="AP131" s="489"/>
      <c r="AQ131" s="489"/>
      <c r="AR131" s="489"/>
      <c r="AS131" s="489"/>
      <c r="AT131" s="489"/>
      <c r="AU131" s="489"/>
      <c r="AV131" s="489"/>
      <c r="AW131" s="489"/>
      <c r="AX131" s="489"/>
      <c r="AY131" s="489"/>
      <c r="AZ131" s="489"/>
      <c r="BA131" s="489"/>
      <c r="BB131" s="489"/>
      <c r="BC131" s="489"/>
      <c r="BD131" s="489"/>
      <c r="BE131" s="489"/>
      <c r="BF131" s="489"/>
      <c r="BG131" s="489"/>
      <c r="BH131" s="489"/>
      <c r="BI131" s="489"/>
      <c r="BJ131" s="489"/>
      <c r="BK131" s="489"/>
      <c r="BL131" s="489"/>
      <c r="BM131" s="489"/>
      <c r="BN131" s="489"/>
      <c r="BO131" s="489"/>
      <c r="BP131" s="489"/>
      <c r="BQ131" s="489"/>
      <c r="BR131" s="489"/>
      <c r="BS131" s="489"/>
      <c r="BT131" s="489"/>
      <c r="BU131" s="489"/>
      <c r="BV131" s="489"/>
      <c r="BW131" s="489"/>
      <c r="BX131" s="489"/>
      <c r="BY131" s="489"/>
      <c r="BZ131" s="489"/>
      <c r="CA131" s="489"/>
      <c r="CB131" s="489"/>
      <c r="CC131" s="489"/>
      <c r="CD131" s="489"/>
      <c r="CE131" s="489"/>
      <c r="CF131" s="489"/>
      <c r="CG131" s="489"/>
      <c r="CH131" s="489"/>
      <c r="CI131" s="489"/>
      <c r="CJ131" s="489"/>
      <c r="CK131" s="489"/>
      <c r="CL131" s="489"/>
      <c r="CM131" s="489"/>
      <c r="CN131" s="489"/>
      <c r="CO131" s="489"/>
      <c r="CP131" s="489"/>
      <c r="CQ131" s="489"/>
      <c r="CR131" s="489"/>
      <c r="CS131" s="489"/>
      <c r="CT131" s="489"/>
      <c r="CU131" s="489"/>
      <c r="CV131" s="489"/>
      <c r="CW131" s="489"/>
      <c r="CX131" s="489"/>
      <c r="CY131" s="489"/>
      <c r="CZ131" s="489"/>
      <c r="DA131" s="489"/>
      <c r="DB131" s="489"/>
      <c r="DC131" s="489"/>
      <c r="DD131" s="489"/>
      <c r="DE131" s="489"/>
      <c r="DF131" s="489"/>
      <c r="DG131" s="489"/>
      <c r="DH131" s="489"/>
      <c r="DI131" s="489"/>
      <c r="DJ131" s="489"/>
      <c r="DK131" s="489"/>
      <c r="DL131" s="489"/>
      <c r="DM131" s="489"/>
      <c r="DN131" s="489"/>
      <c r="DO131" s="489"/>
      <c r="DP131" s="489"/>
      <c r="DQ131" s="489"/>
      <c r="DR131" s="489"/>
      <c r="DS131" s="489"/>
      <c r="DT131" s="489"/>
      <c r="DU131" s="489"/>
      <c r="DV131" s="489"/>
      <c r="DW131" s="489"/>
      <c r="DX131" s="489"/>
      <c r="DY131" s="489"/>
      <c r="DZ131" s="489"/>
      <c r="EA131" s="489"/>
      <c r="EB131" s="489"/>
      <c r="EC131" s="489"/>
      <c r="ED131" s="489"/>
      <c r="EE131" s="489"/>
      <c r="EF131" s="489"/>
      <c r="EG131" s="489"/>
      <c r="EH131" s="489"/>
      <c r="EI131" s="489"/>
      <c r="EJ131" s="489"/>
      <c r="EK131" s="489"/>
      <c r="EL131" s="489"/>
      <c r="EM131" s="489"/>
      <c r="EN131" s="489"/>
      <c r="EO131" s="489"/>
      <c r="EP131" s="489"/>
      <c r="EQ131" s="489"/>
      <c r="ER131" s="489"/>
      <c r="ES131" s="489"/>
      <c r="ET131" s="489"/>
      <c r="EU131" s="489"/>
      <c r="EV131" s="489"/>
      <c r="EW131" s="489"/>
      <c r="EX131" s="489"/>
      <c r="EY131" s="489"/>
      <c r="EZ131" s="489"/>
      <c r="FA131" s="489"/>
      <c r="FB131" s="489"/>
      <c r="FC131" s="489"/>
      <c r="FD131" s="489"/>
      <c r="FE131" s="489"/>
      <c r="FF131" s="489"/>
      <c r="FG131" s="489"/>
      <c r="FH131" s="489"/>
      <c r="FI131" s="489"/>
      <c r="FJ131" s="489"/>
      <c r="FK131" s="489"/>
      <c r="FL131" s="489"/>
      <c r="FM131" s="489"/>
      <c r="FN131" s="489"/>
      <c r="FO131" s="489"/>
      <c r="FP131" s="489"/>
      <c r="FQ131" s="489"/>
      <c r="FR131" s="489"/>
      <c r="FS131" s="489"/>
      <c r="FT131" s="489"/>
      <c r="FU131" s="489"/>
      <c r="FV131" s="489"/>
      <c r="FW131" s="489"/>
      <c r="FX131" s="489"/>
      <c r="FY131" s="489"/>
      <c r="FZ131" s="489"/>
      <c r="GA131" s="489"/>
      <c r="GB131" s="489"/>
      <c r="GC131" s="489"/>
      <c r="GD131" s="489"/>
      <c r="GE131" s="489"/>
      <c r="GF131" s="489"/>
      <c r="GG131" s="489"/>
      <c r="GH131" s="489"/>
      <c r="GI131" s="489"/>
      <c r="GJ131" s="489"/>
      <c r="GK131" s="489"/>
      <c r="GL131" s="489"/>
      <c r="GM131" s="489"/>
      <c r="GN131" s="489"/>
      <c r="GO131" s="489"/>
      <c r="GP131" s="489"/>
      <c r="GQ131" s="489"/>
      <c r="GR131" s="489"/>
      <c r="GS131" s="489"/>
      <c r="GT131" s="489"/>
      <c r="GU131" s="489"/>
      <c r="GV131" s="489"/>
      <c r="GW131" s="489"/>
      <c r="GX131" s="489"/>
      <c r="GY131" s="489"/>
      <c r="GZ131" s="489"/>
      <c r="HA131" s="489"/>
      <c r="HB131" s="489"/>
      <c r="HC131" s="489"/>
      <c r="HD131" s="489"/>
      <c r="HE131" s="489"/>
      <c r="HF131" s="489"/>
      <c r="HG131" s="489"/>
      <c r="HH131" s="489"/>
      <c r="HI131" s="489"/>
      <c r="HJ131" s="489"/>
      <c r="HK131" s="489"/>
      <c r="HL131" s="489"/>
      <c r="HM131" s="489"/>
      <c r="HN131" s="489"/>
      <c r="HO131" s="489"/>
      <c r="HP131" s="489"/>
      <c r="HQ131" s="489"/>
      <c r="HR131" s="489"/>
      <c r="HS131" s="489"/>
      <c r="HT131" s="489"/>
      <c r="HU131" s="489"/>
      <c r="HV131" s="489"/>
      <c r="HW131" s="489"/>
      <c r="HX131" s="487"/>
    </row>
    <row r="132" spans="1:232" s="488" customFormat="1" ht="20.100000000000001" customHeight="1">
      <c r="A132" s="487"/>
      <c r="B132" s="477" t="s">
        <v>105</v>
      </c>
      <c r="C132" s="477"/>
      <c r="D132" s="477"/>
      <c r="E132" s="477"/>
      <c r="F132" s="477"/>
      <c r="G132" s="477"/>
      <c r="H132" s="477"/>
      <c r="I132" s="477"/>
      <c r="J132" s="477"/>
      <c r="K132" s="477"/>
      <c r="L132" s="477"/>
      <c r="M132" s="477"/>
      <c r="N132" s="487"/>
      <c r="O132" s="487"/>
      <c r="P132" s="487"/>
      <c r="Q132" s="487"/>
      <c r="R132" s="487"/>
      <c r="S132" s="487"/>
      <c r="T132" s="477"/>
      <c r="U132" s="489"/>
      <c r="V132" s="489"/>
      <c r="W132" s="489"/>
      <c r="X132" s="489"/>
      <c r="Y132" s="489"/>
      <c r="Z132" s="489"/>
      <c r="AA132" s="489"/>
      <c r="AB132" s="489"/>
      <c r="AC132" s="489"/>
      <c r="AD132" s="489"/>
      <c r="AE132" s="489"/>
      <c r="AF132" s="489"/>
      <c r="AG132" s="489"/>
      <c r="AH132" s="489"/>
      <c r="AI132" s="489"/>
      <c r="AJ132" s="489"/>
      <c r="AK132" s="489"/>
      <c r="AL132" s="489"/>
      <c r="AM132" s="489"/>
      <c r="AN132" s="489"/>
      <c r="AO132" s="489"/>
      <c r="AP132" s="489"/>
      <c r="AQ132" s="489"/>
      <c r="AR132" s="489"/>
      <c r="AS132" s="489"/>
      <c r="AT132" s="489"/>
      <c r="AU132" s="489"/>
      <c r="AV132" s="489"/>
      <c r="AW132" s="489"/>
      <c r="AX132" s="489"/>
      <c r="AY132" s="489"/>
      <c r="AZ132" s="489"/>
      <c r="BA132" s="489"/>
      <c r="BB132" s="489"/>
      <c r="BC132" s="489"/>
      <c r="BD132" s="489"/>
      <c r="BE132" s="489"/>
      <c r="BF132" s="489"/>
      <c r="BG132" s="489"/>
      <c r="BH132" s="489"/>
      <c r="BI132" s="489"/>
      <c r="BJ132" s="489"/>
      <c r="BK132" s="489"/>
      <c r="BL132" s="489"/>
      <c r="BM132" s="489"/>
      <c r="BN132" s="489"/>
      <c r="BO132" s="489"/>
      <c r="BP132" s="489"/>
      <c r="BQ132" s="489"/>
      <c r="BR132" s="489"/>
      <c r="BS132" s="489"/>
      <c r="BT132" s="489"/>
      <c r="BU132" s="489"/>
      <c r="BV132" s="489"/>
      <c r="BW132" s="489"/>
      <c r="BX132" s="489"/>
      <c r="BY132" s="489"/>
      <c r="BZ132" s="489"/>
      <c r="CA132" s="489"/>
      <c r="CB132" s="489"/>
      <c r="CC132" s="489"/>
      <c r="CD132" s="489"/>
      <c r="CE132" s="489"/>
      <c r="CF132" s="489"/>
      <c r="CG132" s="489"/>
      <c r="CH132" s="489"/>
      <c r="CI132" s="489"/>
      <c r="CJ132" s="489"/>
      <c r="CK132" s="489"/>
      <c r="CL132" s="489"/>
      <c r="CM132" s="489"/>
      <c r="CN132" s="489"/>
      <c r="CO132" s="489"/>
      <c r="CP132" s="489"/>
      <c r="CQ132" s="489"/>
      <c r="CR132" s="489"/>
      <c r="CS132" s="489"/>
      <c r="CT132" s="489"/>
      <c r="CU132" s="489"/>
      <c r="CV132" s="489"/>
      <c r="CW132" s="489"/>
      <c r="CX132" s="489"/>
      <c r="CY132" s="489"/>
      <c r="CZ132" s="489"/>
      <c r="DA132" s="489"/>
      <c r="DB132" s="489"/>
      <c r="DC132" s="489"/>
      <c r="DD132" s="489"/>
      <c r="DE132" s="489"/>
      <c r="DF132" s="489"/>
      <c r="DG132" s="489"/>
      <c r="DH132" s="489"/>
      <c r="DI132" s="489"/>
      <c r="DJ132" s="489"/>
      <c r="DK132" s="489"/>
      <c r="DL132" s="489"/>
      <c r="DM132" s="489"/>
      <c r="DN132" s="489"/>
      <c r="DO132" s="489"/>
      <c r="DP132" s="489"/>
      <c r="DQ132" s="489"/>
      <c r="DR132" s="489"/>
      <c r="DS132" s="489"/>
      <c r="DT132" s="489"/>
      <c r="DU132" s="489"/>
      <c r="DV132" s="489"/>
      <c r="DW132" s="489"/>
      <c r="DX132" s="489"/>
      <c r="DY132" s="489"/>
      <c r="DZ132" s="489"/>
      <c r="EA132" s="489"/>
      <c r="EB132" s="489"/>
      <c r="EC132" s="489"/>
      <c r="ED132" s="489"/>
      <c r="EE132" s="489"/>
      <c r="EF132" s="489"/>
      <c r="EG132" s="489"/>
      <c r="EH132" s="489"/>
      <c r="EI132" s="489"/>
      <c r="EJ132" s="489"/>
      <c r="EK132" s="489"/>
      <c r="EL132" s="489"/>
      <c r="EM132" s="489"/>
      <c r="EN132" s="489"/>
      <c r="EO132" s="489"/>
      <c r="EP132" s="489"/>
      <c r="EQ132" s="489"/>
      <c r="ER132" s="489"/>
      <c r="ES132" s="489"/>
      <c r="ET132" s="489"/>
      <c r="EU132" s="489"/>
      <c r="EV132" s="489"/>
      <c r="EW132" s="489"/>
      <c r="EX132" s="489"/>
      <c r="EY132" s="489"/>
      <c r="EZ132" s="489"/>
      <c r="FA132" s="489"/>
      <c r="FB132" s="489"/>
      <c r="FC132" s="489"/>
      <c r="FD132" s="489"/>
      <c r="FE132" s="489"/>
      <c r="FF132" s="489"/>
      <c r="FG132" s="489"/>
      <c r="FH132" s="489"/>
      <c r="FI132" s="489"/>
      <c r="FJ132" s="489"/>
      <c r="FK132" s="489"/>
      <c r="FL132" s="489"/>
      <c r="FM132" s="489"/>
      <c r="FN132" s="489"/>
      <c r="FO132" s="489"/>
      <c r="FP132" s="489"/>
      <c r="FQ132" s="489"/>
      <c r="FR132" s="489"/>
      <c r="FS132" s="489"/>
      <c r="FT132" s="489"/>
      <c r="FU132" s="489"/>
      <c r="FV132" s="489"/>
      <c r="FW132" s="489"/>
      <c r="FX132" s="489"/>
      <c r="FY132" s="489"/>
      <c r="FZ132" s="489"/>
      <c r="GA132" s="489"/>
      <c r="GB132" s="489"/>
      <c r="GC132" s="489"/>
      <c r="GD132" s="489"/>
      <c r="GE132" s="489"/>
      <c r="GF132" s="489"/>
      <c r="GG132" s="489"/>
      <c r="GH132" s="489"/>
      <c r="GI132" s="489"/>
      <c r="GJ132" s="489"/>
      <c r="GK132" s="489"/>
      <c r="GL132" s="489"/>
      <c r="GM132" s="489"/>
      <c r="GN132" s="489"/>
      <c r="GO132" s="489"/>
      <c r="GP132" s="489"/>
      <c r="GQ132" s="489"/>
      <c r="GR132" s="489"/>
      <c r="GS132" s="489"/>
      <c r="GT132" s="489"/>
      <c r="GU132" s="489"/>
      <c r="GV132" s="489"/>
      <c r="GW132" s="489"/>
      <c r="GX132" s="489"/>
      <c r="GY132" s="489"/>
      <c r="GZ132" s="489"/>
      <c r="HA132" s="489"/>
      <c r="HB132" s="489"/>
      <c r="HC132" s="489"/>
      <c r="HD132" s="489"/>
      <c r="HE132" s="489"/>
      <c r="HF132" s="489"/>
      <c r="HG132" s="489"/>
      <c r="HH132" s="489"/>
      <c r="HI132" s="489"/>
      <c r="HJ132" s="489"/>
      <c r="HK132" s="489"/>
      <c r="HL132" s="489"/>
      <c r="HM132" s="489"/>
      <c r="HN132" s="489"/>
      <c r="HO132" s="489"/>
      <c r="HP132" s="489"/>
      <c r="HQ132" s="489"/>
      <c r="HR132" s="489"/>
      <c r="HS132" s="489"/>
      <c r="HT132" s="489"/>
      <c r="HU132" s="489"/>
      <c r="HV132" s="489"/>
      <c r="HW132" s="489"/>
      <c r="HX132" s="487"/>
    </row>
    <row r="133" spans="1:232" s="488" customFormat="1" ht="20.100000000000001" customHeight="1">
      <c r="A133" s="490"/>
      <c r="B133" s="491" t="s">
        <v>106</v>
      </c>
      <c r="C133" s="491"/>
      <c r="D133" s="491"/>
      <c r="E133" s="491"/>
      <c r="F133" s="491"/>
      <c r="G133" s="491"/>
      <c r="H133" s="491"/>
      <c r="I133" s="491"/>
      <c r="J133" s="491"/>
      <c r="K133" s="491"/>
      <c r="L133" s="477"/>
      <c r="M133" s="477"/>
      <c r="N133" s="477"/>
      <c r="O133" s="477"/>
      <c r="P133" s="477"/>
      <c r="Q133" s="477"/>
      <c r="R133" s="477"/>
      <c r="S133" s="477"/>
      <c r="T133" s="492"/>
      <c r="U133" s="489"/>
      <c r="V133" s="489"/>
      <c r="W133" s="489"/>
      <c r="X133" s="489"/>
      <c r="Y133" s="489"/>
      <c r="Z133" s="489"/>
      <c r="AA133" s="489"/>
      <c r="AB133" s="489"/>
      <c r="AC133" s="489"/>
      <c r="AD133" s="489"/>
      <c r="AE133" s="489"/>
      <c r="AF133" s="489"/>
      <c r="AG133" s="489"/>
      <c r="AH133" s="489"/>
      <c r="AI133" s="489"/>
      <c r="AJ133" s="489"/>
      <c r="AK133" s="489"/>
      <c r="AL133" s="489"/>
      <c r="AM133" s="489"/>
      <c r="AN133" s="489"/>
      <c r="AO133" s="489"/>
      <c r="AP133" s="489"/>
      <c r="AQ133" s="489"/>
      <c r="AR133" s="489"/>
      <c r="AS133" s="489"/>
      <c r="AT133" s="489"/>
      <c r="AU133" s="489"/>
      <c r="AV133" s="489"/>
      <c r="AW133" s="489"/>
      <c r="AX133" s="489"/>
      <c r="AY133" s="489"/>
      <c r="AZ133" s="489"/>
      <c r="BA133" s="489"/>
      <c r="BB133" s="489"/>
      <c r="BC133" s="489"/>
      <c r="BD133" s="489"/>
      <c r="BE133" s="489"/>
      <c r="BF133" s="489"/>
      <c r="BG133" s="489"/>
      <c r="BH133" s="489"/>
      <c r="BI133" s="489"/>
      <c r="BJ133" s="489"/>
      <c r="BK133" s="489"/>
      <c r="BL133" s="489"/>
      <c r="BM133" s="489"/>
      <c r="BN133" s="489"/>
      <c r="BO133" s="489"/>
      <c r="BP133" s="489"/>
      <c r="BQ133" s="489"/>
      <c r="BR133" s="489"/>
      <c r="BS133" s="489"/>
      <c r="BT133" s="489"/>
      <c r="BU133" s="489"/>
      <c r="BV133" s="489"/>
      <c r="BW133" s="489"/>
      <c r="BX133" s="489"/>
      <c r="BY133" s="489"/>
      <c r="BZ133" s="489"/>
      <c r="CA133" s="489"/>
      <c r="CB133" s="489"/>
      <c r="CC133" s="489"/>
      <c r="CD133" s="489"/>
      <c r="CE133" s="489"/>
      <c r="CF133" s="489"/>
      <c r="CG133" s="489"/>
      <c r="CH133" s="489"/>
      <c r="CI133" s="489"/>
      <c r="CJ133" s="489"/>
      <c r="CK133" s="489"/>
      <c r="CL133" s="489"/>
      <c r="CM133" s="489"/>
      <c r="CN133" s="489"/>
      <c r="CO133" s="489"/>
      <c r="CP133" s="489"/>
      <c r="CQ133" s="489"/>
      <c r="CR133" s="489"/>
      <c r="CS133" s="489"/>
      <c r="CT133" s="489"/>
      <c r="CU133" s="489"/>
      <c r="CV133" s="489"/>
      <c r="CW133" s="489"/>
      <c r="CX133" s="489"/>
      <c r="CY133" s="489"/>
      <c r="CZ133" s="489"/>
      <c r="DA133" s="489"/>
      <c r="DB133" s="489"/>
      <c r="DC133" s="489"/>
      <c r="DD133" s="489"/>
      <c r="DE133" s="489"/>
      <c r="DF133" s="489"/>
      <c r="DG133" s="489"/>
      <c r="DH133" s="489"/>
      <c r="DI133" s="489"/>
      <c r="DJ133" s="489"/>
      <c r="DK133" s="489"/>
      <c r="DL133" s="489"/>
      <c r="DM133" s="489"/>
      <c r="DN133" s="489"/>
      <c r="DO133" s="489"/>
      <c r="DP133" s="489"/>
      <c r="DQ133" s="489"/>
      <c r="DR133" s="489"/>
      <c r="DS133" s="489"/>
      <c r="DT133" s="489"/>
      <c r="DU133" s="489"/>
      <c r="DV133" s="489"/>
      <c r="DW133" s="489"/>
      <c r="DX133" s="489"/>
      <c r="DY133" s="489"/>
      <c r="DZ133" s="489"/>
      <c r="EA133" s="489"/>
      <c r="EB133" s="489"/>
      <c r="EC133" s="489"/>
      <c r="ED133" s="489"/>
      <c r="EE133" s="489"/>
      <c r="EF133" s="489"/>
      <c r="EG133" s="489"/>
      <c r="EH133" s="489"/>
      <c r="EI133" s="489"/>
      <c r="EJ133" s="489"/>
      <c r="EK133" s="489"/>
      <c r="EL133" s="489"/>
      <c r="EM133" s="489"/>
      <c r="EN133" s="489"/>
      <c r="EO133" s="489"/>
      <c r="EP133" s="489"/>
      <c r="EQ133" s="489"/>
      <c r="ER133" s="489"/>
      <c r="ES133" s="489"/>
      <c r="ET133" s="489"/>
      <c r="EU133" s="489"/>
      <c r="EV133" s="489"/>
      <c r="EW133" s="489"/>
      <c r="EX133" s="489"/>
      <c r="EY133" s="489"/>
      <c r="EZ133" s="489"/>
      <c r="FA133" s="489"/>
      <c r="FB133" s="489"/>
      <c r="FC133" s="489"/>
      <c r="FD133" s="489"/>
      <c r="FE133" s="489"/>
      <c r="FF133" s="489"/>
      <c r="FG133" s="489"/>
      <c r="FH133" s="489"/>
      <c r="FI133" s="489"/>
      <c r="FJ133" s="489"/>
      <c r="FK133" s="489"/>
      <c r="FL133" s="489"/>
      <c r="FM133" s="489"/>
      <c r="FN133" s="489"/>
      <c r="FO133" s="489"/>
      <c r="FP133" s="489"/>
      <c r="FQ133" s="489"/>
      <c r="FR133" s="489"/>
      <c r="FS133" s="489"/>
      <c r="FT133" s="489"/>
      <c r="FU133" s="489"/>
      <c r="FV133" s="489"/>
      <c r="FW133" s="489"/>
      <c r="FX133" s="489"/>
      <c r="FY133" s="489"/>
      <c r="FZ133" s="489"/>
      <c r="GA133" s="489"/>
      <c r="GB133" s="489"/>
      <c r="GC133" s="489"/>
      <c r="GD133" s="489"/>
      <c r="GE133" s="489"/>
      <c r="GF133" s="489"/>
      <c r="GG133" s="489"/>
      <c r="GH133" s="489"/>
      <c r="GI133" s="489"/>
      <c r="GJ133" s="489"/>
      <c r="GK133" s="489"/>
      <c r="GL133" s="489"/>
      <c r="GM133" s="489"/>
      <c r="GN133" s="489"/>
      <c r="GO133" s="489"/>
      <c r="GP133" s="489"/>
      <c r="GQ133" s="489"/>
      <c r="GR133" s="489"/>
      <c r="GS133" s="489"/>
      <c r="GT133" s="489"/>
      <c r="GU133" s="489"/>
      <c r="GV133" s="489"/>
      <c r="GW133" s="489"/>
      <c r="GX133" s="489"/>
      <c r="GY133" s="489"/>
      <c r="GZ133" s="489"/>
      <c r="HA133" s="489"/>
      <c r="HB133" s="489"/>
      <c r="HC133" s="489"/>
      <c r="HD133" s="489"/>
      <c r="HE133" s="489"/>
      <c r="HF133" s="489"/>
      <c r="HG133" s="489"/>
      <c r="HH133" s="489"/>
      <c r="HI133" s="489"/>
      <c r="HJ133" s="489"/>
      <c r="HK133" s="489"/>
      <c r="HL133" s="489"/>
      <c r="HM133" s="489"/>
      <c r="HN133" s="489"/>
      <c r="HO133" s="489"/>
      <c r="HP133" s="489"/>
      <c r="HQ133" s="489"/>
      <c r="HR133" s="489"/>
      <c r="HS133" s="489"/>
      <c r="HT133" s="489"/>
      <c r="HU133" s="489"/>
      <c r="HV133" s="489"/>
      <c r="HW133" s="489"/>
      <c r="HX133" s="487"/>
    </row>
    <row r="134" spans="1:232" s="488" customFormat="1" ht="39.75" customHeight="1">
      <c r="A134" s="490"/>
      <c r="B134" s="1602" t="s">
        <v>107</v>
      </c>
      <c r="C134" s="1602"/>
      <c r="D134" s="1602"/>
      <c r="E134" s="1602"/>
      <c r="F134" s="1602"/>
      <c r="G134" s="1602"/>
      <c r="H134" s="1602"/>
      <c r="I134" s="1602"/>
      <c r="J134" s="1602"/>
      <c r="K134" s="491"/>
      <c r="L134" s="477"/>
      <c r="M134" s="477"/>
      <c r="N134" s="492"/>
      <c r="O134" s="492"/>
      <c r="P134" s="492"/>
      <c r="Q134" s="492"/>
      <c r="R134" s="492"/>
      <c r="S134" s="492"/>
      <c r="T134" s="492"/>
      <c r="U134" s="489"/>
      <c r="V134" s="489"/>
      <c r="W134" s="489"/>
      <c r="X134" s="489"/>
      <c r="Y134" s="489"/>
      <c r="Z134" s="489"/>
      <c r="AA134" s="489"/>
      <c r="AB134" s="489"/>
      <c r="AC134" s="489"/>
      <c r="AD134" s="489"/>
      <c r="AE134" s="489"/>
      <c r="AF134" s="489"/>
      <c r="AG134" s="489"/>
      <c r="AH134" s="489"/>
      <c r="AI134" s="489"/>
      <c r="AJ134" s="489"/>
      <c r="AK134" s="489"/>
      <c r="AL134" s="489"/>
      <c r="AM134" s="489"/>
      <c r="AN134" s="489"/>
      <c r="AO134" s="489"/>
      <c r="AP134" s="489"/>
      <c r="AQ134" s="489"/>
      <c r="AR134" s="489"/>
      <c r="AS134" s="489"/>
      <c r="AT134" s="489"/>
      <c r="AU134" s="489"/>
      <c r="AV134" s="489"/>
      <c r="AW134" s="489"/>
      <c r="AX134" s="489"/>
      <c r="AY134" s="489"/>
      <c r="AZ134" s="489"/>
      <c r="BA134" s="489"/>
      <c r="BB134" s="489"/>
      <c r="BC134" s="489"/>
      <c r="BD134" s="489"/>
      <c r="BE134" s="489"/>
      <c r="BF134" s="489"/>
      <c r="BG134" s="489"/>
      <c r="BH134" s="489"/>
      <c r="BI134" s="489"/>
      <c r="BJ134" s="489"/>
      <c r="BK134" s="489"/>
      <c r="BL134" s="489"/>
      <c r="BM134" s="489"/>
      <c r="BN134" s="489"/>
      <c r="BO134" s="489"/>
      <c r="BP134" s="489"/>
      <c r="BQ134" s="489"/>
      <c r="BR134" s="489"/>
      <c r="BS134" s="489"/>
      <c r="BT134" s="489"/>
      <c r="BU134" s="489"/>
      <c r="BV134" s="489"/>
      <c r="BW134" s="489"/>
      <c r="BX134" s="489"/>
      <c r="BY134" s="489"/>
      <c r="BZ134" s="489"/>
      <c r="CA134" s="489"/>
      <c r="CB134" s="489"/>
      <c r="CC134" s="489"/>
      <c r="CD134" s="489"/>
      <c r="CE134" s="489"/>
      <c r="CF134" s="489"/>
      <c r="CG134" s="489"/>
      <c r="CH134" s="489"/>
      <c r="CI134" s="489"/>
      <c r="CJ134" s="489"/>
      <c r="CK134" s="489"/>
      <c r="CL134" s="489"/>
      <c r="CM134" s="489"/>
      <c r="CN134" s="489"/>
      <c r="CO134" s="489"/>
      <c r="CP134" s="489"/>
      <c r="CQ134" s="489"/>
      <c r="CR134" s="489"/>
      <c r="CS134" s="489"/>
      <c r="CT134" s="489"/>
      <c r="CU134" s="489"/>
      <c r="CV134" s="489"/>
      <c r="CW134" s="489"/>
      <c r="CX134" s="489"/>
      <c r="CY134" s="489"/>
      <c r="CZ134" s="489"/>
      <c r="DA134" s="489"/>
      <c r="DB134" s="489"/>
      <c r="DC134" s="489"/>
      <c r="DD134" s="489"/>
      <c r="DE134" s="489"/>
      <c r="DF134" s="489"/>
      <c r="DG134" s="489"/>
      <c r="DH134" s="489"/>
      <c r="DI134" s="489"/>
      <c r="DJ134" s="489"/>
      <c r="DK134" s="489"/>
      <c r="DL134" s="489"/>
      <c r="DM134" s="489"/>
      <c r="DN134" s="489"/>
      <c r="DO134" s="489"/>
      <c r="DP134" s="489"/>
      <c r="DQ134" s="489"/>
      <c r="DR134" s="489"/>
      <c r="DS134" s="489"/>
      <c r="DT134" s="489"/>
      <c r="DU134" s="489"/>
      <c r="DV134" s="489"/>
      <c r="DW134" s="489"/>
      <c r="DX134" s="489"/>
      <c r="DY134" s="489"/>
      <c r="DZ134" s="489"/>
      <c r="EA134" s="489"/>
      <c r="EB134" s="489"/>
      <c r="EC134" s="489"/>
      <c r="ED134" s="489"/>
      <c r="EE134" s="489"/>
      <c r="EF134" s="489"/>
      <c r="EG134" s="489"/>
      <c r="EH134" s="489"/>
      <c r="EI134" s="489"/>
      <c r="EJ134" s="489"/>
      <c r="EK134" s="489"/>
      <c r="EL134" s="489"/>
      <c r="EM134" s="489"/>
      <c r="EN134" s="489"/>
      <c r="EO134" s="489"/>
      <c r="EP134" s="489"/>
      <c r="EQ134" s="489"/>
      <c r="ER134" s="489"/>
      <c r="ES134" s="489"/>
      <c r="ET134" s="489"/>
      <c r="EU134" s="489"/>
      <c r="EV134" s="489"/>
      <c r="EW134" s="489"/>
      <c r="EX134" s="489"/>
      <c r="EY134" s="489"/>
      <c r="EZ134" s="489"/>
      <c r="FA134" s="489"/>
      <c r="FB134" s="489"/>
      <c r="FC134" s="489"/>
      <c r="FD134" s="489"/>
      <c r="FE134" s="489"/>
      <c r="FF134" s="489"/>
      <c r="FG134" s="489"/>
      <c r="FH134" s="489"/>
      <c r="FI134" s="489"/>
      <c r="FJ134" s="489"/>
      <c r="FK134" s="489"/>
      <c r="FL134" s="489"/>
      <c r="FM134" s="489"/>
      <c r="FN134" s="489"/>
      <c r="FO134" s="489"/>
      <c r="FP134" s="489"/>
      <c r="FQ134" s="489"/>
      <c r="FR134" s="489"/>
      <c r="FS134" s="489"/>
      <c r="FT134" s="489"/>
      <c r="FU134" s="489"/>
      <c r="FV134" s="489"/>
      <c r="FW134" s="489"/>
      <c r="FX134" s="489"/>
      <c r="FY134" s="489"/>
      <c r="FZ134" s="489"/>
      <c r="GA134" s="489"/>
      <c r="GB134" s="489"/>
      <c r="GC134" s="489"/>
      <c r="GD134" s="489"/>
      <c r="GE134" s="489"/>
      <c r="GF134" s="489"/>
      <c r="GG134" s="489"/>
      <c r="GH134" s="489"/>
      <c r="GI134" s="489"/>
      <c r="GJ134" s="489"/>
      <c r="GK134" s="489"/>
      <c r="GL134" s="489"/>
      <c r="GM134" s="489"/>
      <c r="GN134" s="489"/>
      <c r="GO134" s="489"/>
      <c r="GP134" s="489"/>
      <c r="GQ134" s="489"/>
      <c r="GR134" s="489"/>
      <c r="GS134" s="489"/>
      <c r="GT134" s="489"/>
      <c r="GU134" s="489"/>
      <c r="GV134" s="489"/>
      <c r="GW134" s="489"/>
      <c r="GX134" s="489"/>
      <c r="GY134" s="489"/>
      <c r="GZ134" s="489"/>
      <c r="HA134" s="489"/>
      <c r="HB134" s="489"/>
      <c r="HC134" s="489"/>
      <c r="HD134" s="489"/>
      <c r="HE134" s="489"/>
      <c r="HF134" s="489"/>
      <c r="HG134" s="489"/>
      <c r="HH134" s="489"/>
      <c r="HI134" s="489"/>
      <c r="HJ134" s="489"/>
      <c r="HK134" s="489"/>
      <c r="HL134" s="489"/>
      <c r="HM134" s="489"/>
      <c r="HN134" s="489"/>
      <c r="HO134" s="489"/>
      <c r="HP134" s="489"/>
      <c r="HQ134" s="489"/>
      <c r="HR134" s="489"/>
      <c r="HS134" s="489"/>
      <c r="HT134" s="489"/>
      <c r="HU134" s="489"/>
      <c r="HV134" s="489"/>
      <c r="HW134" s="489"/>
      <c r="HX134" s="487"/>
    </row>
    <row r="135" spans="1:232" s="488" customFormat="1" ht="19.5" customHeight="1">
      <c r="A135" s="490"/>
      <c r="B135" s="1602" t="s">
        <v>451</v>
      </c>
      <c r="C135" s="1602"/>
      <c r="D135" s="1602"/>
      <c r="E135" s="1602"/>
      <c r="F135" s="1602"/>
      <c r="G135" s="1602"/>
      <c r="H135" s="1602"/>
      <c r="I135" s="1602"/>
      <c r="J135" s="1602"/>
      <c r="K135" s="491"/>
      <c r="L135" s="477"/>
      <c r="M135" s="477"/>
      <c r="N135" s="492"/>
      <c r="O135" s="492"/>
      <c r="P135" s="492"/>
      <c r="Q135" s="492"/>
      <c r="R135" s="492"/>
      <c r="S135" s="492"/>
      <c r="T135" s="492"/>
      <c r="U135" s="489"/>
      <c r="V135" s="489"/>
      <c r="W135" s="489"/>
      <c r="X135" s="489"/>
      <c r="Y135" s="489"/>
      <c r="Z135" s="489"/>
      <c r="AA135" s="489"/>
      <c r="AB135" s="489"/>
      <c r="AC135" s="489"/>
      <c r="AD135" s="489"/>
      <c r="AE135" s="489"/>
      <c r="AF135" s="489"/>
      <c r="AG135" s="489"/>
      <c r="AH135" s="489"/>
      <c r="AI135" s="489"/>
      <c r="AJ135" s="489"/>
      <c r="AK135" s="489"/>
      <c r="AL135" s="489"/>
      <c r="AM135" s="489"/>
      <c r="AN135" s="489"/>
      <c r="AO135" s="489"/>
      <c r="AP135" s="489"/>
      <c r="AQ135" s="489"/>
      <c r="AR135" s="489"/>
      <c r="AS135" s="489"/>
      <c r="AT135" s="489"/>
      <c r="AU135" s="489"/>
      <c r="AV135" s="489"/>
      <c r="AW135" s="489"/>
      <c r="AX135" s="489"/>
      <c r="AY135" s="489"/>
      <c r="AZ135" s="489"/>
      <c r="BA135" s="489"/>
      <c r="BB135" s="489"/>
      <c r="BC135" s="489"/>
      <c r="BD135" s="489"/>
      <c r="BE135" s="489"/>
      <c r="BF135" s="489"/>
      <c r="BG135" s="489"/>
      <c r="BH135" s="489"/>
      <c r="BI135" s="489"/>
      <c r="BJ135" s="489"/>
      <c r="BK135" s="489"/>
      <c r="BL135" s="489"/>
      <c r="BM135" s="489"/>
      <c r="BN135" s="489"/>
      <c r="BO135" s="489"/>
      <c r="BP135" s="489"/>
      <c r="BQ135" s="489"/>
      <c r="BR135" s="489"/>
      <c r="BS135" s="489"/>
      <c r="BT135" s="489"/>
      <c r="BU135" s="489"/>
      <c r="BV135" s="489"/>
      <c r="BW135" s="489"/>
      <c r="BX135" s="489"/>
      <c r="BY135" s="489"/>
      <c r="BZ135" s="489"/>
      <c r="CA135" s="489"/>
      <c r="CB135" s="489"/>
      <c r="CC135" s="489"/>
      <c r="CD135" s="489"/>
      <c r="CE135" s="489"/>
      <c r="CF135" s="489"/>
      <c r="CG135" s="489"/>
      <c r="CH135" s="489"/>
      <c r="CI135" s="489"/>
      <c r="CJ135" s="489"/>
      <c r="CK135" s="489"/>
      <c r="CL135" s="489"/>
      <c r="CM135" s="489"/>
      <c r="CN135" s="489"/>
      <c r="CO135" s="489"/>
      <c r="CP135" s="489"/>
      <c r="CQ135" s="489"/>
      <c r="CR135" s="489"/>
      <c r="CS135" s="489"/>
      <c r="CT135" s="489"/>
      <c r="CU135" s="489"/>
      <c r="CV135" s="489"/>
      <c r="CW135" s="489"/>
      <c r="CX135" s="489"/>
      <c r="CY135" s="489"/>
      <c r="CZ135" s="489"/>
      <c r="DA135" s="489"/>
      <c r="DB135" s="489"/>
      <c r="DC135" s="489"/>
      <c r="DD135" s="489"/>
      <c r="DE135" s="489"/>
      <c r="DF135" s="489"/>
      <c r="DG135" s="489"/>
      <c r="DH135" s="489"/>
      <c r="DI135" s="489"/>
      <c r="DJ135" s="489"/>
      <c r="DK135" s="489"/>
      <c r="DL135" s="489"/>
      <c r="DM135" s="489"/>
      <c r="DN135" s="489"/>
      <c r="DO135" s="489"/>
      <c r="DP135" s="489"/>
      <c r="DQ135" s="489"/>
      <c r="DR135" s="489"/>
      <c r="DS135" s="489"/>
      <c r="DT135" s="489"/>
      <c r="DU135" s="489"/>
      <c r="DV135" s="489"/>
      <c r="DW135" s="489"/>
      <c r="DX135" s="489"/>
      <c r="DY135" s="489"/>
      <c r="DZ135" s="489"/>
      <c r="EA135" s="489"/>
      <c r="EB135" s="489"/>
      <c r="EC135" s="489"/>
      <c r="ED135" s="489"/>
      <c r="EE135" s="489"/>
      <c r="EF135" s="489"/>
      <c r="EG135" s="489"/>
      <c r="EH135" s="489"/>
      <c r="EI135" s="489"/>
      <c r="EJ135" s="489"/>
      <c r="EK135" s="489"/>
      <c r="EL135" s="489"/>
      <c r="EM135" s="489"/>
      <c r="EN135" s="489"/>
      <c r="EO135" s="489"/>
      <c r="EP135" s="489"/>
      <c r="EQ135" s="489"/>
      <c r="ER135" s="489"/>
      <c r="ES135" s="489"/>
      <c r="ET135" s="489"/>
      <c r="EU135" s="489"/>
      <c r="EV135" s="489"/>
      <c r="EW135" s="489"/>
      <c r="EX135" s="489"/>
      <c r="EY135" s="489"/>
      <c r="EZ135" s="489"/>
      <c r="FA135" s="489"/>
      <c r="FB135" s="489"/>
      <c r="FC135" s="489"/>
      <c r="FD135" s="489"/>
      <c r="FE135" s="489"/>
      <c r="FF135" s="489"/>
      <c r="FG135" s="489"/>
      <c r="FH135" s="489"/>
      <c r="FI135" s="489"/>
      <c r="FJ135" s="489"/>
      <c r="FK135" s="489"/>
      <c r="FL135" s="489"/>
      <c r="FM135" s="489"/>
      <c r="FN135" s="489"/>
      <c r="FO135" s="489"/>
      <c r="FP135" s="489"/>
      <c r="FQ135" s="489"/>
      <c r="FR135" s="489"/>
      <c r="FS135" s="489"/>
      <c r="FT135" s="489"/>
      <c r="FU135" s="489"/>
      <c r="FV135" s="489"/>
      <c r="FW135" s="489"/>
      <c r="FX135" s="489"/>
      <c r="FY135" s="489"/>
      <c r="FZ135" s="489"/>
      <c r="GA135" s="489"/>
      <c r="GB135" s="489"/>
      <c r="GC135" s="489"/>
      <c r="GD135" s="489"/>
      <c r="GE135" s="489"/>
      <c r="GF135" s="489"/>
      <c r="GG135" s="489"/>
      <c r="GH135" s="489"/>
      <c r="GI135" s="489"/>
      <c r="GJ135" s="489"/>
      <c r="GK135" s="489"/>
      <c r="GL135" s="489"/>
      <c r="GM135" s="489"/>
      <c r="GN135" s="489"/>
      <c r="GO135" s="489"/>
      <c r="GP135" s="489"/>
      <c r="GQ135" s="489"/>
      <c r="GR135" s="489"/>
      <c r="GS135" s="489"/>
      <c r="GT135" s="489"/>
      <c r="GU135" s="489"/>
      <c r="GV135" s="489"/>
      <c r="GW135" s="489"/>
      <c r="GX135" s="489"/>
      <c r="GY135" s="489"/>
      <c r="GZ135" s="489"/>
      <c r="HA135" s="489"/>
      <c r="HB135" s="489"/>
      <c r="HC135" s="489"/>
      <c r="HD135" s="489"/>
      <c r="HE135" s="489"/>
      <c r="HF135" s="489"/>
      <c r="HG135" s="489"/>
      <c r="HH135" s="489"/>
      <c r="HI135" s="489"/>
      <c r="HJ135" s="489"/>
      <c r="HK135" s="489"/>
      <c r="HL135" s="489"/>
      <c r="HM135" s="489"/>
      <c r="HN135" s="489"/>
      <c r="HO135" s="489"/>
      <c r="HP135" s="489"/>
      <c r="HQ135" s="489"/>
      <c r="HR135" s="489"/>
      <c r="HS135" s="489"/>
      <c r="HT135" s="489"/>
      <c r="HU135" s="489"/>
      <c r="HV135" s="489"/>
      <c r="HW135" s="489"/>
      <c r="HX135" s="487"/>
    </row>
    <row r="136" spans="1:232" s="488" customFormat="1" ht="19.5" customHeight="1">
      <c r="A136" s="490"/>
      <c r="B136" s="1602" t="s">
        <v>108</v>
      </c>
      <c r="C136" s="1602"/>
      <c r="D136" s="1602"/>
      <c r="E136" s="1602"/>
      <c r="F136" s="1602"/>
      <c r="G136" s="1602"/>
      <c r="H136" s="1602"/>
      <c r="I136" s="1602"/>
      <c r="J136" s="1602"/>
      <c r="K136" s="491"/>
      <c r="L136" s="477"/>
      <c r="M136" s="477"/>
      <c r="N136" s="492"/>
      <c r="O136" s="492"/>
      <c r="P136" s="492"/>
      <c r="Q136" s="492"/>
      <c r="R136" s="492"/>
      <c r="S136" s="492"/>
      <c r="T136" s="492"/>
      <c r="U136" s="489"/>
      <c r="V136" s="489"/>
      <c r="W136" s="489"/>
      <c r="X136" s="489"/>
      <c r="Y136" s="489"/>
      <c r="Z136" s="489"/>
      <c r="AA136" s="489"/>
      <c r="AB136" s="489"/>
      <c r="AC136" s="489"/>
      <c r="AD136" s="489"/>
      <c r="AE136" s="489"/>
      <c r="AF136" s="489"/>
      <c r="AG136" s="489"/>
      <c r="AH136" s="489"/>
      <c r="AI136" s="489"/>
      <c r="AJ136" s="489"/>
      <c r="AK136" s="489"/>
      <c r="AL136" s="489"/>
      <c r="AM136" s="489"/>
      <c r="AN136" s="489"/>
      <c r="AO136" s="489"/>
      <c r="AP136" s="489"/>
      <c r="AQ136" s="489"/>
      <c r="AR136" s="489"/>
      <c r="AS136" s="489"/>
      <c r="AT136" s="489"/>
      <c r="AU136" s="489"/>
      <c r="AV136" s="489"/>
      <c r="AW136" s="489"/>
      <c r="AX136" s="489"/>
      <c r="AY136" s="489"/>
      <c r="AZ136" s="489"/>
      <c r="BA136" s="489"/>
      <c r="BB136" s="489"/>
      <c r="BC136" s="489"/>
      <c r="BD136" s="489"/>
      <c r="BE136" s="489"/>
      <c r="BF136" s="489"/>
      <c r="BG136" s="489"/>
      <c r="BH136" s="489"/>
      <c r="BI136" s="489"/>
      <c r="BJ136" s="489"/>
      <c r="BK136" s="489"/>
      <c r="BL136" s="489"/>
      <c r="BM136" s="489"/>
      <c r="BN136" s="489"/>
      <c r="BO136" s="489"/>
      <c r="BP136" s="489"/>
      <c r="BQ136" s="489"/>
      <c r="BR136" s="489"/>
      <c r="BS136" s="489"/>
      <c r="BT136" s="489"/>
      <c r="BU136" s="489"/>
      <c r="BV136" s="489"/>
      <c r="BW136" s="489"/>
      <c r="BX136" s="489"/>
      <c r="BY136" s="489"/>
      <c r="BZ136" s="489"/>
      <c r="CA136" s="489"/>
      <c r="CB136" s="489"/>
      <c r="CC136" s="489"/>
      <c r="CD136" s="489"/>
      <c r="CE136" s="489"/>
      <c r="CF136" s="489"/>
      <c r="CG136" s="489"/>
      <c r="CH136" s="489"/>
      <c r="CI136" s="489"/>
      <c r="CJ136" s="489"/>
      <c r="CK136" s="489"/>
      <c r="CL136" s="489"/>
      <c r="CM136" s="489"/>
      <c r="CN136" s="489"/>
      <c r="CO136" s="489"/>
      <c r="CP136" s="489"/>
      <c r="CQ136" s="489"/>
      <c r="CR136" s="489"/>
      <c r="CS136" s="489"/>
      <c r="CT136" s="489"/>
      <c r="CU136" s="489"/>
      <c r="CV136" s="489"/>
      <c r="CW136" s="489"/>
      <c r="CX136" s="489"/>
      <c r="CY136" s="489"/>
      <c r="CZ136" s="489"/>
      <c r="DA136" s="489"/>
      <c r="DB136" s="489"/>
      <c r="DC136" s="489"/>
      <c r="DD136" s="489"/>
      <c r="DE136" s="489"/>
      <c r="DF136" s="489"/>
      <c r="DG136" s="489"/>
      <c r="DH136" s="489"/>
      <c r="DI136" s="489"/>
      <c r="DJ136" s="489"/>
      <c r="DK136" s="489"/>
      <c r="DL136" s="489"/>
      <c r="DM136" s="489"/>
      <c r="DN136" s="489"/>
      <c r="DO136" s="489"/>
      <c r="DP136" s="489"/>
      <c r="DQ136" s="489"/>
      <c r="DR136" s="489"/>
      <c r="DS136" s="489"/>
      <c r="DT136" s="489"/>
      <c r="DU136" s="489"/>
      <c r="DV136" s="489"/>
      <c r="DW136" s="489"/>
      <c r="DX136" s="489"/>
      <c r="DY136" s="489"/>
      <c r="DZ136" s="489"/>
      <c r="EA136" s="489"/>
      <c r="EB136" s="489"/>
      <c r="EC136" s="489"/>
      <c r="ED136" s="489"/>
      <c r="EE136" s="489"/>
      <c r="EF136" s="489"/>
      <c r="EG136" s="489"/>
      <c r="EH136" s="489"/>
      <c r="EI136" s="489"/>
      <c r="EJ136" s="489"/>
      <c r="EK136" s="489"/>
      <c r="EL136" s="489"/>
      <c r="EM136" s="489"/>
      <c r="EN136" s="489"/>
      <c r="EO136" s="489"/>
      <c r="EP136" s="489"/>
      <c r="EQ136" s="489"/>
      <c r="ER136" s="489"/>
      <c r="ES136" s="489"/>
      <c r="ET136" s="489"/>
      <c r="EU136" s="489"/>
      <c r="EV136" s="489"/>
      <c r="EW136" s="489"/>
      <c r="EX136" s="489"/>
      <c r="EY136" s="489"/>
      <c r="EZ136" s="489"/>
      <c r="FA136" s="489"/>
      <c r="FB136" s="489"/>
      <c r="FC136" s="489"/>
      <c r="FD136" s="489"/>
      <c r="FE136" s="489"/>
      <c r="FF136" s="489"/>
      <c r="FG136" s="489"/>
      <c r="FH136" s="489"/>
      <c r="FI136" s="489"/>
      <c r="FJ136" s="489"/>
      <c r="FK136" s="489"/>
      <c r="FL136" s="489"/>
      <c r="FM136" s="489"/>
      <c r="FN136" s="489"/>
      <c r="FO136" s="489"/>
      <c r="FP136" s="489"/>
      <c r="FQ136" s="489"/>
      <c r="FR136" s="489"/>
      <c r="FS136" s="489"/>
      <c r="FT136" s="489"/>
      <c r="FU136" s="489"/>
      <c r="FV136" s="489"/>
      <c r="FW136" s="489"/>
      <c r="FX136" s="489"/>
      <c r="FY136" s="489"/>
      <c r="FZ136" s="489"/>
      <c r="GA136" s="489"/>
      <c r="GB136" s="489"/>
      <c r="GC136" s="489"/>
      <c r="GD136" s="489"/>
      <c r="GE136" s="489"/>
      <c r="GF136" s="489"/>
      <c r="GG136" s="489"/>
      <c r="GH136" s="489"/>
      <c r="GI136" s="489"/>
      <c r="GJ136" s="489"/>
      <c r="GK136" s="489"/>
      <c r="GL136" s="489"/>
      <c r="GM136" s="489"/>
      <c r="GN136" s="489"/>
      <c r="GO136" s="489"/>
      <c r="GP136" s="489"/>
      <c r="GQ136" s="489"/>
      <c r="GR136" s="489"/>
      <c r="GS136" s="489"/>
      <c r="GT136" s="489"/>
      <c r="GU136" s="489"/>
      <c r="GV136" s="489"/>
      <c r="GW136" s="489"/>
      <c r="GX136" s="489"/>
      <c r="GY136" s="489"/>
      <c r="GZ136" s="489"/>
      <c r="HA136" s="489"/>
      <c r="HB136" s="489"/>
      <c r="HC136" s="489"/>
      <c r="HD136" s="489"/>
      <c r="HE136" s="489"/>
      <c r="HF136" s="489"/>
      <c r="HG136" s="489"/>
      <c r="HH136" s="489"/>
      <c r="HI136" s="489"/>
      <c r="HJ136" s="489"/>
      <c r="HK136" s="489"/>
      <c r="HL136" s="489"/>
      <c r="HM136" s="489"/>
      <c r="HN136" s="489"/>
      <c r="HO136" s="489"/>
      <c r="HP136" s="489"/>
      <c r="HQ136" s="489"/>
      <c r="HR136" s="489"/>
      <c r="HS136" s="489"/>
      <c r="HT136" s="489"/>
      <c r="HU136" s="489"/>
      <c r="HV136" s="489"/>
      <c r="HW136" s="489"/>
      <c r="HX136" s="487"/>
    </row>
    <row r="137" spans="1:232" s="488" customFormat="1" ht="19.5" customHeight="1">
      <c r="A137" s="490"/>
      <c r="B137" s="1602" t="s">
        <v>474</v>
      </c>
      <c r="C137" s="1602"/>
      <c r="D137" s="1602"/>
      <c r="E137" s="1602"/>
      <c r="F137" s="1602"/>
      <c r="G137" s="1602"/>
      <c r="H137" s="1602"/>
      <c r="I137" s="1602"/>
      <c r="J137" s="1602"/>
      <c r="K137" s="491"/>
      <c r="L137" s="477"/>
      <c r="M137" s="477"/>
      <c r="N137" s="492"/>
      <c r="O137" s="492"/>
      <c r="P137" s="492"/>
      <c r="Q137" s="492"/>
      <c r="R137" s="492"/>
      <c r="S137" s="492"/>
      <c r="T137" s="492"/>
      <c r="U137" s="489"/>
      <c r="V137" s="489"/>
      <c r="W137" s="489"/>
      <c r="X137" s="489"/>
      <c r="Y137" s="489"/>
      <c r="Z137" s="489"/>
      <c r="AA137" s="489"/>
      <c r="AB137" s="489"/>
      <c r="AC137" s="489"/>
      <c r="AD137" s="489"/>
      <c r="AE137" s="489"/>
      <c r="AF137" s="489"/>
      <c r="AG137" s="489"/>
      <c r="AH137" s="489"/>
      <c r="AI137" s="489"/>
      <c r="AJ137" s="489"/>
      <c r="AK137" s="489"/>
      <c r="AL137" s="489"/>
      <c r="AM137" s="489"/>
      <c r="AN137" s="489"/>
      <c r="AO137" s="489"/>
      <c r="AP137" s="489"/>
      <c r="AQ137" s="489"/>
      <c r="AR137" s="489"/>
      <c r="AS137" s="489"/>
      <c r="AT137" s="489"/>
      <c r="AU137" s="489"/>
      <c r="AV137" s="489"/>
      <c r="AW137" s="489"/>
      <c r="AX137" s="489"/>
      <c r="AY137" s="489"/>
      <c r="AZ137" s="489"/>
      <c r="BA137" s="489"/>
      <c r="BB137" s="489"/>
      <c r="BC137" s="489"/>
      <c r="BD137" s="489"/>
      <c r="BE137" s="489"/>
      <c r="BF137" s="489"/>
      <c r="BG137" s="489"/>
      <c r="BH137" s="489"/>
      <c r="BI137" s="489"/>
      <c r="BJ137" s="489"/>
      <c r="BK137" s="489"/>
      <c r="BL137" s="489"/>
      <c r="BM137" s="489"/>
      <c r="BN137" s="489"/>
      <c r="BO137" s="489"/>
      <c r="BP137" s="489"/>
      <c r="BQ137" s="489"/>
      <c r="BR137" s="489"/>
      <c r="BS137" s="489"/>
      <c r="BT137" s="489"/>
      <c r="BU137" s="489"/>
      <c r="BV137" s="489"/>
      <c r="BW137" s="489"/>
      <c r="BX137" s="489"/>
      <c r="BY137" s="489"/>
      <c r="BZ137" s="489"/>
      <c r="CA137" s="489"/>
      <c r="CB137" s="489"/>
      <c r="CC137" s="489"/>
      <c r="CD137" s="489"/>
      <c r="CE137" s="489"/>
      <c r="CF137" s="489"/>
      <c r="CG137" s="489"/>
      <c r="CH137" s="489"/>
      <c r="CI137" s="489"/>
      <c r="CJ137" s="489"/>
      <c r="CK137" s="489"/>
      <c r="CL137" s="489"/>
      <c r="CM137" s="489"/>
      <c r="CN137" s="489"/>
      <c r="CO137" s="489"/>
      <c r="CP137" s="489"/>
      <c r="CQ137" s="489"/>
      <c r="CR137" s="489"/>
      <c r="CS137" s="489"/>
      <c r="CT137" s="489"/>
      <c r="CU137" s="489"/>
      <c r="CV137" s="489"/>
      <c r="CW137" s="489"/>
      <c r="CX137" s="489"/>
      <c r="CY137" s="489"/>
      <c r="CZ137" s="489"/>
      <c r="DA137" s="489"/>
      <c r="DB137" s="489"/>
      <c r="DC137" s="489"/>
      <c r="DD137" s="489"/>
      <c r="DE137" s="489"/>
      <c r="DF137" s="489"/>
      <c r="DG137" s="489"/>
      <c r="DH137" s="489"/>
      <c r="DI137" s="489"/>
      <c r="DJ137" s="489"/>
      <c r="DK137" s="489"/>
      <c r="DL137" s="489"/>
      <c r="DM137" s="489"/>
      <c r="DN137" s="489"/>
      <c r="DO137" s="489"/>
      <c r="DP137" s="489"/>
      <c r="DQ137" s="489"/>
      <c r="DR137" s="489"/>
      <c r="DS137" s="489"/>
      <c r="DT137" s="489"/>
      <c r="DU137" s="489"/>
      <c r="DV137" s="489"/>
      <c r="DW137" s="489"/>
      <c r="DX137" s="489"/>
      <c r="DY137" s="489"/>
      <c r="DZ137" s="489"/>
      <c r="EA137" s="489"/>
      <c r="EB137" s="489"/>
      <c r="EC137" s="489"/>
      <c r="ED137" s="489"/>
      <c r="EE137" s="489"/>
      <c r="EF137" s="489"/>
      <c r="EG137" s="489"/>
      <c r="EH137" s="489"/>
      <c r="EI137" s="489"/>
      <c r="EJ137" s="489"/>
      <c r="EK137" s="489"/>
      <c r="EL137" s="489"/>
      <c r="EM137" s="489"/>
      <c r="EN137" s="489"/>
      <c r="EO137" s="489"/>
      <c r="EP137" s="489"/>
      <c r="EQ137" s="489"/>
      <c r="ER137" s="489"/>
      <c r="ES137" s="489"/>
      <c r="ET137" s="489"/>
      <c r="EU137" s="489"/>
      <c r="EV137" s="489"/>
      <c r="EW137" s="489"/>
      <c r="EX137" s="489"/>
      <c r="EY137" s="489"/>
      <c r="EZ137" s="489"/>
      <c r="FA137" s="489"/>
      <c r="FB137" s="489"/>
      <c r="FC137" s="489"/>
      <c r="FD137" s="489"/>
      <c r="FE137" s="489"/>
      <c r="FF137" s="489"/>
      <c r="FG137" s="489"/>
      <c r="FH137" s="489"/>
      <c r="FI137" s="489"/>
      <c r="FJ137" s="489"/>
      <c r="FK137" s="489"/>
      <c r="FL137" s="489"/>
      <c r="FM137" s="489"/>
      <c r="FN137" s="489"/>
      <c r="FO137" s="489"/>
      <c r="FP137" s="489"/>
      <c r="FQ137" s="489"/>
      <c r="FR137" s="489"/>
      <c r="FS137" s="489"/>
      <c r="FT137" s="489"/>
      <c r="FU137" s="489"/>
      <c r="FV137" s="489"/>
      <c r="FW137" s="489"/>
      <c r="FX137" s="489"/>
      <c r="FY137" s="489"/>
      <c r="FZ137" s="489"/>
      <c r="GA137" s="489"/>
      <c r="GB137" s="489"/>
      <c r="GC137" s="489"/>
      <c r="GD137" s="489"/>
      <c r="GE137" s="489"/>
      <c r="GF137" s="489"/>
      <c r="GG137" s="489"/>
      <c r="GH137" s="489"/>
      <c r="GI137" s="489"/>
      <c r="GJ137" s="489"/>
      <c r="GK137" s="489"/>
      <c r="GL137" s="489"/>
      <c r="GM137" s="489"/>
      <c r="GN137" s="489"/>
      <c r="GO137" s="489"/>
      <c r="GP137" s="489"/>
      <c r="GQ137" s="489"/>
      <c r="GR137" s="489"/>
      <c r="GS137" s="489"/>
      <c r="GT137" s="489"/>
      <c r="GU137" s="489"/>
      <c r="GV137" s="489"/>
      <c r="GW137" s="489"/>
      <c r="GX137" s="489"/>
      <c r="GY137" s="489"/>
      <c r="GZ137" s="489"/>
      <c r="HA137" s="489"/>
      <c r="HB137" s="489"/>
      <c r="HC137" s="489"/>
      <c r="HD137" s="489"/>
      <c r="HE137" s="489"/>
      <c r="HF137" s="489"/>
      <c r="HG137" s="489"/>
      <c r="HH137" s="489"/>
      <c r="HI137" s="489"/>
      <c r="HJ137" s="489"/>
      <c r="HK137" s="489"/>
      <c r="HL137" s="489"/>
      <c r="HM137" s="489"/>
      <c r="HN137" s="489"/>
      <c r="HO137" s="489"/>
      <c r="HP137" s="489"/>
      <c r="HQ137" s="489"/>
      <c r="HR137" s="489"/>
      <c r="HS137" s="489"/>
      <c r="HT137" s="489"/>
      <c r="HU137" s="489"/>
      <c r="HV137" s="489"/>
      <c r="HW137" s="489"/>
      <c r="HX137" s="487"/>
    </row>
    <row r="138" spans="1:232" s="45" customFormat="1" ht="20.100000000000001" customHeight="1">
      <c r="A138" s="493" t="s">
        <v>109</v>
      </c>
      <c r="B138" s="489"/>
      <c r="C138" s="489"/>
      <c r="D138" s="489"/>
      <c r="E138" s="489"/>
      <c r="F138" s="489"/>
      <c r="G138" s="489"/>
      <c r="H138" s="489"/>
      <c r="I138" s="489"/>
      <c r="J138" s="489"/>
      <c r="K138" s="489"/>
      <c r="L138" s="494"/>
      <c r="M138" s="494"/>
      <c r="N138" s="492"/>
      <c r="O138" s="492"/>
      <c r="P138" s="492"/>
      <c r="Q138" s="492"/>
      <c r="R138" s="492"/>
      <c r="S138" s="492"/>
      <c r="T138" s="495"/>
      <c r="U138" s="496"/>
      <c r="V138" s="496"/>
      <c r="W138" s="496"/>
      <c r="X138" s="496"/>
      <c r="Y138" s="496"/>
      <c r="Z138" s="496"/>
      <c r="AA138" s="496"/>
      <c r="AB138" s="496"/>
      <c r="AC138" s="496"/>
      <c r="AD138" s="496"/>
      <c r="AE138" s="496"/>
      <c r="AF138" s="496"/>
      <c r="AG138" s="496"/>
      <c r="AH138" s="496"/>
      <c r="AI138" s="496"/>
      <c r="AJ138" s="496"/>
      <c r="AK138" s="496"/>
      <c r="AL138" s="496"/>
      <c r="AM138" s="496"/>
      <c r="AN138" s="496"/>
      <c r="AO138" s="496"/>
      <c r="AP138" s="496"/>
      <c r="AQ138" s="496"/>
      <c r="AR138" s="496"/>
      <c r="AS138" s="496"/>
      <c r="AT138" s="496"/>
      <c r="AU138" s="496"/>
      <c r="AV138" s="496"/>
      <c r="AW138" s="496"/>
      <c r="AX138" s="496"/>
      <c r="AY138" s="496"/>
      <c r="AZ138" s="496"/>
      <c r="BA138" s="496"/>
      <c r="BB138" s="496"/>
      <c r="BC138" s="496"/>
      <c r="BD138" s="496"/>
      <c r="BE138" s="496"/>
      <c r="BF138" s="496"/>
      <c r="BG138" s="496"/>
      <c r="BH138" s="496"/>
      <c r="BI138" s="496"/>
      <c r="BJ138" s="496"/>
      <c r="BK138" s="496"/>
      <c r="BL138" s="496"/>
      <c r="BM138" s="496"/>
      <c r="BN138" s="496"/>
      <c r="BO138" s="496"/>
      <c r="BP138" s="496"/>
      <c r="BQ138" s="496"/>
      <c r="BR138" s="496"/>
      <c r="BS138" s="496"/>
      <c r="BT138" s="496"/>
      <c r="BU138" s="496"/>
      <c r="BV138" s="496"/>
      <c r="BW138" s="496"/>
      <c r="BX138" s="496"/>
      <c r="BY138" s="496"/>
      <c r="BZ138" s="496"/>
      <c r="CA138" s="496"/>
      <c r="CB138" s="496"/>
      <c r="CC138" s="496"/>
      <c r="CD138" s="496"/>
      <c r="CE138" s="496"/>
      <c r="CF138" s="496"/>
      <c r="CG138" s="496"/>
      <c r="CH138" s="496"/>
      <c r="CI138" s="496"/>
      <c r="CJ138" s="496"/>
      <c r="CK138" s="496"/>
      <c r="CL138" s="496"/>
      <c r="CM138" s="496"/>
      <c r="CN138" s="496"/>
      <c r="CO138" s="496"/>
      <c r="CP138" s="496"/>
      <c r="CQ138" s="496"/>
      <c r="CR138" s="496"/>
      <c r="CS138" s="496"/>
      <c r="CT138" s="496"/>
      <c r="CU138" s="496"/>
      <c r="CV138" s="496"/>
      <c r="CW138" s="496"/>
      <c r="CX138" s="496"/>
      <c r="CY138" s="496"/>
      <c r="CZ138" s="496"/>
      <c r="DA138" s="496"/>
      <c r="DB138" s="496"/>
      <c r="DC138" s="496"/>
      <c r="DD138" s="496"/>
      <c r="DE138" s="496"/>
      <c r="DF138" s="496"/>
      <c r="DG138" s="496"/>
      <c r="DH138" s="496"/>
      <c r="DI138" s="496"/>
      <c r="DJ138" s="496"/>
      <c r="DK138" s="496"/>
      <c r="DL138" s="496"/>
      <c r="DM138" s="496"/>
      <c r="DN138" s="496"/>
      <c r="DO138" s="496"/>
      <c r="DP138" s="496"/>
      <c r="DQ138" s="496"/>
      <c r="DR138" s="496"/>
      <c r="DS138" s="496"/>
      <c r="DT138" s="496"/>
      <c r="DU138" s="496"/>
      <c r="DV138" s="496"/>
      <c r="DW138" s="496"/>
      <c r="DX138" s="496"/>
      <c r="DY138" s="496"/>
      <c r="DZ138" s="496"/>
      <c r="EA138" s="496"/>
      <c r="EB138" s="496"/>
      <c r="EC138" s="496"/>
      <c r="ED138" s="496"/>
      <c r="EE138" s="496"/>
      <c r="EF138" s="496"/>
      <c r="EG138" s="496"/>
      <c r="EH138" s="496"/>
      <c r="EI138" s="496"/>
      <c r="EJ138" s="496"/>
      <c r="EK138" s="496"/>
      <c r="EL138" s="496"/>
      <c r="EM138" s="496"/>
      <c r="EN138" s="496"/>
      <c r="EO138" s="496"/>
      <c r="EP138" s="496"/>
      <c r="EQ138" s="496"/>
      <c r="ER138" s="496"/>
      <c r="ES138" s="496"/>
      <c r="ET138" s="496"/>
      <c r="EU138" s="496"/>
      <c r="EV138" s="496"/>
      <c r="EW138" s="496"/>
      <c r="EX138" s="496"/>
      <c r="EY138" s="496"/>
      <c r="EZ138" s="496"/>
      <c r="FA138" s="496"/>
      <c r="FB138" s="496"/>
      <c r="FC138" s="496"/>
      <c r="FD138" s="496"/>
      <c r="FE138" s="496"/>
      <c r="FF138" s="496"/>
      <c r="FG138" s="496"/>
      <c r="FH138" s="496"/>
      <c r="FI138" s="496"/>
      <c r="FJ138" s="496"/>
      <c r="FK138" s="496"/>
      <c r="FL138" s="496"/>
      <c r="FM138" s="496"/>
      <c r="FN138" s="496"/>
      <c r="FO138" s="496"/>
      <c r="FP138" s="496"/>
      <c r="FQ138" s="496"/>
      <c r="FR138" s="496"/>
      <c r="FS138" s="496"/>
      <c r="FT138" s="496"/>
      <c r="FU138" s="496"/>
      <c r="FV138" s="496"/>
      <c r="FW138" s="496"/>
      <c r="FX138" s="496"/>
      <c r="FY138" s="496"/>
      <c r="FZ138" s="496"/>
      <c r="GA138" s="496"/>
      <c r="GB138" s="496"/>
      <c r="GC138" s="496"/>
      <c r="GD138" s="496"/>
      <c r="GE138" s="496"/>
      <c r="GF138" s="496"/>
      <c r="GG138" s="496"/>
      <c r="GH138" s="496"/>
      <c r="GI138" s="496"/>
      <c r="GJ138" s="496"/>
      <c r="GK138" s="496"/>
      <c r="GL138" s="496"/>
      <c r="GM138" s="496"/>
      <c r="GN138" s="496"/>
      <c r="GO138" s="496"/>
      <c r="GP138" s="496"/>
      <c r="GQ138" s="496"/>
      <c r="GR138" s="496"/>
      <c r="GS138" s="496"/>
      <c r="GT138" s="496"/>
      <c r="GU138" s="496"/>
      <c r="GV138" s="496"/>
      <c r="GW138" s="496"/>
      <c r="GX138" s="496"/>
      <c r="GY138" s="496"/>
      <c r="GZ138" s="496"/>
      <c r="HA138" s="496"/>
      <c r="HB138" s="496"/>
      <c r="HC138" s="496"/>
      <c r="HD138" s="496"/>
      <c r="HE138" s="496"/>
      <c r="HF138" s="496"/>
      <c r="HG138" s="496"/>
      <c r="HH138" s="496"/>
      <c r="HI138" s="496"/>
      <c r="HJ138" s="496"/>
      <c r="HK138" s="496"/>
      <c r="HL138" s="496"/>
      <c r="HM138" s="496"/>
      <c r="HN138" s="496"/>
      <c r="HO138" s="496"/>
      <c r="HP138" s="496"/>
      <c r="HQ138" s="496"/>
      <c r="HR138" s="496"/>
      <c r="HS138" s="496"/>
      <c r="HT138" s="496"/>
      <c r="HU138" s="496"/>
      <c r="HV138" s="496"/>
      <c r="HW138" s="490"/>
      <c r="HX138" s="490"/>
    </row>
    <row r="139" spans="1:232" s="5" customFormat="1" ht="20.100000000000001" customHeight="1">
      <c r="A139" s="497" t="s">
        <v>110</v>
      </c>
      <c r="B139" s="498"/>
      <c r="C139" s="498"/>
      <c r="D139" s="498"/>
      <c r="E139" s="498"/>
      <c r="F139" s="498"/>
      <c r="G139" s="498"/>
      <c r="H139" s="498"/>
      <c r="I139" s="498"/>
      <c r="J139" s="498"/>
      <c r="K139" s="498"/>
      <c r="L139" s="494"/>
      <c r="M139" s="494"/>
      <c r="N139" s="495"/>
      <c r="O139" s="495"/>
      <c r="P139" s="495"/>
      <c r="Q139" s="495"/>
      <c r="R139" s="495"/>
      <c r="S139" s="495"/>
      <c r="T139" s="495"/>
      <c r="U139" s="489"/>
      <c r="V139" s="489"/>
      <c r="W139" s="489"/>
      <c r="X139" s="489"/>
      <c r="Y139" s="489"/>
      <c r="Z139" s="489"/>
      <c r="AA139" s="489"/>
      <c r="AB139" s="489"/>
      <c r="AC139" s="489"/>
      <c r="AD139" s="489"/>
      <c r="AE139" s="489"/>
      <c r="AF139" s="489"/>
      <c r="AG139" s="489"/>
      <c r="AH139" s="489"/>
      <c r="AI139" s="489"/>
      <c r="AJ139" s="489"/>
      <c r="AK139" s="489"/>
      <c r="AL139" s="489"/>
      <c r="AM139" s="489"/>
      <c r="AN139" s="489"/>
      <c r="AO139" s="489"/>
      <c r="AP139" s="489"/>
      <c r="AQ139" s="489"/>
      <c r="AR139" s="489"/>
      <c r="AS139" s="489"/>
      <c r="AT139" s="489"/>
      <c r="AU139" s="489"/>
      <c r="AV139" s="489"/>
      <c r="AW139" s="489"/>
      <c r="AX139" s="489"/>
      <c r="AY139" s="489"/>
      <c r="AZ139" s="489"/>
      <c r="BA139" s="489"/>
      <c r="BB139" s="489"/>
      <c r="BC139" s="489"/>
      <c r="BD139" s="489"/>
      <c r="BE139" s="489"/>
      <c r="BF139" s="489"/>
      <c r="BG139" s="489"/>
      <c r="BH139" s="489"/>
      <c r="BI139" s="489"/>
      <c r="BJ139" s="489"/>
      <c r="BK139" s="489"/>
      <c r="BL139" s="489"/>
      <c r="BM139" s="489"/>
      <c r="BN139" s="489"/>
      <c r="BO139" s="489"/>
      <c r="BP139" s="489"/>
      <c r="BQ139" s="489"/>
      <c r="BR139" s="489"/>
      <c r="BS139" s="489"/>
      <c r="BT139" s="489"/>
      <c r="BU139" s="489"/>
      <c r="BV139" s="489"/>
      <c r="BW139" s="489"/>
      <c r="BX139" s="489"/>
      <c r="BY139" s="489"/>
      <c r="BZ139" s="489"/>
      <c r="CA139" s="489"/>
      <c r="CB139" s="489"/>
      <c r="CC139" s="489"/>
      <c r="CD139" s="489"/>
      <c r="CE139" s="489"/>
      <c r="CF139" s="489"/>
      <c r="CG139" s="489"/>
      <c r="CH139" s="489"/>
      <c r="CI139" s="489"/>
      <c r="CJ139" s="489"/>
      <c r="CK139" s="489"/>
      <c r="CL139" s="489"/>
      <c r="CM139" s="489"/>
      <c r="CN139" s="489"/>
      <c r="CO139" s="489"/>
      <c r="CP139" s="489"/>
      <c r="CQ139" s="489"/>
      <c r="CR139" s="489"/>
      <c r="CS139" s="489"/>
      <c r="CT139" s="489"/>
      <c r="CU139" s="489"/>
      <c r="CV139" s="489"/>
      <c r="CW139" s="489"/>
      <c r="CX139" s="489"/>
      <c r="CY139" s="489"/>
      <c r="CZ139" s="489"/>
      <c r="DA139" s="489"/>
      <c r="DB139" s="489"/>
      <c r="DC139" s="489"/>
      <c r="DD139" s="489"/>
      <c r="DE139" s="489"/>
      <c r="DF139" s="489"/>
      <c r="DG139" s="489"/>
      <c r="DH139" s="489"/>
      <c r="DI139" s="489"/>
      <c r="DJ139" s="489"/>
      <c r="DK139" s="489"/>
      <c r="DL139" s="489"/>
      <c r="DM139" s="489"/>
      <c r="DN139" s="489"/>
      <c r="DO139" s="489"/>
      <c r="DP139" s="489"/>
      <c r="DQ139" s="489"/>
      <c r="DR139" s="489"/>
      <c r="DS139" s="489"/>
      <c r="DT139" s="489"/>
      <c r="DU139" s="489"/>
      <c r="DV139" s="489"/>
      <c r="DW139" s="489"/>
      <c r="DX139" s="489"/>
      <c r="DY139" s="489"/>
      <c r="DZ139" s="489"/>
      <c r="EA139" s="489"/>
      <c r="EB139" s="489"/>
      <c r="EC139" s="489"/>
      <c r="ED139" s="489"/>
      <c r="EE139" s="489"/>
      <c r="EF139" s="489"/>
      <c r="EG139" s="489"/>
      <c r="EH139" s="489"/>
      <c r="EI139" s="489"/>
      <c r="EJ139" s="489"/>
      <c r="EK139" s="489"/>
      <c r="EL139" s="489"/>
      <c r="EM139" s="489"/>
      <c r="EN139" s="489"/>
      <c r="EO139" s="489"/>
      <c r="EP139" s="489"/>
      <c r="EQ139" s="489"/>
      <c r="ER139" s="489"/>
      <c r="ES139" s="489"/>
      <c r="ET139" s="489"/>
      <c r="EU139" s="489"/>
      <c r="EV139" s="489"/>
      <c r="EW139" s="489"/>
      <c r="EX139" s="489"/>
      <c r="EY139" s="489"/>
      <c r="EZ139" s="489"/>
      <c r="FA139" s="489"/>
      <c r="FB139" s="489"/>
      <c r="FC139" s="489"/>
      <c r="FD139" s="489"/>
      <c r="FE139" s="489"/>
      <c r="FF139" s="489"/>
      <c r="FG139" s="489"/>
      <c r="FH139" s="489"/>
      <c r="FI139" s="489"/>
      <c r="FJ139" s="489"/>
      <c r="FK139" s="489"/>
      <c r="FL139" s="489"/>
      <c r="FM139" s="489"/>
      <c r="FN139" s="489"/>
      <c r="FO139" s="489"/>
      <c r="FP139" s="489"/>
      <c r="FQ139" s="489"/>
      <c r="FR139" s="489"/>
      <c r="FS139" s="489"/>
      <c r="FT139" s="489"/>
      <c r="FU139" s="489"/>
      <c r="FV139" s="489"/>
      <c r="FW139" s="489"/>
      <c r="FX139" s="489"/>
      <c r="FY139" s="489"/>
      <c r="FZ139" s="489"/>
      <c r="GA139" s="489"/>
      <c r="GB139" s="489"/>
      <c r="GC139" s="489"/>
      <c r="GD139" s="489"/>
      <c r="GE139" s="489"/>
      <c r="GF139" s="489"/>
      <c r="GG139" s="489"/>
      <c r="GH139" s="489"/>
      <c r="GI139" s="489"/>
      <c r="GJ139" s="489"/>
      <c r="GK139" s="489"/>
      <c r="GL139" s="489"/>
      <c r="GM139" s="489"/>
      <c r="GN139" s="489"/>
      <c r="GO139" s="489"/>
      <c r="GP139" s="489"/>
      <c r="GQ139" s="489"/>
      <c r="GR139" s="489"/>
      <c r="GS139" s="489"/>
      <c r="GT139" s="489"/>
      <c r="GU139" s="489"/>
      <c r="GV139" s="489"/>
      <c r="GW139" s="489"/>
      <c r="GX139" s="489"/>
      <c r="GY139" s="489"/>
      <c r="GZ139" s="489"/>
      <c r="HA139" s="489"/>
      <c r="HB139" s="489"/>
      <c r="HC139" s="489"/>
      <c r="HD139" s="489"/>
      <c r="HE139" s="489"/>
      <c r="HF139" s="489"/>
      <c r="HG139" s="489"/>
      <c r="HH139" s="489"/>
      <c r="HI139" s="489"/>
      <c r="HJ139" s="489"/>
      <c r="HK139" s="489"/>
      <c r="HL139" s="489"/>
      <c r="HM139" s="489"/>
      <c r="HN139" s="489"/>
      <c r="HO139" s="489"/>
      <c r="HP139" s="489"/>
      <c r="HQ139" s="489"/>
      <c r="HR139" s="489"/>
      <c r="HS139" s="489"/>
      <c r="HT139" s="489"/>
      <c r="HU139" s="489"/>
      <c r="HV139" s="489"/>
      <c r="HW139" s="489"/>
      <c r="HX139" s="358"/>
    </row>
    <row r="140" spans="1:232" s="5" customFormat="1" ht="20.100000000000001" customHeight="1">
      <c r="A140" s="497" t="s">
        <v>111</v>
      </c>
      <c r="B140" s="498"/>
      <c r="C140" s="498"/>
      <c r="D140" s="498"/>
      <c r="E140" s="498"/>
      <c r="F140" s="498"/>
      <c r="G140" s="498"/>
      <c r="H140" s="498"/>
      <c r="I140" s="498"/>
      <c r="J140" s="498"/>
      <c r="K140" s="498"/>
      <c r="L140" s="494"/>
      <c r="M140" s="494"/>
      <c r="N140" s="495"/>
      <c r="O140" s="495"/>
      <c r="P140" s="495"/>
      <c r="Q140" s="495"/>
      <c r="R140" s="495"/>
      <c r="S140" s="495"/>
      <c r="T140" s="495"/>
      <c r="U140" s="499"/>
      <c r="V140" s="499"/>
      <c r="W140" s="499"/>
      <c r="X140" s="499"/>
      <c r="Y140" s="499"/>
      <c r="Z140" s="499"/>
      <c r="AA140" s="499"/>
      <c r="AB140" s="499"/>
      <c r="AC140" s="499"/>
      <c r="AD140" s="499"/>
      <c r="AE140" s="499"/>
      <c r="AF140" s="499"/>
      <c r="AG140" s="499"/>
      <c r="AH140" s="499"/>
      <c r="AI140" s="499"/>
      <c r="AJ140" s="499"/>
      <c r="AK140" s="499"/>
      <c r="AL140" s="499"/>
      <c r="AM140" s="499"/>
      <c r="AN140" s="499"/>
      <c r="AO140" s="499"/>
      <c r="AP140" s="499"/>
      <c r="AQ140" s="499"/>
      <c r="AR140" s="499"/>
      <c r="AS140" s="499"/>
      <c r="AT140" s="499"/>
      <c r="AU140" s="499"/>
      <c r="AV140" s="499"/>
      <c r="AW140" s="499"/>
      <c r="AX140" s="499"/>
      <c r="AY140" s="499"/>
      <c r="AZ140" s="499"/>
      <c r="BA140" s="499"/>
      <c r="BB140" s="499"/>
      <c r="BC140" s="499"/>
      <c r="BD140" s="499"/>
      <c r="BE140" s="499"/>
      <c r="BF140" s="499"/>
      <c r="BG140" s="499"/>
      <c r="BH140" s="499"/>
      <c r="BI140" s="499"/>
      <c r="BJ140" s="499"/>
      <c r="BK140" s="499"/>
      <c r="BL140" s="499"/>
      <c r="BM140" s="499"/>
      <c r="BN140" s="499"/>
      <c r="BO140" s="499"/>
      <c r="BP140" s="499"/>
      <c r="BQ140" s="499"/>
      <c r="BR140" s="499"/>
      <c r="BS140" s="499"/>
      <c r="BT140" s="499"/>
      <c r="BU140" s="499"/>
      <c r="BV140" s="499"/>
      <c r="BW140" s="499"/>
      <c r="BX140" s="499"/>
      <c r="BY140" s="499"/>
      <c r="BZ140" s="499"/>
      <c r="CA140" s="499"/>
      <c r="CB140" s="499"/>
      <c r="CC140" s="499"/>
      <c r="CD140" s="499"/>
      <c r="CE140" s="499"/>
      <c r="CF140" s="499"/>
      <c r="CG140" s="499"/>
      <c r="CH140" s="499"/>
      <c r="CI140" s="499"/>
      <c r="CJ140" s="499"/>
      <c r="CK140" s="499"/>
      <c r="CL140" s="499"/>
      <c r="CM140" s="499"/>
      <c r="CN140" s="499"/>
      <c r="CO140" s="499"/>
      <c r="CP140" s="499"/>
      <c r="CQ140" s="499"/>
      <c r="CR140" s="499"/>
      <c r="CS140" s="499"/>
      <c r="CT140" s="499"/>
      <c r="CU140" s="499"/>
      <c r="CV140" s="499"/>
      <c r="CW140" s="499"/>
      <c r="CX140" s="499"/>
      <c r="CY140" s="499"/>
      <c r="CZ140" s="499"/>
      <c r="DA140" s="499"/>
      <c r="DB140" s="499"/>
      <c r="DC140" s="499"/>
      <c r="DD140" s="499"/>
      <c r="DE140" s="499"/>
      <c r="DF140" s="499"/>
      <c r="DG140" s="499"/>
      <c r="DH140" s="499"/>
      <c r="DI140" s="499"/>
      <c r="DJ140" s="499"/>
      <c r="DK140" s="499"/>
      <c r="DL140" s="499"/>
      <c r="DM140" s="499"/>
      <c r="DN140" s="499"/>
      <c r="DO140" s="499"/>
      <c r="DP140" s="499"/>
      <c r="DQ140" s="499"/>
      <c r="DR140" s="499"/>
      <c r="DS140" s="499"/>
      <c r="DT140" s="499"/>
      <c r="DU140" s="499"/>
      <c r="DV140" s="499"/>
      <c r="DW140" s="499"/>
      <c r="DX140" s="499"/>
      <c r="DY140" s="499"/>
      <c r="DZ140" s="499"/>
      <c r="EA140" s="499"/>
      <c r="EB140" s="499"/>
      <c r="EC140" s="499"/>
      <c r="ED140" s="499"/>
      <c r="EE140" s="499"/>
      <c r="EF140" s="499"/>
      <c r="EG140" s="499"/>
      <c r="EH140" s="499"/>
      <c r="EI140" s="499"/>
      <c r="EJ140" s="499"/>
      <c r="EK140" s="499"/>
      <c r="EL140" s="499"/>
      <c r="EM140" s="499"/>
      <c r="EN140" s="499"/>
      <c r="EO140" s="499"/>
      <c r="EP140" s="499"/>
      <c r="EQ140" s="499"/>
      <c r="ER140" s="499"/>
      <c r="ES140" s="499"/>
      <c r="ET140" s="499"/>
      <c r="EU140" s="499"/>
      <c r="EV140" s="499"/>
      <c r="EW140" s="499"/>
      <c r="EX140" s="499"/>
      <c r="EY140" s="499"/>
      <c r="EZ140" s="499"/>
      <c r="FA140" s="499"/>
      <c r="FB140" s="499"/>
      <c r="FC140" s="499"/>
      <c r="FD140" s="499"/>
      <c r="FE140" s="499"/>
      <c r="FF140" s="499"/>
      <c r="FG140" s="499"/>
      <c r="FH140" s="499"/>
      <c r="FI140" s="499"/>
      <c r="FJ140" s="499"/>
      <c r="FK140" s="499"/>
      <c r="FL140" s="499"/>
      <c r="FM140" s="499"/>
      <c r="FN140" s="499"/>
      <c r="FO140" s="499"/>
      <c r="FP140" s="499"/>
      <c r="FQ140" s="499"/>
      <c r="FR140" s="499"/>
      <c r="FS140" s="499"/>
      <c r="FT140" s="499"/>
      <c r="FU140" s="499"/>
      <c r="FV140" s="499"/>
      <c r="FW140" s="499"/>
      <c r="FX140" s="499"/>
      <c r="FY140" s="499"/>
      <c r="FZ140" s="499"/>
      <c r="GA140" s="499"/>
      <c r="GB140" s="499"/>
      <c r="GC140" s="499"/>
      <c r="GD140" s="499"/>
      <c r="GE140" s="499"/>
      <c r="GF140" s="499"/>
      <c r="GG140" s="499"/>
      <c r="GH140" s="499"/>
      <c r="GI140" s="499"/>
      <c r="GJ140" s="499"/>
      <c r="GK140" s="499"/>
      <c r="GL140" s="499"/>
      <c r="GM140" s="499"/>
      <c r="GN140" s="499"/>
      <c r="GO140" s="499"/>
      <c r="GP140" s="499"/>
      <c r="GQ140" s="499"/>
      <c r="GR140" s="499"/>
      <c r="GS140" s="499"/>
      <c r="GT140" s="499"/>
      <c r="GU140" s="499"/>
      <c r="GV140" s="499"/>
      <c r="GW140" s="499"/>
      <c r="GX140" s="499"/>
      <c r="GY140" s="499"/>
      <c r="GZ140" s="499"/>
      <c r="HA140" s="499"/>
      <c r="HB140" s="499"/>
      <c r="HC140" s="499"/>
      <c r="HD140" s="499"/>
      <c r="HE140" s="499"/>
      <c r="HF140" s="499"/>
      <c r="HG140" s="499"/>
      <c r="HH140" s="499"/>
      <c r="HI140" s="499"/>
      <c r="HJ140" s="499"/>
      <c r="HK140" s="499"/>
      <c r="HL140" s="499"/>
      <c r="HM140" s="499"/>
      <c r="HN140" s="499"/>
      <c r="HO140" s="499"/>
      <c r="HP140" s="499"/>
      <c r="HQ140" s="499"/>
      <c r="HR140" s="499"/>
      <c r="HS140" s="499"/>
      <c r="HT140" s="499"/>
      <c r="HU140" s="499"/>
      <c r="HV140" s="499"/>
      <c r="HW140" s="499"/>
      <c r="HX140" s="358"/>
    </row>
    <row r="141" spans="1:232" ht="38.25" customHeight="1">
      <c r="A141" s="1607" t="s">
        <v>112</v>
      </c>
      <c r="B141" s="1607"/>
      <c r="C141" s="1607"/>
      <c r="D141" s="1607"/>
      <c r="E141" s="1607"/>
      <c r="F141" s="1607"/>
      <c r="G141" s="1607"/>
      <c r="H141" s="1607"/>
      <c r="I141" s="1607"/>
      <c r="J141" s="1607"/>
      <c r="N141" s="495"/>
      <c r="O141" s="495"/>
      <c r="P141" s="495"/>
      <c r="Q141" s="495"/>
      <c r="R141" s="495"/>
      <c r="S141" s="495"/>
    </row>
    <row r="142" spans="1:232" ht="20.100000000000001" customHeight="1">
      <c r="A142" s="1608" t="s">
        <v>136</v>
      </c>
      <c r="B142" s="1607"/>
      <c r="C142" s="1607"/>
      <c r="D142" s="1607"/>
      <c r="E142" s="1607"/>
      <c r="F142" s="1607"/>
      <c r="G142" s="1607"/>
      <c r="H142" s="1607"/>
      <c r="I142" s="1607"/>
      <c r="J142" s="1607"/>
    </row>
    <row r="143" spans="1:232" ht="20.100000000000001" customHeight="1">
      <c r="A143" s="1604" t="s">
        <v>113</v>
      </c>
      <c r="B143" s="1604"/>
      <c r="C143" s="1604"/>
      <c r="D143" s="1604"/>
      <c r="E143" s="1604"/>
      <c r="F143" s="1604"/>
      <c r="G143" s="1604"/>
      <c r="H143" s="1604"/>
      <c r="I143" s="1604"/>
      <c r="J143" s="1604"/>
    </row>
    <row r="144" spans="1:232" s="5" customFormat="1" ht="20.100000000000001" customHeight="1">
      <c r="A144" s="500" t="s">
        <v>114</v>
      </c>
      <c r="C144" s="501"/>
      <c r="D144" s="501"/>
      <c r="E144" s="501"/>
      <c r="F144" s="501"/>
      <c r="G144" s="501"/>
      <c r="H144" s="501"/>
      <c r="I144" s="501"/>
      <c r="J144" s="502"/>
      <c r="K144" s="502"/>
      <c r="L144" s="494"/>
      <c r="M144" s="494"/>
      <c r="N144" s="464"/>
      <c r="O144" s="464"/>
      <c r="P144" s="464"/>
      <c r="Q144" s="464"/>
      <c r="R144" s="464"/>
      <c r="S144" s="464"/>
      <c r="T144" s="495"/>
      <c r="U144" s="499"/>
      <c r="V144" s="499"/>
      <c r="W144" s="499"/>
      <c r="X144" s="499"/>
      <c r="Y144" s="499"/>
      <c r="Z144" s="499"/>
      <c r="AA144" s="499"/>
      <c r="AB144" s="499"/>
      <c r="AC144" s="499"/>
      <c r="AD144" s="499"/>
      <c r="AE144" s="499"/>
      <c r="AF144" s="499"/>
      <c r="AG144" s="499"/>
      <c r="AH144" s="499"/>
      <c r="AI144" s="499"/>
      <c r="AJ144" s="499"/>
      <c r="AK144" s="499"/>
      <c r="AL144" s="499"/>
      <c r="AM144" s="499"/>
      <c r="AN144" s="499"/>
      <c r="AO144" s="499"/>
      <c r="AP144" s="499"/>
      <c r="AQ144" s="499"/>
      <c r="AR144" s="499"/>
      <c r="AS144" s="499"/>
      <c r="AT144" s="499"/>
      <c r="AU144" s="499"/>
      <c r="AV144" s="499"/>
      <c r="AW144" s="499"/>
      <c r="AX144" s="499"/>
      <c r="AY144" s="499"/>
      <c r="AZ144" s="499"/>
      <c r="BA144" s="499"/>
      <c r="BB144" s="499"/>
      <c r="BC144" s="499"/>
      <c r="BD144" s="499"/>
      <c r="BE144" s="499"/>
      <c r="BF144" s="499"/>
      <c r="BG144" s="499"/>
      <c r="BH144" s="499"/>
      <c r="BI144" s="499"/>
      <c r="BJ144" s="499"/>
      <c r="BK144" s="499"/>
      <c r="BL144" s="499"/>
      <c r="BM144" s="499"/>
      <c r="BN144" s="499"/>
      <c r="BO144" s="499"/>
      <c r="BP144" s="499"/>
      <c r="BQ144" s="499"/>
      <c r="BR144" s="499"/>
      <c r="BS144" s="499"/>
      <c r="BT144" s="499"/>
      <c r="BU144" s="499"/>
      <c r="BV144" s="499"/>
      <c r="BW144" s="499"/>
      <c r="BX144" s="499"/>
      <c r="BY144" s="499"/>
      <c r="BZ144" s="499"/>
      <c r="CA144" s="499"/>
      <c r="CB144" s="499"/>
      <c r="CC144" s="499"/>
      <c r="CD144" s="499"/>
      <c r="CE144" s="499"/>
      <c r="CF144" s="499"/>
      <c r="CG144" s="499"/>
      <c r="CH144" s="499"/>
      <c r="CI144" s="499"/>
      <c r="CJ144" s="499"/>
      <c r="CK144" s="499"/>
      <c r="CL144" s="499"/>
      <c r="CM144" s="499"/>
      <c r="CN144" s="499"/>
      <c r="CO144" s="499"/>
      <c r="CP144" s="499"/>
      <c r="CQ144" s="499"/>
      <c r="CR144" s="499"/>
      <c r="CS144" s="499"/>
      <c r="CT144" s="499"/>
      <c r="CU144" s="499"/>
      <c r="CV144" s="499"/>
      <c r="CW144" s="499"/>
      <c r="CX144" s="499"/>
      <c r="CY144" s="499"/>
      <c r="CZ144" s="499"/>
      <c r="DA144" s="499"/>
      <c r="DB144" s="499"/>
      <c r="DC144" s="499"/>
      <c r="DD144" s="499"/>
      <c r="DE144" s="499"/>
      <c r="DF144" s="499"/>
      <c r="DG144" s="499"/>
      <c r="DH144" s="499"/>
      <c r="DI144" s="499"/>
      <c r="DJ144" s="499"/>
      <c r="DK144" s="499"/>
      <c r="DL144" s="499"/>
      <c r="DM144" s="499"/>
      <c r="DN144" s="499"/>
      <c r="DO144" s="499"/>
      <c r="DP144" s="499"/>
      <c r="DQ144" s="499"/>
      <c r="DR144" s="499"/>
      <c r="DS144" s="499"/>
      <c r="DT144" s="499"/>
      <c r="DU144" s="499"/>
      <c r="DV144" s="499"/>
      <c r="DW144" s="499"/>
      <c r="DX144" s="499"/>
      <c r="DY144" s="499"/>
      <c r="DZ144" s="499"/>
      <c r="EA144" s="499"/>
      <c r="EB144" s="499"/>
      <c r="EC144" s="499"/>
      <c r="ED144" s="499"/>
      <c r="EE144" s="499"/>
      <c r="EF144" s="499"/>
      <c r="EG144" s="499"/>
      <c r="EH144" s="499"/>
      <c r="EI144" s="499"/>
      <c r="EJ144" s="499"/>
      <c r="EK144" s="499"/>
      <c r="EL144" s="499"/>
      <c r="EM144" s="499"/>
      <c r="EN144" s="499"/>
      <c r="EO144" s="499"/>
      <c r="EP144" s="499"/>
      <c r="EQ144" s="499"/>
      <c r="ER144" s="499"/>
      <c r="ES144" s="499"/>
      <c r="ET144" s="499"/>
      <c r="EU144" s="499"/>
      <c r="EV144" s="499"/>
      <c r="EW144" s="499"/>
      <c r="EX144" s="499"/>
      <c r="EY144" s="499"/>
      <c r="EZ144" s="499"/>
      <c r="FA144" s="499"/>
      <c r="FB144" s="499"/>
      <c r="FC144" s="499"/>
      <c r="FD144" s="499"/>
      <c r="FE144" s="499"/>
      <c r="FF144" s="499"/>
      <c r="FG144" s="499"/>
      <c r="FH144" s="499"/>
      <c r="FI144" s="499"/>
      <c r="FJ144" s="499"/>
      <c r="FK144" s="499"/>
      <c r="FL144" s="499"/>
      <c r="FM144" s="499"/>
      <c r="FN144" s="499"/>
      <c r="FO144" s="499"/>
      <c r="FP144" s="499"/>
      <c r="FQ144" s="499"/>
      <c r="FR144" s="499"/>
      <c r="FS144" s="499"/>
      <c r="FT144" s="499"/>
      <c r="FU144" s="499"/>
      <c r="FV144" s="499"/>
      <c r="FW144" s="499"/>
      <c r="FX144" s="499"/>
      <c r="FY144" s="499"/>
      <c r="FZ144" s="499"/>
      <c r="GA144" s="499"/>
      <c r="GB144" s="499"/>
      <c r="GC144" s="499"/>
      <c r="GD144" s="499"/>
      <c r="GE144" s="499"/>
      <c r="GF144" s="499"/>
      <c r="GG144" s="499"/>
      <c r="GH144" s="499"/>
      <c r="GI144" s="499"/>
      <c r="GJ144" s="499"/>
      <c r="GK144" s="499"/>
      <c r="GL144" s="499"/>
      <c r="GM144" s="499"/>
      <c r="GN144" s="499"/>
      <c r="GO144" s="499"/>
      <c r="GP144" s="499"/>
      <c r="GQ144" s="499"/>
      <c r="GR144" s="499"/>
      <c r="GS144" s="499"/>
      <c r="GT144" s="499"/>
      <c r="GU144" s="499"/>
      <c r="GV144" s="499"/>
      <c r="GW144" s="499"/>
      <c r="GX144" s="499"/>
      <c r="GY144" s="499"/>
      <c r="GZ144" s="499"/>
      <c r="HA144" s="499"/>
      <c r="HB144" s="499"/>
      <c r="HC144" s="499"/>
      <c r="HD144" s="499"/>
      <c r="HE144" s="499"/>
      <c r="HF144" s="499"/>
      <c r="HG144" s="499"/>
      <c r="HH144" s="499"/>
      <c r="HI144" s="499"/>
      <c r="HJ144" s="499"/>
      <c r="HK144" s="499"/>
      <c r="HL144" s="499"/>
      <c r="HM144" s="499"/>
      <c r="HN144" s="499"/>
      <c r="HO144" s="499"/>
      <c r="HP144" s="499"/>
      <c r="HQ144" s="499"/>
      <c r="HR144" s="499"/>
      <c r="HS144" s="499"/>
      <c r="HT144" s="499"/>
      <c r="HU144" s="499"/>
      <c r="HV144" s="499"/>
      <c r="HW144" s="499"/>
      <c r="HX144" s="358"/>
    </row>
    <row r="145" spans="1:232" s="5" customFormat="1" ht="20.100000000000001" customHeight="1">
      <c r="A145" s="1605" t="s">
        <v>191</v>
      </c>
      <c r="B145" s="1631" t="s">
        <v>115</v>
      </c>
      <c r="C145" s="1632"/>
      <c r="D145" s="1632"/>
      <c r="E145" s="1632"/>
      <c r="F145" s="1632"/>
      <c r="G145" s="1632"/>
      <c r="H145" s="1633"/>
      <c r="I145" s="1606" t="s">
        <v>117</v>
      </c>
      <c r="J145" s="1606"/>
      <c r="N145" s="495"/>
      <c r="O145" s="495"/>
      <c r="P145" s="495"/>
      <c r="Q145" s="495"/>
      <c r="R145" s="495"/>
      <c r="S145" s="495"/>
      <c r="T145" s="504"/>
      <c r="U145" s="358"/>
      <c r="V145" s="358"/>
      <c r="W145" s="358"/>
      <c r="X145" s="358"/>
      <c r="Y145" s="358"/>
      <c r="Z145" s="358"/>
      <c r="AA145" s="358"/>
      <c r="AB145" s="358"/>
      <c r="AC145" s="358"/>
      <c r="AD145" s="358"/>
      <c r="AE145" s="358"/>
      <c r="AF145" s="358"/>
      <c r="AG145" s="358"/>
      <c r="AH145" s="358"/>
      <c r="AI145" s="358"/>
      <c r="AJ145" s="358"/>
      <c r="AK145" s="358"/>
      <c r="AL145" s="358"/>
      <c r="AM145" s="358"/>
      <c r="AN145" s="358"/>
      <c r="AO145" s="358"/>
      <c r="AP145" s="358"/>
      <c r="AQ145" s="358"/>
      <c r="AR145" s="358"/>
      <c r="AS145" s="358"/>
      <c r="AT145" s="358"/>
      <c r="AU145" s="358"/>
      <c r="AV145" s="358"/>
      <c r="AW145" s="358"/>
      <c r="AX145" s="358"/>
      <c r="AY145" s="358"/>
      <c r="AZ145" s="358"/>
      <c r="BA145" s="358"/>
      <c r="BB145" s="358"/>
      <c r="BC145" s="358"/>
      <c r="BD145" s="358"/>
      <c r="BE145" s="358"/>
      <c r="BF145" s="358"/>
      <c r="BG145" s="358"/>
      <c r="BH145" s="358"/>
      <c r="BI145" s="358"/>
      <c r="BJ145" s="358"/>
      <c r="BK145" s="358"/>
      <c r="BL145" s="358"/>
      <c r="BM145" s="358"/>
      <c r="BN145" s="358"/>
      <c r="BO145" s="358"/>
      <c r="BP145" s="358"/>
      <c r="BQ145" s="358"/>
      <c r="BR145" s="358"/>
      <c r="BS145" s="358"/>
      <c r="BT145" s="358"/>
      <c r="BU145" s="358"/>
      <c r="BV145" s="358"/>
      <c r="BW145" s="358"/>
      <c r="BX145" s="358"/>
      <c r="BY145" s="358"/>
      <c r="BZ145" s="358"/>
      <c r="CA145" s="358"/>
      <c r="CB145" s="358"/>
      <c r="CC145" s="358"/>
      <c r="CD145" s="358"/>
      <c r="CE145" s="358"/>
      <c r="CF145" s="358"/>
      <c r="CG145" s="358"/>
      <c r="CH145" s="358"/>
      <c r="CI145" s="358"/>
      <c r="CJ145" s="358"/>
      <c r="CK145" s="358"/>
      <c r="CL145" s="358"/>
      <c r="CM145" s="358"/>
      <c r="CN145" s="358"/>
      <c r="CO145" s="358"/>
      <c r="CP145" s="358"/>
      <c r="CQ145" s="358"/>
      <c r="CR145" s="358"/>
      <c r="CS145" s="358"/>
      <c r="CT145" s="358"/>
      <c r="CU145" s="358"/>
      <c r="CV145" s="358"/>
      <c r="CW145" s="358"/>
      <c r="CX145" s="358"/>
      <c r="CY145" s="358"/>
      <c r="CZ145" s="358"/>
      <c r="DA145" s="358"/>
      <c r="DB145" s="358"/>
      <c r="DC145" s="358"/>
      <c r="DD145" s="358"/>
      <c r="DE145" s="358"/>
      <c r="DF145" s="358"/>
      <c r="DG145" s="358"/>
      <c r="DH145" s="358"/>
      <c r="DI145" s="358"/>
      <c r="DJ145" s="358"/>
      <c r="DK145" s="358"/>
      <c r="DL145" s="358"/>
      <c r="DM145" s="358"/>
      <c r="DN145" s="358"/>
      <c r="DO145" s="358"/>
      <c r="DP145" s="358"/>
      <c r="DQ145" s="358"/>
      <c r="DR145" s="358"/>
      <c r="DS145" s="358"/>
      <c r="DT145" s="358"/>
      <c r="DU145" s="358"/>
      <c r="DV145" s="358"/>
      <c r="DW145" s="358"/>
      <c r="DX145" s="358"/>
      <c r="DY145" s="358"/>
      <c r="DZ145" s="358"/>
      <c r="EA145" s="358"/>
      <c r="EB145" s="358"/>
      <c r="EC145" s="358"/>
      <c r="ED145" s="358"/>
      <c r="EE145" s="358"/>
      <c r="EF145" s="358"/>
      <c r="EG145" s="358"/>
      <c r="EH145" s="358"/>
      <c r="EI145" s="358"/>
      <c r="EJ145" s="358"/>
      <c r="EK145" s="358"/>
      <c r="EL145" s="358"/>
      <c r="EM145" s="358"/>
      <c r="EN145" s="358"/>
      <c r="EO145" s="358"/>
      <c r="EP145" s="358"/>
      <c r="EQ145" s="358"/>
      <c r="ER145" s="358"/>
      <c r="ES145" s="358"/>
      <c r="ET145" s="358"/>
      <c r="EU145" s="358"/>
      <c r="EV145" s="358"/>
      <c r="EW145" s="358"/>
      <c r="EX145" s="358"/>
      <c r="EY145" s="358"/>
      <c r="EZ145" s="358"/>
      <c r="FA145" s="358"/>
      <c r="FB145" s="358"/>
      <c r="FC145" s="358"/>
      <c r="FD145" s="358"/>
      <c r="FE145" s="358"/>
      <c r="FF145" s="358"/>
      <c r="FG145" s="358"/>
      <c r="FH145" s="358"/>
      <c r="FI145" s="358"/>
      <c r="FJ145" s="358"/>
      <c r="FK145" s="358"/>
      <c r="FL145" s="358"/>
      <c r="FM145" s="358"/>
      <c r="FN145" s="358"/>
      <c r="FO145" s="358"/>
      <c r="FP145" s="358"/>
      <c r="FQ145" s="358"/>
      <c r="FR145" s="358"/>
      <c r="FS145" s="358"/>
      <c r="FT145" s="358"/>
      <c r="FU145" s="358"/>
      <c r="FV145" s="358"/>
      <c r="FW145" s="358"/>
      <c r="FX145" s="358"/>
      <c r="FY145" s="358"/>
      <c r="FZ145" s="358"/>
      <c r="GA145" s="358"/>
      <c r="GB145" s="358"/>
      <c r="GC145" s="358"/>
      <c r="GD145" s="358"/>
      <c r="GE145" s="358"/>
      <c r="GF145" s="358"/>
      <c r="GG145" s="358"/>
      <c r="GH145" s="358"/>
      <c r="GI145" s="358"/>
      <c r="GJ145" s="358"/>
      <c r="GK145" s="358"/>
      <c r="GL145" s="358"/>
      <c r="GM145" s="358"/>
      <c r="GN145" s="358"/>
      <c r="GO145" s="358"/>
      <c r="GP145" s="358"/>
      <c r="GQ145" s="358"/>
      <c r="GR145" s="358"/>
      <c r="GS145" s="358"/>
      <c r="GT145" s="358"/>
      <c r="GU145" s="358"/>
      <c r="GV145" s="358"/>
      <c r="GW145" s="358"/>
      <c r="GX145" s="358"/>
      <c r="GY145" s="358"/>
      <c r="GZ145" s="358"/>
      <c r="HA145" s="358"/>
      <c r="HB145" s="358"/>
      <c r="HC145" s="358"/>
      <c r="HD145" s="358"/>
      <c r="HE145" s="358"/>
      <c r="HF145" s="358"/>
      <c r="HG145" s="358"/>
      <c r="HH145" s="358"/>
      <c r="HI145" s="358"/>
      <c r="HJ145" s="358"/>
      <c r="HK145" s="358"/>
      <c r="HL145" s="358"/>
      <c r="HM145" s="358"/>
      <c r="HN145" s="358"/>
      <c r="HO145" s="358"/>
      <c r="HP145" s="358"/>
      <c r="HQ145" s="358"/>
      <c r="HR145" s="358"/>
      <c r="HS145" s="358"/>
      <c r="HT145" s="358"/>
      <c r="HU145" s="358"/>
      <c r="HV145" s="358"/>
      <c r="HW145" s="358"/>
      <c r="HX145" s="358"/>
    </row>
    <row r="146" spans="1:232" s="5" customFormat="1" ht="20.100000000000001" customHeight="1">
      <c r="A146" s="1605"/>
      <c r="B146" s="1637"/>
      <c r="C146" s="1638"/>
      <c r="D146" s="1638"/>
      <c r="E146" s="1638"/>
      <c r="F146" s="1638"/>
      <c r="G146" s="1638"/>
      <c r="H146" s="1639"/>
      <c r="I146" s="503" t="s">
        <v>118</v>
      </c>
      <c r="J146" s="503" t="s">
        <v>119</v>
      </c>
      <c r="O146" s="504"/>
      <c r="P146" s="504"/>
      <c r="Q146" s="504"/>
      <c r="R146" s="504"/>
      <c r="S146" s="504"/>
      <c r="T146" s="406"/>
      <c r="U146" s="358"/>
      <c r="V146" s="358"/>
      <c r="W146" s="358"/>
      <c r="X146" s="358"/>
      <c r="Y146" s="358"/>
      <c r="Z146" s="358"/>
      <c r="AA146" s="358"/>
      <c r="AB146" s="358"/>
      <c r="AC146" s="358"/>
      <c r="AD146" s="358"/>
      <c r="AE146" s="358"/>
      <c r="AF146" s="358"/>
      <c r="AG146" s="358"/>
      <c r="AH146" s="358"/>
      <c r="AI146" s="358"/>
      <c r="AJ146" s="358"/>
      <c r="AK146" s="358"/>
      <c r="AL146" s="358"/>
      <c r="AM146" s="358"/>
      <c r="AN146" s="358"/>
      <c r="AO146" s="358"/>
      <c r="AP146" s="358"/>
      <c r="AQ146" s="358"/>
      <c r="AR146" s="358"/>
      <c r="AS146" s="358"/>
      <c r="AT146" s="358"/>
      <c r="AU146" s="358"/>
      <c r="AV146" s="358"/>
      <c r="AW146" s="358"/>
      <c r="AX146" s="358"/>
      <c r="AY146" s="358"/>
      <c r="AZ146" s="358"/>
      <c r="BA146" s="358"/>
      <c r="BB146" s="358"/>
      <c r="BC146" s="358"/>
      <c r="BD146" s="358"/>
      <c r="BE146" s="358"/>
      <c r="BF146" s="358"/>
      <c r="BG146" s="358"/>
      <c r="BH146" s="358"/>
      <c r="BI146" s="358"/>
      <c r="BJ146" s="358"/>
      <c r="BK146" s="358"/>
      <c r="BL146" s="358"/>
      <c r="BM146" s="358"/>
      <c r="BN146" s="358"/>
      <c r="BO146" s="358"/>
      <c r="BP146" s="358"/>
      <c r="BQ146" s="358"/>
      <c r="BR146" s="358"/>
      <c r="BS146" s="358"/>
      <c r="BT146" s="358"/>
      <c r="BU146" s="358"/>
      <c r="BV146" s="358"/>
      <c r="BW146" s="358"/>
      <c r="BX146" s="358"/>
      <c r="BY146" s="358"/>
      <c r="BZ146" s="358"/>
      <c r="CA146" s="358"/>
      <c r="CB146" s="358"/>
      <c r="CC146" s="358"/>
      <c r="CD146" s="358"/>
      <c r="CE146" s="358"/>
      <c r="CF146" s="358"/>
      <c r="CG146" s="358"/>
      <c r="CH146" s="358"/>
      <c r="CI146" s="358"/>
      <c r="CJ146" s="358"/>
      <c r="CK146" s="358"/>
      <c r="CL146" s="358"/>
      <c r="CM146" s="358"/>
      <c r="CN146" s="358"/>
      <c r="CO146" s="358"/>
      <c r="CP146" s="358"/>
      <c r="CQ146" s="358"/>
      <c r="CR146" s="358"/>
      <c r="CS146" s="358"/>
      <c r="CT146" s="358"/>
      <c r="CU146" s="358"/>
      <c r="CV146" s="358"/>
      <c r="CW146" s="358"/>
      <c r="CX146" s="358"/>
      <c r="CY146" s="358"/>
      <c r="CZ146" s="358"/>
      <c r="DA146" s="358"/>
      <c r="DB146" s="358"/>
      <c r="DC146" s="358"/>
      <c r="DD146" s="358"/>
      <c r="DE146" s="358"/>
      <c r="DF146" s="358"/>
      <c r="DG146" s="358"/>
      <c r="DH146" s="358"/>
      <c r="DI146" s="358"/>
      <c r="DJ146" s="358"/>
      <c r="DK146" s="358"/>
      <c r="DL146" s="358"/>
      <c r="DM146" s="358"/>
      <c r="DN146" s="358"/>
      <c r="DO146" s="358"/>
      <c r="DP146" s="358"/>
      <c r="DQ146" s="358"/>
      <c r="DR146" s="358"/>
      <c r="DS146" s="358"/>
      <c r="DT146" s="358"/>
      <c r="DU146" s="358"/>
      <c r="DV146" s="358"/>
      <c r="DW146" s="358"/>
      <c r="DX146" s="358"/>
      <c r="DY146" s="358"/>
      <c r="DZ146" s="358"/>
      <c r="EA146" s="358"/>
      <c r="EB146" s="358"/>
      <c r="EC146" s="358"/>
      <c r="ED146" s="358"/>
      <c r="EE146" s="358"/>
      <c r="EF146" s="358"/>
      <c r="EG146" s="358"/>
      <c r="EH146" s="358"/>
      <c r="EI146" s="358"/>
      <c r="EJ146" s="358"/>
      <c r="EK146" s="358"/>
      <c r="EL146" s="358"/>
      <c r="EM146" s="358"/>
      <c r="EN146" s="358"/>
      <c r="EO146" s="358"/>
      <c r="EP146" s="358"/>
      <c r="EQ146" s="358"/>
      <c r="ER146" s="358"/>
      <c r="ES146" s="358"/>
      <c r="ET146" s="358"/>
      <c r="EU146" s="358"/>
      <c r="EV146" s="358"/>
      <c r="EW146" s="358"/>
      <c r="EX146" s="358"/>
      <c r="EY146" s="358"/>
      <c r="EZ146" s="358"/>
      <c r="FA146" s="358"/>
      <c r="FB146" s="358"/>
      <c r="FC146" s="358"/>
      <c r="FD146" s="358"/>
      <c r="FE146" s="358"/>
      <c r="FF146" s="358"/>
      <c r="FG146" s="358"/>
      <c r="FH146" s="358"/>
      <c r="FI146" s="358"/>
      <c r="FJ146" s="358"/>
      <c r="FK146" s="358"/>
      <c r="FL146" s="358"/>
      <c r="FM146" s="358"/>
      <c r="FN146" s="358"/>
      <c r="FO146" s="358"/>
      <c r="FP146" s="358"/>
      <c r="FQ146" s="358"/>
      <c r="FR146" s="358"/>
      <c r="FS146" s="358"/>
      <c r="FT146" s="358"/>
      <c r="FU146" s="358"/>
      <c r="FV146" s="358"/>
      <c r="FW146" s="358"/>
      <c r="FX146" s="358"/>
      <c r="FY146" s="358"/>
      <c r="FZ146" s="358"/>
      <c r="GA146" s="358"/>
      <c r="GB146" s="358"/>
      <c r="GC146" s="358"/>
      <c r="GD146" s="358"/>
      <c r="GE146" s="358"/>
      <c r="GF146" s="358"/>
      <c r="GG146" s="358"/>
      <c r="GH146" s="358"/>
      <c r="GI146" s="358"/>
      <c r="GJ146" s="358"/>
      <c r="GK146" s="358"/>
      <c r="GL146" s="358"/>
      <c r="GM146" s="358"/>
      <c r="GN146" s="358"/>
      <c r="GO146" s="358"/>
      <c r="GP146" s="358"/>
      <c r="GQ146" s="358"/>
      <c r="GR146" s="358"/>
      <c r="GS146" s="358"/>
      <c r="GT146" s="358"/>
      <c r="GU146" s="358"/>
      <c r="GV146" s="358"/>
      <c r="GW146" s="358"/>
      <c r="GX146" s="358"/>
      <c r="GY146" s="358"/>
      <c r="GZ146" s="358"/>
      <c r="HA146" s="358"/>
      <c r="HB146" s="358"/>
      <c r="HC146" s="358"/>
      <c r="HD146" s="358"/>
      <c r="HE146" s="358"/>
      <c r="HF146" s="358"/>
      <c r="HG146" s="358"/>
      <c r="HH146" s="358"/>
      <c r="HI146" s="358"/>
      <c r="HJ146" s="358"/>
      <c r="HK146" s="358"/>
      <c r="HL146" s="358"/>
      <c r="HM146" s="358"/>
      <c r="HN146" s="358"/>
      <c r="HO146" s="358"/>
      <c r="HP146" s="358"/>
      <c r="HQ146" s="358"/>
      <c r="HR146" s="358"/>
      <c r="HS146" s="358"/>
      <c r="HT146" s="358"/>
      <c r="HU146" s="358"/>
      <c r="HV146" s="358"/>
      <c r="HW146" s="358"/>
      <c r="HX146" s="358"/>
    </row>
    <row r="147" spans="1:232" s="5" customFormat="1" ht="20.100000000000001" customHeight="1">
      <c r="A147" s="503"/>
      <c r="B147" s="1667" t="str">
        <f>B47</f>
        <v>Tọa độ thiết kế</v>
      </c>
      <c r="C147" s="1667"/>
      <c r="D147" s="1667" t="str">
        <f>D47</f>
        <v>Tọa độ thực tế</v>
      </c>
      <c r="E147" s="1667"/>
      <c r="F147" s="1668" t="s">
        <v>422</v>
      </c>
      <c r="G147" s="1669"/>
      <c r="H147" s="1670"/>
      <c r="I147" s="562" t="s">
        <v>471</v>
      </c>
      <c r="J147" s="506"/>
      <c r="O147" s="406"/>
      <c r="P147" s="406"/>
      <c r="Q147" s="406"/>
      <c r="R147" s="406"/>
      <c r="S147" s="406"/>
      <c r="T147" s="406"/>
      <c r="U147" s="358"/>
      <c r="V147" s="358"/>
      <c r="W147" s="358"/>
      <c r="X147" s="358"/>
      <c r="Y147" s="358"/>
      <c r="Z147" s="358"/>
      <c r="AA147" s="358"/>
      <c r="AB147" s="358"/>
      <c r="AC147" s="358"/>
      <c r="AD147" s="358"/>
      <c r="AE147" s="358"/>
      <c r="AF147" s="358"/>
      <c r="AG147" s="358"/>
      <c r="AH147" s="358"/>
      <c r="AI147" s="358"/>
      <c r="AJ147" s="358"/>
      <c r="AK147" s="358"/>
      <c r="AL147" s="358"/>
      <c r="AM147" s="358"/>
      <c r="AN147" s="358"/>
      <c r="AO147" s="358"/>
      <c r="AP147" s="358"/>
      <c r="AQ147" s="358"/>
      <c r="AR147" s="358"/>
      <c r="AS147" s="358"/>
      <c r="AT147" s="358"/>
      <c r="AU147" s="358"/>
      <c r="AV147" s="358"/>
      <c r="AW147" s="358"/>
      <c r="AX147" s="358"/>
      <c r="AY147" s="358"/>
      <c r="AZ147" s="358"/>
      <c r="BA147" s="358"/>
      <c r="BB147" s="358"/>
      <c r="BC147" s="358"/>
      <c r="BD147" s="358"/>
      <c r="BE147" s="358"/>
      <c r="BF147" s="358"/>
      <c r="BG147" s="358"/>
      <c r="BH147" s="358"/>
      <c r="BI147" s="358"/>
      <c r="BJ147" s="358"/>
      <c r="BK147" s="358"/>
      <c r="BL147" s="358"/>
      <c r="BM147" s="358"/>
      <c r="BN147" s="358"/>
      <c r="BO147" s="358"/>
      <c r="BP147" s="358"/>
      <c r="BQ147" s="358"/>
      <c r="BR147" s="358"/>
      <c r="BS147" s="358"/>
      <c r="BT147" s="358"/>
      <c r="BU147" s="358"/>
      <c r="BV147" s="358"/>
      <c r="BW147" s="358"/>
      <c r="BX147" s="358"/>
      <c r="BY147" s="358"/>
      <c r="BZ147" s="358"/>
      <c r="CA147" s="358"/>
      <c r="CB147" s="358"/>
      <c r="CC147" s="358"/>
      <c r="CD147" s="358"/>
      <c r="CE147" s="358"/>
      <c r="CF147" s="358"/>
      <c r="CG147" s="358"/>
      <c r="CH147" s="358"/>
      <c r="CI147" s="358"/>
      <c r="CJ147" s="358"/>
      <c r="CK147" s="358"/>
      <c r="CL147" s="358"/>
      <c r="CM147" s="358"/>
      <c r="CN147" s="358"/>
      <c r="CO147" s="358"/>
      <c r="CP147" s="358"/>
      <c r="CQ147" s="358"/>
      <c r="CR147" s="358"/>
      <c r="CS147" s="358"/>
      <c r="CT147" s="358"/>
      <c r="CU147" s="358"/>
      <c r="CV147" s="358"/>
      <c r="CW147" s="358"/>
      <c r="CX147" s="358"/>
      <c r="CY147" s="358"/>
      <c r="CZ147" s="358"/>
      <c r="DA147" s="358"/>
      <c r="DB147" s="358"/>
      <c r="DC147" s="358"/>
      <c r="DD147" s="358"/>
      <c r="DE147" s="358"/>
      <c r="DF147" s="358"/>
      <c r="DG147" s="358"/>
      <c r="DH147" s="358"/>
      <c r="DI147" s="358"/>
      <c r="DJ147" s="358"/>
      <c r="DK147" s="358"/>
      <c r="DL147" s="358"/>
      <c r="DM147" s="358"/>
      <c r="DN147" s="358"/>
      <c r="DO147" s="358"/>
      <c r="DP147" s="358"/>
      <c r="DQ147" s="358"/>
      <c r="DR147" s="358"/>
      <c r="DS147" s="358"/>
      <c r="DT147" s="358"/>
      <c r="DU147" s="358"/>
      <c r="DV147" s="358"/>
      <c r="DW147" s="358"/>
      <c r="DX147" s="358"/>
      <c r="DY147" s="358"/>
      <c r="DZ147" s="358"/>
      <c r="EA147" s="358"/>
      <c r="EB147" s="358"/>
      <c r="EC147" s="358"/>
      <c r="ED147" s="358"/>
      <c r="EE147" s="358"/>
      <c r="EF147" s="358"/>
      <c r="EG147" s="358"/>
      <c r="EH147" s="358"/>
      <c r="EI147" s="358"/>
      <c r="EJ147" s="358"/>
      <c r="EK147" s="358"/>
      <c r="EL147" s="358"/>
      <c r="EM147" s="358"/>
      <c r="EN147" s="358"/>
      <c r="EO147" s="358"/>
      <c r="EP147" s="358"/>
      <c r="EQ147" s="358"/>
      <c r="ER147" s="358"/>
      <c r="ES147" s="358"/>
      <c r="ET147" s="358"/>
      <c r="EU147" s="358"/>
      <c r="EV147" s="358"/>
      <c r="EW147" s="358"/>
      <c r="EX147" s="358"/>
      <c r="EY147" s="358"/>
      <c r="EZ147" s="358"/>
      <c r="FA147" s="358"/>
      <c r="FB147" s="358"/>
      <c r="FC147" s="358"/>
      <c r="FD147" s="358"/>
      <c r="FE147" s="358"/>
      <c r="FF147" s="358"/>
      <c r="FG147" s="358"/>
      <c r="FH147" s="358"/>
      <c r="FI147" s="358"/>
      <c r="FJ147" s="358"/>
      <c r="FK147" s="358"/>
      <c r="FL147" s="358"/>
      <c r="FM147" s="358"/>
      <c r="FN147" s="358"/>
      <c r="FO147" s="358"/>
      <c r="FP147" s="358"/>
      <c r="FQ147" s="358"/>
      <c r="FR147" s="358"/>
      <c r="FS147" s="358"/>
      <c r="FT147" s="358"/>
      <c r="FU147" s="358"/>
      <c r="FV147" s="358"/>
      <c r="FW147" s="358"/>
      <c r="FX147" s="358"/>
      <c r="FY147" s="358"/>
      <c r="FZ147" s="358"/>
      <c r="GA147" s="358"/>
      <c r="GB147" s="358"/>
      <c r="GC147" s="358"/>
      <c r="GD147" s="358"/>
      <c r="GE147" s="358"/>
      <c r="GF147" s="358"/>
      <c r="GG147" s="358"/>
      <c r="GH147" s="358"/>
      <c r="GI147" s="358"/>
      <c r="GJ147" s="358"/>
      <c r="GK147" s="358"/>
      <c r="GL147" s="358"/>
      <c r="GM147" s="358"/>
      <c r="GN147" s="358"/>
      <c r="GO147" s="358"/>
      <c r="GP147" s="358"/>
      <c r="GQ147" s="358"/>
      <c r="GR147" s="358"/>
      <c r="GS147" s="358"/>
      <c r="GT147" s="358"/>
      <c r="GU147" s="358"/>
      <c r="GV147" s="358"/>
      <c r="GW147" s="358"/>
      <c r="GX147" s="358"/>
      <c r="GY147" s="358"/>
      <c r="GZ147" s="358"/>
      <c r="HA147" s="358"/>
      <c r="HB147" s="358"/>
      <c r="HC147" s="358"/>
      <c r="HD147" s="358"/>
      <c r="HE147" s="358"/>
      <c r="HF147" s="358"/>
      <c r="HG147" s="358"/>
      <c r="HH147" s="358"/>
      <c r="HI147" s="358"/>
      <c r="HJ147" s="358"/>
      <c r="HK147" s="358"/>
      <c r="HL147" s="358"/>
      <c r="HM147" s="358"/>
      <c r="HN147" s="358"/>
      <c r="HO147" s="358"/>
      <c r="HP147" s="358"/>
      <c r="HQ147" s="358"/>
      <c r="HR147" s="358"/>
      <c r="HS147" s="358"/>
      <c r="HT147" s="358"/>
      <c r="HU147" s="358"/>
      <c r="HV147" s="358"/>
      <c r="HW147" s="358"/>
      <c r="HX147" s="358"/>
    </row>
    <row r="148" spans="1:232" s="5" customFormat="1" ht="20.100000000000001" customHeight="1">
      <c r="A148" s="503" t="s">
        <v>188</v>
      </c>
      <c r="B148" s="1667">
        <f>B48</f>
        <v>2317790.6910000001</v>
      </c>
      <c r="C148" s="1667"/>
      <c r="D148" s="1667">
        <f>D48</f>
        <v>2317790.6920000003</v>
      </c>
      <c r="E148" s="1667"/>
      <c r="F148" s="1671">
        <f>D148-B148</f>
        <v>1.0000001639127731E-3</v>
      </c>
      <c r="G148" s="1671"/>
      <c r="H148" s="1671"/>
      <c r="I148" s="562" t="s">
        <v>471</v>
      </c>
      <c r="J148" s="506"/>
      <c r="O148" s="406"/>
      <c r="P148" s="406"/>
      <c r="Q148" s="406"/>
      <c r="R148" s="406"/>
      <c r="S148" s="406"/>
      <c r="T148" s="406"/>
      <c r="U148" s="358"/>
      <c r="V148" s="358"/>
      <c r="W148" s="358"/>
      <c r="X148" s="358"/>
      <c r="Y148" s="358"/>
      <c r="Z148" s="358"/>
      <c r="AA148" s="358"/>
      <c r="AB148" s="358"/>
      <c r="AC148" s="358"/>
      <c r="AD148" s="358"/>
      <c r="AE148" s="358"/>
      <c r="AF148" s="358"/>
      <c r="AG148" s="358"/>
      <c r="AH148" s="358"/>
      <c r="AI148" s="358"/>
      <c r="AJ148" s="358"/>
      <c r="AK148" s="358"/>
      <c r="AL148" s="358"/>
      <c r="AM148" s="358"/>
      <c r="AN148" s="358"/>
      <c r="AO148" s="358"/>
      <c r="AP148" s="358"/>
      <c r="AQ148" s="358"/>
      <c r="AR148" s="358"/>
      <c r="AS148" s="358"/>
      <c r="AT148" s="358"/>
      <c r="AU148" s="358"/>
      <c r="AV148" s="358"/>
      <c r="AW148" s="358"/>
      <c r="AX148" s="358"/>
      <c r="AY148" s="358"/>
      <c r="AZ148" s="358"/>
      <c r="BA148" s="358"/>
      <c r="BB148" s="358"/>
      <c r="BC148" s="358"/>
      <c r="BD148" s="358"/>
      <c r="BE148" s="358"/>
      <c r="BF148" s="358"/>
      <c r="BG148" s="358"/>
      <c r="BH148" s="358"/>
      <c r="BI148" s="358"/>
      <c r="BJ148" s="358"/>
      <c r="BK148" s="358"/>
      <c r="BL148" s="358"/>
      <c r="BM148" s="358"/>
      <c r="BN148" s="358"/>
      <c r="BO148" s="358"/>
      <c r="BP148" s="358"/>
      <c r="BQ148" s="358"/>
      <c r="BR148" s="358"/>
      <c r="BS148" s="358"/>
      <c r="BT148" s="358"/>
      <c r="BU148" s="358"/>
      <c r="BV148" s="358"/>
      <c r="BW148" s="358"/>
      <c r="BX148" s="358"/>
      <c r="BY148" s="358"/>
      <c r="BZ148" s="358"/>
      <c r="CA148" s="358"/>
      <c r="CB148" s="358"/>
      <c r="CC148" s="358"/>
      <c r="CD148" s="358"/>
      <c r="CE148" s="358"/>
      <c r="CF148" s="358"/>
      <c r="CG148" s="358"/>
      <c r="CH148" s="358"/>
      <c r="CI148" s="358"/>
      <c r="CJ148" s="358"/>
      <c r="CK148" s="358"/>
      <c r="CL148" s="358"/>
      <c r="CM148" s="358"/>
      <c r="CN148" s="358"/>
      <c r="CO148" s="358"/>
      <c r="CP148" s="358"/>
      <c r="CQ148" s="358"/>
      <c r="CR148" s="358"/>
      <c r="CS148" s="358"/>
      <c r="CT148" s="358"/>
      <c r="CU148" s="358"/>
      <c r="CV148" s="358"/>
      <c r="CW148" s="358"/>
      <c r="CX148" s="358"/>
      <c r="CY148" s="358"/>
      <c r="CZ148" s="358"/>
      <c r="DA148" s="358"/>
      <c r="DB148" s="358"/>
      <c r="DC148" s="358"/>
      <c r="DD148" s="358"/>
      <c r="DE148" s="358"/>
      <c r="DF148" s="358"/>
      <c r="DG148" s="358"/>
      <c r="DH148" s="358"/>
      <c r="DI148" s="358"/>
      <c r="DJ148" s="358"/>
      <c r="DK148" s="358"/>
      <c r="DL148" s="358"/>
      <c r="DM148" s="358"/>
      <c r="DN148" s="358"/>
      <c r="DO148" s="358"/>
      <c r="DP148" s="358"/>
      <c r="DQ148" s="358"/>
      <c r="DR148" s="358"/>
      <c r="DS148" s="358"/>
      <c r="DT148" s="358"/>
      <c r="DU148" s="358"/>
      <c r="DV148" s="358"/>
      <c r="DW148" s="358"/>
      <c r="DX148" s="358"/>
      <c r="DY148" s="358"/>
      <c r="DZ148" s="358"/>
      <c r="EA148" s="358"/>
      <c r="EB148" s="358"/>
      <c r="EC148" s="358"/>
      <c r="ED148" s="358"/>
      <c r="EE148" s="358"/>
      <c r="EF148" s="358"/>
      <c r="EG148" s="358"/>
      <c r="EH148" s="358"/>
      <c r="EI148" s="358"/>
      <c r="EJ148" s="358"/>
      <c r="EK148" s="358"/>
      <c r="EL148" s="358"/>
      <c r="EM148" s="358"/>
      <c r="EN148" s="358"/>
      <c r="EO148" s="358"/>
      <c r="EP148" s="358"/>
      <c r="EQ148" s="358"/>
      <c r="ER148" s="358"/>
      <c r="ES148" s="358"/>
      <c r="ET148" s="358"/>
      <c r="EU148" s="358"/>
      <c r="EV148" s="358"/>
      <c r="EW148" s="358"/>
      <c r="EX148" s="358"/>
      <c r="EY148" s="358"/>
      <c r="EZ148" s="358"/>
      <c r="FA148" s="358"/>
      <c r="FB148" s="358"/>
      <c r="FC148" s="358"/>
      <c r="FD148" s="358"/>
      <c r="FE148" s="358"/>
      <c r="FF148" s="358"/>
      <c r="FG148" s="358"/>
      <c r="FH148" s="358"/>
      <c r="FI148" s="358"/>
      <c r="FJ148" s="358"/>
      <c r="FK148" s="358"/>
      <c r="FL148" s="358"/>
      <c r="FM148" s="358"/>
      <c r="FN148" s="358"/>
      <c r="FO148" s="358"/>
      <c r="FP148" s="358"/>
      <c r="FQ148" s="358"/>
      <c r="FR148" s="358"/>
      <c r="FS148" s="358"/>
      <c r="FT148" s="358"/>
      <c r="FU148" s="358"/>
      <c r="FV148" s="358"/>
      <c r="FW148" s="358"/>
      <c r="FX148" s="358"/>
      <c r="FY148" s="358"/>
      <c r="FZ148" s="358"/>
      <c r="GA148" s="358"/>
      <c r="GB148" s="358"/>
      <c r="GC148" s="358"/>
      <c r="GD148" s="358"/>
      <c r="GE148" s="358"/>
      <c r="GF148" s="358"/>
      <c r="GG148" s="358"/>
      <c r="GH148" s="358"/>
      <c r="GI148" s="358"/>
      <c r="GJ148" s="358"/>
      <c r="GK148" s="358"/>
      <c r="GL148" s="358"/>
      <c r="GM148" s="358"/>
      <c r="GN148" s="358"/>
      <c r="GO148" s="358"/>
      <c r="GP148" s="358"/>
      <c r="GQ148" s="358"/>
      <c r="GR148" s="358"/>
      <c r="GS148" s="358"/>
      <c r="GT148" s="358"/>
      <c r="GU148" s="358"/>
      <c r="GV148" s="358"/>
      <c r="GW148" s="358"/>
      <c r="GX148" s="358"/>
      <c r="GY148" s="358"/>
      <c r="GZ148" s="358"/>
      <c r="HA148" s="358"/>
      <c r="HB148" s="358"/>
      <c r="HC148" s="358"/>
      <c r="HD148" s="358"/>
      <c r="HE148" s="358"/>
      <c r="HF148" s="358"/>
      <c r="HG148" s="358"/>
      <c r="HH148" s="358"/>
      <c r="HI148" s="358"/>
      <c r="HJ148" s="358"/>
      <c r="HK148" s="358"/>
      <c r="HL148" s="358"/>
      <c r="HM148" s="358"/>
      <c r="HN148" s="358"/>
      <c r="HO148" s="358"/>
      <c r="HP148" s="358"/>
      <c r="HQ148" s="358"/>
      <c r="HR148" s="358"/>
      <c r="HS148" s="358"/>
      <c r="HT148" s="358"/>
      <c r="HU148" s="358"/>
      <c r="HV148" s="358"/>
      <c r="HW148" s="358"/>
      <c r="HX148" s="358"/>
    </row>
    <row r="149" spans="1:232" s="5" customFormat="1" ht="20.100000000000001" customHeight="1">
      <c r="A149" s="503" t="s">
        <v>423</v>
      </c>
      <c r="B149" s="1667">
        <f>B49</f>
        <v>430397.96399999998</v>
      </c>
      <c r="C149" s="1667"/>
      <c r="D149" s="1667">
        <f>D49</f>
        <v>430397.984</v>
      </c>
      <c r="E149" s="1667"/>
      <c r="F149" s="1671">
        <f>D149-B149</f>
        <v>2.0000000018626451E-2</v>
      </c>
      <c r="G149" s="1671"/>
      <c r="H149" s="1671"/>
      <c r="I149" s="562" t="s">
        <v>471</v>
      </c>
      <c r="J149" s="506"/>
      <c r="O149" s="406"/>
      <c r="P149" s="406"/>
      <c r="Q149" s="406"/>
      <c r="R149" s="406"/>
      <c r="S149" s="406"/>
      <c r="T149" s="405"/>
      <c r="U149" s="358"/>
      <c r="V149" s="358"/>
      <c r="W149" s="358"/>
      <c r="X149" s="358"/>
      <c r="Y149" s="358"/>
      <c r="Z149" s="358"/>
      <c r="AA149" s="358"/>
      <c r="AB149" s="358"/>
      <c r="AC149" s="358"/>
      <c r="AD149" s="358"/>
      <c r="AE149" s="358"/>
      <c r="AF149" s="358"/>
      <c r="AG149" s="358"/>
      <c r="AH149" s="358"/>
      <c r="AI149" s="358"/>
      <c r="AJ149" s="358"/>
      <c r="AK149" s="358"/>
      <c r="AL149" s="358"/>
      <c r="AM149" s="358"/>
      <c r="AN149" s="358"/>
      <c r="AO149" s="358"/>
      <c r="AP149" s="358"/>
      <c r="AQ149" s="358"/>
      <c r="AR149" s="358"/>
      <c r="AS149" s="358"/>
      <c r="AT149" s="358"/>
      <c r="AU149" s="358"/>
      <c r="AV149" s="358"/>
      <c r="AW149" s="358"/>
      <c r="AX149" s="358"/>
      <c r="AY149" s="358"/>
      <c r="AZ149" s="358"/>
      <c r="BA149" s="358"/>
      <c r="BB149" s="358"/>
      <c r="BC149" s="358"/>
      <c r="BD149" s="358"/>
      <c r="BE149" s="358"/>
      <c r="BF149" s="358"/>
      <c r="BG149" s="358"/>
      <c r="BH149" s="358"/>
      <c r="BI149" s="358"/>
      <c r="BJ149" s="358"/>
      <c r="BK149" s="358"/>
      <c r="BL149" s="358"/>
      <c r="BM149" s="358"/>
      <c r="BN149" s="358"/>
      <c r="BO149" s="358"/>
      <c r="BP149" s="358"/>
      <c r="BQ149" s="358"/>
      <c r="BR149" s="358"/>
      <c r="BS149" s="358"/>
      <c r="BT149" s="358"/>
      <c r="BU149" s="358"/>
      <c r="BV149" s="358"/>
      <c r="BW149" s="358"/>
      <c r="BX149" s="358"/>
      <c r="BY149" s="358"/>
      <c r="BZ149" s="358"/>
      <c r="CA149" s="358"/>
      <c r="CB149" s="358"/>
      <c r="CC149" s="358"/>
      <c r="CD149" s="358"/>
      <c r="CE149" s="358"/>
      <c r="CF149" s="358"/>
      <c r="CG149" s="358"/>
      <c r="CH149" s="358"/>
      <c r="CI149" s="358"/>
      <c r="CJ149" s="358"/>
      <c r="CK149" s="358"/>
      <c r="CL149" s="358"/>
      <c r="CM149" s="358"/>
      <c r="CN149" s="358"/>
      <c r="CO149" s="358"/>
      <c r="CP149" s="358"/>
      <c r="CQ149" s="358"/>
      <c r="CR149" s="358"/>
      <c r="CS149" s="358"/>
      <c r="CT149" s="358"/>
      <c r="CU149" s="358"/>
      <c r="CV149" s="358"/>
      <c r="CW149" s="358"/>
      <c r="CX149" s="358"/>
      <c r="CY149" s="358"/>
      <c r="CZ149" s="358"/>
      <c r="DA149" s="358"/>
      <c r="DB149" s="358"/>
      <c r="DC149" s="358"/>
      <c r="DD149" s="358"/>
      <c r="DE149" s="358"/>
      <c r="DF149" s="358"/>
      <c r="DG149" s="358"/>
      <c r="DH149" s="358"/>
      <c r="DI149" s="358"/>
      <c r="DJ149" s="358"/>
      <c r="DK149" s="358"/>
      <c r="DL149" s="358"/>
      <c r="DM149" s="358"/>
      <c r="DN149" s="358"/>
      <c r="DO149" s="358"/>
      <c r="DP149" s="358"/>
      <c r="DQ149" s="358"/>
      <c r="DR149" s="358"/>
      <c r="DS149" s="358"/>
      <c r="DT149" s="358"/>
      <c r="DU149" s="358"/>
      <c r="DV149" s="358"/>
      <c r="DW149" s="358"/>
      <c r="DX149" s="358"/>
      <c r="DY149" s="358"/>
      <c r="DZ149" s="358"/>
      <c r="EA149" s="358"/>
      <c r="EB149" s="358"/>
      <c r="EC149" s="358"/>
      <c r="ED149" s="358"/>
      <c r="EE149" s="358"/>
      <c r="EF149" s="358"/>
      <c r="EG149" s="358"/>
      <c r="EH149" s="358"/>
      <c r="EI149" s="358"/>
      <c r="EJ149" s="358"/>
      <c r="EK149" s="358"/>
      <c r="EL149" s="358"/>
      <c r="EM149" s="358"/>
      <c r="EN149" s="358"/>
      <c r="EO149" s="358"/>
      <c r="EP149" s="358"/>
      <c r="EQ149" s="358"/>
      <c r="ER149" s="358"/>
      <c r="ES149" s="358"/>
      <c r="ET149" s="358"/>
      <c r="EU149" s="358"/>
      <c r="EV149" s="358"/>
      <c r="EW149" s="358"/>
      <c r="EX149" s="358"/>
      <c r="EY149" s="358"/>
      <c r="EZ149" s="358"/>
      <c r="FA149" s="358"/>
      <c r="FB149" s="358"/>
      <c r="FC149" s="358"/>
      <c r="FD149" s="358"/>
      <c r="FE149" s="358"/>
      <c r="FF149" s="358"/>
      <c r="FG149" s="358"/>
      <c r="FH149" s="358"/>
      <c r="FI149" s="358"/>
      <c r="FJ149" s="358"/>
      <c r="FK149" s="358"/>
      <c r="FL149" s="358"/>
      <c r="FM149" s="358"/>
      <c r="FN149" s="358"/>
      <c r="FO149" s="358"/>
      <c r="FP149" s="358"/>
      <c r="FQ149" s="358"/>
      <c r="FR149" s="358"/>
      <c r="FS149" s="358"/>
      <c r="FT149" s="358"/>
      <c r="FU149" s="358"/>
      <c r="FV149" s="358"/>
      <c r="FW149" s="358"/>
      <c r="FX149" s="358"/>
      <c r="FY149" s="358"/>
      <c r="FZ149" s="358"/>
      <c r="GA149" s="358"/>
      <c r="GB149" s="358"/>
      <c r="GC149" s="358"/>
      <c r="GD149" s="358"/>
      <c r="GE149" s="358"/>
      <c r="GF149" s="358"/>
      <c r="GG149" s="358"/>
      <c r="GH149" s="358"/>
      <c r="GI149" s="358"/>
      <c r="GJ149" s="358"/>
      <c r="GK149" s="358"/>
      <c r="GL149" s="358"/>
      <c r="GM149" s="358"/>
      <c r="GN149" s="358"/>
      <c r="GO149" s="358"/>
      <c r="GP149" s="358"/>
      <c r="GQ149" s="358"/>
      <c r="GR149" s="358"/>
      <c r="GS149" s="358"/>
      <c r="GT149" s="358"/>
      <c r="GU149" s="358"/>
      <c r="GV149" s="358"/>
      <c r="GW149" s="358"/>
      <c r="GX149" s="358"/>
      <c r="GY149" s="358"/>
      <c r="GZ149" s="358"/>
      <c r="HA149" s="358"/>
      <c r="HB149" s="358"/>
      <c r="HC149" s="358"/>
      <c r="HD149" s="358"/>
      <c r="HE149" s="358"/>
      <c r="HF149" s="358"/>
      <c r="HG149" s="358"/>
      <c r="HH149" s="358"/>
      <c r="HI149" s="358"/>
      <c r="HJ149" s="358"/>
      <c r="HK149" s="358"/>
      <c r="HL149" s="358"/>
      <c r="HM149" s="358"/>
      <c r="HN149" s="358"/>
      <c r="HO149" s="358"/>
      <c r="HP149" s="358"/>
      <c r="HQ149" s="358"/>
      <c r="HR149" s="358"/>
      <c r="HS149" s="358"/>
      <c r="HT149" s="358"/>
      <c r="HU149" s="358"/>
      <c r="HV149" s="358"/>
      <c r="HW149" s="358"/>
      <c r="HX149" s="358"/>
    </row>
    <row r="150" spans="1:232" s="5" customFormat="1" ht="20.100000000000001" customHeight="1">
      <c r="A150" s="503"/>
      <c r="B150" s="1667"/>
      <c r="C150" s="1667"/>
      <c r="D150" s="1667"/>
      <c r="E150" s="1667"/>
      <c r="F150" s="1598"/>
      <c r="G150" s="1598"/>
      <c r="H150" s="1598"/>
      <c r="I150" s="505"/>
      <c r="J150" s="506"/>
      <c r="O150" s="405"/>
      <c r="P150" s="405"/>
      <c r="Q150" s="405"/>
      <c r="R150" s="405"/>
      <c r="S150" s="405"/>
      <c r="T150" s="405"/>
      <c r="U150" s="358"/>
      <c r="V150" s="358"/>
      <c r="W150" s="358"/>
      <c r="X150" s="358"/>
      <c r="Y150" s="358"/>
      <c r="Z150" s="358"/>
      <c r="AA150" s="358"/>
      <c r="AB150" s="358"/>
      <c r="AC150" s="358"/>
      <c r="AD150" s="358"/>
      <c r="AE150" s="358"/>
      <c r="AF150" s="358"/>
      <c r="AG150" s="358"/>
      <c r="AH150" s="358"/>
      <c r="AI150" s="358"/>
      <c r="AJ150" s="358"/>
      <c r="AK150" s="358"/>
      <c r="AL150" s="358"/>
      <c r="AM150" s="358"/>
      <c r="AN150" s="358"/>
      <c r="AO150" s="358"/>
      <c r="AP150" s="358"/>
      <c r="AQ150" s="358"/>
      <c r="AR150" s="358"/>
      <c r="AS150" s="358"/>
      <c r="AT150" s="358"/>
      <c r="AU150" s="358"/>
      <c r="AV150" s="358"/>
      <c r="AW150" s="358"/>
      <c r="AX150" s="358"/>
      <c r="AY150" s="358"/>
      <c r="AZ150" s="358"/>
      <c r="BA150" s="358"/>
      <c r="BB150" s="358"/>
      <c r="BC150" s="358"/>
      <c r="BD150" s="358"/>
      <c r="BE150" s="358"/>
      <c r="BF150" s="358"/>
      <c r="BG150" s="358"/>
      <c r="BH150" s="358"/>
      <c r="BI150" s="358"/>
      <c r="BJ150" s="358"/>
      <c r="BK150" s="358"/>
      <c r="BL150" s="358"/>
      <c r="BM150" s="358"/>
      <c r="BN150" s="358"/>
      <c r="BO150" s="358"/>
      <c r="BP150" s="358"/>
      <c r="BQ150" s="358"/>
      <c r="BR150" s="358"/>
      <c r="BS150" s="358"/>
      <c r="BT150" s="358"/>
      <c r="BU150" s="358"/>
      <c r="BV150" s="358"/>
      <c r="BW150" s="358"/>
      <c r="BX150" s="358"/>
      <c r="BY150" s="358"/>
      <c r="BZ150" s="358"/>
      <c r="CA150" s="358"/>
      <c r="CB150" s="358"/>
      <c r="CC150" s="358"/>
      <c r="CD150" s="358"/>
      <c r="CE150" s="358"/>
      <c r="CF150" s="358"/>
      <c r="CG150" s="358"/>
      <c r="CH150" s="358"/>
      <c r="CI150" s="358"/>
      <c r="CJ150" s="358"/>
      <c r="CK150" s="358"/>
      <c r="CL150" s="358"/>
      <c r="CM150" s="358"/>
      <c r="CN150" s="358"/>
      <c r="CO150" s="358"/>
      <c r="CP150" s="358"/>
      <c r="CQ150" s="358"/>
      <c r="CR150" s="358"/>
      <c r="CS150" s="358"/>
      <c r="CT150" s="358"/>
      <c r="CU150" s="358"/>
      <c r="CV150" s="358"/>
      <c r="CW150" s="358"/>
      <c r="CX150" s="358"/>
      <c r="CY150" s="358"/>
      <c r="CZ150" s="358"/>
      <c r="DA150" s="358"/>
      <c r="DB150" s="358"/>
      <c r="DC150" s="358"/>
      <c r="DD150" s="358"/>
      <c r="DE150" s="358"/>
      <c r="DF150" s="358"/>
      <c r="DG150" s="358"/>
      <c r="DH150" s="358"/>
      <c r="DI150" s="358"/>
      <c r="DJ150" s="358"/>
      <c r="DK150" s="358"/>
      <c r="DL150" s="358"/>
      <c r="DM150" s="358"/>
      <c r="DN150" s="358"/>
      <c r="DO150" s="358"/>
      <c r="DP150" s="358"/>
      <c r="DQ150" s="358"/>
      <c r="DR150" s="358"/>
      <c r="DS150" s="358"/>
      <c r="DT150" s="358"/>
      <c r="DU150" s="358"/>
      <c r="DV150" s="358"/>
      <c r="DW150" s="358"/>
      <c r="DX150" s="358"/>
      <c r="DY150" s="358"/>
      <c r="DZ150" s="358"/>
      <c r="EA150" s="358"/>
      <c r="EB150" s="358"/>
      <c r="EC150" s="358"/>
      <c r="ED150" s="358"/>
      <c r="EE150" s="358"/>
      <c r="EF150" s="358"/>
      <c r="EG150" s="358"/>
      <c r="EH150" s="358"/>
      <c r="EI150" s="358"/>
      <c r="EJ150" s="358"/>
      <c r="EK150" s="358"/>
      <c r="EL150" s="358"/>
      <c r="EM150" s="358"/>
      <c r="EN150" s="358"/>
      <c r="EO150" s="358"/>
      <c r="EP150" s="358"/>
      <c r="EQ150" s="358"/>
      <c r="ER150" s="358"/>
      <c r="ES150" s="358"/>
      <c r="ET150" s="358"/>
      <c r="EU150" s="358"/>
      <c r="EV150" s="358"/>
      <c r="EW150" s="358"/>
      <c r="EX150" s="358"/>
      <c r="EY150" s="358"/>
      <c r="EZ150" s="358"/>
      <c r="FA150" s="358"/>
      <c r="FB150" s="358"/>
      <c r="FC150" s="358"/>
      <c r="FD150" s="358"/>
      <c r="FE150" s="358"/>
      <c r="FF150" s="358"/>
      <c r="FG150" s="358"/>
      <c r="FH150" s="358"/>
      <c r="FI150" s="358"/>
      <c r="FJ150" s="358"/>
      <c r="FK150" s="358"/>
      <c r="FL150" s="358"/>
      <c r="FM150" s="358"/>
      <c r="FN150" s="358"/>
      <c r="FO150" s="358"/>
      <c r="FP150" s="358"/>
      <c r="FQ150" s="358"/>
      <c r="FR150" s="358"/>
      <c r="FS150" s="358"/>
      <c r="FT150" s="358"/>
      <c r="FU150" s="358"/>
      <c r="FV150" s="358"/>
      <c r="FW150" s="358"/>
      <c r="FX150" s="358"/>
      <c r="FY150" s="358"/>
      <c r="FZ150" s="358"/>
      <c r="GA150" s="358"/>
      <c r="GB150" s="358"/>
      <c r="GC150" s="358"/>
      <c r="GD150" s="358"/>
      <c r="GE150" s="358"/>
      <c r="GF150" s="358"/>
      <c r="GG150" s="358"/>
      <c r="GH150" s="358"/>
      <c r="GI150" s="358"/>
      <c r="GJ150" s="358"/>
      <c r="GK150" s="358"/>
      <c r="GL150" s="358"/>
      <c r="GM150" s="358"/>
      <c r="GN150" s="358"/>
      <c r="GO150" s="358"/>
      <c r="GP150" s="358"/>
      <c r="GQ150" s="358"/>
      <c r="GR150" s="358"/>
      <c r="GS150" s="358"/>
      <c r="GT150" s="358"/>
      <c r="GU150" s="358"/>
      <c r="GV150" s="358"/>
      <c r="GW150" s="358"/>
      <c r="GX150" s="358"/>
      <c r="GY150" s="358"/>
      <c r="GZ150" s="358"/>
      <c r="HA150" s="358"/>
      <c r="HB150" s="358"/>
      <c r="HC150" s="358"/>
      <c r="HD150" s="358"/>
      <c r="HE150" s="358"/>
      <c r="HF150" s="358"/>
      <c r="HG150" s="358"/>
      <c r="HH150" s="358"/>
      <c r="HI150" s="358"/>
      <c r="HJ150" s="358"/>
      <c r="HK150" s="358"/>
      <c r="HL150" s="358"/>
      <c r="HM150" s="358"/>
      <c r="HN150" s="358"/>
      <c r="HO150" s="358"/>
      <c r="HP150" s="358"/>
      <c r="HQ150" s="358"/>
      <c r="HR150" s="358"/>
      <c r="HS150" s="358"/>
      <c r="HT150" s="358"/>
      <c r="HU150" s="358"/>
      <c r="HV150" s="358"/>
      <c r="HW150" s="358"/>
      <c r="HX150" s="358"/>
    </row>
    <row r="151" spans="1:232" s="5" customFormat="1" ht="20.100000000000001" customHeight="1">
      <c r="A151" s="503"/>
      <c r="B151" s="1667"/>
      <c r="C151" s="1667"/>
      <c r="D151" s="1667"/>
      <c r="E151" s="1667"/>
      <c r="F151" s="1598"/>
      <c r="G151" s="1598"/>
      <c r="H151" s="1598"/>
      <c r="I151" s="505"/>
      <c r="J151" s="506"/>
      <c r="O151" s="405"/>
      <c r="P151" s="405"/>
      <c r="Q151" s="405"/>
      <c r="R151" s="405"/>
      <c r="S151" s="405"/>
      <c r="T151" s="405"/>
      <c r="U151" s="358"/>
      <c r="V151" s="358"/>
      <c r="W151" s="358"/>
      <c r="X151" s="358"/>
      <c r="Y151" s="358"/>
      <c r="Z151" s="358"/>
      <c r="AA151" s="358"/>
      <c r="AB151" s="358"/>
      <c r="AC151" s="358"/>
      <c r="AD151" s="358"/>
      <c r="AE151" s="358"/>
      <c r="AF151" s="358"/>
      <c r="AG151" s="358"/>
      <c r="AH151" s="358"/>
      <c r="AI151" s="358"/>
      <c r="AJ151" s="358"/>
      <c r="AK151" s="358"/>
      <c r="AL151" s="358"/>
      <c r="AM151" s="358"/>
      <c r="AN151" s="358"/>
      <c r="AO151" s="358"/>
      <c r="AP151" s="358"/>
      <c r="AQ151" s="358"/>
      <c r="AR151" s="358"/>
      <c r="AS151" s="358"/>
      <c r="AT151" s="358"/>
      <c r="AU151" s="358"/>
      <c r="AV151" s="358"/>
      <c r="AW151" s="358"/>
      <c r="AX151" s="358"/>
      <c r="AY151" s="358"/>
      <c r="AZ151" s="358"/>
      <c r="BA151" s="358"/>
      <c r="BB151" s="358"/>
      <c r="BC151" s="358"/>
      <c r="BD151" s="358"/>
      <c r="BE151" s="358"/>
      <c r="BF151" s="358"/>
      <c r="BG151" s="358"/>
      <c r="BH151" s="358"/>
      <c r="BI151" s="358"/>
      <c r="BJ151" s="358"/>
      <c r="BK151" s="358"/>
      <c r="BL151" s="358"/>
      <c r="BM151" s="358"/>
      <c r="BN151" s="358"/>
      <c r="BO151" s="358"/>
      <c r="BP151" s="358"/>
      <c r="BQ151" s="358"/>
      <c r="BR151" s="358"/>
      <c r="BS151" s="358"/>
      <c r="BT151" s="358"/>
      <c r="BU151" s="358"/>
      <c r="BV151" s="358"/>
      <c r="BW151" s="358"/>
      <c r="BX151" s="358"/>
      <c r="BY151" s="358"/>
      <c r="BZ151" s="358"/>
      <c r="CA151" s="358"/>
      <c r="CB151" s="358"/>
      <c r="CC151" s="358"/>
      <c r="CD151" s="358"/>
      <c r="CE151" s="358"/>
      <c r="CF151" s="358"/>
      <c r="CG151" s="358"/>
      <c r="CH151" s="358"/>
      <c r="CI151" s="358"/>
      <c r="CJ151" s="358"/>
      <c r="CK151" s="358"/>
      <c r="CL151" s="358"/>
      <c r="CM151" s="358"/>
      <c r="CN151" s="358"/>
      <c r="CO151" s="358"/>
      <c r="CP151" s="358"/>
      <c r="CQ151" s="358"/>
      <c r="CR151" s="358"/>
      <c r="CS151" s="358"/>
      <c r="CT151" s="358"/>
      <c r="CU151" s="358"/>
      <c r="CV151" s="358"/>
      <c r="CW151" s="358"/>
      <c r="CX151" s="358"/>
      <c r="CY151" s="358"/>
      <c r="CZ151" s="358"/>
      <c r="DA151" s="358"/>
      <c r="DB151" s="358"/>
      <c r="DC151" s="358"/>
      <c r="DD151" s="358"/>
      <c r="DE151" s="358"/>
      <c r="DF151" s="358"/>
      <c r="DG151" s="358"/>
      <c r="DH151" s="358"/>
      <c r="DI151" s="358"/>
      <c r="DJ151" s="358"/>
      <c r="DK151" s="358"/>
      <c r="DL151" s="358"/>
      <c r="DM151" s="358"/>
      <c r="DN151" s="358"/>
      <c r="DO151" s="358"/>
      <c r="DP151" s="358"/>
      <c r="DQ151" s="358"/>
      <c r="DR151" s="358"/>
      <c r="DS151" s="358"/>
      <c r="DT151" s="358"/>
      <c r="DU151" s="358"/>
      <c r="DV151" s="358"/>
      <c r="DW151" s="358"/>
      <c r="DX151" s="358"/>
      <c r="DY151" s="358"/>
      <c r="DZ151" s="358"/>
      <c r="EA151" s="358"/>
      <c r="EB151" s="358"/>
      <c r="EC151" s="358"/>
      <c r="ED151" s="358"/>
      <c r="EE151" s="358"/>
      <c r="EF151" s="358"/>
      <c r="EG151" s="358"/>
      <c r="EH151" s="358"/>
      <c r="EI151" s="358"/>
      <c r="EJ151" s="358"/>
      <c r="EK151" s="358"/>
      <c r="EL151" s="358"/>
      <c r="EM151" s="358"/>
      <c r="EN151" s="358"/>
      <c r="EO151" s="358"/>
      <c r="EP151" s="358"/>
      <c r="EQ151" s="358"/>
      <c r="ER151" s="358"/>
      <c r="ES151" s="358"/>
      <c r="ET151" s="358"/>
      <c r="EU151" s="358"/>
      <c r="EV151" s="358"/>
      <c r="EW151" s="358"/>
      <c r="EX151" s="358"/>
      <c r="EY151" s="358"/>
      <c r="EZ151" s="358"/>
      <c r="FA151" s="358"/>
      <c r="FB151" s="358"/>
      <c r="FC151" s="358"/>
      <c r="FD151" s="358"/>
      <c r="FE151" s="358"/>
      <c r="FF151" s="358"/>
      <c r="FG151" s="358"/>
      <c r="FH151" s="358"/>
      <c r="FI151" s="358"/>
      <c r="FJ151" s="358"/>
      <c r="FK151" s="358"/>
      <c r="FL151" s="358"/>
      <c r="FM151" s="358"/>
      <c r="FN151" s="358"/>
      <c r="FO151" s="358"/>
      <c r="FP151" s="358"/>
      <c r="FQ151" s="358"/>
      <c r="FR151" s="358"/>
      <c r="FS151" s="358"/>
      <c r="FT151" s="358"/>
      <c r="FU151" s="358"/>
      <c r="FV151" s="358"/>
      <c r="FW151" s="358"/>
      <c r="FX151" s="358"/>
      <c r="FY151" s="358"/>
      <c r="FZ151" s="358"/>
      <c r="GA151" s="358"/>
      <c r="GB151" s="358"/>
      <c r="GC151" s="358"/>
      <c r="GD151" s="358"/>
      <c r="GE151" s="358"/>
      <c r="GF151" s="358"/>
      <c r="GG151" s="358"/>
      <c r="GH151" s="358"/>
      <c r="GI151" s="358"/>
      <c r="GJ151" s="358"/>
      <c r="GK151" s="358"/>
      <c r="GL151" s="358"/>
      <c r="GM151" s="358"/>
      <c r="GN151" s="358"/>
      <c r="GO151" s="358"/>
      <c r="GP151" s="358"/>
      <c r="GQ151" s="358"/>
      <c r="GR151" s="358"/>
      <c r="GS151" s="358"/>
      <c r="GT151" s="358"/>
      <c r="GU151" s="358"/>
      <c r="GV151" s="358"/>
      <c r="GW151" s="358"/>
      <c r="GX151" s="358"/>
      <c r="GY151" s="358"/>
      <c r="GZ151" s="358"/>
      <c r="HA151" s="358"/>
      <c r="HB151" s="358"/>
      <c r="HC151" s="358"/>
      <c r="HD151" s="358"/>
      <c r="HE151" s="358"/>
      <c r="HF151" s="358"/>
      <c r="HG151" s="358"/>
      <c r="HH151" s="358"/>
      <c r="HI151" s="358"/>
      <c r="HJ151" s="358"/>
      <c r="HK151" s="358"/>
      <c r="HL151" s="358"/>
      <c r="HM151" s="358"/>
      <c r="HN151" s="358"/>
      <c r="HO151" s="358"/>
      <c r="HP151" s="358"/>
      <c r="HQ151" s="358"/>
      <c r="HR151" s="358"/>
      <c r="HS151" s="358"/>
      <c r="HT151" s="358"/>
      <c r="HU151" s="358"/>
      <c r="HV151" s="358"/>
      <c r="HW151" s="358"/>
      <c r="HX151" s="358"/>
    </row>
    <row r="152" spans="1:232" s="5" customFormat="1" ht="20.100000000000001" customHeight="1">
      <c r="A152" s="503"/>
      <c r="B152" s="1667"/>
      <c r="C152" s="1667"/>
      <c r="D152" s="1667"/>
      <c r="E152" s="1667"/>
      <c r="F152" s="1598"/>
      <c r="G152" s="1598"/>
      <c r="H152" s="1598"/>
      <c r="I152" s="505"/>
      <c r="J152" s="506"/>
      <c r="O152" s="405"/>
      <c r="P152" s="405"/>
      <c r="Q152" s="405"/>
      <c r="R152" s="405"/>
      <c r="S152" s="405"/>
      <c r="T152" s="405"/>
      <c r="U152" s="358"/>
      <c r="V152" s="358"/>
      <c r="W152" s="358"/>
      <c r="X152" s="358"/>
      <c r="Y152" s="358"/>
      <c r="Z152" s="358"/>
      <c r="AA152" s="358"/>
      <c r="AB152" s="358"/>
      <c r="AC152" s="358"/>
      <c r="AD152" s="358"/>
      <c r="AE152" s="358"/>
      <c r="AF152" s="358"/>
      <c r="AG152" s="358"/>
      <c r="AH152" s="358"/>
      <c r="AI152" s="358"/>
      <c r="AJ152" s="358"/>
      <c r="AK152" s="358"/>
      <c r="AL152" s="358"/>
      <c r="AM152" s="358"/>
      <c r="AN152" s="358"/>
      <c r="AO152" s="358"/>
      <c r="AP152" s="358"/>
      <c r="AQ152" s="358"/>
      <c r="AR152" s="358"/>
      <c r="AS152" s="358"/>
      <c r="AT152" s="358"/>
      <c r="AU152" s="358"/>
      <c r="AV152" s="358"/>
      <c r="AW152" s="358"/>
      <c r="AX152" s="358"/>
      <c r="AY152" s="358"/>
      <c r="AZ152" s="358"/>
      <c r="BA152" s="358"/>
      <c r="BB152" s="358"/>
      <c r="BC152" s="358"/>
      <c r="BD152" s="358"/>
      <c r="BE152" s="358"/>
      <c r="BF152" s="358"/>
      <c r="BG152" s="358"/>
      <c r="BH152" s="358"/>
      <c r="BI152" s="358"/>
      <c r="BJ152" s="358"/>
      <c r="BK152" s="358"/>
      <c r="BL152" s="358"/>
      <c r="BM152" s="358"/>
      <c r="BN152" s="358"/>
      <c r="BO152" s="358"/>
      <c r="BP152" s="358"/>
      <c r="BQ152" s="358"/>
      <c r="BR152" s="358"/>
      <c r="BS152" s="358"/>
      <c r="BT152" s="358"/>
      <c r="BU152" s="358"/>
      <c r="BV152" s="358"/>
      <c r="BW152" s="358"/>
      <c r="BX152" s="358"/>
      <c r="BY152" s="358"/>
      <c r="BZ152" s="358"/>
      <c r="CA152" s="358"/>
      <c r="CB152" s="358"/>
      <c r="CC152" s="358"/>
      <c r="CD152" s="358"/>
      <c r="CE152" s="358"/>
      <c r="CF152" s="358"/>
      <c r="CG152" s="358"/>
      <c r="CH152" s="358"/>
      <c r="CI152" s="358"/>
      <c r="CJ152" s="358"/>
      <c r="CK152" s="358"/>
      <c r="CL152" s="358"/>
      <c r="CM152" s="358"/>
      <c r="CN152" s="358"/>
      <c r="CO152" s="358"/>
      <c r="CP152" s="358"/>
      <c r="CQ152" s="358"/>
      <c r="CR152" s="358"/>
      <c r="CS152" s="358"/>
      <c r="CT152" s="358"/>
      <c r="CU152" s="358"/>
      <c r="CV152" s="358"/>
      <c r="CW152" s="358"/>
      <c r="CX152" s="358"/>
      <c r="CY152" s="358"/>
      <c r="CZ152" s="358"/>
      <c r="DA152" s="358"/>
      <c r="DB152" s="358"/>
      <c r="DC152" s="358"/>
      <c r="DD152" s="358"/>
      <c r="DE152" s="358"/>
      <c r="DF152" s="358"/>
      <c r="DG152" s="358"/>
      <c r="DH152" s="358"/>
      <c r="DI152" s="358"/>
      <c r="DJ152" s="358"/>
      <c r="DK152" s="358"/>
      <c r="DL152" s="358"/>
      <c r="DM152" s="358"/>
      <c r="DN152" s="358"/>
      <c r="DO152" s="358"/>
      <c r="DP152" s="358"/>
      <c r="DQ152" s="358"/>
      <c r="DR152" s="358"/>
      <c r="DS152" s="358"/>
      <c r="DT152" s="358"/>
      <c r="DU152" s="358"/>
      <c r="DV152" s="358"/>
      <c r="DW152" s="358"/>
      <c r="DX152" s="358"/>
      <c r="DY152" s="358"/>
      <c r="DZ152" s="358"/>
      <c r="EA152" s="358"/>
      <c r="EB152" s="358"/>
      <c r="EC152" s="358"/>
      <c r="ED152" s="358"/>
      <c r="EE152" s="358"/>
      <c r="EF152" s="358"/>
      <c r="EG152" s="358"/>
      <c r="EH152" s="358"/>
      <c r="EI152" s="358"/>
      <c r="EJ152" s="358"/>
      <c r="EK152" s="358"/>
      <c r="EL152" s="358"/>
      <c r="EM152" s="358"/>
      <c r="EN152" s="358"/>
      <c r="EO152" s="358"/>
      <c r="EP152" s="358"/>
      <c r="EQ152" s="358"/>
      <c r="ER152" s="358"/>
      <c r="ES152" s="358"/>
      <c r="ET152" s="358"/>
      <c r="EU152" s="358"/>
      <c r="EV152" s="358"/>
      <c r="EW152" s="358"/>
      <c r="EX152" s="358"/>
      <c r="EY152" s="358"/>
      <c r="EZ152" s="358"/>
      <c r="FA152" s="358"/>
      <c r="FB152" s="358"/>
      <c r="FC152" s="358"/>
      <c r="FD152" s="358"/>
      <c r="FE152" s="358"/>
      <c r="FF152" s="358"/>
      <c r="FG152" s="358"/>
      <c r="FH152" s="358"/>
      <c r="FI152" s="358"/>
      <c r="FJ152" s="358"/>
      <c r="FK152" s="358"/>
      <c r="FL152" s="358"/>
      <c r="FM152" s="358"/>
      <c r="FN152" s="358"/>
      <c r="FO152" s="358"/>
      <c r="FP152" s="358"/>
      <c r="FQ152" s="358"/>
      <c r="FR152" s="358"/>
      <c r="FS152" s="358"/>
      <c r="FT152" s="358"/>
      <c r="FU152" s="358"/>
      <c r="FV152" s="358"/>
      <c r="FW152" s="358"/>
      <c r="FX152" s="358"/>
      <c r="FY152" s="358"/>
      <c r="FZ152" s="358"/>
      <c r="GA152" s="358"/>
      <c r="GB152" s="358"/>
      <c r="GC152" s="358"/>
      <c r="GD152" s="358"/>
      <c r="GE152" s="358"/>
      <c r="GF152" s="358"/>
      <c r="GG152" s="358"/>
      <c r="GH152" s="358"/>
      <c r="GI152" s="358"/>
      <c r="GJ152" s="358"/>
      <c r="GK152" s="358"/>
      <c r="GL152" s="358"/>
      <c r="GM152" s="358"/>
      <c r="GN152" s="358"/>
      <c r="GO152" s="358"/>
      <c r="GP152" s="358"/>
      <c r="GQ152" s="358"/>
      <c r="GR152" s="358"/>
      <c r="GS152" s="358"/>
      <c r="GT152" s="358"/>
      <c r="GU152" s="358"/>
      <c r="GV152" s="358"/>
      <c r="GW152" s="358"/>
      <c r="GX152" s="358"/>
      <c r="GY152" s="358"/>
      <c r="GZ152" s="358"/>
      <c r="HA152" s="358"/>
      <c r="HB152" s="358"/>
      <c r="HC152" s="358"/>
      <c r="HD152" s="358"/>
      <c r="HE152" s="358"/>
      <c r="HF152" s="358"/>
      <c r="HG152" s="358"/>
      <c r="HH152" s="358"/>
      <c r="HI152" s="358"/>
      <c r="HJ152" s="358"/>
      <c r="HK152" s="358"/>
      <c r="HL152" s="358"/>
      <c r="HM152" s="358"/>
      <c r="HN152" s="358"/>
      <c r="HO152" s="358"/>
      <c r="HP152" s="358"/>
      <c r="HQ152" s="358"/>
      <c r="HR152" s="358"/>
      <c r="HS152" s="358"/>
      <c r="HT152" s="358"/>
      <c r="HU152" s="358"/>
      <c r="HV152" s="358"/>
      <c r="HW152" s="358"/>
      <c r="HX152" s="358"/>
    </row>
    <row r="153" spans="1:232" s="5" customFormat="1" ht="20.100000000000001" customHeight="1">
      <c r="A153" s="521"/>
      <c r="B153" s="522"/>
      <c r="C153" s="522"/>
      <c r="D153" s="522"/>
      <c r="E153" s="522"/>
      <c r="F153" s="523"/>
      <c r="G153" s="523"/>
      <c r="H153" s="523"/>
      <c r="J153" s="502"/>
      <c r="O153" s="405"/>
      <c r="P153" s="405"/>
      <c r="Q153" s="405"/>
      <c r="R153" s="405"/>
      <c r="S153" s="405"/>
      <c r="T153" s="405"/>
      <c r="U153" s="358"/>
      <c r="V153" s="358"/>
      <c r="W153" s="358"/>
      <c r="X153" s="358"/>
      <c r="Y153" s="358"/>
      <c r="Z153" s="358"/>
      <c r="AA153" s="358"/>
      <c r="AB153" s="358"/>
      <c r="AC153" s="358"/>
      <c r="AD153" s="358"/>
      <c r="AE153" s="358"/>
      <c r="AF153" s="358"/>
      <c r="AG153" s="358"/>
      <c r="AH153" s="358"/>
      <c r="AI153" s="358"/>
      <c r="AJ153" s="358"/>
      <c r="AK153" s="358"/>
      <c r="AL153" s="358"/>
      <c r="AM153" s="358"/>
      <c r="AN153" s="358"/>
      <c r="AO153" s="358"/>
      <c r="AP153" s="358"/>
      <c r="AQ153" s="358"/>
      <c r="AR153" s="358"/>
      <c r="AS153" s="358"/>
      <c r="AT153" s="358"/>
      <c r="AU153" s="358"/>
      <c r="AV153" s="358"/>
      <c r="AW153" s="358"/>
      <c r="AX153" s="358"/>
      <c r="AY153" s="358"/>
      <c r="AZ153" s="358"/>
      <c r="BA153" s="358"/>
      <c r="BB153" s="358"/>
      <c r="BC153" s="358"/>
      <c r="BD153" s="358"/>
      <c r="BE153" s="358"/>
      <c r="BF153" s="358"/>
      <c r="BG153" s="358"/>
      <c r="BH153" s="358"/>
      <c r="BI153" s="358"/>
      <c r="BJ153" s="358"/>
      <c r="BK153" s="358"/>
      <c r="BL153" s="358"/>
      <c r="BM153" s="358"/>
      <c r="BN153" s="358"/>
      <c r="BO153" s="358"/>
      <c r="BP153" s="358"/>
      <c r="BQ153" s="358"/>
      <c r="BR153" s="358"/>
      <c r="BS153" s="358"/>
      <c r="BT153" s="358"/>
      <c r="BU153" s="358"/>
      <c r="BV153" s="358"/>
      <c r="BW153" s="358"/>
      <c r="BX153" s="358"/>
      <c r="BY153" s="358"/>
      <c r="BZ153" s="358"/>
      <c r="CA153" s="358"/>
      <c r="CB153" s="358"/>
      <c r="CC153" s="358"/>
      <c r="CD153" s="358"/>
      <c r="CE153" s="358"/>
      <c r="CF153" s="358"/>
      <c r="CG153" s="358"/>
      <c r="CH153" s="358"/>
      <c r="CI153" s="358"/>
      <c r="CJ153" s="358"/>
      <c r="CK153" s="358"/>
      <c r="CL153" s="358"/>
      <c r="CM153" s="358"/>
      <c r="CN153" s="358"/>
      <c r="CO153" s="358"/>
      <c r="CP153" s="358"/>
      <c r="CQ153" s="358"/>
      <c r="CR153" s="358"/>
      <c r="CS153" s="358"/>
      <c r="CT153" s="358"/>
      <c r="CU153" s="358"/>
      <c r="CV153" s="358"/>
      <c r="CW153" s="358"/>
      <c r="CX153" s="358"/>
      <c r="CY153" s="358"/>
      <c r="CZ153" s="358"/>
      <c r="DA153" s="358"/>
      <c r="DB153" s="358"/>
      <c r="DC153" s="358"/>
      <c r="DD153" s="358"/>
      <c r="DE153" s="358"/>
      <c r="DF153" s="358"/>
      <c r="DG153" s="358"/>
      <c r="DH153" s="358"/>
      <c r="DI153" s="358"/>
      <c r="DJ153" s="358"/>
      <c r="DK153" s="358"/>
      <c r="DL153" s="358"/>
      <c r="DM153" s="358"/>
      <c r="DN153" s="358"/>
      <c r="DO153" s="358"/>
      <c r="DP153" s="358"/>
      <c r="DQ153" s="358"/>
      <c r="DR153" s="358"/>
      <c r="DS153" s="358"/>
      <c r="DT153" s="358"/>
      <c r="DU153" s="358"/>
      <c r="DV153" s="358"/>
      <c r="DW153" s="358"/>
      <c r="DX153" s="358"/>
      <c r="DY153" s="358"/>
      <c r="DZ153" s="358"/>
      <c r="EA153" s="358"/>
      <c r="EB153" s="358"/>
      <c r="EC153" s="358"/>
      <c r="ED153" s="358"/>
      <c r="EE153" s="358"/>
      <c r="EF153" s="358"/>
      <c r="EG153" s="358"/>
      <c r="EH153" s="358"/>
      <c r="EI153" s="358"/>
      <c r="EJ153" s="358"/>
      <c r="EK153" s="358"/>
      <c r="EL153" s="358"/>
      <c r="EM153" s="358"/>
      <c r="EN153" s="358"/>
      <c r="EO153" s="358"/>
      <c r="EP153" s="358"/>
      <c r="EQ153" s="358"/>
      <c r="ER153" s="358"/>
      <c r="ES153" s="358"/>
      <c r="ET153" s="358"/>
      <c r="EU153" s="358"/>
      <c r="EV153" s="358"/>
      <c r="EW153" s="358"/>
      <c r="EX153" s="358"/>
      <c r="EY153" s="358"/>
      <c r="EZ153" s="358"/>
      <c r="FA153" s="358"/>
      <c r="FB153" s="358"/>
      <c r="FC153" s="358"/>
      <c r="FD153" s="358"/>
      <c r="FE153" s="358"/>
      <c r="FF153" s="358"/>
      <c r="FG153" s="358"/>
      <c r="FH153" s="358"/>
      <c r="FI153" s="358"/>
      <c r="FJ153" s="358"/>
      <c r="FK153" s="358"/>
      <c r="FL153" s="358"/>
      <c r="FM153" s="358"/>
      <c r="FN153" s="358"/>
      <c r="FO153" s="358"/>
      <c r="FP153" s="358"/>
      <c r="FQ153" s="358"/>
      <c r="FR153" s="358"/>
      <c r="FS153" s="358"/>
      <c r="FT153" s="358"/>
      <c r="FU153" s="358"/>
      <c r="FV153" s="358"/>
      <c r="FW153" s="358"/>
      <c r="FX153" s="358"/>
      <c r="FY153" s="358"/>
      <c r="FZ153" s="358"/>
      <c r="GA153" s="358"/>
      <c r="GB153" s="358"/>
      <c r="GC153" s="358"/>
      <c r="GD153" s="358"/>
      <c r="GE153" s="358"/>
      <c r="GF153" s="358"/>
      <c r="GG153" s="358"/>
      <c r="GH153" s="358"/>
      <c r="GI153" s="358"/>
      <c r="GJ153" s="358"/>
      <c r="GK153" s="358"/>
      <c r="GL153" s="358"/>
      <c r="GM153" s="358"/>
      <c r="GN153" s="358"/>
      <c r="GO153" s="358"/>
      <c r="GP153" s="358"/>
      <c r="GQ153" s="358"/>
      <c r="GR153" s="358"/>
      <c r="GS153" s="358"/>
      <c r="GT153" s="358"/>
      <c r="GU153" s="358"/>
      <c r="GV153" s="358"/>
      <c r="GW153" s="358"/>
      <c r="GX153" s="358"/>
      <c r="GY153" s="358"/>
      <c r="GZ153" s="358"/>
      <c r="HA153" s="358"/>
      <c r="HB153" s="358"/>
      <c r="HC153" s="358"/>
      <c r="HD153" s="358"/>
      <c r="HE153" s="358"/>
      <c r="HF153" s="358"/>
      <c r="HG153" s="358"/>
      <c r="HH153" s="358"/>
      <c r="HI153" s="358"/>
      <c r="HJ153" s="358"/>
      <c r="HK153" s="358"/>
      <c r="HL153" s="358"/>
      <c r="HM153" s="358"/>
      <c r="HN153" s="358"/>
      <c r="HO153" s="358"/>
      <c r="HP153" s="358"/>
      <c r="HQ153" s="358"/>
      <c r="HR153" s="358"/>
      <c r="HS153" s="358"/>
      <c r="HT153" s="358"/>
      <c r="HU153" s="358"/>
      <c r="HV153" s="358"/>
      <c r="HW153" s="358"/>
      <c r="HX153" s="358"/>
    </row>
    <row r="154" spans="1:232" ht="20.100000000000001" customHeight="1">
      <c r="A154" s="1595" t="s">
        <v>120</v>
      </c>
      <c r="B154" s="1595"/>
      <c r="C154" s="1595"/>
      <c r="D154" s="1595"/>
      <c r="E154" s="1595"/>
      <c r="F154" s="1595"/>
      <c r="G154" s="1595"/>
      <c r="H154" s="1595"/>
      <c r="I154" s="1595"/>
      <c r="J154" s="1595"/>
      <c r="N154" s="5"/>
      <c r="O154" s="405"/>
      <c r="P154" s="405"/>
      <c r="Q154" s="405"/>
      <c r="R154" s="405"/>
      <c r="S154" s="405"/>
    </row>
    <row r="155" spans="1:232" ht="20.100000000000001" customHeight="1">
      <c r="A155" s="1596" t="s">
        <v>121</v>
      </c>
      <c r="B155" s="1596"/>
      <c r="C155" s="1596"/>
      <c r="D155" s="1596"/>
      <c r="E155" s="1596"/>
      <c r="F155" s="1596"/>
      <c r="G155" s="1596"/>
      <c r="H155" s="1596"/>
      <c r="I155" s="1596"/>
      <c r="J155" s="1596"/>
    </row>
    <row r="156" spans="1:232" ht="20.100000000000001" customHeight="1">
      <c r="A156" s="1600" t="s">
        <v>137</v>
      </c>
      <c r="B156" s="1600"/>
      <c r="C156" s="1600"/>
      <c r="D156" s="1600"/>
      <c r="E156" s="1600"/>
      <c r="F156" s="1600"/>
      <c r="G156" s="1600"/>
      <c r="H156" s="1600"/>
      <c r="I156" s="1600"/>
      <c r="J156" s="1600"/>
    </row>
    <row r="157" spans="1:232" ht="20.100000000000001" customHeight="1">
      <c r="A157" s="1595"/>
      <c r="B157" s="1595"/>
      <c r="C157" s="1595"/>
      <c r="D157" s="1595"/>
      <c r="E157" s="1595"/>
      <c r="F157" s="1595"/>
      <c r="G157" s="1595"/>
      <c r="H157" s="1595"/>
      <c r="I157" s="1595"/>
      <c r="J157" s="1595"/>
    </row>
    <row r="158" spans="1:232" ht="20.100000000000001" customHeight="1">
      <c r="A158" s="507"/>
      <c r="B158" s="507"/>
      <c r="C158" s="507"/>
      <c r="D158" s="507"/>
      <c r="E158" s="507"/>
      <c r="F158" s="507"/>
      <c r="G158" s="507"/>
      <c r="H158" s="507"/>
      <c r="I158" s="507"/>
      <c r="J158" s="507"/>
    </row>
    <row r="159" spans="1:232" ht="20.100000000000001" customHeight="1">
      <c r="A159" s="1599" t="s">
        <v>473</v>
      </c>
      <c r="B159" s="1599"/>
      <c r="C159" s="1599"/>
      <c r="D159" s="1599"/>
      <c r="E159" s="1599"/>
      <c r="F159" s="1599" t="s">
        <v>185</v>
      </c>
      <c r="G159" s="1599"/>
      <c r="H159" s="1599"/>
      <c r="I159" s="1599"/>
      <c r="J159" s="1599"/>
    </row>
    <row r="160" spans="1:232" ht="20.100000000000001" customHeight="1">
      <c r="A160" s="1599" t="s">
        <v>449</v>
      </c>
      <c r="B160" s="1599"/>
      <c r="C160" s="1599"/>
      <c r="D160" s="1599"/>
      <c r="E160" s="1599"/>
      <c r="F160" s="1599" t="str">
        <f>$P$16</f>
        <v>Nguyễn Mạnh Hùng</v>
      </c>
      <c r="G160" s="1599"/>
      <c r="H160" s="1599"/>
      <c r="I160" s="1599"/>
      <c r="J160" s="1599"/>
    </row>
    <row r="161" spans="1:30" ht="20.100000000000001" customHeight="1">
      <c r="A161" s="1599"/>
      <c r="B161" s="1599"/>
      <c r="C161" s="1599"/>
      <c r="D161" s="1599"/>
      <c r="E161" s="1599"/>
      <c r="F161" s="1599"/>
      <c r="G161" s="1599"/>
      <c r="H161" s="1599"/>
      <c r="I161" s="1599"/>
      <c r="J161" s="1599"/>
    </row>
    <row r="162" spans="1:30" ht="20.100000000000001" customHeight="1">
      <c r="A162" s="1599"/>
      <c r="B162" s="1599"/>
      <c r="C162" s="1599"/>
      <c r="D162" s="1599"/>
      <c r="E162" s="1599"/>
      <c r="F162" s="1599"/>
      <c r="G162" s="1599"/>
      <c r="H162" s="1599"/>
      <c r="I162" s="1599"/>
      <c r="J162" s="1599"/>
    </row>
    <row r="163" spans="1:30" ht="20.100000000000001" customHeight="1">
      <c r="A163" s="1599"/>
      <c r="B163" s="1599"/>
      <c r="C163" s="1599"/>
      <c r="D163" s="1599"/>
      <c r="E163" s="1599"/>
      <c r="F163" s="1599"/>
      <c r="G163" s="1599"/>
      <c r="H163" s="1599"/>
      <c r="I163" s="1599"/>
      <c r="J163" s="1599"/>
    </row>
    <row r="164" spans="1:30" ht="20.100000000000001" customHeight="1">
      <c r="A164" s="1599"/>
      <c r="B164" s="1599"/>
      <c r="C164" s="1599"/>
      <c r="D164" s="1599"/>
      <c r="E164" s="1599"/>
      <c r="F164" s="1599"/>
      <c r="G164" s="1599"/>
      <c r="H164" s="1599"/>
      <c r="I164" s="1599"/>
      <c r="J164" s="1599"/>
    </row>
    <row r="165" spans="1:30" ht="20.100000000000001" customHeight="1">
      <c r="A165" s="1613" t="s">
        <v>77</v>
      </c>
      <c r="B165" s="1613"/>
      <c r="C165" s="1613"/>
      <c r="D165" s="1613"/>
      <c r="E165" s="1613"/>
      <c r="F165" s="1613"/>
      <c r="G165" s="1613"/>
      <c r="H165" s="1613"/>
      <c r="I165" s="1613"/>
      <c r="J165" s="1613"/>
      <c r="L165" s="464" t="s">
        <v>78</v>
      </c>
      <c r="M165" s="465">
        <v>31</v>
      </c>
      <c r="O165" s="466"/>
      <c r="P165" s="466"/>
      <c r="Q165" s="467"/>
      <c r="V165" s="467"/>
    </row>
    <row r="166" spans="1:30" ht="20.100000000000001" customHeight="1">
      <c r="A166" s="1614" t="s">
        <v>80</v>
      </c>
      <c r="B166" s="1614"/>
      <c r="C166" s="1614"/>
      <c r="D166" s="1614"/>
      <c r="E166" s="1614"/>
      <c r="F166" s="1614"/>
      <c r="G166" s="1614"/>
      <c r="H166" s="1614"/>
      <c r="I166" s="1614"/>
      <c r="J166" s="1614"/>
      <c r="L166" s="467" t="s">
        <v>81</v>
      </c>
      <c r="N166" s="467" t="str">
        <f>"Cốt thép: "&amp;'2. NK'!$D$10</f>
        <v>Cốt thép: B1</v>
      </c>
      <c r="O166" s="466"/>
      <c r="P166" s="466"/>
      <c r="Q166" s="467"/>
      <c r="V166" s="467"/>
    </row>
    <row r="167" spans="1:30" ht="20.100000000000001" customHeight="1">
      <c r="A167" s="1616" t="s">
        <v>82</v>
      </c>
      <c r="B167" s="1616"/>
      <c r="C167" s="1616"/>
      <c r="D167" s="1616"/>
      <c r="E167" s="1616"/>
      <c r="F167" s="1616"/>
      <c r="G167" s="1616"/>
      <c r="H167" s="1616"/>
      <c r="I167" s="1616"/>
      <c r="J167" s="1616"/>
      <c r="L167" s="469" t="s">
        <v>83</v>
      </c>
      <c r="N167" s="467" t="str">
        <f>'2. NK'!$R$12</f>
        <v>Tại công trình</v>
      </c>
      <c r="P167" s="467"/>
      <c r="V167" s="467"/>
    </row>
    <row r="168" spans="1:30" ht="20.100000000000001" customHeight="1">
      <c r="A168" s="1617">
        <f>$N175</f>
        <v>42466</v>
      </c>
      <c r="B168" s="1617"/>
      <c r="C168" s="1617"/>
      <c r="D168" s="1617"/>
      <c r="E168" s="1617"/>
      <c r="F168" s="1617"/>
      <c r="G168" s="1617"/>
      <c r="H168" s="1617"/>
      <c r="I168" s="1617"/>
      <c r="J168" s="1617"/>
      <c r="L168" s="469" t="s">
        <v>84</v>
      </c>
      <c r="N168" s="467" t="str">
        <f>'2. NK'!$D$10&amp;"/"&amp;'2. NK'!$H$10</f>
        <v>B1/800</v>
      </c>
      <c r="O168" s="466"/>
      <c r="P168" s="466"/>
      <c r="Q168" s="467"/>
    </row>
    <row r="169" spans="1:30" ht="20.100000000000001" customHeight="1">
      <c r="A169" s="1614" t="str">
        <f>"BIÊN BẢN SỐ: NB-"&amp;N168</f>
        <v>BIÊN BẢN SỐ: NB-B1/800</v>
      </c>
      <c r="B169" s="1614"/>
      <c r="C169" s="1614"/>
      <c r="D169" s="1614"/>
      <c r="E169" s="1614"/>
      <c r="F169" s="1614"/>
      <c r="G169" s="1614"/>
      <c r="H169" s="1614"/>
      <c r="I169" s="1614"/>
      <c r="J169" s="1614"/>
      <c r="L169" s="469" t="s">
        <v>36</v>
      </c>
      <c r="N169" s="467"/>
      <c r="O169" s="466"/>
      <c r="P169" s="466"/>
      <c r="Q169" s="466"/>
    </row>
    <row r="170" spans="1:30" ht="20.100000000000001" customHeight="1">
      <c r="A170" s="1618" t="s">
        <v>86</v>
      </c>
      <c r="B170" s="1618"/>
      <c r="C170" s="1618"/>
      <c r="D170" s="1618"/>
      <c r="E170" s="1618"/>
      <c r="F170" s="1618"/>
      <c r="G170" s="1618"/>
      <c r="H170" s="1618"/>
      <c r="I170" s="1618"/>
      <c r="J170" s="1618"/>
      <c r="M170" s="469" t="s">
        <v>87</v>
      </c>
      <c r="N170" s="470">
        <v>0</v>
      </c>
      <c r="O170" s="466"/>
      <c r="P170" s="466"/>
      <c r="Q170" s="466"/>
    </row>
    <row r="171" spans="1:30" s="472" customFormat="1" ht="20.100000000000001" customHeight="1">
      <c r="A171" s="471"/>
      <c r="B171" s="471"/>
      <c r="C171" s="471"/>
      <c r="D171" s="471"/>
      <c r="E171" s="471"/>
      <c r="F171" s="471"/>
      <c r="G171" s="471"/>
      <c r="H171" s="471"/>
      <c r="I171" s="471"/>
      <c r="J171" s="471"/>
      <c r="L171" s="463"/>
      <c r="M171" s="469" t="s">
        <v>354</v>
      </c>
      <c r="N171" s="473">
        <v>0</v>
      </c>
      <c r="O171" s="466"/>
      <c r="P171" s="466"/>
      <c r="Q171" s="467"/>
      <c r="R171" s="464"/>
      <c r="S171" s="464"/>
      <c r="T171" s="464"/>
      <c r="U171" s="474"/>
      <c r="V171" s="474"/>
      <c r="W171" s="474"/>
      <c r="X171" s="474"/>
      <c r="Y171" s="475"/>
      <c r="Z171" s="475"/>
      <c r="AA171" s="475"/>
      <c r="AB171" s="475"/>
      <c r="AC171" s="475"/>
      <c r="AD171" s="475"/>
    </row>
    <row r="172" spans="1:30" ht="20.100000000000001" customHeight="1">
      <c r="A172" s="476" t="s">
        <v>332</v>
      </c>
      <c r="B172" s="476"/>
      <c r="C172" s="1615" t="str">
        <f>$P$1</f>
        <v>KHU HỖN HỢP CHUNG CƯ, VĂN PHÒNG, TRUNG TÂM THƯƠNG MẠI VÀ NHÀ Ở KẾT HỢP KHU MUA SẮM</v>
      </c>
      <c r="D172" s="1615"/>
      <c r="E172" s="1615"/>
      <c r="F172" s="1615"/>
      <c r="G172" s="1615"/>
      <c r="H172" s="1615"/>
      <c r="I172" s="1615"/>
      <c r="J172" s="1615"/>
      <c r="L172" s="469" t="s">
        <v>88</v>
      </c>
      <c r="M172" s="467"/>
      <c r="N172" s="467"/>
      <c r="O172" s="478"/>
      <c r="P172" s="479"/>
      <c r="Q172" s="479"/>
      <c r="R172" s="474"/>
      <c r="S172" s="474"/>
      <c r="T172" s="474"/>
    </row>
    <row r="173" spans="1:30" ht="20.100000000000001" customHeight="1">
      <c r="A173" s="476"/>
      <c r="B173" s="476"/>
      <c r="C173" s="1615"/>
      <c r="D173" s="1615"/>
      <c r="E173" s="1615"/>
      <c r="F173" s="1615"/>
      <c r="G173" s="1615"/>
      <c r="H173" s="1615"/>
      <c r="I173" s="1615"/>
      <c r="J173" s="1615"/>
      <c r="L173" s="469"/>
      <c r="M173" s="467"/>
      <c r="N173" s="467"/>
      <c r="O173" s="478"/>
      <c r="P173" s="479"/>
      <c r="Q173" s="479"/>
      <c r="R173" s="474"/>
      <c r="S173" s="474"/>
      <c r="T173" s="474"/>
    </row>
    <row r="174" spans="1:30" ht="20.100000000000001" customHeight="1">
      <c r="A174" s="476" t="s">
        <v>854</v>
      </c>
      <c r="B174" s="476"/>
      <c r="C174" s="477" t="str">
        <f>$P$2</f>
        <v>CỌC KHOAN NHỒI</v>
      </c>
      <c r="D174" s="476"/>
      <c r="E174" s="476"/>
      <c r="F174" s="476"/>
      <c r="G174" s="476"/>
      <c r="H174" s="476"/>
      <c r="I174" s="476"/>
      <c r="J174" s="476"/>
      <c r="L174" s="469"/>
      <c r="M174" s="469" t="s">
        <v>87</v>
      </c>
      <c r="N174" s="470">
        <f>N177-0.00694444444444444</f>
        <v>0.72916666666666652</v>
      </c>
      <c r="O174" s="466"/>
      <c r="P174" s="479"/>
      <c r="Q174" s="479"/>
    </row>
    <row r="175" spans="1:30" s="472" customFormat="1" ht="20.100000000000001" customHeight="1">
      <c r="A175" s="476" t="s">
        <v>333</v>
      </c>
      <c r="B175" s="480"/>
      <c r="C175" s="398" t="str">
        <f>$P$3</f>
        <v>P. BẠCH ĐẰNG, TP. HẠ LONG, TỈNH QUẢNG NINH</v>
      </c>
      <c r="D175" s="480"/>
      <c r="E175" s="480"/>
      <c r="F175" s="480"/>
      <c r="G175" s="480"/>
      <c r="H175" s="480"/>
      <c r="I175" s="480"/>
      <c r="J175" s="480"/>
      <c r="L175" s="469"/>
      <c r="M175" s="469" t="s">
        <v>354</v>
      </c>
      <c r="N175" s="473">
        <f>N181</f>
        <v>42466</v>
      </c>
      <c r="O175" s="466"/>
      <c r="P175" s="479"/>
      <c r="Q175" s="469"/>
      <c r="R175" s="464"/>
      <c r="S175" s="464"/>
      <c r="T175" s="464"/>
      <c r="U175" s="474"/>
      <c r="V175" s="474"/>
      <c r="W175" s="474"/>
      <c r="X175" s="474"/>
      <c r="Y175" s="475"/>
      <c r="Z175" s="475"/>
      <c r="AA175" s="475"/>
      <c r="AB175" s="475"/>
      <c r="AC175" s="475"/>
      <c r="AD175" s="475"/>
    </row>
    <row r="176" spans="1:30" ht="20.100000000000001" customHeight="1">
      <c r="A176" s="1596" t="s">
        <v>89</v>
      </c>
      <c r="B176" s="1596"/>
      <c r="C176" s="1596"/>
      <c r="D176" s="1596"/>
      <c r="E176" s="1596"/>
      <c r="F176" s="1596"/>
      <c r="G176" s="1596"/>
      <c r="H176" s="1596"/>
      <c r="I176" s="1596"/>
      <c r="J176" s="1596"/>
      <c r="L176" s="469" t="s">
        <v>90</v>
      </c>
      <c r="M176" s="467"/>
      <c r="N176" s="467"/>
      <c r="O176" s="478"/>
      <c r="P176" s="479"/>
      <c r="Q176" s="469"/>
      <c r="R176" s="474"/>
      <c r="S176" s="474"/>
      <c r="T176" s="474"/>
    </row>
    <row r="177" spans="1:19" ht="20.100000000000001" customHeight="1">
      <c r="A177" s="1610" t="str">
        <f>"- Tên công việc: "&amp;N166</f>
        <v>- Tên công việc: Cốt thép: B1</v>
      </c>
      <c r="B177" s="1622"/>
      <c r="C177" s="1622"/>
      <c r="D177" s="1622"/>
      <c r="E177" s="1622"/>
      <c r="F177" s="1622"/>
      <c r="G177" s="1622"/>
      <c r="H177" s="1622"/>
      <c r="I177" s="1622"/>
      <c r="J177" s="1622"/>
      <c r="L177" s="469"/>
      <c r="M177" s="469" t="s">
        <v>87</v>
      </c>
      <c r="N177" s="470">
        <f>N180-0.00694444444444444</f>
        <v>0.73611111111111094</v>
      </c>
      <c r="O177" s="466"/>
      <c r="P177" s="466"/>
      <c r="Q177" s="467"/>
    </row>
    <row r="178" spans="1:19" ht="18.75" customHeight="1">
      <c r="A178" s="1610" t="str">
        <f>"- Vị trí: "&amp;N167</f>
        <v>- Vị trí: Tại công trình</v>
      </c>
      <c r="B178" s="1595"/>
      <c r="C178" s="1595"/>
      <c r="D178" s="1595"/>
      <c r="E178" s="1595"/>
      <c r="F178" s="1595"/>
      <c r="G178" s="1595"/>
      <c r="H178" s="1595"/>
      <c r="I178" s="1595"/>
      <c r="J178" s="1595"/>
      <c r="M178" s="469" t="s">
        <v>354</v>
      </c>
      <c r="N178" s="473">
        <f>N181</f>
        <v>42466</v>
      </c>
      <c r="P178" s="467"/>
    </row>
    <row r="179" spans="1:19" ht="20.100000000000001" customHeight="1">
      <c r="A179" s="1596" t="s">
        <v>92</v>
      </c>
      <c r="B179" s="1596"/>
      <c r="C179" s="1596"/>
      <c r="D179" s="1596"/>
      <c r="E179" s="1596"/>
      <c r="F179" s="1596"/>
      <c r="G179" s="1596"/>
      <c r="H179" s="1596"/>
      <c r="I179" s="1596"/>
      <c r="J179" s="1596"/>
      <c r="L179" s="469" t="s">
        <v>93</v>
      </c>
      <c r="M179" s="467"/>
      <c r="N179" s="467"/>
      <c r="O179" s="466"/>
      <c r="P179" s="466"/>
      <c r="Q179" s="466"/>
    </row>
    <row r="180" spans="1:19" ht="20.100000000000001" customHeight="1">
      <c r="A180" s="482" t="s">
        <v>440</v>
      </c>
      <c r="B180" s="118"/>
      <c r="C180" s="118"/>
      <c r="D180" s="118"/>
      <c r="E180" s="118"/>
      <c r="F180" s="483"/>
      <c r="G180" s="483"/>
      <c r="H180" s="483"/>
      <c r="I180" s="483"/>
      <c r="J180" s="483"/>
      <c r="M180" s="469" t="s">
        <v>87</v>
      </c>
      <c r="N180" s="545">
        <f>'2. NK'!$H$31-0.00694444444444444</f>
        <v>0.74305555555555536</v>
      </c>
      <c r="O180" s="466"/>
      <c r="P180" s="466"/>
      <c r="Q180" s="466"/>
    </row>
    <row r="181" spans="1:19" ht="20.100000000000001" customHeight="1">
      <c r="A181" s="1595" t="str">
        <f>"Ông : "&amp;$P$15</f>
        <v>Ông : Ngô Văn Khánh</v>
      </c>
      <c r="B181" s="1595"/>
      <c r="C181" s="1595"/>
      <c r="D181" s="1595"/>
      <c r="E181" s="1595"/>
      <c r="F181" s="1595" t="str">
        <f>"Chức vụ: "&amp;$Q$15</f>
        <v>Chức vụ: Chỉ huy trưởng công trường</v>
      </c>
      <c r="G181" s="1595"/>
      <c r="H181" s="1595"/>
      <c r="I181" s="1595"/>
      <c r="J181" s="1595"/>
      <c r="M181" s="469" t="s">
        <v>354</v>
      </c>
      <c r="N181" s="546">
        <f>'2. NK'!$J$31</f>
        <v>42466</v>
      </c>
      <c r="O181" s="466"/>
      <c r="P181" s="466"/>
      <c r="Q181" s="467"/>
    </row>
    <row r="182" spans="1:19" ht="20.100000000000001" customHeight="1">
      <c r="A182" s="1595" t="str">
        <f>"Ông : "&amp;$P$16</f>
        <v>Ông : Nguyễn Mạnh Hùng</v>
      </c>
      <c r="B182" s="1595"/>
      <c r="C182" s="1595"/>
      <c r="D182" s="1595"/>
      <c r="E182" s="1595"/>
      <c r="F182" s="1595" t="str">
        <f>"Chức vụ: "&amp;$Q$16</f>
        <v>Chức vụ: Chỉ huy phó công trường</v>
      </c>
      <c r="G182" s="1595"/>
      <c r="H182" s="1595"/>
      <c r="I182" s="1595"/>
      <c r="J182" s="1595"/>
      <c r="N182" s="473"/>
      <c r="O182" s="466"/>
      <c r="P182" s="466"/>
      <c r="Q182" s="466"/>
    </row>
    <row r="183" spans="1:19" ht="20.100000000000001" customHeight="1">
      <c r="A183" s="1604" t="str">
        <f>"2 - Đại diện đội thi công trực tiếp:"</f>
        <v>2 - Đại diện đội thi công trực tiếp:</v>
      </c>
      <c r="B183" s="1604"/>
      <c r="C183" s="1604"/>
      <c r="D183" s="1604"/>
      <c r="E183" s="1604"/>
      <c r="F183" s="1604"/>
      <c r="G183" s="1604"/>
      <c r="H183" s="1604"/>
      <c r="I183" s="1604"/>
      <c r="J183" s="1604"/>
      <c r="L183" s="541"/>
      <c r="P183" s="479"/>
      <c r="Q183" s="479"/>
    </row>
    <row r="184" spans="1:19" ht="20.100000000000001" customHeight="1">
      <c r="A184" s="1595" t="str">
        <f>"Ông : "&amp;$P$19</f>
        <v>Ông : .........................</v>
      </c>
      <c r="B184" s="1595"/>
      <c r="C184" s="1595"/>
      <c r="D184" s="1595"/>
      <c r="E184" s="1595"/>
      <c r="F184" s="1595" t="str">
        <f>"Chức vụ: "&amp;$Q$19</f>
        <v>Chức vụ: .....................................</v>
      </c>
      <c r="G184" s="1595"/>
      <c r="H184" s="1595"/>
      <c r="I184" s="1595"/>
      <c r="J184" s="1595"/>
      <c r="K184" s="541"/>
      <c r="P184" s="479"/>
      <c r="Q184" s="479"/>
    </row>
    <row r="185" spans="1:19" ht="20.100000000000001" customHeight="1">
      <c r="A185" s="1595" t="str">
        <f>"Ông : "&amp;$P$21</f>
        <v>Ông : Nguyễn Văn Tĩnh</v>
      </c>
      <c r="B185" s="1595"/>
      <c r="C185" s="1595"/>
      <c r="D185" s="1595"/>
      <c r="E185" s="1595"/>
      <c r="F185" s="1595" t="str">
        <f>"Chức vụ: "&amp;$Q$21</f>
        <v>Chức vụ: Tổ trưởng công nhân</v>
      </c>
      <c r="G185" s="1595"/>
      <c r="H185" s="1595"/>
      <c r="I185" s="1595"/>
      <c r="J185" s="1595"/>
      <c r="P185" s="479"/>
      <c r="Q185" s="479"/>
    </row>
    <row r="186" spans="1:19" s="175" customFormat="1" ht="20.100000000000001" customHeight="1">
      <c r="A186" s="1596" t="s">
        <v>95</v>
      </c>
      <c r="B186" s="1596"/>
      <c r="C186" s="1596"/>
      <c r="D186" s="1596"/>
      <c r="E186" s="1596"/>
      <c r="F186" s="1596"/>
      <c r="G186" s="1596"/>
      <c r="H186" s="1596"/>
      <c r="I186" s="1596"/>
      <c r="J186" s="1596"/>
      <c r="N186" s="464"/>
      <c r="O186" s="467"/>
      <c r="P186" s="467"/>
      <c r="Q186" s="464"/>
      <c r="R186" s="464"/>
      <c r="S186" s="464"/>
    </row>
    <row r="187" spans="1:19" ht="20.100000000000001" customHeight="1">
      <c r="A187" s="477" t="s">
        <v>96</v>
      </c>
      <c r="B187" s="477"/>
      <c r="C187" s="477"/>
      <c r="D187" s="484">
        <f>$N174</f>
        <v>0.72916666666666652</v>
      </c>
      <c r="E187" s="1603">
        <f>A168</f>
        <v>42466</v>
      </c>
      <c r="F187" s="1603"/>
      <c r="G187" s="1603"/>
      <c r="H187" s="1603"/>
      <c r="I187" s="1603"/>
      <c r="J187" s="1603"/>
      <c r="N187" s="175"/>
      <c r="O187" s="467"/>
      <c r="P187" s="467"/>
      <c r="S187" s="175"/>
    </row>
    <row r="188" spans="1:19" ht="20.100000000000001" customHeight="1">
      <c r="A188" s="477" t="s">
        <v>98</v>
      </c>
      <c r="B188" s="477"/>
      <c r="C188" s="477"/>
      <c r="D188" s="484">
        <f>D187+0.010417</f>
        <v>0.73958366666666653</v>
      </c>
      <c r="E188" s="1603">
        <f>A168</f>
        <v>42466</v>
      </c>
      <c r="F188" s="1603"/>
      <c r="G188" s="1603"/>
      <c r="H188" s="1603"/>
      <c r="I188" s="1603"/>
      <c r="J188" s="1603"/>
      <c r="P188" s="467"/>
      <c r="Q188" s="467"/>
    </row>
    <row r="189" spans="1:19" ht="20.100000000000001" customHeight="1">
      <c r="A189" s="477" t="s">
        <v>99</v>
      </c>
      <c r="B189" s="477" t="str">
        <f>"Công trình: "&amp;$V$1</f>
        <v>Công trình: Khu hỗn hợp chung cư, văn phòng, trung tâm thương mại và nhà ở kết hợp khu mua sắm</v>
      </c>
      <c r="C189" s="477"/>
      <c r="D189" s="484"/>
      <c r="E189" s="485"/>
      <c r="F189" s="485"/>
      <c r="G189" s="485"/>
      <c r="H189" s="485"/>
      <c r="I189" s="485"/>
      <c r="J189" s="485"/>
      <c r="P189" s="467"/>
      <c r="Q189" s="467"/>
    </row>
    <row r="190" spans="1:19" ht="20.100000000000001" customHeight="1">
      <c r="A190" s="1595" t="str">
        <f>"Địa điểm: "&amp;$V$3</f>
        <v>Địa điểm: P. Bạch Đằng, TP Hạ Long, Tỉnh Quảng Ninh</v>
      </c>
      <c r="B190" s="1595"/>
      <c r="C190" s="1595"/>
      <c r="D190" s="1595"/>
      <c r="E190" s="1595"/>
      <c r="F190" s="1595"/>
      <c r="G190" s="1595"/>
      <c r="H190" s="1595"/>
      <c r="I190" s="1595"/>
      <c r="J190" s="1595"/>
      <c r="P190" s="467"/>
      <c r="Q190" s="467"/>
    </row>
    <row r="191" spans="1:19" ht="20.100000000000001" customHeight="1">
      <c r="A191" s="1596" t="s">
        <v>441</v>
      </c>
      <c r="B191" s="1596"/>
      <c r="C191" s="1596"/>
      <c r="D191" s="1596"/>
      <c r="E191" s="1596"/>
      <c r="F191" s="1596"/>
      <c r="G191" s="1596"/>
      <c r="H191" s="1596"/>
      <c r="I191" s="1596"/>
      <c r="J191" s="1596"/>
      <c r="P191" s="467"/>
    </row>
    <row r="192" spans="1:19" s="175" customFormat="1" ht="20.100000000000001" customHeight="1">
      <c r="A192" s="1604" t="s">
        <v>101</v>
      </c>
      <c r="B192" s="1604"/>
      <c r="C192" s="1604"/>
      <c r="D192" s="1604"/>
      <c r="E192" s="1604"/>
      <c r="F192" s="1604"/>
      <c r="G192" s="1604"/>
      <c r="H192" s="1604"/>
      <c r="I192" s="1604"/>
      <c r="J192" s="1604"/>
      <c r="N192" s="464"/>
      <c r="O192" s="464"/>
      <c r="P192" s="467"/>
      <c r="Q192" s="467"/>
      <c r="R192" s="464"/>
      <c r="S192" s="464"/>
    </row>
    <row r="193" spans="1:232" ht="20.100000000000001" customHeight="1">
      <c r="A193" s="1595" t="s">
        <v>102</v>
      </c>
      <c r="B193" s="1595"/>
      <c r="C193" s="1595"/>
      <c r="D193" s="1595"/>
      <c r="E193" s="1595"/>
      <c r="F193" s="1595"/>
      <c r="G193" s="1595"/>
      <c r="H193" s="1595"/>
      <c r="I193" s="1595"/>
      <c r="J193" s="1595"/>
      <c r="N193" s="175"/>
      <c r="O193" s="175"/>
      <c r="P193" s="467"/>
      <c r="R193" s="175"/>
      <c r="S193" s="175"/>
    </row>
    <row r="194" spans="1:232" ht="20.100000000000001" customHeight="1">
      <c r="A194" s="1609" t="s">
        <v>103</v>
      </c>
      <c r="B194" s="1609"/>
      <c r="C194" s="1609"/>
      <c r="D194" s="1609"/>
      <c r="E194" s="1609"/>
      <c r="F194" s="1609"/>
      <c r="G194" s="1609"/>
      <c r="H194" s="1609"/>
      <c r="I194" s="1609"/>
      <c r="J194" s="1609"/>
      <c r="P194" s="467"/>
      <c r="Q194" s="467"/>
    </row>
    <row r="195" spans="1:232" s="488" customFormat="1" ht="20.100000000000001" customHeight="1">
      <c r="A195" s="486" t="s">
        <v>104</v>
      </c>
      <c r="B195" s="477"/>
      <c r="C195" s="477"/>
      <c r="D195" s="477"/>
      <c r="E195" s="477"/>
      <c r="F195" s="477"/>
      <c r="G195" s="477"/>
      <c r="H195" s="477"/>
      <c r="I195" s="477"/>
      <c r="J195" s="477"/>
      <c r="K195" s="477"/>
      <c r="L195" s="477"/>
      <c r="M195" s="477"/>
      <c r="N195" s="464"/>
      <c r="O195" s="464"/>
      <c r="P195" s="467"/>
      <c r="Q195" s="464"/>
      <c r="R195" s="464"/>
      <c r="S195" s="464"/>
      <c r="T195" s="487"/>
      <c r="U195" s="487"/>
      <c r="V195" s="487"/>
      <c r="W195" s="487"/>
      <c r="X195" s="487"/>
      <c r="Y195" s="487"/>
      <c r="Z195" s="487"/>
      <c r="AA195" s="487"/>
      <c r="AB195" s="487"/>
      <c r="AC195" s="487"/>
      <c r="AD195" s="487"/>
      <c r="AE195" s="487"/>
      <c r="AF195" s="487"/>
      <c r="AG195" s="487"/>
      <c r="AH195" s="487"/>
      <c r="AI195" s="487"/>
      <c r="AJ195" s="487"/>
      <c r="AK195" s="487"/>
      <c r="AL195" s="487"/>
      <c r="AM195" s="487"/>
      <c r="AN195" s="487"/>
      <c r="AO195" s="487"/>
      <c r="AP195" s="487"/>
      <c r="AQ195" s="487"/>
      <c r="AR195" s="487"/>
      <c r="AS195" s="487"/>
      <c r="AT195" s="487"/>
      <c r="AU195" s="487"/>
      <c r="AV195" s="487"/>
      <c r="AW195" s="487"/>
      <c r="AX195" s="487"/>
      <c r="AY195" s="487"/>
      <c r="AZ195" s="487"/>
      <c r="BA195" s="487"/>
      <c r="BB195" s="487"/>
      <c r="BC195" s="487"/>
      <c r="BD195" s="487"/>
      <c r="BE195" s="487"/>
      <c r="BF195" s="487"/>
      <c r="BG195" s="487"/>
      <c r="BH195" s="487"/>
      <c r="BI195" s="487"/>
      <c r="BJ195" s="487"/>
      <c r="BK195" s="487"/>
      <c r="BL195" s="487"/>
      <c r="BM195" s="487"/>
      <c r="BN195" s="487"/>
      <c r="BO195" s="487"/>
      <c r="BP195" s="487"/>
      <c r="BQ195" s="487"/>
      <c r="BR195" s="487"/>
      <c r="BS195" s="487"/>
      <c r="BT195" s="487"/>
      <c r="BU195" s="487"/>
      <c r="BV195" s="487"/>
      <c r="BW195" s="487"/>
      <c r="BX195" s="487"/>
      <c r="BY195" s="487"/>
      <c r="BZ195" s="487"/>
      <c r="CA195" s="487"/>
      <c r="CB195" s="487"/>
      <c r="CC195" s="487"/>
      <c r="CD195" s="487"/>
      <c r="CE195" s="487"/>
      <c r="CF195" s="487"/>
      <c r="CG195" s="487"/>
      <c r="CH195" s="487"/>
      <c r="CI195" s="487"/>
      <c r="CJ195" s="487"/>
      <c r="CK195" s="487"/>
      <c r="CL195" s="487"/>
      <c r="CM195" s="487"/>
      <c r="CN195" s="487"/>
      <c r="CO195" s="487"/>
      <c r="CP195" s="487"/>
      <c r="CQ195" s="487"/>
      <c r="CR195" s="487"/>
      <c r="CS195" s="487"/>
      <c r="CT195" s="487"/>
      <c r="CU195" s="487"/>
      <c r="CV195" s="487"/>
      <c r="CW195" s="487"/>
      <c r="CX195" s="487"/>
      <c r="CY195" s="487"/>
      <c r="CZ195" s="487"/>
      <c r="DA195" s="487"/>
      <c r="DB195" s="487"/>
      <c r="DC195" s="487"/>
      <c r="DD195" s="487"/>
      <c r="DE195" s="487"/>
      <c r="DF195" s="487"/>
      <c r="DG195" s="487"/>
      <c r="DH195" s="487"/>
      <c r="DI195" s="487"/>
      <c r="DJ195" s="487"/>
      <c r="DK195" s="487"/>
      <c r="DL195" s="487"/>
      <c r="DM195" s="487"/>
      <c r="DN195" s="487"/>
      <c r="DO195" s="487"/>
      <c r="DP195" s="487"/>
      <c r="DQ195" s="487"/>
      <c r="DR195" s="487"/>
      <c r="DS195" s="487"/>
      <c r="DT195" s="487"/>
      <c r="DU195" s="487"/>
      <c r="DV195" s="487"/>
      <c r="DW195" s="487"/>
      <c r="DX195" s="487"/>
      <c r="DY195" s="487"/>
      <c r="DZ195" s="487"/>
      <c r="EA195" s="487"/>
      <c r="EB195" s="487"/>
      <c r="EC195" s="487"/>
      <c r="ED195" s="487"/>
      <c r="EE195" s="487"/>
      <c r="EF195" s="487"/>
      <c r="EG195" s="487"/>
      <c r="EH195" s="487"/>
      <c r="EI195" s="487"/>
      <c r="EJ195" s="487"/>
      <c r="EK195" s="487"/>
      <c r="EL195" s="487"/>
      <c r="EM195" s="487"/>
      <c r="EN195" s="487"/>
      <c r="EO195" s="487"/>
      <c r="EP195" s="487"/>
      <c r="EQ195" s="487"/>
      <c r="ER195" s="487"/>
      <c r="ES195" s="487"/>
      <c r="ET195" s="487"/>
      <c r="EU195" s="487"/>
      <c r="EV195" s="487"/>
      <c r="EW195" s="487"/>
      <c r="EX195" s="487"/>
      <c r="EY195" s="487"/>
      <c r="EZ195" s="487"/>
      <c r="FA195" s="487"/>
      <c r="FB195" s="487"/>
      <c r="FC195" s="487"/>
      <c r="FD195" s="487"/>
      <c r="FE195" s="487"/>
      <c r="FF195" s="487"/>
      <c r="FG195" s="487"/>
      <c r="FH195" s="487"/>
      <c r="FI195" s="487"/>
      <c r="FJ195" s="487"/>
      <c r="FK195" s="487"/>
      <c r="FL195" s="487"/>
      <c r="FM195" s="487"/>
      <c r="FN195" s="487"/>
      <c r="FO195" s="487"/>
      <c r="FP195" s="487"/>
      <c r="FQ195" s="487"/>
      <c r="FR195" s="487"/>
      <c r="FS195" s="487"/>
      <c r="FT195" s="487"/>
      <c r="FU195" s="487"/>
      <c r="FV195" s="487"/>
      <c r="FW195" s="487"/>
      <c r="FX195" s="487"/>
      <c r="FY195" s="487"/>
      <c r="FZ195" s="487"/>
      <c r="GA195" s="487"/>
      <c r="GB195" s="487"/>
      <c r="GC195" s="487"/>
      <c r="GD195" s="487"/>
      <c r="GE195" s="487"/>
      <c r="GF195" s="487"/>
      <c r="GG195" s="487"/>
      <c r="GH195" s="487"/>
      <c r="GI195" s="487"/>
      <c r="GJ195" s="487"/>
      <c r="GK195" s="487"/>
      <c r="GL195" s="487"/>
      <c r="GM195" s="487"/>
      <c r="GN195" s="487"/>
      <c r="GO195" s="487"/>
      <c r="GP195" s="487"/>
      <c r="GQ195" s="487"/>
      <c r="GR195" s="487"/>
      <c r="GS195" s="487"/>
      <c r="GT195" s="487"/>
      <c r="GU195" s="487"/>
      <c r="GV195" s="487"/>
      <c r="GW195" s="487"/>
      <c r="GX195" s="487"/>
      <c r="GY195" s="487"/>
      <c r="GZ195" s="487"/>
      <c r="HA195" s="487"/>
      <c r="HB195" s="487"/>
      <c r="HC195" s="487"/>
      <c r="HD195" s="487"/>
      <c r="HE195" s="487"/>
      <c r="HF195" s="487"/>
      <c r="HG195" s="487"/>
      <c r="HH195" s="487"/>
      <c r="HI195" s="487"/>
      <c r="HJ195" s="487"/>
      <c r="HK195" s="487"/>
      <c r="HL195" s="487"/>
      <c r="HM195" s="487"/>
      <c r="HN195" s="487"/>
      <c r="HO195" s="487"/>
      <c r="HP195" s="487"/>
      <c r="HQ195" s="487"/>
      <c r="HR195" s="487"/>
      <c r="HS195" s="487"/>
      <c r="HT195" s="487"/>
      <c r="HU195" s="487"/>
      <c r="HV195" s="487"/>
      <c r="HW195" s="487"/>
      <c r="HX195" s="487"/>
    </row>
    <row r="196" spans="1:232" s="488" customFormat="1" ht="20.100000000000001" customHeight="1">
      <c r="A196" s="487"/>
      <c r="B196" s="509" t="s">
        <v>152</v>
      </c>
      <c r="C196" s="477"/>
      <c r="D196" s="477"/>
      <c r="E196" s="477"/>
      <c r="F196" s="477"/>
      <c r="G196" s="477"/>
      <c r="H196" s="477"/>
      <c r="I196" s="477"/>
      <c r="J196" s="477"/>
      <c r="K196" s="477"/>
      <c r="L196" s="477"/>
      <c r="M196" s="477"/>
      <c r="N196" s="487"/>
      <c r="O196" s="487"/>
      <c r="P196" s="467"/>
      <c r="Q196" s="464"/>
      <c r="R196" s="487"/>
      <c r="S196" s="487"/>
      <c r="T196" s="487"/>
      <c r="U196" s="489"/>
      <c r="V196" s="489"/>
      <c r="W196" s="489"/>
      <c r="X196" s="489"/>
      <c r="Y196" s="489"/>
      <c r="Z196" s="489"/>
      <c r="AA196" s="489"/>
      <c r="AB196" s="489"/>
      <c r="AC196" s="489"/>
      <c r="AD196" s="489"/>
      <c r="AE196" s="489"/>
      <c r="AF196" s="489"/>
      <c r="AG196" s="489"/>
      <c r="AH196" s="489"/>
      <c r="AI196" s="489"/>
      <c r="AJ196" s="489"/>
      <c r="AK196" s="489"/>
      <c r="AL196" s="489"/>
      <c r="AM196" s="489"/>
      <c r="AN196" s="489"/>
      <c r="AO196" s="489"/>
      <c r="AP196" s="489"/>
      <c r="AQ196" s="489"/>
      <c r="AR196" s="489"/>
      <c r="AS196" s="489"/>
      <c r="AT196" s="489"/>
      <c r="AU196" s="489"/>
      <c r="AV196" s="489"/>
      <c r="AW196" s="489"/>
      <c r="AX196" s="489"/>
      <c r="AY196" s="489"/>
      <c r="AZ196" s="489"/>
      <c r="BA196" s="489"/>
      <c r="BB196" s="489"/>
      <c r="BC196" s="489"/>
      <c r="BD196" s="489"/>
      <c r="BE196" s="489"/>
      <c r="BF196" s="489"/>
      <c r="BG196" s="489"/>
      <c r="BH196" s="489"/>
      <c r="BI196" s="489"/>
      <c r="BJ196" s="489"/>
      <c r="BK196" s="489"/>
      <c r="BL196" s="489"/>
      <c r="BM196" s="489"/>
      <c r="BN196" s="489"/>
      <c r="BO196" s="489"/>
      <c r="BP196" s="489"/>
      <c r="BQ196" s="489"/>
      <c r="BR196" s="489"/>
      <c r="BS196" s="489"/>
      <c r="BT196" s="489"/>
      <c r="BU196" s="489"/>
      <c r="BV196" s="489"/>
      <c r="BW196" s="489"/>
      <c r="BX196" s="489"/>
      <c r="BY196" s="489"/>
      <c r="BZ196" s="489"/>
      <c r="CA196" s="489"/>
      <c r="CB196" s="489"/>
      <c r="CC196" s="489"/>
      <c r="CD196" s="489"/>
      <c r="CE196" s="489"/>
      <c r="CF196" s="489"/>
      <c r="CG196" s="489"/>
      <c r="CH196" s="489"/>
      <c r="CI196" s="489"/>
      <c r="CJ196" s="489"/>
      <c r="CK196" s="489"/>
      <c r="CL196" s="489"/>
      <c r="CM196" s="489"/>
      <c r="CN196" s="489"/>
      <c r="CO196" s="489"/>
      <c r="CP196" s="489"/>
      <c r="CQ196" s="489"/>
      <c r="CR196" s="489"/>
      <c r="CS196" s="489"/>
      <c r="CT196" s="489"/>
      <c r="CU196" s="489"/>
      <c r="CV196" s="489"/>
      <c r="CW196" s="489"/>
      <c r="CX196" s="489"/>
      <c r="CY196" s="489"/>
      <c r="CZ196" s="489"/>
      <c r="DA196" s="489"/>
      <c r="DB196" s="489"/>
      <c r="DC196" s="489"/>
      <c r="DD196" s="489"/>
      <c r="DE196" s="489"/>
      <c r="DF196" s="489"/>
      <c r="DG196" s="489"/>
      <c r="DH196" s="489"/>
      <c r="DI196" s="489"/>
      <c r="DJ196" s="489"/>
      <c r="DK196" s="489"/>
      <c r="DL196" s="489"/>
      <c r="DM196" s="489"/>
      <c r="DN196" s="489"/>
      <c r="DO196" s="489"/>
      <c r="DP196" s="489"/>
      <c r="DQ196" s="489"/>
      <c r="DR196" s="489"/>
      <c r="DS196" s="489"/>
      <c r="DT196" s="489"/>
      <c r="DU196" s="489"/>
      <c r="DV196" s="489"/>
      <c r="DW196" s="489"/>
      <c r="DX196" s="489"/>
      <c r="DY196" s="489"/>
      <c r="DZ196" s="489"/>
      <c r="EA196" s="489"/>
      <c r="EB196" s="489"/>
      <c r="EC196" s="489"/>
      <c r="ED196" s="489"/>
      <c r="EE196" s="489"/>
      <c r="EF196" s="489"/>
      <c r="EG196" s="489"/>
      <c r="EH196" s="489"/>
      <c r="EI196" s="489"/>
      <c r="EJ196" s="489"/>
      <c r="EK196" s="489"/>
      <c r="EL196" s="489"/>
      <c r="EM196" s="489"/>
      <c r="EN196" s="489"/>
      <c r="EO196" s="489"/>
      <c r="EP196" s="489"/>
      <c r="EQ196" s="489"/>
      <c r="ER196" s="489"/>
      <c r="ES196" s="489"/>
      <c r="ET196" s="489"/>
      <c r="EU196" s="489"/>
      <c r="EV196" s="489"/>
      <c r="EW196" s="489"/>
      <c r="EX196" s="489"/>
      <c r="EY196" s="489"/>
      <c r="EZ196" s="489"/>
      <c r="FA196" s="489"/>
      <c r="FB196" s="489"/>
      <c r="FC196" s="489"/>
      <c r="FD196" s="489"/>
      <c r="FE196" s="489"/>
      <c r="FF196" s="489"/>
      <c r="FG196" s="489"/>
      <c r="FH196" s="489"/>
      <c r="FI196" s="489"/>
      <c r="FJ196" s="489"/>
      <c r="FK196" s="489"/>
      <c r="FL196" s="489"/>
      <c r="FM196" s="489"/>
      <c r="FN196" s="489"/>
      <c r="FO196" s="489"/>
      <c r="FP196" s="489"/>
      <c r="FQ196" s="489"/>
      <c r="FR196" s="489"/>
      <c r="FS196" s="489"/>
      <c r="FT196" s="489"/>
      <c r="FU196" s="489"/>
      <c r="FV196" s="489"/>
      <c r="FW196" s="489"/>
      <c r="FX196" s="489"/>
      <c r="FY196" s="489"/>
      <c r="FZ196" s="489"/>
      <c r="GA196" s="489"/>
      <c r="GB196" s="489"/>
      <c r="GC196" s="489"/>
      <c r="GD196" s="489"/>
      <c r="GE196" s="489"/>
      <c r="GF196" s="489"/>
      <c r="GG196" s="489"/>
      <c r="GH196" s="489"/>
      <c r="GI196" s="489"/>
      <c r="GJ196" s="489"/>
      <c r="GK196" s="489"/>
      <c r="GL196" s="489"/>
      <c r="GM196" s="489"/>
      <c r="GN196" s="489"/>
      <c r="GO196" s="489"/>
      <c r="GP196" s="489"/>
      <c r="GQ196" s="489"/>
      <c r="GR196" s="489"/>
      <c r="GS196" s="489"/>
      <c r="GT196" s="489"/>
      <c r="GU196" s="489"/>
      <c r="GV196" s="489"/>
      <c r="GW196" s="489"/>
      <c r="GX196" s="489"/>
      <c r="GY196" s="489"/>
      <c r="GZ196" s="489"/>
      <c r="HA196" s="489"/>
      <c r="HB196" s="489"/>
      <c r="HC196" s="489"/>
      <c r="HD196" s="489"/>
      <c r="HE196" s="489"/>
      <c r="HF196" s="489"/>
      <c r="HG196" s="489"/>
      <c r="HH196" s="489"/>
      <c r="HI196" s="489"/>
      <c r="HJ196" s="489"/>
      <c r="HK196" s="489"/>
      <c r="HL196" s="489"/>
      <c r="HM196" s="489"/>
      <c r="HN196" s="489"/>
      <c r="HO196" s="489"/>
      <c r="HP196" s="489"/>
      <c r="HQ196" s="489"/>
      <c r="HR196" s="489"/>
      <c r="HS196" s="489"/>
      <c r="HT196" s="489"/>
      <c r="HU196" s="489"/>
      <c r="HV196" s="489"/>
      <c r="HW196" s="489"/>
      <c r="HX196" s="487"/>
    </row>
    <row r="197" spans="1:232" s="488" customFormat="1" ht="20.100000000000001" customHeight="1">
      <c r="A197" s="487"/>
      <c r="B197" s="477" t="s">
        <v>105</v>
      </c>
      <c r="C197" s="477"/>
      <c r="D197" s="477"/>
      <c r="E197" s="477"/>
      <c r="F197" s="477"/>
      <c r="G197" s="477"/>
      <c r="H197" s="477"/>
      <c r="I197" s="477"/>
      <c r="J197" s="477"/>
      <c r="K197" s="477"/>
      <c r="L197" s="477"/>
      <c r="M197" s="477"/>
      <c r="N197" s="487"/>
      <c r="O197" s="487"/>
      <c r="P197" s="487"/>
      <c r="Q197" s="487"/>
      <c r="R197" s="487"/>
      <c r="S197" s="487"/>
      <c r="T197" s="477"/>
      <c r="U197" s="489"/>
      <c r="V197" s="489"/>
      <c r="W197" s="489"/>
      <c r="X197" s="489"/>
      <c r="Y197" s="489"/>
      <c r="Z197" s="489"/>
      <c r="AA197" s="489"/>
      <c r="AB197" s="489"/>
      <c r="AC197" s="489"/>
      <c r="AD197" s="489"/>
      <c r="AE197" s="489"/>
      <c r="AF197" s="489"/>
      <c r="AG197" s="489"/>
      <c r="AH197" s="489"/>
      <c r="AI197" s="489"/>
      <c r="AJ197" s="489"/>
      <c r="AK197" s="489"/>
      <c r="AL197" s="489"/>
      <c r="AM197" s="489"/>
      <c r="AN197" s="489"/>
      <c r="AO197" s="489"/>
      <c r="AP197" s="489"/>
      <c r="AQ197" s="489"/>
      <c r="AR197" s="489"/>
      <c r="AS197" s="489"/>
      <c r="AT197" s="489"/>
      <c r="AU197" s="489"/>
      <c r="AV197" s="489"/>
      <c r="AW197" s="489"/>
      <c r="AX197" s="489"/>
      <c r="AY197" s="489"/>
      <c r="AZ197" s="489"/>
      <c r="BA197" s="489"/>
      <c r="BB197" s="489"/>
      <c r="BC197" s="489"/>
      <c r="BD197" s="489"/>
      <c r="BE197" s="489"/>
      <c r="BF197" s="489"/>
      <c r="BG197" s="489"/>
      <c r="BH197" s="489"/>
      <c r="BI197" s="489"/>
      <c r="BJ197" s="489"/>
      <c r="BK197" s="489"/>
      <c r="BL197" s="489"/>
      <c r="BM197" s="489"/>
      <c r="BN197" s="489"/>
      <c r="BO197" s="489"/>
      <c r="BP197" s="489"/>
      <c r="BQ197" s="489"/>
      <c r="BR197" s="489"/>
      <c r="BS197" s="489"/>
      <c r="BT197" s="489"/>
      <c r="BU197" s="489"/>
      <c r="BV197" s="489"/>
      <c r="BW197" s="489"/>
      <c r="BX197" s="489"/>
      <c r="BY197" s="489"/>
      <c r="BZ197" s="489"/>
      <c r="CA197" s="489"/>
      <c r="CB197" s="489"/>
      <c r="CC197" s="489"/>
      <c r="CD197" s="489"/>
      <c r="CE197" s="489"/>
      <c r="CF197" s="489"/>
      <c r="CG197" s="489"/>
      <c r="CH197" s="489"/>
      <c r="CI197" s="489"/>
      <c r="CJ197" s="489"/>
      <c r="CK197" s="489"/>
      <c r="CL197" s="489"/>
      <c r="CM197" s="489"/>
      <c r="CN197" s="489"/>
      <c r="CO197" s="489"/>
      <c r="CP197" s="489"/>
      <c r="CQ197" s="489"/>
      <c r="CR197" s="489"/>
      <c r="CS197" s="489"/>
      <c r="CT197" s="489"/>
      <c r="CU197" s="489"/>
      <c r="CV197" s="489"/>
      <c r="CW197" s="489"/>
      <c r="CX197" s="489"/>
      <c r="CY197" s="489"/>
      <c r="CZ197" s="489"/>
      <c r="DA197" s="489"/>
      <c r="DB197" s="489"/>
      <c r="DC197" s="489"/>
      <c r="DD197" s="489"/>
      <c r="DE197" s="489"/>
      <c r="DF197" s="489"/>
      <c r="DG197" s="489"/>
      <c r="DH197" s="489"/>
      <c r="DI197" s="489"/>
      <c r="DJ197" s="489"/>
      <c r="DK197" s="489"/>
      <c r="DL197" s="489"/>
      <c r="DM197" s="489"/>
      <c r="DN197" s="489"/>
      <c r="DO197" s="489"/>
      <c r="DP197" s="489"/>
      <c r="DQ197" s="489"/>
      <c r="DR197" s="489"/>
      <c r="DS197" s="489"/>
      <c r="DT197" s="489"/>
      <c r="DU197" s="489"/>
      <c r="DV197" s="489"/>
      <c r="DW197" s="489"/>
      <c r="DX197" s="489"/>
      <c r="DY197" s="489"/>
      <c r="DZ197" s="489"/>
      <c r="EA197" s="489"/>
      <c r="EB197" s="489"/>
      <c r="EC197" s="489"/>
      <c r="ED197" s="489"/>
      <c r="EE197" s="489"/>
      <c r="EF197" s="489"/>
      <c r="EG197" s="489"/>
      <c r="EH197" s="489"/>
      <c r="EI197" s="489"/>
      <c r="EJ197" s="489"/>
      <c r="EK197" s="489"/>
      <c r="EL197" s="489"/>
      <c r="EM197" s="489"/>
      <c r="EN197" s="489"/>
      <c r="EO197" s="489"/>
      <c r="EP197" s="489"/>
      <c r="EQ197" s="489"/>
      <c r="ER197" s="489"/>
      <c r="ES197" s="489"/>
      <c r="ET197" s="489"/>
      <c r="EU197" s="489"/>
      <c r="EV197" s="489"/>
      <c r="EW197" s="489"/>
      <c r="EX197" s="489"/>
      <c r="EY197" s="489"/>
      <c r="EZ197" s="489"/>
      <c r="FA197" s="489"/>
      <c r="FB197" s="489"/>
      <c r="FC197" s="489"/>
      <c r="FD197" s="489"/>
      <c r="FE197" s="489"/>
      <c r="FF197" s="489"/>
      <c r="FG197" s="489"/>
      <c r="FH197" s="489"/>
      <c r="FI197" s="489"/>
      <c r="FJ197" s="489"/>
      <c r="FK197" s="489"/>
      <c r="FL197" s="489"/>
      <c r="FM197" s="489"/>
      <c r="FN197" s="489"/>
      <c r="FO197" s="489"/>
      <c r="FP197" s="489"/>
      <c r="FQ197" s="489"/>
      <c r="FR197" s="489"/>
      <c r="FS197" s="489"/>
      <c r="FT197" s="489"/>
      <c r="FU197" s="489"/>
      <c r="FV197" s="489"/>
      <c r="FW197" s="489"/>
      <c r="FX197" s="489"/>
      <c r="FY197" s="489"/>
      <c r="FZ197" s="489"/>
      <c r="GA197" s="489"/>
      <c r="GB197" s="489"/>
      <c r="GC197" s="489"/>
      <c r="GD197" s="489"/>
      <c r="GE197" s="489"/>
      <c r="GF197" s="489"/>
      <c r="GG197" s="489"/>
      <c r="GH197" s="489"/>
      <c r="GI197" s="489"/>
      <c r="GJ197" s="489"/>
      <c r="GK197" s="489"/>
      <c r="GL197" s="489"/>
      <c r="GM197" s="489"/>
      <c r="GN197" s="489"/>
      <c r="GO197" s="489"/>
      <c r="GP197" s="489"/>
      <c r="GQ197" s="489"/>
      <c r="GR197" s="489"/>
      <c r="GS197" s="489"/>
      <c r="GT197" s="489"/>
      <c r="GU197" s="489"/>
      <c r="GV197" s="489"/>
      <c r="GW197" s="489"/>
      <c r="GX197" s="489"/>
      <c r="GY197" s="489"/>
      <c r="GZ197" s="489"/>
      <c r="HA197" s="489"/>
      <c r="HB197" s="489"/>
      <c r="HC197" s="489"/>
      <c r="HD197" s="489"/>
      <c r="HE197" s="489"/>
      <c r="HF197" s="489"/>
      <c r="HG197" s="489"/>
      <c r="HH197" s="489"/>
      <c r="HI197" s="489"/>
      <c r="HJ197" s="489"/>
      <c r="HK197" s="489"/>
      <c r="HL197" s="489"/>
      <c r="HM197" s="489"/>
      <c r="HN197" s="489"/>
      <c r="HO197" s="489"/>
      <c r="HP197" s="489"/>
      <c r="HQ197" s="489"/>
      <c r="HR197" s="489"/>
      <c r="HS197" s="489"/>
      <c r="HT197" s="489"/>
      <c r="HU197" s="489"/>
      <c r="HV197" s="489"/>
      <c r="HW197" s="489"/>
      <c r="HX197" s="487"/>
    </row>
    <row r="198" spans="1:232" s="488" customFormat="1" ht="20.100000000000001" customHeight="1">
      <c r="A198" s="490"/>
      <c r="B198" s="491" t="s">
        <v>106</v>
      </c>
      <c r="C198" s="491"/>
      <c r="D198" s="491"/>
      <c r="E198" s="491"/>
      <c r="F198" s="491"/>
      <c r="G198" s="491"/>
      <c r="H198" s="491"/>
      <c r="I198" s="491"/>
      <c r="J198" s="491"/>
      <c r="K198" s="491"/>
      <c r="L198" s="477"/>
      <c r="M198" s="477"/>
      <c r="N198" s="477"/>
      <c r="O198" s="477"/>
      <c r="P198" s="477"/>
      <c r="Q198" s="477"/>
      <c r="R198" s="477"/>
      <c r="S198" s="477"/>
      <c r="T198" s="492"/>
      <c r="U198" s="489"/>
      <c r="V198" s="489"/>
      <c r="W198" s="489"/>
      <c r="X198" s="489"/>
      <c r="Y198" s="489"/>
      <c r="Z198" s="489"/>
      <c r="AA198" s="489"/>
      <c r="AB198" s="489"/>
      <c r="AC198" s="489"/>
      <c r="AD198" s="489"/>
      <c r="AE198" s="489"/>
      <c r="AF198" s="489"/>
      <c r="AG198" s="489"/>
      <c r="AH198" s="489"/>
      <c r="AI198" s="489"/>
      <c r="AJ198" s="489"/>
      <c r="AK198" s="489"/>
      <c r="AL198" s="489"/>
      <c r="AM198" s="489"/>
      <c r="AN198" s="489"/>
      <c r="AO198" s="489"/>
      <c r="AP198" s="489"/>
      <c r="AQ198" s="489"/>
      <c r="AR198" s="489"/>
      <c r="AS198" s="489"/>
      <c r="AT198" s="489"/>
      <c r="AU198" s="489"/>
      <c r="AV198" s="489"/>
      <c r="AW198" s="489"/>
      <c r="AX198" s="489"/>
      <c r="AY198" s="489"/>
      <c r="AZ198" s="489"/>
      <c r="BA198" s="489"/>
      <c r="BB198" s="489"/>
      <c r="BC198" s="489"/>
      <c r="BD198" s="489"/>
      <c r="BE198" s="489"/>
      <c r="BF198" s="489"/>
      <c r="BG198" s="489"/>
      <c r="BH198" s="489"/>
      <c r="BI198" s="489"/>
      <c r="BJ198" s="489"/>
      <c r="BK198" s="489"/>
      <c r="BL198" s="489"/>
      <c r="BM198" s="489"/>
      <c r="BN198" s="489"/>
      <c r="BO198" s="489"/>
      <c r="BP198" s="489"/>
      <c r="BQ198" s="489"/>
      <c r="BR198" s="489"/>
      <c r="BS198" s="489"/>
      <c r="BT198" s="489"/>
      <c r="BU198" s="489"/>
      <c r="BV198" s="489"/>
      <c r="BW198" s="489"/>
      <c r="BX198" s="489"/>
      <c r="BY198" s="489"/>
      <c r="BZ198" s="489"/>
      <c r="CA198" s="489"/>
      <c r="CB198" s="489"/>
      <c r="CC198" s="489"/>
      <c r="CD198" s="489"/>
      <c r="CE198" s="489"/>
      <c r="CF198" s="489"/>
      <c r="CG198" s="489"/>
      <c r="CH198" s="489"/>
      <c r="CI198" s="489"/>
      <c r="CJ198" s="489"/>
      <c r="CK198" s="489"/>
      <c r="CL198" s="489"/>
      <c r="CM198" s="489"/>
      <c r="CN198" s="489"/>
      <c r="CO198" s="489"/>
      <c r="CP198" s="489"/>
      <c r="CQ198" s="489"/>
      <c r="CR198" s="489"/>
      <c r="CS198" s="489"/>
      <c r="CT198" s="489"/>
      <c r="CU198" s="489"/>
      <c r="CV198" s="489"/>
      <c r="CW198" s="489"/>
      <c r="CX198" s="489"/>
      <c r="CY198" s="489"/>
      <c r="CZ198" s="489"/>
      <c r="DA198" s="489"/>
      <c r="DB198" s="489"/>
      <c r="DC198" s="489"/>
      <c r="DD198" s="489"/>
      <c r="DE198" s="489"/>
      <c r="DF198" s="489"/>
      <c r="DG198" s="489"/>
      <c r="DH198" s="489"/>
      <c r="DI198" s="489"/>
      <c r="DJ198" s="489"/>
      <c r="DK198" s="489"/>
      <c r="DL198" s="489"/>
      <c r="DM198" s="489"/>
      <c r="DN198" s="489"/>
      <c r="DO198" s="489"/>
      <c r="DP198" s="489"/>
      <c r="DQ198" s="489"/>
      <c r="DR198" s="489"/>
      <c r="DS198" s="489"/>
      <c r="DT198" s="489"/>
      <c r="DU198" s="489"/>
      <c r="DV198" s="489"/>
      <c r="DW198" s="489"/>
      <c r="DX198" s="489"/>
      <c r="DY198" s="489"/>
      <c r="DZ198" s="489"/>
      <c r="EA198" s="489"/>
      <c r="EB198" s="489"/>
      <c r="EC198" s="489"/>
      <c r="ED198" s="489"/>
      <c r="EE198" s="489"/>
      <c r="EF198" s="489"/>
      <c r="EG198" s="489"/>
      <c r="EH198" s="489"/>
      <c r="EI198" s="489"/>
      <c r="EJ198" s="489"/>
      <c r="EK198" s="489"/>
      <c r="EL198" s="489"/>
      <c r="EM198" s="489"/>
      <c r="EN198" s="489"/>
      <c r="EO198" s="489"/>
      <c r="EP198" s="489"/>
      <c r="EQ198" s="489"/>
      <c r="ER198" s="489"/>
      <c r="ES198" s="489"/>
      <c r="ET198" s="489"/>
      <c r="EU198" s="489"/>
      <c r="EV198" s="489"/>
      <c r="EW198" s="489"/>
      <c r="EX198" s="489"/>
      <c r="EY198" s="489"/>
      <c r="EZ198" s="489"/>
      <c r="FA198" s="489"/>
      <c r="FB198" s="489"/>
      <c r="FC198" s="489"/>
      <c r="FD198" s="489"/>
      <c r="FE198" s="489"/>
      <c r="FF198" s="489"/>
      <c r="FG198" s="489"/>
      <c r="FH198" s="489"/>
      <c r="FI198" s="489"/>
      <c r="FJ198" s="489"/>
      <c r="FK198" s="489"/>
      <c r="FL198" s="489"/>
      <c r="FM198" s="489"/>
      <c r="FN198" s="489"/>
      <c r="FO198" s="489"/>
      <c r="FP198" s="489"/>
      <c r="FQ198" s="489"/>
      <c r="FR198" s="489"/>
      <c r="FS198" s="489"/>
      <c r="FT198" s="489"/>
      <c r="FU198" s="489"/>
      <c r="FV198" s="489"/>
      <c r="FW198" s="489"/>
      <c r="FX198" s="489"/>
      <c r="FY198" s="489"/>
      <c r="FZ198" s="489"/>
      <c r="GA198" s="489"/>
      <c r="GB198" s="489"/>
      <c r="GC198" s="489"/>
      <c r="GD198" s="489"/>
      <c r="GE198" s="489"/>
      <c r="GF198" s="489"/>
      <c r="GG198" s="489"/>
      <c r="GH198" s="489"/>
      <c r="GI198" s="489"/>
      <c r="GJ198" s="489"/>
      <c r="GK198" s="489"/>
      <c r="GL198" s="489"/>
      <c r="GM198" s="489"/>
      <c r="GN198" s="489"/>
      <c r="GO198" s="489"/>
      <c r="GP198" s="489"/>
      <c r="GQ198" s="489"/>
      <c r="GR198" s="489"/>
      <c r="GS198" s="489"/>
      <c r="GT198" s="489"/>
      <c r="GU198" s="489"/>
      <c r="GV198" s="489"/>
      <c r="GW198" s="489"/>
      <c r="GX198" s="489"/>
      <c r="GY198" s="489"/>
      <c r="GZ198" s="489"/>
      <c r="HA198" s="489"/>
      <c r="HB198" s="489"/>
      <c r="HC198" s="489"/>
      <c r="HD198" s="489"/>
      <c r="HE198" s="489"/>
      <c r="HF198" s="489"/>
      <c r="HG198" s="489"/>
      <c r="HH198" s="489"/>
      <c r="HI198" s="489"/>
      <c r="HJ198" s="489"/>
      <c r="HK198" s="489"/>
      <c r="HL198" s="489"/>
      <c r="HM198" s="489"/>
      <c r="HN198" s="489"/>
      <c r="HO198" s="489"/>
      <c r="HP198" s="489"/>
      <c r="HQ198" s="489"/>
      <c r="HR198" s="489"/>
      <c r="HS198" s="489"/>
      <c r="HT198" s="489"/>
      <c r="HU198" s="489"/>
      <c r="HV198" s="489"/>
      <c r="HW198" s="489"/>
      <c r="HX198" s="487"/>
    </row>
    <row r="199" spans="1:232" s="488" customFormat="1" ht="41.25" customHeight="1">
      <c r="A199" s="490"/>
      <c r="B199" s="1602" t="s">
        <v>107</v>
      </c>
      <c r="C199" s="1602"/>
      <c r="D199" s="1602"/>
      <c r="E199" s="1602"/>
      <c r="F199" s="1602"/>
      <c r="G199" s="1602"/>
      <c r="H199" s="1602"/>
      <c r="I199" s="1602"/>
      <c r="J199" s="1602"/>
      <c r="K199" s="491"/>
      <c r="L199" s="477"/>
      <c r="M199" s="477"/>
      <c r="N199" s="492"/>
      <c r="O199" s="492"/>
      <c r="P199" s="492"/>
      <c r="Q199" s="492"/>
      <c r="R199" s="492"/>
      <c r="S199" s="492"/>
      <c r="T199" s="492"/>
      <c r="U199" s="489"/>
      <c r="V199" s="489"/>
      <c r="W199" s="489"/>
      <c r="X199" s="489"/>
      <c r="Y199" s="489"/>
      <c r="Z199" s="489"/>
      <c r="AA199" s="489"/>
      <c r="AB199" s="489"/>
      <c r="AC199" s="489"/>
      <c r="AD199" s="489"/>
      <c r="AE199" s="489"/>
      <c r="AF199" s="489"/>
      <c r="AG199" s="489"/>
      <c r="AH199" s="489"/>
      <c r="AI199" s="489"/>
      <c r="AJ199" s="489"/>
      <c r="AK199" s="489"/>
      <c r="AL199" s="489"/>
      <c r="AM199" s="489"/>
      <c r="AN199" s="489"/>
      <c r="AO199" s="489"/>
      <c r="AP199" s="489"/>
      <c r="AQ199" s="489"/>
      <c r="AR199" s="489"/>
      <c r="AS199" s="489"/>
      <c r="AT199" s="489"/>
      <c r="AU199" s="489"/>
      <c r="AV199" s="489"/>
      <c r="AW199" s="489"/>
      <c r="AX199" s="489"/>
      <c r="AY199" s="489"/>
      <c r="AZ199" s="489"/>
      <c r="BA199" s="489"/>
      <c r="BB199" s="489"/>
      <c r="BC199" s="489"/>
      <c r="BD199" s="489"/>
      <c r="BE199" s="489"/>
      <c r="BF199" s="489"/>
      <c r="BG199" s="489"/>
      <c r="BH199" s="489"/>
      <c r="BI199" s="489"/>
      <c r="BJ199" s="489"/>
      <c r="BK199" s="489"/>
      <c r="BL199" s="489"/>
      <c r="BM199" s="489"/>
      <c r="BN199" s="489"/>
      <c r="BO199" s="489"/>
      <c r="BP199" s="489"/>
      <c r="BQ199" s="489"/>
      <c r="BR199" s="489"/>
      <c r="BS199" s="489"/>
      <c r="BT199" s="489"/>
      <c r="BU199" s="489"/>
      <c r="BV199" s="489"/>
      <c r="BW199" s="489"/>
      <c r="BX199" s="489"/>
      <c r="BY199" s="489"/>
      <c r="BZ199" s="489"/>
      <c r="CA199" s="489"/>
      <c r="CB199" s="489"/>
      <c r="CC199" s="489"/>
      <c r="CD199" s="489"/>
      <c r="CE199" s="489"/>
      <c r="CF199" s="489"/>
      <c r="CG199" s="489"/>
      <c r="CH199" s="489"/>
      <c r="CI199" s="489"/>
      <c r="CJ199" s="489"/>
      <c r="CK199" s="489"/>
      <c r="CL199" s="489"/>
      <c r="CM199" s="489"/>
      <c r="CN199" s="489"/>
      <c r="CO199" s="489"/>
      <c r="CP199" s="489"/>
      <c r="CQ199" s="489"/>
      <c r="CR199" s="489"/>
      <c r="CS199" s="489"/>
      <c r="CT199" s="489"/>
      <c r="CU199" s="489"/>
      <c r="CV199" s="489"/>
      <c r="CW199" s="489"/>
      <c r="CX199" s="489"/>
      <c r="CY199" s="489"/>
      <c r="CZ199" s="489"/>
      <c r="DA199" s="489"/>
      <c r="DB199" s="489"/>
      <c r="DC199" s="489"/>
      <c r="DD199" s="489"/>
      <c r="DE199" s="489"/>
      <c r="DF199" s="489"/>
      <c r="DG199" s="489"/>
      <c r="DH199" s="489"/>
      <c r="DI199" s="489"/>
      <c r="DJ199" s="489"/>
      <c r="DK199" s="489"/>
      <c r="DL199" s="489"/>
      <c r="DM199" s="489"/>
      <c r="DN199" s="489"/>
      <c r="DO199" s="489"/>
      <c r="DP199" s="489"/>
      <c r="DQ199" s="489"/>
      <c r="DR199" s="489"/>
      <c r="DS199" s="489"/>
      <c r="DT199" s="489"/>
      <c r="DU199" s="489"/>
      <c r="DV199" s="489"/>
      <c r="DW199" s="489"/>
      <c r="DX199" s="489"/>
      <c r="DY199" s="489"/>
      <c r="DZ199" s="489"/>
      <c r="EA199" s="489"/>
      <c r="EB199" s="489"/>
      <c r="EC199" s="489"/>
      <c r="ED199" s="489"/>
      <c r="EE199" s="489"/>
      <c r="EF199" s="489"/>
      <c r="EG199" s="489"/>
      <c r="EH199" s="489"/>
      <c r="EI199" s="489"/>
      <c r="EJ199" s="489"/>
      <c r="EK199" s="489"/>
      <c r="EL199" s="489"/>
      <c r="EM199" s="489"/>
      <c r="EN199" s="489"/>
      <c r="EO199" s="489"/>
      <c r="EP199" s="489"/>
      <c r="EQ199" s="489"/>
      <c r="ER199" s="489"/>
      <c r="ES199" s="489"/>
      <c r="ET199" s="489"/>
      <c r="EU199" s="489"/>
      <c r="EV199" s="489"/>
      <c r="EW199" s="489"/>
      <c r="EX199" s="489"/>
      <c r="EY199" s="489"/>
      <c r="EZ199" s="489"/>
      <c r="FA199" s="489"/>
      <c r="FB199" s="489"/>
      <c r="FC199" s="489"/>
      <c r="FD199" s="489"/>
      <c r="FE199" s="489"/>
      <c r="FF199" s="489"/>
      <c r="FG199" s="489"/>
      <c r="FH199" s="489"/>
      <c r="FI199" s="489"/>
      <c r="FJ199" s="489"/>
      <c r="FK199" s="489"/>
      <c r="FL199" s="489"/>
      <c r="FM199" s="489"/>
      <c r="FN199" s="489"/>
      <c r="FO199" s="489"/>
      <c r="FP199" s="489"/>
      <c r="FQ199" s="489"/>
      <c r="FR199" s="489"/>
      <c r="FS199" s="489"/>
      <c r="FT199" s="489"/>
      <c r="FU199" s="489"/>
      <c r="FV199" s="489"/>
      <c r="FW199" s="489"/>
      <c r="FX199" s="489"/>
      <c r="FY199" s="489"/>
      <c r="FZ199" s="489"/>
      <c r="GA199" s="489"/>
      <c r="GB199" s="489"/>
      <c r="GC199" s="489"/>
      <c r="GD199" s="489"/>
      <c r="GE199" s="489"/>
      <c r="GF199" s="489"/>
      <c r="GG199" s="489"/>
      <c r="GH199" s="489"/>
      <c r="GI199" s="489"/>
      <c r="GJ199" s="489"/>
      <c r="GK199" s="489"/>
      <c r="GL199" s="489"/>
      <c r="GM199" s="489"/>
      <c r="GN199" s="489"/>
      <c r="GO199" s="489"/>
      <c r="GP199" s="489"/>
      <c r="GQ199" s="489"/>
      <c r="GR199" s="489"/>
      <c r="GS199" s="489"/>
      <c r="GT199" s="489"/>
      <c r="GU199" s="489"/>
      <c r="GV199" s="489"/>
      <c r="GW199" s="489"/>
      <c r="GX199" s="489"/>
      <c r="GY199" s="489"/>
      <c r="GZ199" s="489"/>
      <c r="HA199" s="489"/>
      <c r="HB199" s="489"/>
      <c r="HC199" s="489"/>
      <c r="HD199" s="489"/>
      <c r="HE199" s="489"/>
      <c r="HF199" s="489"/>
      <c r="HG199" s="489"/>
      <c r="HH199" s="489"/>
      <c r="HI199" s="489"/>
      <c r="HJ199" s="489"/>
      <c r="HK199" s="489"/>
      <c r="HL199" s="489"/>
      <c r="HM199" s="489"/>
      <c r="HN199" s="489"/>
      <c r="HO199" s="489"/>
      <c r="HP199" s="489"/>
      <c r="HQ199" s="489"/>
      <c r="HR199" s="489"/>
      <c r="HS199" s="489"/>
      <c r="HT199" s="489"/>
      <c r="HU199" s="489"/>
      <c r="HV199" s="489"/>
      <c r="HW199" s="489"/>
      <c r="HX199" s="487"/>
    </row>
    <row r="200" spans="1:232" s="488" customFormat="1" ht="19.5" customHeight="1">
      <c r="A200" s="490"/>
      <c r="B200" s="1602" t="s">
        <v>451</v>
      </c>
      <c r="C200" s="1602"/>
      <c r="D200" s="1602"/>
      <c r="E200" s="1602"/>
      <c r="F200" s="1602"/>
      <c r="G200" s="1602"/>
      <c r="H200" s="1602"/>
      <c r="I200" s="1602"/>
      <c r="J200" s="1602"/>
      <c r="K200" s="491"/>
      <c r="L200" s="477"/>
      <c r="M200" s="477"/>
      <c r="N200" s="492"/>
      <c r="O200" s="492"/>
      <c r="P200" s="492"/>
      <c r="Q200" s="492"/>
      <c r="R200" s="492"/>
      <c r="S200" s="492"/>
      <c r="T200" s="492"/>
      <c r="U200" s="489"/>
      <c r="V200" s="489"/>
      <c r="W200" s="489"/>
      <c r="X200" s="489"/>
      <c r="Y200" s="489"/>
      <c r="Z200" s="489"/>
      <c r="AA200" s="489"/>
      <c r="AB200" s="489"/>
      <c r="AC200" s="489"/>
      <c r="AD200" s="489"/>
      <c r="AE200" s="489"/>
      <c r="AF200" s="489"/>
      <c r="AG200" s="489"/>
      <c r="AH200" s="489"/>
      <c r="AI200" s="489"/>
      <c r="AJ200" s="489"/>
      <c r="AK200" s="489"/>
      <c r="AL200" s="489"/>
      <c r="AM200" s="489"/>
      <c r="AN200" s="489"/>
      <c r="AO200" s="489"/>
      <c r="AP200" s="489"/>
      <c r="AQ200" s="489"/>
      <c r="AR200" s="489"/>
      <c r="AS200" s="489"/>
      <c r="AT200" s="489"/>
      <c r="AU200" s="489"/>
      <c r="AV200" s="489"/>
      <c r="AW200" s="489"/>
      <c r="AX200" s="489"/>
      <c r="AY200" s="489"/>
      <c r="AZ200" s="489"/>
      <c r="BA200" s="489"/>
      <c r="BB200" s="489"/>
      <c r="BC200" s="489"/>
      <c r="BD200" s="489"/>
      <c r="BE200" s="489"/>
      <c r="BF200" s="489"/>
      <c r="BG200" s="489"/>
      <c r="BH200" s="489"/>
      <c r="BI200" s="489"/>
      <c r="BJ200" s="489"/>
      <c r="BK200" s="489"/>
      <c r="BL200" s="489"/>
      <c r="BM200" s="489"/>
      <c r="BN200" s="489"/>
      <c r="BO200" s="489"/>
      <c r="BP200" s="489"/>
      <c r="BQ200" s="489"/>
      <c r="BR200" s="489"/>
      <c r="BS200" s="489"/>
      <c r="BT200" s="489"/>
      <c r="BU200" s="489"/>
      <c r="BV200" s="489"/>
      <c r="BW200" s="489"/>
      <c r="BX200" s="489"/>
      <c r="BY200" s="489"/>
      <c r="BZ200" s="489"/>
      <c r="CA200" s="489"/>
      <c r="CB200" s="489"/>
      <c r="CC200" s="489"/>
      <c r="CD200" s="489"/>
      <c r="CE200" s="489"/>
      <c r="CF200" s="489"/>
      <c r="CG200" s="489"/>
      <c r="CH200" s="489"/>
      <c r="CI200" s="489"/>
      <c r="CJ200" s="489"/>
      <c r="CK200" s="489"/>
      <c r="CL200" s="489"/>
      <c r="CM200" s="489"/>
      <c r="CN200" s="489"/>
      <c r="CO200" s="489"/>
      <c r="CP200" s="489"/>
      <c r="CQ200" s="489"/>
      <c r="CR200" s="489"/>
      <c r="CS200" s="489"/>
      <c r="CT200" s="489"/>
      <c r="CU200" s="489"/>
      <c r="CV200" s="489"/>
      <c r="CW200" s="489"/>
      <c r="CX200" s="489"/>
      <c r="CY200" s="489"/>
      <c r="CZ200" s="489"/>
      <c r="DA200" s="489"/>
      <c r="DB200" s="489"/>
      <c r="DC200" s="489"/>
      <c r="DD200" s="489"/>
      <c r="DE200" s="489"/>
      <c r="DF200" s="489"/>
      <c r="DG200" s="489"/>
      <c r="DH200" s="489"/>
      <c r="DI200" s="489"/>
      <c r="DJ200" s="489"/>
      <c r="DK200" s="489"/>
      <c r="DL200" s="489"/>
      <c r="DM200" s="489"/>
      <c r="DN200" s="489"/>
      <c r="DO200" s="489"/>
      <c r="DP200" s="489"/>
      <c r="DQ200" s="489"/>
      <c r="DR200" s="489"/>
      <c r="DS200" s="489"/>
      <c r="DT200" s="489"/>
      <c r="DU200" s="489"/>
      <c r="DV200" s="489"/>
      <c r="DW200" s="489"/>
      <c r="DX200" s="489"/>
      <c r="DY200" s="489"/>
      <c r="DZ200" s="489"/>
      <c r="EA200" s="489"/>
      <c r="EB200" s="489"/>
      <c r="EC200" s="489"/>
      <c r="ED200" s="489"/>
      <c r="EE200" s="489"/>
      <c r="EF200" s="489"/>
      <c r="EG200" s="489"/>
      <c r="EH200" s="489"/>
      <c r="EI200" s="489"/>
      <c r="EJ200" s="489"/>
      <c r="EK200" s="489"/>
      <c r="EL200" s="489"/>
      <c r="EM200" s="489"/>
      <c r="EN200" s="489"/>
      <c r="EO200" s="489"/>
      <c r="EP200" s="489"/>
      <c r="EQ200" s="489"/>
      <c r="ER200" s="489"/>
      <c r="ES200" s="489"/>
      <c r="ET200" s="489"/>
      <c r="EU200" s="489"/>
      <c r="EV200" s="489"/>
      <c r="EW200" s="489"/>
      <c r="EX200" s="489"/>
      <c r="EY200" s="489"/>
      <c r="EZ200" s="489"/>
      <c r="FA200" s="489"/>
      <c r="FB200" s="489"/>
      <c r="FC200" s="489"/>
      <c r="FD200" s="489"/>
      <c r="FE200" s="489"/>
      <c r="FF200" s="489"/>
      <c r="FG200" s="489"/>
      <c r="FH200" s="489"/>
      <c r="FI200" s="489"/>
      <c r="FJ200" s="489"/>
      <c r="FK200" s="489"/>
      <c r="FL200" s="489"/>
      <c r="FM200" s="489"/>
      <c r="FN200" s="489"/>
      <c r="FO200" s="489"/>
      <c r="FP200" s="489"/>
      <c r="FQ200" s="489"/>
      <c r="FR200" s="489"/>
      <c r="FS200" s="489"/>
      <c r="FT200" s="489"/>
      <c r="FU200" s="489"/>
      <c r="FV200" s="489"/>
      <c r="FW200" s="489"/>
      <c r="FX200" s="489"/>
      <c r="FY200" s="489"/>
      <c r="FZ200" s="489"/>
      <c r="GA200" s="489"/>
      <c r="GB200" s="489"/>
      <c r="GC200" s="489"/>
      <c r="GD200" s="489"/>
      <c r="GE200" s="489"/>
      <c r="GF200" s="489"/>
      <c r="GG200" s="489"/>
      <c r="GH200" s="489"/>
      <c r="GI200" s="489"/>
      <c r="GJ200" s="489"/>
      <c r="GK200" s="489"/>
      <c r="GL200" s="489"/>
      <c r="GM200" s="489"/>
      <c r="GN200" s="489"/>
      <c r="GO200" s="489"/>
      <c r="GP200" s="489"/>
      <c r="GQ200" s="489"/>
      <c r="GR200" s="489"/>
      <c r="GS200" s="489"/>
      <c r="GT200" s="489"/>
      <c r="GU200" s="489"/>
      <c r="GV200" s="489"/>
      <c r="GW200" s="489"/>
      <c r="GX200" s="489"/>
      <c r="GY200" s="489"/>
      <c r="GZ200" s="489"/>
      <c r="HA200" s="489"/>
      <c r="HB200" s="489"/>
      <c r="HC200" s="489"/>
      <c r="HD200" s="489"/>
      <c r="HE200" s="489"/>
      <c r="HF200" s="489"/>
      <c r="HG200" s="489"/>
      <c r="HH200" s="489"/>
      <c r="HI200" s="489"/>
      <c r="HJ200" s="489"/>
      <c r="HK200" s="489"/>
      <c r="HL200" s="489"/>
      <c r="HM200" s="489"/>
      <c r="HN200" s="489"/>
      <c r="HO200" s="489"/>
      <c r="HP200" s="489"/>
      <c r="HQ200" s="489"/>
      <c r="HR200" s="489"/>
      <c r="HS200" s="489"/>
      <c r="HT200" s="489"/>
      <c r="HU200" s="489"/>
      <c r="HV200" s="489"/>
      <c r="HW200" s="489"/>
      <c r="HX200" s="487"/>
    </row>
    <row r="201" spans="1:232" s="488" customFormat="1" ht="19.5" customHeight="1">
      <c r="A201" s="490"/>
      <c r="B201" s="1602" t="s">
        <v>108</v>
      </c>
      <c r="C201" s="1602"/>
      <c r="D201" s="1602"/>
      <c r="E201" s="1602"/>
      <c r="F201" s="1602"/>
      <c r="G201" s="1602"/>
      <c r="H201" s="1602"/>
      <c r="I201" s="1602"/>
      <c r="J201" s="1602"/>
      <c r="K201" s="491"/>
      <c r="L201" s="477"/>
      <c r="M201" s="477"/>
      <c r="N201" s="492"/>
      <c r="O201" s="492"/>
      <c r="P201" s="492"/>
      <c r="Q201" s="492"/>
      <c r="R201" s="492"/>
      <c r="S201" s="492"/>
      <c r="T201" s="492"/>
      <c r="U201" s="489"/>
      <c r="V201" s="489"/>
      <c r="W201" s="489"/>
      <c r="X201" s="489"/>
      <c r="Y201" s="489"/>
      <c r="Z201" s="489"/>
      <c r="AA201" s="489"/>
      <c r="AB201" s="489"/>
      <c r="AC201" s="489"/>
      <c r="AD201" s="489"/>
      <c r="AE201" s="489"/>
      <c r="AF201" s="489"/>
      <c r="AG201" s="489"/>
      <c r="AH201" s="489"/>
      <c r="AI201" s="489"/>
      <c r="AJ201" s="489"/>
      <c r="AK201" s="489"/>
      <c r="AL201" s="489"/>
      <c r="AM201" s="489"/>
      <c r="AN201" s="489"/>
      <c r="AO201" s="489"/>
      <c r="AP201" s="489"/>
      <c r="AQ201" s="489"/>
      <c r="AR201" s="489"/>
      <c r="AS201" s="489"/>
      <c r="AT201" s="489"/>
      <c r="AU201" s="489"/>
      <c r="AV201" s="489"/>
      <c r="AW201" s="489"/>
      <c r="AX201" s="489"/>
      <c r="AY201" s="489"/>
      <c r="AZ201" s="489"/>
      <c r="BA201" s="489"/>
      <c r="BB201" s="489"/>
      <c r="BC201" s="489"/>
      <c r="BD201" s="489"/>
      <c r="BE201" s="489"/>
      <c r="BF201" s="489"/>
      <c r="BG201" s="489"/>
      <c r="BH201" s="489"/>
      <c r="BI201" s="489"/>
      <c r="BJ201" s="489"/>
      <c r="BK201" s="489"/>
      <c r="BL201" s="489"/>
      <c r="BM201" s="489"/>
      <c r="BN201" s="489"/>
      <c r="BO201" s="489"/>
      <c r="BP201" s="489"/>
      <c r="BQ201" s="489"/>
      <c r="BR201" s="489"/>
      <c r="BS201" s="489"/>
      <c r="BT201" s="489"/>
      <c r="BU201" s="489"/>
      <c r="BV201" s="489"/>
      <c r="BW201" s="489"/>
      <c r="BX201" s="489"/>
      <c r="BY201" s="489"/>
      <c r="BZ201" s="489"/>
      <c r="CA201" s="489"/>
      <c r="CB201" s="489"/>
      <c r="CC201" s="489"/>
      <c r="CD201" s="489"/>
      <c r="CE201" s="489"/>
      <c r="CF201" s="489"/>
      <c r="CG201" s="489"/>
      <c r="CH201" s="489"/>
      <c r="CI201" s="489"/>
      <c r="CJ201" s="489"/>
      <c r="CK201" s="489"/>
      <c r="CL201" s="489"/>
      <c r="CM201" s="489"/>
      <c r="CN201" s="489"/>
      <c r="CO201" s="489"/>
      <c r="CP201" s="489"/>
      <c r="CQ201" s="489"/>
      <c r="CR201" s="489"/>
      <c r="CS201" s="489"/>
      <c r="CT201" s="489"/>
      <c r="CU201" s="489"/>
      <c r="CV201" s="489"/>
      <c r="CW201" s="489"/>
      <c r="CX201" s="489"/>
      <c r="CY201" s="489"/>
      <c r="CZ201" s="489"/>
      <c r="DA201" s="489"/>
      <c r="DB201" s="489"/>
      <c r="DC201" s="489"/>
      <c r="DD201" s="489"/>
      <c r="DE201" s="489"/>
      <c r="DF201" s="489"/>
      <c r="DG201" s="489"/>
      <c r="DH201" s="489"/>
      <c r="DI201" s="489"/>
      <c r="DJ201" s="489"/>
      <c r="DK201" s="489"/>
      <c r="DL201" s="489"/>
      <c r="DM201" s="489"/>
      <c r="DN201" s="489"/>
      <c r="DO201" s="489"/>
      <c r="DP201" s="489"/>
      <c r="DQ201" s="489"/>
      <c r="DR201" s="489"/>
      <c r="DS201" s="489"/>
      <c r="DT201" s="489"/>
      <c r="DU201" s="489"/>
      <c r="DV201" s="489"/>
      <c r="DW201" s="489"/>
      <c r="DX201" s="489"/>
      <c r="DY201" s="489"/>
      <c r="DZ201" s="489"/>
      <c r="EA201" s="489"/>
      <c r="EB201" s="489"/>
      <c r="EC201" s="489"/>
      <c r="ED201" s="489"/>
      <c r="EE201" s="489"/>
      <c r="EF201" s="489"/>
      <c r="EG201" s="489"/>
      <c r="EH201" s="489"/>
      <c r="EI201" s="489"/>
      <c r="EJ201" s="489"/>
      <c r="EK201" s="489"/>
      <c r="EL201" s="489"/>
      <c r="EM201" s="489"/>
      <c r="EN201" s="489"/>
      <c r="EO201" s="489"/>
      <c r="EP201" s="489"/>
      <c r="EQ201" s="489"/>
      <c r="ER201" s="489"/>
      <c r="ES201" s="489"/>
      <c r="ET201" s="489"/>
      <c r="EU201" s="489"/>
      <c r="EV201" s="489"/>
      <c r="EW201" s="489"/>
      <c r="EX201" s="489"/>
      <c r="EY201" s="489"/>
      <c r="EZ201" s="489"/>
      <c r="FA201" s="489"/>
      <c r="FB201" s="489"/>
      <c r="FC201" s="489"/>
      <c r="FD201" s="489"/>
      <c r="FE201" s="489"/>
      <c r="FF201" s="489"/>
      <c r="FG201" s="489"/>
      <c r="FH201" s="489"/>
      <c r="FI201" s="489"/>
      <c r="FJ201" s="489"/>
      <c r="FK201" s="489"/>
      <c r="FL201" s="489"/>
      <c r="FM201" s="489"/>
      <c r="FN201" s="489"/>
      <c r="FO201" s="489"/>
      <c r="FP201" s="489"/>
      <c r="FQ201" s="489"/>
      <c r="FR201" s="489"/>
      <c r="FS201" s="489"/>
      <c r="FT201" s="489"/>
      <c r="FU201" s="489"/>
      <c r="FV201" s="489"/>
      <c r="FW201" s="489"/>
      <c r="FX201" s="489"/>
      <c r="FY201" s="489"/>
      <c r="FZ201" s="489"/>
      <c r="GA201" s="489"/>
      <c r="GB201" s="489"/>
      <c r="GC201" s="489"/>
      <c r="GD201" s="489"/>
      <c r="GE201" s="489"/>
      <c r="GF201" s="489"/>
      <c r="GG201" s="489"/>
      <c r="GH201" s="489"/>
      <c r="GI201" s="489"/>
      <c r="GJ201" s="489"/>
      <c r="GK201" s="489"/>
      <c r="GL201" s="489"/>
      <c r="GM201" s="489"/>
      <c r="GN201" s="489"/>
      <c r="GO201" s="489"/>
      <c r="GP201" s="489"/>
      <c r="GQ201" s="489"/>
      <c r="GR201" s="489"/>
      <c r="GS201" s="489"/>
      <c r="GT201" s="489"/>
      <c r="GU201" s="489"/>
      <c r="GV201" s="489"/>
      <c r="GW201" s="489"/>
      <c r="GX201" s="489"/>
      <c r="GY201" s="489"/>
      <c r="GZ201" s="489"/>
      <c r="HA201" s="489"/>
      <c r="HB201" s="489"/>
      <c r="HC201" s="489"/>
      <c r="HD201" s="489"/>
      <c r="HE201" s="489"/>
      <c r="HF201" s="489"/>
      <c r="HG201" s="489"/>
      <c r="HH201" s="489"/>
      <c r="HI201" s="489"/>
      <c r="HJ201" s="489"/>
      <c r="HK201" s="489"/>
      <c r="HL201" s="489"/>
      <c r="HM201" s="489"/>
      <c r="HN201" s="489"/>
      <c r="HO201" s="489"/>
      <c r="HP201" s="489"/>
      <c r="HQ201" s="489"/>
      <c r="HR201" s="489"/>
      <c r="HS201" s="489"/>
      <c r="HT201" s="489"/>
      <c r="HU201" s="489"/>
      <c r="HV201" s="489"/>
      <c r="HW201" s="489"/>
      <c r="HX201" s="487"/>
    </row>
    <row r="202" spans="1:232" s="488" customFormat="1" ht="19.5" customHeight="1">
      <c r="A202" s="490"/>
      <c r="B202" s="1602" t="s">
        <v>474</v>
      </c>
      <c r="C202" s="1602"/>
      <c r="D202" s="1602"/>
      <c r="E202" s="1602"/>
      <c r="F202" s="1602"/>
      <c r="G202" s="1602"/>
      <c r="H202" s="1602"/>
      <c r="I202" s="1602"/>
      <c r="J202" s="1602"/>
      <c r="K202" s="491"/>
      <c r="L202" s="477"/>
      <c r="M202" s="477"/>
      <c r="N202" s="492"/>
      <c r="O202" s="492"/>
      <c r="P202" s="492"/>
      <c r="Q202" s="492"/>
      <c r="R202" s="492"/>
      <c r="S202" s="492"/>
      <c r="T202" s="492"/>
      <c r="U202" s="489"/>
      <c r="V202" s="489"/>
      <c r="W202" s="489"/>
      <c r="X202" s="489"/>
      <c r="Y202" s="489"/>
      <c r="Z202" s="489"/>
      <c r="AA202" s="489"/>
      <c r="AB202" s="489"/>
      <c r="AC202" s="489"/>
      <c r="AD202" s="489"/>
      <c r="AE202" s="489"/>
      <c r="AF202" s="489"/>
      <c r="AG202" s="489"/>
      <c r="AH202" s="489"/>
      <c r="AI202" s="489"/>
      <c r="AJ202" s="489"/>
      <c r="AK202" s="489"/>
      <c r="AL202" s="489"/>
      <c r="AM202" s="489"/>
      <c r="AN202" s="489"/>
      <c r="AO202" s="489"/>
      <c r="AP202" s="489"/>
      <c r="AQ202" s="489"/>
      <c r="AR202" s="489"/>
      <c r="AS202" s="489"/>
      <c r="AT202" s="489"/>
      <c r="AU202" s="489"/>
      <c r="AV202" s="489"/>
      <c r="AW202" s="489"/>
      <c r="AX202" s="489"/>
      <c r="AY202" s="489"/>
      <c r="AZ202" s="489"/>
      <c r="BA202" s="489"/>
      <c r="BB202" s="489"/>
      <c r="BC202" s="489"/>
      <c r="BD202" s="489"/>
      <c r="BE202" s="489"/>
      <c r="BF202" s="489"/>
      <c r="BG202" s="489"/>
      <c r="BH202" s="489"/>
      <c r="BI202" s="489"/>
      <c r="BJ202" s="489"/>
      <c r="BK202" s="489"/>
      <c r="BL202" s="489"/>
      <c r="BM202" s="489"/>
      <c r="BN202" s="489"/>
      <c r="BO202" s="489"/>
      <c r="BP202" s="489"/>
      <c r="BQ202" s="489"/>
      <c r="BR202" s="489"/>
      <c r="BS202" s="489"/>
      <c r="BT202" s="489"/>
      <c r="BU202" s="489"/>
      <c r="BV202" s="489"/>
      <c r="BW202" s="489"/>
      <c r="BX202" s="489"/>
      <c r="BY202" s="489"/>
      <c r="BZ202" s="489"/>
      <c r="CA202" s="489"/>
      <c r="CB202" s="489"/>
      <c r="CC202" s="489"/>
      <c r="CD202" s="489"/>
      <c r="CE202" s="489"/>
      <c r="CF202" s="489"/>
      <c r="CG202" s="489"/>
      <c r="CH202" s="489"/>
      <c r="CI202" s="489"/>
      <c r="CJ202" s="489"/>
      <c r="CK202" s="489"/>
      <c r="CL202" s="489"/>
      <c r="CM202" s="489"/>
      <c r="CN202" s="489"/>
      <c r="CO202" s="489"/>
      <c r="CP202" s="489"/>
      <c r="CQ202" s="489"/>
      <c r="CR202" s="489"/>
      <c r="CS202" s="489"/>
      <c r="CT202" s="489"/>
      <c r="CU202" s="489"/>
      <c r="CV202" s="489"/>
      <c r="CW202" s="489"/>
      <c r="CX202" s="489"/>
      <c r="CY202" s="489"/>
      <c r="CZ202" s="489"/>
      <c r="DA202" s="489"/>
      <c r="DB202" s="489"/>
      <c r="DC202" s="489"/>
      <c r="DD202" s="489"/>
      <c r="DE202" s="489"/>
      <c r="DF202" s="489"/>
      <c r="DG202" s="489"/>
      <c r="DH202" s="489"/>
      <c r="DI202" s="489"/>
      <c r="DJ202" s="489"/>
      <c r="DK202" s="489"/>
      <c r="DL202" s="489"/>
      <c r="DM202" s="489"/>
      <c r="DN202" s="489"/>
      <c r="DO202" s="489"/>
      <c r="DP202" s="489"/>
      <c r="DQ202" s="489"/>
      <c r="DR202" s="489"/>
      <c r="DS202" s="489"/>
      <c r="DT202" s="489"/>
      <c r="DU202" s="489"/>
      <c r="DV202" s="489"/>
      <c r="DW202" s="489"/>
      <c r="DX202" s="489"/>
      <c r="DY202" s="489"/>
      <c r="DZ202" s="489"/>
      <c r="EA202" s="489"/>
      <c r="EB202" s="489"/>
      <c r="EC202" s="489"/>
      <c r="ED202" s="489"/>
      <c r="EE202" s="489"/>
      <c r="EF202" s="489"/>
      <c r="EG202" s="489"/>
      <c r="EH202" s="489"/>
      <c r="EI202" s="489"/>
      <c r="EJ202" s="489"/>
      <c r="EK202" s="489"/>
      <c r="EL202" s="489"/>
      <c r="EM202" s="489"/>
      <c r="EN202" s="489"/>
      <c r="EO202" s="489"/>
      <c r="EP202" s="489"/>
      <c r="EQ202" s="489"/>
      <c r="ER202" s="489"/>
      <c r="ES202" s="489"/>
      <c r="ET202" s="489"/>
      <c r="EU202" s="489"/>
      <c r="EV202" s="489"/>
      <c r="EW202" s="489"/>
      <c r="EX202" s="489"/>
      <c r="EY202" s="489"/>
      <c r="EZ202" s="489"/>
      <c r="FA202" s="489"/>
      <c r="FB202" s="489"/>
      <c r="FC202" s="489"/>
      <c r="FD202" s="489"/>
      <c r="FE202" s="489"/>
      <c r="FF202" s="489"/>
      <c r="FG202" s="489"/>
      <c r="FH202" s="489"/>
      <c r="FI202" s="489"/>
      <c r="FJ202" s="489"/>
      <c r="FK202" s="489"/>
      <c r="FL202" s="489"/>
      <c r="FM202" s="489"/>
      <c r="FN202" s="489"/>
      <c r="FO202" s="489"/>
      <c r="FP202" s="489"/>
      <c r="FQ202" s="489"/>
      <c r="FR202" s="489"/>
      <c r="FS202" s="489"/>
      <c r="FT202" s="489"/>
      <c r="FU202" s="489"/>
      <c r="FV202" s="489"/>
      <c r="FW202" s="489"/>
      <c r="FX202" s="489"/>
      <c r="FY202" s="489"/>
      <c r="FZ202" s="489"/>
      <c r="GA202" s="489"/>
      <c r="GB202" s="489"/>
      <c r="GC202" s="489"/>
      <c r="GD202" s="489"/>
      <c r="GE202" s="489"/>
      <c r="GF202" s="489"/>
      <c r="GG202" s="489"/>
      <c r="GH202" s="489"/>
      <c r="GI202" s="489"/>
      <c r="GJ202" s="489"/>
      <c r="GK202" s="489"/>
      <c r="GL202" s="489"/>
      <c r="GM202" s="489"/>
      <c r="GN202" s="489"/>
      <c r="GO202" s="489"/>
      <c r="GP202" s="489"/>
      <c r="GQ202" s="489"/>
      <c r="GR202" s="489"/>
      <c r="GS202" s="489"/>
      <c r="GT202" s="489"/>
      <c r="GU202" s="489"/>
      <c r="GV202" s="489"/>
      <c r="GW202" s="489"/>
      <c r="GX202" s="489"/>
      <c r="GY202" s="489"/>
      <c r="GZ202" s="489"/>
      <c r="HA202" s="489"/>
      <c r="HB202" s="489"/>
      <c r="HC202" s="489"/>
      <c r="HD202" s="489"/>
      <c r="HE202" s="489"/>
      <c r="HF202" s="489"/>
      <c r="HG202" s="489"/>
      <c r="HH202" s="489"/>
      <c r="HI202" s="489"/>
      <c r="HJ202" s="489"/>
      <c r="HK202" s="489"/>
      <c r="HL202" s="489"/>
      <c r="HM202" s="489"/>
      <c r="HN202" s="489"/>
      <c r="HO202" s="489"/>
      <c r="HP202" s="489"/>
      <c r="HQ202" s="489"/>
      <c r="HR202" s="489"/>
      <c r="HS202" s="489"/>
      <c r="HT202" s="489"/>
      <c r="HU202" s="489"/>
      <c r="HV202" s="489"/>
      <c r="HW202" s="489"/>
      <c r="HX202" s="487"/>
    </row>
    <row r="203" spans="1:232" s="45" customFormat="1" ht="20.100000000000001" customHeight="1">
      <c r="A203" s="493" t="s">
        <v>109</v>
      </c>
      <c r="B203" s="489"/>
      <c r="C203" s="489"/>
      <c r="D203" s="489"/>
      <c r="E203" s="489"/>
      <c r="F203" s="489"/>
      <c r="G203" s="489"/>
      <c r="H203" s="489"/>
      <c r="I203" s="489"/>
      <c r="J203" s="489"/>
      <c r="K203" s="489"/>
      <c r="L203" s="494"/>
      <c r="M203" s="494"/>
      <c r="N203" s="492"/>
      <c r="O203" s="492"/>
      <c r="P203" s="492"/>
      <c r="Q203" s="492"/>
      <c r="R203" s="492"/>
      <c r="S203" s="492"/>
      <c r="T203" s="495"/>
      <c r="U203" s="496"/>
      <c r="V203" s="496"/>
      <c r="W203" s="496"/>
      <c r="X203" s="496"/>
      <c r="Y203" s="496"/>
      <c r="Z203" s="496"/>
      <c r="AA203" s="496"/>
      <c r="AB203" s="496"/>
      <c r="AC203" s="496"/>
      <c r="AD203" s="496"/>
      <c r="AE203" s="496"/>
      <c r="AF203" s="496"/>
      <c r="AG203" s="496"/>
      <c r="AH203" s="496"/>
      <c r="AI203" s="496"/>
      <c r="AJ203" s="496"/>
      <c r="AK203" s="496"/>
      <c r="AL203" s="496"/>
      <c r="AM203" s="496"/>
      <c r="AN203" s="496"/>
      <c r="AO203" s="496"/>
      <c r="AP203" s="496"/>
      <c r="AQ203" s="496"/>
      <c r="AR203" s="496"/>
      <c r="AS203" s="496"/>
      <c r="AT203" s="496"/>
      <c r="AU203" s="496"/>
      <c r="AV203" s="496"/>
      <c r="AW203" s="496"/>
      <c r="AX203" s="496"/>
      <c r="AY203" s="496"/>
      <c r="AZ203" s="496"/>
      <c r="BA203" s="496"/>
      <c r="BB203" s="496"/>
      <c r="BC203" s="496"/>
      <c r="BD203" s="496"/>
      <c r="BE203" s="496"/>
      <c r="BF203" s="496"/>
      <c r="BG203" s="496"/>
      <c r="BH203" s="496"/>
      <c r="BI203" s="496"/>
      <c r="BJ203" s="496"/>
      <c r="BK203" s="496"/>
      <c r="BL203" s="496"/>
      <c r="BM203" s="496"/>
      <c r="BN203" s="496"/>
      <c r="BO203" s="496"/>
      <c r="BP203" s="496"/>
      <c r="BQ203" s="496"/>
      <c r="BR203" s="496"/>
      <c r="BS203" s="496"/>
      <c r="BT203" s="496"/>
      <c r="BU203" s="496"/>
      <c r="BV203" s="496"/>
      <c r="BW203" s="496"/>
      <c r="BX203" s="496"/>
      <c r="BY203" s="496"/>
      <c r="BZ203" s="496"/>
      <c r="CA203" s="496"/>
      <c r="CB203" s="496"/>
      <c r="CC203" s="496"/>
      <c r="CD203" s="496"/>
      <c r="CE203" s="496"/>
      <c r="CF203" s="496"/>
      <c r="CG203" s="496"/>
      <c r="CH203" s="496"/>
      <c r="CI203" s="496"/>
      <c r="CJ203" s="496"/>
      <c r="CK203" s="496"/>
      <c r="CL203" s="496"/>
      <c r="CM203" s="496"/>
      <c r="CN203" s="496"/>
      <c r="CO203" s="496"/>
      <c r="CP203" s="496"/>
      <c r="CQ203" s="496"/>
      <c r="CR203" s="496"/>
      <c r="CS203" s="496"/>
      <c r="CT203" s="496"/>
      <c r="CU203" s="496"/>
      <c r="CV203" s="496"/>
      <c r="CW203" s="496"/>
      <c r="CX203" s="496"/>
      <c r="CY203" s="496"/>
      <c r="CZ203" s="496"/>
      <c r="DA203" s="496"/>
      <c r="DB203" s="496"/>
      <c r="DC203" s="496"/>
      <c r="DD203" s="496"/>
      <c r="DE203" s="496"/>
      <c r="DF203" s="496"/>
      <c r="DG203" s="496"/>
      <c r="DH203" s="496"/>
      <c r="DI203" s="496"/>
      <c r="DJ203" s="496"/>
      <c r="DK203" s="496"/>
      <c r="DL203" s="496"/>
      <c r="DM203" s="496"/>
      <c r="DN203" s="496"/>
      <c r="DO203" s="496"/>
      <c r="DP203" s="496"/>
      <c r="DQ203" s="496"/>
      <c r="DR203" s="496"/>
      <c r="DS203" s="496"/>
      <c r="DT203" s="496"/>
      <c r="DU203" s="496"/>
      <c r="DV203" s="496"/>
      <c r="DW203" s="496"/>
      <c r="DX203" s="496"/>
      <c r="DY203" s="496"/>
      <c r="DZ203" s="496"/>
      <c r="EA203" s="496"/>
      <c r="EB203" s="496"/>
      <c r="EC203" s="496"/>
      <c r="ED203" s="496"/>
      <c r="EE203" s="496"/>
      <c r="EF203" s="496"/>
      <c r="EG203" s="496"/>
      <c r="EH203" s="496"/>
      <c r="EI203" s="496"/>
      <c r="EJ203" s="496"/>
      <c r="EK203" s="496"/>
      <c r="EL203" s="496"/>
      <c r="EM203" s="496"/>
      <c r="EN203" s="496"/>
      <c r="EO203" s="496"/>
      <c r="EP203" s="496"/>
      <c r="EQ203" s="496"/>
      <c r="ER203" s="496"/>
      <c r="ES203" s="496"/>
      <c r="ET203" s="496"/>
      <c r="EU203" s="496"/>
      <c r="EV203" s="496"/>
      <c r="EW203" s="496"/>
      <c r="EX203" s="496"/>
      <c r="EY203" s="496"/>
      <c r="EZ203" s="496"/>
      <c r="FA203" s="496"/>
      <c r="FB203" s="496"/>
      <c r="FC203" s="496"/>
      <c r="FD203" s="496"/>
      <c r="FE203" s="496"/>
      <c r="FF203" s="496"/>
      <c r="FG203" s="496"/>
      <c r="FH203" s="496"/>
      <c r="FI203" s="496"/>
      <c r="FJ203" s="496"/>
      <c r="FK203" s="496"/>
      <c r="FL203" s="496"/>
      <c r="FM203" s="496"/>
      <c r="FN203" s="496"/>
      <c r="FO203" s="496"/>
      <c r="FP203" s="496"/>
      <c r="FQ203" s="496"/>
      <c r="FR203" s="496"/>
      <c r="FS203" s="496"/>
      <c r="FT203" s="496"/>
      <c r="FU203" s="496"/>
      <c r="FV203" s="496"/>
      <c r="FW203" s="496"/>
      <c r="FX203" s="496"/>
      <c r="FY203" s="496"/>
      <c r="FZ203" s="496"/>
      <c r="GA203" s="496"/>
      <c r="GB203" s="496"/>
      <c r="GC203" s="496"/>
      <c r="GD203" s="496"/>
      <c r="GE203" s="496"/>
      <c r="GF203" s="496"/>
      <c r="GG203" s="496"/>
      <c r="GH203" s="496"/>
      <c r="GI203" s="496"/>
      <c r="GJ203" s="496"/>
      <c r="GK203" s="496"/>
      <c r="GL203" s="496"/>
      <c r="GM203" s="496"/>
      <c r="GN203" s="496"/>
      <c r="GO203" s="496"/>
      <c r="GP203" s="496"/>
      <c r="GQ203" s="496"/>
      <c r="GR203" s="496"/>
      <c r="GS203" s="496"/>
      <c r="GT203" s="496"/>
      <c r="GU203" s="496"/>
      <c r="GV203" s="496"/>
      <c r="GW203" s="496"/>
      <c r="GX203" s="496"/>
      <c r="GY203" s="496"/>
      <c r="GZ203" s="496"/>
      <c r="HA203" s="496"/>
      <c r="HB203" s="496"/>
      <c r="HC203" s="496"/>
      <c r="HD203" s="496"/>
      <c r="HE203" s="496"/>
      <c r="HF203" s="496"/>
      <c r="HG203" s="496"/>
      <c r="HH203" s="496"/>
      <c r="HI203" s="496"/>
      <c r="HJ203" s="496"/>
      <c r="HK203" s="496"/>
      <c r="HL203" s="496"/>
      <c r="HM203" s="496"/>
      <c r="HN203" s="496"/>
      <c r="HO203" s="496"/>
      <c r="HP203" s="496"/>
      <c r="HQ203" s="496"/>
      <c r="HR203" s="496"/>
      <c r="HS203" s="496"/>
      <c r="HT203" s="496"/>
      <c r="HU203" s="496"/>
      <c r="HV203" s="496"/>
      <c r="HW203" s="490"/>
      <c r="HX203" s="490"/>
    </row>
    <row r="204" spans="1:232" s="5" customFormat="1" ht="20.100000000000001" customHeight="1">
      <c r="A204" s="497" t="s">
        <v>110</v>
      </c>
      <c r="B204" s="498"/>
      <c r="C204" s="498"/>
      <c r="D204" s="498"/>
      <c r="E204" s="498"/>
      <c r="F204" s="498"/>
      <c r="G204" s="498"/>
      <c r="H204" s="498"/>
      <c r="I204" s="498"/>
      <c r="J204" s="498"/>
      <c r="K204" s="498"/>
      <c r="L204" s="494"/>
      <c r="M204" s="494"/>
      <c r="N204" s="495"/>
      <c r="O204" s="495"/>
      <c r="P204" s="495"/>
      <c r="Q204" s="495"/>
      <c r="R204" s="495"/>
      <c r="S204" s="495"/>
      <c r="T204" s="495"/>
      <c r="U204" s="489"/>
      <c r="V204" s="489"/>
      <c r="W204" s="489"/>
      <c r="X204" s="489"/>
      <c r="Y204" s="489"/>
      <c r="Z204" s="489"/>
      <c r="AA204" s="489"/>
      <c r="AB204" s="489"/>
      <c r="AC204" s="489"/>
      <c r="AD204" s="489"/>
      <c r="AE204" s="489"/>
      <c r="AF204" s="489"/>
      <c r="AG204" s="489"/>
      <c r="AH204" s="489"/>
      <c r="AI204" s="489"/>
      <c r="AJ204" s="489"/>
      <c r="AK204" s="489"/>
      <c r="AL204" s="489"/>
      <c r="AM204" s="489"/>
      <c r="AN204" s="489"/>
      <c r="AO204" s="489"/>
      <c r="AP204" s="489"/>
      <c r="AQ204" s="489"/>
      <c r="AR204" s="489"/>
      <c r="AS204" s="489"/>
      <c r="AT204" s="489"/>
      <c r="AU204" s="489"/>
      <c r="AV204" s="489"/>
      <c r="AW204" s="489"/>
      <c r="AX204" s="489"/>
      <c r="AY204" s="489"/>
      <c r="AZ204" s="489"/>
      <c r="BA204" s="489"/>
      <c r="BB204" s="489"/>
      <c r="BC204" s="489"/>
      <c r="BD204" s="489"/>
      <c r="BE204" s="489"/>
      <c r="BF204" s="489"/>
      <c r="BG204" s="489"/>
      <c r="BH204" s="489"/>
      <c r="BI204" s="489"/>
      <c r="BJ204" s="489"/>
      <c r="BK204" s="489"/>
      <c r="BL204" s="489"/>
      <c r="BM204" s="489"/>
      <c r="BN204" s="489"/>
      <c r="BO204" s="489"/>
      <c r="BP204" s="489"/>
      <c r="BQ204" s="489"/>
      <c r="BR204" s="489"/>
      <c r="BS204" s="489"/>
      <c r="BT204" s="489"/>
      <c r="BU204" s="489"/>
      <c r="BV204" s="489"/>
      <c r="BW204" s="489"/>
      <c r="BX204" s="489"/>
      <c r="BY204" s="489"/>
      <c r="BZ204" s="489"/>
      <c r="CA204" s="489"/>
      <c r="CB204" s="489"/>
      <c r="CC204" s="489"/>
      <c r="CD204" s="489"/>
      <c r="CE204" s="489"/>
      <c r="CF204" s="489"/>
      <c r="CG204" s="489"/>
      <c r="CH204" s="489"/>
      <c r="CI204" s="489"/>
      <c r="CJ204" s="489"/>
      <c r="CK204" s="489"/>
      <c r="CL204" s="489"/>
      <c r="CM204" s="489"/>
      <c r="CN204" s="489"/>
      <c r="CO204" s="489"/>
      <c r="CP204" s="489"/>
      <c r="CQ204" s="489"/>
      <c r="CR204" s="489"/>
      <c r="CS204" s="489"/>
      <c r="CT204" s="489"/>
      <c r="CU204" s="489"/>
      <c r="CV204" s="489"/>
      <c r="CW204" s="489"/>
      <c r="CX204" s="489"/>
      <c r="CY204" s="489"/>
      <c r="CZ204" s="489"/>
      <c r="DA204" s="489"/>
      <c r="DB204" s="489"/>
      <c r="DC204" s="489"/>
      <c r="DD204" s="489"/>
      <c r="DE204" s="489"/>
      <c r="DF204" s="489"/>
      <c r="DG204" s="489"/>
      <c r="DH204" s="489"/>
      <c r="DI204" s="489"/>
      <c r="DJ204" s="489"/>
      <c r="DK204" s="489"/>
      <c r="DL204" s="489"/>
      <c r="DM204" s="489"/>
      <c r="DN204" s="489"/>
      <c r="DO204" s="489"/>
      <c r="DP204" s="489"/>
      <c r="DQ204" s="489"/>
      <c r="DR204" s="489"/>
      <c r="DS204" s="489"/>
      <c r="DT204" s="489"/>
      <c r="DU204" s="489"/>
      <c r="DV204" s="489"/>
      <c r="DW204" s="489"/>
      <c r="DX204" s="489"/>
      <c r="DY204" s="489"/>
      <c r="DZ204" s="489"/>
      <c r="EA204" s="489"/>
      <c r="EB204" s="489"/>
      <c r="EC204" s="489"/>
      <c r="ED204" s="489"/>
      <c r="EE204" s="489"/>
      <c r="EF204" s="489"/>
      <c r="EG204" s="489"/>
      <c r="EH204" s="489"/>
      <c r="EI204" s="489"/>
      <c r="EJ204" s="489"/>
      <c r="EK204" s="489"/>
      <c r="EL204" s="489"/>
      <c r="EM204" s="489"/>
      <c r="EN204" s="489"/>
      <c r="EO204" s="489"/>
      <c r="EP204" s="489"/>
      <c r="EQ204" s="489"/>
      <c r="ER204" s="489"/>
      <c r="ES204" s="489"/>
      <c r="ET204" s="489"/>
      <c r="EU204" s="489"/>
      <c r="EV204" s="489"/>
      <c r="EW204" s="489"/>
      <c r="EX204" s="489"/>
      <c r="EY204" s="489"/>
      <c r="EZ204" s="489"/>
      <c r="FA204" s="489"/>
      <c r="FB204" s="489"/>
      <c r="FC204" s="489"/>
      <c r="FD204" s="489"/>
      <c r="FE204" s="489"/>
      <c r="FF204" s="489"/>
      <c r="FG204" s="489"/>
      <c r="FH204" s="489"/>
      <c r="FI204" s="489"/>
      <c r="FJ204" s="489"/>
      <c r="FK204" s="489"/>
      <c r="FL204" s="489"/>
      <c r="FM204" s="489"/>
      <c r="FN204" s="489"/>
      <c r="FO204" s="489"/>
      <c r="FP204" s="489"/>
      <c r="FQ204" s="489"/>
      <c r="FR204" s="489"/>
      <c r="FS204" s="489"/>
      <c r="FT204" s="489"/>
      <c r="FU204" s="489"/>
      <c r="FV204" s="489"/>
      <c r="FW204" s="489"/>
      <c r="FX204" s="489"/>
      <c r="FY204" s="489"/>
      <c r="FZ204" s="489"/>
      <c r="GA204" s="489"/>
      <c r="GB204" s="489"/>
      <c r="GC204" s="489"/>
      <c r="GD204" s="489"/>
      <c r="GE204" s="489"/>
      <c r="GF204" s="489"/>
      <c r="GG204" s="489"/>
      <c r="GH204" s="489"/>
      <c r="GI204" s="489"/>
      <c r="GJ204" s="489"/>
      <c r="GK204" s="489"/>
      <c r="GL204" s="489"/>
      <c r="GM204" s="489"/>
      <c r="GN204" s="489"/>
      <c r="GO204" s="489"/>
      <c r="GP204" s="489"/>
      <c r="GQ204" s="489"/>
      <c r="GR204" s="489"/>
      <c r="GS204" s="489"/>
      <c r="GT204" s="489"/>
      <c r="GU204" s="489"/>
      <c r="GV204" s="489"/>
      <c r="GW204" s="489"/>
      <c r="GX204" s="489"/>
      <c r="GY204" s="489"/>
      <c r="GZ204" s="489"/>
      <c r="HA204" s="489"/>
      <c r="HB204" s="489"/>
      <c r="HC204" s="489"/>
      <c r="HD204" s="489"/>
      <c r="HE204" s="489"/>
      <c r="HF204" s="489"/>
      <c r="HG204" s="489"/>
      <c r="HH204" s="489"/>
      <c r="HI204" s="489"/>
      <c r="HJ204" s="489"/>
      <c r="HK204" s="489"/>
      <c r="HL204" s="489"/>
      <c r="HM204" s="489"/>
      <c r="HN204" s="489"/>
      <c r="HO204" s="489"/>
      <c r="HP204" s="489"/>
      <c r="HQ204" s="489"/>
      <c r="HR204" s="489"/>
      <c r="HS204" s="489"/>
      <c r="HT204" s="489"/>
      <c r="HU204" s="489"/>
      <c r="HV204" s="489"/>
      <c r="HW204" s="489"/>
      <c r="HX204" s="358"/>
    </row>
    <row r="205" spans="1:232" s="5" customFormat="1" ht="20.100000000000001" customHeight="1">
      <c r="A205" s="497" t="s">
        <v>111</v>
      </c>
      <c r="B205" s="498"/>
      <c r="C205" s="498"/>
      <c r="D205" s="498"/>
      <c r="E205" s="498"/>
      <c r="F205" s="498"/>
      <c r="G205" s="498"/>
      <c r="H205" s="498"/>
      <c r="I205" s="498"/>
      <c r="J205" s="498"/>
      <c r="K205" s="498"/>
      <c r="L205" s="494"/>
      <c r="M205" s="494"/>
      <c r="N205" s="495"/>
      <c r="O205" s="495"/>
      <c r="P205" s="495"/>
      <c r="Q205" s="495"/>
      <c r="R205" s="495"/>
      <c r="S205" s="495"/>
      <c r="T205" s="495"/>
      <c r="U205" s="499"/>
      <c r="V205" s="499"/>
      <c r="W205" s="499"/>
      <c r="X205" s="499"/>
      <c r="Y205" s="499"/>
      <c r="Z205" s="499"/>
      <c r="AA205" s="499"/>
      <c r="AB205" s="499"/>
      <c r="AC205" s="499"/>
      <c r="AD205" s="499"/>
      <c r="AE205" s="499"/>
      <c r="AF205" s="499"/>
      <c r="AG205" s="499"/>
      <c r="AH205" s="499"/>
      <c r="AI205" s="499"/>
      <c r="AJ205" s="499"/>
      <c r="AK205" s="499"/>
      <c r="AL205" s="499"/>
      <c r="AM205" s="499"/>
      <c r="AN205" s="499"/>
      <c r="AO205" s="499"/>
      <c r="AP205" s="499"/>
      <c r="AQ205" s="499"/>
      <c r="AR205" s="499"/>
      <c r="AS205" s="499"/>
      <c r="AT205" s="499"/>
      <c r="AU205" s="499"/>
      <c r="AV205" s="499"/>
      <c r="AW205" s="499"/>
      <c r="AX205" s="499"/>
      <c r="AY205" s="499"/>
      <c r="AZ205" s="499"/>
      <c r="BA205" s="499"/>
      <c r="BB205" s="499"/>
      <c r="BC205" s="499"/>
      <c r="BD205" s="499"/>
      <c r="BE205" s="499"/>
      <c r="BF205" s="499"/>
      <c r="BG205" s="499"/>
      <c r="BH205" s="499"/>
      <c r="BI205" s="499"/>
      <c r="BJ205" s="499"/>
      <c r="BK205" s="499"/>
      <c r="BL205" s="499"/>
      <c r="BM205" s="499"/>
      <c r="BN205" s="499"/>
      <c r="BO205" s="499"/>
      <c r="BP205" s="499"/>
      <c r="BQ205" s="499"/>
      <c r="BR205" s="499"/>
      <c r="BS205" s="499"/>
      <c r="BT205" s="499"/>
      <c r="BU205" s="499"/>
      <c r="BV205" s="499"/>
      <c r="BW205" s="499"/>
      <c r="BX205" s="499"/>
      <c r="BY205" s="499"/>
      <c r="BZ205" s="499"/>
      <c r="CA205" s="499"/>
      <c r="CB205" s="499"/>
      <c r="CC205" s="499"/>
      <c r="CD205" s="499"/>
      <c r="CE205" s="499"/>
      <c r="CF205" s="499"/>
      <c r="CG205" s="499"/>
      <c r="CH205" s="499"/>
      <c r="CI205" s="499"/>
      <c r="CJ205" s="499"/>
      <c r="CK205" s="499"/>
      <c r="CL205" s="499"/>
      <c r="CM205" s="499"/>
      <c r="CN205" s="499"/>
      <c r="CO205" s="499"/>
      <c r="CP205" s="499"/>
      <c r="CQ205" s="499"/>
      <c r="CR205" s="499"/>
      <c r="CS205" s="499"/>
      <c r="CT205" s="499"/>
      <c r="CU205" s="499"/>
      <c r="CV205" s="499"/>
      <c r="CW205" s="499"/>
      <c r="CX205" s="499"/>
      <c r="CY205" s="499"/>
      <c r="CZ205" s="499"/>
      <c r="DA205" s="499"/>
      <c r="DB205" s="499"/>
      <c r="DC205" s="499"/>
      <c r="DD205" s="499"/>
      <c r="DE205" s="499"/>
      <c r="DF205" s="499"/>
      <c r="DG205" s="499"/>
      <c r="DH205" s="499"/>
      <c r="DI205" s="499"/>
      <c r="DJ205" s="499"/>
      <c r="DK205" s="499"/>
      <c r="DL205" s="499"/>
      <c r="DM205" s="499"/>
      <c r="DN205" s="499"/>
      <c r="DO205" s="499"/>
      <c r="DP205" s="499"/>
      <c r="DQ205" s="499"/>
      <c r="DR205" s="499"/>
      <c r="DS205" s="499"/>
      <c r="DT205" s="499"/>
      <c r="DU205" s="499"/>
      <c r="DV205" s="499"/>
      <c r="DW205" s="499"/>
      <c r="DX205" s="499"/>
      <c r="DY205" s="499"/>
      <c r="DZ205" s="499"/>
      <c r="EA205" s="499"/>
      <c r="EB205" s="499"/>
      <c r="EC205" s="499"/>
      <c r="ED205" s="499"/>
      <c r="EE205" s="499"/>
      <c r="EF205" s="499"/>
      <c r="EG205" s="499"/>
      <c r="EH205" s="499"/>
      <c r="EI205" s="499"/>
      <c r="EJ205" s="499"/>
      <c r="EK205" s="499"/>
      <c r="EL205" s="499"/>
      <c r="EM205" s="499"/>
      <c r="EN205" s="499"/>
      <c r="EO205" s="499"/>
      <c r="EP205" s="499"/>
      <c r="EQ205" s="499"/>
      <c r="ER205" s="499"/>
      <c r="ES205" s="499"/>
      <c r="ET205" s="499"/>
      <c r="EU205" s="499"/>
      <c r="EV205" s="499"/>
      <c r="EW205" s="499"/>
      <c r="EX205" s="499"/>
      <c r="EY205" s="499"/>
      <c r="EZ205" s="499"/>
      <c r="FA205" s="499"/>
      <c r="FB205" s="499"/>
      <c r="FC205" s="499"/>
      <c r="FD205" s="499"/>
      <c r="FE205" s="499"/>
      <c r="FF205" s="499"/>
      <c r="FG205" s="499"/>
      <c r="FH205" s="499"/>
      <c r="FI205" s="499"/>
      <c r="FJ205" s="499"/>
      <c r="FK205" s="499"/>
      <c r="FL205" s="499"/>
      <c r="FM205" s="499"/>
      <c r="FN205" s="499"/>
      <c r="FO205" s="499"/>
      <c r="FP205" s="499"/>
      <c r="FQ205" s="499"/>
      <c r="FR205" s="499"/>
      <c r="FS205" s="499"/>
      <c r="FT205" s="499"/>
      <c r="FU205" s="499"/>
      <c r="FV205" s="499"/>
      <c r="FW205" s="499"/>
      <c r="FX205" s="499"/>
      <c r="FY205" s="499"/>
      <c r="FZ205" s="499"/>
      <c r="GA205" s="499"/>
      <c r="GB205" s="499"/>
      <c r="GC205" s="499"/>
      <c r="GD205" s="499"/>
      <c r="GE205" s="499"/>
      <c r="GF205" s="499"/>
      <c r="GG205" s="499"/>
      <c r="GH205" s="499"/>
      <c r="GI205" s="499"/>
      <c r="GJ205" s="499"/>
      <c r="GK205" s="499"/>
      <c r="GL205" s="499"/>
      <c r="GM205" s="499"/>
      <c r="GN205" s="499"/>
      <c r="GO205" s="499"/>
      <c r="GP205" s="499"/>
      <c r="GQ205" s="499"/>
      <c r="GR205" s="499"/>
      <c r="GS205" s="499"/>
      <c r="GT205" s="499"/>
      <c r="GU205" s="499"/>
      <c r="GV205" s="499"/>
      <c r="GW205" s="499"/>
      <c r="GX205" s="499"/>
      <c r="GY205" s="499"/>
      <c r="GZ205" s="499"/>
      <c r="HA205" s="499"/>
      <c r="HB205" s="499"/>
      <c r="HC205" s="499"/>
      <c r="HD205" s="499"/>
      <c r="HE205" s="499"/>
      <c r="HF205" s="499"/>
      <c r="HG205" s="499"/>
      <c r="HH205" s="499"/>
      <c r="HI205" s="499"/>
      <c r="HJ205" s="499"/>
      <c r="HK205" s="499"/>
      <c r="HL205" s="499"/>
      <c r="HM205" s="499"/>
      <c r="HN205" s="499"/>
      <c r="HO205" s="499"/>
      <c r="HP205" s="499"/>
      <c r="HQ205" s="499"/>
      <c r="HR205" s="499"/>
      <c r="HS205" s="499"/>
      <c r="HT205" s="499"/>
      <c r="HU205" s="499"/>
      <c r="HV205" s="499"/>
      <c r="HW205" s="499"/>
      <c r="HX205" s="358"/>
    </row>
    <row r="206" spans="1:232" ht="33" customHeight="1">
      <c r="A206" s="1607" t="s">
        <v>112</v>
      </c>
      <c r="B206" s="1607"/>
      <c r="C206" s="1607"/>
      <c r="D206" s="1607"/>
      <c r="E206" s="1607"/>
      <c r="F206" s="1607"/>
      <c r="G206" s="1607"/>
      <c r="H206" s="1607"/>
      <c r="I206" s="1607"/>
      <c r="J206" s="1607"/>
      <c r="N206" s="495"/>
      <c r="O206" s="495"/>
      <c r="P206" s="495"/>
      <c r="Q206" s="495"/>
      <c r="R206" s="495"/>
      <c r="S206" s="495"/>
    </row>
    <row r="207" spans="1:232" ht="20.100000000000001" customHeight="1">
      <c r="A207" s="1604" t="s">
        <v>113</v>
      </c>
      <c r="B207" s="1604"/>
      <c r="C207" s="1604"/>
      <c r="D207" s="1604"/>
      <c r="E207" s="1604"/>
      <c r="F207" s="1604"/>
      <c r="G207" s="1604"/>
      <c r="H207" s="1604"/>
      <c r="I207" s="1604"/>
      <c r="J207" s="1604"/>
    </row>
    <row r="208" spans="1:232" s="5" customFormat="1" ht="20.100000000000001" customHeight="1">
      <c r="A208" s="500" t="s">
        <v>114</v>
      </c>
      <c r="C208" s="501"/>
      <c r="D208" s="501"/>
      <c r="E208" s="501"/>
      <c r="F208" s="501"/>
      <c r="G208" s="501"/>
      <c r="H208" s="501"/>
      <c r="I208" s="501"/>
      <c r="J208" s="502"/>
      <c r="K208" s="502"/>
      <c r="L208" s="494"/>
      <c r="M208" s="494"/>
      <c r="N208" s="464"/>
      <c r="O208" s="464"/>
      <c r="P208" s="464"/>
      <c r="Q208" s="464"/>
      <c r="R208" s="464"/>
      <c r="S208" s="464"/>
      <c r="T208" s="495"/>
      <c r="U208" s="499"/>
      <c r="V208" s="499"/>
      <c r="W208" s="499"/>
      <c r="X208" s="499"/>
      <c r="Y208" s="499"/>
      <c r="Z208" s="499"/>
      <c r="AA208" s="499"/>
      <c r="AB208" s="499"/>
      <c r="AC208" s="499"/>
      <c r="AD208" s="499"/>
      <c r="AE208" s="499"/>
      <c r="AF208" s="499"/>
      <c r="AG208" s="499"/>
      <c r="AH208" s="499"/>
      <c r="AI208" s="499"/>
      <c r="AJ208" s="499"/>
      <c r="AK208" s="499"/>
      <c r="AL208" s="499"/>
      <c r="AM208" s="499"/>
      <c r="AN208" s="499"/>
      <c r="AO208" s="499"/>
      <c r="AP208" s="499"/>
      <c r="AQ208" s="499"/>
      <c r="AR208" s="499"/>
      <c r="AS208" s="499"/>
      <c r="AT208" s="499"/>
      <c r="AU208" s="499"/>
      <c r="AV208" s="499"/>
      <c r="AW208" s="499"/>
      <c r="AX208" s="499"/>
      <c r="AY208" s="499"/>
      <c r="AZ208" s="499"/>
      <c r="BA208" s="499"/>
      <c r="BB208" s="499"/>
      <c r="BC208" s="499"/>
      <c r="BD208" s="499"/>
      <c r="BE208" s="499"/>
      <c r="BF208" s="499"/>
      <c r="BG208" s="499"/>
      <c r="BH208" s="499"/>
      <c r="BI208" s="499"/>
      <c r="BJ208" s="499"/>
      <c r="BK208" s="499"/>
      <c r="BL208" s="499"/>
      <c r="BM208" s="499"/>
      <c r="BN208" s="499"/>
      <c r="BO208" s="499"/>
      <c r="BP208" s="499"/>
      <c r="BQ208" s="499"/>
      <c r="BR208" s="499"/>
      <c r="BS208" s="499"/>
      <c r="BT208" s="499"/>
      <c r="BU208" s="499"/>
      <c r="BV208" s="499"/>
      <c r="BW208" s="499"/>
      <c r="BX208" s="499"/>
      <c r="BY208" s="499"/>
      <c r="BZ208" s="499"/>
      <c r="CA208" s="499"/>
      <c r="CB208" s="499"/>
      <c r="CC208" s="499"/>
      <c r="CD208" s="499"/>
      <c r="CE208" s="499"/>
      <c r="CF208" s="499"/>
      <c r="CG208" s="499"/>
      <c r="CH208" s="499"/>
      <c r="CI208" s="499"/>
      <c r="CJ208" s="499"/>
      <c r="CK208" s="499"/>
      <c r="CL208" s="499"/>
      <c r="CM208" s="499"/>
      <c r="CN208" s="499"/>
      <c r="CO208" s="499"/>
      <c r="CP208" s="499"/>
      <c r="CQ208" s="499"/>
      <c r="CR208" s="499"/>
      <c r="CS208" s="499"/>
      <c r="CT208" s="499"/>
      <c r="CU208" s="499"/>
      <c r="CV208" s="499"/>
      <c r="CW208" s="499"/>
      <c r="CX208" s="499"/>
      <c r="CY208" s="499"/>
      <c r="CZ208" s="499"/>
      <c r="DA208" s="499"/>
      <c r="DB208" s="499"/>
      <c r="DC208" s="499"/>
      <c r="DD208" s="499"/>
      <c r="DE208" s="499"/>
      <c r="DF208" s="499"/>
      <c r="DG208" s="499"/>
      <c r="DH208" s="499"/>
      <c r="DI208" s="499"/>
      <c r="DJ208" s="499"/>
      <c r="DK208" s="499"/>
      <c r="DL208" s="499"/>
      <c r="DM208" s="499"/>
      <c r="DN208" s="499"/>
      <c r="DO208" s="499"/>
      <c r="DP208" s="499"/>
      <c r="DQ208" s="499"/>
      <c r="DR208" s="499"/>
      <c r="DS208" s="499"/>
      <c r="DT208" s="499"/>
      <c r="DU208" s="499"/>
      <c r="DV208" s="499"/>
      <c r="DW208" s="499"/>
      <c r="DX208" s="499"/>
      <c r="DY208" s="499"/>
      <c r="DZ208" s="499"/>
      <c r="EA208" s="499"/>
      <c r="EB208" s="499"/>
      <c r="EC208" s="499"/>
      <c r="ED208" s="499"/>
      <c r="EE208" s="499"/>
      <c r="EF208" s="499"/>
      <c r="EG208" s="499"/>
      <c r="EH208" s="499"/>
      <c r="EI208" s="499"/>
      <c r="EJ208" s="499"/>
      <c r="EK208" s="499"/>
      <c r="EL208" s="499"/>
      <c r="EM208" s="499"/>
      <c r="EN208" s="499"/>
      <c r="EO208" s="499"/>
      <c r="EP208" s="499"/>
      <c r="EQ208" s="499"/>
      <c r="ER208" s="499"/>
      <c r="ES208" s="499"/>
      <c r="ET208" s="499"/>
      <c r="EU208" s="499"/>
      <c r="EV208" s="499"/>
      <c r="EW208" s="499"/>
      <c r="EX208" s="499"/>
      <c r="EY208" s="499"/>
      <c r="EZ208" s="499"/>
      <c r="FA208" s="499"/>
      <c r="FB208" s="499"/>
      <c r="FC208" s="499"/>
      <c r="FD208" s="499"/>
      <c r="FE208" s="499"/>
      <c r="FF208" s="499"/>
      <c r="FG208" s="499"/>
      <c r="FH208" s="499"/>
      <c r="FI208" s="499"/>
      <c r="FJ208" s="499"/>
      <c r="FK208" s="499"/>
      <c r="FL208" s="499"/>
      <c r="FM208" s="499"/>
      <c r="FN208" s="499"/>
      <c r="FO208" s="499"/>
      <c r="FP208" s="499"/>
      <c r="FQ208" s="499"/>
      <c r="FR208" s="499"/>
      <c r="FS208" s="499"/>
      <c r="FT208" s="499"/>
      <c r="FU208" s="499"/>
      <c r="FV208" s="499"/>
      <c r="FW208" s="499"/>
      <c r="FX208" s="499"/>
      <c r="FY208" s="499"/>
      <c r="FZ208" s="499"/>
      <c r="GA208" s="499"/>
      <c r="GB208" s="499"/>
      <c r="GC208" s="499"/>
      <c r="GD208" s="499"/>
      <c r="GE208" s="499"/>
      <c r="GF208" s="499"/>
      <c r="GG208" s="499"/>
      <c r="GH208" s="499"/>
      <c r="GI208" s="499"/>
      <c r="GJ208" s="499"/>
      <c r="GK208" s="499"/>
      <c r="GL208" s="499"/>
      <c r="GM208" s="499"/>
      <c r="GN208" s="499"/>
      <c r="GO208" s="499"/>
      <c r="GP208" s="499"/>
      <c r="GQ208" s="499"/>
      <c r="GR208" s="499"/>
      <c r="GS208" s="499"/>
      <c r="GT208" s="499"/>
      <c r="GU208" s="499"/>
      <c r="GV208" s="499"/>
      <c r="GW208" s="499"/>
      <c r="GX208" s="499"/>
      <c r="GY208" s="499"/>
      <c r="GZ208" s="499"/>
      <c r="HA208" s="499"/>
      <c r="HB208" s="499"/>
      <c r="HC208" s="499"/>
      <c r="HD208" s="499"/>
      <c r="HE208" s="499"/>
      <c r="HF208" s="499"/>
      <c r="HG208" s="499"/>
      <c r="HH208" s="499"/>
      <c r="HI208" s="499"/>
      <c r="HJ208" s="499"/>
      <c r="HK208" s="499"/>
      <c r="HL208" s="499"/>
      <c r="HM208" s="499"/>
      <c r="HN208" s="499"/>
      <c r="HO208" s="499"/>
      <c r="HP208" s="499"/>
      <c r="HQ208" s="499"/>
      <c r="HR208" s="499"/>
      <c r="HS208" s="499"/>
      <c r="HT208" s="499"/>
      <c r="HU208" s="499"/>
      <c r="HV208" s="499"/>
      <c r="HW208" s="499"/>
      <c r="HX208" s="358"/>
    </row>
    <row r="209" spans="1:232" s="5" customFormat="1" ht="20.100000000000001" customHeight="1">
      <c r="A209" s="1605" t="s">
        <v>191</v>
      </c>
      <c r="B209" s="1606" t="s">
        <v>115</v>
      </c>
      <c r="C209" s="1606"/>
      <c r="D209" s="1606"/>
      <c r="E209" s="1606"/>
      <c r="F209" s="1606" t="s">
        <v>116</v>
      </c>
      <c r="G209" s="1606"/>
      <c r="H209" s="1606"/>
      <c r="I209" s="1606" t="s">
        <v>117</v>
      </c>
      <c r="J209" s="1606"/>
      <c r="N209" s="495"/>
      <c r="O209" s="495"/>
      <c r="P209" s="495"/>
      <c r="Q209" s="495"/>
      <c r="R209" s="495"/>
      <c r="S209" s="495"/>
      <c r="T209" s="504"/>
      <c r="U209" s="358"/>
      <c r="V209" s="358"/>
      <c r="W209" s="358"/>
      <c r="X209" s="358"/>
      <c r="Y209" s="358"/>
      <c r="Z209" s="358"/>
      <c r="AA209" s="358"/>
      <c r="AB209" s="358"/>
      <c r="AC209" s="358"/>
      <c r="AD209" s="358"/>
      <c r="AE209" s="358"/>
      <c r="AF209" s="358"/>
      <c r="AG209" s="358"/>
      <c r="AH209" s="358"/>
      <c r="AI209" s="358"/>
      <c r="AJ209" s="358"/>
      <c r="AK209" s="358"/>
      <c r="AL209" s="358"/>
      <c r="AM209" s="358"/>
      <c r="AN209" s="358"/>
      <c r="AO209" s="358"/>
      <c r="AP209" s="358"/>
      <c r="AQ209" s="358"/>
      <c r="AR209" s="358"/>
      <c r="AS209" s="358"/>
      <c r="AT209" s="358"/>
      <c r="AU209" s="358"/>
      <c r="AV209" s="358"/>
      <c r="AW209" s="358"/>
      <c r="AX209" s="358"/>
      <c r="AY209" s="358"/>
      <c r="AZ209" s="358"/>
      <c r="BA209" s="358"/>
      <c r="BB209" s="358"/>
      <c r="BC209" s="358"/>
      <c r="BD209" s="358"/>
      <c r="BE209" s="358"/>
      <c r="BF209" s="358"/>
      <c r="BG209" s="358"/>
      <c r="BH209" s="358"/>
      <c r="BI209" s="358"/>
      <c r="BJ209" s="358"/>
      <c r="BK209" s="358"/>
      <c r="BL209" s="358"/>
      <c r="BM209" s="358"/>
      <c r="BN209" s="358"/>
      <c r="BO209" s="358"/>
      <c r="BP209" s="358"/>
      <c r="BQ209" s="358"/>
      <c r="BR209" s="358"/>
      <c r="BS209" s="358"/>
      <c r="BT209" s="358"/>
      <c r="BU209" s="358"/>
      <c r="BV209" s="358"/>
      <c r="BW209" s="358"/>
      <c r="BX209" s="358"/>
      <c r="BY209" s="358"/>
      <c r="BZ209" s="358"/>
      <c r="CA209" s="358"/>
      <c r="CB209" s="358"/>
      <c r="CC209" s="358"/>
      <c r="CD209" s="358"/>
      <c r="CE209" s="358"/>
      <c r="CF209" s="358"/>
      <c r="CG209" s="358"/>
      <c r="CH209" s="358"/>
      <c r="CI209" s="358"/>
      <c r="CJ209" s="358"/>
      <c r="CK209" s="358"/>
      <c r="CL209" s="358"/>
      <c r="CM209" s="358"/>
      <c r="CN209" s="358"/>
      <c r="CO209" s="358"/>
      <c r="CP209" s="358"/>
      <c r="CQ209" s="358"/>
      <c r="CR209" s="358"/>
      <c r="CS209" s="358"/>
      <c r="CT209" s="358"/>
      <c r="CU209" s="358"/>
      <c r="CV209" s="358"/>
      <c r="CW209" s="358"/>
      <c r="CX209" s="358"/>
      <c r="CY209" s="358"/>
      <c r="CZ209" s="358"/>
      <c r="DA209" s="358"/>
      <c r="DB209" s="358"/>
      <c r="DC209" s="358"/>
      <c r="DD209" s="358"/>
      <c r="DE209" s="358"/>
      <c r="DF209" s="358"/>
      <c r="DG209" s="358"/>
      <c r="DH209" s="358"/>
      <c r="DI209" s="358"/>
      <c r="DJ209" s="358"/>
      <c r="DK209" s="358"/>
      <c r="DL209" s="358"/>
      <c r="DM209" s="358"/>
      <c r="DN209" s="358"/>
      <c r="DO209" s="358"/>
      <c r="DP209" s="358"/>
      <c r="DQ209" s="358"/>
      <c r="DR209" s="358"/>
      <c r="DS209" s="358"/>
      <c r="DT209" s="358"/>
      <c r="DU209" s="358"/>
      <c r="DV209" s="358"/>
      <c r="DW209" s="358"/>
      <c r="DX209" s="358"/>
      <c r="DY209" s="358"/>
      <c r="DZ209" s="358"/>
      <c r="EA209" s="358"/>
      <c r="EB209" s="358"/>
      <c r="EC209" s="358"/>
      <c r="ED209" s="358"/>
      <c r="EE209" s="358"/>
      <c r="EF209" s="358"/>
      <c r="EG209" s="358"/>
      <c r="EH209" s="358"/>
      <c r="EI209" s="358"/>
      <c r="EJ209" s="358"/>
      <c r="EK209" s="358"/>
      <c r="EL209" s="358"/>
      <c r="EM209" s="358"/>
      <c r="EN209" s="358"/>
      <c r="EO209" s="358"/>
      <c r="EP209" s="358"/>
      <c r="EQ209" s="358"/>
      <c r="ER209" s="358"/>
      <c r="ES209" s="358"/>
      <c r="ET209" s="358"/>
      <c r="EU209" s="358"/>
      <c r="EV209" s="358"/>
      <c r="EW209" s="358"/>
      <c r="EX209" s="358"/>
      <c r="EY209" s="358"/>
      <c r="EZ209" s="358"/>
      <c r="FA209" s="358"/>
      <c r="FB209" s="358"/>
      <c r="FC209" s="358"/>
      <c r="FD209" s="358"/>
      <c r="FE209" s="358"/>
      <c r="FF209" s="358"/>
      <c r="FG209" s="358"/>
      <c r="FH209" s="358"/>
      <c r="FI209" s="358"/>
      <c r="FJ209" s="358"/>
      <c r="FK209" s="358"/>
      <c r="FL209" s="358"/>
      <c r="FM209" s="358"/>
      <c r="FN209" s="358"/>
      <c r="FO209" s="358"/>
      <c r="FP209" s="358"/>
      <c r="FQ209" s="358"/>
      <c r="FR209" s="358"/>
      <c r="FS209" s="358"/>
      <c r="FT209" s="358"/>
      <c r="FU209" s="358"/>
      <c r="FV209" s="358"/>
      <c r="FW209" s="358"/>
      <c r="FX209" s="358"/>
      <c r="FY209" s="358"/>
      <c r="FZ209" s="358"/>
      <c r="GA209" s="358"/>
      <c r="GB209" s="358"/>
      <c r="GC209" s="358"/>
      <c r="GD209" s="358"/>
      <c r="GE209" s="358"/>
      <c r="GF209" s="358"/>
      <c r="GG209" s="358"/>
      <c r="GH209" s="358"/>
      <c r="GI209" s="358"/>
      <c r="GJ209" s="358"/>
      <c r="GK209" s="358"/>
      <c r="GL209" s="358"/>
      <c r="GM209" s="358"/>
      <c r="GN209" s="358"/>
      <c r="GO209" s="358"/>
      <c r="GP209" s="358"/>
      <c r="GQ209" s="358"/>
      <c r="GR209" s="358"/>
      <c r="GS209" s="358"/>
      <c r="GT209" s="358"/>
      <c r="GU209" s="358"/>
      <c r="GV209" s="358"/>
      <c r="GW209" s="358"/>
      <c r="GX209" s="358"/>
      <c r="GY209" s="358"/>
      <c r="GZ209" s="358"/>
      <c r="HA209" s="358"/>
      <c r="HB209" s="358"/>
      <c r="HC209" s="358"/>
      <c r="HD209" s="358"/>
      <c r="HE209" s="358"/>
      <c r="HF209" s="358"/>
      <c r="HG209" s="358"/>
      <c r="HH209" s="358"/>
      <c r="HI209" s="358"/>
      <c r="HJ209" s="358"/>
      <c r="HK209" s="358"/>
      <c r="HL209" s="358"/>
      <c r="HM209" s="358"/>
      <c r="HN209" s="358"/>
      <c r="HO209" s="358"/>
      <c r="HP209" s="358"/>
      <c r="HQ209" s="358"/>
      <c r="HR209" s="358"/>
      <c r="HS209" s="358"/>
      <c r="HT209" s="358"/>
      <c r="HU209" s="358"/>
      <c r="HV209" s="358"/>
      <c r="HW209" s="358"/>
      <c r="HX209" s="358"/>
    </row>
    <row r="210" spans="1:232" s="5" customFormat="1" ht="20.100000000000001" customHeight="1">
      <c r="A210" s="1605"/>
      <c r="B210" s="1606"/>
      <c r="C210" s="1606"/>
      <c r="D210" s="1606"/>
      <c r="E210" s="1606"/>
      <c r="F210" s="1606"/>
      <c r="G210" s="1606"/>
      <c r="H210" s="1606"/>
      <c r="I210" s="503" t="s">
        <v>118</v>
      </c>
      <c r="J210" s="503" t="s">
        <v>119</v>
      </c>
      <c r="O210" s="504"/>
      <c r="P210" s="504"/>
      <c r="Q210" s="504"/>
      <c r="R210" s="504"/>
      <c r="S210" s="504"/>
      <c r="T210" s="406"/>
      <c r="U210" s="358"/>
      <c r="V210" s="358"/>
      <c r="W210" s="358"/>
      <c r="X210" s="358"/>
      <c r="Y210" s="358"/>
      <c r="Z210" s="358"/>
      <c r="AA210" s="358"/>
      <c r="AB210" s="358"/>
      <c r="AC210" s="358"/>
      <c r="AD210" s="358"/>
      <c r="AE210" s="358"/>
      <c r="AF210" s="358"/>
      <c r="AG210" s="358"/>
      <c r="AH210" s="358"/>
      <c r="AI210" s="358"/>
      <c r="AJ210" s="358"/>
      <c r="AK210" s="358"/>
      <c r="AL210" s="358"/>
      <c r="AM210" s="358"/>
      <c r="AN210" s="358"/>
      <c r="AO210" s="358"/>
      <c r="AP210" s="358"/>
      <c r="AQ210" s="358"/>
      <c r="AR210" s="358"/>
      <c r="AS210" s="358"/>
      <c r="AT210" s="358"/>
      <c r="AU210" s="358"/>
      <c r="AV210" s="358"/>
      <c r="AW210" s="358"/>
      <c r="AX210" s="358"/>
      <c r="AY210" s="358"/>
      <c r="AZ210" s="358"/>
      <c r="BA210" s="358"/>
      <c r="BB210" s="358"/>
      <c r="BC210" s="358"/>
      <c r="BD210" s="358"/>
      <c r="BE210" s="358"/>
      <c r="BF210" s="358"/>
      <c r="BG210" s="358"/>
      <c r="BH210" s="358"/>
      <c r="BI210" s="358"/>
      <c r="BJ210" s="358"/>
      <c r="BK210" s="358"/>
      <c r="BL210" s="358"/>
      <c r="BM210" s="358"/>
      <c r="BN210" s="358"/>
      <c r="BO210" s="358"/>
      <c r="BP210" s="358"/>
      <c r="BQ210" s="358"/>
      <c r="BR210" s="358"/>
      <c r="BS210" s="358"/>
      <c r="BT210" s="358"/>
      <c r="BU210" s="358"/>
      <c r="BV210" s="358"/>
      <c r="BW210" s="358"/>
      <c r="BX210" s="358"/>
      <c r="BY210" s="358"/>
      <c r="BZ210" s="358"/>
      <c r="CA210" s="358"/>
      <c r="CB210" s="358"/>
      <c r="CC210" s="358"/>
      <c r="CD210" s="358"/>
      <c r="CE210" s="358"/>
      <c r="CF210" s="358"/>
      <c r="CG210" s="358"/>
      <c r="CH210" s="358"/>
      <c r="CI210" s="358"/>
      <c r="CJ210" s="358"/>
      <c r="CK210" s="358"/>
      <c r="CL210" s="358"/>
      <c r="CM210" s="358"/>
      <c r="CN210" s="358"/>
      <c r="CO210" s="358"/>
      <c r="CP210" s="358"/>
      <c r="CQ210" s="358"/>
      <c r="CR210" s="358"/>
      <c r="CS210" s="358"/>
      <c r="CT210" s="358"/>
      <c r="CU210" s="358"/>
      <c r="CV210" s="358"/>
      <c r="CW210" s="358"/>
      <c r="CX210" s="358"/>
      <c r="CY210" s="358"/>
      <c r="CZ210" s="358"/>
      <c r="DA210" s="358"/>
      <c r="DB210" s="358"/>
      <c r="DC210" s="358"/>
      <c r="DD210" s="358"/>
      <c r="DE210" s="358"/>
      <c r="DF210" s="358"/>
      <c r="DG210" s="358"/>
      <c r="DH210" s="358"/>
      <c r="DI210" s="358"/>
      <c r="DJ210" s="358"/>
      <c r="DK210" s="358"/>
      <c r="DL210" s="358"/>
      <c r="DM210" s="358"/>
      <c r="DN210" s="358"/>
      <c r="DO210" s="358"/>
      <c r="DP210" s="358"/>
      <c r="DQ210" s="358"/>
      <c r="DR210" s="358"/>
      <c r="DS210" s="358"/>
      <c r="DT210" s="358"/>
      <c r="DU210" s="358"/>
      <c r="DV210" s="358"/>
      <c r="DW210" s="358"/>
      <c r="DX210" s="358"/>
      <c r="DY210" s="358"/>
      <c r="DZ210" s="358"/>
      <c r="EA210" s="358"/>
      <c r="EB210" s="358"/>
      <c r="EC210" s="358"/>
      <c r="ED210" s="358"/>
      <c r="EE210" s="358"/>
      <c r="EF210" s="358"/>
      <c r="EG210" s="358"/>
      <c r="EH210" s="358"/>
      <c r="EI210" s="358"/>
      <c r="EJ210" s="358"/>
      <c r="EK210" s="358"/>
      <c r="EL210" s="358"/>
      <c r="EM210" s="358"/>
      <c r="EN210" s="358"/>
      <c r="EO210" s="358"/>
      <c r="EP210" s="358"/>
      <c r="EQ210" s="358"/>
      <c r="ER210" s="358"/>
      <c r="ES210" s="358"/>
      <c r="ET210" s="358"/>
      <c r="EU210" s="358"/>
      <c r="EV210" s="358"/>
      <c r="EW210" s="358"/>
      <c r="EX210" s="358"/>
      <c r="EY210" s="358"/>
      <c r="EZ210" s="358"/>
      <c r="FA210" s="358"/>
      <c r="FB210" s="358"/>
      <c r="FC210" s="358"/>
      <c r="FD210" s="358"/>
      <c r="FE210" s="358"/>
      <c r="FF210" s="358"/>
      <c r="FG210" s="358"/>
      <c r="FH210" s="358"/>
      <c r="FI210" s="358"/>
      <c r="FJ210" s="358"/>
      <c r="FK210" s="358"/>
      <c r="FL210" s="358"/>
      <c r="FM210" s="358"/>
      <c r="FN210" s="358"/>
      <c r="FO210" s="358"/>
      <c r="FP210" s="358"/>
      <c r="FQ210" s="358"/>
      <c r="FR210" s="358"/>
      <c r="FS210" s="358"/>
      <c r="FT210" s="358"/>
      <c r="FU210" s="358"/>
      <c r="FV210" s="358"/>
      <c r="FW210" s="358"/>
      <c r="FX210" s="358"/>
      <c r="FY210" s="358"/>
      <c r="FZ210" s="358"/>
      <c r="GA210" s="358"/>
      <c r="GB210" s="358"/>
      <c r="GC210" s="358"/>
      <c r="GD210" s="358"/>
      <c r="GE210" s="358"/>
      <c r="GF210" s="358"/>
      <c r="GG210" s="358"/>
      <c r="GH210" s="358"/>
      <c r="GI210" s="358"/>
      <c r="GJ210" s="358"/>
      <c r="GK210" s="358"/>
      <c r="GL210" s="358"/>
      <c r="GM210" s="358"/>
      <c r="GN210" s="358"/>
      <c r="GO210" s="358"/>
      <c r="GP210" s="358"/>
      <c r="GQ210" s="358"/>
      <c r="GR210" s="358"/>
      <c r="GS210" s="358"/>
      <c r="GT210" s="358"/>
      <c r="GU210" s="358"/>
      <c r="GV210" s="358"/>
      <c r="GW210" s="358"/>
      <c r="GX210" s="358"/>
      <c r="GY210" s="358"/>
      <c r="GZ210" s="358"/>
      <c r="HA210" s="358"/>
      <c r="HB210" s="358"/>
      <c r="HC210" s="358"/>
      <c r="HD210" s="358"/>
      <c r="HE210" s="358"/>
      <c r="HF210" s="358"/>
      <c r="HG210" s="358"/>
      <c r="HH210" s="358"/>
      <c r="HI210" s="358"/>
      <c r="HJ210" s="358"/>
      <c r="HK210" s="358"/>
      <c r="HL210" s="358"/>
      <c r="HM210" s="358"/>
      <c r="HN210" s="358"/>
      <c r="HO210" s="358"/>
      <c r="HP210" s="358"/>
      <c r="HQ210" s="358"/>
      <c r="HR210" s="358"/>
      <c r="HS210" s="358"/>
      <c r="HT210" s="358"/>
      <c r="HU210" s="358"/>
      <c r="HV210" s="358"/>
      <c r="HW210" s="358"/>
      <c r="HX210" s="358"/>
    </row>
    <row r="211" spans="1:232" s="5" customFormat="1" ht="20.100000000000001" customHeight="1">
      <c r="A211" s="503">
        <v>1</v>
      </c>
      <c r="B211" s="1597" t="s">
        <v>429</v>
      </c>
      <c r="C211" s="1597"/>
      <c r="D211" s="1597"/>
      <c r="E211" s="1597"/>
      <c r="F211" s="1598" t="s">
        <v>432</v>
      </c>
      <c r="G211" s="1598"/>
      <c r="H211" s="1598"/>
      <c r="I211" s="562" t="s">
        <v>471</v>
      </c>
      <c r="J211" s="506"/>
      <c r="O211" s="406"/>
      <c r="P211" s="406"/>
      <c r="Q211" s="406"/>
      <c r="R211" s="406"/>
      <c r="S211" s="406"/>
      <c r="T211" s="406"/>
      <c r="U211" s="358"/>
      <c r="V211" s="358"/>
      <c r="W211" s="358"/>
      <c r="X211" s="358"/>
      <c r="Y211" s="358"/>
      <c r="Z211" s="358"/>
      <c r="AA211" s="358"/>
      <c r="AB211" s="358"/>
      <c r="AC211" s="358"/>
      <c r="AD211" s="358"/>
      <c r="AE211" s="358"/>
      <c r="AF211" s="358"/>
      <c r="AG211" s="358"/>
      <c r="AH211" s="358"/>
      <c r="AI211" s="358"/>
      <c r="AJ211" s="358"/>
      <c r="AK211" s="358"/>
      <c r="AL211" s="358"/>
      <c r="AM211" s="358"/>
      <c r="AN211" s="358"/>
      <c r="AO211" s="358"/>
      <c r="AP211" s="358"/>
      <c r="AQ211" s="358"/>
      <c r="AR211" s="358"/>
      <c r="AS211" s="358"/>
      <c r="AT211" s="358"/>
      <c r="AU211" s="358"/>
      <c r="AV211" s="358"/>
      <c r="AW211" s="358"/>
      <c r="AX211" s="358"/>
      <c r="AY211" s="358"/>
      <c r="AZ211" s="358"/>
      <c r="BA211" s="358"/>
      <c r="BB211" s="358"/>
      <c r="BC211" s="358"/>
      <c r="BD211" s="358"/>
      <c r="BE211" s="358"/>
      <c r="BF211" s="358"/>
      <c r="BG211" s="358"/>
      <c r="BH211" s="358"/>
      <c r="BI211" s="358"/>
      <c r="BJ211" s="358"/>
      <c r="BK211" s="358"/>
      <c r="BL211" s="358"/>
      <c r="BM211" s="358"/>
      <c r="BN211" s="358"/>
      <c r="BO211" s="358"/>
      <c r="BP211" s="358"/>
      <c r="BQ211" s="358"/>
      <c r="BR211" s="358"/>
      <c r="BS211" s="358"/>
      <c r="BT211" s="358"/>
      <c r="BU211" s="358"/>
      <c r="BV211" s="358"/>
      <c r="BW211" s="358"/>
      <c r="BX211" s="358"/>
      <c r="BY211" s="358"/>
      <c r="BZ211" s="358"/>
      <c r="CA211" s="358"/>
      <c r="CB211" s="358"/>
      <c r="CC211" s="358"/>
      <c r="CD211" s="358"/>
      <c r="CE211" s="358"/>
      <c r="CF211" s="358"/>
      <c r="CG211" s="358"/>
      <c r="CH211" s="358"/>
      <c r="CI211" s="358"/>
      <c r="CJ211" s="358"/>
      <c r="CK211" s="358"/>
      <c r="CL211" s="358"/>
      <c r="CM211" s="358"/>
      <c r="CN211" s="358"/>
      <c r="CO211" s="358"/>
      <c r="CP211" s="358"/>
      <c r="CQ211" s="358"/>
      <c r="CR211" s="358"/>
      <c r="CS211" s="358"/>
      <c r="CT211" s="358"/>
      <c r="CU211" s="358"/>
      <c r="CV211" s="358"/>
      <c r="CW211" s="358"/>
      <c r="CX211" s="358"/>
      <c r="CY211" s="358"/>
      <c r="CZ211" s="358"/>
      <c r="DA211" s="358"/>
      <c r="DB211" s="358"/>
      <c r="DC211" s="358"/>
      <c r="DD211" s="358"/>
      <c r="DE211" s="358"/>
      <c r="DF211" s="358"/>
      <c r="DG211" s="358"/>
      <c r="DH211" s="358"/>
      <c r="DI211" s="358"/>
      <c r="DJ211" s="358"/>
      <c r="DK211" s="358"/>
      <c r="DL211" s="358"/>
      <c r="DM211" s="358"/>
      <c r="DN211" s="358"/>
      <c r="DO211" s="358"/>
      <c r="DP211" s="358"/>
      <c r="DQ211" s="358"/>
      <c r="DR211" s="358"/>
      <c r="DS211" s="358"/>
      <c r="DT211" s="358"/>
      <c r="DU211" s="358"/>
      <c r="DV211" s="358"/>
      <c r="DW211" s="358"/>
      <c r="DX211" s="358"/>
      <c r="DY211" s="358"/>
      <c r="DZ211" s="358"/>
      <c r="EA211" s="358"/>
      <c r="EB211" s="358"/>
      <c r="EC211" s="358"/>
      <c r="ED211" s="358"/>
      <c r="EE211" s="358"/>
      <c r="EF211" s="358"/>
      <c r="EG211" s="358"/>
      <c r="EH211" s="358"/>
      <c r="EI211" s="358"/>
      <c r="EJ211" s="358"/>
      <c r="EK211" s="358"/>
      <c r="EL211" s="358"/>
      <c r="EM211" s="358"/>
      <c r="EN211" s="358"/>
      <c r="EO211" s="358"/>
      <c r="EP211" s="358"/>
      <c r="EQ211" s="358"/>
      <c r="ER211" s="358"/>
      <c r="ES211" s="358"/>
      <c r="ET211" s="358"/>
      <c r="EU211" s="358"/>
      <c r="EV211" s="358"/>
      <c r="EW211" s="358"/>
      <c r="EX211" s="358"/>
      <c r="EY211" s="358"/>
      <c r="EZ211" s="358"/>
      <c r="FA211" s="358"/>
      <c r="FB211" s="358"/>
      <c r="FC211" s="358"/>
      <c r="FD211" s="358"/>
      <c r="FE211" s="358"/>
      <c r="FF211" s="358"/>
      <c r="FG211" s="358"/>
      <c r="FH211" s="358"/>
      <c r="FI211" s="358"/>
      <c r="FJ211" s="358"/>
      <c r="FK211" s="358"/>
      <c r="FL211" s="358"/>
      <c r="FM211" s="358"/>
      <c r="FN211" s="358"/>
      <c r="FO211" s="358"/>
      <c r="FP211" s="358"/>
      <c r="FQ211" s="358"/>
      <c r="FR211" s="358"/>
      <c r="FS211" s="358"/>
      <c r="FT211" s="358"/>
      <c r="FU211" s="358"/>
      <c r="FV211" s="358"/>
      <c r="FW211" s="358"/>
      <c r="FX211" s="358"/>
      <c r="FY211" s="358"/>
      <c r="FZ211" s="358"/>
      <c r="GA211" s="358"/>
      <c r="GB211" s="358"/>
      <c r="GC211" s="358"/>
      <c r="GD211" s="358"/>
      <c r="GE211" s="358"/>
      <c r="GF211" s="358"/>
      <c r="GG211" s="358"/>
      <c r="GH211" s="358"/>
      <c r="GI211" s="358"/>
      <c r="GJ211" s="358"/>
      <c r="GK211" s="358"/>
      <c r="GL211" s="358"/>
      <c r="GM211" s="358"/>
      <c r="GN211" s="358"/>
      <c r="GO211" s="358"/>
      <c r="GP211" s="358"/>
      <c r="GQ211" s="358"/>
      <c r="GR211" s="358"/>
      <c r="GS211" s="358"/>
      <c r="GT211" s="358"/>
      <c r="GU211" s="358"/>
      <c r="GV211" s="358"/>
      <c r="GW211" s="358"/>
      <c r="GX211" s="358"/>
      <c r="GY211" s="358"/>
      <c r="GZ211" s="358"/>
      <c r="HA211" s="358"/>
      <c r="HB211" s="358"/>
      <c r="HC211" s="358"/>
      <c r="HD211" s="358"/>
      <c r="HE211" s="358"/>
      <c r="HF211" s="358"/>
      <c r="HG211" s="358"/>
      <c r="HH211" s="358"/>
      <c r="HI211" s="358"/>
      <c r="HJ211" s="358"/>
      <c r="HK211" s="358"/>
      <c r="HL211" s="358"/>
      <c r="HM211" s="358"/>
      <c r="HN211" s="358"/>
      <c r="HO211" s="358"/>
      <c r="HP211" s="358"/>
      <c r="HQ211" s="358"/>
      <c r="HR211" s="358"/>
      <c r="HS211" s="358"/>
      <c r="HT211" s="358"/>
      <c r="HU211" s="358"/>
      <c r="HV211" s="358"/>
      <c r="HW211" s="358"/>
      <c r="HX211" s="358"/>
    </row>
    <row r="212" spans="1:232" s="5" customFormat="1" ht="20.100000000000001" customHeight="1">
      <c r="A212" s="503">
        <v>2</v>
      </c>
      <c r="B212" s="1597" t="s">
        <v>426</v>
      </c>
      <c r="C212" s="1597"/>
      <c r="D212" s="1597"/>
      <c r="E212" s="1597"/>
      <c r="F212" s="1598" t="s">
        <v>428</v>
      </c>
      <c r="G212" s="1598"/>
      <c r="H212" s="1598"/>
      <c r="I212" s="562" t="s">
        <v>471</v>
      </c>
      <c r="J212" s="506"/>
      <c r="O212" s="406"/>
      <c r="P212" s="406"/>
      <c r="Q212" s="406"/>
      <c r="R212" s="406"/>
      <c r="S212" s="406"/>
      <c r="T212" s="406"/>
      <c r="U212" s="358"/>
      <c r="V212" s="358"/>
      <c r="W212" s="358"/>
      <c r="X212" s="358"/>
      <c r="Y212" s="358"/>
      <c r="Z212" s="358"/>
      <c r="AA212" s="358"/>
      <c r="AB212" s="358"/>
      <c r="AC212" s="358"/>
      <c r="AD212" s="358"/>
      <c r="AE212" s="358"/>
      <c r="AF212" s="358"/>
      <c r="AG212" s="358"/>
      <c r="AH212" s="358"/>
      <c r="AI212" s="358"/>
      <c r="AJ212" s="358"/>
      <c r="AK212" s="358"/>
      <c r="AL212" s="358"/>
      <c r="AM212" s="358"/>
      <c r="AN212" s="358"/>
      <c r="AO212" s="358"/>
      <c r="AP212" s="358"/>
      <c r="AQ212" s="358"/>
      <c r="AR212" s="358"/>
      <c r="AS212" s="358"/>
      <c r="AT212" s="358"/>
      <c r="AU212" s="358"/>
      <c r="AV212" s="358"/>
      <c r="AW212" s="358"/>
      <c r="AX212" s="358"/>
      <c r="AY212" s="358"/>
      <c r="AZ212" s="358"/>
      <c r="BA212" s="358"/>
      <c r="BB212" s="358"/>
      <c r="BC212" s="358"/>
      <c r="BD212" s="358"/>
      <c r="BE212" s="358"/>
      <c r="BF212" s="358"/>
      <c r="BG212" s="358"/>
      <c r="BH212" s="358"/>
      <c r="BI212" s="358"/>
      <c r="BJ212" s="358"/>
      <c r="BK212" s="358"/>
      <c r="BL212" s="358"/>
      <c r="BM212" s="358"/>
      <c r="BN212" s="358"/>
      <c r="BO212" s="358"/>
      <c r="BP212" s="358"/>
      <c r="BQ212" s="358"/>
      <c r="BR212" s="358"/>
      <c r="BS212" s="358"/>
      <c r="BT212" s="358"/>
      <c r="BU212" s="358"/>
      <c r="BV212" s="358"/>
      <c r="BW212" s="358"/>
      <c r="BX212" s="358"/>
      <c r="BY212" s="358"/>
      <c r="BZ212" s="358"/>
      <c r="CA212" s="358"/>
      <c r="CB212" s="358"/>
      <c r="CC212" s="358"/>
      <c r="CD212" s="358"/>
      <c r="CE212" s="358"/>
      <c r="CF212" s="358"/>
      <c r="CG212" s="358"/>
      <c r="CH212" s="358"/>
      <c r="CI212" s="358"/>
      <c r="CJ212" s="358"/>
      <c r="CK212" s="358"/>
      <c r="CL212" s="358"/>
      <c r="CM212" s="358"/>
      <c r="CN212" s="358"/>
      <c r="CO212" s="358"/>
      <c r="CP212" s="358"/>
      <c r="CQ212" s="358"/>
      <c r="CR212" s="358"/>
      <c r="CS212" s="358"/>
      <c r="CT212" s="358"/>
      <c r="CU212" s="358"/>
      <c r="CV212" s="358"/>
      <c r="CW212" s="358"/>
      <c r="CX212" s="358"/>
      <c r="CY212" s="358"/>
      <c r="CZ212" s="358"/>
      <c r="DA212" s="358"/>
      <c r="DB212" s="358"/>
      <c r="DC212" s="358"/>
      <c r="DD212" s="358"/>
      <c r="DE212" s="358"/>
      <c r="DF212" s="358"/>
      <c r="DG212" s="358"/>
      <c r="DH212" s="358"/>
      <c r="DI212" s="358"/>
      <c r="DJ212" s="358"/>
      <c r="DK212" s="358"/>
      <c r="DL212" s="358"/>
      <c r="DM212" s="358"/>
      <c r="DN212" s="358"/>
      <c r="DO212" s="358"/>
      <c r="DP212" s="358"/>
      <c r="DQ212" s="358"/>
      <c r="DR212" s="358"/>
      <c r="DS212" s="358"/>
      <c r="DT212" s="358"/>
      <c r="DU212" s="358"/>
      <c r="DV212" s="358"/>
      <c r="DW212" s="358"/>
      <c r="DX212" s="358"/>
      <c r="DY212" s="358"/>
      <c r="DZ212" s="358"/>
      <c r="EA212" s="358"/>
      <c r="EB212" s="358"/>
      <c r="EC212" s="358"/>
      <c r="ED212" s="358"/>
      <c r="EE212" s="358"/>
      <c r="EF212" s="358"/>
      <c r="EG212" s="358"/>
      <c r="EH212" s="358"/>
      <c r="EI212" s="358"/>
      <c r="EJ212" s="358"/>
      <c r="EK212" s="358"/>
      <c r="EL212" s="358"/>
      <c r="EM212" s="358"/>
      <c r="EN212" s="358"/>
      <c r="EO212" s="358"/>
      <c r="EP212" s="358"/>
      <c r="EQ212" s="358"/>
      <c r="ER212" s="358"/>
      <c r="ES212" s="358"/>
      <c r="ET212" s="358"/>
      <c r="EU212" s="358"/>
      <c r="EV212" s="358"/>
      <c r="EW212" s="358"/>
      <c r="EX212" s="358"/>
      <c r="EY212" s="358"/>
      <c r="EZ212" s="358"/>
      <c r="FA212" s="358"/>
      <c r="FB212" s="358"/>
      <c r="FC212" s="358"/>
      <c r="FD212" s="358"/>
      <c r="FE212" s="358"/>
      <c r="FF212" s="358"/>
      <c r="FG212" s="358"/>
      <c r="FH212" s="358"/>
      <c r="FI212" s="358"/>
      <c r="FJ212" s="358"/>
      <c r="FK212" s="358"/>
      <c r="FL212" s="358"/>
      <c r="FM212" s="358"/>
      <c r="FN212" s="358"/>
      <c r="FO212" s="358"/>
      <c r="FP212" s="358"/>
      <c r="FQ212" s="358"/>
      <c r="FR212" s="358"/>
      <c r="FS212" s="358"/>
      <c r="FT212" s="358"/>
      <c r="FU212" s="358"/>
      <c r="FV212" s="358"/>
      <c r="FW212" s="358"/>
      <c r="FX212" s="358"/>
      <c r="FY212" s="358"/>
      <c r="FZ212" s="358"/>
      <c r="GA212" s="358"/>
      <c r="GB212" s="358"/>
      <c r="GC212" s="358"/>
      <c r="GD212" s="358"/>
      <c r="GE212" s="358"/>
      <c r="GF212" s="358"/>
      <c r="GG212" s="358"/>
      <c r="GH212" s="358"/>
      <c r="GI212" s="358"/>
      <c r="GJ212" s="358"/>
      <c r="GK212" s="358"/>
      <c r="GL212" s="358"/>
      <c r="GM212" s="358"/>
      <c r="GN212" s="358"/>
      <c r="GO212" s="358"/>
      <c r="GP212" s="358"/>
      <c r="GQ212" s="358"/>
      <c r="GR212" s="358"/>
      <c r="GS212" s="358"/>
      <c r="GT212" s="358"/>
      <c r="GU212" s="358"/>
      <c r="GV212" s="358"/>
      <c r="GW212" s="358"/>
      <c r="GX212" s="358"/>
      <c r="GY212" s="358"/>
      <c r="GZ212" s="358"/>
      <c r="HA212" s="358"/>
      <c r="HB212" s="358"/>
      <c r="HC212" s="358"/>
      <c r="HD212" s="358"/>
      <c r="HE212" s="358"/>
      <c r="HF212" s="358"/>
      <c r="HG212" s="358"/>
      <c r="HH212" s="358"/>
      <c r="HI212" s="358"/>
      <c r="HJ212" s="358"/>
      <c r="HK212" s="358"/>
      <c r="HL212" s="358"/>
      <c r="HM212" s="358"/>
      <c r="HN212" s="358"/>
      <c r="HO212" s="358"/>
      <c r="HP212" s="358"/>
      <c r="HQ212" s="358"/>
      <c r="HR212" s="358"/>
      <c r="HS212" s="358"/>
      <c r="HT212" s="358"/>
      <c r="HU212" s="358"/>
      <c r="HV212" s="358"/>
      <c r="HW212" s="358"/>
      <c r="HX212" s="358"/>
    </row>
    <row r="213" spans="1:232" s="5" customFormat="1" ht="20.100000000000001" customHeight="1">
      <c r="A213" s="503">
        <v>3</v>
      </c>
      <c r="B213" s="1661" t="s">
        <v>430</v>
      </c>
      <c r="C213" s="1662"/>
      <c r="D213" s="1662"/>
      <c r="E213" s="1663"/>
      <c r="F213" s="1598" t="s">
        <v>431</v>
      </c>
      <c r="G213" s="1598"/>
      <c r="H213" s="1598"/>
      <c r="I213" s="562" t="s">
        <v>471</v>
      </c>
      <c r="J213" s="506"/>
      <c r="O213" s="406"/>
      <c r="P213" s="406"/>
      <c r="Q213" s="406"/>
      <c r="R213" s="406"/>
      <c r="S213" s="406"/>
      <c r="T213" s="405"/>
      <c r="U213" s="358"/>
      <c r="V213" s="358"/>
      <c r="W213" s="358"/>
      <c r="X213" s="358"/>
      <c r="Y213" s="358"/>
      <c r="Z213" s="358"/>
      <c r="AA213" s="358"/>
      <c r="AB213" s="358"/>
      <c r="AC213" s="358"/>
      <c r="AD213" s="358"/>
      <c r="AE213" s="358"/>
      <c r="AF213" s="358"/>
      <c r="AG213" s="358"/>
      <c r="AH213" s="358"/>
      <c r="AI213" s="358"/>
      <c r="AJ213" s="358"/>
      <c r="AK213" s="358"/>
      <c r="AL213" s="358"/>
      <c r="AM213" s="358"/>
      <c r="AN213" s="358"/>
      <c r="AO213" s="358"/>
      <c r="AP213" s="358"/>
      <c r="AQ213" s="358"/>
      <c r="AR213" s="358"/>
      <c r="AS213" s="358"/>
      <c r="AT213" s="358"/>
      <c r="AU213" s="358"/>
      <c r="AV213" s="358"/>
      <c r="AW213" s="358"/>
      <c r="AX213" s="358"/>
      <c r="AY213" s="358"/>
      <c r="AZ213" s="358"/>
      <c r="BA213" s="358"/>
      <c r="BB213" s="358"/>
      <c r="BC213" s="358"/>
      <c r="BD213" s="358"/>
      <c r="BE213" s="358"/>
      <c r="BF213" s="358"/>
      <c r="BG213" s="358"/>
      <c r="BH213" s="358"/>
      <c r="BI213" s="358"/>
      <c r="BJ213" s="358"/>
      <c r="BK213" s="358"/>
      <c r="BL213" s="358"/>
      <c r="BM213" s="358"/>
      <c r="BN213" s="358"/>
      <c r="BO213" s="358"/>
      <c r="BP213" s="358"/>
      <c r="BQ213" s="358"/>
      <c r="BR213" s="358"/>
      <c r="BS213" s="358"/>
      <c r="BT213" s="358"/>
      <c r="BU213" s="358"/>
      <c r="BV213" s="358"/>
      <c r="BW213" s="358"/>
      <c r="BX213" s="358"/>
      <c r="BY213" s="358"/>
      <c r="BZ213" s="358"/>
      <c r="CA213" s="358"/>
      <c r="CB213" s="358"/>
      <c r="CC213" s="358"/>
      <c r="CD213" s="358"/>
      <c r="CE213" s="358"/>
      <c r="CF213" s="358"/>
      <c r="CG213" s="358"/>
      <c r="CH213" s="358"/>
      <c r="CI213" s="358"/>
      <c r="CJ213" s="358"/>
      <c r="CK213" s="358"/>
      <c r="CL213" s="358"/>
      <c r="CM213" s="358"/>
      <c r="CN213" s="358"/>
      <c r="CO213" s="358"/>
      <c r="CP213" s="358"/>
      <c r="CQ213" s="358"/>
      <c r="CR213" s="358"/>
      <c r="CS213" s="358"/>
      <c r="CT213" s="358"/>
      <c r="CU213" s="358"/>
      <c r="CV213" s="358"/>
      <c r="CW213" s="358"/>
      <c r="CX213" s="358"/>
      <c r="CY213" s="358"/>
      <c r="CZ213" s="358"/>
      <c r="DA213" s="358"/>
      <c r="DB213" s="358"/>
      <c r="DC213" s="358"/>
      <c r="DD213" s="358"/>
      <c r="DE213" s="358"/>
      <c r="DF213" s="358"/>
      <c r="DG213" s="358"/>
      <c r="DH213" s="358"/>
      <c r="DI213" s="358"/>
      <c r="DJ213" s="358"/>
      <c r="DK213" s="358"/>
      <c r="DL213" s="358"/>
      <c r="DM213" s="358"/>
      <c r="DN213" s="358"/>
      <c r="DO213" s="358"/>
      <c r="DP213" s="358"/>
      <c r="DQ213" s="358"/>
      <c r="DR213" s="358"/>
      <c r="DS213" s="358"/>
      <c r="DT213" s="358"/>
      <c r="DU213" s="358"/>
      <c r="DV213" s="358"/>
      <c r="DW213" s="358"/>
      <c r="DX213" s="358"/>
      <c r="DY213" s="358"/>
      <c r="DZ213" s="358"/>
      <c r="EA213" s="358"/>
      <c r="EB213" s="358"/>
      <c r="EC213" s="358"/>
      <c r="ED213" s="358"/>
      <c r="EE213" s="358"/>
      <c r="EF213" s="358"/>
      <c r="EG213" s="358"/>
      <c r="EH213" s="358"/>
      <c r="EI213" s="358"/>
      <c r="EJ213" s="358"/>
      <c r="EK213" s="358"/>
      <c r="EL213" s="358"/>
      <c r="EM213" s="358"/>
      <c r="EN213" s="358"/>
      <c r="EO213" s="358"/>
      <c r="EP213" s="358"/>
      <c r="EQ213" s="358"/>
      <c r="ER213" s="358"/>
      <c r="ES213" s="358"/>
      <c r="ET213" s="358"/>
      <c r="EU213" s="358"/>
      <c r="EV213" s="358"/>
      <c r="EW213" s="358"/>
      <c r="EX213" s="358"/>
      <c r="EY213" s="358"/>
      <c r="EZ213" s="358"/>
      <c r="FA213" s="358"/>
      <c r="FB213" s="358"/>
      <c r="FC213" s="358"/>
      <c r="FD213" s="358"/>
      <c r="FE213" s="358"/>
      <c r="FF213" s="358"/>
      <c r="FG213" s="358"/>
      <c r="FH213" s="358"/>
      <c r="FI213" s="358"/>
      <c r="FJ213" s="358"/>
      <c r="FK213" s="358"/>
      <c r="FL213" s="358"/>
      <c r="FM213" s="358"/>
      <c r="FN213" s="358"/>
      <c r="FO213" s="358"/>
      <c r="FP213" s="358"/>
      <c r="FQ213" s="358"/>
      <c r="FR213" s="358"/>
      <c r="FS213" s="358"/>
      <c r="FT213" s="358"/>
      <c r="FU213" s="358"/>
      <c r="FV213" s="358"/>
      <c r="FW213" s="358"/>
      <c r="FX213" s="358"/>
      <c r="FY213" s="358"/>
      <c r="FZ213" s="358"/>
      <c r="GA213" s="358"/>
      <c r="GB213" s="358"/>
      <c r="GC213" s="358"/>
      <c r="GD213" s="358"/>
      <c r="GE213" s="358"/>
      <c r="GF213" s="358"/>
      <c r="GG213" s="358"/>
      <c r="GH213" s="358"/>
      <c r="GI213" s="358"/>
      <c r="GJ213" s="358"/>
      <c r="GK213" s="358"/>
      <c r="GL213" s="358"/>
      <c r="GM213" s="358"/>
      <c r="GN213" s="358"/>
      <c r="GO213" s="358"/>
      <c r="GP213" s="358"/>
      <c r="GQ213" s="358"/>
      <c r="GR213" s="358"/>
      <c r="GS213" s="358"/>
      <c r="GT213" s="358"/>
      <c r="GU213" s="358"/>
      <c r="GV213" s="358"/>
      <c r="GW213" s="358"/>
      <c r="GX213" s="358"/>
      <c r="GY213" s="358"/>
      <c r="GZ213" s="358"/>
      <c r="HA213" s="358"/>
      <c r="HB213" s="358"/>
      <c r="HC213" s="358"/>
      <c r="HD213" s="358"/>
      <c r="HE213" s="358"/>
      <c r="HF213" s="358"/>
      <c r="HG213" s="358"/>
      <c r="HH213" s="358"/>
      <c r="HI213" s="358"/>
      <c r="HJ213" s="358"/>
      <c r="HK213" s="358"/>
      <c r="HL213" s="358"/>
      <c r="HM213" s="358"/>
      <c r="HN213" s="358"/>
      <c r="HO213" s="358"/>
      <c r="HP213" s="358"/>
      <c r="HQ213" s="358"/>
      <c r="HR213" s="358"/>
      <c r="HS213" s="358"/>
      <c r="HT213" s="358"/>
      <c r="HU213" s="358"/>
      <c r="HV213" s="358"/>
      <c r="HW213" s="358"/>
      <c r="HX213" s="358"/>
    </row>
    <row r="214" spans="1:232" s="5" customFormat="1" ht="20.100000000000001" customHeight="1">
      <c r="A214" s="503">
        <v>4</v>
      </c>
      <c r="B214" s="1661" t="s">
        <v>427</v>
      </c>
      <c r="C214" s="1662"/>
      <c r="D214" s="1662"/>
      <c r="E214" s="1663"/>
      <c r="F214" s="1598" t="s">
        <v>138</v>
      </c>
      <c r="G214" s="1598"/>
      <c r="H214" s="1598"/>
      <c r="I214" s="562" t="s">
        <v>471</v>
      </c>
      <c r="J214" s="506"/>
      <c r="O214" s="405"/>
      <c r="P214" s="405"/>
      <c r="Q214" s="405"/>
      <c r="R214" s="405"/>
      <c r="S214" s="405"/>
      <c r="T214" s="405"/>
      <c r="U214" s="358"/>
      <c r="V214" s="358"/>
      <c r="W214" s="358"/>
      <c r="X214" s="358"/>
      <c r="Y214" s="358"/>
      <c r="Z214" s="358"/>
      <c r="AA214" s="358"/>
      <c r="AB214" s="358"/>
      <c r="AC214" s="358"/>
      <c r="AD214" s="358"/>
      <c r="AE214" s="358"/>
      <c r="AF214" s="358"/>
      <c r="AG214" s="358"/>
      <c r="AH214" s="358"/>
      <c r="AI214" s="358"/>
      <c r="AJ214" s="358"/>
      <c r="AK214" s="358"/>
      <c r="AL214" s="358"/>
      <c r="AM214" s="358"/>
      <c r="AN214" s="358"/>
      <c r="AO214" s="358"/>
      <c r="AP214" s="358"/>
      <c r="AQ214" s="358"/>
      <c r="AR214" s="358"/>
      <c r="AS214" s="358"/>
      <c r="AT214" s="358"/>
      <c r="AU214" s="358"/>
      <c r="AV214" s="358"/>
      <c r="AW214" s="358"/>
      <c r="AX214" s="358"/>
      <c r="AY214" s="358"/>
      <c r="AZ214" s="358"/>
      <c r="BA214" s="358"/>
      <c r="BB214" s="358"/>
      <c r="BC214" s="358"/>
      <c r="BD214" s="358"/>
      <c r="BE214" s="358"/>
      <c r="BF214" s="358"/>
      <c r="BG214" s="358"/>
      <c r="BH214" s="358"/>
      <c r="BI214" s="358"/>
      <c r="BJ214" s="358"/>
      <c r="BK214" s="358"/>
      <c r="BL214" s="358"/>
      <c r="BM214" s="358"/>
      <c r="BN214" s="358"/>
      <c r="BO214" s="358"/>
      <c r="BP214" s="358"/>
      <c r="BQ214" s="358"/>
      <c r="BR214" s="358"/>
      <c r="BS214" s="358"/>
      <c r="BT214" s="358"/>
      <c r="BU214" s="358"/>
      <c r="BV214" s="358"/>
      <c r="BW214" s="358"/>
      <c r="BX214" s="358"/>
      <c r="BY214" s="358"/>
      <c r="BZ214" s="358"/>
      <c r="CA214" s="358"/>
      <c r="CB214" s="358"/>
      <c r="CC214" s="358"/>
      <c r="CD214" s="358"/>
      <c r="CE214" s="358"/>
      <c r="CF214" s="358"/>
      <c r="CG214" s="358"/>
      <c r="CH214" s="358"/>
      <c r="CI214" s="358"/>
      <c r="CJ214" s="358"/>
      <c r="CK214" s="358"/>
      <c r="CL214" s="358"/>
      <c r="CM214" s="358"/>
      <c r="CN214" s="358"/>
      <c r="CO214" s="358"/>
      <c r="CP214" s="358"/>
      <c r="CQ214" s="358"/>
      <c r="CR214" s="358"/>
      <c r="CS214" s="358"/>
      <c r="CT214" s="358"/>
      <c r="CU214" s="358"/>
      <c r="CV214" s="358"/>
      <c r="CW214" s="358"/>
      <c r="CX214" s="358"/>
      <c r="CY214" s="358"/>
      <c r="CZ214" s="358"/>
      <c r="DA214" s="358"/>
      <c r="DB214" s="358"/>
      <c r="DC214" s="358"/>
      <c r="DD214" s="358"/>
      <c r="DE214" s="358"/>
      <c r="DF214" s="358"/>
      <c r="DG214" s="358"/>
      <c r="DH214" s="358"/>
      <c r="DI214" s="358"/>
      <c r="DJ214" s="358"/>
      <c r="DK214" s="358"/>
      <c r="DL214" s="358"/>
      <c r="DM214" s="358"/>
      <c r="DN214" s="358"/>
      <c r="DO214" s="358"/>
      <c r="DP214" s="358"/>
      <c r="DQ214" s="358"/>
      <c r="DR214" s="358"/>
      <c r="DS214" s="358"/>
      <c r="DT214" s="358"/>
      <c r="DU214" s="358"/>
      <c r="DV214" s="358"/>
      <c r="DW214" s="358"/>
      <c r="DX214" s="358"/>
      <c r="DY214" s="358"/>
      <c r="DZ214" s="358"/>
      <c r="EA214" s="358"/>
      <c r="EB214" s="358"/>
      <c r="EC214" s="358"/>
      <c r="ED214" s="358"/>
      <c r="EE214" s="358"/>
      <c r="EF214" s="358"/>
      <c r="EG214" s="358"/>
      <c r="EH214" s="358"/>
      <c r="EI214" s="358"/>
      <c r="EJ214" s="358"/>
      <c r="EK214" s="358"/>
      <c r="EL214" s="358"/>
      <c r="EM214" s="358"/>
      <c r="EN214" s="358"/>
      <c r="EO214" s="358"/>
      <c r="EP214" s="358"/>
      <c r="EQ214" s="358"/>
      <c r="ER214" s="358"/>
      <c r="ES214" s="358"/>
      <c r="ET214" s="358"/>
      <c r="EU214" s="358"/>
      <c r="EV214" s="358"/>
      <c r="EW214" s="358"/>
      <c r="EX214" s="358"/>
      <c r="EY214" s="358"/>
      <c r="EZ214" s="358"/>
      <c r="FA214" s="358"/>
      <c r="FB214" s="358"/>
      <c r="FC214" s="358"/>
      <c r="FD214" s="358"/>
      <c r="FE214" s="358"/>
      <c r="FF214" s="358"/>
      <c r="FG214" s="358"/>
      <c r="FH214" s="358"/>
      <c r="FI214" s="358"/>
      <c r="FJ214" s="358"/>
      <c r="FK214" s="358"/>
      <c r="FL214" s="358"/>
      <c r="FM214" s="358"/>
      <c r="FN214" s="358"/>
      <c r="FO214" s="358"/>
      <c r="FP214" s="358"/>
      <c r="FQ214" s="358"/>
      <c r="FR214" s="358"/>
      <c r="FS214" s="358"/>
      <c r="FT214" s="358"/>
      <c r="FU214" s="358"/>
      <c r="FV214" s="358"/>
      <c r="FW214" s="358"/>
      <c r="FX214" s="358"/>
      <c r="FY214" s="358"/>
      <c r="FZ214" s="358"/>
      <c r="GA214" s="358"/>
      <c r="GB214" s="358"/>
      <c r="GC214" s="358"/>
      <c r="GD214" s="358"/>
      <c r="GE214" s="358"/>
      <c r="GF214" s="358"/>
      <c r="GG214" s="358"/>
      <c r="GH214" s="358"/>
      <c r="GI214" s="358"/>
      <c r="GJ214" s="358"/>
      <c r="GK214" s="358"/>
      <c r="GL214" s="358"/>
      <c r="GM214" s="358"/>
      <c r="GN214" s="358"/>
      <c r="GO214" s="358"/>
      <c r="GP214" s="358"/>
      <c r="GQ214" s="358"/>
      <c r="GR214" s="358"/>
      <c r="GS214" s="358"/>
      <c r="GT214" s="358"/>
      <c r="GU214" s="358"/>
      <c r="GV214" s="358"/>
      <c r="GW214" s="358"/>
      <c r="GX214" s="358"/>
      <c r="GY214" s="358"/>
      <c r="GZ214" s="358"/>
      <c r="HA214" s="358"/>
      <c r="HB214" s="358"/>
      <c r="HC214" s="358"/>
      <c r="HD214" s="358"/>
      <c r="HE214" s="358"/>
      <c r="HF214" s="358"/>
      <c r="HG214" s="358"/>
      <c r="HH214" s="358"/>
      <c r="HI214" s="358"/>
      <c r="HJ214" s="358"/>
      <c r="HK214" s="358"/>
      <c r="HL214" s="358"/>
      <c r="HM214" s="358"/>
      <c r="HN214" s="358"/>
      <c r="HO214" s="358"/>
      <c r="HP214" s="358"/>
      <c r="HQ214" s="358"/>
      <c r="HR214" s="358"/>
      <c r="HS214" s="358"/>
      <c r="HT214" s="358"/>
      <c r="HU214" s="358"/>
      <c r="HV214" s="358"/>
      <c r="HW214" s="358"/>
      <c r="HX214" s="358"/>
    </row>
    <row r="215" spans="1:232" s="5" customFormat="1" ht="20.100000000000001" customHeight="1">
      <c r="A215" s="503">
        <v>5</v>
      </c>
      <c r="B215" s="1661" t="s">
        <v>424</v>
      </c>
      <c r="C215" s="1662"/>
      <c r="D215" s="1662"/>
      <c r="E215" s="1663"/>
      <c r="F215" s="1598" t="s">
        <v>140</v>
      </c>
      <c r="G215" s="1598"/>
      <c r="H215" s="1598"/>
      <c r="I215" s="562" t="s">
        <v>471</v>
      </c>
      <c r="J215" s="506"/>
      <c r="O215" s="405"/>
      <c r="P215" s="405"/>
      <c r="Q215" s="405"/>
      <c r="R215" s="405"/>
      <c r="S215" s="405"/>
      <c r="T215" s="405"/>
      <c r="U215" s="358"/>
      <c r="V215" s="358"/>
      <c r="W215" s="358"/>
      <c r="X215" s="358"/>
      <c r="Y215" s="358"/>
      <c r="Z215" s="358"/>
      <c r="AA215" s="358"/>
      <c r="AB215" s="358"/>
      <c r="AC215" s="358"/>
      <c r="AD215" s="358"/>
      <c r="AE215" s="358"/>
      <c r="AF215" s="358"/>
      <c r="AG215" s="358"/>
      <c r="AH215" s="358"/>
      <c r="AI215" s="358"/>
      <c r="AJ215" s="358"/>
      <c r="AK215" s="358"/>
      <c r="AL215" s="358"/>
      <c r="AM215" s="358"/>
      <c r="AN215" s="358"/>
      <c r="AO215" s="358"/>
      <c r="AP215" s="358"/>
      <c r="AQ215" s="358"/>
      <c r="AR215" s="358"/>
      <c r="AS215" s="358"/>
      <c r="AT215" s="358"/>
      <c r="AU215" s="358"/>
      <c r="AV215" s="358"/>
      <c r="AW215" s="358"/>
      <c r="AX215" s="358"/>
      <c r="AY215" s="358"/>
      <c r="AZ215" s="358"/>
      <c r="BA215" s="358"/>
      <c r="BB215" s="358"/>
      <c r="BC215" s="358"/>
      <c r="BD215" s="358"/>
      <c r="BE215" s="358"/>
      <c r="BF215" s="358"/>
      <c r="BG215" s="358"/>
      <c r="BH215" s="358"/>
      <c r="BI215" s="358"/>
      <c r="BJ215" s="358"/>
      <c r="BK215" s="358"/>
      <c r="BL215" s="358"/>
      <c r="BM215" s="358"/>
      <c r="BN215" s="358"/>
      <c r="BO215" s="358"/>
      <c r="BP215" s="358"/>
      <c r="BQ215" s="358"/>
      <c r="BR215" s="358"/>
      <c r="BS215" s="358"/>
      <c r="BT215" s="358"/>
      <c r="BU215" s="358"/>
      <c r="BV215" s="358"/>
      <c r="BW215" s="358"/>
      <c r="BX215" s="358"/>
      <c r="BY215" s="358"/>
      <c r="BZ215" s="358"/>
      <c r="CA215" s="358"/>
      <c r="CB215" s="358"/>
      <c r="CC215" s="358"/>
      <c r="CD215" s="358"/>
      <c r="CE215" s="358"/>
      <c r="CF215" s="358"/>
      <c r="CG215" s="358"/>
      <c r="CH215" s="358"/>
      <c r="CI215" s="358"/>
      <c r="CJ215" s="358"/>
      <c r="CK215" s="358"/>
      <c r="CL215" s="358"/>
      <c r="CM215" s="358"/>
      <c r="CN215" s="358"/>
      <c r="CO215" s="358"/>
      <c r="CP215" s="358"/>
      <c r="CQ215" s="358"/>
      <c r="CR215" s="358"/>
      <c r="CS215" s="358"/>
      <c r="CT215" s="358"/>
      <c r="CU215" s="358"/>
      <c r="CV215" s="358"/>
      <c r="CW215" s="358"/>
      <c r="CX215" s="358"/>
      <c r="CY215" s="358"/>
      <c r="CZ215" s="358"/>
      <c r="DA215" s="358"/>
      <c r="DB215" s="358"/>
      <c r="DC215" s="358"/>
      <c r="DD215" s="358"/>
      <c r="DE215" s="358"/>
      <c r="DF215" s="358"/>
      <c r="DG215" s="358"/>
      <c r="DH215" s="358"/>
      <c r="DI215" s="358"/>
      <c r="DJ215" s="358"/>
      <c r="DK215" s="358"/>
      <c r="DL215" s="358"/>
      <c r="DM215" s="358"/>
      <c r="DN215" s="358"/>
      <c r="DO215" s="358"/>
      <c r="DP215" s="358"/>
      <c r="DQ215" s="358"/>
      <c r="DR215" s="358"/>
      <c r="DS215" s="358"/>
      <c r="DT215" s="358"/>
      <c r="DU215" s="358"/>
      <c r="DV215" s="358"/>
      <c r="DW215" s="358"/>
      <c r="DX215" s="358"/>
      <c r="DY215" s="358"/>
      <c r="DZ215" s="358"/>
      <c r="EA215" s="358"/>
      <c r="EB215" s="358"/>
      <c r="EC215" s="358"/>
      <c r="ED215" s="358"/>
      <c r="EE215" s="358"/>
      <c r="EF215" s="358"/>
      <c r="EG215" s="358"/>
      <c r="EH215" s="358"/>
      <c r="EI215" s="358"/>
      <c r="EJ215" s="358"/>
      <c r="EK215" s="358"/>
      <c r="EL215" s="358"/>
      <c r="EM215" s="358"/>
      <c r="EN215" s="358"/>
      <c r="EO215" s="358"/>
      <c r="EP215" s="358"/>
      <c r="EQ215" s="358"/>
      <c r="ER215" s="358"/>
      <c r="ES215" s="358"/>
      <c r="ET215" s="358"/>
      <c r="EU215" s="358"/>
      <c r="EV215" s="358"/>
      <c r="EW215" s="358"/>
      <c r="EX215" s="358"/>
      <c r="EY215" s="358"/>
      <c r="EZ215" s="358"/>
      <c r="FA215" s="358"/>
      <c r="FB215" s="358"/>
      <c r="FC215" s="358"/>
      <c r="FD215" s="358"/>
      <c r="FE215" s="358"/>
      <c r="FF215" s="358"/>
      <c r="FG215" s="358"/>
      <c r="FH215" s="358"/>
      <c r="FI215" s="358"/>
      <c r="FJ215" s="358"/>
      <c r="FK215" s="358"/>
      <c r="FL215" s="358"/>
      <c r="FM215" s="358"/>
      <c r="FN215" s="358"/>
      <c r="FO215" s="358"/>
      <c r="FP215" s="358"/>
      <c r="FQ215" s="358"/>
      <c r="FR215" s="358"/>
      <c r="FS215" s="358"/>
      <c r="FT215" s="358"/>
      <c r="FU215" s="358"/>
      <c r="FV215" s="358"/>
      <c r="FW215" s="358"/>
      <c r="FX215" s="358"/>
      <c r="FY215" s="358"/>
      <c r="FZ215" s="358"/>
      <c r="GA215" s="358"/>
      <c r="GB215" s="358"/>
      <c r="GC215" s="358"/>
      <c r="GD215" s="358"/>
      <c r="GE215" s="358"/>
      <c r="GF215" s="358"/>
      <c r="GG215" s="358"/>
      <c r="GH215" s="358"/>
      <c r="GI215" s="358"/>
      <c r="GJ215" s="358"/>
      <c r="GK215" s="358"/>
      <c r="GL215" s="358"/>
      <c r="GM215" s="358"/>
      <c r="GN215" s="358"/>
      <c r="GO215" s="358"/>
      <c r="GP215" s="358"/>
      <c r="GQ215" s="358"/>
      <c r="GR215" s="358"/>
      <c r="GS215" s="358"/>
      <c r="GT215" s="358"/>
      <c r="GU215" s="358"/>
      <c r="GV215" s="358"/>
      <c r="GW215" s="358"/>
      <c r="GX215" s="358"/>
      <c r="GY215" s="358"/>
      <c r="GZ215" s="358"/>
      <c r="HA215" s="358"/>
      <c r="HB215" s="358"/>
      <c r="HC215" s="358"/>
      <c r="HD215" s="358"/>
      <c r="HE215" s="358"/>
      <c r="HF215" s="358"/>
      <c r="HG215" s="358"/>
      <c r="HH215" s="358"/>
      <c r="HI215" s="358"/>
      <c r="HJ215" s="358"/>
      <c r="HK215" s="358"/>
      <c r="HL215" s="358"/>
      <c r="HM215" s="358"/>
      <c r="HN215" s="358"/>
      <c r="HO215" s="358"/>
      <c r="HP215" s="358"/>
      <c r="HQ215" s="358"/>
      <c r="HR215" s="358"/>
      <c r="HS215" s="358"/>
      <c r="HT215" s="358"/>
      <c r="HU215" s="358"/>
      <c r="HV215" s="358"/>
      <c r="HW215" s="358"/>
      <c r="HX215" s="358"/>
    </row>
    <row r="216" spans="1:232" s="5" customFormat="1" ht="20.100000000000001" customHeight="1">
      <c r="A216" s="503">
        <v>6</v>
      </c>
      <c r="B216" s="1597" t="s">
        <v>425</v>
      </c>
      <c r="C216" s="1597"/>
      <c r="D216" s="1597"/>
      <c r="E216" s="1597"/>
      <c r="F216" s="1598" t="s">
        <v>139</v>
      </c>
      <c r="G216" s="1598"/>
      <c r="H216" s="1598"/>
      <c r="I216" s="562" t="s">
        <v>471</v>
      </c>
      <c r="J216" s="506"/>
      <c r="O216" s="405"/>
      <c r="P216" s="405"/>
      <c r="Q216" s="405"/>
      <c r="R216" s="405"/>
      <c r="S216" s="405"/>
      <c r="T216" s="405"/>
      <c r="U216" s="358"/>
      <c r="V216" s="358"/>
      <c r="W216" s="358"/>
      <c r="X216" s="358"/>
      <c r="Y216" s="358"/>
      <c r="Z216" s="358"/>
      <c r="AA216" s="358"/>
      <c r="AB216" s="358"/>
      <c r="AC216" s="358"/>
      <c r="AD216" s="358"/>
      <c r="AE216" s="358"/>
      <c r="AF216" s="358"/>
      <c r="AG216" s="358"/>
      <c r="AH216" s="358"/>
      <c r="AI216" s="358"/>
      <c r="AJ216" s="358"/>
      <c r="AK216" s="358"/>
      <c r="AL216" s="358"/>
      <c r="AM216" s="358"/>
      <c r="AN216" s="358"/>
      <c r="AO216" s="358"/>
      <c r="AP216" s="358"/>
      <c r="AQ216" s="358"/>
      <c r="AR216" s="358"/>
      <c r="AS216" s="358"/>
      <c r="AT216" s="358"/>
      <c r="AU216" s="358"/>
      <c r="AV216" s="358"/>
      <c r="AW216" s="358"/>
      <c r="AX216" s="358"/>
      <c r="AY216" s="358"/>
      <c r="AZ216" s="358"/>
      <c r="BA216" s="358"/>
      <c r="BB216" s="358"/>
      <c r="BC216" s="358"/>
      <c r="BD216" s="358"/>
      <c r="BE216" s="358"/>
      <c r="BF216" s="358"/>
      <c r="BG216" s="358"/>
      <c r="BH216" s="358"/>
      <c r="BI216" s="358"/>
      <c r="BJ216" s="358"/>
      <c r="BK216" s="358"/>
      <c r="BL216" s="358"/>
      <c r="BM216" s="358"/>
      <c r="BN216" s="358"/>
      <c r="BO216" s="358"/>
      <c r="BP216" s="358"/>
      <c r="BQ216" s="358"/>
      <c r="BR216" s="358"/>
      <c r="BS216" s="358"/>
      <c r="BT216" s="358"/>
      <c r="BU216" s="358"/>
      <c r="BV216" s="358"/>
      <c r="BW216" s="358"/>
      <c r="BX216" s="358"/>
      <c r="BY216" s="358"/>
      <c r="BZ216" s="358"/>
      <c r="CA216" s="358"/>
      <c r="CB216" s="358"/>
      <c r="CC216" s="358"/>
      <c r="CD216" s="358"/>
      <c r="CE216" s="358"/>
      <c r="CF216" s="358"/>
      <c r="CG216" s="358"/>
      <c r="CH216" s="358"/>
      <c r="CI216" s="358"/>
      <c r="CJ216" s="358"/>
      <c r="CK216" s="358"/>
      <c r="CL216" s="358"/>
      <c r="CM216" s="358"/>
      <c r="CN216" s="358"/>
      <c r="CO216" s="358"/>
      <c r="CP216" s="358"/>
      <c r="CQ216" s="358"/>
      <c r="CR216" s="358"/>
      <c r="CS216" s="358"/>
      <c r="CT216" s="358"/>
      <c r="CU216" s="358"/>
      <c r="CV216" s="358"/>
      <c r="CW216" s="358"/>
      <c r="CX216" s="358"/>
      <c r="CY216" s="358"/>
      <c r="CZ216" s="358"/>
      <c r="DA216" s="358"/>
      <c r="DB216" s="358"/>
      <c r="DC216" s="358"/>
      <c r="DD216" s="358"/>
      <c r="DE216" s="358"/>
      <c r="DF216" s="358"/>
      <c r="DG216" s="358"/>
      <c r="DH216" s="358"/>
      <c r="DI216" s="358"/>
      <c r="DJ216" s="358"/>
      <c r="DK216" s="358"/>
      <c r="DL216" s="358"/>
      <c r="DM216" s="358"/>
      <c r="DN216" s="358"/>
      <c r="DO216" s="358"/>
      <c r="DP216" s="358"/>
      <c r="DQ216" s="358"/>
      <c r="DR216" s="358"/>
      <c r="DS216" s="358"/>
      <c r="DT216" s="358"/>
      <c r="DU216" s="358"/>
      <c r="DV216" s="358"/>
      <c r="DW216" s="358"/>
      <c r="DX216" s="358"/>
      <c r="DY216" s="358"/>
      <c r="DZ216" s="358"/>
      <c r="EA216" s="358"/>
      <c r="EB216" s="358"/>
      <c r="EC216" s="358"/>
      <c r="ED216" s="358"/>
      <c r="EE216" s="358"/>
      <c r="EF216" s="358"/>
      <c r="EG216" s="358"/>
      <c r="EH216" s="358"/>
      <c r="EI216" s="358"/>
      <c r="EJ216" s="358"/>
      <c r="EK216" s="358"/>
      <c r="EL216" s="358"/>
      <c r="EM216" s="358"/>
      <c r="EN216" s="358"/>
      <c r="EO216" s="358"/>
      <c r="EP216" s="358"/>
      <c r="EQ216" s="358"/>
      <c r="ER216" s="358"/>
      <c r="ES216" s="358"/>
      <c r="ET216" s="358"/>
      <c r="EU216" s="358"/>
      <c r="EV216" s="358"/>
      <c r="EW216" s="358"/>
      <c r="EX216" s="358"/>
      <c r="EY216" s="358"/>
      <c r="EZ216" s="358"/>
      <c r="FA216" s="358"/>
      <c r="FB216" s="358"/>
      <c r="FC216" s="358"/>
      <c r="FD216" s="358"/>
      <c r="FE216" s="358"/>
      <c r="FF216" s="358"/>
      <c r="FG216" s="358"/>
      <c r="FH216" s="358"/>
      <c r="FI216" s="358"/>
      <c r="FJ216" s="358"/>
      <c r="FK216" s="358"/>
      <c r="FL216" s="358"/>
      <c r="FM216" s="358"/>
      <c r="FN216" s="358"/>
      <c r="FO216" s="358"/>
      <c r="FP216" s="358"/>
      <c r="FQ216" s="358"/>
      <c r="FR216" s="358"/>
      <c r="FS216" s="358"/>
      <c r="FT216" s="358"/>
      <c r="FU216" s="358"/>
      <c r="FV216" s="358"/>
      <c r="FW216" s="358"/>
      <c r="FX216" s="358"/>
      <c r="FY216" s="358"/>
      <c r="FZ216" s="358"/>
      <c r="GA216" s="358"/>
      <c r="GB216" s="358"/>
      <c r="GC216" s="358"/>
      <c r="GD216" s="358"/>
      <c r="GE216" s="358"/>
      <c r="GF216" s="358"/>
      <c r="GG216" s="358"/>
      <c r="GH216" s="358"/>
      <c r="GI216" s="358"/>
      <c r="GJ216" s="358"/>
      <c r="GK216" s="358"/>
      <c r="GL216" s="358"/>
      <c r="GM216" s="358"/>
      <c r="GN216" s="358"/>
      <c r="GO216" s="358"/>
      <c r="GP216" s="358"/>
      <c r="GQ216" s="358"/>
      <c r="GR216" s="358"/>
      <c r="GS216" s="358"/>
      <c r="GT216" s="358"/>
      <c r="GU216" s="358"/>
      <c r="GV216" s="358"/>
      <c r="GW216" s="358"/>
      <c r="GX216" s="358"/>
      <c r="GY216" s="358"/>
      <c r="GZ216" s="358"/>
      <c r="HA216" s="358"/>
      <c r="HB216" s="358"/>
      <c r="HC216" s="358"/>
      <c r="HD216" s="358"/>
      <c r="HE216" s="358"/>
      <c r="HF216" s="358"/>
      <c r="HG216" s="358"/>
      <c r="HH216" s="358"/>
      <c r="HI216" s="358"/>
      <c r="HJ216" s="358"/>
      <c r="HK216" s="358"/>
      <c r="HL216" s="358"/>
      <c r="HM216" s="358"/>
      <c r="HN216" s="358"/>
      <c r="HO216" s="358"/>
      <c r="HP216" s="358"/>
      <c r="HQ216" s="358"/>
      <c r="HR216" s="358"/>
      <c r="HS216" s="358"/>
      <c r="HT216" s="358"/>
      <c r="HU216" s="358"/>
      <c r="HV216" s="358"/>
      <c r="HW216" s="358"/>
      <c r="HX216" s="358"/>
    </row>
    <row r="217" spans="1:232" s="5" customFormat="1" ht="20.100000000000001" customHeight="1">
      <c r="A217" s="503"/>
      <c r="B217" s="1597"/>
      <c r="C217" s="1597"/>
      <c r="D217" s="1597"/>
      <c r="E217" s="1597"/>
      <c r="F217" s="1598"/>
      <c r="G217" s="1598"/>
      <c r="H217" s="1598"/>
      <c r="I217" s="505"/>
      <c r="J217" s="506"/>
      <c r="O217" s="405"/>
      <c r="P217" s="405"/>
      <c r="Q217" s="405"/>
      <c r="R217" s="405"/>
      <c r="S217" s="405"/>
      <c r="T217" s="405"/>
      <c r="U217" s="358"/>
      <c r="V217" s="358"/>
      <c r="W217" s="358"/>
      <c r="X217" s="358"/>
      <c r="Y217" s="358"/>
      <c r="Z217" s="358"/>
      <c r="AA217" s="358"/>
      <c r="AB217" s="358"/>
      <c r="AC217" s="358"/>
      <c r="AD217" s="358"/>
      <c r="AE217" s="358"/>
      <c r="AF217" s="358"/>
      <c r="AG217" s="358"/>
      <c r="AH217" s="358"/>
      <c r="AI217" s="358"/>
      <c r="AJ217" s="358"/>
      <c r="AK217" s="358"/>
      <c r="AL217" s="358"/>
      <c r="AM217" s="358"/>
      <c r="AN217" s="358"/>
      <c r="AO217" s="358"/>
      <c r="AP217" s="358"/>
      <c r="AQ217" s="358"/>
      <c r="AR217" s="358"/>
      <c r="AS217" s="358"/>
      <c r="AT217" s="358"/>
      <c r="AU217" s="358"/>
      <c r="AV217" s="358"/>
      <c r="AW217" s="358"/>
      <c r="AX217" s="358"/>
      <c r="AY217" s="358"/>
      <c r="AZ217" s="358"/>
      <c r="BA217" s="358"/>
      <c r="BB217" s="358"/>
      <c r="BC217" s="358"/>
      <c r="BD217" s="358"/>
      <c r="BE217" s="358"/>
      <c r="BF217" s="358"/>
      <c r="BG217" s="358"/>
      <c r="BH217" s="358"/>
      <c r="BI217" s="358"/>
      <c r="BJ217" s="358"/>
      <c r="BK217" s="358"/>
      <c r="BL217" s="358"/>
      <c r="BM217" s="358"/>
      <c r="BN217" s="358"/>
      <c r="BO217" s="358"/>
      <c r="BP217" s="358"/>
      <c r="BQ217" s="358"/>
      <c r="BR217" s="358"/>
      <c r="BS217" s="358"/>
      <c r="BT217" s="358"/>
      <c r="BU217" s="358"/>
      <c r="BV217" s="358"/>
      <c r="BW217" s="358"/>
      <c r="BX217" s="358"/>
      <c r="BY217" s="358"/>
      <c r="BZ217" s="358"/>
      <c r="CA217" s="358"/>
      <c r="CB217" s="358"/>
      <c r="CC217" s="358"/>
      <c r="CD217" s="358"/>
      <c r="CE217" s="358"/>
      <c r="CF217" s="358"/>
      <c r="CG217" s="358"/>
      <c r="CH217" s="358"/>
      <c r="CI217" s="358"/>
      <c r="CJ217" s="358"/>
      <c r="CK217" s="358"/>
      <c r="CL217" s="358"/>
      <c r="CM217" s="358"/>
      <c r="CN217" s="358"/>
      <c r="CO217" s="358"/>
      <c r="CP217" s="358"/>
      <c r="CQ217" s="358"/>
      <c r="CR217" s="358"/>
      <c r="CS217" s="358"/>
      <c r="CT217" s="358"/>
      <c r="CU217" s="358"/>
      <c r="CV217" s="358"/>
      <c r="CW217" s="358"/>
      <c r="CX217" s="358"/>
      <c r="CY217" s="358"/>
      <c r="CZ217" s="358"/>
      <c r="DA217" s="358"/>
      <c r="DB217" s="358"/>
      <c r="DC217" s="358"/>
      <c r="DD217" s="358"/>
      <c r="DE217" s="358"/>
      <c r="DF217" s="358"/>
      <c r="DG217" s="358"/>
      <c r="DH217" s="358"/>
      <c r="DI217" s="358"/>
      <c r="DJ217" s="358"/>
      <c r="DK217" s="358"/>
      <c r="DL217" s="358"/>
      <c r="DM217" s="358"/>
      <c r="DN217" s="358"/>
      <c r="DO217" s="358"/>
      <c r="DP217" s="358"/>
      <c r="DQ217" s="358"/>
      <c r="DR217" s="358"/>
      <c r="DS217" s="358"/>
      <c r="DT217" s="358"/>
      <c r="DU217" s="358"/>
      <c r="DV217" s="358"/>
      <c r="DW217" s="358"/>
      <c r="DX217" s="358"/>
      <c r="DY217" s="358"/>
      <c r="DZ217" s="358"/>
      <c r="EA217" s="358"/>
      <c r="EB217" s="358"/>
      <c r="EC217" s="358"/>
      <c r="ED217" s="358"/>
      <c r="EE217" s="358"/>
      <c r="EF217" s="358"/>
      <c r="EG217" s="358"/>
      <c r="EH217" s="358"/>
      <c r="EI217" s="358"/>
      <c r="EJ217" s="358"/>
      <c r="EK217" s="358"/>
      <c r="EL217" s="358"/>
      <c r="EM217" s="358"/>
      <c r="EN217" s="358"/>
      <c r="EO217" s="358"/>
      <c r="EP217" s="358"/>
      <c r="EQ217" s="358"/>
      <c r="ER217" s="358"/>
      <c r="ES217" s="358"/>
      <c r="ET217" s="358"/>
      <c r="EU217" s="358"/>
      <c r="EV217" s="358"/>
      <c r="EW217" s="358"/>
      <c r="EX217" s="358"/>
      <c r="EY217" s="358"/>
      <c r="EZ217" s="358"/>
      <c r="FA217" s="358"/>
      <c r="FB217" s="358"/>
      <c r="FC217" s="358"/>
      <c r="FD217" s="358"/>
      <c r="FE217" s="358"/>
      <c r="FF217" s="358"/>
      <c r="FG217" s="358"/>
      <c r="FH217" s="358"/>
      <c r="FI217" s="358"/>
      <c r="FJ217" s="358"/>
      <c r="FK217" s="358"/>
      <c r="FL217" s="358"/>
      <c r="FM217" s="358"/>
      <c r="FN217" s="358"/>
      <c r="FO217" s="358"/>
      <c r="FP217" s="358"/>
      <c r="FQ217" s="358"/>
      <c r="FR217" s="358"/>
      <c r="FS217" s="358"/>
      <c r="FT217" s="358"/>
      <c r="FU217" s="358"/>
      <c r="FV217" s="358"/>
      <c r="FW217" s="358"/>
      <c r="FX217" s="358"/>
      <c r="FY217" s="358"/>
      <c r="FZ217" s="358"/>
      <c r="GA217" s="358"/>
      <c r="GB217" s="358"/>
      <c r="GC217" s="358"/>
      <c r="GD217" s="358"/>
      <c r="GE217" s="358"/>
      <c r="GF217" s="358"/>
      <c r="GG217" s="358"/>
      <c r="GH217" s="358"/>
      <c r="GI217" s="358"/>
      <c r="GJ217" s="358"/>
      <c r="GK217" s="358"/>
      <c r="GL217" s="358"/>
      <c r="GM217" s="358"/>
      <c r="GN217" s="358"/>
      <c r="GO217" s="358"/>
      <c r="GP217" s="358"/>
      <c r="GQ217" s="358"/>
      <c r="GR217" s="358"/>
      <c r="GS217" s="358"/>
      <c r="GT217" s="358"/>
      <c r="GU217" s="358"/>
      <c r="GV217" s="358"/>
      <c r="GW217" s="358"/>
      <c r="GX217" s="358"/>
      <c r="GY217" s="358"/>
      <c r="GZ217" s="358"/>
      <c r="HA217" s="358"/>
      <c r="HB217" s="358"/>
      <c r="HC217" s="358"/>
      <c r="HD217" s="358"/>
      <c r="HE217" s="358"/>
      <c r="HF217" s="358"/>
      <c r="HG217" s="358"/>
      <c r="HH217" s="358"/>
      <c r="HI217" s="358"/>
      <c r="HJ217" s="358"/>
      <c r="HK217" s="358"/>
      <c r="HL217" s="358"/>
      <c r="HM217" s="358"/>
      <c r="HN217" s="358"/>
      <c r="HO217" s="358"/>
      <c r="HP217" s="358"/>
      <c r="HQ217" s="358"/>
      <c r="HR217" s="358"/>
      <c r="HS217" s="358"/>
      <c r="HT217" s="358"/>
      <c r="HU217" s="358"/>
      <c r="HV217" s="358"/>
      <c r="HW217" s="358"/>
      <c r="HX217" s="358"/>
    </row>
    <row r="218" spans="1:232" ht="20.100000000000001" customHeight="1">
      <c r="A218" s="1595" t="s">
        <v>120</v>
      </c>
      <c r="B218" s="1595"/>
      <c r="C218" s="1595"/>
      <c r="D218" s="1595"/>
      <c r="E218" s="1595"/>
      <c r="F218" s="1595"/>
      <c r="G218" s="1595"/>
      <c r="H218" s="1595"/>
      <c r="I218" s="1595"/>
      <c r="J218" s="1595"/>
      <c r="N218" s="5"/>
      <c r="O218" s="405"/>
      <c r="P218" s="405"/>
      <c r="Q218" s="405"/>
      <c r="R218" s="405"/>
      <c r="S218" s="405"/>
    </row>
    <row r="219" spans="1:232" ht="20.100000000000001" customHeight="1">
      <c r="A219" s="1596" t="s">
        <v>121</v>
      </c>
      <c r="B219" s="1596"/>
      <c r="C219" s="1596"/>
      <c r="D219" s="1596"/>
      <c r="E219" s="1596"/>
      <c r="F219" s="1596"/>
      <c r="G219" s="1596"/>
      <c r="H219" s="1596"/>
      <c r="I219" s="1596"/>
      <c r="J219" s="1596"/>
    </row>
    <row r="220" spans="1:232" ht="20.100000000000001" customHeight="1">
      <c r="A220" s="1600" t="s">
        <v>122</v>
      </c>
      <c r="B220" s="1600"/>
      <c r="C220" s="1600"/>
      <c r="D220" s="1600"/>
      <c r="E220" s="1600"/>
      <c r="F220" s="1600"/>
      <c r="G220" s="1600"/>
      <c r="H220" s="1600"/>
      <c r="I220" s="1600"/>
      <c r="J220" s="1600"/>
    </row>
    <row r="221" spans="1:232" ht="20.100000000000001" customHeight="1">
      <c r="A221" s="1595"/>
      <c r="B221" s="1595"/>
      <c r="C221" s="1595"/>
      <c r="D221" s="1595"/>
      <c r="E221" s="1595"/>
      <c r="F221" s="1595"/>
      <c r="G221" s="1595"/>
      <c r="H221" s="1595"/>
      <c r="I221" s="1595"/>
      <c r="J221" s="1595"/>
    </row>
    <row r="222" spans="1:232" ht="20.100000000000001" customHeight="1">
      <c r="A222" s="507"/>
      <c r="B222" s="507"/>
      <c r="C222" s="507"/>
      <c r="D222" s="507"/>
      <c r="E222" s="507"/>
      <c r="F222" s="507"/>
      <c r="G222" s="507"/>
      <c r="H222" s="507"/>
      <c r="I222" s="507"/>
      <c r="J222" s="507"/>
    </row>
    <row r="223" spans="1:232" ht="20.100000000000001" customHeight="1">
      <c r="A223" s="1599" t="s">
        <v>442</v>
      </c>
      <c r="B223" s="1599"/>
      <c r="C223" s="1599"/>
      <c r="D223" s="1599"/>
      <c r="E223" s="1599"/>
      <c r="F223" s="1666" t="s">
        <v>123</v>
      </c>
      <c r="G223" s="1666"/>
      <c r="H223" s="1666"/>
      <c r="I223" s="1666"/>
      <c r="J223" s="1666"/>
    </row>
    <row r="224" spans="1:232" ht="20.100000000000001" customHeight="1">
      <c r="A224" s="563"/>
      <c r="B224" s="508"/>
      <c r="C224" s="508"/>
      <c r="D224" s="508"/>
      <c r="E224" s="563"/>
      <c r="F224" s="1599" t="s">
        <v>124</v>
      </c>
      <c r="G224" s="1599"/>
      <c r="H224" s="1664" t="s">
        <v>331</v>
      </c>
      <c r="I224" s="1664"/>
      <c r="J224" s="1664"/>
    </row>
    <row r="225" spans="1:10" ht="20.100000000000001" customHeight="1">
      <c r="A225" s="508"/>
      <c r="B225" s="508"/>
      <c r="C225" s="508"/>
      <c r="D225" s="508"/>
      <c r="E225" s="508"/>
      <c r="F225" s="508"/>
      <c r="G225" s="508"/>
      <c r="H225" s="508"/>
      <c r="I225" s="508"/>
      <c r="J225" s="508"/>
    </row>
    <row r="226" spans="1:10" ht="20.100000000000001" customHeight="1">
      <c r="A226" s="508"/>
      <c r="B226" s="508"/>
      <c r="C226" s="508"/>
      <c r="D226" s="508"/>
      <c r="E226" s="508"/>
      <c r="F226" s="508"/>
      <c r="G226" s="508"/>
      <c r="H226" s="508"/>
      <c r="I226" s="508"/>
      <c r="J226" s="508"/>
    </row>
    <row r="227" spans="1:10" ht="20.100000000000001" customHeight="1">
      <c r="A227" s="508"/>
      <c r="B227" s="508"/>
      <c r="C227" s="508"/>
      <c r="D227" s="508"/>
      <c r="E227" s="508"/>
      <c r="F227" s="508"/>
      <c r="G227" s="508"/>
      <c r="H227" s="508"/>
      <c r="I227" s="508"/>
      <c r="J227" s="508"/>
    </row>
    <row r="228" spans="1:10" ht="20.100000000000001" customHeight="1">
      <c r="A228" s="1599" t="str">
        <f>$P$16</f>
        <v>Nguyễn Mạnh Hùng</v>
      </c>
      <c r="B228" s="1599"/>
      <c r="C228" s="1599"/>
      <c r="D228" s="1599"/>
      <c r="E228" s="1599"/>
      <c r="F228" s="1665" t="str">
        <f>$P$19&amp;"               "&amp;P$21</f>
        <v>.........................               Nguyễn Văn Tĩnh</v>
      </c>
      <c r="G228" s="1665"/>
      <c r="H228" s="1665"/>
      <c r="I228" s="1665"/>
      <c r="J228" s="1665"/>
    </row>
    <row r="229" spans="1:10" ht="20.100000000000001" customHeight="1">
      <c r="A229" s="72"/>
      <c r="B229" s="564"/>
      <c r="C229" s="564"/>
      <c r="D229" s="564"/>
      <c r="E229" s="564"/>
      <c r="F229" s="565"/>
      <c r="G229" s="565"/>
      <c r="H229" s="565"/>
      <c r="I229" s="565"/>
      <c r="J229" s="565"/>
    </row>
    <row r="230" spans="1:10" ht="20.100000000000001" customHeight="1">
      <c r="A230" s="1657" t="str">
        <f>$P$13</f>
        <v>CÔNG TY TNHH MTV HANTECH</v>
      </c>
      <c r="B230" s="1657"/>
      <c r="C230" s="1657"/>
      <c r="D230" s="1657"/>
      <c r="E230" s="1657"/>
      <c r="F230" s="1658" t="s">
        <v>126</v>
      </c>
      <c r="G230" s="1658"/>
      <c r="H230" s="1658"/>
      <c r="I230" s="1658"/>
      <c r="J230" s="1658"/>
    </row>
    <row r="231" spans="1:10" ht="20.100000000000001" customHeight="1">
      <c r="A231" s="1613" t="s">
        <v>127</v>
      </c>
      <c r="B231" s="1613"/>
      <c r="C231" s="1613"/>
      <c r="D231" s="1613"/>
      <c r="E231" s="1613"/>
      <c r="F231" s="1659" t="s">
        <v>128</v>
      </c>
      <c r="G231" s="1659"/>
      <c r="H231" s="1659"/>
      <c r="I231" s="1659"/>
      <c r="J231" s="1659"/>
    </row>
    <row r="232" spans="1:10" ht="20.100000000000001" customHeight="1">
      <c r="F232" s="1652" t="s">
        <v>404</v>
      </c>
      <c r="G232" s="1653"/>
      <c r="H232" s="1653"/>
      <c r="I232" s="1653"/>
      <c r="J232" s="1653"/>
    </row>
    <row r="233" spans="1:10" ht="20.100000000000001" customHeight="1">
      <c r="F233" s="1654">
        <f>N178</f>
        <v>42466</v>
      </c>
      <c r="G233" s="1654"/>
      <c r="H233" s="1654"/>
      <c r="I233" s="1654"/>
      <c r="J233" s="1654"/>
    </row>
    <row r="234" spans="1:10" ht="16.5">
      <c r="A234" s="509"/>
      <c r="B234" s="509"/>
      <c r="C234" s="509"/>
      <c r="D234" s="509"/>
      <c r="E234" s="509"/>
      <c r="F234" s="510"/>
      <c r="G234" s="510"/>
      <c r="H234" s="510"/>
      <c r="I234" s="510"/>
      <c r="J234" s="510"/>
    </row>
    <row r="235" spans="1:10" ht="20.100000000000001" customHeight="1">
      <c r="A235" s="1655" t="s">
        <v>438</v>
      </c>
      <c r="B235" s="1656"/>
      <c r="C235" s="1656"/>
      <c r="D235" s="1656"/>
      <c r="E235" s="1656"/>
      <c r="F235" s="1656"/>
      <c r="G235" s="1656"/>
      <c r="H235" s="1656"/>
      <c r="I235" s="1656"/>
      <c r="J235" s="1656"/>
    </row>
    <row r="236" spans="1:10" ht="20.100000000000001" customHeight="1">
      <c r="A236" s="530"/>
      <c r="B236" s="532"/>
      <c r="C236" s="532"/>
      <c r="D236" s="1613" t="str">
        <f>"Số: PM-"&amp;N168</f>
        <v>Số: PM-B1/800</v>
      </c>
      <c r="E236" s="1613"/>
      <c r="F236" s="1613"/>
      <c r="G236" s="1613"/>
      <c r="H236" s="1613"/>
      <c r="I236" s="532"/>
      <c r="J236" s="532"/>
    </row>
    <row r="237" spans="1:10" ht="20.100000000000001" customHeight="1">
      <c r="A237" s="1629" t="s">
        <v>129</v>
      </c>
      <c r="B237" s="1630"/>
      <c r="C237" s="1615" t="str">
        <f>$P$1</f>
        <v>KHU HỖN HỢP CHUNG CƯ, VĂN PHÒNG, TRUNG TÂM THƯƠNG MẠI VÀ NHÀ Ở KẾT HỢP KHU MUA SẮM</v>
      </c>
      <c r="D237" s="1615"/>
      <c r="E237" s="1615"/>
      <c r="F237" s="1615"/>
      <c r="G237" s="1615"/>
      <c r="H237" s="1615"/>
      <c r="I237" s="1615"/>
      <c r="J237" s="1615"/>
    </row>
    <row r="238" spans="1:10" ht="20.100000000000001" customHeight="1">
      <c r="A238" s="592"/>
      <c r="B238" s="593"/>
      <c r="C238" s="1615"/>
      <c r="D238" s="1615"/>
      <c r="E238" s="1615"/>
      <c r="F238" s="1615"/>
      <c r="G238" s="1615"/>
      <c r="H238" s="1615"/>
      <c r="I238" s="1615"/>
      <c r="J238" s="1615"/>
    </row>
    <row r="239" spans="1:10" ht="20.100000000000001" customHeight="1">
      <c r="A239" s="1629" t="s">
        <v>854</v>
      </c>
      <c r="B239" s="1630"/>
      <c r="C239" s="1595" t="str">
        <f>$P$2</f>
        <v>CỌC KHOAN NHỒI</v>
      </c>
      <c r="D239" s="1595"/>
      <c r="E239" s="1595"/>
      <c r="F239" s="1595"/>
      <c r="G239" s="1595"/>
      <c r="H239" s="1595"/>
      <c r="I239" s="1595"/>
      <c r="J239" s="1595"/>
    </row>
    <row r="240" spans="1:10" ht="16.5" customHeight="1">
      <c r="A240" s="476" t="s">
        <v>333</v>
      </c>
      <c r="B240" s="480"/>
      <c r="C240" s="398" t="str">
        <f>$P$3</f>
        <v>P. BẠCH ĐẰNG, TP. HẠ LONG, TỈNH QUẢNG NINH</v>
      </c>
      <c r="D240" s="480"/>
      <c r="E240" s="477"/>
      <c r="F240" s="477"/>
      <c r="G240" s="477"/>
      <c r="H240" s="477"/>
      <c r="I240" s="477"/>
      <c r="J240" s="477"/>
    </row>
    <row r="241" spans="1:10" ht="16.5">
      <c r="A241" s="511"/>
      <c r="B241" s="512"/>
      <c r="C241" s="481"/>
      <c r="D241" s="481"/>
      <c r="E241" s="481"/>
      <c r="F241" s="481"/>
      <c r="G241" s="481"/>
      <c r="H241" s="481"/>
      <c r="I241" s="481"/>
      <c r="J241" s="481"/>
    </row>
    <row r="242" spans="1:10" ht="16.5">
      <c r="A242" s="1604" t="str">
        <f>"Kính gửi:   "&amp;$P$7</f>
        <v>Kính gửi:   CÔNG TY CỔ PHẦN TƯ VẤN KIỂM ĐỊNH VÀ THƯƠNG MẠI XÂY DỰNG GOLDSUN</v>
      </c>
      <c r="B242" s="1660"/>
      <c r="C242" s="1660"/>
      <c r="D242" s="1660"/>
      <c r="E242" s="1660"/>
      <c r="F242" s="1660"/>
      <c r="G242" s="1660"/>
      <c r="H242" s="1660"/>
      <c r="I242" s="1660"/>
      <c r="J242" s="1660"/>
    </row>
    <row r="243" spans="1:10" ht="16.5">
      <c r="A243" s="509"/>
      <c r="B243" s="509"/>
      <c r="C243" s="509"/>
      <c r="D243" s="509"/>
      <c r="E243" s="509"/>
      <c r="F243" s="510"/>
      <c r="G243" s="510"/>
      <c r="H243" s="510"/>
      <c r="I243" s="510"/>
      <c r="J243" s="510"/>
    </row>
    <row r="244" spans="1:10" ht="40.5" customHeight="1">
      <c r="A244" s="1626" t="s">
        <v>405</v>
      </c>
      <c r="B244" s="1627"/>
      <c r="C244" s="1627"/>
      <c r="D244" s="1627"/>
      <c r="E244" s="1627"/>
      <c r="F244" s="1627"/>
      <c r="G244" s="1627"/>
      <c r="H244" s="1627"/>
      <c r="I244" s="1627"/>
      <c r="J244" s="1627"/>
    </row>
    <row r="245" spans="1:10" ht="20.100000000000001" customHeight="1">
      <c r="A245" s="1628" t="s">
        <v>406</v>
      </c>
      <c r="B245" s="1628"/>
      <c r="C245" s="518" t="str">
        <f>N166</f>
        <v>Cốt thép: B1</v>
      </c>
      <c r="D245" s="542"/>
      <c r="E245" s="542"/>
      <c r="F245" s="542"/>
      <c r="G245" s="542"/>
      <c r="H245" s="542"/>
      <c r="I245" s="542"/>
      <c r="J245" s="542"/>
    </row>
    <row r="246" spans="1:10" ht="20.100000000000001" customHeight="1">
      <c r="A246" s="543" t="s">
        <v>130</v>
      </c>
      <c r="B246" s="487"/>
      <c r="C246" s="487" t="str">
        <f>$N167</f>
        <v>Tại công trình</v>
      </c>
      <c r="D246" s="487"/>
      <c r="E246" s="487"/>
      <c r="F246" s="513"/>
      <c r="G246" s="513"/>
      <c r="H246" s="513"/>
      <c r="I246" s="513"/>
      <c r="J246" s="513"/>
    </row>
    <row r="247" spans="1:10" ht="20.100000000000001" customHeight="1">
      <c r="A247" s="543" t="s">
        <v>131</v>
      </c>
      <c r="B247" s="487"/>
      <c r="C247" s="514">
        <f>N180</f>
        <v>0.74305555555555536</v>
      </c>
      <c r="D247" s="513" t="s">
        <v>357</v>
      </c>
      <c r="E247" s="515">
        <f>N181</f>
        <v>42466</v>
      </c>
      <c r="F247" s="513"/>
      <c r="G247" s="513"/>
      <c r="H247" s="513"/>
      <c r="I247" s="513"/>
      <c r="J247" s="513"/>
    </row>
    <row r="248" spans="1:10" ht="20.100000000000001" customHeight="1">
      <c r="A248" s="543" t="s">
        <v>132</v>
      </c>
      <c r="B248" s="487"/>
      <c r="C248" s="487" t="str">
        <f>"Công trình: "&amp;V165</f>
        <v xml:space="preserve">Công trình: </v>
      </c>
      <c r="D248" s="487"/>
      <c r="E248" s="487"/>
      <c r="F248" s="513"/>
      <c r="G248" s="516"/>
      <c r="H248" s="513"/>
      <c r="I248" s="513"/>
      <c r="J248" s="513"/>
    </row>
    <row r="249" spans="1:10" ht="20.100000000000001" customHeight="1">
      <c r="A249" s="517"/>
      <c r="B249" s="517"/>
      <c r="C249" s="517" t="str">
        <f>$V$3</f>
        <v>P. Bạch Đằng, TP Hạ Long, Tỉnh Quảng Ninh</v>
      </c>
      <c r="D249" s="517"/>
      <c r="E249" s="517"/>
      <c r="F249" s="519"/>
      <c r="G249" s="519"/>
      <c r="H249" s="519"/>
      <c r="I249" s="519"/>
      <c r="J249" s="519"/>
    </row>
    <row r="250" spans="1:10" ht="34.5" customHeight="1">
      <c r="A250" s="1631" t="s">
        <v>197</v>
      </c>
      <c r="B250" s="1632"/>
      <c r="C250" s="1633"/>
      <c r="D250" s="1606" t="s">
        <v>407</v>
      </c>
      <c r="E250" s="1606"/>
      <c r="F250" s="1640" t="s">
        <v>408</v>
      </c>
      <c r="G250" s="1640"/>
      <c r="H250" s="1640"/>
      <c r="I250" s="1640" t="s">
        <v>409</v>
      </c>
      <c r="J250" s="1640"/>
    </row>
    <row r="251" spans="1:10" ht="20.100000000000001" customHeight="1">
      <c r="A251" s="1634"/>
      <c r="B251" s="1635"/>
      <c r="C251" s="1636"/>
      <c r="D251" s="1641">
        <f>N177</f>
        <v>0.73611111111111094</v>
      </c>
      <c r="E251" s="1643">
        <f>N178</f>
        <v>42466</v>
      </c>
      <c r="F251" s="1645"/>
      <c r="G251" s="1646"/>
      <c r="H251" s="1647"/>
      <c r="I251" s="1645"/>
      <c r="J251" s="1647"/>
    </row>
    <row r="252" spans="1:10" ht="16.5">
      <c r="A252" s="1637"/>
      <c r="B252" s="1638"/>
      <c r="C252" s="1639"/>
      <c r="D252" s="1642"/>
      <c r="E252" s="1644"/>
      <c r="F252" s="1648"/>
      <c r="G252" s="1649"/>
      <c r="H252" s="1650"/>
      <c r="I252" s="1651" t="s">
        <v>449</v>
      </c>
      <c r="J252" s="1651"/>
    </row>
    <row r="253" spans="1:10" ht="20.100000000000001" customHeight="1">
      <c r="A253" s="1621" t="s">
        <v>477</v>
      </c>
      <c r="B253" s="1621"/>
      <c r="C253" s="1621"/>
      <c r="D253" s="1621"/>
      <c r="E253" s="1621"/>
      <c r="F253" s="1621"/>
      <c r="G253" s="1621"/>
      <c r="H253" s="544"/>
      <c r="I253" s="544"/>
      <c r="J253" s="544"/>
    </row>
    <row r="254" spans="1:10" ht="20.100000000000001" customHeight="1">
      <c r="A254" s="1619" t="s">
        <v>410</v>
      </c>
      <c r="B254" s="1619"/>
      <c r="C254" s="1619"/>
      <c r="D254" s="1619"/>
      <c r="E254" s="1619"/>
      <c r="F254" s="1619"/>
      <c r="G254" s="1619"/>
      <c r="H254" s="513"/>
      <c r="I254" s="513"/>
      <c r="J254" s="513"/>
    </row>
    <row r="255" spans="1:10" ht="20.100000000000001" customHeight="1">
      <c r="A255" s="1619" t="s">
        <v>411</v>
      </c>
      <c r="B255" s="1619"/>
      <c r="C255" s="1619"/>
      <c r="D255" s="1619"/>
      <c r="E255" s="1619"/>
      <c r="F255" s="1619"/>
      <c r="G255" s="1619"/>
      <c r="H255" s="1625" t="s">
        <v>133</v>
      </c>
      <c r="I255" s="1625"/>
      <c r="J255" s="1625"/>
    </row>
    <row r="256" spans="1:10" ht="16.5" customHeight="1">
      <c r="A256" s="1619" t="s">
        <v>412</v>
      </c>
      <c r="B256" s="1619"/>
      <c r="C256" s="1619"/>
      <c r="D256" s="1619"/>
      <c r="E256" s="1619"/>
      <c r="F256" s="1619"/>
      <c r="G256" s="1619"/>
      <c r="H256" s="513"/>
      <c r="I256" s="513"/>
      <c r="J256" s="513"/>
    </row>
    <row r="257" spans="1:17" ht="16.5" customHeight="1">
      <c r="A257" s="1620" t="s">
        <v>413</v>
      </c>
      <c r="B257" s="1620"/>
      <c r="C257" s="1620"/>
      <c r="D257" s="1620"/>
      <c r="E257" s="1620"/>
      <c r="F257" s="1620"/>
      <c r="G257" s="1620"/>
      <c r="H257" s="513"/>
      <c r="I257" s="513"/>
      <c r="J257" s="513"/>
    </row>
    <row r="258" spans="1:17" ht="16.5" customHeight="1">
      <c r="A258" s="1620" t="s">
        <v>414</v>
      </c>
      <c r="B258" s="1620"/>
      <c r="C258" s="1620"/>
      <c r="D258" s="1620"/>
      <c r="E258" s="1620"/>
      <c r="F258" s="1620"/>
      <c r="G258" s="1620"/>
      <c r="H258" s="513"/>
      <c r="I258" s="513"/>
      <c r="J258" s="513"/>
    </row>
    <row r="259" spans="1:17" ht="16.5" customHeight="1">
      <c r="A259" s="1620" t="s">
        <v>415</v>
      </c>
      <c r="B259" s="1620"/>
      <c r="C259" s="1620"/>
      <c r="D259" s="1620"/>
      <c r="E259" s="1620"/>
      <c r="F259" s="1620"/>
      <c r="G259" s="1620"/>
      <c r="H259" s="513"/>
      <c r="I259" s="513"/>
      <c r="J259" s="513"/>
      <c r="L259" s="541"/>
    </row>
    <row r="260" spans="1:17" ht="16.5" customHeight="1">
      <c r="A260" s="1620" t="s">
        <v>416</v>
      </c>
      <c r="B260" s="1620"/>
      <c r="C260" s="1620"/>
      <c r="D260" s="1620"/>
      <c r="E260" s="1620"/>
      <c r="F260" s="1620"/>
      <c r="G260" s="1620"/>
      <c r="H260" s="513"/>
      <c r="I260" s="513"/>
      <c r="J260" s="513"/>
      <c r="L260" s="541"/>
    </row>
    <row r="261" spans="1:17" ht="16.5" customHeight="1">
      <c r="A261" s="1620" t="s">
        <v>417</v>
      </c>
      <c r="B261" s="1620"/>
      <c r="C261" s="1620"/>
      <c r="D261" s="1620"/>
      <c r="E261" s="1620"/>
      <c r="F261" s="1620"/>
      <c r="G261" s="1620"/>
      <c r="H261" s="513"/>
      <c r="I261" s="513"/>
      <c r="J261" s="513"/>
    </row>
    <row r="262" spans="1:17" ht="16.5" customHeight="1">
      <c r="A262" s="1624" t="s">
        <v>418</v>
      </c>
      <c r="B262" s="1624"/>
      <c r="C262" s="1624"/>
      <c r="D262" s="1624"/>
      <c r="E262" s="1624"/>
      <c r="F262" s="1624"/>
      <c r="G262" s="1624"/>
      <c r="H262" s="1625" t="str">
        <f>$P$16</f>
        <v>Nguyễn Mạnh Hùng</v>
      </c>
      <c r="I262" s="1625"/>
      <c r="J262" s="1625"/>
    </row>
    <row r="263" spans="1:17" ht="16.5">
      <c r="A263" s="1623" t="s">
        <v>419</v>
      </c>
      <c r="B263" s="1623"/>
      <c r="C263" s="1623"/>
      <c r="D263" s="1623"/>
      <c r="E263" s="1623"/>
      <c r="F263" s="1623"/>
      <c r="G263" s="1623"/>
      <c r="H263" s="531"/>
      <c r="I263" s="531"/>
      <c r="J263" s="531"/>
    </row>
    <row r="264" spans="1:17" ht="16.5">
      <c r="A264" s="1611" t="s">
        <v>476</v>
      </c>
      <c r="B264" s="1612"/>
      <c r="C264" s="1612"/>
      <c r="D264" s="1612"/>
      <c r="E264" s="1612"/>
      <c r="F264" s="1612"/>
      <c r="G264" s="1612"/>
      <c r="H264" s="531"/>
      <c r="I264" s="531"/>
      <c r="J264" s="531"/>
    </row>
    <row r="265" spans="1:17" ht="20.100000000000001" customHeight="1">
      <c r="A265" s="509"/>
      <c r="B265" s="509"/>
      <c r="C265" s="509"/>
      <c r="D265" s="509"/>
      <c r="E265" s="509"/>
      <c r="F265" s="510"/>
      <c r="G265" s="510"/>
      <c r="H265" s="510"/>
      <c r="I265" s="510"/>
      <c r="J265" s="510"/>
    </row>
    <row r="266" spans="1:17" ht="20.100000000000001" customHeight="1">
      <c r="A266" s="1613" t="s">
        <v>77</v>
      </c>
      <c r="B266" s="1613"/>
      <c r="C266" s="1613"/>
      <c r="D266" s="1613"/>
      <c r="E266" s="1613"/>
      <c r="F266" s="1613"/>
      <c r="G266" s="1613"/>
      <c r="H266" s="1613"/>
      <c r="I266" s="1613"/>
      <c r="J266" s="1613"/>
    </row>
    <row r="267" spans="1:17" ht="20.100000000000001" customHeight="1">
      <c r="A267" s="1614" t="s">
        <v>80</v>
      </c>
      <c r="B267" s="1614"/>
      <c r="C267" s="1614"/>
      <c r="D267" s="1614"/>
      <c r="E267" s="1614"/>
      <c r="F267" s="1614"/>
      <c r="G267" s="1614"/>
      <c r="H267" s="1614"/>
      <c r="I267" s="1614"/>
      <c r="J267" s="1614"/>
      <c r="L267" s="464"/>
      <c r="M267" s="465"/>
    </row>
    <row r="268" spans="1:17" ht="20.100000000000001" customHeight="1">
      <c r="A268" s="1616" t="s">
        <v>82</v>
      </c>
      <c r="B268" s="1616"/>
      <c r="C268" s="1616"/>
      <c r="D268" s="1616"/>
      <c r="E268" s="1616"/>
      <c r="F268" s="1616"/>
      <c r="G268" s="1616"/>
      <c r="H268" s="1616"/>
      <c r="I268" s="1616"/>
      <c r="J268" s="1616"/>
      <c r="L268" s="467"/>
      <c r="O268" s="466"/>
      <c r="P268" s="466"/>
      <c r="Q268" s="467"/>
    </row>
    <row r="269" spans="1:17" ht="20.100000000000001" customHeight="1">
      <c r="A269" s="1617">
        <f>$N181</f>
        <v>42466</v>
      </c>
      <c r="B269" s="1617"/>
      <c r="C269" s="1617"/>
      <c r="D269" s="1617"/>
      <c r="E269" s="1617"/>
      <c r="F269" s="1617"/>
      <c r="G269" s="1617"/>
      <c r="H269" s="1617"/>
      <c r="I269" s="1617"/>
      <c r="J269" s="1617"/>
      <c r="L269" s="469"/>
      <c r="N269" s="467"/>
      <c r="O269" s="466"/>
      <c r="P269" s="466"/>
      <c r="Q269" s="467"/>
    </row>
    <row r="270" spans="1:17" ht="20.100000000000001" customHeight="1">
      <c r="A270" s="1614" t="str">
        <f>"BIÊN BẢN SỐ: "&amp;N168</f>
        <v>BIÊN BẢN SỐ: B1/800</v>
      </c>
      <c r="B270" s="1614"/>
      <c r="C270" s="1614"/>
      <c r="D270" s="1614"/>
      <c r="E270" s="1614"/>
      <c r="F270" s="1614"/>
      <c r="G270" s="1614"/>
      <c r="H270" s="1614"/>
      <c r="I270" s="1614"/>
      <c r="J270" s="1614"/>
      <c r="L270" s="469"/>
      <c r="N270" s="467"/>
      <c r="P270" s="467"/>
    </row>
    <row r="271" spans="1:17" ht="20.100000000000001" customHeight="1">
      <c r="A271" s="1618" t="s">
        <v>134</v>
      </c>
      <c r="B271" s="1618"/>
      <c r="C271" s="1618"/>
      <c r="D271" s="1618"/>
      <c r="E271" s="1618"/>
      <c r="F271" s="1618"/>
      <c r="G271" s="1618"/>
      <c r="H271" s="1618"/>
      <c r="I271" s="1618"/>
      <c r="J271" s="1618"/>
      <c r="L271" s="469"/>
      <c r="N271" s="467"/>
      <c r="O271" s="466"/>
      <c r="P271" s="466"/>
      <c r="Q271" s="467"/>
    </row>
    <row r="272" spans="1:17" ht="20.100000000000001" customHeight="1">
      <c r="A272" s="471"/>
      <c r="B272" s="471"/>
      <c r="C272" s="471"/>
      <c r="D272" s="471"/>
      <c r="E272" s="471"/>
      <c r="F272" s="471"/>
      <c r="G272" s="471"/>
      <c r="H272" s="471"/>
      <c r="I272" s="471"/>
      <c r="J272" s="471"/>
      <c r="M272" s="469"/>
      <c r="O272" s="466"/>
      <c r="P272" s="466"/>
      <c r="Q272" s="467"/>
    </row>
    <row r="273" spans="1:30" s="472" customFormat="1" ht="20.100000000000001" customHeight="1">
      <c r="A273" s="476" t="s">
        <v>332</v>
      </c>
      <c r="B273" s="476"/>
      <c r="C273" s="1615" t="str">
        <f>$P$1</f>
        <v>KHU HỖN HỢP CHUNG CƯ, VĂN PHÒNG, TRUNG TÂM THƯƠNG MẠI VÀ NHÀ Ở KẾT HỢP KHU MUA SẮM</v>
      </c>
      <c r="D273" s="1615"/>
      <c r="E273" s="1615"/>
      <c r="F273" s="1615"/>
      <c r="G273" s="1615"/>
      <c r="H273" s="1615"/>
      <c r="I273" s="1615"/>
      <c r="J273" s="1615"/>
      <c r="L273" s="463"/>
      <c r="M273" s="469"/>
      <c r="N273" s="467"/>
      <c r="O273" s="466"/>
      <c r="P273" s="466"/>
      <c r="Q273" s="467"/>
      <c r="R273" s="464"/>
      <c r="S273" s="464"/>
      <c r="T273" s="464"/>
      <c r="U273" s="474"/>
      <c r="V273" s="474"/>
      <c r="W273" s="474"/>
      <c r="X273" s="474"/>
      <c r="Y273" s="475"/>
      <c r="Z273" s="475"/>
      <c r="AA273" s="475"/>
      <c r="AB273" s="475"/>
      <c r="AC273" s="475"/>
      <c r="AD273" s="475"/>
    </row>
    <row r="274" spans="1:30" s="472" customFormat="1" ht="20.100000000000001" customHeight="1">
      <c r="A274" s="476"/>
      <c r="B274" s="476"/>
      <c r="C274" s="1615"/>
      <c r="D274" s="1615"/>
      <c r="E274" s="1615"/>
      <c r="F274" s="1615"/>
      <c r="G274" s="1615"/>
      <c r="H274" s="1615"/>
      <c r="I274" s="1615"/>
      <c r="J274" s="1615"/>
      <c r="L274" s="463"/>
      <c r="M274" s="469"/>
      <c r="N274" s="467"/>
      <c r="O274" s="466"/>
      <c r="P274" s="466"/>
      <c r="Q274" s="467"/>
      <c r="R274" s="464"/>
      <c r="S274" s="464"/>
      <c r="T274" s="464"/>
      <c r="U274" s="474"/>
      <c r="V274" s="474"/>
      <c r="W274" s="474"/>
      <c r="X274" s="474"/>
      <c r="Y274" s="475"/>
      <c r="Z274" s="475"/>
      <c r="AA274" s="475"/>
      <c r="AB274" s="475"/>
      <c r="AC274" s="475"/>
      <c r="AD274" s="475"/>
    </row>
    <row r="275" spans="1:30" ht="20.100000000000001" customHeight="1">
      <c r="A275" s="476" t="s">
        <v>854</v>
      </c>
      <c r="B275" s="476"/>
      <c r="C275" s="477" t="str">
        <f>$P$2</f>
        <v>CỌC KHOAN NHỒI</v>
      </c>
      <c r="D275" s="476"/>
      <c r="E275" s="476"/>
      <c r="F275" s="476"/>
      <c r="G275" s="476"/>
      <c r="H275" s="476"/>
      <c r="I275" s="476"/>
      <c r="J275" s="476"/>
      <c r="L275" s="469"/>
      <c r="M275" s="467"/>
      <c r="N275" s="467"/>
      <c r="O275" s="466"/>
      <c r="P275" s="466"/>
      <c r="Q275" s="467"/>
      <c r="T275" s="474"/>
    </row>
    <row r="276" spans="1:30" ht="20.100000000000001" customHeight="1">
      <c r="A276" s="476" t="s">
        <v>333</v>
      </c>
      <c r="B276" s="480"/>
      <c r="C276" s="398" t="str">
        <f>$P$3</f>
        <v>P. BẠCH ĐẰNG, TP. HẠ LONG, TỈNH QUẢNG NINH</v>
      </c>
      <c r="D276" s="480"/>
      <c r="E276" s="480"/>
      <c r="F276" s="480"/>
      <c r="G276" s="480"/>
      <c r="H276" s="480"/>
      <c r="I276" s="480"/>
      <c r="J276" s="480"/>
      <c r="L276" s="469"/>
      <c r="M276" s="469"/>
      <c r="O276" s="478"/>
      <c r="P276" s="479"/>
      <c r="Q276" s="469"/>
      <c r="R276" s="474"/>
      <c r="S276" s="474"/>
    </row>
    <row r="277" spans="1:30" s="472" customFormat="1" ht="20.100000000000001" customHeight="1">
      <c r="A277" s="1596" t="s">
        <v>89</v>
      </c>
      <c r="B277" s="1596"/>
      <c r="C277" s="1596"/>
      <c r="D277" s="1596"/>
      <c r="E277" s="1596"/>
      <c r="F277" s="1596"/>
      <c r="G277" s="1596"/>
      <c r="H277" s="1596"/>
      <c r="I277" s="1596"/>
      <c r="J277" s="1596"/>
      <c r="L277" s="469"/>
      <c r="M277" s="469"/>
      <c r="N277" s="470"/>
      <c r="O277" s="466"/>
      <c r="P277" s="479"/>
      <c r="Q277" s="469"/>
      <c r="R277" s="464"/>
      <c r="S277" s="464"/>
      <c r="T277" s="464"/>
      <c r="U277" s="474"/>
      <c r="V277" s="474"/>
      <c r="W277" s="474"/>
      <c r="X277" s="474"/>
      <c r="Y277" s="475"/>
      <c r="Z277" s="475"/>
      <c r="AA277" s="475"/>
      <c r="AB277" s="475"/>
      <c r="AC277" s="475"/>
      <c r="AD277" s="475"/>
    </row>
    <row r="278" spans="1:30" s="175" customFormat="1" ht="20.100000000000001" customHeight="1">
      <c r="A278" s="1610" t="str">
        <f>"- Tên công việc: "&amp;N166</f>
        <v>- Tên công việc: Cốt thép: B1</v>
      </c>
      <c r="B278" s="1622"/>
      <c r="C278" s="1622"/>
      <c r="D278" s="1622"/>
      <c r="E278" s="1622"/>
      <c r="F278" s="1622"/>
      <c r="G278" s="1622"/>
      <c r="H278" s="1622"/>
      <c r="I278" s="1622"/>
      <c r="J278" s="1622"/>
      <c r="L278" s="520"/>
      <c r="M278" s="520"/>
      <c r="N278" s="473"/>
      <c r="O278" s="466"/>
      <c r="P278" s="479"/>
      <c r="Q278" s="469"/>
      <c r="R278" s="464"/>
      <c r="S278" s="464"/>
    </row>
    <row r="279" spans="1:30" ht="20.100000000000001" customHeight="1">
      <c r="A279" s="1610" t="str">
        <f>"- Vị trí: "&amp;N167</f>
        <v>- Vị trí: Tại công trình</v>
      </c>
      <c r="B279" s="1595"/>
      <c r="C279" s="1595"/>
      <c r="D279" s="1595"/>
      <c r="E279" s="1595"/>
      <c r="F279" s="1595"/>
      <c r="G279" s="1595"/>
      <c r="H279" s="1595"/>
      <c r="I279" s="1595"/>
      <c r="J279" s="1595"/>
      <c r="L279" s="469"/>
      <c r="M279" s="469"/>
      <c r="N279" s="175"/>
      <c r="O279" s="401"/>
      <c r="P279" s="401"/>
      <c r="Q279" s="520"/>
      <c r="R279" s="175"/>
      <c r="S279" s="175"/>
    </row>
    <row r="280" spans="1:30" ht="20.100000000000001" customHeight="1">
      <c r="A280" s="1596" t="s">
        <v>92</v>
      </c>
      <c r="B280" s="1596"/>
      <c r="C280" s="1596"/>
      <c r="D280" s="1596"/>
      <c r="E280" s="1596"/>
      <c r="F280" s="1596"/>
      <c r="G280" s="1596"/>
      <c r="H280" s="1596"/>
      <c r="I280" s="1596"/>
      <c r="J280" s="1596"/>
      <c r="M280" s="469"/>
      <c r="N280" s="470"/>
      <c r="O280" s="466"/>
      <c r="P280" s="466"/>
      <c r="Q280" s="467"/>
    </row>
    <row r="281" spans="1:30" s="175" customFormat="1" ht="20.100000000000001" customHeight="1">
      <c r="A281" s="482" t="str">
        <f>"1 - Đại diện: "&amp;$P$7</f>
        <v>1 - Đại diện: CÔNG TY CỔ PHẦN TƯ VẤN KIỂM ĐỊNH VÀ THƯƠNG MẠI XÂY DỰNG GOLDSUN</v>
      </c>
      <c r="B281" s="118"/>
      <c r="C281" s="118"/>
      <c r="D281" s="118"/>
      <c r="E281" s="118"/>
      <c r="F281" s="483"/>
      <c r="G281" s="483"/>
      <c r="H281" s="483"/>
      <c r="I281" s="483"/>
      <c r="J281" s="483"/>
      <c r="L281" s="520"/>
      <c r="M281" s="520"/>
      <c r="N281" s="473"/>
      <c r="O281" s="464"/>
      <c r="P281" s="467"/>
      <c r="Q281" s="464"/>
      <c r="R281" s="464"/>
      <c r="S281" s="464"/>
    </row>
    <row r="282" spans="1:30" ht="20.100000000000001" customHeight="1">
      <c r="A282" s="1595" t="str">
        <f>"Ông : "&amp;$P$8</f>
        <v>Ông : .....................................</v>
      </c>
      <c r="B282" s="1595"/>
      <c r="C282" s="1595"/>
      <c r="D282" s="1595"/>
      <c r="E282" s="1595"/>
      <c r="F282" s="1595" t="str">
        <f>"Chức vụ: "&amp;$Q$8</f>
        <v>Chức vụ: .....................................</v>
      </c>
      <c r="G282" s="1595"/>
      <c r="H282" s="1595"/>
      <c r="I282" s="1595"/>
      <c r="J282" s="1595"/>
      <c r="M282" s="469"/>
      <c r="N282" s="175"/>
      <c r="O282" s="401"/>
      <c r="P282" s="401"/>
      <c r="Q282" s="520"/>
      <c r="R282" s="175"/>
      <c r="S282" s="175"/>
    </row>
    <row r="283" spans="1:30" ht="20.100000000000001" customHeight="1">
      <c r="A283" s="481" t="str">
        <f>"Ông : "&amp;$P$10</f>
        <v>Ông : .....................................</v>
      </c>
      <c r="B283" s="481"/>
      <c r="C283" s="481"/>
      <c r="D283" s="481"/>
      <c r="E283" s="481"/>
      <c r="F283" s="481" t="str">
        <f>"Chức vụ: "&amp;$Q$10</f>
        <v>Chức vụ: .....................................</v>
      </c>
      <c r="G283" s="481"/>
      <c r="H283" s="481"/>
      <c r="I283" s="481"/>
      <c r="J283" s="481"/>
      <c r="N283" s="470"/>
      <c r="O283" s="466"/>
      <c r="P283" s="466"/>
      <c r="Q283" s="467"/>
    </row>
    <row r="284" spans="1:30" ht="20.100000000000001" customHeight="1">
      <c r="A284" s="1604" t="str">
        <f>"2 - Đại diện nhà thầu: "&amp;$P$14</f>
        <v>2 - Đại diện nhà thầu: Công ty TNHH MTV HANTECH</v>
      </c>
      <c r="B284" s="1604"/>
      <c r="C284" s="1604"/>
      <c r="D284" s="1604"/>
      <c r="E284" s="1604"/>
      <c r="F284" s="1604"/>
      <c r="G284" s="1604"/>
      <c r="H284" s="1604"/>
      <c r="I284" s="1604"/>
      <c r="J284" s="1604"/>
      <c r="M284" s="469"/>
      <c r="P284" s="479"/>
      <c r="Q284" s="469"/>
    </row>
    <row r="285" spans="1:30" ht="20.100000000000001" customHeight="1">
      <c r="A285" s="1595" t="str">
        <f>"Ông : "&amp;$P$15</f>
        <v>Ông : Ngô Văn Khánh</v>
      </c>
      <c r="B285" s="1595"/>
      <c r="C285" s="1595"/>
      <c r="D285" s="1595"/>
      <c r="E285" s="1595"/>
      <c r="F285" s="1595" t="str">
        <f>"Chức vụ: "&amp;$Q$15</f>
        <v>Chức vụ: Chỉ huy trưởng công trường</v>
      </c>
      <c r="G285" s="1595"/>
      <c r="H285" s="1595"/>
      <c r="I285" s="1595"/>
      <c r="J285" s="1595"/>
      <c r="N285" s="470"/>
      <c r="O285" s="466"/>
      <c r="P285" s="466"/>
      <c r="Q285" s="467"/>
    </row>
    <row r="286" spans="1:30" ht="20.100000000000001" customHeight="1">
      <c r="A286" s="1595" t="str">
        <f>"Ông : "&amp;$P$16</f>
        <v>Ông : Nguyễn Mạnh Hùng</v>
      </c>
      <c r="B286" s="1595"/>
      <c r="C286" s="1595"/>
      <c r="D286" s="1595"/>
      <c r="E286" s="1595"/>
      <c r="F286" s="1595" t="str">
        <f>"Chức vụ: "&amp;$Q$16</f>
        <v>Chức vụ: Chỉ huy phó công trường</v>
      </c>
      <c r="G286" s="1595"/>
      <c r="H286" s="1595"/>
      <c r="I286" s="1595"/>
      <c r="J286" s="1595"/>
      <c r="P286" s="479"/>
      <c r="Q286" s="469"/>
    </row>
    <row r="287" spans="1:30" ht="20.100000000000001" customHeight="1">
      <c r="A287" s="1596" t="s">
        <v>95</v>
      </c>
      <c r="B287" s="1596"/>
      <c r="C287" s="1596"/>
      <c r="D287" s="1596"/>
      <c r="E287" s="1596"/>
      <c r="F287" s="1596"/>
      <c r="G287" s="1596"/>
      <c r="H287" s="1596"/>
      <c r="I287" s="1596"/>
      <c r="J287" s="1596"/>
      <c r="P287" s="479"/>
      <c r="Q287" s="469"/>
    </row>
    <row r="288" spans="1:30" ht="20.100000000000001" customHeight="1">
      <c r="A288" s="477" t="s">
        <v>96</v>
      </c>
      <c r="B288" s="477"/>
      <c r="C288" s="477"/>
      <c r="D288" s="484">
        <f>$N180</f>
        <v>0.74305555555555536</v>
      </c>
      <c r="E288" s="1603">
        <f>A269</f>
        <v>42466</v>
      </c>
      <c r="F288" s="1603"/>
      <c r="G288" s="1603"/>
      <c r="H288" s="1603"/>
      <c r="I288" s="1603"/>
      <c r="J288" s="1603"/>
      <c r="P288" s="479"/>
      <c r="Q288" s="469"/>
    </row>
    <row r="289" spans="1:232" s="175" customFormat="1" ht="20.100000000000001" customHeight="1">
      <c r="A289" s="477" t="s">
        <v>98</v>
      </c>
      <c r="B289" s="477"/>
      <c r="C289" s="477"/>
      <c r="D289" s="484">
        <f>D288+0.010417</f>
        <v>0.75347255555555537</v>
      </c>
      <c r="E289" s="1603">
        <f>E288</f>
        <v>42466</v>
      </c>
      <c r="F289" s="1603"/>
      <c r="G289" s="1603"/>
      <c r="H289" s="1603"/>
      <c r="I289" s="1603"/>
      <c r="J289" s="1603"/>
      <c r="N289" s="464"/>
      <c r="O289" s="464"/>
      <c r="P289" s="464"/>
      <c r="Q289" s="464"/>
      <c r="R289" s="464"/>
      <c r="S289" s="464"/>
    </row>
    <row r="290" spans="1:232" ht="20.100000000000001" customHeight="1">
      <c r="A290" s="477" t="s">
        <v>99</v>
      </c>
      <c r="B290" s="477" t="str">
        <f>"Công trình: "&amp;$V$1</f>
        <v>Công trình: Khu hỗn hợp chung cư, văn phòng, trung tâm thương mại và nhà ở kết hợp khu mua sắm</v>
      </c>
      <c r="C290" s="477"/>
      <c r="D290" s="484"/>
      <c r="E290" s="485"/>
      <c r="F290" s="485"/>
      <c r="G290" s="485"/>
      <c r="H290" s="485"/>
      <c r="I290" s="485"/>
      <c r="J290" s="485"/>
      <c r="N290" s="175"/>
      <c r="O290" s="175"/>
      <c r="P290" s="175"/>
      <c r="Q290" s="175"/>
      <c r="R290" s="175"/>
      <c r="S290" s="175"/>
    </row>
    <row r="291" spans="1:232" ht="20.100000000000001" customHeight="1">
      <c r="A291" s="1595" t="str">
        <f>"Địa điểm: "&amp;$V$3</f>
        <v>Địa điểm: P. Bạch Đằng, TP Hạ Long, Tỉnh Quảng Ninh</v>
      </c>
      <c r="B291" s="1595"/>
      <c r="C291" s="1595"/>
      <c r="D291" s="1595"/>
      <c r="E291" s="1595"/>
      <c r="F291" s="1595"/>
      <c r="G291" s="1595"/>
      <c r="H291" s="1595"/>
      <c r="I291" s="1595"/>
      <c r="J291" s="1595"/>
    </row>
    <row r="292" spans="1:232" ht="20.100000000000001" customHeight="1">
      <c r="A292" s="1596" t="s">
        <v>441</v>
      </c>
      <c r="B292" s="1596"/>
      <c r="C292" s="1596"/>
      <c r="D292" s="1596"/>
      <c r="E292" s="1596"/>
      <c r="F292" s="1596"/>
      <c r="G292" s="1596"/>
      <c r="H292" s="1596"/>
      <c r="I292" s="1596"/>
      <c r="J292" s="1596"/>
    </row>
    <row r="293" spans="1:232" ht="20.100000000000001" customHeight="1">
      <c r="A293" s="1604" t="s">
        <v>101</v>
      </c>
      <c r="B293" s="1604"/>
      <c r="C293" s="1604"/>
      <c r="D293" s="1604"/>
      <c r="E293" s="1604"/>
      <c r="F293" s="1604"/>
      <c r="G293" s="1604"/>
      <c r="H293" s="1604"/>
      <c r="I293" s="1604"/>
      <c r="J293" s="1604"/>
    </row>
    <row r="294" spans="1:232" s="175" customFormat="1" ht="20.100000000000001" customHeight="1">
      <c r="A294" s="1595" t="s">
        <v>135</v>
      </c>
      <c r="B294" s="1595"/>
      <c r="C294" s="1595"/>
      <c r="D294" s="1595"/>
      <c r="E294" s="1595"/>
      <c r="F294" s="1595"/>
      <c r="G294" s="1595"/>
      <c r="H294" s="1595"/>
      <c r="I294" s="1595"/>
      <c r="J294" s="1595"/>
      <c r="N294" s="464"/>
      <c r="O294" s="464"/>
      <c r="P294" s="464"/>
      <c r="Q294" s="464"/>
      <c r="R294" s="464"/>
      <c r="S294" s="464"/>
    </row>
    <row r="295" spans="1:232" ht="20.100000000000001" customHeight="1">
      <c r="A295" s="1609" t="s">
        <v>103</v>
      </c>
      <c r="B295" s="1609"/>
      <c r="C295" s="1609"/>
      <c r="D295" s="1609"/>
      <c r="E295" s="1609"/>
      <c r="F295" s="1609"/>
      <c r="G295" s="1609"/>
      <c r="H295" s="1609"/>
      <c r="I295" s="1609"/>
      <c r="J295" s="1609"/>
      <c r="N295" s="175"/>
      <c r="O295" s="175"/>
      <c r="P295" s="175"/>
      <c r="Q295" s="175"/>
      <c r="R295" s="175"/>
      <c r="S295" s="175"/>
    </row>
    <row r="296" spans="1:232" s="488" customFormat="1" ht="20.100000000000001" customHeight="1">
      <c r="A296" s="486" t="s">
        <v>104</v>
      </c>
      <c r="B296" s="477"/>
      <c r="C296" s="477"/>
      <c r="D296" s="477"/>
      <c r="E296" s="477"/>
      <c r="F296" s="477"/>
      <c r="G296" s="477"/>
      <c r="H296" s="477"/>
      <c r="I296" s="477"/>
      <c r="J296" s="477"/>
      <c r="K296" s="477"/>
      <c r="L296" s="477"/>
      <c r="M296" s="477"/>
      <c r="N296" s="464"/>
      <c r="O296" s="464"/>
      <c r="P296" s="464"/>
      <c r="Q296" s="464"/>
      <c r="R296" s="464"/>
      <c r="S296" s="464"/>
      <c r="T296" s="487"/>
      <c r="U296" s="487"/>
      <c r="V296" s="487"/>
      <c r="W296" s="487"/>
      <c r="X296" s="487"/>
      <c r="Y296" s="487"/>
      <c r="Z296" s="487"/>
      <c r="AA296" s="487"/>
      <c r="AB296" s="487"/>
      <c r="AC296" s="487"/>
      <c r="AD296" s="487"/>
      <c r="AE296" s="487"/>
      <c r="AF296" s="487"/>
      <c r="AG296" s="487"/>
      <c r="AH296" s="487"/>
      <c r="AI296" s="487"/>
      <c r="AJ296" s="487"/>
      <c r="AK296" s="487"/>
      <c r="AL296" s="487"/>
      <c r="AM296" s="487"/>
      <c r="AN296" s="487"/>
      <c r="AO296" s="487"/>
      <c r="AP296" s="487"/>
      <c r="AQ296" s="487"/>
      <c r="AR296" s="487"/>
      <c r="AS296" s="487"/>
      <c r="AT296" s="487"/>
      <c r="AU296" s="487"/>
      <c r="AV296" s="487"/>
      <c r="AW296" s="487"/>
      <c r="AX296" s="487"/>
      <c r="AY296" s="487"/>
      <c r="AZ296" s="487"/>
      <c r="BA296" s="487"/>
      <c r="BB296" s="487"/>
      <c r="BC296" s="487"/>
      <c r="BD296" s="487"/>
      <c r="BE296" s="487"/>
      <c r="BF296" s="487"/>
      <c r="BG296" s="487"/>
      <c r="BH296" s="487"/>
      <c r="BI296" s="487"/>
      <c r="BJ296" s="487"/>
      <c r="BK296" s="487"/>
      <c r="BL296" s="487"/>
      <c r="BM296" s="487"/>
      <c r="BN296" s="487"/>
      <c r="BO296" s="487"/>
      <c r="BP296" s="487"/>
      <c r="BQ296" s="487"/>
      <c r="BR296" s="487"/>
      <c r="BS296" s="487"/>
      <c r="BT296" s="487"/>
      <c r="BU296" s="487"/>
      <c r="BV296" s="487"/>
      <c r="BW296" s="487"/>
      <c r="BX296" s="487"/>
      <c r="BY296" s="487"/>
      <c r="BZ296" s="487"/>
      <c r="CA296" s="487"/>
      <c r="CB296" s="487"/>
      <c r="CC296" s="487"/>
      <c r="CD296" s="487"/>
      <c r="CE296" s="487"/>
      <c r="CF296" s="487"/>
      <c r="CG296" s="487"/>
      <c r="CH296" s="487"/>
      <c r="CI296" s="487"/>
      <c r="CJ296" s="487"/>
      <c r="CK296" s="487"/>
      <c r="CL296" s="487"/>
      <c r="CM296" s="487"/>
      <c r="CN296" s="487"/>
      <c r="CO296" s="487"/>
      <c r="CP296" s="487"/>
      <c r="CQ296" s="487"/>
      <c r="CR296" s="487"/>
      <c r="CS296" s="487"/>
      <c r="CT296" s="487"/>
      <c r="CU296" s="487"/>
      <c r="CV296" s="487"/>
      <c r="CW296" s="487"/>
      <c r="CX296" s="487"/>
      <c r="CY296" s="487"/>
      <c r="CZ296" s="487"/>
      <c r="DA296" s="487"/>
      <c r="DB296" s="487"/>
      <c r="DC296" s="487"/>
      <c r="DD296" s="487"/>
      <c r="DE296" s="487"/>
      <c r="DF296" s="487"/>
      <c r="DG296" s="487"/>
      <c r="DH296" s="487"/>
      <c r="DI296" s="487"/>
      <c r="DJ296" s="487"/>
      <c r="DK296" s="487"/>
      <c r="DL296" s="487"/>
      <c r="DM296" s="487"/>
      <c r="DN296" s="487"/>
      <c r="DO296" s="487"/>
      <c r="DP296" s="487"/>
      <c r="DQ296" s="487"/>
      <c r="DR296" s="487"/>
      <c r="DS296" s="487"/>
      <c r="DT296" s="487"/>
      <c r="DU296" s="487"/>
      <c r="DV296" s="487"/>
      <c r="DW296" s="487"/>
      <c r="DX296" s="487"/>
      <c r="DY296" s="487"/>
      <c r="DZ296" s="487"/>
      <c r="EA296" s="487"/>
      <c r="EB296" s="487"/>
      <c r="EC296" s="487"/>
      <c r="ED296" s="487"/>
      <c r="EE296" s="487"/>
      <c r="EF296" s="487"/>
      <c r="EG296" s="487"/>
      <c r="EH296" s="487"/>
      <c r="EI296" s="487"/>
      <c r="EJ296" s="487"/>
      <c r="EK296" s="487"/>
      <c r="EL296" s="487"/>
      <c r="EM296" s="487"/>
      <c r="EN296" s="487"/>
      <c r="EO296" s="487"/>
      <c r="EP296" s="487"/>
      <c r="EQ296" s="487"/>
      <c r="ER296" s="487"/>
      <c r="ES296" s="487"/>
      <c r="ET296" s="487"/>
      <c r="EU296" s="487"/>
      <c r="EV296" s="487"/>
      <c r="EW296" s="487"/>
      <c r="EX296" s="487"/>
      <c r="EY296" s="487"/>
      <c r="EZ296" s="487"/>
      <c r="FA296" s="487"/>
      <c r="FB296" s="487"/>
      <c r="FC296" s="487"/>
      <c r="FD296" s="487"/>
      <c r="FE296" s="487"/>
      <c r="FF296" s="487"/>
      <c r="FG296" s="487"/>
      <c r="FH296" s="487"/>
      <c r="FI296" s="487"/>
      <c r="FJ296" s="487"/>
      <c r="FK296" s="487"/>
      <c r="FL296" s="487"/>
      <c r="FM296" s="487"/>
      <c r="FN296" s="487"/>
      <c r="FO296" s="487"/>
      <c r="FP296" s="487"/>
      <c r="FQ296" s="487"/>
      <c r="FR296" s="487"/>
      <c r="FS296" s="487"/>
      <c r="FT296" s="487"/>
      <c r="FU296" s="487"/>
      <c r="FV296" s="487"/>
      <c r="FW296" s="487"/>
      <c r="FX296" s="487"/>
      <c r="FY296" s="487"/>
      <c r="FZ296" s="487"/>
      <c r="GA296" s="487"/>
      <c r="GB296" s="487"/>
      <c r="GC296" s="487"/>
      <c r="GD296" s="487"/>
      <c r="GE296" s="487"/>
      <c r="GF296" s="487"/>
      <c r="GG296" s="487"/>
      <c r="GH296" s="487"/>
      <c r="GI296" s="487"/>
      <c r="GJ296" s="487"/>
      <c r="GK296" s="487"/>
      <c r="GL296" s="487"/>
      <c r="GM296" s="487"/>
      <c r="GN296" s="487"/>
      <c r="GO296" s="487"/>
      <c r="GP296" s="487"/>
      <c r="GQ296" s="487"/>
      <c r="GR296" s="487"/>
      <c r="GS296" s="487"/>
      <c r="GT296" s="487"/>
      <c r="GU296" s="487"/>
      <c r="GV296" s="487"/>
      <c r="GW296" s="487"/>
      <c r="GX296" s="487"/>
      <c r="GY296" s="487"/>
      <c r="GZ296" s="487"/>
      <c r="HA296" s="487"/>
      <c r="HB296" s="487"/>
      <c r="HC296" s="487"/>
      <c r="HD296" s="487"/>
      <c r="HE296" s="487"/>
      <c r="HF296" s="487"/>
      <c r="HG296" s="487"/>
      <c r="HH296" s="487"/>
      <c r="HI296" s="487"/>
      <c r="HJ296" s="487"/>
      <c r="HK296" s="487"/>
      <c r="HL296" s="487"/>
      <c r="HM296" s="487"/>
      <c r="HN296" s="487"/>
      <c r="HO296" s="487"/>
      <c r="HP296" s="487"/>
      <c r="HQ296" s="487"/>
      <c r="HR296" s="487"/>
      <c r="HS296" s="487"/>
      <c r="HT296" s="487"/>
      <c r="HU296" s="487"/>
      <c r="HV296" s="487"/>
      <c r="HW296" s="487"/>
      <c r="HX296" s="487"/>
    </row>
    <row r="297" spans="1:232" s="488" customFormat="1" ht="20.100000000000001" customHeight="1">
      <c r="A297" s="487"/>
      <c r="B297" s="509" t="s">
        <v>152</v>
      </c>
      <c r="C297" s="477"/>
      <c r="D297" s="477"/>
      <c r="E297" s="477"/>
      <c r="F297" s="477"/>
      <c r="G297" s="477"/>
      <c r="H297" s="477"/>
      <c r="I297" s="477"/>
      <c r="J297" s="477"/>
      <c r="K297" s="477"/>
      <c r="L297" s="477"/>
      <c r="M297" s="477"/>
      <c r="N297" s="487"/>
      <c r="O297" s="487"/>
      <c r="P297" s="487"/>
      <c r="Q297" s="487"/>
      <c r="R297" s="487"/>
      <c r="S297" s="487"/>
      <c r="T297" s="487"/>
      <c r="U297" s="489"/>
      <c r="V297" s="489"/>
      <c r="W297" s="489"/>
      <c r="X297" s="489"/>
      <c r="Y297" s="489"/>
      <c r="Z297" s="489"/>
      <c r="AA297" s="489"/>
      <c r="AB297" s="489"/>
      <c r="AC297" s="489"/>
      <c r="AD297" s="489"/>
      <c r="AE297" s="489"/>
      <c r="AF297" s="489"/>
      <c r="AG297" s="489"/>
      <c r="AH297" s="489"/>
      <c r="AI297" s="489"/>
      <c r="AJ297" s="489"/>
      <c r="AK297" s="489"/>
      <c r="AL297" s="489"/>
      <c r="AM297" s="489"/>
      <c r="AN297" s="489"/>
      <c r="AO297" s="489"/>
      <c r="AP297" s="489"/>
      <c r="AQ297" s="489"/>
      <c r="AR297" s="489"/>
      <c r="AS297" s="489"/>
      <c r="AT297" s="489"/>
      <c r="AU297" s="489"/>
      <c r="AV297" s="489"/>
      <c r="AW297" s="489"/>
      <c r="AX297" s="489"/>
      <c r="AY297" s="489"/>
      <c r="AZ297" s="489"/>
      <c r="BA297" s="489"/>
      <c r="BB297" s="489"/>
      <c r="BC297" s="489"/>
      <c r="BD297" s="489"/>
      <c r="BE297" s="489"/>
      <c r="BF297" s="489"/>
      <c r="BG297" s="489"/>
      <c r="BH297" s="489"/>
      <c r="BI297" s="489"/>
      <c r="BJ297" s="489"/>
      <c r="BK297" s="489"/>
      <c r="BL297" s="489"/>
      <c r="BM297" s="489"/>
      <c r="BN297" s="489"/>
      <c r="BO297" s="489"/>
      <c r="BP297" s="489"/>
      <c r="BQ297" s="489"/>
      <c r="BR297" s="489"/>
      <c r="BS297" s="489"/>
      <c r="BT297" s="489"/>
      <c r="BU297" s="489"/>
      <c r="BV297" s="489"/>
      <c r="BW297" s="489"/>
      <c r="BX297" s="489"/>
      <c r="BY297" s="489"/>
      <c r="BZ297" s="489"/>
      <c r="CA297" s="489"/>
      <c r="CB297" s="489"/>
      <c r="CC297" s="489"/>
      <c r="CD297" s="489"/>
      <c r="CE297" s="489"/>
      <c r="CF297" s="489"/>
      <c r="CG297" s="489"/>
      <c r="CH297" s="489"/>
      <c r="CI297" s="489"/>
      <c r="CJ297" s="489"/>
      <c r="CK297" s="489"/>
      <c r="CL297" s="489"/>
      <c r="CM297" s="489"/>
      <c r="CN297" s="489"/>
      <c r="CO297" s="489"/>
      <c r="CP297" s="489"/>
      <c r="CQ297" s="489"/>
      <c r="CR297" s="489"/>
      <c r="CS297" s="489"/>
      <c r="CT297" s="489"/>
      <c r="CU297" s="489"/>
      <c r="CV297" s="489"/>
      <c r="CW297" s="489"/>
      <c r="CX297" s="489"/>
      <c r="CY297" s="489"/>
      <c r="CZ297" s="489"/>
      <c r="DA297" s="489"/>
      <c r="DB297" s="489"/>
      <c r="DC297" s="489"/>
      <c r="DD297" s="489"/>
      <c r="DE297" s="489"/>
      <c r="DF297" s="489"/>
      <c r="DG297" s="489"/>
      <c r="DH297" s="489"/>
      <c r="DI297" s="489"/>
      <c r="DJ297" s="489"/>
      <c r="DK297" s="489"/>
      <c r="DL297" s="489"/>
      <c r="DM297" s="489"/>
      <c r="DN297" s="489"/>
      <c r="DO297" s="489"/>
      <c r="DP297" s="489"/>
      <c r="DQ297" s="489"/>
      <c r="DR297" s="489"/>
      <c r="DS297" s="489"/>
      <c r="DT297" s="489"/>
      <c r="DU297" s="489"/>
      <c r="DV297" s="489"/>
      <c r="DW297" s="489"/>
      <c r="DX297" s="489"/>
      <c r="DY297" s="489"/>
      <c r="DZ297" s="489"/>
      <c r="EA297" s="489"/>
      <c r="EB297" s="489"/>
      <c r="EC297" s="489"/>
      <c r="ED297" s="489"/>
      <c r="EE297" s="489"/>
      <c r="EF297" s="489"/>
      <c r="EG297" s="489"/>
      <c r="EH297" s="489"/>
      <c r="EI297" s="489"/>
      <c r="EJ297" s="489"/>
      <c r="EK297" s="489"/>
      <c r="EL297" s="489"/>
      <c r="EM297" s="489"/>
      <c r="EN297" s="489"/>
      <c r="EO297" s="489"/>
      <c r="EP297" s="489"/>
      <c r="EQ297" s="489"/>
      <c r="ER297" s="489"/>
      <c r="ES297" s="489"/>
      <c r="ET297" s="489"/>
      <c r="EU297" s="489"/>
      <c r="EV297" s="489"/>
      <c r="EW297" s="489"/>
      <c r="EX297" s="489"/>
      <c r="EY297" s="489"/>
      <c r="EZ297" s="489"/>
      <c r="FA297" s="489"/>
      <c r="FB297" s="489"/>
      <c r="FC297" s="489"/>
      <c r="FD297" s="489"/>
      <c r="FE297" s="489"/>
      <c r="FF297" s="489"/>
      <c r="FG297" s="489"/>
      <c r="FH297" s="489"/>
      <c r="FI297" s="489"/>
      <c r="FJ297" s="489"/>
      <c r="FK297" s="489"/>
      <c r="FL297" s="489"/>
      <c r="FM297" s="489"/>
      <c r="FN297" s="489"/>
      <c r="FO297" s="489"/>
      <c r="FP297" s="489"/>
      <c r="FQ297" s="489"/>
      <c r="FR297" s="489"/>
      <c r="FS297" s="489"/>
      <c r="FT297" s="489"/>
      <c r="FU297" s="489"/>
      <c r="FV297" s="489"/>
      <c r="FW297" s="489"/>
      <c r="FX297" s="489"/>
      <c r="FY297" s="489"/>
      <c r="FZ297" s="489"/>
      <c r="GA297" s="489"/>
      <c r="GB297" s="489"/>
      <c r="GC297" s="489"/>
      <c r="GD297" s="489"/>
      <c r="GE297" s="489"/>
      <c r="GF297" s="489"/>
      <c r="GG297" s="489"/>
      <c r="GH297" s="489"/>
      <c r="GI297" s="489"/>
      <c r="GJ297" s="489"/>
      <c r="GK297" s="489"/>
      <c r="GL297" s="489"/>
      <c r="GM297" s="489"/>
      <c r="GN297" s="489"/>
      <c r="GO297" s="489"/>
      <c r="GP297" s="489"/>
      <c r="GQ297" s="489"/>
      <c r="GR297" s="489"/>
      <c r="GS297" s="489"/>
      <c r="GT297" s="489"/>
      <c r="GU297" s="489"/>
      <c r="GV297" s="489"/>
      <c r="GW297" s="489"/>
      <c r="GX297" s="489"/>
      <c r="GY297" s="489"/>
      <c r="GZ297" s="489"/>
      <c r="HA297" s="489"/>
      <c r="HB297" s="489"/>
      <c r="HC297" s="489"/>
      <c r="HD297" s="489"/>
      <c r="HE297" s="489"/>
      <c r="HF297" s="489"/>
      <c r="HG297" s="489"/>
      <c r="HH297" s="489"/>
      <c r="HI297" s="489"/>
      <c r="HJ297" s="489"/>
      <c r="HK297" s="489"/>
      <c r="HL297" s="489"/>
      <c r="HM297" s="489"/>
      <c r="HN297" s="489"/>
      <c r="HO297" s="489"/>
      <c r="HP297" s="489"/>
      <c r="HQ297" s="489"/>
      <c r="HR297" s="489"/>
      <c r="HS297" s="489"/>
      <c r="HT297" s="489"/>
      <c r="HU297" s="489"/>
      <c r="HV297" s="489"/>
      <c r="HW297" s="489"/>
      <c r="HX297" s="487"/>
    </row>
    <row r="298" spans="1:232" s="488" customFormat="1" ht="20.100000000000001" customHeight="1">
      <c r="A298" s="487"/>
      <c r="B298" s="477" t="s">
        <v>105</v>
      </c>
      <c r="C298" s="477"/>
      <c r="D298" s="477"/>
      <c r="E298" s="477"/>
      <c r="F298" s="477"/>
      <c r="G298" s="477"/>
      <c r="H298" s="477"/>
      <c r="I298" s="477"/>
      <c r="J298" s="477"/>
      <c r="K298" s="477"/>
      <c r="L298" s="477"/>
      <c r="M298" s="477"/>
      <c r="N298" s="487"/>
      <c r="O298" s="487"/>
      <c r="P298" s="487"/>
      <c r="Q298" s="487"/>
      <c r="R298" s="487"/>
      <c r="S298" s="487"/>
      <c r="T298" s="477"/>
      <c r="U298" s="489"/>
      <c r="V298" s="489"/>
      <c r="W298" s="489"/>
      <c r="X298" s="489"/>
      <c r="Y298" s="489"/>
      <c r="Z298" s="489"/>
      <c r="AA298" s="489"/>
      <c r="AB298" s="489"/>
      <c r="AC298" s="489"/>
      <c r="AD298" s="489"/>
      <c r="AE298" s="489"/>
      <c r="AF298" s="489"/>
      <c r="AG298" s="489"/>
      <c r="AH298" s="489"/>
      <c r="AI298" s="489"/>
      <c r="AJ298" s="489"/>
      <c r="AK298" s="489"/>
      <c r="AL298" s="489"/>
      <c r="AM298" s="489"/>
      <c r="AN298" s="489"/>
      <c r="AO298" s="489"/>
      <c r="AP298" s="489"/>
      <c r="AQ298" s="489"/>
      <c r="AR298" s="489"/>
      <c r="AS298" s="489"/>
      <c r="AT298" s="489"/>
      <c r="AU298" s="489"/>
      <c r="AV298" s="489"/>
      <c r="AW298" s="489"/>
      <c r="AX298" s="489"/>
      <c r="AY298" s="489"/>
      <c r="AZ298" s="489"/>
      <c r="BA298" s="489"/>
      <c r="BB298" s="489"/>
      <c r="BC298" s="489"/>
      <c r="BD298" s="489"/>
      <c r="BE298" s="489"/>
      <c r="BF298" s="489"/>
      <c r="BG298" s="489"/>
      <c r="BH298" s="489"/>
      <c r="BI298" s="489"/>
      <c r="BJ298" s="489"/>
      <c r="BK298" s="489"/>
      <c r="BL298" s="489"/>
      <c r="BM298" s="489"/>
      <c r="BN298" s="489"/>
      <c r="BO298" s="489"/>
      <c r="BP298" s="489"/>
      <c r="BQ298" s="489"/>
      <c r="BR298" s="489"/>
      <c r="BS298" s="489"/>
      <c r="BT298" s="489"/>
      <c r="BU298" s="489"/>
      <c r="BV298" s="489"/>
      <c r="BW298" s="489"/>
      <c r="BX298" s="489"/>
      <c r="BY298" s="489"/>
      <c r="BZ298" s="489"/>
      <c r="CA298" s="489"/>
      <c r="CB298" s="489"/>
      <c r="CC298" s="489"/>
      <c r="CD298" s="489"/>
      <c r="CE298" s="489"/>
      <c r="CF298" s="489"/>
      <c r="CG298" s="489"/>
      <c r="CH298" s="489"/>
      <c r="CI298" s="489"/>
      <c r="CJ298" s="489"/>
      <c r="CK298" s="489"/>
      <c r="CL298" s="489"/>
      <c r="CM298" s="489"/>
      <c r="CN298" s="489"/>
      <c r="CO298" s="489"/>
      <c r="CP298" s="489"/>
      <c r="CQ298" s="489"/>
      <c r="CR298" s="489"/>
      <c r="CS298" s="489"/>
      <c r="CT298" s="489"/>
      <c r="CU298" s="489"/>
      <c r="CV298" s="489"/>
      <c r="CW298" s="489"/>
      <c r="CX298" s="489"/>
      <c r="CY298" s="489"/>
      <c r="CZ298" s="489"/>
      <c r="DA298" s="489"/>
      <c r="DB298" s="489"/>
      <c r="DC298" s="489"/>
      <c r="DD298" s="489"/>
      <c r="DE298" s="489"/>
      <c r="DF298" s="489"/>
      <c r="DG298" s="489"/>
      <c r="DH298" s="489"/>
      <c r="DI298" s="489"/>
      <c r="DJ298" s="489"/>
      <c r="DK298" s="489"/>
      <c r="DL298" s="489"/>
      <c r="DM298" s="489"/>
      <c r="DN298" s="489"/>
      <c r="DO298" s="489"/>
      <c r="DP298" s="489"/>
      <c r="DQ298" s="489"/>
      <c r="DR298" s="489"/>
      <c r="DS298" s="489"/>
      <c r="DT298" s="489"/>
      <c r="DU298" s="489"/>
      <c r="DV298" s="489"/>
      <c r="DW298" s="489"/>
      <c r="DX298" s="489"/>
      <c r="DY298" s="489"/>
      <c r="DZ298" s="489"/>
      <c r="EA298" s="489"/>
      <c r="EB298" s="489"/>
      <c r="EC298" s="489"/>
      <c r="ED298" s="489"/>
      <c r="EE298" s="489"/>
      <c r="EF298" s="489"/>
      <c r="EG298" s="489"/>
      <c r="EH298" s="489"/>
      <c r="EI298" s="489"/>
      <c r="EJ298" s="489"/>
      <c r="EK298" s="489"/>
      <c r="EL298" s="489"/>
      <c r="EM298" s="489"/>
      <c r="EN298" s="489"/>
      <c r="EO298" s="489"/>
      <c r="EP298" s="489"/>
      <c r="EQ298" s="489"/>
      <c r="ER298" s="489"/>
      <c r="ES298" s="489"/>
      <c r="ET298" s="489"/>
      <c r="EU298" s="489"/>
      <c r="EV298" s="489"/>
      <c r="EW298" s="489"/>
      <c r="EX298" s="489"/>
      <c r="EY298" s="489"/>
      <c r="EZ298" s="489"/>
      <c r="FA298" s="489"/>
      <c r="FB298" s="489"/>
      <c r="FC298" s="489"/>
      <c r="FD298" s="489"/>
      <c r="FE298" s="489"/>
      <c r="FF298" s="489"/>
      <c r="FG298" s="489"/>
      <c r="FH298" s="489"/>
      <c r="FI298" s="489"/>
      <c r="FJ298" s="489"/>
      <c r="FK298" s="489"/>
      <c r="FL298" s="489"/>
      <c r="FM298" s="489"/>
      <c r="FN298" s="489"/>
      <c r="FO298" s="489"/>
      <c r="FP298" s="489"/>
      <c r="FQ298" s="489"/>
      <c r="FR298" s="489"/>
      <c r="FS298" s="489"/>
      <c r="FT298" s="489"/>
      <c r="FU298" s="489"/>
      <c r="FV298" s="489"/>
      <c r="FW298" s="489"/>
      <c r="FX298" s="489"/>
      <c r="FY298" s="489"/>
      <c r="FZ298" s="489"/>
      <c r="GA298" s="489"/>
      <c r="GB298" s="489"/>
      <c r="GC298" s="489"/>
      <c r="GD298" s="489"/>
      <c r="GE298" s="489"/>
      <c r="GF298" s="489"/>
      <c r="GG298" s="489"/>
      <c r="GH298" s="489"/>
      <c r="GI298" s="489"/>
      <c r="GJ298" s="489"/>
      <c r="GK298" s="489"/>
      <c r="GL298" s="489"/>
      <c r="GM298" s="489"/>
      <c r="GN298" s="489"/>
      <c r="GO298" s="489"/>
      <c r="GP298" s="489"/>
      <c r="GQ298" s="489"/>
      <c r="GR298" s="489"/>
      <c r="GS298" s="489"/>
      <c r="GT298" s="489"/>
      <c r="GU298" s="489"/>
      <c r="GV298" s="489"/>
      <c r="GW298" s="489"/>
      <c r="GX298" s="489"/>
      <c r="GY298" s="489"/>
      <c r="GZ298" s="489"/>
      <c r="HA298" s="489"/>
      <c r="HB298" s="489"/>
      <c r="HC298" s="489"/>
      <c r="HD298" s="489"/>
      <c r="HE298" s="489"/>
      <c r="HF298" s="489"/>
      <c r="HG298" s="489"/>
      <c r="HH298" s="489"/>
      <c r="HI298" s="489"/>
      <c r="HJ298" s="489"/>
      <c r="HK298" s="489"/>
      <c r="HL298" s="489"/>
      <c r="HM298" s="489"/>
      <c r="HN298" s="489"/>
      <c r="HO298" s="489"/>
      <c r="HP298" s="489"/>
      <c r="HQ298" s="489"/>
      <c r="HR298" s="489"/>
      <c r="HS298" s="489"/>
      <c r="HT298" s="489"/>
      <c r="HU298" s="489"/>
      <c r="HV298" s="489"/>
      <c r="HW298" s="489"/>
      <c r="HX298" s="487"/>
    </row>
    <row r="299" spans="1:232" s="488" customFormat="1" ht="20.100000000000001" customHeight="1">
      <c r="A299" s="490"/>
      <c r="B299" s="491" t="s">
        <v>106</v>
      </c>
      <c r="C299" s="491"/>
      <c r="D299" s="491"/>
      <c r="E299" s="491"/>
      <c r="F299" s="491"/>
      <c r="G299" s="491"/>
      <c r="H299" s="491"/>
      <c r="I299" s="491"/>
      <c r="J299" s="491"/>
      <c r="K299" s="491"/>
      <c r="L299" s="477"/>
      <c r="M299" s="477"/>
      <c r="N299" s="477"/>
      <c r="O299" s="477"/>
      <c r="P299" s="477"/>
      <c r="Q299" s="477"/>
      <c r="R299" s="477"/>
      <c r="S299" s="477"/>
      <c r="T299" s="492"/>
      <c r="U299" s="489"/>
      <c r="V299" s="489"/>
      <c r="W299" s="489"/>
      <c r="X299" s="489"/>
      <c r="Y299" s="489"/>
      <c r="Z299" s="489"/>
      <c r="AA299" s="489"/>
      <c r="AB299" s="489"/>
      <c r="AC299" s="489"/>
      <c r="AD299" s="489"/>
      <c r="AE299" s="489"/>
      <c r="AF299" s="489"/>
      <c r="AG299" s="489"/>
      <c r="AH299" s="489"/>
      <c r="AI299" s="489"/>
      <c r="AJ299" s="489"/>
      <c r="AK299" s="489"/>
      <c r="AL299" s="489"/>
      <c r="AM299" s="489"/>
      <c r="AN299" s="489"/>
      <c r="AO299" s="489"/>
      <c r="AP299" s="489"/>
      <c r="AQ299" s="489"/>
      <c r="AR299" s="489"/>
      <c r="AS299" s="489"/>
      <c r="AT299" s="489"/>
      <c r="AU299" s="489"/>
      <c r="AV299" s="489"/>
      <c r="AW299" s="489"/>
      <c r="AX299" s="489"/>
      <c r="AY299" s="489"/>
      <c r="AZ299" s="489"/>
      <c r="BA299" s="489"/>
      <c r="BB299" s="489"/>
      <c r="BC299" s="489"/>
      <c r="BD299" s="489"/>
      <c r="BE299" s="489"/>
      <c r="BF299" s="489"/>
      <c r="BG299" s="489"/>
      <c r="BH299" s="489"/>
      <c r="BI299" s="489"/>
      <c r="BJ299" s="489"/>
      <c r="BK299" s="489"/>
      <c r="BL299" s="489"/>
      <c r="BM299" s="489"/>
      <c r="BN299" s="489"/>
      <c r="BO299" s="489"/>
      <c r="BP299" s="489"/>
      <c r="BQ299" s="489"/>
      <c r="BR299" s="489"/>
      <c r="BS299" s="489"/>
      <c r="BT299" s="489"/>
      <c r="BU299" s="489"/>
      <c r="BV299" s="489"/>
      <c r="BW299" s="489"/>
      <c r="BX299" s="489"/>
      <c r="BY299" s="489"/>
      <c r="BZ299" s="489"/>
      <c r="CA299" s="489"/>
      <c r="CB299" s="489"/>
      <c r="CC299" s="489"/>
      <c r="CD299" s="489"/>
      <c r="CE299" s="489"/>
      <c r="CF299" s="489"/>
      <c r="CG299" s="489"/>
      <c r="CH299" s="489"/>
      <c r="CI299" s="489"/>
      <c r="CJ299" s="489"/>
      <c r="CK299" s="489"/>
      <c r="CL299" s="489"/>
      <c r="CM299" s="489"/>
      <c r="CN299" s="489"/>
      <c r="CO299" s="489"/>
      <c r="CP299" s="489"/>
      <c r="CQ299" s="489"/>
      <c r="CR299" s="489"/>
      <c r="CS299" s="489"/>
      <c r="CT299" s="489"/>
      <c r="CU299" s="489"/>
      <c r="CV299" s="489"/>
      <c r="CW299" s="489"/>
      <c r="CX299" s="489"/>
      <c r="CY299" s="489"/>
      <c r="CZ299" s="489"/>
      <c r="DA299" s="489"/>
      <c r="DB299" s="489"/>
      <c r="DC299" s="489"/>
      <c r="DD299" s="489"/>
      <c r="DE299" s="489"/>
      <c r="DF299" s="489"/>
      <c r="DG299" s="489"/>
      <c r="DH299" s="489"/>
      <c r="DI299" s="489"/>
      <c r="DJ299" s="489"/>
      <c r="DK299" s="489"/>
      <c r="DL299" s="489"/>
      <c r="DM299" s="489"/>
      <c r="DN299" s="489"/>
      <c r="DO299" s="489"/>
      <c r="DP299" s="489"/>
      <c r="DQ299" s="489"/>
      <c r="DR299" s="489"/>
      <c r="DS299" s="489"/>
      <c r="DT299" s="489"/>
      <c r="DU299" s="489"/>
      <c r="DV299" s="489"/>
      <c r="DW299" s="489"/>
      <c r="DX299" s="489"/>
      <c r="DY299" s="489"/>
      <c r="DZ299" s="489"/>
      <c r="EA299" s="489"/>
      <c r="EB299" s="489"/>
      <c r="EC299" s="489"/>
      <c r="ED299" s="489"/>
      <c r="EE299" s="489"/>
      <c r="EF299" s="489"/>
      <c r="EG299" s="489"/>
      <c r="EH299" s="489"/>
      <c r="EI299" s="489"/>
      <c r="EJ299" s="489"/>
      <c r="EK299" s="489"/>
      <c r="EL299" s="489"/>
      <c r="EM299" s="489"/>
      <c r="EN299" s="489"/>
      <c r="EO299" s="489"/>
      <c r="EP299" s="489"/>
      <c r="EQ299" s="489"/>
      <c r="ER299" s="489"/>
      <c r="ES299" s="489"/>
      <c r="ET299" s="489"/>
      <c r="EU299" s="489"/>
      <c r="EV299" s="489"/>
      <c r="EW299" s="489"/>
      <c r="EX299" s="489"/>
      <c r="EY299" s="489"/>
      <c r="EZ299" s="489"/>
      <c r="FA299" s="489"/>
      <c r="FB299" s="489"/>
      <c r="FC299" s="489"/>
      <c r="FD299" s="489"/>
      <c r="FE299" s="489"/>
      <c r="FF299" s="489"/>
      <c r="FG299" s="489"/>
      <c r="FH299" s="489"/>
      <c r="FI299" s="489"/>
      <c r="FJ299" s="489"/>
      <c r="FK299" s="489"/>
      <c r="FL299" s="489"/>
      <c r="FM299" s="489"/>
      <c r="FN299" s="489"/>
      <c r="FO299" s="489"/>
      <c r="FP299" s="489"/>
      <c r="FQ299" s="489"/>
      <c r="FR299" s="489"/>
      <c r="FS299" s="489"/>
      <c r="FT299" s="489"/>
      <c r="FU299" s="489"/>
      <c r="FV299" s="489"/>
      <c r="FW299" s="489"/>
      <c r="FX299" s="489"/>
      <c r="FY299" s="489"/>
      <c r="FZ299" s="489"/>
      <c r="GA299" s="489"/>
      <c r="GB299" s="489"/>
      <c r="GC299" s="489"/>
      <c r="GD299" s="489"/>
      <c r="GE299" s="489"/>
      <c r="GF299" s="489"/>
      <c r="GG299" s="489"/>
      <c r="GH299" s="489"/>
      <c r="GI299" s="489"/>
      <c r="GJ299" s="489"/>
      <c r="GK299" s="489"/>
      <c r="GL299" s="489"/>
      <c r="GM299" s="489"/>
      <c r="GN299" s="489"/>
      <c r="GO299" s="489"/>
      <c r="GP299" s="489"/>
      <c r="GQ299" s="489"/>
      <c r="GR299" s="489"/>
      <c r="GS299" s="489"/>
      <c r="GT299" s="489"/>
      <c r="GU299" s="489"/>
      <c r="GV299" s="489"/>
      <c r="GW299" s="489"/>
      <c r="GX299" s="489"/>
      <c r="GY299" s="489"/>
      <c r="GZ299" s="489"/>
      <c r="HA299" s="489"/>
      <c r="HB299" s="489"/>
      <c r="HC299" s="489"/>
      <c r="HD299" s="489"/>
      <c r="HE299" s="489"/>
      <c r="HF299" s="489"/>
      <c r="HG299" s="489"/>
      <c r="HH299" s="489"/>
      <c r="HI299" s="489"/>
      <c r="HJ299" s="489"/>
      <c r="HK299" s="489"/>
      <c r="HL299" s="489"/>
      <c r="HM299" s="489"/>
      <c r="HN299" s="489"/>
      <c r="HO299" s="489"/>
      <c r="HP299" s="489"/>
      <c r="HQ299" s="489"/>
      <c r="HR299" s="489"/>
      <c r="HS299" s="489"/>
      <c r="HT299" s="489"/>
      <c r="HU299" s="489"/>
      <c r="HV299" s="489"/>
      <c r="HW299" s="489"/>
      <c r="HX299" s="487"/>
    </row>
    <row r="300" spans="1:232" s="488" customFormat="1" ht="39.75" customHeight="1">
      <c r="A300" s="490"/>
      <c r="B300" s="1602" t="s">
        <v>107</v>
      </c>
      <c r="C300" s="1602"/>
      <c r="D300" s="1602"/>
      <c r="E300" s="1602"/>
      <c r="F300" s="1602"/>
      <c r="G300" s="1602"/>
      <c r="H300" s="1602"/>
      <c r="I300" s="1602"/>
      <c r="J300" s="1602"/>
      <c r="K300" s="491"/>
      <c r="L300" s="477"/>
      <c r="M300" s="477"/>
      <c r="N300" s="492"/>
      <c r="O300" s="492"/>
      <c r="P300" s="492"/>
      <c r="Q300" s="492"/>
      <c r="R300" s="492"/>
      <c r="S300" s="492"/>
      <c r="T300" s="492"/>
      <c r="U300" s="489"/>
      <c r="V300" s="489"/>
      <c r="W300" s="489"/>
      <c r="X300" s="489"/>
      <c r="Y300" s="489"/>
      <c r="Z300" s="489"/>
      <c r="AA300" s="489"/>
      <c r="AB300" s="489"/>
      <c r="AC300" s="489"/>
      <c r="AD300" s="489"/>
      <c r="AE300" s="489"/>
      <c r="AF300" s="489"/>
      <c r="AG300" s="489"/>
      <c r="AH300" s="489"/>
      <c r="AI300" s="489"/>
      <c r="AJ300" s="489"/>
      <c r="AK300" s="489"/>
      <c r="AL300" s="489"/>
      <c r="AM300" s="489"/>
      <c r="AN300" s="489"/>
      <c r="AO300" s="489"/>
      <c r="AP300" s="489"/>
      <c r="AQ300" s="489"/>
      <c r="AR300" s="489"/>
      <c r="AS300" s="489"/>
      <c r="AT300" s="489"/>
      <c r="AU300" s="489"/>
      <c r="AV300" s="489"/>
      <c r="AW300" s="489"/>
      <c r="AX300" s="489"/>
      <c r="AY300" s="489"/>
      <c r="AZ300" s="489"/>
      <c r="BA300" s="489"/>
      <c r="BB300" s="489"/>
      <c r="BC300" s="489"/>
      <c r="BD300" s="489"/>
      <c r="BE300" s="489"/>
      <c r="BF300" s="489"/>
      <c r="BG300" s="489"/>
      <c r="BH300" s="489"/>
      <c r="BI300" s="489"/>
      <c r="BJ300" s="489"/>
      <c r="BK300" s="489"/>
      <c r="BL300" s="489"/>
      <c r="BM300" s="489"/>
      <c r="BN300" s="489"/>
      <c r="BO300" s="489"/>
      <c r="BP300" s="489"/>
      <c r="BQ300" s="489"/>
      <c r="BR300" s="489"/>
      <c r="BS300" s="489"/>
      <c r="BT300" s="489"/>
      <c r="BU300" s="489"/>
      <c r="BV300" s="489"/>
      <c r="BW300" s="489"/>
      <c r="BX300" s="489"/>
      <c r="BY300" s="489"/>
      <c r="BZ300" s="489"/>
      <c r="CA300" s="489"/>
      <c r="CB300" s="489"/>
      <c r="CC300" s="489"/>
      <c r="CD300" s="489"/>
      <c r="CE300" s="489"/>
      <c r="CF300" s="489"/>
      <c r="CG300" s="489"/>
      <c r="CH300" s="489"/>
      <c r="CI300" s="489"/>
      <c r="CJ300" s="489"/>
      <c r="CK300" s="489"/>
      <c r="CL300" s="489"/>
      <c r="CM300" s="489"/>
      <c r="CN300" s="489"/>
      <c r="CO300" s="489"/>
      <c r="CP300" s="489"/>
      <c r="CQ300" s="489"/>
      <c r="CR300" s="489"/>
      <c r="CS300" s="489"/>
      <c r="CT300" s="489"/>
      <c r="CU300" s="489"/>
      <c r="CV300" s="489"/>
      <c r="CW300" s="489"/>
      <c r="CX300" s="489"/>
      <c r="CY300" s="489"/>
      <c r="CZ300" s="489"/>
      <c r="DA300" s="489"/>
      <c r="DB300" s="489"/>
      <c r="DC300" s="489"/>
      <c r="DD300" s="489"/>
      <c r="DE300" s="489"/>
      <c r="DF300" s="489"/>
      <c r="DG300" s="489"/>
      <c r="DH300" s="489"/>
      <c r="DI300" s="489"/>
      <c r="DJ300" s="489"/>
      <c r="DK300" s="489"/>
      <c r="DL300" s="489"/>
      <c r="DM300" s="489"/>
      <c r="DN300" s="489"/>
      <c r="DO300" s="489"/>
      <c r="DP300" s="489"/>
      <c r="DQ300" s="489"/>
      <c r="DR300" s="489"/>
      <c r="DS300" s="489"/>
      <c r="DT300" s="489"/>
      <c r="DU300" s="489"/>
      <c r="DV300" s="489"/>
      <c r="DW300" s="489"/>
      <c r="DX300" s="489"/>
      <c r="DY300" s="489"/>
      <c r="DZ300" s="489"/>
      <c r="EA300" s="489"/>
      <c r="EB300" s="489"/>
      <c r="EC300" s="489"/>
      <c r="ED300" s="489"/>
      <c r="EE300" s="489"/>
      <c r="EF300" s="489"/>
      <c r="EG300" s="489"/>
      <c r="EH300" s="489"/>
      <c r="EI300" s="489"/>
      <c r="EJ300" s="489"/>
      <c r="EK300" s="489"/>
      <c r="EL300" s="489"/>
      <c r="EM300" s="489"/>
      <c r="EN300" s="489"/>
      <c r="EO300" s="489"/>
      <c r="EP300" s="489"/>
      <c r="EQ300" s="489"/>
      <c r="ER300" s="489"/>
      <c r="ES300" s="489"/>
      <c r="ET300" s="489"/>
      <c r="EU300" s="489"/>
      <c r="EV300" s="489"/>
      <c r="EW300" s="489"/>
      <c r="EX300" s="489"/>
      <c r="EY300" s="489"/>
      <c r="EZ300" s="489"/>
      <c r="FA300" s="489"/>
      <c r="FB300" s="489"/>
      <c r="FC300" s="489"/>
      <c r="FD300" s="489"/>
      <c r="FE300" s="489"/>
      <c r="FF300" s="489"/>
      <c r="FG300" s="489"/>
      <c r="FH300" s="489"/>
      <c r="FI300" s="489"/>
      <c r="FJ300" s="489"/>
      <c r="FK300" s="489"/>
      <c r="FL300" s="489"/>
      <c r="FM300" s="489"/>
      <c r="FN300" s="489"/>
      <c r="FO300" s="489"/>
      <c r="FP300" s="489"/>
      <c r="FQ300" s="489"/>
      <c r="FR300" s="489"/>
      <c r="FS300" s="489"/>
      <c r="FT300" s="489"/>
      <c r="FU300" s="489"/>
      <c r="FV300" s="489"/>
      <c r="FW300" s="489"/>
      <c r="FX300" s="489"/>
      <c r="FY300" s="489"/>
      <c r="FZ300" s="489"/>
      <c r="GA300" s="489"/>
      <c r="GB300" s="489"/>
      <c r="GC300" s="489"/>
      <c r="GD300" s="489"/>
      <c r="GE300" s="489"/>
      <c r="GF300" s="489"/>
      <c r="GG300" s="489"/>
      <c r="GH300" s="489"/>
      <c r="GI300" s="489"/>
      <c r="GJ300" s="489"/>
      <c r="GK300" s="489"/>
      <c r="GL300" s="489"/>
      <c r="GM300" s="489"/>
      <c r="GN300" s="489"/>
      <c r="GO300" s="489"/>
      <c r="GP300" s="489"/>
      <c r="GQ300" s="489"/>
      <c r="GR300" s="489"/>
      <c r="GS300" s="489"/>
      <c r="GT300" s="489"/>
      <c r="GU300" s="489"/>
      <c r="GV300" s="489"/>
      <c r="GW300" s="489"/>
      <c r="GX300" s="489"/>
      <c r="GY300" s="489"/>
      <c r="GZ300" s="489"/>
      <c r="HA300" s="489"/>
      <c r="HB300" s="489"/>
      <c r="HC300" s="489"/>
      <c r="HD300" s="489"/>
      <c r="HE300" s="489"/>
      <c r="HF300" s="489"/>
      <c r="HG300" s="489"/>
      <c r="HH300" s="489"/>
      <c r="HI300" s="489"/>
      <c r="HJ300" s="489"/>
      <c r="HK300" s="489"/>
      <c r="HL300" s="489"/>
      <c r="HM300" s="489"/>
      <c r="HN300" s="489"/>
      <c r="HO300" s="489"/>
      <c r="HP300" s="489"/>
      <c r="HQ300" s="489"/>
      <c r="HR300" s="489"/>
      <c r="HS300" s="489"/>
      <c r="HT300" s="489"/>
      <c r="HU300" s="489"/>
      <c r="HV300" s="489"/>
      <c r="HW300" s="489"/>
      <c r="HX300" s="487"/>
    </row>
    <row r="301" spans="1:232" s="488" customFormat="1" ht="19.5" customHeight="1">
      <c r="A301" s="490"/>
      <c r="B301" s="1602" t="s">
        <v>451</v>
      </c>
      <c r="C301" s="1602"/>
      <c r="D301" s="1602"/>
      <c r="E301" s="1602"/>
      <c r="F301" s="1602"/>
      <c r="G301" s="1602"/>
      <c r="H301" s="1602"/>
      <c r="I301" s="1602"/>
      <c r="J301" s="1602"/>
      <c r="K301" s="491"/>
      <c r="L301" s="477"/>
      <c r="M301" s="477"/>
      <c r="N301" s="492"/>
      <c r="O301" s="492"/>
      <c r="P301" s="492"/>
      <c r="Q301" s="492"/>
      <c r="R301" s="492"/>
      <c r="S301" s="492"/>
      <c r="T301" s="492"/>
      <c r="U301" s="489"/>
      <c r="V301" s="489"/>
      <c r="W301" s="489"/>
      <c r="X301" s="489"/>
      <c r="Y301" s="489"/>
      <c r="Z301" s="489"/>
      <c r="AA301" s="489"/>
      <c r="AB301" s="489"/>
      <c r="AC301" s="489"/>
      <c r="AD301" s="489"/>
      <c r="AE301" s="489"/>
      <c r="AF301" s="489"/>
      <c r="AG301" s="489"/>
      <c r="AH301" s="489"/>
      <c r="AI301" s="489"/>
      <c r="AJ301" s="489"/>
      <c r="AK301" s="489"/>
      <c r="AL301" s="489"/>
      <c r="AM301" s="489"/>
      <c r="AN301" s="489"/>
      <c r="AO301" s="489"/>
      <c r="AP301" s="489"/>
      <c r="AQ301" s="489"/>
      <c r="AR301" s="489"/>
      <c r="AS301" s="489"/>
      <c r="AT301" s="489"/>
      <c r="AU301" s="489"/>
      <c r="AV301" s="489"/>
      <c r="AW301" s="489"/>
      <c r="AX301" s="489"/>
      <c r="AY301" s="489"/>
      <c r="AZ301" s="489"/>
      <c r="BA301" s="489"/>
      <c r="BB301" s="489"/>
      <c r="BC301" s="489"/>
      <c r="BD301" s="489"/>
      <c r="BE301" s="489"/>
      <c r="BF301" s="489"/>
      <c r="BG301" s="489"/>
      <c r="BH301" s="489"/>
      <c r="BI301" s="489"/>
      <c r="BJ301" s="489"/>
      <c r="BK301" s="489"/>
      <c r="BL301" s="489"/>
      <c r="BM301" s="489"/>
      <c r="BN301" s="489"/>
      <c r="BO301" s="489"/>
      <c r="BP301" s="489"/>
      <c r="BQ301" s="489"/>
      <c r="BR301" s="489"/>
      <c r="BS301" s="489"/>
      <c r="BT301" s="489"/>
      <c r="BU301" s="489"/>
      <c r="BV301" s="489"/>
      <c r="BW301" s="489"/>
      <c r="BX301" s="489"/>
      <c r="BY301" s="489"/>
      <c r="BZ301" s="489"/>
      <c r="CA301" s="489"/>
      <c r="CB301" s="489"/>
      <c r="CC301" s="489"/>
      <c r="CD301" s="489"/>
      <c r="CE301" s="489"/>
      <c r="CF301" s="489"/>
      <c r="CG301" s="489"/>
      <c r="CH301" s="489"/>
      <c r="CI301" s="489"/>
      <c r="CJ301" s="489"/>
      <c r="CK301" s="489"/>
      <c r="CL301" s="489"/>
      <c r="CM301" s="489"/>
      <c r="CN301" s="489"/>
      <c r="CO301" s="489"/>
      <c r="CP301" s="489"/>
      <c r="CQ301" s="489"/>
      <c r="CR301" s="489"/>
      <c r="CS301" s="489"/>
      <c r="CT301" s="489"/>
      <c r="CU301" s="489"/>
      <c r="CV301" s="489"/>
      <c r="CW301" s="489"/>
      <c r="CX301" s="489"/>
      <c r="CY301" s="489"/>
      <c r="CZ301" s="489"/>
      <c r="DA301" s="489"/>
      <c r="DB301" s="489"/>
      <c r="DC301" s="489"/>
      <c r="DD301" s="489"/>
      <c r="DE301" s="489"/>
      <c r="DF301" s="489"/>
      <c r="DG301" s="489"/>
      <c r="DH301" s="489"/>
      <c r="DI301" s="489"/>
      <c r="DJ301" s="489"/>
      <c r="DK301" s="489"/>
      <c r="DL301" s="489"/>
      <c r="DM301" s="489"/>
      <c r="DN301" s="489"/>
      <c r="DO301" s="489"/>
      <c r="DP301" s="489"/>
      <c r="DQ301" s="489"/>
      <c r="DR301" s="489"/>
      <c r="DS301" s="489"/>
      <c r="DT301" s="489"/>
      <c r="DU301" s="489"/>
      <c r="DV301" s="489"/>
      <c r="DW301" s="489"/>
      <c r="DX301" s="489"/>
      <c r="DY301" s="489"/>
      <c r="DZ301" s="489"/>
      <c r="EA301" s="489"/>
      <c r="EB301" s="489"/>
      <c r="EC301" s="489"/>
      <c r="ED301" s="489"/>
      <c r="EE301" s="489"/>
      <c r="EF301" s="489"/>
      <c r="EG301" s="489"/>
      <c r="EH301" s="489"/>
      <c r="EI301" s="489"/>
      <c r="EJ301" s="489"/>
      <c r="EK301" s="489"/>
      <c r="EL301" s="489"/>
      <c r="EM301" s="489"/>
      <c r="EN301" s="489"/>
      <c r="EO301" s="489"/>
      <c r="EP301" s="489"/>
      <c r="EQ301" s="489"/>
      <c r="ER301" s="489"/>
      <c r="ES301" s="489"/>
      <c r="ET301" s="489"/>
      <c r="EU301" s="489"/>
      <c r="EV301" s="489"/>
      <c r="EW301" s="489"/>
      <c r="EX301" s="489"/>
      <c r="EY301" s="489"/>
      <c r="EZ301" s="489"/>
      <c r="FA301" s="489"/>
      <c r="FB301" s="489"/>
      <c r="FC301" s="489"/>
      <c r="FD301" s="489"/>
      <c r="FE301" s="489"/>
      <c r="FF301" s="489"/>
      <c r="FG301" s="489"/>
      <c r="FH301" s="489"/>
      <c r="FI301" s="489"/>
      <c r="FJ301" s="489"/>
      <c r="FK301" s="489"/>
      <c r="FL301" s="489"/>
      <c r="FM301" s="489"/>
      <c r="FN301" s="489"/>
      <c r="FO301" s="489"/>
      <c r="FP301" s="489"/>
      <c r="FQ301" s="489"/>
      <c r="FR301" s="489"/>
      <c r="FS301" s="489"/>
      <c r="FT301" s="489"/>
      <c r="FU301" s="489"/>
      <c r="FV301" s="489"/>
      <c r="FW301" s="489"/>
      <c r="FX301" s="489"/>
      <c r="FY301" s="489"/>
      <c r="FZ301" s="489"/>
      <c r="GA301" s="489"/>
      <c r="GB301" s="489"/>
      <c r="GC301" s="489"/>
      <c r="GD301" s="489"/>
      <c r="GE301" s="489"/>
      <c r="GF301" s="489"/>
      <c r="GG301" s="489"/>
      <c r="GH301" s="489"/>
      <c r="GI301" s="489"/>
      <c r="GJ301" s="489"/>
      <c r="GK301" s="489"/>
      <c r="GL301" s="489"/>
      <c r="GM301" s="489"/>
      <c r="GN301" s="489"/>
      <c r="GO301" s="489"/>
      <c r="GP301" s="489"/>
      <c r="GQ301" s="489"/>
      <c r="GR301" s="489"/>
      <c r="GS301" s="489"/>
      <c r="GT301" s="489"/>
      <c r="GU301" s="489"/>
      <c r="GV301" s="489"/>
      <c r="GW301" s="489"/>
      <c r="GX301" s="489"/>
      <c r="GY301" s="489"/>
      <c r="GZ301" s="489"/>
      <c r="HA301" s="489"/>
      <c r="HB301" s="489"/>
      <c r="HC301" s="489"/>
      <c r="HD301" s="489"/>
      <c r="HE301" s="489"/>
      <c r="HF301" s="489"/>
      <c r="HG301" s="489"/>
      <c r="HH301" s="489"/>
      <c r="HI301" s="489"/>
      <c r="HJ301" s="489"/>
      <c r="HK301" s="489"/>
      <c r="HL301" s="489"/>
      <c r="HM301" s="489"/>
      <c r="HN301" s="489"/>
      <c r="HO301" s="489"/>
      <c r="HP301" s="489"/>
      <c r="HQ301" s="489"/>
      <c r="HR301" s="489"/>
      <c r="HS301" s="489"/>
      <c r="HT301" s="489"/>
      <c r="HU301" s="489"/>
      <c r="HV301" s="489"/>
      <c r="HW301" s="489"/>
      <c r="HX301" s="487"/>
    </row>
    <row r="302" spans="1:232" s="488" customFormat="1" ht="19.5" customHeight="1">
      <c r="A302" s="490"/>
      <c r="B302" s="1602" t="s">
        <v>108</v>
      </c>
      <c r="C302" s="1602"/>
      <c r="D302" s="1602"/>
      <c r="E302" s="1602"/>
      <c r="F302" s="1602"/>
      <c r="G302" s="1602"/>
      <c r="H302" s="1602"/>
      <c r="I302" s="1602"/>
      <c r="J302" s="1602"/>
      <c r="K302" s="491"/>
      <c r="L302" s="477"/>
      <c r="M302" s="477"/>
      <c r="N302" s="492"/>
      <c r="O302" s="492"/>
      <c r="P302" s="492"/>
      <c r="Q302" s="492"/>
      <c r="R302" s="492"/>
      <c r="S302" s="492"/>
      <c r="T302" s="492"/>
      <c r="U302" s="489"/>
      <c r="V302" s="489"/>
      <c r="W302" s="489"/>
      <c r="X302" s="489"/>
      <c r="Y302" s="489"/>
      <c r="Z302" s="489"/>
      <c r="AA302" s="489"/>
      <c r="AB302" s="489"/>
      <c r="AC302" s="489"/>
      <c r="AD302" s="489"/>
      <c r="AE302" s="489"/>
      <c r="AF302" s="489"/>
      <c r="AG302" s="489"/>
      <c r="AH302" s="489"/>
      <c r="AI302" s="489"/>
      <c r="AJ302" s="489"/>
      <c r="AK302" s="489"/>
      <c r="AL302" s="489"/>
      <c r="AM302" s="489"/>
      <c r="AN302" s="489"/>
      <c r="AO302" s="489"/>
      <c r="AP302" s="489"/>
      <c r="AQ302" s="489"/>
      <c r="AR302" s="489"/>
      <c r="AS302" s="489"/>
      <c r="AT302" s="489"/>
      <c r="AU302" s="489"/>
      <c r="AV302" s="489"/>
      <c r="AW302" s="489"/>
      <c r="AX302" s="489"/>
      <c r="AY302" s="489"/>
      <c r="AZ302" s="489"/>
      <c r="BA302" s="489"/>
      <c r="BB302" s="489"/>
      <c r="BC302" s="489"/>
      <c r="BD302" s="489"/>
      <c r="BE302" s="489"/>
      <c r="BF302" s="489"/>
      <c r="BG302" s="489"/>
      <c r="BH302" s="489"/>
      <c r="BI302" s="489"/>
      <c r="BJ302" s="489"/>
      <c r="BK302" s="489"/>
      <c r="BL302" s="489"/>
      <c r="BM302" s="489"/>
      <c r="BN302" s="489"/>
      <c r="BO302" s="489"/>
      <c r="BP302" s="489"/>
      <c r="BQ302" s="489"/>
      <c r="BR302" s="489"/>
      <c r="BS302" s="489"/>
      <c r="BT302" s="489"/>
      <c r="BU302" s="489"/>
      <c r="BV302" s="489"/>
      <c r="BW302" s="489"/>
      <c r="BX302" s="489"/>
      <c r="BY302" s="489"/>
      <c r="BZ302" s="489"/>
      <c r="CA302" s="489"/>
      <c r="CB302" s="489"/>
      <c r="CC302" s="489"/>
      <c r="CD302" s="489"/>
      <c r="CE302" s="489"/>
      <c r="CF302" s="489"/>
      <c r="CG302" s="489"/>
      <c r="CH302" s="489"/>
      <c r="CI302" s="489"/>
      <c r="CJ302" s="489"/>
      <c r="CK302" s="489"/>
      <c r="CL302" s="489"/>
      <c r="CM302" s="489"/>
      <c r="CN302" s="489"/>
      <c r="CO302" s="489"/>
      <c r="CP302" s="489"/>
      <c r="CQ302" s="489"/>
      <c r="CR302" s="489"/>
      <c r="CS302" s="489"/>
      <c r="CT302" s="489"/>
      <c r="CU302" s="489"/>
      <c r="CV302" s="489"/>
      <c r="CW302" s="489"/>
      <c r="CX302" s="489"/>
      <c r="CY302" s="489"/>
      <c r="CZ302" s="489"/>
      <c r="DA302" s="489"/>
      <c r="DB302" s="489"/>
      <c r="DC302" s="489"/>
      <c r="DD302" s="489"/>
      <c r="DE302" s="489"/>
      <c r="DF302" s="489"/>
      <c r="DG302" s="489"/>
      <c r="DH302" s="489"/>
      <c r="DI302" s="489"/>
      <c r="DJ302" s="489"/>
      <c r="DK302" s="489"/>
      <c r="DL302" s="489"/>
      <c r="DM302" s="489"/>
      <c r="DN302" s="489"/>
      <c r="DO302" s="489"/>
      <c r="DP302" s="489"/>
      <c r="DQ302" s="489"/>
      <c r="DR302" s="489"/>
      <c r="DS302" s="489"/>
      <c r="DT302" s="489"/>
      <c r="DU302" s="489"/>
      <c r="DV302" s="489"/>
      <c r="DW302" s="489"/>
      <c r="DX302" s="489"/>
      <c r="DY302" s="489"/>
      <c r="DZ302" s="489"/>
      <c r="EA302" s="489"/>
      <c r="EB302" s="489"/>
      <c r="EC302" s="489"/>
      <c r="ED302" s="489"/>
      <c r="EE302" s="489"/>
      <c r="EF302" s="489"/>
      <c r="EG302" s="489"/>
      <c r="EH302" s="489"/>
      <c r="EI302" s="489"/>
      <c r="EJ302" s="489"/>
      <c r="EK302" s="489"/>
      <c r="EL302" s="489"/>
      <c r="EM302" s="489"/>
      <c r="EN302" s="489"/>
      <c r="EO302" s="489"/>
      <c r="EP302" s="489"/>
      <c r="EQ302" s="489"/>
      <c r="ER302" s="489"/>
      <c r="ES302" s="489"/>
      <c r="ET302" s="489"/>
      <c r="EU302" s="489"/>
      <c r="EV302" s="489"/>
      <c r="EW302" s="489"/>
      <c r="EX302" s="489"/>
      <c r="EY302" s="489"/>
      <c r="EZ302" s="489"/>
      <c r="FA302" s="489"/>
      <c r="FB302" s="489"/>
      <c r="FC302" s="489"/>
      <c r="FD302" s="489"/>
      <c r="FE302" s="489"/>
      <c r="FF302" s="489"/>
      <c r="FG302" s="489"/>
      <c r="FH302" s="489"/>
      <c r="FI302" s="489"/>
      <c r="FJ302" s="489"/>
      <c r="FK302" s="489"/>
      <c r="FL302" s="489"/>
      <c r="FM302" s="489"/>
      <c r="FN302" s="489"/>
      <c r="FO302" s="489"/>
      <c r="FP302" s="489"/>
      <c r="FQ302" s="489"/>
      <c r="FR302" s="489"/>
      <c r="FS302" s="489"/>
      <c r="FT302" s="489"/>
      <c r="FU302" s="489"/>
      <c r="FV302" s="489"/>
      <c r="FW302" s="489"/>
      <c r="FX302" s="489"/>
      <c r="FY302" s="489"/>
      <c r="FZ302" s="489"/>
      <c r="GA302" s="489"/>
      <c r="GB302" s="489"/>
      <c r="GC302" s="489"/>
      <c r="GD302" s="489"/>
      <c r="GE302" s="489"/>
      <c r="GF302" s="489"/>
      <c r="GG302" s="489"/>
      <c r="GH302" s="489"/>
      <c r="GI302" s="489"/>
      <c r="GJ302" s="489"/>
      <c r="GK302" s="489"/>
      <c r="GL302" s="489"/>
      <c r="GM302" s="489"/>
      <c r="GN302" s="489"/>
      <c r="GO302" s="489"/>
      <c r="GP302" s="489"/>
      <c r="GQ302" s="489"/>
      <c r="GR302" s="489"/>
      <c r="GS302" s="489"/>
      <c r="GT302" s="489"/>
      <c r="GU302" s="489"/>
      <c r="GV302" s="489"/>
      <c r="GW302" s="489"/>
      <c r="GX302" s="489"/>
      <c r="GY302" s="489"/>
      <c r="GZ302" s="489"/>
      <c r="HA302" s="489"/>
      <c r="HB302" s="489"/>
      <c r="HC302" s="489"/>
      <c r="HD302" s="489"/>
      <c r="HE302" s="489"/>
      <c r="HF302" s="489"/>
      <c r="HG302" s="489"/>
      <c r="HH302" s="489"/>
      <c r="HI302" s="489"/>
      <c r="HJ302" s="489"/>
      <c r="HK302" s="489"/>
      <c r="HL302" s="489"/>
      <c r="HM302" s="489"/>
      <c r="HN302" s="489"/>
      <c r="HO302" s="489"/>
      <c r="HP302" s="489"/>
      <c r="HQ302" s="489"/>
      <c r="HR302" s="489"/>
      <c r="HS302" s="489"/>
      <c r="HT302" s="489"/>
      <c r="HU302" s="489"/>
      <c r="HV302" s="489"/>
      <c r="HW302" s="489"/>
      <c r="HX302" s="487"/>
    </row>
    <row r="303" spans="1:232" s="488" customFormat="1" ht="19.5" customHeight="1">
      <c r="A303" s="490"/>
      <c r="B303" s="1602" t="s">
        <v>474</v>
      </c>
      <c r="C303" s="1602"/>
      <c r="D303" s="1602"/>
      <c r="E303" s="1602"/>
      <c r="F303" s="1602"/>
      <c r="G303" s="1602"/>
      <c r="H303" s="1602"/>
      <c r="I303" s="1602"/>
      <c r="J303" s="1602"/>
      <c r="K303" s="491"/>
      <c r="L303" s="477"/>
      <c r="M303" s="477"/>
      <c r="N303" s="492"/>
      <c r="O303" s="492"/>
      <c r="P303" s="492"/>
      <c r="Q303" s="492"/>
      <c r="R303" s="492"/>
      <c r="S303" s="492"/>
      <c r="T303" s="492"/>
      <c r="U303" s="489"/>
      <c r="V303" s="489"/>
      <c r="W303" s="489"/>
      <c r="X303" s="489"/>
      <c r="Y303" s="489"/>
      <c r="Z303" s="489"/>
      <c r="AA303" s="489"/>
      <c r="AB303" s="489"/>
      <c r="AC303" s="489"/>
      <c r="AD303" s="489"/>
      <c r="AE303" s="489"/>
      <c r="AF303" s="489"/>
      <c r="AG303" s="489"/>
      <c r="AH303" s="489"/>
      <c r="AI303" s="489"/>
      <c r="AJ303" s="489"/>
      <c r="AK303" s="489"/>
      <c r="AL303" s="489"/>
      <c r="AM303" s="489"/>
      <c r="AN303" s="489"/>
      <c r="AO303" s="489"/>
      <c r="AP303" s="489"/>
      <c r="AQ303" s="489"/>
      <c r="AR303" s="489"/>
      <c r="AS303" s="489"/>
      <c r="AT303" s="489"/>
      <c r="AU303" s="489"/>
      <c r="AV303" s="489"/>
      <c r="AW303" s="489"/>
      <c r="AX303" s="489"/>
      <c r="AY303" s="489"/>
      <c r="AZ303" s="489"/>
      <c r="BA303" s="489"/>
      <c r="BB303" s="489"/>
      <c r="BC303" s="489"/>
      <c r="BD303" s="489"/>
      <c r="BE303" s="489"/>
      <c r="BF303" s="489"/>
      <c r="BG303" s="489"/>
      <c r="BH303" s="489"/>
      <c r="BI303" s="489"/>
      <c r="BJ303" s="489"/>
      <c r="BK303" s="489"/>
      <c r="BL303" s="489"/>
      <c r="BM303" s="489"/>
      <c r="BN303" s="489"/>
      <c r="BO303" s="489"/>
      <c r="BP303" s="489"/>
      <c r="BQ303" s="489"/>
      <c r="BR303" s="489"/>
      <c r="BS303" s="489"/>
      <c r="BT303" s="489"/>
      <c r="BU303" s="489"/>
      <c r="BV303" s="489"/>
      <c r="BW303" s="489"/>
      <c r="BX303" s="489"/>
      <c r="BY303" s="489"/>
      <c r="BZ303" s="489"/>
      <c r="CA303" s="489"/>
      <c r="CB303" s="489"/>
      <c r="CC303" s="489"/>
      <c r="CD303" s="489"/>
      <c r="CE303" s="489"/>
      <c r="CF303" s="489"/>
      <c r="CG303" s="489"/>
      <c r="CH303" s="489"/>
      <c r="CI303" s="489"/>
      <c r="CJ303" s="489"/>
      <c r="CK303" s="489"/>
      <c r="CL303" s="489"/>
      <c r="CM303" s="489"/>
      <c r="CN303" s="489"/>
      <c r="CO303" s="489"/>
      <c r="CP303" s="489"/>
      <c r="CQ303" s="489"/>
      <c r="CR303" s="489"/>
      <c r="CS303" s="489"/>
      <c r="CT303" s="489"/>
      <c r="CU303" s="489"/>
      <c r="CV303" s="489"/>
      <c r="CW303" s="489"/>
      <c r="CX303" s="489"/>
      <c r="CY303" s="489"/>
      <c r="CZ303" s="489"/>
      <c r="DA303" s="489"/>
      <c r="DB303" s="489"/>
      <c r="DC303" s="489"/>
      <c r="DD303" s="489"/>
      <c r="DE303" s="489"/>
      <c r="DF303" s="489"/>
      <c r="DG303" s="489"/>
      <c r="DH303" s="489"/>
      <c r="DI303" s="489"/>
      <c r="DJ303" s="489"/>
      <c r="DK303" s="489"/>
      <c r="DL303" s="489"/>
      <c r="DM303" s="489"/>
      <c r="DN303" s="489"/>
      <c r="DO303" s="489"/>
      <c r="DP303" s="489"/>
      <c r="DQ303" s="489"/>
      <c r="DR303" s="489"/>
      <c r="DS303" s="489"/>
      <c r="DT303" s="489"/>
      <c r="DU303" s="489"/>
      <c r="DV303" s="489"/>
      <c r="DW303" s="489"/>
      <c r="DX303" s="489"/>
      <c r="DY303" s="489"/>
      <c r="DZ303" s="489"/>
      <c r="EA303" s="489"/>
      <c r="EB303" s="489"/>
      <c r="EC303" s="489"/>
      <c r="ED303" s="489"/>
      <c r="EE303" s="489"/>
      <c r="EF303" s="489"/>
      <c r="EG303" s="489"/>
      <c r="EH303" s="489"/>
      <c r="EI303" s="489"/>
      <c r="EJ303" s="489"/>
      <c r="EK303" s="489"/>
      <c r="EL303" s="489"/>
      <c r="EM303" s="489"/>
      <c r="EN303" s="489"/>
      <c r="EO303" s="489"/>
      <c r="EP303" s="489"/>
      <c r="EQ303" s="489"/>
      <c r="ER303" s="489"/>
      <c r="ES303" s="489"/>
      <c r="ET303" s="489"/>
      <c r="EU303" s="489"/>
      <c r="EV303" s="489"/>
      <c r="EW303" s="489"/>
      <c r="EX303" s="489"/>
      <c r="EY303" s="489"/>
      <c r="EZ303" s="489"/>
      <c r="FA303" s="489"/>
      <c r="FB303" s="489"/>
      <c r="FC303" s="489"/>
      <c r="FD303" s="489"/>
      <c r="FE303" s="489"/>
      <c r="FF303" s="489"/>
      <c r="FG303" s="489"/>
      <c r="FH303" s="489"/>
      <c r="FI303" s="489"/>
      <c r="FJ303" s="489"/>
      <c r="FK303" s="489"/>
      <c r="FL303" s="489"/>
      <c r="FM303" s="489"/>
      <c r="FN303" s="489"/>
      <c r="FO303" s="489"/>
      <c r="FP303" s="489"/>
      <c r="FQ303" s="489"/>
      <c r="FR303" s="489"/>
      <c r="FS303" s="489"/>
      <c r="FT303" s="489"/>
      <c r="FU303" s="489"/>
      <c r="FV303" s="489"/>
      <c r="FW303" s="489"/>
      <c r="FX303" s="489"/>
      <c r="FY303" s="489"/>
      <c r="FZ303" s="489"/>
      <c r="GA303" s="489"/>
      <c r="GB303" s="489"/>
      <c r="GC303" s="489"/>
      <c r="GD303" s="489"/>
      <c r="GE303" s="489"/>
      <c r="GF303" s="489"/>
      <c r="GG303" s="489"/>
      <c r="GH303" s="489"/>
      <c r="GI303" s="489"/>
      <c r="GJ303" s="489"/>
      <c r="GK303" s="489"/>
      <c r="GL303" s="489"/>
      <c r="GM303" s="489"/>
      <c r="GN303" s="489"/>
      <c r="GO303" s="489"/>
      <c r="GP303" s="489"/>
      <c r="GQ303" s="489"/>
      <c r="GR303" s="489"/>
      <c r="GS303" s="489"/>
      <c r="GT303" s="489"/>
      <c r="GU303" s="489"/>
      <c r="GV303" s="489"/>
      <c r="GW303" s="489"/>
      <c r="GX303" s="489"/>
      <c r="GY303" s="489"/>
      <c r="GZ303" s="489"/>
      <c r="HA303" s="489"/>
      <c r="HB303" s="489"/>
      <c r="HC303" s="489"/>
      <c r="HD303" s="489"/>
      <c r="HE303" s="489"/>
      <c r="HF303" s="489"/>
      <c r="HG303" s="489"/>
      <c r="HH303" s="489"/>
      <c r="HI303" s="489"/>
      <c r="HJ303" s="489"/>
      <c r="HK303" s="489"/>
      <c r="HL303" s="489"/>
      <c r="HM303" s="489"/>
      <c r="HN303" s="489"/>
      <c r="HO303" s="489"/>
      <c r="HP303" s="489"/>
      <c r="HQ303" s="489"/>
      <c r="HR303" s="489"/>
      <c r="HS303" s="489"/>
      <c r="HT303" s="489"/>
      <c r="HU303" s="489"/>
      <c r="HV303" s="489"/>
      <c r="HW303" s="489"/>
      <c r="HX303" s="487"/>
    </row>
    <row r="304" spans="1:232" s="45" customFormat="1" ht="20.100000000000001" customHeight="1">
      <c r="A304" s="493" t="s">
        <v>109</v>
      </c>
      <c r="B304" s="489"/>
      <c r="C304" s="489"/>
      <c r="D304" s="489"/>
      <c r="E304" s="489"/>
      <c r="F304" s="489"/>
      <c r="G304" s="489"/>
      <c r="H304" s="489"/>
      <c r="I304" s="489"/>
      <c r="J304" s="489"/>
      <c r="K304" s="489"/>
      <c r="L304" s="494"/>
      <c r="M304" s="494"/>
      <c r="N304" s="492"/>
      <c r="O304" s="492"/>
      <c r="P304" s="492"/>
      <c r="Q304" s="492"/>
      <c r="R304" s="492"/>
      <c r="S304" s="492"/>
      <c r="T304" s="495"/>
      <c r="U304" s="496"/>
      <c r="V304" s="496"/>
      <c r="W304" s="496"/>
      <c r="X304" s="496"/>
      <c r="Y304" s="496"/>
      <c r="Z304" s="496"/>
      <c r="AA304" s="496"/>
      <c r="AB304" s="496"/>
      <c r="AC304" s="496"/>
      <c r="AD304" s="496"/>
      <c r="AE304" s="496"/>
      <c r="AF304" s="496"/>
      <c r="AG304" s="496"/>
      <c r="AH304" s="496"/>
      <c r="AI304" s="496"/>
      <c r="AJ304" s="496"/>
      <c r="AK304" s="496"/>
      <c r="AL304" s="496"/>
      <c r="AM304" s="496"/>
      <c r="AN304" s="496"/>
      <c r="AO304" s="496"/>
      <c r="AP304" s="496"/>
      <c r="AQ304" s="496"/>
      <c r="AR304" s="496"/>
      <c r="AS304" s="496"/>
      <c r="AT304" s="496"/>
      <c r="AU304" s="496"/>
      <c r="AV304" s="496"/>
      <c r="AW304" s="496"/>
      <c r="AX304" s="496"/>
      <c r="AY304" s="496"/>
      <c r="AZ304" s="496"/>
      <c r="BA304" s="496"/>
      <c r="BB304" s="496"/>
      <c r="BC304" s="496"/>
      <c r="BD304" s="496"/>
      <c r="BE304" s="496"/>
      <c r="BF304" s="496"/>
      <c r="BG304" s="496"/>
      <c r="BH304" s="496"/>
      <c r="BI304" s="496"/>
      <c r="BJ304" s="496"/>
      <c r="BK304" s="496"/>
      <c r="BL304" s="496"/>
      <c r="BM304" s="496"/>
      <c r="BN304" s="496"/>
      <c r="BO304" s="496"/>
      <c r="BP304" s="496"/>
      <c r="BQ304" s="496"/>
      <c r="BR304" s="496"/>
      <c r="BS304" s="496"/>
      <c r="BT304" s="496"/>
      <c r="BU304" s="496"/>
      <c r="BV304" s="496"/>
      <c r="BW304" s="496"/>
      <c r="BX304" s="496"/>
      <c r="BY304" s="496"/>
      <c r="BZ304" s="496"/>
      <c r="CA304" s="496"/>
      <c r="CB304" s="496"/>
      <c r="CC304" s="496"/>
      <c r="CD304" s="496"/>
      <c r="CE304" s="496"/>
      <c r="CF304" s="496"/>
      <c r="CG304" s="496"/>
      <c r="CH304" s="496"/>
      <c r="CI304" s="496"/>
      <c r="CJ304" s="496"/>
      <c r="CK304" s="496"/>
      <c r="CL304" s="496"/>
      <c r="CM304" s="496"/>
      <c r="CN304" s="496"/>
      <c r="CO304" s="496"/>
      <c r="CP304" s="496"/>
      <c r="CQ304" s="496"/>
      <c r="CR304" s="496"/>
      <c r="CS304" s="496"/>
      <c r="CT304" s="496"/>
      <c r="CU304" s="496"/>
      <c r="CV304" s="496"/>
      <c r="CW304" s="496"/>
      <c r="CX304" s="496"/>
      <c r="CY304" s="496"/>
      <c r="CZ304" s="496"/>
      <c r="DA304" s="496"/>
      <c r="DB304" s="496"/>
      <c r="DC304" s="496"/>
      <c r="DD304" s="496"/>
      <c r="DE304" s="496"/>
      <c r="DF304" s="496"/>
      <c r="DG304" s="496"/>
      <c r="DH304" s="496"/>
      <c r="DI304" s="496"/>
      <c r="DJ304" s="496"/>
      <c r="DK304" s="496"/>
      <c r="DL304" s="496"/>
      <c r="DM304" s="496"/>
      <c r="DN304" s="496"/>
      <c r="DO304" s="496"/>
      <c r="DP304" s="496"/>
      <c r="DQ304" s="496"/>
      <c r="DR304" s="496"/>
      <c r="DS304" s="496"/>
      <c r="DT304" s="496"/>
      <c r="DU304" s="496"/>
      <c r="DV304" s="496"/>
      <c r="DW304" s="496"/>
      <c r="DX304" s="496"/>
      <c r="DY304" s="496"/>
      <c r="DZ304" s="496"/>
      <c r="EA304" s="496"/>
      <c r="EB304" s="496"/>
      <c r="EC304" s="496"/>
      <c r="ED304" s="496"/>
      <c r="EE304" s="496"/>
      <c r="EF304" s="496"/>
      <c r="EG304" s="496"/>
      <c r="EH304" s="496"/>
      <c r="EI304" s="496"/>
      <c r="EJ304" s="496"/>
      <c r="EK304" s="496"/>
      <c r="EL304" s="496"/>
      <c r="EM304" s="496"/>
      <c r="EN304" s="496"/>
      <c r="EO304" s="496"/>
      <c r="EP304" s="496"/>
      <c r="EQ304" s="496"/>
      <c r="ER304" s="496"/>
      <c r="ES304" s="496"/>
      <c r="ET304" s="496"/>
      <c r="EU304" s="496"/>
      <c r="EV304" s="496"/>
      <c r="EW304" s="496"/>
      <c r="EX304" s="496"/>
      <c r="EY304" s="496"/>
      <c r="EZ304" s="496"/>
      <c r="FA304" s="496"/>
      <c r="FB304" s="496"/>
      <c r="FC304" s="496"/>
      <c r="FD304" s="496"/>
      <c r="FE304" s="496"/>
      <c r="FF304" s="496"/>
      <c r="FG304" s="496"/>
      <c r="FH304" s="496"/>
      <c r="FI304" s="496"/>
      <c r="FJ304" s="496"/>
      <c r="FK304" s="496"/>
      <c r="FL304" s="496"/>
      <c r="FM304" s="496"/>
      <c r="FN304" s="496"/>
      <c r="FO304" s="496"/>
      <c r="FP304" s="496"/>
      <c r="FQ304" s="496"/>
      <c r="FR304" s="496"/>
      <c r="FS304" s="496"/>
      <c r="FT304" s="496"/>
      <c r="FU304" s="496"/>
      <c r="FV304" s="496"/>
      <c r="FW304" s="496"/>
      <c r="FX304" s="496"/>
      <c r="FY304" s="496"/>
      <c r="FZ304" s="496"/>
      <c r="GA304" s="496"/>
      <c r="GB304" s="496"/>
      <c r="GC304" s="496"/>
      <c r="GD304" s="496"/>
      <c r="GE304" s="496"/>
      <c r="GF304" s="496"/>
      <c r="GG304" s="496"/>
      <c r="GH304" s="496"/>
      <c r="GI304" s="496"/>
      <c r="GJ304" s="496"/>
      <c r="GK304" s="496"/>
      <c r="GL304" s="496"/>
      <c r="GM304" s="496"/>
      <c r="GN304" s="496"/>
      <c r="GO304" s="496"/>
      <c r="GP304" s="496"/>
      <c r="GQ304" s="496"/>
      <c r="GR304" s="496"/>
      <c r="GS304" s="496"/>
      <c r="GT304" s="496"/>
      <c r="GU304" s="496"/>
      <c r="GV304" s="496"/>
      <c r="GW304" s="496"/>
      <c r="GX304" s="496"/>
      <c r="GY304" s="496"/>
      <c r="GZ304" s="496"/>
      <c r="HA304" s="496"/>
      <c r="HB304" s="496"/>
      <c r="HC304" s="496"/>
      <c r="HD304" s="496"/>
      <c r="HE304" s="496"/>
      <c r="HF304" s="496"/>
      <c r="HG304" s="496"/>
      <c r="HH304" s="496"/>
      <c r="HI304" s="496"/>
      <c r="HJ304" s="496"/>
      <c r="HK304" s="496"/>
      <c r="HL304" s="496"/>
      <c r="HM304" s="496"/>
      <c r="HN304" s="496"/>
      <c r="HO304" s="496"/>
      <c r="HP304" s="496"/>
      <c r="HQ304" s="496"/>
      <c r="HR304" s="496"/>
      <c r="HS304" s="496"/>
      <c r="HT304" s="496"/>
      <c r="HU304" s="496"/>
      <c r="HV304" s="496"/>
      <c r="HW304" s="490"/>
      <c r="HX304" s="490"/>
    </row>
    <row r="305" spans="1:232" s="5" customFormat="1" ht="20.100000000000001" customHeight="1">
      <c r="A305" s="497" t="s">
        <v>110</v>
      </c>
      <c r="B305" s="498"/>
      <c r="C305" s="498"/>
      <c r="D305" s="498"/>
      <c r="E305" s="498"/>
      <c r="F305" s="498"/>
      <c r="G305" s="498"/>
      <c r="H305" s="498"/>
      <c r="I305" s="498"/>
      <c r="J305" s="498"/>
      <c r="K305" s="498"/>
      <c r="L305" s="494"/>
      <c r="M305" s="494"/>
      <c r="N305" s="495"/>
      <c r="O305" s="495"/>
      <c r="P305" s="495"/>
      <c r="Q305" s="495"/>
      <c r="R305" s="495"/>
      <c r="S305" s="495"/>
      <c r="T305" s="495"/>
      <c r="U305" s="489"/>
      <c r="V305" s="489"/>
      <c r="W305" s="489"/>
      <c r="X305" s="489"/>
      <c r="Y305" s="489"/>
      <c r="Z305" s="489"/>
      <c r="AA305" s="489"/>
      <c r="AB305" s="489"/>
      <c r="AC305" s="489"/>
      <c r="AD305" s="489"/>
      <c r="AE305" s="489"/>
      <c r="AF305" s="489"/>
      <c r="AG305" s="489"/>
      <c r="AH305" s="489"/>
      <c r="AI305" s="489"/>
      <c r="AJ305" s="489"/>
      <c r="AK305" s="489"/>
      <c r="AL305" s="489"/>
      <c r="AM305" s="489"/>
      <c r="AN305" s="489"/>
      <c r="AO305" s="489"/>
      <c r="AP305" s="489"/>
      <c r="AQ305" s="489"/>
      <c r="AR305" s="489"/>
      <c r="AS305" s="489"/>
      <c r="AT305" s="489"/>
      <c r="AU305" s="489"/>
      <c r="AV305" s="489"/>
      <c r="AW305" s="489"/>
      <c r="AX305" s="489"/>
      <c r="AY305" s="489"/>
      <c r="AZ305" s="489"/>
      <c r="BA305" s="489"/>
      <c r="BB305" s="489"/>
      <c r="BC305" s="489"/>
      <c r="BD305" s="489"/>
      <c r="BE305" s="489"/>
      <c r="BF305" s="489"/>
      <c r="BG305" s="489"/>
      <c r="BH305" s="489"/>
      <c r="BI305" s="489"/>
      <c r="BJ305" s="489"/>
      <c r="BK305" s="489"/>
      <c r="BL305" s="489"/>
      <c r="BM305" s="489"/>
      <c r="BN305" s="489"/>
      <c r="BO305" s="489"/>
      <c r="BP305" s="489"/>
      <c r="BQ305" s="489"/>
      <c r="BR305" s="489"/>
      <c r="BS305" s="489"/>
      <c r="BT305" s="489"/>
      <c r="BU305" s="489"/>
      <c r="BV305" s="489"/>
      <c r="BW305" s="489"/>
      <c r="BX305" s="489"/>
      <c r="BY305" s="489"/>
      <c r="BZ305" s="489"/>
      <c r="CA305" s="489"/>
      <c r="CB305" s="489"/>
      <c r="CC305" s="489"/>
      <c r="CD305" s="489"/>
      <c r="CE305" s="489"/>
      <c r="CF305" s="489"/>
      <c r="CG305" s="489"/>
      <c r="CH305" s="489"/>
      <c r="CI305" s="489"/>
      <c r="CJ305" s="489"/>
      <c r="CK305" s="489"/>
      <c r="CL305" s="489"/>
      <c r="CM305" s="489"/>
      <c r="CN305" s="489"/>
      <c r="CO305" s="489"/>
      <c r="CP305" s="489"/>
      <c r="CQ305" s="489"/>
      <c r="CR305" s="489"/>
      <c r="CS305" s="489"/>
      <c r="CT305" s="489"/>
      <c r="CU305" s="489"/>
      <c r="CV305" s="489"/>
      <c r="CW305" s="489"/>
      <c r="CX305" s="489"/>
      <c r="CY305" s="489"/>
      <c r="CZ305" s="489"/>
      <c r="DA305" s="489"/>
      <c r="DB305" s="489"/>
      <c r="DC305" s="489"/>
      <c r="DD305" s="489"/>
      <c r="DE305" s="489"/>
      <c r="DF305" s="489"/>
      <c r="DG305" s="489"/>
      <c r="DH305" s="489"/>
      <c r="DI305" s="489"/>
      <c r="DJ305" s="489"/>
      <c r="DK305" s="489"/>
      <c r="DL305" s="489"/>
      <c r="DM305" s="489"/>
      <c r="DN305" s="489"/>
      <c r="DO305" s="489"/>
      <c r="DP305" s="489"/>
      <c r="DQ305" s="489"/>
      <c r="DR305" s="489"/>
      <c r="DS305" s="489"/>
      <c r="DT305" s="489"/>
      <c r="DU305" s="489"/>
      <c r="DV305" s="489"/>
      <c r="DW305" s="489"/>
      <c r="DX305" s="489"/>
      <c r="DY305" s="489"/>
      <c r="DZ305" s="489"/>
      <c r="EA305" s="489"/>
      <c r="EB305" s="489"/>
      <c r="EC305" s="489"/>
      <c r="ED305" s="489"/>
      <c r="EE305" s="489"/>
      <c r="EF305" s="489"/>
      <c r="EG305" s="489"/>
      <c r="EH305" s="489"/>
      <c r="EI305" s="489"/>
      <c r="EJ305" s="489"/>
      <c r="EK305" s="489"/>
      <c r="EL305" s="489"/>
      <c r="EM305" s="489"/>
      <c r="EN305" s="489"/>
      <c r="EO305" s="489"/>
      <c r="EP305" s="489"/>
      <c r="EQ305" s="489"/>
      <c r="ER305" s="489"/>
      <c r="ES305" s="489"/>
      <c r="ET305" s="489"/>
      <c r="EU305" s="489"/>
      <c r="EV305" s="489"/>
      <c r="EW305" s="489"/>
      <c r="EX305" s="489"/>
      <c r="EY305" s="489"/>
      <c r="EZ305" s="489"/>
      <c r="FA305" s="489"/>
      <c r="FB305" s="489"/>
      <c r="FC305" s="489"/>
      <c r="FD305" s="489"/>
      <c r="FE305" s="489"/>
      <c r="FF305" s="489"/>
      <c r="FG305" s="489"/>
      <c r="FH305" s="489"/>
      <c r="FI305" s="489"/>
      <c r="FJ305" s="489"/>
      <c r="FK305" s="489"/>
      <c r="FL305" s="489"/>
      <c r="FM305" s="489"/>
      <c r="FN305" s="489"/>
      <c r="FO305" s="489"/>
      <c r="FP305" s="489"/>
      <c r="FQ305" s="489"/>
      <c r="FR305" s="489"/>
      <c r="FS305" s="489"/>
      <c r="FT305" s="489"/>
      <c r="FU305" s="489"/>
      <c r="FV305" s="489"/>
      <c r="FW305" s="489"/>
      <c r="FX305" s="489"/>
      <c r="FY305" s="489"/>
      <c r="FZ305" s="489"/>
      <c r="GA305" s="489"/>
      <c r="GB305" s="489"/>
      <c r="GC305" s="489"/>
      <c r="GD305" s="489"/>
      <c r="GE305" s="489"/>
      <c r="GF305" s="489"/>
      <c r="GG305" s="489"/>
      <c r="GH305" s="489"/>
      <c r="GI305" s="489"/>
      <c r="GJ305" s="489"/>
      <c r="GK305" s="489"/>
      <c r="GL305" s="489"/>
      <c r="GM305" s="489"/>
      <c r="GN305" s="489"/>
      <c r="GO305" s="489"/>
      <c r="GP305" s="489"/>
      <c r="GQ305" s="489"/>
      <c r="GR305" s="489"/>
      <c r="GS305" s="489"/>
      <c r="GT305" s="489"/>
      <c r="GU305" s="489"/>
      <c r="GV305" s="489"/>
      <c r="GW305" s="489"/>
      <c r="GX305" s="489"/>
      <c r="GY305" s="489"/>
      <c r="GZ305" s="489"/>
      <c r="HA305" s="489"/>
      <c r="HB305" s="489"/>
      <c r="HC305" s="489"/>
      <c r="HD305" s="489"/>
      <c r="HE305" s="489"/>
      <c r="HF305" s="489"/>
      <c r="HG305" s="489"/>
      <c r="HH305" s="489"/>
      <c r="HI305" s="489"/>
      <c r="HJ305" s="489"/>
      <c r="HK305" s="489"/>
      <c r="HL305" s="489"/>
      <c r="HM305" s="489"/>
      <c r="HN305" s="489"/>
      <c r="HO305" s="489"/>
      <c r="HP305" s="489"/>
      <c r="HQ305" s="489"/>
      <c r="HR305" s="489"/>
      <c r="HS305" s="489"/>
      <c r="HT305" s="489"/>
      <c r="HU305" s="489"/>
      <c r="HV305" s="489"/>
      <c r="HW305" s="489"/>
      <c r="HX305" s="358"/>
    </row>
    <row r="306" spans="1:232" s="5" customFormat="1" ht="20.100000000000001" customHeight="1">
      <c r="A306" s="497" t="s">
        <v>111</v>
      </c>
      <c r="B306" s="498"/>
      <c r="C306" s="498"/>
      <c r="D306" s="498"/>
      <c r="E306" s="498"/>
      <c r="F306" s="498"/>
      <c r="G306" s="498"/>
      <c r="H306" s="498"/>
      <c r="I306" s="498"/>
      <c r="J306" s="498"/>
      <c r="K306" s="498"/>
      <c r="L306" s="494"/>
      <c r="M306" s="494"/>
      <c r="N306" s="495"/>
      <c r="O306" s="495"/>
      <c r="P306" s="495"/>
      <c r="Q306" s="495"/>
      <c r="R306" s="495"/>
      <c r="S306" s="495"/>
      <c r="T306" s="495"/>
      <c r="U306" s="499"/>
      <c r="V306" s="499"/>
      <c r="W306" s="499"/>
      <c r="X306" s="499"/>
      <c r="Y306" s="499"/>
      <c r="Z306" s="499"/>
      <c r="AA306" s="499"/>
      <c r="AB306" s="499"/>
      <c r="AC306" s="499"/>
      <c r="AD306" s="499"/>
      <c r="AE306" s="499"/>
      <c r="AF306" s="499"/>
      <c r="AG306" s="499"/>
      <c r="AH306" s="499"/>
      <c r="AI306" s="499"/>
      <c r="AJ306" s="499"/>
      <c r="AK306" s="499"/>
      <c r="AL306" s="499"/>
      <c r="AM306" s="499"/>
      <c r="AN306" s="499"/>
      <c r="AO306" s="499"/>
      <c r="AP306" s="499"/>
      <c r="AQ306" s="499"/>
      <c r="AR306" s="499"/>
      <c r="AS306" s="499"/>
      <c r="AT306" s="499"/>
      <c r="AU306" s="499"/>
      <c r="AV306" s="499"/>
      <c r="AW306" s="499"/>
      <c r="AX306" s="499"/>
      <c r="AY306" s="499"/>
      <c r="AZ306" s="499"/>
      <c r="BA306" s="499"/>
      <c r="BB306" s="499"/>
      <c r="BC306" s="499"/>
      <c r="BD306" s="499"/>
      <c r="BE306" s="499"/>
      <c r="BF306" s="499"/>
      <c r="BG306" s="499"/>
      <c r="BH306" s="499"/>
      <c r="BI306" s="499"/>
      <c r="BJ306" s="499"/>
      <c r="BK306" s="499"/>
      <c r="BL306" s="499"/>
      <c r="BM306" s="499"/>
      <c r="BN306" s="499"/>
      <c r="BO306" s="499"/>
      <c r="BP306" s="499"/>
      <c r="BQ306" s="499"/>
      <c r="BR306" s="499"/>
      <c r="BS306" s="499"/>
      <c r="BT306" s="499"/>
      <c r="BU306" s="499"/>
      <c r="BV306" s="499"/>
      <c r="BW306" s="499"/>
      <c r="BX306" s="499"/>
      <c r="BY306" s="499"/>
      <c r="BZ306" s="499"/>
      <c r="CA306" s="499"/>
      <c r="CB306" s="499"/>
      <c r="CC306" s="499"/>
      <c r="CD306" s="499"/>
      <c r="CE306" s="499"/>
      <c r="CF306" s="499"/>
      <c r="CG306" s="499"/>
      <c r="CH306" s="499"/>
      <c r="CI306" s="499"/>
      <c r="CJ306" s="499"/>
      <c r="CK306" s="499"/>
      <c r="CL306" s="499"/>
      <c r="CM306" s="499"/>
      <c r="CN306" s="499"/>
      <c r="CO306" s="499"/>
      <c r="CP306" s="499"/>
      <c r="CQ306" s="499"/>
      <c r="CR306" s="499"/>
      <c r="CS306" s="499"/>
      <c r="CT306" s="499"/>
      <c r="CU306" s="499"/>
      <c r="CV306" s="499"/>
      <c r="CW306" s="499"/>
      <c r="CX306" s="499"/>
      <c r="CY306" s="499"/>
      <c r="CZ306" s="499"/>
      <c r="DA306" s="499"/>
      <c r="DB306" s="499"/>
      <c r="DC306" s="499"/>
      <c r="DD306" s="499"/>
      <c r="DE306" s="499"/>
      <c r="DF306" s="499"/>
      <c r="DG306" s="499"/>
      <c r="DH306" s="499"/>
      <c r="DI306" s="499"/>
      <c r="DJ306" s="499"/>
      <c r="DK306" s="499"/>
      <c r="DL306" s="499"/>
      <c r="DM306" s="499"/>
      <c r="DN306" s="499"/>
      <c r="DO306" s="499"/>
      <c r="DP306" s="499"/>
      <c r="DQ306" s="499"/>
      <c r="DR306" s="499"/>
      <c r="DS306" s="499"/>
      <c r="DT306" s="499"/>
      <c r="DU306" s="499"/>
      <c r="DV306" s="499"/>
      <c r="DW306" s="499"/>
      <c r="DX306" s="499"/>
      <c r="DY306" s="499"/>
      <c r="DZ306" s="499"/>
      <c r="EA306" s="499"/>
      <c r="EB306" s="499"/>
      <c r="EC306" s="499"/>
      <c r="ED306" s="499"/>
      <c r="EE306" s="499"/>
      <c r="EF306" s="499"/>
      <c r="EG306" s="499"/>
      <c r="EH306" s="499"/>
      <c r="EI306" s="499"/>
      <c r="EJ306" s="499"/>
      <c r="EK306" s="499"/>
      <c r="EL306" s="499"/>
      <c r="EM306" s="499"/>
      <c r="EN306" s="499"/>
      <c r="EO306" s="499"/>
      <c r="EP306" s="499"/>
      <c r="EQ306" s="499"/>
      <c r="ER306" s="499"/>
      <c r="ES306" s="499"/>
      <c r="ET306" s="499"/>
      <c r="EU306" s="499"/>
      <c r="EV306" s="499"/>
      <c r="EW306" s="499"/>
      <c r="EX306" s="499"/>
      <c r="EY306" s="499"/>
      <c r="EZ306" s="499"/>
      <c r="FA306" s="499"/>
      <c r="FB306" s="499"/>
      <c r="FC306" s="499"/>
      <c r="FD306" s="499"/>
      <c r="FE306" s="499"/>
      <c r="FF306" s="499"/>
      <c r="FG306" s="499"/>
      <c r="FH306" s="499"/>
      <c r="FI306" s="499"/>
      <c r="FJ306" s="499"/>
      <c r="FK306" s="499"/>
      <c r="FL306" s="499"/>
      <c r="FM306" s="499"/>
      <c r="FN306" s="499"/>
      <c r="FO306" s="499"/>
      <c r="FP306" s="499"/>
      <c r="FQ306" s="499"/>
      <c r="FR306" s="499"/>
      <c r="FS306" s="499"/>
      <c r="FT306" s="499"/>
      <c r="FU306" s="499"/>
      <c r="FV306" s="499"/>
      <c r="FW306" s="499"/>
      <c r="FX306" s="499"/>
      <c r="FY306" s="499"/>
      <c r="FZ306" s="499"/>
      <c r="GA306" s="499"/>
      <c r="GB306" s="499"/>
      <c r="GC306" s="499"/>
      <c r="GD306" s="499"/>
      <c r="GE306" s="499"/>
      <c r="GF306" s="499"/>
      <c r="GG306" s="499"/>
      <c r="GH306" s="499"/>
      <c r="GI306" s="499"/>
      <c r="GJ306" s="499"/>
      <c r="GK306" s="499"/>
      <c r="GL306" s="499"/>
      <c r="GM306" s="499"/>
      <c r="GN306" s="499"/>
      <c r="GO306" s="499"/>
      <c r="GP306" s="499"/>
      <c r="GQ306" s="499"/>
      <c r="GR306" s="499"/>
      <c r="GS306" s="499"/>
      <c r="GT306" s="499"/>
      <c r="GU306" s="499"/>
      <c r="GV306" s="499"/>
      <c r="GW306" s="499"/>
      <c r="GX306" s="499"/>
      <c r="GY306" s="499"/>
      <c r="GZ306" s="499"/>
      <c r="HA306" s="499"/>
      <c r="HB306" s="499"/>
      <c r="HC306" s="499"/>
      <c r="HD306" s="499"/>
      <c r="HE306" s="499"/>
      <c r="HF306" s="499"/>
      <c r="HG306" s="499"/>
      <c r="HH306" s="499"/>
      <c r="HI306" s="499"/>
      <c r="HJ306" s="499"/>
      <c r="HK306" s="499"/>
      <c r="HL306" s="499"/>
      <c r="HM306" s="499"/>
      <c r="HN306" s="499"/>
      <c r="HO306" s="499"/>
      <c r="HP306" s="499"/>
      <c r="HQ306" s="499"/>
      <c r="HR306" s="499"/>
      <c r="HS306" s="499"/>
      <c r="HT306" s="499"/>
      <c r="HU306" s="499"/>
      <c r="HV306" s="499"/>
      <c r="HW306" s="499"/>
      <c r="HX306" s="358"/>
    </row>
    <row r="307" spans="1:232" ht="38.25" customHeight="1">
      <c r="A307" s="1607" t="s">
        <v>112</v>
      </c>
      <c r="B307" s="1607"/>
      <c r="C307" s="1607"/>
      <c r="D307" s="1607"/>
      <c r="E307" s="1607"/>
      <c r="F307" s="1607"/>
      <c r="G307" s="1607"/>
      <c r="H307" s="1607"/>
      <c r="I307" s="1607"/>
      <c r="J307" s="1607"/>
      <c r="N307" s="495"/>
      <c r="O307" s="495"/>
      <c r="P307" s="495"/>
      <c r="Q307" s="495"/>
      <c r="R307" s="495"/>
      <c r="S307" s="495"/>
    </row>
    <row r="308" spans="1:232" ht="20.100000000000001" customHeight="1">
      <c r="A308" s="1608" t="s">
        <v>136</v>
      </c>
      <c r="B308" s="1607"/>
      <c r="C308" s="1607"/>
      <c r="D308" s="1607"/>
      <c r="E308" s="1607"/>
      <c r="F308" s="1607"/>
      <c r="G308" s="1607"/>
      <c r="H308" s="1607"/>
      <c r="I308" s="1607"/>
      <c r="J308" s="1607"/>
    </row>
    <row r="309" spans="1:232" ht="20.100000000000001" customHeight="1">
      <c r="A309" s="1604" t="s">
        <v>113</v>
      </c>
      <c r="B309" s="1604"/>
      <c r="C309" s="1604"/>
      <c r="D309" s="1604"/>
      <c r="E309" s="1604"/>
      <c r="F309" s="1604"/>
      <c r="G309" s="1604"/>
      <c r="H309" s="1604"/>
      <c r="I309" s="1604"/>
      <c r="J309" s="1604"/>
    </row>
    <row r="310" spans="1:232" s="5" customFormat="1" ht="20.100000000000001" customHeight="1">
      <c r="A310" s="500" t="s">
        <v>114</v>
      </c>
      <c r="C310" s="501"/>
      <c r="D310" s="501"/>
      <c r="E310" s="501"/>
      <c r="F310" s="501"/>
      <c r="G310" s="501"/>
      <c r="H310" s="501"/>
      <c r="I310" s="501"/>
      <c r="J310" s="502"/>
      <c r="K310" s="502"/>
      <c r="L310" s="494"/>
      <c r="M310" s="494"/>
      <c r="N310" s="464"/>
      <c r="O310" s="464"/>
      <c r="P310" s="464"/>
      <c r="Q310" s="464"/>
      <c r="R310" s="464"/>
      <c r="S310" s="464"/>
      <c r="T310" s="495"/>
      <c r="U310" s="499"/>
      <c r="V310" s="499"/>
      <c r="W310" s="499"/>
      <c r="X310" s="499"/>
      <c r="Y310" s="499"/>
      <c r="Z310" s="499"/>
      <c r="AA310" s="499"/>
      <c r="AB310" s="499"/>
      <c r="AC310" s="499"/>
      <c r="AD310" s="499"/>
      <c r="AE310" s="499"/>
      <c r="AF310" s="499"/>
      <c r="AG310" s="499"/>
      <c r="AH310" s="499"/>
      <c r="AI310" s="499"/>
      <c r="AJ310" s="499"/>
      <c r="AK310" s="499"/>
      <c r="AL310" s="499"/>
      <c r="AM310" s="499"/>
      <c r="AN310" s="499"/>
      <c r="AO310" s="499"/>
      <c r="AP310" s="499"/>
      <c r="AQ310" s="499"/>
      <c r="AR310" s="499"/>
      <c r="AS310" s="499"/>
      <c r="AT310" s="499"/>
      <c r="AU310" s="499"/>
      <c r="AV310" s="499"/>
      <c r="AW310" s="499"/>
      <c r="AX310" s="499"/>
      <c r="AY310" s="499"/>
      <c r="AZ310" s="499"/>
      <c r="BA310" s="499"/>
      <c r="BB310" s="499"/>
      <c r="BC310" s="499"/>
      <c r="BD310" s="499"/>
      <c r="BE310" s="499"/>
      <c r="BF310" s="499"/>
      <c r="BG310" s="499"/>
      <c r="BH310" s="499"/>
      <c r="BI310" s="499"/>
      <c r="BJ310" s="499"/>
      <c r="BK310" s="499"/>
      <c r="BL310" s="499"/>
      <c r="BM310" s="499"/>
      <c r="BN310" s="499"/>
      <c r="BO310" s="499"/>
      <c r="BP310" s="499"/>
      <c r="BQ310" s="499"/>
      <c r="BR310" s="499"/>
      <c r="BS310" s="499"/>
      <c r="BT310" s="499"/>
      <c r="BU310" s="499"/>
      <c r="BV310" s="499"/>
      <c r="BW310" s="499"/>
      <c r="BX310" s="499"/>
      <c r="BY310" s="499"/>
      <c r="BZ310" s="499"/>
      <c r="CA310" s="499"/>
      <c r="CB310" s="499"/>
      <c r="CC310" s="499"/>
      <c r="CD310" s="499"/>
      <c r="CE310" s="499"/>
      <c r="CF310" s="499"/>
      <c r="CG310" s="499"/>
      <c r="CH310" s="499"/>
      <c r="CI310" s="499"/>
      <c r="CJ310" s="499"/>
      <c r="CK310" s="499"/>
      <c r="CL310" s="499"/>
      <c r="CM310" s="499"/>
      <c r="CN310" s="499"/>
      <c r="CO310" s="499"/>
      <c r="CP310" s="499"/>
      <c r="CQ310" s="499"/>
      <c r="CR310" s="499"/>
      <c r="CS310" s="499"/>
      <c r="CT310" s="499"/>
      <c r="CU310" s="499"/>
      <c r="CV310" s="499"/>
      <c r="CW310" s="499"/>
      <c r="CX310" s="499"/>
      <c r="CY310" s="499"/>
      <c r="CZ310" s="499"/>
      <c r="DA310" s="499"/>
      <c r="DB310" s="499"/>
      <c r="DC310" s="499"/>
      <c r="DD310" s="499"/>
      <c r="DE310" s="499"/>
      <c r="DF310" s="499"/>
      <c r="DG310" s="499"/>
      <c r="DH310" s="499"/>
      <c r="DI310" s="499"/>
      <c r="DJ310" s="499"/>
      <c r="DK310" s="499"/>
      <c r="DL310" s="499"/>
      <c r="DM310" s="499"/>
      <c r="DN310" s="499"/>
      <c r="DO310" s="499"/>
      <c r="DP310" s="499"/>
      <c r="DQ310" s="499"/>
      <c r="DR310" s="499"/>
      <c r="DS310" s="499"/>
      <c r="DT310" s="499"/>
      <c r="DU310" s="499"/>
      <c r="DV310" s="499"/>
      <c r="DW310" s="499"/>
      <c r="DX310" s="499"/>
      <c r="DY310" s="499"/>
      <c r="DZ310" s="499"/>
      <c r="EA310" s="499"/>
      <c r="EB310" s="499"/>
      <c r="EC310" s="499"/>
      <c r="ED310" s="499"/>
      <c r="EE310" s="499"/>
      <c r="EF310" s="499"/>
      <c r="EG310" s="499"/>
      <c r="EH310" s="499"/>
      <c r="EI310" s="499"/>
      <c r="EJ310" s="499"/>
      <c r="EK310" s="499"/>
      <c r="EL310" s="499"/>
      <c r="EM310" s="499"/>
      <c r="EN310" s="499"/>
      <c r="EO310" s="499"/>
      <c r="EP310" s="499"/>
      <c r="EQ310" s="499"/>
      <c r="ER310" s="499"/>
      <c r="ES310" s="499"/>
      <c r="ET310" s="499"/>
      <c r="EU310" s="499"/>
      <c r="EV310" s="499"/>
      <c r="EW310" s="499"/>
      <c r="EX310" s="499"/>
      <c r="EY310" s="499"/>
      <c r="EZ310" s="499"/>
      <c r="FA310" s="499"/>
      <c r="FB310" s="499"/>
      <c r="FC310" s="499"/>
      <c r="FD310" s="499"/>
      <c r="FE310" s="499"/>
      <c r="FF310" s="499"/>
      <c r="FG310" s="499"/>
      <c r="FH310" s="499"/>
      <c r="FI310" s="499"/>
      <c r="FJ310" s="499"/>
      <c r="FK310" s="499"/>
      <c r="FL310" s="499"/>
      <c r="FM310" s="499"/>
      <c r="FN310" s="499"/>
      <c r="FO310" s="499"/>
      <c r="FP310" s="499"/>
      <c r="FQ310" s="499"/>
      <c r="FR310" s="499"/>
      <c r="FS310" s="499"/>
      <c r="FT310" s="499"/>
      <c r="FU310" s="499"/>
      <c r="FV310" s="499"/>
      <c r="FW310" s="499"/>
      <c r="FX310" s="499"/>
      <c r="FY310" s="499"/>
      <c r="FZ310" s="499"/>
      <c r="GA310" s="499"/>
      <c r="GB310" s="499"/>
      <c r="GC310" s="499"/>
      <c r="GD310" s="499"/>
      <c r="GE310" s="499"/>
      <c r="GF310" s="499"/>
      <c r="GG310" s="499"/>
      <c r="GH310" s="499"/>
      <c r="GI310" s="499"/>
      <c r="GJ310" s="499"/>
      <c r="GK310" s="499"/>
      <c r="GL310" s="499"/>
      <c r="GM310" s="499"/>
      <c r="GN310" s="499"/>
      <c r="GO310" s="499"/>
      <c r="GP310" s="499"/>
      <c r="GQ310" s="499"/>
      <c r="GR310" s="499"/>
      <c r="GS310" s="499"/>
      <c r="GT310" s="499"/>
      <c r="GU310" s="499"/>
      <c r="GV310" s="499"/>
      <c r="GW310" s="499"/>
      <c r="GX310" s="499"/>
      <c r="GY310" s="499"/>
      <c r="GZ310" s="499"/>
      <c r="HA310" s="499"/>
      <c r="HB310" s="499"/>
      <c r="HC310" s="499"/>
      <c r="HD310" s="499"/>
      <c r="HE310" s="499"/>
      <c r="HF310" s="499"/>
      <c r="HG310" s="499"/>
      <c r="HH310" s="499"/>
      <c r="HI310" s="499"/>
      <c r="HJ310" s="499"/>
      <c r="HK310" s="499"/>
      <c r="HL310" s="499"/>
      <c r="HM310" s="499"/>
      <c r="HN310" s="499"/>
      <c r="HO310" s="499"/>
      <c r="HP310" s="499"/>
      <c r="HQ310" s="499"/>
      <c r="HR310" s="499"/>
      <c r="HS310" s="499"/>
      <c r="HT310" s="499"/>
      <c r="HU310" s="499"/>
      <c r="HV310" s="499"/>
      <c r="HW310" s="499"/>
      <c r="HX310" s="358"/>
    </row>
    <row r="311" spans="1:232" s="5" customFormat="1" ht="20.100000000000001" customHeight="1">
      <c r="A311" s="1605" t="s">
        <v>191</v>
      </c>
      <c r="B311" s="1606" t="s">
        <v>115</v>
      </c>
      <c r="C311" s="1606"/>
      <c r="D311" s="1606"/>
      <c r="E311" s="1606"/>
      <c r="F311" s="1606" t="s">
        <v>116</v>
      </c>
      <c r="G311" s="1606"/>
      <c r="H311" s="1606"/>
      <c r="I311" s="1606" t="s">
        <v>117</v>
      </c>
      <c r="J311" s="1606"/>
      <c r="N311" s="495"/>
      <c r="O311" s="495"/>
      <c r="P311" s="495"/>
      <c r="Q311" s="495"/>
      <c r="R311" s="495"/>
      <c r="S311" s="495"/>
      <c r="T311" s="504"/>
      <c r="U311" s="358"/>
      <c r="V311" s="358"/>
      <c r="W311" s="358"/>
      <c r="X311" s="358"/>
      <c r="Y311" s="358"/>
      <c r="Z311" s="358"/>
      <c r="AA311" s="358"/>
      <c r="AB311" s="358"/>
      <c r="AC311" s="358"/>
      <c r="AD311" s="358"/>
      <c r="AE311" s="358"/>
      <c r="AF311" s="358"/>
      <c r="AG311" s="358"/>
      <c r="AH311" s="358"/>
      <c r="AI311" s="358"/>
      <c r="AJ311" s="358"/>
      <c r="AK311" s="358"/>
      <c r="AL311" s="358"/>
      <c r="AM311" s="358"/>
      <c r="AN311" s="358"/>
      <c r="AO311" s="358"/>
      <c r="AP311" s="358"/>
      <c r="AQ311" s="358"/>
      <c r="AR311" s="358"/>
      <c r="AS311" s="358"/>
      <c r="AT311" s="358"/>
      <c r="AU311" s="358"/>
      <c r="AV311" s="358"/>
      <c r="AW311" s="358"/>
      <c r="AX311" s="358"/>
      <c r="AY311" s="358"/>
      <c r="AZ311" s="358"/>
      <c r="BA311" s="358"/>
      <c r="BB311" s="358"/>
      <c r="BC311" s="358"/>
      <c r="BD311" s="358"/>
      <c r="BE311" s="358"/>
      <c r="BF311" s="358"/>
      <c r="BG311" s="358"/>
      <c r="BH311" s="358"/>
      <c r="BI311" s="358"/>
      <c r="BJ311" s="358"/>
      <c r="BK311" s="358"/>
      <c r="BL311" s="358"/>
      <c r="BM311" s="358"/>
      <c r="BN311" s="358"/>
      <c r="BO311" s="358"/>
      <c r="BP311" s="358"/>
      <c r="BQ311" s="358"/>
      <c r="BR311" s="358"/>
      <c r="BS311" s="358"/>
      <c r="BT311" s="358"/>
      <c r="BU311" s="358"/>
      <c r="BV311" s="358"/>
      <c r="BW311" s="358"/>
      <c r="BX311" s="358"/>
      <c r="BY311" s="358"/>
      <c r="BZ311" s="358"/>
      <c r="CA311" s="358"/>
      <c r="CB311" s="358"/>
      <c r="CC311" s="358"/>
      <c r="CD311" s="358"/>
      <c r="CE311" s="358"/>
      <c r="CF311" s="358"/>
      <c r="CG311" s="358"/>
      <c r="CH311" s="358"/>
      <c r="CI311" s="358"/>
      <c r="CJ311" s="358"/>
      <c r="CK311" s="358"/>
      <c r="CL311" s="358"/>
      <c r="CM311" s="358"/>
      <c r="CN311" s="358"/>
      <c r="CO311" s="358"/>
      <c r="CP311" s="358"/>
      <c r="CQ311" s="358"/>
      <c r="CR311" s="358"/>
      <c r="CS311" s="358"/>
      <c r="CT311" s="358"/>
      <c r="CU311" s="358"/>
      <c r="CV311" s="358"/>
      <c r="CW311" s="358"/>
      <c r="CX311" s="358"/>
      <c r="CY311" s="358"/>
      <c r="CZ311" s="358"/>
      <c r="DA311" s="358"/>
      <c r="DB311" s="358"/>
      <c r="DC311" s="358"/>
      <c r="DD311" s="358"/>
      <c r="DE311" s="358"/>
      <c r="DF311" s="358"/>
      <c r="DG311" s="358"/>
      <c r="DH311" s="358"/>
      <c r="DI311" s="358"/>
      <c r="DJ311" s="358"/>
      <c r="DK311" s="358"/>
      <c r="DL311" s="358"/>
      <c r="DM311" s="358"/>
      <c r="DN311" s="358"/>
      <c r="DO311" s="358"/>
      <c r="DP311" s="358"/>
      <c r="DQ311" s="358"/>
      <c r="DR311" s="358"/>
      <c r="DS311" s="358"/>
      <c r="DT311" s="358"/>
      <c r="DU311" s="358"/>
      <c r="DV311" s="358"/>
      <c r="DW311" s="358"/>
      <c r="DX311" s="358"/>
      <c r="DY311" s="358"/>
      <c r="DZ311" s="358"/>
      <c r="EA311" s="358"/>
      <c r="EB311" s="358"/>
      <c r="EC311" s="358"/>
      <c r="ED311" s="358"/>
      <c r="EE311" s="358"/>
      <c r="EF311" s="358"/>
      <c r="EG311" s="358"/>
      <c r="EH311" s="358"/>
      <c r="EI311" s="358"/>
      <c r="EJ311" s="358"/>
      <c r="EK311" s="358"/>
      <c r="EL311" s="358"/>
      <c r="EM311" s="358"/>
      <c r="EN311" s="358"/>
      <c r="EO311" s="358"/>
      <c r="EP311" s="358"/>
      <c r="EQ311" s="358"/>
      <c r="ER311" s="358"/>
      <c r="ES311" s="358"/>
      <c r="ET311" s="358"/>
      <c r="EU311" s="358"/>
      <c r="EV311" s="358"/>
      <c r="EW311" s="358"/>
      <c r="EX311" s="358"/>
      <c r="EY311" s="358"/>
      <c r="EZ311" s="358"/>
      <c r="FA311" s="358"/>
      <c r="FB311" s="358"/>
      <c r="FC311" s="358"/>
      <c r="FD311" s="358"/>
      <c r="FE311" s="358"/>
      <c r="FF311" s="358"/>
      <c r="FG311" s="358"/>
      <c r="FH311" s="358"/>
      <c r="FI311" s="358"/>
      <c r="FJ311" s="358"/>
      <c r="FK311" s="358"/>
      <c r="FL311" s="358"/>
      <c r="FM311" s="358"/>
      <c r="FN311" s="358"/>
      <c r="FO311" s="358"/>
      <c r="FP311" s="358"/>
      <c r="FQ311" s="358"/>
      <c r="FR311" s="358"/>
      <c r="FS311" s="358"/>
      <c r="FT311" s="358"/>
      <c r="FU311" s="358"/>
      <c r="FV311" s="358"/>
      <c r="FW311" s="358"/>
      <c r="FX311" s="358"/>
      <c r="FY311" s="358"/>
      <c r="FZ311" s="358"/>
      <c r="GA311" s="358"/>
      <c r="GB311" s="358"/>
      <c r="GC311" s="358"/>
      <c r="GD311" s="358"/>
      <c r="GE311" s="358"/>
      <c r="GF311" s="358"/>
      <c r="GG311" s="358"/>
      <c r="GH311" s="358"/>
      <c r="GI311" s="358"/>
      <c r="GJ311" s="358"/>
      <c r="GK311" s="358"/>
      <c r="GL311" s="358"/>
      <c r="GM311" s="358"/>
      <c r="GN311" s="358"/>
      <c r="GO311" s="358"/>
      <c r="GP311" s="358"/>
      <c r="GQ311" s="358"/>
      <c r="GR311" s="358"/>
      <c r="GS311" s="358"/>
      <c r="GT311" s="358"/>
      <c r="GU311" s="358"/>
      <c r="GV311" s="358"/>
      <c r="GW311" s="358"/>
      <c r="GX311" s="358"/>
      <c r="GY311" s="358"/>
      <c r="GZ311" s="358"/>
      <c r="HA311" s="358"/>
      <c r="HB311" s="358"/>
      <c r="HC311" s="358"/>
      <c r="HD311" s="358"/>
      <c r="HE311" s="358"/>
      <c r="HF311" s="358"/>
      <c r="HG311" s="358"/>
      <c r="HH311" s="358"/>
      <c r="HI311" s="358"/>
      <c r="HJ311" s="358"/>
      <c r="HK311" s="358"/>
      <c r="HL311" s="358"/>
      <c r="HM311" s="358"/>
      <c r="HN311" s="358"/>
      <c r="HO311" s="358"/>
      <c r="HP311" s="358"/>
      <c r="HQ311" s="358"/>
      <c r="HR311" s="358"/>
      <c r="HS311" s="358"/>
      <c r="HT311" s="358"/>
      <c r="HU311" s="358"/>
      <c r="HV311" s="358"/>
      <c r="HW311" s="358"/>
      <c r="HX311" s="358"/>
    </row>
    <row r="312" spans="1:232" s="5" customFormat="1" ht="20.100000000000001" customHeight="1">
      <c r="A312" s="1605"/>
      <c r="B312" s="1606"/>
      <c r="C312" s="1606"/>
      <c r="D312" s="1606"/>
      <c r="E312" s="1606"/>
      <c r="F312" s="1606"/>
      <c r="G312" s="1606"/>
      <c r="H312" s="1606"/>
      <c r="I312" s="503" t="s">
        <v>118</v>
      </c>
      <c r="J312" s="503" t="s">
        <v>119</v>
      </c>
      <c r="O312" s="504"/>
      <c r="P312" s="504"/>
      <c r="Q312" s="504"/>
      <c r="R312" s="504"/>
      <c r="S312" s="504"/>
      <c r="T312" s="406"/>
      <c r="U312" s="358"/>
      <c r="V312" s="358"/>
      <c r="W312" s="358"/>
      <c r="X312" s="358"/>
      <c r="Y312" s="358"/>
      <c r="Z312" s="358"/>
      <c r="AA312" s="358"/>
      <c r="AB312" s="358"/>
      <c r="AC312" s="358"/>
      <c r="AD312" s="358"/>
      <c r="AE312" s="358"/>
      <c r="AF312" s="358"/>
      <c r="AG312" s="358"/>
      <c r="AH312" s="358"/>
      <c r="AI312" s="358"/>
      <c r="AJ312" s="358"/>
      <c r="AK312" s="358"/>
      <c r="AL312" s="358"/>
      <c r="AM312" s="358"/>
      <c r="AN312" s="358"/>
      <c r="AO312" s="358"/>
      <c r="AP312" s="358"/>
      <c r="AQ312" s="358"/>
      <c r="AR312" s="358"/>
      <c r="AS312" s="358"/>
      <c r="AT312" s="358"/>
      <c r="AU312" s="358"/>
      <c r="AV312" s="358"/>
      <c r="AW312" s="358"/>
      <c r="AX312" s="358"/>
      <c r="AY312" s="358"/>
      <c r="AZ312" s="358"/>
      <c r="BA312" s="358"/>
      <c r="BB312" s="358"/>
      <c r="BC312" s="358"/>
      <c r="BD312" s="358"/>
      <c r="BE312" s="358"/>
      <c r="BF312" s="358"/>
      <c r="BG312" s="358"/>
      <c r="BH312" s="358"/>
      <c r="BI312" s="358"/>
      <c r="BJ312" s="358"/>
      <c r="BK312" s="358"/>
      <c r="BL312" s="358"/>
      <c r="BM312" s="358"/>
      <c r="BN312" s="358"/>
      <c r="BO312" s="358"/>
      <c r="BP312" s="358"/>
      <c r="BQ312" s="358"/>
      <c r="BR312" s="358"/>
      <c r="BS312" s="358"/>
      <c r="BT312" s="358"/>
      <c r="BU312" s="358"/>
      <c r="BV312" s="358"/>
      <c r="BW312" s="358"/>
      <c r="BX312" s="358"/>
      <c r="BY312" s="358"/>
      <c r="BZ312" s="358"/>
      <c r="CA312" s="358"/>
      <c r="CB312" s="358"/>
      <c r="CC312" s="358"/>
      <c r="CD312" s="358"/>
      <c r="CE312" s="358"/>
      <c r="CF312" s="358"/>
      <c r="CG312" s="358"/>
      <c r="CH312" s="358"/>
      <c r="CI312" s="358"/>
      <c r="CJ312" s="358"/>
      <c r="CK312" s="358"/>
      <c r="CL312" s="358"/>
      <c r="CM312" s="358"/>
      <c r="CN312" s="358"/>
      <c r="CO312" s="358"/>
      <c r="CP312" s="358"/>
      <c r="CQ312" s="358"/>
      <c r="CR312" s="358"/>
      <c r="CS312" s="358"/>
      <c r="CT312" s="358"/>
      <c r="CU312" s="358"/>
      <c r="CV312" s="358"/>
      <c r="CW312" s="358"/>
      <c r="CX312" s="358"/>
      <c r="CY312" s="358"/>
      <c r="CZ312" s="358"/>
      <c r="DA312" s="358"/>
      <c r="DB312" s="358"/>
      <c r="DC312" s="358"/>
      <c r="DD312" s="358"/>
      <c r="DE312" s="358"/>
      <c r="DF312" s="358"/>
      <c r="DG312" s="358"/>
      <c r="DH312" s="358"/>
      <c r="DI312" s="358"/>
      <c r="DJ312" s="358"/>
      <c r="DK312" s="358"/>
      <c r="DL312" s="358"/>
      <c r="DM312" s="358"/>
      <c r="DN312" s="358"/>
      <c r="DO312" s="358"/>
      <c r="DP312" s="358"/>
      <c r="DQ312" s="358"/>
      <c r="DR312" s="358"/>
      <c r="DS312" s="358"/>
      <c r="DT312" s="358"/>
      <c r="DU312" s="358"/>
      <c r="DV312" s="358"/>
      <c r="DW312" s="358"/>
      <c r="DX312" s="358"/>
      <c r="DY312" s="358"/>
      <c r="DZ312" s="358"/>
      <c r="EA312" s="358"/>
      <c r="EB312" s="358"/>
      <c r="EC312" s="358"/>
      <c r="ED312" s="358"/>
      <c r="EE312" s="358"/>
      <c r="EF312" s="358"/>
      <c r="EG312" s="358"/>
      <c r="EH312" s="358"/>
      <c r="EI312" s="358"/>
      <c r="EJ312" s="358"/>
      <c r="EK312" s="358"/>
      <c r="EL312" s="358"/>
      <c r="EM312" s="358"/>
      <c r="EN312" s="358"/>
      <c r="EO312" s="358"/>
      <c r="EP312" s="358"/>
      <c r="EQ312" s="358"/>
      <c r="ER312" s="358"/>
      <c r="ES312" s="358"/>
      <c r="ET312" s="358"/>
      <c r="EU312" s="358"/>
      <c r="EV312" s="358"/>
      <c r="EW312" s="358"/>
      <c r="EX312" s="358"/>
      <c r="EY312" s="358"/>
      <c r="EZ312" s="358"/>
      <c r="FA312" s="358"/>
      <c r="FB312" s="358"/>
      <c r="FC312" s="358"/>
      <c r="FD312" s="358"/>
      <c r="FE312" s="358"/>
      <c r="FF312" s="358"/>
      <c r="FG312" s="358"/>
      <c r="FH312" s="358"/>
      <c r="FI312" s="358"/>
      <c r="FJ312" s="358"/>
      <c r="FK312" s="358"/>
      <c r="FL312" s="358"/>
      <c r="FM312" s="358"/>
      <c r="FN312" s="358"/>
      <c r="FO312" s="358"/>
      <c r="FP312" s="358"/>
      <c r="FQ312" s="358"/>
      <c r="FR312" s="358"/>
      <c r="FS312" s="358"/>
      <c r="FT312" s="358"/>
      <c r="FU312" s="358"/>
      <c r="FV312" s="358"/>
      <c r="FW312" s="358"/>
      <c r="FX312" s="358"/>
      <c r="FY312" s="358"/>
      <c r="FZ312" s="358"/>
      <c r="GA312" s="358"/>
      <c r="GB312" s="358"/>
      <c r="GC312" s="358"/>
      <c r="GD312" s="358"/>
      <c r="GE312" s="358"/>
      <c r="GF312" s="358"/>
      <c r="GG312" s="358"/>
      <c r="GH312" s="358"/>
      <c r="GI312" s="358"/>
      <c r="GJ312" s="358"/>
      <c r="GK312" s="358"/>
      <c r="GL312" s="358"/>
      <c r="GM312" s="358"/>
      <c r="GN312" s="358"/>
      <c r="GO312" s="358"/>
      <c r="GP312" s="358"/>
      <c r="GQ312" s="358"/>
      <c r="GR312" s="358"/>
      <c r="GS312" s="358"/>
      <c r="GT312" s="358"/>
      <c r="GU312" s="358"/>
      <c r="GV312" s="358"/>
      <c r="GW312" s="358"/>
      <c r="GX312" s="358"/>
      <c r="GY312" s="358"/>
      <c r="GZ312" s="358"/>
      <c r="HA312" s="358"/>
      <c r="HB312" s="358"/>
      <c r="HC312" s="358"/>
      <c r="HD312" s="358"/>
      <c r="HE312" s="358"/>
      <c r="HF312" s="358"/>
      <c r="HG312" s="358"/>
      <c r="HH312" s="358"/>
      <c r="HI312" s="358"/>
      <c r="HJ312" s="358"/>
      <c r="HK312" s="358"/>
      <c r="HL312" s="358"/>
      <c r="HM312" s="358"/>
      <c r="HN312" s="358"/>
      <c r="HO312" s="358"/>
      <c r="HP312" s="358"/>
      <c r="HQ312" s="358"/>
      <c r="HR312" s="358"/>
      <c r="HS312" s="358"/>
      <c r="HT312" s="358"/>
      <c r="HU312" s="358"/>
      <c r="HV312" s="358"/>
      <c r="HW312" s="358"/>
      <c r="HX312" s="358"/>
    </row>
    <row r="313" spans="1:232" s="5" customFormat="1" ht="20.100000000000001" customHeight="1">
      <c r="A313" s="503">
        <f t="shared" ref="A313:B319" si="0">IF(A211&lt;&gt;0,A211,"")</f>
        <v>1</v>
      </c>
      <c r="B313" s="1601" t="str">
        <f t="shared" si="0"/>
        <v>Đường kính, số lượng thép chủ</v>
      </c>
      <c r="C313" s="1601"/>
      <c r="D313" s="1601"/>
      <c r="E313" s="1601"/>
      <c r="F313" s="1598" t="str">
        <f t="shared" ref="F313:F319" si="1">IF(F211&lt;&gt;0,F211,"")</f>
        <v>Thước kẹp, quan sát</v>
      </c>
      <c r="G313" s="1598"/>
      <c r="H313" s="1598"/>
      <c r="I313" s="562" t="str">
        <f t="shared" ref="I313:I319" si="2">IF(I211&lt;&gt;0,I211,"")</f>
        <v>x</v>
      </c>
      <c r="J313" s="506"/>
      <c r="O313" s="406"/>
      <c r="P313" s="406"/>
      <c r="Q313" s="406"/>
      <c r="R313" s="406"/>
      <c r="S313" s="406"/>
      <c r="T313" s="406"/>
      <c r="U313" s="358"/>
      <c r="V313" s="358"/>
      <c r="W313" s="358"/>
      <c r="X313" s="358"/>
      <c r="Y313" s="358"/>
      <c r="Z313" s="358"/>
      <c r="AA313" s="358"/>
      <c r="AB313" s="358"/>
      <c r="AC313" s="358"/>
      <c r="AD313" s="358"/>
      <c r="AE313" s="358"/>
      <c r="AF313" s="358"/>
      <c r="AG313" s="358"/>
      <c r="AH313" s="358"/>
      <c r="AI313" s="358"/>
      <c r="AJ313" s="358"/>
      <c r="AK313" s="358"/>
      <c r="AL313" s="358"/>
      <c r="AM313" s="358"/>
      <c r="AN313" s="358"/>
      <c r="AO313" s="358"/>
      <c r="AP313" s="358"/>
      <c r="AQ313" s="358"/>
      <c r="AR313" s="358"/>
      <c r="AS313" s="358"/>
      <c r="AT313" s="358"/>
      <c r="AU313" s="358"/>
      <c r="AV313" s="358"/>
      <c r="AW313" s="358"/>
      <c r="AX313" s="358"/>
      <c r="AY313" s="358"/>
      <c r="AZ313" s="358"/>
      <c r="BA313" s="358"/>
      <c r="BB313" s="358"/>
      <c r="BC313" s="358"/>
      <c r="BD313" s="358"/>
      <c r="BE313" s="358"/>
      <c r="BF313" s="358"/>
      <c r="BG313" s="358"/>
      <c r="BH313" s="358"/>
      <c r="BI313" s="358"/>
      <c r="BJ313" s="358"/>
      <c r="BK313" s="358"/>
      <c r="BL313" s="358"/>
      <c r="BM313" s="358"/>
      <c r="BN313" s="358"/>
      <c r="BO313" s="358"/>
      <c r="BP313" s="358"/>
      <c r="BQ313" s="358"/>
      <c r="BR313" s="358"/>
      <c r="BS313" s="358"/>
      <c r="BT313" s="358"/>
      <c r="BU313" s="358"/>
      <c r="BV313" s="358"/>
      <c r="BW313" s="358"/>
      <c r="BX313" s="358"/>
      <c r="BY313" s="358"/>
      <c r="BZ313" s="358"/>
      <c r="CA313" s="358"/>
      <c r="CB313" s="358"/>
      <c r="CC313" s="358"/>
      <c r="CD313" s="358"/>
      <c r="CE313" s="358"/>
      <c r="CF313" s="358"/>
      <c r="CG313" s="358"/>
      <c r="CH313" s="358"/>
      <c r="CI313" s="358"/>
      <c r="CJ313" s="358"/>
      <c r="CK313" s="358"/>
      <c r="CL313" s="358"/>
      <c r="CM313" s="358"/>
      <c r="CN313" s="358"/>
      <c r="CO313" s="358"/>
      <c r="CP313" s="358"/>
      <c r="CQ313" s="358"/>
      <c r="CR313" s="358"/>
      <c r="CS313" s="358"/>
      <c r="CT313" s="358"/>
      <c r="CU313" s="358"/>
      <c r="CV313" s="358"/>
      <c r="CW313" s="358"/>
      <c r="CX313" s="358"/>
      <c r="CY313" s="358"/>
      <c r="CZ313" s="358"/>
      <c r="DA313" s="358"/>
      <c r="DB313" s="358"/>
      <c r="DC313" s="358"/>
      <c r="DD313" s="358"/>
      <c r="DE313" s="358"/>
      <c r="DF313" s="358"/>
      <c r="DG313" s="358"/>
      <c r="DH313" s="358"/>
      <c r="DI313" s="358"/>
      <c r="DJ313" s="358"/>
      <c r="DK313" s="358"/>
      <c r="DL313" s="358"/>
      <c r="DM313" s="358"/>
      <c r="DN313" s="358"/>
      <c r="DO313" s="358"/>
      <c r="DP313" s="358"/>
      <c r="DQ313" s="358"/>
      <c r="DR313" s="358"/>
      <c r="DS313" s="358"/>
      <c r="DT313" s="358"/>
      <c r="DU313" s="358"/>
      <c r="DV313" s="358"/>
      <c r="DW313" s="358"/>
      <c r="DX313" s="358"/>
      <c r="DY313" s="358"/>
      <c r="DZ313" s="358"/>
      <c r="EA313" s="358"/>
      <c r="EB313" s="358"/>
      <c r="EC313" s="358"/>
      <c r="ED313" s="358"/>
      <c r="EE313" s="358"/>
      <c r="EF313" s="358"/>
      <c r="EG313" s="358"/>
      <c r="EH313" s="358"/>
      <c r="EI313" s="358"/>
      <c r="EJ313" s="358"/>
      <c r="EK313" s="358"/>
      <c r="EL313" s="358"/>
      <c r="EM313" s="358"/>
      <c r="EN313" s="358"/>
      <c r="EO313" s="358"/>
      <c r="EP313" s="358"/>
      <c r="EQ313" s="358"/>
      <c r="ER313" s="358"/>
      <c r="ES313" s="358"/>
      <c r="ET313" s="358"/>
      <c r="EU313" s="358"/>
      <c r="EV313" s="358"/>
      <c r="EW313" s="358"/>
      <c r="EX313" s="358"/>
      <c r="EY313" s="358"/>
      <c r="EZ313" s="358"/>
      <c r="FA313" s="358"/>
      <c r="FB313" s="358"/>
      <c r="FC313" s="358"/>
      <c r="FD313" s="358"/>
      <c r="FE313" s="358"/>
      <c r="FF313" s="358"/>
      <c r="FG313" s="358"/>
      <c r="FH313" s="358"/>
      <c r="FI313" s="358"/>
      <c r="FJ313" s="358"/>
      <c r="FK313" s="358"/>
      <c r="FL313" s="358"/>
      <c r="FM313" s="358"/>
      <c r="FN313" s="358"/>
      <c r="FO313" s="358"/>
      <c r="FP313" s="358"/>
      <c r="FQ313" s="358"/>
      <c r="FR313" s="358"/>
      <c r="FS313" s="358"/>
      <c r="FT313" s="358"/>
      <c r="FU313" s="358"/>
      <c r="FV313" s="358"/>
      <c r="FW313" s="358"/>
      <c r="FX313" s="358"/>
      <c r="FY313" s="358"/>
      <c r="FZ313" s="358"/>
      <c r="GA313" s="358"/>
      <c r="GB313" s="358"/>
      <c r="GC313" s="358"/>
      <c r="GD313" s="358"/>
      <c r="GE313" s="358"/>
      <c r="GF313" s="358"/>
      <c r="GG313" s="358"/>
      <c r="GH313" s="358"/>
      <c r="GI313" s="358"/>
      <c r="GJ313" s="358"/>
      <c r="GK313" s="358"/>
      <c r="GL313" s="358"/>
      <c r="GM313" s="358"/>
      <c r="GN313" s="358"/>
      <c r="GO313" s="358"/>
      <c r="GP313" s="358"/>
      <c r="GQ313" s="358"/>
      <c r="GR313" s="358"/>
      <c r="GS313" s="358"/>
      <c r="GT313" s="358"/>
      <c r="GU313" s="358"/>
      <c r="GV313" s="358"/>
      <c r="GW313" s="358"/>
      <c r="GX313" s="358"/>
      <c r="GY313" s="358"/>
      <c r="GZ313" s="358"/>
      <c r="HA313" s="358"/>
      <c r="HB313" s="358"/>
      <c r="HC313" s="358"/>
      <c r="HD313" s="358"/>
      <c r="HE313" s="358"/>
      <c r="HF313" s="358"/>
      <c r="HG313" s="358"/>
      <c r="HH313" s="358"/>
      <c r="HI313" s="358"/>
      <c r="HJ313" s="358"/>
      <c r="HK313" s="358"/>
      <c r="HL313" s="358"/>
      <c r="HM313" s="358"/>
      <c r="HN313" s="358"/>
      <c r="HO313" s="358"/>
      <c r="HP313" s="358"/>
      <c r="HQ313" s="358"/>
      <c r="HR313" s="358"/>
      <c r="HS313" s="358"/>
      <c r="HT313" s="358"/>
      <c r="HU313" s="358"/>
      <c r="HV313" s="358"/>
      <c r="HW313" s="358"/>
      <c r="HX313" s="358"/>
    </row>
    <row r="314" spans="1:232" s="5" customFormat="1" ht="20.100000000000001" customHeight="1">
      <c r="A314" s="503">
        <f t="shared" si="0"/>
        <v>2</v>
      </c>
      <c r="B314" s="1601" t="str">
        <f t="shared" si="0"/>
        <v>Chiều dài lồng thép</v>
      </c>
      <c r="C314" s="1601"/>
      <c r="D314" s="1601"/>
      <c r="E314" s="1601"/>
      <c r="F314" s="1598" t="str">
        <f t="shared" si="1"/>
        <v>Thước 50m</v>
      </c>
      <c r="G314" s="1598"/>
      <c r="H314" s="1598"/>
      <c r="I314" s="562" t="str">
        <f t="shared" si="2"/>
        <v>x</v>
      </c>
      <c r="J314" s="506"/>
      <c r="O314" s="406"/>
      <c r="P314" s="406"/>
      <c r="Q314" s="406"/>
      <c r="R314" s="406"/>
      <c r="S314" s="406"/>
      <c r="T314" s="406"/>
      <c r="U314" s="358"/>
      <c r="V314" s="358"/>
      <c r="W314" s="358"/>
      <c r="X314" s="358"/>
      <c r="Y314" s="358"/>
      <c r="Z314" s="358"/>
      <c r="AA314" s="358"/>
      <c r="AB314" s="358"/>
      <c r="AC314" s="358"/>
      <c r="AD314" s="358"/>
      <c r="AE314" s="358"/>
      <c r="AF314" s="358"/>
      <c r="AG314" s="358"/>
      <c r="AH314" s="358"/>
      <c r="AI314" s="358"/>
      <c r="AJ314" s="358"/>
      <c r="AK314" s="358"/>
      <c r="AL314" s="358"/>
      <c r="AM314" s="358"/>
      <c r="AN314" s="358"/>
      <c r="AO314" s="358"/>
      <c r="AP314" s="358"/>
      <c r="AQ314" s="358"/>
      <c r="AR314" s="358"/>
      <c r="AS314" s="358"/>
      <c r="AT314" s="358"/>
      <c r="AU314" s="358"/>
      <c r="AV314" s="358"/>
      <c r="AW314" s="358"/>
      <c r="AX314" s="358"/>
      <c r="AY314" s="358"/>
      <c r="AZ314" s="358"/>
      <c r="BA314" s="358"/>
      <c r="BB314" s="358"/>
      <c r="BC314" s="358"/>
      <c r="BD314" s="358"/>
      <c r="BE314" s="358"/>
      <c r="BF314" s="358"/>
      <c r="BG314" s="358"/>
      <c r="BH314" s="358"/>
      <c r="BI314" s="358"/>
      <c r="BJ314" s="358"/>
      <c r="BK314" s="358"/>
      <c r="BL314" s="358"/>
      <c r="BM314" s="358"/>
      <c r="BN314" s="358"/>
      <c r="BO314" s="358"/>
      <c r="BP314" s="358"/>
      <c r="BQ314" s="358"/>
      <c r="BR314" s="358"/>
      <c r="BS314" s="358"/>
      <c r="BT314" s="358"/>
      <c r="BU314" s="358"/>
      <c r="BV314" s="358"/>
      <c r="BW314" s="358"/>
      <c r="BX314" s="358"/>
      <c r="BY314" s="358"/>
      <c r="BZ314" s="358"/>
      <c r="CA314" s="358"/>
      <c r="CB314" s="358"/>
      <c r="CC314" s="358"/>
      <c r="CD314" s="358"/>
      <c r="CE314" s="358"/>
      <c r="CF314" s="358"/>
      <c r="CG314" s="358"/>
      <c r="CH314" s="358"/>
      <c r="CI314" s="358"/>
      <c r="CJ314" s="358"/>
      <c r="CK314" s="358"/>
      <c r="CL314" s="358"/>
      <c r="CM314" s="358"/>
      <c r="CN314" s="358"/>
      <c r="CO314" s="358"/>
      <c r="CP314" s="358"/>
      <c r="CQ314" s="358"/>
      <c r="CR314" s="358"/>
      <c r="CS314" s="358"/>
      <c r="CT314" s="358"/>
      <c r="CU314" s="358"/>
      <c r="CV314" s="358"/>
      <c r="CW314" s="358"/>
      <c r="CX314" s="358"/>
      <c r="CY314" s="358"/>
      <c r="CZ314" s="358"/>
      <c r="DA314" s="358"/>
      <c r="DB314" s="358"/>
      <c r="DC314" s="358"/>
      <c r="DD314" s="358"/>
      <c r="DE314" s="358"/>
      <c r="DF314" s="358"/>
      <c r="DG314" s="358"/>
      <c r="DH314" s="358"/>
      <c r="DI314" s="358"/>
      <c r="DJ314" s="358"/>
      <c r="DK314" s="358"/>
      <c r="DL314" s="358"/>
      <c r="DM314" s="358"/>
      <c r="DN314" s="358"/>
      <c r="DO314" s="358"/>
      <c r="DP314" s="358"/>
      <c r="DQ314" s="358"/>
      <c r="DR314" s="358"/>
      <c r="DS314" s="358"/>
      <c r="DT314" s="358"/>
      <c r="DU314" s="358"/>
      <c r="DV314" s="358"/>
      <c r="DW314" s="358"/>
      <c r="DX314" s="358"/>
      <c r="DY314" s="358"/>
      <c r="DZ314" s="358"/>
      <c r="EA314" s="358"/>
      <c r="EB314" s="358"/>
      <c r="EC314" s="358"/>
      <c r="ED314" s="358"/>
      <c r="EE314" s="358"/>
      <c r="EF314" s="358"/>
      <c r="EG314" s="358"/>
      <c r="EH314" s="358"/>
      <c r="EI314" s="358"/>
      <c r="EJ314" s="358"/>
      <c r="EK314" s="358"/>
      <c r="EL314" s="358"/>
      <c r="EM314" s="358"/>
      <c r="EN314" s="358"/>
      <c r="EO314" s="358"/>
      <c r="EP314" s="358"/>
      <c r="EQ314" s="358"/>
      <c r="ER314" s="358"/>
      <c r="ES314" s="358"/>
      <c r="ET314" s="358"/>
      <c r="EU314" s="358"/>
      <c r="EV314" s="358"/>
      <c r="EW314" s="358"/>
      <c r="EX314" s="358"/>
      <c r="EY314" s="358"/>
      <c r="EZ314" s="358"/>
      <c r="FA314" s="358"/>
      <c r="FB314" s="358"/>
      <c r="FC314" s="358"/>
      <c r="FD314" s="358"/>
      <c r="FE314" s="358"/>
      <c r="FF314" s="358"/>
      <c r="FG314" s="358"/>
      <c r="FH314" s="358"/>
      <c r="FI314" s="358"/>
      <c r="FJ314" s="358"/>
      <c r="FK314" s="358"/>
      <c r="FL314" s="358"/>
      <c r="FM314" s="358"/>
      <c r="FN314" s="358"/>
      <c r="FO314" s="358"/>
      <c r="FP314" s="358"/>
      <c r="FQ314" s="358"/>
      <c r="FR314" s="358"/>
      <c r="FS314" s="358"/>
      <c r="FT314" s="358"/>
      <c r="FU314" s="358"/>
      <c r="FV314" s="358"/>
      <c r="FW314" s="358"/>
      <c r="FX314" s="358"/>
      <c r="FY314" s="358"/>
      <c r="FZ314" s="358"/>
      <c r="GA314" s="358"/>
      <c r="GB314" s="358"/>
      <c r="GC314" s="358"/>
      <c r="GD314" s="358"/>
      <c r="GE314" s="358"/>
      <c r="GF314" s="358"/>
      <c r="GG314" s="358"/>
      <c r="GH314" s="358"/>
      <c r="GI314" s="358"/>
      <c r="GJ314" s="358"/>
      <c r="GK314" s="358"/>
      <c r="GL314" s="358"/>
      <c r="GM314" s="358"/>
      <c r="GN314" s="358"/>
      <c r="GO314" s="358"/>
      <c r="GP314" s="358"/>
      <c r="GQ314" s="358"/>
      <c r="GR314" s="358"/>
      <c r="GS314" s="358"/>
      <c r="GT314" s="358"/>
      <c r="GU314" s="358"/>
      <c r="GV314" s="358"/>
      <c r="GW314" s="358"/>
      <c r="GX314" s="358"/>
      <c r="GY314" s="358"/>
      <c r="GZ314" s="358"/>
      <c r="HA314" s="358"/>
      <c r="HB314" s="358"/>
      <c r="HC314" s="358"/>
      <c r="HD314" s="358"/>
      <c r="HE314" s="358"/>
      <c r="HF314" s="358"/>
      <c r="HG314" s="358"/>
      <c r="HH314" s="358"/>
      <c r="HI314" s="358"/>
      <c r="HJ314" s="358"/>
      <c r="HK314" s="358"/>
      <c r="HL314" s="358"/>
      <c r="HM314" s="358"/>
      <c r="HN314" s="358"/>
      <c r="HO314" s="358"/>
      <c r="HP314" s="358"/>
      <c r="HQ314" s="358"/>
      <c r="HR314" s="358"/>
      <c r="HS314" s="358"/>
      <c r="HT314" s="358"/>
      <c r="HU314" s="358"/>
      <c r="HV314" s="358"/>
      <c r="HW314" s="358"/>
      <c r="HX314" s="358"/>
    </row>
    <row r="315" spans="1:232" s="5" customFormat="1" ht="20.100000000000001" customHeight="1">
      <c r="A315" s="503">
        <f t="shared" si="0"/>
        <v>3</v>
      </c>
      <c r="B315" s="1601" t="str">
        <f t="shared" si="0"/>
        <v>Đường kính, khoảng cách thép đai</v>
      </c>
      <c r="C315" s="1601"/>
      <c r="D315" s="1601"/>
      <c r="E315" s="1601"/>
      <c r="F315" s="1598" t="str">
        <f t="shared" si="1"/>
        <v>Thép kẹp, thước mét</v>
      </c>
      <c r="G315" s="1598"/>
      <c r="H315" s="1598"/>
      <c r="I315" s="562" t="str">
        <f t="shared" si="2"/>
        <v>x</v>
      </c>
      <c r="J315" s="506"/>
      <c r="O315" s="406"/>
      <c r="P315" s="406"/>
      <c r="Q315" s="406"/>
      <c r="R315" s="406"/>
      <c r="S315" s="406"/>
      <c r="T315" s="405"/>
      <c r="U315" s="358"/>
      <c r="V315" s="358"/>
      <c r="W315" s="358"/>
      <c r="X315" s="358"/>
      <c r="Y315" s="358"/>
      <c r="Z315" s="358"/>
      <c r="AA315" s="358"/>
      <c r="AB315" s="358"/>
      <c r="AC315" s="358"/>
      <c r="AD315" s="358"/>
      <c r="AE315" s="358"/>
      <c r="AF315" s="358"/>
      <c r="AG315" s="358"/>
      <c r="AH315" s="358"/>
      <c r="AI315" s="358"/>
      <c r="AJ315" s="358"/>
      <c r="AK315" s="358"/>
      <c r="AL315" s="358"/>
      <c r="AM315" s="358"/>
      <c r="AN315" s="358"/>
      <c r="AO315" s="358"/>
      <c r="AP315" s="358"/>
      <c r="AQ315" s="358"/>
      <c r="AR315" s="358"/>
      <c r="AS315" s="358"/>
      <c r="AT315" s="358"/>
      <c r="AU315" s="358"/>
      <c r="AV315" s="358"/>
      <c r="AW315" s="358"/>
      <c r="AX315" s="358"/>
      <c r="AY315" s="358"/>
      <c r="AZ315" s="358"/>
      <c r="BA315" s="358"/>
      <c r="BB315" s="358"/>
      <c r="BC315" s="358"/>
      <c r="BD315" s="358"/>
      <c r="BE315" s="358"/>
      <c r="BF315" s="358"/>
      <c r="BG315" s="358"/>
      <c r="BH315" s="358"/>
      <c r="BI315" s="358"/>
      <c r="BJ315" s="358"/>
      <c r="BK315" s="358"/>
      <c r="BL315" s="358"/>
      <c r="BM315" s="358"/>
      <c r="BN315" s="358"/>
      <c r="BO315" s="358"/>
      <c r="BP315" s="358"/>
      <c r="BQ315" s="358"/>
      <c r="BR315" s="358"/>
      <c r="BS315" s="358"/>
      <c r="BT315" s="358"/>
      <c r="BU315" s="358"/>
      <c r="BV315" s="358"/>
      <c r="BW315" s="358"/>
      <c r="BX315" s="358"/>
      <c r="BY315" s="358"/>
      <c r="BZ315" s="358"/>
      <c r="CA315" s="358"/>
      <c r="CB315" s="358"/>
      <c r="CC315" s="358"/>
      <c r="CD315" s="358"/>
      <c r="CE315" s="358"/>
      <c r="CF315" s="358"/>
      <c r="CG315" s="358"/>
      <c r="CH315" s="358"/>
      <c r="CI315" s="358"/>
      <c r="CJ315" s="358"/>
      <c r="CK315" s="358"/>
      <c r="CL315" s="358"/>
      <c r="CM315" s="358"/>
      <c r="CN315" s="358"/>
      <c r="CO315" s="358"/>
      <c r="CP315" s="358"/>
      <c r="CQ315" s="358"/>
      <c r="CR315" s="358"/>
      <c r="CS315" s="358"/>
      <c r="CT315" s="358"/>
      <c r="CU315" s="358"/>
      <c r="CV315" s="358"/>
      <c r="CW315" s="358"/>
      <c r="CX315" s="358"/>
      <c r="CY315" s="358"/>
      <c r="CZ315" s="358"/>
      <c r="DA315" s="358"/>
      <c r="DB315" s="358"/>
      <c r="DC315" s="358"/>
      <c r="DD315" s="358"/>
      <c r="DE315" s="358"/>
      <c r="DF315" s="358"/>
      <c r="DG315" s="358"/>
      <c r="DH315" s="358"/>
      <c r="DI315" s="358"/>
      <c r="DJ315" s="358"/>
      <c r="DK315" s="358"/>
      <c r="DL315" s="358"/>
      <c r="DM315" s="358"/>
      <c r="DN315" s="358"/>
      <c r="DO315" s="358"/>
      <c r="DP315" s="358"/>
      <c r="DQ315" s="358"/>
      <c r="DR315" s="358"/>
      <c r="DS315" s="358"/>
      <c r="DT315" s="358"/>
      <c r="DU315" s="358"/>
      <c r="DV315" s="358"/>
      <c r="DW315" s="358"/>
      <c r="DX315" s="358"/>
      <c r="DY315" s="358"/>
      <c r="DZ315" s="358"/>
      <c r="EA315" s="358"/>
      <c r="EB315" s="358"/>
      <c r="EC315" s="358"/>
      <c r="ED315" s="358"/>
      <c r="EE315" s="358"/>
      <c r="EF315" s="358"/>
      <c r="EG315" s="358"/>
      <c r="EH315" s="358"/>
      <c r="EI315" s="358"/>
      <c r="EJ315" s="358"/>
      <c r="EK315" s="358"/>
      <c r="EL315" s="358"/>
      <c r="EM315" s="358"/>
      <c r="EN315" s="358"/>
      <c r="EO315" s="358"/>
      <c r="EP315" s="358"/>
      <c r="EQ315" s="358"/>
      <c r="ER315" s="358"/>
      <c r="ES315" s="358"/>
      <c r="ET315" s="358"/>
      <c r="EU315" s="358"/>
      <c r="EV315" s="358"/>
      <c r="EW315" s="358"/>
      <c r="EX315" s="358"/>
      <c r="EY315" s="358"/>
      <c r="EZ315" s="358"/>
      <c r="FA315" s="358"/>
      <c r="FB315" s="358"/>
      <c r="FC315" s="358"/>
      <c r="FD315" s="358"/>
      <c r="FE315" s="358"/>
      <c r="FF315" s="358"/>
      <c r="FG315" s="358"/>
      <c r="FH315" s="358"/>
      <c r="FI315" s="358"/>
      <c r="FJ315" s="358"/>
      <c r="FK315" s="358"/>
      <c r="FL315" s="358"/>
      <c r="FM315" s="358"/>
      <c r="FN315" s="358"/>
      <c r="FO315" s="358"/>
      <c r="FP315" s="358"/>
      <c r="FQ315" s="358"/>
      <c r="FR315" s="358"/>
      <c r="FS315" s="358"/>
      <c r="FT315" s="358"/>
      <c r="FU315" s="358"/>
      <c r="FV315" s="358"/>
      <c r="FW315" s="358"/>
      <c r="FX315" s="358"/>
      <c r="FY315" s="358"/>
      <c r="FZ315" s="358"/>
      <c r="GA315" s="358"/>
      <c r="GB315" s="358"/>
      <c r="GC315" s="358"/>
      <c r="GD315" s="358"/>
      <c r="GE315" s="358"/>
      <c r="GF315" s="358"/>
      <c r="GG315" s="358"/>
      <c r="GH315" s="358"/>
      <c r="GI315" s="358"/>
      <c r="GJ315" s="358"/>
      <c r="GK315" s="358"/>
      <c r="GL315" s="358"/>
      <c r="GM315" s="358"/>
      <c r="GN315" s="358"/>
      <c r="GO315" s="358"/>
      <c r="GP315" s="358"/>
      <c r="GQ315" s="358"/>
      <c r="GR315" s="358"/>
      <c r="GS315" s="358"/>
      <c r="GT315" s="358"/>
      <c r="GU315" s="358"/>
      <c r="GV315" s="358"/>
      <c r="GW315" s="358"/>
      <c r="GX315" s="358"/>
      <c r="GY315" s="358"/>
      <c r="GZ315" s="358"/>
      <c r="HA315" s="358"/>
      <c r="HB315" s="358"/>
      <c r="HC315" s="358"/>
      <c r="HD315" s="358"/>
      <c r="HE315" s="358"/>
      <c r="HF315" s="358"/>
      <c r="HG315" s="358"/>
      <c r="HH315" s="358"/>
      <c r="HI315" s="358"/>
      <c r="HJ315" s="358"/>
      <c r="HK315" s="358"/>
      <c r="HL315" s="358"/>
      <c r="HM315" s="358"/>
      <c r="HN315" s="358"/>
      <c r="HO315" s="358"/>
      <c r="HP315" s="358"/>
      <c r="HQ315" s="358"/>
      <c r="HR315" s="358"/>
      <c r="HS315" s="358"/>
      <c r="HT315" s="358"/>
      <c r="HU315" s="358"/>
      <c r="HV315" s="358"/>
      <c r="HW315" s="358"/>
      <c r="HX315" s="358"/>
    </row>
    <row r="316" spans="1:232" s="5" customFormat="1" ht="20.100000000000001" customHeight="1">
      <c r="A316" s="503">
        <f t="shared" si="0"/>
        <v>4</v>
      </c>
      <c r="B316" s="1597" t="str">
        <f t="shared" si="0"/>
        <v>Số lượng, chủng loại ống thép</v>
      </c>
      <c r="C316" s="1597"/>
      <c r="D316" s="1597"/>
      <c r="E316" s="1597"/>
      <c r="F316" s="1598" t="str">
        <f t="shared" si="1"/>
        <v>Quan sát</v>
      </c>
      <c r="G316" s="1598"/>
      <c r="H316" s="1598"/>
      <c r="I316" s="562" t="str">
        <f t="shared" si="2"/>
        <v>x</v>
      </c>
      <c r="J316" s="506"/>
      <c r="O316" s="405"/>
      <c r="P316" s="405"/>
      <c r="Q316" s="405"/>
      <c r="R316" s="405"/>
      <c r="S316" s="405"/>
      <c r="T316" s="405"/>
      <c r="U316" s="358"/>
      <c r="V316" s="358"/>
      <c r="W316" s="358"/>
      <c r="X316" s="358"/>
      <c r="Y316" s="358"/>
      <c r="Z316" s="358"/>
      <c r="AA316" s="358"/>
      <c r="AB316" s="358"/>
      <c r="AC316" s="358"/>
      <c r="AD316" s="358"/>
      <c r="AE316" s="358"/>
      <c r="AF316" s="358"/>
      <c r="AG316" s="358"/>
      <c r="AH316" s="358"/>
      <c r="AI316" s="358"/>
      <c r="AJ316" s="358"/>
      <c r="AK316" s="358"/>
      <c r="AL316" s="358"/>
      <c r="AM316" s="358"/>
      <c r="AN316" s="358"/>
      <c r="AO316" s="358"/>
      <c r="AP316" s="358"/>
      <c r="AQ316" s="358"/>
      <c r="AR316" s="358"/>
      <c r="AS316" s="358"/>
      <c r="AT316" s="358"/>
      <c r="AU316" s="358"/>
      <c r="AV316" s="358"/>
      <c r="AW316" s="358"/>
      <c r="AX316" s="358"/>
      <c r="AY316" s="358"/>
      <c r="AZ316" s="358"/>
      <c r="BA316" s="358"/>
      <c r="BB316" s="358"/>
      <c r="BC316" s="358"/>
      <c r="BD316" s="358"/>
      <c r="BE316" s="358"/>
      <c r="BF316" s="358"/>
      <c r="BG316" s="358"/>
      <c r="BH316" s="358"/>
      <c r="BI316" s="358"/>
      <c r="BJ316" s="358"/>
      <c r="BK316" s="358"/>
      <c r="BL316" s="358"/>
      <c r="BM316" s="358"/>
      <c r="BN316" s="358"/>
      <c r="BO316" s="358"/>
      <c r="BP316" s="358"/>
      <c r="BQ316" s="358"/>
      <c r="BR316" s="358"/>
      <c r="BS316" s="358"/>
      <c r="BT316" s="358"/>
      <c r="BU316" s="358"/>
      <c r="BV316" s="358"/>
      <c r="BW316" s="358"/>
      <c r="BX316" s="358"/>
      <c r="BY316" s="358"/>
      <c r="BZ316" s="358"/>
      <c r="CA316" s="358"/>
      <c r="CB316" s="358"/>
      <c r="CC316" s="358"/>
      <c r="CD316" s="358"/>
      <c r="CE316" s="358"/>
      <c r="CF316" s="358"/>
      <c r="CG316" s="358"/>
      <c r="CH316" s="358"/>
      <c r="CI316" s="358"/>
      <c r="CJ316" s="358"/>
      <c r="CK316" s="358"/>
      <c r="CL316" s="358"/>
      <c r="CM316" s="358"/>
      <c r="CN316" s="358"/>
      <c r="CO316" s="358"/>
      <c r="CP316" s="358"/>
      <c r="CQ316" s="358"/>
      <c r="CR316" s="358"/>
      <c r="CS316" s="358"/>
      <c r="CT316" s="358"/>
      <c r="CU316" s="358"/>
      <c r="CV316" s="358"/>
      <c r="CW316" s="358"/>
      <c r="CX316" s="358"/>
      <c r="CY316" s="358"/>
      <c r="CZ316" s="358"/>
      <c r="DA316" s="358"/>
      <c r="DB316" s="358"/>
      <c r="DC316" s="358"/>
      <c r="DD316" s="358"/>
      <c r="DE316" s="358"/>
      <c r="DF316" s="358"/>
      <c r="DG316" s="358"/>
      <c r="DH316" s="358"/>
      <c r="DI316" s="358"/>
      <c r="DJ316" s="358"/>
      <c r="DK316" s="358"/>
      <c r="DL316" s="358"/>
      <c r="DM316" s="358"/>
      <c r="DN316" s="358"/>
      <c r="DO316" s="358"/>
      <c r="DP316" s="358"/>
      <c r="DQ316" s="358"/>
      <c r="DR316" s="358"/>
      <c r="DS316" s="358"/>
      <c r="DT316" s="358"/>
      <c r="DU316" s="358"/>
      <c r="DV316" s="358"/>
      <c r="DW316" s="358"/>
      <c r="DX316" s="358"/>
      <c r="DY316" s="358"/>
      <c r="DZ316" s="358"/>
      <c r="EA316" s="358"/>
      <c r="EB316" s="358"/>
      <c r="EC316" s="358"/>
      <c r="ED316" s="358"/>
      <c r="EE316" s="358"/>
      <c r="EF316" s="358"/>
      <c r="EG316" s="358"/>
      <c r="EH316" s="358"/>
      <c r="EI316" s="358"/>
      <c r="EJ316" s="358"/>
      <c r="EK316" s="358"/>
      <c r="EL316" s="358"/>
      <c r="EM316" s="358"/>
      <c r="EN316" s="358"/>
      <c r="EO316" s="358"/>
      <c r="EP316" s="358"/>
      <c r="EQ316" s="358"/>
      <c r="ER316" s="358"/>
      <c r="ES316" s="358"/>
      <c r="ET316" s="358"/>
      <c r="EU316" s="358"/>
      <c r="EV316" s="358"/>
      <c r="EW316" s="358"/>
      <c r="EX316" s="358"/>
      <c r="EY316" s="358"/>
      <c r="EZ316" s="358"/>
      <c r="FA316" s="358"/>
      <c r="FB316" s="358"/>
      <c r="FC316" s="358"/>
      <c r="FD316" s="358"/>
      <c r="FE316" s="358"/>
      <c r="FF316" s="358"/>
      <c r="FG316" s="358"/>
      <c r="FH316" s="358"/>
      <c r="FI316" s="358"/>
      <c r="FJ316" s="358"/>
      <c r="FK316" s="358"/>
      <c r="FL316" s="358"/>
      <c r="FM316" s="358"/>
      <c r="FN316" s="358"/>
      <c r="FO316" s="358"/>
      <c r="FP316" s="358"/>
      <c r="FQ316" s="358"/>
      <c r="FR316" s="358"/>
      <c r="FS316" s="358"/>
      <c r="FT316" s="358"/>
      <c r="FU316" s="358"/>
      <c r="FV316" s="358"/>
      <c r="FW316" s="358"/>
      <c r="FX316" s="358"/>
      <c r="FY316" s="358"/>
      <c r="FZ316" s="358"/>
      <c r="GA316" s="358"/>
      <c r="GB316" s="358"/>
      <c r="GC316" s="358"/>
      <c r="GD316" s="358"/>
      <c r="GE316" s="358"/>
      <c r="GF316" s="358"/>
      <c r="GG316" s="358"/>
      <c r="GH316" s="358"/>
      <c r="GI316" s="358"/>
      <c r="GJ316" s="358"/>
      <c r="GK316" s="358"/>
      <c r="GL316" s="358"/>
      <c r="GM316" s="358"/>
      <c r="GN316" s="358"/>
      <c r="GO316" s="358"/>
      <c r="GP316" s="358"/>
      <c r="GQ316" s="358"/>
      <c r="GR316" s="358"/>
      <c r="GS316" s="358"/>
      <c r="GT316" s="358"/>
      <c r="GU316" s="358"/>
      <c r="GV316" s="358"/>
      <c r="GW316" s="358"/>
      <c r="GX316" s="358"/>
      <c r="GY316" s="358"/>
      <c r="GZ316" s="358"/>
      <c r="HA316" s="358"/>
      <c r="HB316" s="358"/>
      <c r="HC316" s="358"/>
      <c r="HD316" s="358"/>
      <c r="HE316" s="358"/>
      <c r="HF316" s="358"/>
      <c r="HG316" s="358"/>
      <c r="HH316" s="358"/>
      <c r="HI316" s="358"/>
      <c r="HJ316" s="358"/>
      <c r="HK316" s="358"/>
      <c r="HL316" s="358"/>
      <c r="HM316" s="358"/>
      <c r="HN316" s="358"/>
      <c r="HO316" s="358"/>
      <c r="HP316" s="358"/>
      <c r="HQ316" s="358"/>
      <c r="HR316" s="358"/>
      <c r="HS316" s="358"/>
      <c r="HT316" s="358"/>
      <c r="HU316" s="358"/>
      <c r="HV316" s="358"/>
      <c r="HW316" s="358"/>
      <c r="HX316" s="358"/>
    </row>
    <row r="317" spans="1:232" s="5" customFormat="1" ht="20.100000000000001" customHeight="1">
      <c r="A317" s="503">
        <f t="shared" si="0"/>
        <v>5</v>
      </c>
      <c r="B317" s="1597" t="str">
        <f t="shared" si="0"/>
        <v>Các liên kết mối nối</v>
      </c>
      <c r="C317" s="1597"/>
      <c r="D317" s="1597"/>
      <c r="E317" s="1597"/>
      <c r="F317" s="1598" t="str">
        <f t="shared" si="1"/>
        <v>Thước mét, quan sát</v>
      </c>
      <c r="G317" s="1598"/>
      <c r="H317" s="1598"/>
      <c r="I317" s="562" t="str">
        <f t="shared" si="2"/>
        <v>x</v>
      </c>
      <c r="J317" s="506"/>
      <c r="O317" s="405"/>
      <c r="P317" s="405"/>
      <c r="Q317" s="405"/>
      <c r="R317" s="405"/>
      <c r="S317" s="405"/>
      <c r="T317" s="405"/>
      <c r="U317" s="358"/>
      <c r="V317" s="358"/>
      <c r="W317" s="358"/>
      <c r="X317" s="358"/>
      <c r="Y317" s="358"/>
      <c r="Z317" s="358"/>
      <c r="AA317" s="358"/>
      <c r="AB317" s="358"/>
      <c r="AC317" s="358"/>
      <c r="AD317" s="358"/>
      <c r="AE317" s="358"/>
      <c r="AF317" s="358"/>
      <c r="AG317" s="358"/>
      <c r="AH317" s="358"/>
      <c r="AI317" s="358"/>
      <c r="AJ317" s="358"/>
      <c r="AK317" s="358"/>
      <c r="AL317" s="358"/>
      <c r="AM317" s="358"/>
      <c r="AN317" s="358"/>
      <c r="AO317" s="358"/>
      <c r="AP317" s="358"/>
      <c r="AQ317" s="358"/>
      <c r="AR317" s="358"/>
      <c r="AS317" s="358"/>
      <c r="AT317" s="358"/>
      <c r="AU317" s="358"/>
      <c r="AV317" s="358"/>
      <c r="AW317" s="358"/>
      <c r="AX317" s="358"/>
      <c r="AY317" s="358"/>
      <c r="AZ317" s="358"/>
      <c r="BA317" s="358"/>
      <c r="BB317" s="358"/>
      <c r="BC317" s="358"/>
      <c r="BD317" s="358"/>
      <c r="BE317" s="358"/>
      <c r="BF317" s="358"/>
      <c r="BG317" s="358"/>
      <c r="BH317" s="358"/>
      <c r="BI317" s="358"/>
      <c r="BJ317" s="358"/>
      <c r="BK317" s="358"/>
      <c r="BL317" s="358"/>
      <c r="BM317" s="358"/>
      <c r="BN317" s="358"/>
      <c r="BO317" s="358"/>
      <c r="BP317" s="358"/>
      <c r="BQ317" s="358"/>
      <c r="BR317" s="358"/>
      <c r="BS317" s="358"/>
      <c r="BT317" s="358"/>
      <c r="BU317" s="358"/>
      <c r="BV317" s="358"/>
      <c r="BW317" s="358"/>
      <c r="BX317" s="358"/>
      <c r="BY317" s="358"/>
      <c r="BZ317" s="358"/>
      <c r="CA317" s="358"/>
      <c r="CB317" s="358"/>
      <c r="CC317" s="358"/>
      <c r="CD317" s="358"/>
      <c r="CE317" s="358"/>
      <c r="CF317" s="358"/>
      <c r="CG317" s="358"/>
      <c r="CH317" s="358"/>
      <c r="CI317" s="358"/>
      <c r="CJ317" s="358"/>
      <c r="CK317" s="358"/>
      <c r="CL317" s="358"/>
      <c r="CM317" s="358"/>
      <c r="CN317" s="358"/>
      <c r="CO317" s="358"/>
      <c r="CP317" s="358"/>
      <c r="CQ317" s="358"/>
      <c r="CR317" s="358"/>
      <c r="CS317" s="358"/>
      <c r="CT317" s="358"/>
      <c r="CU317" s="358"/>
      <c r="CV317" s="358"/>
      <c r="CW317" s="358"/>
      <c r="CX317" s="358"/>
      <c r="CY317" s="358"/>
      <c r="CZ317" s="358"/>
      <c r="DA317" s="358"/>
      <c r="DB317" s="358"/>
      <c r="DC317" s="358"/>
      <c r="DD317" s="358"/>
      <c r="DE317" s="358"/>
      <c r="DF317" s="358"/>
      <c r="DG317" s="358"/>
      <c r="DH317" s="358"/>
      <c r="DI317" s="358"/>
      <c r="DJ317" s="358"/>
      <c r="DK317" s="358"/>
      <c r="DL317" s="358"/>
      <c r="DM317" s="358"/>
      <c r="DN317" s="358"/>
      <c r="DO317" s="358"/>
      <c r="DP317" s="358"/>
      <c r="DQ317" s="358"/>
      <c r="DR317" s="358"/>
      <c r="DS317" s="358"/>
      <c r="DT317" s="358"/>
      <c r="DU317" s="358"/>
      <c r="DV317" s="358"/>
      <c r="DW317" s="358"/>
      <c r="DX317" s="358"/>
      <c r="DY317" s="358"/>
      <c r="DZ317" s="358"/>
      <c r="EA317" s="358"/>
      <c r="EB317" s="358"/>
      <c r="EC317" s="358"/>
      <c r="ED317" s="358"/>
      <c r="EE317" s="358"/>
      <c r="EF317" s="358"/>
      <c r="EG317" s="358"/>
      <c r="EH317" s="358"/>
      <c r="EI317" s="358"/>
      <c r="EJ317" s="358"/>
      <c r="EK317" s="358"/>
      <c r="EL317" s="358"/>
      <c r="EM317" s="358"/>
      <c r="EN317" s="358"/>
      <c r="EO317" s="358"/>
      <c r="EP317" s="358"/>
      <c r="EQ317" s="358"/>
      <c r="ER317" s="358"/>
      <c r="ES317" s="358"/>
      <c r="ET317" s="358"/>
      <c r="EU317" s="358"/>
      <c r="EV317" s="358"/>
      <c r="EW317" s="358"/>
      <c r="EX317" s="358"/>
      <c r="EY317" s="358"/>
      <c r="EZ317" s="358"/>
      <c r="FA317" s="358"/>
      <c r="FB317" s="358"/>
      <c r="FC317" s="358"/>
      <c r="FD317" s="358"/>
      <c r="FE317" s="358"/>
      <c r="FF317" s="358"/>
      <c r="FG317" s="358"/>
      <c r="FH317" s="358"/>
      <c r="FI317" s="358"/>
      <c r="FJ317" s="358"/>
      <c r="FK317" s="358"/>
      <c r="FL317" s="358"/>
      <c r="FM317" s="358"/>
      <c r="FN317" s="358"/>
      <c r="FO317" s="358"/>
      <c r="FP317" s="358"/>
      <c r="FQ317" s="358"/>
      <c r="FR317" s="358"/>
      <c r="FS317" s="358"/>
      <c r="FT317" s="358"/>
      <c r="FU317" s="358"/>
      <c r="FV317" s="358"/>
      <c r="FW317" s="358"/>
      <c r="FX317" s="358"/>
      <c r="FY317" s="358"/>
      <c r="FZ317" s="358"/>
      <c r="GA317" s="358"/>
      <c r="GB317" s="358"/>
      <c r="GC317" s="358"/>
      <c r="GD317" s="358"/>
      <c r="GE317" s="358"/>
      <c r="GF317" s="358"/>
      <c r="GG317" s="358"/>
      <c r="GH317" s="358"/>
      <c r="GI317" s="358"/>
      <c r="GJ317" s="358"/>
      <c r="GK317" s="358"/>
      <c r="GL317" s="358"/>
      <c r="GM317" s="358"/>
      <c r="GN317" s="358"/>
      <c r="GO317" s="358"/>
      <c r="GP317" s="358"/>
      <c r="GQ317" s="358"/>
      <c r="GR317" s="358"/>
      <c r="GS317" s="358"/>
      <c r="GT317" s="358"/>
      <c r="GU317" s="358"/>
      <c r="GV317" s="358"/>
      <c r="GW317" s="358"/>
      <c r="GX317" s="358"/>
      <c r="GY317" s="358"/>
      <c r="GZ317" s="358"/>
      <c r="HA317" s="358"/>
      <c r="HB317" s="358"/>
      <c r="HC317" s="358"/>
      <c r="HD317" s="358"/>
      <c r="HE317" s="358"/>
      <c r="HF317" s="358"/>
      <c r="HG317" s="358"/>
      <c r="HH317" s="358"/>
      <c r="HI317" s="358"/>
      <c r="HJ317" s="358"/>
      <c r="HK317" s="358"/>
      <c r="HL317" s="358"/>
      <c r="HM317" s="358"/>
      <c r="HN317" s="358"/>
      <c r="HO317" s="358"/>
      <c r="HP317" s="358"/>
      <c r="HQ317" s="358"/>
      <c r="HR317" s="358"/>
      <c r="HS317" s="358"/>
      <c r="HT317" s="358"/>
      <c r="HU317" s="358"/>
      <c r="HV317" s="358"/>
      <c r="HW317" s="358"/>
      <c r="HX317" s="358"/>
    </row>
    <row r="318" spans="1:232" s="5" customFormat="1" ht="20.100000000000001" customHeight="1">
      <c r="A318" s="503">
        <f t="shared" si="0"/>
        <v>6</v>
      </c>
      <c r="B318" s="1597" t="str">
        <f t="shared" si="0"/>
        <v>Vệ sinh lồng thép</v>
      </c>
      <c r="C318" s="1597"/>
      <c r="D318" s="1597"/>
      <c r="E318" s="1597"/>
      <c r="F318" s="1598" t="str">
        <f t="shared" si="1"/>
        <v>Trực quan</v>
      </c>
      <c r="G318" s="1598"/>
      <c r="H318" s="1598"/>
      <c r="I318" s="562" t="str">
        <f t="shared" si="2"/>
        <v>x</v>
      </c>
      <c r="J318" s="506"/>
      <c r="O318" s="405"/>
      <c r="P318" s="405"/>
      <c r="Q318" s="405"/>
      <c r="R318" s="405"/>
      <c r="S318" s="405"/>
      <c r="T318" s="405"/>
      <c r="U318" s="358"/>
      <c r="V318" s="358"/>
      <c r="W318" s="358"/>
      <c r="X318" s="358"/>
      <c r="Y318" s="358"/>
      <c r="Z318" s="358"/>
      <c r="AA318" s="358"/>
      <c r="AB318" s="358"/>
      <c r="AC318" s="358"/>
      <c r="AD318" s="358"/>
      <c r="AE318" s="358"/>
      <c r="AF318" s="358"/>
      <c r="AG318" s="358"/>
      <c r="AH318" s="358"/>
      <c r="AI318" s="358"/>
      <c r="AJ318" s="358"/>
      <c r="AK318" s="358"/>
      <c r="AL318" s="358"/>
      <c r="AM318" s="358"/>
      <c r="AN318" s="358"/>
      <c r="AO318" s="358"/>
      <c r="AP318" s="358"/>
      <c r="AQ318" s="358"/>
      <c r="AR318" s="358"/>
      <c r="AS318" s="358"/>
      <c r="AT318" s="358"/>
      <c r="AU318" s="358"/>
      <c r="AV318" s="358"/>
      <c r="AW318" s="358"/>
      <c r="AX318" s="358"/>
      <c r="AY318" s="358"/>
      <c r="AZ318" s="358"/>
      <c r="BA318" s="358"/>
      <c r="BB318" s="358"/>
      <c r="BC318" s="358"/>
      <c r="BD318" s="358"/>
      <c r="BE318" s="358"/>
      <c r="BF318" s="358"/>
      <c r="BG318" s="358"/>
      <c r="BH318" s="358"/>
      <c r="BI318" s="358"/>
      <c r="BJ318" s="358"/>
      <c r="BK318" s="358"/>
      <c r="BL318" s="358"/>
      <c r="BM318" s="358"/>
      <c r="BN318" s="358"/>
      <c r="BO318" s="358"/>
      <c r="BP318" s="358"/>
      <c r="BQ318" s="358"/>
      <c r="BR318" s="358"/>
      <c r="BS318" s="358"/>
      <c r="BT318" s="358"/>
      <c r="BU318" s="358"/>
      <c r="BV318" s="358"/>
      <c r="BW318" s="358"/>
      <c r="BX318" s="358"/>
      <c r="BY318" s="358"/>
      <c r="BZ318" s="358"/>
      <c r="CA318" s="358"/>
      <c r="CB318" s="358"/>
      <c r="CC318" s="358"/>
      <c r="CD318" s="358"/>
      <c r="CE318" s="358"/>
      <c r="CF318" s="358"/>
      <c r="CG318" s="358"/>
      <c r="CH318" s="358"/>
      <c r="CI318" s="358"/>
      <c r="CJ318" s="358"/>
      <c r="CK318" s="358"/>
      <c r="CL318" s="358"/>
      <c r="CM318" s="358"/>
      <c r="CN318" s="358"/>
      <c r="CO318" s="358"/>
      <c r="CP318" s="358"/>
      <c r="CQ318" s="358"/>
      <c r="CR318" s="358"/>
      <c r="CS318" s="358"/>
      <c r="CT318" s="358"/>
      <c r="CU318" s="358"/>
      <c r="CV318" s="358"/>
      <c r="CW318" s="358"/>
      <c r="CX318" s="358"/>
      <c r="CY318" s="358"/>
      <c r="CZ318" s="358"/>
      <c r="DA318" s="358"/>
      <c r="DB318" s="358"/>
      <c r="DC318" s="358"/>
      <c r="DD318" s="358"/>
      <c r="DE318" s="358"/>
      <c r="DF318" s="358"/>
      <c r="DG318" s="358"/>
      <c r="DH318" s="358"/>
      <c r="DI318" s="358"/>
      <c r="DJ318" s="358"/>
      <c r="DK318" s="358"/>
      <c r="DL318" s="358"/>
      <c r="DM318" s="358"/>
      <c r="DN318" s="358"/>
      <c r="DO318" s="358"/>
      <c r="DP318" s="358"/>
      <c r="DQ318" s="358"/>
      <c r="DR318" s="358"/>
      <c r="DS318" s="358"/>
      <c r="DT318" s="358"/>
      <c r="DU318" s="358"/>
      <c r="DV318" s="358"/>
      <c r="DW318" s="358"/>
      <c r="DX318" s="358"/>
      <c r="DY318" s="358"/>
      <c r="DZ318" s="358"/>
      <c r="EA318" s="358"/>
      <c r="EB318" s="358"/>
      <c r="EC318" s="358"/>
      <c r="ED318" s="358"/>
      <c r="EE318" s="358"/>
      <c r="EF318" s="358"/>
      <c r="EG318" s="358"/>
      <c r="EH318" s="358"/>
      <c r="EI318" s="358"/>
      <c r="EJ318" s="358"/>
      <c r="EK318" s="358"/>
      <c r="EL318" s="358"/>
      <c r="EM318" s="358"/>
      <c r="EN318" s="358"/>
      <c r="EO318" s="358"/>
      <c r="EP318" s="358"/>
      <c r="EQ318" s="358"/>
      <c r="ER318" s="358"/>
      <c r="ES318" s="358"/>
      <c r="ET318" s="358"/>
      <c r="EU318" s="358"/>
      <c r="EV318" s="358"/>
      <c r="EW318" s="358"/>
      <c r="EX318" s="358"/>
      <c r="EY318" s="358"/>
      <c r="EZ318" s="358"/>
      <c r="FA318" s="358"/>
      <c r="FB318" s="358"/>
      <c r="FC318" s="358"/>
      <c r="FD318" s="358"/>
      <c r="FE318" s="358"/>
      <c r="FF318" s="358"/>
      <c r="FG318" s="358"/>
      <c r="FH318" s="358"/>
      <c r="FI318" s="358"/>
      <c r="FJ318" s="358"/>
      <c r="FK318" s="358"/>
      <c r="FL318" s="358"/>
      <c r="FM318" s="358"/>
      <c r="FN318" s="358"/>
      <c r="FO318" s="358"/>
      <c r="FP318" s="358"/>
      <c r="FQ318" s="358"/>
      <c r="FR318" s="358"/>
      <c r="FS318" s="358"/>
      <c r="FT318" s="358"/>
      <c r="FU318" s="358"/>
      <c r="FV318" s="358"/>
      <c r="FW318" s="358"/>
      <c r="FX318" s="358"/>
      <c r="FY318" s="358"/>
      <c r="FZ318" s="358"/>
      <c r="GA318" s="358"/>
      <c r="GB318" s="358"/>
      <c r="GC318" s="358"/>
      <c r="GD318" s="358"/>
      <c r="GE318" s="358"/>
      <c r="GF318" s="358"/>
      <c r="GG318" s="358"/>
      <c r="GH318" s="358"/>
      <c r="GI318" s="358"/>
      <c r="GJ318" s="358"/>
      <c r="GK318" s="358"/>
      <c r="GL318" s="358"/>
      <c r="GM318" s="358"/>
      <c r="GN318" s="358"/>
      <c r="GO318" s="358"/>
      <c r="GP318" s="358"/>
      <c r="GQ318" s="358"/>
      <c r="GR318" s="358"/>
      <c r="GS318" s="358"/>
      <c r="GT318" s="358"/>
      <c r="GU318" s="358"/>
      <c r="GV318" s="358"/>
      <c r="GW318" s="358"/>
      <c r="GX318" s="358"/>
      <c r="GY318" s="358"/>
      <c r="GZ318" s="358"/>
      <c r="HA318" s="358"/>
      <c r="HB318" s="358"/>
      <c r="HC318" s="358"/>
      <c r="HD318" s="358"/>
      <c r="HE318" s="358"/>
      <c r="HF318" s="358"/>
      <c r="HG318" s="358"/>
      <c r="HH318" s="358"/>
      <c r="HI318" s="358"/>
      <c r="HJ318" s="358"/>
      <c r="HK318" s="358"/>
      <c r="HL318" s="358"/>
      <c r="HM318" s="358"/>
      <c r="HN318" s="358"/>
      <c r="HO318" s="358"/>
      <c r="HP318" s="358"/>
      <c r="HQ318" s="358"/>
      <c r="HR318" s="358"/>
      <c r="HS318" s="358"/>
      <c r="HT318" s="358"/>
      <c r="HU318" s="358"/>
      <c r="HV318" s="358"/>
      <c r="HW318" s="358"/>
      <c r="HX318" s="358"/>
    </row>
    <row r="319" spans="1:232" s="5" customFormat="1" ht="20.100000000000001" customHeight="1">
      <c r="A319" s="503" t="str">
        <f t="shared" si="0"/>
        <v/>
      </c>
      <c r="B319" s="1597" t="str">
        <f t="shared" si="0"/>
        <v/>
      </c>
      <c r="C319" s="1597"/>
      <c r="D319" s="1597"/>
      <c r="E319" s="1597"/>
      <c r="F319" s="1598" t="str">
        <f t="shared" si="1"/>
        <v/>
      </c>
      <c r="G319" s="1598"/>
      <c r="H319" s="1598"/>
      <c r="I319" s="505" t="str">
        <f t="shared" si="2"/>
        <v/>
      </c>
      <c r="J319" s="506"/>
      <c r="O319" s="405"/>
      <c r="P319" s="405"/>
      <c r="Q319" s="405"/>
      <c r="R319" s="405"/>
      <c r="S319" s="405"/>
      <c r="T319" s="405"/>
      <c r="U319" s="358"/>
      <c r="V319" s="358"/>
      <c r="W319" s="358"/>
      <c r="X319" s="358"/>
      <c r="Y319" s="358"/>
      <c r="Z319" s="358"/>
      <c r="AA319" s="358"/>
      <c r="AB319" s="358"/>
      <c r="AC319" s="358"/>
      <c r="AD319" s="358"/>
      <c r="AE319" s="358"/>
      <c r="AF319" s="358"/>
      <c r="AG319" s="358"/>
      <c r="AH319" s="358"/>
      <c r="AI319" s="358"/>
      <c r="AJ319" s="358"/>
      <c r="AK319" s="358"/>
      <c r="AL319" s="358"/>
      <c r="AM319" s="358"/>
      <c r="AN319" s="358"/>
      <c r="AO319" s="358"/>
      <c r="AP319" s="358"/>
      <c r="AQ319" s="358"/>
      <c r="AR319" s="358"/>
      <c r="AS319" s="358"/>
      <c r="AT319" s="358"/>
      <c r="AU319" s="358"/>
      <c r="AV319" s="358"/>
      <c r="AW319" s="358"/>
      <c r="AX319" s="358"/>
      <c r="AY319" s="358"/>
      <c r="AZ319" s="358"/>
      <c r="BA319" s="358"/>
      <c r="BB319" s="358"/>
      <c r="BC319" s="358"/>
      <c r="BD319" s="358"/>
      <c r="BE319" s="358"/>
      <c r="BF319" s="358"/>
      <c r="BG319" s="358"/>
      <c r="BH319" s="358"/>
      <c r="BI319" s="358"/>
      <c r="BJ319" s="358"/>
      <c r="BK319" s="358"/>
      <c r="BL319" s="358"/>
      <c r="BM319" s="358"/>
      <c r="BN319" s="358"/>
      <c r="BO319" s="358"/>
      <c r="BP319" s="358"/>
      <c r="BQ319" s="358"/>
      <c r="BR319" s="358"/>
      <c r="BS319" s="358"/>
      <c r="BT319" s="358"/>
      <c r="BU319" s="358"/>
      <c r="BV319" s="358"/>
      <c r="BW319" s="358"/>
      <c r="BX319" s="358"/>
      <c r="BY319" s="358"/>
      <c r="BZ319" s="358"/>
      <c r="CA319" s="358"/>
      <c r="CB319" s="358"/>
      <c r="CC319" s="358"/>
      <c r="CD319" s="358"/>
      <c r="CE319" s="358"/>
      <c r="CF319" s="358"/>
      <c r="CG319" s="358"/>
      <c r="CH319" s="358"/>
      <c r="CI319" s="358"/>
      <c r="CJ319" s="358"/>
      <c r="CK319" s="358"/>
      <c r="CL319" s="358"/>
      <c r="CM319" s="358"/>
      <c r="CN319" s="358"/>
      <c r="CO319" s="358"/>
      <c r="CP319" s="358"/>
      <c r="CQ319" s="358"/>
      <c r="CR319" s="358"/>
      <c r="CS319" s="358"/>
      <c r="CT319" s="358"/>
      <c r="CU319" s="358"/>
      <c r="CV319" s="358"/>
      <c r="CW319" s="358"/>
      <c r="CX319" s="358"/>
      <c r="CY319" s="358"/>
      <c r="CZ319" s="358"/>
      <c r="DA319" s="358"/>
      <c r="DB319" s="358"/>
      <c r="DC319" s="358"/>
      <c r="DD319" s="358"/>
      <c r="DE319" s="358"/>
      <c r="DF319" s="358"/>
      <c r="DG319" s="358"/>
      <c r="DH319" s="358"/>
      <c r="DI319" s="358"/>
      <c r="DJ319" s="358"/>
      <c r="DK319" s="358"/>
      <c r="DL319" s="358"/>
      <c r="DM319" s="358"/>
      <c r="DN319" s="358"/>
      <c r="DO319" s="358"/>
      <c r="DP319" s="358"/>
      <c r="DQ319" s="358"/>
      <c r="DR319" s="358"/>
      <c r="DS319" s="358"/>
      <c r="DT319" s="358"/>
      <c r="DU319" s="358"/>
      <c r="DV319" s="358"/>
      <c r="DW319" s="358"/>
      <c r="DX319" s="358"/>
      <c r="DY319" s="358"/>
      <c r="DZ319" s="358"/>
      <c r="EA319" s="358"/>
      <c r="EB319" s="358"/>
      <c r="EC319" s="358"/>
      <c r="ED319" s="358"/>
      <c r="EE319" s="358"/>
      <c r="EF319" s="358"/>
      <c r="EG319" s="358"/>
      <c r="EH319" s="358"/>
      <c r="EI319" s="358"/>
      <c r="EJ319" s="358"/>
      <c r="EK319" s="358"/>
      <c r="EL319" s="358"/>
      <c r="EM319" s="358"/>
      <c r="EN319" s="358"/>
      <c r="EO319" s="358"/>
      <c r="EP319" s="358"/>
      <c r="EQ319" s="358"/>
      <c r="ER319" s="358"/>
      <c r="ES319" s="358"/>
      <c r="ET319" s="358"/>
      <c r="EU319" s="358"/>
      <c r="EV319" s="358"/>
      <c r="EW319" s="358"/>
      <c r="EX319" s="358"/>
      <c r="EY319" s="358"/>
      <c r="EZ319" s="358"/>
      <c r="FA319" s="358"/>
      <c r="FB319" s="358"/>
      <c r="FC319" s="358"/>
      <c r="FD319" s="358"/>
      <c r="FE319" s="358"/>
      <c r="FF319" s="358"/>
      <c r="FG319" s="358"/>
      <c r="FH319" s="358"/>
      <c r="FI319" s="358"/>
      <c r="FJ319" s="358"/>
      <c r="FK319" s="358"/>
      <c r="FL319" s="358"/>
      <c r="FM319" s="358"/>
      <c r="FN319" s="358"/>
      <c r="FO319" s="358"/>
      <c r="FP319" s="358"/>
      <c r="FQ319" s="358"/>
      <c r="FR319" s="358"/>
      <c r="FS319" s="358"/>
      <c r="FT319" s="358"/>
      <c r="FU319" s="358"/>
      <c r="FV319" s="358"/>
      <c r="FW319" s="358"/>
      <c r="FX319" s="358"/>
      <c r="FY319" s="358"/>
      <c r="FZ319" s="358"/>
      <c r="GA319" s="358"/>
      <c r="GB319" s="358"/>
      <c r="GC319" s="358"/>
      <c r="GD319" s="358"/>
      <c r="GE319" s="358"/>
      <c r="GF319" s="358"/>
      <c r="GG319" s="358"/>
      <c r="GH319" s="358"/>
      <c r="GI319" s="358"/>
      <c r="GJ319" s="358"/>
      <c r="GK319" s="358"/>
      <c r="GL319" s="358"/>
      <c r="GM319" s="358"/>
      <c r="GN319" s="358"/>
      <c r="GO319" s="358"/>
      <c r="GP319" s="358"/>
      <c r="GQ319" s="358"/>
      <c r="GR319" s="358"/>
      <c r="GS319" s="358"/>
      <c r="GT319" s="358"/>
      <c r="GU319" s="358"/>
      <c r="GV319" s="358"/>
      <c r="GW319" s="358"/>
      <c r="GX319" s="358"/>
      <c r="GY319" s="358"/>
      <c r="GZ319" s="358"/>
      <c r="HA319" s="358"/>
      <c r="HB319" s="358"/>
      <c r="HC319" s="358"/>
      <c r="HD319" s="358"/>
      <c r="HE319" s="358"/>
      <c r="HF319" s="358"/>
      <c r="HG319" s="358"/>
      <c r="HH319" s="358"/>
      <c r="HI319" s="358"/>
      <c r="HJ319" s="358"/>
      <c r="HK319" s="358"/>
      <c r="HL319" s="358"/>
      <c r="HM319" s="358"/>
      <c r="HN319" s="358"/>
      <c r="HO319" s="358"/>
      <c r="HP319" s="358"/>
      <c r="HQ319" s="358"/>
      <c r="HR319" s="358"/>
      <c r="HS319" s="358"/>
      <c r="HT319" s="358"/>
      <c r="HU319" s="358"/>
      <c r="HV319" s="358"/>
      <c r="HW319" s="358"/>
      <c r="HX319" s="358"/>
    </row>
    <row r="320" spans="1:232" s="5" customFormat="1" ht="20.100000000000001" customHeight="1">
      <c r="A320" s="521"/>
      <c r="B320" s="522"/>
      <c r="C320" s="522"/>
      <c r="D320" s="522"/>
      <c r="E320" s="522"/>
      <c r="F320" s="523"/>
      <c r="G320" s="523"/>
      <c r="H320" s="523"/>
      <c r="J320" s="502"/>
      <c r="O320" s="405"/>
      <c r="P320" s="405"/>
      <c r="Q320" s="405"/>
      <c r="R320" s="405"/>
      <c r="S320" s="405"/>
      <c r="T320" s="405"/>
      <c r="U320" s="358"/>
      <c r="V320" s="358"/>
      <c r="W320" s="358"/>
      <c r="X320" s="358"/>
      <c r="Y320" s="358"/>
      <c r="Z320" s="358"/>
      <c r="AA320" s="358"/>
      <c r="AB320" s="358"/>
      <c r="AC320" s="358"/>
      <c r="AD320" s="358"/>
      <c r="AE320" s="358"/>
      <c r="AF320" s="358"/>
      <c r="AG320" s="358"/>
      <c r="AH320" s="358"/>
      <c r="AI320" s="358"/>
      <c r="AJ320" s="358"/>
      <c r="AK320" s="358"/>
      <c r="AL320" s="358"/>
      <c r="AM320" s="358"/>
      <c r="AN320" s="358"/>
      <c r="AO320" s="358"/>
      <c r="AP320" s="358"/>
      <c r="AQ320" s="358"/>
      <c r="AR320" s="358"/>
      <c r="AS320" s="358"/>
      <c r="AT320" s="358"/>
      <c r="AU320" s="358"/>
      <c r="AV320" s="358"/>
      <c r="AW320" s="358"/>
      <c r="AX320" s="358"/>
      <c r="AY320" s="358"/>
      <c r="AZ320" s="358"/>
      <c r="BA320" s="358"/>
      <c r="BB320" s="358"/>
      <c r="BC320" s="358"/>
      <c r="BD320" s="358"/>
      <c r="BE320" s="358"/>
      <c r="BF320" s="358"/>
      <c r="BG320" s="358"/>
      <c r="BH320" s="358"/>
      <c r="BI320" s="358"/>
      <c r="BJ320" s="358"/>
      <c r="BK320" s="358"/>
      <c r="BL320" s="358"/>
      <c r="BM320" s="358"/>
      <c r="BN320" s="358"/>
      <c r="BO320" s="358"/>
      <c r="BP320" s="358"/>
      <c r="BQ320" s="358"/>
      <c r="BR320" s="358"/>
      <c r="BS320" s="358"/>
      <c r="BT320" s="358"/>
      <c r="BU320" s="358"/>
      <c r="BV320" s="358"/>
      <c r="BW320" s="358"/>
      <c r="BX320" s="358"/>
      <c r="BY320" s="358"/>
      <c r="BZ320" s="358"/>
      <c r="CA320" s="358"/>
      <c r="CB320" s="358"/>
      <c r="CC320" s="358"/>
      <c r="CD320" s="358"/>
      <c r="CE320" s="358"/>
      <c r="CF320" s="358"/>
      <c r="CG320" s="358"/>
      <c r="CH320" s="358"/>
      <c r="CI320" s="358"/>
      <c r="CJ320" s="358"/>
      <c r="CK320" s="358"/>
      <c r="CL320" s="358"/>
      <c r="CM320" s="358"/>
      <c r="CN320" s="358"/>
      <c r="CO320" s="358"/>
      <c r="CP320" s="358"/>
      <c r="CQ320" s="358"/>
      <c r="CR320" s="358"/>
      <c r="CS320" s="358"/>
      <c r="CT320" s="358"/>
      <c r="CU320" s="358"/>
      <c r="CV320" s="358"/>
      <c r="CW320" s="358"/>
      <c r="CX320" s="358"/>
      <c r="CY320" s="358"/>
      <c r="CZ320" s="358"/>
      <c r="DA320" s="358"/>
      <c r="DB320" s="358"/>
      <c r="DC320" s="358"/>
      <c r="DD320" s="358"/>
      <c r="DE320" s="358"/>
      <c r="DF320" s="358"/>
      <c r="DG320" s="358"/>
      <c r="DH320" s="358"/>
      <c r="DI320" s="358"/>
      <c r="DJ320" s="358"/>
      <c r="DK320" s="358"/>
      <c r="DL320" s="358"/>
      <c r="DM320" s="358"/>
      <c r="DN320" s="358"/>
      <c r="DO320" s="358"/>
      <c r="DP320" s="358"/>
      <c r="DQ320" s="358"/>
      <c r="DR320" s="358"/>
      <c r="DS320" s="358"/>
      <c r="DT320" s="358"/>
      <c r="DU320" s="358"/>
      <c r="DV320" s="358"/>
      <c r="DW320" s="358"/>
      <c r="DX320" s="358"/>
      <c r="DY320" s="358"/>
      <c r="DZ320" s="358"/>
      <c r="EA320" s="358"/>
      <c r="EB320" s="358"/>
      <c r="EC320" s="358"/>
      <c r="ED320" s="358"/>
      <c r="EE320" s="358"/>
      <c r="EF320" s="358"/>
      <c r="EG320" s="358"/>
      <c r="EH320" s="358"/>
      <c r="EI320" s="358"/>
      <c r="EJ320" s="358"/>
      <c r="EK320" s="358"/>
      <c r="EL320" s="358"/>
      <c r="EM320" s="358"/>
      <c r="EN320" s="358"/>
      <c r="EO320" s="358"/>
      <c r="EP320" s="358"/>
      <c r="EQ320" s="358"/>
      <c r="ER320" s="358"/>
      <c r="ES320" s="358"/>
      <c r="ET320" s="358"/>
      <c r="EU320" s="358"/>
      <c r="EV320" s="358"/>
      <c r="EW320" s="358"/>
      <c r="EX320" s="358"/>
      <c r="EY320" s="358"/>
      <c r="EZ320" s="358"/>
      <c r="FA320" s="358"/>
      <c r="FB320" s="358"/>
      <c r="FC320" s="358"/>
      <c r="FD320" s="358"/>
      <c r="FE320" s="358"/>
      <c r="FF320" s="358"/>
      <c r="FG320" s="358"/>
      <c r="FH320" s="358"/>
      <c r="FI320" s="358"/>
      <c r="FJ320" s="358"/>
      <c r="FK320" s="358"/>
      <c r="FL320" s="358"/>
      <c r="FM320" s="358"/>
      <c r="FN320" s="358"/>
      <c r="FO320" s="358"/>
      <c r="FP320" s="358"/>
      <c r="FQ320" s="358"/>
      <c r="FR320" s="358"/>
      <c r="FS320" s="358"/>
      <c r="FT320" s="358"/>
      <c r="FU320" s="358"/>
      <c r="FV320" s="358"/>
      <c r="FW320" s="358"/>
      <c r="FX320" s="358"/>
      <c r="FY320" s="358"/>
      <c r="FZ320" s="358"/>
      <c r="GA320" s="358"/>
      <c r="GB320" s="358"/>
      <c r="GC320" s="358"/>
      <c r="GD320" s="358"/>
      <c r="GE320" s="358"/>
      <c r="GF320" s="358"/>
      <c r="GG320" s="358"/>
      <c r="GH320" s="358"/>
      <c r="GI320" s="358"/>
      <c r="GJ320" s="358"/>
      <c r="GK320" s="358"/>
      <c r="GL320" s="358"/>
      <c r="GM320" s="358"/>
      <c r="GN320" s="358"/>
      <c r="GO320" s="358"/>
      <c r="GP320" s="358"/>
      <c r="GQ320" s="358"/>
      <c r="GR320" s="358"/>
      <c r="GS320" s="358"/>
      <c r="GT320" s="358"/>
      <c r="GU320" s="358"/>
      <c r="GV320" s="358"/>
      <c r="GW320" s="358"/>
      <c r="GX320" s="358"/>
      <c r="GY320" s="358"/>
      <c r="GZ320" s="358"/>
      <c r="HA320" s="358"/>
      <c r="HB320" s="358"/>
      <c r="HC320" s="358"/>
      <c r="HD320" s="358"/>
      <c r="HE320" s="358"/>
      <c r="HF320" s="358"/>
      <c r="HG320" s="358"/>
      <c r="HH320" s="358"/>
      <c r="HI320" s="358"/>
      <c r="HJ320" s="358"/>
      <c r="HK320" s="358"/>
      <c r="HL320" s="358"/>
      <c r="HM320" s="358"/>
      <c r="HN320" s="358"/>
      <c r="HO320" s="358"/>
      <c r="HP320" s="358"/>
      <c r="HQ320" s="358"/>
      <c r="HR320" s="358"/>
      <c r="HS320" s="358"/>
      <c r="HT320" s="358"/>
      <c r="HU320" s="358"/>
      <c r="HV320" s="358"/>
      <c r="HW320" s="358"/>
      <c r="HX320" s="358"/>
    </row>
    <row r="321" spans="1:19" ht="20.100000000000001" customHeight="1">
      <c r="A321" s="1595" t="s">
        <v>120</v>
      </c>
      <c r="B321" s="1595"/>
      <c r="C321" s="1595"/>
      <c r="D321" s="1595"/>
      <c r="E321" s="1595"/>
      <c r="F321" s="1595"/>
      <c r="G321" s="1595"/>
      <c r="H321" s="1595"/>
      <c r="I321" s="1595"/>
      <c r="J321" s="1595"/>
      <c r="N321" s="5"/>
      <c r="O321" s="405"/>
      <c r="P321" s="405"/>
      <c r="Q321" s="405"/>
      <c r="R321" s="405"/>
      <c r="S321" s="405"/>
    </row>
    <row r="322" spans="1:19" ht="20.100000000000001" customHeight="1">
      <c r="A322" s="1596" t="s">
        <v>121</v>
      </c>
      <c r="B322" s="1596"/>
      <c r="C322" s="1596"/>
      <c r="D322" s="1596"/>
      <c r="E322" s="1596"/>
      <c r="F322" s="1596"/>
      <c r="G322" s="1596"/>
      <c r="H322" s="1596"/>
      <c r="I322" s="1596"/>
      <c r="J322" s="1596"/>
    </row>
    <row r="323" spans="1:19" ht="20.100000000000001" customHeight="1">
      <c r="A323" s="1600" t="s">
        <v>137</v>
      </c>
      <c r="B323" s="1600"/>
      <c r="C323" s="1600"/>
      <c r="D323" s="1600"/>
      <c r="E323" s="1600"/>
      <c r="F323" s="1600"/>
      <c r="G323" s="1600"/>
      <c r="H323" s="1600"/>
      <c r="I323" s="1600"/>
      <c r="J323" s="1600"/>
    </row>
    <row r="324" spans="1:19" ht="20.100000000000001" customHeight="1">
      <c r="A324" s="1595"/>
      <c r="B324" s="1595"/>
      <c r="C324" s="1595"/>
      <c r="D324" s="1595"/>
      <c r="E324" s="1595"/>
      <c r="F324" s="1595"/>
      <c r="G324" s="1595"/>
      <c r="H324" s="1595"/>
      <c r="I324" s="1595"/>
      <c r="J324" s="1595"/>
    </row>
    <row r="325" spans="1:19" ht="20.100000000000001" customHeight="1">
      <c r="A325" s="507"/>
      <c r="B325" s="507"/>
      <c r="C325" s="507"/>
      <c r="D325" s="507"/>
      <c r="E325" s="507"/>
      <c r="F325" s="507"/>
      <c r="G325" s="507"/>
      <c r="H325" s="507"/>
      <c r="I325" s="507"/>
      <c r="J325" s="507"/>
    </row>
    <row r="326" spans="1:19" ht="20.100000000000001" customHeight="1">
      <c r="A326" s="1599" t="s">
        <v>473</v>
      </c>
      <c r="B326" s="1599"/>
      <c r="C326" s="1599"/>
      <c r="D326" s="1599"/>
      <c r="E326" s="1599"/>
      <c r="F326" s="1599" t="s">
        <v>185</v>
      </c>
      <c r="G326" s="1599"/>
      <c r="H326" s="1599"/>
      <c r="I326" s="1599"/>
      <c r="J326" s="1599"/>
    </row>
    <row r="327" spans="1:19" ht="20.100000000000001" customHeight="1">
      <c r="A327" s="1599" t="s">
        <v>449</v>
      </c>
      <c r="B327" s="1599"/>
      <c r="C327" s="1599"/>
      <c r="D327" s="1599"/>
      <c r="E327" s="1599"/>
      <c r="F327" s="1599" t="str">
        <f>$P$16</f>
        <v>Nguyễn Mạnh Hùng</v>
      </c>
      <c r="G327" s="1599"/>
      <c r="H327" s="1599"/>
      <c r="I327" s="1599"/>
      <c r="J327" s="1599"/>
    </row>
    <row r="328" spans="1:19" ht="20.100000000000001" customHeight="1">
      <c r="A328" s="1599"/>
      <c r="B328" s="1599"/>
      <c r="C328" s="1599"/>
      <c r="D328" s="1599"/>
      <c r="E328" s="1599"/>
      <c r="F328" s="1599"/>
      <c r="G328" s="1599"/>
      <c r="H328" s="1599"/>
      <c r="I328" s="1599"/>
      <c r="J328" s="1599"/>
    </row>
    <row r="329" spans="1:19" ht="20.100000000000001" customHeight="1">
      <c r="A329" s="1599"/>
      <c r="B329" s="1599"/>
      <c r="C329" s="1599"/>
      <c r="D329" s="1599"/>
      <c r="E329" s="1599"/>
      <c r="F329" s="1599"/>
      <c r="G329" s="1599"/>
      <c r="H329" s="1599"/>
      <c r="I329" s="1599"/>
      <c r="J329" s="1599"/>
    </row>
    <row r="330" spans="1:19" ht="20.100000000000001" customHeight="1">
      <c r="A330" s="1599"/>
      <c r="B330" s="1599"/>
      <c r="C330" s="1599"/>
      <c r="D330" s="1599"/>
      <c r="E330" s="1599"/>
      <c r="F330" s="1599"/>
      <c r="G330" s="1599"/>
      <c r="H330" s="1599"/>
      <c r="I330" s="1599"/>
      <c r="J330" s="1599"/>
    </row>
    <row r="331" spans="1:19" ht="20.100000000000001" customHeight="1">
      <c r="A331" s="1599"/>
      <c r="B331" s="1599"/>
      <c r="C331" s="1599"/>
      <c r="D331" s="1599"/>
      <c r="E331" s="1599"/>
      <c r="F331" s="1599"/>
      <c r="G331" s="1599"/>
      <c r="H331" s="1599"/>
      <c r="I331" s="1599"/>
      <c r="J331" s="1599"/>
    </row>
    <row r="337" spans="1:30" ht="20.100000000000001" customHeight="1">
      <c r="A337" s="1613" t="s">
        <v>77</v>
      </c>
      <c r="B337" s="1613"/>
      <c r="C337" s="1613"/>
      <c r="D337" s="1613"/>
      <c r="E337" s="1613"/>
      <c r="F337" s="1613"/>
      <c r="G337" s="1613"/>
      <c r="H337" s="1613"/>
      <c r="I337" s="1613"/>
      <c r="J337" s="1613"/>
      <c r="L337" s="464" t="s">
        <v>78</v>
      </c>
      <c r="M337" s="465"/>
      <c r="O337" s="466"/>
      <c r="P337" s="466"/>
      <c r="Q337" s="467"/>
      <c r="V337" s="467"/>
    </row>
    <row r="338" spans="1:30" ht="20.100000000000001" customHeight="1">
      <c r="A338" s="1614" t="s">
        <v>80</v>
      </c>
      <c r="B338" s="1614"/>
      <c r="C338" s="1614"/>
      <c r="D338" s="1614"/>
      <c r="E338" s="1614"/>
      <c r="F338" s="1614"/>
      <c r="G338" s="1614"/>
      <c r="H338" s="1614"/>
      <c r="I338" s="1614"/>
      <c r="J338" s="1614"/>
      <c r="L338" s="467" t="s">
        <v>81</v>
      </c>
      <c r="N338" s="467" t="str">
        <f>"Bê tông cọc : "&amp;'2. NK'!$D$10</f>
        <v>Bê tông cọc : B1</v>
      </c>
      <c r="O338" s="466"/>
      <c r="P338" s="466"/>
      <c r="Q338" s="467"/>
      <c r="V338" s="467"/>
    </row>
    <row r="339" spans="1:30" ht="20.100000000000001" customHeight="1">
      <c r="A339" s="1616" t="s">
        <v>82</v>
      </c>
      <c r="B339" s="1616"/>
      <c r="C339" s="1616"/>
      <c r="D339" s="1616"/>
      <c r="E339" s="1616"/>
      <c r="F339" s="1616"/>
      <c r="G339" s="1616"/>
      <c r="H339" s="1616"/>
      <c r="I339" s="1616"/>
      <c r="J339" s="1616"/>
      <c r="L339" s="469" t="s">
        <v>83</v>
      </c>
      <c r="N339" s="467" t="str">
        <f>'2. NK'!$R$12</f>
        <v>Tại công trình</v>
      </c>
      <c r="P339" s="467"/>
      <c r="V339" s="467"/>
    </row>
    <row r="340" spans="1:30" ht="20.100000000000001" customHeight="1">
      <c r="A340" s="1617">
        <f>$N347</f>
        <v>42496</v>
      </c>
      <c r="B340" s="1617"/>
      <c r="C340" s="1617"/>
      <c r="D340" s="1617"/>
      <c r="E340" s="1617"/>
      <c r="F340" s="1617"/>
      <c r="G340" s="1617"/>
      <c r="H340" s="1617"/>
      <c r="I340" s="1617"/>
      <c r="J340" s="1617"/>
      <c r="L340" s="469" t="s">
        <v>84</v>
      </c>
      <c r="N340" s="467" t="str">
        <f>'2. NK'!$D$10&amp;"/"&amp;'2. NK'!$H$10</f>
        <v>B1/800</v>
      </c>
      <c r="O340" s="466"/>
      <c r="P340" s="466"/>
      <c r="Q340" s="467"/>
    </row>
    <row r="341" spans="1:30" ht="20.100000000000001" customHeight="1">
      <c r="A341" s="1614" t="str">
        <f>"BIÊN BẢN SỐ: NB-"&amp;N340</f>
        <v>BIÊN BẢN SỐ: NB-B1/800</v>
      </c>
      <c r="B341" s="1614"/>
      <c r="C341" s="1614"/>
      <c r="D341" s="1614"/>
      <c r="E341" s="1614"/>
      <c r="F341" s="1614"/>
      <c r="G341" s="1614"/>
      <c r="H341" s="1614"/>
      <c r="I341" s="1614"/>
      <c r="J341" s="1614"/>
      <c r="L341" s="469" t="s">
        <v>36</v>
      </c>
      <c r="N341" s="467"/>
      <c r="O341" s="466"/>
      <c r="P341" s="466"/>
      <c r="Q341" s="466"/>
    </row>
    <row r="342" spans="1:30" ht="20.100000000000001" customHeight="1">
      <c r="A342" s="1618" t="s">
        <v>86</v>
      </c>
      <c r="B342" s="1618"/>
      <c r="C342" s="1618"/>
      <c r="D342" s="1618"/>
      <c r="E342" s="1618"/>
      <c r="F342" s="1618"/>
      <c r="G342" s="1618"/>
      <c r="H342" s="1618"/>
      <c r="I342" s="1618"/>
      <c r="J342" s="1618"/>
      <c r="M342" s="469" t="s">
        <v>87</v>
      </c>
      <c r="N342" s="470">
        <v>0</v>
      </c>
      <c r="O342" s="466"/>
      <c r="P342" s="466"/>
      <c r="Q342" s="466"/>
    </row>
    <row r="343" spans="1:30" s="472" customFormat="1" ht="20.100000000000001" customHeight="1">
      <c r="A343" s="471"/>
      <c r="B343" s="471"/>
      <c r="C343" s="471"/>
      <c r="D343" s="471"/>
      <c r="E343" s="471"/>
      <c r="F343" s="471"/>
      <c r="G343" s="471"/>
      <c r="H343" s="471"/>
      <c r="I343" s="471"/>
      <c r="J343" s="471"/>
      <c r="L343" s="463"/>
      <c r="M343" s="469" t="s">
        <v>354</v>
      </c>
      <c r="N343" s="473">
        <v>0</v>
      </c>
      <c r="O343" s="466"/>
      <c r="P343" s="466"/>
      <c r="Q343" s="467"/>
      <c r="R343" s="464"/>
      <c r="S343" s="464"/>
      <c r="T343" s="464"/>
      <c r="U343" s="474"/>
      <c r="V343" s="474"/>
      <c r="W343" s="474"/>
      <c r="X343" s="474"/>
      <c r="Y343" s="475"/>
      <c r="Z343" s="475"/>
      <c r="AA343" s="475"/>
      <c r="AB343" s="475"/>
      <c r="AC343" s="475"/>
      <c r="AD343" s="475"/>
    </row>
    <row r="344" spans="1:30" ht="20.100000000000001" customHeight="1">
      <c r="A344" s="476" t="s">
        <v>332</v>
      </c>
      <c r="B344" s="476"/>
      <c r="C344" s="1615" t="str">
        <f>$P$1</f>
        <v>KHU HỖN HỢP CHUNG CƯ, VĂN PHÒNG, TRUNG TÂM THƯƠNG MẠI VÀ NHÀ Ở KẾT HỢP KHU MUA SẮM</v>
      </c>
      <c r="D344" s="1615"/>
      <c r="E344" s="1615"/>
      <c r="F344" s="1615"/>
      <c r="G344" s="1615"/>
      <c r="H344" s="1615"/>
      <c r="I344" s="1615"/>
      <c r="J344" s="1615"/>
      <c r="L344" s="469" t="s">
        <v>88</v>
      </c>
      <c r="M344" s="467"/>
      <c r="N344" s="467"/>
      <c r="O344" s="478"/>
      <c r="P344" s="479"/>
      <c r="Q344" s="479"/>
      <c r="R344" s="474"/>
      <c r="S344" s="474"/>
      <c r="T344" s="474"/>
    </row>
    <row r="345" spans="1:30" ht="20.100000000000001" customHeight="1">
      <c r="A345" s="476"/>
      <c r="B345" s="476"/>
      <c r="C345" s="1615"/>
      <c r="D345" s="1615"/>
      <c r="E345" s="1615"/>
      <c r="F345" s="1615"/>
      <c r="G345" s="1615"/>
      <c r="H345" s="1615"/>
      <c r="I345" s="1615"/>
      <c r="J345" s="1615"/>
      <c r="L345" s="469"/>
      <c r="M345" s="467"/>
      <c r="N345" s="467"/>
      <c r="O345" s="478"/>
      <c r="P345" s="479"/>
      <c r="Q345" s="479"/>
      <c r="R345" s="474"/>
      <c r="S345" s="474"/>
      <c r="T345" s="474"/>
    </row>
    <row r="346" spans="1:30" ht="20.100000000000001" customHeight="1">
      <c r="A346" s="476" t="s">
        <v>854</v>
      </c>
      <c r="B346" s="476"/>
      <c r="C346" s="477" t="str">
        <f>$P$2</f>
        <v>CỌC KHOAN NHỒI</v>
      </c>
      <c r="D346" s="476"/>
      <c r="E346" s="476"/>
      <c r="F346" s="476"/>
      <c r="G346" s="476"/>
      <c r="H346" s="476"/>
      <c r="I346" s="476"/>
      <c r="J346" s="476"/>
      <c r="L346" s="469"/>
      <c r="M346" s="469" t="s">
        <v>87</v>
      </c>
      <c r="N346" s="470">
        <f>N349-0.00694444444444444</f>
        <v>0.31944444444444448</v>
      </c>
      <c r="O346" s="466"/>
      <c r="P346" s="479"/>
      <c r="Q346" s="479"/>
    </row>
    <row r="347" spans="1:30" s="472" customFormat="1" ht="20.100000000000001" customHeight="1">
      <c r="A347" s="476" t="s">
        <v>333</v>
      </c>
      <c r="B347" s="480"/>
      <c r="C347" s="398" t="str">
        <f>$P$3</f>
        <v>P. BẠCH ĐẰNG, TP. HẠ LONG, TỈNH QUẢNG NINH</v>
      </c>
      <c r="D347" s="480"/>
      <c r="E347" s="480"/>
      <c r="F347" s="480"/>
      <c r="G347" s="480"/>
      <c r="H347" s="480"/>
      <c r="I347" s="480"/>
      <c r="J347" s="480"/>
      <c r="L347" s="469"/>
      <c r="M347" s="469" t="s">
        <v>354</v>
      </c>
      <c r="N347" s="473">
        <f>N353</f>
        <v>42496</v>
      </c>
      <c r="O347" s="466"/>
      <c r="P347" s="479"/>
      <c r="Q347" s="469"/>
      <c r="R347" s="464"/>
      <c r="S347" s="464"/>
      <c r="T347" s="464"/>
      <c r="U347" s="474"/>
      <c r="V347" s="474"/>
      <c r="W347" s="474"/>
      <c r="X347" s="474"/>
      <c r="Y347" s="475"/>
      <c r="Z347" s="475"/>
      <c r="AA347" s="475"/>
      <c r="AB347" s="475"/>
      <c r="AC347" s="475"/>
      <c r="AD347" s="475"/>
    </row>
    <row r="348" spans="1:30" ht="20.100000000000001" customHeight="1">
      <c r="A348" s="1596" t="s">
        <v>89</v>
      </c>
      <c r="B348" s="1596"/>
      <c r="C348" s="1596"/>
      <c r="D348" s="1596"/>
      <c r="E348" s="1596"/>
      <c r="F348" s="1596"/>
      <c r="G348" s="1596"/>
      <c r="H348" s="1596"/>
      <c r="I348" s="1596"/>
      <c r="J348" s="1596"/>
      <c r="L348" s="469" t="s">
        <v>90</v>
      </c>
      <c r="M348" s="467"/>
      <c r="N348" s="467"/>
      <c r="O348" s="478"/>
      <c r="P348" s="479"/>
      <c r="Q348" s="469"/>
      <c r="R348" s="474"/>
      <c r="S348" s="474"/>
      <c r="T348" s="474"/>
    </row>
    <row r="349" spans="1:30" ht="20.100000000000001" customHeight="1">
      <c r="A349" s="1610" t="str">
        <f>"- Tên công việc: "&amp;N338</f>
        <v>- Tên công việc: Bê tông cọc : B1</v>
      </c>
      <c r="B349" s="1622"/>
      <c r="C349" s="1622"/>
      <c r="D349" s="1622"/>
      <c r="E349" s="1622"/>
      <c r="F349" s="1622"/>
      <c r="G349" s="1622"/>
      <c r="H349" s="1622"/>
      <c r="I349" s="1622"/>
      <c r="J349" s="1622"/>
      <c r="L349" s="469"/>
      <c r="M349" s="469" t="s">
        <v>87</v>
      </c>
      <c r="N349" s="470">
        <f>N352-0.00694444444444444</f>
        <v>0.3263888888888889</v>
      </c>
      <c r="O349" s="466"/>
      <c r="P349" s="466"/>
      <c r="Q349" s="467"/>
    </row>
    <row r="350" spans="1:30" ht="18.75" customHeight="1">
      <c r="A350" s="1610" t="str">
        <f>"- Vị trí: "&amp;N339</f>
        <v>- Vị trí: Tại công trình</v>
      </c>
      <c r="B350" s="1595"/>
      <c r="C350" s="1595"/>
      <c r="D350" s="1595"/>
      <c r="E350" s="1595"/>
      <c r="F350" s="1595"/>
      <c r="G350" s="1595"/>
      <c r="H350" s="1595"/>
      <c r="I350" s="1595"/>
      <c r="J350" s="1595"/>
      <c r="M350" s="469" t="s">
        <v>354</v>
      </c>
      <c r="N350" s="473">
        <f>N353</f>
        <v>42496</v>
      </c>
      <c r="P350" s="467"/>
    </row>
    <row r="351" spans="1:30" ht="20.100000000000001" customHeight="1">
      <c r="A351" s="1596" t="s">
        <v>92</v>
      </c>
      <c r="B351" s="1596"/>
      <c r="C351" s="1596"/>
      <c r="D351" s="1596"/>
      <c r="E351" s="1596"/>
      <c r="F351" s="1596"/>
      <c r="G351" s="1596"/>
      <c r="H351" s="1596"/>
      <c r="I351" s="1596"/>
      <c r="J351" s="1596"/>
      <c r="L351" s="469" t="s">
        <v>93</v>
      </c>
      <c r="M351" s="467"/>
      <c r="N351" s="467"/>
      <c r="O351" s="466"/>
      <c r="P351" s="466"/>
      <c r="Q351" s="466"/>
    </row>
    <row r="352" spans="1:30" ht="20.100000000000001" customHeight="1">
      <c r="A352" s="482" t="s">
        <v>440</v>
      </c>
      <c r="B352" s="118"/>
      <c r="C352" s="118"/>
      <c r="D352" s="118"/>
      <c r="E352" s="118"/>
      <c r="F352" s="483"/>
      <c r="G352" s="483"/>
      <c r="H352" s="483"/>
      <c r="I352" s="483"/>
      <c r="J352" s="483"/>
      <c r="M352" s="469" t="s">
        <v>87</v>
      </c>
      <c r="N352" s="545">
        <v>0.33333333333333331</v>
      </c>
      <c r="O352" s="466"/>
      <c r="P352" s="466"/>
      <c r="Q352" s="466"/>
    </row>
    <row r="353" spans="1:232" ht="20.100000000000001" customHeight="1">
      <c r="A353" s="1595" t="str">
        <f>"Ông : "&amp;$P$15</f>
        <v>Ông : Ngô Văn Khánh</v>
      </c>
      <c r="B353" s="1595"/>
      <c r="C353" s="1595"/>
      <c r="D353" s="1595"/>
      <c r="E353" s="1595"/>
      <c r="F353" s="1595" t="str">
        <f>"Chức vụ: "&amp;$Q$15</f>
        <v>Chức vụ: Chỉ huy trưởng công trường</v>
      </c>
      <c r="G353" s="1595"/>
      <c r="H353" s="1595"/>
      <c r="I353" s="1595"/>
      <c r="J353" s="1595"/>
      <c r="M353" s="469" t="s">
        <v>354</v>
      </c>
      <c r="N353" s="546">
        <f>'2. NK'!$J$52+30</f>
        <v>42496</v>
      </c>
      <c r="O353" s="466"/>
      <c r="P353" s="466"/>
      <c r="Q353" s="467"/>
    </row>
    <row r="354" spans="1:232" ht="20.100000000000001" customHeight="1">
      <c r="A354" s="1595" t="str">
        <f>"Ông : "&amp;$P$16</f>
        <v>Ông : Nguyễn Mạnh Hùng</v>
      </c>
      <c r="B354" s="1595"/>
      <c r="C354" s="1595"/>
      <c r="D354" s="1595"/>
      <c r="E354" s="1595"/>
      <c r="F354" s="1595" t="str">
        <f>"Chức vụ: "&amp;$Q$16</f>
        <v>Chức vụ: Chỉ huy phó công trường</v>
      </c>
      <c r="G354" s="1595"/>
      <c r="H354" s="1595"/>
      <c r="I354" s="1595"/>
      <c r="J354" s="1595"/>
      <c r="N354" s="473"/>
      <c r="O354" s="466"/>
      <c r="P354" s="466"/>
      <c r="Q354" s="466"/>
    </row>
    <row r="355" spans="1:232" ht="20.100000000000001" customHeight="1">
      <c r="A355" s="1604" t="str">
        <f>"2 - Đại diện đội thi công trực tiếp:"</f>
        <v>2 - Đại diện đội thi công trực tiếp:</v>
      </c>
      <c r="B355" s="1604"/>
      <c r="C355" s="1604"/>
      <c r="D355" s="1604"/>
      <c r="E355" s="1604"/>
      <c r="F355" s="1604"/>
      <c r="G355" s="1604"/>
      <c r="H355" s="1604"/>
      <c r="I355" s="1604"/>
      <c r="J355" s="1604"/>
      <c r="L355" s="541"/>
      <c r="P355" s="479"/>
      <c r="Q355" s="479"/>
    </row>
    <row r="356" spans="1:232" ht="20.100000000000001" customHeight="1">
      <c r="A356" s="1595" t="str">
        <f>"Ông : "&amp;$P$19</f>
        <v>Ông : .........................</v>
      </c>
      <c r="B356" s="1595"/>
      <c r="C356" s="1595"/>
      <c r="D356" s="1595"/>
      <c r="E356" s="1595"/>
      <c r="F356" s="1595" t="str">
        <f>"Chức vụ: "&amp;$Q$19</f>
        <v>Chức vụ: .....................................</v>
      </c>
      <c r="G356" s="1595"/>
      <c r="H356" s="1595"/>
      <c r="I356" s="1595"/>
      <c r="J356" s="1595"/>
      <c r="K356" s="541"/>
      <c r="P356" s="479"/>
      <c r="Q356" s="479"/>
    </row>
    <row r="357" spans="1:232" ht="20.100000000000001" customHeight="1">
      <c r="A357" s="1595" t="str">
        <f>"Ông : "&amp;$P$21</f>
        <v>Ông : Nguyễn Văn Tĩnh</v>
      </c>
      <c r="B357" s="1595"/>
      <c r="C357" s="1595"/>
      <c r="D357" s="1595"/>
      <c r="E357" s="1595"/>
      <c r="F357" s="1595" t="str">
        <f>"Chức vụ: "&amp;$Q$21</f>
        <v>Chức vụ: Tổ trưởng công nhân</v>
      </c>
      <c r="G357" s="1595"/>
      <c r="H357" s="1595"/>
      <c r="I357" s="1595"/>
      <c r="J357" s="1595"/>
      <c r="P357" s="479"/>
      <c r="Q357" s="479"/>
    </row>
    <row r="358" spans="1:232" s="175" customFormat="1" ht="20.100000000000001" customHeight="1">
      <c r="A358" s="1596" t="s">
        <v>95</v>
      </c>
      <c r="B358" s="1596"/>
      <c r="C358" s="1596"/>
      <c r="D358" s="1596"/>
      <c r="E358" s="1596"/>
      <c r="F358" s="1596"/>
      <c r="G358" s="1596"/>
      <c r="H358" s="1596"/>
      <c r="I358" s="1596"/>
      <c r="J358" s="1596"/>
      <c r="N358" s="464"/>
      <c r="O358" s="467"/>
      <c r="P358" s="467"/>
      <c r="Q358" s="464"/>
      <c r="R358" s="464"/>
      <c r="S358" s="464"/>
    </row>
    <row r="359" spans="1:232" ht="20.100000000000001" customHeight="1">
      <c r="A359" s="477" t="s">
        <v>96</v>
      </c>
      <c r="B359" s="477"/>
      <c r="C359" s="477"/>
      <c r="D359" s="484">
        <f>$N346</f>
        <v>0.31944444444444448</v>
      </c>
      <c r="E359" s="1603">
        <f>A340</f>
        <v>42496</v>
      </c>
      <c r="F359" s="1603"/>
      <c r="G359" s="1603"/>
      <c r="H359" s="1603"/>
      <c r="I359" s="1603"/>
      <c r="J359" s="1603"/>
      <c r="N359" s="175"/>
      <c r="O359" s="467"/>
      <c r="P359" s="467"/>
      <c r="S359" s="175"/>
    </row>
    <row r="360" spans="1:232" ht="20.100000000000001" customHeight="1">
      <c r="A360" s="477" t="s">
        <v>98</v>
      </c>
      <c r="B360" s="477"/>
      <c r="C360" s="477"/>
      <c r="D360" s="484">
        <f>D359+0.010417</f>
        <v>0.32986144444444448</v>
      </c>
      <c r="E360" s="1603">
        <f>A340</f>
        <v>42496</v>
      </c>
      <c r="F360" s="1603"/>
      <c r="G360" s="1603"/>
      <c r="H360" s="1603"/>
      <c r="I360" s="1603"/>
      <c r="J360" s="1603"/>
      <c r="P360" s="467"/>
      <c r="Q360" s="467"/>
    </row>
    <row r="361" spans="1:232" ht="20.100000000000001" customHeight="1">
      <c r="A361" s="477" t="s">
        <v>99</v>
      </c>
      <c r="B361" s="477" t="str">
        <f>"Công trình: "&amp;$V$1</f>
        <v>Công trình: Khu hỗn hợp chung cư, văn phòng, trung tâm thương mại và nhà ở kết hợp khu mua sắm</v>
      </c>
      <c r="C361" s="477"/>
      <c r="D361" s="484"/>
      <c r="E361" s="485"/>
      <c r="F361" s="485"/>
      <c r="G361" s="485"/>
      <c r="H361" s="485"/>
      <c r="I361" s="485"/>
      <c r="J361" s="485"/>
      <c r="P361" s="467"/>
      <c r="Q361" s="467"/>
    </row>
    <row r="362" spans="1:232" ht="20.100000000000001" customHeight="1">
      <c r="A362" s="1595" t="str">
        <f>"Địa điểm: "&amp;$V$3</f>
        <v>Địa điểm: P. Bạch Đằng, TP Hạ Long, Tỉnh Quảng Ninh</v>
      </c>
      <c r="B362" s="1595"/>
      <c r="C362" s="1595"/>
      <c r="D362" s="1595"/>
      <c r="E362" s="1595"/>
      <c r="F362" s="1595"/>
      <c r="G362" s="1595"/>
      <c r="H362" s="1595"/>
      <c r="I362" s="1595"/>
      <c r="J362" s="1595"/>
      <c r="P362" s="467"/>
      <c r="Q362" s="467"/>
    </row>
    <row r="363" spans="1:232" ht="20.100000000000001" customHeight="1">
      <c r="A363" s="1596" t="s">
        <v>441</v>
      </c>
      <c r="B363" s="1596"/>
      <c r="C363" s="1596"/>
      <c r="D363" s="1596"/>
      <c r="E363" s="1596"/>
      <c r="F363" s="1596"/>
      <c r="G363" s="1596"/>
      <c r="H363" s="1596"/>
      <c r="I363" s="1596"/>
      <c r="J363" s="1596"/>
      <c r="P363" s="467"/>
    </row>
    <row r="364" spans="1:232" s="175" customFormat="1" ht="20.100000000000001" customHeight="1">
      <c r="A364" s="1604" t="s">
        <v>101</v>
      </c>
      <c r="B364" s="1604"/>
      <c r="C364" s="1604"/>
      <c r="D364" s="1604"/>
      <c r="E364" s="1604"/>
      <c r="F364" s="1604"/>
      <c r="G364" s="1604"/>
      <c r="H364" s="1604"/>
      <c r="I364" s="1604"/>
      <c r="J364" s="1604"/>
      <c r="N364" s="464"/>
      <c r="O364" s="464"/>
      <c r="P364" s="467"/>
      <c r="Q364" s="467"/>
      <c r="R364" s="464"/>
      <c r="S364" s="464"/>
    </row>
    <row r="365" spans="1:232" ht="20.100000000000001" customHeight="1">
      <c r="A365" s="1595" t="s">
        <v>102</v>
      </c>
      <c r="B365" s="1595"/>
      <c r="C365" s="1595"/>
      <c r="D365" s="1595"/>
      <c r="E365" s="1595"/>
      <c r="F365" s="1595"/>
      <c r="G365" s="1595"/>
      <c r="H365" s="1595"/>
      <c r="I365" s="1595"/>
      <c r="J365" s="1595"/>
      <c r="N365" s="175"/>
      <c r="O365" s="175"/>
      <c r="P365" s="467"/>
      <c r="R365" s="175"/>
      <c r="S365" s="175"/>
    </row>
    <row r="366" spans="1:232" ht="20.100000000000001" customHeight="1">
      <c r="A366" s="1609" t="s">
        <v>103</v>
      </c>
      <c r="B366" s="1609"/>
      <c r="C366" s="1609"/>
      <c r="D366" s="1609"/>
      <c r="E366" s="1609"/>
      <c r="F366" s="1609"/>
      <c r="G366" s="1609"/>
      <c r="H366" s="1609"/>
      <c r="I366" s="1609"/>
      <c r="J366" s="1609"/>
      <c r="P366" s="467"/>
      <c r="Q366" s="467"/>
    </row>
    <row r="367" spans="1:232" s="488" customFormat="1" ht="20.100000000000001" customHeight="1">
      <c r="A367" s="486" t="s">
        <v>104</v>
      </c>
      <c r="B367" s="477"/>
      <c r="C367" s="477"/>
      <c r="D367" s="477"/>
      <c r="E367" s="477"/>
      <c r="F367" s="477"/>
      <c r="G367" s="477"/>
      <c r="H367" s="477"/>
      <c r="I367" s="477"/>
      <c r="J367" s="477"/>
      <c r="K367" s="477"/>
      <c r="L367" s="477"/>
      <c r="M367" s="477"/>
      <c r="N367" s="464"/>
      <c r="O367" s="464"/>
      <c r="P367" s="467"/>
      <c r="Q367" s="464"/>
      <c r="R367" s="464"/>
      <c r="S367" s="464"/>
      <c r="T367" s="487"/>
      <c r="U367" s="487"/>
      <c r="V367" s="487"/>
      <c r="W367" s="487"/>
      <c r="X367" s="487"/>
      <c r="Y367" s="487"/>
      <c r="Z367" s="487"/>
      <c r="AA367" s="487"/>
      <c r="AB367" s="487"/>
      <c r="AC367" s="487"/>
      <c r="AD367" s="487"/>
      <c r="AE367" s="487"/>
      <c r="AF367" s="487"/>
      <c r="AG367" s="487"/>
      <c r="AH367" s="487"/>
      <c r="AI367" s="487"/>
      <c r="AJ367" s="487"/>
      <c r="AK367" s="487"/>
      <c r="AL367" s="487"/>
      <c r="AM367" s="487"/>
      <c r="AN367" s="487"/>
      <c r="AO367" s="487"/>
      <c r="AP367" s="487"/>
      <c r="AQ367" s="487"/>
      <c r="AR367" s="487"/>
      <c r="AS367" s="487"/>
      <c r="AT367" s="487"/>
      <c r="AU367" s="487"/>
      <c r="AV367" s="487"/>
      <c r="AW367" s="487"/>
      <c r="AX367" s="487"/>
      <c r="AY367" s="487"/>
      <c r="AZ367" s="487"/>
      <c r="BA367" s="487"/>
      <c r="BB367" s="487"/>
      <c r="BC367" s="487"/>
      <c r="BD367" s="487"/>
      <c r="BE367" s="487"/>
      <c r="BF367" s="487"/>
      <c r="BG367" s="487"/>
      <c r="BH367" s="487"/>
      <c r="BI367" s="487"/>
      <c r="BJ367" s="487"/>
      <c r="BK367" s="487"/>
      <c r="BL367" s="487"/>
      <c r="BM367" s="487"/>
      <c r="BN367" s="487"/>
      <c r="BO367" s="487"/>
      <c r="BP367" s="487"/>
      <c r="BQ367" s="487"/>
      <c r="BR367" s="487"/>
      <c r="BS367" s="487"/>
      <c r="BT367" s="487"/>
      <c r="BU367" s="487"/>
      <c r="BV367" s="487"/>
      <c r="BW367" s="487"/>
      <c r="BX367" s="487"/>
      <c r="BY367" s="487"/>
      <c r="BZ367" s="487"/>
      <c r="CA367" s="487"/>
      <c r="CB367" s="487"/>
      <c r="CC367" s="487"/>
      <c r="CD367" s="487"/>
      <c r="CE367" s="487"/>
      <c r="CF367" s="487"/>
      <c r="CG367" s="487"/>
      <c r="CH367" s="487"/>
      <c r="CI367" s="487"/>
      <c r="CJ367" s="487"/>
      <c r="CK367" s="487"/>
      <c r="CL367" s="487"/>
      <c r="CM367" s="487"/>
      <c r="CN367" s="487"/>
      <c r="CO367" s="487"/>
      <c r="CP367" s="487"/>
      <c r="CQ367" s="487"/>
      <c r="CR367" s="487"/>
      <c r="CS367" s="487"/>
      <c r="CT367" s="487"/>
      <c r="CU367" s="487"/>
      <c r="CV367" s="487"/>
      <c r="CW367" s="487"/>
      <c r="CX367" s="487"/>
      <c r="CY367" s="487"/>
      <c r="CZ367" s="487"/>
      <c r="DA367" s="487"/>
      <c r="DB367" s="487"/>
      <c r="DC367" s="487"/>
      <c r="DD367" s="487"/>
      <c r="DE367" s="487"/>
      <c r="DF367" s="487"/>
      <c r="DG367" s="487"/>
      <c r="DH367" s="487"/>
      <c r="DI367" s="487"/>
      <c r="DJ367" s="487"/>
      <c r="DK367" s="487"/>
      <c r="DL367" s="487"/>
      <c r="DM367" s="487"/>
      <c r="DN367" s="487"/>
      <c r="DO367" s="487"/>
      <c r="DP367" s="487"/>
      <c r="DQ367" s="487"/>
      <c r="DR367" s="487"/>
      <c r="DS367" s="487"/>
      <c r="DT367" s="487"/>
      <c r="DU367" s="487"/>
      <c r="DV367" s="487"/>
      <c r="DW367" s="487"/>
      <c r="DX367" s="487"/>
      <c r="DY367" s="487"/>
      <c r="DZ367" s="487"/>
      <c r="EA367" s="487"/>
      <c r="EB367" s="487"/>
      <c r="EC367" s="487"/>
      <c r="ED367" s="487"/>
      <c r="EE367" s="487"/>
      <c r="EF367" s="487"/>
      <c r="EG367" s="487"/>
      <c r="EH367" s="487"/>
      <c r="EI367" s="487"/>
      <c r="EJ367" s="487"/>
      <c r="EK367" s="487"/>
      <c r="EL367" s="487"/>
      <c r="EM367" s="487"/>
      <c r="EN367" s="487"/>
      <c r="EO367" s="487"/>
      <c r="EP367" s="487"/>
      <c r="EQ367" s="487"/>
      <c r="ER367" s="487"/>
      <c r="ES367" s="487"/>
      <c r="ET367" s="487"/>
      <c r="EU367" s="487"/>
      <c r="EV367" s="487"/>
      <c r="EW367" s="487"/>
      <c r="EX367" s="487"/>
      <c r="EY367" s="487"/>
      <c r="EZ367" s="487"/>
      <c r="FA367" s="487"/>
      <c r="FB367" s="487"/>
      <c r="FC367" s="487"/>
      <c r="FD367" s="487"/>
      <c r="FE367" s="487"/>
      <c r="FF367" s="487"/>
      <c r="FG367" s="487"/>
      <c r="FH367" s="487"/>
      <c r="FI367" s="487"/>
      <c r="FJ367" s="487"/>
      <c r="FK367" s="487"/>
      <c r="FL367" s="487"/>
      <c r="FM367" s="487"/>
      <c r="FN367" s="487"/>
      <c r="FO367" s="487"/>
      <c r="FP367" s="487"/>
      <c r="FQ367" s="487"/>
      <c r="FR367" s="487"/>
      <c r="FS367" s="487"/>
      <c r="FT367" s="487"/>
      <c r="FU367" s="487"/>
      <c r="FV367" s="487"/>
      <c r="FW367" s="487"/>
      <c r="FX367" s="487"/>
      <c r="FY367" s="487"/>
      <c r="FZ367" s="487"/>
      <c r="GA367" s="487"/>
      <c r="GB367" s="487"/>
      <c r="GC367" s="487"/>
      <c r="GD367" s="487"/>
      <c r="GE367" s="487"/>
      <c r="GF367" s="487"/>
      <c r="GG367" s="487"/>
      <c r="GH367" s="487"/>
      <c r="GI367" s="487"/>
      <c r="GJ367" s="487"/>
      <c r="GK367" s="487"/>
      <c r="GL367" s="487"/>
      <c r="GM367" s="487"/>
      <c r="GN367" s="487"/>
      <c r="GO367" s="487"/>
      <c r="GP367" s="487"/>
      <c r="GQ367" s="487"/>
      <c r="GR367" s="487"/>
      <c r="GS367" s="487"/>
      <c r="GT367" s="487"/>
      <c r="GU367" s="487"/>
      <c r="GV367" s="487"/>
      <c r="GW367" s="487"/>
      <c r="GX367" s="487"/>
      <c r="GY367" s="487"/>
      <c r="GZ367" s="487"/>
      <c r="HA367" s="487"/>
      <c r="HB367" s="487"/>
      <c r="HC367" s="487"/>
      <c r="HD367" s="487"/>
      <c r="HE367" s="487"/>
      <c r="HF367" s="487"/>
      <c r="HG367" s="487"/>
      <c r="HH367" s="487"/>
      <c r="HI367" s="487"/>
      <c r="HJ367" s="487"/>
      <c r="HK367" s="487"/>
      <c r="HL367" s="487"/>
      <c r="HM367" s="487"/>
      <c r="HN367" s="487"/>
      <c r="HO367" s="487"/>
      <c r="HP367" s="487"/>
      <c r="HQ367" s="487"/>
      <c r="HR367" s="487"/>
      <c r="HS367" s="487"/>
      <c r="HT367" s="487"/>
      <c r="HU367" s="487"/>
      <c r="HV367" s="487"/>
      <c r="HW367" s="487"/>
      <c r="HX367" s="487"/>
    </row>
    <row r="368" spans="1:232" s="488" customFormat="1" ht="20.100000000000001" customHeight="1">
      <c r="A368" s="487"/>
      <c r="B368" s="509" t="s">
        <v>152</v>
      </c>
      <c r="C368" s="477"/>
      <c r="D368" s="477"/>
      <c r="E368" s="477"/>
      <c r="F368" s="477"/>
      <c r="G368" s="477"/>
      <c r="H368" s="477"/>
      <c r="I368" s="477"/>
      <c r="J368" s="477"/>
      <c r="K368" s="477"/>
      <c r="L368" s="477"/>
      <c r="M368" s="477"/>
      <c r="N368" s="487"/>
      <c r="O368" s="487"/>
      <c r="P368" s="467"/>
      <c r="Q368" s="464"/>
      <c r="R368" s="487"/>
      <c r="S368" s="487"/>
      <c r="T368" s="487"/>
      <c r="U368" s="489"/>
      <c r="V368" s="489"/>
      <c r="W368" s="489"/>
      <c r="X368" s="489"/>
      <c r="Y368" s="489"/>
      <c r="Z368" s="489"/>
      <c r="AA368" s="489"/>
      <c r="AB368" s="489"/>
      <c r="AC368" s="489"/>
      <c r="AD368" s="489"/>
      <c r="AE368" s="489"/>
      <c r="AF368" s="489"/>
      <c r="AG368" s="489"/>
      <c r="AH368" s="489"/>
      <c r="AI368" s="489"/>
      <c r="AJ368" s="489"/>
      <c r="AK368" s="489"/>
      <c r="AL368" s="489"/>
      <c r="AM368" s="489"/>
      <c r="AN368" s="489"/>
      <c r="AO368" s="489"/>
      <c r="AP368" s="489"/>
      <c r="AQ368" s="489"/>
      <c r="AR368" s="489"/>
      <c r="AS368" s="489"/>
      <c r="AT368" s="489"/>
      <c r="AU368" s="489"/>
      <c r="AV368" s="489"/>
      <c r="AW368" s="489"/>
      <c r="AX368" s="489"/>
      <c r="AY368" s="489"/>
      <c r="AZ368" s="489"/>
      <c r="BA368" s="489"/>
      <c r="BB368" s="489"/>
      <c r="BC368" s="489"/>
      <c r="BD368" s="489"/>
      <c r="BE368" s="489"/>
      <c r="BF368" s="489"/>
      <c r="BG368" s="489"/>
      <c r="BH368" s="489"/>
      <c r="BI368" s="489"/>
      <c r="BJ368" s="489"/>
      <c r="BK368" s="489"/>
      <c r="BL368" s="489"/>
      <c r="BM368" s="489"/>
      <c r="BN368" s="489"/>
      <c r="BO368" s="489"/>
      <c r="BP368" s="489"/>
      <c r="BQ368" s="489"/>
      <c r="BR368" s="489"/>
      <c r="BS368" s="489"/>
      <c r="BT368" s="489"/>
      <c r="BU368" s="489"/>
      <c r="BV368" s="489"/>
      <c r="BW368" s="489"/>
      <c r="BX368" s="489"/>
      <c r="BY368" s="489"/>
      <c r="BZ368" s="489"/>
      <c r="CA368" s="489"/>
      <c r="CB368" s="489"/>
      <c r="CC368" s="489"/>
      <c r="CD368" s="489"/>
      <c r="CE368" s="489"/>
      <c r="CF368" s="489"/>
      <c r="CG368" s="489"/>
      <c r="CH368" s="489"/>
      <c r="CI368" s="489"/>
      <c r="CJ368" s="489"/>
      <c r="CK368" s="489"/>
      <c r="CL368" s="489"/>
      <c r="CM368" s="489"/>
      <c r="CN368" s="489"/>
      <c r="CO368" s="489"/>
      <c r="CP368" s="489"/>
      <c r="CQ368" s="489"/>
      <c r="CR368" s="489"/>
      <c r="CS368" s="489"/>
      <c r="CT368" s="489"/>
      <c r="CU368" s="489"/>
      <c r="CV368" s="489"/>
      <c r="CW368" s="489"/>
      <c r="CX368" s="489"/>
      <c r="CY368" s="489"/>
      <c r="CZ368" s="489"/>
      <c r="DA368" s="489"/>
      <c r="DB368" s="489"/>
      <c r="DC368" s="489"/>
      <c r="DD368" s="489"/>
      <c r="DE368" s="489"/>
      <c r="DF368" s="489"/>
      <c r="DG368" s="489"/>
      <c r="DH368" s="489"/>
      <c r="DI368" s="489"/>
      <c r="DJ368" s="489"/>
      <c r="DK368" s="489"/>
      <c r="DL368" s="489"/>
      <c r="DM368" s="489"/>
      <c r="DN368" s="489"/>
      <c r="DO368" s="489"/>
      <c r="DP368" s="489"/>
      <c r="DQ368" s="489"/>
      <c r="DR368" s="489"/>
      <c r="DS368" s="489"/>
      <c r="DT368" s="489"/>
      <c r="DU368" s="489"/>
      <c r="DV368" s="489"/>
      <c r="DW368" s="489"/>
      <c r="DX368" s="489"/>
      <c r="DY368" s="489"/>
      <c r="DZ368" s="489"/>
      <c r="EA368" s="489"/>
      <c r="EB368" s="489"/>
      <c r="EC368" s="489"/>
      <c r="ED368" s="489"/>
      <c r="EE368" s="489"/>
      <c r="EF368" s="489"/>
      <c r="EG368" s="489"/>
      <c r="EH368" s="489"/>
      <c r="EI368" s="489"/>
      <c r="EJ368" s="489"/>
      <c r="EK368" s="489"/>
      <c r="EL368" s="489"/>
      <c r="EM368" s="489"/>
      <c r="EN368" s="489"/>
      <c r="EO368" s="489"/>
      <c r="EP368" s="489"/>
      <c r="EQ368" s="489"/>
      <c r="ER368" s="489"/>
      <c r="ES368" s="489"/>
      <c r="ET368" s="489"/>
      <c r="EU368" s="489"/>
      <c r="EV368" s="489"/>
      <c r="EW368" s="489"/>
      <c r="EX368" s="489"/>
      <c r="EY368" s="489"/>
      <c r="EZ368" s="489"/>
      <c r="FA368" s="489"/>
      <c r="FB368" s="489"/>
      <c r="FC368" s="489"/>
      <c r="FD368" s="489"/>
      <c r="FE368" s="489"/>
      <c r="FF368" s="489"/>
      <c r="FG368" s="489"/>
      <c r="FH368" s="489"/>
      <c r="FI368" s="489"/>
      <c r="FJ368" s="489"/>
      <c r="FK368" s="489"/>
      <c r="FL368" s="489"/>
      <c r="FM368" s="489"/>
      <c r="FN368" s="489"/>
      <c r="FO368" s="489"/>
      <c r="FP368" s="489"/>
      <c r="FQ368" s="489"/>
      <c r="FR368" s="489"/>
      <c r="FS368" s="489"/>
      <c r="FT368" s="489"/>
      <c r="FU368" s="489"/>
      <c r="FV368" s="489"/>
      <c r="FW368" s="489"/>
      <c r="FX368" s="489"/>
      <c r="FY368" s="489"/>
      <c r="FZ368" s="489"/>
      <c r="GA368" s="489"/>
      <c r="GB368" s="489"/>
      <c r="GC368" s="489"/>
      <c r="GD368" s="489"/>
      <c r="GE368" s="489"/>
      <c r="GF368" s="489"/>
      <c r="GG368" s="489"/>
      <c r="GH368" s="489"/>
      <c r="GI368" s="489"/>
      <c r="GJ368" s="489"/>
      <c r="GK368" s="489"/>
      <c r="GL368" s="489"/>
      <c r="GM368" s="489"/>
      <c r="GN368" s="489"/>
      <c r="GO368" s="489"/>
      <c r="GP368" s="489"/>
      <c r="GQ368" s="489"/>
      <c r="GR368" s="489"/>
      <c r="GS368" s="489"/>
      <c r="GT368" s="489"/>
      <c r="GU368" s="489"/>
      <c r="GV368" s="489"/>
      <c r="GW368" s="489"/>
      <c r="GX368" s="489"/>
      <c r="GY368" s="489"/>
      <c r="GZ368" s="489"/>
      <c r="HA368" s="489"/>
      <c r="HB368" s="489"/>
      <c r="HC368" s="489"/>
      <c r="HD368" s="489"/>
      <c r="HE368" s="489"/>
      <c r="HF368" s="489"/>
      <c r="HG368" s="489"/>
      <c r="HH368" s="489"/>
      <c r="HI368" s="489"/>
      <c r="HJ368" s="489"/>
      <c r="HK368" s="489"/>
      <c r="HL368" s="489"/>
      <c r="HM368" s="489"/>
      <c r="HN368" s="489"/>
      <c r="HO368" s="489"/>
      <c r="HP368" s="489"/>
      <c r="HQ368" s="489"/>
      <c r="HR368" s="489"/>
      <c r="HS368" s="489"/>
      <c r="HT368" s="489"/>
      <c r="HU368" s="489"/>
      <c r="HV368" s="489"/>
      <c r="HW368" s="489"/>
      <c r="HX368" s="487"/>
    </row>
    <row r="369" spans="1:232" s="488" customFormat="1" ht="20.100000000000001" customHeight="1">
      <c r="A369" s="487"/>
      <c r="B369" s="477" t="s">
        <v>105</v>
      </c>
      <c r="C369" s="477"/>
      <c r="D369" s="477"/>
      <c r="E369" s="477"/>
      <c r="F369" s="477"/>
      <c r="G369" s="477"/>
      <c r="H369" s="477"/>
      <c r="I369" s="477"/>
      <c r="J369" s="477"/>
      <c r="K369" s="477"/>
      <c r="L369" s="477"/>
      <c r="M369" s="477"/>
      <c r="N369" s="487"/>
      <c r="O369" s="487"/>
      <c r="P369" s="487"/>
      <c r="Q369" s="487"/>
      <c r="R369" s="487"/>
      <c r="S369" s="487"/>
      <c r="T369" s="477"/>
      <c r="U369" s="489"/>
      <c r="V369" s="489"/>
      <c r="W369" s="489"/>
      <c r="X369" s="489"/>
      <c r="Y369" s="489"/>
      <c r="Z369" s="489"/>
      <c r="AA369" s="489"/>
      <c r="AB369" s="489"/>
      <c r="AC369" s="489"/>
      <c r="AD369" s="489"/>
      <c r="AE369" s="489"/>
      <c r="AF369" s="489"/>
      <c r="AG369" s="489"/>
      <c r="AH369" s="489"/>
      <c r="AI369" s="489"/>
      <c r="AJ369" s="489"/>
      <c r="AK369" s="489"/>
      <c r="AL369" s="489"/>
      <c r="AM369" s="489"/>
      <c r="AN369" s="489"/>
      <c r="AO369" s="489"/>
      <c r="AP369" s="489"/>
      <c r="AQ369" s="489"/>
      <c r="AR369" s="489"/>
      <c r="AS369" s="489"/>
      <c r="AT369" s="489"/>
      <c r="AU369" s="489"/>
      <c r="AV369" s="489"/>
      <c r="AW369" s="489"/>
      <c r="AX369" s="489"/>
      <c r="AY369" s="489"/>
      <c r="AZ369" s="489"/>
      <c r="BA369" s="489"/>
      <c r="BB369" s="489"/>
      <c r="BC369" s="489"/>
      <c r="BD369" s="489"/>
      <c r="BE369" s="489"/>
      <c r="BF369" s="489"/>
      <c r="BG369" s="489"/>
      <c r="BH369" s="489"/>
      <c r="BI369" s="489"/>
      <c r="BJ369" s="489"/>
      <c r="BK369" s="489"/>
      <c r="BL369" s="489"/>
      <c r="BM369" s="489"/>
      <c r="BN369" s="489"/>
      <c r="BO369" s="489"/>
      <c r="BP369" s="489"/>
      <c r="BQ369" s="489"/>
      <c r="BR369" s="489"/>
      <c r="BS369" s="489"/>
      <c r="BT369" s="489"/>
      <c r="BU369" s="489"/>
      <c r="BV369" s="489"/>
      <c r="BW369" s="489"/>
      <c r="BX369" s="489"/>
      <c r="BY369" s="489"/>
      <c r="BZ369" s="489"/>
      <c r="CA369" s="489"/>
      <c r="CB369" s="489"/>
      <c r="CC369" s="489"/>
      <c r="CD369" s="489"/>
      <c r="CE369" s="489"/>
      <c r="CF369" s="489"/>
      <c r="CG369" s="489"/>
      <c r="CH369" s="489"/>
      <c r="CI369" s="489"/>
      <c r="CJ369" s="489"/>
      <c r="CK369" s="489"/>
      <c r="CL369" s="489"/>
      <c r="CM369" s="489"/>
      <c r="CN369" s="489"/>
      <c r="CO369" s="489"/>
      <c r="CP369" s="489"/>
      <c r="CQ369" s="489"/>
      <c r="CR369" s="489"/>
      <c r="CS369" s="489"/>
      <c r="CT369" s="489"/>
      <c r="CU369" s="489"/>
      <c r="CV369" s="489"/>
      <c r="CW369" s="489"/>
      <c r="CX369" s="489"/>
      <c r="CY369" s="489"/>
      <c r="CZ369" s="489"/>
      <c r="DA369" s="489"/>
      <c r="DB369" s="489"/>
      <c r="DC369" s="489"/>
      <c r="DD369" s="489"/>
      <c r="DE369" s="489"/>
      <c r="DF369" s="489"/>
      <c r="DG369" s="489"/>
      <c r="DH369" s="489"/>
      <c r="DI369" s="489"/>
      <c r="DJ369" s="489"/>
      <c r="DK369" s="489"/>
      <c r="DL369" s="489"/>
      <c r="DM369" s="489"/>
      <c r="DN369" s="489"/>
      <c r="DO369" s="489"/>
      <c r="DP369" s="489"/>
      <c r="DQ369" s="489"/>
      <c r="DR369" s="489"/>
      <c r="DS369" s="489"/>
      <c r="DT369" s="489"/>
      <c r="DU369" s="489"/>
      <c r="DV369" s="489"/>
      <c r="DW369" s="489"/>
      <c r="DX369" s="489"/>
      <c r="DY369" s="489"/>
      <c r="DZ369" s="489"/>
      <c r="EA369" s="489"/>
      <c r="EB369" s="489"/>
      <c r="EC369" s="489"/>
      <c r="ED369" s="489"/>
      <c r="EE369" s="489"/>
      <c r="EF369" s="489"/>
      <c r="EG369" s="489"/>
      <c r="EH369" s="489"/>
      <c r="EI369" s="489"/>
      <c r="EJ369" s="489"/>
      <c r="EK369" s="489"/>
      <c r="EL369" s="489"/>
      <c r="EM369" s="489"/>
      <c r="EN369" s="489"/>
      <c r="EO369" s="489"/>
      <c r="EP369" s="489"/>
      <c r="EQ369" s="489"/>
      <c r="ER369" s="489"/>
      <c r="ES369" s="489"/>
      <c r="ET369" s="489"/>
      <c r="EU369" s="489"/>
      <c r="EV369" s="489"/>
      <c r="EW369" s="489"/>
      <c r="EX369" s="489"/>
      <c r="EY369" s="489"/>
      <c r="EZ369" s="489"/>
      <c r="FA369" s="489"/>
      <c r="FB369" s="489"/>
      <c r="FC369" s="489"/>
      <c r="FD369" s="489"/>
      <c r="FE369" s="489"/>
      <c r="FF369" s="489"/>
      <c r="FG369" s="489"/>
      <c r="FH369" s="489"/>
      <c r="FI369" s="489"/>
      <c r="FJ369" s="489"/>
      <c r="FK369" s="489"/>
      <c r="FL369" s="489"/>
      <c r="FM369" s="489"/>
      <c r="FN369" s="489"/>
      <c r="FO369" s="489"/>
      <c r="FP369" s="489"/>
      <c r="FQ369" s="489"/>
      <c r="FR369" s="489"/>
      <c r="FS369" s="489"/>
      <c r="FT369" s="489"/>
      <c r="FU369" s="489"/>
      <c r="FV369" s="489"/>
      <c r="FW369" s="489"/>
      <c r="FX369" s="489"/>
      <c r="FY369" s="489"/>
      <c r="FZ369" s="489"/>
      <c r="GA369" s="489"/>
      <c r="GB369" s="489"/>
      <c r="GC369" s="489"/>
      <c r="GD369" s="489"/>
      <c r="GE369" s="489"/>
      <c r="GF369" s="489"/>
      <c r="GG369" s="489"/>
      <c r="GH369" s="489"/>
      <c r="GI369" s="489"/>
      <c r="GJ369" s="489"/>
      <c r="GK369" s="489"/>
      <c r="GL369" s="489"/>
      <c r="GM369" s="489"/>
      <c r="GN369" s="489"/>
      <c r="GO369" s="489"/>
      <c r="GP369" s="489"/>
      <c r="GQ369" s="489"/>
      <c r="GR369" s="489"/>
      <c r="GS369" s="489"/>
      <c r="GT369" s="489"/>
      <c r="GU369" s="489"/>
      <c r="GV369" s="489"/>
      <c r="GW369" s="489"/>
      <c r="GX369" s="489"/>
      <c r="GY369" s="489"/>
      <c r="GZ369" s="489"/>
      <c r="HA369" s="489"/>
      <c r="HB369" s="489"/>
      <c r="HC369" s="489"/>
      <c r="HD369" s="489"/>
      <c r="HE369" s="489"/>
      <c r="HF369" s="489"/>
      <c r="HG369" s="489"/>
      <c r="HH369" s="489"/>
      <c r="HI369" s="489"/>
      <c r="HJ369" s="489"/>
      <c r="HK369" s="489"/>
      <c r="HL369" s="489"/>
      <c r="HM369" s="489"/>
      <c r="HN369" s="489"/>
      <c r="HO369" s="489"/>
      <c r="HP369" s="489"/>
      <c r="HQ369" s="489"/>
      <c r="HR369" s="489"/>
      <c r="HS369" s="489"/>
      <c r="HT369" s="489"/>
      <c r="HU369" s="489"/>
      <c r="HV369" s="489"/>
      <c r="HW369" s="489"/>
      <c r="HX369" s="487"/>
    </row>
    <row r="370" spans="1:232" s="488" customFormat="1" ht="20.100000000000001" customHeight="1">
      <c r="A370" s="490"/>
      <c r="B370" s="491" t="s">
        <v>106</v>
      </c>
      <c r="C370" s="491"/>
      <c r="D370" s="491"/>
      <c r="E370" s="491"/>
      <c r="F370" s="491"/>
      <c r="G370" s="491"/>
      <c r="H370" s="491"/>
      <c r="I370" s="491"/>
      <c r="J370" s="491"/>
      <c r="K370" s="491"/>
      <c r="L370" s="477"/>
      <c r="M370" s="477"/>
      <c r="N370" s="477"/>
      <c r="O370" s="477"/>
      <c r="P370" s="477"/>
      <c r="Q370" s="477"/>
      <c r="R370" s="477"/>
      <c r="S370" s="477"/>
      <c r="T370" s="492"/>
      <c r="U370" s="489"/>
      <c r="V370" s="489"/>
      <c r="W370" s="489"/>
      <c r="X370" s="489"/>
      <c r="Y370" s="489"/>
      <c r="Z370" s="489"/>
      <c r="AA370" s="489"/>
      <c r="AB370" s="489"/>
      <c r="AC370" s="489"/>
      <c r="AD370" s="489"/>
      <c r="AE370" s="489"/>
      <c r="AF370" s="489"/>
      <c r="AG370" s="489"/>
      <c r="AH370" s="489"/>
      <c r="AI370" s="489"/>
      <c r="AJ370" s="489"/>
      <c r="AK370" s="489"/>
      <c r="AL370" s="489"/>
      <c r="AM370" s="489"/>
      <c r="AN370" s="489"/>
      <c r="AO370" s="489"/>
      <c r="AP370" s="489"/>
      <c r="AQ370" s="489"/>
      <c r="AR370" s="489"/>
      <c r="AS370" s="489"/>
      <c r="AT370" s="489"/>
      <c r="AU370" s="489"/>
      <c r="AV370" s="489"/>
      <c r="AW370" s="489"/>
      <c r="AX370" s="489"/>
      <c r="AY370" s="489"/>
      <c r="AZ370" s="489"/>
      <c r="BA370" s="489"/>
      <c r="BB370" s="489"/>
      <c r="BC370" s="489"/>
      <c r="BD370" s="489"/>
      <c r="BE370" s="489"/>
      <c r="BF370" s="489"/>
      <c r="BG370" s="489"/>
      <c r="BH370" s="489"/>
      <c r="BI370" s="489"/>
      <c r="BJ370" s="489"/>
      <c r="BK370" s="489"/>
      <c r="BL370" s="489"/>
      <c r="BM370" s="489"/>
      <c r="BN370" s="489"/>
      <c r="BO370" s="489"/>
      <c r="BP370" s="489"/>
      <c r="BQ370" s="489"/>
      <c r="BR370" s="489"/>
      <c r="BS370" s="489"/>
      <c r="BT370" s="489"/>
      <c r="BU370" s="489"/>
      <c r="BV370" s="489"/>
      <c r="BW370" s="489"/>
      <c r="BX370" s="489"/>
      <c r="BY370" s="489"/>
      <c r="BZ370" s="489"/>
      <c r="CA370" s="489"/>
      <c r="CB370" s="489"/>
      <c r="CC370" s="489"/>
      <c r="CD370" s="489"/>
      <c r="CE370" s="489"/>
      <c r="CF370" s="489"/>
      <c r="CG370" s="489"/>
      <c r="CH370" s="489"/>
      <c r="CI370" s="489"/>
      <c r="CJ370" s="489"/>
      <c r="CK370" s="489"/>
      <c r="CL370" s="489"/>
      <c r="CM370" s="489"/>
      <c r="CN370" s="489"/>
      <c r="CO370" s="489"/>
      <c r="CP370" s="489"/>
      <c r="CQ370" s="489"/>
      <c r="CR370" s="489"/>
      <c r="CS370" s="489"/>
      <c r="CT370" s="489"/>
      <c r="CU370" s="489"/>
      <c r="CV370" s="489"/>
      <c r="CW370" s="489"/>
      <c r="CX370" s="489"/>
      <c r="CY370" s="489"/>
      <c r="CZ370" s="489"/>
      <c r="DA370" s="489"/>
      <c r="DB370" s="489"/>
      <c r="DC370" s="489"/>
      <c r="DD370" s="489"/>
      <c r="DE370" s="489"/>
      <c r="DF370" s="489"/>
      <c r="DG370" s="489"/>
      <c r="DH370" s="489"/>
      <c r="DI370" s="489"/>
      <c r="DJ370" s="489"/>
      <c r="DK370" s="489"/>
      <c r="DL370" s="489"/>
      <c r="DM370" s="489"/>
      <c r="DN370" s="489"/>
      <c r="DO370" s="489"/>
      <c r="DP370" s="489"/>
      <c r="DQ370" s="489"/>
      <c r="DR370" s="489"/>
      <c r="DS370" s="489"/>
      <c r="DT370" s="489"/>
      <c r="DU370" s="489"/>
      <c r="DV370" s="489"/>
      <c r="DW370" s="489"/>
      <c r="DX370" s="489"/>
      <c r="DY370" s="489"/>
      <c r="DZ370" s="489"/>
      <c r="EA370" s="489"/>
      <c r="EB370" s="489"/>
      <c r="EC370" s="489"/>
      <c r="ED370" s="489"/>
      <c r="EE370" s="489"/>
      <c r="EF370" s="489"/>
      <c r="EG370" s="489"/>
      <c r="EH370" s="489"/>
      <c r="EI370" s="489"/>
      <c r="EJ370" s="489"/>
      <c r="EK370" s="489"/>
      <c r="EL370" s="489"/>
      <c r="EM370" s="489"/>
      <c r="EN370" s="489"/>
      <c r="EO370" s="489"/>
      <c r="EP370" s="489"/>
      <c r="EQ370" s="489"/>
      <c r="ER370" s="489"/>
      <c r="ES370" s="489"/>
      <c r="ET370" s="489"/>
      <c r="EU370" s="489"/>
      <c r="EV370" s="489"/>
      <c r="EW370" s="489"/>
      <c r="EX370" s="489"/>
      <c r="EY370" s="489"/>
      <c r="EZ370" s="489"/>
      <c r="FA370" s="489"/>
      <c r="FB370" s="489"/>
      <c r="FC370" s="489"/>
      <c r="FD370" s="489"/>
      <c r="FE370" s="489"/>
      <c r="FF370" s="489"/>
      <c r="FG370" s="489"/>
      <c r="FH370" s="489"/>
      <c r="FI370" s="489"/>
      <c r="FJ370" s="489"/>
      <c r="FK370" s="489"/>
      <c r="FL370" s="489"/>
      <c r="FM370" s="489"/>
      <c r="FN370" s="489"/>
      <c r="FO370" s="489"/>
      <c r="FP370" s="489"/>
      <c r="FQ370" s="489"/>
      <c r="FR370" s="489"/>
      <c r="FS370" s="489"/>
      <c r="FT370" s="489"/>
      <c r="FU370" s="489"/>
      <c r="FV370" s="489"/>
      <c r="FW370" s="489"/>
      <c r="FX370" s="489"/>
      <c r="FY370" s="489"/>
      <c r="FZ370" s="489"/>
      <c r="GA370" s="489"/>
      <c r="GB370" s="489"/>
      <c r="GC370" s="489"/>
      <c r="GD370" s="489"/>
      <c r="GE370" s="489"/>
      <c r="GF370" s="489"/>
      <c r="GG370" s="489"/>
      <c r="GH370" s="489"/>
      <c r="GI370" s="489"/>
      <c r="GJ370" s="489"/>
      <c r="GK370" s="489"/>
      <c r="GL370" s="489"/>
      <c r="GM370" s="489"/>
      <c r="GN370" s="489"/>
      <c r="GO370" s="489"/>
      <c r="GP370" s="489"/>
      <c r="GQ370" s="489"/>
      <c r="GR370" s="489"/>
      <c r="GS370" s="489"/>
      <c r="GT370" s="489"/>
      <c r="GU370" s="489"/>
      <c r="GV370" s="489"/>
      <c r="GW370" s="489"/>
      <c r="GX370" s="489"/>
      <c r="GY370" s="489"/>
      <c r="GZ370" s="489"/>
      <c r="HA370" s="489"/>
      <c r="HB370" s="489"/>
      <c r="HC370" s="489"/>
      <c r="HD370" s="489"/>
      <c r="HE370" s="489"/>
      <c r="HF370" s="489"/>
      <c r="HG370" s="489"/>
      <c r="HH370" s="489"/>
      <c r="HI370" s="489"/>
      <c r="HJ370" s="489"/>
      <c r="HK370" s="489"/>
      <c r="HL370" s="489"/>
      <c r="HM370" s="489"/>
      <c r="HN370" s="489"/>
      <c r="HO370" s="489"/>
      <c r="HP370" s="489"/>
      <c r="HQ370" s="489"/>
      <c r="HR370" s="489"/>
      <c r="HS370" s="489"/>
      <c r="HT370" s="489"/>
      <c r="HU370" s="489"/>
      <c r="HV370" s="489"/>
      <c r="HW370" s="489"/>
      <c r="HX370" s="487"/>
    </row>
    <row r="371" spans="1:232" s="488" customFormat="1" ht="41.25" customHeight="1">
      <c r="A371" s="490"/>
      <c r="B371" s="1602" t="s">
        <v>107</v>
      </c>
      <c r="C371" s="1602"/>
      <c r="D371" s="1602"/>
      <c r="E371" s="1602"/>
      <c r="F371" s="1602"/>
      <c r="G371" s="1602"/>
      <c r="H371" s="1602"/>
      <c r="I371" s="1602"/>
      <c r="J371" s="1602"/>
      <c r="K371" s="491"/>
      <c r="L371" s="477"/>
      <c r="M371" s="477"/>
      <c r="N371" s="492"/>
      <c r="O371" s="492"/>
      <c r="P371" s="492"/>
      <c r="Q371" s="492"/>
      <c r="R371" s="492"/>
      <c r="S371" s="492"/>
      <c r="T371" s="492"/>
      <c r="U371" s="489"/>
      <c r="V371" s="489"/>
      <c r="W371" s="489"/>
      <c r="X371" s="489"/>
      <c r="Y371" s="489"/>
      <c r="Z371" s="489"/>
      <c r="AA371" s="489"/>
      <c r="AB371" s="489"/>
      <c r="AC371" s="489"/>
      <c r="AD371" s="489"/>
      <c r="AE371" s="489"/>
      <c r="AF371" s="489"/>
      <c r="AG371" s="489"/>
      <c r="AH371" s="489"/>
      <c r="AI371" s="489"/>
      <c r="AJ371" s="489"/>
      <c r="AK371" s="489"/>
      <c r="AL371" s="489"/>
      <c r="AM371" s="489"/>
      <c r="AN371" s="489"/>
      <c r="AO371" s="489"/>
      <c r="AP371" s="489"/>
      <c r="AQ371" s="489"/>
      <c r="AR371" s="489"/>
      <c r="AS371" s="489"/>
      <c r="AT371" s="489"/>
      <c r="AU371" s="489"/>
      <c r="AV371" s="489"/>
      <c r="AW371" s="489"/>
      <c r="AX371" s="489"/>
      <c r="AY371" s="489"/>
      <c r="AZ371" s="489"/>
      <c r="BA371" s="489"/>
      <c r="BB371" s="489"/>
      <c r="BC371" s="489"/>
      <c r="BD371" s="489"/>
      <c r="BE371" s="489"/>
      <c r="BF371" s="489"/>
      <c r="BG371" s="489"/>
      <c r="BH371" s="489"/>
      <c r="BI371" s="489"/>
      <c r="BJ371" s="489"/>
      <c r="BK371" s="489"/>
      <c r="BL371" s="489"/>
      <c r="BM371" s="489"/>
      <c r="BN371" s="489"/>
      <c r="BO371" s="489"/>
      <c r="BP371" s="489"/>
      <c r="BQ371" s="489"/>
      <c r="BR371" s="489"/>
      <c r="BS371" s="489"/>
      <c r="BT371" s="489"/>
      <c r="BU371" s="489"/>
      <c r="BV371" s="489"/>
      <c r="BW371" s="489"/>
      <c r="BX371" s="489"/>
      <c r="BY371" s="489"/>
      <c r="BZ371" s="489"/>
      <c r="CA371" s="489"/>
      <c r="CB371" s="489"/>
      <c r="CC371" s="489"/>
      <c r="CD371" s="489"/>
      <c r="CE371" s="489"/>
      <c r="CF371" s="489"/>
      <c r="CG371" s="489"/>
      <c r="CH371" s="489"/>
      <c r="CI371" s="489"/>
      <c r="CJ371" s="489"/>
      <c r="CK371" s="489"/>
      <c r="CL371" s="489"/>
      <c r="CM371" s="489"/>
      <c r="CN371" s="489"/>
      <c r="CO371" s="489"/>
      <c r="CP371" s="489"/>
      <c r="CQ371" s="489"/>
      <c r="CR371" s="489"/>
      <c r="CS371" s="489"/>
      <c r="CT371" s="489"/>
      <c r="CU371" s="489"/>
      <c r="CV371" s="489"/>
      <c r="CW371" s="489"/>
      <c r="CX371" s="489"/>
      <c r="CY371" s="489"/>
      <c r="CZ371" s="489"/>
      <c r="DA371" s="489"/>
      <c r="DB371" s="489"/>
      <c r="DC371" s="489"/>
      <c r="DD371" s="489"/>
      <c r="DE371" s="489"/>
      <c r="DF371" s="489"/>
      <c r="DG371" s="489"/>
      <c r="DH371" s="489"/>
      <c r="DI371" s="489"/>
      <c r="DJ371" s="489"/>
      <c r="DK371" s="489"/>
      <c r="DL371" s="489"/>
      <c r="DM371" s="489"/>
      <c r="DN371" s="489"/>
      <c r="DO371" s="489"/>
      <c r="DP371" s="489"/>
      <c r="DQ371" s="489"/>
      <c r="DR371" s="489"/>
      <c r="DS371" s="489"/>
      <c r="DT371" s="489"/>
      <c r="DU371" s="489"/>
      <c r="DV371" s="489"/>
      <c r="DW371" s="489"/>
      <c r="DX371" s="489"/>
      <c r="DY371" s="489"/>
      <c r="DZ371" s="489"/>
      <c r="EA371" s="489"/>
      <c r="EB371" s="489"/>
      <c r="EC371" s="489"/>
      <c r="ED371" s="489"/>
      <c r="EE371" s="489"/>
      <c r="EF371" s="489"/>
      <c r="EG371" s="489"/>
      <c r="EH371" s="489"/>
      <c r="EI371" s="489"/>
      <c r="EJ371" s="489"/>
      <c r="EK371" s="489"/>
      <c r="EL371" s="489"/>
      <c r="EM371" s="489"/>
      <c r="EN371" s="489"/>
      <c r="EO371" s="489"/>
      <c r="EP371" s="489"/>
      <c r="EQ371" s="489"/>
      <c r="ER371" s="489"/>
      <c r="ES371" s="489"/>
      <c r="ET371" s="489"/>
      <c r="EU371" s="489"/>
      <c r="EV371" s="489"/>
      <c r="EW371" s="489"/>
      <c r="EX371" s="489"/>
      <c r="EY371" s="489"/>
      <c r="EZ371" s="489"/>
      <c r="FA371" s="489"/>
      <c r="FB371" s="489"/>
      <c r="FC371" s="489"/>
      <c r="FD371" s="489"/>
      <c r="FE371" s="489"/>
      <c r="FF371" s="489"/>
      <c r="FG371" s="489"/>
      <c r="FH371" s="489"/>
      <c r="FI371" s="489"/>
      <c r="FJ371" s="489"/>
      <c r="FK371" s="489"/>
      <c r="FL371" s="489"/>
      <c r="FM371" s="489"/>
      <c r="FN371" s="489"/>
      <c r="FO371" s="489"/>
      <c r="FP371" s="489"/>
      <c r="FQ371" s="489"/>
      <c r="FR371" s="489"/>
      <c r="FS371" s="489"/>
      <c r="FT371" s="489"/>
      <c r="FU371" s="489"/>
      <c r="FV371" s="489"/>
      <c r="FW371" s="489"/>
      <c r="FX371" s="489"/>
      <c r="FY371" s="489"/>
      <c r="FZ371" s="489"/>
      <c r="GA371" s="489"/>
      <c r="GB371" s="489"/>
      <c r="GC371" s="489"/>
      <c r="GD371" s="489"/>
      <c r="GE371" s="489"/>
      <c r="GF371" s="489"/>
      <c r="GG371" s="489"/>
      <c r="GH371" s="489"/>
      <c r="GI371" s="489"/>
      <c r="GJ371" s="489"/>
      <c r="GK371" s="489"/>
      <c r="GL371" s="489"/>
      <c r="GM371" s="489"/>
      <c r="GN371" s="489"/>
      <c r="GO371" s="489"/>
      <c r="GP371" s="489"/>
      <c r="GQ371" s="489"/>
      <c r="GR371" s="489"/>
      <c r="GS371" s="489"/>
      <c r="GT371" s="489"/>
      <c r="GU371" s="489"/>
      <c r="GV371" s="489"/>
      <c r="GW371" s="489"/>
      <c r="GX371" s="489"/>
      <c r="GY371" s="489"/>
      <c r="GZ371" s="489"/>
      <c r="HA371" s="489"/>
      <c r="HB371" s="489"/>
      <c r="HC371" s="489"/>
      <c r="HD371" s="489"/>
      <c r="HE371" s="489"/>
      <c r="HF371" s="489"/>
      <c r="HG371" s="489"/>
      <c r="HH371" s="489"/>
      <c r="HI371" s="489"/>
      <c r="HJ371" s="489"/>
      <c r="HK371" s="489"/>
      <c r="HL371" s="489"/>
      <c r="HM371" s="489"/>
      <c r="HN371" s="489"/>
      <c r="HO371" s="489"/>
      <c r="HP371" s="489"/>
      <c r="HQ371" s="489"/>
      <c r="HR371" s="489"/>
      <c r="HS371" s="489"/>
      <c r="HT371" s="489"/>
      <c r="HU371" s="489"/>
      <c r="HV371" s="489"/>
      <c r="HW371" s="489"/>
      <c r="HX371" s="487"/>
    </row>
    <row r="372" spans="1:232" s="488" customFormat="1" ht="19.5" customHeight="1">
      <c r="A372" s="490"/>
      <c r="B372" s="1602" t="s">
        <v>451</v>
      </c>
      <c r="C372" s="1602"/>
      <c r="D372" s="1602"/>
      <c r="E372" s="1602"/>
      <c r="F372" s="1602"/>
      <c r="G372" s="1602"/>
      <c r="H372" s="1602"/>
      <c r="I372" s="1602"/>
      <c r="J372" s="1602"/>
      <c r="K372" s="491"/>
      <c r="L372" s="477"/>
      <c r="M372" s="477"/>
      <c r="N372" s="492"/>
      <c r="O372" s="492"/>
      <c r="P372" s="492"/>
      <c r="Q372" s="492"/>
      <c r="R372" s="492"/>
      <c r="S372" s="492"/>
      <c r="T372" s="492"/>
      <c r="U372" s="489"/>
      <c r="V372" s="489"/>
      <c r="W372" s="489"/>
      <c r="X372" s="489"/>
      <c r="Y372" s="489"/>
      <c r="Z372" s="489"/>
      <c r="AA372" s="489"/>
      <c r="AB372" s="489"/>
      <c r="AC372" s="489"/>
      <c r="AD372" s="489"/>
      <c r="AE372" s="489"/>
      <c r="AF372" s="489"/>
      <c r="AG372" s="489"/>
      <c r="AH372" s="489"/>
      <c r="AI372" s="489"/>
      <c r="AJ372" s="489"/>
      <c r="AK372" s="489"/>
      <c r="AL372" s="489"/>
      <c r="AM372" s="489"/>
      <c r="AN372" s="489"/>
      <c r="AO372" s="489"/>
      <c r="AP372" s="489"/>
      <c r="AQ372" s="489"/>
      <c r="AR372" s="489"/>
      <c r="AS372" s="489"/>
      <c r="AT372" s="489"/>
      <c r="AU372" s="489"/>
      <c r="AV372" s="489"/>
      <c r="AW372" s="489"/>
      <c r="AX372" s="489"/>
      <c r="AY372" s="489"/>
      <c r="AZ372" s="489"/>
      <c r="BA372" s="489"/>
      <c r="BB372" s="489"/>
      <c r="BC372" s="489"/>
      <c r="BD372" s="489"/>
      <c r="BE372" s="489"/>
      <c r="BF372" s="489"/>
      <c r="BG372" s="489"/>
      <c r="BH372" s="489"/>
      <c r="BI372" s="489"/>
      <c r="BJ372" s="489"/>
      <c r="BK372" s="489"/>
      <c r="BL372" s="489"/>
      <c r="BM372" s="489"/>
      <c r="BN372" s="489"/>
      <c r="BO372" s="489"/>
      <c r="BP372" s="489"/>
      <c r="BQ372" s="489"/>
      <c r="BR372" s="489"/>
      <c r="BS372" s="489"/>
      <c r="BT372" s="489"/>
      <c r="BU372" s="489"/>
      <c r="BV372" s="489"/>
      <c r="BW372" s="489"/>
      <c r="BX372" s="489"/>
      <c r="BY372" s="489"/>
      <c r="BZ372" s="489"/>
      <c r="CA372" s="489"/>
      <c r="CB372" s="489"/>
      <c r="CC372" s="489"/>
      <c r="CD372" s="489"/>
      <c r="CE372" s="489"/>
      <c r="CF372" s="489"/>
      <c r="CG372" s="489"/>
      <c r="CH372" s="489"/>
      <c r="CI372" s="489"/>
      <c r="CJ372" s="489"/>
      <c r="CK372" s="489"/>
      <c r="CL372" s="489"/>
      <c r="CM372" s="489"/>
      <c r="CN372" s="489"/>
      <c r="CO372" s="489"/>
      <c r="CP372" s="489"/>
      <c r="CQ372" s="489"/>
      <c r="CR372" s="489"/>
      <c r="CS372" s="489"/>
      <c r="CT372" s="489"/>
      <c r="CU372" s="489"/>
      <c r="CV372" s="489"/>
      <c r="CW372" s="489"/>
      <c r="CX372" s="489"/>
      <c r="CY372" s="489"/>
      <c r="CZ372" s="489"/>
      <c r="DA372" s="489"/>
      <c r="DB372" s="489"/>
      <c r="DC372" s="489"/>
      <c r="DD372" s="489"/>
      <c r="DE372" s="489"/>
      <c r="DF372" s="489"/>
      <c r="DG372" s="489"/>
      <c r="DH372" s="489"/>
      <c r="DI372" s="489"/>
      <c r="DJ372" s="489"/>
      <c r="DK372" s="489"/>
      <c r="DL372" s="489"/>
      <c r="DM372" s="489"/>
      <c r="DN372" s="489"/>
      <c r="DO372" s="489"/>
      <c r="DP372" s="489"/>
      <c r="DQ372" s="489"/>
      <c r="DR372" s="489"/>
      <c r="DS372" s="489"/>
      <c r="DT372" s="489"/>
      <c r="DU372" s="489"/>
      <c r="DV372" s="489"/>
      <c r="DW372" s="489"/>
      <c r="DX372" s="489"/>
      <c r="DY372" s="489"/>
      <c r="DZ372" s="489"/>
      <c r="EA372" s="489"/>
      <c r="EB372" s="489"/>
      <c r="EC372" s="489"/>
      <c r="ED372" s="489"/>
      <c r="EE372" s="489"/>
      <c r="EF372" s="489"/>
      <c r="EG372" s="489"/>
      <c r="EH372" s="489"/>
      <c r="EI372" s="489"/>
      <c r="EJ372" s="489"/>
      <c r="EK372" s="489"/>
      <c r="EL372" s="489"/>
      <c r="EM372" s="489"/>
      <c r="EN372" s="489"/>
      <c r="EO372" s="489"/>
      <c r="EP372" s="489"/>
      <c r="EQ372" s="489"/>
      <c r="ER372" s="489"/>
      <c r="ES372" s="489"/>
      <c r="ET372" s="489"/>
      <c r="EU372" s="489"/>
      <c r="EV372" s="489"/>
      <c r="EW372" s="489"/>
      <c r="EX372" s="489"/>
      <c r="EY372" s="489"/>
      <c r="EZ372" s="489"/>
      <c r="FA372" s="489"/>
      <c r="FB372" s="489"/>
      <c r="FC372" s="489"/>
      <c r="FD372" s="489"/>
      <c r="FE372" s="489"/>
      <c r="FF372" s="489"/>
      <c r="FG372" s="489"/>
      <c r="FH372" s="489"/>
      <c r="FI372" s="489"/>
      <c r="FJ372" s="489"/>
      <c r="FK372" s="489"/>
      <c r="FL372" s="489"/>
      <c r="FM372" s="489"/>
      <c r="FN372" s="489"/>
      <c r="FO372" s="489"/>
      <c r="FP372" s="489"/>
      <c r="FQ372" s="489"/>
      <c r="FR372" s="489"/>
      <c r="FS372" s="489"/>
      <c r="FT372" s="489"/>
      <c r="FU372" s="489"/>
      <c r="FV372" s="489"/>
      <c r="FW372" s="489"/>
      <c r="FX372" s="489"/>
      <c r="FY372" s="489"/>
      <c r="FZ372" s="489"/>
      <c r="GA372" s="489"/>
      <c r="GB372" s="489"/>
      <c r="GC372" s="489"/>
      <c r="GD372" s="489"/>
      <c r="GE372" s="489"/>
      <c r="GF372" s="489"/>
      <c r="GG372" s="489"/>
      <c r="GH372" s="489"/>
      <c r="GI372" s="489"/>
      <c r="GJ372" s="489"/>
      <c r="GK372" s="489"/>
      <c r="GL372" s="489"/>
      <c r="GM372" s="489"/>
      <c r="GN372" s="489"/>
      <c r="GO372" s="489"/>
      <c r="GP372" s="489"/>
      <c r="GQ372" s="489"/>
      <c r="GR372" s="489"/>
      <c r="GS372" s="489"/>
      <c r="GT372" s="489"/>
      <c r="GU372" s="489"/>
      <c r="GV372" s="489"/>
      <c r="GW372" s="489"/>
      <c r="GX372" s="489"/>
      <c r="GY372" s="489"/>
      <c r="GZ372" s="489"/>
      <c r="HA372" s="489"/>
      <c r="HB372" s="489"/>
      <c r="HC372" s="489"/>
      <c r="HD372" s="489"/>
      <c r="HE372" s="489"/>
      <c r="HF372" s="489"/>
      <c r="HG372" s="489"/>
      <c r="HH372" s="489"/>
      <c r="HI372" s="489"/>
      <c r="HJ372" s="489"/>
      <c r="HK372" s="489"/>
      <c r="HL372" s="489"/>
      <c r="HM372" s="489"/>
      <c r="HN372" s="489"/>
      <c r="HO372" s="489"/>
      <c r="HP372" s="489"/>
      <c r="HQ372" s="489"/>
      <c r="HR372" s="489"/>
      <c r="HS372" s="489"/>
      <c r="HT372" s="489"/>
      <c r="HU372" s="489"/>
      <c r="HV372" s="489"/>
      <c r="HW372" s="489"/>
      <c r="HX372" s="487"/>
    </row>
    <row r="373" spans="1:232" s="488" customFormat="1" ht="19.5" customHeight="1">
      <c r="A373" s="490"/>
      <c r="B373" s="1602" t="s">
        <v>108</v>
      </c>
      <c r="C373" s="1602"/>
      <c r="D373" s="1602"/>
      <c r="E373" s="1602"/>
      <c r="F373" s="1602"/>
      <c r="G373" s="1602"/>
      <c r="H373" s="1602"/>
      <c r="I373" s="1602"/>
      <c r="J373" s="1602"/>
      <c r="K373" s="491"/>
      <c r="L373" s="477"/>
      <c r="M373" s="477"/>
      <c r="N373" s="492"/>
      <c r="O373" s="492"/>
      <c r="P373" s="492"/>
      <c r="Q373" s="492"/>
      <c r="R373" s="492"/>
      <c r="S373" s="492"/>
      <c r="T373" s="492"/>
      <c r="U373" s="489"/>
      <c r="V373" s="489"/>
      <c r="W373" s="489"/>
      <c r="X373" s="489"/>
      <c r="Y373" s="489"/>
      <c r="Z373" s="489"/>
      <c r="AA373" s="489"/>
      <c r="AB373" s="489"/>
      <c r="AC373" s="489"/>
      <c r="AD373" s="489"/>
      <c r="AE373" s="489"/>
      <c r="AF373" s="489"/>
      <c r="AG373" s="489"/>
      <c r="AH373" s="489"/>
      <c r="AI373" s="489"/>
      <c r="AJ373" s="489"/>
      <c r="AK373" s="489"/>
      <c r="AL373" s="489"/>
      <c r="AM373" s="489"/>
      <c r="AN373" s="489"/>
      <c r="AO373" s="489"/>
      <c r="AP373" s="489"/>
      <c r="AQ373" s="489"/>
      <c r="AR373" s="489"/>
      <c r="AS373" s="489"/>
      <c r="AT373" s="489"/>
      <c r="AU373" s="489"/>
      <c r="AV373" s="489"/>
      <c r="AW373" s="489"/>
      <c r="AX373" s="489"/>
      <c r="AY373" s="489"/>
      <c r="AZ373" s="489"/>
      <c r="BA373" s="489"/>
      <c r="BB373" s="489"/>
      <c r="BC373" s="489"/>
      <c r="BD373" s="489"/>
      <c r="BE373" s="489"/>
      <c r="BF373" s="489"/>
      <c r="BG373" s="489"/>
      <c r="BH373" s="489"/>
      <c r="BI373" s="489"/>
      <c r="BJ373" s="489"/>
      <c r="BK373" s="489"/>
      <c r="BL373" s="489"/>
      <c r="BM373" s="489"/>
      <c r="BN373" s="489"/>
      <c r="BO373" s="489"/>
      <c r="BP373" s="489"/>
      <c r="BQ373" s="489"/>
      <c r="BR373" s="489"/>
      <c r="BS373" s="489"/>
      <c r="BT373" s="489"/>
      <c r="BU373" s="489"/>
      <c r="BV373" s="489"/>
      <c r="BW373" s="489"/>
      <c r="BX373" s="489"/>
      <c r="BY373" s="489"/>
      <c r="BZ373" s="489"/>
      <c r="CA373" s="489"/>
      <c r="CB373" s="489"/>
      <c r="CC373" s="489"/>
      <c r="CD373" s="489"/>
      <c r="CE373" s="489"/>
      <c r="CF373" s="489"/>
      <c r="CG373" s="489"/>
      <c r="CH373" s="489"/>
      <c r="CI373" s="489"/>
      <c r="CJ373" s="489"/>
      <c r="CK373" s="489"/>
      <c r="CL373" s="489"/>
      <c r="CM373" s="489"/>
      <c r="CN373" s="489"/>
      <c r="CO373" s="489"/>
      <c r="CP373" s="489"/>
      <c r="CQ373" s="489"/>
      <c r="CR373" s="489"/>
      <c r="CS373" s="489"/>
      <c r="CT373" s="489"/>
      <c r="CU373" s="489"/>
      <c r="CV373" s="489"/>
      <c r="CW373" s="489"/>
      <c r="CX373" s="489"/>
      <c r="CY373" s="489"/>
      <c r="CZ373" s="489"/>
      <c r="DA373" s="489"/>
      <c r="DB373" s="489"/>
      <c r="DC373" s="489"/>
      <c r="DD373" s="489"/>
      <c r="DE373" s="489"/>
      <c r="DF373" s="489"/>
      <c r="DG373" s="489"/>
      <c r="DH373" s="489"/>
      <c r="DI373" s="489"/>
      <c r="DJ373" s="489"/>
      <c r="DK373" s="489"/>
      <c r="DL373" s="489"/>
      <c r="DM373" s="489"/>
      <c r="DN373" s="489"/>
      <c r="DO373" s="489"/>
      <c r="DP373" s="489"/>
      <c r="DQ373" s="489"/>
      <c r="DR373" s="489"/>
      <c r="DS373" s="489"/>
      <c r="DT373" s="489"/>
      <c r="DU373" s="489"/>
      <c r="DV373" s="489"/>
      <c r="DW373" s="489"/>
      <c r="DX373" s="489"/>
      <c r="DY373" s="489"/>
      <c r="DZ373" s="489"/>
      <c r="EA373" s="489"/>
      <c r="EB373" s="489"/>
      <c r="EC373" s="489"/>
      <c r="ED373" s="489"/>
      <c r="EE373" s="489"/>
      <c r="EF373" s="489"/>
      <c r="EG373" s="489"/>
      <c r="EH373" s="489"/>
      <c r="EI373" s="489"/>
      <c r="EJ373" s="489"/>
      <c r="EK373" s="489"/>
      <c r="EL373" s="489"/>
      <c r="EM373" s="489"/>
      <c r="EN373" s="489"/>
      <c r="EO373" s="489"/>
      <c r="EP373" s="489"/>
      <c r="EQ373" s="489"/>
      <c r="ER373" s="489"/>
      <c r="ES373" s="489"/>
      <c r="ET373" s="489"/>
      <c r="EU373" s="489"/>
      <c r="EV373" s="489"/>
      <c r="EW373" s="489"/>
      <c r="EX373" s="489"/>
      <c r="EY373" s="489"/>
      <c r="EZ373" s="489"/>
      <c r="FA373" s="489"/>
      <c r="FB373" s="489"/>
      <c r="FC373" s="489"/>
      <c r="FD373" s="489"/>
      <c r="FE373" s="489"/>
      <c r="FF373" s="489"/>
      <c r="FG373" s="489"/>
      <c r="FH373" s="489"/>
      <c r="FI373" s="489"/>
      <c r="FJ373" s="489"/>
      <c r="FK373" s="489"/>
      <c r="FL373" s="489"/>
      <c r="FM373" s="489"/>
      <c r="FN373" s="489"/>
      <c r="FO373" s="489"/>
      <c r="FP373" s="489"/>
      <c r="FQ373" s="489"/>
      <c r="FR373" s="489"/>
      <c r="FS373" s="489"/>
      <c r="FT373" s="489"/>
      <c r="FU373" s="489"/>
      <c r="FV373" s="489"/>
      <c r="FW373" s="489"/>
      <c r="FX373" s="489"/>
      <c r="FY373" s="489"/>
      <c r="FZ373" s="489"/>
      <c r="GA373" s="489"/>
      <c r="GB373" s="489"/>
      <c r="GC373" s="489"/>
      <c r="GD373" s="489"/>
      <c r="GE373" s="489"/>
      <c r="GF373" s="489"/>
      <c r="GG373" s="489"/>
      <c r="GH373" s="489"/>
      <c r="GI373" s="489"/>
      <c r="GJ373" s="489"/>
      <c r="GK373" s="489"/>
      <c r="GL373" s="489"/>
      <c r="GM373" s="489"/>
      <c r="GN373" s="489"/>
      <c r="GO373" s="489"/>
      <c r="GP373" s="489"/>
      <c r="GQ373" s="489"/>
      <c r="GR373" s="489"/>
      <c r="GS373" s="489"/>
      <c r="GT373" s="489"/>
      <c r="GU373" s="489"/>
      <c r="GV373" s="489"/>
      <c r="GW373" s="489"/>
      <c r="GX373" s="489"/>
      <c r="GY373" s="489"/>
      <c r="GZ373" s="489"/>
      <c r="HA373" s="489"/>
      <c r="HB373" s="489"/>
      <c r="HC373" s="489"/>
      <c r="HD373" s="489"/>
      <c r="HE373" s="489"/>
      <c r="HF373" s="489"/>
      <c r="HG373" s="489"/>
      <c r="HH373" s="489"/>
      <c r="HI373" s="489"/>
      <c r="HJ373" s="489"/>
      <c r="HK373" s="489"/>
      <c r="HL373" s="489"/>
      <c r="HM373" s="489"/>
      <c r="HN373" s="489"/>
      <c r="HO373" s="489"/>
      <c r="HP373" s="489"/>
      <c r="HQ373" s="489"/>
      <c r="HR373" s="489"/>
      <c r="HS373" s="489"/>
      <c r="HT373" s="489"/>
      <c r="HU373" s="489"/>
      <c r="HV373" s="489"/>
      <c r="HW373" s="489"/>
      <c r="HX373" s="487"/>
    </row>
    <row r="374" spans="1:232" s="488" customFormat="1" ht="19.5" customHeight="1">
      <c r="A374" s="490"/>
      <c r="B374" s="1602" t="s">
        <v>474</v>
      </c>
      <c r="C374" s="1602"/>
      <c r="D374" s="1602"/>
      <c r="E374" s="1602"/>
      <c r="F374" s="1602"/>
      <c r="G374" s="1602"/>
      <c r="H374" s="1602"/>
      <c r="I374" s="1602"/>
      <c r="J374" s="1602"/>
      <c r="K374" s="491"/>
      <c r="L374" s="477"/>
      <c r="M374" s="477"/>
      <c r="N374" s="492"/>
      <c r="O374" s="492"/>
      <c r="P374" s="492"/>
      <c r="Q374" s="492"/>
      <c r="R374" s="492"/>
      <c r="S374" s="492"/>
      <c r="T374" s="492"/>
      <c r="U374" s="489"/>
      <c r="V374" s="489"/>
      <c r="W374" s="489"/>
      <c r="X374" s="489"/>
      <c r="Y374" s="489"/>
      <c r="Z374" s="489"/>
      <c r="AA374" s="489"/>
      <c r="AB374" s="489"/>
      <c r="AC374" s="489"/>
      <c r="AD374" s="489"/>
      <c r="AE374" s="489"/>
      <c r="AF374" s="489"/>
      <c r="AG374" s="489"/>
      <c r="AH374" s="489"/>
      <c r="AI374" s="489"/>
      <c r="AJ374" s="489"/>
      <c r="AK374" s="489"/>
      <c r="AL374" s="489"/>
      <c r="AM374" s="489"/>
      <c r="AN374" s="489"/>
      <c r="AO374" s="489"/>
      <c r="AP374" s="489"/>
      <c r="AQ374" s="489"/>
      <c r="AR374" s="489"/>
      <c r="AS374" s="489"/>
      <c r="AT374" s="489"/>
      <c r="AU374" s="489"/>
      <c r="AV374" s="489"/>
      <c r="AW374" s="489"/>
      <c r="AX374" s="489"/>
      <c r="AY374" s="489"/>
      <c r="AZ374" s="489"/>
      <c r="BA374" s="489"/>
      <c r="BB374" s="489"/>
      <c r="BC374" s="489"/>
      <c r="BD374" s="489"/>
      <c r="BE374" s="489"/>
      <c r="BF374" s="489"/>
      <c r="BG374" s="489"/>
      <c r="BH374" s="489"/>
      <c r="BI374" s="489"/>
      <c r="BJ374" s="489"/>
      <c r="BK374" s="489"/>
      <c r="BL374" s="489"/>
      <c r="BM374" s="489"/>
      <c r="BN374" s="489"/>
      <c r="BO374" s="489"/>
      <c r="BP374" s="489"/>
      <c r="BQ374" s="489"/>
      <c r="BR374" s="489"/>
      <c r="BS374" s="489"/>
      <c r="BT374" s="489"/>
      <c r="BU374" s="489"/>
      <c r="BV374" s="489"/>
      <c r="BW374" s="489"/>
      <c r="BX374" s="489"/>
      <c r="BY374" s="489"/>
      <c r="BZ374" s="489"/>
      <c r="CA374" s="489"/>
      <c r="CB374" s="489"/>
      <c r="CC374" s="489"/>
      <c r="CD374" s="489"/>
      <c r="CE374" s="489"/>
      <c r="CF374" s="489"/>
      <c r="CG374" s="489"/>
      <c r="CH374" s="489"/>
      <c r="CI374" s="489"/>
      <c r="CJ374" s="489"/>
      <c r="CK374" s="489"/>
      <c r="CL374" s="489"/>
      <c r="CM374" s="489"/>
      <c r="CN374" s="489"/>
      <c r="CO374" s="489"/>
      <c r="CP374" s="489"/>
      <c r="CQ374" s="489"/>
      <c r="CR374" s="489"/>
      <c r="CS374" s="489"/>
      <c r="CT374" s="489"/>
      <c r="CU374" s="489"/>
      <c r="CV374" s="489"/>
      <c r="CW374" s="489"/>
      <c r="CX374" s="489"/>
      <c r="CY374" s="489"/>
      <c r="CZ374" s="489"/>
      <c r="DA374" s="489"/>
      <c r="DB374" s="489"/>
      <c r="DC374" s="489"/>
      <c r="DD374" s="489"/>
      <c r="DE374" s="489"/>
      <c r="DF374" s="489"/>
      <c r="DG374" s="489"/>
      <c r="DH374" s="489"/>
      <c r="DI374" s="489"/>
      <c r="DJ374" s="489"/>
      <c r="DK374" s="489"/>
      <c r="DL374" s="489"/>
      <c r="DM374" s="489"/>
      <c r="DN374" s="489"/>
      <c r="DO374" s="489"/>
      <c r="DP374" s="489"/>
      <c r="DQ374" s="489"/>
      <c r="DR374" s="489"/>
      <c r="DS374" s="489"/>
      <c r="DT374" s="489"/>
      <c r="DU374" s="489"/>
      <c r="DV374" s="489"/>
      <c r="DW374" s="489"/>
      <c r="DX374" s="489"/>
      <c r="DY374" s="489"/>
      <c r="DZ374" s="489"/>
      <c r="EA374" s="489"/>
      <c r="EB374" s="489"/>
      <c r="EC374" s="489"/>
      <c r="ED374" s="489"/>
      <c r="EE374" s="489"/>
      <c r="EF374" s="489"/>
      <c r="EG374" s="489"/>
      <c r="EH374" s="489"/>
      <c r="EI374" s="489"/>
      <c r="EJ374" s="489"/>
      <c r="EK374" s="489"/>
      <c r="EL374" s="489"/>
      <c r="EM374" s="489"/>
      <c r="EN374" s="489"/>
      <c r="EO374" s="489"/>
      <c r="EP374" s="489"/>
      <c r="EQ374" s="489"/>
      <c r="ER374" s="489"/>
      <c r="ES374" s="489"/>
      <c r="ET374" s="489"/>
      <c r="EU374" s="489"/>
      <c r="EV374" s="489"/>
      <c r="EW374" s="489"/>
      <c r="EX374" s="489"/>
      <c r="EY374" s="489"/>
      <c r="EZ374" s="489"/>
      <c r="FA374" s="489"/>
      <c r="FB374" s="489"/>
      <c r="FC374" s="489"/>
      <c r="FD374" s="489"/>
      <c r="FE374" s="489"/>
      <c r="FF374" s="489"/>
      <c r="FG374" s="489"/>
      <c r="FH374" s="489"/>
      <c r="FI374" s="489"/>
      <c r="FJ374" s="489"/>
      <c r="FK374" s="489"/>
      <c r="FL374" s="489"/>
      <c r="FM374" s="489"/>
      <c r="FN374" s="489"/>
      <c r="FO374" s="489"/>
      <c r="FP374" s="489"/>
      <c r="FQ374" s="489"/>
      <c r="FR374" s="489"/>
      <c r="FS374" s="489"/>
      <c r="FT374" s="489"/>
      <c r="FU374" s="489"/>
      <c r="FV374" s="489"/>
      <c r="FW374" s="489"/>
      <c r="FX374" s="489"/>
      <c r="FY374" s="489"/>
      <c r="FZ374" s="489"/>
      <c r="GA374" s="489"/>
      <c r="GB374" s="489"/>
      <c r="GC374" s="489"/>
      <c r="GD374" s="489"/>
      <c r="GE374" s="489"/>
      <c r="GF374" s="489"/>
      <c r="GG374" s="489"/>
      <c r="GH374" s="489"/>
      <c r="GI374" s="489"/>
      <c r="GJ374" s="489"/>
      <c r="GK374" s="489"/>
      <c r="GL374" s="489"/>
      <c r="GM374" s="489"/>
      <c r="GN374" s="489"/>
      <c r="GO374" s="489"/>
      <c r="GP374" s="489"/>
      <c r="GQ374" s="489"/>
      <c r="GR374" s="489"/>
      <c r="GS374" s="489"/>
      <c r="GT374" s="489"/>
      <c r="GU374" s="489"/>
      <c r="GV374" s="489"/>
      <c r="GW374" s="489"/>
      <c r="GX374" s="489"/>
      <c r="GY374" s="489"/>
      <c r="GZ374" s="489"/>
      <c r="HA374" s="489"/>
      <c r="HB374" s="489"/>
      <c r="HC374" s="489"/>
      <c r="HD374" s="489"/>
      <c r="HE374" s="489"/>
      <c r="HF374" s="489"/>
      <c r="HG374" s="489"/>
      <c r="HH374" s="489"/>
      <c r="HI374" s="489"/>
      <c r="HJ374" s="489"/>
      <c r="HK374" s="489"/>
      <c r="HL374" s="489"/>
      <c r="HM374" s="489"/>
      <c r="HN374" s="489"/>
      <c r="HO374" s="489"/>
      <c r="HP374" s="489"/>
      <c r="HQ374" s="489"/>
      <c r="HR374" s="489"/>
      <c r="HS374" s="489"/>
      <c r="HT374" s="489"/>
      <c r="HU374" s="489"/>
      <c r="HV374" s="489"/>
      <c r="HW374" s="489"/>
      <c r="HX374" s="487"/>
    </row>
    <row r="375" spans="1:232" s="45" customFormat="1" ht="20.100000000000001" customHeight="1">
      <c r="A375" s="493" t="s">
        <v>109</v>
      </c>
      <c r="B375" s="489"/>
      <c r="C375" s="489"/>
      <c r="D375" s="489"/>
      <c r="E375" s="489"/>
      <c r="F375" s="489"/>
      <c r="G375" s="489"/>
      <c r="H375" s="489"/>
      <c r="I375" s="489"/>
      <c r="J375" s="489"/>
      <c r="K375" s="489"/>
      <c r="L375" s="494"/>
      <c r="M375" s="494"/>
      <c r="N375" s="492"/>
      <c r="O375" s="492"/>
      <c r="P375" s="492"/>
      <c r="Q375" s="492"/>
      <c r="R375" s="492"/>
      <c r="S375" s="492"/>
      <c r="T375" s="495"/>
      <c r="U375" s="496"/>
      <c r="V375" s="496"/>
      <c r="W375" s="496"/>
      <c r="X375" s="496"/>
      <c r="Y375" s="496"/>
      <c r="Z375" s="496"/>
      <c r="AA375" s="496"/>
      <c r="AB375" s="496"/>
      <c r="AC375" s="496"/>
      <c r="AD375" s="496"/>
      <c r="AE375" s="496"/>
      <c r="AF375" s="496"/>
      <c r="AG375" s="496"/>
      <c r="AH375" s="496"/>
      <c r="AI375" s="496"/>
      <c r="AJ375" s="496"/>
      <c r="AK375" s="496"/>
      <c r="AL375" s="496"/>
      <c r="AM375" s="496"/>
      <c r="AN375" s="496"/>
      <c r="AO375" s="496"/>
      <c r="AP375" s="496"/>
      <c r="AQ375" s="496"/>
      <c r="AR375" s="496"/>
      <c r="AS375" s="496"/>
      <c r="AT375" s="496"/>
      <c r="AU375" s="496"/>
      <c r="AV375" s="496"/>
      <c r="AW375" s="496"/>
      <c r="AX375" s="496"/>
      <c r="AY375" s="496"/>
      <c r="AZ375" s="496"/>
      <c r="BA375" s="496"/>
      <c r="BB375" s="496"/>
      <c r="BC375" s="496"/>
      <c r="BD375" s="496"/>
      <c r="BE375" s="496"/>
      <c r="BF375" s="496"/>
      <c r="BG375" s="496"/>
      <c r="BH375" s="496"/>
      <c r="BI375" s="496"/>
      <c r="BJ375" s="496"/>
      <c r="BK375" s="496"/>
      <c r="BL375" s="496"/>
      <c r="BM375" s="496"/>
      <c r="BN375" s="496"/>
      <c r="BO375" s="496"/>
      <c r="BP375" s="496"/>
      <c r="BQ375" s="496"/>
      <c r="BR375" s="496"/>
      <c r="BS375" s="496"/>
      <c r="BT375" s="496"/>
      <c r="BU375" s="496"/>
      <c r="BV375" s="496"/>
      <c r="BW375" s="496"/>
      <c r="BX375" s="496"/>
      <c r="BY375" s="496"/>
      <c r="BZ375" s="496"/>
      <c r="CA375" s="496"/>
      <c r="CB375" s="496"/>
      <c r="CC375" s="496"/>
      <c r="CD375" s="496"/>
      <c r="CE375" s="496"/>
      <c r="CF375" s="496"/>
      <c r="CG375" s="496"/>
      <c r="CH375" s="496"/>
      <c r="CI375" s="496"/>
      <c r="CJ375" s="496"/>
      <c r="CK375" s="496"/>
      <c r="CL375" s="496"/>
      <c r="CM375" s="496"/>
      <c r="CN375" s="496"/>
      <c r="CO375" s="496"/>
      <c r="CP375" s="496"/>
      <c r="CQ375" s="496"/>
      <c r="CR375" s="496"/>
      <c r="CS375" s="496"/>
      <c r="CT375" s="496"/>
      <c r="CU375" s="496"/>
      <c r="CV375" s="496"/>
      <c r="CW375" s="496"/>
      <c r="CX375" s="496"/>
      <c r="CY375" s="496"/>
      <c r="CZ375" s="496"/>
      <c r="DA375" s="496"/>
      <c r="DB375" s="496"/>
      <c r="DC375" s="496"/>
      <c r="DD375" s="496"/>
      <c r="DE375" s="496"/>
      <c r="DF375" s="496"/>
      <c r="DG375" s="496"/>
      <c r="DH375" s="496"/>
      <c r="DI375" s="496"/>
      <c r="DJ375" s="496"/>
      <c r="DK375" s="496"/>
      <c r="DL375" s="496"/>
      <c r="DM375" s="496"/>
      <c r="DN375" s="496"/>
      <c r="DO375" s="496"/>
      <c r="DP375" s="496"/>
      <c r="DQ375" s="496"/>
      <c r="DR375" s="496"/>
      <c r="DS375" s="496"/>
      <c r="DT375" s="496"/>
      <c r="DU375" s="496"/>
      <c r="DV375" s="496"/>
      <c r="DW375" s="496"/>
      <c r="DX375" s="496"/>
      <c r="DY375" s="496"/>
      <c r="DZ375" s="496"/>
      <c r="EA375" s="496"/>
      <c r="EB375" s="496"/>
      <c r="EC375" s="496"/>
      <c r="ED375" s="496"/>
      <c r="EE375" s="496"/>
      <c r="EF375" s="496"/>
      <c r="EG375" s="496"/>
      <c r="EH375" s="496"/>
      <c r="EI375" s="496"/>
      <c r="EJ375" s="496"/>
      <c r="EK375" s="496"/>
      <c r="EL375" s="496"/>
      <c r="EM375" s="496"/>
      <c r="EN375" s="496"/>
      <c r="EO375" s="496"/>
      <c r="EP375" s="496"/>
      <c r="EQ375" s="496"/>
      <c r="ER375" s="496"/>
      <c r="ES375" s="496"/>
      <c r="ET375" s="496"/>
      <c r="EU375" s="496"/>
      <c r="EV375" s="496"/>
      <c r="EW375" s="496"/>
      <c r="EX375" s="496"/>
      <c r="EY375" s="496"/>
      <c r="EZ375" s="496"/>
      <c r="FA375" s="496"/>
      <c r="FB375" s="496"/>
      <c r="FC375" s="496"/>
      <c r="FD375" s="496"/>
      <c r="FE375" s="496"/>
      <c r="FF375" s="496"/>
      <c r="FG375" s="496"/>
      <c r="FH375" s="496"/>
      <c r="FI375" s="496"/>
      <c r="FJ375" s="496"/>
      <c r="FK375" s="496"/>
      <c r="FL375" s="496"/>
      <c r="FM375" s="496"/>
      <c r="FN375" s="496"/>
      <c r="FO375" s="496"/>
      <c r="FP375" s="496"/>
      <c r="FQ375" s="496"/>
      <c r="FR375" s="496"/>
      <c r="FS375" s="496"/>
      <c r="FT375" s="496"/>
      <c r="FU375" s="496"/>
      <c r="FV375" s="496"/>
      <c r="FW375" s="496"/>
      <c r="FX375" s="496"/>
      <c r="FY375" s="496"/>
      <c r="FZ375" s="496"/>
      <c r="GA375" s="496"/>
      <c r="GB375" s="496"/>
      <c r="GC375" s="496"/>
      <c r="GD375" s="496"/>
      <c r="GE375" s="496"/>
      <c r="GF375" s="496"/>
      <c r="GG375" s="496"/>
      <c r="GH375" s="496"/>
      <c r="GI375" s="496"/>
      <c r="GJ375" s="496"/>
      <c r="GK375" s="496"/>
      <c r="GL375" s="496"/>
      <c r="GM375" s="496"/>
      <c r="GN375" s="496"/>
      <c r="GO375" s="496"/>
      <c r="GP375" s="496"/>
      <c r="GQ375" s="496"/>
      <c r="GR375" s="496"/>
      <c r="GS375" s="496"/>
      <c r="GT375" s="496"/>
      <c r="GU375" s="496"/>
      <c r="GV375" s="496"/>
      <c r="GW375" s="496"/>
      <c r="GX375" s="496"/>
      <c r="GY375" s="496"/>
      <c r="GZ375" s="496"/>
      <c r="HA375" s="496"/>
      <c r="HB375" s="496"/>
      <c r="HC375" s="496"/>
      <c r="HD375" s="496"/>
      <c r="HE375" s="496"/>
      <c r="HF375" s="496"/>
      <c r="HG375" s="496"/>
      <c r="HH375" s="496"/>
      <c r="HI375" s="496"/>
      <c r="HJ375" s="496"/>
      <c r="HK375" s="496"/>
      <c r="HL375" s="496"/>
      <c r="HM375" s="496"/>
      <c r="HN375" s="496"/>
      <c r="HO375" s="496"/>
      <c r="HP375" s="496"/>
      <c r="HQ375" s="496"/>
      <c r="HR375" s="496"/>
      <c r="HS375" s="496"/>
      <c r="HT375" s="496"/>
      <c r="HU375" s="496"/>
      <c r="HV375" s="496"/>
      <c r="HW375" s="490"/>
      <c r="HX375" s="490"/>
    </row>
    <row r="376" spans="1:232" s="5" customFormat="1" ht="20.100000000000001" customHeight="1">
      <c r="A376" s="497" t="s">
        <v>110</v>
      </c>
      <c r="B376" s="498"/>
      <c r="C376" s="498"/>
      <c r="D376" s="498"/>
      <c r="E376" s="498"/>
      <c r="F376" s="498"/>
      <c r="G376" s="498"/>
      <c r="H376" s="498"/>
      <c r="I376" s="498"/>
      <c r="J376" s="498"/>
      <c r="K376" s="498"/>
      <c r="L376" s="494"/>
      <c r="M376" s="494"/>
      <c r="N376" s="495"/>
      <c r="O376" s="495"/>
      <c r="P376" s="495"/>
      <c r="Q376" s="495"/>
      <c r="R376" s="495"/>
      <c r="S376" s="495"/>
      <c r="T376" s="495"/>
      <c r="U376" s="489"/>
      <c r="V376" s="489"/>
      <c r="W376" s="489"/>
      <c r="X376" s="489"/>
      <c r="Y376" s="489"/>
      <c r="Z376" s="489"/>
      <c r="AA376" s="489"/>
      <c r="AB376" s="489"/>
      <c r="AC376" s="489"/>
      <c r="AD376" s="489"/>
      <c r="AE376" s="489"/>
      <c r="AF376" s="489"/>
      <c r="AG376" s="489"/>
      <c r="AH376" s="489"/>
      <c r="AI376" s="489"/>
      <c r="AJ376" s="489"/>
      <c r="AK376" s="489"/>
      <c r="AL376" s="489"/>
      <c r="AM376" s="489"/>
      <c r="AN376" s="489"/>
      <c r="AO376" s="489"/>
      <c r="AP376" s="489"/>
      <c r="AQ376" s="489"/>
      <c r="AR376" s="489"/>
      <c r="AS376" s="489"/>
      <c r="AT376" s="489"/>
      <c r="AU376" s="489"/>
      <c r="AV376" s="489"/>
      <c r="AW376" s="489"/>
      <c r="AX376" s="489"/>
      <c r="AY376" s="489"/>
      <c r="AZ376" s="489"/>
      <c r="BA376" s="489"/>
      <c r="BB376" s="489"/>
      <c r="BC376" s="489"/>
      <c r="BD376" s="489"/>
      <c r="BE376" s="489"/>
      <c r="BF376" s="489"/>
      <c r="BG376" s="489"/>
      <c r="BH376" s="489"/>
      <c r="BI376" s="489"/>
      <c r="BJ376" s="489"/>
      <c r="BK376" s="489"/>
      <c r="BL376" s="489"/>
      <c r="BM376" s="489"/>
      <c r="BN376" s="489"/>
      <c r="BO376" s="489"/>
      <c r="BP376" s="489"/>
      <c r="BQ376" s="489"/>
      <c r="BR376" s="489"/>
      <c r="BS376" s="489"/>
      <c r="BT376" s="489"/>
      <c r="BU376" s="489"/>
      <c r="BV376" s="489"/>
      <c r="BW376" s="489"/>
      <c r="BX376" s="489"/>
      <c r="BY376" s="489"/>
      <c r="BZ376" s="489"/>
      <c r="CA376" s="489"/>
      <c r="CB376" s="489"/>
      <c r="CC376" s="489"/>
      <c r="CD376" s="489"/>
      <c r="CE376" s="489"/>
      <c r="CF376" s="489"/>
      <c r="CG376" s="489"/>
      <c r="CH376" s="489"/>
      <c r="CI376" s="489"/>
      <c r="CJ376" s="489"/>
      <c r="CK376" s="489"/>
      <c r="CL376" s="489"/>
      <c r="CM376" s="489"/>
      <c r="CN376" s="489"/>
      <c r="CO376" s="489"/>
      <c r="CP376" s="489"/>
      <c r="CQ376" s="489"/>
      <c r="CR376" s="489"/>
      <c r="CS376" s="489"/>
      <c r="CT376" s="489"/>
      <c r="CU376" s="489"/>
      <c r="CV376" s="489"/>
      <c r="CW376" s="489"/>
      <c r="CX376" s="489"/>
      <c r="CY376" s="489"/>
      <c r="CZ376" s="489"/>
      <c r="DA376" s="489"/>
      <c r="DB376" s="489"/>
      <c r="DC376" s="489"/>
      <c r="DD376" s="489"/>
      <c r="DE376" s="489"/>
      <c r="DF376" s="489"/>
      <c r="DG376" s="489"/>
      <c r="DH376" s="489"/>
      <c r="DI376" s="489"/>
      <c r="DJ376" s="489"/>
      <c r="DK376" s="489"/>
      <c r="DL376" s="489"/>
      <c r="DM376" s="489"/>
      <c r="DN376" s="489"/>
      <c r="DO376" s="489"/>
      <c r="DP376" s="489"/>
      <c r="DQ376" s="489"/>
      <c r="DR376" s="489"/>
      <c r="DS376" s="489"/>
      <c r="DT376" s="489"/>
      <c r="DU376" s="489"/>
      <c r="DV376" s="489"/>
      <c r="DW376" s="489"/>
      <c r="DX376" s="489"/>
      <c r="DY376" s="489"/>
      <c r="DZ376" s="489"/>
      <c r="EA376" s="489"/>
      <c r="EB376" s="489"/>
      <c r="EC376" s="489"/>
      <c r="ED376" s="489"/>
      <c r="EE376" s="489"/>
      <c r="EF376" s="489"/>
      <c r="EG376" s="489"/>
      <c r="EH376" s="489"/>
      <c r="EI376" s="489"/>
      <c r="EJ376" s="489"/>
      <c r="EK376" s="489"/>
      <c r="EL376" s="489"/>
      <c r="EM376" s="489"/>
      <c r="EN376" s="489"/>
      <c r="EO376" s="489"/>
      <c r="EP376" s="489"/>
      <c r="EQ376" s="489"/>
      <c r="ER376" s="489"/>
      <c r="ES376" s="489"/>
      <c r="ET376" s="489"/>
      <c r="EU376" s="489"/>
      <c r="EV376" s="489"/>
      <c r="EW376" s="489"/>
      <c r="EX376" s="489"/>
      <c r="EY376" s="489"/>
      <c r="EZ376" s="489"/>
      <c r="FA376" s="489"/>
      <c r="FB376" s="489"/>
      <c r="FC376" s="489"/>
      <c r="FD376" s="489"/>
      <c r="FE376" s="489"/>
      <c r="FF376" s="489"/>
      <c r="FG376" s="489"/>
      <c r="FH376" s="489"/>
      <c r="FI376" s="489"/>
      <c r="FJ376" s="489"/>
      <c r="FK376" s="489"/>
      <c r="FL376" s="489"/>
      <c r="FM376" s="489"/>
      <c r="FN376" s="489"/>
      <c r="FO376" s="489"/>
      <c r="FP376" s="489"/>
      <c r="FQ376" s="489"/>
      <c r="FR376" s="489"/>
      <c r="FS376" s="489"/>
      <c r="FT376" s="489"/>
      <c r="FU376" s="489"/>
      <c r="FV376" s="489"/>
      <c r="FW376" s="489"/>
      <c r="FX376" s="489"/>
      <c r="FY376" s="489"/>
      <c r="FZ376" s="489"/>
      <c r="GA376" s="489"/>
      <c r="GB376" s="489"/>
      <c r="GC376" s="489"/>
      <c r="GD376" s="489"/>
      <c r="GE376" s="489"/>
      <c r="GF376" s="489"/>
      <c r="GG376" s="489"/>
      <c r="GH376" s="489"/>
      <c r="GI376" s="489"/>
      <c r="GJ376" s="489"/>
      <c r="GK376" s="489"/>
      <c r="GL376" s="489"/>
      <c r="GM376" s="489"/>
      <c r="GN376" s="489"/>
      <c r="GO376" s="489"/>
      <c r="GP376" s="489"/>
      <c r="GQ376" s="489"/>
      <c r="GR376" s="489"/>
      <c r="GS376" s="489"/>
      <c r="GT376" s="489"/>
      <c r="GU376" s="489"/>
      <c r="GV376" s="489"/>
      <c r="GW376" s="489"/>
      <c r="GX376" s="489"/>
      <c r="GY376" s="489"/>
      <c r="GZ376" s="489"/>
      <c r="HA376" s="489"/>
      <c r="HB376" s="489"/>
      <c r="HC376" s="489"/>
      <c r="HD376" s="489"/>
      <c r="HE376" s="489"/>
      <c r="HF376" s="489"/>
      <c r="HG376" s="489"/>
      <c r="HH376" s="489"/>
      <c r="HI376" s="489"/>
      <c r="HJ376" s="489"/>
      <c r="HK376" s="489"/>
      <c r="HL376" s="489"/>
      <c r="HM376" s="489"/>
      <c r="HN376" s="489"/>
      <c r="HO376" s="489"/>
      <c r="HP376" s="489"/>
      <c r="HQ376" s="489"/>
      <c r="HR376" s="489"/>
      <c r="HS376" s="489"/>
      <c r="HT376" s="489"/>
      <c r="HU376" s="489"/>
      <c r="HV376" s="489"/>
      <c r="HW376" s="489"/>
      <c r="HX376" s="358"/>
    </row>
    <row r="377" spans="1:232" s="5" customFormat="1" ht="20.100000000000001" customHeight="1">
      <c r="A377" s="497" t="s">
        <v>111</v>
      </c>
      <c r="B377" s="498"/>
      <c r="C377" s="498"/>
      <c r="D377" s="498"/>
      <c r="E377" s="498"/>
      <c r="F377" s="498"/>
      <c r="G377" s="498"/>
      <c r="H377" s="498"/>
      <c r="I377" s="498"/>
      <c r="J377" s="498"/>
      <c r="K377" s="498"/>
      <c r="L377" s="494"/>
      <c r="M377" s="494"/>
      <c r="N377" s="495"/>
      <c r="O377" s="495"/>
      <c r="P377" s="495"/>
      <c r="Q377" s="495"/>
      <c r="R377" s="495"/>
      <c r="S377" s="495"/>
      <c r="T377" s="495"/>
      <c r="U377" s="499"/>
      <c r="V377" s="499"/>
      <c r="W377" s="499"/>
      <c r="X377" s="499"/>
      <c r="Y377" s="499"/>
      <c r="Z377" s="499"/>
      <c r="AA377" s="499"/>
      <c r="AB377" s="499"/>
      <c r="AC377" s="499"/>
      <c r="AD377" s="499"/>
      <c r="AE377" s="499"/>
      <c r="AF377" s="499"/>
      <c r="AG377" s="499"/>
      <c r="AH377" s="499"/>
      <c r="AI377" s="499"/>
      <c r="AJ377" s="499"/>
      <c r="AK377" s="499"/>
      <c r="AL377" s="499"/>
      <c r="AM377" s="499"/>
      <c r="AN377" s="499"/>
      <c r="AO377" s="499"/>
      <c r="AP377" s="499"/>
      <c r="AQ377" s="499"/>
      <c r="AR377" s="499"/>
      <c r="AS377" s="499"/>
      <c r="AT377" s="499"/>
      <c r="AU377" s="499"/>
      <c r="AV377" s="499"/>
      <c r="AW377" s="499"/>
      <c r="AX377" s="499"/>
      <c r="AY377" s="499"/>
      <c r="AZ377" s="499"/>
      <c r="BA377" s="499"/>
      <c r="BB377" s="499"/>
      <c r="BC377" s="499"/>
      <c r="BD377" s="499"/>
      <c r="BE377" s="499"/>
      <c r="BF377" s="499"/>
      <c r="BG377" s="499"/>
      <c r="BH377" s="499"/>
      <c r="BI377" s="499"/>
      <c r="BJ377" s="499"/>
      <c r="BK377" s="499"/>
      <c r="BL377" s="499"/>
      <c r="BM377" s="499"/>
      <c r="BN377" s="499"/>
      <c r="BO377" s="499"/>
      <c r="BP377" s="499"/>
      <c r="BQ377" s="499"/>
      <c r="BR377" s="499"/>
      <c r="BS377" s="499"/>
      <c r="BT377" s="499"/>
      <c r="BU377" s="499"/>
      <c r="BV377" s="499"/>
      <c r="BW377" s="499"/>
      <c r="BX377" s="499"/>
      <c r="BY377" s="499"/>
      <c r="BZ377" s="499"/>
      <c r="CA377" s="499"/>
      <c r="CB377" s="499"/>
      <c r="CC377" s="499"/>
      <c r="CD377" s="499"/>
      <c r="CE377" s="499"/>
      <c r="CF377" s="499"/>
      <c r="CG377" s="499"/>
      <c r="CH377" s="499"/>
      <c r="CI377" s="499"/>
      <c r="CJ377" s="499"/>
      <c r="CK377" s="499"/>
      <c r="CL377" s="499"/>
      <c r="CM377" s="499"/>
      <c r="CN377" s="499"/>
      <c r="CO377" s="499"/>
      <c r="CP377" s="499"/>
      <c r="CQ377" s="499"/>
      <c r="CR377" s="499"/>
      <c r="CS377" s="499"/>
      <c r="CT377" s="499"/>
      <c r="CU377" s="499"/>
      <c r="CV377" s="499"/>
      <c r="CW377" s="499"/>
      <c r="CX377" s="499"/>
      <c r="CY377" s="499"/>
      <c r="CZ377" s="499"/>
      <c r="DA377" s="499"/>
      <c r="DB377" s="499"/>
      <c r="DC377" s="499"/>
      <c r="DD377" s="499"/>
      <c r="DE377" s="499"/>
      <c r="DF377" s="499"/>
      <c r="DG377" s="499"/>
      <c r="DH377" s="499"/>
      <c r="DI377" s="499"/>
      <c r="DJ377" s="499"/>
      <c r="DK377" s="499"/>
      <c r="DL377" s="499"/>
      <c r="DM377" s="499"/>
      <c r="DN377" s="499"/>
      <c r="DO377" s="499"/>
      <c r="DP377" s="499"/>
      <c r="DQ377" s="499"/>
      <c r="DR377" s="499"/>
      <c r="DS377" s="499"/>
      <c r="DT377" s="499"/>
      <c r="DU377" s="499"/>
      <c r="DV377" s="499"/>
      <c r="DW377" s="499"/>
      <c r="DX377" s="499"/>
      <c r="DY377" s="499"/>
      <c r="DZ377" s="499"/>
      <c r="EA377" s="499"/>
      <c r="EB377" s="499"/>
      <c r="EC377" s="499"/>
      <c r="ED377" s="499"/>
      <c r="EE377" s="499"/>
      <c r="EF377" s="499"/>
      <c r="EG377" s="499"/>
      <c r="EH377" s="499"/>
      <c r="EI377" s="499"/>
      <c r="EJ377" s="499"/>
      <c r="EK377" s="499"/>
      <c r="EL377" s="499"/>
      <c r="EM377" s="499"/>
      <c r="EN377" s="499"/>
      <c r="EO377" s="499"/>
      <c r="EP377" s="499"/>
      <c r="EQ377" s="499"/>
      <c r="ER377" s="499"/>
      <c r="ES377" s="499"/>
      <c r="ET377" s="499"/>
      <c r="EU377" s="499"/>
      <c r="EV377" s="499"/>
      <c r="EW377" s="499"/>
      <c r="EX377" s="499"/>
      <c r="EY377" s="499"/>
      <c r="EZ377" s="499"/>
      <c r="FA377" s="499"/>
      <c r="FB377" s="499"/>
      <c r="FC377" s="499"/>
      <c r="FD377" s="499"/>
      <c r="FE377" s="499"/>
      <c r="FF377" s="499"/>
      <c r="FG377" s="499"/>
      <c r="FH377" s="499"/>
      <c r="FI377" s="499"/>
      <c r="FJ377" s="499"/>
      <c r="FK377" s="499"/>
      <c r="FL377" s="499"/>
      <c r="FM377" s="499"/>
      <c r="FN377" s="499"/>
      <c r="FO377" s="499"/>
      <c r="FP377" s="499"/>
      <c r="FQ377" s="499"/>
      <c r="FR377" s="499"/>
      <c r="FS377" s="499"/>
      <c r="FT377" s="499"/>
      <c r="FU377" s="499"/>
      <c r="FV377" s="499"/>
      <c r="FW377" s="499"/>
      <c r="FX377" s="499"/>
      <c r="FY377" s="499"/>
      <c r="FZ377" s="499"/>
      <c r="GA377" s="499"/>
      <c r="GB377" s="499"/>
      <c r="GC377" s="499"/>
      <c r="GD377" s="499"/>
      <c r="GE377" s="499"/>
      <c r="GF377" s="499"/>
      <c r="GG377" s="499"/>
      <c r="GH377" s="499"/>
      <c r="GI377" s="499"/>
      <c r="GJ377" s="499"/>
      <c r="GK377" s="499"/>
      <c r="GL377" s="499"/>
      <c r="GM377" s="499"/>
      <c r="GN377" s="499"/>
      <c r="GO377" s="499"/>
      <c r="GP377" s="499"/>
      <c r="GQ377" s="499"/>
      <c r="GR377" s="499"/>
      <c r="GS377" s="499"/>
      <c r="GT377" s="499"/>
      <c r="GU377" s="499"/>
      <c r="GV377" s="499"/>
      <c r="GW377" s="499"/>
      <c r="GX377" s="499"/>
      <c r="GY377" s="499"/>
      <c r="GZ377" s="499"/>
      <c r="HA377" s="499"/>
      <c r="HB377" s="499"/>
      <c r="HC377" s="499"/>
      <c r="HD377" s="499"/>
      <c r="HE377" s="499"/>
      <c r="HF377" s="499"/>
      <c r="HG377" s="499"/>
      <c r="HH377" s="499"/>
      <c r="HI377" s="499"/>
      <c r="HJ377" s="499"/>
      <c r="HK377" s="499"/>
      <c r="HL377" s="499"/>
      <c r="HM377" s="499"/>
      <c r="HN377" s="499"/>
      <c r="HO377" s="499"/>
      <c r="HP377" s="499"/>
      <c r="HQ377" s="499"/>
      <c r="HR377" s="499"/>
      <c r="HS377" s="499"/>
      <c r="HT377" s="499"/>
      <c r="HU377" s="499"/>
      <c r="HV377" s="499"/>
      <c r="HW377" s="499"/>
      <c r="HX377" s="358"/>
    </row>
    <row r="378" spans="1:232" ht="33" customHeight="1">
      <c r="A378" s="1607" t="s">
        <v>112</v>
      </c>
      <c r="B378" s="1607"/>
      <c r="C378" s="1607"/>
      <c r="D378" s="1607"/>
      <c r="E378" s="1607"/>
      <c r="F378" s="1607"/>
      <c r="G378" s="1607"/>
      <c r="H378" s="1607"/>
      <c r="I378" s="1607"/>
      <c r="J378" s="1607"/>
      <c r="N378" s="495"/>
      <c r="O378" s="495"/>
      <c r="P378" s="495"/>
      <c r="Q378" s="495"/>
      <c r="R378" s="495"/>
      <c r="S378" s="495"/>
    </row>
    <row r="379" spans="1:232" ht="20.100000000000001" customHeight="1">
      <c r="A379" s="1604" t="s">
        <v>113</v>
      </c>
      <c r="B379" s="1604"/>
      <c r="C379" s="1604"/>
      <c r="D379" s="1604"/>
      <c r="E379" s="1604"/>
      <c r="F379" s="1604"/>
      <c r="G379" s="1604"/>
      <c r="H379" s="1604"/>
      <c r="I379" s="1604"/>
      <c r="J379" s="1604"/>
    </row>
    <row r="380" spans="1:232" s="5" customFormat="1" ht="20.100000000000001" customHeight="1">
      <c r="A380" s="500" t="s">
        <v>114</v>
      </c>
      <c r="C380" s="501"/>
      <c r="D380" s="501"/>
      <c r="E380" s="501"/>
      <c r="F380" s="501"/>
      <c r="G380" s="501"/>
      <c r="H380" s="501"/>
      <c r="I380" s="501"/>
      <c r="J380" s="502"/>
      <c r="K380" s="502"/>
      <c r="L380" s="494"/>
      <c r="M380" s="494"/>
      <c r="N380" s="464"/>
      <c r="O380" s="464"/>
      <c r="P380" s="464"/>
      <c r="Q380" s="464"/>
      <c r="R380" s="464"/>
      <c r="S380" s="464"/>
      <c r="T380" s="495"/>
      <c r="U380" s="499"/>
      <c r="V380" s="499"/>
      <c r="W380" s="499"/>
      <c r="X380" s="499"/>
      <c r="Y380" s="499"/>
      <c r="Z380" s="499"/>
      <c r="AA380" s="499"/>
      <c r="AB380" s="499"/>
      <c r="AC380" s="499"/>
      <c r="AD380" s="499"/>
      <c r="AE380" s="499"/>
      <c r="AF380" s="499"/>
      <c r="AG380" s="499"/>
      <c r="AH380" s="499"/>
      <c r="AI380" s="499"/>
      <c r="AJ380" s="499"/>
      <c r="AK380" s="499"/>
      <c r="AL380" s="499"/>
      <c r="AM380" s="499"/>
      <c r="AN380" s="499"/>
      <c r="AO380" s="499"/>
      <c r="AP380" s="499"/>
      <c r="AQ380" s="499"/>
      <c r="AR380" s="499"/>
      <c r="AS380" s="499"/>
      <c r="AT380" s="499"/>
      <c r="AU380" s="499"/>
      <c r="AV380" s="499"/>
      <c r="AW380" s="499"/>
      <c r="AX380" s="499"/>
      <c r="AY380" s="499"/>
      <c r="AZ380" s="499"/>
      <c r="BA380" s="499"/>
      <c r="BB380" s="499"/>
      <c r="BC380" s="499"/>
      <c r="BD380" s="499"/>
      <c r="BE380" s="499"/>
      <c r="BF380" s="499"/>
      <c r="BG380" s="499"/>
      <c r="BH380" s="499"/>
      <c r="BI380" s="499"/>
      <c r="BJ380" s="499"/>
      <c r="BK380" s="499"/>
      <c r="BL380" s="499"/>
      <c r="BM380" s="499"/>
      <c r="BN380" s="499"/>
      <c r="BO380" s="499"/>
      <c r="BP380" s="499"/>
      <c r="BQ380" s="499"/>
      <c r="BR380" s="499"/>
      <c r="BS380" s="499"/>
      <c r="BT380" s="499"/>
      <c r="BU380" s="499"/>
      <c r="BV380" s="499"/>
      <c r="BW380" s="499"/>
      <c r="BX380" s="499"/>
      <c r="BY380" s="499"/>
      <c r="BZ380" s="499"/>
      <c r="CA380" s="499"/>
      <c r="CB380" s="499"/>
      <c r="CC380" s="499"/>
      <c r="CD380" s="499"/>
      <c r="CE380" s="499"/>
      <c r="CF380" s="499"/>
      <c r="CG380" s="499"/>
      <c r="CH380" s="499"/>
      <c r="CI380" s="499"/>
      <c r="CJ380" s="499"/>
      <c r="CK380" s="499"/>
      <c r="CL380" s="499"/>
      <c r="CM380" s="499"/>
      <c r="CN380" s="499"/>
      <c r="CO380" s="499"/>
      <c r="CP380" s="499"/>
      <c r="CQ380" s="499"/>
      <c r="CR380" s="499"/>
      <c r="CS380" s="499"/>
      <c r="CT380" s="499"/>
      <c r="CU380" s="499"/>
      <c r="CV380" s="499"/>
      <c r="CW380" s="499"/>
      <c r="CX380" s="499"/>
      <c r="CY380" s="499"/>
      <c r="CZ380" s="499"/>
      <c r="DA380" s="499"/>
      <c r="DB380" s="499"/>
      <c r="DC380" s="499"/>
      <c r="DD380" s="499"/>
      <c r="DE380" s="499"/>
      <c r="DF380" s="499"/>
      <c r="DG380" s="499"/>
      <c r="DH380" s="499"/>
      <c r="DI380" s="499"/>
      <c r="DJ380" s="499"/>
      <c r="DK380" s="499"/>
      <c r="DL380" s="499"/>
      <c r="DM380" s="499"/>
      <c r="DN380" s="499"/>
      <c r="DO380" s="499"/>
      <c r="DP380" s="499"/>
      <c r="DQ380" s="499"/>
      <c r="DR380" s="499"/>
      <c r="DS380" s="499"/>
      <c r="DT380" s="499"/>
      <c r="DU380" s="499"/>
      <c r="DV380" s="499"/>
      <c r="DW380" s="499"/>
      <c r="DX380" s="499"/>
      <c r="DY380" s="499"/>
      <c r="DZ380" s="499"/>
      <c r="EA380" s="499"/>
      <c r="EB380" s="499"/>
      <c r="EC380" s="499"/>
      <c r="ED380" s="499"/>
      <c r="EE380" s="499"/>
      <c r="EF380" s="499"/>
      <c r="EG380" s="499"/>
      <c r="EH380" s="499"/>
      <c r="EI380" s="499"/>
      <c r="EJ380" s="499"/>
      <c r="EK380" s="499"/>
      <c r="EL380" s="499"/>
      <c r="EM380" s="499"/>
      <c r="EN380" s="499"/>
      <c r="EO380" s="499"/>
      <c r="EP380" s="499"/>
      <c r="EQ380" s="499"/>
      <c r="ER380" s="499"/>
      <c r="ES380" s="499"/>
      <c r="ET380" s="499"/>
      <c r="EU380" s="499"/>
      <c r="EV380" s="499"/>
      <c r="EW380" s="499"/>
      <c r="EX380" s="499"/>
      <c r="EY380" s="499"/>
      <c r="EZ380" s="499"/>
      <c r="FA380" s="499"/>
      <c r="FB380" s="499"/>
      <c r="FC380" s="499"/>
      <c r="FD380" s="499"/>
      <c r="FE380" s="499"/>
      <c r="FF380" s="499"/>
      <c r="FG380" s="499"/>
      <c r="FH380" s="499"/>
      <c r="FI380" s="499"/>
      <c r="FJ380" s="499"/>
      <c r="FK380" s="499"/>
      <c r="FL380" s="499"/>
      <c r="FM380" s="499"/>
      <c r="FN380" s="499"/>
      <c r="FO380" s="499"/>
      <c r="FP380" s="499"/>
      <c r="FQ380" s="499"/>
      <c r="FR380" s="499"/>
      <c r="FS380" s="499"/>
      <c r="FT380" s="499"/>
      <c r="FU380" s="499"/>
      <c r="FV380" s="499"/>
      <c r="FW380" s="499"/>
      <c r="FX380" s="499"/>
      <c r="FY380" s="499"/>
      <c r="FZ380" s="499"/>
      <c r="GA380" s="499"/>
      <c r="GB380" s="499"/>
      <c r="GC380" s="499"/>
      <c r="GD380" s="499"/>
      <c r="GE380" s="499"/>
      <c r="GF380" s="499"/>
      <c r="GG380" s="499"/>
      <c r="GH380" s="499"/>
      <c r="GI380" s="499"/>
      <c r="GJ380" s="499"/>
      <c r="GK380" s="499"/>
      <c r="GL380" s="499"/>
      <c r="GM380" s="499"/>
      <c r="GN380" s="499"/>
      <c r="GO380" s="499"/>
      <c r="GP380" s="499"/>
      <c r="GQ380" s="499"/>
      <c r="GR380" s="499"/>
      <c r="GS380" s="499"/>
      <c r="GT380" s="499"/>
      <c r="GU380" s="499"/>
      <c r="GV380" s="499"/>
      <c r="GW380" s="499"/>
      <c r="GX380" s="499"/>
      <c r="GY380" s="499"/>
      <c r="GZ380" s="499"/>
      <c r="HA380" s="499"/>
      <c r="HB380" s="499"/>
      <c r="HC380" s="499"/>
      <c r="HD380" s="499"/>
      <c r="HE380" s="499"/>
      <c r="HF380" s="499"/>
      <c r="HG380" s="499"/>
      <c r="HH380" s="499"/>
      <c r="HI380" s="499"/>
      <c r="HJ380" s="499"/>
      <c r="HK380" s="499"/>
      <c r="HL380" s="499"/>
      <c r="HM380" s="499"/>
      <c r="HN380" s="499"/>
      <c r="HO380" s="499"/>
      <c r="HP380" s="499"/>
      <c r="HQ380" s="499"/>
      <c r="HR380" s="499"/>
      <c r="HS380" s="499"/>
      <c r="HT380" s="499"/>
      <c r="HU380" s="499"/>
      <c r="HV380" s="499"/>
      <c r="HW380" s="499"/>
      <c r="HX380" s="358"/>
    </row>
    <row r="381" spans="1:232" s="5" customFormat="1" ht="20.100000000000001" customHeight="1">
      <c r="A381" s="1605" t="s">
        <v>191</v>
      </c>
      <c r="B381" s="1606" t="s">
        <v>115</v>
      </c>
      <c r="C381" s="1606"/>
      <c r="D381" s="1606"/>
      <c r="E381" s="1606"/>
      <c r="F381" s="1606" t="s">
        <v>116</v>
      </c>
      <c r="G381" s="1606"/>
      <c r="H381" s="1606"/>
      <c r="I381" s="1606" t="s">
        <v>117</v>
      </c>
      <c r="J381" s="1606"/>
      <c r="N381" s="495"/>
      <c r="O381" s="495"/>
      <c r="P381" s="495"/>
      <c r="Q381" s="495"/>
      <c r="R381" s="495"/>
      <c r="S381" s="495"/>
      <c r="T381" s="504"/>
      <c r="U381" s="358"/>
      <c r="V381" s="358"/>
      <c r="W381" s="358"/>
      <c r="X381" s="358"/>
      <c r="Y381" s="358"/>
      <c r="Z381" s="358"/>
      <c r="AA381" s="358"/>
      <c r="AB381" s="358"/>
      <c r="AC381" s="358"/>
      <c r="AD381" s="358"/>
      <c r="AE381" s="358"/>
      <c r="AF381" s="358"/>
      <c r="AG381" s="358"/>
      <c r="AH381" s="358"/>
      <c r="AI381" s="358"/>
      <c r="AJ381" s="358"/>
      <c r="AK381" s="358"/>
      <c r="AL381" s="358"/>
      <c r="AM381" s="358"/>
      <c r="AN381" s="358"/>
      <c r="AO381" s="358"/>
      <c r="AP381" s="358"/>
      <c r="AQ381" s="358"/>
      <c r="AR381" s="358"/>
      <c r="AS381" s="358"/>
      <c r="AT381" s="358"/>
      <c r="AU381" s="358"/>
      <c r="AV381" s="358"/>
      <c r="AW381" s="358"/>
      <c r="AX381" s="358"/>
      <c r="AY381" s="358"/>
      <c r="AZ381" s="358"/>
      <c r="BA381" s="358"/>
      <c r="BB381" s="358"/>
      <c r="BC381" s="358"/>
      <c r="BD381" s="358"/>
      <c r="BE381" s="358"/>
      <c r="BF381" s="358"/>
      <c r="BG381" s="358"/>
      <c r="BH381" s="358"/>
      <c r="BI381" s="358"/>
      <c r="BJ381" s="358"/>
      <c r="BK381" s="358"/>
      <c r="BL381" s="358"/>
      <c r="BM381" s="358"/>
      <c r="BN381" s="358"/>
      <c r="BO381" s="358"/>
      <c r="BP381" s="358"/>
      <c r="BQ381" s="358"/>
      <c r="BR381" s="358"/>
      <c r="BS381" s="358"/>
      <c r="BT381" s="358"/>
      <c r="BU381" s="358"/>
      <c r="BV381" s="358"/>
      <c r="BW381" s="358"/>
      <c r="BX381" s="358"/>
      <c r="BY381" s="358"/>
      <c r="BZ381" s="358"/>
      <c r="CA381" s="358"/>
      <c r="CB381" s="358"/>
      <c r="CC381" s="358"/>
      <c r="CD381" s="358"/>
      <c r="CE381" s="358"/>
      <c r="CF381" s="358"/>
      <c r="CG381" s="358"/>
      <c r="CH381" s="358"/>
      <c r="CI381" s="358"/>
      <c r="CJ381" s="358"/>
      <c r="CK381" s="358"/>
      <c r="CL381" s="358"/>
      <c r="CM381" s="358"/>
      <c r="CN381" s="358"/>
      <c r="CO381" s="358"/>
      <c r="CP381" s="358"/>
      <c r="CQ381" s="358"/>
      <c r="CR381" s="358"/>
      <c r="CS381" s="358"/>
      <c r="CT381" s="358"/>
      <c r="CU381" s="358"/>
      <c r="CV381" s="358"/>
      <c r="CW381" s="358"/>
      <c r="CX381" s="358"/>
      <c r="CY381" s="358"/>
      <c r="CZ381" s="358"/>
      <c r="DA381" s="358"/>
      <c r="DB381" s="358"/>
      <c r="DC381" s="358"/>
      <c r="DD381" s="358"/>
      <c r="DE381" s="358"/>
      <c r="DF381" s="358"/>
      <c r="DG381" s="358"/>
      <c r="DH381" s="358"/>
      <c r="DI381" s="358"/>
      <c r="DJ381" s="358"/>
      <c r="DK381" s="358"/>
      <c r="DL381" s="358"/>
      <c r="DM381" s="358"/>
      <c r="DN381" s="358"/>
      <c r="DO381" s="358"/>
      <c r="DP381" s="358"/>
      <c r="DQ381" s="358"/>
      <c r="DR381" s="358"/>
      <c r="DS381" s="358"/>
      <c r="DT381" s="358"/>
      <c r="DU381" s="358"/>
      <c r="DV381" s="358"/>
      <c r="DW381" s="358"/>
      <c r="DX381" s="358"/>
      <c r="DY381" s="358"/>
      <c r="DZ381" s="358"/>
      <c r="EA381" s="358"/>
      <c r="EB381" s="358"/>
      <c r="EC381" s="358"/>
      <c r="ED381" s="358"/>
      <c r="EE381" s="358"/>
      <c r="EF381" s="358"/>
      <c r="EG381" s="358"/>
      <c r="EH381" s="358"/>
      <c r="EI381" s="358"/>
      <c r="EJ381" s="358"/>
      <c r="EK381" s="358"/>
      <c r="EL381" s="358"/>
      <c r="EM381" s="358"/>
      <c r="EN381" s="358"/>
      <c r="EO381" s="358"/>
      <c r="EP381" s="358"/>
      <c r="EQ381" s="358"/>
      <c r="ER381" s="358"/>
      <c r="ES381" s="358"/>
      <c r="ET381" s="358"/>
      <c r="EU381" s="358"/>
      <c r="EV381" s="358"/>
      <c r="EW381" s="358"/>
      <c r="EX381" s="358"/>
      <c r="EY381" s="358"/>
      <c r="EZ381" s="358"/>
      <c r="FA381" s="358"/>
      <c r="FB381" s="358"/>
      <c r="FC381" s="358"/>
      <c r="FD381" s="358"/>
      <c r="FE381" s="358"/>
      <c r="FF381" s="358"/>
      <c r="FG381" s="358"/>
      <c r="FH381" s="358"/>
      <c r="FI381" s="358"/>
      <c r="FJ381" s="358"/>
      <c r="FK381" s="358"/>
      <c r="FL381" s="358"/>
      <c r="FM381" s="358"/>
      <c r="FN381" s="358"/>
      <c r="FO381" s="358"/>
      <c r="FP381" s="358"/>
      <c r="FQ381" s="358"/>
      <c r="FR381" s="358"/>
      <c r="FS381" s="358"/>
      <c r="FT381" s="358"/>
      <c r="FU381" s="358"/>
      <c r="FV381" s="358"/>
      <c r="FW381" s="358"/>
      <c r="FX381" s="358"/>
      <c r="FY381" s="358"/>
      <c r="FZ381" s="358"/>
      <c r="GA381" s="358"/>
      <c r="GB381" s="358"/>
      <c r="GC381" s="358"/>
      <c r="GD381" s="358"/>
      <c r="GE381" s="358"/>
      <c r="GF381" s="358"/>
      <c r="GG381" s="358"/>
      <c r="GH381" s="358"/>
      <c r="GI381" s="358"/>
      <c r="GJ381" s="358"/>
      <c r="GK381" s="358"/>
      <c r="GL381" s="358"/>
      <c r="GM381" s="358"/>
      <c r="GN381" s="358"/>
      <c r="GO381" s="358"/>
      <c r="GP381" s="358"/>
      <c r="GQ381" s="358"/>
      <c r="GR381" s="358"/>
      <c r="GS381" s="358"/>
      <c r="GT381" s="358"/>
      <c r="GU381" s="358"/>
      <c r="GV381" s="358"/>
      <c r="GW381" s="358"/>
      <c r="GX381" s="358"/>
      <c r="GY381" s="358"/>
      <c r="GZ381" s="358"/>
      <c r="HA381" s="358"/>
      <c r="HB381" s="358"/>
      <c r="HC381" s="358"/>
      <c r="HD381" s="358"/>
      <c r="HE381" s="358"/>
      <c r="HF381" s="358"/>
      <c r="HG381" s="358"/>
      <c r="HH381" s="358"/>
      <c r="HI381" s="358"/>
      <c r="HJ381" s="358"/>
      <c r="HK381" s="358"/>
      <c r="HL381" s="358"/>
      <c r="HM381" s="358"/>
      <c r="HN381" s="358"/>
      <c r="HO381" s="358"/>
      <c r="HP381" s="358"/>
      <c r="HQ381" s="358"/>
      <c r="HR381" s="358"/>
      <c r="HS381" s="358"/>
      <c r="HT381" s="358"/>
      <c r="HU381" s="358"/>
      <c r="HV381" s="358"/>
      <c r="HW381" s="358"/>
      <c r="HX381" s="358"/>
    </row>
    <row r="382" spans="1:232" s="5" customFormat="1" ht="20.100000000000001" customHeight="1">
      <c r="A382" s="1605"/>
      <c r="B382" s="1606"/>
      <c r="C382" s="1606"/>
      <c r="D382" s="1606"/>
      <c r="E382" s="1606"/>
      <c r="F382" s="1606"/>
      <c r="G382" s="1606"/>
      <c r="H382" s="1606"/>
      <c r="I382" s="503" t="s">
        <v>118</v>
      </c>
      <c r="J382" s="503" t="s">
        <v>119</v>
      </c>
      <c r="O382" s="504"/>
      <c r="P382" s="504"/>
      <c r="Q382" s="504"/>
      <c r="R382" s="504"/>
      <c r="S382" s="504"/>
      <c r="T382" s="406"/>
      <c r="U382" s="358"/>
      <c r="V382" s="358"/>
      <c r="W382" s="358"/>
      <c r="X382" s="358"/>
      <c r="Y382" s="358"/>
      <c r="Z382" s="358"/>
      <c r="AA382" s="358"/>
      <c r="AB382" s="358"/>
      <c r="AC382" s="358"/>
      <c r="AD382" s="358"/>
      <c r="AE382" s="358"/>
      <c r="AF382" s="358"/>
      <c r="AG382" s="358"/>
      <c r="AH382" s="358"/>
      <c r="AI382" s="358"/>
      <c r="AJ382" s="358"/>
      <c r="AK382" s="358"/>
      <c r="AL382" s="358"/>
      <c r="AM382" s="358"/>
      <c r="AN382" s="358"/>
      <c r="AO382" s="358"/>
      <c r="AP382" s="358"/>
      <c r="AQ382" s="358"/>
      <c r="AR382" s="358"/>
      <c r="AS382" s="358"/>
      <c r="AT382" s="358"/>
      <c r="AU382" s="358"/>
      <c r="AV382" s="358"/>
      <c r="AW382" s="358"/>
      <c r="AX382" s="358"/>
      <c r="AY382" s="358"/>
      <c r="AZ382" s="358"/>
      <c r="BA382" s="358"/>
      <c r="BB382" s="358"/>
      <c r="BC382" s="358"/>
      <c r="BD382" s="358"/>
      <c r="BE382" s="358"/>
      <c r="BF382" s="358"/>
      <c r="BG382" s="358"/>
      <c r="BH382" s="358"/>
      <c r="BI382" s="358"/>
      <c r="BJ382" s="358"/>
      <c r="BK382" s="358"/>
      <c r="BL382" s="358"/>
      <c r="BM382" s="358"/>
      <c r="BN382" s="358"/>
      <c r="BO382" s="358"/>
      <c r="BP382" s="358"/>
      <c r="BQ382" s="358"/>
      <c r="BR382" s="358"/>
      <c r="BS382" s="358"/>
      <c r="BT382" s="358"/>
      <c r="BU382" s="358"/>
      <c r="BV382" s="358"/>
      <c r="BW382" s="358"/>
      <c r="BX382" s="358"/>
      <c r="BY382" s="358"/>
      <c r="BZ382" s="358"/>
      <c r="CA382" s="358"/>
      <c r="CB382" s="358"/>
      <c r="CC382" s="358"/>
      <c r="CD382" s="358"/>
      <c r="CE382" s="358"/>
      <c r="CF382" s="358"/>
      <c r="CG382" s="358"/>
      <c r="CH382" s="358"/>
      <c r="CI382" s="358"/>
      <c r="CJ382" s="358"/>
      <c r="CK382" s="358"/>
      <c r="CL382" s="358"/>
      <c r="CM382" s="358"/>
      <c r="CN382" s="358"/>
      <c r="CO382" s="358"/>
      <c r="CP382" s="358"/>
      <c r="CQ382" s="358"/>
      <c r="CR382" s="358"/>
      <c r="CS382" s="358"/>
      <c r="CT382" s="358"/>
      <c r="CU382" s="358"/>
      <c r="CV382" s="358"/>
      <c r="CW382" s="358"/>
      <c r="CX382" s="358"/>
      <c r="CY382" s="358"/>
      <c r="CZ382" s="358"/>
      <c r="DA382" s="358"/>
      <c r="DB382" s="358"/>
      <c r="DC382" s="358"/>
      <c r="DD382" s="358"/>
      <c r="DE382" s="358"/>
      <c r="DF382" s="358"/>
      <c r="DG382" s="358"/>
      <c r="DH382" s="358"/>
      <c r="DI382" s="358"/>
      <c r="DJ382" s="358"/>
      <c r="DK382" s="358"/>
      <c r="DL382" s="358"/>
      <c r="DM382" s="358"/>
      <c r="DN382" s="358"/>
      <c r="DO382" s="358"/>
      <c r="DP382" s="358"/>
      <c r="DQ382" s="358"/>
      <c r="DR382" s="358"/>
      <c r="DS382" s="358"/>
      <c r="DT382" s="358"/>
      <c r="DU382" s="358"/>
      <c r="DV382" s="358"/>
      <c r="DW382" s="358"/>
      <c r="DX382" s="358"/>
      <c r="DY382" s="358"/>
      <c r="DZ382" s="358"/>
      <c r="EA382" s="358"/>
      <c r="EB382" s="358"/>
      <c r="EC382" s="358"/>
      <c r="ED382" s="358"/>
      <c r="EE382" s="358"/>
      <c r="EF382" s="358"/>
      <c r="EG382" s="358"/>
      <c r="EH382" s="358"/>
      <c r="EI382" s="358"/>
      <c r="EJ382" s="358"/>
      <c r="EK382" s="358"/>
      <c r="EL382" s="358"/>
      <c r="EM382" s="358"/>
      <c r="EN382" s="358"/>
      <c r="EO382" s="358"/>
      <c r="EP382" s="358"/>
      <c r="EQ382" s="358"/>
      <c r="ER382" s="358"/>
      <c r="ES382" s="358"/>
      <c r="ET382" s="358"/>
      <c r="EU382" s="358"/>
      <c r="EV382" s="358"/>
      <c r="EW382" s="358"/>
      <c r="EX382" s="358"/>
      <c r="EY382" s="358"/>
      <c r="EZ382" s="358"/>
      <c r="FA382" s="358"/>
      <c r="FB382" s="358"/>
      <c r="FC382" s="358"/>
      <c r="FD382" s="358"/>
      <c r="FE382" s="358"/>
      <c r="FF382" s="358"/>
      <c r="FG382" s="358"/>
      <c r="FH382" s="358"/>
      <c r="FI382" s="358"/>
      <c r="FJ382" s="358"/>
      <c r="FK382" s="358"/>
      <c r="FL382" s="358"/>
      <c r="FM382" s="358"/>
      <c r="FN382" s="358"/>
      <c r="FO382" s="358"/>
      <c r="FP382" s="358"/>
      <c r="FQ382" s="358"/>
      <c r="FR382" s="358"/>
      <c r="FS382" s="358"/>
      <c r="FT382" s="358"/>
      <c r="FU382" s="358"/>
      <c r="FV382" s="358"/>
      <c r="FW382" s="358"/>
      <c r="FX382" s="358"/>
      <c r="FY382" s="358"/>
      <c r="FZ382" s="358"/>
      <c r="GA382" s="358"/>
      <c r="GB382" s="358"/>
      <c r="GC382" s="358"/>
      <c r="GD382" s="358"/>
      <c r="GE382" s="358"/>
      <c r="GF382" s="358"/>
      <c r="GG382" s="358"/>
      <c r="GH382" s="358"/>
      <c r="GI382" s="358"/>
      <c r="GJ382" s="358"/>
      <c r="GK382" s="358"/>
      <c r="GL382" s="358"/>
      <c r="GM382" s="358"/>
      <c r="GN382" s="358"/>
      <c r="GO382" s="358"/>
      <c r="GP382" s="358"/>
      <c r="GQ382" s="358"/>
      <c r="GR382" s="358"/>
      <c r="GS382" s="358"/>
      <c r="GT382" s="358"/>
      <c r="GU382" s="358"/>
      <c r="GV382" s="358"/>
      <c r="GW382" s="358"/>
      <c r="GX382" s="358"/>
      <c r="GY382" s="358"/>
      <c r="GZ382" s="358"/>
      <c r="HA382" s="358"/>
      <c r="HB382" s="358"/>
      <c r="HC382" s="358"/>
      <c r="HD382" s="358"/>
      <c r="HE382" s="358"/>
      <c r="HF382" s="358"/>
      <c r="HG382" s="358"/>
      <c r="HH382" s="358"/>
      <c r="HI382" s="358"/>
      <c r="HJ382" s="358"/>
      <c r="HK382" s="358"/>
      <c r="HL382" s="358"/>
      <c r="HM382" s="358"/>
      <c r="HN382" s="358"/>
      <c r="HO382" s="358"/>
      <c r="HP382" s="358"/>
      <c r="HQ382" s="358"/>
      <c r="HR382" s="358"/>
      <c r="HS382" s="358"/>
      <c r="HT382" s="358"/>
      <c r="HU382" s="358"/>
      <c r="HV382" s="358"/>
      <c r="HW382" s="358"/>
      <c r="HX382" s="358"/>
    </row>
    <row r="383" spans="1:232" s="5" customFormat="1" ht="20.100000000000001" customHeight="1">
      <c r="A383" s="503">
        <v>1</v>
      </c>
      <c r="B383" s="1597" t="s">
        <v>448</v>
      </c>
      <c r="C383" s="1597"/>
      <c r="D383" s="1597"/>
      <c r="E383" s="1597"/>
      <c r="F383" s="1598" t="s">
        <v>433</v>
      </c>
      <c r="G383" s="1598"/>
      <c r="H383" s="1598"/>
      <c r="I383" s="562" t="s">
        <v>471</v>
      </c>
      <c r="J383" s="506"/>
      <c r="O383" s="406"/>
      <c r="P383" s="406"/>
      <c r="Q383" s="406"/>
      <c r="R383" s="406"/>
      <c r="S383" s="406"/>
      <c r="T383" s="406"/>
      <c r="U383" s="358"/>
      <c r="V383" s="358"/>
      <c r="W383" s="358"/>
      <c r="X383" s="358"/>
      <c r="Y383" s="358"/>
      <c r="Z383" s="358"/>
      <c r="AA383" s="358"/>
      <c r="AB383" s="358"/>
      <c r="AC383" s="358"/>
      <c r="AD383" s="358"/>
      <c r="AE383" s="358"/>
      <c r="AF383" s="358"/>
      <c r="AG383" s="358"/>
      <c r="AH383" s="358"/>
      <c r="AI383" s="358"/>
      <c r="AJ383" s="358"/>
      <c r="AK383" s="358"/>
      <c r="AL383" s="358"/>
      <c r="AM383" s="358"/>
      <c r="AN383" s="358"/>
      <c r="AO383" s="358"/>
      <c r="AP383" s="358"/>
      <c r="AQ383" s="358"/>
      <c r="AR383" s="358"/>
      <c r="AS383" s="358"/>
      <c r="AT383" s="358"/>
      <c r="AU383" s="358"/>
      <c r="AV383" s="358"/>
      <c r="AW383" s="358"/>
      <c r="AX383" s="358"/>
      <c r="AY383" s="358"/>
      <c r="AZ383" s="358"/>
      <c r="BA383" s="358"/>
      <c r="BB383" s="358"/>
      <c r="BC383" s="358"/>
      <c r="BD383" s="358"/>
      <c r="BE383" s="358"/>
      <c r="BF383" s="358"/>
      <c r="BG383" s="358"/>
      <c r="BH383" s="358"/>
      <c r="BI383" s="358"/>
      <c r="BJ383" s="358"/>
      <c r="BK383" s="358"/>
      <c r="BL383" s="358"/>
      <c r="BM383" s="358"/>
      <c r="BN383" s="358"/>
      <c r="BO383" s="358"/>
      <c r="BP383" s="358"/>
      <c r="BQ383" s="358"/>
      <c r="BR383" s="358"/>
      <c r="BS383" s="358"/>
      <c r="BT383" s="358"/>
      <c r="BU383" s="358"/>
      <c r="BV383" s="358"/>
      <c r="BW383" s="358"/>
      <c r="BX383" s="358"/>
      <c r="BY383" s="358"/>
      <c r="BZ383" s="358"/>
      <c r="CA383" s="358"/>
      <c r="CB383" s="358"/>
      <c r="CC383" s="358"/>
      <c r="CD383" s="358"/>
      <c r="CE383" s="358"/>
      <c r="CF383" s="358"/>
      <c r="CG383" s="358"/>
      <c r="CH383" s="358"/>
      <c r="CI383" s="358"/>
      <c r="CJ383" s="358"/>
      <c r="CK383" s="358"/>
      <c r="CL383" s="358"/>
      <c r="CM383" s="358"/>
      <c r="CN383" s="358"/>
      <c r="CO383" s="358"/>
      <c r="CP383" s="358"/>
      <c r="CQ383" s="358"/>
      <c r="CR383" s="358"/>
      <c r="CS383" s="358"/>
      <c r="CT383" s="358"/>
      <c r="CU383" s="358"/>
      <c r="CV383" s="358"/>
      <c r="CW383" s="358"/>
      <c r="CX383" s="358"/>
      <c r="CY383" s="358"/>
      <c r="CZ383" s="358"/>
      <c r="DA383" s="358"/>
      <c r="DB383" s="358"/>
      <c r="DC383" s="358"/>
      <c r="DD383" s="358"/>
      <c r="DE383" s="358"/>
      <c r="DF383" s="358"/>
      <c r="DG383" s="358"/>
      <c r="DH383" s="358"/>
      <c r="DI383" s="358"/>
      <c r="DJ383" s="358"/>
      <c r="DK383" s="358"/>
      <c r="DL383" s="358"/>
      <c r="DM383" s="358"/>
      <c r="DN383" s="358"/>
      <c r="DO383" s="358"/>
      <c r="DP383" s="358"/>
      <c r="DQ383" s="358"/>
      <c r="DR383" s="358"/>
      <c r="DS383" s="358"/>
      <c r="DT383" s="358"/>
      <c r="DU383" s="358"/>
      <c r="DV383" s="358"/>
      <c r="DW383" s="358"/>
      <c r="DX383" s="358"/>
      <c r="DY383" s="358"/>
      <c r="DZ383" s="358"/>
      <c r="EA383" s="358"/>
      <c r="EB383" s="358"/>
      <c r="EC383" s="358"/>
      <c r="ED383" s="358"/>
      <c r="EE383" s="358"/>
      <c r="EF383" s="358"/>
      <c r="EG383" s="358"/>
      <c r="EH383" s="358"/>
      <c r="EI383" s="358"/>
      <c r="EJ383" s="358"/>
      <c r="EK383" s="358"/>
      <c r="EL383" s="358"/>
      <c r="EM383" s="358"/>
      <c r="EN383" s="358"/>
      <c r="EO383" s="358"/>
      <c r="EP383" s="358"/>
      <c r="EQ383" s="358"/>
      <c r="ER383" s="358"/>
      <c r="ES383" s="358"/>
      <c r="ET383" s="358"/>
      <c r="EU383" s="358"/>
      <c r="EV383" s="358"/>
      <c r="EW383" s="358"/>
      <c r="EX383" s="358"/>
      <c r="EY383" s="358"/>
      <c r="EZ383" s="358"/>
      <c r="FA383" s="358"/>
      <c r="FB383" s="358"/>
      <c r="FC383" s="358"/>
      <c r="FD383" s="358"/>
      <c r="FE383" s="358"/>
      <c r="FF383" s="358"/>
      <c r="FG383" s="358"/>
      <c r="FH383" s="358"/>
      <c r="FI383" s="358"/>
      <c r="FJ383" s="358"/>
      <c r="FK383" s="358"/>
      <c r="FL383" s="358"/>
      <c r="FM383" s="358"/>
      <c r="FN383" s="358"/>
      <c r="FO383" s="358"/>
      <c r="FP383" s="358"/>
      <c r="FQ383" s="358"/>
      <c r="FR383" s="358"/>
      <c r="FS383" s="358"/>
      <c r="FT383" s="358"/>
      <c r="FU383" s="358"/>
      <c r="FV383" s="358"/>
      <c r="FW383" s="358"/>
      <c r="FX383" s="358"/>
      <c r="FY383" s="358"/>
      <c r="FZ383" s="358"/>
      <c r="GA383" s="358"/>
      <c r="GB383" s="358"/>
      <c r="GC383" s="358"/>
      <c r="GD383" s="358"/>
      <c r="GE383" s="358"/>
      <c r="GF383" s="358"/>
      <c r="GG383" s="358"/>
      <c r="GH383" s="358"/>
      <c r="GI383" s="358"/>
      <c r="GJ383" s="358"/>
      <c r="GK383" s="358"/>
      <c r="GL383" s="358"/>
      <c r="GM383" s="358"/>
      <c r="GN383" s="358"/>
      <c r="GO383" s="358"/>
      <c r="GP383" s="358"/>
      <c r="GQ383" s="358"/>
      <c r="GR383" s="358"/>
      <c r="GS383" s="358"/>
      <c r="GT383" s="358"/>
      <c r="GU383" s="358"/>
      <c r="GV383" s="358"/>
      <c r="GW383" s="358"/>
      <c r="GX383" s="358"/>
      <c r="GY383" s="358"/>
      <c r="GZ383" s="358"/>
      <c r="HA383" s="358"/>
      <c r="HB383" s="358"/>
      <c r="HC383" s="358"/>
      <c r="HD383" s="358"/>
      <c r="HE383" s="358"/>
      <c r="HF383" s="358"/>
      <c r="HG383" s="358"/>
      <c r="HH383" s="358"/>
      <c r="HI383" s="358"/>
      <c r="HJ383" s="358"/>
      <c r="HK383" s="358"/>
      <c r="HL383" s="358"/>
      <c r="HM383" s="358"/>
      <c r="HN383" s="358"/>
      <c r="HO383" s="358"/>
      <c r="HP383" s="358"/>
      <c r="HQ383" s="358"/>
      <c r="HR383" s="358"/>
      <c r="HS383" s="358"/>
      <c r="HT383" s="358"/>
      <c r="HU383" s="358"/>
      <c r="HV383" s="358"/>
      <c r="HW383" s="358"/>
      <c r="HX383" s="358"/>
    </row>
    <row r="384" spans="1:232" s="5" customFormat="1" ht="20.100000000000001" customHeight="1">
      <c r="A384" s="503">
        <v>2</v>
      </c>
      <c r="B384" s="1597" t="s">
        <v>434</v>
      </c>
      <c r="C384" s="1597"/>
      <c r="D384" s="1597"/>
      <c r="E384" s="1597"/>
      <c r="F384" s="1598" t="s">
        <v>450</v>
      </c>
      <c r="G384" s="1598"/>
      <c r="H384" s="1598"/>
      <c r="I384" s="562" t="s">
        <v>471</v>
      </c>
      <c r="J384" s="506"/>
      <c r="O384" s="406"/>
      <c r="P384" s="406"/>
      <c r="Q384" s="406"/>
      <c r="R384" s="406"/>
      <c r="S384" s="406"/>
      <c r="T384" s="406"/>
      <c r="U384" s="358"/>
      <c r="V384" s="358"/>
      <c r="W384" s="358"/>
      <c r="X384" s="358"/>
      <c r="Y384" s="358"/>
      <c r="Z384" s="358"/>
      <c r="AA384" s="358"/>
      <c r="AB384" s="358"/>
      <c r="AC384" s="358"/>
      <c r="AD384" s="358"/>
      <c r="AE384" s="358"/>
      <c r="AF384" s="358"/>
      <c r="AG384" s="358"/>
      <c r="AH384" s="358"/>
      <c r="AI384" s="358"/>
      <c r="AJ384" s="358"/>
      <c r="AK384" s="358"/>
      <c r="AL384" s="358"/>
      <c r="AM384" s="358"/>
      <c r="AN384" s="358"/>
      <c r="AO384" s="358"/>
      <c r="AP384" s="358"/>
      <c r="AQ384" s="358"/>
      <c r="AR384" s="358"/>
      <c r="AS384" s="358"/>
      <c r="AT384" s="358"/>
      <c r="AU384" s="358"/>
      <c r="AV384" s="358"/>
      <c r="AW384" s="358"/>
      <c r="AX384" s="358"/>
      <c r="AY384" s="358"/>
      <c r="AZ384" s="358"/>
      <c r="BA384" s="358"/>
      <c r="BB384" s="358"/>
      <c r="BC384" s="358"/>
      <c r="BD384" s="358"/>
      <c r="BE384" s="358"/>
      <c r="BF384" s="358"/>
      <c r="BG384" s="358"/>
      <c r="BH384" s="358"/>
      <c r="BI384" s="358"/>
      <c r="BJ384" s="358"/>
      <c r="BK384" s="358"/>
      <c r="BL384" s="358"/>
      <c r="BM384" s="358"/>
      <c r="BN384" s="358"/>
      <c r="BO384" s="358"/>
      <c r="BP384" s="358"/>
      <c r="BQ384" s="358"/>
      <c r="BR384" s="358"/>
      <c r="BS384" s="358"/>
      <c r="BT384" s="358"/>
      <c r="BU384" s="358"/>
      <c r="BV384" s="358"/>
      <c r="BW384" s="358"/>
      <c r="BX384" s="358"/>
      <c r="BY384" s="358"/>
      <c r="BZ384" s="358"/>
      <c r="CA384" s="358"/>
      <c r="CB384" s="358"/>
      <c r="CC384" s="358"/>
      <c r="CD384" s="358"/>
      <c r="CE384" s="358"/>
      <c r="CF384" s="358"/>
      <c r="CG384" s="358"/>
      <c r="CH384" s="358"/>
      <c r="CI384" s="358"/>
      <c r="CJ384" s="358"/>
      <c r="CK384" s="358"/>
      <c r="CL384" s="358"/>
      <c r="CM384" s="358"/>
      <c r="CN384" s="358"/>
      <c r="CO384" s="358"/>
      <c r="CP384" s="358"/>
      <c r="CQ384" s="358"/>
      <c r="CR384" s="358"/>
      <c r="CS384" s="358"/>
      <c r="CT384" s="358"/>
      <c r="CU384" s="358"/>
      <c r="CV384" s="358"/>
      <c r="CW384" s="358"/>
      <c r="CX384" s="358"/>
      <c r="CY384" s="358"/>
      <c r="CZ384" s="358"/>
      <c r="DA384" s="358"/>
      <c r="DB384" s="358"/>
      <c r="DC384" s="358"/>
      <c r="DD384" s="358"/>
      <c r="DE384" s="358"/>
      <c r="DF384" s="358"/>
      <c r="DG384" s="358"/>
      <c r="DH384" s="358"/>
      <c r="DI384" s="358"/>
      <c r="DJ384" s="358"/>
      <c r="DK384" s="358"/>
      <c r="DL384" s="358"/>
      <c r="DM384" s="358"/>
      <c r="DN384" s="358"/>
      <c r="DO384" s="358"/>
      <c r="DP384" s="358"/>
      <c r="DQ384" s="358"/>
      <c r="DR384" s="358"/>
      <c r="DS384" s="358"/>
      <c r="DT384" s="358"/>
      <c r="DU384" s="358"/>
      <c r="DV384" s="358"/>
      <c r="DW384" s="358"/>
      <c r="DX384" s="358"/>
      <c r="DY384" s="358"/>
      <c r="DZ384" s="358"/>
      <c r="EA384" s="358"/>
      <c r="EB384" s="358"/>
      <c r="EC384" s="358"/>
      <c r="ED384" s="358"/>
      <c r="EE384" s="358"/>
      <c r="EF384" s="358"/>
      <c r="EG384" s="358"/>
      <c r="EH384" s="358"/>
      <c r="EI384" s="358"/>
      <c r="EJ384" s="358"/>
      <c r="EK384" s="358"/>
      <c r="EL384" s="358"/>
      <c r="EM384" s="358"/>
      <c r="EN384" s="358"/>
      <c r="EO384" s="358"/>
      <c r="EP384" s="358"/>
      <c r="EQ384" s="358"/>
      <c r="ER384" s="358"/>
      <c r="ES384" s="358"/>
      <c r="ET384" s="358"/>
      <c r="EU384" s="358"/>
      <c r="EV384" s="358"/>
      <c r="EW384" s="358"/>
      <c r="EX384" s="358"/>
      <c r="EY384" s="358"/>
      <c r="EZ384" s="358"/>
      <c r="FA384" s="358"/>
      <c r="FB384" s="358"/>
      <c r="FC384" s="358"/>
      <c r="FD384" s="358"/>
      <c r="FE384" s="358"/>
      <c r="FF384" s="358"/>
      <c r="FG384" s="358"/>
      <c r="FH384" s="358"/>
      <c r="FI384" s="358"/>
      <c r="FJ384" s="358"/>
      <c r="FK384" s="358"/>
      <c r="FL384" s="358"/>
      <c r="FM384" s="358"/>
      <c r="FN384" s="358"/>
      <c r="FO384" s="358"/>
      <c r="FP384" s="358"/>
      <c r="FQ384" s="358"/>
      <c r="FR384" s="358"/>
      <c r="FS384" s="358"/>
      <c r="FT384" s="358"/>
      <c r="FU384" s="358"/>
      <c r="FV384" s="358"/>
      <c r="FW384" s="358"/>
      <c r="FX384" s="358"/>
      <c r="FY384" s="358"/>
      <c r="FZ384" s="358"/>
      <c r="GA384" s="358"/>
      <c r="GB384" s="358"/>
      <c r="GC384" s="358"/>
      <c r="GD384" s="358"/>
      <c r="GE384" s="358"/>
      <c r="GF384" s="358"/>
      <c r="GG384" s="358"/>
      <c r="GH384" s="358"/>
      <c r="GI384" s="358"/>
      <c r="GJ384" s="358"/>
      <c r="GK384" s="358"/>
      <c r="GL384" s="358"/>
      <c r="GM384" s="358"/>
      <c r="GN384" s="358"/>
      <c r="GO384" s="358"/>
      <c r="GP384" s="358"/>
      <c r="GQ384" s="358"/>
      <c r="GR384" s="358"/>
      <c r="GS384" s="358"/>
      <c r="GT384" s="358"/>
      <c r="GU384" s="358"/>
      <c r="GV384" s="358"/>
      <c r="GW384" s="358"/>
      <c r="GX384" s="358"/>
      <c r="GY384" s="358"/>
      <c r="GZ384" s="358"/>
      <c r="HA384" s="358"/>
      <c r="HB384" s="358"/>
      <c r="HC384" s="358"/>
      <c r="HD384" s="358"/>
      <c r="HE384" s="358"/>
      <c r="HF384" s="358"/>
      <c r="HG384" s="358"/>
      <c r="HH384" s="358"/>
      <c r="HI384" s="358"/>
      <c r="HJ384" s="358"/>
      <c r="HK384" s="358"/>
      <c r="HL384" s="358"/>
      <c r="HM384" s="358"/>
      <c r="HN384" s="358"/>
      <c r="HO384" s="358"/>
      <c r="HP384" s="358"/>
      <c r="HQ384" s="358"/>
      <c r="HR384" s="358"/>
      <c r="HS384" s="358"/>
      <c r="HT384" s="358"/>
      <c r="HU384" s="358"/>
      <c r="HV384" s="358"/>
      <c r="HW384" s="358"/>
      <c r="HX384" s="358"/>
    </row>
    <row r="385" spans="1:232" s="5" customFormat="1" ht="20.100000000000001" customHeight="1">
      <c r="A385" s="503">
        <v>3</v>
      </c>
      <c r="B385" s="1661" t="s">
        <v>61</v>
      </c>
      <c r="C385" s="1662"/>
      <c r="D385" s="1662"/>
      <c r="E385" s="1663"/>
      <c r="F385" s="1598" t="s">
        <v>435</v>
      </c>
      <c r="G385" s="1598"/>
      <c r="H385" s="1598"/>
      <c r="I385" s="562" t="s">
        <v>471</v>
      </c>
      <c r="J385" s="506"/>
      <c r="O385" s="406"/>
      <c r="P385" s="406"/>
      <c r="Q385" s="406"/>
      <c r="R385" s="406"/>
      <c r="S385" s="406"/>
      <c r="T385" s="405"/>
      <c r="U385" s="358"/>
      <c r="V385" s="358"/>
      <c r="W385" s="358"/>
      <c r="X385" s="358"/>
      <c r="Y385" s="358"/>
      <c r="Z385" s="358"/>
      <c r="AA385" s="358"/>
      <c r="AB385" s="358"/>
      <c r="AC385" s="358"/>
      <c r="AD385" s="358"/>
      <c r="AE385" s="358"/>
      <c r="AF385" s="358"/>
      <c r="AG385" s="358"/>
      <c r="AH385" s="358"/>
      <c r="AI385" s="358"/>
      <c r="AJ385" s="358"/>
      <c r="AK385" s="358"/>
      <c r="AL385" s="358"/>
      <c r="AM385" s="358"/>
      <c r="AN385" s="358"/>
      <c r="AO385" s="358"/>
      <c r="AP385" s="358"/>
      <c r="AQ385" s="358"/>
      <c r="AR385" s="358"/>
      <c r="AS385" s="358"/>
      <c r="AT385" s="358"/>
      <c r="AU385" s="358"/>
      <c r="AV385" s="358"/>
      <c r="AW385" s="358"/>
      <c r="AX385" s="358"/>
      <c r="AY385" s="358"/>
      <c r="AZ385" s="358"/>
      <c r="BA385" s="358"/>
      <c r="BB385" s="358"/>
      <c r="BC385" s="358"/>
      <c r="BD385" s="358"/>
      <c r="BE385" s="358"/>
      <c r="BF385" s="358"/>
      <c r="BG385" s="358"/>
      <c r="BH385" s="358"/>
      <c r="BI385" s="358"/>
      <c r="BJ385" s="358"/>
      <c r="BK385" s="358"/>
      <c r="BL385" s="358"/>
      <c r="BM385" s="358"/>
      <c r="BN385" s="358"/>
      <c r="BO385" s="358"/>
      <c r="BP385" s="358"/>
      <c r="BQ385" s="358"/>
      <c r="BR385" s="358"/>
      <c r="BS385" s="358"/>
      <c r="BT385" s="358"/>
      <c r="BU385" s="358"/>
      <c r="BV385" s="358"/>
      <c r="BW385" s="358"/>
      <c r="BX385" s="358"/>
      <c r="BY385" s="358"/>
      <c r="BZ385" s="358"/>
      <c r="CA385" s="358"/>
      <c r="CB385" s="358"/>
      <c r="CC385" s="358"/>
      <c r="CD385" s="358"/>
      <c r="CE385" s="358"/>
      <c r="CF385" s="358"/>
      <c r="CG385" s="358"/>
      <c r="CH385" s="358"/>
      <c r="CI385" s="358"/>
      <c r="CJ385" s="358"/>
      <c r="CK385" s="358"/>
      <c r="CL385" s="358"/>
      <c r="CM385" s="358"/>
      <c r="CN385" s="358"/>
      <c r="CO385" s="358"/>
      <c r="CP385" s="358"/>
      <c r="CQ385" s="358"/>
      <c r="CR385" s="358"/>
      <c r="CS385" s="358"/>
      <c r="CT385" s="358"/>
      <c r="CU385" s="358"/>
      <c r="CV385" s="358"/>
      <c r="CW385" s="358"/>
      <c r="CX385" s="358"/>
      <c r="CY385" s="358"/>
      <c r="CZ385" s="358"/>
      <c r="DA385" s="358"/>
      <c r="DB385" s="358"/>
      <c r="DC385" s="358"/>
      <c r="DD385" s="358"/>
      <c r="DE385" s="358"/>
      <c r="DF385" s="358"/>
      <c r="DG385" s="358"/>
      <c r="DH385" s="358"/>
      <c r="DI385" s="358"/>
      <c r="DJ385" s="358"/>
      <c r="DK385" s="358"/>
      <c r="DL385" s="358"/>
      <c r="DM385" s="358"/>
      <c r="DN385" s="358"/>
      <c r="DO385" s="358"/>
      <c r="DP385" s="358"/>
      <c r="DQ385" s="358"/>
      <c r="DR385" s="358"/>
      <c r="DS385" s="358"/>
      <c r="DT385" s="358"/>
      <c r="DU385" s="358"/>
      <c r="DV385" s="358"/>
      <c r="DW385" s="358"/>
      <c r="DX385" s="358"/>
      <c r="DY385" s="358"/>
      <c r="DZ385" s="358"/>
      <c r="EA385" s="358"/>
      <c r="EB385" s="358"/>
      <c r="EC385" s="358"/>
      <c r="ED385" s="358"/>
      <c r="EE385" s="358"/>
      <c r="EF385" s="358"/>
      <c r="EG385" s="358"/>
      <c r="EH385" s="358"/>
      <c r="EI385" s="358"/>
      <c r="EJ385" s="358"/>
      <c r="EK385" s="358"/>
      <c r="EL385" s="358"/>
      <c r="EM385" s="358"/>
      <c r="EN385" s="358"/>
      <c r="EO385" s="358"/>
      <c r="EP385" s="358"/>
      <c r="EQ385" s="358"/>
      <c r="ER385" s="358"/>
      <c r="ES385" s="358"/>
      <c r="ET385" s="358"/>
      <c r="EU385" s="358"/>
      <c r="EV385" s="358"/>
      <c r="EW385" s="358"/>
      <c r="EX385" s="358"/>
      <c r="EY385" s="358"/>
      <c r="EZ385" s="358"/>
      <c r="FA385" s="358"/>
      <c r="FB385" s="358"/>
      <c r="FC385" s="358"/>
      <c r="FD385" s="358"/>
      <c r="FE385" s="358"/>
      <c r="FF385" s="358"/>
      <c r="FG385" s="358"/>
      <c r="FH385" s="358"/>
      <c r="FI385" s="358"/>
      <c r="FJ385" s="358"/>
      <c r="FK385" s="358"/>
      <c r="FL385" s="358"/>
      <c r="FM385" s="358"/>
      <c r="FN385" s="358"/>
      <c r="FO385" s="358"/>
      <c r="FP385" s="358"/>
      <c r="FQ385" s="358"/>
      <c r="FR385" s="358"/>
      <c r="FS385" s="358"/>
      <c r="FT385" s="358"/>
      <c r="FU385" s="358"/>
      <c r="FV385" s="358"/>
      <c r="FW385" s="358"/>
      <c r="FX385" s="358"/>
      <c r="FY385" s="358"/>
      <c r="FZ385" s="358"/>
      <c r="GA385" s="358"/>
      <c r="GB385" s="358"/>
      <c r="GC385" s="358"/>
      <c r="GD385" s="358"/>
      <c r="GE385" s="358"/>
      <c r="GF385" s="358"/>
      <c r="GG385" s="358"/>
      <c r="GH385" s="358"/>
      <c r="GI385" s="358"/>
      <c r="GJ385" s="358"/>
      <c r="GK385" s="358"/>
      <c r="GL385" s="358"/>
      <c r="GM385" s="358"/>
      <c r="GN385" s="358"/>
      <c r="GO385" s="358"/>
      <c r="GP385" s="358"/>
      <c r="GQ385" s="358"/>
      <c r="GR385" s="358"/>
      <c r="GS385" s="358"/>
      <c r="GT385" s="358"/>
      <c r="GU385" s="358"/>
      <c r="GV385" s="358"/>
      <c r="GW385" s="358"/>
      <c r="GX385" s="358"/>
      <c r="GY385" s="358"/>
      <c r="GZ385" s="358"/>
      <c r="HA385" s="358"/>
      <c r="HB385" s="358"/>
      <c r="HC385" s="358"/>
      <c r="HD385" s="358"/>
      <c r="HE385" s="358"/>
      <c r="HF385" s="358"/>
      <c r="HG385" s="358"/>
      <c r="HH385" s="358"/>
      <c r="HI385" s="358"/>
      <c r="HJ385" s="358"/>
      <c r="HK385" s="358"/>
      <c r="HL385" s="358"/>
      <c r="HM385" s="358"/>
      <c r="HN385" s="358"/>
      <c r="HO385" s="358"/>
      <c r="HP385" s="358"/>
      <c r="HQ385" s="358"/>
      <c r="HR385" s="358"/>
      <c r="HS385" s="358"/>
      <c r="HT385" s="358"/>
      <c r="HU385" s="358"/>
      <c r="HV385" s="358"/>
      <c r="HW385" s="358"/>
      <c r="HX385" s="358"/>
    </row>
    <row r="386" spans="1:232" s="5" customFormat="1" ht="20.100000000000001" customHeight="1">
      <c r="A386" s="503"/>
      <c r="B386" s="1661"/>
      <c r="C386" s="1662"/>
      <c r="D386" s="1662"/>
      <c r="E386" s="1663"/>
      <c r="F386" s="1598"/>
      <c r="G386" s="1598"/>
      <c r="H386" s="1598"/>
      <c r="I386" s="562"/>
      <c r="J386" s="506"/>
      <c r="O386" s="405"/>
      <c r="P386" s="405"/>
      <c r="Q386" s="405"/>
      <c r="R386" s="405"/>
      <c r="S386" s="405"/>
      <c r="T386" s="405"/>
      <c r="U386" s="358"/>
      <c r="V386" s="358"/>
      <c r="W386" s="358"/>
      <c r="X386" s="358"/>
      <c r="Y386" s="358"/>
      <c r="Z386" s="358"/>
      <c r="AA386" s="358"/>
      <c r="AB386" s="358"/>
      <c r="AC386" s="358"/>
      <c r="AD386" s="358"/>
      <c r="AE386" s="358"/>
      <c r="AF386" s="358"/>
      <c r="AG386" s="358"/>
      <c r="AH386" s="358"/>
      <c r="AI386" s="358"/>
      <c r="AJ386" s="358"/>
      <c r="AK386" s="358"/>
      <c r="AL386" s="358"/>
      <c r="AM386" s="358"/>
      <c r="AN386" s="358"/>
      <c r="AO386" s="358"/>
      <c r="AP386" s="358"/>
      <c r="AQ386" s="358"/>
      <c r="AR386" s="358"/>
      <c r="AS386" s="358"/>
      <c r="AT386" s="358"/>
      <c r="AU386" s="358"/>
      <c r="AV386" s="358"/>
      <c r="AW386" s="358"/>
      <c r="AX386" s="358"/>
      <c r="AY386" s="358"/>
      <c r="AZ386" s="358"/>
      <c r="BA386" s="358"/>
      <c r="BB386" s="358"/>
      <c r="BC386" s="358"/>
      <c r="BD386" s="358"/>
      <c r="BE386" s="358"/>
      <c r="BF386" s="358"/>
      <c r="BG386" s="358"/>
      <c r="BH386" s="358"/>
      <c r="BI386" s="358"/>
      <c r="BJ386" s="358"/>
      <c r="BK386" s="358"/>
      <c r="BL386" s="358"/>
      <c r="BM386" s="358"/>
      <c r="BN386" s="358"/>
      <c r="BO386" s="358"/>
      <c r="BP386" s="358"/>
      <c r="BQ386" s="358"/>
      <c r="BR386" s="358"/>
      <c r="BS386" s="358"/>
      <c r="BT386" s="358"/>
      <c r="BU386" s="358"/>
      <c r="BV386" s="358"/>
      <c r="BW386" s="358"/>
      <c r="BX386" s="358"/>
      <c r="BY386" s="358"/>
      <c r="BZ386" s="358"/>
      <c r="CA386" s="358"/>
      <c r="CB386" s="358"/>
      <c r="CC386" s="358"/>
      <c r="CD386" s="358"/>
      <c r="CE386" s="358"/>
      <c r="CF386" s="358"/>
      <c r="CG386" s="358"/>
      <c r="CH386" s="358"/>
      <c r="CI386" s="358"/>
      <c r="CJ386" s="358"/>
      <c r="CK386" s="358"/>
      <c r="CL386" s="358"/>
      <c r="CM386" s="358"/>
      <c r="CN386" s="358"/>
      <c r="CO386" s="358"/>
      <c r="CP386" s="358"/>
      <c r="CQ386" s="358"/>
      <c r="CR386" s="358"/>
      <c r="CS386" s="358"/>
      <c r="CT386" s="358"/>
      <c r="CU386" s="358"/>
      <c r="CV386" s="358"/>
      <c r="CW386" s="358"/>
      <c r="CX386" s="358"/>
      <c r="CY386" s="358"/>
      <c r="CZ386" s="358"/>
      <c r="DA386" s="358"/>
      <c r="DB386" s="358"/>
      <c r="DC386" s="358"/>
      <c r="DD386" s="358"/>
      <c r="DE386" s="358"/>
      <c r="DF386" s="358"/>
      <c r="DG386" s="358"/>
      <c r="DH386" s="358"/>
      <c r="DI386" s="358"/>
      <c r="DJ386" s="358"/>
      <c r="DK386" s="358"/>
      <c r="DL386" s="358"/>
      <c r="DM386" s="358"/>
      <c r="DN386" s="358"/>
      <c r="DO386" s="358"/>
      <c r="DP386" s="358"/>
      <c r="DQ386" s="358"/>
      <c r="DR386" s="358"/>
      <c r="DS386" s="358"/>
      <c r="DT386" s="358"/>
      <c r="DU386" s="358"/>
      <c r="DV386" s="358"/>
      <c r="DW386" s="358"/>
      <c r="DX386" s="358"/>
      <c r="DY386" s="358"/>
      <c r="DZ386" s="358"/>
      <c r="EA386" s="358"/>
      <c r="EB386" s="358"/>
      <c r="EC386" s="358"/>
      <c r="ED386" s="358"/>
      <c r="EE386" s="358"/>
      <c r="EF386" s="358"/>
      <c r="EG386" s="358"/>
      <c r="EH386" s="358"/>
      <c r="EI386" s="358"/>
      <c r="EJ386" s="358"/>
      <c r="EK386" s="358"/>
      <c r="EL386" s="358"/>
      <c r="EM386" s="358"/>
      <c r="EN386" s="358"/>
      <c r="EO386" s="358"/>
      <c r="EP386" s="358"/>
      <c r="EQ386" s="358"/>
      <c r="ER386" s="358"/>
      <c r="ES386" s="358"/>
      <c r="ET386" s="358"/>
      <c r="EU386" s="358"/>
      <c r="EV386" s="358"/>
      <c r="EW386" s="358"/>
      <c r="EX386" s="358"/>
      <c r="EY386" s="358"/>
      <c r="EZ386" s="358"/>
      <c r="FA386" s="358"/>
      <c r="FB386" s="358"/>
      <c r="FC386" s="358"/>
      <c r="FD386" s="358"/>
      <c r="FE386" s="358"/>
      <c r="FF386" s="358"/>
      <c r="FG386" s="358"/>
      <c r="FH386" s="358"/>
      <c r="FI386" s="358"/>
      <c r="FJ386" s="358"/>
      <c r="FK386" s="358"/>
      <c r="FL386" s="358"/>
      <c r="FM386" s="358"/>
      <c r="FN386" s="358"/>
      <c r="FO386" s="358"/>
      <c r="FP386" s="358"/>
      <c r="FQ386" s="358"/>
      <c r="FR386" s="358"/>
      <c r="FS386" s="358"/>
      <c r="FT386" s="358"/>
      <c r="FU386" s="358"/>
      <c r="FV386" s="358"/>
      <c r="FW386" s="358"/>
      <c r="FX386" s="358"/>
      <c r="FY386" s="358"/>
      <c r="FZ386" s="358"/>
      <c r="GA386" s="358"/>
      <c r="GB386" s="358"/>
      <c r="GC386" s="358"/>
      <c r="GD386" s="358"/>
      <c r="GE386" s="358"/>
      <c r="GF386" s="358"/>
      <c r="GG386" s="358"/>
      <c r="GH386" s="358"/>
      <c r="GI386" s="358"/>
      <c r="GJ386" s="358"/>
      <c r="GK386" s="358"/>
      <c r="GL386" s="358"/>
      <c r="GM386" s="358"/>
      <c r="GN386" s="358"/>
      <c r="GO386" s="358"/>
      <c r="GP386" s="358"/>
      <c r="GQ386" s="358"/>
      <c r="GR386" s="358"/>
      <c r="GS386" s="358"/>
      <c r="GT386" s="358"/>
      <c r="GU386" s="358"/>
      <c r="GV386" s="358"/>
      <c r="GW386" s="358"/>
      <c r="GX386" s="358"/>
      <c r="GY386" s="358"/>
      <c r="GZ386" s="358"/>
      <c r="HA386" s="358"/>
      <c r="HB386" s="358"/>
      <c r="HC386" s="358"/>
      <c r="HD386" s="358"/>
      <c r="HE386" s="358"/>
      <c r="HF386" s="358"/>
      <c r="HG386" s="358"/>
      <c r="HH386" s="358"/>
      <c r="HI386" s="358"/>
      <c r="HJ386" s="358"/>
      <c r="HK386" s="358"/>
      <c r="HL386" s="358"/>
      <c r="HM386" s="358"/>
      <c r="HN386" s="358"/>
      <c r="HO386" s="358"/>
      <c r="HP386" s="358"/>
      <c r="HQ386" s="358"/>
      <c r="HR386" s="358"/>
      <c r="HS386" s="358"/>
      <c r="HT386" s="358"/>
      <c r="HU386" s="358"/>
      <c r="HV386" s="358"/>
      <c r="HW386" s="358"/>
      <c r="HX386" s="358"/>
    </row>
    <row r="387" spans="1:232" s="5" customFormat="1" ht="20.100000000000001" customHeight="1">
      <c r="A387" s="503"/>
      <c r="B387" s="1661"/>
      <c r="C387" s="1662"/>
      <c r="D387" s="1662"/>
      <c r="E387" s="1663"/>
      <c r="F387" s="1598"/>
      <c r="G387" s="1598"/>
      <c r="H387" s="1598"/>
      <c r="I387" s="505"/>
      <c r="J387" s="506"/>
      <c r="O387" s="405"/>
      <c r="P387" s="405"/>
      <c r="Q387" s="405"/>
      <c r="R387" s="405"/>
      <c r="S387" s="405"/>
      <c r="T387" s="405"/>
      <c r="U387" s="358"/>
      <c r="V387" s="358"/>
      <c r="W387" s="358"/>
      <c r="X387" s="358"/>
      <c r="Y387" s="358"/>
      <c r="Z387" s="358"/>
      <c r="AA387" s="358"/>
      <c r="AB387" s="358"/>
      <c r="AC387" s="358"/>
      <c r="AD387" s="358"/>
      <c r="AE387" s="358"/>
      <c r="AF387" s="358"/>
      <c r="AG387" s="358"/>
      <c r="AH387" s="358"/>
      <c r="AI387" s="358"/>
      <c r="AJ387" s="358"/>
      <c r="AK387" s="358"/>
      <c r="AL387" s="358"/>
      <c r="AM387" s="358"/>
      <c r="AN387" s="358"/>
      <c r="AO387" s="358"/>
      <c r="AP387" s="358"/>
      <c r="AQ387" s="358"/>
      <c r="AR387" s="358"/>
      <c r="AS387" s="358"/>
      <c r="AT387" s="358"/>
      <c r="AU387" s="358"/>
      <c r="AV387" s="358"/>
      <c r="AW387" s="358"/>
      <c r="AX387" s="358"/>
      <c r="AY387" s="358"/>
      <c r="AZ387" s="358"/>
      <c r="BA387" s="358"/>
      <c r="BB387" s="358"/>
      <c r="BC387" s="358"/>
      <c r="BD387" s="358"/>
      <c r="BE387" s="358"/>
      <c r="BF387" s="358"/>
      <c r="BG387" s="358"/>
      <c r="BH387" s="358"/>
      <c r="BI387" s="358"/>
      <c r="BJ387" s="358"/>
      <c r="BK387" s="358"/>
      <c r="BL387" s="358"/>
      <c r="BM387" s="358"/>
      <c r="BN387" s="358"/>
      <c r="BO387" s="358"/>
      <c r="BP387" s="358"/>
      <c r="BQ387" s="358"/>
      <c r="BR387" s="358"/>
      <c r="BS387" s="358"/>
      <c r="BT387" s="358"/>
      <c r="BU387" s="358"/>
      <c r="BV387" s="358"/>
      <c r="BW387" s="358"/>
      <c r="BX387" s="358"/>
      <c r="BY387" s="358"/>
      <c r="BZ387" s="358"/>
      <c r="CA387" s="358"/>
      <c r="CB387" s="358"/>
      <c r="CC387" s="358"/>
      <c r="CD387" s="358"/>
      <c r="CE387" s="358"/>
      <c r="CF387" s="358"/>
      <c r="CG387" s="358"/>
      <c r="CH387" s="358"/>
      <c r="CI387" s="358"/>
      <c r="CJ387" s="358"/>
      <c r="CK387" s="358"/>
      <c r="CL387" s="358"/>
      <c r="CM387" s="358"/>
      <c r="CN387" s="358"/>
      <c r="CO387" s="358"/>
      <c r="CP387" s="358"/>
      <c r="CQ387" s="358"/>
      <c r="CR387" s="358"/>
      <c r="CS387" s="358"/>
      <c r="CT387" s="358"/>
      <c r="CU387" s="358"/>
      <c r="CV387" s="358"/>
      <c r="CW387" s="358"/>
      <c r="CX387" s="358"/>
      <c r="CY387" s="358"/>
      <c r="CZ387" s="358"/>
      <c r="DA387" s="358"/>
      <c r="DB387" s="358"/>
      <c r="DC387" s="358"/>
      <c r="DD387" s="358"/>
      <c r="DE387" s="358"/>
      <c r="DF387" s="358"/>
      <c r="DG387" s="358"/>
      <c r="DH387" s="358"/>
      <c r="DI387" s="358"/>
      <c r="DJ387" s="358"/>
      <c r="DK387" s="358"/>
      <c r="DL387" s="358"/>
      <c r="DM387" s="358"/>
      <c r="DN387" s="358"/>
      <c r="DO387" s="358"/>
      <c r="DP387" s="358"/>
      <c r="DQ387" s="358"/>
      <c r="DR387" s="358"/>
      <c r="DS387" s="358"/>
      <c r="DT387" s="358"/>
      <c r="DU387" s="358"/>
      <c r="DV387" s="358"/>
      <c r="DW387" s="358"/>
      <c r="DX387" s="358"/>
      <c r="DY387" s="358"/>
      <c r="DZ387" s="358"/>
      <c r="EA387" s="358"/>
      <c r="EB387" s="358"/>
      <c r="EC387" s="358"/>
      <c r="ED387" s="358"/>
      <c r="EE387" s="358"/>
      <c r="EF387" s="358"/>
      <c r="EG387" s="358"/>
      <c r="EH387" s="358"/>
      <c r="EI387" s="358"/>
      <c r="EJ387" s="358"/>
      <c r="EK387" s="358"/>
      <c r="EL387" s="358"/>
      <c r="EM387" s="358"/>
      <c r="EN387" s="358"/>
      <c r="EO387" s="358"/>
      <c r="EP387" s="358"/>
      <c r="EQ387" s="358"/>
      <c r="ER387" s="358"/>
      <c r="ES387" s="358"/>
      <c r="ET387" s="358"/>
      <c r="EU387" s="358"/>
      <c r="EV387" s="358"/>
      <c r="EW387" s="358"/>
      <c r="EX387" s="358"/>
      <c r="EY387" s="358"/>
      <c r="EZ387" s="358"/>
      <c r="FA387" s="358"/>
      <c r="FB387" s="358"/>
      <c r="FC387" s="358"/>
      <c r="FD387" s="358"/>
      <c r="FE387" s="358"/>
      <c r="FF387" s="358"/>
      <c r="FG387" s="358"/>
      <c r="FH387" s="358"/>
      <c r="FI387" s="358"/>
      <c r="FJ387" s="358"/>
      <c r="FK387" s="358"/>
      <c r="FL387" s="358"/>
      <c r="FM387" s="358"/>
      <c r="FN387" s="358"/>
      <c r="FO387" s="358"/>
      <c r="FP387" s="358"/>
      <c r="FQ387" s="358"/>
      <c r="FR387" s="358"/>
      <c r="FS387" s="358"/>
      <c r="FT387" s="358"/>
      <c r="FU387" s="358"/>
      <c r="FV387" s="358"/>
      <c r="FW387" s="358"/>
      <c r="FX387" s="358"/>
      <c r="FY387" s="358"/>
      <c r="FZ387" s="358"/>
      <c r="GA387" s="358"/>
      <c r="GB387" s="358"/>
      <c r="GC387" s="358"/>
      <c r="GD387" s="358"/>
      <c r="GE387" s="358"/>
      <c r="GF387" s="358"/>
      <c r="GG387" s="358"/>
      <c r="GH387" s="358"/>
      <c r="GI387" s="358"/>
      <c r="GJ387" s="358"/>
      <c r="GK387" s="358"/>
      <c r="GL387" s="358"/>
      <c r="GM387" s="358"/>
      <c r="GN387" s="358"/>
      <c r="GO387" s="358"/>
      <c r="GP387" s="358"/>
      <c r="GQ387" s="358"/>
      <c r="GR387" s="358"/>
      <c r="GS387" s="358"/>
      <c r="GT387" s="358"/>
      <c r="GU387" s="358"/>
      <c r="GV387" s="358"/>
      <c r="GW387" s="358"/>
      <c r="GX387" s="358"/>
      <c r="GY387" s="358"/>
      <c r="GZ387" s="358"/>
      <c r="HA387" s="358"/>
      <c r="HB387" s="358"/>
      <c r="HC387" s="358"/>
      <c r="HD387" s="358"/>
      <c r="HE387" s="358"/>
      <c r="HF387" s="358"/>
      <c r="HG387" s="358"/>
      <c r="HH387" s="358"/>
      <c r="HI387" s="358"/>
      <c r="HJ387" s="358"/>
      <c r="HK387" s="358"/>
      <c r="HL387" s="358"/>
      <c r="HM387" s="358"/>
      <c r="HN387" s="358"/>
      <c r="HO387" s="358"/>
      <c r="HP387" s="358"/>
      <c r="HQ387" s="358"/>
      <c r="HR387" s="358"/>
      <c r="HS387" s="358"/>
      <c r="HT387" s="358"/>
      <c r="HU387" s="358"/>
      <c r="HV387" s="358"/>
      <c r="HW387" s="358"/>
      <c r="HX387" s="358"/>
    </row>
    <row r="388" spans="1:232" s="5" customFormat="1" ht="20.100000000000001" customHeight="1">
      <c r="A388" s="503"/>
      <c r="B388" s="1597"/>
      <c r="C388" s="1597"/>
      <c r="D388" s="1597"/>
      <c r="E388" s="1597"/>
      <c r="F388" s="1598"/>
      <c r="G388" s="1598"/>
      <c r="H388" s="1598"/>
      <c r="I388" s="505"/>
      <c r="J388" s="506"/>
      <c r="O388" s="405"/>
      <c r="P388" s="405"/>
      <c r="Q388" s="405"/>
      <c r="R388" s="405"/>
      <c r="S388" s="405"/>
      <c r="T388" s="405"/>
      <c r="U388" s="358"/>
      <c r="V388" s="358"/>
      <c r="W388" s="358"/>
      <c r="X388" s="358"/>
      <c r="Y388" s="358"/>
      <c r="Z388" s="358"/>
      <c r="AA388" s="358"/>
      <c r="AB388" s="358"/>
      <c r="AC388" s="358"/>
      <c r="AD388" s="358"/>
      <c r="AE388" s="358"/>
      <c r="AF388" s="358"/>
      <c r="AG388" s="358"/>
      <c r="AH388" s="358"/>
      <c r="AI388" s="358"/>
      <c r="AJ388" s="358"/>
      <c r="AK388" s="358"/>
      <c r="AL388" s="358"/>
      <c r="AM388" s="358"/>
      <c r="AN388" s="358"/>
      <c r="AO388" s="358"/>
      <c r="AP388" s="358"/>
      <c r="AQ388" s="358"/>
      <c r="AR388" s="358"/>
      <c r="AS388" s="358"/>
      <c r="AT388" s="358"/>
      <c r="AU388" s="358"/>
      <c r="AV388" s="358"/>
      <c r="AW388" s="358"/>
      <c r="AX388" s="358"/>
      <c r="AY388" s="358"/>
      <c r="AZ388" s="358"/>
      <c r="BA388" s="358"/>
      <c r="BB388" s="358"/>
      <c r="BC388" s="358"/>
      <c r="BD388" s="358"/>
      <c r="BE388" s="358"/>
      <c r="BF388" s="358"/>
      <c r="BG388" s="358"/>
      <c r="BH388" s="358"/>
      <c r="BI388" s="358"/>
      <c r="BJ388" s="358"/>
      <c r="BK388" s="358"/>
      <c r="BL388" s="358"/>
      <c r="BM388" s="358"/>
      <c r="BN388" s="358"/>
      <c r="BO388" s="358"/>
      <c r="BP388" s="358"/>
      <c r="BQ388" s="358"/>
      <c r="BR388" s="358"/>
      <c r="BS388" s="358"/>
      <c r="BT388" s="358"/>
      <c r="BU388" s="358"/>
      <c r="BV388" s="358"/>
      <c r="BW388" s="358"/>
      <c r="BX388" s="358"/>
      <c r="BY388" s="358"/>
      <c r="BZ388" s="358"/>
      <c r="CA388" s="358"/>
      <c r="CB388" s="358"/>
      <c r="CC388" s="358"/>
      <c r="CD388" s="358"/>
      <c r="CE388" s="358"/>
      <c r="CF388" s="358"/>
      <c r="CG388" s="358"/>
      <c r="CH388" s="358"/>
      <c r="CI388" s="358"/>
      <c r="CJ388" s="358"/>
      <c r="CK388" s="358"/>
      <c r="CL388" s="358"/>
      <c r="CM388" s="358"/>
      <c r="CN388" s="358"/>
      <c r="CO388" s="358"/>
      <c r="CP388" s="358"/>
      <c r="CQ388" s="358"/>
      <c r="CR388" s="358"/>
      <c r="CS388" s="358"/>
      <c r="CT388" s="358"/>
      <c r="CU388" s="358"/>
      <c r="CV388" s="358"/>
      <c r="CW388" s="358"/>
      <c r="CX388" s="358"/>
      <c r="CY388" s="358"/>
      <c r="CZ388" s="358"/>
      <c r="DA388" s="358"/>
      <c r="DB388" s="358"/>
      <c r="DC388" s="358"/>
      <c r="DD388" s="358"/>
      <c r="DE388" s="358"/>
      <c r="DF388" s="358"/>
      <c r="DG388" s="358"/>
      <c r="DH388" s="358"/>
      <c r="DI388" s="358"/>
      <c r="DJ388" s="358"/>
      <c r="DK388" s="358"/>
      <c r="DL388" s="358"/>
      <c r="DM388" s="358"/>
      <c r="DN388" s="358"/>
      <c r="DO388" s="358"/>
      <c r="DP388" s="358"/>
      <c r="DQ388" s="358"/>
      <c r="DR388" s="358"/>
      <c r="DS388" s="358"/>
      <c r="DT388" s="358"/>
      <c r="DU388" s="358"/>
      <c r="DV388" s="358"/>
      <c r="DW388" s="358"/>
      <c r="DX388" s="358"/>
      <c r="DY388" s="358"/>
      <c r="DZ388" s="358"/>
      <c r="EA388" s="358"/>
      <c r="EB388" s="358"/>
      <c r="EC388" s="358"/>
      <c r="ED388" s="358"/>
      <c r="EE388" s="358"/>
      <c r="EF388" s="358"/>
      <c r="EG388" s="358"/>
      <c r="EH388" s="358"/>
      <c r="EI388" s="358"/>
      <c r="EJ388" s="358"/>
      <c r="EK388" s="358"/>
      <c r="EL388" s="358"/>
      <c r="EM388" s="358"/>
      <c r="EN388" s="358"/>
      <c r="EO388" s="358"/>
      <c r="EP388" s="358"/>
      <c r="EQ388" s="358"/>
      <c r="ER388" s="358"/>
      <c r="ES388" s="358"/>
      <c r="ET388" s="358"/>
      <c r="EU388" s="358"/>
      <c r="EV388" s="358"/>
      <c r="EW388" s="358"/>
      <c r="EX388" s="358"/>
      <c r="EY388" s="358"/>
      <c r="EZ388" s="358"/>
      <c r="FA388" s="358"/>
      <c r="FB388" s="358"/>
      <c r="FC388" s="358"/>
      <c r="FD388" s="358"/>
      <c r="FE388" s="358"/>
      <c r="FF388" s="358"/>
      <c r="FG388" s="358"/>
      <c r="FH388" s="358"/>
      <c r="FI388" s="358"/>
      <c r="FJ388" s="358"/>
      <c r="FK388" s="358"/>
      <c r="FL388" s="358"/>
      <c r="FM388" s="358"/>
      <c r="FN388" s="358"/>
      <c r="FO388" s="358"/>
      <c r="FP388" s="358"/>
      <c r="FQ388" s="358"/>
      <c r="FR388" s="358"/>
      <c r="FS388" s="358"/>
      <c r="FT388" s="358"/>
      <c r="FU388" s="358"/>
      <c r="FV388" s="358"/>
      <c r="FW388" s="358"/>
      <c r="FX388" s="358"/>
      <c r="FY388" s="358"/>
      <c r="FZ388" s="358"/>
      <c r="GA388" s="358"/>
      <c r="GB388" s="358"/>
      <c r="GC388" s="358"/>
      <c r="GD388" s="358"/>
      <c r="GE388" s="358"/>
      <c r="GF388" s="358"/>
      <c r="GG388" s="358"/>
      <c r="GH388" s="358"/>
      <c r="GI388" s="358"/>
      <c r="GJ388" s="358"/>
      <c r="GK388" s="358"/>
      <c r="GL388" s="358"/>
      <c r="GM388" s="358"/>
      <c r="GN388" s="358"/>
      <c r="GO388" s="358"/>
      <c r="GP388" s="358"/>
      <c r="GQ388" s="358"/>
      <c r="GR388" s="358"/>
      <c r="GS388" s="358"/>
      <c r="GT388" s="358"/>
      <c r="GU388" s="358"/>
      <c r="GV388" s="358"/>
      <c r="GW388" s="358"/>
      <c r="GX388" s="358"/>
      <c r="GY388" s="358"/>
      <c r="GZ388" s="358"/>
      <c r="HA388" s="358"/>
      <c r="HB388" s="358"/>
      <c r="HC388" s="358"/>
      <c r="HD388" s="358"/>
      <c r="HE388" s="358"/>
      <c r="HF388" s="358"/>
      <c r="HG388" s="358"/>
      <c r="HH388" s="358"/>
      <c r="HI388" s="358"/>
      <c r="HJ388" s="358"/>
      <c r="HK388" s="358"/>
      <c r="HL388" s="358"/>
      <c r="HM388" s="358"/>
      <c r="HN388" s="358"/>
      <c r="HO388" s="358"/>
      <c r="HP388" s="358"/>
      <c r="HQ388" s="358"/>
      <c r="HR388" s="358"/>
      <c r="HS388" s="358"/>
      <c r="HT388" s="358"/>
      <c r="HU388" s="358"/>
      <c r="HV388" s="358"/>
      <c r="HW388" s="358"/>
      <c r="HX388" s="358"/>
    </row>
    <row r="389" spans="1:232" s="5" customFormat="1" ht="20.100000000000001" customHeight="1">
      <c r="A389" s="503"/>
      <c r="B389" s="1597"/>
      <c r="C389" s="1597"/>
      <c r="D389" s="1597"/>
      <c r="E389" s="1597"/>
      <c r="F389" s="1598"/>
      <c r="G389" s="1598"/>
      <c r="H389" s="1598"/>
      <c r="I389" s="505"/>
      <c r="J389" s="506"/>
      <c r="O389" s="405"/>
      <c r="P389" s="405"/>
      <c r="Q389" s="405"/>
      <c r="R389" s="405"/>
      <c r="S389" s="405"/>
      <c r="T389" s="405"/>
      <c r="U389" s="358"/>
      <c r="V389" s="358"/>
      <c r="W389" s="358"/>
      <c r="X389" s="358"/>
      <c r="Y389" s="358"/>
      <c r="Z389" s="358"/>
      <c r="AA389" s="358"/>
      <c r="AB389" s="358"/>
      <c r="AC389" s="358"/>
      <c r="AD389" s="358"/>
      <c r="AE389" s="358"/>
      <c r="AF389" s="358"/>
      <c r="AG389" s="358"/>
      <c r="AH389" s="358"/>
      <c r="AI389" s="358"/>
      <c r="AJ389" s="358"/>
      <c r="AK389" s="358"/>
      <c r="AL389" s="358"/>
      <c r="AM389" s="358"/>
      <c r="AN389" s="358"/>
      <c r="AO389" s="358"/>
      <c r="AP389" s="358"/>
      <c r="AQ389" s="358"/>
      <c r="AR389" s="358"/>
      <c r="AS389" s="358"/>
      <c r="AT389" s="358"/>
      <c r="AU389" s="358"/>
      <c r="AV389" s="358"/>
      <c r="AW389" s="358"/>
      <c r="AX389" s="358"/>
      <c r="AY389" s="358"/>
      <c r="AZ389" s="358"/>
      <c r="BA389" s="358"/>
      <c r="BB389" s="358"/>
      <c r="BC389" s="358"/>
      <c r="BD389" s="358"/>
      <c r="BE389" s="358"/>
      <c r="BF389" s="358"/>
      <c r="BG389" s="358"/>
      <c r="BH389" s="358"/>
      <c r="BI389" s="358"/>
      <c r="BJ389" s="358"/>
      <c r="BK389" s="358"/>
      <c r="BL389" s="358"/>
      <c r="BM389" s="358"/>
      <c r="BN389" s="358"/>
      <c r="BO389" s="358"/>
      <c r="BP389" s="358"/>
      <c r="BQ389" s="358"/>
      <c r="BR389" s="358"/>
      <c r="BS389" s="358"/>
      <c r="BT389" s="358"/>
      <c r="BU389" s="358"/>
      <c r="BV389" s="358"/>
      <c r="BW389" s="358"/>
      <c r="BX389" s="358"/>
      <c r="BY389" s="358"/>
      <c r="BZ389" s="358"/>
      <c r="CA389" s="358"/>
      <c r="CB389" s="358"/>
      <c r="CC389" s="358"/>
      <c r="CD389" s="358"/>
      <c r="CE389" s="358"/>
      <c r="CF389" s="358"/>
      <c r="CG389" s="358"/>
      <c r="CH389" s="358"/>
      <c r="CI389" s="358"/>
      <c r="CJ389" s="358"/>
      <c r="CK389" s="358"/>
      <c r="CL389" s="358"/>
      <c r="CM389" s="358"/>
      <c r="CN389" s="358"/>
      <c r="CO389" s="358"/>
      <c r="CP389" s="358"/>
      <c r="CQ389" s="358"/>
      <c r="CR389" s="358"/>
      <c r="CS389" s="358"/>
      <c r="CT389" s="358"/>
      <c r="CU389" s="358"/>
      <c r="CV389" s="358"/>
      <c r="CW389" s="358"/>
      <c r="CX389" s="358"/>
      <c r="CY389" s="358"/>
      <c r="CZ389" s="358"/>
      <c r="DA389" s="358"/>
      <c r="DB389" s="358"/>
      <c r="DC389" s="358"/>
      <c r="DD389" s="358"/>
      <c r="DE389" s="358"/>
      <c r="DF389" s="358"/>
      <c r="DG389" s="358"/>
      <c r="DH389" s="358"/>
      <c r="DI389" s="358"/>
      <c r="DJ389" s="358"/>
      <c r="DK389" s="358"/>
      <c r="DL389" s="358"/>
      <c r="DM389" s="358"/>
      <c r="DN389" s="358"/>
      <c r="DO389" s="358"/>
      <c r="DP389" s="358"/>
      <c r="DQ389" s="358"/>
      <c r="DR389" s="358"/>
      <c r="DS389" s="358"/>
      <c r="DT389" s="358"/>
      <c r="DU389" s="358"/>
      <c r="DV389" s="358"/>
      <c r="DW389" s="358"/>
      <c r="DX389" s="358"/>
      <c r="DY389" s="358"/>
      <c r="DZ389" s="358"/>
      <c r="EA389" s="358"/>
      <c r="EB389" s="358"/>
      <c r="EC389" s="358"/>
      <c r="ED389" s="358"/>
      <c r="EE389" s="358"/>
      <c r="EF389" s="358"/>
      <c r="EG389" s="358"/>
      <c r="EH389" s="358"/>
      <c r="EI389" s="358"/>
      <c r="EJ389" s="358"/>
      <c r="EK389" s="358"/>
      <c r="EL389" s="358"/>
      <c r="EM389" s="358"/>
      <c r="EN389" s="358"/>
      <c r="EO389" s="358"/>
      <c r="EP389" s="358"/>
      <c r="EQ389" s="358"/>
      <c r="ER389" s="358"/>
      <c r="ES389" s="358"/>
      <c r="ET389" s="358"/>
      <c r="EU389" s="358"/>
      <c r="EV389" s="358"/>
      <c r="EW389" s="358"/>
      <c r="EX389" s="358"/>
      <c r="EY389" s="358"/>
      <c r="EZ389" s="358"/>
      <c r="FA389" s="358"/>
      <c r="FB389" s="358"/>
      <c r="FC389" s="358"/>
      <c r="FD389" s="358"/>
      <c r="FE389" s="358"/>
      <c r="FF389" s="358"/>
      <c r="FG389" s="358"/>
      <c r="FH389" s="358"/>
      <c r="FI389" s="358"/>
      <c r="FJ389" s="358"/>
      <c r="FK389" s="358"/>
      <c r="FL389" s="358"/>
      <c r="FM389" s="358"/>
      <c r="FN389" s="358"/>
      <c r="FO389" s="358"/>
      <c r="FP389" s="358"/>
      <c r="FQ389" s="358"/>
      <c r="FR389" s="358"/>
      <c r="FS389" s="358"/>
      <c r="FT389" s="358"/>
      <c r="FU389" s="358"/>
      <c r="FV389" s="358"/>
      <c r="FW389" s="358"/>
      <c r="FX389" s="358"/>
      <c r="FY389" s="358"/>
      <c r="FZ389" s="358"/>
      <c r="GA389" s="358"/>
      <c r="GB389" s="358"/>
      <c r="GC389" s="358"/>
      <c r="GD389" s="358"/>
      <c r="GE389" s="358"/>
      <c r="GF389" s="358"/>
      <c r="GG389" s="358"/>
      <c r="GH389" s="358"/>
      <c r="GI389" s="358"/>
      <c r="GJ389" s="358"/>
      <c r="GK389" s="358"/>
      <c r="GL389" s="358"/>
      <c r="GM389" s="358"/>
      <c r="GN389" s="358"/>
      <c r="GO389" s="358"/>
      <c r="GP389" s="358"/>
      <c r="GQ389" s="358"/>
      <c r="GR389" s="358"/>
      <c r="GS389" s="358"/>
      <c r="GT389" s="358"/>
      <c r="GU389" s="358"/>
      <c r="GV389" s="358"/>
      <c r="GW389" s="358"/>
      <c r="GX389" s="358"/>
      <c r="GY389" s="358"/>
      <c r="GZ389" s="358"/>
      <c r="HA389" s="358"/>
      <c r="HB389" s="358"/>
      <c r="HC389" s="358"/>
      <c r="HD389" s="358"/>
      <c r="HE389" s="358"/>
      <c r="HF389" s="358"/>
      <c r="HG389" s="358"/>
      <c r="HH389" s="358"/>
      <c r="HI389" s="358"/>
      <c r="HJ389" s="358"/>
      <c r="HK389" s="358"/>
      <c r="HL389" s="358"/>
      <c r="HM389" s="358"/>
      <c r="HN389" s="358"/>
      <c r="HO389" s="358"/>
      <c r="HP389" s="358"/>
      <c r="HQ389" s="358"/>
      <c r="HR389" s="358"/>
      <c r="HS389" s="358"/>
      <c r="HT389" s="358"/>
      <c r="HU389" s="358"/>
      <c r="HV389" s="358"/>
      <c r="HW389" s="358"/>
      <c r="HX389" s="358"/>
    </row>
    <row r="390" spans="1:232" ht="20.100000000000001" customHeight="1">
      <c r="A390" s="1595" t="s">
        <v>120</v>
      </c>
      <c r="B390" s="1595"/>
      <c r="C390" s="1595"/>
      <c r="D390" s="1595"/>
      <c r="E390" s="1595"/>
      <c r="F390" s="1595"/>
      <c r="G390" s="1595"/>
      <c r="H390" s="1595"/>
      <c r="I390" s="1595"/>
      <c r="J390" s="1595"/>
      <c r="N390" s="5"/>
      <c r="O390" s="405"/>
      <c r="P390" s="405"/>
      <c r="Q390" s="405"/>
      <c r="R390" s="405"/>
      <c r="S390" s="405"/>
    </row>
    <row r="391" spans="1:232" ht="20.100000000000001" customHeight="1">
      <c r="A391" s="1596" t="s">
        <v>121</v>
      </c>
      <c r="B391" s="1596"/>
      <c r="C391" s="1596"/>
      <c r="D391" s="1596"/>
      <c r="E391" s="1596"/>
      <c r="F391" s="1596"/>
      <c r="G391" s="1596"/>
      <c r="H391" s="1596"/>
      <c r="I391" s="1596"/>
      <c r="J391" s="1596"/>
    </row>
    <row r="392" spans="1:232" ht="20.100000000000001" customHeight="1">
      <c r="A392" s="1600" t="s">
        <v>122</v>
      </c>
      <c r="B392" s="1600"/>
      <c r="C392" s="1600"/>
      <c r="D392" s="1600"/>
      <c r="E392" s="1600"/>
      <c r="F392" s="1600"/>
      <c r="G392" s="1600"/>
      <c r="H392" s="1600"/>
      <c r="I392" s="1600"/>
      <c r="J392" s="1600"/>
    </row>
    <row r="393" spans="1:232" ht="20.100000000000001" customHeight="1">
      <c r="A393" s="1595"/>
      <c r="B393" s="1595"/>
      <c r="C393" s="1595"/>
      <c r="D393" s="1595"/>
      <c r="E393" s="1595"/>
      <c r="F393" s="1595"/>
      <c r="G393" s="1595"/>
      <c r="H393" s="1595"/>
      <c r="I393" s="1595"/>
      <c r="J393" s="1595"/>
    </row>
    <row r="394" spans="1:232" ht="20.100000000000001" customHeight="1">
      <c r="A394" s="507"/>
      <c r="B394" s="507"/>
      <c r="C394" s="507"/>
      <c r="D394" s="507"/>
      <c r="E394" s="507"/>
      <c r="F394" s="507"/>
      <c r="G394" s="507"/>
      <c r="H394" s="507"/>
      <c r="I394" s="507"/>
      <c r="J394" s="507"/>
    </row>
    <row r="395" spans="1:232" ht="20.100000000000001" customHeight="1">
      <c r="A395" s="1599" t="s">
        <v>442</v>
      </c>
      <c r="B395" s="1599"/>
      <c r="C395" s="1599"/>
      <c r="D395" s="1599"/>
      <c r="E395" s="1599"/>
      <c r="F395" s="1666" t="s">
        <v>123</v>
      </c>
      <c r="G395" s="1666"/>
      <c r="H395" s="1666"/>
      <c r="I395" s="1666"/>
      <c r="J395" s="1666"/>
    </row>
    <row r="396" spans="1:232" ht="20.100000000000001" customHeight="1">
      <c r="A396" s="563"/>
      <c r="B396" s="508"/>
      <c r="C396" s="508"/>
      <c r="D396" s="508"/>
      <c r="E396" s="563"/>
      <c r="F396" s="1599" t="s">
        <v>124</v>
      </c>
      <c r="G396" s="1599"/>
      <c r="H396" s="1664" t="s">
        <v>331</v>
      </c>
      <c r="I396" s="1664"/>
      <c r="J396" s="1664"/>
    </row>
    <row r="397" spans="1:232" ht="20.100000000000001" customHeight="1">
      <c r="A397" s="508"/>
      <c r="B397" s="508"/>
      <c r="C397" s="508"/>
      <c r="D397" s="508"/>
      <c r="E397" s="508"/>
      <c r="F397" s="508"/>
      <c r="G397" s="508"/>
      <c r="H397" s="508"/>
      <c r="I397" s="508"/>
      <c r="J397" s="508"/>
    </row>
    <row r="398" spans="1:232" ht="20.100000000000001" customHeight="1">
      <c r="A398" s="508"/>
      <c r="B398" s="508"/>
      <c r="C398" s="508"/>
      <c r="D398" s="508"/>
      <c r="E398" s="508"/>
      <c r="F398" s="508"/>
      <c r="G398" s="508"/>
      <c r="H398" s="508"/>
      <c r="I398" s="508"/>
      <c r="J398" s="508"/>
    </row>
    <row r="399" spans="1:232" ht="20.100000000000001" customHeight="1">
      <c r="A399" s="508"/>
      <c r="B399" s="508"/>
      <c r="C399" s="508"/>
      <c r="D399" s="508"/>
      <c r="E399" s="508"/>
      <c r="F399" s="508"/>
      <c r="G399" s="508"/>
      <c r="H399" s="508"/>
      <c r="I399" s="508"/>
      <c r="J399" s="508"/>
    </row>
    <row r="400" spans="1:232" ht="20.100000000000001" customHeight="1">
      <c r="A400" s="1599" t="str">
        <f>$P$16</f>
        <v>Nguyễn Mạnh Hùng</v>
      </c>
      <c r="B400" s="1599"/>
      <c r="C400" s="1599"/>
      <c r="D400" s="1599"/>
      <c r="E400" s="1599"/>
      <c r="F400" s="1665" t="str">
        <f>$P$19&amp;"               "&amp;P$21</f>
        <v>.........................               Nguyễn Văn Tĩnh</v>
      </c>
      <c r="G400" s="1665"/>
      <c r="H400" s="1665"/>
      <c r="I400" s="1665"/>
      <c r="J400" s="1665"/>
    </row>
    <row r="401" spans="1:10" ht="20.100000000000001" customHeight="1">
      <c r="A401" s="72"/>
      <c r="B401" s="564"/>
      <c r="C401" s="564"/>
      <c r="D401" s="564"/>
      <c r="E401" s="564"/>
      <c r="F401" s="565"/>
      <c r="G401" s="565"/>
      <c r="H401" s="565"/>
      <c r="I401" s="565"/>
      <c r="J401" s="565"/>
    </row>
    <row r="402" spans="1:10" ht="20.100000000000001" customHeight="1">
      <c r="A402" s="1657" t="str">
        <f>$P$13</f>
        <v>CÔNG TY TNHH MTV HANTECH</v>
      </c>
      <c r="B402" s="1657"/>
      <c r="C402" s="1657"/>
      <c r="D402" s="1657"/>
      <c r="E402" s="1657"/>
      <c r="F402" s="1658" t="s">
        <v>126</v>
      </c>
      <c r="G402" s="1658"/>
      <c r="H402" s="1658"/>
      <c r="I402" s="1658"/>
      <c r="J402" s="1658"/>
    </row>
    <row r="403" spans="1:10" ht="20.100000000000001" customHeight="1">
      <c r="A403" s="1613" t="s">
        <v>127</v>
      </c>
      <c r="B403" s="1613"/>
      <c r="C403" s="1613"/>
      <c r="D403" s="1613"/>
      <c r="E403" s="1613"/>
      <c r="F403" s="1659" t="s">
        <v>128</v>
      </c>
      <c r="G403" s="1659"/>
      <c r="H403" s="1659"/>
      <c r="I403" s="1659"/>
      <c r="J403" s="1659"/>
    </row>
    <row r="404" spans="1:10" ht="20.100000000000001" customHeight="1">
      <c r="F404" s="1652" t="s">
        <v>404</v>
      </c>
      <c r="G404" s="1653"/>
      <c r="H404" s="1653"/>
      <c r="I404" s="1653"/>
      <c r="J404" s="1653"/>
    </row>
    <row r="405" spans="1:10" ht="20.100000000000001" customHeight="1">
      <c r="F405" s="1654">
        <f>N350</f>
        <v>42496</v>
      </c>
      <c r="G405" s="1654"/>
      <c r="H405" s="1654"/>
      <c r="I405" s="1654"/>
      <c r="J405" s="1654"/>
    </row>
    <row r="406" spans="1:10" ht="16.5">
      <c r="A406" s="509"/>
      <c r="B406" s="509"/>
      <c r="C406" s="509"/>
      <c r="D406" s="509"/>
      <c r="E406" s="509"/>
      <c r="F406" s="510"/>
      <c r="G406" s="510"/>
      <c r="H406" s="510"/>
      <c r="I406" s="510"/>
      <c r="J406" s="510"/>
    </row>
    <row r="407" spans="1:10" ht="20.100000000000001" customHeight="1">
      <c r="A407" s="1655" t="s">
        <v>438</v>
      </c>
      <c r="B407" s="1656"/>
      <c r="C407" s="1656"/>
      <c r="D407" s="1656"/>
      <c r="E407" s="1656"/>
      <c r="F407" s="1656"/>
      <c r="G407" s="1656"/>
      <c r="H407" s="1656"/>
      <c r="I407" s="1656"/>
      <c r="J407" s="1656"/>
    </row>
    <row r="408" spans="1:10" ht="20.100000000000001" customHeight="1">
      <c r="A408" s="530"/>
      <c r="B408" s="532"/>
      <c r="C408" s="532"/>
      <c r="D408" s="1613" t="str">
        <f>"Số: PM-"&amp;N340</f>
        <v>Số: PM-B1/800</v>
      </c>
      <c r="E408" s="1613"/>
      <c r="F408" s="1613"/>
      <c r="G408" s="1613"/>
      <c r="H408" s="1613"/>
      <c r="I408" s="532"/>
      <c r="J408" s="532"/>
    </row>
    <row r="409" spans="1:10" ht="20.100000000000001" customHeight="1">
      <c r="A409" s="1629" t="s">
        <v>129</v>
      </c>
      <c r="B409" s="1630"/>
      <c r="C409" s="1615" t="str">
        <f>$P$1</f>
        <v>KHU HỖN HỢP CHUNG CƯ, VĂN PHÒNG, TRUNG TÂM THƯƠNG MẠI VÀ NHÀ Ở KẾT HỢP KHU MUA SẮM</v>
      </c>
      <c r="D409" s="1615"/>
      <c r="E409" s="1615"/>
      <c r="F409" s="1615"/>
      <c r="G409" s="1615"/>
      <c r="H409" s="1615"/>
      <c r="I409" s="1615"/>
      <c r="J409" s="1615"/>
    </row>
    <row r="410" spans="1:10" ht="20.100000000000001" customHeight="1">
      <c r="A410" s="592"/>
      <c r="B410" s="593"/>
      <c r="C410" s="1615"/>
      <c r="D410" s="1615"/>
      <c r="E410" s="1615"/>
      <c r="F410" s="1615"/>
      <c r="G410" s="1615"/>
      <c r="H410" s="1615"/>
      <c r="I410" s="1615"/>
      <c r="J410" s="1615"/>
    </row>
    <row r="411" spans="1:10" ht="20.100000000000001" customHeight="1">
      <c r="A411" s="1629" t="s">
        <v>854</v>
      </c>
      <c r="B411" s="1630"/>
      <c r="C411" s="1595" t="str">
        <f>$P$2</f>
        <v>CỌC KHOAN NHỒI</v>
      </c>
      <c r="D411" s="1595"/>
      <c r="E411" s="1595"/>
      <c r="F411" s="1595"/>
      <c r="G411" s="1595"/>
      <c r="H411" s="1595"/>
      <c r="I411" s="1595"/>
      <c r="J411" s="1595"/>
    </row>
    <row r="412" spans="1:10" ht="16.5">
      <c r="A412" s="476" t="s">
        <v>333</v>
      </c>
      <c r="B412" s="480"/>
      <c r="C412" s="398" t="str">
        <f>$P$3</f>
        <v>P. BẠCH ĐẰNG, TP. HẠ LONG, TỈNH QUẢNG NINH</v>
      </c>
      <c r="D412" s="477"/>
      <c r="E412" s="477"/>
      <c r="F412" s="477"/>
      <c r="G412" s="477"/>
      <c r="H412" s="477"/>
      <c r="I412" s="477"/>
      <c r="J412" s="477"/>
    </row>
    <row r="413" spans="1:10" ht="16.5">
      <c r="A413" s="511"/>
      <c r="B413" s="512"/>
      <c r="C413" s="481"/>
      <c r="D413" s="481"/>
      <c r="E413" s="481"/>
      <c r="F413" s="481"/>
      <c r="G413" s="481"/>
      <c r="H413" s="481"/>
      <c r="I413" s="481"/>
      <c r="J413" s="481"/>
    </row>
    <row r="414" spans="1:10" ht="16.5">
      <c r="A414" s="1604" t="str">
        <f>"Kính gửi:   "&amp;$P$7</f>
        <v>Kính gửi:   CÔNG TY CỔ PHẦN TƯ VẤN KIỂM ĐỊNH VÀ THƯƠNG MẠI XÂY DỰNG GOLDSUN</v>
      </c>
      <c r="B414" s="1660"/>
      <c r="C414" s="1660"/>
      <c r="D414" s="1660"/>
      <c r="E414" s="1660"/>
      <c r="F414" s="1660"/>
      <c r="G414" s="1660"/>
      <c r="H414" s="1660"/>
      <c r="I414" s="1660"/>
      <c r="J414" s="1660"/>
    </row>
    <row r="415" spans="1:10" ht="16.5">
      <c r="A415" s="509"/>
      <c r="B415" s="509"/>
      <c r="C415" s="509"/>
      <c r="D415" s="509"/>
      <c r="E415" s="509"/>
      <c r="F415" s="510"/>
      <c r="G415" s="510"/>
      <c r="H415" s="510"/>
      <c r="I415" s="510"/>
      <c r="J415" s="510"/>
    </row>
    <row r="416" spans="1:10" ht="40.5" customHeight="1">
      <c r="A416" s="1626" t="s">
        <v>405</v>
      </c>
      <c r="B416" s="1627"/>
      <c r="C416" s="1627"/>
      <c r="D416" s="1627"/>
      <c r="E416" s="1627"/>
      <c r="F416" s="1627"/>
      <c r="G416" s="1627"/>
      <c r="H416" s="1627"/>
      <c r="I416" s="1627"/>
      <c r="J416" s="1627"/>
    </row>
    <row r="417" spans="1:12" ht="20.100000000000001" customHeight="1">
      <c r="A417" s="1628" t="s">
        <v>406</v>
      </c>
      <c r="B417" s="1628"/>
      <c r="C417" s="518" t="str">
        <f>N338</f>
        <v>Bê tông cọc : B1</v>
      </c>
      <c r="D417" s="542"/>
      <c r="E417" s="542"/>
      <c r="F417" s="542"/>
      <c r="G417" s="542"/>
      <c r="H417" s="542"/>
      <c r="I417" s="542"/>
      <c r="J417" s="542"/>
    </row>
    <row r="418" spans="1:12" ht="20.100000000000001" customHeight="1">
      <c r="A418" s="543" t="s">
        <v>130</v>
      </c>
      <c r="B418" s="487"/>
      <c r="C418" s="487" t="str">
        <f>$N339</f>
        <v>Tại công trình</v>
      </c>
      <c r="D418" s="487"/>
      <c r="E418" s="487"/>
      <c r="F418" s="513"/>
      <c r="G418" s="513"/>
      <c r="H418" s="513"/>
      <c r="I418" s="513"/>
      <c r="J418" s="513"/>
    </row>
    <row r="419" spans="1:12" ht="20.100000000000001" customHeight="1">
      <c r="A419" s="543" t="s">
        <v>131</v>
      </c>
      <c r="B419" s="487"/>
      <c r="C419" s="514">
        <f>N352</f>
        <v>0.33333333333333331</v>
      </c>
      <c r="D419" s="513" t="s">
        <v>357</v>
      </c>
      <c r="E419" s="515">
        <f>N353</f>
        <v>42496</v>
      </c>
      <c r="F419" s="513"/>
      <c r="G419" s="513"/>
      <c r="H419" s="513"/>
      <c r="I419" s="513"/>
      <c r="J419" s="513"/>
    </row>
    <row r="420" spans="1:12" ht="20.100000000000001" customHeight="1">
      <c r="A420" s="543" t="s">
        <v>132</v>
      </c>
      <c r="B420" s="487"/>
      <c r="C420" s="487" t="str">
        <f>"Công trình: "&amp;V337</f>
        <v xml:space="preserve">Công trình: </v>
      </c>
      <c r="D420" s="487"/>
      <c r="E420" s="487"/>
      <c r="F420" s="513"/>
      <c r="G420" s="516"/>
      <c r="H420" s="513"/>
      <c r="I420" s="513"/>
      <c r="J420" s="513"/>
    </row>
    <row r="421" spans="1:12" ht="20.100000000000001" customHeight="1">
      <c r="A421" s="517"/>
      <c r="B421" s="517"/>
      <c r="C421" s="517" t="str">
        <f>$V$3</f>
        <v>P. Bạch Đằng, TP Hạ Long, Tỉnh Quảng Ninh</v>
      </c>
      <c r="D421" s="517"/>
      <c r="E421" s="517"/>
      <c r="F421" s="519"/>
      <c r="G421" s="519"/>
      <c r="H421" s="519"/>
      <c r="I421" s="519"/>
      <c r="J421" s="519"/>
    </row>
    <row r="422" spans="1:12" ht="34.5" customHeight="1">
      <c r="A422" s="1631" t="s">
        <v>197</v>
      </c>
      <c r="B422" s="1632"/>
      <c r="C422" s="1633"/>
      <c r="D422" s="1606" t="s">
        <v>407</v>
      </c>
      <c r="E422" s="1606"/>
      <c r="F422" s="1640" t="s">
        <v>475</v>
      </c>
      <c r="G422" s="1640"/>
      <c r="H422" s="1640"/>
      <c r="I422" s="1640" t="s">
        <v>409</v>
      </c>
      <c r="J422" s="1640"/>
    </row>
    <row r="423" spans="1:12" ht="20.100000000000001" customHeight="1">
      <c r="A423" s="1634"/>
      <c r="B423" s="1635"/>
      <c r="C423" s="1636"/>
      <c r="D423" s="1641">
        <f>N349</f>
        <v>0.3263888888888889</v>
      </c>
      <c r="E423" s="1643">
        <f>N350</f>
        <v>42496</v>
      </c>
      <c r="F423" s="1645"/>
      <c r="G423" s="1646"/>
      <c r="H423" s="1647"/>
      <c r="I423" s="1645"/>
      <c r="J423" s="1647"/>
    </row>
    <row r="424" spans="1:12" ht="16.5">
      <c r="A424" s="1637"/>
      <c r="B424" s="1638"/>
      <c r="C424" s="1639"/>
      <c r="D424" s="1642"/>
      <c r="E424" s="1644"/>
      <c r="F424" s="1648"/>
      <c r="G424" s="1649"/>
      <c r="H424" s="1650"/>
      <c r="I424" s="1651" t="s">
        <v>449</v>
      </c>
      <c r="J424" s="1651"/>
    </row>
    <row r="425" spans="1:12" ht="20.100000000000001" customHeight="1">
      <c r="A425" s="1621" t="s">
        <v>477</v>
      </c>
      <c r="B425" s="1621"/>
      <c r="C425" s="1621"/>
      <c r="D425" s="1621"/>
      <c r="E425" s="1621"/>
      <c r="F425" s="1621"/>
      <c r="G425" s="1621"/>
      <c r="H425" s="544"/>
      <c r="I425" s="544"/>
      <c r="J425" s="544"/>
    </row>
    <row r="426" spans="1:12" ht="20.100000000000001" customHeight="1">
      <c r="A426" s="1619" t="s">
        <v>410</v>
      </c>
      <c r="B426" s="1619"/>
      <c r="C426" s="1619"/>
      <c r="D426" s="1619"/>
      <c r="E426" s="1619"/>
      <c r="F426" s="1619"/>
      <c r="G426" s="1619"/>
      <c r="H426" s="513"/>
      <c r="I426" s="513"/>
      <c r="J426" s="513"/>
    </row>
    <row r="427" spans="1:12" ht="20.100000000000001" customHeight="1">
      <c r="A427" s="1619" t="s">
        <v>411</v>
      </c>
      <c r="B427" s="1619"/>
      <c r="C427" s="1619"/>
      <c r="D427" s="1619"/>
      <c r="E427" s="1619"/>
      <c r="F427" s="1619"/>
      <c r="G427" s="1619"/>
      <c r="H427" s="1625" t="s">
        <v>133</v>
      </c>
      <c r="I427" s="1625"/>
      <c r="J427" s="1625"/>
    </row>
    <row r="428" spans="1:12" ht="16.5">
      <c r="A428" s="1619" t="s">
        <v>412</v>
      </c>
      <c r="B428" s="1619"/>
      <c r="C428" s="1619"/>
      <c r="D428" s="1619"/>
      <c r="E428" s="1619"/>
      <c r="F428" s="1619"/>
      <c r="G428" s="1619"/>
      <c r="H428" s="513"/>
      <c r="I428" s="513"/>
      <c r="J428" s="513"/>
    </row>
    <row r="429" spans="1:12" ht="16.5">
      <c r="A429" s="1620" t="s">
        <v>413</v>
      </c>
      <c r="B429" s="1620"/>
      <c r="C429" s="1620"/>
      <c r="D429" s="1620"/>
      <c r="E429" s="1620"/>
      <c r="F429" s="1620"/>
      <c r="G429" s="1620"/>
      <c r="H429" s="513"/>
      <c r="I429" s="513"/>
      <c r="J429" s="513"/>
    </row>
    <row r="430" spans="1:12" ht="16.5">
      <c r="A430" s="1620" t="s">
        <v>414</v>
      </c>
      <c r="B430" s="1620"/>
      <c r="C430" s="1620"/>
      <c r="D430" s="1620"/>
      <c r="E430" s="1620"/>
      <c r="F430" s="1620"/>
      <c r="G430" s="1620"/>
      <c r="H430" s="513"/>
      <c r="I430" s="513"/>
      <c r="J430" s="513"/>
    </row>
    <row r="431" spans="1:12" ht="16.5">
      <c r="A431" s="1620" t="s">
        <v>415</v>
      </c>
      <c r="B431" s="1620"/>
      <c r="C431" s="1620"/>
      <c r="D431" s="1620"/>
      <c r="E431" s="1620"/>
      <c r="F431" s="1620"/>
      <c r="G431" s="1620"/>
      <c r="H431" s="513"/>
      <c r="I431" s="513"/>
      <c r="J431" s="513"/>
      <c r="L431" s="541"/>
    </row>
    <row r="432" spans="1:12" ht="16.5">
      <c r="A432" s="1620" t="s">
        <v>416</v>
      </c>
      <c r="B432" s="1620"/>
      <c r="C432" s="1620"/>
      <c r="D432" s="1620"/>
      <c r="E432" s="1620"/>
      <c r="F432" s="1620"/>
      <c r="G432" s="1620"/>
      <c r="H432" s="513"/>
      <c r="I432" s="513"/>
      <c r="J432" s="513"/>
      <c r="L432" s="541"/>
    </row>
    <row r="433" spans="1:30" ht="16.5">
      <c r="A433" s="1620" t="s">
        <v>417</v>
      </c>
      <c r="B433" s="1620"/>
      <c r="C433" s="1620"/>
      <c r="D433" s="1620"/>
      <c r="E433" s="1620"/>
      <c r="F433" s="1620"/>
      <c r="G433" s="1620"/>
      <c r="H433" s="513"/>
      <c r="I433" s="513"/>
      <c r="J433" s="513"/>
    </row>
    <row r="434" spans="1:30" ht="16.5">
      <c r="A434" s="1624" t="s">
        <v>418</v>
      </c>
      <c r="B434" s="1624"/>
      <c r="C434" s="1624"/>
      <c r="D434" s="1624"/>
      <c r="E434" s="1624"/>
      <c r="F434" s="1624"/>
      <c r="G434" s="1624"/>
      <c r="H434" s="1625" t="str">
        <f>$P$16</f>
        <v>Nguyễn Mạnh Hùng</v>
      </c>
      <c r="I434" s="1625"/>
      <c r="J434" s="1625"/>
    </row>
    <row r="435" spans="1:30" ht="16.5">
      <c r="A435" s="1623" t="s">
        <v>419</v>
      </c>
      <c r="B435" s="1623"/>
      <c r="C435" s="1623"/>
      <c r="D435" s="1623"/>
      <c r="E435" s="1623"/>
      <c r="F435" s="1623"/>
      <c r="G435" s="1623"/>
      <c r="H435" s="531"/>
      <c r="I435" s="531"/>
      <c r="J435" s="531"/>
    </row>
    <row r="436" spans="1:30" ht="16.5">
      <c r="A436" s="1611" t="s">
        <v>476</v>
      </c>
      <c r="B436" s="1612"/>
      <c r="C436" s="1612"/>
      <c r="D436" s="1612"/>
      <c r="E436" s="1612"/>
      <c r="F436" s="1612"/>
      <c r="G436" s="1612"/>
      <c r="H436" s="531"/>
      <c r="I436" s="531"/>
      <c r="J436" s="531"/>
    </row>
    <row r="437" spans="1:30" ht="20.100000000000001" customHeight="1">
      <c r="A437" s="509"/>
      <c r="B437" s="509"/>
      <c r="C437" s="509"/>
      <c r="D437" s="509"/>
      <c r="E437" s="509"/>
      <c r="F437" s="510"/>
      <c r="G437" s="510"/>
      <c r="H437" s="510"/>
      <c r="I437" s="510"/>
      <c r="J437" s="510"/>
    </row>
    <row r="438" spans="1:30" ht="20.100000000000001" customHeight="1">
      <c r="A438" s="1613" t="s">
        <v>77</v>
      </c>
      <c r="B438" s="1613"/>
      <c r="C438" s="1613"/>
      <c r="D438" s="1613"/>
      <c r="E438" s="1613"/>
      <c r="F438" s="1613"/>
      <c r="G438" s="1613"/>
      <c r="H438" s="1613"/>
      <c r="I438" s="1613"/>
      <c r="J438" s="1613"/>
    </row>
    <row r="439" spans="1:30" ht="20.100000000000001" customHeight="1">
      <c r="A439" s="1614" t="s">
        <v>80</v>
      </c>
      <c r="B439" s="1614"/>
      <c r="C439" s="1614"/>
      <c r="D439" s="1614"/>
      <c r="E439" s="1614"/>
      <c r="F439" s="1614"/>
      <c r="G439" s="1614"/>
      <c r="H439" s="1614"/>
      <c r="I439" s="1614"/>
      <c r="J439" s="1614"/>
      <c r="L439" s="464"/>
      <c r="M439" s="465"/>
    </row>
    <row r="440" spans="1:30" ht="20.100000000000001" customHeight="1">
      <c r="A440" s="1616" t="s">
        <v>82</v>
      </c>
      <c r="B440" s="1616"/>
      <c r="C440" s="1616"/>
      <c r="D440" s="1616"/>
      <c r="E440" s="1616"/>
      <c r="F440" s="1616"/>
      <c r="G440" s="1616"/>
      <c r="H440" s="1616"/>
      <c r="I440" s="1616"/>
      <c r="J440" s="1616"/>
      <c r="L440" s="467"/>
      <c r="O440" s="466"/>
      <c r="P440" s="466"/>
      <c r="Q440" s="467"/>
    </row>
    <row r="441" spans="1:30" ht="20.100000000000001" customHeight="1">
      <c r="A441" s="1617">
        <f>$N353</f>
        <v>42496</v>
      </c>
      <c r="B441" s="1617"/>
      <c r="C441" s="1617"/>
      <c r="D441" s="1617"/>
      <c r="E441" s="1617"/>
      <c r="F441" s="1617"/>
      <c r="G441" s="1617"/>
      <c r="H441" s="1617"/>
      <c r="I441" s="1617"/>
      <c r="J441" s="1617"/>
      <c r="L441" s="469"/>
      <c r="N441" s="467"/>
      <c r="O441" s="466"/>
      <c r="P441" s="466"/>
      <c r="Q441" s="467"/>
    </row>
    <row r="442" spans="1:30" ht="20.100000000000001" customHeight="1">
      <c r="A442" s="1614" t="str">
        <f>"BIÊN BẢN SỐ: "&amp;N340</f>
        <v>BIÊN BẢN SỐ: B1/800</v>
      </c>
      <c r="B442" s="1614"/>
      <c r="C442" s="1614"/>
      <c r="D442" s="1614"/>
      <c r="E442" s="1614"/>
      <c r="F442" s="1614"/>
      <c r="G442" s="1614"/>
      <c r="H442" s="1614"/>
      <c r="I442" s="1614"/>
      <c r="J442" s="1614"/>
      <c r="L442" s="469"/>
      <c r="N442" s="467"/>
      <c r="P442" s="467"/>
    </row>
    <row r="443" spans="1:30" ht="20.100000000000001" customHeight="1">
      <c r="A443" s="1618" t="s">
        <v>134</v>
      </c>
      <c r="B443" s="1618"/>
      <c r="C443" s="1618"/>
      <c r="D443" s="1618"/>
      <c r="E443" s="1618"/>
      <c r="F443" s="1618"/>
      <c r="G443" s="1618"/>
      <c r="H443" s="1618"/>
      <c r="I443" s="1618"/>
      <c r="J443" s="1618"/>
      <c r="L443" s="469"/>
      <c r="N443" s="467"/>
      <c r="O443" s="466"/>
      <c r="P443" s="466"/>
      <c r="Q443" s="467"/>
    </row>
    <row r="444" spans="1:30" ht="20.100000000000001" customHeight="1">
      <c r="A444" s="471"/>
      <c r="B444" s="471"/>
      <c r="C444" s="471"/>
      <c r="D444" s="471"/>
      <c r="E444" s="471"/>
      <c r="F444" s="471"/>
      <c r="G444" s="471"/>
      <c r="H444" s="471"/>
      <c r="I444" s="471"/>
      <c r="J444" s="471"/>
      <c r="M444" s="469"/>
      <c r="O444" s="466"/>
      <c r="P444" s="466"/>
      <c r="Q444" s="467"/>
    </row>
    <row r="445" spans="1:30" s="472" customFormat="1" ht="20.100000000000001" customHeight="1">
      <c r="A445" s="476" t="s">
        <v>332</v>
      </c>
      <c r="B445" s="476"/>
      <c r="C445" s="1615" t="str">
        <f>$P$1</f>
        <v>KHU HỖN HỢP CHUNG CƯ, VĂN PHÒNG, TRUNG TÂM THƯƠNG MẠI VÀ NHÀ Ở KẾT HỢP KHU MUA SẮM</v>
      </c>
      <c r="D445" s="1615"/>
      <c r="E445" s="1615"/>
      <c r="F445" s="1615"/>
      <c r="G445" s="1615"/>
      <c r="H445" s="1615"/>
      <c r="I445" s="1615"/>
      <c r="J445" s="1615"/>
      <c r="L445" s="463"/>
      <c r="M445" s="469"/>
      <c r="N445" s="467"/>
      <c r="O445" s="466"/>
      <c r="P445" s="466"/>
      <c r="Q445" s="467"/>
      <c r="R445" s="464"/>
      <c r="S445" s="464"/>
      <c r="T445" s="464"/>
      <c r="U445" s="474"/>
      <c r="V445" s="474"/>
      <c r="W445" s="474"/>
      <c r="X445" s="474"/>
      <c r="Y445" s="475"/>
      <c r="Z445" s="475"/>
      <c r="AA445" s="475"/>
      <c r="AB445" s="475"/>
      <c r="AC445" s="475"/>
      <c r="AD445" s="475"/>
    </row>
    <row r="446" spans="1:30" s="472" customFormat="1" ht="20.100000000000001" customHeight="1">
      <c r="A446" s="476"/>
      <c r="B446" s="476"/>
      <c r="C446" s="1615"/>
      <c r="D446" s="1615"/>
      <c r="E446" s="1615"/>
      <c r="F446" s="1615"/>
      <c r="G446" s="1615"/>
      <c r="H446" s="1615"/>
      <c r="I446" s="1615"/>
      <c r="J446" s="1615"/>
      <c r="L446" s="463"/>
      <c r="M446" s="469"/>
      <c r="N446" s="467"/>
      <c r="O446" s="466"/>
      <c r="P446" s="466"/>
      <c r="Q446" s="467"/>
      <c r="R446" s="464"/>
      <c r="S446" s="464"/>
      <c r="T446" s="464"/>
      <c r="U446" s="474"/>
      <c r="V446" s="474"/>
      <c r="W446" s="474"/>
      <c r="X446" s="474"/>
      <c r="Y446" s="475"/>
      <c r="Z446" s="475"/>
      <c r="AA446" s="475"/>
      <c r="AB446" s="475"/>
      <c r="AC446" s="475"/>
      <c r="AD446" s="475"/>
    </row>
    <row r="447" spans="1:30" ht="20.100000000000001" customHeight="1">
      <c r="A447" s="476" t="s">
        <v>854</v>
      </c>
      <c r="B447" s="476"/>
      <c r="C447" s="477" t="str">
        <f>$P$2</f>
        <v>CỌC KHOAN NHỒI</v>
      </c>
      <c r="D447" s="476"/>
      <c r="E447" s="476"/>
      <c r="F447" s="476"/>
      <c r="G447" s="476"/>
      <c r="H447" s="476"/>
      <c r="I447" s="476"/>
      <c r="J447" s="476"/>
      <c r="L447" s="469"/>
      <c r="M447" s="467"/>
      <c r="N447" s="467"/>
      <c r="O447" s="466"/>
      <c r="P447" s="466"/>
      <c r="Q447" s="467"/>
      <c r="T447" s="474"/>
    </row>
    <row r="448" spans="1:30" ht="20.100000000000001" customHeight="1">
      <c r="A448" s="476" t="s">
        <v>333</v>
      </c>
      <c r="B448" s="480"/>
      <c r="C448" s="398" t="str">
        <f>$P$3</f>
        <v>P. BẠCH ĐẰNG, TP. HẠ LONG, TỈNH QUẢNG NINH</v>
      </c>
      <c r="D448" s="480"/>
      <c r="E448" s="480"/>
      <c r="F448" s="480"/>
      <c r="G448" s="480"/>
      <c r="H448" s="480"/>
      <c r="I448" s="480"/>
      <c r="J448" s="480"/>
      <c r="L448" s="469"/>
      <c r="M448" s="469"/>
      <c r="O448" s="478"/>
      <c r="P448" s="479"/>
      <c r="Q448" s="469"/>
      <c r="R448" s="474"/>
      <c r="S448" s="474"/>
    </row>
    <row r="449" spans="1:30" s="472" customFormat="1" ht="20.100000000000001" customHeight="1">
      <c r="A449" s="1596" t="s">
        <v>89</v>
      </c>
      <c r="B449" s="1596"/>
      <c r="C449" s="1596"/>
      <c r="D449" s="1596"/>
      <c r="E449" s="1596"/>
      <c r="F449" s="1596"/>
      <c r="G449" s="1596"/>
      <c r="H449" s="1596"/>
      <c r="I449" s="1596"/>
      <c r="J449" s="1596"/>
      <c r="L449" s="469"/>
      <c r="M449" s="469"/>
      <c r="N449" s="470"/>
      <c r="O449" s="466"/>
      <c r="P449" s="479"/>
      <c r="Q449" s="469"/>
      <c r="R449" s="464"/>
      <c r="S449" s="464"/>
      <c r="T449" s="464"/>
      <c r="U449" s="474"/>
      <c r="V449" s="474"/>
      <c r="W449" s="474"/>
      <c r="X449" s="474"/>
      <c r="Y449" s="475"/>
      <c r="Z449" s="475"/>
      <c r="AA449" s="475"/>
      <c r="AB449" s="475"/>
      <c r="AC449" s="475"/>
      <c r="AD449" s="475"/>
    </row>
    <row r="450" spans="1:30" s="175" customFormat="1" ht="20.100000000000001" customHeight="1">
      <c r="A450" s="1610" t="str">
        <f>"- Tên công việc: "&amp;N338</f>
        <v>- Tên công việc: Bê tông cọc : B1</v>
      </c>
      <c r="B450" s="1622"/>
      <c r="C450" s="1622"/>
      <c r="D450" s="1622"/>
      <c r="E450" s="1622"/>
      <c r="F450" s="1622"/>
      <c r="G450" s="1622"/>
      <c r="H450" s="1622"/>
      <c r="I450" s="1622"/>
      <c r="J450" s="1622"/>
      <c r="L450" s="520"/>
      <c r="M450" s="520"/>
      <c r="N450" s="473"/>
      <c r="O450" s="466"/>
      <c r="P450" s="479"/>
      <c r="Q450" s="469"/>
      <c r="R450" s="464"/>
      <c r="S450" s="464"/>
    </row>
    <row r="451" spans="1:30" ht="20.100000000000001" customHeight="1">
      <c r="A451" s="1610" t="str">
        <f>"- Vị trí: "&amp;N339</f>
        <v>- Vị trí: Tại công trình</v>
      </c>
      <c r="B451" s="1595"/>
      <c r="C451" s="1595"/>
      <c r="D451" s="1595"/>
      <c r="E451" s="1595"/>
      <c r="F451" s="1595"/>
      <c r="G451" s="1595"/>
      <c r="H451" s="1595"/>
      <c r="I451" s="1595"/>
      <c r="J451" s="1595"/>
      <c r="L451" s="469"/>
      <c r="M451" s="469"/>
      <c r="N451" s="175"/>
      <c r="O451" s="401"/>
      <c r="P451" s="401"/>
      <c r="Q451" s="520"/>
      <c r="R451" s="175"/>
      <c r="S451" s="175"/>
    </row>
    <row r="452" spans="1:30" ht="20.100000000000001" customHeight="1">
      <c r="A452" s="1596" t="s">
        <v>92</v>
      </c>
      <c r="B452" s="1596"/>
      <c r="C452" s="1596"/>
      <c r="D452" s="1596"/>
      <c r="E452" s="1596"/>
      <c r="F452" s="1596"/>
      <c r="G452" s="1596"/>
      <c r="H452" s="1596"/>
      <c r="I452" s="1596"/>
      <c r="J452" s="1596"/>
      <c r="M452" s="469"/>
      <c r="N452" s="470"/>
      <c r="O452" s="466"/>
      <c r="P452" s="466"/>
      <c r="Q452" s="467"/>
    </row>
    <row r="453" spans="1:30" s="175" customFormat="1" ht="20.100000000000001" customHeight="1">
      <c r="A453" s="482" t="str">
        <f>"1 - Đại diện: "&amp;$P$7</f>
        <v>1 - Đại diện: CÔNG TY CỔ PHẦN TƯ VẤN KIỂM ĐỊNH VÀ THƯƠNG MẠI XÂY DỰNG GOLDSUN</v>
      </c>
      <c r="B453" s="118"/>
      <c r="C453" s="118"/>
      <c r="D453" s="118"/>
      <c r="E453" s="118"/>
      <c r="F453" s="483"/>
      <c r="G453" s="483"/>
      <c r="H453" s="483"/>
      <c r="I453" s="483"/>
      <c r="J453" s="483"/>
      <c r="L453" s="520"/>
      <c r="M453" s="520"/>
      <c r="N453" s="473"/>
      <c r="O453" s="464"/>
      <c r="P453" s="467"/>
      <c r="Q453" s="464"/>
      <c r="R453" s="464"/>
      <c r="S453" s="464"/>
    </row>
    <row r="454" spans="1:30" ht="20.100000000000001" customHeight="1">
      <c r="A454" s="1595" t="str">
        <f>"Ông : "&amp;$P$8</f>
        <v>Ông : .....................................</v>
      </c>
      <c r="B454" s="1595"/>
      <c r="C454" s="1595"/>
      <c r="D454" s="1595"/>
      <c r="E454" s="1595"/>
      <c r="F454" s="1595" t="str">
        <f>"Chức vụ: "&amp;$Q$8</f>
        <v>Chức vụ: .....................................</v>
      </c>
      <c r="G454" s="1595"/>
      <c r="H454" s="1595"/>
      <c r="I454" s="1595"/>
      <c r="J454" s="1595"/>
      <c r="M454" s="469"/>
      <c r="N454" s="175"/>
      <c r="O454" s="401"/>
      <c r="P454" s="401"/>
      <c r="Q454" s="520"/>
      <c r="R454" s="175"/>
      <c r="S454" s="175"/>
    </row>
    <row r="455" spans="1:30" ht="20.100000000000001" customHeight="1">
      <c r="A455" s="481" t="str">
        <f>"Ông : "&amp;$P$10</f>
        <v>Ông : .....................................</v>
      </c>
      <c r="B455" s="481"/>
      <c r="C455" s="481"/>
      <c r="D455" s="481"/>
      <c r="E455" s="481"/>
      <c r="F455" s="481" t="str">
        <f>"Chức vụ: "&amp;$Q$10</f>
        <v>Chức vụ: .....................................</v>
      </c>
      <c r="G455" s="481"/>
      <c r="H455" s="481"/>
      <c r="I455" s="481"/>
      <c r="J455" s="481"/>
      <c r="N455" s="470"/>
      <c r="O455" s="466"/>
      <c r="P455" s="466"/>
      <c r="Q455" s="467"/>
    </row>
    <row r="456" spans="1:30" ht="20.100000000000001" customHeight="1">
      <c r="A456" s="1604" t="str">
        <f>"2 - Đại diện nhà thầu: "&amp;$P$14</f>
        <v>2 - Đại diện nhà thầu: Công ty TNHH MTV HANTECH</v>
      </c>
      <c r="B456" s="1604"/>
      <c r="C456" s="1604"/>
      <c r="D456" s="1604"/>
      <c r="E456" s="1604"/>
      <c r="F456" s="1604"/>
      <c r="G456" s="1604"/>
      <c r="H456" s="1604"/>
      <c r="I456" s="1604"/>
      <c r="J456" s="1604"/>
      <c r="M456" s="469"/>
      <c r="P456" s="479"/>
      <c r="Q456" s="469"/>
    </row>
    <row r="457" spans="1:30" ht="20.100000000000001" customHeight="1">
      <c r="A457" s="1595" t="str">
        <f>"Ông : "&amp;$P$15</f>
        <v>Ông : Ngô Văn Khánh</v>
      </c>
      <c r="B457" s="1595"/>
      <c r="C457" s="1595"/>
      <c r="D457" s="1595"/>
      <c r="E457" s="1595"/>
      <c r="F457" s="1595" t="str">
        <f>"Chức vụ: "&amp;$Q$15</f>
        <v>Chức vụ: Chỉ huy trưởng công trường</v>
      </c>
      <c r="G457" s="1595"/>
      <c r="H457" s="1595"/>
      <c r="I457" s="1595"/>
      <c r="J457" s="1595"/>
      <c r="N457" s="470"/>
      <c r="O457" s="466"/>
      <c r="P457" s="466"/>
      <c r="Q457" s="467"/>
    </row>
    <row r="458" spans="1:30" ht="20.100000000000001" customHeight="1">
      <c r="A458" s="1595" t="str">
        <f>"Ông : "&amp;$P$16</f>
        <v>Ông : Nguyễn Mạnh Hùng</v>
      </c>
      <c r="B458" s="1595"/>
      <c r="C458" s="1595"/>
      <c r="D458" s="1595"/>
      <c r="E458" s="1595"/>
      <c r="F458" s="1595" t="str">
        <f>"Chức vụ: "&amp;$Q$16</f>
        <v>Chức vụ: Chỉ huy phó công trường</v>
      </c>
      <c r="G458" s="1595"/>
      <c r="H458" s="1595"/>
      <c r="I458" s="1595"/>
      <c r="J458" s="1595"/>
      <c r="P458" s="479"/>
      <c r="Q458" s="469"/>
    </row>
    <row r="459" spans="1:30" ht="20.100000000000001" customHeight="1">
      <c r="A459" s="1596" t="s">
        <v>95</v>
      </c>
      <c r="B459" s="1596"/>
      <c r="C459" s="1596"/>
      <c r="D459" s="1596"/>
      <c r="E459" s="1596"/>
      <c r="F459" s="1596"/>
      <c r="G459" s="1596"/>
      <c r="H459" s="1596"/>
      <c r="I459" s="1596"/>
      <c r="J459" s="1596"/>
      <c r="P459" s="479"/>
      <c r="Q459" s="469"/>
    </row>
    <row r="460" spans="1:30" ht="20.100000000000001" customHeight="1">
      <c r="A460" s="477" t="s">
        <v>96</v>
      </c>
      <c r="B460" s="477"/>
      <c r="C460" s="477"/>
      <c r="D460" s="484">
        <f>$N352</f>
        <v>0.33333333333333331</v>
      </c>
      <c r="E460" s="1603">
        <f>A441</f>
        <v>42496</v>
      </c>
      <c r="F460" s="1603"/>
      <c r="G460" s="1603"/>
      <c r="H460" s="1603"/>
      <c r="I460" s="1603"/>
      <c r="J460" s="1603"/>
      <c r="P460" s="479"/>
      <c r="Q460" s="469"/>
    </row>
    <row r="461" spans="1:30" s="175" customFormat="1" ht="20.100000000000001" customHeight="1">
      <c r="A461" s="477" t="s">
        <v>98</v>
      </c>
      <c r="B461" s="477"/>
      <c r="C461" s="477"/>
      <c r="D461" s="484">
        <f>D460+0.010417</f>
        <v>0.34375033333333332</v>
      </c>
      <c r="E461" s="1603">
        <f>E460</f>
        <v>42496</v>
      </c>
      <c r="F461" s="1603"/>
      <c r="G461" s="1603"/>
      <c r="H461" s="1603"/>
      <c r="I461" s="1603"/>
      <c r="J461" s="1603"/>
      <c r="N461" s="464"/>
      <c r="O461" s="464"/>
      <c r="P461" s="464"/>
      <c r="Q461" s="464"/>
      <c r="R461" s="464"/>
      <c r="S461" s="464"/>
    </row>
    <row r="462" spans="1:30" ht="20.100000000000001" customHeight="1">
      <c r="A462" s="477" t="s">
        <v>99</v>
      </c>
      <c r="B462" s="477" t="str">
        <f>"Công trình: "&amp;$V$1</f>
        <v>Công trình: Khu hỗn hợp chung cư, văn phòng, trung tâm thương mại và nhà ở kết hợp khu mua sắm</v>
      </c>
      <c r="C462" s="477"/>
      <c r="D462" s="484"/>
      <c r="E462" s="485"/>
      <c r="F462" s="485"/>
      <c r="G462" s="485"/>
      <c r="H462" s="485"/>
      <c r="I462" s="485"/>
      <c r="J462" s="485"/>
      <c r="N462" s="175"/>
      <c r="O462" s="175"/>
      <c r="P462" s="175"/>
      <c r="Q462" s="175"/>
      <c r="R462" s="175"/>
      <c r="S462" s="175"/>
    </row>
    <row r="463" spans="1:30" ht="20.100000000000001" customHeight="1">
      <c r="A463" s="1595" t="str">
        <f>"Địa điểm: "&amp;$V$3</f>
        <v>Địa điểm: P. Bạch Đằng, TP Hạ Long, Tỉnh Quảng Ninh</v>
      </c>
      <c r="B463" s="1595"/>
      <c r="C463" s="1595"/>
      <c r="D463" s="1595"/>
      <c r="E463" s="1595"/>
      <c r="F463" s="1595"/>
      <c r="G463" s="1595"/>
      <c r="H463" s="1595"/>
      <c r="I463" s="1595"/>
      <c r="J463" s="1595"/>
    </row>
    <row r="464" spans="1:30" ht="20.100000000000001" customHeight="1">
      <c r="A464" s="1596" t="s">
        <v>441</v>
      </c>
      <c r="B464" s="1596"/>
      <c r="C464" s="1596"/>
      <c r="D464" s="1596"/>
      <c r="E464" s="1596"/>
      <c r="F464" s="1596"/>
      <c r="G464" s="1596"/>
      <c r="H464" s="1596"/>
      <c r="I464" s="1596"/>
      <c r="J464" s="1596"/>
    </row>
    <row r="465" spans="1:232" ht="20.100000000000001" customHeight="1">
      <c r="A465" s="1604" t="s">
        <v>101</v>
      </c>
      <c r="B465" s="1604"/>
      <c r="C465" s="1604"/>
      <c r="D465" s="1604"/>
      <c r="E465" s="1604"/>
      <c r="F465" s="1604"/>
      <c r="G465" s="1604"/>
      <c r="H465" s="1604"/>
      <c r="I465" s="1604"/>
      <c r="J465" s="1604"/>
    </row>
    <row r="466" spans="1:232" s="175" customFormat="1" ht="20.100000000000001" customHeight="1">
      <c r="A466" s="1595" t="s">
        <v>135</v>
      </c>
      <c r="B466" s="1595"/>
      <c r="C466" s="1595"/>
      <c r="D466" s="1595"/>
      <c r="E466" s="1595"/>
      <c r="F466" s="1595"/>
      <c r="G466" s="1595"/>
      <c r="H466" s="1595"/>
      <c r="I466" s="1595"/>
      <c r="J466" s="1595"/>
      <c r="N466" s="464"/>
      <c r="O466" s="464"/>
      <c r="P466" s="464"/>
      <c r="Q466" s="464"/>
      <c r="R466" s="464"/>
      <c r="S466" s="464"/>
    </row>
    <row r="467" spans="1:232" ht="20.100000000000001" customHeight="1">
      <c r="A467" s="1609" t="s">
        <v>103</v>
      </c>
      <c r="B467" s="1609"/>
      <c r="C467" s="1609"/>
      <c r="D467" s="1609"/>
      <c r="E467" s="1609"/>
      <c r="F467" s="1609"/>
      <c r="G467" s="1609"/>
      <c r="H467" s="1609"/>
      <c r="I467" s="1609"/>
      <c r="J467" s="1609"/>
      <c r="N467" s="175"/>
      <c r="O467" s="175"/>
      <c r="P467" s="175"/>
      <c r="Q467" s="175"/>
      <c r="R467" s="175"/>
      <c r="S467" s="175"/>
    </row>
    <row r="468" spans="1:232" s="488" customFormat="1" ht="20.100000000000001" customHeight="1">
      <c r="A468" s="486" t="s">
        <v>104</v>
      </c>
      <c r="B468" s="477"/>
      <c r="C468" s="477"/>
      <c r="D468" s="477"/>
      <c r="E468" s="477"/>
      <c r="F468" s="477"/>
      <c r="G468" s="477"/>
      <c r="H468" s="477"/>
      <c r="I468" s="477"/>
      <c r="J468" s="477"/>
      <c r="K468" s="477"/>
      <c r="L468" s="477"/>
      <c r="M468" s="477"/>
      <c r="N468" s="464"/>
      <c r="O468" s="464"/>
      <c r="P468" s="464"/>
      <c r="Q468" s="464"/>
      <c r="R468" s="464"/>
      <c r="S468" s="464"/>
      <c r="T468" s="487"/>
      <c r="U468" s="487"/>
      <c r="V468" s="487"/>
      <c r="W468" s="487"/>
      <c r="X468" s="487"/>
      <c r="Y468" s="487"/>
      <c r="Z468" s="487"/>
      <c r="AA468" s="487"/>
      <c r="AB468" s="487"/>
      <c r="AC468" s="487"/>
      <c r="AD468" s="487"/>
      <c r="AE468" s="487"/>
      <c r="AF468" s="487"/>
      <c r="AG468" s="487"/>
      <c r="AH468" s="487"/>
      <c r="AI468" s="487"/>
      <c r="AJ468" s="487"/>
      <c r="AK468" s="487"/>
      <c r="AL468" s="487"/>
      <c r="AM468" s="487"/>
      <c r="AN468" s="487"/>
      <c r="AO468" s="487"/>
      <c r="AP468" s="487"/>
      <c r="AQ468" s="487"/>
      <c r="AR468" s="487"/>
      <c r="AS468" s="487"/>
      <c r="AT468" s="487"/>
      <c r="AU468" s="487"/>
      <c r="AV468" s="487"/>
      <c r="AW468" s="487"/>
      <c r="AX468" s="487"/>
      <c r="AY468" s="487"/>
      <c r="AZ468" s="487"/>
      <c r="BA468" s="487"/>
      <c r="BB468" s="487"/>
      <c r="BC468" s="487"/>
      <c r="BD468" s="487"/>
      <c r="BE468" s="487"/>
      <c r="BF468" s="487"/>
      <c r="BG468" s="487"/>
      <c r="BH468" s="487"/>
      <c r="BI468" s="487"/>
      <c r="BJ468" s="487"/>
      <c r="BK468" s="487"/>
      <c r="BL468" s="487"/>
      <c r="BM468" s="487"/>
      <c r="BN468" s="487"/>
      <c r="BO468" s="487"/>
      <c r="BP468" s="487"/>
      <c r="BQ468" s="487"/>
      <c r="BR468" s="487"/>
      <c r="BS468" s="487"/>
      <c r="BT468" s="487"/>
      <c r="BU468" s="487"/>
      <c r="BV468" s="487"/>
      <c r="BW468" s="487"/>
      <c r="BX468" s="487"/>
      <c r="BY468" s="487"/>
      <c r="BZ468" s="487"/>
      <c r="CA468" s="487"/>
      <c r="CB468" s="487"/>
      <c r="CC468" s="487"/>
      <c r="CD468" s="487"/>
      <c r="CE468" s="487"/>
      <c r="CF468" s="487"/>
      <c r="CG468" s="487"/>
      <c r="CH468" s="487"/>
      <c r="CI468" s="487"/>
      <c r="CJ468" s="487"/>
      <c r="CK468" s="487"/>
      <c r="CL468" s="487"/>
      <c r="CM468" s="487"/>
      <c r="CN468" s="487"/>
      <c r="CO468" s="487"/>
      <c r="CP468" s="487"/>
      <c r="CQ468" s="487"/>
      <c r="CR468" s="487"/>
      <c r="CS468" s="487"/>
      <c r="CT468" s="487"/>
      <c r="CU468" s="487"/>
      <c r="CV468" s="487"/>
      <c r="CW468" s="487"/>
      <c r="CX468" s="487"/>
      <c r="CY468" s="487"/>
      <c r="CZ468" s="487"/>
      <c r="DA468" s="487"/>
      <c r="DB468" s="487"/>
      <c r="DC468" s="487"/>
      <c r="DD468" s="487"/>
      <c r="DE468" s="487"/>
      <c r="DF468" s="487"/>
      <c r="DG468" s="487"/>
      <c r="DH468" s="487"/>
      <c r="DI468" s="487"/>
      <c r="DJ468" s="487"/>
      <c r="DK468" s="487"/>
      <c r="DL468" s="487"/>
      <c r="DM468" s="487"/>
      <c r="DN468" s="487"/>
      <c r="DO468" s="487"/>
      <c r="DP468" s="487"/>
      <c r="DQ468" s="487"/>
      <c r="DR468" s="487"/>
      <c r="DS468" s="487"/>
      <c r="DT468" s="487"/>
      <c r="DU468" s="487"/>
      <c r="DV468" s="487"/>
      <c r="DW468" s="487"/>
      <c r="DX468" s="487"/>
      <c r="DY468" s="487"/>
      <c r="DZ468" s="487"/>
      <c r="EA468" s="487"/>
      <c r="EB468" s="487"/>
      <c r="EC468" s="487"/>
      <c r="ED468" s="487"/>
      <c r="EE468" s="487"/>
      <c r="EF468" s="487"/>
      <c r="EG468" s="487"/>
      <c r="EH468" s="487"/>
      <c r="EI468" s="487"/>
      <c r="EJ468" s="487"/>
      <c r="EK468" s="487"/>
      <c r="EL468" s="487"/>
      <c r="EM468" s="487"/>
      <c r="EN468" s="487"/>
      <c r="EO468" s="487"/>
      <c r="EP468" s="487"/>
      <c r="EQ468" s="487"/>
      <c r="ER468" s="487"/>
      <c r="ES468" s="487"/>
      <c r="ET468" s="487"/>
      <c r="EU468" s="487"/>
      <c r="EV468" s="487"/>
      <c r="EW468" s="487"/>
      <c r="EX468" s="487"/>
      <c r="EY468" s="487"/>
      <c r="EZ468" s="487"/>
      <c r="FA468" s="487"/>
      <c r="FB468" s="487"/>
      <c r="FC468" s="487"/>
      <c r="FD468" s="487"/>
      <c r="FE468" s="487"/>
      <c r="FF468" s="487"/>
      <c r="FG468" s="487"/>
      <c r="FH468" s="487"/>
      <c r="FI468" s="487"/>
      <c r="FJ468" s="487"/>
      <c r="FK468" s="487"/>
      <c r="FL468" s="487"/>
      <c r="FM468" s="487"/>
      <c r="FN468" s="487"/>
      <c r="FO468" s="487"/>
      <c r="FP468" s="487"/>
      <c r="FQ468" s="487"/>
      <c r="FR468" s="487"/>
      <c r="FS468" s="487"/>
      <c r="FT468" s="487"/>
      <c r="FU468" s="487"/>
      <c r="FV468" s="487"/>
      <c r="FW468" s="487"/>
      <c r="FX468" s="487"/>
      <c r="FY468" s="487"/>
      <c r="FZ468" s="487"/>
      <c r="GA468" s="487"/>
      <c r="GB468" s="487"/>
      <c r="GC468" s="487"/>
      <c r="GD468" s="487"/>
      <c r="GE468" s="487"/>
      <c r="GF468" s="487"/>
      <c r="GG468" s="487"/>
      <c r="GH468" s="487"/>
      <c r="GI468" s="487"/>
      <c r="GJ468" s="487"/>
      <c r="GK468" s="487"/>
      <c r="GL468" s="487"/>
      <c r="GM468" s="487"/>
      <c r="GN468" s="487"/>
      <c r="GO468" s="487"/>
      <c r="GP468" s="487"/>
      <c r="GQ468" s="487"/>
      <c r="GR468" s="487"/>
      <c r="GS468" s="487"/>
      <c r="GT468" s="487"/>
      <c r="GU468" s="487"/>
      <c r="GV468" s="487"/>
      <c r="GW468" s="487"/>
      <c r="GX468" s="487"/>
      <c r="GY468" s="487"/>
      <c r="GZ468" s="487"/>
      <c r="HA468" s="487"/>
      <c r="HB468" s="487"/>
      <c r="HC468" s="487"/>
      <c r="HD468" s="487"/>
      <c r="HE468" s="487"/>
      <c r="HF468" s="487"/>
      <c r="HG468" s="487"/>
      <c r="HH468" s="487"/>
      <c r="HI468" s="487"/>
      <c r="HJ468" s="487"/>
      <c r="HK468" s="487"/>
      <c r="HL468" s="487"/>
      <c r="HM468" s="487"/>
      <c r="HN468" s="487"/>
      <c r="HO468" s="487"/>
      <c r="HP468" s="487"/>
      <c r="HQ468" s="487"/>
      <c r="HR468" s="487"/>
      <c r="HS468" s="487"/>
      <c r="HT468" s="487"/>
      <c r="HU468" s="487"/>
      <c r="HV468" s="487"/>
      <c r="HW468" s="487"/>
      <c r="HX468" s="487"/>
    </row>
    <row r="469" spans="1:232" s="488" customFormat="1" ht="20.100000000000001" customHeight="1">
      <c r="A469" s="487"/>
      <c r="B469" s="509" t="s">
        <v>152</v>
      </c>
      <c r="C469" s="477"/>
      <c r="D469" s="477"/>
      <c r="E469" s="477"/>
      <c r="F469" s="477"/>
      <c r="G469" s="477"/>
      <c r="H469" s="477"/>
      <c r="I469" s="477"/>
      <c r="J469" s="477"/>
      <c r="K469" s="477"/>
      <c r="L469" s="477"/>
      <c r="M469" s="477"/>
      <c r="N469" s="487"/>
      <c r="O469" s="487"/>
      <c r="P469" s="487"/>
      <c r="Q469" s="487"/>
      <c r="R469" s="487"/>
      <c r="S469" s="487"/>
      <c r="T469" s="487"/>
      <c r="U469" s="489"/>
      <c r="V469" s="489"/>
      <c r="W469" s="489"/>
      <c r="X469" s="489"/>
      <c r="Y469" s="489"/>
      <c r="Z469" s="489"/>
      <c r="AA469" s="489"/>
      <c r="AB469" s="489"/>
      <c r="AC469" s="489"/>
      <c r="AD469" s="489"/>
      <c r="AE469" s="489"/>
      <c r="AF469" s="489"/>
      <c r="AG469" s="489"/>
      <c r="AH469" s="489"/>
      <c r="AI469" s="489"/>
      <c r="AJ469" s="489"/>
      <c r="AK469" s="489"/>
      <c r="AL469" s="489"/>
      <c r="AM469" s="489"/>
      <c r="AN469" s="489"/>
      <c r="AO469" s="489"/>
      <c r="AP469" s="489"/>
      <c r="AQ469" s="489"/>
      <c r="AR469" s="489"/>
      <c r="AS469" s="489"/>
      <c r="AT469" s="489"/>
      <c r="AU469" s="489"/>
      <c r="AV469" s="489"/>
      <c r="AW469" s="489"/>
      <c r="AX469" s="489"/>
      <c r="AY469" s="489"/>
      <c r="AZ469" s="489"/>
      <c r="BA469" s="489"/>
      <c r="BB469" s="489"/>
      <c r="BC469" s="489"/>
      <c r="BD469" s="489"/>
      <c r="BE469" s="489"/>
      <c r="BF469" s="489"/>
      <c r="BG469" s="489"/>
      <c r="BH469" s="489"/>
      <c r="BI469" s="489"/>
      <c r="BJ469" s="489"/>
      <c r="BK469" s="489"/>
      <c r="BL469" s="489"/>
      <c r="BM469" s="489"/>
      <c r="BN469" s="489"/>
      <c r="BO469" s="489"/>
      <c r="BP469" s="489"/>
      <c r="BQ469" s="489"/>
      <c r="BR469" s="489"/>
      <c r="BS469" s="489"/>
      <c r="BT469" s="489"/>
      <c r="BU469" s="489"/>
      <c r="BV469" s="489"/>
      <c r="BW469" s="489"/>
      <c r="BX469" s="489"/>
      <c r="BY469" s="489"/>
      <c r="BZ469" s="489"/>
      <c r="CA469" s="489"/>
      <c r="CB469" s="489"/>
      <c r="CC469" s="489"/>
      <c r="CD469" s="489"/>
      <c r="CE469" s="489"/>
      <c r="CF469" s="489"/>
      <c r="CG469" s="489"/>
      <c r="CH469" s="489"/>
      <c r="CI469" s="489"/>
      <c r="CJ469" s="489"/>
      <c r="CK469" s="489"/>
      <c r="CL469" s="489"/>
      <c r="CM469" s="489"/>
      <c r="CN469" s="489"/>
      <c r="CO469" s="489"/>
      <c r="CP469" s="489"/>
      <c r="CQ469" s="489"/>
      <c r="CR469" s="489"/>
      <c r="CS469" s="489"/>
      <c r="CT469" s="489"/>
      <c r="CU469" s="489"/>
      <c r="CV469" s="489"/>
      <c r="CW469" s="489"/>
      <c r="CX469" s="489"/>
      <c r="CY469" s="489"/>
      <c r="CZ469" s="489"/>
      <c r="DA469" s="489"/>
      <c r="DB469" s="489"/>
      <c r="DC469" s="489"/>
      <c r="DD469" s="489"/>
      <c r="DE469" s="489"/>
      <c r="DF469" s="489"/>
      <c r="DG469" s="489"/>
      <c r="DH469" s="489"/>
      <c r="DI469" s="489"/>
      <c r="DJ469" s="489"/>
      <c r="DK469" s="489"/>
      <c r="DL469" s="489"/>
      <c r="DM469" s="489"/>
      <c r="DN469" s="489"/>
      <c r="DO469" s="489"/>
      <c r="DP469" s="489"/>
      <c r="DQ469" s="489"/>
      <c r="DR469" s="489"/>
      <c r="DS469" s="489"/>
      <c r="DT469" s="489"/>
      <c r="DU469" s="489"/>
      <c r="DV469" s="489"/>
      <c r="DW469" s="489"/>
      <c r="DX469" s="489"/>
      <c r="DY469" s="489"/>
      <c r="DZ469" s="489"/>
      <c r="EA469" s="489"/>
      <c r="EB469" s="489"/>
      <c r="EC469" s="489"/>
      <c r="ED469" s="489"/>
      <c r="EE469" s="489"/>
      <c r="EF469" s="489"/>
      <c r="EG469" s="489"/>
      <c r="EH469" s="489"/>
      <c r="EI469" s="489"/>
      <c r="EJ469" s="489"/>
      <c r="EK469" s="489"/>
      <c r="EL469" s="489"/>
      <c r="EM469" s="489"/>
      <c r="EN469" s="489"/>
      <c r="EO469" s="489"/>
      <c r="EP469" s="489"/>
      <c r="EQ469" s="489"/>
      <c r="ER469" s="489"/>
      <c r="ES469" s="489"/>
      <c r="ET469" s="489"/>
      <c r="EU469" s="489"/>
      <c r="EV469" s="489"/>
      <c r="EW469" s="489"/>
      <c r="EX469" s="489"/>
      <c r="EY469" s="489"/>
      <c r="EZ469" s="489"/>
      <c r="FA469" s="489"/>
      <c r="FB469" s="489"/>
      <c r="FC469" s="489"/>
      <c r="FD469" s="489"/>
      <c r="FE469" s="489"/>
      <c r="FF469" s="489"/>
      <c r="FG469" s="489"/>
      <c r="FH469" s="489"/>
      <c r="FI469" s="489"/>
      <c r="FJ469" s="489"/>
      <c r="FK469" s="489"/>
      <c r="FL469" s="489"/>
      <c r="FM469" s="489"/>
      <c r="FN469" s="489"/>
      <c r="FO469" s="489"/>
      <c r="FP469" s="489"/>
      <c r="FQ469" s="489"/>
      <c r="FR469" s="489"/>
      <c r="FS469" s="489"/>
      <c r="FT469" s="489"/>
      <c r="FU469" s="489"/>
      <c r="FV469" s="489"/>
      <c r="FW469" s="489"/>
      <c r="FX469" s="489"/>
      <c r="FY469" s="489"/>
      <c r="FZ469" s="489"/>
      <c r="GA469" s="489"/>
      <c r="GB469" s="489"/>
      <c r="GC469" s="489"/>
      <c r="GD469" s="489"/>
      <c r="GE469" s="489"/>
      <c r="GF469" s="489"/>
      <c r="GG469" s="489"/>
      <c r="GH469" s="489"/>
      <c r="GI469" s="489"/>
      <c r="GJ469" s="489"/>
      <c r="GK469" s="489"/>
      <c r="GL469" s="489"/>
      <c r="GM469" s="489"/>
      <c r="GN469" s="489"/>
      <c r="GO469" s="489"/>
      <c r="GP469" s="489"/>
      <c r="GQ469" s="489"/>
      <c r="GR469" s="489"/>
      <c r="GS469" s="489"/>
      <c r="GT469" s="489"/>
      <c r="GU469" s="489"/>
      <c r="GV469" s="489"/>
      <c r="GW469" s="489"/>
      <c r="GX469" s="489"/>
      <c r="GY469" s="489"/>
      <c r="GZ469" s="489"/>
      <c r="HA469" s="489"/>
      <c r="HB469" s="489"/>
      <c r="HC469" s="489"/>
      <c r="HD469" s="489"/>
      <c r="HE469" s="489"/>
      <c r="HF469" s="489"/>
      <c r="HG469" s="489"/>
      <c r="HH469" s="489"/>
      <c r="HI469" s="489"/>
      <c r="HJ469" s="489"/>
      <c r="HK469" s="489"/>
      <c r="HL469" s="489"/>
      <c r="HM469" s="489"/>
      <c r="HN469" s="489"/>
      <c r="HO469" s="489"/>
      <c r="HP469" s="489"/>
      <c r="HQ469" s="489"/>
      <c r="HR469" s="489"/>
      <c r="HS469" s="489"/>
      <c r="HT469" s="489"/>
      <c r="HU469" s="489"/>
      <c r="HV469" s="489"/>
      <c r="HW469" s="489"/>
      <c r="HX469" s="487"/>
    </row>
    <row r="470" spans="1:232" s="488" customFormat="1" ht="20.100000000000001" customHeight="1">
      <c r="A470" s="487"/>
      <c r="B470" s="477" t="s">
        <v>105</v>
      </c>
      <c r="C470" s="477"/>
      <c r="D470" s="477"/>
      <c r="E470" s="477"/>
      <c r="F470" s="477"/>
      <c r="G470" s="477"/>
      <c r="H470" s="477"/>
      <c r="I470" s="477"/>
      <c r="J470" s="477"/>
      <c r="K470" s="477"/>
      <c r="L470" s="477"/>
      <c r="M470" s="477"/>
      <c r="N470" s="487"/>
      <c r="O470" s="487"/>
      <c r="P470" s="487"/>
      <c r="Q470" s="487"/>
      <c r="R470" s="487"/>
      <c r="S470" s="487"/>
      <c r="T470" s="477"/>
      <c r="U470" s="489"/>
      <c r="V470" s="489"/>
      <c r="W470" s="489"/>
      <c r="X470" s="489"/>
      <c r="Y470" s="489"/>
      <c r="Z470" s="489"/>
      <c r="AA470" s="489"/>
      <c r="AB470" s="489"/>
      <c r="AC470" s="489"/>
      <c r="AD470" s="489"/>
      <c r="AE470" s="489"/>
      <c r="AF470" s="489"/>
      <c r="AG470" s="489"/>
      <c r="AH470" s="489"/>
      <c r="AI470" s="489"/>
      <c r="AJ470" s="489"/>
      <c r="AK470" s="489"/>
      <c r="AL470" s="489"/>
      <c r="AM470" s="489"/>
      <c r="AN470" s="489"/>
      <c r="AO470" s="489"/>
      <c r="AP470" s="489"/>
      <c r="AQ470" s="489"/>
      <c r="AR470" s="489"/>
      <c r="AS470" s="489"/>
      <c r="AT470" s="489"/>
      <c r="AU470" s="489"/>
      <c r="AV470" s="489"/>
      <c r="AW470" s="489"/>
      <c r="AX470" s="489"/>
      <c r="AY470" s="489"/>
      <c r="AZ470" s="489"/>
      <c r="BA470" s="489"/>
      <c r="BB470" s="489"/>
      <c r="BC470" s="489"/>
      <c r="BD470" s="489"/>
      <c r="BE470" s="489"/>
      <c r="BF470" s="489"/>
      <c r="BG470" s="489"/>
      <c r="BH470" s="489"/>
      <c r="BI470" s="489"/>
      <c r="BJ470" s="489"/>
      <c r="BK470" s="489"/>
      <c r="BL470" s="489"/>
      <c r="BM470" s="489"/>
      <c r="BN470" s="489"/>
      <c r="BO470" s="489"/>
      <c r="BP470" s="489"/>
      <c r="BQ470" s="489"/>
      <c r="BR470" s="489"/>
      <c r="BS470" s="489"/>
      <c r="BT470" s="489"/>
      <c r="BU470" s="489"/>
      <c r="BV470" s="489"/>
      <c r="BW470" s="489"/>
      <c r="BX470" s="489"/>
      <c r="BY470" s="489"/>
      <c r="BZ470" s="489"/>
      <c r="CA470" s="489"/>
      <c r="CB470" s="489"/>
      <c r="CC470" s="489"/>
      <c r="CD470" s="489"/>
      <c r="CE470" s="489"/>
      <c r="CF470" s="489"/>
      <c r="CG470" s="489"/>
      <c r="CH470" s="489"/>
      <c r="CI470" s="489"/>
      <c r="CJ470" s="489"/>
      <c r="CK470" s="489"/>
      <c r="CL470" s="489"/>
      <c r="CM470" s="489"/>
      <c r="CN470" s="489"/>
      <c r="CO470" s="489"/>
      <c r="CP470" s="489"/>
      <c r="CQ470" s="489"/>
      <c r="CR470" s="489"/>
      <c r="CS470" s="489"/>
      <c r="CT470" s="489"/>
      <c r="CU470" s="489"/>
      <c r="CV470" s="489"/>
      <c r="CW470" s="489"/>
      <c r="CX470" s="489"/>
      <c r="CY470" s="489"/>
      <c r="CZ470" s="489"/>
      <c r="DA470" s="489"/>
      <c r="DB470" s="489"/>
      <c r="DC470" s="489"/>
      <c r="DD470" s="489"/>
      <c r="DE470" s="489"/>
      <c r="DF470" s="489"/>
      <c r="DG470" s="489"/>
      <c r="DH470" s="489"/>
      <c r="DI470" s="489"/>
      <c r="DJ470" s="489"/>
      <c r="DK470" s="489"/>
      <c r="DL470" s="489"/>
      <c r="DM470" s="489"/>
      <c r="DN470" s="489"/>
      <c r="DO470" s="489"/>
      <c r="DP470" s="489"/>
      <c r="DQ470" s="489"/>
      <c r="DR470" s="489"/>
      <c r="DS470" s="489"/>
      <c r="DT470" s="489"/>
      <c r="DU470" s="489"/>
      <c r="DV470" s="489"/>
      <c r="DW470" s="489"/>
      <c r="DX470" s="489"/>
      <c r="DY470" s="489"/>
      <c r="DZ470" s="489"/>
      <c r="EA470" s="489"/>
      <c r="EB470" s="489"/>
      <c r="EC470" s="489"/>
      <c r="ED470" s="489"/>
      <c r="EE470" s="489"/>
      <c r="EF470" s="489"/>
      <c r="EG470" s="489"/>
      <c r="EH470" s="489"/>
      <c r="EI470" s="489"/>
      <c r="EJ470" s="489"/>
      <c r="EK470" s="489"/>
      <c r="EL470" s="489"/>
      <c r="EM470" s="489"/>
      <c r="EN470" s="489"/>
      <c r="EO470" s="489"/>
      <c r="EP470" s="489"/>
      <c r="EQ470" s="489"/>
      <c r="ER470" s="489"/>
      <c r="ES470" s="489"/>
      <c r="ET470" s="489"/>
      <c r="EU470" s="489"/>
      <c r="EV470" s="489"/>
      <c r="EW470" s="489"/>
      <c r="EX470" s="489"/>
      <c r="EY470" s="489"/>
      <c r="EZ470" s="489"/>
      <c r="FA470" s="489"/>
      <c r="FB470" s="489"/>
      <c r="FC470" s="489"/>
      <c r="FD470" s="489"/>
      <c r="FE470" s="489"/>
      <c r="FF470" s="489"/>
      <c r="FG470" s="489"/>
      <c r="FH470" s="489"/>
      <c r="FI470" s="489"/>
      <c r="FJ470" s="489"/>
      <c r="FK470" s="489"/>
      <c r="FL470" s="489"/>
      <c r="FM470" s="489"/>
      <c r="FN470" s="489"/>
      <c r="FO470" s="489"/>
      <c r="FP470" s="489"/>
      <c r="FQ470" s="489"/>
      <c r="FR470" s="489"/>
      <c r="FS470" s="489"/>
      <c r="FT470" s="489"/>
      <c r="FU470" s="489"/>
      <c r="FV470" s="489"/>
      <c r="FW470" s="489"/>
      <c r="FX470" s="489"/>
      <c r="FY470" s="489"/>
      <c r="FZ470" s="489"/>
      <c r="GA470" s="489"/>
      <c r="GB470" s="489"/>
      <c r="GC470" s="489"/>
      <c r="GD470" s="489"/>
      <c r="GE470" s="489"/>
      <c r="GF470" s="489"/>
      <c r="GG470" s="489"/>
      <c r="GH470" s="489"/>
      <c r="GI470" s="489"/>
      <c r="GJ470" s="489"/>
      <c r="GK470" s="489"/>
      <c r="GL470" s="489"/>
      <c r="GM470" s="489"/>
      <c r="GN470" s="489"/>
      <c r="GO470" s="489"/>
      <c r="GP470" s="489"/>
      <c r="GQ470" s="489"/>
      <c r="GR470" s="489"/>
      <c r="GS470" s="489"/>
      <c r="GT470" s="489"/>
      <c r="GU470" s="489"/>
      <c r="GV470" s="489"/>
      <c r="GW470" s="489"/>
      <c r="GX470" s="489"/>
      <c r="GY470" s="489"/>
      <c r="GZ470" s="489"/>
      <c r="HA470" s="489"/>
      <c r="HB470" s="489"/>
      <c r="HC470" s="489"/>
      <c r="HD470" s="489"/>
      <c r="HE470" s="489"/>
      <c r="HF470" s="489"/>
      <c r="HG470" s="489"/>
      <c r="HH470" s="489"/>
      <c r="HI470" s="489"/>
      <c r="HJ470" s="489"/>
      <c r="HK470" s="489"/>
      <c r="HL470" s="489"/>
      <c r="HM470" s="489"/>
      <c r="HN470" s="489"/>
      <c r="HO470" s="489"/>
      <c r="HP470" s="489"/>
      <c r="HQ470" s="489"/>
      <c r="HR470" s="489"/>
      <c r="HS470" s="489"/>
      <c r="HT470" s="489"/>
      <c r="HU470" s="489"/>
      <c r="HV470" s="489"/>
      <c r="HW470" s="489"/>
      <c r="HX470" s="487"/>
    </row>
    <row r="471" spans="1:232" s="488" customFormat="1" ht="20.100000000000001" customHeight="1">
      <c r="A471" s="490"/>
      <c r="B471" s="491" t="s">
        <v>106</v>
      </c>
      <c r="C471" s="491"/>
      <c r="D471" s="491"/>
      <c r="E471" s="491"/>
      <c r="F471" s="491"/>
      <c r="G471" s="491"/>
      <c r="H471" s="491"/>
      <c r="I471" s="491"/>
      <c r="J471" s="491"/>
      <c r="K471" s="491"/>
      <c r="L471" s="477"/>
      <c r="M471" s="477"/>
      <c r="N471" s="477"/>
      <c r="O471" s="477"/>
      <c r="P471" s="477"/>
      <c r="Q471" s="477"/>
      <c r="R471" s="477"/>
      <c r="S471" s="477"/>
      <c r="T471" s="492"/>
      <c r="U471" s="489"/>
      <c r="V471" s="489"/>
      <c r="W471" s="489"/>
      <c r="X471" s="489"/>
      <c r="Y471" s="489"/>
      <c r="Z471" s="489"/>
      <c r="AA471" s="489"/>
      <c r="AB471" s="489"/>
      <c r="AC471" s="489"/>
      <c r="AD471" s="489"/>
      <c r="AE471" s="489"/>
      <c r="AF471" s="489"/>
      <c r="AG471" s="489"/>
      <c r="AH471" s="489"/>
      <c r="AI471" s="489"/>
      <c r="AJ471" s="489"/>
      <c r="AK471" s="489"/>
      <c r="AL471" s="489"/>
      <c r="AM471" s="489"/>
      <c r="AN471" s="489"/>
      <c r="AO471" s="489"/>
      <c r="AP471" s="489"/>
      <c r="AQ471" s="489"/>
      <c r="AR471" s="489"/>
      <c r="AS471" s="489"/>
      <c r="AT471" s="489"/>
      <c r="AU471" s="489"/>
      <c r="AV471" s="489"/>
      <c r="AW471" s="489"/>
      <c r="AX471" s="489"/>
      <c r="AY471" s="489"/>
      <c r="AZ471" s="489"/>
      <c r="BA471" s="489"/>
      <c r="BB471" s="489"/>
      <c r="BC471" s="489"/>
      <c r="BD471" s="489"/>
      <c r="BE471" s="489"/>
      <c r="BF471" s="489"/>
      <c r="BG471" s="489"/>
      <c r="BH471" s="489"/>
      <c r="BI471" s="489"/>
      <c r="BJ471" s="489"/>
      <c r="BK471" s="489"/>
      <c r="BL471" s="489"/>
      <c r="BM471" s="489"/>
      <c r="BN471" s="489"/>
      <c r="BO471" s="489"/>
      <c r="BP471" s="489"/>
      <c r="BQ471" s="489"/>
      <c r="BR471" s="489"/>
      <c r="BS471" s="489"/>
      <c r="BT471" s="489"/>
      <c r="BU471" s="489"/>
      <c r="BV471" s="489"/>
      <c r="BW471" s="489"/>
      <c r="BX471" s="489"/>
      <c r="BY471" s="489"/>
      <c r="BZ471" s="489"/>
      <c r="CA471" s="489"/>
      <c r="CB471" s="489"/>
      <c r="CC471" s="489"/>
      <c r="CD471" s="489"/>
      <c r="CE471" s="489"/>
      <c r="CF471" s="489"/>
      <c r="CG471" s="489"/>
      <c r="CH471" s="489"/>
      <c r="CI471" s="489"/>
      <c r="CJ471" s="489"/>
      <c r="CK471" s="489"/>
      <c r="CL471" s="489"/>
      <c r="CM471" s="489"/>
      <c r="CN471" s="489"/>
      <c r="CO471" s="489"/>
      <c r="CP471" s="489"/>
      <c r="CQ471" s="489"/>
      <c r="CR471" s="489"/>
      <c r="CS471" s="489"/>
      <c r="CT471" s="489"/>
      <c r="CU471" s="489"/>
      <c r="CV471" s="489"/>
      <c r="CW471" s="489"/>
      <c r="CX471" s="489"/>
      <c r="CY471" s="489"/>
      <c r="CZ471" s="489"/>
      <c r="DA471" s="489"/>
      <c r="DB471" s="489"/>
      <c r="DC471" s="489"/>
      <c r="DD471" s="489"/>
      <c r="DE471" s="489"/>
      <c r="DF471" s="489"/>
      <c r="DG471" s="489"/>
      <c r="DH471" s="489"/>
      <c r="DI471" s="489"/>
      <c r="DJ471" s="489"/>
      <c r="DK471" s="489"/>
      <c r="DL471" s="489"/>
      <c r="DM471" s="489"/>
      <c r="DN471" s="489"/>
      <c r="DO471" s="489"/>
      <c r="DP471" s="489"/>
      <c r="DQ471" s="489"/>
      <c r="DR471" s="489"/>
      <c r="DS471" s="489"/>
      <c r="DT471" s="489"/>
      <c r="DU471" s="489"/>
      <c r="DV471" s="489"/>
      <c r="DW471" s="489"/>
      <c r="DX471" s="489"/>
      <c r="DY471" s="489"/>
      <c r="DZ471" s="489"/>
      <c r="EA471" s="489"/>
      <c r="EB471" s="489"/>
      <c r="EC471" s="489"/>
      <c r="ED471" s="489"/>
      <c r="EE471" s="489"/>
      <c r="EF471" s="489"/>
      <c r="EG471" s="489"/>
      <c r="EH471" s="489"/>
      <c r="EI471" s="489"/>
      <c r="EJ471" s="489"/>
      <c r="EK471" s="489"/>
      <c r="EL471" s="489"/>
      <c r="EM471" s="489"/>
      <c r="EN471" s="489"/>
      <c r="EO471" s="489"/>
      <c r="EP471" s="489"/>
      <c r="EQ471" s="489"/>
      <c r="ER471" s="489"/>
      <c r="ES471" s="489"/>
      <c r="ET471" s="489"/>
      <c r="EU471" s="489"/>
      <c r="EV471" s="489"/>
      <c r="EW471" s="489"/>
      <c r="EX471" s="489"/>
      <c r="EY471" s="489"/>
      <c r="EZ471" s="489"/>
      <c r="FA471" s="489"/>
      <c r="FB471" s="489"/>
      <c r="FC471" s="489"/>
      <c r="FD471" s="489"/>
      <c r="FE471" s="489"/>
      <c r="FF471" s="489"/>
      <c r="FG471" s="489"/>
      <c r="FH471" s="489"/>
      <c r="FI471" s="489"/>
      <c r="FJ471" s="489"/>
      <c r="FK471" s="489"/>
      <c r="FL471" s="489"/>
      <c r="FM471" s="489"/>
      <c r="FN471" s="489"/>
      <c r="FO471" s="489"/>
      <c r="FP471" s="489"/>
      <c r="FQ471" s="489"/>
      <c r="FR471" s="489"/>
      <c r="FS471" s="489"/>
      <c r="FT471" s="489"/>
      <c r="FU471" s="489"/>
      <c r="FV471" s="489"/>
      <c r="FW471" s="489"/>
      <c r="FX471" s="489"/>
      <c r="FY471" s="489"/>
      <c r="FZ471" s="489"/>
      <c r="GA471" s="489"/>
      <c r="GB471" s="489"/>
      <c r="GC471" s="489"/>
      <c r="GD471" s="489"/>
      <c r="GE471" s="489"/>
      <c r="GF471" s="489"/>
      <c r="GG471" s="489"/>
      <c r="GH471" s="489"/>
      <c r="GI471" s="489"/>
      <c r="GJ471" s="489"/>
      <c r="GK471" s="489"/>
      <c r="GL471" s="489"/>
      <c r="GM471" s="489"/>
      <c r="GN471" s="489"/>
      <c r="GO471" s="489"/>
      <c r="GP471" s="489"/>
      <c r="GQ471" s="489"/>
      <c r="GR471" s="489"/>
      <c r="GS471" s="489"/>
      <c r="GT471" s="489"/>
      <c r="GU471" s="489"/>
      <c r="GV471" s="489"/>
      <c r="GW471" s="489"/>
      <c r="GX471" s="489"/>
      <c r="GY471" s="489"/>
      <c r="GZ471" s="489"/>
      <c r="HA471" s="489"/>
      <c r="HB471" s="489"/>
      <c r="HC471" s="489"/>
      <c r="HD471" s="489"/>
      <c r="HE471" s="489"/>
      <c r="HF471" s="489"/>
      <c r="HG471" s="489"/>
      <c r="HH471" s="489"/>
      <c r="HI471" s="489"/>
      <c r="HJ471" s="489"/>
      <c r="HK471" s="489"/>
      <c r="HL471" s="489"/>
      <c r="HM471" s="489"/>
      <c r="HN471" s="489"/>
      <c r="HO471" s="489"/>
      <c r="HP471" s="489"/>
      <c r="HQ471" s="489"/>
      <c r="HR471" s="489"/>
      <c r="HS471" s="489"/>
      <c r="HT471" s="489"/>
      <c r="HU471" s="489"/>
      <c r="HV471" s="489"/>
      <c r="HW471" s="489"/>
      <c r="HX471" s="487"/>
    </row>
    <row r="472" spans="1:232" s="488" customFormat="1" ht="39.75" customHeight="1">
      <c r="A472" s="490"/>
      <c r="B472" s="1602" t="s">
        <v>107</v>
      </c>
      <c r="C472" s="1602"/>
      <c r="D472" s="1602"/>
      <c r="E472" s="1602"/>
      <c r="F472" s="1602"/>
      <c r="G472" s="1602"/>
      <c r="H472" s="1602"/>
      <c r="I472" s="1602"/>
      <c r="J472" s="1602"/>
      <c r="K472" s="491"/>
      <c r="L472" s="477"/>
      <c r="M472" s="477"/>
      <c r="N472" s="492"/>
      <c r="O472" s="492"/>
      <c r="P472" s="492"/>
      <c r="Q472" s="492"/>
      <c r="R472" s="492"/>
      <c r="S472" s="492"/>
      <c r="T472" s="492"/>
      <c r="U472" s="489"/>
      <c r="V472" s="489"/>
      <c r="W472" s="489"/>
      <c r="X472" s="489"/>
      <c r="Y472" s="489"/>
      <c r="Z472" s="489"/>
      <c r="AA472" s="489"/>
      <c r="AB472" s="489"/>
      <c r="AC472" s="489"/>
      <c r="AD472" s="489"/>
      <c r="AE472" s="489"/>
      <c r="AF472" s="489"/>
      <c r="AG472" s="489"/>
      <c r="AH472" s="489"/>
      <c r="AI472" s="489"/>
      <c r="AJ472" s="489"/>
      <c r="AK472" s="489"/>
      <c r="AL472" s="489"/>
      <c r="AM472" s="489"/>
      <c r="AN472" s="489"/>
      <c r="AO472" s="489"/>
      <c r="AP472" s="489"/>
      <c r="AQ472" s="489"/>
      <c r="AR472" s="489"/>
      <c r="AS472" s="489"/>
      <c r="AT472" s="489"/>
      <c r="AU472" s="489"/>
      <c r="AV472" s="489"/>
      <c r="AW472" s="489"/>
      <c r="AX472" s="489"/>
      <c r="AY472" s="489"/>
      <c r="AZ472" s="489"/>
      <c r="BA472" s="489"/>
      <c r="BB472" s="489"/>
      <c r="BC472" s="489"/>
      <c r="BD472" s="489"/>
      <c r="BE472" s="489"/>
      <c r="BF472" s="489"/>
      <c r="BG472" s="489"/>
      <c r="BH472" s="489"/>
      <c r="BI472" s="489"/>
      <c r="BJ472" s="489"/>
      <c r="BK472" s="489"/>
      <c r="BL472" s="489"/>
      <c r="BM472" s="489"/>
      <c r="BN472" s="489"/>
      <c r="BO472" s="489"/>
      <c r="BP472" s="489"/>
      <c r="BQ472" s="489"/>
      <c r="BR472" s="489"/>
      <c r="BS472" s="489"/>
      <c r="BT472" s="489"/>
      <c r="BU472" s="489"/>
      <c r="BV472" s="489"/>
      <c r="BW472" s="489"/>
      <c r="BX472" s="489"/>
      <c r="BY472" s="489"/>
      <c r="BZ472" s="489"/>
      <c r="CA472" s="489"/>
      <c r="CB472" s="489"/>
      <c r="CC472" s="489"/>
      <c r="CD472" s="489"/>
      <c r="CE472" s="489"/>
      <c r="CF472" s="489"/>
      <c r="CG472" s="489"/>
      <c r="CH472" s="489"/>
      <c r="CI472" s="489"/>
      <c r="CJ472" s="489"/>
      <c r="CK472" s="489"/>
      <c r="CL472" s="489"/>
      <c r="CM472" s="489"/>
      <c r="CN472" s="489"/>
      <c r="CO472" s="489"/>
      <c r="CP472" s="489"/>
      <c r="CQ472" s="489"/>
      <c r="CR472" s="489"/>
      <c r="CS472" s="489"/>
      <c r="CT472" s="489"/>
      <c r="CU472" s="489"/>
      <c r="CV472" s="489"/>
      <c r="CW472" s="489"/>
      <c r="CX472" s="489"/>
      <c r="CY472" s="489"/>
      <c r="CZ472" s="489"/>
      <c r="DA472" s="489"/>
      <c r="DB472" s="489"/>
      <c r="DC472" s="489"/>
      <c r="DD472" s="489"/>
      <c r="DE472" s="489"/>
      <c r="DF472" s="489"/>
      <c r="DG472" s="489"/>
      <c r="DH472" s="489"/>
      <c r="DI472" s="489"/>
      <c r="DJ472" s="489"/>
      <c r="DK472" s="489"/>
      <c r="DL472" s="489"/>
      <c r="DM472" s="489"/>
      <c r="DN472" s="489"/>
      <c r="DO472" s="489"/>
      <c r="DP472" s="489"/>
      <c r="DQ472" s="489"/>
      <c r="DR472" s="489"/>
      <c r="DS472" s="489"/>
      <c r="DT472" s="489"/>
      <c r="DU472" s="489"/>
      <c r="DV472" s="489"/>
      <c r="DW472" s="489"/>
      <c r="DX472" s="489"/>
      <c r="DY472" s="489"/>
      <c r="DZ472" s="489"/>
      <c r="EA472" s="489"/>
      <c r="EB472" s="489"/>
      <c r="EC472" s="489"/>
      <c r="ED472" s="489"/>
      <c r="EE472" s="489"/>
      <c r="EF472" s="489"/>
      <c r="EG472" s="489"/>
      <c r="EH472" s="489"/>
      <c r="EI472" s="489"/>
      <c r="EJ472" s="489"/>
      <c r="EK472" s="489"/>
      <c r="EL472" s="489"/>
      <c r="EM472" s="489"/>
      <c r="EN472" s="489"/>
      <c r="EO472" s="489"/>
      <c r="EP472" s="489"/>
      <c r="EQ472" s="489"/>
      <c r="ER472" s="489"/>
      <c r="ES472" s="489"/>
      <c r="ET472" s="489"/>
      <c r="EU472" s="489"/>
      <c r="EV472" s="489"/>
      <c r="EW472" s="489"/>
      <c r="EX472" s="489"/>
      <c r="EY472" s="489"/>
      <c r="EZ472" s="489"/>
      <c r="FA472" s="489"/>
      <c r="FB472" s="489"/>
      <c r="FC472" s="489"/>
      <c r="FD472" s="489"/>
      <c r="FE472" s="489"/>
      <c r="FF472" s="489"/>
      <c r="FG472" s="489"/>
      <c r="FH472" s="489"/>
      <c r="FI472" s="489"/>
      <c r="FJ472" s="489"/>
      <c r="FK472" s="489"/>
      <c r="FL472" s="489"/>
      <c r="FM472" s="489"/>
      <c r="FN472" s="489"/>
      <c r="FO472" s="489"/>
      <c r="FP472" s="489"/>
      <c r="FQ472" s="489"/>
      <c r="FR472" s="489"/>
      <c r="FS472" s="489"/>
      <c r="FT472" s="489"/>
      <c r="FU472" s="489"/>
      <c r="FV472" s="489"/>
      <c r="FW472" s="489"/>
      <c r="FX472" s="489"/>
      <c r="FY472" s="489"/>
      <c r="FZ472" s="489"/>
      <c r="GA472" s="489"/>
      <c r="GB472" s="489"/>
      <c r="GC472" s="489"/>
      <c r="GD472" s="489"/>
      <c r="GE472" s="489"/>
      <c r="GF472" s="489"/>
      <c r="GG472" s="489"/>
      <c r="GH472" s="489"/>
      <c r="GI472" s="489"/>
      <c r="GJ472" s="489"/>
      <c r="GK472" s="489"/>
      <c r="GL472" s="489"/>
      <c r="GM472" s="489"/>
      <c r="GN472" s="489"/>
      <c r="GO472" s="489"/>
      <c r="GP472" s="489"/>
      <c r="GQ472" s="489"/>
      <c r="GR472" s="489"/>
      <c r="GS472" s="489"/>
      <c r="GT472" s="489"/>
      <c r="GU472" s="489"/>
      <c r="GV472" s="489"/>
      <c r="GW472" s="489"/>
      <c r="GX472" s="489"/>
      <c r="GY472" s="489"/>
      <c r="GZ472" s="489"/>
      <c r="HA472" s="489"/>
      <c r="HB472" s="489"/>
      <c r="HC472" s="489"/>
      <c r="HD472" s="489"/>
      <c r="HE472" s="489"/>
      <c r="HF472" s="489"/>
      <c r="HG472" s="489"/>
      <c r="HH472" s="489"/>
      <c r="HI472" s="489"/>
      <c r="HJ472" s="489"/>
      <c r="HK472" s="489"/>
      <c r="HL472" s="489"/>
      <c r="HM472" s="489"/>
      <c r="HN472" s="489"/>
      <c r="HO472" s="489"/>
      <c r="HP472" s="489"/>
      <c r="HQ472" s="489"/>
      <c r="HR472" s="489"/>
      <c r="HS472" s="489"/>
      <c r="HT472" s="489"/>
      <c r="HU472" s="489"/>
      <c r="HV472" s="489"/>
      <c r="HW472" s="489"/>
      <c r="HX472" s="487"/>
    </row>
    <row r="473" spans="1:232" s="488" customFormat="1" ht="19.5" customHeight="1">
      <c r="A473" s="490"/>
      <c r="B473" s="1602" t="s">
        <v>451</v>
      </c>
      <c r="C473" s="1602"/>
      <c r="D473" s="1602"/>
      <c r="E473" s="1602"/>
      <c r="F473" s="1602"/>
      <c r="G473" s="1602"/>
      <c r="H473" s="1602"/>
      <c r="I473" s="1602"/>
      <c r="J473" s="1602"/>
      <c r="K473" s="491"/>
      <c r="L473" s="477"/>
      <c r="M473" s="477"/>
      <c r="N473" s="492"/>
      <c r="O473" s="492"/>
      <c r="P473" s="492"/>
      <c r="Q473" s="492"/>
      <c r="R473" s="492"/>
      <c r="S473" s="492"/>
      <c r="T473" s="492"/>
      <c r="U473" s="489"/>
      <c r="V473" s="489"/>
      <c r="W473" s="489"/>
      <c r="X473" s="489"/>
      <c r="Y473" s="489"/>
      <c r="Z473" s="489"/>
      <c r="AA473" s="489"/>
      <c r="AB473" s="489"/>
      <c r="AC473" s="489"/>
      <c r="AD473" s="489"/>
      <c r="AE473" s="489"/>
      <c r="AF473" s="489"/>
      <c r="AG473" s="489"/>
      <c r="AH473" s="489"/>
      <c r="AI473" s="489"/>
      <c r="AJ473" s="489"/>
      <c r="AK473" s="489"/>
      <c r="AL473" s="489"/>
      <c r="AM473" s="489"/>
      <c r="AN473" s="489"/>
      <c r="AO473" s="489"/>
      <c r="AP473" s="489"/>
      <c r="AQ473" s="489"/>
      <c r="AR473" s="489"/>
      <c r="AS473" s="489"/>
      <c r="AT473" s="489"/>
      <c r="AU473" s="489"/>
      <c r="AV473" s="489"/>
      <c r="AW473" s="489"/>
      <c r="AX473" s="489"/>
      <c r="AY473" s="489"/>
      <c r="AZ473" s="489"/>
      <c r="BA473" s="489"/>
      <c r="BB473" s="489"/>
      <c r="BC473" s="489"/>
      <c r="BD473" s="489"/>
      <c r="BE473" s="489"/>
      <c r="BF473" s="489"/>
      <c r="BG473" s="489"/>
      <c r="BH473" s="489"/>
      <c r="BI473" s="489"/>
      <c r="BJ473" s="489"/>
      <c r="BK473" s="489"/>
      <c r="BL473" s="489"/>
      <c r="BM473" s="489"/>
      <c r="BN473" s="489"/>
      <c r="BO473" s="489"/>
      <c r="BP473" s="489"/>
      <c r="BQ473" s="489"/>
      <c r="BR473" s="489"/>
      <c r="BS473" s="489"/>
      <c r="BT473" s="489"/>
      <c r="BU473" s="489"/>
      <c r="BV473" s="489"/>
      <c r="BW473" s="489"/>
      <c r="BX473" s="489"/>
      <c r="BY473" s="489"/>
      <c r="BZ473" s="489"/>
      <c r="CA473" s="489"/>
      <c r="CB473" s="489"/>
      <c r="CC473" s="489"/>
      <c r="CD473" s="489"/>
      <c r="CE473" s="489"/>
      <c r="CF473" s="489"/>
      <c r="CG473" s="489"/>
      <c r="CH473" s="489"/>
      <c r="CI473" s="489"/>
      <c r="CJ473" s="489"/>
      <c r="CK473" s="489"/>
      <c r="CL473" s="489"/>
      <c r="CM473" s="489"/>
      <c r="CN473" s="489"/>
      <c r="CO473" s="489"/>
      <c r="CP473" s="489"/>
      <c r="CQ473" s="489"/>
      <c r="CR473" s="489"/>
      <c r="CS473" s="489"/>
      <c r="CT473" s="489"/>
      <c r="CU473" s="489"/>
      <c r="CV473" s="489"/>
      <c r="CW473" s="489"/>
      <c r="CX473" s="489"/>
      <c r="CY473" s="489"/>
      <c r="CZ473" s="489"/>
      <c r="DA473" s="489"/>
      <c r="DB473" s="489"/>
      <c r="DC473" s="489"/>
      <c r="DD473" s="489"/>
      <c r="DE473" s="489"/>
      <c r="DF473" s="489"/>
      <c r="DG473" s="489"/>
      <c r="DH473" s="489"/>
      <c r="DI473" s="489"/>
      <c r="DJ473" s="489"/>
      <c r="DK473" s="489"/>
      <c r="DL473" s="489"/>
      <c r="DM473" s="489"/>
      <c r="DN473" s="489"/>
      <c r="DO473" s="489"/>
      <c r="DP473" s="489"/>
      <c r="DQ473" s="489"/>
      <c r="DR473" s="489"/>
      <c r="DS473" s="489"/>
      <c r="DT473" s="489"/>
      <c r="DU473" s="489"/>
      <c r="DV473" s="489"/>
      <c r="DW473" s="489"/>
      <c r="DX473" s="489"/>
      <c r="DY473" s="489"/>
      <c r="DZ473" s="489"/>
      <c r="EA473" s="489"/>
      <c r="EB473" s="489"/>
      <c r="EC473" s="489"/>
      <c r="ED473" s="489"/>
      <c r="EE473" s="489"/>
      <c r="EF473" s="489"/>
      <c r="EG473" s="489"/>
      <c r="EH473" s="489"/>
      <c r="EI473" s="489"/>
      <c r="EJ473" s="489"/>
      <c r="EK473" s="489"/>
      <c r="EL473" s="489"/>
      <c r="EM473" s="489"/>
      <c r="EN473" s="489"/>
      <c r="EO473" s="489"/>
      <c r="EP473" s="489"/>
      <c r="EQ473" s="489"/>
      <c r="ER473" s="489"/>
      <c r="ES473" s="489"/>
      <c r="ET473" s="489"/>
      <c r="EU473" s="489"/>
      <c r="EV473" s="489"/>
      <c r="EW473" s="489"/>
      <c r="EX473" s="489"/>
      <c r="EY473" s="489"/>
      <c r="EZ473" s="489"/>
      <c r="FA473" s="489"/>
      <c r="FB473" s="489"/>
      <c r="FC473" s="489"/>
      <c r="FD473" s="489"/>
      <c r="FE473" s="489"/>
      <c r="FF473" s="489"/>
      <c r="FG473" s="489"/>
      <c r="FH473" s="489"/>
      <c r="FI473" s="489"/>
      <c r="FJ473" s="489"/>
      <c r="FK473" s="489"/>
      <c r="FL473" s="489"/>
      <c r="FM473" s="489"/>
      <c r="FN473" s="489"/>
      <c r="FO473" s="489"/>
      <c r="FP473" s="489"/>
      <c r="FQ473" s="489"/>
      <c r="FR473" s="489"/>
      <c r="FS473" s="489"/>
      <c r="FT473" s="489"/>
      <c r="FU473" s="489"/>
      <c r="FV473" s="489"/>
      <c r="FW473" s="489"/>
      <c r="FX473" s="489"/>
      <c r="FY473" s="489"/>
      <c r="FZ473" s="489"/>
      <c r="GA473" s="489"/>
      <c r="GB473" s="489"/>
      <c r="GC473" s="489"/>
      <c r="GD473" s="489"/>
      <c r="GE473" s="489"/>
      <c r="GF473" s="489"/>
      <c r="GG473" s="489"/>
      <c r="GH473" s="489"/>
      <c r="GI473" s="489"/>
      <c r="GJ473" s="489"/>
      <c r="GK473" s="489"/>
      <c r="GL473" s="489"/>
      <c r="GM473" s="489"/>
      <c r="GN473" s="489"/>
      <c r="GO473" s="489"/>
      <c r="GP473" s="489"/>
      <c r="GQ473" s="489"/>
      <c r="GR473" s="489"/>
      <c r="GS473" s="489"/>
      <c r="GT473" s="489"/>
      <c r="GU473" s="489"/>
      <c r="GV473" s="489"/>
      <c r="GW473" s="489"/>
      <c r="GX473" s="489"/>
      <c r="GY473" s="489"/>
      <c r="GZ473" s="489"/>
      <c r="HA473" s="489"/>
      <c r="HB473" s="489"/>
      <c r="HC473" s="489"/>
      <c r="HD473" s="489"/>
      <c r="HE473" s="489"/>
      <c r="HF473" s="489"/>
      <c r="HG473" s="489"/>
      <c r="HH473" s="489"/>
      <c r="HI473" s="489"/>
      <c r="HJ473" s="489"/>
      <c r="HK473" s="489"/>
      <c r="HL473" s="489"/>
      <c r="HM473" s="489"/>
      <c r="HN473" s="489"/>
      <c r="HO473" s="489"/>
      <c r="HP473" s="489"/>
      <c r="HQ473" s="489"/>
      <c r="HR473" s="489"/>
      <c r="HS473" s="489"/>
      <c r="HT473" s="489"/>
      <c r="HU473" s="489"/>
      <c r="HV473" s="489"/>
      <c r="HW473" s="489"/>
      <c r="HX473" s="487"/>
    </row>
    <row r="474" spans="1:232" s="488" customFormat="1" ht="19.5" customHeight="1">
      <c r="A474" s="490"/>
      <c r="B474" s="1602" t="s">
        <v>108</v>
      </c>
      <c r="C474" s="1602"/>
      <c r="D474" s="1602"/>
      <c r="E474" s="1602"/>
      <c r="F474" s="1602"/>
      <c r="G474" s="1602"/>
      <c r="H474" s="1602"/>
      <c r="I474" s="1602"/>
      <c r="J474" s="1602"/>
      <c r="K474" s="491"/>
      <c r="L474" s="477"/>
      <c r="M474" s="477"/>
      <c r="N474" s="492"/>
      <c r="O474" s="492"/>
      <c r="P474" s="492"/>
      <c r="Q474" s="492"/>
      <c r="R474" s="492"/>
      <c r="S474" s="492"/>
      <c r="T474" s="492"/>
      <c r="U474" s="489"/>
      <c r="V474" s="489"/>
      <c r="W474" s="489"/>
      <c r="X474" s="489"/>
      <c r="Y474" s="489"/>
      <c r="Z474" s="489"/>
      <c r="AA474" s="489"/>
      <c r="AB474" s="489"/>
      <c r="AC474" s="489"/>
      <c r="AD474" s="489"/>
      <c r="AE474" s="489"/>
      <c r="AF474" s="489"/>
      <c r="AG474" s="489"/>
      <c r="AH474" s="489"/>
      <c r="AI474" s="489"/>
      <c r="AJ474" s="489"/>
      <c r="AK474" s="489"/>
      <c r="AL474" s="489"/>
      <c r="AM474" s="489"/>
      <c r="AN474" s="489"/>
      <c r="AO474" s="489"/>
      <c r="AP474" s="489"/>
      <c r="AQ474" s="489"/>
      <c r="AR474" s="489"/>
      <c r="AS474" s="489"/>
      <c r="AT474" s="489"/>
      <c r="AU474" s="489"/>
      <c r="AV474" s="489"/>
      <c r="AW474" s="489"/>
      <c r="AX474" s="489"/>
      <c r="AY474" s="489"/>
      <c r="AZ474" s="489"/>
      <c r="BA474" s="489"/>
      <c r="BB474" s="489"/>
      <c r="BC474" s="489"/>
      <c r="BD474" s="489"/>
      <c r="BE474" s="489"/>
      <c r="BF474" s="489"/>
      <c r="BG474" s="489"/>
      <c r="BH474" s="489"/>
      <c r="BI474" s="489"/>
      <c r="BJ474" s="489"/>
      <c r="BK474" s="489"/>
      <c r="BL474" s="489"/>
      <c r="BM474" s="489"/>
      <c r="BN474" s="489"/>
      <c r="BO474" s="489"/>
      <c r="BP474" s="489"/>
      <c r="BQ474" s="489"/>
      <c r="BR474" s="489"/>
      <c r="BS474" s="489"/>
      <c r="BT474" s="489"/>
      <c r="BU474" s="489"/>
      <c r="BV474" s="489"/>
      <c r="BW474" s="489"/>
      <c r="BX474" s="489"/>
      <c r="BY474" s="489"/>
      <c r="BZ474" s="489"/>
      <c r="CA474" s="489"/>
      <c r="CB474" s="489"/>
      <c r="CC474" s="489"/>
      <c r="CD474" s="489"/>
      <c r="CE474" s="489"/>
      <c r="CF474" s="489"/>
      <c r="CG474" s="489"/>
      <c r="CH474" s="489"/>
      <c r="CI474" s="489"/>
      <c r="CJ474" s="489"/>
      <c r="CK474" s="489"/>
      <c r="CL474" s="489"/>
      <c r="CM474" s="489"/>
      <c r="CN474" s="489"/>
      <c r="CO474" s="489"/>
      <c r="CP474" s="489"/>
      <c r="CQ474" s="489"/>
      <c r="CR474" s="489"/>
      <c r="CS474" s="489"/>
      <c r="CT474" s="489"/>
      <c r="CU474" s="489"/>
      <c r="CV474" s="489"/>
      <c r="CW474" s="489"/>
      <c r="CX474" s="489"/>
      <c r="CY474" s="489"/>
      <c r="CZ474" s="489"/>
      <c r="DA474" s="489"/>
      <c r="DB474" s="489"/>
      <c r="DC474" s="489"/>
      <c r="DD474" s="489"/>
      <c r="DE474" s="489"/>
      <c r="DF474" s="489"/>
      <c r="DG474" s="489"/>
      <c r="DH474" s="489"/>
      <c r="DI474" s="489"/>
      <c r="DJ474" s="489"/>
      <c r="DK474" s="489"/>
      <c r="DL474" s="489"/>
      <c r="DM474" s="489"/>
      <c r="DN474" s="489"/>
      <c r="DO474" s="489"/>
      <c r="DP474" s="489"/>
      <c r="DQ474" s="489"/>
      <c r="DR474" s="489"/>
      <c r="DS474" s="489"/>
      <c r="DT474" s="489"/>
      <c r="DU474" s="489"/>
      <c r="DV474" s="489"/>
      <c r="DW474" s="489"/>
      <c r="DX474" s="489"/>
      <c r="DY474" s="489"/>
      <c r="DZ474" s="489"/>
      <c r="EA474" s="489"/>
      <c r="EB474" s="489"/>
      <c r="EC474" s="489"/>
      <c r="ED474" s="489"/>
      <c r="EE474" s="489"/>
      <c r="EF474" s="489"/>
      <c r="EG474" s="489"/>
      <c r="EH474" s="489"/>
      <c r="EI474" s="489"/>
      <c r="EJ474" s="489"/>
      <c r="EK474" s="489"/>
      <c r="EL474" s="489"/>
      <c r="EM474" s="489"/>
      <c r="EN474" s="489"/>
      <c r="EO474" s="489"/>
      <c r="EP474" s="489"/>
      <c r="EQ474" s="489"/>
      <c r="ER474" s="489"/>
      <c r="ES474" s="489"/>
      <c r="ET474" s="489"/>
      <c r="EU474" s="489"/>
      <c r="EV474" s="489"/>
      <c r="EW474" s="489"/>
      <c r="EX474" s="489"/>
      <c r="EY474" s="489"/>
      <c r="EZ474" s="489"/>
      <c r="FA474" s="489"/>
      <c r="FB474" s="489"/>
      <c r="FC474" s="489"/>
      <c r="FD474" s="489"/>
      <c r="FE474" s="489"/>
      <c r="FF474" s="489"/>
      <c r="FG474" s="489"/>
      <c r="FH474" s="489"/>
      <c r="FI474" s="489"/>
      <c r="FJ474" s="489"/>
      <c r="FK474" s="489"/>
      <c r="FL474" s="489"/>
      <c r="FM474" s="489"/>
      <c r="FN474" s="489"/>
      <c r="FO474" s="489"/>
      <c r="FP474" s="489"/>
      <c r="FQ474" s="489"/>
      <c r="FR474" s="489"/>
      <c r="FS474" s="489"/>
      <c r="FT474" s="489"/>
      <c r="FU474" s="489"/>
      <c r="FV474" s="489"/>
      <c r="FW474" s="489"/>
      <c r="FX474" s="489"/>
      <c r="FY474" s="489"/>
      <c r="FZ474" s="489"/>
      <c r="GA474" s="489"/>
      <c r="GB474" s="489"/>
      <c r="GC474" s="489"/>
      <c r="GD474" s="489"/>
      <c r="GE474" s="489"/>
      <c r="GF474" s="489"/>
      <c r="GG474" s="489"/>
      <c r="GH474" s="489"/>
      <c r="GI474" s="489"/>
      <c r="GJ474" s="489"/>
      <c r="GK474" s="489"/>
      <c r="GL474" s="489"/>
      <c r="GM474" s="489"/>
      <c r="GN474" s="489"/>
      <c r="GO474" s="489"/>
      <c r="GP474" s="489"/>
      <c r="GQ474" s="489"/>
      <c r="GR474" s="489"/>
      <c r="GS474" s="489"/>
      <c r="GT474" s="489"/>
      <c r="GU474" s="489"/>
      <c r="GV474" s="489"/>
      <c r="GW474" s="489"/>
      <c r="GX474" s="489"/>
      <c r="GY474" s="489"/>
      <c r="GZ474" s="489"/>
      <c r="HA474" s="489"/>
      <c r="HB474" s="489"/>
      <c r="HC474" s="489"/>
      <c r="HD474" s="489"/>
      <c r="HE474" s="489"/>
      <c r="HF474" s="489"/>
      <c r="HG474" s="489"/>
      <c r="HH474" s="489"/>
      <c r="HI474" s="489"/>
      <c r="HJ474" s="489"/>
      <c r="HK474" s="489"/>
      <c r="HL474" s="489"/>
      <c r="HM474" s="489"/>
      <c r="HN474" s="489"/>
      <c r="HO474" s="489"/>
      <c r="HP474" s="489"/>
      <c r="HQ474" s="489"/>
      <c r="HR474" s="489"/>
      <c r="HS474" s="489"/>
      <c r="HT474" s="489"/>
      <c r="HU474" s="489"/>
      <c r="HV474" s="489"/>
      <c r="HW474" s="489"/>
      <c r="HX474" s="487"/>
    </row>
    <row r="475" spans="1:232" s="488" customFormat="1" ht="19.5" customHeight="1">
      <c r="A475" s="490"/>
      <c r="B475" s="1602" t="s">
        <v>474</v>
      </c>
      <c r="C475" s="1602"/>
      <c r="D475" s="1602"/>
      <c r="E475" s="1602"/>
      <c r="F475" s="1602"/>
      <c r="G475" s="1602"/>
      <c r="H475" s="1602"/>
      <c r="I475" s="1602"/>
      <c r="J475" s="1602"/>
      <c r="K475" s="491"/>
      <c r="L475" s="477"/>
      <c r="M475" s="477"/>
      <c r="N475" s="492"/>
      <c r="O475" s="492"/>
      <c r="P475" s="492"/>
      <c r="Q475" s="492"/>
      <c r="R475" s="492"/>
      <c r="S475" s="492"/>
      <c r="T475" s="492"/>
      <c r="U475" s="489"/>
      <c r="V475" s="489"/>
      <c r="W475" s="489"/>
      <c r="X475" s="489"/>
      <c r="Y475" s="489"/>
      <c r="Z475" s="489"/>
      <c r="AA475" s="489"/>
      <c r="AB475" s="489"/>
      <c r="AC475" s="489"/>
      <c r="AD475" s="489"/>
      <c r="AE475" s="489"/>
      <c r="AF475" s="489"/>
      <c r="AG475" s="489"/>
      <c r="AH475" s="489"/>
      <c r="AI475" s="489"/>
      <c r="AJ475" s="489"/>
      <c r="AK475" s="489"/>
      <c r="AL475" s="489"/>
      <c r="AM475" s="489"/>
      <c r="AN475" s="489"/>
      <c r="AO475" s="489"/>
      <c r="AP475" s="489"/>
      <c r="AQ475" s="489"/>
      <c r="AR475" s="489"/>
      <c r="AS475" s="489"/>
      <c r="AT475" s="489"/>
      <c r="AU475" s="489"/>
      <c r="AV475" s="489"/>
      <c r="AW475" s="489"/>
      <c r="AX475" s="489"/>
      <c r="AY475" s="489"/>
      <c r="AZ475" s="489"/>
      <c r="BA475" s="489"/>
      <c r="BB475" s="489"/>
      <c r="BC475" s="489"/>
      <c r="BD475" s="489"/>
      <c r="BE475" s="489"/>
      <c r="BF475" s="489"/>
      <c r="BG475" s="489"/>
      <c r="BH475" s="489"/>
      <c r="BI475" s="489"/>
      <c r="BJ475" s="489"/>
      <c r="BK475" s="489"/>
      <c r="BL475" s="489"/>
      <c r="BM475" s="489"/>
      <c r="BN475" s="489"/>
      <c r="BO475" s="489"/>
      <c r="BP475" s="489"/>
      <c r="BQ475" s="489"/>
      <c r="BR475" s="489"/>
      <c r="BS475" s="489"/>
      <c r="BT475" s="489"/>
      <c r="BU475" s="489"/>
      <c r="BV475" s="489"/>
      <c r="BW475" s="489"/>
      <c r="BX475" s="489"/>
      <c r="BY475" s="489"/>
      <c r="BZ475" s="489"/>
      <c r="CA475" s="489"/>
      <c r="CB475" s="489"/>
      <c r="CC475" s="489"/>
      <c r="CD475" s="489"/>
      <c r="CE475" s="489"/>
      <c r="CF475" s="489"/>
      <c r="CG475" s="489"/>
      <c r="CH475" s="489"/>
      <c r="CI475" s="489"/>
      <c r="CJ475" s="489"/>
      <c r="CK475" s="489"/>
      <c r="CL475" s="489"/>
      <c r="CM475" s="489"/>
      <c r="CN475" s="489"/>
      <c r="CO475" s="489"/>
      <c r="CP475" s="489"/>
      <c r="CQ475" s="489"/>
      <c r="CR475" s="489"/>
      <c r="CS475" s="489"/>
      <c r="CT475" s="489"/>
      <c r="CU475" s="489"/>
      <c r="CV475" s="489"/>
      <c r="CW475" s="489"/>
      <c r="CX475" s="489"/>
      <c r="CY475" s="489"/>
      <c r="CZ475" s="489"/>
      <c r="DA475" s="489"/>
      <c r="DB475" s="489"/>
      <c r="DC475" s="489"/>
      <c r="DD475" s="489"/>
      <c r="DE475" s="489"/>
      <c r="DF475" s="489"/>
      <c r="DG475" s="489"/>
      <c r="DH475" s="489"/>
      <c r="DI475" s="489"/>
      <c r="DJ475" s="489"/>
      <c r="DK475" s="489"/>
      <c r="DL475" s="489"/>
      <c r="DM475" s="489"/>
      <c r="DN475" s="489"/>
      <c r="DO475" s="489"/>
      <c r="DP475" s="489"/>
      <c r="DQ475" s="489"/>
      <c r="DR475" s="489"/>
      <c r="DS475" s="489"/>
      <c r="DT475" s="489"/>
      <c r="DU475" s="489"/>
      <c r="DV475" s="489"/>
      <c r="DW475" s="489"/>
      <c r="DX475" s="489"/>
      <c r="DY475" s="489"/>
      <c r="DZ475" s="489"/>
      <c r="EA475" s="489"/>
      <c r="EB475" s="489"/>
      <c r="EC475" s="489"/>
      <c r="ED475" s="489"/>
      <c r="EE475" s="489"/>
      <c r="EF475" s="489"/>
      <c r="EG475" s="489"/>
      <c r="EH475" s="489"/>
      <c r="EI475" s="489"/>
      <c r="EJ475" s="489"/>
      <c r="EK475" s="489"/>
      <c r="EL475" s="489"/>
      <c r="EM475" s="489"/>
      <c r="EN475" s="489"/>
      <c r="EO475" s="489"/>
      <c r="EP475" s="489"/>
      <c r="EQ475" s="489"/>
      <c r="ER475" s="489"/>
      <c r="ES475" s="489"/>
      <c r="ET475" s="489"/>
      <c r="EU475" s="489"/>
      <c r="EV475" s="489"/>
      <c r="EW475" s="489"/>
      <c r="EX475" s="489"/>
      <c r="EY475" s="489"/>
      <c r="EZ475" s="489"/>
      <c r="FA475" s="489"/>
      <c r="FB475" s="489"/>
      <c r="FC475" s="489"/>
      <c r="FD475" s="489"/>
      <c r="FE475" s="489"/>
      <c r="FF475" s="489"/>
      <c r="FG475" s="489"/>
      <c r="FH475" s="489"/>
      <c r="FI475" s="489"/>
      <c r="FJ475" s="489"/>
      <c r="FK475" s="489"/>
      <c r="FL475" s="489"/>
      <c r="FM475" s="489"/>
      <c r="FN475" s="489"/>
      <c r="FO475" s="489"/>
      <c r="FP475" s="489"/>
      <c r="FQ475" s="489"/>
      <c r="FR475" s="489"/>
      <c r="FS475" s="489"/>
      <c r="FT475" s="489"/>
      <c r="FU475" s="489"/>
      <c r="FV475" s="489"/>
      <c r="FW475" s="489"/>
      <c r="FX475" s="489"/>
      <c r="FY475" s="489"/>
      <c r="FZ475" s="489"/>
      <c r="GA475" s="489"/>
      <c r="GB475" s="489"/>
      <c r="GC475" s="489"/>
      <c r="GD475" s="489"/>
      <c r="GE475" s="489"/>
      <c r="GF475" s="489"/>
      <c r="GG475" s="489"/>
      <c r="GH475" s="489"/>
      <c r="GI475" s="489"/>
      <c r="GJ475" s="489"/>
      <c r="GK475" s="489"/>
      <c r="GL475" s="489"/>
      <c r="GM475" s="489"/>
      <c r="GN475" s="489"/>
      <c r="GO475" s="489"/>
      <c r="GP475" s="489"/>
      <c r="GQ475" s="489"/>
      <c r="GR475" s="489"/>
      <c r="GS475" s="489"/>
      <c r="GT475" s="489"/>
      <c r="GU475" s="489"/>
      <c r="GV475" s="489"/>
      <c r="GW475" s="489"/>
      <c r="GX475" s="489"/>
      <c r="GY475" s="489"/>
      <c r="GZ475" s="489"/>
      <c r="HA475" s="489"/>
      <c r="HB475" s="489"/>
      <c r="HC475" s="489"/>
      <c r="HD475" s="489"/>
      <c r="HE475" s="489"/>
      <c r="HF475" s="489"/>
      <c r="HG475" s="489"/>
      <c r="HH475" s="489"/>
      <c r="HI475" s="489"/>
      <c r="HJ475" s="489"/>
      <c r="HK475" s="489"/>
      <c r="HL475" s="489"/>
      <c r="HM475" s="489"/>
      <c r="HN475" s="489"/>
      <c r="HO475" s="489"/>
      <c r="HP475" s="489"/>
      <c r="HQ475" s="489"/>
      <c r="HR475" s="489"/>
      <c r="HS475" s="489"/>
      <c r="HT475" s="489"/>
      <c r="HU475" s="489"/>
      <c r="HV475" s="489"/>
      <c r="HW475" s="489"/>
      <c r="HX475" s="487"/>
    </row>
    <row r="476" spans="1:232" s="45" customFormat="1" ht="20.100000000000001" customHeight="1">
      <c r="A476" s="493" t="s">
        <v>109</v>
      </c>
      <c r="B476" s="489"/>
      <c r="C476" s="489"/>
      <c r="D476" s="489"/>
      <c r="E476" s="489"/>
      <c r="F476" s="489"/>
      <c r="G476" s="489"/>
      <c r="H476" s="489"/>
      <c r="I476" s="489"/>
      <c r="J476" s="489"/>
      <c r="K476" s="489"/>
      <c r="L476" s="494"/>
      <c r="M476" s="494"/>
      <c r="N476" s="492"/>
      <c r="O476" s="492"/>
      <c r="P476" s="492"/>
      <c r="Q476" s="492"/>
      <c r="R476" s="492"/>
      <c r="S476" s="492"/>
      <c r="T476" s="495"/>
      <c r="U476" s="496"/>
      <c r="V476" s="496"/>
      <c r="W476" s="496"/>
      <c r="X476" s="496"/>
      <c r="Y476" s="496"/>
      <c r="Z476" s="496"/>
      <c r="AA476" s="496"/>
      <c r="AB476" s="496"/>
      <c r="AC476" s="496"/>
      <c r="AD476" s="496"/>
      <c r="AE476" s="496"/>
      <c r="AF476" s="496"/>
      <c r="AG476" s="496"/>
      <c r="AH476" s="496"/>
      <c r="AI476" s="496"/>
      <c r="AJ476" s="496"/>
      <c r="AK476" s="496"/>
      <c r="AL476" s="496"/>
      <c r="AM476" s="496"/>
      <c r="AN476" s="496"/>
      <c r="AO476" s="496"/>
      <c r="AP476" s="496"/>
      <c r="AQ476" s="496"/>
      <c r="AR476" s="496"/>
      <c r="AS476" s="496"/>
      <c r="AT476" s="496"/>
      <c r="AU476" s="496"/>
      <c r="AV476" s="496"/>
      <c r="AW476" s="496"/>
      <c r="AX476" s="496"/>
      <c r="AY476" s="496"/>
      <c r="AZ476" s="496"/>
      <c r="BA476" s="496"/>
      <c r="BB476" s="496"/>
      <c r="BC476" s="496"/>
      <c r="BD476" s="496"/>
      <c r="BE476" s="496"/>
      <c r="BF476" s="496"/>
      <c r="BG476" s="496"/>
      <c r="BH476" s="496"/>
      <c r="BI476" s="496"/>
      <c r="BJ476" s="496"/>
      <c r="BK476" s="496"/>
      <c r="BL476" s="496"/>
      <c r="BM476" s="496"/>
      <c r="BN476" s="496"/>
      <c r="BO476" s="496"/>
      <c r="BP476" s="496"/>
      <c r="BQ476" s="496"/>
      <c r="BR476" s="496"/>
      <c r="BS476" s="496"/>
      <c r="BT476" s="496"/>
      <c r="BU476" s="496"/>
      <c r="BV476" s="496"/>
      <c r="BW476" s="496"/>
      <c r="BX476" s="496"/>
      <c r="BY476" s="496"/>
      <c r="BZ476" s="496"/>
      <c r="CA476" s="496"/>
      <c r="CB476" s="496"/>
      <c r="CC476" s="496"/>
      <c r="CD476" s="496"/>
      <c r="CE476" s="496"/>
      <c r="CF476" s="496"/>
      <c r="CG476" s="496"/>
      <c r="CH476" s="496"/>
      <c r="CI476" s="496"/>
      <c r="CJ476" s="496"/>
      <c r="CK476" s="496"/>
      <c r="CL476" s="496"/>
      <c r="CM476" s="496"/>
      <c r="CN476" s="496"/>
      <c r="CO476" s="496"/>
      <c r="CP476" s="496"/>
      <c r="CQ476" s="496"/>
      <c r="CR476" s="496"/>
      <c r="CS476" s="496"/>
      <c r="CT476" s="496"/>
      <c r="CU476" s="496"/>
      <c r="CV476" s="496"/>
      <c r="CW476" s="496"/>
      <c r="CX476" s="496"/>
      <c r="CY476" s="496"/>
      <c r="CZ476" s="496"/>
      <c r="DA476" s="496"/>
      <c r="DB476" s="496"/>
      <c r="DC476" s="496"/>
      <c r="DD476" s="496"/>
      <c r="DE476" s="496"/>
      <c r="DF476" s="496"/>
      <c r="DG476" s="496"/>
      <c r="DH476" s="496"/>
      <c r="DI476" s="496"/>
      <c r="DJ476" s="496"/>
      <c r="DK476" s="496"/>
      <c r="DL476" s="496"/>
      <c r="DM476" s="496"/>
      <c r="DN476" s="496"/>
      <c r="DO476" s="496"/>
      <c r="DP476" s="496"/>
      <c r="DQ476" s="496"/>
      <c r="DR476" s="496"/>
      <c r="DS476" s="496"/>
      <c r="DT476" s="496"/>
      <c r="DU476" s="496"/>
      <c r="DV476" s="496"/>
      <c r="DW476" s="496"/>
      <c r="DX476" s="496"/>
      <c r="DY476" s="496"/>
      <c r="DZ476" s="496"/>
      <c r="EA476" s="496"/>
      <c r="EB476" s="496"/>
      <c r="EC476" s="496"/>
      <c r="ED476" s="496"/>
      <c r="EE476" s="496"/>
      <c r="EF476" s="496"/>
      <c r="EG476" s="496"/>
      <c r="EH476" s="496"/>
      <c r="EI476" s="496"/>
      <c r="EJ476" s="496"/>
      <c r="EK476" s="496"/>
      <c r="EL476" s="496"/>
      <c r="EM476" s="496"/>
      <c r="EN476" s="496"/>
      <c r="EO476" s="496"/>
      <c r="EP476" s="496"/>
      <c r="EQ476" s="496"/>
      <c r="ER476" s="496"/>
      <c r="ES476" s="496"/>
      <c r="ET476" s="496"/>
      <c r="EU476" s="496"/>
      <c r="EV476" s="496"/>
      <c r="EW476" s="496"/>
      <c r="EX476" s="496"/>
      <c r="EY476" s="496"/>
      <c r="EZ476" s="496"/>
      <c r="FA476" s="496"/>
      <c r="FB476" s="496"/>
      <c r="FC476" s="496"/>
      <c r="FD476" s="496"/>
      <c r="FE476" s="496"/>
      <c r="FF476" s="496"/>
      <c r="FG476" s="496"/>
      <c r="FH476" s="496"/>
      <c r="FI476" s="496"/>
      <c r="FJ476" s="496"/>
      <c r="FK476" s="496"/>
      <c r="FL476" s="496"/>
      <c r="FM476" s="496"/>
      <c r="FN476" s="496"/>
      <c r="FO476" s="496"/>
      <c r="FP476" s="496"/>
      <c r="FQ476" s="496"/>
      <c r="FR476" s="496"/>
      <c r="FS476" s="496"/>
      <c r="FT476" s="496"/>
      <c r="FU476" s="496"/>
      <c r="FV476" s="496"/>
      <c r="FW476" s="496"/>
      <c r="FX476" s="496"/>
      <c r="FY476" s="496"/>
      <c r="FZ476" s="496"/>
      <c r="GA476" s="496"/>
      <c r="GB476" s="496"/>
      <c r="GC476" s="496"/>
      <c r="GD476" s="496"/>
      <c r="GE476" s="496"/>
      <c r="GF476" s="496"/>
      <c r="GG476" s="496"/>
      <c r="GH476" s="496"/>
      <c r="GI476" s="496"/>
      <c r="GJ476" s="496"/>
      <c r="GK476" s="496"/>
      <c r="GL476" s="496"/>
      <c r="GM476" s="496"/>
      <c r="GN476" s="496"/>
      <c r="GO476" s="496"/>
      <c r="GP476" s="496"/>
      <c r="GQ476" s="496"/>
      <c r="GR476" s="496"/>
      <c r="GS476" s="496"/>
      <c r="GT476" s="496"/>
      <c r="GU476" s="496"/>
      <c r="GV476" s="496"/>
      <c r="GW476" s="496"/>
      <c r="GX476" s="496"/>
      <c r="GY476" s="496"/>
      <c r="GZ476" s="496"/>
      <c r="HA476" s="496"/>
      <c r="HB476" s="496"/>
      <c r="HC476" s="496"/>
      <c r="HD476" s="496"/>
      <c r="HE476" s="496"/>
      <c r="HF476" s="496"/>
      <c r="HG476" s="496"/>
      <c r="HH476" s="496"/>
      <c r="HI476" s="496"/>
      <c r="HJ476" s="496"/>
      <c r="HK476" s="496"/>
      <c r="HL476" s="496"/>
      <c r="HM476" s="496"/>
      <c r="HN476" s="496"/>
      <c r="HO476" s="496"/>
      <c r="HP476" s="496"/>
      <c r="HQ476" s="496"/>
      <c r="HR476" s="496"/>
      <c r="HS476" s="496"/>
      <c r="HT476" s="496"/>
      <c r="HU476" s="496"/>
      <c r="HV476" s="496"/>
      <c r="HW476" s="490"/>
      <c r="HX476" s="490"/>
    </row>
    <row r="477" spans="1:232" s="5" customFormat="1" ht="20.100000000000001" customHeight="1">
      <c r="A477" s="497" t="s">
        <v>110</v>
      </c>
      <c r="B477" s="498"/>
      <c r="C477" s="498"/>
      <c r="D477" s="498"/>
      <c r="E477" s="498"/>
      <c r="F477" s="498"/>
      <c r="G477" s="498"/>
      <c r="H477" s="498"/>
      <c r="I477" s="498"/>
      <c r="J477" s="498"/>
      <c r="K477" s="498"/>
      <c r="L477" s="494"/>
      <c r="M477" s="494"/>
      <c r="N477" s="495"/>
      <c r="O477" s="495"/>
      <c r="P477" s="495"/>
      <c r="Q477" s="495"/>
      <c r="R477" s="495"/>
      <c r="S477" s="495"/>
      <c r="T477" s="495"/>
      <c r="U477" s="489"/>
      <c r="V477" s="489"/>
      <c r="W477" s="489"/>
      <c r="X477" s="489"/>
      <c r="Y477" s="489"/>
      <c r="Z477" s="489"/>
      <c r="AA477" s="489"/>
      <c r="AB477" s="489"/>
      <c r="AC477" s="489"/>
      <c r="AD477" s="489"/>
      <c r="AE477" s="489"/>
      <c r="AF477" s="489"/>
      <c r="AG477" s="489"/>
      <c r="AH477" s="489"/>
      <c r="AI477" s="489"/>
      <c r="AJ477" s="489"/>
      <c r="AK477" s="489"/>
      <c r="AL477" s="489"/>
      <c r="AM477" s="489"/>
      <c r="AN477" s="489"/>
      <c r="AO477" s="489"/>
      <c r="AP477" s="489"/>
      <c r="AQ477" s="489"/>
      <c r="AR477" s="489"/>
      <c r="AS477" s="489"/>
      <c r="AT477" s="489"/>
      <c r="AU477" s="489"/>
      <c r="AV477" s="489"/>
      <c r="AW477" s="489"/>
      <c r="AX477" s="489"/>
      <c r="AY477" s="489"/>
      <c r="AZ477" s="489"/>
      <c r="BA477" s="489"/>
      <c r="BB477" s="489"/>
      <c r="BC477" s="489"/>
      <c r="BD477" s="489"/>
      <c r="BE477" s="489"/>
      <c r="BF477" s="489"/>
      <c r="BG477" s="489"/>
      <c r="BH477" s="489"/>
      <c r="BI477" s="489"/>
      <c r="BJ477" s="489"/>
      <c r="BK477" s="489"/>
      <c r="BL477" s="489"/>
      <c r="BM477" s="489"/>
      <c r="BN477" s="489"/>
      <c r="BO477" s="489"/>
      <c r="BP477" s="489"/>
      <c r="BQ477" s="489"/>
      <c r="BR477" s="489"/>
      <c r="BS477" s="489"/>
      <c r="BT477" s="489"/>
      <c r="BU477" s="489"/>
      <c r="BV477" s="489"/>
      <c r="BW477" s="489"/>
      <c r="BX477" s="489"/>
      <c r="BY477" s="489"/>
      <c r="BZ477" s="489"/>
      <c r="CA477" s="489"/>
      <c r="CB477" s="489"/>
      <c r="CC477" s="489"/>
      <c r="CD477" s="489"/>
      <c r="CE477" s="489"/>
      <c r="CF477" s="489"/>
      <c r="CG477" s="489"/>
      <c r="CH477" s="489"/>
      <c r="CI477" s="489"/>
      <c r="CJ477" s="489"/>
      <c r="CK477" s="489"/>
      <c r="CL477" s="489"/>
      <c r="CM477" s="489"/>
      <c r="CN477" s="489"/>
      <c r="CO477" s="489"/>
      <c r="CP477" s="489"/>
      <c r="CQ477" s="489"/>
      <c r="CR477" s="489"/>
      <c r="CS477" s="489"/>
      <c r="CT477" s="489"/>
      <c r="CU477" s="489"/>
      <c r="CV477" s="489"/>
      <c r="CW477" s="489"/>
      <c r="CX477" s="489"/>
      <c r="CY477" s="489"/>
      <c r="CZ477" s="489"/>
      <c r="DA477" s="489"/>
      <c r="DB477" s="489"/>
      <c r="DC477" s="489"/>
      <c r="DD477" s="489"/>
      <c r="DE477" s="489"/>
      <c r="DF477" s="489"/>
      <c r="DG477" s="489"/>
      <c r="DH477" s="489"/>
      <c r="DI477" s="489"/>
      <c r="DJ477" s="489"/>
      <c r="DK477" s="489"/>
      <c r="DL477" s="489"/>
      <c r="DM477" s="489"/>
      <c r="DN477" s="489"/>
      <c r="DO477" s="489"/>
      <c r="DP477" s="489"/>
      <c r="DQ477" s="489"/>
      <c r="DR477" s="489"/>
      <c r="DS477" s="489"/>
      <c r="DT477" s="489"/>
      <c r="DU477" s="489"/>
      <c r="DV477" s="489"/>
      <c r="DW477" s="489"/>
      <c r="DX477" s="489"/>
      <c r="DY477" s="489"/>
      <c r="DZ477" s="489"/>
      <c r="EA477" s="489"/>
      <c r="EB477" s="489"/>
      <c r="EC477" s="489"/>
      <c r="ED477" s="489"/>
      <c r="EE477" s="489"/>
      <c r="EF477" s="489"/>
      <c r="EG477" s="489"/>
      <c r="EH477" s="489"/>
      <c r="EI477" s="489"/>
      <c r="EJ477" s="489"/>
      <c r="EK477" s="489"/>
      <c r="EL477" s="489"/>
      <c r="EM477" s="489"/>
      <c r="EN477" s="489"/>
      <c r="EO477" s="489"/>
      <c r="EP477" s="489"/>
      <c r="EQ477" s="489"/>
      <c r="ER477" s="489"/>
      <c r="ES477" s="489"/>
      <c r="ET477" s="489"/>
      <c r="EU477" s="489"/>
      <c r="EV477" s="489"/>
      <c r="EW477" s="489"/>
      <c r="EX477" s="489"/>
      <c r="EY477" s="489"/>
      <c r="EZ477" s="489"/>
      <c r="FA477" s="489"/>
      <c r="FB477" s="489"/>
      <c r="FC477" s="489"/>
      <c r="FD477" s="489"/>
      <c r="FE477" s="489"/>
      <c r="FF477" s="489"/>
      <c r="FG477" s="489"/>
      <c r="FH477" s="489"/>
      <c r="FI477" s="489"/>
      <c r="FJ477" s="489"/>
      <c r="FK477" s="489"/>
      <c r="FL477" s="489"/>
      <c r="FM477" s="489"/>
      <c r="FN477" s="489"/>
      <c r="FO477" s="489"/>
      <c r="FP477" s="489"/>
      <c r="FQ477" s="489"/>
      <c r="FR477" s="489"/>
      <c r="FS477" s="489"/>
      <c r="FT477" s="489"/>
      <c r="FU477" s="489"/>
      <c r="FV477" s="489"/>
      <c r="FW477" s="489"/>
      <c r="FX477" s="489"/>
      <c r="FY477" s="489"/>
      <c r="FZ477" s="489"/>
      <c r="GA477" s="489"/>
      <c r="GB477" s="489"/>
      <c r="GC477" s="489"/>
      <c r="GD477" s="489"/>
      <c r="GE477" s="489"/>
      <c r="GF477" s="489"/>
      <c r="GG477" s="489"/>
      <c r="GH477" s="489"/>
      <c r="GI477" s="489"/>
      <c r="GJ477" s="489"/>
      <c r="GK477" s="489"/>
      <c r="GL477" s="489"/>
      <c r="GM477" s="489"/>
      <c r="GN477" s="489"/>
      <c r="GO477" s="489"/>
      <c r="GP477" s="489"/>
      <c r="GQ477" s="489"/>
      <c r="GR477" s="489"/>
      <c r="GS477" s="489"/>
      <c r="GT477" s="489"/>
      <c r="GU477" s="489"/>
      <c r="GV477" s="489"/>
      <c r="GW477" s="489"/>
      <c r="GX477" s="489"/>
      <c r="GY477" s="489"/>
      <c r="GZ477" s="489"/>
      <c r="HA477" s="489"/>
      <c r="HB477" s="489"/>
      <c r="HC477" s="489"/>
      <c r="HD477" s="489"/>
      <c r="HE477" s="489"/>
      <c r="HF477" s="489"/>
      <c r="HG477" s="489"/>
      <c r="HH477" s="489"/>
      <c r="HI477" s="489"/>
      <c r="HJ477" s="489"/>
      <c r="HK477" s="489"/>
      <c r="HL477" s="489"/>
      <c r="HM477" s="489"/>
      <c r="HN477" s="489"/>
      <c r="HO477" s="489"/>
      <c r="HP477" s="489"/>
      <c r="HQ477" s="489"/>
      <c r="HR477" s="489"/>
      <c r="HS477" s="489"/>
      <c r="HT477" s="489"/>
      <c r="HU477" s="489"/>
      <c r="HV477" s="489"/>
      <c r="HW477" s="489"/>
      <c r="HX477" s="358"/>
    </row>
    <row r="478" spans="1:232" s="5" customFormat="1" ht="20.100000000000001" customHeight="1">
      <c r="A478" s="497" t="s">
        <v>111</v>
      </c>
      <c r="B478" s="498"/>
      <c r="C478" s="498"/>
      <c r="D478" s="498"/>
      <c r="E478" s="498"/>
      <c r="F478" s="498"/>
      <c r="G478" s="498"/>
      <c r="H478" s="498"/>
      <c r="I478" s="498"/>
      <c r="J478" s="498"/>
      <c r="K478" s="498"/>
      <c r="L478" s="494"/>
      <c r="M478" s="494"/>
      <c r="N478" s="495"/>
      <c r="O478" s="495"/>
      <c r="P478" s="495"/>
      <c r="Q478" s="495"/>
      <c r="R478" s="495"/>
      <c r="S478" s="495"/>
      <c r="T478" s="495"/>
      <c r="U478" s="499"/>
      <c r="V478" s="499"/>
      <c r="W478" s="499"/>
      <c r="X478" s="499"/>
      <c r="Y478" s="499"/>
      <c r="Z478" s="499"/>
      <c r="AA478" s="499"/>
      <c r="AB478" s="499"/>
      <c r="AC478" s="499"/>
      <c r="AD478" s="499"/>
      <c r="AE478" s="499"/>
      <c r="AF478" s="499"/>
      <c r="AG478" s="499"/>
      <c r="AH478" s="499"/>
      <c r="AI478" s="499"/>
      <c r="AJ478" s="499"/>
      <c r="AK478" s="499"/>
      <c r="AL478" s="499"/>
      <c r="AM478" s="499"/>
      <c r="AN478" s="499"/>
      <c r="AO478" s="499"/>
      <c r="AP478" s="499"/>
      <c r="AQ478" s="499"/>
      <c r="AR478" s="499"/>
      <c r="AS478" s="499"/>
      <c r="AT478" s="499"/>
      <c r="AU478" s="499"/>
      <c r="AV478" s="499"/>
      <c r="AW478" s="499"/>
      <c r="AX478" s="499"/>
      <c r="AY478" s="499"/>
      <c r="AZ478" s="499"/>
      <c r="BA478" s="499"/>
      <c r="BB478" s="499"/>
      <c r="BC478" s="499"/>
      <c r="BD478" s="499"/>
      <c r="BE478" s="499"/>
      <c r="BF478" s="499"/>
      <c r="BG478" s="499"/>
      <c r="BH478" s="499"/>
      <c r="BI478" s="499"/>
      <c r="BJ478" s="499"/>
      <c r="BK478" s="499"/>
      <c r="BL478" s="499"/>
      <c r="BM478" s="499"/>
      <c r="BN478" s="499"/>
      <c r="BO478" s="499"/>
      <c r="BP478" s="499"/>
      <c r="BQ478" s="499"/>
      <c r="BR478" s="499"/>
      <c r="BS478" s="499"/>
      <c r="BT478" s="499"/>
      <c r="BU478" s="499"/>
      <c r="BV478" s="499"/>
      <c r="BW478" s="499"/>
      <c r="BX478" s="499"/>
      <c r="BY478" s="499"/>
      <c r="BZ478" s="499"/>
      <c r="CA478" s="499"/>
      <c r="CB478" s="499"/>
      <c r="CC478" s="499"/>
      <c r="CD478" s="499"/>
      <c r="CE478" s="499"/>
      <c r="CF478" s="499"/>
      <c r="CG478" s="499"/>
      <c r="CH478" s="499"/>
      <c r="CI478" s="499"/>
      <c r="CJ478" s="499"/>
      <c r="CK478" s="499"/>
      <c r="CL478" s="499"/>
      <c r="CM478" s="499"/>
      <c r="CN478" s="499"/>
      <c r="CO478" s="499"/>
      <c r="CP478" s="499"/>
      <c r="CQ478" s="499"/>
      <c r="CR478" s="499"/>
      <c r="CS478" s="499"/>
      <c r="CT478" s="499"/>
      <c r="CU478" s="499"/>
      <c r="CV478" s="499"/>
      <c r="CW478" s="499"/>
      <c r="CX478" s="499"/>
      <c r="CY478" s="499"/>
      <c r="CZ478" s="499"/>
      <c r="DA478" s="499"/>
      <c r="DB478" s="499"/>
      <c r="DC478" s="499"/>
      <c r="DD478" s="499"/>
      <c r="DE478" s="499"/>
      <c r="DF478" s="499"/>
      <c r="DG478" s="499"/>
      <c r="DH478" s="499"/>
      <c r="DI478" s="499"/>
      <c r="DJ478" s="499"/>
      <c r="DK478" s="499"/>
      <c r="DL478" s="499"/>
      <c r="DM478" s="499"/>
      <c r="DN478" s="499"/>
      <c r="DO478" s="499"/>
      <c r="DP478" s="499"/>
      <c r="DQ478" s="499"/>
      <c r="DR478" s="499"/>
      <c r="DS478" s="499"/>
      <c r="DT478" s="499"/>
      <c r="DU478" s="499"/>
      <c r="DV478" s="499"/>
      <c r="DW478" s="499"/>
      <c r="DX478" s="499"/>
      <c r="DY478" s="499"/>
      <c r="DZ478" s="499"/>
      <c r="EA478" s="499"/>
      <c r="EB478" s="499"/>
      <c r="EC478" s="499"/>
      <c r="ED478" s="499"/>
      <c r="EE478" s="499"/>
      <c r="EF478" s="499"/>
      <c r="EG478" s="499"/>
      <c r="EH478" s="499"/>
      <c r="EI478" s="499"/>
      <c r="EJ478" s="499"/>
      <c r="EK478" s="499"/>
      <c r="EL478" s="499"/>
      <c r="EM478" s="499"/>
      <c r="EN478" s="499"/>
      <c r="EO478" s="499"/>
      <c r="EP478" s="499"/>
      <c r="EQ478" s="499"/>
      <c r="ER478" s="499"/>
      <c r="ES478" s="499"/>
      <c r="ET478" s="499"/>
      <c r="EU478" s="499"/>
      <c r="EV478" s="499"/>
      <c r="EW478" s="499"/>
      <c r="EX478" s="499"/>
      <c r="EY478" s="499"/>
      <c r="EZ478" s="499"/>
      <c r="FA478" s="499"/>
      <c r="FB478" s="499"/>
      <c r="FC478" s="499"/>
      <c r="FD478" s="499"/>
      <c r="FE478" s="499"/>
      <c r="FF478" s="499"/>
      <c r="FG478" s="499"/>
      <c r="FH478" s="499"/>
      <c r="FI478" s="499"/>
      <c r="FJ478" s="499"/>
      <c r="FK478" s="499"/>
      <c r="FL478" s="499"/>
      <c r="FM478" s="499"/>
      <c r="FN478" s="499"/>
      <c r="FO478" s="499"/>
      <c r="FP478" s="499"/>
      <c r="FQ478" s="499"/>
      <c r="FR478" s="499"/>
      <c r="FS478" s="499"/>
      <c r="FT478" s="499"/>
      <c r="FU478" s="499"/>
      <c r="FV478" s="499"/>
      <c r="FW478" s="499"/>
      <c r="FX478" s="499"/>
      <c r="FY478" s="499"/>
      <c r="FZ478" s="499"/>
      <c r="GA478" s="499"/>
      <c r="GB478" s="499"/>
      <c r="GC478" s="499"/>
      <c r="GD478" s="499"/>
      <c r="GE478" s="499"/>
      <c r="GF478" s="499"/>
      <c r="GG478" s="499"/>
      <c r="GH478" s="499"/>
      <c r="GI478" s="499"/>
      <c r="GJ478" s="499"/>
      <c r="GK478" s="499"/>
      <c r="GL478" s="499"/>
      <c r="GM478" s="499"/>
      <c r="GN478" s="499"/>
      <c r="GO478" s="499"/>
      <c r="GP478" s="499"/>
      <c r="GQ478" s="499"/>
      <c r="GR478" s="499"/>
      <c r="GS478" s="499"/>
      <c r="GT478" s="499"/>
      <c r="GU478" s="499"/>
      <c r="GV478" s="499"/>
      <c r="GW478" s="499"/>
      <c r="GX478" s="499"/>
      <c r="GY478" s="499"/>
      <c r="GZ478" s="499"/>
      <c r="HA478" s="499"/>
      <c r="HB478" s="499"/>
      <c r="HC478" s="499"/>
      <c r="HD478" s="499"/>
      <c r="HE478" s="499"/>
      <c r="HF478" s="499"/>
      <c r="HG478" s="499"/>
      <c r="HH478" s="499"/>
      <c r="HI478" s="499"/>
      <c r="HJ478" s="499"/>
      <c r="HK478" s="499"/>
      <c r="HL478" s="499"/>
      <c r="HM478" s="499"/>
      <c r="HN478" s="499"/>
      <c r="HO478" s="499"/>
      <c r="HP478" s="499"/>
      <c r="HQ478" s="499"/>
      <c r="HR478" s="499"/>
      <c r="HS478" s="499"/>
      <c r="HT478" s="499"/>
      <c r="HU478" s="499"/>
      <c r="HV478" s="499"/>
      <c r="HW478" s="499"/>
      <c r="HX478" s="358"/>
    </row>
    <row r="479" spans="1:232" ht="38.25" customHeight="1">
      <c r="A479" s="1607" t="s">
        <v>112</v>
      </c>
      <c r="B479" s="1607"/>
      <c r="C479" s="1607"/>
      <c r="D479" s="1607"/>
      <c r="E479" s="1607"/>
      <c r="F479" s="1607"/>
      <c r="G479" s="1607"/>
      <c r="H479" s="1607"/>
      <c r="I479" s="1607"/>
      <c r="J479" s="1607"/>
      <c r="N479" s="495"/>
      <c r="O479" s="495"/>
      <c r="P479" s="495"/>
      <c r="Q479" s="495"/>
      <c r="R479" s="495"/>
      <c r="S479" s="495"/>
    </row>
    <row r="480" spans="1:232" ht="20.100000000000001" customHeight="1">
      <c r="A480" s="1608" t="s">
        <v>136</v>
      </c>
      <c r="B480" s="1607"/>
      <c r="C480" s="1607"/>
      <c r="D480" s="1607"/>
      <c r="E480" s="1607"/>
      <c r="F480" s="1607"/>
      <c r="G480" s="1607"/>
      <c r="H480" s="1607"/>
      <c r="I480" s="1607"/>
      <c r="J480" s="1607"/>
    </row>
    <row r="481" spans="1:232" ht="20.100000000000001" customHeight="1">
      <c r="A481" s="1604" t="s">
        <v>113</v>
      </c>
      <c r="B481" s="1604"/>
      <c r="C481" s="1604"/>
      <c r="D481" s="1604"/>
      <c r="E481" s="1604"/>
      <c r="F481" s="1604"/>
      <c r="G481" s="1604"/>
      <c r="H481" s="1604"/>
      <c r="I481" s="1604"/>
      <c r="J481" s="1604"/>
    </row>
    <row r="482" spans="1:232" s="5" customFormat="1" ht="20.100000000000001" customHeight="1">
      <c r="A482" s="500" t="s">
        <v>114</v>
      </c>
      <c r="C482" s="501"/>
      <c r="D482" s="501"/>
      <c r="E482" s="501"/>
      <c r="F482" s="501"/>
      <c r="G482" s="501"/>
      <c r="H482" s="501"/>
      <c r="I482" s="501"/>
      <c r="J482" s="502"/>
      <c r="K482" s="502"/>
      <c r="L482" s="494"/>
      <c r="M482" s="494"/>
      <c r="N482" s="464"/>
      <c r="O482" s="464"/>
      <c r="P482" s="464"/>
      <c r="Q482" s="464"/>
      <c r="R482" s="464"/>
      <c r="S482" s="464"/>
      <c r="T482" s="495"/>
      <c r="U482" s="499"/>
      <c r="V482" s="499"/>
      <c r="W482" s="499"/>
      <c r="X482" s="499"/>
      <c r="Y482" s="499"/>
      <c r="Z482" s="499"/>
      <c r="AA482" s="499"/>
      <c r="AB482" s="499"/>
      <c r="AC482" s="499"/>
      <c r="AD482" s="499"/>
      <c r="AE482" s="499"/>
      <c r="AF482" s="499"/>
      <c r="AG482" s="499"/>
      <c r="AH482" s="499"/>
      <c r="AI482" s="499"/>
      <c r="AJ482" s="499"/>
      <c r="AK482" s="499"/>
      <c r="AL482" s="499"/>
      <c r="AM482" s="499"/>
      <c r="AN482" s="499"/>
      <c r="AO482" s="499"/>
      <c r="AP482" s="499"/>
      <c r="AQ482" s="499"/>
      <c r="AR482" s="499"/>
      <c r="AS482" s="499"/>
      <c r="AT482" s="499"/>
      <c r="AU482" s="499"/>
      <c r="AV482" s="499"/>
      <c r="AW482" s="499"/>
      <c r="AX482" s="499"/>
      <c r="AY482" s="499"/>
      <c r="AZ482" s="499"/>
      <c r="BA482" s="499"/>
      <c r="BB482" s="499"/>
      <c r="BC482" s="499"/>
      <c r="BD482" s="499"/>
      <c r="BE482" s="499"/>
      <c r="BF482" s="499"/>
      <c r="BG482" s="499"/>
      <c r="BH482" s="499"/>
      <c r="BI482" s="499"/>
      <c r="BJ482" s="499"/>
      <c r="BK482" s="499"/>
      <c r="BL482" s="499"/>
      <c r="BM482" s="499"/>
      <c r="BN482" s="499"/>
      <c r="BO482" s="499"/>
      <c r="BP482" s="499"/>
      <c r="BQ482" s="499"/>
      <c r="BR482" s="499"/>
      <c r="BS482" s="499"/>
      <c r="BT482" s="499"/>
      <c r="BU482" s="499"/>
      <c r="BV482" s="499"/>
      <c r="BW482" s="499"/>
      <c r="BX482" s="499"/>
      <c r="BY482" s="499"/>
      <c r="BZ482" s="499"/>
      <c r="CA482" s="499"/>
      <c r="CB482" s="499"/>
      <c r="CC482" s="499"/>
      <c r="CD482" s="499"/>
      <c r="CE482" s="499"/>
      <c r="CF482" s="499"/>
      <c r="CG482" s="499"/>
      <c r="CH482" s="499"/>
      <c r="CI482" s="499"/>
      <c r="CJ482" s="499"/>
      <c r="CK482" s="499"/>
      <c r="CL482" s="499"/>
      <c r="CM482" s="499"/>
      <c r="CN482" s="499"/>
      <c r="CO482" s="499"/>
      <c r="CP482" s="499"/>
      <c r="CQ482" s="499"/>
      <c r="CR482" s="499"/>
      <c r="CS482" s="499"/>
      <c r="CT482" s="499"/>
      <c r="CU482" s="499"/>
      <c r="CV482" s="499"/>
      <c r="CW482" s="499"/>
      <c r="CX482" s="499"/>
      <c r="CY482" s="499"/>
      <c r="CZ482" s="499"/>
      <c r="DA482" s="499"/>
      <c r="DB482" s="499"/>
      <c r="DC482" s="499"/>
      <c r="DD482" s="499"/>
      <c r="DE482" s="499"/>
      <c r="DF482" s="499"/>
      <c r="DG482" s="499"/>
      <c r="DH482" s="499"/>
      <c r="DI482" s="499"/>
      <c r="DJ482" s="499"/>
      <c r="DK482" s="499"/>
      <c r="DL482" s="499"/>
      <c r="DM482" s="499"/>
      <c r="DN482" s="499"/>
      <c r="DO482" s="499"/>
      <c r="DP482" s="499"/>
      <c r="DQ482" s="499"/>
      <c r="DR482" s="499"/>
      <c r="DS482" s="499"/>
      <c r="DT482" s="499"/>
      <c r="DU482" s="499"/>
      <c r="DV482" s="499"/>
      <c r="DW482" s="499"/>
      <c r="DX482" s="499"/>
      <c r="DY482" s="499"/>
      <c r="DZ482" s="499"/>
      <c r="EA482" s="499"/>
      <c r="EB482" s="499"/>
      <c r="EC482" s="499"/>
      <c r="ED482" s="499"/>
      <c r="EE482" s="499"/>
      <c r="EF482" s="499"/>
      <c r="EG482" s="499"/>
      <c r="EH482" s="499"/>
      <c r="EI482" s="499"/>
      <c r="EJ482" s="499"/>
      <c r="EK482" s="499"/>
      <c r="EL482" s="499"/>
      <c r="EM482" s="499"/>
      <c r="EN482" s="499"/>
      <c r="EO482" s="499"/>
      <c r="EP482" s="499"/>
      <c r="EQ482" s="499"/>
      <c r="ER482" s="499"/>
      <c r="ES482" s="499"/>
      <c r="ET482" s="499"/>
      <c r="EU482" s="499"/>
      <c r="EV482" s="499"/>
      <c r="EW482" s="499"/>
      <c r="EX482" s="499"/>
      <c r="EY482" s="499"/>
      <c r="EZ482" s="499"/>
      <c r="FA482" s="499"/>
      <c r="FB482" s="499"/>
      <c r="FC482" s="499"/>
      <c r="FD482" s="499"/>
      <c r="FE482" s="499"/>
      <c r="FF482" s="499"/>
      <c r="FG482" s="499"/>
      <c r="FH482" s="499"/>
      <c r="FI482" s="499"/>
      <c r="FJ482" s="499"/>
      <c r="FK482" s="499"/>
      <c r="FL482" s="499"/>
      <c r="FM482" s="499"/>
      <c r="FN482" s="499"/>
      <c r="FO482" s="499"/>
      <c r="FP482" s="499"/>
      <c r="FQ482" s="499"/>
      <c r="FR482" s="499"/>
      <c r="FS482" s="499"/>
      <c r="FT482" s="499"/>
      <c r="FU482" s="499"/>
      <c r="FV482" s="499"/>
      <c r="FW482" s="499"/>
      <c r="FX482" s="499"/>
      <c r="FY482" s="499"/>
      <c r="FZ482" s="499"/>
      <c r="GA482" s="499"/>
      <c r="GB482" s="499"/>
      <c r="GC482" s="499"/>
      <c r="GD482" s="499"/>
      <c r="GE482" s="499"/>
      <c r="GF482" s="499"/>
      <c r="GG482" s="499"/>
      <c r="GH482" s="499"/>
      <c r="GI482" s="499"/>
      <c r="GJ482" s="499"/>
      <c r="GK482" s="499"/>
      <c r="GL482" s="499"/>
      <c r="GM482" s="499"/>
      <c r="GN482" s="499"/>
      <c r="GO482" s="499"/>
      <c r="GP482" s="499"/>
      <c r="GQ482" s="499"/>
      <c r="GR482" s="499"/>
      <c r="GS482" s="499"/>
      <c r="GT482" s="499"/>
      <c r="GU482" s="499"/>
      <c r="GV482" s="499"/>
      <c r="GW482" s="499"/>
      <c r="GX482" s="499"/>
      <c r="GY482" s="499"/>
      <c r="GZ482" s="499"/>
      <c r="HA482" s="499"/>
      <c r="HB482" s="499"/>
      <c r="HC482" s="499"/>
      <c r="HD482" s="499"/>
      <c r="HE482" s="499"/>
      <c r="HF482" s="499"/>
      <c r="HG482" s="499"/>
      <c r="HH482" s="499"/>
      <c r="HI482" s="499"/>
      <c r="HJ482" s="499"/>
      <c r="HK482" s="499"/>
      <c r="HL482" s="499"/>
      <c r="HM482" s="499"/>
      <c r="HN482" s="499"/>
      <c r="HO482" s="499"/>
      <c r="HP482" s="499"/>
      <c r="HQ482" s="499"/>
      <c r="HR482" s="499"/>
      <c r="HS482" s="499"/>
      <c r="HT482" s="499"/>
      <c r="HU482" s="499"/>
      <c r="HV482" s="499"/>
      <c r="HW482" s="499"/>
      <c r="HX482" s="358"/>
    </row>
    <row r="483" spans="1:232" s="5" customFormat="1" ht="20.100000000000001" customHeight="1">
      <c r="A483" s="1605" t="s">
        <v>191</v>
      </c>
      <c r="B483" s="1606" t="s">
        <v>115</v>
      </c>
      <c r="C483" s="1606"/>
      <c r="D483" s="1606"/>
      <c r="E483" s="1606"/>
      <c r="F483" s="1606" t="s">
        <v>116</v>
      </c>
      <c r="G483" s="1606"/>
      <c r="H483" s="1606"/>
      <c r="I483" s="1606" t="s">
        <v>117</v>
      </c>
      <c r="J483" s="1606"/>
      <c r="N483" s="495"/>
      <c r="O483" s="495"/>
      <c r="P483" s="495"/>
      <c r="Q483" s="495"/>
      <c r="R483" s="495"/>
      <c r="S483" s="495"/>
      <c r="T483" s="504"/>
      <c r="U483" s="358"/>
      <c r="V483" s="358"/>
      <c r="W483" s="358"/>
      <c r="X483" s="358"/>
      <c r="Y483" s="358"/>
      <c r="Z483" s="358"/>
      <c r="AA483" s="358"/>
      <c r="AB483" s="358"/>
      <c r="AC483" s="358"/>
      <c r="AD483" s="358"/>
      <c r="AE483" s="358"/>
      <c r="AF483" s="358"/>
      <c r="AG483" s="358"/>
      <c r="AH483" s="358"/>
      <c r="AI483" s="358"/>
      <c r="AJ483" s="358"/>
      <c r="AK483" s="358"/>
      <c r="AL483" s="358"/>
      <c r="AM483" s="358"/>
      <c r="AN483" s="358"/>
      <c r="AO483" s="358"/>
      <c r="AP483" s="358"/>
      <c r="AQ483" s="358"/>
      <c r="AR483" s="358"/>
      <c r="AS483" s="358"/>
      <c r="AT483" s="358"/>
      <c r="AU483" s="358"/>
      <c r="AV483" s="358"/>
      <c r="AW483" s="358"/>
      <c r="AX483" s="358"/>
      <c r="AY483" s="358"/>
      <c r="AZ483" s="358"/>
      <c r="BA483" s="358"/>
      <c r="BB483" s="358"/>
      <c r="BC483" s="358"/>
      <c r="BD483" s="358"/>
      <c r="BE483" s="358"/>
      <c r="BF483" s="358"/>
      <c r="BG483" s="358"/>
      <c r="BH483" s="358"/>
      <c r="BI483" s="358"/>
      <c r="BJ483" s="358"/>
      <c r="BK483" s="358"/>
      <c r="BL483" s="358"/>
      <c r="BM483" s="358"/>
      <c r="BN483" s="358"/>
      <c r="BO483" s="358"/>
      <c r="BP483" s="358"/>
      <c r="BQ483" s="358"/>
      <c r="BR483" s="358"/>
      <c r="BS483" s="358"/>
      <c r="BT483" s="358"/>
      <c r="BU483" s="358"/>
      <c r="BV483" s="358"/>
      <c r="BW483" s="358"/>
      <c r="BX483" s="358"/>
      <c r="BY483" s="358"/>
      <c r="BZ483" s="358"/>
      <c r="CA483" s="358"/>
      <c r="CB483" s="358"/>
      <c r="CC483" s="358"/>
      <c r="CD483" s="358"/>
      <c r="CE483" s="358"/>
      <c r="CF483" s="358"/>
      <c r="CG483" s="358"/>
      <c r="CH483" s="358"/>
      <c r="CI483" s="358"/>
      <c r="CJ483" s="358"/>
      <c r="CK483" s="358"/>
      <c r="CL483" s="358"/>
      <c r="CM483" s="358"/>
      <c r="CN483" s="358"/>
      <c r="CO483" s="358"/>
      <c r="CP483" s="358"/>
      <c r="CQ483" s="358"/>
      <c r="CR483" s="358"/>
      <c r="CS483" s="358"/>
      <c r="CT483" s="358"/>
      <c r="CU483" s="358"/>
      <c r="CV483" s="358"/>
      <c r="CW483" s="358"/>
      <c r="CX483" s="358"/>
      <c r="CY483" s="358"/>
      <c r="CZ483" s="358"/>
      <c r="DA483" s="358"/>
      <c r="DB483" s="358"/>
      <c r="DC483" s="358"/>
      <c r="DD483" s="358"/>
      <c r="DE483" s="358"/>
      <c r="DF483" s="358"/>
      <c r="DG483" s="358"/>
      <c r="DH483" s="358"/>
      <c r="DI483" s="358"/>
      <c r="DJ483" s="358"/>
      <c r="DK483" s="358"/>
      <c r="DL483" s="358"/>
      <c r="DM483" s="358"/>
      <c r="DN483" s="358"/>
      <c r="DO483" s="358"/>
      <c r="DP483" s="358"/>
      <c r="DQ483" s="358"/>
      <c r="DR483" s="358"/>
      <c r="DS483" s="358"/>
      <c r="DT483" s="358"/>
      <c r="DU483" s="358"/>
      <c r="DV483" s="358"/>
      <c r="DW483" s="358"/>
      <c r="DX483" s="358"/>
      <c r="DY483" s="358"/>
      <c r="DZ483" s="358"/>
      <c r="EA483" s="358"/>
      <c r="EB483" s="358"/>
      <c r="EC483" s="358"/>
      <c r="ED483" s="358"/>
      <c r="EE483" s="358"/>
      <c r="EF483" s="358"/>
      <c r="EG483" s="358"/>
      <c r="EH483" s="358"/>
      <c r="EI483" s="358"/>
      <c r="EJ483" s="358"/>
      <c r="EK483" s="358"/>
      <c r="EL483" s="358"/>
      <c r="EM483" s="358"/>
      <c r="EN483" s="358"/>
      <c r="EO483" s="358"/>
      <c r="EP483" s="358"/>
      <c r="EQ483" s="358"/>
      <c r="ER483" s="358"/>
      <c r="ES483" s="358"/>
      <c r="ET483" s="358"/>
      <c r="EU483" s="358"/>
      <c r="EV483" s="358"/>
      <c r="EW483" s="358"/>
      <c r="EX483" s="358"/>
      <c r="EY483" s="358"/>
      <c r="EZ483" s="358"/>
      <c r="FA483" s="358"/>
      <c r="FB483" s="358"/>
      <c r="FC483" s="358"/>
      <c r="FD483" s="358"/>
      <c r="FE483" s="358"/>
      <c r="FF483" s="358"/>
      <c r="FG483" s="358"/>
      <c r="FH483" s="358"/>
      <c r="FI483" s="358"/>
      <c r="FJ483" s="358"/>
      <c r="FK483" s="358"/>
      <c r="FL483" s="358"/>
      <c r="FM483" s="358"/>
      <c r="FN483" s="358"/>
      <c r="FO483" s="358"/>
      <c r="FP483" s="358"/>
      <c r="FQ483" s="358"/>
      <c r="FR483" s="358"/>
      <c r="FS483" s="358"/>
      <c r="FT483" s="358"/>
      <c r="FU483" s="358"/>
      <c r="FV483" s="358"/>
      <c r="FW483" s="358"/>
      <c r="FX483" s="358"/>
      <c r="FY483" s="358"/>
      <c r="FZ483" s="358"/>
      <c r="GA483" s="358"/>
      <c r="GB483" s="358"/>
      <c r="GC483" s="358"/>
      <c r="GD483" s="358"/>
      <c r="GE483" s="358"/>
      <c r="GF483" s="358"/>
      <c r="GG483" s="358"/>
      <c r="GH483" s="358"/>
      <c r="GI483" s="358"/>
      <c r="GJ483" s="358"/>
      <c r="GK483" s="358"/>
      <c r="GL483" s="358"/>
      <c r="GM483" s="358"/>
      <c r="GN483" s="358"/>
      <c r="GO483" s="358"/>
      <c r="GP483" s="358"/>
      <c r="GQ483" s="358"/>
      <c r="GR483" s="358"/>
      <c r="GS483" s="358"/>
      <c r="GT483" s="358"/>
      <c r="GU483" s="358"/>
      <c r="GV483" s="358"/>
      <c r="GW483" s="358"/>
      <c r="GX483" s="358"/>
      <c r="GY483" s="358"/>
      <c r="GZ483" s="358"/>
      <c r="HA483" s="358"/>
      <c r="HB483" s="358"/>
      <c r="HC483" s="358"/>
      <c r="HD483" s="358"/>
      <c r="HE483" s="358"/>
      <c r="HF483" s="358"/>
      <c r="HG483" s="358"/>
      <c r="HH483" s="358"/>
      <c r="HI483" s="358"/>
      <c r="HJ483" s="358"/>
      <c r="HK483" s="358"/>
      <c r="HL483" s="358"/>
      <c r="HM483" s="358"/>
      <c r="HN483" s="358"/>
      <c r="HO483" s="358"/>
      <c r="HP483" s="358"/>
      <c r="HQ483" s="358"/>
      <c r="HR483" s="358"/>
      <c r="HS483" s="358"/>
      <c r="HT483" s="358"/>
      <c r="HU483" s="358"/>
      <c r="HV483" s="358"/>
      <c r="HW483" s="358"/>
      <c r="HX483" s="358"/>
    </row>
    <row r="484" spans="1:232" s="5" customFormat="1" ht="20.100000000000001" customHeight="1">
      <c r="A484" s="1605"/>
      <c r="B484" s="1606"/>
      <c r="C484" s="1606"/>
      <c r="D484" s="1606"/>
      <c r="E484" s="1606"/>
      <c r="F484" s="1606"/>
      <c r="G484" s="1606"/>
      <c r="H484" s="1606"/>
      <c r="I484" s="503" t="s">
        <v>118</v>
      </c>
      <c r="J484" s="503" t="s">
        <v>119</v>
      </c>
      <c r="O484" s="504"/>
      <c r="P484" s="504"/>
      <c r="Q484" s="504"/>
      <c r="R484" s="504"/>
      <c r="S484" s="504"/>
      <c r="T484" s="406"/>
      <c r="U484" s="358"/>
      <c r="V484" s="358"/>
      <c r="W484" s="358"/>
      <c r="X484" s="358"/>
      <c r="Y484" s="358"/>
      <c r="Z484" s="358"/>
      <c r="AA484" s="358"/>
      <c r="AB484" s="358"/>
      <c r="AC484" s="358"/>
      <c r="AD484" s="358"/>
      <c r="AE484" s="358"/>
      <c r="AF484" s="358"/>
      <c r="AG484" s="358"/>
      <c r="AH484" s="358"/>
      <c r="AI484" s="358"/>
      <c r="AJ484" s="358"/>
      <c r="AK484" s="358"/>
      <c r="AL484" s="358"/>
      <c r="AM484" s="358"/>
      <c r="AN484" s="358"/>
      <c r="AO484" s="358"/>
      <c r="AP484" s="358"/>
      <c r="AQ484" s="358"/>
      <c r="AR484" s="358"/>
      <c r="AS484" s="358"/>
      <c r="AT484" s="358"/>
      <c r="AU484" s="358"/>
      <c r="AV484" s="358"/>
      <c r="AW484" s="358"/>
      <c r="AX484" s="358"/>
      <c r="AY484" s="358"/>
      <c r="AZ484" s="358"/>
      <c r="BA484" s="358"/>
      <c r="BB484" s="358"/>
      <c r="BC484" s="358"/>
      <c r="BD484" s="358"/>
      <c r="BE484" s="358"/>
      <c r="BF484" s="358"/>
      <c r="BG484" s="358"/>
      <c r="BH484" s="358"/>
      <c r="BI484" s="358"/>
      <c r="BJ484" s="358"/>
      <c r="BK484" s="358"/>
      <c r="BL484" s="358"/>
      <c r="BM484" s="358"/>
      <c r="BN484" s="358"/>
      <c r="BO484" s="358"/>
      <c r="BP484" s="358"/>
      <c r="BQ484" s="358"/>
      <c r="BR484" s="358"/>
      <c r="BS484" s="358"/>
      <c r="BT484" s="358"/>
      <c r="BU484" s="358"/>
      <c r="BV484" s="358"/>
      <c r="BW484" s="358"/>
      <c r="BX484" s="358"/>
      <c r="BY484" s="358"/>
      <c r="BZ484" s="358"/>
      <c r="CA484" s="358"/>
      <c r="CB484" s="358"/>
      <c r="CC484" s="358"/>
      <c r="CD484" s="358"/>
      <c r="CE484" s="358"/>
      <c r="CF484" s="358"/>
      <c r="CG484" s="358"/>
      <c r="CH484" s="358"/>
      <c r="CI484" s="358"/>
      <c r="CJ484" s="358"/>
      <c r="CK484" s="358"/>
      <c r="CL484" s="358"/>
      <c r="CM484" s="358"/>
      <c r="CN484" s="358"/>
      <c r="CO484" s="358"/>
      <c r="CP484" s="358"/>
      <c r="CQ484" s="358"/>
      <c r="CR484" s="358"/>
      <c r="CS484" s="358"/>
      <c r="CT484" s="358"/>
      <c r="CU484" s="358"/>
      <c r="CV484" s="358"/>
      <c r="CW484" s="358"/>
      <c r="CX484" s="358"/>
      <c r="CY484" s="358"/>
      <c r="CZ484" s="358"/>
      <c r="DA484" s="358"/>
      <c r="DB484" s="358"/>
      <c r="DC484" s="358"/>
      <c r="DD484" s="358"/>
      <c r="DE484" s="358"/>
      <c r="DF484" s="358"/>
      <c r="DG484" s="358"/>
      <c r="DH484" s="358"/>
      <c r="DI484" s="358"/>
      <c r="DJ484" s="358"/>
      <c r="DK484" s="358"/>
      <c r="DL484" s="358"/>
      <c r="DM484" s="358"/>
      <c r="DN484" s="358"/>
      <c r="DO484" s="358"/>
      <c r="DP484" s="358"/>
      <c r="DQ484" s="358"/>
      <c r="DR484" s="358"/>
      <c r="DS484" s="358"/>
      <c r="DT484" s="358"/>
      <c r="DU484" s="358"/>
      <c r="DV484" s="358"/>
      <c r="DW484" s="358"/>
      <c r="DX484" s="358"/>
      <c r="DY484" s="358"/>
      <c r="DZ484" s="358"/>
      <c r="EA484" s="358"/>
      <c r="EB484" s="358"/>
      <c r="EC484" s="358"/>
      <c r="ED484" s="358"/>
      <c r="EE484" s="358"/>
      <c r="EF484" s="358"/>
      <c r="EG484" s="358"/>
      <c r="EH484" s="358"/>
      <c r="EI484" s="358"/>
      <c r="EJ484" s="358"/>
      <c r="EK484" s="358"/>
      <c r="EL484" s="358"/>
      <c r="EM484" s="358"/>
      <c r="EN484" s="358"/>
      <c r="EO484" s="358"/>
      <c r="EP484" s="358"/>
      <c r="EQ484" s="358"/>
      <c r="ER484" s="358"/>
      <c r="ES484" s="358"/>
      <c r="ET484" s="358"/>
      <c r="EU484" s="358"/>
      <c r="EV484" s="358"/>
      <c r="EW484" s="358"/>
      <c r="EX484" s="358"/>
      <c r="EY484" s="358"/>
      <c r="EZ484" s="358"/>
      <c r="FA484" s="358"/>
      <c r="FB484" s="358"/>
      <c r="FC484" s="358"/>
      <c r="FD484" s="358"/>
      <c r="FE484" s="358"/>
      <c r="FF484" s="358"/>
      <c r="FG484" s="358"/>
      <c r="FH484" s="358"/>
      <c r="FI484" s="358"/>
      <c r="FJ484" s="358"/>
      <c r="FK484" s="358"/>
      <c r="FL484" s="358"/>
      <c r="FM484" s="358"/>
      <c r="FN484" s="358"/>
      <c r="FO484" s="358"/>
      <c r="FP484" s="358"/>
      <c r="FQ484" s="358"/>
      <c r="FR484" s="358"/>
      <c r="FS484" s="358"/>
      <c r="FT484" s="358"/>
      <c r="FU484" s="358"/>
      <c r="FV484" s="358"/>
      <c r="FW484" s="358"/>
      <c r="FX484" s="358"/>
      <c r="FY484" s="358"/>
      <c r="FZ484" s="358"/>
      <c r="GA484" s="358"/>
      <c r="GB484" s="358"/>
      <c r="GC484" s="358"/>
      <c r="GD484" s="358"/>
      <c r="GE484" s="358"/>
      <c r="GF484" s="358"/>
      <c r="GG484" s="358"/>
      <c r="GH484" s="358"/>
      <c r="GI484" s="358"/>
      <c r="GJ484" s="358"/>
      <c r="GK484" s="358"/>
      <c r="GL484" s="358"/>
      <c r="GM484" s="358"/>
      <c r="GN484" s="358"/>
      <c r="GO484" s="358"/>
      <c r="GP484" s="358"/>
      <c r="GQ484" s="358"/>
      <c r="GR484" s="358"/>
      <c r="GS484" s="358"/>
      <c r="GT484" s="358"/>
      <c r="GU484" s="358"/>
      <c r="GV484" s="358"/>
      <c r="GW484" s="358"/>
      <c r="GX484" s="358"/>
      <c r="GY484" s="358"/>
      <c r="GZ484" s="358"/>
      <c r="HA484" s="358"/>
      <c r="HB484" s="358"/>
      <c r="HC484" s="358"/>
      <c r="HD484" s="358"/>
      <c r="HE484" s="358"/>
      <c r="HF484" s="358"/>
      <c r="HG484" s="358"/>
      <c r="HH484" s="358"/>
      <c r="HI484" s="358"/>
      <c r="HJ484" s="358"/>
      <c r="HK484" s="358"/>
      <c r="HL484" s="358"/>
      <c r="HM484" s="358"/>
      <c r="HN484" s="358"/>
      <c r="HO484" s="358"/>
      <c r="HP484" s="358"/>
      <c r="HQ484" s="358"/>
      <c r="HR484" s="358"/>
      <c r="HS484" s="358"/>
      <c r="HT484" s="358"/>
      <c r="HU484" s="358"/>
      <c r="HV484" s="358"/>
      <c r="HW484" s="358"/>
      <c r="HX484" s="358"/>
    </row>
    <row r="485" spans="1:232" s="5" customFormat="1" ht="20.100000000000001" customHeight="1">
      <c r="A485" s="503">
        <f t="shared" ref="A485:B491" si="3">IF(A383&lt;&gt;0,A383,"")</f>
        <v>1</v>
      </c>
      <c r="B485" s="1601" t="str">
        <f t="shared" si="3"/>
        <v>Kết quả nén mẫu bê tông R28</v>
      </c>
      <c r="C485" s="1601"/>
      <c r="D485" s="1601"/>
      <c r="E485" s="1601"/>
      <c r="F485" s="1598" t="str">
        <f t="shared" ref="F485:F491" si="4">IF(F383&lt;&gt;0,F383,"")</f>
        <v>Theo dõi nén, kết quả TN</v>
      </c>
      <c r="G485" s="1598"/>
      <c r="H485" s="1598"/>
      <c r="I485" s="562" t="str">
        <f t="shared" ref="I485:I491" si="5">IF(I383&lt;&gt;0,I383,"")</f>
        <v>x</v>
      </c>
      <c r="J485" s="506"/>
      <c r="O485" s="406"/>
      <c r="P485" s="406"/>
      <c r="Q485" s="406"/>
      <c r="R485" s="406"/>
      <c r="S485" s="406"/>
      <c r="T485" s="406"/>
      <c r="U485" s="358"/>
      <c r="V485" s="358"/>
      <c r="W485" s="358"/>
      <c r="X485" s="358"/>
      <c r="Y485" s="358"/>
      <c r="Z485" s="358"/>
      <c r="AA485" s="358"/>
      <c r="AB485" s="358"/>
      <c r="AC485" s="358"/>
      <c r="AD485" s="358"/>
      <c r="AE485" s="358"/>
      <c r="AF485" s="358"/>
      <c r="AG485" s="358"/>
      <c r="AH485" s="358"/>
      <c r="AI485" s="358"/>
      <c r="AJ485" s="358"/>
      <c r="AK485" s="358"/>
      <c r="AL485" s="358"/>
      <c r="AM485" s="358"/>
      <c r="AN485" s="358"/>
      <c r="AO485" s="358"/>
      <c r="AP485" s="358"/>
      <c r="AQ485" s="358"/>
      <c r="AR485" s="358"/>
      <c r="AS485" s="358"/>
      <c r="AT485" s="358"/>
      <c r="AU485" s="358"/>
      <c r="AV485" s="358"/>
      <c r="AW485" s="358"/>
      <c r="AX485" s="358"/>
      <c r="AY485" s="358"/>
      <c r="AZ485" s="358"/>
      <c r="BA485" s="358"/>
      <c r="BB485" s="358"/>
      <c r="BC485" s="358"/>
      <c r="BD485" s="358"/>
      <c r="BE485" s="358"/>
      <c r="BF485" s="358"/>
      <c r="BG485" s="358"/>
      <c r="BH485" s="358"/>
      <c r="BI485" s="358"/>
      <c r="BJ485" s="358"/>
      <c r="BK485" s="358"/>
      <c r="BL485" s="358"/>
      <c r="BM485" s="358"/>
      <c r="BN485" s="358"/>
      <c r="BO485" s="358"/>
      <c r="BP485" s="358"/>
      <c r="BQ485" s="358"/>
      <c r="BR485" s="358"/>
      <c r="BS485" s="358"/>
      <c r="BT485" s="358"/>
      <c r="BU485" s="358"/>
      <c r="BV485" s="358"/>
      <c r="BW485" s="358"/>
      <c r="BX485" s="358"/>
      <c r="BY485" s="358"/>
      <c r="BZ485" s="358"/>
      <c r="CA485" s="358"/>
      <c r="CB485" s="358"/>
      <c r="CC485" s="358"/>
      <c r="CD485" s="358"/>
      <c r="CE485" s="358"/>
      <c r="CF485" s="358"/>
      <c r="CG485" s="358"/>
      <c r="CH485" s="358"/>
      <c r="CI485" s="358"/>
      <c r="CJ485" s="358"/>
      <c r="CK485" s="358"/>
      <c r="CL485" s="358"/>
      <c r="CM485" s="358"/>
      <c r="CN485" s="358"/>
      <c r="CO485" s="358"/>
      <c r="CP485" s="358"/>
      <c r="CQ485" s="358"/>
      <c r="CR485" s="358"/>
      <c r="CS485" s="358"/>
      <c r="CT485" s="358"/>
      <c r="CU485" s="358"/>
      <c r="CV485" s="358"/>
      <c r="CW485" s="358"/>
      <c r="CX485" s="358"/>
      <c r="CY485" s="358"/>
      <c r="CZ485" s="358"/>
      <c r="DA485" s="358"/>
      <c r="DB485" s="358"/>
      <c r="DC485" s="358"/>
      <c r="DD485" s="358"/>
      <c r="DE485" s="358"/>
      <c r="DF485" s="358"/>
      <c r="DG485" s="358"/>
      <c r="DH485" s="358"/>
      <c r="DI485" s="358"/>
      <c r="DJ485" s="358"/>
      <c r="DK485" s="358"/>
      <c r="DL485" s="358"/>
      <c r="DM485" s="358"/>
      <c r="DN485" s="358"/>
      <c r="DO485" s="358"/>
      <c r="DP485" s="358"/>
      <c r="DQ485" s="358"/>
      <c r="DR485" s="358"/>
      <c r="DS485" s="358"/>
      <c r="DT485" s="358"/>
      <c r="DU485" s="358"/>
      <c r="DV485" s="358"/>
      <c r="DW485" s="358"/>
      <c r="DX485" s="358"/>
      <c r="DY485" s="358"/>
      <c r="DZ485" s="358"/>
      <c r="EA485" s="358"/>
      <c r="EB485" s="358"/>
      <c r="EC485" s="358"/>
      <c r="ED485" s="358"/>
      <c r="EE485" s="358"/>
      <c r="EF485" s="358"/>
      <c r="EG485" s="358"/>
      <c r="EH485" s="358"/>
      <c r="EI485" s="358"/>
      <c r="EJ485" s="358"/>
      <c r="EK485" s="358"/>
      <c r="EL485" s="358"/>
      <c r="EM485" s="358"/>
      <c r="EN485" s="358"/>
      <c r="EO485" s="358"/>
      <c r="EP485" s="358"/>
      <c r="EQ485" s="358"/>
      <c r="ER485" s="358"/>
      <c r="ES485" s="358"/>
      <c r="ET485" s="358"/>
      <c r="EU485" s="358"/>
      <c r="EV485" s="358"/>
      <c r="EW485" s="358"/>
      <c r="EX485" s="358"/>
      <c r="EY485" s="358"/>
      <c r="EZ485" s="358"/>
      <c r="FA485" s="358"/>
      <c r="FB485" s="358"/>
      <c r="FC485" s="358"/>
      <c r="FD485" s="358"/>
      <c r="FE485" s="358"/>
      <c r="FF485" s="358"/>
      <c r="FG485" s="358"/>
      <c r="FH485" s="358"/>
      <c r="FI485" s="358"/>
      <c r="FJ485" s="358"/>
      <c r="FK485" s="358"/>
      <c r="FL485" s="358"/>
      <c r="FM485" s="358"/>
      <c r="FN485" s="358"/>
      <c r="FO485" s="358"/>
      <c r="FP485" s="358"/>
      <c r="FQ485" s="358"/>
      <c r="FR485" s="358"/>
      <c r="FS485" s="358"/>
      <c r="FT485" s="358"/>
      <c r="FU485" s="358"/>
      <c r="FV485" s="358"/>
      <c r="FW485" s="358"/>
      <c r="FX485" s="358"/>
      <c r="FY485" s="358"/>
      <c r="FZ485" s="358"/>
      <c r="GA485" s="358"/>
      <c r="GB485" s="358"/>
      <c r="GC485" s="358"/>
      <c r="GD485" s="358"/>
      <c r="GE485" s="358"/>
      <c r="GF485" s="358"/>
      <c r="GG485" s="358"/>
      <c r="GH485" s="358"/>
      <c r="GI485" s="358"/>
      <c r="GJ485" s="358"/>
      <c r="GK485" s="358"/>
      <c r="GL485" s="358"/>
      <c r="GM485" s="358"/>
      <c r="GN485" s="358"/>
      <c r="GO485" s="358"/>
      <c r="GP485" s="358"/>
      <c r="GQ485" s="358"/>
      <c r="GR485" s="358"/>
      <c r="GS485" s="358"/>
      <c r="GT485" s="358"/>
      <c r="GU485" s="358"/>
      <c r="GV485" s="358"/>
      <c r="GW485" s="358"/>
      <c r="GX485" s="358"/>
      <c r="GY485" s="358"/>
      <c r="GZ485" s="358"/>
      <c r="HA485" s="358"/>
      <c r="HB485" s="358"/>
      <c r="HC485" s="358"/>
      <c r="HD485" s="358"/>
      <c r="HE485" s="358"/>
      <c r="HF485" s="358"/>
      <c r="HG485" s="358"/>
      <c r="HH485" s="358"/>
      <c r="HI485" s="358"/>
      <c r="HJ485" s="358"/>
      <c r="HK485" s="358"/>
      <c r="HL485" s="358"/>
      <c r="HM485" s="358"/>
      <c r="HN485" s="358"/>
      <c r="HO485" s="358"/>
      <c r="HP485" s="358"/>
      <c r="HQ485" s="358"/>
      <c r="HR485" s="358"/>
      <c r="HS485" s="358"/>
      <c r="HT485" s="358"/>
      <c r="HU485" s="358"/>
      <c r="HV485" s="358"/>
      <c r="HW485" s="358"/>
      <c r="HX485" s="358"/>
    </row>
    <row r="486" spans="1:232" s="5" customFormat="1" ht="20.100000000000001" customHeight="1">
      <c r="A486" s="503">
        <f t="shared" si="3"/>
        <v>2</v>
      </c>
      <c r="B486" s="1601" t="str">
        <f t="shared" si="3"/>
        <v>Phiếu theo dõi đổ bê tông</v>
      </c>
      <c r="C486" s="1601"/>
      <c r="D486" s="1601"/>
      <c r="E486" s="1601"/>
      <c r="F486" s="1598" t="str">
        <f t="shared" si="4"/>
        <v>Theo dõi, ghi chép tại CT</v>
      </c>
      <c r="G486" s="1598"/>
      <c r="H486" s="1598"/>
      <c r="I486" s="562" t="str">
        <f t="shared" si="5"/>
        <v>x</v>
      </c>
      <c r="J486" s="506"/>
      <c r="O486" s="406"/>
      <c r="P486" s="406"/>
      <c r="Q486" s="406"/>
      <c r="R486" s="406"/>
      <c r="S486" s="406"/>
      <c r="T486" s="406"/>
      <c r="U486" s="358"/>
      <c r="V486" s="358"/>
      <c r="W486" s="358"/>
      <c r="X486" s="358"/>
      <c r="Y486" s="358"/>
      <c r="Z486" s="358"/>
      <c r="AA486" s="358"/>
      <c r="AB486" s="358"/>
      <c r="AC486" s="358"/>
      <c r="AD486" s="358"/>
      <c r="AE486" s="358"/>
      <c r="AF486" s="358"/>
      <c r="AG486" s="358"/>
      <c r="AH486" s="358"/>
      <c r="AI486" s="358"/>
      <c r="AJ486" s="358"/>
      <c r="AK486" s="358"/>
      <c r="AL486" s="358"/>
      <c r="AM486" s="358"/>
      <c r="AN486" s="358"/>
      <c r="AO486" s="358"/>
      <c r="AP486" s="358"/>
      <c r="AQ486" s="358"/>
      <c r="AR486" s="358"/>
      <c r="AS486" s="358"/>
      <c r="AT486" s="358"/>
      <c r="AU486" s="358"/>
      <c r="AV486" s="358"/>
      <c r="AW486" s="358"/>
      <c r="AX486" s="358"/>
      <c r="AY486" s="358"/>
      <c r="AZ486" s="358"/>
      <c r="BA486" s="358"/>
      <c r="BB486" s="358"/>
      <c r="BC486" s="358"/>
      <c r="BD486" s="358"/>
      <c r="BE486" s="358"/>
      <c r="BF486" s="358"/>
      <c r="BG486" s="358"/>
      <c r="BH486" s="358"/>
      <c r="BI486" s="358"/>
      <c r="BJ486" s="358"/>
      <c r="BK486" s="358"/>
      <c r="BL486" s="358"/>
      <c r="BM486" s="358"/>
      <c r="BN486" s="358"/>
      <c r="BO486" s="358"/>
      <c r="BP486" s="358"/>
      <c r="BQ486" s="358"/>
      <c r="BR486" s="358"/>
      <c r="BS486" s="358"/>
      <c r="BT486" s="358"/>
      <c r="BU486" s="358"/>
      <c r="BV486" s="358"/>
      <c r="BW486" s="358"/>
      <c r="BX486" s="358"/>
      <c r="BY486" s="358"/>
      <c r="BZ486" s="358"/>
      <c r="CA486" s="358"/>
      <c r="CB486" s="358"/>
      <c r="CC486" s="358"/>
      <c r="CD486" s="358"/>
      <c r="CE486" s="358"/>
      <c r="CF486" s="358"/>
      <c r="CG486" s="358"/>
      <c r="CH486" s="358"/>
      <c r="CI486" s="358"/>
      <c r="CJ486" s="358"/>
      <c r="CK486" s="358"/>
      <c r="CL486" s="358"/>
      <c r="CM486" s="358"/>
      <c r="CN486" s="358"/>
      <c r="CO486" s="358"/>
      <c r="CP486" s="358"/>
      <c r="CQ486" s="358"/>
      <c r="CR486" s="358"/>
      <c r="CS486" s="358"/>
      <c r="CT486" s="358"/>
      <c r="CU486" s="358"/>
      <c r="CV486" s="358"/>
      <c r="CW486" s="358"/>
      <c r="CX486" s="358"/>
      <c r="CY486" s="358"/>
      <c r="CZ486" s="358"/>
      <c r="DA486" s="358"/>
      <c r="DB486" s="358"/>
      <c r="DC486" s="358"/>
      <c r="DD486" s="358"/>
      <c r="DE486" s="358"/>
      <c r="DF486" s="358"/>
      <c r="DG486" s="358"/>
      <c r="DH486" s="358"/>
      <c r="DI486" s="358"/>
      <c r="DJ486" s="358"/>
      <c r="DK486" s="358"/>
      <c r="DL486" s="358"/>
      <c r="DM486" s="358"/>
      <c r="DN486" s="358"/>
      <c r="DO486" s="358"/>
      <c r="DP486" s="358"/>
      <c r="DQ486" s="358"/>
      <c r="DR486" s="358"/>
      <c r="DS486" s="358"/>
      <c r="DT486" s="358"/>
      <c r="DU486" s="358"/>
      <c r="DV486" s="358"/>
      <c r="DW486" s="358"/>
      <c r="DX486" s="358"/>
      <c r="DY486" s="358"/>
      <c r="DZ486" s="358"/>
      <c r="EA486" s="358"/>
      <c r="EB486" s="358"/>
      <c r="EC486" s="358"/>
      <c r="ED486" s="358"/>
      <c r="EE486" s="358"/>
      <c r="EF486" s="358"/>
      <c r="EG486" s="358"/>
      <c r="EH486" s="358"/>
      <c r="EI486" s="358"/>
      <c r="EJ486" s="358"/>
      <c r="EK486" s="358"/>
      <c r="EL486" s="358"/>
      <c r="EM486" s="358"/>
      <c r="EN486" s="358"/>
      <c r="EO486" s="358"/>
      <c r="EP486" s="358"/>
      <c r="EQ486" s="358"/>
      <c r="ER486" s="358"/>
      <c r="ES486" s="358"/>
      <c r="ET486" s="358"/>
      <c r="EU486" s="358"/>
      <c r="EV486" s="358"/>
      <c r="EW486" s="358"/>
      <c r="EX486" s="358"/>
      <c r="EY486" s="358"/>
      <c r="EZ486" s="358"/>
      <c r="FA486" s="358"/>
      <c r="FB486" s="358"/>
      <c r="FC486" s="358"/>
      <c r="FD486" s="358"/>
      <c r="FE486" s="358"/>
      <c r="FF486" s="358"/>
      <c r="FG486" s="358"/>
      <c r="FH486" s="358"/>
      <c r="FI486" s="358"/>
      <c r="FJ486" s="358"/>
      <c r="FK486" s="358"/>
      <c r="FL486" s="358"/>
      <c r="FM486" s="358"/>
      <c r="FN486" s="358"/>
      <c r="FO486" s="358"/>
      <c r="FP486" s="358"/>
      <c r="FQ486" s="358"/>
      <c r="FR486" s="358"/>
      <c r="FS486" s="358"/>
      <c r="FT486" s="358"/>
      <c r="FU486" s="358"/>
      <c r="FV486" s="358"/>
      <c r="FW486" s="358"/>
      <c r="FX486" s="358"/>
      <c r="FY486" s="358"/>
      <c r="FZ486" s="358"/>
      <c r="GA486" s="358"/>
      <c r="GB486" s="358"/>
      <c r="GC486" s="358"/>
      <c r="GD486" s="358"/>
      <c r="GE486" s="358"/>
      <c r="GF486" s="358"/>
      <c r="GG486" s="358"/>
      <c r="GH486" s="358"/>
      <c r="GI486" s="358"/>
      <c r="GJ486" s="358"/>
      <c r="GK486" s="358"/>
      <c r="GL486" s="358"/>
      <c r="GM486" s="358"/>
      <c r="GN486" s="358"/>
      <c r="GO486" s="358"/>
      <c r="GP486" s="358"/>
      <c r="GQ486" s="358"/>
      <c r="GR486" s="358"/>
      <c r="GS486" s="358"/>
      <c r="GT486" s="358"/>
      <c r="GU486" s="358"/>
      <c r="GV486" s="358"/>
      <c r="GW486" s="358"/>
      <c r="GX486" s="358"/>
      <c r="GY486" s="358"/>
      <c r="GZ486" s="358"/>
      <c r="HA486" s="358"/>
      <c r="HB486" s="358"/>
      <c r="HC486" s="358"/>
      <c r="HD486" s="358"/>
      <c r="HE486" s="358"/>
      <c r="HF486" s="358"/>
      <c r="HG486" s="358"/>
      <c r="HH486" s="358"/>
      <c r="HI486" s="358"/>
      <c r="HJ486" s="358"/>
      <c r="HK486" s="358"/>
      <c r="HL486" s="358"/>
      <c r="HM486" s="358"/>
      <c r="HN486" s="358"/>
      <c r="HO486" s="358"/>
      <c r="HP486" s="358"/>
      <c r="HQ486" s="358"/>
      <c r="HR486" s="358"/>
      <c r="HS486" s="358"/>
      <c r="HT486" s="358"/>
      <c r="HU486" s="358"/>
      <c r="HV486" s="358"/>
      <c r="HW486" s="358"/>
      <c r="HX486" s="358"/>
    </row>
    <row r="487" spans="1:232" s="5" customFormat="1" ht="20.100000000000001" customHeight="1">
      <c r="A487" s="503">
        <f t="shared" si="3"/>
        <v>3</v>
      </c>
      <c r="B487" s="1601" t="str">
        <f t="shared" si="3"/>
        <v>Biểu đồ dâng bê tông</v>
      </c>
      <c r="C487" s="1601"/>
      <c r="D487" s="1601"/>
      <c r="E487" s="1601"/>
      <c r="F487" s="1598" t="str">
        <f t="shared" si="4"/>
        <v>Tính toán, kiểm tra</v>
      </c>
      <c r="G487" s="1598"/>
      <c r="H487" s="1598"/>
      <c r="I487" s="562" t="str">
        <f t="shared" si="5"/>
        <v>x</v>
      </c>
      <c r="J487" s="506"/>
      <c r="O487" s="406"/>
      <c r="P487" s="406"/>
      <c r="Q487" s="406"/>
      <c r="R487" s="406"/>
      <c r="S487" s="406"/>
      <c r="T487" s="405"/>
      <c r="U487" s="358"/>
      <c r="V487" s="358"/>
      <c r="W487" s="358"/>
      <c r="X487" s="358"/>
      <c r="Y487" s="358"/>
      <c r="Z487" s="358"/>
      <c r="AA487" s="358"/>
      <c r="AB487" s="358"/>
      <c r="AC487" s="358"/>
      <c r="AD487" s="358"/>
      <c r="AE487" s="358"/>
      <c r="AF487" s="358"/>
      <c r="AG487" s="358"/>
      <c r="AH487" s="358"/>
      <c r="AI487" s="358"/>
      <c r="AJ487" s="358"/>
      <c r="AK487" s="358"/>
      <c r="AL487" s="358"/>
      <c r="AM487" s="358"/>
      <c r="AN487" s="358"/>
      <c r="AO487" s="358"/>
      <c r="AP487" s="358"/>
      <c r="AQ487" s="358"/>
      <c r="AR487" s="358"/>
      <c r="AS487" s="358"/>
      <c r="AT487" s="358"/>
      <c r="AU487" s="358"/>
      <c r="AV487" s="358"/>
      <c r="AW487" s="358"/>
      <c r="AX487" s="358"/>
      <c r="AY487" s="358"/>
      <c r="AZ487" s="358"/>
      <c r="BA487" s="358"/>
      <c r="BB487" s="358"/>
      <c r="BC487" s="358"/>
      <c r="BD487" s="358"/>
      <c r="BE487" s="358"/>
      <c r="BF487" s="358"/>
      <c r="BG487" s="358"/>
      <c r="BH487" s="358"/>
      <c r="BI487" s="358"/>
      <c r="BJ487" s="358"/>
      <c r="BK487" s="358"/>
      <c r="BL487" s="358"/>
      <c r="BM487" s="358"/>
      <c r="BN487" s="358"/>
      <c r="BO487" s="358"/>
      <c r="BP487" s="358"/>
      <c r="BQ487" s="358"/>
      <c r="BR487" s="358"/>
      <c r="BS487" s="358"/>
      <c r="BT487" s="358"/>
      <c r="BU487" s="358"/>
      <c r="BV487" s="358"/>
      <c r="BW487" s="358"/>
      <c r="BX487" s="358"/>
      <c r="BY487" s="358"/>
      <c r="BZ487" s="358"/>
      <c r="CA487" s="358"/>
      <c r="CB487" s="358"/>
      <c r="CC487" s="358"/>
      <c r="CD487" s="358"/>
      <c r="CE487" s="358"/>
      <c r="CF487" s="358"/>
      <c r="CG487" s="358"/>
      <c r="CH487" s="358"/>
      <c r="CI487" s="358"/>
      <c r="CJ487" s="358"/>
      <c r="CK487" s="358"/>
      <c r="CL487" s="358"/>
      <c r="CM487" s="358"/>
      <c r="CN487" s="358"/>
      <c r="CO487" s="358"/>
      <c r="CP487" s="358"/>
      <c r="CQ487" s="358"/>
      <c r="CR487" s="358"/>
      <c r="CS487" s="358"/>
      <c r="CT487" s="358"/>
      <c r="CU487" s="358"/>
      <c r="CV487" s="358"/>
      <c r="CW487" s="358"/>
      <c r="CX487" s="358"/>
      <c r="CY487" s="358"/>
      <c r="CZ487" s="358"/>
      <c r="DA487" s="358"/>
      <c r="DB487" s="358"/>
      <c r="DC487" s="358"/>
      <c r="DD487" s="358"/>
      <c r="DE487" s="358"/>
      <c r="DF487" s="358"/>
      <c r="DG487" s="358"/>
      <c r="DH487" s="358"/>
      <c r="DI487" s="358"/>
      <c r="DJ487" s="358"/>
      <c r="DK487" s="358"/>
      <c r="DL487" s="358"/>
      <c r="DM487" s="358"/>
      <c r="DN487" s="358"/>
      <c r="DO487" s="358"/>
      <c r="DP487" s="358"/>
      <c r="DQ487" s="358"/>
      <c r="DR487" s="358"/>
      <c r="DS487" s="358"/>
      <c r="DT487" s="358"/>
      <c r="DU487" s="358"/>
      <c r="DV487" s="358"/>
      <c r="DW487" s="358"/>
      <c r="DX487" s="358"/>
      <c r="DY487" s="358"/>
      <c r="DZ487" s="358"/>
      <c r="EA487" s="358"/>
      <c r="EB487" s="358"/>
      <c r="EC487" s="358"/>
      <c r="ED487" s="358"/>
      <c r="EE487" s="358"/>
      <c r="EF487" s="358"/>
      <c r="EG487" s="358"/>
      <c r="EH487" s="358"/>
      <c r="EI487" s="358"/>
      <c r="EJ487" s="358"/>
      <c r="EK487" s="358"/>
      <c r="EL487" s="358"/>
      <c r="EM487" s="358"/>
      <c r="EN487" s="358"/>
      <c r="EO487" s="358"/>
      <c r="EP487" s="358"/>
      <c r="EQ487" s="358"/>
      <c r="ER487" s="358"/>
      <c r="ES487" s="358"/>
      <c r="ET487" s="358"/>
      <c r="EU487" s="358"/>
      <c r="EV487" s="358"/>
      <c r="EW487" s="358"/>
      <c r="EX487" s="358"/>
      <c r="EY487" s="358"/>
      <c r="EZ487" s="358"/>
      <c r="FA487" s="358"/>
      <c r="FB487" s="358"/>
      <c r="FC487" s="358"/>
      <c r="FD487" s="358"/>
      <c r="FE487" s="358"/>
      <c r="FF487" s="358"/>
      <c r="FG487" s="358"/>
      <c r="FH487" s="358"/>
      <c r="FI487" s="358"/>
      <c r="FJ487" s="358"/>
      <c r="FK487" s="358"/>
      <c r="FL487" s="358"/>
      <c r="FM487" s="358"/>
      <c r="FN487" s="358"/>
      <c r="FO487" s="358"/>
      <c r="FP487" s="358"/>
      <c r="FQ487" s="358"/>
      <c r="FR487" s="358"/>
      <c r="FS487" s="358"/>
      <c r="FT487" s="358"/>
      <c r="FU487" s="358"/>
      <c r="FV487" s="358"/>
      <c r="FW487" s="358"/>
      <c r="FX487" s="358"/>
      <c r="FY487" s="358"/>
      <c r="FZ487" s="358"/>
      <c r="GA487" s="358"/>
      <c r="GB487" s="358"/>
      <c r="GC487" s="358"/>
      <c r="GD487" s="358"/>
      <c r="GE487" s="358"/>
      <c r="GF487" s="358"/>
      <c r="GG487" s="358"/>
      <c r="GH487" s="358"/>
      <c r="GI487" s="358"/>
      <c r="GJ487" s="358"/>
      <c r="GK487" s="358"/>
      <c r="GL487" s="358"/>
      <c r="GM487" s="358"/>
      <c r="GN487" s="358"/>
      <c r="GO487" s="358"/>
      <c r="GP487" s="358"/>
      <c r="GQ487" s="358"/>
      <c r="GR487" s="358"/>
      <c r="GS487" s="358"/>
      <c r="GT487" s="358"/>
      <c r="GU487" s="358"/>
      <c r="GV487" s="358"/>
      <c r="GW487" s="358"/>
      <c r="GX487" s="358"/>
      <c r="GY487" s="358"/>
      <c r="GZ487" s="358"/>
      <c r="HA487" s="358"/>
      <c r="HB487" s="358"/>
      <c r="HC487" s="358"/>
      <c r="HD487" s="358"/>
      <c r="HE487" s="358"/>
      <c r="HF487" s="358"/>
      <c r="HG487" s="358"/>
      <c r="HH487" s="358"/>
      <c r="HI487" s="358"/>
      <c r="HJ487" s="358"/>
      <c r="HK487" s="358"/>
      <c r="HL487" s="358"/>
      <c r="HM487" s="358"/>
      <c r="HN487" s="358"/>
      <c r="HO487" s="358"/>
      <c r="HP487" s="358"/>
      <c r="HQ487" s="358"/>
      <c r="HR487" s="358"/>
      <c r="HS487" s="358"/>
      <c r="HT487" s="358"/>
      <c r="HU487" s="358"/>
      <c r="HV487" s="358"/>
      <c r="HW487" s="358"/>
      <c r="HX487" s="358"/>
    </row>
    <row r="488" spans="1:232" s="5" customFormat="1" ht="20.100000000000001" customHeight="1">
      <c r="A488" s="503" t="str">
        <f t="shared" si="3"/>
        <v/>
      </c>
      <c r="B488" s="1597" t="str">
        <f t="shared" si="3"/>
        <v/>
      </c>
      <c r="C488" s="1597"/>
      <c r="D488" s="1597"/>
      <c r="E488" s="1597"/>
      <c r="F488" s="1598" t="str">
        <f t="shared" si="4"/>
        <v/>
      </c>
      <c r="G488" s="1598"/>
      <c r="H488" s="1598"/>
      <c r="I488" s="562" t="str">
        <f t="shared" si="5"/>
        <v/>
      </c>
      <c r="J488" s="506"/>
      <c r="O488" s="405"/>
      <c r="P488" s="405"/>
      <c r="Q488" s="405"/>
      <c r="R488" s="405"/>
      <c r="S488" s="405"/>
      <c r="T488" s="405"/>
      <c r="U488" s="358"/>
      <c r="V488" s="358"/>
      <c r="W488" s="358"/>
      <c r="X488" s="358"/>
      <c r="Y488" s="358"/>
      <c r="Z488" s="358"/>
      <c r="AA488" s="358"/>
      <c r="AB488" s="358"/>
      <c r="AC488" s="358"/>
      <c r="AD488" s="358"/>
      <c r="AE488" s="358"/>
      <c r="AF488" s="358"/>
      <c r="AG488" s="358"/>
      <c r="AH488" s="358"/>
      <c r="AI488" s="358"/>
      <c r="AJ488" s="358"/>
      <c r="AK488" s="358"/>
      <c r="AL488" s="358"/>
      <c r="AM488" s="358"/>
      <c r="AN488" s="358"/>
      <c r="AO488" s="358"/>
      <c r="AP488" s="358"/>
      <c r="AQ488" s="358"/>
      <c r="AR488" s="358"/>
      <c r="AS488" s="358"/>
      <c r="AT488" s="358"/>
      <c r="AU488" s="358"/>
      <c r="AV488" s="358"/>
      <c r="AW488" s="358"/>
      <c r="AX488" s="358"/>
      <c r="AY488" s="358"/>
      <c r="AZ488" s="358"/>
      <c r="BA488" s="358"/>
      <c r="BB488" s="358"/>
      <c r="BC488" s="358"/>
      <c r="BD488" s="358"/>
      <c r="BE488" s="358"/>
      <c r="BF488" s="358"/>
      <c r="BG488" s="358"/>
      <c r="BH488" s="358"/>
      <c r="BI488" s="358"/>
      <c r="BJ488" s="358"/>
      <c r="BK488" s="358"/>
      <c r="BL488" s="358"/>
      <c r="BM488" s="358"/>
      <c r="BN488" s="358"/>
      <c r="BO488" s="358"/>
      <c r="BP488" s="358"/>
      <c r="BQ488" s="358"/>
      <c r="BR488" s="358"/>
      <c r="BS488" s="358"/>
      <c r="BT488" s="358"/>
      <c r="BU488" s="358"/>
      <c r="BV488" s="358"/>
      <c r="BW488" s="358"/>
      <c r="BX488" s="358"/>
      <c r="BY488" s="358"/>
      <c r="BZ488" s="358"/>
      <c r="CA488" s="358"/>
      <c r="CB488" s="358"/>
      <c r="CC488" s="358"/>
      <c r="CD488" s="358"/>
      <c r="CE488" s="358"/>
      <c r="CF488" s="358"/>
      <c r="CG488" s="358"/>
      <c r="CH488" s="358"/>
      <c r="CI488" s="358"/>
      <c r="CJ488" s="358"/>
      <c r="CK488" s="358"/>
      <c r="CL488" s="358"/>
      <c r="CM488" s="358"/>
      <c r="CN488" s="358"/>
      <c r="CO488" s="358"/>
      <c r="CP488" s="358"/>
      <c r="CQ488" s="358"/>
      <c r="CR488" s="358"/>
      <c r="CS488" s="358"/>
      <c r="CT488" s="358"/>
      <c r="CU488" s="358"/>
      <c r="CV488" s="358"/>
      <c r="CW488" s="358"/>
      <c r="CX488" s="358"/>
      <c r="CY488" s="358"/>
      <c r="CZ488" s="358"/>
      <c r="DA488" s="358"/>
      <c r="DB488" s="358"/>
      <c r="DC488" s="358"/>
      <c r="DD488" s="358"/>
      <c r="DE488" s="358"/>
      <c r="DF488" s="358"/>
      <c r="DG488" s="358"/>
      <c r="DH488" s="358"/>
      <c r="DI488" s="358"/>
      <c r="DJ488" s="358"/>
      <c r="DK488" s="358"/>
      <c r="DL488" s="358"/>
      <c r="DM488" s="358"/>
      <c r="DN488" s="358"/>
      <c r="DO488" s="358"/>
      <c r="DP488" s="358"/>
      <c r="DQ488" s="358"/>
      <c r="DR488" s="358"/>
      <c r="DS488" s="358"/>
      <c r="DT488" s="358"/>
      <c r="DU488" s="358"/>
      <c r="DV488" s="358"/>
      <c r="DW488" s="358"/>
      <c r="DX488" s="358"/>
      <c r="DY488" s="358"/>
      <c r="DZ488" s="358"/>
      <c r="EA488" s="358"/>
      <c r="EB488" s="358"/>
      <c r="EC488" s="358"/>
      <c r="ED488" s="358"/>
      <c r="EE488" s="358"/>
      <c r="EF488" s="358"/>
      <c r="EG488" s="358"/>
      <c r="EH488" s="358"/>
      <c r="EI488" s="358"/>
      <c r="EJ488" s="358"/>
      <c r="EK488" s="358"/>
      <c r="EL488" s="358"/>
      <c r="EM488" s="358"/>
      <c r="EN488" s="358"/>
      <c r="EO488" s="358"/>
      <c r="EP488" s="358"/>
      <c r="EQ488" s="358"/>
      <c r="ER488" s="358"/>
      <c r="ES488" s="358"/>
      <c r="ET488" s="358"/>
      <c r="EU488" s="358"/>
      <c r="EV488" s="358"/>
      <c r="EW488" s="358"/>
      <c r="EX488" s="358"/>
      <c r="EY488" s="358"/>
      <c r="EZ488" s="358"/>
      <c r="FA488" s="358"/>
      <c r="FB488" s="358"/>
      <c r="FC488" s="358"/>
      <c r="FD488" s="358"/>
      <c r="FE488" s="358"/>
      <c r="FF488" s="358"/>
      <c r="FG488" s="358"/>
      <c r="FH488" s="358"/>
      <c r="FI488" s="358"/>
      <c r="FJ488" s="358"/>
      <c r="FK488" s="358"/>
      <c r="FL488" s="358"/>
      <c r="FM488" s="358"/>
      <c r="FN488" s="358"/>
      <c r="FO488" s="358"/>
      <c r="FP488" s="358"/>
      <c r="FQ488" s="358"/>
      <c r="FR488" s="358"/>
      <c r="FS488" s="358"/>
      <c r="FT488" s="358"/>
      <c r="FU488" s="358"/>
      <c r="FV488" s="358"/>
      <c r="FW488" s="358"/>
      <c r="FX488" s="358"/>
      <c r="FY488" s="358"/>
      <c r="FZ488" s="358"/>
      <c r="GA488" s="358"/>
      <c r="GB488" s="358"/>
      <c r="GC488" s="358"/>
      <c r="GD488" s="358"/>
      <c r="GE488" s="358"/>
      <c r="GF488" s="358"/>
      <c r="GG488" s="358"/>
      <c r="GH488" s="358"/>
      <c r="GI488" s="358"/>
      <c r="GJ488" s="358"/>
      <c r="GK488" s="358"/>
      <c r="GL488" s="358"/>
      <c r="GM488" s="358"/>
      <c r="GN488" s="358"/>
      <c r="GO488" s="358"/>
      <c r="GP488" s="358"/>
      <c r="GQ488" s="358"/>
      <c r="GR488" s="358"/>
      <c r="GS488" s="358"/>
      <c r="GT488" s="358"/>
      <c r="GU488" s="358"/>
      <c r="GV488" s="358"/>
      <c r="GW488" s="358"/>
      <c r="GX488" s="358"/>
      <c r="GY488" s="358"/>
      <c r="GZ488" s="358"/>
      <c r="HA488" s="358"/>
      <c r="HB488" s="358"/>
      <c r="HC488" s="358"/>
      <c r="HD488" s="358"/>
      <c r="HE488" s="358"/>
      <c r="HF488" s="358"/>
      <c r="HG488" s="358"/>
      <c r="HH488" s="358"/>
      <c r="HI488" s="358"/>
      <c r="HJ488" s="358"/>
      <c r="HK488" s="358"/>
      <c r="HL488" s="358"/>
      <c r="HM488" s="358"/>
      <c r="HN488" s="358"/>
      <c r="HO488" s="358"/>
      <c r="HP488" s="358"/>
      <c r="HQ488" s="358"/>
      <c r="HR488" s="358"/>
      <c r="HS488" s="358"/>
      <c r="HT488" s="358"/>
      <c r="HU488" s="358"/>
      <c r="HV488" s="358"/>
      <c r="HW488" s="358"/>
      <c r="HX488" s="358"/>
    </row>
    <row r="489" spans="1:232" s="5" customFormat="1" ht="20.100000000000001" customHeight="1">
      <c r="A489" s="503" t="str">
        <f t="shared" si="3"/>
        <v/>
      </c>
      <c r="B489" s="1597" t="str">
        <f t="shared" si="3"/>
        <v/>
      </c>
      <c r="C489" s="1597"/>
      <c r="D489" s="1597"/>
      <c r="E489" s="1597"/>
      <c r="F489" s="1598" t="str">
        <f t="shared" si="4"/>
        <v/>
      </c>
      <c r="G489" s="1598"/>
      <c r="H489" s="1598"/>
      <c r="I489" s="505" t="str">
        <f t="shared" si="5"/>
        <v/>
      </c>
      <c r="J489" s="506"/>
      <c r="O489" s="405"/>
      <c r="P489" s="405"/>
      <c r="Q489" s="405"/>
      <c r="R489" s="405"/>
      <c r="S489" s="405"/>
      <c r="T489" s="405"/>
      <c r="U489" s="358"/>
      <c r="V489" s="358"/>
      <c r="W489" s="358"/>
      <c r="X489" s="358"/>
      <c r="Y489" s="358"/>
      <c r="Z489" s="358"/>
      <c r="AA489" s="358"/>
      <c r="AB489" s="358"/>
      <c r="AC489" s="358"/>
      <c r="AD489" s="358"/>
      <c r="AE489" s="358"/>
      <c r="AF489" s="358"/>
      <c r="AG489" s="358"/>
      <c r="AH489" s="358"/>
      <c r="AI489" s="358"/>
      <c r="AJ489" s="358"/>
      <c r="AK489" s="358"/>
      <c r="AL489" s="358"/>
      <c r="AM489" s="358"/>
      <c r="AN489" s="358"/>
      <c r="AO489" s="358"/>
      <c r="AP489" s="358"/>
      <c r="AQ489" s="358"/>
      <c r="AR489" s="358"/>
      <c r="AS489" s="358"/>
      <c r="AT489" s="358"/>
      <c r="AU489" s="358"/>
      <c r="AV489" s="358"/>
      <c r="AW489" s="358"/>
      <c r="AX489" s="358"/>
      <c r="AY489" s="358"/>
      <c r="AZ489" s="358"/>
      <c r="BA489" s="358"/>
      <c r="BB489" s="358"/>
      <c r="BC489" s="358"/>
      <c r="BD489" s="358"/>
      <c r="BE489" s="358"/>
      <c r="BF489" s="358"/>
      <c r="BG489" s="358"/>
      <c r="BH489" s="358"/>
      <c r="BI489" s="358"/>
      <c r="BJ489" s="358"/>
      <c r="BK489" s="358"/>
      <c r="BL489" s="358"/>
      <c r="BM489" s="358"/>
      <c r="BN489" s="358"/>
      <c r="BO489" s="358"/>
      <c r="BP489" s="358"/>
      <c r="BQ489" s="358"/>
      <c r="BR489" s="358"/>
      <c r="BS489" s="358"/>
      <c r="BT489" s="358"/>
      <c r="BU489" s="358"/>
      <c r="BV489" s="358"/>
      <c r="BW489" s="358"/>
      <c r="BX489" s="358"/>
      <c r="BY489" s="358"/>
      <c r="BZ489" s="358"/>
      <c r="CA489" s="358"/>
      <c r="CB489" s="358"/>
      <c r="CC489" s="358"/>
      <c r="CD489" s="358"/>
      <c r="CE489" s="358"/>
      <c r="CF489" s="358"/>
      <c r="CG489" s="358"/>
      <c r="CH489" s="358"/>
      <c r="CI489" s="358"/>
      <c r="CJ489" s="358"/>
      <c r="CK489" s="358"/>
      <c r="CL489" s="358"/>
      <c r="CM489" s="358"/>
      <c r="CN489" s="358"/>
      <c r="CO489" s="358"/>
      <c r="CP489" s="358"/>
      <c r="CQ489" s="358"/>
      <c r="CR489" s="358"/>
      <c r="CS489" s="358"/>
      <c r="CT489" s="358"/>
      <c r="CU489" s="358"/>
      <c r="CV489" s="358"/>
      <c r="CW489" s="358"/>
      <c r="CX489" s="358"/>
      <c r="CY489" s="358"/>
      <c r="CZ489" s="358"/>
      <c r="DA489" s="358"/>
      <c r="DB489" s="358"/>
      <c r="DC489" s="358"/>
      <c r="DD489" s="358"/>
      <c r="DE489" s="358"/>
      <c r="DF489" s="358"/>
      <c r="DG489" s="358"/>
      <c r="DH489" s="358"/>
      <c r="DI489" s="358"/>
      <c r="DJ489" s="358"/>
      <c r="DK489" s="358"/>
      <c r="DL489" s="358"/>
      <c r="DM489" s="358"/>
      <c r="DN489" s="358"/>
      <c r="DO489" s="358"/>
      <c r="DP489" s="358"/>
      <c r="DQ489" s="358"/>
      <c r="DR489" s="358"/>
      <c r="DS489" s="358"/>
      <c r="DT489" s="358"/>
      <c r="DU489" s="358"/>
      <c r="DV489" s="358"/>
      <c r="DW489" s="358"/>
      <c r="DX489" s="358"/>
      <c r="DY489" s="358"/>
      <c r="DZ489" s="358"/>
      <c r="EA489" s="358"/>
      <c r="EB489" s="358"/>
      <c r="EC489" s="358"/>
      <c r="ED489" s="358"/>
      <c r="EE489" s="358"/>
      <c r="EF489" s="358"/>
      <c r="EG489" s="358"/>
      <c r="EH489" s="358"/>
      <c r="EI489" s="358"/>
      <c r="EJ489" s="358"/>
      <c r="EK489" s="358"/>
      <c r="EL489" s="358"/>
      <c r="EM489" s="358"/>
      <c r="EN489" s="358"/>
      <c r="EO489" s="358"/>
      <c r="EP489" s="358"/>
      <c r="EQ489" s="358"/>
      <c r="ER489" s="358"/>
      <c r="ES489" s="358"/>
      <c r="ET489" s="358"/>
      <c r="EU489" s="358"/>
      <c r="EV489" s="358"/>
      <c r="EW489" s="358"/>
      <c r="EX489" s="358"/>
      <c r="EY489" s="358"/>
      <c r="EZ489" s="358"/>
      <c r="FA489" s="358"/>
      <c r="FB489" s="358"/>
      <c r="FC489" s="358"/>
      <c r="FD489" s="358"/>
      <c r="FE489" s="358"/>
      <c r="FF489" s="358"/>
      <c r="FG489" s="358"/>
      <c r="FH489" s="358"/>
      <c r="FI489" s="358"/>
      <c r="FJ489" s="358"/>
      <c r="FK489" s="358"/>
      <c r="FL489" s="358"/>
      <c r="FM489" s="358"/>
      <c r="FN489" s="358"/>
      <c r="FO489" s="358"/>
      <c r="FP489" s="358"/>
      <c r="FQ489" s="358"/>
      <c r="FR489" s="358"/>
      <c r="FS489" s="358"/>
      <c r="FT489" s="358"/>
      <c r="FU489" s="358"/>
      <c r="FV489" s="358"/>
      <c r="FW489" s="358"/>
      <c r="FX489" s="358"/>
      <c r="FY489" s="358"/>
      <c r="FZ489" s="358"/>
      <c r="GA489" s="358"/>
      <c r="GB489" s="358"/>
      <c r="GC489" s="358"/>
      <c r="GD489" s="358"/>
      <c r="GE489" s="358"/>
      <c r="GF489" s="358"/>
      <c r="GG489" s="358"/>
      <c r="GH489" s="358"/>
      <c r="GI489" s="358"/>
      <c r="GJ489" s="358"/>
      <c r="GK489" s="358"/>
      <c r="GL489" s="358"/>
      <c r="GM489" s="358"/>
      <c r="GN489" s="358"/>
      <c r="GO489" s="358"/>
      <c r="GP489" s="358"/>
      <c r="GQ489" s="358"/>
      <c r="GR489" s="358"/>
      <c r="GS489" s="358"/>
      <c r="GT489" s="358"/>
      <c r="GU489" s="358"/>
      <c r="GV489" s="358"/>
      <c r="GW489" s="358"/>
      <c r="GX489" s="358"/>
      <c r="GY489" s="358"/>
      <c r="GZ489" s="358"/>
      <c r="HA489" s="358"/>
      <c r="HB489" s="358"/>
      <c r="HC489" s="358"/>
      <c r="HD489" s="358"/>
      <c r="HE489" s="358"/>
      <c r="HF489" s="358"/>
      <c r="HG489" s="358"/>
      <c r="HH489" s="358"/>
      <c r="HI489" s="358"/>
      <c r="HJ489" s="358"/>
      <c r="HK489" s="358"/>
      <c r="HL489" s="358"/>
      <c r="HM489" s="358"/>
      <c r="HN489" s="358"/>
      <c r="HO489" s="358"/>
      <c r="HP489" s="358"/>
      <c r="HQ489" s="358"/>
      <c r="HR489" s="358"/>
      <c r="HS489" s="358"/>
      <c r="HT489" s="358"/>
      <c r="HU489" s="358"/>
      <c r="HV489" s="358"/>
      <c r="HW489" s="358"/>
      <c r="HX489" s="358"/>
    </row>
    <row r="490" spans="1:232" s="5" customFormat="1" ht="20.100000000000001" customHeight="1">
      <c r="A490" s="503" t="str">
        <f t="shared" si="3"/>
        <v/>
      </c>
      <c r="B490" s="1597" t="str">
        <f t="shared" si="3"/>
        <v/>
      </c>
      <c r="C490" s="1597"/>
      <c r="D490" s="1597"/>
      <c r="E490" s="1597"/>
      <c r="F490" s="1598" t="str">
        <f t="shared" si="4"/>
        <v/>
      </c>
      <c r="G490" s="1598"/>
      <c r="H490" s="1598"/>
      <c r="I490" s="505" t="str">
        <f t="shared" si="5"/>
        <v/>
      </c>
      <c r="J490" s="506"/>
      <c r="O490" s="405"/>
      <c r="P490" s="405"/>
      <c r="Q490" s="405"/>
      <c r="R490" s="405"/>
      <c r="S490" s="405"/>
      <c r="T490" s="405"/>
      <c r="U490" s="358"/>
      <c r="V490" s="358"/>
      <c r="W490" s="358"/>
      <c r="X490" s="358"/>
      <c r="Y490" s="358"/>
      <c r="Z490" s="358"/>
      <c r="AA490" s="358"/>
      <c r="AB490" s="358"/>
      <c r="AC490" s="358"/>
      <c r="AD490" s="358"/>
      <c r="AE490" s="358"/>
      <c r="AF490" s="358"/>
      <c r="AG490" s="358"/>
      <c r="AH490" s="358"/>
      <c r="AI490" s="358"/>
      <c r="AJ490" s="358"/>
      <c r="AK490" s="358"/>
      <c r="AL490" s="358"/>
      <c r="AM490" s="358"/>
      <c r="AN490" s="358"/>
      <c r="AO490" s="358"/>
      <c r="AP490" s="358"/>
      <c r="AQ490" s="358"/>
      <c r="AR490" s="358"/>
      <c r="AS490" s="358"/>
      <c r="AT490" s="358"/>
      <c r="AU490" s="358"/>
      <c r="AV490" s="358"/>
      <c r="AW490" s="358"/>
      <c r="AX490" s="358"/>
      <c r="AY490" s="358"/>
      <c r="AZ490" s="358"/>
      <c r="BA490" s="358"/>
      <c r="BB490" s="358"/>
      <c r="BC490" s="358"/>
      <c r="BD490" s="358"/>
      <c r="BE490" s="358"/>
      <c r="BF490" s="358"/>
      <c r="BG490" s="358"/>
      <c r="BH490" s="358"/>
      <c r="BI490" s="358"/>
      <c r="BJ490" s="358"/>
      <c r="BK490" s="358"/>
      <c r="BL490" s="358"/>
      <c r="BM490" s="358"/>
      <c r="BN490" s="358"/>
      <c r="BO490" s="358"/>
      <c r="BP490" s="358"/>
      <c r="BQ490" s="358"/>
      <c r="BR490" s="358"/>
      <c r="BS490" s="358"/>
      <c r="BT490" s="358"/>
      <c r="BU490" s="358"/>
      <c r="BV490" s="358"/>
      <c r="BW490" s="358"/>
      <c r="BX490" s="358"/>
      <c r="BY490" s="358"/>
      <c r="BZ490" s="358"/>
      <c r="CA490" s="358"/>
      <c r="CB490" s="358"/>
      <c r="CC490" s="358"/>
      <c r="CD490" s="358"/>
      <c r="CE490" s="358"/>
      <c r="CF490" s="358"/>
      <c r="CG490" s="358"/>
      <c r="CH490" s="358"/>
      <c r="CI490" s="358"/>
      <c r="CJ490" s="358"/>
      <c r="CK490" s="358"/>
      <c r="CL490" s="358"/>
      <c r="CM490" s="358"/>
      <c r="CN490" s="358"/>
      <c r="CO490" s="358"/>
      <c r="CP490" s="358"/>
      <c r="CQ490" s="358"/>
      <c r="CR490" s="358"/>
      <c r="CS490" s="358"/>
      <c r="CT490" s="358"/>
      <c r="CU490" s="358"/>
      <c r="CV490" s="358"/>
      <c r="CW490" s="358"/>
      <c r="CX490" s="358"/>
      <c r="CY490" s="358"/>
      <c r="CZ490" s="358"/>
      <c r="DA490" s="358"/>
      <c r="DB490" s="358"/>
      <c r="DC490" s="358"/>
      <c r="DD490" s="358"/>
      <c r="DE490" s="358"/>
      <c r="DF490" s="358"/>
      <c r="DG490" s="358"/>
      <c r="DH490" s="358"/>
      <c r="DI490" s="358"/>
      <c r="DJ490" s="358"/>
      <c r="DK490" s="358"/>
      <c r="DL490" s="358"/>
      <c r="DM490" s="358"/>
      <c r="DN490" s="358"/>
      <c r="DO490" s="358"/>
      <c r="DP490" s="358"/>
      <c r="DQ490" s="358"/>
      <c r="DR490" s="358"/>
      <c r="DS490" s="358"/>
      <c r="DT490" s="358"/>
      <c r="DU490" s="358"/>
      <c r="DV490" s="358"/>
      <c r="DW490" s="358"/>
      <c r="DX490" s="358"/>
      <c r="DY490" s="358"/>
      <c r="DZ490" s="358"/>
      <c r="EA490" s="358"/>
      <c r="EB490" s="358"/>
      <c r="EC490" s="358"/>
      <c r="ED490" s="358"/>
      <c r="EE490" s="358"/>
      <c r="EF490" s="358"/>
      <c r="EG490" s="358"/>
      <c r="EH490" s="358"/>
      <c r="EI490" s="358"/>
      <c r="EJ490" s="358"/>
      <c r="EK490" s="358"/>
      <c r="EL490" s="358"/>
      <c r="EM490" s="358"/>
      <c r="EN490" s="358"/>
      <c r="EO490" s="358"/>
      <c r="EP490" s="358"/>
      <c r="EQ490" s="358"/>
      <c r="ER490" s="358"/>
      <c r="ES490" s="358"/>
      <c r="ET490" s="358"/>
      <c r="EU490" s="358"/>
      <c r="EV490" s="358"/>
      <c r="EW490" s="358"/>
      <c r="EX490" s="358"/>
      <c r="EY490" s="358"/>
      <c r="EZ490" s="358"/>
      <c r="FA490" s="358"/>
      <c r="FB490" s="358"/>
      <c r="FC490" s="358"/>
      <c r="FD490" s="358"/>
      <c r="FE490" s="358"/>
      <c r="FF490" s="358"/>
      <c r="FG490" s="358"/>
      <c r="FH490" s="358"/>
      <c r="FI490" s="358"/>
      <c r="FJ490" s="358"/>
      <c r="FK490" s="358"/>
      <c r="FL490" s="358"/>
      <c r="FM490" s="358"/>
      <c r="FN490" s="358"/>
      <c r="FO490" s="358"/>
      <c r="FP490" s="358"/>
      <c r="FQ490" s="358"/>
      <c r="FR490" s="358"/>
      <c r="FS490" s="358"/>
      <c r="FT490" s="358"/>
      <c r="FU490" s="358"/>
      <c r="FV490" s="358"/>
      <c r="FW490" s="358"/>
      <c r="FX490" s="358"/>
      <c r="FY490" s="358"/>
      <c r="FZ490" s="358"/>
      <c r="GA490" s="358"/>
      <c r="GB490" s="358"/>
      <c r="GC490" s="358"/>
      <c r="GD490" s="358"/>
      <c r="GE490" s="358"/>
      <c r="GF490" s="358"/>
      <c r="GG490" s="358"/>
      <c r="GH490" s="358"/>
      <c r="GI490" s="358"/>
      <c r="GJ490" s="358"/>
      <c r="GK490" s="358"/>
      <c r="GL490" s="358"/>
      <c r="GM490" s="358"/>
      <c r="GN490" s="358"/>
      <c r="GO490" s="358"/>
      <c r="GP490" s="358"/>
      <c r="GQ490" s="358"/>
      <c r="GR490" s="358"/>
      <c r="GS490" s="358"/>
      <c r="GT490" s="358"/>
      <c r="GU490" s="358"/>
      <c r="GV490" s="358"/>
      <c r="GW490" s="358"/>
      <c r="GX490" s="358"/>
      <c r="GY490" s="358"/>
      <c r="GZ490" s="358"/>
      <c r="HA490" s="358"/>
      <c r="HB490" s="358"/>
      <c r="HC490" s="358"/>
      <c r="HD490" s="358"/>
      <c r="HE490" s="358"/>
      <c r="HF490" s="358"/>
      <c r="HG490" s="358"/>
      <c r="HH490" s="358"/>
      <c r="HI490" s="358"/>
      <c r="HJ490" s="358"/>
      <c r="HK490" s="358"/>
      <c r="HL490" s="358"/>
      <c r="HM490" s="358"/>
      <c r="HN490" s="358"/>
      <c r="HO490" s="358"/>
      <c r="HP490" s="358"/>
      <c r="HQ490" s="358"/>
      <c r="HR490" s="358"/>
      <c r="HS490" s="358"/>
      <c r="HT490" s="358"/>
      <c r="HU490" s="358"/>
      <c r="HV490" s="358"/>
      <c r="HW490" s="358"/>
      <c r="HX490" s="358"/>
    </row>
    <row r="491" spans="1:232" s="5" customFormat="1" ht="20.100000000000001" customHeight="1">
      <c r="A491" s="503" t="str">
        <f t="shared" si="3"/>
        <v/>
      </c>
      <c r="B491" s="1597" t="str">
        <f t="shared" si="3"/>
        <v/>
      </c>
      <c r="C491" s="1597"/>
      <c r="D491" s="1597"/>
      <c r="E491" s="1597"/>
      <c r="F491" s="1598" t="str">
        <f t="shared" si="4"/>
        <v/>
      </c>
      <c r="G491" s="1598"/>
      <c r="H491" s="1598"/>
      <c r="I491" s="505" t="str">
        <f t="shared" si="5"/>
        <v/>
      </c>
      <c r="J491" s="506"/>
      <c r="O491" s="405"/>
      <c r="P491" s="405"/>
      <c r="Q491" s="405"/>
      <c r="R491" s="405"/>
      <c r="S491" s="405"/>
      <c r="T491" s="405"/>
      <c r="U491" s="358"/>
      <c r="V491" s="358"/>
      <c r="W491" s="358"/>
      <c r="X491" s="358"/>
      <c r="Y491" s="358"/>
      <c r="Z491" s="358"/>
      <c r="AA491" s="358"/>
      <c r="AB491" s="358"/>
      <c r="AC491" s="358"/>
      <c r="AD491" s="358"/>
      <c r="AE491" s="358"/>
      <c r="AF491" s="358"/>
      <c r="AG491" s="358"/>
      <c r="AH491" s="358"/>
      <c r="AI491" s="358"/>
      <c r="AJ491" s="358"/>
      <c r="AK491" s="358"/>
      <c r="AL491" s="358"/>
      <c r="AM491" s="358"/>
      <c r="AN491" s="358"/>
      <c r="AO491" s="358"/>
      <c r="AP491" s="358"/>
      <c r="AQ491" s="358"/>
      <c r="AR491" s="358"/>
      <c r="AS491" s="358"/>
      <c r="AT491" s="358"/>
      <c r="AU491" s="358"/>
      <c r="AV491" s="358"/>
      <c r="AW491" s="358"/>
      <c r="AX491" s="358"/>
      <c r="AY491" s="358"/>
      <c r="AZ491" s="358"/>
      <c r="BA491" s="358"/>
      <c r="BB491" s="358"/>
      <c r="BC491" s="358"/>
      <c r="BD491" s="358"/>
      <c r="BE491" s="358"/>
      <c r="BF491" s="358"/>
      <c r="BG491" s="358"/>
      <c r="BH491" s="358"/>
      <c r="BI491" s="358"/>
      <c r="BJ491" s="358"/>
      <c r="BK491" s="358"/>
      <c r="BL491" s="358"/>
      <c r="BM491" s="358"/>
      <c r="BN491" s="358"/>
      <c r="BO491" s="358"/>
      <c r="BP491" s="358"/>
      <c r="BQ491" s="358"/>
      <c r="BR491" s="358"/>
      <c r="BS491" s="358"/>
      <c r="BT491" s="358"/>
      <c r="BU491" s="358"/>
      <c r="BV491" s="358"/>
      <c r="BW491" s="358"/>
      <c r="BX491" s="358"/>
      <c r="BY491" s="358"/>
      <c r="BZ491" s="358"/>
      <c r="CA491" s="358"/>
      <c r="CB491" s="358"/>
      <c r="CC491" s="358"/>
      <c r="CD491" s="358"/>
      <c r="CE491" s="358"/>
      <c r="CF491" s="358"/>
      <c r="CG491" s="358"/>
      <c r="CH491" s="358"/>
      <c r="CI491" s="358"/>
      <c r="CJ491" s="358"/>
      <c r="CK491" s="358"/>
      <c r="CL491" s="358"/>
      <c r="CM491" s="358"/>
      <c r="CN491" s="358"/>
      <c r="CO491" s="358"/>
      <c r="CP491" s="358"/>
      <c r="CQ491" s="358"/>
      <c r="CR491" s="358"/>
      <c r="CS491" s="358"/>
      <c r="CT491" s="358"/>
      <c r="CU491" s="358"/>
      <c r="CV491" s="358"/>
      <c r="CW491" s="358"/>
      <c r="CX491" s="358"/>
      <c r="CY491" s="358"/>
      <c r="CZ491" s="358"/>
      <c r="DA491" s="358"/>
      <c r="DB491" s="358"/>
      <c r="DC491" s="358"/>
      <c r="DD491" s="358"/>
      <c r="DE491" s="358"/>
      <c r="DF491" s="358"/>
      <c r="DG491" s="358"/>
      <c r="DH491" s="358"/>
      <c r="DI491" s="358"/>
      <c r="DJ491" s="358"/>
      <c r="DK491" s="358"/>
      <c r="DL491" s="358"/>
      <c r="DM491" s="358"/>
      <c r="DN491" s="358"/>
      <c r="DO491" s="358"/>
      <c r="DP491" s="358"/>
      <c r="DQ491" s="358"/>
      <c r="DR491" s="358"/>
      <c r="DS491" s="358"/>
      <c r="DT491" s="358"/>
      <c r="DU491" s="358"/>
      <c r="DV491" s="358"/>
      <c r="DW491" s="358"/>
      <c r="DX491" s="358"/>
      <c r="DY491" s="358"/>
      <c r="DZ491" s="358"/>
      <c r="EA491" s="358"/>
      <c r="EB491" s="358"/>
      <c r="EC491" s="358"/>
      <c r="ED491" s="358"/>
      <c r="EE491" s="358"/>
      <c r="EF491" s="358"/>
      <c r="EG491" s="358"/>
      <c r="EH491" s="358"/>
      <c r="EI491" s="358"/>
      <c r="EJ491" s="358"/>
      <c r="EK491" s="358"/>
      <c r="EL491" s="358"/>
      <c r="EM491" s="358"/>
      <c r="EN491" s="358"/>
      <c r="EO491" s="358"/>
      <c r="EP491" s="358"/>
      <c r="EQ491" s="358"/>
      <c r="ER491" s="358"/>
      <c r="ES491" s="358"/>
      <c r="ET491" s="358"/>
      <c r="EU491" s="358"/>
      <c r="EV491" s="358"/>
      <c r="EW491" s="358"/>
      <c r="EX491" s="358"/>
      <c r="EY491" s="358"/>
      <c r="EZ491" s="358"/>
      <c r="FA491" s="358"/>
      <c r="FB491" s="358"/>
      <c r="FC491" s="358"/>
      <c r="FD491" s="358"/>
      <c r="FE491" s="358"/>
      <c r="FF491" s="358"/>
      <c r="FG491" s="358"/>
      <c r="FH491" s="358"/>
      <c r="FI491" s="358"/>
      <c r="FJ491" s="358"/>
      <c r="FK491" s="358"/>
      <c r="FL491" s="358"/>
      <c r="FM491" s="358"/>
      <c r="FN491" s="358"/>
      <c r="FO491" s="358"/>
      <c r="FP491" s="358"/>
      <c r="FQ491" s="358"/>
      <c r="FR491" s="358"/>
      <c r="FS491" s="358"/>
      <c r="FT491" s="358"/>
      <c r="FU491" s="358"/>
      <c r="FV491" s="358"/>
      <c r="FW491" s="358"/>
      <c r="FX491" s="358"/>
      <c r="FY491" s="358"/>
      <c r="FZ491" s="358"/>
      <c r="GA491" s="358"/>
      <c r="GB491" s="358"/>
      <c r="GC491" s="358"/>
      <c r="GD491" s="358"/>
      <c r="GE491" s="358"/>
      <c r="GF491" s="358"/>
      <c r="GG491" s="358"/>
      <c r="GH491" s="358"/>
      <c r="GI491" s="358"/>
      <c r="GJ491" s="358"/>
      <c r="GK491" s="358"/>
      <c r="GL491" s="358"/>
      <c r="GM491" s="358"/>
      <c r="GN491" s="358"/>
      <c r="GO491" s="358"/>
      <c r="GP491" s="358"/>
      <c r="GQ491" s="358"/>
      <c r="GR491" s="358"/>
      <c r="GS491" s="358"/>
      <c r="GT491" s="358"/>
      <c r="GU491" s="358"/>
      <c r="GV491" s="358"/>
      <c r="GW491" s="358"/>
      <c r="GX491" s="358"/>
      <c r="GY491" s="358"/>
      <c r="GZ491" s="358"/>
      <c r="HA491" s="358"/>
      <c r="HB491" s="358"/>
      <c r="HC491" s="358"/>
      <c r="HD491" s="358"/>
      <c r="HE491" s="358"/>
      <c r="HF491" s="358"/>
      <c r="HG491" s="358"/>
      <c r="HH491" s="358"/>
      <c r="HI491" s="358"/>
      <c r="HJ491" s="358"/>
      <c r="HK491" s="358"/>
      <c r="HL491" s="358"/>
      <c r="HM491" s="358"/>
      <c r="HN491" s="358"/>
      <c r="HO491" s="358"/>
      <c r="HP491" s="358"/>
      <c r="HQ491" s="358"/>
      <c r="HR491" s="358"/>
      <c r="HS491" s="358"/>
      <c r="HT491" s="358"/>
      <c r="HU491" s="358"/>
      <c r="HV491" s="358"/>
      <c r="HW491" s="358"/>
      <c r="HX491" s="358"/>
    </row>
    <row r="492" spans="1:232" s="5" customFormat="1" ht="20.100000000000001" customHeight="1">
      <c r="A492" s="521"/>
      <c r="B492" s="522"/>
      <c r="C492" s="522"/>
      <c r="D492" s="522"/>
      <c r="E492" s="522"/>
      <c r="F492" s="523"/>
      <c r="G492" s="523"/>
      <c r="H492" s="523"/>
      <c r="J492" s="502"/>
      <c r="O492" s="405"/>
      <c r="P492" s="405"/>
      <c r="Q492" s="405"/>
      <c r="R492" s="405"/>
      <c r="S492" s="405"/>
      <c r="T492" s="405"/>
      <c r="U492" s="358"/>
      <c r="V492" s="358"/>
      <c r="W492" s="358"/>
      <c r="X492" s="358"/>
      <c r="Y492" s="358"/>
      <c r="Z492" s="358"/>
      <c r="AA492" s="358"/>
      <c r="AB492" s="358"/>
      <c r="AC492" s="358"/>
      <c r="AD492" s="358"/>
      <c r="AE492" s="358"/>
      <c r="AF492" s="358"/>
      <c r="AG492" s="358"/>
      <c r="AH492" s="358"/>
      <c r="AI492" s="358"/>
      <c r="AJ492" s="358"/>
      <c r="AK492" s="358"/>
      <c r="AL492" s="358"/>
      <c r="AM492" s="358"/>
      <c r="AN492" s="358"/>
      <c r="AO492" s="358"/>
      <c r="AP492" s="358"/>
      <c r="AQ492" s="358"/>
      <c r="AR492" s="358"/>
      <c r="AS492" s="358"/>
      <c r="AT492" s="358"/>
      <c r="AU492" s="358"/>
      <c r="AV492" s="358"/>
      <c r="AW492" s="358"/>
      <c r="AX492" s="358"/>
      <c r="AY492" s="358"/>
      <c r="AZ492" s="358"/>
      <c r="BA492" s="358"/>
      <c r="BB492" s="358"/>
      <c r="BC492" s="358"/>
      <c r="BD492" s="358"/>
      <c r="BE492" s="358"/>
      <c r="BF492" s="358"/>
      <c r="BG492" s="358"/>
      <c r="BH492" s="358"/>
      <c r="BI492" s="358"/>
      <c r="BJ492" s="358"/>
      <c r="BK492" s="358"/>
      <c r="BL492" s="358"/>
      <c r="BM492" s="358"/>
      <c r="BN492" s="358"/>
      <c r="BO492" s="358"/>
      <c r="BP492" s="358"/>
      <c r="BQ492" s="358"/>
      <c r="BR492" s="358"/>
      <c r="BS492" s="358"/>
      <c r="BT492" s="358"/>
      <c r="BU492" s="358"/>
      <c r="BV492" s="358"/>
      <c r="BW492" s="358"/>
      <c r="BX492" s="358"/>
      <c r="BY492" s="358"/>
      <c r="BZ492" s="358"/>
      <c r="CA492" s="358"/>
      <c r="CB492" s="358"/>
      <c r="CC492" s="358"/>
      <c r="CD492" s="358"/>
      <c r="CE492" s="358"/>
      <c r="CF492" s="358"/>
      <c r="CG492" s="358"/>
      <c r="CH492" s="358"/>
      <c r="CI492" s="358"/>
      <c r="CJ492" s="358"/>
      <c r="CK492" s="358"/>
      <c r="CL492" s="358"/>
      <c r="CM492" s="358"/>
      <c r="CN492" s="358"/>
      <c r="CO492" s="358"/>
      <c r="CP492" s="358"/>
      <c r="CQ492" s="358"/>
      <c r="CR492" s="358"/>
      <c r="CS492" s="358"/>
      <c r="CT492" s="358"/>
      <c r="CU492" s="358"/>
      <c r="CV492" s="358"/>
      <c r="CW492" s="358"/>
      <c r="CX492" s="358"/>
      <c r="CY492" s="358"/>
      <c r="CZ492" s="358"/>
      <c r="DA492" s="358"/>
      <c r="DB492" s="358"/>
      <c r="DC492" s="358"/>
      <c r="DD492" s="358"/>
      <c r="DE492" s="358"/>
      <c r="DF492" s="358"/>
      <c r="DG492" s="358"/>
      <c r="DH492" s="358"/>
      <c r="DI492" s="358"/>
      <c r="DJ492" s="358"/>
      <c r="DK492" s="358"/>
      <c r="DL492" s="358"/>
      <c r="DM492" s="358"/>
      <c r="DN492" s="358"/>
      <c r="DO492" s="358"/>
      <c r="DP492" s="358"/>
      <c r="DQ492" s="358"/>
      <c r="DR492" s="358"/>
      <c r="DS492" s="358"/>
      <c r="DT492" s="358"/>
      <c r="DU492" s="358"/>
      <c r="DV492" s="358"/>
      <c r="DW492" s="358"/>
      <c r="DX492" s="358"/>
      <c r="DY492" s="358"/>
      <c r="DZ492" s="358"/>
      <c r="EA492" s="358"/>
      <c r="EB492" s="358"/>
      <c r="EC492" s="358"/>
      <c r="ED492" s="358"/>
      <c r="EE492" s="358"/>
      <c r="EF492" s="358"/>
      <c r="EG492" s="358"/>
      <c r="EH492" s="358"/>
      <c r="EI492" s="358"/>
      <c r="EJ492" s="358"/>
      <c r="EK492" s="358"/>
      <c r="EL492" s="358"/>
      <c r="EM492" s="358"/>
      <c r="EN492" s="358"/>
      <c r="EO492" s="358"/>
      <c r="EP492" s="358"/>
      <c r="EQ492" s="358"/>
      <c r="ER492" s="358"/>
      <c r="ES492" s="358"/>
      <c r="ET492" s="358"/>
      <c r="EU492" s="358"/>
      <c r="EV492" s="358"/>
      <c r="EW492" s="358"/>
      <c r="EX492" s="358"/>
      <c r="EY492" s="358"/>
      <c r="EZ492" s="358"/>
      <c r="FA492" s="358"/>
      <c r="FB492" s="358"/>
      <c r="FC492" s="358"/>
      <c r="FD492" s="358"/>
      <c r="FE492" s="358"/>
      <c r="FF492" s="358"/>
      <c r="FG492" s="358"/>
      <c r="FH492" s="358"/>
      <c r="FI492" s="358"/>
      <c r="FJ492" s="358"/>
      <c r="FK492" s="358"/>
      <c r="FL492" s="358"/>
      <c r="FM492" s="358"/>
      <c r="FN492" s="358"/>
      <c r="FO492" s="358"/>
      <c r="FP492" s="358"/>
      <c r="FQ492" s="358"/>
      <c r="FR492" s="358"/>
      <c r="FS492" s="358"/>
      <c r="FT492" s="358"/>
      <c r="FU492" s="358"/>
      <c r="FV492" s="358"/>
      <c r="FW492" s="358"/>
      <c r="FX492" s="358"/>
      <c r="FY492" s="358"/>
      <c r="FZ492" s="358"/>
      <c r="GA492" s="358"/>
      <c r="GB492" s="358"/>
      <c r="GC492" s="358"/>
      <c r="GD492" s="358"/>
      <c r="GE492" s="358"/>
      <c r="GF492" s="358"/>
      <c r="GG492" s="358"/>
      <c r="GH492" s="358"/>
      <c r="GI492" s="358"/>
      <c r="GJ492" s="358"/>
      <c r="GK492" s="358"/>
      <c r="GL492" s="358"/>
      <c r="GM492" s="358"/>
      <c r="GN492" s="358"/>
      <c r="GO492" s="358"/>
      <c r="GP492" s="358"/>
      <c r="GQ492" s="358"/>
      <c r="GR492" s="358"/>
      <c r="GS492" s="358"/>
      <c r="GT492" s="358"/>
      <c r="GU492" s="358"/>
      <c r="GV492" s="358"/>
      <c r="GW492" s="358"/>
      <c r="GX492" s="358"/>
      <c r="GY492" s="358"/>
      <c r="GZ492" s="358"/>
      <c r="HA492" s="358"/>
      <c r="HB492" s="358"/>
      <c r="HC492" s="358"/>
      <c r="HD492" s="358"/>
      <c r="HE492" s="358"/>
      <c r="HF492" s="358"/>
      <c r="HG492" s="358"/>
      <c r="HH492" s="358"/>
      <c r="HI492" s="358"/>
      <c r="HJ492" s="358"/>
      <c r="HK492" s="358"/>
      <c r="HL492" s="358"/>
      <c r="HM492" s="358"/>
      <c r="HN492" s="358"/>
      <c r="HO492" s="358"/>
      <c r="HP492" s="358"/>
      <c r="HQ492" s="358"/>
      <c r="HR492" s="358"/>
      <c r="HS492" s="358"/>
      <c r="HT492" s="358"/>
      <c r="HU492" s="358"/>
      <c r="HV492" s="358"/>
      <c r="HW492" s="358"/>
      <c r="HX492" s="358"/>
    </row>
    <row r="493" spans="1:232" ht="20.100000000000001" customHeight="1">
      <c r="A493" s="1595" t="s">
        <v>120</v>
      </c>
      <c r="B493" s="1595"/>
      <c r="C493" s="1595"/>
      <c r="D493" s="1595"/>
      <c r="E493" s="1595"/>
      <c r="F493" s="1595"/>
      <c r="G493" s="1595"/>
      <c r="H493" s="1595"/>
      <c r="I493" s="1595"/>
      <c r="J493" s="1595"/>
      <c r="N493" s="5"/>
      <c r="O493" s="405"/>
      <c r="P493" s="405"/>
      <c r="Q493" s="405"/>
      <c r="R493" s="405"/>
      <c r="S493" s="405"/>
    </row>
    <row r="494" spans="1:232" ht="20.100000000000001" customHeight="1">
      <c r="A494" s="1596" t="s">
        <v>121</v>
      </c>
      <c r="B494" s="1596"/>
      <c r="C494" s="1596"/>
      <c r="D494" s="1596"/>
      <c r="E494" s="1596"/>
      <c r="F494" s="1596"/>
      <c r="G494" s="1596"/>
      <c r="H494" s="1596"/>
      <c r="I494" s="1596"/>
      <c r="J494" s="1596"/>
    </row>
    <row r="495" spans="1:232" ht="20.100000000000001" customHeight="1">
      <c r="A495" s="1600" t="s">
        <v>137</v>
      </c>
      <c r="B495" s="1600"/>
      <c r="C495" s="1600"/>
      <c r="D495" s="1600"/>
      <c r="E495" s="1600"/>
      <c r="F495" s="1600"/>
      <c r="G495" s="1600"/>
      <c r="H495" s="1600"/>
      <c r="I495" s="1600"/>
      <c r="J495" s="1600"/>
    </row>
    <row r="496" spans="1:232" ht="20.100000000000001" customHeight="1">
      <c r="A496" s="1595"/>
      <c r="B496" s="1595"/>
      <c r="C496" s="1595"/>
      <c r="D496" s="1595"/>
      <c r="E496" s="1595"/>
      <c r="F496" s="1595"/>
      <c r="G496" s="1595"/>
      <c r="H496" s="1595"/>
      <c r="I496" s="1595"/>
      <c r="J496" s="1595"/>
    </row>
    <row r="497" spans="1:10" ht="20.100000000000001" customHeight="1">
      <c r="A497" s="507"/>
      <c r="B497" s="507"/>
      <c r="C497" s="507"/>
      <c r="D497" s="507"/>
      <c r="E497" s="507"/>
      <c r="F497" s="507"/>
      <c r="G497" s="507"/>
      <c r="H497" s="507"/>
      <c r="I497" s="507"/>
      <c r="J497" s="507"/>
    </row>
    <row r="498" spans="1:10" ht="20.100000000000001" customHeight="1">
      <c r="A498" s="1599" t="s">
        <v>473</v>
      </c>
      <c r="B498" s="1599"/>
      <c r="C498" s="1599"/>
      <c r="D498" s="1599"/>
      <c r="E498" s="1599"/>
      <c r="F498" s="1599" t="s">
        <v>185</v>
      </c>
      <c r="G498" s="1599"/>
      <c r="H498" s="1599"/>
      <c r="I498" s="1599"/>
      <c r="J498" s="1599"/>
    </row>
    <row r="499" spans="1:10" ht="20.100000000000001" customHeight="1">
      <c r="A499" s="1599" t="s">
        <v>449</v>
      </c>
      <c r="B499" s="1599"/>
      <c r="C499" s="1599"/>
      <c r="D499" s="1599"/>
      <c r="E499" s="1599"/>
      <c r="F499" s="1599" t="str">
        <f>$P$16</f>
        <v>Nguyễn Mạnh Hùng</v>
      </c>
      <c r="G499" s="1599"/>
      <c r="H499" s="1599"/>
      <c r="I499" s="1599"/>
      <c r="J499" s="1599"/>
    </row>
    <row r="500" spans="1:10" ht="20.100000000000001" customHeight="1">
      <c r="A500" s="1599"/>
      <c r="B500" s="1599"/>
      <c r="C500" s="1599"/>
      <c r="D500" s="1599"/>
      <c r="E500" s="1599"/>
      <c r="F500" s="1599"/>
      <c r="G500" s="1599"/>
      <c r="H500" s="1599"/>
      <c r="I500" s="1599"/>
      <c r="J500" s="1599"/>
    </row>
    <row r="501" spans="1:10" ht="20.100000000000001" customHeight="1">
      <c r="A501" s="1599"/>
      <c r="B501" s="1599"/>
      <c r="C501" s="1599"/>
      <c r="D501" s="1599"/>
      <c r="E501" s="1599"/>
      <c r="F501" s="1599"/>
      <c r="G501" s="1599"/>
      <c r="H501" s="1599"/>
      <c r="I501" s="1599"/>
      <c r="J501" s="1599"/>
    </row>
    <row r="502" spans="1:10" ht="20.100000000000001" customHeight="1">
      <c r="A502" s="1599"/>
      <c r="B502" s="1599"/>
      <c r="C502" s="1599"/>
      <c r="D502" s="1599"/>
      <c r="E502" s="1599"/>
      <c r="F502" s="1599"/>
      <c r="G502" s="1599"/>
      <c r="H502" s="1599"/>
      <c r="I502" s="1599"/>
      <c r="J502" s="1599"/>
    </row>
    <row r="503" spans="1:10" ht="20.100000000000001" customHeight="1">
      <c r="A503" s="1599"/>
      <c r="B503" s="1599"/>
      <c r="C503" s="1599"/>
      <c r="D503" s="1599"/>
      <c r="E503" s="1599"/>
      <c r="F503" s="1599"/>
      <c r="G503" s="1599"/>
      <c r="H503" s="1599"/>
      <c r="I503" s="1599"/>
      <c r="J503" s="1599"/>
    </row>
  </sheetData>
  <mergeCells count="483">
    <mergeCell ref="A5:J5"/>
    <mergeCell ref="A6:J6"/>
    <mergeCell ref="A12:J12"/>
    <mergeCell ref="A13:J13"/>
    <mergeCell ref="C8:J9"/>
    <mergeCell ref="A1:J1"/>
    <mergeCell ref="A2:J2"/>
    <mergeCell ref="A3:J3"/>
    <mergeCell ref="A4:J4"/>
    <mergeCell ref="A18:E18"/>
    <mergeCell ref="F18:J18"/>
    <mergeCell ref="A19:J19"/>
    <mergeCell ref="A20:E20"/>
    <mergeCell ref="F20:J20"/>
    <mergeCell ref="A14:J14"/>
    <mergeCell ref="A15:J15"/>
    <mergeCell ref="A17:E17"/>
    <mergeCell ref="F17:J17"/>
    <mergeCell ref="E24:J24"/>
    <mergeCell ref="A26:J26"/>
    <mergeCell ref="A27:J27"/>
    <mergeCell ref="A28:J28"/>
    <mergeCell ref="A21:E21"/>
    <mergeCell ref="F21:J21"/>
    <mergeCell ref="A22:J22"/>
    <mergeCell ref="E23:J23"/>
    <mergeCell ref="B37:J37"/>
    <mergeCell ref="B38:J38"/>
    <mergeCell ref="A42:J42"/>
    <mergeCell ref="A43:J43"/>
    <mergeCell ref="A29:J29"/>
    <mergeCell ref="A30:J30"/>
    <mergeCell ref="B35:J35"/>
    <mergeCell ref="B36:J36"/>
    <mergeCell ref="A45:A46"/>
    <mergeCell ref="I45:J45"/>
    <mergeCell ref="B45:H46"/>
    <mergeCell ref="A351:J351"/>
    <mergeCell ref="A353:E353"/>
    <mergeCell ref="F353:J353"/>
    <mergeCell ref="F47:H47"/>
    <mergeCell ref="F48:H48"/>
    <mergeCell ref="A349:J349"/>
    <mergeCell ref="A350:J350"/>
    <mergeCell ref="F49:H49"/>
    <mergeCell ref="F50:H50"/>
    <mergeCell ref="D50:E50"/>
    <mergeCell ref="A348:J348"/>
    <mergeCell ref="F51:H51"/>
    <mergeCell ref="F52:H52"/>
    <mergeCell ref="B51:C51"/>
    <mergeCell ref="D51:E51"/>
    <mergeCell ref="B52:C52"/>
    <mergeCell ref="D52:E52"/>
    <mergeCell ref="A53:J53"/>
    <mergeCell ref="A342:J342"/>
    <mergeCell ref="A55:J55"/>
    <mergeCell ref="A56:J56"/>
    <mergeCell ref="A58:E58"/>
    <mergeCell ref="F58:J58"/>
    <mergeCell ref="F59:G59"/>
    <mergeCell ref="A54:J54"/>
    <mergeCell ref="A194:J194"/>
    <mergeCell ref="A186:J186"/>
    <mergeCell ref="E187:J187"/>
    <mergeCell ref="E188:J188"/>
    <mergeCell ref="A190:J190"/>
    <mergeCell ref="F63:J63"/>
    <mergeCell ref="A183:J183"/>
    <mergeCell ref="A105:J105"/>
    <mergeCell ref="A111:J111"/>
    <mergeCell ref="A112:J112"/>
    <mergeCell ref="A113:J113"/>
    <mergeCell ref="C107:J108"/>
    <mergeCell ref="A120:E120"/>
    <mergeCell ref="F120:J120"/>
    <mergeCell ref="A126:J126"/>
    <mergeCell ref="A127:J127"/>
    <mergeCell ref="F116:J116"/>
    <mergeCell ref="A118:J118"/>
    <mergeCell ref="H59:J59"/>
    <mergeCell ref="A63:E63"/>
    <mergeCell ref="A184:E184"/>
    <mergeCell ref="F184:J184"/>
    <mergeCell ref="A185:E185"/>
    <mergeCell ref="F185:J185"/>
    <mergeCell ref="A100:J100"/>
    <mergeCell ref="A338:J338"/>
    <mergeCell ref="A178:J178"/>
    <mergeCell ref="A179:J179"/>
    <mergeCell ref="A181:E181"/>
    <mergeCell ref="F181:J181"/>
    <mergeCell ref="A182:E182"/>
    <mergeCell ref="F182:J182"/>
    <mergeCell ref="A191:J191"/>
    <mergeCell ref="A192:J192"/>
    <mergeCell ref="A193:J193"/>
    <mergeCell ref="A337:J337"/>
    <mergeCell ref="B200:J200"/>
    <mergeCell ref="B201:J201"/>
    <mergeCell ref="B202:J202"/>
    <mergeCell ref="A206:J206"/>
    <mergeCell ref="A207:J207"/>
    <mergeCell ref="A209:A210"/>
    <mergeCell ref="B209:E210"/>
    <mergeCell ref="F209:H210"/>
    <mergeCell ref="I209:J209"/>
    <mergeCell ref="B213:E213"/>
    <mergeCell ref="F213:H213"/>
    <mergeCell ref="D151:E151"/>
    <mergeCell ref="B152:C152"/>
    <mergeCell ref="D152:E152"/>
    <mergeCell ref="A128:J128"/>
    <mergeCell ref="A129:J129"/>
    <mergeCell ref="A121:J121"/>
    <mergeCell ref="E122:J122"/>
    <mergeCell ref="E123:J123"/>
    <mergeCell ref="A125:J125"/>
    <mergeCell ref="A143:J143"/>
    <mergeCell ref="A145:A146"/>
    <mergeCell ref="I145:J145"/>
    <mergeCell ref="B134:J134"/>
    <mergeCell ref="B135:J135"/>
    <mergeCell ref="B136:J136"/>
    <mergeCell ref="B137:J137"/>
    <mergeCell ref="F67:J67"/>
    <mergeCell ref="F68:J68"/>
    <mergeCell ref="A70:J70"/>
    <mergeCell ref="D71:H71"/>
    <mergeCell ref="A65:E65"/>
    <mergeCell ref="F65:J65"/>
    <mergeCell ref="A66:E66"/>
    <mergeCell ref="F66:J66"/>
    <mergeCell ref="I86:J86"/>
    <mergeCell ref="A76:J76"/>
    <mergeCell ref="A78:J78"/>
    <mergeCell ref="A79:B79"/>
    <mergeCell ref="A72:B72"/>
    <mergeCell ref="C72:J72"/>
    <mergeCell ref="A73:B73"/>
    <mergeCell ref="C73:J73"/>
    <mergeCell ref="I84:J84"/>
    <mergeCell ref="D85:D86"/>
    <mergeCell ref="E85:E86"/>
    <mergeCell ref="F85:H86"/>
    <mergeCell ref="I85:J85"/>
    <mergeCell ref="A84:C86"/>
    <mergeCell ref="D84:E84"/>
    <mergeCell ref="F84:H84"/>
    <mergeCell ref="A90:G90"/>
    <mergeCell ref="A91:G91"/>
    <mergeCell ref="A92:G92"/>
    <mergeCell ref="A93:G93"/>
    <mergeCell ref="A87:G87"/>
    <mergeCell ref="A88:G88"/>
    <mergeCell ref="A89:G89"/>
    <mergeCell ref="H89:J89"/>
    <mergeCell ref="A95:G95"/>
    <mergeCell ref="A94:G94"/>
    <mergeCell ref="A96:G96"/>
    <mergeCell ref="F149:H149"/>
    <mergeCell ref="A141:J141"/>
    <mergeCell ref="A142:J142"/>
    <mergeCell ref="B199:J199"/>
    <mergeCell ref="H96:J96"/>
    <mergeCell ref="A160:E164"/>
    <mergeCell ref="F160:J164"/>
    <mergeCell ref="A156:J156"/>
    <mergeCell ref="A168:J168"/>
    <mergeCell ref="A169:J169"/>
    <mergeCell ref="A170:J170"/>
    <mergeCell ref="A157:J157"/>
    <mergeCell ref="A159:E159"/>
    <mergeCell ref="F159:J159"/>
    <mergeCell ref="A154:J154"/>
    <mergeCell ref="A155:J155"/>
    <mergeCell ref="A167:J167"/>
    <mergeCell ref="A176:J176"/>
    <mergeCell ref="A177:J177"/>
    <mergeCell ref="F150:H150"/>
    <mergeCell ref="D149:E149"/>
    <mergeCell ref="B150:C150"/>
    <mergeCell ref="A97:G97"/>
    <mergeCell ref="A98:G98"/>
    <mergeCell ref="A165:J165"/>
    <mergeCell ref="A166:J166"/>
    <mergeCell ref="B145:H146"/>
    <mergeCell ref="B147:C147"/>
    <mergeCell ref="C172:J173"/>
    <mergeCell ref="D150:E150"/>
    <mergeCell ref="F147:H147"/>
    <mergeCell ref="F148:H148"/>
    <mergeCell ref="D147:E147"/>
    <mergeCell ref="B148:C148"/>
    <mergeCell ref="D148:E148"/>
    <mergeCell ref="A101:J101"/>
    <mergeCell ref="A102:J102"/>
    <mergeCell ref="A103:J103"/>
    <mergeCell ref="A104:J104"/>
    <mergeCell ref="A119:E119"/>
    <mergeCell ref="F119:J119"/>
    <mergeCell ref="A114:J114"/>
    <mergeCell ref="A116:E116"/>
    <mergeCell ref="B149:C149"/>
    <mergeCell ref="F151:H151"/>
    <mergeCell ref="F152:H152"/>
    <mergeCell ref="B151:C151"/>
    <mergeCell ref="B214:E214"/>
    <mergeCell ref="F214:H214"/>
    <mergeCell ref="B211:E211"/>
    <mergeCell ref="F211:H211"/>
    <mergeCell ref="B212:E212"/>
    <mergeCell ref="F212:H212"/>
    <mergeCell ref="B217:E217"/>
    <mergeCell ref="F217:H217"/>
    <mergeCell ref="A218:J218"/>
    <mergeCell ref="A219:J219"/>
    <mergeCell ref="B215:E215"/>
    <mergeCell ref="F215:H215"/>
    <mergeCell ref="B216:E216"/>
    <mergeCell ref="F216:H216"/>
    <mergeCell ref="F224:G224"/>
    <mergeCell ref="H224:J224"/>
    <mergeCell ref="A228:E228"/>
    <mergeCell ref="F228:J228"/>
    <mergeCell ref="A220:J220"/>
    <mergeCell ref="A221:J221"/>
    <mergeCell ref="A223:E223"/>
    <mergeCell ref="F223:J223"/>
    <mergeCell ref="F232:J232"/>
    <mergeCell ref="F233:J233"/>
    <mergeCell ref="A235:J235"/>
    <mergeCell ref="D236:H236"/>
    <mergeCell ref="C237:J238"/>
    <mergeCell ref="A230:E230"/>
    <mergeCell ref="F230:J230"/>
    <mergeCell ref="A231:E231"/>
    <mergeCell ref="F231:J231"/>
    <mergeCell ref="A242:J242"/>
    <mergeCell ref="A244:J244"/>
    <mergeCell ref="A245:B245"/>
    <mergeCell ref="A237:B237"/>
    <mergeCell ref="A239:B239"/>
    <mergeCell ref="C239:J239"/>
    <mergeCell ref="H255:J255"/>
    <mergeCell ref="A250:C252"/>
    <mergeCell ref="D250:E250"/>
    <mergeCell ref="F250:H250"/>
    <mergeCell ref="I250:J250"/>
    <mergeCell ref="D251:D252"/>
    <mergeCell ref="E251:E252"/>
    <mergeCell ref="F251:H252"/>
    <mergeCell ref="I251:J251"/>
    <mergeCell ref="I252:J252"/>
    <mergeCell ref="A256:G256"/>
    <mergeCell ref="A257:G257"/>
    <mergeCell ref="A258:G258"/>
    <mergeCell ref="A259:G259"/>
    <mergeCell ref="A253:G253"/>
    <mergeCell ref="A254:G254"/>
    <mergeCell ref="A255:G255"/>
    <mergeCell ref="A263:G263"/>
    <mergeCell ref="A264:G264"/>
    <mergeCell ref="A266:J266"/>
    <mergeCell ref="A267:J267"/>
    <mergeCell ref="A260:G260"/>
    <mergeCell ref="A261:G261"/>
    <mergeCell ref="A262:G262"/>
    <mergeCell ref="H262:J262"/>
    <mergeCell ref="A277:J277"/>
    <mergeCell ref="A278:J278"/>
    <mergeCell ref="A279:J279"/>
    <mergeCell ref="A280:J280"/>
    <mergeCell ref="A268:J268"/>
    <mergeCell ref="A269:J269"/>
    <mergeCell ref="A270:J270"/>
    <mergeCell ref="A271:J271"/>
    <mergeCell ref="C273:J274"/>
    <mergeCell ref="A286:E286"/>
    <mergeCell ref="F286:J286"/>
    <mergeCell ref="A287:J287"/>
    <mergeCell ref="E288:J288"/>
    <mergeCell ref="A282:E282"/>
    <mergeCell ref="F282:J282"/>
    <mergeCell ref="A284:J284"/>
    <mergeCell ref="A285:E285"/>
    <mergeCell ref="F285:J285"/>
    <mergeCell ref="A294:J294"/>
    <mergeCell ref="A295:J295"/>
    <mergeCell ref="B300:J300"/>
    <mergeCell ref="B301:J301"/>
    <mergeCell ref="E289:J289"/>
    <mergeCell ref="A291:J291"/>
    <mergeCell ref="A292:J292"/>
    <mergeCell ref="A293:J293"/>
    <mergeCell ref="A309:J309"/>
    <mergeCell ref="A311:A312"/>
    <mergeCell ref="B311:E312"/>
    <mergeCell ref="F311:H312"/>
    <mergeCell ref="I311:J311"/>
    <mergeCell ref="B302:J302"/>
    <mergeCell ref="B303:J303"/>
    <mergeCell ref="A307:J307"/>
    <mergeCell ref="A308:J308"/>
    <mergeCell ref="F313:H313"/>
    <mergeCell ref="B314:E314"/>
    <mergeCell ref="F314:H314"/>
    <mergeCell ref="F326:J326"/>
    <mergeCell ref="B319:E319"/>
    <mergeCell ref="F319:H319"/>
    <mergeCell ref="A321:J321"/>
    <mergeCell ref="A322:J322"/>
    <mergeCell ref="B317:E317"/>
    <mergeCell ref="F317:H317"/>
    <mergeCell ref="B318:E318"/>
    <mergeCell ref="F318:H318"/>
    <mergeCell ref="A341:J341"/>
    <mergeCell ref="D47:E47"/>
    <mergeCell ref="B50:C50"/>
    <mergeCell ref="A323:J323"/>
    <mergeCell ref="A324:J324"/>
    <mergeCell ref="A326:E326"/>
    <mergeCell ref="A357:E357"/>
    <mergeCell ref="F357:J357"/>
    <mergeCell ref="A358:J358"/>
    <mergeCell ref="C344:J345"/>
    <mergeCell ref="B47:C47"/>
    <mergeCell ref="B48:C48"/>
    <mergeCell ref="D48:E48"/>
    <mergeCell ref="B49:C49"/>
    <mergeCell ref="D49:E49"/>
    <mergeCell ref="A327:E331"/>
    <mergeCell ref="F327:J331"/>
    <mergeCell ref="A339:J339"/>
    <mergeCell ref="A340:J340"/>
    <mergeCell ref="B315:E315"/>
    <mergeCell ref="F315:H315"/>
    <mergeCell ref="B316:E316"/>
    <mergeCell ref="F316:H316"/>
    <mergeCell ref="B313:E313"/>
    <mergeCell ref="E359:J359"/>
    <mergeCell ref="A354:E354"/>
    <mergeCell ref="F354:J354"/>
    <mergeCell ref="A355:J355"/>
    <mergeCell ref="A356:E356"/>
    <mergeCell ref="F356:J356"/>
    <mergeCell ref="A365:J365"/>
    <mergeCell ref="A366:J366"/>
    <mergeCell ref="B371:J371"/>
    <mergeCell ref="B372:J372"/>
    <mergeCell ref="E360:J360"/>
    <mergeCell ref="A362:J362"/>
    <mergeCell ref="A363:J363"/>
    <mergeCell ref="A364:J364"/>
    <mergeCell ref="A381:A382"/>
    <mergeCell ref="B381:E382"/>
    <mergeCell ref="F381:H382"/>
    <mergeCell ref="I381:J381"/>
    <mergeCell ref="B373:J373"/>
    <mergeCell ref="B374:J374"/>
    <mergeCell ref="A378:J378"/>
    <mergeCell ref="A379:J379"/>
    <mergeCell ref="B385:E385"/>
    <mergeCell ref="F385:H385"/>
    <mergeCell ref="B386:E386"/>
    <mergeCell ref="F386:H386"/>
    <mergeCell ref="B383:E383"/>
    <mergeCell ref="F383:H383"/>
    <mergeCell ref="B384:E384"/>
    <mergeCell ref="F384:H384"/>
    <mergeCell ref="B389:E389"/>
    <mergeCell ref="F389:H389"/>
    <mergeCell ref="A390:J390"/>
    <mergeCell ref="A391:J391"/>
    <mergeCell ref="B387:E387"/>
    <mergeCell ref="F387:H387"/>
    <mergeCell ref="B388:E388"/>
    <mergeCell ref="F388:H388"/>
    <mergeCell ref="F396:G396"/>
    <mergeCell ref="H396:J396"/>
    <mergeCell ref="A400:E400"/>
    <mergeCell ref="F400:J400"/>
    <mergeCell ref="A392:J392"/>
    <mergeCell ref="A393:J393"/>
    <mergeCell ref="A395:E395"/>
    <mergeCell ref="F395:J395"/>
    <mergeCell ref="F404:J404"/>
    <mergeCell ref="F405:J405"/>
    <mergeCell ref="A407:J407"/>
    <mergeCell ref="D408:H408"/>
    <mergeCell ref="A402:E402"/>
    <mergeCell ref="F402:J402"/>
    <mergeCell ref="A403:E403"/>
    <mergeCell ref="F403:J403"/>
    <mergeCell ref="A414:J414"/>
    <mergeCell ref="A416:J416"/>
    <mergeCell ref="A417:B417"/>
    <mergeCell ref="A409:B409"/>
    <mergeCell ref="A411:B411"/>
    <mergeCell ref="C411:J411"/>
    <mergeCell ref="C409:J410"/>
    <mergeCell ref="H427:J427"/>
    <mergeCell ref="A422:C424"/>
    <mergeCell ref="D422:E422"/>
    <mergeCell ref="F422:H422"/>
    <mergeCell ref="I422:J422"/>
    <mergeCell ref="D423:D424"/>
    <mergeCell ref="E423:E424"/>
    <mergeCell ref="F423:H424"/>
    <mergeCell ref="I423:J423"/>
    <mergeCell ref="I424:J424"/>
    <mergeCell ref="A428:G428"/>
    <mergeCell ref="A429:G429"/>
    <mergeCell ref="A430:G430"/>
    <mergeCell ref="A431:G431"/>
    <mergeCell ref="A425:G425"/>
    <mergeCell ref="A426:G426"/>
    <mergeCell ref="A427:G427"/>
    <mergeCell ref="A449:J449"/>
    <mergeCell ref="A450:J450"/>
    <mergeCell ref="A435:G435"/>
    <mergeCell ref="A432:G432"/>
    <mergeCell ref="A433:G433"/>
    <mergeCell ref="A434:G434"/>
    <mergeCell ref="H434:J434"/>
    <mergeCell ref="A451:J451"/>
    <mergeCell ref="A452:J452"/>
    <mergeCell ref="A436:G436"/>
    <mergeCell ref="A438:J438"/>
    <mergeCell ref="A439:J439"/>
    <mergeCell ref="C445:J446"/>
    <mergeCell ref="A458:E458"/>
    <mergeCell ref="F458:J458"/>
    <mergeCell ref="A459:J459"/>
    <mergeCell ref="A440:J440"/>
    <mergeCell ref="A441:J441"/>
    <mergeCell ref="A442:J442"/>
    <mergeCell ref="A443:J443"/>
    <mergeCell ref="E460:J460"/>
    <mergeCell ref="A454:E454"/>
    <mergeCell ref="F454:J454"/>
    <mergeCell ref="A456:J456"/>
    <mergeCell ref="A457:E457"/>
    <mergeCell ref="F457:J457"/>
    <mergeCell ref="A466:J466"/>
    <mergeCell ref="A467:J467"/>
    <mergeCell ref="B472:J472"/>
    <mergeCell ref="B473:J473"/>
    <mergeCell ref="E461:J461"/>
    <mergeCell ref="A463:J463"/>
    <mergeCell ref="A464:J464"/>
    <mergeCell ref="A465:J465"/>
    <mergeCell ref="A481:J481"/>
    <mergeCell ref="A483:A484"/>
    <mergeCell ref="B483:E484"/>
    <mergeCell ref="F483:H484"/>
    <mergeCell ref="I483:J483"/>
    <mergeCell ref="B474:J474"/>
    <mergeCell ref="B475:J475"/>
    <mergeCell ref="A479:J479"/>
    <mergeCell ref="A480:J480"/>
    <mergeCell ref="B487:E487"/>
    <mergeCell ref="F487:H487"/>
    <mergeCell ref="B488:E488"/>
    <mergeCell ref="F488:H488"/>
    <mergeCell ref="B485:E485"/>
    <mergeCell ref="F485:H485"/>
    <mergeCell ref="B486:E486"/>
    <mergeCell ref="F486:H486"/>
    <mergeCell ref="B491:E491"/>
    <mergeCell ref="F491:H491"/>
    <mergeCell ref="A493:J493"/>
    <mergeCell ref="A494:J494"/>
    <mergeCell ref="B489:E489"/>
    <mergeCell ref="F489:H489"/>
    <mergeCell ref="B490:E490"/>
    <mergeCell ref="F490:H490"/>
    <mergeCell ref="A499:E503"/>
    <mergeCell ref="F499:J503"/>
    <mergeCell ref="A495:J495"/>
    <mergeCell ref="A496:J496"/>
    <mergeCell ref="A498:E498"/>
    <mergeCell ref="F498:J498"/>
  </mergeCells>
  <phoneticPr fontId="0" type="noConversion"/>
  <pageMargins left="0.61" right="0.26" top="0.56000000000000005" bottom="0.4" header="0.38" footer="0.23"/>
  <pageSetup paperSize="9" scale="99" orientation="portrait" r:id="rId1"/>
  <headerFooter alignWithMargins="0"/>
  <rowBreaks count="8" manualBreakCount="8">
    <brk id="64" max="9" man="1"/>
    <brk id="98" max="9" man="1"/>
    <brk id="164" max="9" man="1"/>
    <brk id="229" max="9" man="1"/>
    <brk id="265" max="9" man="1"/>
    <brk id="336" max="9" man="1"/>
    <brk id="401" max="9" man="1"/>
    <brk id="437" max="9"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179"/>
  <sheetViews>
    <sheetView view="pageBreakPreview" topLeftCell="A118" zoomScaleNormal="100" zoomScaleSheetLayoutView="100" workbookViewId="0">
      <selection activeCell="G32" sqref="G32"/>
    </sheetView>
  </sheetViews>
  <sheetFormatPr defaultRowHeight="15"/>
  <cols>
    <col min="1" max="1" width="5.140625" style="463" customWidth="1"/>
    <col min="2" max="2" width="12.28515625" style="463" customWidth="1"/>
    <col min="3" max="3" width="9.85546875" style="463" customWidth="1"/>
    <col min="4" max="4" width="10" style="463" customWidth="1"/>
    <col min="5" max="5" width="14.140625" style="463" customWidth="1"/>
    <col min="6" max="6" width="9.7109375" style="463" customWidth="1"/>
    <col min="7" max="7" width="8" style="463" customWidth="1"/>
    <col min="8" max="8" width="9.42578125" style="463" customWidth="1"/>
    <col min="9" max="9" width="9.7109375" style="463" customWidth="1"/>
    <col min="10" max="10" width="7.42578125" style="463" customWidth="1"/>
    <col min="11" max="12" width="9.140625" style="463"/>
    <col min="13" max="13" width="8.5703125" style="464" customWidth="1"/>
    <col min="14" max="14" width="24.7109375" style="464" bestFit="1" customWidth="1"/>
    <col min="15" max="15" width="18" style="464" customWidth="1"/>
    <col min="16" max="16" width="18.42578125" style="464" customWidth="1"/>
    <col min="17" max="24" width="9.140625" style="464"/>
    <col min="25" max="30" width="9.140625" style="468"/>
    <col min="31" max="16384" width="9.140625" style="463"/>
  </cols>
  <sheetData>
    <row r="1" spans="1:30" ht="20.100000000000001" customHeight="1">
      <c r="A1" s="1682" t="s">
        <v>77</v>
      </c>
      <c r="B1" s="1682"/>
      <c r="C1" s="1682"/>
      <c r="D1" s="1682"/>
      <c r="E1" s="1682"/>
      <c r="F1" s="1682"/>
      <c r="G1" s="1682"/>
      <c r="H1" s="1682"/>
      <c r="I1" s="1682"/>
      <c r="J1" s="1682"/>
      <c r="L1" s="464" t="s">
        <v>78</v>
      </c>
      <c r="M1" s="465"/>
      <c r="O1" s="466" t="s">
        <v>79</v>
      </c>
      <c r="P1" s="466"/>
      <c r="Q1" s="467"/>
      <c r="V1" s="467"/>
    </row>
    <row r="2" spans="1:30" ht="20.100000000000001" customHeight="1">
      <c r="A2" s="1683" t="s">
        <v>80</v>
      </c>
      <c r="B2" s="1683"/>
      <c r="C2" s="1683"/>
      <c r="D2" s="1683"/>
      <c r="E2" s="1683"/>
      <c r="F2" s="1683"/>
      <c r="G2" s="1683"/>
      <c r="H2" s="1683"/>
      <c r="I2" s="1683"/>
      <c r="J2" s="1683"/>
      <c r="L2" s="467" t="s">
        <v>81</v>
      </c>
      <c r="N2" s="467" t="str">
        <f>'2. NK'!$D$10</f>
        <v>B1</v>
      </c>
      <c r="O2" s="466" t="s">
        <v>346</v>
      </c>
      <c r="P2" s="466"/>
      <c r="Q2" s="467"/>
      <c r="R2" s="464" t="s">
        <v>1132</v>
      </c>
      <c r="V2" s="467"/>
    </row>
    <row r="3" spans="1:30" ht="20.100000000000001" customHeight="1">
      <c r="A3" s="1616" t="s">
        <v>82</v>
      </c>
      <c r="B3" s="1616"/>
      <c r="C3" s="1616"/>
      <c r="D3" s="1616"/>
      <c r="E3" s="1616"/>
      <c r="F3" s="1616"/>
      <c r="G3" s="1616"/>
      <c r="H3" s="1616"/>
      <c r="I3" s="1616"/>
      <c r="J3" s="1616"/>
      <c r="L3" s="469" t="s">
        <v>83</v>
      </c>
      <c r="N3" s="467" t="str">
        <f>'2. NK'!$R$12</f>
        <v>Tại công trình</v>
      </c>
      <c r="P3" s="467"/>
      <c r="V3" s="467"/>
    </row>
    <row r="4" spans="1:30" ht="20.100000000000001" customHeight="1">
      <c r="A4" s="1684">
        <f>N11</f>
        <v>42466</v>
      </c>
      <c r="B4" s="1684"/>
      <c r="C4" s="1684"/>
      <c r="D4" s="1684"/>
      <c r="E4" s="1684"/>
      <c r="F4" s="1684"/>
      <c r="G4" s="1684"/>
      <c r="H4" s="1684"/>
      <c r="I4" s="1684"/>
      <c r="J4" s="1684"/>
      <c r="L4" s="469" t="s">
        <v>84</v>
      </c>
      <c r="N4" s="467" t="str">
        <f>'2. NK'!$D$10&amp;"/"&amp;'2. NK'!$H$10</f>
        <v>B1/800</v>
      </c>
      <c r="O4" s="466" t="s">
        <v>85</v>
      </c>
      <c r="P4" s="466"/>
      <c r="Q4" s="467"/>
    </row>
    <row r="5" spans="1:30" ht="20.100000000000001" customHeight="1">
      <c r="A5" s="759"/>
      <c r="B5" s="759"/>
      <c r="C5" s="759"/>
      <c r="D5" s="759"/>
      <c r="E5" s="759"/>
      <c r="F5" s="759"/>
      <c r="G5" s="759"/>
      <c r="H5" s="759"/>
      <c r="I5" s="759"/>
      <c r="J5" s="759"/>
      <c r="L5" s="469" t="s">
        <v>36</v>
      </c>
      <c r="N5" s="467"/>
      <c r="P5" s="466"/>
      <c r="Q5" s="467"/>
    </row>
    <row r="6" spans="1:30" ht="20.100000000000001" customHeight="1">
      <c r="A6" s="1685" t="s">
        <v>86</v>
      </c>
      <c r="B6" s="1618"/>
      <c r="C6" s="1618"/>
      <c r="D6" s="1618"/>
      <c r="E6" s="1618"/>
      <c r="F6" s="1618"/>
      <c r="G6" s="1618"/>
      <c r="H6" s="1618"/>
      <c r="I6" s="1618"/>
      <c r="J6" s="1618"/>
      <c r="M6" s="469" t="s">
        <v>87</v>
      </c>
      <c r="N6" s="470">
        <v>0</v>
      </c>
      <c r="O6" s="466"/>
      <c r="P6" s="466"/>
      <c r="Q6" s="466"/>
    </row>
    <row r="7" spans="1:30" ht="20.100000000000001" customHeight="1">
      <c r="A7" s="1686" t="str">
        <f>"SỐ: TGHL-HT-CWI-C&amp;S-"&amp;N4</f>
        <v>SỐ: TGHL-HT-CWI-C&amp;S-B1/800</v>
      </c>
      <c r="B7" s="1686"/>
      <c r="C7" s="1686"/>
      <c r="D7" s="1686"/>
      <c r="E7" s="1686"/>
      <c r="F7" s="1686"/>
      <c r="G7" s="1686"/>
      <c r="H7" s="1686"/>
      <c r="I7" s="1686"/>
      <c r="J7" s="1686"/>
      <c r="K7" s="472"/>
      <c r="M7" s="469" t="s">
        <v>354</v>
      </c>
      <c r="N7" s="473">
        <v>0</v>
      </c>
      <c r="O7" s="466"/>
      <c r="P7" s="466"/>
      <c r="Q7" s="466"/>
    </row>
    <row r="8" spans="1:30" s="472" customFormat="1" ht="20.100000000000001" customHeight="1">
      <c r="A8" s="471"/>
      <c r="B8" s="471"/>
      <c r="C8" s="471"/>
      <c r="D8" s="471"/>
      <c r="E8" s="471"/>
      <c r="F8" s="471"/>
      <c r="G8" s="471"/>
      <c r="H8" s="471"/>
      <c r="I8" s="471"/>
      <c r="J8" s="471"/>
      <c r="K8" s="463"/>
      <c r="L8" s="469" t="s">
        <v>88</v>
      </c>
      <c r="M8" s="467"/>
      <c r="N8" s="467"/>
      <c r="O8" s="466" t="s">
        <v>197</v>
      </c>
      <c r="P8" s="466"/>
      <c r="Q8" s="467"/>
      <c r="R8" s="464"/>
      <c r="S8" s="464"/>
      <c r="T8" s="464"/>
      <c r="U8" s="474"/>
      <c r="V8" s="474"/>
      <c r="W8" s="474"/>
      <c r="X8" s="474"/>
      <c r="Y8" s="475"/>
      <c r="Z8" s="475"/>
      <c r="AA8" s="475"/>
      <c r="AB8" s="475"/>
      <c r="AC8" s="475"/>
      <c r="AD8" s="475"/>
    </row>
    <row r="9" spans="1:30" ht="35.1" customHeight="1">
      <c r="A9" s="641" t="str">
        <f>'[6]4. BBKT-VL-PO'!A8</f>
        <v>DỰ ÁN:</v>
      </c>
      <c r="B9" s="476"/>
      <c r="C9" s="1615" t="str">
        <f>'[6]4. BBKT-VL-PO'!C8:J8</f>
        <v>KHU HỖN HỢP CHUNG CƯ, VĂN PHÒNG, TRUNG TÂM THƯƠNG MẠI VÀ NHÀ Ở KẾT HỢP KHU MUA SẮM</v>
      </c>
      <c r="D9" s="1615"/>
      <c r="E9" s="1615"/>
      <c r="F9" s="1615"/>
      <c r="G9" s="1615"/>
      <c r="H9" s="1615"/>
      <c r="I9" s="1615"/>
      <c r="J9" s="1615"/>
      <c r="L9" s="469"/>
      <c r="M9" s="467"/>
      <c r="N9" s="467"/>
      <c r="O9" s="478"/>
      <c r="P9" s="479"/>
      <c r="Q9" s="479"/>
      <c r="R9" s="474"/>
      <c r="S9" s="474"/>
      <c r="T9" s="474"/>
    </row>
    <row r="10" spans="1:30" ht="20.100000000000001" customHeight="1">
      <c r="A10" s="641" t="str">
        <f>'[6]4. BBKT-VL-PO'!A9</f>
        <v>CÔNG TRÌNH:</v>
      </c>
      <c r="B10" s="476"/>
      <c r="C10" s="1615" t="str">
        <f>'[6]4. BBKT-VL-PO'!C9:J9</f>
        <v>KHU HỖN HỢP CHUNG CƯ, VĂN PHÒNG, TTTM</v>
      </c>
      <c r="D10" s="1615"/>
      <c r="E10" s="1615"/>
      <c r="F10" s="1615"/>
      <c r="G10" s="1615"/>
      <c r="H10" s="1615"/>
      <c r="I10" s="1615"/>
      <c r="J10" s="1615"/>
      <c r="L10" s="469"/>
      <c r="M10" s="469" t="s">
        <v>87</v>
      </c>
      <c r="N10" s="470">
        <f>'2. NK'!F13</f>
        <v>0.40277777777777773</v>
      </c>
      <c r="O10" s="478"/>
      <c r="P10" s="479"/>
      <c r="Q10" s="479"/>
    </row>
    <row r="11" spans="1:30" ht="20.100000000000001" customHeight="1">
      <c r="A11" s="641" t="str">
        <f>'[6]4. BBKT-VL-PO'!A10</f>
        <v>GÓI THẦU :</v>
      </c>
      <c r="B11" s="476"/>
      <c r="C11" s="1615" t="str">
        <f>'[6]4. BBKT-VL-PO'!C10:J10</f>
        <v>THI CÔNG CỌC KHOAN NHỒI</v>
      </c>
      <c r="D11" s="1615"/>
      <c r="E11" s="1615"/>
      <c r="F11" s="1615"/>
      <c r="G11" s="1615"/>
      <c r="H11" s="1615"/>
      <c r="I11" s="1615"/>
      <c r="J11" s="1615"/>
      <c r="K11" s="472"/>
      <c r="L11" s="469"/>
      <c r="M11" s="469" t="s">
        <v>354</v>
      </c>
      <c r="N11" s="473">
        <f>N17</f>
        <v>42466</v>
      </c>
      <c r="O11" s="470">
        <f>(N16-N10)/3</f>
        <v>1.1574074074074032E-3</v>
      </c>
      <c r="P11" s="479"/>
      <c r="Q11" s="479"/>
    </row>
    <row r="12" spans="1:30" s="472" customFormat="1" ht="20.100000000000001" customHeight="1">
      <c r="A12" s="641" t="str">
        <f>'[6]4. BBKT-VL-PO'!A11</f>
        <v>ĐỊA ĐIỂM :</v>
      </c>
      <c r="B12" s="476"/>
      <c r="C12" s="1615" t="str">
        <f>'[6]4. BBKT-VL-PO'!C11:J11</f>
        <v>ĐƯỜNG 25/4, P BẠCH ĐẰNG, TP. HẠ LONG, TỈNH QUẢNG NINH</v>
      </c>
      <c r="D12" s="1615"/>
      <c r="E12" s="1615"/>
      <c r="F12" s="1615"/>
      <c r="G12" s="1615"/>
      <c r="H12" s="1615"/>
      <c r="I12" s="1615"/>
      <c r="J12" s="1615"/>
      <c r="K12" s="463"/>
      <c r="L12" s="469" t="s">
        <v>90</v>
      </c>
      <c r="M12" s="467"/>
      <c r="N12" s="467"/>
      <c r="O12" s="466"/>
      <c r="P12" s="479"/>
      <c r="Q12" s="469"/>
      <c r="R12" s="464"/>
      <c r="S12" s="464"/>
      <c r="T12" s="464"/>
      <c r="U12" s="474"/>
      <c r="V12" s="474"/>
      <c r="W12" s="474"/>
      <c r="X12" s="474"/>
      <c r="Y12" s="475"/>
      <c r="Z12" s="475"/>
      <c r="AA12" s="475"/>
      <c r="AB12" s="475"/>
      <c r="AC12" s="475"/>
      <c r="AD12" s="475"/>
    </row>
    <row r="13" spans="1:30" ht="20.100000000000001" customHeight="1">
      <c r="A13" s="1596" t="s">
        <v>89</v>
      </c>
      <c r="B13" s="1596"/>
      <c r="C13" s="1596"/>
      <c r="D13" s="1596"/>
      <c r="E13" s="1596"/>
      <c r="F13" s="1596"/>
      <c r="G13" s="1596"/>
      <c r="H13" s="1596"/>
      <c r="I13" s="1596"/>
      <c r="J13" s="1596"/>
      <c r="L13" s="469"/>
      <c r="M13" s="469" t="s">
        <v>87</v>
      </c>
      <c r="N13" s="470">
        <f>N16-0.00694444444444444</f>
        <v>0.39930555555555552</v>
      </c>
      <c r="O13" s="478"/>
      <c r="P13" s="479"/>
      <c r="Q13" s="469"/>
      <c r="R13" s="474"/>
      <c r="S13" s="474"/>
      <c r="T13" s="474"/>
    </row>
    <row r="14" spans="1:30" ht="20.100000000000001" customHeight="1">
      <c r="A14" s="1610" t="str">
        <f>"Định vị cọc số hiệu " &amp;N2</f>
        <v>Định vị cọc số hiệu B1</v>
      </c>
      <c r="B14" s="1622"/>
      <c r="C14" s="1622"/>
      <c r="D14" s="1622"/>
      <c r="E14" s="1622"/>
      <c r="F14" s="1622"/>
      <c r="G14" s="1622"/>
      <c r="H14" s="1622"/>
      <c r="I14" s="1622"/>
      <c r="J14" s="1622"/>
      <c r="M14" s="469" t="s">
        <v>354</v>
      </c>
      <c r="N14" s="473">
        <f>N17</f>
        <v>42466</v>
      </c>
      <c r="O14" s="466" t="s">
        <v>91</v>
      </c>
      <c r="P14" s="466"/>
      <c r="Q14" s="467"/>
    </row>
    <row r="15" spans="1:30" ht="20.100000000000001" customHeight="1">
      <c r="A15" s="1596" t="s">
        <v>859</v>
      </c>
      <c r="B15" s="1596"/>
      <c r="C15" s="1596"/>
      <c r="D15" s="1596"/>
      <c r="E15" s="1596"/>
      <c r="F15" s="1596"/>
      <c r="G15" s="1596"/>
      <c r="H15" s="1596"/>
      <c r="I15" s="1596"/>
      <c r="J15" s="1596"/>
      <c r="L15" s="469" t="s">
        <v>93</v>
      </c>
      <c r="M15" s="467"/>
      <c r="N15" s="467"/>
      <c r="P15" s="466"/>
      <c r="Q15" s="466"/>
    </row>
    <row r="16" spans="1:30" ht="20.100000000000001" customHeight="1">
      <c r="A16" s="482" t="s">
        <v>860</v>
      </c>
      <c r="B16" s="118"/>
      <c r="C16" s="118"/>
      <c r="D16" s="118"/>
      <c r="E16" s="118"/>
      <c r="F16" s="483"/>
      <c r="G16" s="483"/>
      <c r="H16" s="483"/>
      <c r="I16" s="483"/>
      <c r="J16" s="483"/>
      <c r="M16" s="469" t="s">
        <v>87</v>
      </c>
      <c r="N16" s="545">
        <f>'2. NK'!$H$13</f>
        <v>0.40624999999999994</v>
      </c>
      <c r="O16" s="466"/>
      <c r="P16" s="466"/>
      <c r="Q16" s="466"/>
    </row>
    <row r="17" spans="1:232" ht="20.100000000000001" customHeight="1">
      <c r="A17" s="1595" t="s">
        <v>907</v>
      </c>
      <c r="B17" s="1595"/>
      <c r="C17" s="1595"/>
      <c r="D17" s="1595"/>
      <c r="E17" s="1595"/>
      <c r="F17" s="1595" t="s">
        <v>908</v>
      </c>
      <c r="G17" s="1595"/>
      <c r="H17" s="1595"/>
      <c r="I17" s="1595"/>
      <c r="J17" s="1595"/>
      <c r="M17" s="469" t="s">
        <v>354</v>
      </c>
      <c r="N17" s="546">
        <f>'2. NK'!$J$13</f>
        <v>42466</v>
      </c>
      <c r="O17" s="466"/>
      <c r="P17" s="466"/>
      <c r="Q17" s="466"/>
    </row>
    <row r="18" spans="1:232" ht="20.100000000000001" customHeight="1">
      <c r="A18" s="1595" t="s">
        <v>907</v>
      </c>
      <c r="B18" s="1595"/>
      <c r="C18" s="1595"/>
      <c r="D18" s="1595"/>
      <c r="E18" s="1595"/>
      <c r="F18" s="1595" t="s">
        <v>908</v>
      </c>
      <c r="G18" s="1595"/>
      <c r="H18" s="1595"/>
      <c r="I18" s="1595"/>
      <c r="J18" s="1595"/>
      <c r="L18" s="541"/>
      <c r="N18" s="473"/>
      <c r="O18" s="466" t="s">
        <v>94</v>
      </c>
      <c r="P18" s="466"/>
      <c r="Q18" s="466"/>
    </row>
    <row r="19" spans="1:232" ht="20.100000000000001" customHeight="1">
      <c r="A19" s="1604" t="s">
        <v>861</v>
      </c>
      <c r="B19" s="1604"/>
      <c r="C19" s="1604"/>
      <c r="D19" s="1604"/>
      <c r="E19" s="1604"/>
      <c r="F19" s="1604"/>
      <c r="G19" s="1604"/>
      <c r="H19" s="1604"/>
      <c r="I19" s="1604"/>
      <c r="J19" s="1604"/>
      <c r="K19" s="5"/>
      <c r="L19" s="5"/>
      <c r="M19" s="5"/>
      <c r="N19" s="5"/>
      <c r="O19" s="487"/>
      <c r="P19" s="479"/>
      <c r="Q19" s="479"/>
    </row>
    <row r="20" spans="1:232" ht="20.100000000000001" customHeight="1">
      <c r="A20" s="1595" t="s">
        <v>907</v>
      </c>
      <c r="B20" s="1595"/>
      <c r="C20" s="1595"/>
      <c r="D20" s="1595"/>
      <c r="E20" s="1595"/>
      <c r="F20" s="1595" t="s">
        <v>909</v>
      </c>
      <c r="G20" s="1595"/>
      <c r="H20" s="1595"/>
      <c r="I20" s="1595"/>
      <c r="J20" s="1595"/>
      <c r="K20" s="5"/>
      <c r="L20" s="5"/>
      <c r="M20" s="5"/>
      <c r="N20" s="5"/>
      <c r="O20" s="487"/>
      <c r="P20" s="479"/>
      <c r="Q20" s="479"/>
    </row>
    <row r="21" spans="1:232" ht="20.100000000000001" customHeight="1">
      <c r="A21" s="1595" t="s">
        <v>907</v>
      </c>
      <c r="B21" s="1595"/>
      <c r="C21" s="1595"/>
      <c r="D21" s="1595"/>
      <c r="E21" s="1595"/>
      <c r="F21" s="1595" t="s">
        <v>908</v>
      </c>
      <c r="G21" s="1595"/>
      <c r="H21" s="1595"/>
      <c r="I21" s="1595"/>
      <c r="J21" s="1595"/>
      <c r="K21" s="5"/>
      <c r="L21" s="5"/>
      <c r="M21" s="5"/>
      <c r="N21" s="5"/>
      <c r="O21" s="492"/>
      <c r="P21" s="479"/>
      <c r="Q21" s="479"/>
    </row>
    <row r="22" spans="1:232" s="175" customFormat="1" ht="20.100000000000001" customHeight="1">
      <c r="A22" s="1596" t="str">
        <f>'8.BBCT'!A137:J137</f>
        <v>III./ THỜI GIAN NGHIỆM THU:</v>
      </c>
      <c r="B22" s="1596"/>
      <c r="C22" s="1596"/>
      <c r="D22" s="1596"/>
      <c r="E22" s="1596"/>
      <c r="F22" s="1596"/>
      <c r="G22" s="1596"/>
      <c r="H22" s="1596"/>
      <c r="I22" s="1596"/>
      <c r="J22" s="1596"/>
      <c r="K22" s="5"/>
      <c r="L22" s="5"/>
      <c r="M22" s="5"/>
      <c r="N22" s="5"/>
      <c r="O22" s="492"/>
      <c r="P22" s="467"/>
      <c r="Q22" s="464"/>
      <c r="R22" s="464"/>
      <c r="S22" s="464"/>
    </row>
    <row r="23" spans="1:232" ht="20.100000000000001" customHeight="1">
      <c r="A23" s="477" t="str">
        <f>'8.BBCT'!A138</f>
        <v xml:space="preserve">Bắt đầu nghiệm thu:    </v>
      </c>
      <c r="B23" s="477"/>
      <c r="C23" s="477"/>
      <c r="D23" s="484">
        <f>L138-N140</f>
        <v>0.39236111111111105</v>
      </c>
      <c r="E23" s="1603">
        <f>A4</f>
        <v>42466</v>
      </c>
      <c r="F23" s="1603"/>
      <c r="G23" s="1603"/>
      <c r="H23" s="1603"/>
      <c r="I23" s="1603"/>
      <c r="J23" s="1603"/>
      <c r="N23" s="5"/>
      <c r="O23" s="492"/>
      <c r="P23" s="467"/>
      <c r="S23" s="175"/>
    </row>
    <row r="24" spans="1:232" ht="20.100000000000001" customHeight="1">
      <c r="A24" s="477" t="str">
        <f>'8.BBCT'!A139</f>
        <v xml:space="preserve">Kết thúc nghiệm thu: </v>
      </c>
      <c r="B24" s="477"/>
      <c r="C24" s="477"/>
      <c r="D24" s="484">
        <f>L138-N139</f>
        <v>0.39583333333333331</v>
      </c>
      <c r="E24" s="1603">
        <f>A4</f>
        <v>42466</v>
      </c>
      <c r="F24" s="1603"/>
      <c r="G24" s="1603"/>
      <c r="H24" s="1603"/>
      <c r="I24" s="1603"/>
      <c r="J24" s="1603"/>
      <c r="O24" s="492"/>
      <c r="P24" s="467"/>
      <c r="Q24" s="467"/>
    </row>
    <row r="25" spans="1:232" ht="20.100000000000001" customHeight="1">
      <c r="A25" s="767" t="s">
        <v>99</v>
      </c>
      <c r="B25" s="477" t="str">
        <f>'[6]4. BBKT-VL-PO'!B24:J24</f>
        <v>Công trình: Khu hỗn hợp chung cư, văn phòng, trung tâm thương mại.</v>
      </c>
      <c r="C25" s="489"/>
      <c r="D25" s="489"/>
      <c r="E25" s="489"/>
      <c r="F25" s="489"/>
      <c r="G25" s="489"/>
      <c r="H25" s="489"/>
      <c r="I25" s="489"/>
      <c r="J25" s="489"/>
      <c r="O25" s="477"/>
      <c r="P25" s="467"/>
      <c r="Q25" s="467"/>
    </row>
    <row r="26" spans="1:232" ht="20.100000000000001" customHeight="1">
      <c r="A26" s="1596" t="s">
        <v>441</v>
      </c>
      <c r="B26" s="1596"/>
      <c r="C26" s="1596"/>
      <c r="D26" s="1596"/>
      <c r="E26" s="1596"/>
      <c r="F26" s="1596"/>
      <c r="G26" s="1596"/>
      <c r="H26" s="1596"/>
      <c r="I26" s="1596"/>
      <c r="J26" s="1596"/>
      <c r="O26" s="492"/>
      <c r="P26" s="467"/>
    </row>
    <row r="27" spans="1:232" s="175" customFormat="1" ht="20.100000000000001" customHeight="1">
      <c r="A27" s="1604" t="s">
        <v>101</v>
      </c>
      <c r="B27" s="1604"/>
      <c r="C27" s="1604"/>
      <c r="D27" s="1604"/>
      <c r="E27" s="1604"/>
      <c r="F27" s="1604"/>
      <c r="G27" s="1604"/>
      <c r="H27" s="1604"/>
      <c r="I27" s="1604"/>
      <c r="J27" s="1604"/>
      <c r="K27" s="463"/>
      <c r="L27" s="463"/>
      <c r="M27" s="464"/>
      <c r="N27" s="464"/>
      <c r="O27" s="495"/>
      <c r="P27" s="467"/>
      <c r="Q27" s="467"/>
      <c r="R27" s="464"/>
      <c r="S27" s="464"/>
    </row>
    <row r="28" spans="1:232" ht="20.100000000000001" customHeight="1">
      <c r="A28" s="1595" t="s">
        <v>862</v>
      </c>
      <c r="B28" s="1595"/>
      <c r="C28" s="1595"/>
      <c r="D28" s="1595"/>
      <c r="E28" s="1595"/>
      <c r="F28" s="1595"/>
      <c r="G28" s="1595"/>
      <c r="H28" s="1595"/>
      <c r="I28" s="1595"/>
      <c r="J28" s="1595"/>
      <c r="O28" s="495"/>
      <c r="P28" s="467"/>
      <c r="R28" s="175"/>
      <c r="S28" s="175"/>
    </row>
    <row r="29" spans="1:232" ht="20.100000000000001" customHeight="1">
      <c r="A29" s="1679" t="str">
        <f>'8.BBCT'!A144:J144</f>
        <v>-    Hồ sơ thiết kế bản vẽ thi công đã được phê duyệt.</v>
      </c>
      <c r="B29" s="1679"/>
      <c r="C29" s="1679"/>
      <c r="D29" s="1679"/>
      <c r="E29" s="1679"/>
      <c r="F29" s="1679"/>
      <c r="G29" s="1679"/>
      <c r="H29" s="1679"/>
      <c r="I29" s="1679"/>
      <c r="J29" s="1679"/>
      <c r="O29" s="495"/>
      <c r="P29" s="467"/>
    </row>
    <row r="30" spans="1:232" s="637" customFormat="1" ht="20.100000000000001" customHeight="1">
      <c r="A30" s="486" t="s">
        <v>104</v>
      </c>
      <c r="B30" s="477"/>
      <c r="C30" s="477"/>
      <c r="D30" s="477"/>
      <c r="E30" s="477"/>
      <c r="F30" s="477"/>
      <c r="G30" s="477"/>
      <c r="H30" s="477"/>
      <c r="I30" s="477"/>
      <c r="J30" s="477"/>
      <c r="K30" s="463"/>
      <c r="L30" s="463"/>
      <c r="M30" s="464"/>
      <c r="N30" s="464"/>
      <c r="O30" s="464"/>
      <c r="P30" s="467"/>
      <c r="Q30" s="464"/>
      <c r="R30" s="464"/>
      <c r="S30" s="464"/>
      <c r="T30" s="487"/>
      <c r="U30" s="487"/>
      <c r="V30" s="487"/>
      <c r="W30" s="487"/>
      <c r="X30" s="487"/>
      <c r="Y30" s="487"/>
      <c r="Z30" s="487"/>
      <c r="AA30" s="487"/>
      <c r="AB30" s="487"/>
      <c r="AC30" s="487"/>
      <c r="AD30" s="487"/>
      <c r="AE30" s="487"/>
      <c r="AF30" s="487"/>
      <c r="AG30" s="487"/>
      <c r="AH30" s="487"/>
      <c r="AI30" s="487"/>
      <c r="AJ30" s="487"/>
      <c r="AK30" s="487"/>
      <c r="AL30" s="487"/>
      <c r="AM30" s="487"/>
      <c r="AN30" s="487"/>
      <c r="AO30" s="487"/>
      <c r="AP30" s="487"/>
      <c r="AQ30" s="487"/>
      <c r="AR30" s="487"/>
      <c r="AS30" s="487"/>
      <c r="AT30" s="487"/>
      <c r="AU30" s="487"/>
      <c r="AV30" s="487"/>
      <c r="AW30" s="487"/>
      <c r="AX30" s="487"/>
      <c r="AY30" s="487"/>
      <c r="AZ30" s="487"/>
      <c r="BA30" s="487"/>
      <c r="BB30" s="487"/>
      <c r="BC30" s="487"/>
      <c r="BD30" s="487"/>
      <c r="BE30" s="487"/>
      <c r="BF30" s="487"/>
      <c r="BG30" s="487"/>
      <c r="BH30" s="487"/>
      <c r="BI30" s="487"/>
      <c r="BJ30" s="487"/>
      <c r="BK30" s="487"/>
      <c r="BL30" s="487"/>
      <c r="BM30" s="487"/>
      <c r="BN30" s="487"/>
      <c r="BO30" s="487"/>
      <c r="BP30" s="487"/>
      <c r="BQ30" s="487"/>
      <c r="BR30" s="487"/>
      <c r="BS30" s="487"/>
      <c r="BT30" s="487"/>
      <c r="BU30" s="487"/>
      <c r="BV30" s="487"/>
      <c r="BW30" s="487"/>
      <c r="BX30" s="487"/>
      <c r="BY30" s="487"/>
      <c r="BZ30" s="487"/>
      <c r="CA30" s="487"/>
      <c r="CB30" s="487"/>
      <c r="CC30" s="487"/>
      <c r="CD30" s="487"/>
      <c r="CE30" s="487"/>
      <c r="CF30" s="487"/>
      <c r="CG30" s="487"/>
      <c r="CH30" s="487"/>
      <c r="CI30" s="487"/>
      <c r="CJ30" s="487"/>
      <c r="CK30" s="487"/>
      <c r="CL30" s="487"/>
      <c r="CM30" s="487"/>
      <c r="CN30" s="487"/>
      <c r="CO30" s="487"/>
      <c r="CP30" s="487"/>
      <c r="CQ30" s="487"/>
      <c r="CR30" s="487"/>
      <c r="CS30" s="487"/>
      <c r="CT30" s="487"/>
      <c r="CU30" s="487"/>
      <c r="CV30" s="487"/>
      <c r="CW30" s="487"/>
      <c r="CX30" s="487"/>
      <c r="CY30" s="487"/>
      <c r="CZ30" s="487"/>
      <c r="DA30" s="487"/>
      <c r="DB30" s="487"/>
      <c r="DC30" s="487"/>
      <c r="DD30" s="487"/>
      <c r="DE30" s="487"/>
      <c r="DF30" s="487"/>
      <c r="DG30" s="487"/>
      <c r="DH30" s="487"/>
      <c r="DI30" s="487"/>
      <c r="DJ30" s="487"/>
      <c r="DK30" s="487"/>
      <c r="DL30" s="487"/>
      <c r="DM30" s="487"/>
      <c r="DN30" s="487"/>
      <c r="DO30" s="487"/>
      <c r="DP30" s="487"/>
      <c r="DQ30" s="487"/>
      <c r="DR30" s="487"/>
      <c r="DS30" s="487"/>
      <c r="DT30" s="487"/>
      <c r="DU30" s="487"/>
      <c r="DV30" s="487"/>
      <c r="DW30" s="487"/>
      <c r="DX30" s="487"/>
      <c r="DY30" s="487"/>
      <c r="DZ30" s="487"/>
      <c r="EA30" s="487"/>
      <c r="EB30" s="487"/>
      <c r="EC30" s="487"/>
      <c r="ED30" s="487"/>
      <c r="EE30" s="487"/>
      <c r="EF30" s="487"/>
      <c r="EG30" s="487"/>
      <c r="EH30" s="487"/>
      <c r="EI30" s="487"/>
      <c r="EJ30" s="487"/>
      <c r="EK30" s="487"/>
      <c r="EL30" s="487"/>
      <c r="EM30" s="487"/>
      <c r="EN30" s="487"/>
      <c r="EO30" s="487"/>
      <c r="EP30" s="487"/>
      <c r="EQ30" s="487"/>
      <c r="ER30" s="487"/>
      <c r="ES30" s="487"/>
      <c r="ET30" s="487"/>
      <c r="EU30" s="487"/>
      <c r="EV30" s="487"/>
      <c r="EW30" s="487"/>
      <c r="EX30" s="487"/>
      <c r="EY30" s="487"/>
      <c r="EZ30" s="487"/>
      <c r="FA30" s="487"/>
      <c r="FB30" s="487"/>
      <c r="FC30" s="487"/>
      <c r="FD30" s="487"/>
      <c r="FE30" s="487"/>
      <c r="FF30" s="487"/>
      <c r="FG30" s="487"/>
      <c r="FH30" s="487"/>
      <c r="FI30" s="487"/>
      <c r="FJ30" s="487"/>
      <c r="FK30" s="487"/>
      <c r="FL30" s="487"/>
      <c r="FM30" s="487"/>
      <c r="FN30" s="487"/>
      <c r="FO30" s="487"/>
      <c r="FP30" s="487"/>
      <c r="FQ30" s="487"/>
      <c r="FR30" s="487"/>
      <c r="FS30" s="487"/>
      <c r="FT30" s="487"/>
      <c r="FU30" s="487"/>
      <c r="FV30" s="487"/>
      <c r="FW30" s="487"/>
      <c r="FX30" s="487"/>
      <c r="FY30" s="487"/>
      <c r="FZ30" s="487"/>
      <c r="GA30" s="487"/>
      <c r="GB30" s="487"/>
      <c r="GC30" s="487"/>
      <c r="GD30" s="487"/>
      <c r="GE30" s="487"/>
      <c r="GF30" s="487"/>
      <c r="GG30" s="487"/>
      <c r="GH30" s="487"/>
      <c r="GI30" s="487"/>
      <c r="GJ30" s="487"/>
      <c r="GK30" s="487"/>
      <c r="GL30" s="487"/>
      <c r="GM30" s="487"/>
      <c r="GN30" s="487"/>
      <c r="GO30" s="487"/>
      <c r="GP30" s="487"/>
      <c r="GQ30" s="487"/>
      <c r="GR30" s="487"/>
      <c r="GS30" s="487"/>
      <c r="GT30" s="487"/>
      <c r="GU30" s="487"/>
      <c r="GV30" s="487"/>
      <c r="GW30" s="487"/>
      <c r="GX30" s="487"/>
      <c r="GY30" s="487"/>
      <c r="GZ30" s="487"/>
      <c r="HA30" s="487"/>
      <c r="HB30" s="487"/>
      <c r="HC30" s="487"/>
      <c r="HD30" s="487"/>
      <c r="HE30" s="487"/>
      <c r="HF30" s="487"/>
      <c r="HG30" s="487"/>
      <c r="HH30" s="487"/>
      <c r="HI30" s="487"/>
      <c r="HJ30" s="487"/>
      <c r="HK30" s="487"/>
      <c r="HL30" s="487"/>
      <c r="HM30" s="487"/>
      <c r="HN30" s="487"/>
      <c r="HO30" s="487"/>
      <c r="HP30" s="487"/>
      <c r="HQ30" s="487"/>
      <c r="HR30" s="487"/>
      <c r="HS30" s="487"/>
      <c r="HT30" s="487"/>
      <c r="HU30" s="487"/>
      <c r="HV30" s="487"/>
      <c r="HW30" s="487"/>
      <c r="HX30" s="487"/>
    </row>
    <row r="31" spans="1:232" s="637" customFormat="1" ht="20.100000000000001" customHeight="1">
      <c r="A31" s="885" t="str">
        <f>'8.BBCT'!A146</f>
        <v>+</v>
      </c>
      <c r="B31" s="477" t="str">
        <f>'8.BBCT'!B146</f>
        <v>TCVN 5637 - 1991 : Quản lý chất lượng xây lắp công trình. Nguyên tắc cơ bản;</v>
      </c>
      <c r="C31" s="477"/>
      <c r="D31" s="477"/>
      <c r="E31" s="477"/>
      <c r="F31" s="477"/>
      <c r="G31" s="477"/>
      <c r="H31" s="477"/>
      <c r="I31" s="477"/>
      <c r="J31" s="477"/>
      <c r="K31" s="463"/>
      <c r="L31" s="463"/>
      <c r="M31" s="464"/>
      <c r="N31" s="464"/>
      <c r="O31" s="464"/>
      <c r="P31" s="467"/>
      <c r="Q31" s="464"/>
      <c r="R31" s="487"/>
      <c r="S31" s="487"/>
      <c r="T31" s="487"/>
      <c r="U31" s="489"/>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7"/>
    </row>
    <row r="32" spans="1:232" s="637" customFormat="1" ht="20.100000000000001" customHeight="1">
      <c r="A32" s="885" t="str">
        <f>'8.BBCT'!A147</f>
        <v>+</v>
      </c>
      <c r="B32" s="477" t="str">
        <f>'8.BBCT'!B147</f>
        <v>TCVN 4055-2012 : Tổ chức thi công;</v>
      </c>
      <c r="C32" s="477"/>
      <c r="D32" s="477"/>
      <c r="E32" s="477"/>
      <c r="F32" s="477"/>
      <c r="G32" s="477"/>
      <c r="H32" s="477"/>
      <c r="I32" s="477"/>
      <c r="J32" s="477"/>
      <c r="K32" s="463"/>
      <c r="L32" s="463"/>
      <c r="M32" s="464"/>
      <c r="N32" s="464"/>
      <c r="O32" s="495"/>
      <c r="P32" s="487"/>
      <c r="Q32" s="487"/>
      <c r="R32" s="487"/>
      <c r="S32" s="487"/>
      <c r="T32" s="477"/>
      <c r="U32" s="489"/>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7"/>
    </row>
    <row r="33" spans="1:232" s="637" customFormat="1" ht="19.5" customHeight="1">
      <c r="A33" s="885" t="str">
        <f>'8.BBCT'!A148</f>
        <v>+</v>
      </c>
      <c r="B33" s="477" t="str">
        <f>'8.BBCT'!B148</f>
        <v>TCVN 4453-1995: Kết cấu bê tông và bê tông cốt thép toàn khối;</v>
      </c>
      <c r="C33" s="891"/>
      <c r="D33" s="891"/>
      <c r="E33" s="891"/>
      <c r="F33" s="891"/>
      <c r="G33" s="891"/>
      <c r="H33" s="891"/>
      <c r="I33" s="891"/>
      <c r="J33" s="891"/>
      <c r="K33" s="463"/>
      <c r="L33" s="463"/>
      <c r="M33" s="464"/>
      <c r="N33" s="464"/>
      <c r="O33" s="504"/>
      <c r="P33" s="492"/>
      <c r="Q33" s="492"/>
      <c r="R33" s="492"/>
      <c r="S33" s="492"/>
      <c r="T33" s="492"/>
      <c r="U33" s="489"/>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7"/>
    </row>
    <row r="34" spans="1:232" s="637" customFormat="1" ht="19.5" customHeight="1">
      <c r="A34" s="885" t="str">
        <f>'8.BBCT'!A149</f>
        <v>+</v>
      </c>
      <c r="B34" s="891" t="s">
        <v>1039</v>
      </c>
      <c r="C34" s="891"/>
      <c r="D34" s="891"/>
      <c r="E34" s="891"/>
      <c r="F34" s="891"/>
      <c r="G34" s="891"/>
      <c r="H34" s="891"/>
      <c r="I34" s="891"/>
      <c r="J34" s="891"/>
      <c r="K34" s="463"/>
      <c r="L34" s="463"/>
      <c r="M34" s="464"/>
      <c r="N34" s="464"/>
      <c r="O34" s="406"/>
      <c r="P34" s="492"/>
      <c r="Q34" s="492"/>
      <c r="R34" s="492"/>
      <c r="S34" s="492"/>
      <c r="T34" s="492"/>
      <c r="U34" s="489"/>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7"/>
    </row>
    <row r="35" spans="1:232" s="637" customFormat="1" ht="19.5" customHeight="1">
      <c r="A35" s="885" t="s">
        <v>1027</v>
      </c>
      <c r="B35" s="1602" t="s">
        <v>1036</v>
      </c>
      <c r="C35" s="1602"/>
      <c r="D35" s="1602"/>
      <c r="E35" s="1602"/>
      <c r="F35" s="1602"/>
      <c r="G35" s="1602"/>
      <c r="H35" s="1602"/>
      <c r="I35" s="1602"/>
      <c r="J35" s="1602"/>
      <c r="K35" s="463"/>
      <c r="L35" s="463"/>
      <c r="M35" s="464"/>
      <c r="N35" s="464"/>
      <c r="O35" s="406"/>
      <c r="P35" s="492"/>
      <c r="Q35" s="492"/>
      <c r="R35" s="492"/>
      <c r="S35" s="492"/>
      <c r="T35" s="492"/>
      <c r="U35" s="489"/>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7"/>
    </row>
    <row r="36" spans="1:232" s="637" customFormat="1" ht="19.5" customHeight="1">
      <c r="A36" s="885" t="s">
        <v>1027</v>
      </c>
      <c r="B36" s="1602" t="s">
        <v>1045</v>
      </c>
      <c r="C36" s="1602"/>
      <c r="D36" s="1602"/>
      <c r="E36" s="1602"/>
      <c r="F36" s="1602"/>
      <c r="G36" s="1602"/>
      <c r="H36" s="1602"/>
      <c r="I36" s="1602"/>
      <c r="J36" s="1602"/>
      <c r="K36" s="463"/>
      <c r="L36" s="463"/>
      <c r="M36" s="464"/>
      <c r="N36" s="464"/>
      <c r="O36" s="406"/>
      <c r="P36" s="492"/>
      <c r="Q36" s="492"/>
      <c r="R36" s="492"/>
      <c r="S36" s="492"/>
      <c r="T36" s="492"/>
      <c r="U36" s="489"/>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7"/>
    </row>
    <row r="37" spans="1:232" s="637" customFormat="1" ht="19.5" customHeight="1">
      <c r="A37" s="885" t="s">
        <v>1027</v>
      </c>
      <c r="B37" s="917" t="str">
        <f>'8.BBCT'!B150</f>
        <v>TCVN 5308 - 1991: Quy trình kỹ thuật an toàn trong xây dựng.</v>
      </c>
      <c r="C37" s="742"/>
      <c r="D37" s="742"/>
      <c r="E37" s="742"/>
      <c r="F37" s="742"/>
      <c r="G37" s="742"/>
      <c r="H37" s="742"/>
      <c r="I37" s="742"/>
      <c r="J37" s="742"/>
      <c r="K37" s="463"/>
      <c r="L37" s="463"/>
      <c r="M37" s="464"/>
      <c r="N37" s="464"/>
      <c r="O37" s="406"/>
      <c r="P37" s="492"/>
      <c r="Q37" s="492"/>
      <c r="R37" s="492"/>
      <c r="S37" s="492"/>
      <c r="T37" s="492"/>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7"/>
    </row>
    <row r="38" spans="1:232" s="637" customFormat="1" ht="20.100000000000001" customHeight="1">
      <c r="A38" s="886" t="s">
        <v>1031</v>
      </c>
      <c r="C38" s="491"/>
      <c r="D38" s="491"/>
      <c r="E38" s="491"/>
      <c r="F38" s="491"/>
      <c r="G38" s="491"/>
      <c r="H38" s="491"/>
      <c r="I38" s="491"/>
      <c r="J38" s="491"/>
      <c r="K38" s="463"/>
      <c r="L38" s="463"/>
      <c r="M38" s="464"/>
      <c r="N38" s="464"/>
      <c r="O38" s="405"/>
      <c r="P38" s="477"/>
      <c r="Q38" s="477"/>
      <c r="R38" s="477"/>
      <c r="S38" s="477"/>
      <c r="T38" s="492"/>
      <c r="U38" s="489"/>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89"/>
      <c r="BC38" s="489"/>
      <c r="BD38" s="489"/>
      <c r="BE38" s="489"/>
      <c r="BF38" s="489"/>
      <c r="BG38" s="489"/>
      <c r="BH38" s="489"/>
      <c r="BI38" s="489"/>
      <c r="BJ38" s="489"/>
      <c r="BK38" s="489"/>
      <c r="BL38" s="489"/>
      <c r="BM38" s="489"/>
      <c r="BN38" s="489"/>
      <c r="BO38" s="489"/>
      <c r="BP38" s="489"/>
      <c r="BQ38" s="489"/>
      <c r="BR38" s="489"/>
      <c r="BS38" s="489"/>
      <c r="BT38" s="489"/>
      <c r="BU38" s="489"/>
      <c r="BV38" s="489"/>
      <c r="BW38" s="489"/>
      <c r="BX38" s="489"/>
      <c r="BY38" s="489"/>
      <c r="BZ38" s="489"/>
      <c r="CA38" s="489"/>
      <c r="CB38" s="489"/>
      <c r="CC38" s="489"/>
      <c r="CD38" s="489"/>
      <c r="CE38" s="489"/>
      <c r="CF38" s="489"/>
      <c r="CG38" s="489"/>
      <c r="CH38" s="489"/>
      <c r="CI38" s="489"/>
      <c r="CJ38" s="489"/>
      <c r="CK38" s="489"/>
      <c r="CL38" s="489"/>
      <c r="CM38" s="489"/>
      <c r="CN38" s="489"/>
      <c r="CO38" s="489"/>
      <c r="CP38" s="489"/>
      <c r="CQ38" s="489"/>
      <c r="CR38" s="489"/>
      <c r="CS38" s="489"/>
      <c r="CT38" s="489"/>
      <c r="CU38" s="489"/>
      <c r="CV38" s="489"/>
      <c r="CW38" s="489"/>
      <c r="CX38" s="489"/>
      <c r="CY38" s="489"/>
      <c r="CZ38" s="489"/>
      <c r="DA38" s="489"/>
      <c r="DB38" s="489"/>
      <c r="DC38" s="489"/>
      <c r="DD38" s="489"/>
      <c r="DE38" s="489"/>
      <c r="DF38" s="489"/>
      <c r="DG38" s="489"/>
      <c r="DH38" s="489"/>
      <c r="DI38" s="489"/>
      <c r="DJ38" s="489"/>
      <c r="DK38" s="489"/>
      <c r="DL38" s="489"/>
      <c r="DM38" s="489"/>
      <c r="DN38" s="489"/>
      <c r="DO38" s="489"/>
      <c r="DP38" s="489"/>
      <c r="DQ38" s="489"/>
      <c r="DR38" s="489"/>
      <c r="DS38" s="489"/>
      <c r="DT38" s="489"/>
      <c r="DU38" s="489"/>
      <c r="DV38" s="489"/>
      <c r="DW38" s="489"/>
      <c r="DX38" s="489"/>
      <c r="DY38" s="489"/>
      <c r="DZ38" s="489"/>
      <c r="EA38" s="489"/>
      <c r="EB38" s="489"/>
      <c r="EC38" s="489"/>
      <c r="ED38" s="489"/>
      <c r="EE38" s="489"/>
      <c r="EF38" s="489"/>
      <c r="EG38" s="489"/>
      <c r="EH38" s="489"/>
      <c r="EI38" s="489"/>
      <c r="EJ38" s="489"/>
      <c r="EK38" s="489"/>
      <c r="EL38" s="489"/>
      <c r="EM38" s="489"/>
      <c r="EN38" s="489"/>
      <c r="EO38" s="489"/>
      <c r="EP38" s="489"/>
      <c r="EQ38" s="489"/>
      <c r="ER38" s="489"/>
      <c r="ES38" s="489"/>
      <c r="ET38" s="489"/>
      <c r="EU38" s="489"/>
      <c r="EV38" s="489"/>
      <c r="EW38" s="489"/>
      <c r="EX38" s="489"/>
      <c r="EY38" s="489"/>
      <c r="EZ38" s="489"/>
      <c r="FA38" s="489"/>
      <c r="FB38" s="489"/>
      <c r="FC38" s="489"/>
      <c r="FD38" s="489"/>
      <c r="FE38" s="489"/>
      <c r="FF38" s="489"/>
      <c r="FG38" s="489"/>
      <c r="FH38" s="489"/>
      <c r="FI38" s="489"/>
      <c r="FJ38" s="489"/>
      <c r="FK38" s="489"/>
      <c r="FL38" s="489"/>
      <c r="FM38" s="489"/>
      <c r="FN38" s="489"/>
      <c r="FO38" s="489"/>
      <c r="FP38" s="489"/>
      <c r="FQ38" s="489"/>
      <c r="FR38" s="489"/>
      <c r="FS38" s="489"/>
      <c r="FT38" s="489"/>
      <c r="FU38" s="489"/>
      <c r="FV38" s="489"/>
      <c r="FW38" s="489"/>
      <c r="FX38" s="489"/>
      <c r="FY38" s="489"/>
      <c r="FZ38" s="489"/>
      <c r="GA38" s="489"/>
      <c r="GB38" s="489"/>
      <c r="GC38" s="489"/>
      <c r="GD38" s="489"/>
      <c r="GE38" s="489"/>
      <c r="GF38" s="489"/>
      <c r="GG38" s="489"/>
      <c r="GH38" s="489"/>
      <c r="GI38" s="489"/>
      <c r="GJ38" s="489"/>
      <c r="GK38" s="489"/>
      <c r="GL38" s="489"/>
      <c r="GM38" s="489"/>
      <c r="GN38" s="489"/>
      <c r="GO38" s="489"/>
      <c r="GP38" s="489"/>
      <c r="GQ38" s="489"/>
      <c r="GR38" s="489"/>
      <c r="GS38" s="489"/>
      <c r="GT38" s="489"/>
      <c r="GU38" s="489"/>
      <c r="GV38" s="489"/>
      <c r="GW38" s="489"/>
      <c r="GX38" s="489"/>
      <c r="GY38" s="489"/>
      <c r="GZ38" s="489"/>
      <c r="HA38" s="489"/>
      <c r="HB38" s="489"/>
      <c r="HC38" s="489"/>
      <c r="HD38" s="489"/>
      <c r="HE38" s="489"/>
      <c r="HF38" s="489"/>
      <c r="HG38" s="489"/>
      <c r="HH38" s="489"/>
      <c r="HI38" s="489"/>
      <c r="HJ38" s="489"/>
      <c r="HK38" s="489"/>
      <c r="HL38" s="489"/>
      <c r="HM38" s="489"/>
      <c r="HN38" s="489"/>
      <c r="HO38" s="489"/>
      <c r="HP38" s="489"/>
      <c r="HQ38" s="489"/>
      <c r="HR38" s="489"/>
      <c r="HS38" s="489"/>
      <c r="HT38" s="489"/>
      <c r="HU38" s="489"/>
      <c r="HV38" s="489"/>
      <c r="HW38" s="489"/>
      <c r="HX38" s="487"/>
    </row>
    <row r="39" spans="1:232" s="637" customFormat="1" ht="20.100000000000001" customHeight="1">
      <c r="A39" s="890" t="s">
        <v>1037</v>
      </c>
      <c r="B39" s="491"/>
      <c r="C39" s="491"/>
      <c r="D39" s="491"/>
      <c r="E39" s="491"/>
      <c r="F39" s="491"/>
      <c r="G39" s="491"/>
      <c r="H39" s="491"/>
      <c r="I39" s="491"/>
      <c r="J39" s="491"/>
      <c r="K39" s="463"/>
      <c r="L39" s="463"/>
      <c r="M39" s="464"/>
      <c r="N39" s="464"/>
      <c r="O39" s="405"/>
      <c r="P39" s="477"/>
      <c r="Q39" s="477"/>
      <c r="R39" s="477"/>
      <c r="S39" s="477"/>
      <c r="T39" s="492"/>
      <c r="U39" s="489"/>
      <c r="V39" s="489"/>
      <c r="W39" s="489"/>
      <c r="X39" s="489"/>
      <c r="Y39" s="489"/>
      <c r="Z39" s="489"/>
      <c r="AA39" s="489"/>
      <c r="AB39" s="489"/>
      <c r="AC39" s="489"/>
      <c r="AD39" s="489"/>
      <c r="AE39" s="489"/>
      <c r="AF39" s="489"/>
      <c r="AG39" s="489"/>
      <c r="AH39" s="489"/>
      <c r="AI39" s="489"/>
      <c r="AJ39" s="489"/>
      <c r="AK39" s="489"/>
      <c r="AL39" s="489"/>
      <c r="AM39" s="489"/>
      <c r="AN39" s="489"/>
      <c r="AO39" s="489"/>
      <c r="AP39" s="489"/>
      <c r="AQ39" s="489"/>
      <c r="AR39" s="489"/>
      <c r="AS39" s="489"/>
      <c r="AT39" s="489"/>
      <c r="AU39" s="489"/>
      <c r="AV39" s="489"/>
      <c r="AW39" s="489"/>
      <c r="AX39" s="489"/>
      <c r="AY39" s="489"/>
      <c r="AZ39" s="489"/>
      <c r="BA39" s="489"/>
      <c r="BB39" s="489"/>
      <c r="BC39" s="489"/>
      <c r="BD39" s="489"/>
      <c r="BE39" s="489"/>
      <c r="BF39" s="489"/>
      <c r="BG39" s="489"/>
      <c r="BH39" s="489"/>
      <c r="BI39" s="489"/>
      <c r="BJ39" s="489"/>
      <c r="BK39" s="489"/>
      <c r="BL39" s="489"/>
      <c r="BM39" s="489"/>
      <c r="BN39" s="489"/>
      <c r="BO39" s="489"/>
      <c r="BP39" s="489"/>
      <c r="BQ39" s="489"/>
      <c r="BR39" s="489"/>
      <c r="BS39" s="489"/>
      <c r="BT39" s="489"/>
      <c r="BU39" s="489"/>
      <c r="BV39" s="489"/>
      <c r="BW39" s="489"/>
      <c r="BX39" s="489"/>
      <c r="BY39" s="489"/>
      <c r="BZ39" s="489"/>
      <c r="CA39" s="489"/>
      <c r="CB39" s="489"/>
      <c r="CC39" s="489"/>
      <c r="CD39" s="489"/>
      <c r="CE39" s="489"/>
      <c r="CF39" s="489"/>
      <c r="CG39" s="489"/>
      <c r="CH39" s="489"/>
      <c r="CI39" s="489"/>
      <c r="CJ39" s="489"/>
      <c r="CK39" s="489"/>
      <c r="CL39" s="489"/>
      <c r="CM39" s="489"/>
      <c r="CN39" s="489"/>
      <c r="CO39" s="489"/>
      <c r="CP39" s="489"/>
      <c r="CQ39" s="489"/>
      <c r="CR39" s="489"/>
      <c r="CS39" s="489"/>
      <c r="CT39" s="489"/>
      <c r="CU39" s="489"/>
      <c r="CV39" s="489"/>
      <c r="CW39" s="489"/>
      <c r="CX39" s="489"/>
      <c r="CY39" s="489"/>
      <c r="CZ39" s="489"/>
      <c r="DA39" s="489"/>
      <c r="DB39" s="489"/>
      <c r="DC39" s="489"/>
      <c r="DD39" s="489"/>
      <c r="DE39" s="489"/>
      <c r="DF39" s="489"/>
      <c r="DG39" s="489"/>
      <c r="DH39" s="489"/>
      <c r="DI39" s="489"/>
      <c r="DJ39" s="489"/>
      <c r="DK39" s="489"/>
      <c r="DL39" s="489"/>
      <c r="DM39" s="489"/>
      <c r="DN39" s="489"/>
      <c r="DO39" s="489"/>
      <c r="DP39" s="489"/>
      <c r="DQ39" s="489"/>
      <c r="DR39" s="489"/>
      <c r="DS39" s="489"/>
      <c r="DT39" s="489"/>
      <c r="DU39" s="489"/>
      <c r="DV39" s="489"/>
      <c r="DW39" s="489"/>
      <c r="DX39" s="489"/>
      <c r="DY39" s="489"/>
      <c r="DZ39" s="489"/>
      <c r="EA39" s="489"/>
      <c r="EB39" s="489"/>
      <c r="EC39" s="489"/>
      <c r="ED39" s="489"/>
      <c r="EE39" s="489"/>
      <c r="EF39" s="489"/>
      <c r="EG39" s="489"/>
      <c r="EH39" s="489"/>
      <c r="EI39" s="489"/>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89"/>
      <c r="FK39" s="489"/>
      <c r="FL39" s="489"/>
      <c r="FM39" s="489"/>
      <c r="FN39" s="489"/>
      <c r="FO39" s="489"/>
      <c r="FP39" s="489"/>
      <c r="FQ39" s="489"/>
      <c r="FR39" s="489"/>
      <c r="FS39" s="489"/>
      <c r="FT39" s="489"/>
      <c r="FU39" s="489"/>
      <c r="FV39" s="489"/>
      <c r="FW39" s="489"/>
      <c r="FX39" s="489"/>
      <c r="FY39" s="489"/>
      <c r="FZ39" s="489"/>
      <c r="GA39" s="489"/>
      <c r="GB39" s="489"/>
      <c r="GC39" s="489"/>
      <c r="GD39" s="489"/>
      <c r="GE39" s="489"/>
      <c r="GF39" s="489"/>
      <c r="GG39" s="489"/>
      <c r="GH39" s="489"/>
      <c r="GI39" s="489"/>
      <c r="GJ39" s="489"/>
      <c r="GK39" s="489"/>
      <c r="GL39" s="489"/>
      <c r="GM39" s="489"/>
      <c r="GN39" s="489"/>
      <c r="GO39" s="489"/>
      <c r="GP39" s="489"/>
      <c r="GQ39" s="489"/>
      <c r="GR39" s="489"/>
      <c r="GS39" s="489"/>
      <c r="GT39" s="489"/>
      <c r="GU39" s="489"/>
      <c r="GV39" s="489"/>
      <c r="GW39" s="489"/>
      <c r="GX39" s="489"/>
      <c r="GY39" s="489"/>
      <c r="GZ39" s="489"/>
      <c r="HA39" s="489"/>
      <c r="HB39" s="489"/>
      <c r="HC39" s="489"/>
      <c r="HD39" s="489"/>
      <c r="HE39" s="489"/>
      <c r="HF39" s="489"/>
      <c r="HG39" s="489"/>
      <c r="HH39" s="489"/>
      <c r="HI39" s="489"/>
      <c r="HJ39" s="489"/>
      <c r="HK39" s="489"/>
      <c r="HL39" s="489"/>
      <c r="HM39" s="489"/>
      <c r="HN39" s="489"/>
      <c r="HO39" s="489"/>
      <c r="HP39" s="489"/>
      <c r="HQ39" s="489"/>
      <c r="HR39" s="489"/>
      <c r="HS39" s="489"/>
      <c r="HT39" s="489"/>
      <c r="HU39" s="489"/>
      <c r="HV39" s="489"/>
      <c r="HW39" s="489"/>
      <c r="HX39" s="487"/>
    </row>
    <row r="40" spans="1:232" s="45" customFormat="1" ht="20.100000000000001" customHeight="1">
      <c r="A40" s="493" t="s">
        <v>1040</v>
      </c>
      <c r="B40" s="489"/>
      <c r="C40" s="489"/>
      <c r="D40" s="489"/>
      <c r="E40" s="489"/>
      <c r="F40" s="489"/>
      <c r="G40" s="489"/>
      <c r="H40" s="489"/>
      <c r="I40" s="489"/>
      <c r="J40" s="489"/>
      <c r="K40" s="463"/>
      <c r="L40" s="463"/>
      <c r="M40" s="464"/>
      <c r="N40" s="464"/>
      <c r="O40" s="405"/>
      <c r="P40" s="492"/>
      <c r="Q40" s="492"/>
      <c r="R40" s="492"/>
      <c r="S40" s="492"/>
      <c r="T40" s="495"/>
      <c r="U40" s="496"/>
      <c r="V40" s="496"/>
      <c r="W40" s="496"/>
      <c r="X40" s="496"/>
      <c r="Y40" s="496"/>
      <c r="Z40" s="496"/>
      <c r="AA40" s="496"/>
      <c r="AB40" s="496"/>
      <c r="AC40" s="496"/>
      <c r="AD40" s="496"/>
      <c r="AE40" s="496"/>
      <c r="AF40" s="496"/>
      <c r="AG40" s="496"/>
      <c r="AH40" s="496"/>
      <c r="AI40" s="496"/>
      <c r="AJ40" s="496"/>
      <c r="AK40" s="496"/>
      <c r="AL40" s="496"/>
      <c r="AM40" s="496"/>
      <c r="AN40" s="496"/>
      <c r="AO40" s="496"/>
      <c r="AP40" s="496"/>
      <c r="AQ40" s="496"/>
      <c r="AR40" s="496"/>
      <c r="AS40" s="496"/>
      <c r="AT40" s="496"/>
      <c r="AU40" s="496"/>
      <c r="AV40" s="496"/>
      <c r="AW40" s="496"/>
      <c r="AX40" s="496"/>
      <c r="AY40" s="496"/>
      <c r="AZ40" s="496"/>
      <c r="BA40" s="496"/>
      <c r="BB40" s="496"/>
      <c r="BC40" s="496"/>
      <c r="BD40" s="496"/>
      <c r="BE40" s="496"/>
      <c r="BF40" s="496"/>
      <c r="BG40" s="496"/>
      <c r="BH40" s="496"/>
      <c r="BI40" s="496"/>
      <c r="BJ40" s="496"/>
      <c r="BK40" s="496"/>
      <c r="BL40" s="496"/>
      <c r="BM40" s="496"/>
      <c r="BN40" s="496"/>
      <c r="BO40" s="496"/>
      <c r="BP40" s="496"/>
      <c r="BQ40" s="496"/>
      <c r="BR40" s="496"/>
      <c r="BS40" s="496"/>
      <c r="BT40" s="496"/>
      <c r="BU40" s="496"/>
      <c r="BV40" s="496"/>
      <c r="BW40" s="496"/>
      <c r="BX40" s="496"/>
      <c r="BY40" s="496"/>
      <c r="BZ40" s="496"/>
      <c r="CA40" s="496"/>
      <c r="CB40" s="496"/>
      <c r="CC40" s="496"/>
      <c r="CD40" s="496"/>
      <c r="CE40" s="496"/>
      <c r="CF40" s="496"/>
      <c r="CG40" s="496"/>
      <c r="CH40" s="496"/>
      <c r="CI40" s="496"/>
      <c r="CJ40" s="496"/>
      <c r="CK40" s="496"/>
      <c r="CL40" s="496"/>
      <c r="CM40" s="496"/>
      <c r="CN40" s="496"/>
      <c r="CO40" s="496"/>
      <c r="CP40" s="496"/>
      <c r="CQ40" s="496"/>
      <c r="CR40" s="496"/>
      <c r="CS40" s="496"/>
      <c r="CT40" s="496"/>
      <c r="CU40" s="496"/>
      <c r="CV40" s="496"/>
      <c r="CW40" s="496"/>
      <c r="CX40" s="496"/>
      <c r="CY40" s="496"/>
      <c r="CZ40" s="496"/>
      <c r="DA40" s="496"/>
      <c r="DB40" s="496"/>
      <c r="DC40" s="496"/>
      <c r="DD40" s="496"/>
      <c r="DE40" s="496"/>
      <c r="DF40" s="496"/>
      <c r="DG40" s="496"/>
      <c r="DH40" s="496"/>
      <c r="DI40" s="496"/>
      <c r="DJ40" s="496"/>
      <c r="DK40" s="496"/>
      <c r="DL40" s="496"/>
      <c r="DM40" s="496"/>
      <c r="DN40" s="496"/>
      <c r="DO40" s="496"/>
      <c r="DP40" s="496"/>
      <c r="DQ40" s="496"/>
      <c r="DR40" s="496"/>
      <c r="DS40" s="496"/>
      <c r="DT40" s="496"/>
      <c r="DU40" s="496"/>
      <c r="DV40" s="496"/>
      <c r="DW40" s="496"/>
      <c r="DX40" s="496"/>
      <c r="DY40" s="496"/>
      <c r="DZ40" s="496"/>
      <c r="EA40" s="496"/>
      <c r="EB40" s="496"/>
      <c r="EC40" s="496"/>
      <c r="ED40" s="496"/>
      <c r="EE40" s="496"/>
      <c r="EF40" s="496"/>
      <c r="EG40" s="496"/>
      <c r="EH40" s="496"/>
      <c r="EI40" s="496"/>
      <c r="EJ40" s="496"/>
      <c r="EK40" s="496"/>
      <c r="EL40" s="496"/>
      <c r="EM40" s="496"/>
      <c r="EN40" s="496"/>
      <c r="EO40" s="496"/>
      <c r="EP40" s="496"/>
      <c r="EQ40" s="496"/>
      <c r="ER40" s="496"/>
      <c r="ES40" s="496"/>
      <c r="ET40" s="496"/>
      <c r="EU40" s="496"/>
      <c r="EV40" s="496"/>
      <c r="EW40" s="496"/>
      <c r="EX40" s="496"/>
      <c r="EY40" s="496"/>
      <c r="EZ40" s="496"/>
      <c r="FA40" s="496"/>
      <c r="FB40" s="496"/>
      <c r="FC40" s="496"/>
      <c r="FD40" s="496"/>
      <c r="FE40" s="496"/>
      <c r="FF40" s="496"/>
      <c r="FG40" s="496"/>
      <c r="FH40" s="496"/>
      <c r="FI40" s="496"/>
      <c r="FJ40" s="496"/>
      <c r="FK40" s="496"/>
      <c r="FL40" s="496"/>
      <c r="FM40" s="496"/>
      <c r="FN40" s="496"/>
      <c r="FO40" s="496"/>
      <c r="FP40" s="496"/>
      <c r="FQ40" s="496"/>
      <c r="FR40" s="496"/>
      <c r="FS40" s="496"/>
      <c r="FT40" s="496"/>
      <c r="FU40" s="496"/>
      <c r="FV40" s="496"/>
      <c r="FW40" s="496"/>
      <c r="FX40" s="496"/>
      <c r="FY40" s="496"/>
      <c r="FZ40" s="496"/>
      <c r="GA40" s="496"/>
      <c r="GB40" s="496"/>
      <c r="GC40" s="496"/>
      <c r="GD40" s="496"/>
      <c r="GE40" s="496"/>
      <c r="GF40" s="496"/>
      <c r="GG40" s="496"/>
      <c r="GH40" s="496"/>
      <c r="GI40" s="496"/>
      <c r="GJ40" s="496"/>
      <c r="GK40" s="496"/>
      <c r="GL40" s="496"/>
      <c r="GM40" s="496"/>
      <c r="GN40" s="496"/>
      <c r="GO40" s="496"/>
      <c r="GP40" s="496"/>
      <c r="GQ40" s="496"/>
      <c r="GR40" s="496"/>
      <c r="GS40" s="496"/>
      <c r="GT40" s="496"/>
      <c r="GU40" s="496"/>
      <c r="GV40" s="496"/>
      <c r="GW40" s="496"/>
      <c r="GX40" s="496"/>
      <c r="GY40" s="496"/>
      <c r="GZ40" s="496"/>
      <c r="HA40" s="496"/>
      <c r="HB40" s="496"/>
      <c r="HC40" s="496"/>
      <c r="HD40" s="496"/>
      <c r="HE40" s="496"/>
      <c r="HF40" s="496"/>
      <c r="HG40" s="496"/>
      <c r="HH40" s="496"/>
      <c r="HI40" s="496"/>
      <c r="HJ40" s="496"/>
      <c r="HK40" s="496"/>
      <c r="HL40" s="496"/>
      <c r="HM40" s="496"/>
      <c r="HN40" s="496"/>
      <c r="HO40" s="496"/>
      <c r="HP40" s="496"/>
      <c r="HQ40" s="496"/>
      <c r="HR40" s="496"/>
      <c r="HS40" s="496"/>
      <c r="HT40" s="496"/>
      <c r="HU40" s="496"/>
      <c r="HV40" s="496"/>
      <c r="HW40" s="490"/>
      <c r="HX40" s="490"/>
    </row>
    <row r="41" spans="1:232" s="5" customFormat="1" ht="20.100000000000001" customHeight="1">
      <c r="A41" s="497" t="s">
        <v>1034</v>
      </c>
      <c r="B41" s="498"/>
      <c r="C41" s="498"/>
      <c r="D41" s="498"/>
      <c r="E41" s="498"/>
      <c r="F41" s="498"/>
      <c r="G41" s="498"/>
      <c r="H41" s="498"/>
      <c r="I41" s="498"/>
      <c r="J41" s="498"/>
      <c r="K41" s="463"/>
      <c r="L41" s="463"/>
      <c r="M41" s="464"/>
      <c r="N41" s="464"/>
      <c r="O41" s="464"/>
      <c r="P41" s="495"/>
      <c r="Q41" s="495"/>
      <c r="R41" s="495"/>
      <c r="S41" s="495"/>
      <c r="T41" s="495"/>
      <c r="U41" s="489"/>
      <c r="V41" s="489"/>
      <c r="W41" s="489"/>
      <c r="X41" s="489"/>
      <c r="Y41" s="489"/>
      <c r="Z41" s="489"/>
      <c r="AA41" s="489"/>
      <c r="AB41" s="489"/>
      <c r="AC41" s="489"/>
      <c r="AD41" s="489"/>
      <c r="AE41" s="489"/>
      <c r="AF41" s="489"/>
      <c r="AG41" s="489"/>
      <c r="AH41" s="489"/>
      <c r="AI41" s="489"/>
      <c r="AJ41" s="489"/>
      <c r="AK41" s="489"/>
      <c r="AL41" s="489"/>
      <c r="AM41" s="489"/>
      <c r="AN41" s="489"/>
      <c r="AO41" s="489"/>
      <c r="AP41" s="489"/>
      <c r="AQ41" s="489"/>
      <c r="AR41" s="489"/>
      <c r="AS41" s="489"/>
      <c r="AT41" s="489"/>
      <c r="AU41" s="489"/>
      <c r="AV41" s="489"/>
      <c r="AW41" s="489"/>
      <c r="AX41" s="489"/>
      <c r="AY41" s="489"/>
      <c r="AZ41" s="489"/>
      <c r="BA41" s="489"/>
      <c r="BB41" s="489"/>
      <c r="BC41" s="489"/>
      <c r="BD41" s="489"/>
      <c r="BE41" s="489"/>
      <c r="BF41" s="489"/>
      <c r="BG41" s="489"/>
      <c r="BH41" s="489"/>
      <c r="BI41" s="489"/>
      <c r="BJ41" s="489"/>
      <c r="BK41" s="489"/>
      <c r="BL41" s="489"/>
      <c r="BM41" s="489"/>
      <c r="BN41" s="489"/>
      <c r="BO41" s="489"/>
      <c r="BP41" s="489"/>
      <c r="BQ41" s="489"/>
      <c r="BR41" s="489"/>
      <c r="BS41" s="489"/>
      <c r="BT41" s="489"/>
      <c r="BU41" s="489"/>
      <c r="BV41" s="489"/>
      <c r="BW41" s="489"/>
      <c r="BX41" s="489"/>
      <c r="BY41" s="489"/>
      <c r="BZ41" s="489"/>
      <c r="CA41" s="489"/>
      <c r="CB41" s="489"/>
      <c r="CC41" s="489"/>
      <c r="CD41" s="489"/>
      <c r="CE41" s="489"/>
      <c r="CF41" s="489"/>
      <c r="CG41" s="489"/>
      <c r="CH41" s="489"/>
      <c r="CI41" s="489"/>
      <c r="CJ41" s="489"/>
      <c r="CK41" s="489"/>
      <c r="CL41" s="489"/>
      <c r="CM41" s="489"/>
      <c r="CN41" s="489"/>
      <c r="CO41" s="489"/>
      <c r="CP41" s="489"/>
      <c r="CQ41" s="489"/>
      <c r="CR41" s="489"/>
      <c r="CS41" s="489"/>
      <c r="CT41" s="489"/>
      <c r="CU41" s="489"/>
      <c r="CV41" s="489"/>
      <c r="CW41" s="489"/>
      <c r="CX41" s="489"/>
      <c r="CY41" s="489"/>
      <c r="CZ41" s="489"/>
      <c r="DA41" s="489"/>
      <c r="DB41" s="489"/>
      <c r="DC41" s="489"/>
      <c r="DD41" s="489"/>
      <c r="DE41" s="489"/>
      <c r="DF41" s="489"/>
      <c r="DG41" s="489"/>
      <c r="DH41" s="489"/>
      <c r="DI41" s="489"/>
      <c r="DJ41" s="489"/>
      <c r="DK41" s="489"/>
      <c r="DL41" s="489"/>
      <c r="DM41" s="489"/>
      <c r="DN41" s="489"/>
      <c r="DO41" s="489"/>
      <c r="DP41" s="489"/>
      <c r="DQ41" s="489"/>
      <c r="DR41" s="489"/>
      <c r="DS41" s="489"/>
      <c r="DT41" s="489"/>
      <c r="DU41" s="489"/>
      <c r="DV41" s="489"/>
      <c r="DW41" s="489"/>
      <c r="DX41" s="489"/>
      <c r="DY41" s="489"/>
      <c r="DZ41" s="489"/>
      <c r="EA41" s="489"/>
      <c r="EB41" s="489"/>
      <c r="EC41" s="489"/>
      <c r="ED41" s="489"/>
      <c r="EE41" s="489"/>
      <c r="EF41" s="489"/>
      <c r="EG41" s="489"/>
      <c r="EH41" s="489"/>
      <c r="EI41" s="489"/>
      <c r="EJ41" s="489"/>
      <c r="EK41" s="489"/>
      <c r="EL41" s="489"/>
      <c r="EM41" s="489"/>
      <c r="EN41" s="489"/>
      <c r="EO41" s="489"/>
      <c r="EP41" s="489"/>
      <c r="EQ41" s="489"/>
      <c r="ER41" s="489"/>
      <c r="ES41" s="489"/>
      <c r="ET41" s="489"/>
      <c r="EU41" s="489"/>
      <c r="EV41" s="489"/>
      <c r="EW41" s="489"/>
      <c r="EX41" s="489"/>
      <c r="EY41" s="489"/>
      <c r="EZ41" s="489"/>
      <c r="FA41" s="489"/>
      <c r="FB41" s="489"/>
      <c r="FC41" s="489"/>
      <c r="FD41" s="489"/>
      <c r="FE41" s="489"/>
      <c r="FF41" s="489"/>
      <c r="FG41" s="489"/>
      <c r="FH41" s="489"/>
      <c r="FI41" s="489"/>
      <c r="FJ41" s="489"/>
      <c r="FK41" s="489"/>
      <c r="FL41" s="489"/>
      <c r="FM41" s="489"/>
      <c r="FN41" s="489"/>
      <c r="FO41" s="489"/>
      <c r="FP41" s="489"/>
      <c r="FQ41" s="489"/>
      <c r="FR41" s="489"/>
      <c r="FS41" s="489"/>
      <c r="FT41" s="489"/>
      <c r="FU41" s="489"/>
      <c r="FV41" s="489"/>
      <c r="FW41" s="489"/>
      <c r="FX41" s="489"/>
      <c r="FY41" s="489"/>
      <c r="FZ41" s="489"/>
      <c r="GA41" s="489"/>
      <c r="GB41" s="489"/>
      <c r="GC41" s="489"/>
      <c r="GD41" s="489"/>
      <c r="GE41" s="489"/>
      <c r="GF41" s="489"/>
      <c r="GG41" s="489"/>
      <c r="GH41" s="489"/>
      <c r="GI41" s="489"/>
      <c r="GJ41" s="489"/>
      <c r="GK41" s="489"/>
      <c r="GL41" s="489"/>
      <c r="GM41" s="489"/>
      <c r="GN41" s="489"/>
      <c r="GO41" s="489"/>
      <c r="GP41" s="489"/>
      <c r="GQ41" s="489"/>
      <c r="GR41" s="489"/>
      <c r="GS41" s="489"/>
      <c r="GT41" s="489"/>
      <c r="GU41" s="489"/>
      <c r="GV41" s="489"/>
      <c r="GW41" s="489"/>
      <c r="GX41" s="489"/>
      <c r="GY41" s="489"/>
      <c r="GZ41" s="489"/>
      <c r="HA41" s="489"/>
      <c r="HB41" s="489"/>
      <c r="HC41" s="489"/>
      <c r="HD41" s="489"/>
      <c r="HE41" s="489"/>
      <c r="HF41" s="489"/>
      <c r="HG41" s="489"/>
      <c r="HH41" s="489"/>
      <c r="HI41" s="489"/>
      <c r="HJ41" s="489"/>
      <c r="HK41" s="489"/>
      <c r="HL41" s="489"/>
      <c r="HM41" s="489"/>
      <c r="HN41" s="489"/>
      <c r="HO41" s="489"/>
      <c r="HP41" s="489"/>
      <c r="HQ41" s="489"/>
      <c r="HR41" s="489"/>
      <c r="HS41" s="489"/>
      <c r="HT41" s="489"/>
      <c r="HU41" s="489"/>
      <c r="HV41" s="489"/>
      <c r="HW41" s="489"/>
      <c r="HX41" s="358"/>
    </row>
    <row r="42" spans="1:232" s="5" customFormat="1" ht="20.100000000000001" customHeight="1">
      <c r="A42" s="497" t="s">
        <v>863</v>
      </c>
      <c r="B42" s="498"/>
      <c r="C42" s="498"/>
      <c r="D42" s="498"/>
      <c r="E42" s="498"/>
      <c r="F42" s="498"/>
      <c r="G42" s="498"/>
      <c r="H42" s="498"/>
      <c r="I42" s="498"/>
      <c r="J42" s="498"/>
      <c r="K42" s="463"/>
      <c r="L42" s="463"/>
      <c r="M42" s="464"/>
      <c r="N42" s="464"/>
      <c r="O42" s="464"/>
      <c r="P42" s="495"/>
      <c r="Q42" s="495"/>
      <c r="R42" s="495"/>
      <c r="S42" s="495"/>
      <c r="T42" s="495"/>
      <c r="U42" s="499"/>
      <c r="V42" s="499"/>
      <c r="W42" s="499"/>
      <c r="X42" s="499"/>
      <c r="Y42" s="499"/>
      <c r="Z42" s="499"/>
      <c r="AA42" s="499"/>
      <c r="AB42" s="499"/>
      <c r="AC42" s="499"/>
      <c r="AD42" s="499"/>
      <c r="AE42" s="499"/>
      <c r="AF42" s="499"/>
      <c r="AG42" s="499"/>
      <c r="AH42" s="499"/>
      <c r="AI42" s="499"/>
      <c r="AJ42" s="499"/>
      <c r="AK42" s="499"/>
      <c r="AL42" s="499"/>
      <c r="AM42" s="499"/>
      <c r="AN42" s="499"/>
      <c r="AO42" s="499"/>
      <c r="AP42" s="499"/>
      <c r="AQ42" s="499"/>
      <c r="AR42" s="499"/>
      <c r="AS42" s="499"/>
      <c r="AT42" s="499"/>
      <c r="AU42" s="499"/>
      <c r="AV42" s="499"/>
      <c r="AW42" s="499"/>
      <c r="AX42" s="499"/>
      <c r="AY42" s="499"/>
      <c r="AZ42" s="499"/>
      <c r="BA42" s="499"/>
      <c r="BB42" s="499"/>
      <c r="BC42" s="499"/>
      <c r="BD42" s="499"/>
      <c r="BE42" s="499"/>
      <c r="BF42" s="499"/>
      <c r="BG42" s="499"/>
      <c r="BH42" s="499"/>
      <c r="BI42" s="499"/>
      <c r="BJ42" s="499"/>
      <c r="BK42" s="499"/>
      <c r="BL42" s="499"/>
      <c r="BM42" s="499"/>
      <c r="BN42" s="499"/>
      <c r="BO42" s="499"/>
      <c r="BP42" s="499"/>
      <c r="BQ42" s="499"/>
      <c r="BR42" s="499"/>
      <c r="BS42" s="499"/>
      <c r="BT42" s="499"/>
      <c r="BU42" s="499"/>
      <c r="BV42" s="499"/>
      <c r="BW42" s="499"/>
      <c r="BX42" s="499"/>
      <c r="BY42" s="499"/>
      <c r="BZ42" s="499"/>
      <c r="CA42" s="499"/>
      <c r="CB42" s="499"/>
      <c r="CC42" s="499"/>
      <c r="CD42" s="499"/>
      <c r="CE42" s="499"/>
      <c r="CF42" s="499"/>
      <c r="CG42" s="499"/>
      <c r="CH42" s="499"/>
      <c r="CI42" s="499"/>
      <c r="CJ42" s="499"/>
      <c r="CK42" s="499"/>
      <c r="CL42" s="499"/>
      <c r="CM42" s="499"/>
      <c r="CN42" s="499"/>
      <c r="CO42" s="499"/>
      <c r="CP42" s="499"/>
      <c r="CQ42" s="499"/>
      <c r="CR42" s="499"/>
      <c r="CS42" s="499"/>
      <c r="CT42" s="499"/>
      <c r="CU42" s="499"/>
      <c r="CV42" s="499"/>
      <c r="CW42" s="499"/>
      <c r="CX42" s="499"/>
      <c r="CY42" s="499"/>
      <c r="CZ42" s="499"/>
      <c r="DA42" s="499"/>
      <c r="DB42" s="499"/>
      <c r="DC42" s="499"/>
      <c r="DD42" s="499"/>
      <c r="DE42" s="499"/>
      <c r="DF42" s="499"/>
      <c r="DG42" s="499"/>
      <c r="DH42" s="499"/>
      <c r="DI42" s="499"/>
      <c r="DJ42" s="499"/>
      <c r="DK42" s="499"/>
      <c r="DL42" s="499"/>
      <c r="DM42" s="499"/>
      <c r="DN42" s="499"/>
      <c r="DO42" s="499"/>
      <c r="DP42" s="499"/>
      <c r="DQ42" s="499"/>
      <c r="DR42" s="499"/>
      <c r="DS42" s="499"/>
      <c r="DT42" s="499"/>
      <c r="DU42" s="499"/>
      <c r="DV42" s="499"/>
      <c r="DW42" s="499"/>
      <c r="DX42" s="499"/>
      <c r="DY42" s="499"/>
      <c r="DZ42" s="499"/>
      <c r="EA42" s="499"/>
      <c r="EB42" s="499"/>
      <c r="EC42" s="499"/>
      <c r="ED42" s="499"/>
      <c r="EE42" s="499"/>
      <c r="EF42" s="499"/>
      <c r="EG42" s="499"/>
      <c r="EH42" s="499"/>
      <c r="EI42" s="499"/>
      <c r="EJ42" s="499"/>
      <c r="EK42" s="499"/>
      <c r="EL42" s="499"/>
      <c r="EM42" s="499"/>
      <c r="EN42" s="499"/>
      <c r="EO42" s="499"/>
      <c r="EP42" s="499"/>
      <c r="EQ42" s="499"/>
      <c r="ER42" s="499"/>
      <c r="ES42" s="499"/>
      <c r="ET42" s="499"/>
      <c r="EU42" s="499"/>
      <c r="EV42" s="499"/>
      <c r="EW42" s="499"/>
      <c r="EX42" s="499"/>
      <c r="EY42" s="499"/>
      <c r="EZ42" s="499"/>
      <c r="FA42" s="499"/>
      <c r="FB42" s="499"/>
      <c r="FC42" s="499"/>
      <c r="FD42" s="499"/>
      <c r="FE42" s="499"/>
      <c r="FF42" s="499"/>
      <c r="FG42" s="499"/>
      <c r="FH42" s="499"/>
      <c r="FI42" s="499"/>
      <c r="FJ42" s="499"/>
      <c r="FK42" s="499"/>
      <c r="FL42" s="499"/>
      <c r="FM42" s="499"/>
      <c r="FN42" s="499"/>
      <c r="FO42" s="499"/>
      <c r="FP42" s="499"/>
      <c r="FQ42" s="499"/>
      <c r="FR42" s="499"/>
      <c r="FS42" s="499"/>
      <c r="FT42" s="499"/>
      <c r="FU42" s="499"/>
      <c r="FV42" s="499"/>
      <c r="FW42" s="499"/>
      <c r="FX42" s="499"/>
      <c r="FY42" s="499"/>
      <c r="FZ42" s="499"/>
      <c r="GA42" s="499"/>
      <c r="GB42" s="499"/>
      <c r="GC42" s="499"/>
      <c r="GD42" s="499"/>
      <c r="GE42" s="499"/>
      <c r="GF42" s="499"/>
      <c r="GG42" s="499"/>
      <c r="GH42" s="499"/>
      <c r="GI42" s="499"/>
      <c r="GJ42" s="499"/>
      <c r="GK42" s="499"/>
      <c r="GL42" s="499"/>
      <c r="GM42" s="499"/>
      <c r="GN42" s="499"/>
      <c r="GO42" s="499"/>
      <c r="GP42" s="499"/>
      <c r="GQ42" s="499"/>
      <c r="GR42" s="499"/>
      <c r="GS42" s="499"/>
      <c r="GT42" s="499"/>
      <c r="GU42" s="499"/>
      <c r="GV42" s="499"/>
      <c r="GW42" s="499"/>
      <c r="GX42" s="499"/>
      <c r="GY42" s="499"/>
      <c r="GZ42" s="499"/>
      <c r="HA42" s="499"/>
      <c r="HB42" s="499"/>
      <c r="HC42" s="499"/>
      <c r="HD42" s="499"/>
      <c r="HE42" s="499"/>
      <c r="HF42" s="499"/>
      <c r="HG42" s="499"/>
      <c r="HH42" s="499"/>
      <c r="HI42" s="499"/>
      <c r="HJ42" s="499"/>
      <c r="HK42" s="499"/>
      <c r="HL42" s="499"/>
      <c r="HM42" s="499"/>
      <c r="HN42" s="499"/>
      <c r="HO42" s="499"/>
      <c r="HP42" s="499"/>
      <c r="HQ42" s="499"/>
      <c r="HR42" s="499"/>
      <c r="HS42" s="499"/>
      <c r="HT42" s="499"/>
      <c r="HU42" s="499"/>
      <c r="HV42" s="499"/>
      <c r="HW42" s="499"/>
      <c r="HX42" s="358"/>
    </row>
    <row r="43" spans="1:232" ht="33" customHeight="1">
      <c r="A43" s="1607" t="s">
        <v>112</v>
      </c>
      <c r="B43" s="1607"/>
      <c r="C43" s="1607"/>
      <c r="D43" s="1607"/>
      <c r="E43" s="1607"/>
      <c r="F43" s="1607"/>
      <c r="G43" s="1607"/>
      <c r="H43" s="1607"/>
      <c r="I43" s="1607"/>
      <c r="J43" s="1607"/>
      <c r="P43" s="495"/>
      <c r="Q43" s="495"/>
      <c r="R43" s="495"/>
      <c r="S43" s="495"/>
    </row>
    <row r="44" spans="1:232" ht="20.100000000000001" customHeight="1">
      <c r="A44" s="1604" t="s">
        <v>864</v>
      </c>
      <c r="B44" s="1604"/>
      <c r="C44" s="1604"/>
      <c r="D44" s="1604"/>
      <c r="E44" s="1604"/>
      <c r="F44" s="1604"/>
      <c r="G44" s="1604"/>
      <c r="H44" s="1604"/>
      <c r="I44" s="1604"/>
      <c r="J44" s="1604"/>
    </row>
    <row r="45" spans="1:232" s="5" customFormat="1" ht="20.100000000000001" customHeight="1">
      <c r="A45" s="500" t="s">
        <v>1032</v>
      </c>
      <c r="C45" s="501"/>
      <c r="D45" s="501"/>
      <c r="E45" s="501"/>
      <c r="F45" s="501"/>
      <c r="G45" s="501"/>
      <c r="H45" s="501"/>
      <c r="I45" s="501"/>
      <c r="J45" s="502"/>
      <c r="K45" s="463"/>
      <c r="L45" s="463"/>
      <c r="M45" s="464"/>
      <c r="N45" s="464"/>
      <c r="O45" s="464"/>
      <c r="P45" s="464"/>
      <c r="Q45" s="464"/>
      <c r="R45" s="464"/>
      <c r="S45" s="464"/>
      <c r="T45" s="495"/>
      <c r="U45" s="499"/>
      <c r="V45" s="499"/>
      <c r="W45" s="499"/>
      <c r="X45" s="499"/>
      <c r="Y45" s="499"/>
      <c r="Z45" s="499"/>
      <c r="AA45" s="499"/>
      <c r="AB45" s="499"/>
      <c r="AC45" s="499"/>
      <c r="AD45" s="499"/>
      <c r="AE45" s="499"/>
      <c r="AF45" s="499"/>
      <c r="AG45" s="499"/>
      <c r="AH45" s="499"/>
      <c r="AI45" s="499"/>
      <c r="AJ45" s="499"/>
      <c r="AK45" s="499"/>
      <c r="AL45" s="499"/>
      <c r="AM45" s="499"/>
      <c r="AN45" s="499"/>
      <c r="AO45" s="499"/>
      <c r="AP45" s="499"/>
      <c r="AQ45" s="499"/>
      <c r="AR45" s="499"/>
      <c r="AS45" s="499"/>
      <c r="AT45" s="499"/>
      <c r="AU45" s="499"/>
      <c r="AV45" s="499"/>
      <c r="AW45" s="499"/>
      <c r="AX45" s="499"/>
      <c r="AY45" s="499"/>
      <c r="AZ45" s="499"/>
      <c r="BA45" s="499"/>
      <c r="BB45" s="499"/>
      <c r="BC45" s="499"/>
      <c r="BD45" s="499"/>
      <c r="BE45" s="499"/>
      <c r="BF45" s="499"/>
      <c r="BG45" s="499"/>
      <c r="BH45" s="499"/>
      <c r="BI45" s="499"/>
      <c r="BJ45" s="499"/>
      <c r="BK45" s="499"/>
      <c r="BL45" s="499"/>
      <c r="BM45" s="499"/>
      <c r="BN45" s="499"/>
      <c r="BO45" s="499"/>
      <c r="BP45" s="499"/>
      <c r="BQ45" s="499"/>
      <c r="BR45" s="499"/>
      <c r="BS45" s="499"/>
      <c r="BT45" s="499"/>
      <c r="BU45" s="499"/>
      <c r="BV45" s="499"/>
      <c r="BW45" s="499"/>
      <c r="BX45" s="499"/>
      <c r="BY45" s="499"/>
      <c r="BZ45" s="499"/>
      <c r="CA45" s="499"/>
      <c r="CB45" s="499"/>
      <c r="CC45" s="499"/>
      <c r="CD45" s="499"/>
      <c r="CE45" s="499"/>
      <c r="CF45" s="499"/>
      <c r="CG45" s="499"/>
      <c r="CH45" s="499"/>
      <c r="CI45" s="499"/>
      <c r="CJ45" s="499"/>
      <c r="CK45" s="499"/>
      <c r="CL45" s="499"/>
      <c r="CM45" s="499"/>
      <c r="CN45" s="499"/>
      <c r="CO45" s="499"/>
      <c r="CP45" s="499"/>
      <c r="CQ45" s="499"/>
      <c r="CR45" s="499"/>
      <c r="CS45" s="499"/>
      <c r="CT45" s="499"/>
      <c r="CU45" s="499"/>
      <c r="CV45" s="499"/>
      <c r="CW45" s="499"/>
      <c r="CX45" s="499"/>
      <c r="CY45" s="499"/>
      <c r="CZ45" s="499"/>
      <c r="DA45" s="499"/>
      <c r="DB45" s="499"/>
      <c r="DC45" s="499"/>
      <c r="DD45" s="499"/>
      <c r="DE45" s="499"/>
      <c r="DF45" s="499"/>
      <c r="DG45" s="499"/>
      <c r="DH45" s="499"/>
      <c r="DI45" s="499"/>
      <c r="DJ45" s="499"/>
      <c r="DK45" s="499"/>
      <c r="DL45" s="499"/>
      <c r="DM45" s="499"/>
      <c r="DN45" s="499"/>
      <c r="DO45" s="499"/>
      <c r="DP45" s="499"/>
      <c r="DQ45" s="499"/>
      <c r="DR45" s="499"/>
      <c r="DS45" s="499"/>
      <c r="DT45" s="499"/>
      <c r="DU45" s="499"/>
      <c r="DV45" s="499"/>
      <c r="DW45" s="499"/>
      <c r="DX45" s="499"/>
      <c r="DY45" s="499"/>
      <c r="DZ45" s="499"/>
      <c r="EA45" s="499"/>
      <c r="EB45" s="499"/>
      <c r="EC45" s="499"/>
      <c r="ED45" s="499"/>
      <c r="EE45" s="499"/>
      <c r="EF45" s="499"/>
      <c r="EG45" s="499"/>
      <c r="EH45" s="499"/>
      <c r="EI45" s="499"/>
      <c r="EJ45" s="499"/>
      <c r="EK45" s="499"/>
      <c r="EL45" s="499"/>
      <c r="EM45" s="499"/>
      <c r="EN45" s="499"/>
      <c r="EO45" s="499"/>
      <c r="EP45" s="499"/>
      <c r="EQ45" s="499"/>
      <c r="ER45" s="499"/>
      <c r="ES45" s="499"/>
      <c r="ET45" s="499"/>
      <c r="EU45" s="499"/>
      <c r="EV45" s="499"/>
      <c r="EW45" s="499"/>
      <c r="EX45" s="499"/>
      <c r="EY45" s="499"/>
      <c r="EZ45" s="499"/>
      <c r="FA45" s="499"/>
      <c r="FB45" s="499"/>
      <c r="FC45" s="499"/>
      <c r="FD45" s="499"/>
      <c r="FE45" s="499"/>
      <c r="FF45" s="499"/>
      <c r="FG45" s="499"/>
      <c r="FH45" s="499"/>
      <c r="FI45" s="499"/>
      <c r="FJ45" s="499"/>
      <c r="FK45" s="499"/>
      <c r="FL45" s="499"/>
      <c r="FM45" s="499"/>
      <c r="FN45" s="499"/>
      <c r="FO45" s="499"/>
      <c r="FP45" s="499"/>
      <c r="FQ45" s="499"/>
      <c r="FR45" s="499"/>
      <c r="FS45" s="499"/>
      <c r="FT45" s="499"/>
      <c r="FU45" s="499"/>
      <c r="FV45" s="499"/>
      <c r="FW45" s="499"/>
      <c r="FX45" s="499"/>
      <c r="FY45" s="499"/>
      <c r="FZ45" s="499"/>
      <c r="GA45" s="499"/>
      <c r="GB45" s="499"/>
      <c r="GC45" s="499"/>
      <c r="GD45" s="499"/>
      <c r="GE45" s="499"/>
      <c r="GF45" s="499"/>
      <c r="GG45" s="499"/>
      <c r="GH45" s="499"/>
      <c r="GI45" s="499"/>
      <c r="GJ45" s="499"/>
      <c r="GK45" s="499"/>
      <c r="GL45" s="499"/>
      <c r="GM45" s="499"/>
      <c r="GN45" s="499"/>
      <c r="GO45" s="499"/>
      <c r="GP45" s="499"/>
      <c r="GQ45" s="499"/>
      <c r="GR45" s="499"/>
      <c r="GS45" s="499"/>
      <c r="GT45" s="499"/>
      <c r="GU45" s="499"/>
      <c r="GV45" s="499"/>
      <c r="GW45" s="499"/>
      <c r="GX45" s="499"/>
      <c r="GY45" s="499"/>
      <c r="GZ45" s="499"/>
      <c r="HA45" s="499"/>
      <c r="HB45" s="499"/>
      <c r="HC45" s="499"/>
      <c r="HD45" s="499"/>
      <c r="HE45" s="499"/>
      <c r="HF45" s="499"/>
      <c r="HG45" s="499"/>
      <c r="HH45" s="499"/>
      <c r="HI45" s="499"/>
      <c r="HJ45" s="499"/>
      <c r="HK45" s="499"/>
      <c r="HL45" s="499"/>
      <c r="HM45" s="499"/>
      <c r="HN45" s="499"/>
      <c r="HO45" s="499"/>
      <c r="HP45" s="499"/>
      <c r="HQ45" s="499"/>
      <c r="HR45" s="499"/>
      <c r="HS45" s="499"/>
      <c r="HT45" s="499"/>
      <c r="HU45" s="499"/>
      <c r="HV45" s="499"/>
      <c r="HW45" s="499"/>
      <c r="HX45" s="358"/>
    </row>
    <row r="46" spans="1:232" s="5" customFormat="1" ht="20.100000000000001" customHeight="1">
      <c r="A46" s="1676" t="s">
        <v>191</v>
      </c>
      <c r="B46" s="1631" t="s">
        <v>115</v>
      </c>
      <c r="C46" s="1632"/>
      <c r="D46" s="1632"/>
      <c r="E46" s="1632"/>
      <c r="F46" s="1632"/>
      <c r="G46" s="1632"/>
      <c r="H46" s="1633"/>
      <c r="I46" s="1606" t="s">
        <v>117</v>
      </c>
      <c r="J46" s="1606"/>
      <c r="K46" s="463"/>
      <c r="L46" s="463"/>
      <c r="M46" s="464"/>
      <c r="N46" s="464"/>
      <c r="O46" s="464"/>
      <c r="P46" s="495"/>
      <c r="Q46" s="495"/>
      <c r="R46" s="495"/>
      <c r="S46" s="495"/>
      <c r="T46" s="504"/>
      <c r="U46" s="358"/>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row>
    <row r="47" spans="1:232" s="5" customFormat="1" ht="33.75" customHeight="1">
      <c r="A47" s="1677"/>
      <c r="B47" s="1637"/>
      <c r="C47" s="1638"/>
      <c r="D47" s="1638"/>
      <c r="E47" s="1638"/>
      <c r="F47" s="1638"/>
      <c r="G47" s="1638"/>
      <c r="H47" s="1639"/>
      <c r="I47" s="503" t="s">
        <v>118</v>
      </c>
      <c r="J47" s="503" t="s">
        <v>119</v>
      </c>
      <c r="K47" s="463"/>
      <c r="L47" s="463"/>
      <c r="M47" s="464"/>
      <c r="N47" s="464"/>
      <c r="O47" s="464"/>
      <c r="P47" s="504"/>
      <c r="Q47" s="504"/>
      <c r="R47" s="504"/>
      <c r="S47" s="504"/>
      <c r="T47" s="406"/>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row>
    <row r="48" spans="1:232" s="5" customFormat="1" ht="20.25">
      <c r="A48" s="1678"/>
      <c r="B48" s="1673" t="s">
        <v>420</v>
      </c>
      <c r="C48" s="1674"/>
      <c r="D48" s="1675"/>
      <c r="E48" s="1674" t="s">
        <v>421</v>
      </c>
      <c r="F48" s="1675"/>
      <c r="G48" s="1668" t="s">
        <v>422</v>
      </c>
      <c r="H48" s="1670"/>
      <c r="I48" s="822" t="s">
        <v>471</v>
      </c>
      <c r="J48" s="506"/>
      <c r="K48" s="463"/>
      <c r="L48" s="463"/>
      <c r="M48" s="464"/>
      <c r="N48" s="464"/>
      <c r="O48" s="464"/>
      <c r="P48" s="406"/>
      <c r="Q48" s="406"/>
      <c r="R48" s="406"/>
      <c r="S48" s="406"/>
      <c r="T48" s="406"/>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row>
    <row r="49" spans="1:232" s="5" customFormat="1" ht="35.25" customHeight="1">
      <c r="A49" s="503" t="s">
        <v>188</v>
      </c>
      <c r="B49" s="1701">
        <f>'2. NK'!C14</f>
        <v>2317790.6910000001</v>
      </c>
      <c r="C49" s="1702"/>
      <c r="D49" s="1703"/>
      <c r="E49" s="1673">
        <f>'2. NK'!F14</f>
        <v>2317790.6920000003</v>
      </c>
      <c r="F49" s="1675"/>
      <c r="G49" s="1668">
        <f>'2. NK'!I14</f>
        <v>1E-3</v>
      </c>
      <c r="H49" s="1670"/>
      <c r="I49" s="822" t="s">
        <v>471</v>
      </c>
      <c r="J49" s="506"/>
      <c r="K49" s="463"/>
      <c r="L49" s="463"/>
      <c r="M49" s="464"/>
      <c r="N49" s="464"/>
      <c r="O49" s="464"/>
      <c r="P49" s="406"/>
      <c r="Q49" s="406"/>
      <c r="R49" s="406"/>
      <c r="S49" s="406"/>
      <c r="T49" s="406"/>
      <c r="U49" s="358"/>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row>
    <row r="50" spans="1:232" s="5" customFormat="1" ht="36.75" customHeight="1">
      <c r="A50" s="503" t="s">
        <v>423</v>
      </c>
      <c r="B50" s="1701">
        <f>'2. NK'!C15</f>
        <v>430397.96399999998</v>
      </c>
      <c r="C50" s="1702"/>
      <c r="D50" s="1703"/>
      <c r="E50" s="1673">
        <f>'2. NK'!F15</f>
        <v>430397.984</v>
      </c>
      <c r="F50" s="1675"/>
      <c r="G50" s="1668">
        <f>'2. NK'!I15</f>
        <v>0.02</v>
      </c>
      <c r="H50" s="1670"/>
      <c r="I50" s="822" t="s">
        <v>471</v>
      </c>
      <c r="J50" s="506"/>
      <c r="K50" s="463"/>
      <c r="L50" s="463"/>
      <c r="M50" s="464"/>
      <c r="N50" s="464"/>
      <c r="O50" s="464"/>
      <c r="P50" s="406"/>
      <c r="Q50" s="406"/>
      <c r="R50" s="406"/>
      <c r="S50" s="406"/>
      <c r="T50" s="405"/>
      <c r="U50" s="358"/>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row>
    <row r="51" spans="1:232" s="5" customFormat="1" ht="20.100000000000001" customHeight="1">
      <c r="A51" s="503"/>
      <c r="B51" s="773"/>
      <c r="C51" s="774"/>
      <c r="D51" s="775"/>
      <c r="E51" s="773"/>
      <c r="F51" s="776"/>
      <c r="G51" s="777"/>
      <c r="H51" s="776"/>
      <c r="I51" s="562"/>
      <c r="J51" s="506"/>
      <c r="K51" s="463"/>
      <c r="L51" s="463"/>
      <c r="M51" s="464"/>
      <c r="N51" s="464"/>
      <c r="O51" s="464"/>
      <c r="P51" s="405"/>
      <c r="Q51" s="405"/>
      <c r="R51" s="405"/>
      <c r="S51" s="405"/>
      <c r="T51" s="405"/>
      <c r="U51" s="358"/>
      <c r="V51" s="358"/>
      <c r="W51" s="358"/>
      <c r="X51" s="358"/>
      <c r="Y51" s="358"/>
      <c r="Z51" s="358"/>
      <c r="AA51" s="358"/>
      <c r="AB51" s="358"/>
      <c r="AC51" s="358"/>
      <c r="AD51" s="358"/>
      <c r="AE51" s="358"/>
      <c r="AF51" s="358"/>
      <c r="AG51" s="358"/>
      <c r="AH51" s="358"/>
      <c r="AI51" s="358"/>
      <c r="AJ51" s="358"/>
      <c r="AK51" s="358"/>
      <c r="AL51" s="358"/>
      <c r="AM51" s="358"/>
      <c r="AN51" s="358"/>
      <c r="AO51" s="358"/>
      <c r="AP51" s="358"/>
      <c r="AQ51" s="358"/>
      <c r="AR51" s="358"/>
      <c r="AS51" s="358"/>
      <c r="AT51" s="358"/>
      <c r="AU51" s="358"/>
      <c r="AV51" s="358"/>
      <c r="AW51" s="358"/>
      <c r="AX51" s="358"/>
      <c r="AY51" s="358"/>
      <c r="AZ51" s="358"/>
      <c r="BA51" s="358"/>
      <c r="BB51" s="358"/>
      <c r="BC51" s="358"/>
      <c r="BD51" s="358"/>
      <c r="BE51" s="358"/>
      <c r="BF51" s="358"/>
      <c r="BG51" s="358"/>
      <c r="BH51" s="358"/>
      <c r="BI51" s="358"/>
      <c r="BJ51" s="358"/>
      <c r="BK51" s="358"/>
      <c r="BL51" s="358"/>
      <c r="BM51" s="358"/>
      <c r="BN51" s="358"/>
      <c r="BO51" s="358"/>
      <c r="BP51" s="358"/>
      <c r="BQ51" s="358"/>
      <c r="BR51" s="358"/>
      <c r="BS51" s="358"/>
      <c r="BT51" s="358"/>
      <c r="BU51" s="358"/>
      <c r="BV51" s="358"/>
      <c r="BW51" s="358"/>
      <c r="BX51" s="358"/>
      <c r="BY51" s="358"/>
      <c r="BZ51" s="358"/>
      <c r="CA51" s="358"/>
      <c r="CB51" s="358"/>
      <c r="CC51" s="358"/>
      <c r="CD51" s="358"/>
      <c r="CE51" s="358"/>
      <c r="CF51" s="358"/>
      <c r="CG51" s="358"/>
      <c r="CH51" s="358"/>
      <c r="CI51" s="358"/>
      <c r="CJ51" s="358"/>
      <c r="CK51" s="358"/>
      <c r="CL51" s="358"/>
      <c r="CM51" s="358"/>
      <c r="CN51" s="358"/>
      <c r="CO51" s="358"/>
      <c r="CP51" s="358"/>
      <c r="CQ51" s="358"/>
      <c r="CR51" s="358"/>
      <c r="CS51" s="358"/>
      <c r="CT51" s="358"/>
      <c r="CU51" s="358"/>
      <c r="CV51" s="358"/>
      <c r="CW51" s="358"/>
      <c r="CX51" s="358"/>
      <c r="CY51" s="358"/>
      <c r="CZ51" s="358"/>
      <c r="DA51" s="358"/>
      <c r="DB51" s="358"/>
      <c r="DC51" s="358"/>
      <c r="DD51" s="358"/>
      <c r="DE51" s="358"/>
      <c r="DF51" s="358"/>
      <c r="DG51" s="358"/>
      <c r="DH51" s="358"/>
      <c r="DI51" s="358"/>
      <c r="DJ51" s="358"/>
      <c r="DK51" s="358"/>
      <c r="DL51" s="358"/>
      <c r="DM51" s="358"/>
      <c r="DN51" s="358"/>
      <c r="DO51" s="358"/>
      <c r="DP51" s="358"/>
      <c r="DQ51" s="358"/>
      <c r="DR51" s="358"/>
      <c r="DS51" s="358"/>
      <c r="DT51" s="358"/>
      <c r="DU51" s="358"/>
      <c r="DV51" s="358"/>
      <c r="DW51" s="358"/>
      <c r="DX51" s="358"/>
      <c r="DY51" s="358"/>
      <c r="DZ51" s="358"/>
      <c r="EA51" s="358"/>
      <c r="EB51" s="358"/>
      <c r="EC51" s="358"/>
      <c r="ED51" s="358"/>
      <c r="EE51" s="358"/>
      <c r="EF51" s="358"/>
      <c r="EG51" s="358"/>
      <c r="EH51" s="358"/>
      <c r="EI51" s="358"/>
      <c r="EJ51" s="358"/>
      <c r="EK51" s="358"/>
      <c r="EL51" s="358"/>
      <c r="EM51" s="358"/>
      <c r="EN51" s="358"/>
      <c r="EO51" s="358"/>
      <c r="EP51" s="358"/>
      <c r="EQ51" s="358"/>
      <c r="ER51" s="358"/>
      <c r="ES51" s="358"/>
      <c r="ET51" s="358"/>
      <c r="EU51" s="358"/>
      <c r="EV51" s="358"/>
      <c r="EW51" s="358"/>
      <c r="EX51" s="358"/>
      <c r="EY51" s="358"/>
      <c r="EZ51" s="358"/>
      <c r="FA51" s="358"/>
      <c r="FB51" s="358"/>
      <c r="FC51" s="358"/>
      <c r="FD51" s="358"/>
      <c r="FE51" s="358"/>
      <c r="FF51" s="358"/>
      <c r="FG51" s="358"/>
      <c r="FH51" s="358"/>
      <c r="FI51" s="358"/>
      <c r="FJ51" s="358"/>
      <c r="FK51" s="358"/>
      <c r="FL51" s="358"/>
      <c r="FM51" s="358"/>
      <c r="FN51" s="358"/>
      <c r="FO51" s="358"/>
      <c r="FP51" s="358"/>
      <c r="FQ51" s="358"/>
      <c r="FR51" s="358"/>
      <c r="FS51" s="358"/>
      <c r="FT51" s="358"/>
      <c r="FU51" s="358"/>
      <c r="FV51" s="358"/>
      <c r="FW51" s="358"/>
      <c r="FX51" s="358"/>
      <c r="FY51" s="358"/>
      <c r="FZ51" s="358"/>
      <c r="GA51" s="358"/>
      <c r="GB51" s="358"/>
      <c r="GC51" s="358"/>
      <c r="GD51" s="358"/>
      <c r="GE51" s="358"/>
      <c r="GF51" s="358"/>
      <c r="GG51" s="358"/>
      <c r="GH51" s="358"/>
      <c r="GI51" s="358"/>
      <c r="GJ51" s="358"/>
      <c r="GK51" s="358"/>
      <c r="GL51" s="358"/>
      <c r="GM51" s="358"/>
      <c r="GN51" s="358"/>
      <c r="GO51" s="358"/>
      <c r="GP51" s="358"/>
      <c r="GQ51" s="358"/>
      <c r="GR51" s="358"/>
      <c r="GS51" s="358"/>
      <c r="GT51" s="358"/>
      <c r="GU51" s="358"/>
      <c r="GV51" s="358"/>
      <c r="GW51" s="358"/>
      <c r="GX51" s="358"/>
      <c r="GY51" s="358"/>
      <c r="GZ51" s="358"/>
      <c r="HA51" s="358"/>
      <c r="HB51" s="358"/>
      <c r="HC51" s="358"/>
      <c r="HD51" s="358"/>
      <c r="HE51" s="358"/>
      <c r="HF51" s="358"/>
      <c r="HG51" s="358"/>
      <c r="HH51" s="358"/>
      <c r="HI51" s="358"/>
      <c r="HJ51" s="358"/>
      <c r="HK51" s="358"/>
      <c r="HL51" s="358"/>
      <c r="HM51" s="358"/>
      <c r="HN51" s="358"/>
      <c r="HO51" s="358"/>
      <c r="HP51" s="358"/>
      <c r="HQ51" s="358"/>
      <c r="HR51" s="358"/>
      <c r="HS51" s="358"/>
      <c r="HT51" s="358"/>
      <c r="HU51" s="358"/>
      <c r="HV51" s="358"/>
      <c r="HW51" s="358"/>
      <c r="HX51" s="358"/>
    </row>
    <row r="52" spans="1:232" s="5" customFormat="1" ht="20.100000000000001" customHeight="1">
      <c r="A52" s="503"/>
      <c r="B52" s="773"/>
      <c r="C52" s="774"/>
      <c r="D52" s="775"/>
      <c r="E52" s="773"/>
      <c r="F52" s="776"/>
      <c r="G52" s="777"/>
      <c r="H52" s="776"/>
      <c r="I52" s="562"/>
      <c r="J52" s="506"/>
      <c r="K52" s="463"/>
      <c r="L52" s="463"/>
      <c r="M52" s="464"/>
      <c r="N52" s="464"/>
      <c r="O52" s="464"/>
      <c r="P52" s="405"/>
      <c r="Q52" s="405"/>
      <c r="R52" s="405"/>
      <c r="S52" s="405"/>
      <c r="T52" s="405"/>
      <c r="U52" s="358"/>
      <c r="V52" s="358"/>
      <c r="W52" s="358"/>
      <c r="X52" s="358"/>
      <c r="Y52" s="358"/>
      <c r="Z52" s="358"/>
      <c r="AA52" s="358"/>
      <c r="AB52" s="358"/>
      <c r="AC52" s="358"/>
      <c r="AD52" s="358"/>
      <c r="AE52" s="358"/>
      <c r="AF52" s="358"/>
      <c r="AG52" s="358"/>
      <c r="AH52" s="358"/>
      <c r="AI52" s="358"/>
      <c r="AJ52" s="358"/>
      <c r="AK52" s="358"/>
      <c r="AL52" s="358"/>
      <c r="AM52" s="358"/>
      <c r="AN52" s="358"/>
      <c r="AO52" s="358"/>
      <c r="AP52" s="358"/>
      <c r="AQ52" s="358"/>
      <c r="AR52" s="358"/>
      <c r="AS52" s="358"/>
      <c r="AT52" s="358"/>
      <c r="AU52" s="358"/>
      <c r="AV52" s="358"/>
      <c r="AW52" s="358"/>
      <c r="AX52" s="358"/>
      <c r="AY52" s="358"/>
      <c r="AZ52" s="358"/>
      <c r="BA52" s="358"/>
      <c r="BB52" s="358"/>
      <c r="BC52" s="358"/>
      <c r="BD52" s="358"/>
      <c r="BE52" s="358"/>
      <c r="BF52" s="358"/>
      <c r="BG52" s="358"/>
      <c r="BH52" s="358"/>
      <c r="BI52" s="358"/>
      <c r="BJ52" s="358"/>
      <c r="BK52" s="358"/>
      <c r="BL52" s="358"/>
      <c r="BM52" s="358"/>
      <c r="BN52" s="358"/>
      <c r="BO52" s="358"/>
      <c r="BP52" s="358"/>
      <c r="BQ52" s="358"/>
      <c r="BR52" s="358"/>
      <c r="BS52" s="358"/>
      <c r="BT52" s="358"/>
      <c r="BU52" s="358"/>
      <c r="BV52" s="358"/>
      <c r="BW52" s="358"/>
      <c r="BX52" s="358"/>
      <c r="BY52" s="358"/>
      <c r="BZ52" s="358"/>
      <c r="CA52" s="358"/>
      <c r="CB52" s="358"/>
      <c r="CC52" s="358"/>
      <c r="CD52" s="358"/>
      <c r="CE52" s="358"/>
      <c r="CF52" s="358"/>
      <c r="CG52" s="358"/>
      <c r="CH52" s="358"/>
      <c r="CI52" s="358"/>
      <c r="CJ52" s="358"/>
      <c r="CK52" s="358"/>
      <c r="CL52" s="358"/>
      <c r="CM52" s="358"/>
      <c r="CN52" s="358"/>
      <c r="CO52" s="358"/>
      <c r="CP52" s="358"/>
      <c r="CQ52" s="358"/>
      <c r="CR52" s="358"/>
      <c r="CS52" s="358"/>
      <c r="CT52" s="358"/>
      <c r="CU52" s="358"/>
      <c r="CV52" s="358"/>
      <c r="CW52" s="358"/>
      <c r="CX52" s="358"/>
      <c r="CY52" s="358"/>
      <c r="CZ52" s="358"/>
      <c r="DA52" s="358"/>
      <c r="DB52" s="358"/>
      <c r="DC52" s="358"/>
      <c r="DD52" s="358"/>
      <c r="DE52" s="358"/>
      <c r="DF52" s="358"/>
      <c r="DG52" s="358"/>
      <c r="DH52" s="358"/>
      <c r="DI52" s="358"/>
      <c r="DJ52" s="358"/>
      <c r="DK52" s="358"/>
      <c r="DL52" s="358"/>
      <c r="DM52" s="358"/>
      <c r="DN52" s="358"/>
      <c r="DO52" s="358"/>
      <c r="DP52" s="358"/>
      <c r="DQ52" s="358"/>
      <c r="DR52" s="358"/>
      <c r="DS52" s="358"/>
      <c r="DT52" s="358"/>
      <c r="DU52" s="358"/>
      <c r="DV52" s="358"/>
      <c r="DW52" s="358"/>
      <c r="DX52" s="358"/>
      <c r="DY52" s="358"/>
      <c r="DZ52" s="358"/>
      <c r="EA52" s="358"/>
      <c r="EB52" s="358"/>
      <c r="EC52" s="358"/>
      <c r="ED52" s="358"/>
      <c r="EE52" s="358"/>
      <c r="EF52" s="358"/>
      <c r="EG52" s="358"/>
      <c r="EH52" s="358"/>
      <c r="EI52" s="358"/>
      <c r="EJ52" s="358"/>
      <c r="EK52" s="358"/>
      <c r="EL52" s="358"/>
      <c r="EM52" s="358"/>
      <c r="EN52" s="358"/>
      <c r="EO52" s="358"/>
      <c r="EP52" s="358"/>
      <c r="EQ52" s="358"/>
      <c r="ER52" s="358"/>
      <c r="ES52" s="358"/>
      <c r="ET52" s="358"/>
      <c r="EU52" s="358"/>
      <c r="EV52" s="358"/>
      <c r="EW52" s="358"/>
      <c r="EX52" s="358"/>
      <c r="EY52" s="358"/>
      <c r="EZ52" s="358"/>
      <c r="FA52" s="358"/>
      <c r="FB52" s="358"/>
      <c r="FC52" s="358"/>
      <c r="FD52" s="358"/>
      <c r="FE52" s="358"/>
      <c r="FF52" s="358"/>
      <c r="FG52" s="358"/>
      <c r="FH52" s="358"/>
      <c r="FI52" s="358"/>
      <c r="FJ52" s="358"/>
      <c r="FK52" s="358"/>
      <c r="FL52" s="358"/>
      <c r="FM52" s="358"/>
      <c r="FN52" s="358"/>
      <c r="FO52" s="358"/>
      <c r="FP52" s="358"/>
      <c r="FQ52" s="358"/>
      <c r="FR52" s="358"/>
      <c r="FS52" s="358"/>
      <c r="FT52" s="358"/>
      <c r="FU52" s="358"/>
      <c r="FV52" s="358"/>
      <c r="FW52" s="358"/>
      <c r="FX52" s="358"/>
      <c r="FY52" s="358"/>
      <c r="FZ52" s="358"/>
      <c r="GA52" s="358"/>
      <c r="GB52" s="358"/>
      <c r="GC52" s="358"/>
      <c r="GD52" s="358"/>
      <c r="GE52" s="358"/>
      <c r="GF52" s="358"/>
      <c r="GG52" s="358"/>
      <c r="GH52" s="358"/>
      <c r="GI52" s="358"/>
      <c r="GJ52" s="358"/>
      <c r="GK52" s="358"/>
      <c r="GL52" s="358"/>
      <c r="GM52" s="358"/>
      <c r="GN52" s="358"/>
      <c r="GO52" s="358"/>
      <c r="GP52" s="358"/>
      <c r="GQ52" s="358"/>
      <c r="GR52" s="358"/>
      <c r="GS52" s="358"/>
      <c r="GT52" s="358"/>
      <c r="GU52" s="358"/>
      <c r="GV52" s="358"/>
      <c r="GW52" s="358"/>
      <c r="GX52" s="358"/>
      <c r="GY52" s="358"/>
      <c r="GZ52" s="358"/>
      <c r="HA52" s="358"/>
      <c r="HB52" s="358"/>
      <c r="HC52" s="358"/>
      <c r="HD52" s="358"/>
      <c r="HE52" s="358"/>
      <c r="HF52" s="358"/>
      <c r="HG52" s="358"/>
      <c r="HH52" s="358"/>
      <c r="HI52" s="358"/>
      <c r="HJ52" s="358"/>
      <c r="HK52" s="358"/>
      <c r="HL52" s="358"/>
      <c r="HM52" s="358"/>
      <c r="HN52" s="358"/>
      <c r="HO52" s="358"/>
      <c r="HP52" s="358"/>
      <c r="HQ52" s="358"/>
      <c r="HR52" s="358"/>
      <c r="HS52" s="358"/>
      <c r="HT52" s="358"/>
      <c r="HU52" s="358"/>
      <c r="HV52" s="358"/>
      <c r="HW52" s="358"/>
      <c r="HX52" s="358"/>
    </row>
    <row r="53" spans="1:232" ht="20.100000000000001" customHeight="1">
      <c r="A53" s="1595" t="s">
        <v>1033</v>
      </c>
      <c r="B53" s="1595"/>
      <c r="C53" s="1595"/>
      <c r="D53" s="1595"/>
      <c r="E53" s="1595"/>
      <c r="F53" s="1595"/>
      <c r="G53" s="1595"/>
      <c r="H53" s="1595"/>
      <c r="I53" s="1595"/>
      <c r="J53" s="1595"/>
      <c r="P53" s="405"/>
      <c r="Q53" s="405"/>
      <c r="R53" s="405"/>
      <c r="S53" s="405"/>
    </row>
    <row r="54" spans="1:232" ht="20.100000000000001" customHeight="1">
      <c r="A54" s="1596" t="s">
        <v>121</v>
      </c>
      <c r="B54" s="1596"/>
      <c r="C54" s="1596"/>
      <c r="D54" s="1596"/>
      <c r="E54" s="1596"/>
      <c r="F54" s="1596"/>
      <c r="G54" s="1596"/>
      <c r="H54" s="1596"/>
      <c r="I54" s="1596"/>
      <c r="J54" s="1596"/>
    </row>
    <row r="55" spans="1:232" ht="20.100000000000001" customHeight="1">
      <c r="A55" s="1600" t="s">
        <v>910</v>
      </c>
      <c r="B55" s="1600"/>
      <c r="C55" s="1600"/>
      <c r="D55" s="1600"/>
      <c r="E55" s="1600"/>
      <c r="F55" s="1600"/>
      <c r="G55" s="1600"/>
      <c r="H55" s="1600"/>
      <c r="I55" s="1600"/>
      <c r="J55" s="1600"/>
    </row>
    <row r="56" spans="1:232" ht="20.100000000000001" customHeight="1">
      <c r="A56" s="1595"/>
      <c r="B56" s="1595"/>
      <c r="C56" s="1595"/>
      <c r="D56" s="1595"/>
      <c r="E56" s="1595"/>
      <c r="F56" s="1595"/>
      <c r="G56" s="1595"/>
      <c r="H56" s="1595"/>
      <c r="I56" s="1595"/>
      <c r="J56" s="1595"/>
    </row>
    <row r="57" spans="1:232" ht="20.100000000000001" customHeight="1">
      <c r="A57" s="507"/>
      <c r="B57" s="507"/>
      <c r="C57" s="507"/>
      <c r="D57" s="507"/>
      <c r="E57" s="507"/>
      <c r="F57" s="507"/>
      <c r="G57" s="507"/>
      <c r="H57" s="507"/>
      <c r="I57" s="507"/>
      <c r="J57" s="507"/>
    </row>
    <row r="58" spans="1:232" ht="20.100000000000001" customHeight="1">
      <c r="A58" s="1599" t="s">
        <v>442</v>
      </c>
      <c r="B58" s="1599"/>
      <c r="C58" s="1599"/>
      <c r="D58" s="1599"/>
      <c r="E58" s="1599"/>
      <c r="F58" s="1666" t="s">
        <v>123</v>
      </c>
      <c r="G58" s="1666"/>
      <c r="H58" s="1666"/>
      <c r="I58" s="1666"/>
      <c r="J58" s="1666"/>
    </row>
    <row r="59" spans="1:232" ht="20.100000000000001" customHeight="1">
      <c r="A59" s="563"/>
      <c r="B59" s="508"/>
      <c r="C59" s="508"/>
      <c r="D59" s="508"/>
      <c r="E59" s="563"/>
      <c r="F59" s="1599" t="s">
        <v>124</v>
      </c>
      <c r="G59" s="1599"/>
      <c r="H59" s="1599" t="s">
        <v>865</v>
      </c>
      <c r="I59" s="1599"/>
      <c r="J59" s="1599"/>
    </row>
    <row r="60" spans="1:232" ht="20.100000000000001" customHeight="1">
      <c r="A60" s="508"/>
      <c r="B60" s="508"/>
      <c r="C60" s="508"/>
      <c r="D60" s="508"/>
      <c r="E60" s="508"/>
      <c r="F60" s="508"/>
      <c r="G60" s="508"/>
      <c r="H60" s="508"/>
      <c r="I60" s="508"/>
      <c r="J60" s="508"/>
    </row>
    <row r="61" spans="1:232" ht="20.100000000000001" customHeight="1">
      <c r="A61" s="508"/>
      <c r="B61" s="508"/>
      <c r="C61" s="508"/>
      <c r="D61" s="508"/>
      <c r="E61" s="508"/>
      <c r="F61" s="508"/>
      <c r="G61" s="508"/>
      <c r="H61" s="508"/>
      <c r="I61" s="508"/>
      <c r="J61" s="508"/>
    </row>
    <row r="62" spans="1:232" ht="20.100000000000001" customHeight="1">
      <c r="A62" s="508"/>
      <c r="B62" s="508"/>
      <c r="C62" s="508"/>
      <c r="D62" s="508"/>
      <c r="E62" s="508"/>
      <c r="F62" s="508"/>
      <c r="G62" s="508"/>
      <c r="H62" s="508"/>
      <c r="I62" s="508"/>
      <c r="J62" s="508"/>
    </row>
    <row r="63" spans="1:232" ht="20.100000000000001" customHeight="1">
      <c r="A63" s="508"/>
      <c r="B63" s="508"/>
      <c r="C63" s="508"/>
      <c r="D63" s="508"/>
      <c r="E63" s="508"/>
      <c r="F63" s="508"/>
      <c r="G63" s="508"/>
      <c r="H63" s="508"/>
      <c r="I63" s="508"/>
      <c r="J63" s="508"/>
    </row>
    <row r="64" spans="1:232" ht="20.100000000000001" customHeight="1">
      <c r="A64" s="508"/>
      <c r="B64" s="508"/>
      <c r="C64" s="508"/>
      <c r="D64" s="508"/>
      <c r="E64" s="508"/>
      <c r="F64" s="508"/>
      <c r="G64" s="508"/>
      <c r="H64" s="508"/>
      <c r="I64" s="508"/>
      <c r="J64" s="508"/>
    </row>
    <row r="65" spans="1:14" ht="20.100000000000001" customHeight="1">
      <c r="A65" s="508"/>
      <c r="B65" s="508"/>
      <c r="C65" s="508"/>
      <c r="D65" s="508"/>
      <c r="E65" s="508"/>
      <c r="F65" s="508"/>
      <c r="G65" s="508"/>
      <c r="H65" s="508"/>
      <c r="I65" s="508"/>
      <c r="J65" s="508"/>
    </row>
    <row r="66" spans="1:14" ht="20.100000000000001" customHeight="1">
      <c r="A66" s="508"/>
      <c r="B66" s="508"/>
      <c r="C66" s="508"/>
      <c r="D66" s="508"/>
      <c r="E66" s="508"/>
      <c r="F66" s="508"/>
      <c r="G66" s="508"/>
      <c r="H66" s="508"/>
      <c r="I66" s="508"/>
      <c r="J66" s="508"/>
    </row>
    <row r="67" spans="1:14" ht="20.100000000000001" customHeight="1">
      <c r="A67" s="508"/>
      <c r="B67" s="508"/>
      <c r="C67" s="508"/>
      <c r="D67" s="508"/>
      <c r="E67" s="508"/>
      <c r="F67" s="508"/>
      <c r="G67" s="508"/>
      <c r="H67" s="508"/>
      <c r="I67" s="508"/>
      <c r="J67" s="508"/>
    </row>
    <row r="68" spans="1:14" ht="20.100000000000001" customHeight="1">
      <c r="A68" s="508"/>
      <c r="B68" s="508"/>
      <c r="C68" s="508"/>
      <c r="D68" s="508"/>
      <c r="E68" s="508"/>
      <c r="F68" s="508"/>
      <c r="G68" s="508"/>
      <c r="H68" s="508"/>
      <c r="I68" s="508"/>
      <c r="J68" s="508"/>
    </row>
    <row r="69" spans="1:14" ht="20.100000000000001" customHeight="1">
      <c r="A69" s="508"/>
      <c r="B69" s="508"/>
      <c r="C69" s="508"/>
      <c r="D69" s="508"/>
      <c r="E69" s="508"/>
      <c r="F69" s="508"/>
      <c r="G69" s="508"/>
      <c r="H69" s="508"/>
      <c r="I69" s="508"/>
      <c r="J69" s="508"/>
    </row>
    <row r="70" spans="1:14" ht="20.100000000000001" customHeight="1">
      <c r="A70" s="508"/>
      <c r="B70" s="508"/>
      <c r="C70" s="508"/>
      <c r="D70" s="508"/>
      <c r="E70" s="508"/>
      <c r="F70" s="508"/>
      <c r="G70" s="508"/>
      <c r="H70" s="508"/>
      <c r="I70" s="508"/>
      <c r="J70" s="508"/>
    </row>
    <row r="71" spans="1:14" ht="20.100000000000001" customHeight="1">
      <c r="A71" s="508"/>
      <c r="B71" s="508"/>
      <c r="C71" s="508"/>
      <c r="D71" s="508"/>
      <c r="E71" s="508"/>
      <c r="F71" s="508"/>
      <c r="G71" s="508"/>
      <c r="H71" s="508"/>
      <c r="I71" s="508"/>
      <c r="J71" s="508"/>
    </row>
    <row r="72" spans="1:14" ht="20.100000000000001" customHeight="1">
      <c r="A72" s="508"/>
      <c r="B72" s="508"/>
      <c r="C72" s="508"/>
      <c r="D72" s="508"/>
      <c r="E72" s="508"/>
      <c r="F72" s="508"/>
      <c r="G72" s="508"/>
      <c r="H72" s="508"/>
      <c r="I72" s="508"/>
      <c r="J72" s="508"/>
    </row>
    <row r="73" spans="1:14" ht="20.100000000000001" customHeight="1">
      <c r="A73" s="508"/>
      <c r="B73" s="508"/>
      <c r="C73" s="508"/>
      <c r="D73" s="508"/>
      <c r="E73" s="508"/>
      <c r="F73" s="508"/>
      <c r="G73" s="508"/>
      <c r="H73" s="508"/>
      <c r="I73" s="508"/>
      <c r="J73" s="508"/>
      <c r="M73" s="463"/>
      <c r="N73" s="463"/>
    </row>
    <row r="74" spans="1:14" ht="20.100000000000001" customHeight="1">
      <c r="A74" s="508"/>
      <c r="B74" s="508"/>
      <c r="C74" s="508"/>
      <c r="D74" s="508"/>
      <c r="E74" s="508"/>
      <c r="F74" s="508"/>
      <c r="G74" s="508"/>
      <c r="H74" s="508"/>
      <c r="I74" s="508"/>
      <c r="J74" s="508"/>
      <c r="M74" s="463"/>
      <c r="N74" s="463"/>
    </row>
    <row r="75" spans="1:14" ht="20.100000000000001" customHeight="1">
      <c r="A75" s="1698" t="s">
        <v>458</v>
      </c>
      <c r="B75" s="1698"/>
      <c r="C75" s="1698"/>
      <c r="D75" s="1698"/>
      <c r="E75" s="1698"/>
      <c r="F75" s="1699" t="s">
        <v>126</v>
      </c>
      <c r="G75" s="1699"/>
      <c r="H75" s="1699"/>
      <c r="I75" s="1699"/>
      <c r="J75" s="1699"/>
      <c r="M75" s="463"/>
      <c r="N75" s="463"/>
    </row>
    <row r="76" spans="1:14" ht="20.100000000000001" customHeight="1">
      <c r="A76" s="1613" t="s">
        <v>127</v>
      </c>
      <c r="B76" s="1613"/>
      <c r="C76" s="1613"/>
      <c r="D76" s="1613"/>
      <c r="E76" s="1613"/>
      <c r="F76" s="1700" t="s">
        <v>128</v>
      </c>
      <c r="G76" s="1700"/>
      <c r="H76" s="1700"/>
      <c r="I76" s="1700"/>
      <c r="J76" s="1700"/>
      <c r="M76" s="463"/>
      <c r="N76" s="463"/>
    </row>
    <row r="77" spans="1:14" ht="20.100000000000001" customHeight="1">
      <c r="F77" s="1652" t="s">
        <v>404</v>
      </c>
      <c r="G77" s="1653"/>
      <c r="H77" s="1653"/>
      <c r="I77" s="1653"/>
      <c r="J77" s="1653"/>
      <c r="M77" s="463"/>
      <c r="N77" s="463"/>
    </row>
    <row r="78" spans="1:14" ht="20.100000000000001" customHeight="1">
      <c r="A78" s="1697">
        <f>A4</f>
        <v>42466</v>
      </c>
      <c r="B78" s="1697"/>
      <c r="C78" s="1697"/>
      <c r="D78" s="1697"/>
      <c r="E78" s="1697"/>
      <c r="F78" s="1697"/>
      <c r="G78" s="1697"/>
      <c r="H78" s="1697"/>
      <c r="I78" s="1697"/>
      <c r="J78" s="1697"/>
      <c r="M78" s="463"/>
      <c r="N78" s="463"/>
    </row>
    <row r="79" spans="1:14" ht="20.100000000000001" customHeight="1">
      <c r="A79" s="509"/>
      <c r="B79" s="509"/>
      <c r="C79" s="509"/>
      <c r="D79" s="509"/>
      <c r="E79" s="509"/>
      <c r="F79" s="510"/>
      <c r="G79" s="510"/>
      <c r="H79" s="510"/>
      <c r="I79" s="510"/>
      <c r="J79" s="510"/>
      <c r="M79" s="463"/>
      <c r="N79" s="463"/>
    </row>
    <row r="80" spans="1:14" ht="19.5">
      <c r="A80" s="1655" t="s">
        <v>438</v>
      </c>
      <c r="B80" s="1656"/>
      <c r="C80" s="1656"/>
      <c r="D80" s="1656"/>
      <c r="E80" s="1656"/>
      <c r="F80" s="1656"/>
      <c r="G80" s="1656"/>
      <c r="H80" s="1656"/>
      <c r="I80" s="1656"/>
      <c r="J80" s="1656"/>
      <c r="M80" s="463"/>
      <c r="N80" s="463"/>
    </row>
    <row r="81" spans="1:232" ht="20.100000000000001" customHeight="1">
      <c r="A81" s="1696" t="str">
        <f>A7</f>
        <v>SỐ: TGHL-HT-CWI-C&amp;S-B1/800</v>
      </c>
      <c r="B81" s="1696"/>
      <c r="C81" s="1696"/>
      <c r="D81" s="1696"/>
      <c r="E81" s="1696"/>
      <c r="F81" s="1696"/>
      <c r="G81" s="1696"/>
      <c r="H81" s="1696"/>
      <c r="I81" s="1696"/>
      <c r="J81" s="1696"/>
    </row>
    <row r="82" spans="1:232" ht="35.1" customHeight="1">
      <c r="A82" s="760" t="str">
        <f>A9</f>
        <v>DỰ ÁN:</v>
      </c>
      <c r="B82" s="778"/>
      <c r="C82" s="1681" t="str">
        <f>C9</f>
        <v>KHU HỖN HỢP CHUNG CƯ, VĂN PHÒNG, TRUNG TÂM THƯƠNG MẠI VÀ NHÀ Ở KẾT HỢP KHU MUA SẮM</v>
      </c>
      <c r="D82" s="1681"/>
      <c r="E82" s="1681"/>
      <c r="F82" s="1681"/>
      <c r="G82" s="1681"/>
      <c r="H82" s="1681"/>
      <c r="I82" s="1681"/>
      <c r="J82" s="1681"/>
      <c r="L82" s="464"/>
      <c r="M82" s="465"/>
    </row>
    <row r="83" spans="1:232" ht="20.100000000000001" customHeight="1">
      <c r="A83" s="760" t="str">
        <f>A10</f>
        <v>CÔNG TRÌNH:</v>
      </c>
      <c r="B83" s="778"/>
      <c r="C83" s="1681" t="str">
        <f>C10</f>
        <v>KHU HỖN HỢP CHUNG CƯ, VĂN PHÒNG, TTTM</v>
      </c>
      <c r="D83" s="1681"/>
      <c r="E83" s="1681"/>
      <c r="F83" s="1681"/>
      <c r="G83" s="1681"/>
      <c r="H83" s="1681"/>
      <c r="I83" s="1681"/>
      <c r="J83" s="1681"/>
      <c r="L83" s="467"/>
    </row>
    <row r="84" spans="1:232" ht="20.100000000000001" customHeight="1">
      <c r="A84" s="760" t="str">
        <f>A11</f>
        <v>GÓI THẦU :</v>
      </c>
      <c r="B84" s="778"/>
      <c r="C84" s="1681" t="str">
        <f>C11</f>
        <v>THI CÔNG CỌC KHOAN NHỒI</v>
      </c>
      <c r="D84" s="1681"/>
      <c r="E84" s="1681"/>
      <c r="F84" s="1681"/>
      <c r="G84" s="1681"/>
      <c r="H84" s="1681"/>
      <c r="I84" s="1681"/>
      <c r="J84" s="1681"/>
      <c r="L84" s="469"/>
      <c r="N84" s="467"/>
    </row>
    <row r="85" spans="1:232">
      <c r="A85" s="760" t="str">
        <f>A12</f>
        <v>ĐỊA ĐIỂM :</v>
      </c>
      <c r="B85" s="778"/>
      <c r="C85" s="1681" t="str">
        <f>C12</f>
        <v>ĐƯỜNG 25/4, P BẠCH ĐẰNG, TP. HẠ LONG, TỈNH QUẢNG NINH</v>
      </c>
      <c r="D85" s="1681"/>
      <c r="E85" s="1681"/>
      <c r="F85" s="1681"/>
      <c r="G85" s="1681"/>
      <c r="H85" s="1681"/>
      <c r="I85" s="1681"/>
      <c r="J85" s="1681"/>
      <c r="L85" s="469"/>
      <c r="N85" s="467"/>
    </row>
    <row r="86" spans="1:232">
      <c r="A86" s="780"/>
      <c r="B86" s="778"/>
      <c r="C86" s="779"/>
      <c r="D86" s="779"/>
      <c r="E86" s="779"/>
      <c r="F86" s="779"/>
      <c r="G86" s="779"/>
      <c r="H86" s="779"/>
      <c r="I86" s="779"/>
      <c r="J86" s="779"/>
      <c r="L86" s="469"/>
      <c r="N86" s="467"/>
    </row>
    <row r="87" spans="1:232">
      <c r="A87" s="778" t="s">
        <v>866</v>
      </c>
      <c r="B87" s="781"/>
      <c r="C87" s="778" t="s">
        <v>820</v>
      </c>
      <c r="D87" s="781"/>
      <c r="E87" s="781"/>
      <c r="F87" s="781"/>
      <c r="G87" s="781"/>
      <c r="H87" s="781"/>
      <c r="I87" s="781"/>
      <c r="J87" s="781"/>
      <c r="L87" s="469"/>
      <c r="N87" s="467"/>
    </row>
    <row r="88" spans="1:232">
      <c r="A88" s="734"/>
      <c r="B88" s="734"/>
      <c r="C88" s="778" t="s">
        <v>867</v>
      </c>
      <c r="D88" s="734"/>
      <c r="E88" s="734"/>
      <c r="F88" s="468"/>
      <c r="G88" s="468"/>
      <c r="H88" s="468"/>
      <c r="I88" s="468"/>
      <c r="J88" s="468"/>
      <c r="M88" s="469"/>
    </row>
    <row r="89" spans="1:232" ht="47.25" customHeight="1">
      <c r="A89" s="1626" t="str">
        <f>'[6]6. BBNT-CT'!A93:J93</f>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
      <c r="B89" s="1627"/>
      <c r="C89" s="1627"/>
      <c r="D89" s="1627"/>
      <c r="E89" s="1627"/>
      <c r="F89" s="1627"/>
      <c r="G89" s="1627"/>
      <c r="H89" s="1627"/>
      <c r="I89" s="1627"/>
      <c r="J89" s="1627"/>
      <c r="M89" s="467"/>
      <c r="N89" s="467"/>
    </row>
    <row r="90" spans="1:232" ht="20.100000000000001" customHeight="1">
      <c r="A90" s="1689" t="s">
        <v>868</v>
      </c>
      <c r="B90" s="1689"/>
      <c r="C90" s="518" t="str">
        <f>A14</f>
        <v>Định vị cọc số hiệu B1</v>
      </c>
      <c r="D90" s="542"/>
      <c r="E90" s="542"/>
      <c r="F90" s="542"/>
      <c r="G90" s="542"/>
      <c r="H90" s="542"/>
      <c r="I90" s="542"/>
      <c r="J90" s="542"/>
      <c r="M90" s="467"/>
      <c r="N90" s="467"/>
      <c r="O90" s="463"/>
    </row>
    <row r="91" spans="1:232" ht="20.100000000000001" customHeight="1">
      <c r="A91" s="543" t="s">
        <v>131</v>
      </c>
      <c r="B91" s="487"/>
      <c r="C91" s="514">
        <f>N16-O11</f>
        <v>0.40509259259259256</v>
      </c>
      <c r="D91" s="1695">
        <f>N17</f>
        <v>42466</v>
      </c>
      <c r="E91" s="1695"/>
      <c r="F91" s="1695"/>
      <c r="G91" s="513"/>
      <c r="H91" s="513"/>
      <c r="I91" s="513"/>
      <c r="J91" s="513"/>
      <c r="L91" s="467"/>
      <c r="M91" s="467"/>
      <c r="N91" s="467"/>
      <c r="O91" s="463"/>
    </row>
    <row r="92" spans="1:232" ht="20.100000000000001" customHeight="1">
      <c r="A92" s="543" t="str">
        <f>'[6]4. BBKT-VL-PO'!A92</f>
        <v>Tại:</v>
      </c>
      <c r="B92" s="487" t="str">
        <f>'[6]4. BBKT-VL-PO'!B92</f>
        <v>Công trình: Khu hỗn hợp chung cư, văn phòng, trung tâm thương mại.</v>
      </c>
      <c r="C92" s="766"/>
      <c r="D92" s="766"/>
      <c r="E92" s="766"/>
      <c r="F92" s="766"/>
      <c r="G92" s="766"/>
      <c r="H92" s="766"/>
      <c r="I92" s="766"/>
      <c r="J92" s="766"/>
      <c r="L92" s="467"/>
      <c r="M92" s="467"/>
      <c r="O92" s="463"/>
    </row>
    <row r="93" spans="1:232" ht="17.25" customHeight="1">
      <c r="A93" s="517"/>
      <c r="B93" s="517"/>
      <c r="C93" s="517"/>
      <c r="D93" s="517"/>
      <c r="E93" s="517"/>
      <c r="F93" s="519"/>
      <c r="G93" s="519"/>
      <c r="H93" s="519"/>
      <c r="I93" s="519"/>
      <c r="J93" s="519"/>
      <c r="K93" s="175"/>
      <c r="L93" s="520"/>
      <c r="M93" s="520"/>
      <c r="N93" s="473"/>
      <c r="O93" s="463"/>
    </row>
    <row r="94" spans="1:232" s="464" customFormat="1" ht="39.75" customHeight="1">
      <c r="A94" s="1631" t="s">
        <v>869</v>
      </c>
      <c r="B94" s="1632"/>
      <c r="C94" s="1633"/>
      <c r="D94" s="1606" t="s">
        <v>870</v>
      </c>
      <c r="E94" s="1606"/>
      <c r="F94" s="1690" t="s">
        <v>409</v>
      </c>
      <c r="G94" s="1691"/>
      <c r="H94" s="1691"/>
      <c r="I94" s="1691"/>
      <c r="J94" s="1692"/>
      <c r="K94" s="463"/>
      <c r="L94" s="463"/>
      <c r="M94" s="469"/>
      <c r="N94" s="470"/>
      <c r="O94" s="463"/>
      <c r="Y94" s="468"/>
      <c r="Z94" s="468"/>
      <c r="AA94" s="468"/>
      <c r="AB94" s="468"/>
      <c r="AC94" s="468"/>
      <c r="AD94" s="468"/>
      <c r="AE94" s="463"/>
      <c r="AF94" s="463"/>
      <c r="AG94" s="463"/>
      <c r="AH94" s="463"/>
      <c r="AI94" s="463"/>
      <c r="AJ94" s="463"/>
      <c r="AK94" s="463"/>
      <c r="AL94" s="463"/>
      <c r="AM94" s="463"/>
      <c r="AN94" s="463"/>
      <c r="AO94" s="463"/>
      <c r="AP94" s="463"/>
      <c r="AQ94" s="463"/>
      <c r="AR94" s="463"/>
      <c r="AS94" s="463"/>
      <c r="AT94" s="463"/>
      <c r="AU94" s="463"/>
      <c r="AV94" s="463"/>
      <c r="AW94" s="463"/>
      <c r="AX94" s="463"/>
      <c r="AY94" s="463"/>
      <c r="AZ94" s="463"/>
      <c r="BA94" s="463"/>
      <c r="BB94" s="463"/>
      <c r="BC94" s="463"/>
      <c r="BD94" s="463"/>
      <c r="BE94" s="463"/>
      <c r="BF94" s="463"/>
      <c r="BG94" s="463"/>
      <c r="BH94" s="463"/>
      <c r="BI94" s="463"/>
      <c r="BJ94" s="463"/>
      <c r="BK94" s="463"/>
      <c r="BL94" s="463"/>
      <c r="BM94" s="463"/>
      <c r="BN94" s="463"/>
      <c r="BO94" s="463"/>
      <c r="BP94" s="463"/>
      <c r="BQ94" s="463"/>
      <c r="BR94" s="463"/>
      <c r="BS94" s="463"/>
      <c r="BT94" s="463"/>
      <c r="BU94" s="463"/>
      <c r="BV94" s="463"/>
      <c r="BW94" s="463"/>
      <c r="BX94" s="463"/>
      <c r="BY94" s="463"/>
      <c r="BZ94" s="463"/>
      <c r="CA94" s="463"/>
      <c r="CB94" s="463"/>
      <c r="CC94" s="463"/>
      <c r="CD94" s="463"/>
      <c r="CE94" s="463"/>
      <c r="CF94" s="463"/>
      <c r="CG94" s="463"/>
      <c r="CH94" s="463"/>
      <c r="CI94" s="463"/>
      <c r="CJ94" s="463"/>
      <c r="CK94" s="463"/>
      <c r="CL94" s="463"/>
      <c r="CM94" s="463"/>
      <c r="CN94" s="463"/>
      <c r="CO94" s="463"/>
      <c r="CP94" s="463"/>
      <c r="CQ94" s="463"/>
      <c r="CR94" s="463"/>
      <c r="CS94" s="463"/>
      <c r="CT94" s="463"/>
      <c r="CU94" s="463"/>
      <c r="CV94" s="463"/>
      <c r="CW94" s="463"/>
      <c r="CX94" s="463"/>
      <c r="CY94" s="463"/>
      <c r="CZ94" s="463"/>
      <c r="DA94" s="463"/>
      <c r="DB94" s="463"/>
      <c r="DC94" s="463"/>
      <c r="DD94" s="463"/>
      <c r="DE94" s="463"/>
      <c r="DF94" s="463"/>
      <c r="DG94" s="463"/>
      <c r="DH94" s="463"/>
      <c r="DI94" s="463"/>
      <c r="DJ94" s="463"/>
      <c r="DK94" s="463"/>
      <c r="DL94" s="463"/>
      <c r="DM94" s="463"/>
      <c r="DN94" s="463"/>
      <c r="DO94" s="463"/>
      <c r="DP94" s="463"/>
      <c r="DQ94" s="463"/>
      <c r="DR94" s="463"/>
      <c r="DS94" s="463"/>
      <c r="DT94" s="463"/>
      <c r="DU94" s="463"/>
      <c r="DV94" s="463"/>
      <c r="DW94" s="463"/>
      <c r="DX94" s="463"/>
      <c r="DY94" s="463"/>
      <c r="DZ94" s="463"/>
      <c r="EA94" s="463"/>
      <c r="EB94" s="463"/>
      <c r="EC94" s="463"/>
      <c r="ED94" s="463"/>
      <c r="EE94" s="463"/>
      <c r="EF94" s="463"/>
      <c r="EG94" s="463"/>
      <c r="EH94" s="463"/>
      <c r="EI94" s="463"/>
      <c r="EJ94" s="463"/>
      <c r="EK94" s="463"/>
      <c r="EL94" s="463"/>
      <c r="EM94" s="463"/>
      <c r="EN94" s="463"/>
      <c r="EO94" s="463"/>
      <c r="EP94" s="463"/>
      <c r="EQ94" s="463"/>
      <c r="ER94" s="463"/>
      <c r="ES94" s="463"/>
      <c r="ET94" s="463"/>
      <c r="EU94" s="463"/>
      <c r="EV94" s="463"/>
      <c r="EW94" s="463"/>
      <c r="EX94" s="463"/>
      <c r="EY94" s="463"/>
      <c r="EZ94" s="463"/>
      <c r="FA94" s="463"/>
      <c r="FB94" s="463"/>
      <c r="FC94" s="463"/>
      <c r="FD94" s="463"/>
      <c r="FE94" s="463"/>
      <c r="FF94" s="463"/>
      <c r="FG94" s="463"/>
      <c r="FH94" s="463"/>
      <c r="FI94" s="463"/>
      <c r="FJ94" s="463"/>
      <c r="FK94" s="463"/>
      <c r="FL94" s="463"/>
      <c r="FM94" s="463"/>
      <c r="FN94" s="463"/>
      <c r="FO94" s="463"/>
      <c r="FP94" s="463"/>
      <c r="FQ94" s="463"/>
      <c r="FR94" s="463"/>
      <c r="FS94" s="463"/>
      <c r="FT94" s="463"/>
      <c r="FU94" s="463"/>
      <c r="FV94" s="463"/>
      <c r="FW94" s="463"/>
      <c r="FX94" s="463"/>
      <c r="FY94" s="463"/>
      <c r="FZ94" s="463"/>
      <c r="GA94" s="463"/>
      <c r="GB94" s="463"/>
      <c r="GC94" s="463"/>
      <c r="GD94" s="463"/>
      <c r="GE94" s="463"/>
      <c r="GF94" s="463"/>
      <c r="GG94" s="463"/>
      <c r="GH94" s="463"/>
      <c r="GI94" s="463"/>
      <c r="GJ94" s="463"/>
      <c r="GK94" s="463"/>
      <c r="GL94" s="463"/>
      <c r="GM94" s="463"/>
      <c r="GN94" s="463"/>
      <c r="GO94" s="463"/>
      <c r="GP94" s="463"/>
      <c r="GQ94" s="463"/>
      <c r="GR94" s="463"/>
      <c r="GS94" s="463"/>
      <c r="GT94" s="463"/>
      <c r="GU94" s="463"/>
      <c r="GV94" s="463"/>
      <c r="GW94" s="463"/>
      <c r="GX94" s="463"/>
      <c r="GY94" s="463"/>
      <c r="GZ94" s="463"/>
      <c r="HA94" s="463"/>
      <c r="HB94" s="463"/>
      <c r="HC94" s="463"/>
      <c r="HD94" s="463"/>
      <c r="HE94" s="463"/>
      <c r="HF94" s="463"/>
      <c r="HG94" s="463"/>
      <c r="HH94" s="463"/>
      <c r="HI94" s="463"/>
      <c r="HJ94" s="463"/>
      <c r="HK94" s="463"/>
      <c r="HL94" s="463"/>
      <c r="HM94" s="463"/>
      <c r="HN94" s="463"/>
      <c r="HO94" s="463"/>
      <c r="HP94" s="463"/>
      <c r="HQ94" s="463"/>
      <c r="HR94" s="463"/>
      <c r="HS94" s="463"/>
      <c r="HT94" s="463"/>
      <c r="HU94" s="463"/>
      <c r="HV94" s="463"/>
      <c r="HW94" s="463"/>
      <c r="HX94" s="463"/>
    </row>
    <row r="95" spans="1:232" s="464" customFormat="1" ht="34.5" customHeight="1">
      <c r="A95" s="1634"/>
      <c r="B95" s="1635"/>
      <c r="C95" s="1636"/>
      <c r="D95" s="1641">
        <f>L138-N138</f>
        <v>0.39930555555555552</v>
      </c>
      <c r="E95" s="1693">
        <f>N17</f>
        <v>42466</v>
      </c>
      <c r="F95" s="1645"/>
      <c r="G95" s="1646"/>
      <c r="H95" s="1646"/>
      <c r="I95" s="1646"/>
      <c r="J95" s="1647"/>
      <c r="K95" s="463"/>
      <c r="L95" s="463"/>
      <c r="M95" s="469"/>
      <c r="N95" s="470"/>
      <c r="O95" s="463"/>
      <c r="Y95" s="468"/>
      <c r="Z95" s="468"/>
      <c r="AA95" s="468"/>
      <c r="AB95" s="468"/>
      <c r="AC95" s="468"/>
      <c r="AD95" s="468"/>
      <c r="AE95" s="463"/>
      <c r="AF95" s="463"/>
      <c r="AG95" s="463"/>
      <c r="AH95" s="463"/>
      <c r="AI95" s="463"/>
      <c r="AJ95" s="463"/>
      <c r="AK95" s="463"/>
      <c r="AL95" s="463"/>
      <c r="AM95" s="463"/>
      <c r="AN95" s="463"/>
      <c r="AO95" s="463"/>
      <c r="AP95" s="463"/>
      <c r="AQ95" s="463"/>
      <c r="AR95" s="463"/>
      <c r="AS95" s="463"/>
      <c r="AT95" s="463"/>
      <c r="AU95" s="463"/>
      <c r="AV95" s="463"/>
      <c r="AW95" s="463"/>
      <c r="AX95" s="463"/>
      <c r="AY95" s="463"/>
      <c r="AZ95" s="463"/>
      <c r="BA95" s="463"/>
      <c r="BB95" s="463"/>
      <c r="BC95" s="463"/>
      <c r="BD95" s="463"/>
      <c r="BE95" s="463"/>
      <c r="BF95" s="463"/>
      <c r="BG95" s="463"/>
      <c r="BH95" s="463"/>
      <c r="BI95" s="463"/>
      <c r="BJ95" s="463"/>
      <c r="BK95" s="463"/>
      <c r="BL95" s="463"/>
      <c r="BM95" s="463"/>
      <c r="BN95" s="463"/>
      <c r="BO95" s="463"/>
      <c r="BP95" s="463"/>
      <c r="BQ95" s="463"/>
      <c r="BR95" s="463"/>
      <c r="BS95" s="463"/>
      <c r="BT95" s="463"/>
      <c r="BU95" s="463"/>
      <c r="BV95" s="463"/>
      <c r="BW95" s="463"/>
      <c r="BX95" s="463"/>
      <c r="BY95" s="463"/>
      <c r="BZ95" s="463"/>
      <c r="CA95" s="463"/>
      <c r="CB95" s="463"/>
      <c r="CC95" s="463"/>
      <c r="CD95" s="463"/>
      <c r="CE95" s="463"/>
      <c r="CF95" s="463"/>
      <c r="CG95" s="463"/>
      <c r="CH95" s="463"/>
      <c r="CI95" s="463"/>
      <c r="CJ95" s="463"/>
      <c r="CK95" s="463"/>
      <c r="CL95" s="463"/>
      <c r="CM95" s="463"/>
      <c r="CN95" s="463"/>
      <c r="CO95" s="463"/>
      <c r="CP95" s="463"/>
      <c r="CQ95" s="463"/>
      <c r="CR95" s="463"/>
      <c r="CS95" s="463"/>
      <c r="CT95" s="463"/>
      <c r="CU95" s="463"/>
      <c r="CV95" s="463"/>
      <c r="CW95" s="463"/>
      <c r="CX95" s="463"/>
      <c r="CY95" s="463"/>
      <c r="CZ95" s="463"/>
      <c r="DA95" s="463"/>
      <c r="DB95" s="463"/>
      <c r="DC95" s="463"/>
      <c r="DD95" s="463"/>
      <c r="DE95" s="463"/>
      <c r="DF95" s="463"/>
      <c r="DG95" s="463"/>
      <c r="DH95" s="463"/>
      <c r="DI95" s="463"/>
      <c r="DJ95" s="463"/>
      <c r="DK95" s="463"/>
      <c r="DL95" s="463"/>
      <c r="DM95" s="463"/>
      <c r="DN95" s="463"/>
      <c r="DO95" s="463"/>
      <c r="DP95" s="463"/>
      <c r="DQ95" s="463"/>
      <c r="DR95" s="463"/>
      <c r="DS95" s="463"/>
      <c r="DT95" s="463"/>
      <c r="DU95" s="463"/>
      <c r="DV95" s="463"/>
      <c r="DW95" s="463"/>
      <c r="DX95" s="463"/>
      <c r="DY95" s="463"/>
      <c r="DZ95" s="463"/>
      <c r="EA95" s="463"/>
      <c r="EB95" s="463"/>
      <c r="EC95" s="463"/>
      <c r="ED95" s="463"/>
      <c r="EE95" s="463"/>
      <c r="EF95" s="463"/>
      <c r="EG95" s="463"/>
      <c r="EH95" s="463"/>
      <c r="EI95" s="463"/>
      <c r="EJ95" s="463"/>
      <c r="EK95" s="463"/>
      <c r="EL95" s="463"/>
      <c r="EM95" s="463"/>
      <c r="EN95" s="463"/>
      <c r="EO95" s="463"/>
      <c r="EP95" s="463"/>
      <c r="EQ95" s="463"/>
      <c r="ER95" s="463"/>
      <c r="ES95" s="463"/>
      <c r="ET95" s="463"/>
      <c r="EU95" s="463"/>
      <c r="EV95" s="463"/>
      <c r="EW95" s="463"/>
      <c r="EX95" s="463"/>
      <c r="EY95" s="463"/>
      <c r="EZ95" s="463"/>
      <c r="FA95" s="463"/>
      <c r="FB95" s="463"/>
      <c r="FC95" s="463"/>
      <c r="FD95" s="463"/>
      <c r="FE95" s="463"/>
      <c r="FF95" s="463"/>
      <c r="FG95" s="463"/>
      <c r="FH95" s="463"/>
      <c r="FI95" s="463"/>
      <c r="FJ95" s="463"/>
      <c r="FK95" s="463"/>
      <c r="FL95" s="463"/>
      <c r="FM95" s="463"/>
      <c r="FN95" s="463"/>
      <c r="FO95" s="463"/>
      <c r="FP95" s="463"/>
      <c r="FQ95" s="463"/>
      <c r="FR95" s="463"/>
      <c r="FS95" s="463"/>
      <c r="FT95" s="463"/>
      <c r="FU95" s="463"/>
      <c r="FV95" s="463"/>
      <c r="FW95" s="463"/>
      <c r="FX95" s="463"/>
      <c r="FY95" s="463"/>
      <c r="FZ95" s="463"/>
      <c r="GA95" s="463"/>
      <c r="GB95" s="463"/>
      <c r="GC95" s="463"/>
      <c r="GD95" s="463"/>
      <c r="GE95" s="463"/>
      <c r="GF95" s="463"/>
      <c r="GG95" s="463"/>
      <c r="GH95" s="463"/>
      <c r="GI95" s="463"/>
      <c r="GJ95" s="463"/>
      <c r="GK95" s="463"/>
      <c r="GL95" s="463"/>
      <c r="GM95" s="463"/>
      <c r="GN95" s="463"/>
      <c r="GO95" s="463"/>
      <c r="GP95" s="463"/>
      <c r="GQ95" s="463"/>
      <c r="GR95" s="463"/>
      <c r="GS95" s="463"/>
      <c r="GT95" s="463"/>
      <c r="GU95" s="463"/>
      <c r="GV95" s="463"/>
      <c r="GW95" s="463"/>
      <c r="GX95" s="463"/>
      <c r="GY95" s="463"/>
      <c r="GZ95" s="463"/>
      <c r="HA95" s="463"/>
      <c r="HB95" s="463"/>
      <c r="HC95" s="463"/>
      <c r="HD95" s="463"/>
      <c r="HE95" s="463"/>
      <c r="HF95" s="463"/>
      <c r="HG95" s="463"/>
      <c r="HH95" s="463"/>
      <c r="HI95" s="463"/>
      <c r="HJ95" s="463"/>
      <c r="HK95" s="463"/>
      <c r="HL95" s="463"/>
      <c r="HM95" s="463"/>
      <c r="HN95" s="463"/>
      <c r="HO95" s="463"/>
      <c r="HP95" s="463"/>
      <c r="HQ95" s="463"/>
      <c r="HR95" s="463"/>
      <c r="HS95" s="463"/>
      <c r="HT95" s="463"/>
      <c r="HU95" s="463"/>
      <c r="HV95" s="463"/>
      <c r="HW95" s="463"/>
      <c r="HX95" s="463"/>
    </row>
    <row r="96" spans="1:232" s="464" customFormat="1" ht="20.100000000000001" customHeight="1">
      <c r="A96" s="1637"/>
      <c r="B96" s="1638"/>
      <c r="C96" s="1639"/>
      <c r="D96" s="1642"/>
      <c r="E96" s="1694"/>
      <c r="F96" s="1648"/>
      <c r="G96" s="1649"/>
      <c r="H96" s="1649"/>
      <c r="I96" s="1649"/>
      <c r="J96" s="1650"/>
      <c r="K96" s="463"/>
      <c r="L96" s="463"/>
      <c r="M96" s="469"/>
      <c r="N96" s="470"/>
      <c r="O96" s="463"/>
      <c r="Y96" s="468"/>
      <c r="Z96" s="468"/>
      <c r="AA96" s="468"/>
      <c r="AB96" s="468"/>
      <c r="AC96" s="468"/>
      <c r="AD96" s="468"/>
      <c r="AE96" s="463"/>
      <c r="AF96" s="463"/>
      <c r="AG96" s="463"/>
      <c r="AH96" s="463"/>
      <c r="AI96" s="463"/>
      <c r="AJ96" s="463"/>
      <c r="AK96" s="463"/>
      <c r="AL96" s="463"/>
      <c r="AM96" s="463"/>
      <c r="AN96" s="463"/>
      <c r="AO96" s="463"/>
      <c r="AP96" s="463"/>
      <c r="AQ96" s="463"/>
      <c r="AR96" s="463"/>
      <c r="AS96" s="463"/>
      <c r="AT96" s="463"/>
      <c r="AU96" s="463"/>
      <c r="AV96" s="463"/>
      <c r="AW96" s="463"/>
      <c r="AX96" s="463"/>
      <c r="AY96" s="463"/>
      <c r="AZ96" s="463"/>
      <c r="BA96" s="463"/>
      <c r="BB96" s="463"/>
      <c r="BC96" s="463"/>
      <c r="BD96" s="463"/>
      <c r="BE96" s="463"/>
      <c r="BF96" s="463"/>
      <c r="BG96" s="463"/>
      <c r="BH96" s="463"/>
      <c r="BI96" s="463"/>
      <c r="BJ96" s="463"/>
      <c r="BK96" s="463"/>
      <c r="BL96" s="463"/>
      <c r="BM96" s="463"/>
      <c r="BN96" s="463"/>
      <c r="BO96" s="463"/>
      <c r="BP96" s="463"/>
      <c r="BQ96" s="463"/>
      <c r="BR96" s="463"/>
      <c r="BS96" s="463"/>
      <c r="BT96" s="463"/>
      <c r="BU96" s="463"/>
      <c r="BV96" s="463"/>
      <c r="BW96" s="463"/>
      <c r="BX96" s="463"/>
      <c r="BY96" s="463"/>
      <c r="BZ96" s="463"/>
      <c r="CA96" s="463"/>
      <c r="CB96" s="463"/>
      <c r="CC96" s="463"/>
      <c r="CD96" s="463"/>
      <c r="CE96" s="463"/>
      <c r="CF96" s="463"/>
      <c r="CG96" s="463"/>
      <c r="CH96" s="463"/>
      <c r="CI96" s="463"/>
      <c r="CJ96" s="463"/>
      <c r="CK96" s="463"/>
      <c r="CL96" s="463"/>
      <c r="CM96" s="463"/>
      <c r="CN96" s="463"/>
      <c r="CO96" s="463"/>
      <c r="CP96" s="463"/>
      <c r="CQ96" s="463"/>
      <c r="CR96" s="463"/>
      <c r="CS96" s="463"/>
      <c r="CT96" s="463"/>
      <c r="CU96" s="463"/>
      <c r="CV96" s="463"/>
      <c r="CW96" s="463"/>
      <c r="CX96" s="463"/>
      <c r="CY96" s="463"/>
      <c r="CZ96" s="463"/>
      <c r="DA96" s="463"/>
      <c r="DB96" s="463"/>
      <c r="DC96" s="463"/>
      <c r="DD96" s="463"/>
      <c r="DE96" s="463"/>
      <c r="DF96" s="463"/>
      <c r="DG96" s="463"/>
      <c r="DH96" s="463"/>
      <c r="DI96" s="463"/>
      <c r="DJ96" s="463"/>
      <c r="DK96" s="463"/>
      <c r="DL96" s="463"/>
      <c r="DM96" s="463"/>
      <c r="DN96" s="463"/>
      <c r="DO96" s="463"/>
      <c r="DP96" s="463"/>
      <c r="DQ96" s="463"/>
      <c r="DR96" s="463"/>
      <c r="DS96" s="463"/>
      <c r="DT96" s="463"/>
      <c r="DU96" s="463"/>
      <c r="DV96" s="463"/>
      <c r="DW96" s="463"/>
      <c r="DX96" s="463"/>
      <c r="DY96" s="463"/>
      <c r="DZ96" s="463"/>
      <c r="EA96" s="463"/>
      <c r="EB96" s="463"/>
      <c r="EC96" s="463"/>
      <c r="ED96" s="463"/>
      <c r="EE96" s="463"/>
      <c r="EF96" s="463"/>
      <c r="EG96" s="463"/>
      <c r="EH96" s="463"/>
      <c r="EI96" s="463"/>
      <c r="EJ96" s="463"/>
      <c r="EK96" s="463"/>
      <c r="EL96" s="463"/>
      <c r="EM96" s="463"/>
      <c r="EN96" s="463"/>
      <c r="EO96" s="463"/>
      <c r="EP96" s="463"/>
      <c r="EQ96" s="463"/>
      <c r="ER96" s="463"/>
      <c r="ES96" s="463"/>
      <c r="ET96" s="463"/>
      <c r="EU96" s="463"/>
      <c r="EV96" s="463"/>
      <c r="EW96" s="463"/>
      <c r="EX96" s="463"/>
      <c r="EY96" s="463"/>
      <c r="EZ96" s="463"/>
      <c r="FA96" s="463"/>
      <c r="FB96" s="463"/>
      <c r="FC96" s="463"/>
      <c r="FD96" s="463"/>
      <c r="FE96" s="463"/>
      <c r="FF96" s="463"/>
      <c r="FG96" s="463"/>
      <c r="FH96" s="463"/>
      <c r="FI96" s="463"/>
      <c r="FJ96" s="463"/>
      <c r="FK96" s="463"/>
      <c r="FL96" s="463"/>
      <c r="FM96" s="463"/>
      <c r="FN96" s="463"/>
      <c r="FO96" s="463"/>
      <c r="FP96" s="463"/>
      <c r="FQ96" s="463"/>
      <c r="FR96" s="463"/>
      <c r="FS96" s="463"/>
      <c r="FT96" s="463"/>
      <c r="FU96" s="463"/>
      <c r="FV96" s="463"/>
      <c r="FW96" s="463"/>
      <c r="FX96" s="463"/>
      <c r="FY96" s="463"/>
      <c r="FZ96" s="463"/>
      <c r="GA96" s="463"/>
      <c r="GB96" s="463"/>
      <c r="GC96" s="463"/>
      <c r="GD96" s="463"/>
      <c r="GE96" s="463"/>
      <c r="GF96" s="463"/>
      <c r="GG96" s="463"/>
      <c r="GH96" s="463"/>
      <c r="GI96" s="463"/>
      <c r="GJ96" s="463"/>
      <c r="GK96" s="463"/>
      <c r="GL96" s="463"/>
      <c r="GM96" s="463"/>
      <c r="GN96" s="463"/>
      <c r="GO96" s="463"/>
      <c r="GP96" s="463"/>
      <c r="GQ96" s="463"/>
      <c r="GR96" s="463"/>
      <c r="GS96" s="463"/>
      <c r="GT96" s="463"/>
      <c r="GU96" s="463"/>
      <c r="GV96" s="463"/>
      <c r="GW96" s="463"/>
      <c r="GX96" s="463"/>
      <c r="GY96" s="463"/>
      <c r="GZ96" s="463"/>
      <c r="HA96" s="463"/>
      <c r="HB96" s="463"/>
      <c r="HC96" s="463"/>
      <c r="HD96" s="463"/>
      <c r="HE96" s="463"/>
      <c r="HF96" s="463"/>
      <c r="HG96" s="463"/>
      <c r="HH96" s="463"/>
      <c r="HI96" s="463"/>
      <c r="HJ96" s="463"/>
      <c r="HK96" s="463"/>
      <c r="HL96" s="463"/>
      <c r="HM96" s="463"/>
      <c r="HN96" s="463"/>
      <c r="HO96" s="463"/>
      <c r="HP96" s="463"/>
      <c r="HQ96" s="463"/>
      <c r="HR96" s="463"/>
      <c r="HS96" s="463"/>
      <c r="HT96" s="463"/>
      <c r="HU96" s="463"/>
      <c r="HV96" s="463"/>
      <c r="HW96" s="463"/>
      <c r="HX96" s="463"/>
    </row>
    <row r="97" spans="1:232" s="464" customFormat="1" ht="37.5" customHeight="1">
      <c r="A97" s="1631" t="s">
        <v>197</v>
      </c>
      <c r="B97" s="1632"/>
      <c r="C97" s="1633"/>
      <c r="D97" s="1606" t="s">
        <v>870</v>
      </c>
      <c r="E97" s="1606"/>
      <c r="F97" s="1690" t="s">
        <v>409</v>
      </c>
      <c r="G97" s="1691"/>
      <c r="H97" s="1691"/>
      <c r="I97" s="1691"/>
      <c r="J97" s="1692"/>
      <c r="K97" s="463"/>
      <c r="L97" s="463"/>
      <c r="M97" s="469"/>
      <c r="N97" s="470"/>
      <c r="Y97" s="468"/>
      <c r="Z97" s="468"/>
      <c r="AA97" s="468"/>
      <c r="AB97" s="468"/>
      <c r="AC97" s="468"/>
      <c r="AD97" s="468"/>
      <c r="AE97" s="463"/>
      <c r="AF97" s="463"/>
      <c r="AG97" s="463"/>
      <c r="AH97" s="463"/>
      <c r="AI97" s="463"/>
      <c r="AJ97" s="463"/>
      <c r="AK97" s="463"/>
      <c r="AL97" s="463"/>
      <c r="AM97" s="463"/>
      <c r="AN97" s="463"/>
      <c r="AO97" s="463"/>
      <c r="AP97" s="463"/>
      <c r="AQ97" s="463"/>
      <c r="AR97" s="463"/>
      <c r="AS97" s="463"/>
      <c r="AT97" s="463"/>
      <c r="AU97" s="463"/>
      <c r="AV97" s="463"/>
      <c r="AW97" s="463"/>
      <c r="AX97" s="463"/>
      <c r="AY97" s="463"/>
      <c r="AZ97" s="463"/>
      <c r="BA97" s="463"/>
      <c r="BB97" s="463"/>
      <c r="BC97" s="463"/>
      <c r="BD97" s="463"/>
      <c r="BE97" s="463"/>
      <c r="BF97" s="463"/>
      <c r="BG97" s="463"/>
      <c r="BH97" s="463"/>
      <c r="BI97" s="463"/>
      <c r="BJ97" s="463"/>
      <c r="BK97" s="463"/>
      <c r="BL97" s="463"/>
      <c r="BM97" s="463"/>
      <c r="BN97" s="463"/>
      <c r="BO97" s="463"/>
      <c r="BP97" s="463"/>
      <c r="BQ97" s="463"/>
      <c r="BR97" s="463"/>
      <c r="BS97" s="463"/>
      <c r="BT97" s="463"/>
      <c r="BU97" s="463"/>
      <c r="BV97" s="463"/>
      <c r="BW97" s="463"/>
      <c r="BX97" s="463"/>
      <c r="BY97" s="463"/>
      <c r="BZ97" s="463"/>
      <c r="CA97" s="463"/>
      <c r="CB97" s="463"/>
      <c r="CC97" s="463"/>
      <c r="CD97" s="463"/>
      <c r="CE97" s="463"/>
      <c r="CF97" s="463"/>
      <c r="CG97" s="463"/>
      <c r="CH97" s="463"/>
      <c r="CI97" s="463"/>
      <c r="CJ97" s="463"/>
      <c r="CK97" s="463"/>
      <c r="CL97" s="463"/>
      <c r="CM97" s="463"/>
      <c r="CN97" s="463"/>
      <c r="CO97" s="463"/>
      <c r="CP97" s="463"/>
      <c r="CQ97" s="463"/>
      <c r="CR97" s="463"/>
      <c r="CS97" s="463"/>
      <c r="CT97" s="463"/>
      <c r="CU97" s="463"/>
      <c r="CV97" s="463"/>
      <c r="CW97" s="463"/>
      <c r="CX97" s="463"/>
      <c r="CY97" s="463"/>
      <c r="CZ97" s="463"/>
      <c r="DA97" s="463"/>
      <c r="DB97" s="463"/>
      <c r="DC97" s="463"/>
      <c r="DD97" s="463"/>
      <c r="DE97" s="463"/>
      <c r="DF97" s="463"/>
      <c r="DG97" s="463"/>
      <c r="DH97" s="463"/>
      <c r="DI97" s="463"/>
      <c r="DJ97" s="463"/>
      <c r="DK97" s="463"/>
      <c r="DL97" s="463"/>
      <c r="DM97" s="463"/>
      <c r="DN97" s="463"/>
      <c r="DO97" s="463"/>
      <c r="DP97" s="463"/>
      <c r="DQ97" s="463"/>
      <c r="DR97" s="463"/>
      <c r="DS97" s="463"/>
      <c r="DT97" s="463"/>
      <c r="DU97" s="463"/>
      <c r="DV97" s="463"/>
      <c r="DW97" s="463"/>
      <c r="DX97" s="463"/>
      <c r="DY97" s="463"/>
      <c r="DZ97" s="463"/>
      <c r="EA97" s="463"/>
      <c r="EB97" s="463"/>
      <c r="EC97" s="463"/>
      <c r="ED97" s="463"/>
      <c r="EE97" s="463"/>
      <c r="EF97" s="463"/>
      <c r="EG97" s="463"/>
      <c r="EH97" s="463"/>
      <c r="EI97" s="463"/>
      <c r="EJ97" s="463"/>
      <c r="EK97" s="463"/>
      <c r="EL97" s="463"/>
      <c r="EM97" s="463"/>
      <c r="EN97" s="463"/>
      <c r="EO97" s="463"/>
      <c r="EP97" s="463"/>
      <c r="EQ97" s="463"/>
      <c r="ER97" s="463"/>
      <c r="ES97" s="463"/>
      <c r="ET97" s="463"/>
      <c r="EU97" s="463"/>
      <c r="EV97" s="463"/>
      <c r="EW97" s="463"/>
      <c r="EX97" s="463"/>
      <c r="EY97" s="463"/>
      <c r="EZ97" s="463"/>
      <c r="FA97" s="463"/>
      <c r="FB97" s="463"/>
      <c r="FC97" s="463"/>
      <c r="FD97" s="463"/>
      <c r="FE97" s="463"/>
      <c r="FF97" s="463"/>
      <c r="FG97" s="463"/>
      <c r="FH97" s="463"/>
      <c r="FI97" s="463"/>
      <c r="FJ97" s="463"/>
      <c r="FK97" s="463"/>
      <c r="FL97" s="463"/>
      <c r="FM97" s="463"/>
      <c r="FN97" s="463"/>
      <c r="FO97" s="463"/>
      <c r="FP97" s="463"/>
      <c r="FQ97" s="463"/>
      <c r="FR97" s="463"/>
      <c r="FS97" s="463"/>
      <c r="FT97" s="463"/>
      <c r="FU97" s="463"/>
      <c r="FV97" s="463"/>
      <c r="FW97" s="463"/>
      <c r="FX97" s="463"/>
      <c r="FY97" s="463"/>
      <c r="FZ97" s="463"/>
      <c r="GA97" s="463"/>
      <c r="GB97" s="463"/>
      <c r="GC97" s="463"/>
      <c r="GD97" s="463"/>
      <c r="GE97" s="463"/>
      <c r="GF97" s="463"/>
      <c r="GG97" s="463"/>
      <c r="GH97" s="463"/>
      <c r="GI97" s="463"/>
      <c r="GJ97" s="463"/>
      <c r="GK97" s="463"/>
      <c r="GL97" s="463"/>
      <c r="GM97" s="463"/>
      <c r="GN97" s="463"/>
      <c r="GO97" s="463"/>
      <c r="GP97" s="463"/>
      <c r="GQ97" s="463"/>
      <c r="GR97" s="463"/>
      <c r="GS97" s="463"/>
      <c r="GT97" s="463"/>
      <c r="GU97" s="463"/>
      <c r="GV97" s="463"/>
      <c r="GW97" s="463"/>
      <c r="GX97" s="463"/>
      <c r="GY97" s="463"/>
      <c r="GZ97" s="463"/>
      <c r="HA97" s="463"/>
      <c r="HB97" s="463"/>
      <c r="HC97" s="463"/>
      <c r="HD97" s="463"/>
      <c r="HE97" s="463"/>
      <c r="HF97" s="463"/>
      <c r="HG97" s="463"/>
      <c r="HH97" s="463"/>
      <c r="HI97" s="463"/>
      <c r="HJ97" s="463"/>
      <c r="HK97" s="463"/>
      <c r="HL97" s="463"/>
      <c r="HM97" s="463"/>
      <c r="HN97" s="463"/>
      <c r="HO97" s="463"/>
      <c r="HP97" s="463"/>
      <c r="HQ97" s="463"/>
      <c r="HR97" s="463"/>
      <c r="HS97" s="463"/>
      <c r="HT97" s="463"/>
      <c r="HU97" s="463"/>
      <c r="HV97" s="463"/>
      <c r="HW97" s="463"/>
      <c r="HX97" s="463"/>
    </row>
    <row r="98" spans="1:232" s="464" customFormat="1" ht="42" customHeight="1">
      <c r="A98" s="1634"/>
      <c r="B98" s="1635"/>
      <c r="C98" s="1636"/>
      <c r="D98" s="1641">
        <f>D95</f>
        <v>0.39930555555555552</v>
      </c>
      <c r="E98" s="1693">
        <f>E95</f>
        <v>42466</v>
      </c>
      <c r="F98" s="1645"/>
      <c r="G98" s="1646"/>
      <c r="H98" s="1646"/>
      <c r="I98" s="1646"/>
      <c r="J98" s="1647"/>
      <c r="K98" s="175"/>
      <c r="L98" s="520"/>
      <c r="M98" s="520"/>
      <c r="N98" s="473"/>
      <c r="Y98" s="468"/>
      <c r="Z98" s="468"/>
      <c r="AA98" s="468"/>
      <c r="AB98" s="468"/>
      <c r="AC98" s="468"/>
      <c r="AD98" s="468"/>
      <c r="AE98" s="463"/>
      <c r="AF98" s="463"/>
      <c r="AG98" s="463"/>
      <c r="AH98" s="463"/>
      <c r="AI98" s="463"/>
      <c r="AJ98" s="463"/>
      <c r="AK98" s="463"/>
      <c r="AL98" s="463"/>
      <c r="AM98" s="463"/>
      <c r="AN98" s="463"/>
      <c r="AO98" s="463"/>
      <c r="AP98" s="463"/>
      <c r="AQ98" s="463"/>
      <c r="AR98" s="463"/>
      <c r="AS98" s="463"/>
      <c r="AT98" s="463"/>
      <c r="AU98" s="463"/>
      <c r="AV98" s="463"/>
      <c r="AW98" s="463"/>
      <c r="AX98" s="463"/>
      <c r="AY98" s="463"/>
      <c r="AZ98" s="463"/>
      <c r="BA98" s="463"/>
      <c r="BB98" s="463"/>
      <c r="BC98" s="463"/>
      <c r="BD98" s="463"/>
      <c r="BE98" s="463"/>
      <c r="BF98" s="463"/>
      <c r="BG98" s="463"/>
      <c r="BH98" s="463"/>
      <c r="BI98" s="463"/>
      <c r="BJ98" s="463"/>
      <c r="BK98" s="463"/>
      <c r="BL98" s="463"/>
      <c r="BM98" s="463"/>
      <c r="BN98" s="463"/>
      <c r="BO98" s="463"/>
      <c r="BP98" s="463"/>
      <c r="BQ98" s="463"/>
      <c r="BR98" s="463"/>
      <c r="BS98" s="463"/>
      <c r="BT98" s="463"/>
      <c r="BU98" s="463"/>
      <c r="BV98" s="463"/>
      <c r="BW98" s="463"/>
      <c r="BX98" s="463"/>
      <c r="BY98" s="463"/>
      <c r="BZ98" s="463"/>
      <c r="CA98" s="463"/>
      <c r="CB98" s="463"/>
      <c r="CC98" s="463"/>
      <c r="CD98" s="463"/>
      <c r="CE98" s="463"/>
      <c r="CF98" s="463"/>
      <c r="CG98" s="463"/>
      <c r="CH98" s="463"/>
      <c r="CI98" s="463"/>
      <c r="CJ98" s="463"/>
      <c r="CK98" s="463"/>
      <c r="CL98" s="463"/>
      <c r="CM98" s="463"/>
      <c r="CN98" s="463"/>
      <c r="CO98" s="463"/>
      <c r="CP98" s="463"/>
      <c r="CQ98" s="463"/>
      <c r="CR98" s="463"/>
      <c r="CS98" s="463"/>
      <c r="CT98" s="463"/>
      <c r="CU98" s="463"/>
      <c r="CV98" s="463"/>
      <c r="CW98" s="463"/>
      <c r="CX98" s="463"/>
      <c r="CY98" s="463"/>
      <c r="CZ98" s="463"/>
      <c r="DA98" s="463"/>
      <c r="DB98" s="463"/>
      <c r="DC98" s="463"/>
      <c r="DD98" s="463"/>
      <c r="DE98" s="463"/>
      <c r="DF98" s="463"/>
      <c r="DG98" s="463"/>
      <c r="DH98" s="463"/>
      <c r="DI98" s="463"/>
      <c r="DJ98" s="463"/>
      <c r="DK98" s="463"/>
      <c r="DL98" s="463"/>
      <c r="DM98" s="463"/>
      <c r="DN98" s="463"/>
      <c r="DO98" s="463"/>
      <c r="DP98" s="463"/>
      <c r="DQ98" s="463"/>
      <c r="DR98" s="463"/>
      <c r="DS98" s="463"/>
      <c r="DT98" s="463"/>
      <c r="DU98" s="463"/>
      <c r="DV98" s="463"/>
      <c r="DW98" s="463"/>
      <c r="DX98" s="463"/>
      <c r="DY98" s="463"/>
      <c r="DZ98" s="463"/>
      <c r="EA98" s="463"/>
      <c r="EB98" s="463"/>
      <c r="EC98" s="463"/>
      <c r="ED98" s="463"/>
      <c r="EE98" s="463"/>
      <c r="EF98" s="463"/>
      <c r="EG98" s="463"/>
      <c r="EH98" s="463"/>
      <c r="EI98" s="463"/>
      <c r="EJ98" s="463"/>
      <c r="EK98" s="463"/>
      <c r="EL98" s="463"/>
      <c r="EM98" s="463"/>
      <c r="EN98" s="463"/>
      <c r="EO98" s="463"/>
      <c r="EP98" s="463"/>
      <c r="EQ98" s="463"/>
      <c r="ER98" s="463"/>
      <c r="ES98" s="463"/>
      <c r="ET98" s="463"/>
      <c r="EU98" s="463"/>
      <c r="EV98" s="463"/>
      <c r="EW98" s="463"/>
      <c r="EX98" s="463"/>
      <c r="EY98" s="463"/>
      <c r="EZ98" s="463"/>
      <c r="FA98" s="463"/>
      <c r="FB98" s="463"/>
      <c r="FC98" s="463"/>
      <c r="FD98" s="463"/>
      <c r="FE98" s="463"/>
      <c r="FF98" s="463"/>
      <c r="FG98" s="463"/>
      <c r="FH98" s="463"/>
      <c r="FI98" s="463"/>
      <c r="FJ98" s="463"/>
      <c r="FK98" s="463"/>
      <c r="FL98" s="463"/>
      <c r="FM98" s="463"/>
      <c r="FN98" s="463"/>
      <c r="FO98" s="463"/>
      <c r="FP98" s="463"/>
      <c r="FQ98" s="463"/>
      <c r="FR98" s="463"/>
      <c r="FS98" s="463"/>
      <c r="FT98" s="463"/>
      <c r="FU98" s="463"/>
      <c r="FV98" s="463"/>
      <c r="FW98" s="463"/>
      <c r="FX98" s="463"/>
      <c r="FY98" s="463"/>
      <c r="FZ98" s="463"/>
      <c r="GA98" s="463"/>
      <c r="GB98" s="463"/>
      <c r="GC98" s="463"/>
      <c r="GD98" s="463"/>
      <c r="GE98" s="463"/>
      <c r="GF98" s="463"/>
      <c r="GG98" s="463"/>
      <c r="GH98" s="463"/>
      <c r="GI98" s="463"/>
      <c r="GJ98" s="463"/>
      <c r="GK98" s="463"/>
      <c r="GL98" s="463"/>
      <c r="GM98" s="463"/>
      <c r="GN98" s="463"/>
      <c r="GO98" s="463"/>
      <c r="GP98" s="463"/>
      <c r="GQ98" s="463"/>
      <c r="GR98" s="463"/>
      <c r="GS98" s="463"/>
      <c r="GT98" s="463"/>
      <c r="GU98" s="463"/>
      <c r="GV98" s="463"/>
      <c r="GW98" s="463"/>
      <c r="GX98" s="463"/>
      <c r="GY98" s="463"/>
      <c r="GZ98" s="463"/>
      <c r="HA98" s="463"/>
      <c r="HB98" s="463"/>
      <c r="HC98" s="463"/>
      <c r="HD98" s="463"/>
      <c r="HE98" s="463"/>
      <c r="HF98" s="463"/>
      <c r="HG98" s="463"/>
      <c r="HH98" s="463"/>
      <c r="HI98" s="463"/>
      <c r="HJ98" s="463"/>
      <c r="HK98" s="463"/>
      <c r="HL98" s="463"/>
      <c r="HM98" s="463"/>
      <c r="HN98" s="463"/>
      <c r="HO98" s="463"/>
      <c r="HP98" s="463"/>
      <c r="HQ98" s="463"/>
      <c r="HR98" s="463"/>
      <c r="HS98" s="463"/>
      <c r="HT98" s="463"/>
      <c r="HU98" s="463"/>
      <c r="HV98" s="463"/>
      <c r="HW98" s="463"/>
      <c r="HX98" s="463"/>
    </row>
    <row r="99" spans="1:232" s="464" customFormat="1" ht="20.100000000000001" customHeight="1">
      <c r="A99" s="1637"/>
      <c r="B99" s="1638"/>
      <c r="C99" s="1639"/>
      <c r="D99" s="1642"/>
      <c r="E99" s="1694"/>
      <c r="F99" s="1648"/>
      <c r="G99" s="1649"/>
      <c r="H99" s="1649"/>
      <c r="I99" s="1649"/>
      <c r="J99" s="1650"/>
      <c r="K99" s="463"/>
      <c r="L99" s="463"/>
      <c r="M99" s="469"/>
      <c r="N99" s="175"/>
      <c r="O99" s="466"/>
      <c r="Y99" s="468"/>
      <c r="Z99" s="468"/>
      <c r="AA99" s="468"/>
      <c r="AB99" s="468"/>
      <c r="AC99" s="468"/>
      <c r="AD99" s="468"/>
      <c r="AE99" s="463"/>
      <c r="AF99" s="463"/>
      <c r="AG99" s="463"/>
      <c r="AH99" s="463"/>
      <c r="AI99" s="463"/>
      <c r="AJ99" s="463"/>
      <c r="AK99" s="463"/>
      <c r="AL99" s="463"/>
      <c r="AM99" s="463"/>
      <c r="AN99" s="463"/>
      <c r="AO99" s="463"/>
      <c r="AP99" s="463"/>
      <c r="AQ99" s="463"/>
      <c r="AR99" s="463"/>
      <c r="AS99" s="463"/>
      <c r="AT99" s="463"/>
      <c r="AU99" s="463"/>
      <c r="AV99" s="463"/>
      <c r="AW99" s="463"/>
      <c r="AX99" s="463"/>
      <c r="AY99" s="463"/>
      <c r="AZ99" s="463"/>
      <c r="BA99" s="463"/>
      <c r="BB99" s="463"/>
      <c r="BC99" s="463"/>
      <c r="BD99" s="463"/>
      <c r="BE99" s="463"/>
      <c r="BF99" s="463"/>
      <c r="BG99" s="463"/>
      <c r="BH99" s="463"/>
      <c r="BI99" s="463"/>
      <c r="BJ99" s="463"/>
      <c r="BK99" s="463"/>
      <c r="BL99" s="463"/>
      <c r="BM99" s="463"/>
      <c r="BN99" s="463"/>
      <c r="BO99" s="463"/>
      <c r="BP99" s="463"/>
      <c r="BQ99" s="463"/>
      <c r="BR99" s="463"/>
      <c r="BS99" s="463"/>
      <c r="BT99" s="463"/>
      <c r="BU99" s="463"/>
      <c r="BV99" s="463"/>
      <c r="BW99" s="463"/>
      <c r="BX99" s="463"/>
      <c r="BY99" s="463"/>
      <c r="BZ99" s="463"/>
      <c r="CA99" s="463"/>
      <c r="CB99" s="463"/>
      <c r="CC99" s="463"/>
      <c r="CD99" s="463"/>
      <c r="CE99" s="463"/>
      <c r="CF99" s="463"/>
      <c r="CG99" s="463"/>
      <c r="CH99" s="463"/>
      <c r="CI99" s="463"/>
      <c r="CJ99" s="463"/>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63"/>
      <c r="DJ99" s="463"/>
      <c r="DK99" s="463"/>
      <c r="DL99" s="463"/>
      <c r="DM99" s="463"/>
      <c r="DN99" s="463"/>
      <c r="DO99" s="463"/>
      <c r="DP99" s="463"/>
      <c r="DQ99" s="463"/>
      <c r="DR99" s="463"/>
      <c r="DS99" s="463"/>
      <c r="DT99" s="463"/>
      <c r="DU99" s="463"/>
      <c r="DV99" s="463"/>
      <c r="DW99" s="463"/>
      <c r="DX99" s="463"/>
      <c r="DY99" s="463"/>
      <c r="DZ99" s="463"/>
      <c r="EA99" s="463"/>
      <c r="EB99" s="463"/>
      <c r="EC99" s="463"/>
      <c r="ED99" s="463"/>
      <c r="EE99" s="463"/>
      <c r="EF99" s="463"/>
      <c r="EG99" s="463"/>
      <c r="EH99" s="463"/>
      <c r="EI99" s="463"/>
      <c r="EJ99" s="463"/>
      <c r="EK99" s="463"/>
      <c r="EL99" s="463"/>
      <c r="EM99" s="463"/>
      <c r="EN99" s="463"/>
      <c r="EO99" s="463"/>
      <c r="EP99" s="463"/>
      <c r="EQ99" s="463"/>
      <c r="ER99" s="463"/>
      <c r="ES99" s="463"/>
      <c r="ET99" s="463"/>
      <c r="EU99" s="463"/>
      <c r="EV99" s="463"/>
      <c r="EW99" s="463"/>
      <c r="EX99" s="463"/>
      <c r="EY99" s="463"/>
      <c r="EZ99" s="463"/>
      <c r="FA99" s="463"/>
      <c r="FB99" s="463"/>
      <c r="FC99" s="463"/>
      <c r="FD99" s="463"/>
      <c r="FE99" s="463"/>
      <c r="FF99" s="463"/>
      <c r="FG99" s="463"/>
      <c r="FH99" s="463"/>
      <c r="FI99" s="463"/>
      <c r="FJ99" s="463"/>
      <c r="FK99" s="463"/>
      <c r="FL99" s="463"/>
      <c r="FM99" s="463"/>
      <c r="FN99" s="463"/>
      <c r="FO99" s="463"/>
      <c r="FP99" s="463"/>
      <c r="FQ99" s="463"/>
      <c r="FR99" s="463"/>
      <c r="FS99" s="463"/>
      <c r="FT99" s="463"/>
      <c r="FU99" s="463"/>
      <c r="FV99" s="463"/>
      <c r="FW99" s="463"/>
      <c r="FX99" s="463"/>
      <c r="FY99" s="463"/>
      <c r="FZ99" s="463"/>
      <c r="GA99" s="463"/>
      <c r="GB99" s="463"/>
      <c r="GC99" s="463"/>
      <c r="GD99" s="463"/>
      <c r="GE99" s="463"/>
      <c r="GF99" s="463"/>
      <c r="GG99" s="463"/>
      <c r="GH99" s="463"/>
      <c r="GI99" s="463"/>
      <c r="GJ99" s="463"/>
      <c r="GK99" s="463"/>
      <c r="GL99" s="463"/>
      <c r="GM99" s="463"/>
      <c r="GN99" s="463"/>
      <c r="GO99" s="463"/>
      <c r="GP99" s="463"/>
      <c r="GQ99" s="463"/>
      <c r="GR99" s="463"/>
      <c r="GS99" s="463"/>
      <c r="GT99" s="463"/>
      <c r="GU99" s="463"/>
      <c r="GV99" s="463"/>
      <c r="GW99" s="463"/>
      <c r="GX99" s="463"/>
      <c r="GY99" s="463"/>
      <c r="GZ99" s="463"/>
      <c r="HA99" s="463"/>
      <c r="HB99" s="463"/>
      <c r="HC99" s="463"/>
      <c r="HD99" s="463"/>
      <c r="HE99" s="463"/>
      <c r="HF99" s="463"/>
      <c r="HG99" s="463"/>
      <c r="HH99" s="463"/>
      <c r="HI99" s="463"/>
      <c r="HJ99" s="463"/>
      <c r="HK99" s="463"/>
      <c r="HL99" s="463"/>
      <c r="HM99" s="463"/>
      <c r="HN99" s="463"/>
      <c r="HO99" s="463"/>
      <c r="HP99" s="463"/>
      <c r="HQ99" s="463"/>
      <c r="HR99" s="463"/>
      <c r="HS99" s="463"/>
      <c r="HT99" s="463"/>
      <c r="HU99" s="463"/>
      <c r="HV99" s="463"/>
      <c r="HW99" s="463"/>
      <c r="HX99" s="463"/>
    </row>
    <row r="100" spans="1:232" s="464" customFormat="1" ht="16.5" customHeight="1">
      <c r="A100" s="1687"/>
      <c r="B100" s="1687"/>
      <c r="C100" s="1687"/>
      <c r="D100" s="1687"/>
      <c r="E100" s="1687"/>
      <c r="F100" s="1687"/>
      <c r="G100" s="639"/>
      <c r="H100" s="544"/>
      <c r="I100" s="544"/>
      <c r="J100" s="544"/>
      <c r="K100" s="463"/>
      <c r="L100" s="463"/>
      <c r="N100" s="470"/>
      <c r="O100" s="466"/>
      <c r="Y100" s="468"/>
      <c r="Z100" s="468"/>
      <c r="AA100" s="468"/>
      <c r="AB100" s="468"/>
      <c r="AC100" s="468"/>
      <c r="AD100" s="468"/>
      <c r="AE100" s="463"/>
      <c r="AF100" s="463"/>
      <c r="AG100" s="463"/>
      <c r="AH100" s="463"/>
      <c r="AI100" s="463"/>
      <c r="AJ100" s="463"/>
      <c r="AK100" s="463"/>
      <c r="AL100" s="463"/>
      <c r="AM100" s="463"/>
      <c r="AN100" s="463"/>
      <c r="AO100" s="463"/>
      <c r="AP100" s="463"/>
      <c r="AQ100" s="463"/>
      <c r="AR100" s="463"/>
      <c r="AS100" s="463"/>
      <c r="AT100" s="463"/>
      <c r="AU100" s="463"/>
      <c r="AV100" s="463"/>
      <c r="AW100" s="463"/>
      <c r="AX100" s="463"/>
      <c r="AY100" s="463"/>
      <c r="AZ100" s="463"/>
      <c r="BA100" s="463"/>
      <c r="BB100" s="463"/>
      <c r="BC100" s="463"/>
      <c r="BD100" s="463"/>
      <c r="BE100" s="463"/>
      <c r="BF100" s="463"/>
      <c r="BG100" s="463"/>
      <c r="BH100" s="463"/>
      <c r="BI100" s="463"/>
      <c r="BJ100" s="463"/>
      <c r="BK100" s="463"/>
      <c r="BL100" s="463"/>
      <c r="BM100" s="463"/>
      <c r="BN100" s="463"/>
      <c r="BO100" s="463"/>
      <c r="BP100" s="463"/>
      <c r="BQ100" s="463"/>
      <c r="BR100" s="463"/>
      <c r="BS100" s="463"/>
      <c r="BT100" s="463"/>
      <c r="BU100" s="463"/>
      <c r="BV100" s="463"/>
      <c r="BW100" s="463"/>
      <c r="BX100" s="463"/>
      <c r="BY100" s="463"/>
      <c r="BZ100" s="463"/>
      <c r="CA100" s="463"/>
      <c r="CB100" s="463"/>
      <c r="CC100" s="463"/>
      <c r="CD100" s="463"/>
      <c r="CE100" s="463"/>
      <c r="CF100" s="463"/>
      <c r="CG100" s="463"/>
      <c r="CH100" s="463"/>
      <c r="CI100" s="463"/>
      <c r="CJ100" s="463"/>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63"/>
      <c r="DJ100" s="463"/>
      <c r="DK100" s="463"/>
      <c r="DL100" s="463"/>
      <c r="DM100" s="463"/>
      <c r="DN100" s="463"/>
      <c r="DO100" s="463"/>
      <c r="DP100" s="463"/>
      <c r="DQ100" s="463"/>
      <c r="DR100" s="463"/>
      <c r="DS100" s="463"/>
      <c r="DT100" s="463"/>
      <c r="DU100" s="463"/>
      <c r="DV100" s="463"/>
      <c r="DW100" s="463"/>
      <c r="DX100" s="463"/>
      <c r="DY100" s="463"/>
      <c r="DZ100" s="463"/>
      <c r="EA100" s="463"/>
      <c r="EB100" s="463"/>
      <c r="EC100" s="463"/>
      <c r="ED100" s="463"/>
      <c r="EE100" s="463"/>
      <c r="EF100" s="463"/>
      <c r="EG100" s="463"/>
      <c r="EH100" s="463"/>
      <c r="EI100" s="463"/>
      <c r="EJ100" s="463"/>
      <c r="EK100" s="463"/>
      <c r="EL100" s="463"/>
      <c r="EM100" s="463"/>
      <c r="EN100" s="463"/>
      <c r="EO100" s="463"/>
      <c r="EP100" s="463"/>
      <c r="EQ100" s="463"/>
      <c r="ER100" s="463"/>
      <c r="ES100" s="463"/>
      <c r="ET100" s="463"/>
      <c r="EU100" s="463"/>
      <c r="EV100" s="463"/>
      <c r="EW100" s="463"/>
      <c r="EX100" s="463"/>
      <c r="EY100" s="463"/>
      <c r="EZ100" s="463"/>
      <c r="FA100" s="463"/>
      <c r="FB100" s="463"/>
      <c r="FC100" s="463"/>
      <c r="FD100" s="463"/>
      <c r="FE100" s="463"/>
      <c r="FF100" s="463"/>
      <c r="FG100" s="463"/>
      <c r="FH100" s="463"/>
      <c r="FI100" s="463"/>
      <c r="FJ100" s="463"/>
      <c r="FK100" s="463"/>
      <c r="FL100" s="463"/>
      <c r="FM100" s="463"/>
      <c r="FN100" s="463"/>
      <c r="FO100" s="463"/>
      <c r="FP100" s="463"/>
      <c r="FQ100" s="463"/>
      <c r="FR100" s="463"/>
      <c r="FS100" s="463"/>
      <c r="FT100" s="463"/>
      <c r="FU100" s="463"/>
      <c r="FV100" s="463"/>
      <c r="FW100" s="463"/>
      <c r="FX100" s="463"/>
      <c r="FY100" s="463"/>
      <c r="FZ100" s="463"/>
      <c r="GA100" s="463"/>
      <c r="GB100" s="463"/>
      <c r="GC100" s="463"/>
      <c r="GD100" s="463"/>
      <c r="GE100" s="463"/>
      <c r="GF100" s="463"/>
      <c r="GG100" s="463"/>
      <c r="GH100" s="463"/>
      <c r="GI100" s="463"/>
      <c r="GJ100" s="463"/>
      <c r="GK100" s="463"/>
      <c r="GL100" s="463"/>
      <c r="GM100" s="463"/>
      <c r="GN100" s="463"/>
      <c r="GO100" s="463"/>
      <c r="GP100" s="463"/>
      <c r="GQ100" s="463"/>
      <c r="GR100" s="463"/>
      <c r="GS100" s="463"/>
      <c r="GT100" s="463"/>
      <c r="GU100" s="463"/>
      <c r="GV100" s="463"/>
      <c r="GW100" s="463"/>
      <c r="GX100" s="463"/>
      <c r="GY100" s="463"/>
      <c r="GZ100" s="463"/>
      <c r="HA100" s="463"/>
      <c r="HB100" s="463"/>
      <c r="HC100" s="463"/>
      <c r="HD100" s="463"/>
      <c r="HE100" s="463"/>
      <c r="HF100" s="463"/>
      <c r="HG100" s="463"/>
      <c r="HH100" s="463"/>
      <c r="HI100" s="463"/>
      <c r="HJ100" s="463"/>
      <c r="HK100" s="463"/>
      <c r="HL100" s="463"/>
      <c r="HM100" s="463"/>
      <c r="HN100" s="463"/>
      <c r="HO100" s="463"/>
      <c r="HP100" s="463"/>
      <c r="HQ100" s="463"/>
      <c r="HR100" s="463"/>
      <c r="HS100" s="463"/>
      <c r="HT100" s="463"/>
      <c r="HU100" s="463"/>
      <c r="HV100" s="463"/>
      <c r="HW100" s="463"/>
      <c r="HX100" s="463"/>
    </row>
    <row r="101" spans="1:232" s="464" customFormat="1" ht="20.100000000000001" customHeight="1">
      <c r="A101" s="1688"/>
      <c r="B101" s="1688"/>
      <c r="C101" s="1688"/>
      <c r="D101" s="1688"/>
      <c r="E101" s="1688"/>
      <c r="F101" s="1688"/>
      <c r="G101" s="635"/>
      <c r="H101" s="1625" t="s">
        <v>133</v>
      </c>
      <c r="I101" s="1625"/>
      <c r="J101" s="1625"/>
      <c r="K101" s="463"/>
      <c r="L101" s="463"/>
      <c r="M101" s="469"/>
      <c r="O101" s="466"/>
      <c r="Y101" s="468"/>
      <c r="Z101" s="468"/>
      <c r="AA101" s="468"/>
      <c r="AB101" s="468"/>
      <c r="AC101" s="468"/>
      <c r="AD101" s="468"/>
      <c r="AE101" s="463"/>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row>
    <row r="102" spans="1:232" ht="20.100000000000001" customHeight="1">
      <c r="A102" s="1619" t="s">
        <v>412</v>
      </c>
      <c r="B102" s="1619"/>
      <c r="C102" s="1619"/>
      <c r="D102" s="1619"/>
      <c r="E102" s="1619"/>
      <c r="F102" s="1619"/>
      <c r="G102" s="1619"/>
      <c r="H102" s="513"/>
      <c r="I102" s="513"/>
      <c r="J102" s="513"/>
      <c r="N102" s="470"/>
      <c r="P102" s="463"/>
      <c r="Q102" s="463"/>
      <c r="R102" s="463"/>
      <c r="S102" s="463"/>
      <c r="T102" s="463"/>
      <c r="U102" s="463"/>
      <c r="V102" s="463"/>
      <c r="W102" s="463"/>
      <c r="X102" s="463"/>
      <c r="Y102" s="463"/>
      <c r="Z102" s="463"/>
      <c r="AA102" s="463"/>
      <c r="AB102" s="463"/>
      <c r="AC102" s="463"/>
      <c r="AD102" s="463"/>
    </row>
    <row r="103" spans="1:232" ht="16.5" customHeight="1">
      <c r="A103" s="1620" t="s">
        <v>413</v>
      </c>
      <c r="B103" s="1620"/>
      <c r="C103" s="1620"/>
      <c r="D103" s="1620"/>
      <c r="E103" s="1620"/>
      <c r="F103" s="1620"/>
      <c r="G103" s="1620"/>
      <c r="H103" s="513"/>
      <c r="I103" s="513"/>
      <c r="J103" s="513"/>
      <c r="O103" s="466"/>
      <c r="P103" s="463"/>
      <c r="Q103" s="463"/>
      <c r="R103" s="463"/>
      <c r="S103" s="463"/>
      <c r="T103" s="463"/>
      <c r="U103" s="463"/>
      <c r="V103" s="463"/>
      <c r="W103" s="463"/>
      <c r="X103" s="463"/>
      <c r="Y103" s="463"/>
      <c r="Z103" s="463"/>
      <c r="AA103" s="463"/>
      <c r="AB103" s="463"/>
      <c r="AC103" s="463"/>
      <c r="AD103" s="463"/>
    </row>
    <row r="104" spans="1:232" ht="16.5" customHeight="1">
      <c r="A104" s="1620" t="s">
        <v>414</v>
      </c>
      <c r="B104" s="1620"/>
      <c r="C104" s="1620"/>
      <c r="D104" s="1620"/>
      <c r="E104" s="1620"/>
      <c r="F104" s="1620"/>
      <c r="G104" s="1620"/>
      <c r="H104" s="513"/>
      <c r="I104" s="513"/>
      <c r="J104" s="513"/>
      <c r="O104" s="466"/>
      <c r="P104" s="463"/>
      <c r="Q104" s="463"/>
      <c r="R104" s="463"/>
      <c r="S104" s="463"/>
      <c r="T104" s="463"/>
      <c r="U104" s="463"/>
      <c r="V104" s="463"/>
      <c r="W104" s="463"/>
      <c r="X104" s="463"/>
      <c r="Y104" s="463"/>
      <c r="Z104" s="463"/>
      <c r="AA104" s="463"/>
      <c r="AB104" s="463"/>
      <c r="AC104" s="463"/>
      <c r="AD104" s="463"/>
    </row>
    <row r="105" spans="1:232" ht="16.5" customHeight="1">
      <c r="A105" s="1620" t="s">
        <v>415</v>
      </c>
      <c r="B105" s="1620"/>
      <c r="C105" s="1620"/>
      <c r="D105" s="1620"/>
      <c r="E105" s="1620"/>
      <c r="F105" s="1620"/>
      <c r="G105" s="1620"/>
      <c r="H105" s="513"/>
      <c r="I105" s="513"/>
      <c r="J105" s="513"/>
      <c r="O105" s="466"/>
      <c r="P105" s="463"/>
      <c r="Q105" s="463"/>
      <c r="R105" s="463"/>
      <c r="S105" s="463"/>
      <c r="T105" s="463"/>
      <c r="U105" s="463"/>
      <c r="V105" s="463"/>
      <c r="W105" s="463"/>
      <c r="X105" s="463"/>
      <c r="Y105" s="463"/>
      <c r="Z105" s="463"/>
      <c r="AA105" s="463"/>
      <c r="AB105" s="463"/>
      <c r="AC105" s="463"/>
      <c r="AD105" s="463"/>
    </row>
    <row r="106" spans="1:232" ht="16.5">
      <c r="A106" s="1620" t="s">
        <v>416</v>
      </c>
      <c r="B106" s="1620"/>
      <c r="C106" s="1620"/>
      <c r="D106" s="1620"/>
      <c r="E106" s="1620"/>
      <c r="F106" s="1620"/>
      <c r="G106" s="1620"/>
      <c r="H106" s="513"/>
      <c r="I106" s="513"/>
      <c r="J106" s="513"/>
      <c r="K106" s="175"/>
      <c r="L106" s="175"/>
      <c r="M106" s="175"/>
      <c r="O106" s="466"/>
      <c r="P106" s="463"/>
      <c r="Q106" s="463"/>
      <c r="R106" s="463"/>
      <c r="S106" s="463"/>
      <c r="T106" s="463"/>
      <c r="U106" s="463"/>
      <c r="V106" s="463"/>
      <c r="W106" s="463"/>
      <c r="X106" s="463"/>
      <c r="Y106" s="463"/>
      <c r="Z106" s="463"/>
      <c r="AA106" s="463"/>
      <c r="AB106" s="463"/>
      <c r="AC106" s="463"/>
      <c r="AD106" s="463"/>
    </row>
    <row r="107" spans="1:232" ht="16.5">
      <c r="A107" s="1620" t="s">
        <v>417</v>
      </c>
      <c r="B107" s="1620"/>
      <c r="C107" s="1620"/>
      <c r="D107" s="1620"/>
      <c r="E107" s="1620"/>
      <c r="F107" s="1620"/>
      <c r="G107" s="1620"/>
      <c r="H107" s="513"/>
      <c r="I107" s="513"/>
      <c r="J107" s="513"/>
      <c r="N107" s="175"/>
      <c r="O107" s="466"/>
      <c r="P107" s="463"/>
      <c r="Q107" s="463"/>
      <c r="R107" s="463"/>
      <c r="S107" s="463"/>
      <c r="T107" s="463"/>
      <c r="U107" s="463"/>
      <c r="V107" s="463"/>
      <c r="W107" s="463"/>
      <c r="X107" s="463"/>
      <c r="Y107" s="463"/>
      <c r="Z107" s="463"/>
      <c r="AA107" s="463"/>
      <c r="AB107" s="463"/>
      <c r="AC107" s="463"/>
      <c r="AD107" s="463"/>
    </row>
    <row r="108" spans="1:232" ht="16.5">
      <c r="A108" s="1624"/>
      <c r="B108" s="1624"/>
      <c r="C108" s="1624"/>
      <c r="D108" s="1624"/>
      <c r="E108" s="1624"/>
      <c r="F108" s="1624"/>
      <c r="G108" s="1624"/>
      <c r="H108" s="1625"/>
      <c r="I108" s="1625"/>
      <c r="J108" s="1625"/>
      <c r="N108" s="175"/>
      <c r="O108" s="762"/>
      <c r="P108" s="463"/>
      <c r="Q108" s="463"/>
      <c r="R108" s="463"/>
      <c r="S108" s="463"/>
      <c r="T108" s="463"/>
      <c r="U108" s="463"/>
      <c r="V108" s="463"/>
      <c r="W108" s="463"/>
      <c r="X108" s="463"/>
      <c r="Y108" s="463"/>
      <c r="Z108" s="463"/>
      <c r="AA108" s="463"/>
      <c r="AB108" s="463"/>
      <c r="AC108" s="463"/>
      <c r="AD108" s="463"/>
    </row>
    <row r="109" spans="1:232" ht="16.5">
      <c r="A109" s="636"/>
      <c r="B109" s="636"/>
      <c r="C109" s="636"/>
      <c r="D109" s="636"/>
      <c r="E109" s="636"/>
      <c r="F109" s="636"/>
      <c r="G109" s="636"/>
      <c r="H109" s="531"/>
      <c r="I109" s="531"/>
      <c r="J109" s="531"/>
      <c r="N109" s="175"/>
      <c r="O109" s="762"/>
      <c r="P109" s="463"/>
      <c r="Q109" s="463"/>
      <c r="R109" s="463"/>
      <c r="S109" s="463"/>
      <c r="T109" s="463"/>
      <c r="U109" s="463"/>
      <c r="V109" s="463"/>
      <c r="W109" s="463"/>
      <c r="X109" s="463"/>
      <c r="Y109" s="463"/>
      <c r="Z109" s="463"/>
      <c r="AA109" s="463"/>
      <c r="AB109" s="463"/>
      <c r="AC109" s="463"/>
      <c r="AD109" s="463"/>
    </row>
    <row r="110" spans="1:232" ht="16.5">
      <c r="A110" s="636"/>
      <c r="B110" s="636"/>
      <c r="C110" s="636"/>
      <c r="D110" s="636"/>
      <c r="E110" s="636"/>
      <c r="F110" s="636"/>
      <c r="G110" s="636"/>
      <c r="H110" s="531"/>
      <c r="I110" s="531"/>
      <c r="J110" s="531"/>
      <c r="O110" s="466"/>
      <c r="P110" s="463"/>
      <c r="Q110" s="463"/>
      <c r="R110" s="463"/>
      <c r="S110" s="463"/>
      <c r="T110" s="463"/>
      <c r="U110" s="463"/>
      <c r="V110" s="463"/>
      <c r="W110" s="463"/>
      <c r="X110" s="463"/>
      <c r="Y110" s="463"/>
      <c r="Z110" s="463"/>
      <c r="AA110" s="463"/>
      <c r="AB110" s="463"/>
      <c r="AC110" s="463"/>
      <c r="AD110" s="463"/>
    </row>
    <row r="111" spans="1:232" ht="20.100000000000001" customHeight="1">
      <c r="A111" s="1682" t="s">
        <v>77</v>
      </c>
      <c r="B111" s="1682"/>
      <c r="C111" s="1682"/>
      <c r="D111" s="1682"/>
      <c r="E111" s="1682"/>
      <c r="F111" s="1682"/>
      <c r="G111" s="1682"/>
      <c r="H111" s="1682"/>
      <c r="I111" s="1682"/>
      <c r="J111" s="1682"/>
      <c r="O111" s="466"/>
    </row>
    <row r="112" spans="1:232" ht="20.100000000000001" customHeight="1">
      <c r="A112" s="1683" t="s">
        <v>80</v>
      </c>
      <c r="B112" s="1683"/>
      <c r="C112" s="1683"/>
      <c r="D112" s="1683"/>
      <c r="E112" s="1683"/>
      <c r="F112" s="1683"/>
      <c r="G112" s="1683"/>
      <c r="H112" s="1683"/>
      <c r="I112" s="1683"/>
      <c r="J112" s="1683"/>
      <c r="K112" s="175"/>
      <c r="L112" s="175"/>
      <c r="M112" s="175"/>
      <c r="O112" s="466"/>
    </row>
    <row r="113" spans="1:30" ht="20.100000000000001" customHeight="1">
      <c r="A113" s="1616" t="s">
        <v>82</v>
      </c>
      <c r="B113" s="1616"/>
      <c r="C113" s="1616"/>
      <c r="D113" s="1616"/>
      <c r="E113" s="1616"/>
      <c r="F113" s="1616"/>
      <c r="G113" s="1616"/>
      <c r="H113" s="1616"/>
      <c r="I113" s="1616"/>
      <c r="J113" s="1616"/>
      <c r="N113" s="175"/>
      <c r="O113" s="466"/>
      <c r="P113" s="466"/>
      <c r="Q113" s="467"/>
    </row>
    <row r="114" spans="1:30" ht="20.100000000000001" customHeight="1">
      <c r="A114" s="1684">
        <f>N17</f>
        <v>42466</v>
      </c>
      <c r="B114" s="1684"/>
      <c r="C114" s="1684"/>
      <c r="D114" s="1684"/>
      <c r="E114" s="1684"/>
      <c r="F114" s="1684"/>
      <c r="G114" s="1684"/>
      <c r="H114" s="1684"/>
      <c r="I114" s="1684"/>
      <c r="J114" s="1684"/>
      <c r="K114" s="477"/>
      <c r="L114" s="477"/>
      <c r="M114" s="477"/>
      <c r="O114" s="466"/>
      <c r="P114" s="466"/>
      <c r="Q114" s="467"/>
    </row>
    <row r="115" spans="1:30" ht="20.100000000000001" customHeight="1">
      <c r="A115" s="738"/>
      <c r="B115" s="738"/>
      <c r="C115" s="738"/>
      <c r="D115" s="738"/>
      <c r="E115" s="738"/>
      <c r="F115" s="738"/>
      <c r="G115" s="738"/>
      <c r="H115" s="738"/>
      <c r="I115" s="738"/>
      <c r="J115" s="738"/>
      <c r="K115" s="477"/>
      <c r="L115" s="477"/>
      <c r="M115" s="477"/>
      <c r="N115" s="487"/>
      <c r="O115" s="466"/>
      <c r="P115" s="466"/>
      <c r="Q115" s="467"/>
    </row>
    <row r="116" spans="1:30" ht="20.100000000000001" customHeight="1">
      <c r="A116" s="1685" t="s">
        <v>134</v>
      </c>
      <c r="B116" s="1618"/>
      <c r="C116" s="1618"/>
      <c r="D116" s="1618"/>
      <c r="E116" s="1618"/>
      <c r="F116" s="1618"/>
      <c r="G116" s="1618"/>
      <c r="H116" s="1618"/>
      <c r="I116" s="1618"/>
      <c r="J116" s="1618"/>
      <c r="K116" s="477"/>
      <c r="L116" s="477"/>
      <c r="M116" s="477"/>
      <c r="N116" s="487"/>
      <c r="P116" s="467"/>
    </row>
    <row r="117" spans="1:30" ht="18.75" customHeight="1">
      <c r="A117" s="1686" t="str">
        <f>A81</f>
        <v>SỐ: TGHL-HT-CWI-C&amp;S-B1/800</v>
      </c>
      <c r="B117" s="1686"/>
      <c r="C117" s="1686"/>
      <c r="D117" s="1686"/>
      <c r="E117" s="1686"/>
      <c r="F117" s="1686"/>
      <c r="G117" s="1686"/>
      <c r="H117" s="1686"/>
      <c r="I117" s="1686"/>
      <c r="J117" s="1686"/>
      <c r="K117" s="491"/>
      <c r="L117" s="477"/>
      <c r="M117" s="477"/>
      <c r="N117" s="492"/>
      <c r="O117" s="401"/>
      <c r="P117" s="466"/>
      <c r="Q117" s="467"/>
    </row>
    <row r="118" spans="1:30" ht="14.25" customHeight="1">
      <c r="A118" s="471"/>
      <c r="B118" s="471"/>
      <c r="C118" s="471"/>
      <c r="D118" s="471"/>
      <c r="E118" s="471"/>
      <c r="F118" s="471"/>
      <c r="G118" s="471"/>
      <c r="H118" s="471"/>
      <c r="I118" s="471"/>
      <c r="J118" s="471"/>
      <c r="K118" s="491"/>
      <c r="L118" s="477"/>
      <c r="M118" s="477"/>
      <c r="N118" s="492"/>
      <c r="O118" s="466"/>
      <c r="P118" s="466"/>
      <c r="Q118" s="467"/>
    </row>
    <row r="119" spans="1:30" ht="35.1" customHeight="1">
      <c r="A119" s="760" t="str">
        <f>A82</f>
        <v>DỰ ÁN:</v>
      </c>
      <c r="B119" s="760"/>
      <c r="C119" s="1681" t="str">
        <f>C82</f>
        <v>KHU HỖN HỢP CHUNG CƯ, VĂN PHÒNG, TRUNG TÂM THƯƠNG MẠI VÀ NHÀ Ở KẾT HỢP KHU MUA SẮM</v>
      </c>
      <c r="D119" s="1681"/>
      <c r="E119" s="1681"/>
      <c r="F119" s="1681"/>
      <c r="G119" s="1681"/>
      <c r="H119" s="1681"/>
      <c r="I119" s="1681"/>
      <c r="J119" s="1681"/>
      <c r="K119" s="491"/>
      <c r="L119" s="477"/>
      <c r="M119" s="477"/>
      <c r="N119" s="492"/>
      <c r="P119" s="466"/>
      <c r="Q119" s="467"/>
    </row>
    <row r="120" spans="1:30" ht="16.5">
      <c r="A120" s="760" t="str">
        <f>A83</f>
        <v>CÔNG TRÌNH:</v>
      </c>
      <c r="B120" s="760"/>
      <c r="C120" s="1681" t="str">
        <f>C83</f>
        <v>KHU HỖN HỢP CHUNG CƯ, VĂN PHÒNG, TTTM</v>
      </c>
      <c r="D120" s="1681"/>
      <c r="E120" s="1681"/>
      <c r="F120" s="1681"/>
      <c r="G120" s="1681"/>
      <c r="H120" s="1681"/>
      <c r="I120" s="1681"/>
      <c r="J120" s="1681"/>
      <c r="K120" s="491"/>
      <c r="L120" s="477"/>
      <c r="M120" s="477"/>
      <c r="N120" s="492"/>
      <c r="O120" s="466"/>
      <c r="P120" s="466"/>
      <c r="Q120" s="467"/>
    </row>
    <row r="121" spans="1:30" ht="20.100000000000001" customHeight="1">
      <c r="A121" s="760" t="str">
        <f>A84</f>
        <v>GÓI THẦU :</v>
      </c>
      <c r="B121" s="760"/>
      <c r="C121" s="1681" t="str">
        <f>C84</f>
        <v>THI CÔNG CỌC KHOAN NHỒI</v>
      </c>
      <c r="D121" s="1681"/>
      <c r="E121" s="1681"/>
      <c r="F121" s="1681"/>
      <c r="G121" s="1681"/>
      <c r="H121" s="1681"/>
      <c r="I121" s="1681"/>
      <c r="J121" s="1681"/>
      <c r="K121" s="491"/>
      <c r="L121" s="477"/>
      <c r="M121" s="477"/>
      <c r="N121" s="477"/>
      <c r="P121" s="466"/>
      <c r="Q121" s="467"/>
    </row>
    <row r="122" spans="1:30" ht="20.100000000000001" customHeight="1">
      <c r="A122" s="760" t="str">
        <f>A85</f>
        <v>ĐỊA ĐIỂM :</v>
      </c>
      <c r="B122" s="760"/>
      <c r="C122" s="1681" t="str">
        <f>C85</f>
        <v>ĐƯỜNG 25/4, P BẠCH ĐẰNG, TP. HẠ LONG, TỈNH QUẢNG NINH</v>
      </c>
      <c r="D122" s="1681"/>
      <c r="E122" s="1681"/>
      <c r="F122" s="1681"/>
      <c r="G122" s="1681"/>
      <c r="H122" s="1681"/>
      <c r="I122" s="1681"/>
      <c r="J122" s="1681"/>
      <c r="K122" s="491"/>
      <c r="L122" s="477"/>
      <c r="M122" s="477"/>
      <c r="N122" s="477"/>
      <c r="P122" s="466"/>
      <c r="Q122" s="467"/>
    </row>
    <row r="123" spans="1:30" s="472" customFormat="1" ht="20.100000000000001" customHeight="1">
      <c r="A123" s="1596" t="s">
        <v>89</v>
      </c>
      <c r="B123" s="1596"/>
      <c r="C123" s="1596"/>
      <c r="D123" s="1596"/>
      <c r="E123" s="1596"/>
      <c r="F123" s="1596"/>
      <c r="G123" s="1596"/>
      <c r="H123" s="1596"/>
      <c r="I123" s="1596"/>
      <c r="J123" s="1596"/>
      <c r="K123" s="489"/>
      <c r="L123" s="494"/>
      <c r="M123" s="494"/>
      <c r="N123" s="492"/>
      <c r="O123" s="464"/>
      <c r="P123" s="479"/>
      <c r="Q123" s="469"/>
      <c r="R123" s="464"/>
      <c r="S123" s="464"/>
      <c r="T123" s="464"/>
      <c r="U123" s="474"/>
      <c r="V123" s="474"/>
      <c r="W123" s="474"/>
      <c r="X123" s="474"/>
      <c r="Y123" s="475"/>
      <c r="Z123" s="475"/>
      <c r="AA123" s="475"/>
      <c r="AB123" s="475"/>
      <c r="AC123" s="475"/>
      <c r="AD123" s="475"/>
    </row>
    <row r="124" spans="1:30" s="175" customFormat="1" ht="20.100000000000001" customHeight="1">
      <c r="A124" s="1610" t="str">
        <f>A14</f>
        <v>Định vị cọc số hiệu B1</v>
      </c>
      <c r="B124" s="1622"/>
      <c r="C124" s="1622"/>
      <c r="D124" s="1622"/>
      <c r="E124" s="1622"/>
      <c r="F124" s="1622"/>
      <c r="G124" s="1622"/>
      <c r="H124" s="1622"/>
      <c r="I124" s="1622"/>
      <c r="J124" s="1622"/>
      <c r="K124" s="498"/>
      <c r="L124" s="494"/>
      <c r="M124" s="494"/>
      <c r="N124" s="495"/>
      <c r="O124" s="464"/>
      <c r="P124" s="479"/>
      <c r="Q124" s="469"/>
      <c r="R124" s="464"/>
      <c r="S124" s="464"/>
    </row>
    <row r="125" spans="1:30" ht="20.100000000000001" customHeight="1">
      <c r="A125" s="1596" t="s">
        <v>859</v>
      </c>
      <c r="B125" s="1596"/>
      <c r="C125" s="1596"/>
      <c r="D125" s="1596"/>
      <c r="E125" s="1596"/>
      <c r="F125" s="1596"/>
      <c r="G125" s="1596"/>
      <c r="H125" s="1596"/>
      <c r="I125" s="1596"/>
      <c r="J125" s="1596"/>
      <c r="K125" s="498"/>
      <c r="L125" s="494"/>
      <c r="M125" s="494"/>
      <c r="N125" s="495"/>
      <c r="O125" s="175"/>
      <c r="P125" s="466"/>
      <c r="Q125" s="467"/>
    </row>
    <row r="126" spans="1:30" ht="20.100000000000001" customHeight="1">
      <c r="A126" s="482" t="str">
        <f>'[6]1. BBkt -MM'!A125</f>
        <v>1 - Đại diện chủ đầu tư : Ban QLDA Times garden Hạ Long</v>
      </c>
      <c r="B126" s="118"/>
      <c r="C126" s="118"/>
      <c r="D126" s="118"/>
      <c r="E126" s="118"/>
      <c r="F126" s="483"/>
      <c r="G126" s="483"/>
      <c r="H126" s="483"/>
      <c r="I126" s="483"/>
      <c r="J126" s="483"/>
      <c r="N126" s="495"/>
      <c r="O126" s="175"/>
      <c r="P126" s="466"/>
      <c r="Q126" s="467"/>
    </row>
    <row r="127" spans="1:30" ht="20.100000000000001" customHeight="1">
      <c r="A127" s="1595" t="s">
        <v>913</v>
      </c>
      <c r="B127" s="1595"/>
      <c r="C127" s="1595"/>
      <c r="D127" s="1595"/>
      <c r="E127" s="1595"/>
      <c r="F127" s="1595" t="s">
        <v>914</v>
      </c>
      <c r="G127" s="1595"/>
      <c r="H127" s="1595"/>
      <c r="I127" s="1595"/>
      <c r="J127" s="1595"/>
      <c r="P127" s="466"/>
      <c r="Q127" s="467"/>
    </row>
    <row r="128" spans="1:30" ht="20.100000000000001" customHeight="1">
      <c r="A128" s="1595" t="s">
        <v>913</v>
      </c>
      <c r="B128" s="1595"/>
      <c r="C128" s="1595"/>
      <c r="D128" s="1595"/>
      <c r="E128" s="1595"/>
      <c r="F128" s="1595" t="s">
        <v>914</v>
      </c>
      <c r="G128" s="1595"/>
      <c r="H128" s="1595"/>
      <c r="I128" s="1595"/>
      <c r="J128" s="1595"/>
      <c r="P128" s="466"/>
      <c r="Q128" s="467"/>
    </row>
    <row r="129" spans="1:232" s="175" customFormat="1" ht="20.100000000000001" customHeight="1">
      <c r="A129" s="1680" t="s">
        <v>915</v>
      </c>
      <c r="B129" s="1680"/>
      <c r="C129" s="1680"/>
      <c r="D129" s="1680"/>
      <c r="E129" s="1680"/>
      <c r="F129" s="1680"/>
      <c r="G129" s="1680"/>
      <c r="H129" s="1680"/>
      <c r="I129" s="1680"/>
      <c r="J129" s="1680"/>
      <c r="K129" s="502"/>
      <c r="L129" s="494"/>
      <c r="M129" s="494"/>
      <c r="N129" s="464"/>
      <c r="O129" s="464"/>
      <c r="P129" s="467"/>
      <c r="Q129" s="464"/>
      <c r="R129" s="464"/>
      <c r="S129" s="464"/>
    </row>
    <row r="130" spans="1:232" ht="20.100000000000001" customHeight="1">
      <c r="A130" s="1595" t="s">
        <v>913</v>
      </c>
      <c r="B130" s="1595"/>
      <c r="C130" s="1595"/>
      <c r="D130" s="1595"/>
      <c r="E130" s="1595"/>
      <c r="F130" s="1595" t="s">
        <v>914</v>
      </c>
      <c r="G130" s="1595"/>
      <c r="H130" s="1595"/>
      <c r="I130" s="1595"/>
      <c r="J130" s="1595"/>
      <c r="K130" s="5"/>
      <c r="L130" s="5"/>
      <c r="M130" s="5"/>
      <c r="N130" s="495"/>
      <c r="O130" s="175"/>
      <c r="P130" s="401"/>
      <c r="Q130" s="520"/>
      <c r="R130" s="175"/>
      <c r="S130" s="175"/>
    </row>
    <row r="131" spans="1:232" ht="20.100000000000001" customHeight="1">
      <c r="A131" s="481" t="s">
        <v>913</v>
      </c>
      <c r="B131" s="481"/>
      <c r="C131" s="481"/>
      <c r="D131" s="481"/>
      <c r="E131" s="481"/>
      <c r="F131" s="1595" t="s">
        <v>914</v>
      </c>
      <c r="G131" s="1595"/>
      <c r="H131" s="1595"/>
      <c r="I131" s="1595"/>
      <c r="J131" s="1595"/>
      <c r="K131" s="5"/>
      <c r="L131" s="5"/>
      <c r="M131" s="5"/>
      <c r="N131" s="5"/>
      <c r="P131" s="466"/>
      <c r="Q131" s="467"/>
    </row>
    <row r="132" spans="1:232" ht="20.100000000000001" customHeight="1">
      <c r="A132" s="1604" t="s">
        <v>871</v>
      </c>
      <c r="B132" s="1604"/>
      <c r="C132" s="1604"/>
      <c r="D132" s="1604"/>
      <c r="E132" s="1604"/>
      <c r="F132" s="1604"/>
      <c r="G132" s="1604"/>
      <c r="H132" s="1604"/>
      <c r="I132" s="1604"/>
      <c r="J132" s="1604"/>
      <c r="K132" s="5"/>
      <c r="L132" s="5"/>
      <c r="M132" s="5"/>
      <c r="N132" s="5"/>
      <c r="O132" s="487"/>
      <c r="P132" s="479"/>
      <c r="Q132" s="469"/>
    </row>
    <row r="133" spans="1:232" ht="20.100000000000001" customHeight="1">
      <c r="A133" s="481" t="s">
        <v>913</v>
      </c>
      <c r="B133" s="481"/>
      <c r="C133" s="481"/>
      <c r="D133" s="481"/>
      <c r="E133" s="481"/>
      <c r="F133" s="1595" t="s">
        <v>914</v>
      </c>
      <c r="G133" s="1595"/>
      <c r="H133" s="1595"/>
      <c r="I133" s="1595"/>
      <c r="J133" s="1595"/>
      <c r="K133" s="5"/>
      <c r="L133" s="5"/>
      <c r="M133" s="5"/>
      <c r="N133" s="5"/>
      <c r="O133" s="487"/>
      <c r="P133" s="466"/>
      <c r="Q133" s="467"/>
    </row>
    <row r="134" spans="1:232" ht="20.100000000000001" customHeight="1">
      <c r="A134" s="481" t="s">
        <v>913</v>
      </c>
      <c r="B134" s="481"/>
      <c r="C134" s="481"/>
      <c r="D134" s="481"/>
      <c r="E134" s="481"/>
      <c r="F134" s="1595" t="s">
        <v>914</v>
      </c>
      <c r="G134" s="1595"/>
      <c r="H134" s="1595"/>
      <c r="I134" s="1595"/>
      <c r="J134" s="1595"/>
      <c r="K134" s="5"/>
      <c r="L134" s="5"/>
      <c r="M134" s="5"/>
      <c r="N134" s="5"/>
      <c r="O134" s="492"/>
      <c r="P134" s="479"/>
      <c r="Q134" s="469"/>
    </row>
    <row r="135" spans="1:232" ht="20.100000000000001" customHeight="1">
      <c r="A135" s="1596" t="str">
        <f>A22</f>
        <v>III./ THỜI GIAN NGHIỆM THU:</v>
      </c>
      <c r="B135" s="1596"/>
      <c r="C135" s="1596"/>
      <c r="D135" s="1596"/>
      <c r="E135" s="1596"/>
      <c r="F135" s="1596"/>
      <c r="G135" s="1596"/>
      <c r="H135" s="1596"/>
      <c r="I135" s="1596"/>
      <c r="J135" s="1596"/>
      <c r="K135" s="5"/>
      <c r="L135" s="5"/>
      <c r="M135" s="5"/>
      <c r="N135" s="5"/>
      <c r="O135" s="492"/>
      <c r="P135" s="479"/>
      <c r="Q135" s="469"/>
    </row>
    <row r="136" spans="1:232" ht="20.100000000000001" customHeight="1">
      <c r="A136" s="477" t="str">
        <f>A23</f>
        <v xml:space="preserve">Bắt đầu nghiệm thu:    </v>
      </c>
      <c r="B136" s="477"/>
      <c r="C136" s="477"/>
      <c r="D136" s="484">
        <f>L138</f>
        <v>0.40277777777777773</v>
      </c>
      <c r="E136" s="1603">
        <f>N17</f>
        <v>42466</v>
      </c>
      <c r="F136" s="1603"/>
      <c r="G136" s="1603"/>
      <c r="H136" s="1603"/>
      <c r="I136" s="1603"/>
      <c r="J136" s="1603"/>
      <c r="K136" s="5"/>
      <c r="L136" s="5"/>
      <c r="M136" s="5"/>
      <c r="N136" s="5"/>
      <c r="O136" s="492"/>
      <c r="P136" s="479"/>
      <c r="Q136" s="469"/>
    </row>
    <row r="137" spans="1:232" s="175" customFormat="1" ht="20.100000000000001" customHeight="1">
      <c r="A137" s="477" t="str">
        <f>A24</f>
        <v xml:space="preserve">Kết thúc nghiệm thu: </v>
      </c>
      <c r="B137" s="477"/>
      <c r="C137" s="477"/>
      <c r="D137" s="484">
        <f>M138</f>
        <v>0.40624999999999994</v>
      </c>
      <c r="E137" s="1603">
        <f>N17</f>
        <v>42466</v>
      </c>
      <c r="F137" s="1603"/>
      <c r="G137" s="1603"/>
      <c r="H137" s="1603"/>
      <c r="I137" s="1603"/>
      <c r="J137" s="1603"/>
      <c r="K137" s="5"/>
      <c r="L137" s="5"/>
      <c r="M137" s="5"/>
      <c r="N137" s="5"/>
      <c r="O137" s="492"/>
      <c r="P137" s="464"/>
      <c r="Q137" s="464"/>
      <c r="R137" s="464"/>
      <c r="S137" s="464"/>
    </row>
    <row r="138" spans="1:232" ht="20.100000000000001" customHeight="1">
      <c r="A138" s="767" t="s">
        <v>99</v>
      </c>
      <c r="B138" s="765" t="str">
        <f>'[6]4. BBKT-VL-PO'!B136</f>
        <v>Công trình: Khu hỗn hợp chung cư, văn phòng, trung tâm thương mại.</v>
      </c>
      <c r="C138" s="489"/>
      <c r="D138" s="489"/>
      <c r="E138" s="489"/>
      <c r="F138" s="489"/>
      <c r="G138" s="489"/>
      <c r="H138" s="489"/>
      <c r="I138" s="489"/>
      <c r="J138" s="489"/>
      <c r="L138" s="768">
        <f>'2. NK'!F13</f>
        <v>0.40277777777777773</v>
      </c>
      <c r="M138" s="1191">
        <f>'2. NK'!H13</f>
        <v>0.40624999999999994</v>
      </c>
      <c r="N138" s="1192">
        <v>3.472222222222222E-3</v>
      </c>
      <c r="O138" s="477">
        <v>3.472222222222222E-3</v>
      </c>
      <c r="P138" s="175"/>
      <c r="Q138" s="175"/>
      <c r="R138" s="175"/>
      <c r="S138" s="175"/>
    </row>
    <row r="139" spans="1:232" ht="20.100000000000001" customHeight="1">
      <c r="A139" s="1596" t="s">
        <v>441</v>
      </c>
      <c r="B139" s="1596"/>
      <c r="C139" s="1596"/>
      <c r="D139" s="1596"/>
      <c r="E139" s="1596"/>
      <c r="F139" s="1596"/>
      <c r="G139" s="1596"/>
      <c r="H139" s="1596"/>
      <c r="I139" s="1596"/>
      <c r="J139" s="1596"/>
      <c r="N139" s="1192">
        <v>6.9444444444444441E-3</v>
      </c>
      <c r="O139" s="492">
        <v>6.9444444444444441E-3</v>
      </c>
    </row>
    <row r="140" spans="1:232" ht="20.100000000000001" customHeight="1">
      <c r="A140" s="1604" t="s">
        <v>101</v>
      </c>
      <c r="B140" s="1604"/>
      <c r="C140" s="1604"/>
      <c r="D140" s="1604"/>
      <c r="E140" s="1604"/>
      <c r="F140" s="1604"/>
      <c r="G140" s="1604"/>
      <c r="H140" s="1604"/>
      <c r="I140" s="1604"/>
      <c r="J140" s="1604"/>
      <c r="N140" s="1192">
        <v>1.0416666666666701E-2</v>
      </c>
      <c r="O140" s="495">
        <v>1.0416666666666701E-2</v>
      </c>
    </row>
    <row r="141" spans="1:232" s="175" customFormat="1" ht="20.100000000000001" customHeight="1">
      <c r="A141" s="486" t="str">
        <f>"-    Phiếu yêu cầu kiểm tra công việc xây dựng số: TGHL-HL-CWI-C&amp;S-"&amp;'2. NK'!D10&amp;"/"&amp;'2. NK'!H10</f>
        <v>-    Phiếu yêu cầu kiểm tra công việc xây dựng số: TGHL-HL-CWI-C&amp;S-B1/800</v>
      </c>
      <c r="B141" s="477"/>
      <c r="C141" s="477"/>
      <c r="D141" s="477"/>
      <c r="E141" s="477"/>
      <c r="F141" s="477"/>
      <c r="G141" s="477"/>
      <c r="H141" s="477"/>
      <c r="I141" s="477"/>
      <c r="J141" s="477"/>
      <c r="K141" s="463"/>
      <c r="L141" s="463"/>
      <c r="M141" s="464"/>
      <c r="N141" s="1192">
        <v>1.38888888888889E-2</v>
      </c>
      <c r="O141" s="495">
        <v>1.38888888888889E-2</v>
      </c>
      <c r="P141" s="464"/>
      <c r="Q141" s="464"/>
      <c r="R141" s="464"/>
      <c r="S141" s="464"/>
    </row>
    <row r="142" spans="1:232" ht="20.100000000000001" customHeight="1">
      <c r="A142" s="1679" t="str">
        <f>'8.BBCT'!A28:J28</f>
        <v>-    Hồ sơ thiết kế bản vẽ thi công đã được phê duyệt.</v>
      </c>
      <c r="B142" s="1679"/>
      <c r="C142" s="1679"/>
      <c r="D142" s="1679"/>
      <c r="E142" s="1679"/>
      <c r="F142" s="1679"/>
      <c r="G142" s="1679"/>
      <c r="H142" s="1679"/>
      <c r="I142" s="1679"/>
      <c r="J142" s="1679"/>
      <c r="O142" s="495"/>
      <c r="P142" s="175"/>
      <c r="Q142" s="175"/>
      <c r="R142" s="175"/>
      <c r="S142" s="175"/>
    </row>
    <row r="143" spans="1:232" s="637" customFormat="1" ht="20.100000000000001" customHeight="1">
      <c r="A143" s="486" t="s">
        <v>104</v>
      </c>
      <c r="B143" s="477"/>
      <c r="C143" s="477"/>
      <c r="D143" s="477"/>
      <c r="E143" s="477"/>
      <c r="F143" s="477"/>
      <c r="G143" s="477"/>
      <c r="H143" s="477"/>
      <c r="I143" s="477"/>
      <c r="J143" s="477"/>
      <c r="K143" s="463"/>
      <c r="L143" s="463"/>
      <c r="M143" s="464"/>
      <c r="N143" s="464"/>
      <c r="O143" s="464"/>
      <c r="P143" s="464"/>
      <c r="Q143" s="464"/>
      <c r="R143" s="464"/>
      <c r="S143" s="464"/>
      <c r="T143" s="487"/>
      <c r="U143" s="487"/>
      <c r="V143" s="487"/>
      <c r="W143" s="487"/>
      <c r="X143" s="487"/>
      <c r="Y143" s="487"/>
      <c r="Z143" s="487"/>
      <c r="AA143" s="487"/>
      <c r="AB143" s="487"/>
      <c r="AC143" s="487"/>
      <c r="AD143" s="487"/>
      <c r="AE143" s="487"/>
      <c r="AF143" s="487"/>
      <c r="AG143" s="487"/>
      <c r="AH143" s="487"/>
      <c r="AI143" s="487"/>
      <c r="AJ143" s="487"/>
      <c r="AK143" s="487"/>
      <c r="AL143" s="487"/>
      <c r="AM143" s="487"/>
      <c r="AN143" s="487"/>
      <c r="AO143" s="487"/>
      <c r="AP143" s="487"/>
      <c r="AQ143" s="487"/>
      <c r="AR143" s="487"/>
      <c r="AS143" s="487"/>
      <c r="AT143" s="487"/>
      <c r="AU143" s="487"/>
      <c r="AV143" s="487"/>
      <c r="AW143" s="487"/>
      <c r="AX143" s="487"/>
      <c r="AY143" s="487"/>
      <c r="AZ143" s="487"/>
      <c r="BA143" s="487"/>
      <c r="BB143" s="487"/>
      <c r="BC143" s="487"/>
      <c r="BD143" s="487"/>
      <c r="BE143" s="487"/>
      <c r="BF143" s="487"/>
      <c r="BG143" s="487"/>
      <c r="BH143" s="487"/>
      <c r="BI143" s="487"/>
      <c r="BJ143" s="487"/>
      <c r="BK143" s="487"/>
      <c r="BL143" s="487"/>
      <c r="BM143" s="487"/>
      <c r="BN143" s="487"/>
      <c r="BO143" s="487"/>
      <c r="BP143" s="487"/>
      <c r="BQ143" s="487"/>
      <c r="BR143" s="487"/>
      <c r="BS143" s="487"/>
      <c r="BT143" s="487"/>
      <c r="BU143" s="487"/>
      <c r="BV143" s="487"/>
      <c r="BW143" s="487"/>
      <c r="BX143" s="487"/>
      <c r="BY143" s="487"/>
      <c r="BZ143" s="487"/>
      <c r="CA143" s="487"/>
      <c r="CB143" s="487"/>
      <c r="CC143" s="487"/>
      <c r="CD143" s="487"/>
      <c r="CE143" s="487"/>
      <c r="CF143" s="487"/>
      <c r="CG143" s="487"/>
      <c r="CH143" s="487"/>
      <c r="CI143" s="487"/>
      <c r="CJ143" s="487"/>
      <c r="CK143" s="487"/>
      <c r="CL143" s="487"/>
      <c r="CM143" s="487"/>
      <c r="CN143" s="487"/>
      <c r="CO143" s="487"/>
      <c r="CP143" s="487"/>
      <c r="CQ143" s="487"/>
      <c r="CR143" s="487"/>
      <c r="CS143" s="487"/>
      <c r="CT143" s="487"/>
      <c r="CU143" s="487"/>
      <c r="CV143" s="487"/>
      <c r="CW143" s="487"/>
      <c r="CX143" s="487"/>
      <c r="CY143" s="487"/>
      <c r="CZ143" s="487"/>
      <c r="DA143" s="487"/>
      <c r="DB143" s="487"/>
      <c r="DC143" s="487"/>
      <c r="DD143" s="487"/>
      <c r="DE143" s="487"/>
      <c r="DF143" s="487"/>
      <c r="DG143" s="487"/>
      <c r="DH143" s="487"/>
      <c r="DI143" s="487"/>
      <c r="DJ143" s="487"/>
      <c r="DK143" s="487"/>
      <c r="DL143" s="487"/>
      <c r="DM143" s="487"/>
      <c r="DN143" s="487"/>
      <c r="DO143" s="487"/>
      <c r="DP143" s="487"/>
      <c r="DQ143" s="487"/>
      <c r="DR143" s="487"/>
      <c r="DS143" s="487"/>
      <c r="DT143" s="487"/>
      <c r="DU143" s="487"/>
      <c r="DV143" s="487"/>
      <c r="DW143" s="487"/>
      <c r="DX143" s="487"/>
      <c r="DY143" s="487"/>
      <c r="DZ143" s="487"/>
      <c r="EA143" s="487"/>
      <c r="EB143" s="487"/>
      <c r="EC143" s="487"/>
      <c r="ED143" s="487"/>
      <c r="EE143" s="487"/>
      <c r="EF143" s="487"/>
      <c r="EG143" s="487"/>
      <c r="EH143" s="487"/>
      <c r="EI143" s="487"/>
      <c r="EJ143" s="487"/>
      <c r="EK143" s="487"/>
      <c r="EL143" s="487"/>
      <c r="EM143" s="487"/>
      <c r="EN143" s="487"/>
      <c r="EO143" s="487"/>
      <c r="EP143" s="487"/>
      <c r="EQ143" s="487"/>
      <c r="ER143" s="487"/>
      <c r="ES143" s="487"/>
      <c r="ET143" s="487"/>
      <c r="EU143" s="487"/>
      <c r="EV143" s="487"/>
      <c r="EW143" s="487"/>
      <c r="EX143" s="487"/>
      <c r="EY143" s="487"/>
      <c r="EZ143" s="487"/>
      <c r="FA143" s="487"/>
      <c r="FB143" s="487"/>
      <c r="FC143" s="487"/>
      <c r="FD143" s="487"/>
      <c r="FE143" s="487"/>
      <c r="FF143" s="487"/>
      <c r="FG143" s="487"/>
      <c r="FH143" s="487"/>
      <c r="FI143" s="487"/>
      <c r="FJ143" s="487"/>
      <c r="FK143" s="487"/>
      <c r="FL143" s="487"/>
      <c r="FM143" s="487"/>
      <c r="FN143" s="487"/>
      <c r="FO143" s="487"/>
      <c r="FP143" s="487"/>
      <c r="FQ143" s="487"/>
      <c r="FR143" s="487"/>
      <c r="FS143" s="487"/>
      <c r="FT143" s="487"/>
      <c r="FU143" s="487"/>
      <c r="FV143" s="487"/>
      <c r="FW143" s="487"/>
      <c r="FX143" s="487"/>
      <c r="FY143" s="487"/>
      <c r="FZ143" s="487"/>
      <c r="GA143" s="487"/>
      <c r="GB143" s="487"/>
      <c r="GC143" s="487"/>
      <c r="GD143" s="487"/>
      <c r="GE143" s="487"/>
      <c r="GF143" s="487"/>
      <c r="GG143" s="487"/>
      <c r="GH143" s="487"/>
      <c r="GI143" s="487"/>
      <c r="GJ143" s="487"/>
      <c r="GK143" s="487"/>
      <c r="GL143" s="487"/>
      <c r="GM143" s="487"/>
      <c r="GN143" s="487"/>
      <c r="GO143" s="487"/>
      <c r="GP143" s="487"/>
      <c r="GQ143" s="487"/>
      <c r="GR143" s="487"/>
      <c r="GS143" s="487"/>
      <c r="GT143" s="487"/>
      <c r="GU143" s="487"/>
      <c r="GV143" s="487"/>
      <c r="GW143" s="487"/>
      <c r="GX143" s="487"/>
      <c r="GY143" s="487"/>
      <c r="GZ143" s="487"/>
      <c r="HA143" s="487"/>
      <c r="HB143" s="487"/>
      <c r="HC143" s="487"/>
      <c r="HD143" s="487"/>
      <c r="HE143" s="487"/>
      <c r="HF143" s="487"/>
      <c r="HG143" s="487"/>
      <c r="HH143" s="487"/>
      <c r="HI143" s="487"/>
      <c r="HJ143" s="487"/>
      <c r="HK143" s="487"/>
      <c r="HL143" s="487"/>
      <c r="HM143" s="487"/>
      <c r="HN143" s="487"/>
      <c r="HO143" s="487"/>
      <c r="HP143" s="487"/>
      <c r="HQ143" s="487"/>
      <c r="HR143" s="487"/>
      <c r="HS143" s="487"/>
      <c r="HT143" s="487"/>
      <c r="HU143" s="487"/>
      <c r="HV143" s="487"/>
      <c r="HW143" s="487"/>
      <c r="HX143" s="487"/>
    </row>
    <row r="144" spans="1:232" s="637" customFormat="1" ht="20.100000000000001" customHeight="1">
      <c r="A144" s="885" t="s">
        <v>1027</v>
      </c>
      <c r="B144" s="477" t="s">
        <v>1028</v>
      </c>
      <c r="C144" s="477"/>
      <c r="D144" s="477"/>
      <c r="E144" s="477"/>
      <c r="F144" s="477"/>
      <c r="G144" s="477"/>
      <c r="H144" s="477"/>
      <c r="I144" s="477"/>
      <c r="J144" s="477"/>
      <c r="K144" s="463"/>
      <c r="L144" s="463"/>
      <c r="M144" s="464"/>
      <c r="N144" s="464"/>
      <c r="O144" s="464"/>
      <c r="P144" s="467"/>
      <c r="Q144" s="464"/>
      <c r="R144" s="487"/>
      <c r="S144" s="487"/>
      <c r="T144" s="487"/>
      <c r="U144" s="489"/>
      <c r="V144" s="489"/>
      <c r="W144" s="489"/>
      <c r="X144" s="489"/>
      <c r="Y144" s="489"/>
      <c r="Z144" s="489"/>
      <c r="AA144" s="489"/>
      <c r="AB144" s="489"/>
      <c r="AC144" s="489"/>
      <c r="AD144" s="489"/>
      <c r="AE144" s="489"/>
      <c r="AF144" s="489"/>
      <c r="AG144" s="489"/>
      <c r="AH144" s="489"/>
      <c r="AI144" s="489"/>
      <c r="AJ144" s="489"/>
      <c r="AK144" s="489"/>
      <c r="AL144" s="489"/>
      <c r="AM144" s="489"/>
      <c r="AN144" s="489"/>
      <c r="AO144" s="489"/>
      <c r="AP144" s="489"/>
      <c r="AQ144" s="489"/>
      <c r="AR144" s="489"/>
      <c r="AS144" s="489"/>
      <c r="AT144" s="489"/>
      <c r="AU144" s="489"/>
      <c r="AV144" s="489"/>
      <c r="AW144" s="489"/>
      <c r="AX144" s="489"/>
      <c r="AY144" s="489"/>
      <c r="AZ144" s="489"/>
      <c r="BA144" s="489"/>
      <c r="BB144" s="489"/>
      <c r="BC144" s="489"/>
      <c r="BD144" s="489"/>
      <c r="BE144" s="489"/>
      <c r="BF144" s="489"/>
      <c r="BG144" s="489"/>
      <c r="BH144" s="489"/>
      <c r="BI144" s="489"/>
      <c r="BJ144" s="489"/>
      <c r="BK144" s="489"/>
      <c r="BL144" s="489"/>
      <c r="BM144" s="489"/>
      <c r="BN144" s="489"/>
      <c r="BO144" s="489"/>
      <c r="BP144" s="489"/>
      <c r="BQ144" s="489"/>
      <c r="BR144" s="489"/>
      <c r="BS144" s="489"/>
      <c r="BT144" s="489"/>
      <c r="BU144" s="489"/>
      <c r="BV144" s="489"/>
      <c r="BW144" s="489"/>
      <c r="BX144" s="489"/>
      <c r="BY144" s="489"/>
      <c r="BZ144" s="489"/>
      <c r="CA144" s="489"/>
      <c r="CB144" s="489"/>
      <c r="CC144" s="489"/>
      <c r="CD144" s="489"/>
      <c r="CE144" s="489"/>
      <c r="CF144" s="489"/>
      <c r="CG144" s="489"/>
      <c r="CH144" s="489"/>
      <c r="CI144" s="489"/>
      <c r="CJ144" s="489"/>
      <c r="CK144" s="489"/>
      <c r="CL144" s="489"/>
      <c r="CM144" s="489"/>
      <c r="CN144" s="489"/>
      <c r="CO144" s="489"/>
      <c r="CP144" s="489"/>
      <c r="CQ144" s="489"/>
      <c r="CR144" s="489"/>
      <c r="CS144" s="489"/>
      <c r="CT144" s="489"/>
      <c r="CU144" s="489"/>
      <c r="CV144" s="489"/>
      <c r="CW144" s="489"/>
      <c r="CX144" s="489"/>
      <c r="CY144" s="489"/>
      <c r="CZ144" s="489"/>
      <c r="DA144" s="489"/>
      <c r="DB144" s="489"/>
      <c r="DC144" s="489"/>
      <c r="DD144" s="489"/>
      <c r="DE144" s="489"/>
      <c r="DF144" s="489"/>
      <c r="DG144" s="489"/>
      <c r="DH144" s="489"/>
      <c r="DI144" s="489"/>
      <c r="DJ144" s="489"/>
      <c r="DK144" s="489"/>
      <c r="DL144" s="489"/>
      <c r="DM144" s="489"/>
      <c r="DN144" s="489"/>
      <c r="DO144" s="489"/>
      <c r="DP144" s="489"/>
      <c r="DQ144" s="489"/>
      <c r="DR144" s="489"/>
      <c r="DS144" s="489"/>
      <c r="DT144" s="489"/>
      <c r="DU144" s="489"/>
      <c r="DV144" s="489"/>
      <c r="DW144" s="489"/>
      <c r="DX144" s="489"/>
      <c r="DY144" s="489"/>
      <c r="DZ144" s="489"/>
      <c r="EA144" s="489"/>
      <c r="EB144" s="489"/>
      <c r="EC144" s="489"/>
      <c r="ED144" s="489"/>
      <c r="EE144" s="489"/>
      <c r="EF144" s="489"/>
      <c r="EG144" s="489"/>
      <c r="EH144" s="489"/>
      <c r="EI144" s="489"/>
      <c r="EJ144" s="489"/>
      <c r="EK144" s="489"/>
      <c r="EL144" s="489"/>
      <c r="EM144" s="489"/>
      <c r="EN144" s="489"/>
      <c r="EO144" s="489"/>
      <c r="EP144" s="489"/>
      <c r="EQ144" s="489"/>
      <c r="ER144" s="489"/>
      <c r="ES144" s="489"/>
      <c r="ET144" s="489"/>
      <c r="EU144" s="489"/>
      <c r="EV144" s="489"/>
      <c r="EW144" s="489"/>
      <c r="EX144" s="489"/>
      <c r="EY144" s="489"/>
      <c r="EZ144" s="489"/>
      <c r="FA144" s="489"/>
      <c r="FB144" s="489"/>
      <c r="FC144" s="489"/>
      <c r="FD144" s="489"/>
      <c r="FE144" s="489"/>
      <c r="FF144" s="489"/>
      <c r="FG144" s="489"/>
      <c r="FH144" s="489"/>
      <c r="FI144" s="489"/>
      <c r="FJ144" s="489"/>
      <c r="FK144" s="489"/>
      <c r="FL144" s="489"/>
      <c r="FM144" s="489"/>
      <c r="FN144" s="489"/>
      <c r="FO144" s="489"/>
      <c r="FP144" s="489"/>
      <c r="FQ144" s="489"/>
      <c r="FR144" s="489"/>
      <c r="FS144" s="489"/>
      <c r="FT144" s="489"/>
      <c r="FU144" s="489"/>
      <c r="FV144" s="489"/>
      <c r="FW144" s="489"/>
      <c r="FX144" s="489"/>
      <c r="FY144" s="489"/>
      <c r="FZ144" s="489"/>
      <c r="GA144" s="489"/>
      <c r="GB144" s="489"/>
      <c r="GC144" s="489"/>
      <c r="GD144" s="489"/>
      <c r="GE144" s="489"/>
      <c r="GF144" s="489"/>
      <c r="GG144" s="489"/>
      <c r="GH144" s="489"/>
      <c r="GI144" s="489"/>
      <c r="GJ144" s="489"/>
      <c r="GK144" s="489"/>
      <c r="GL144" s="489"/>
      <c r="GM144" s="489"/>
      <c r="GN144" s="489"/>
      <c r="GO144" s="489"/>
      <c r="GP144" s="489"/>
      <c r="GQ144" s="489"/>
      <c r="GR144" s="489"/>
      <c r="GS144" s="489"/>
      <c r="GT144" s="489"/>
      <c r="GU144" s="489"/>
      <c r="GV144" s="489"/>
      <c r="GW144" s="489"/>
      <c r="GX144" s="489"/>
      <c r="GY144" s="489"/>
      <c r="GZ144" s="489"/>
      <c r="HA144" s="489"/>
      <c r="HB144" s="489"/>
      <c r="HC144" s="489"/>
      <c r="HD144" s="489"/>
      <c r="HE144" s="489"/>
      <c r="HF144" s="489"/>
      <c r="HG144" s="489"/>
      <c r="HH144" s="489"/>
      <c r="HI144" s="489"/>
      <c r="HJ144" s="489"/>
      <c r="HK144" s="489"/>
      <c r="HL144" s="489"/>
      <c r="HM144" s="489"/>
      <c r="HN144" s="489"/>
      <c r="HO144" s="489"/>
      <c r="HP144" s="489"/>
      <c r="HQ144" s="489"/>
      <c r="HR144" s="489"/>
      <c r="HS144" s="489"/>
      <c r="HT144" s="489"/>
      <c r="HU144" s="489"/>
      <c r="HV144" s="489"/>
      <c r="HW144" s="489"/>
      <c r="HX144" s="487"/>
    </row>
    <row r="145" spans="1:232" s="637" customFormat="1" ht="20.100000000000001" customHeight="1">
      <c r="A145" s="885" t="s">
        <v>1027</v>
      </c>
      <c r="B145" s="477" t="s">
        <v>1029</v>
      </c>
      <c r="C145" s="477"/>
      <c r="D145" s="477"/>
      <c r="E145" s="477"/>
      <c r="F145" s="477"/>
      <c r="G145" s="477"/>
      <c r="H145" s="477"/>
      <c r="I145" s="477"/>
      <c r="J145" s="477"/>
      <c r="K145" s="463"/>
      <c r="L145" s="463"/>
      <c r="M145" s="464"/>
      <c r="N145" s="464"/>
      <c r="O145" s="464"/>
      <c r="P145" s="487"/>
      <c r="Q145" s="487"/>
      <c r="R145" s="487"/>
      <c r="S145" s="487"/>
      <c r="T145" s="477"/>
      <c r="U145" s="489"/>
      <c r="V145" s="489"/>
      <c r="W145" s="489"/>
      <c r="X145" s="489"/>
      <c r="Y145" s="489"/>
      <c r="Z145" s="489"/>
      <c r="AA145" s="489"/>
      <c r="AB145" s="489"/>
      <c r="AC145" s="489"/>
      <c r="AD145" s="489"/>
      <c r="AE145" s="489"/>
      <c r="AF145" s="489"/>
      <c r="AG145" s="489"/>
      <c r="AH145" s="489"/>
      <c r="AI145" s="489"/>
      <c r="AJ145" s="489"/>
      <c r="AK145" s="489"/>
      <c r="AL145" s="489"/>
      <c r="AM145" s="489"/>
      <c r="AN145" s="489"/>
      <c r="AO145" s="489"/>
      <c r="AP145" s="489"/>
      <c r="AQ145" s="489"/>
      <c r="AR145" s="489"/>
      <c r="AS145" s="489"/>
      <c r="AT145" s="489"/>
      <c r="AU145" s="489"/>
      <c r="AV145" s="489"/>
      <c r="AW145" s="489"/>
      <c r="AX145" s="489"/>
      <c r="AY145" s="489"/>
      <c r="AZ145" s="489"/>
      <c r="BA145" s="489"/>
      <c r="BB145" s="489"/>
      <c r="BC145" s="489"/>
      <c r="BD145" s="489"/>
      <c r="BE145" s="489"/>
      <c r="BF145" s="489"/>
      <c r="BG145" s="489"/>
      <c r="BH145" s="489"/>
      <c r="BI145" s="489"/>
      <c r="BJ145" s="489"/>
      <c r="BK145" s="489"/>
      <c r="BL145" s="489"/>
      <c r="BM145" s="489"/>
      <c r="BN145" s="489"/>
      <c r="BO145" s="489"/>
      <c r="BP145" s="489"/>
      <c r="BQ145" s="489"/>
      <c r="BR145" s="489"/>
      <c r="BS145" s="489"/>
      <c r="BT145" s="489"/>
      <c r="BU145" s="489"/>
      <c r="BV145" s="489"/>
      <c r="BW145" s="489"/>
      <c r="BX145" s="489"/>
      <c r="BY145" s="489"/>
      <c r="BZ145" s="489"/>
      <c r="CA145" s="489"/>
      <c r="CB145" s="489"/>
      <c r="CC145" s="489"/>
      <c r="CD145" s="489"/>
      <c r="CE145" s="489"/>
      <c r="CF145" s="489"/>
      <c r="CG145" s="489"/>
      <c r="CH145" s="489"/>
      <c r="CI145" s="489"/>
      <c r="CJ145" s="489"/>
      <c r="CK145" s="489"/>
      <c r="CL145" s="489"/>
      <c r="CM145" s="489"/>
      <c r="CN145" s="489"/>
      <c r="CO145" s="489"/>
      <c r="CP145" s="489"/>
      <c r="CQ145" s="489"/>
      <c r="CR145" s="489"/>
      <c r="CS145" s="489"/>
      <c r="CT145" s="489"/>
      <c r="CU145" s="489"/>
      <c r="CV145" s="489"/>
      <c r="CW145" s="489"/>
      <c r="CX145" s="489"/>
      <c r="CY145" s="489"/>
      <c r="CZ145" s="489"/>
      <c r="DA145" s="489"/>
      <c r="DB145" s="489"/>
      <c r="DC145" s="489"/>
      <c r="DD145" s="489"/>
      <c r="DE145" s="489"/>
      <c r="DF145" s="489"/>
      <c r="DG145" s="489"/>
      <c r="DH145" s="489"/>
      <c r="DI145" s="489"/>
      <c r="DJ145" s="489"/>
      <c r="DK145" s="489"/>
      <c r="DL145" s="489"/>
      <c r="DM145" s="489"/>
      <c r="DN145" s="489"/>
      <c r="DO145" s="489"/>
      <c r="DP145" s="489"/>
      <c r="DQ145" s="489"/>
      <c r="DR145" s="489"/>
      <c r="DS145" s="489"/>
      <c r="DT145" s="489"/>
      <c r="DU145" s="489"/>
      <c r="DV145" s="489"/>
      <c r="DW145" s="489"/>
      <c r="DX145" s="489"/>
      <c r="DY145" s="489"/>
      <c r="DZ145" s="489"/>
      <c r="EA145" s="489"/>
      <c r="EB145" s="489"/>
      <c r="EC145" s="489"/>
      <c r="ED145" s="489"/>
      <c r="EE145" s="489"/>
      <c r="EF145" s="489"/>
      <c r="EG145" s="489"/>
      <c r="EH145" s="489"/>
      <c r="EI145" s="489"/>
      <c r="EJ145" s="489"/>
      <c r="EK145" s="489"/>
      <c r="EL145" s="489"/>
      <c r="EM145" s="489"/>
      <c r="EN145" s="489"/>
      <c r="EO145" s="489"/>
      <c r="EP145" s="489"/>
      <c r="EQ145" s="489"/>
      <c r="ER145" s="489"/>
      <c r="ES145" s="489"/>
      <c r="ET145" s="489"/>
      <c r="EU145" s="489"/>
      <c r="EV145" s="489"/>
      <c r="EW145" s="489"/>
      <c r="EX145" s="489"/>
      <c r="EY145" s="489"/>
      <c r="EZ145" s="489"/>
      <c r="FA145" s="489"/>
      <c r="FB145" s="489"/>
      <c r="FC145" s="489"/>
      <c r="FD145" s="489"/>
      <c r="FE145" s="489"/>
      <c r="FF145" s="489"/>
      <c r="FG145" s="489"/>
      <c r="FH145" s="489"/>
      <c r="FI145" s="489"/>
      <c r="FJ145" s="489"/>
      <c r="FK145" s="489"/>
      <c r="FL145" s="489"/>
      <c r="FM145" s="489"/>
      <c r="FN145" s="489"/>
      <c r="FO145" s="489"/>
      <c r="FP145" s="489"/>
      <c r="FQ145" s="489"/>
      <c r="FR145" s="489"/>
      <c r="FS145" s="489"/>
      <c r="FT145" s="489"/>
      <c r="FU145" s="489"/>
      <c r="FV145" s="489"/>
      <c r="FW145" s="489"/>
      <c r="FX145" s="489"/>
      <c r="FY145" s="489"/>
      <c r="FZ145" s="489"/>
      <c r="GA145" s="489"/>
      <c r="GB145" s="489"/>
      <c r="GC145" s="489"/>
      <c r="GD145" s="489"/>
      <c r="GE145" s="489"/>
      <c r="GF145" s="489"/>
      <c r="GG145" s="489"/>
      <c r="GH145" s="489"/>
      <c r="GI145" s="489"/>
      <c r="GJ145" s="489"/>
      <c r="GK145" s="489"/>
      <c r="GL145" s="489"/>
      <c r="GM145" s="489"/>
      <c r="GN145" s="489"/>
      <c r="GO145" s="489"/>
      <c r="GP145" s="489"/>
      <c r="GQ145" s="489"/>
      <c r="GR145" s="489"/>
      <c r="GS145" s="489"/>
      <c r="GT145" s="489"/>
      <c r="GU145" s="489"/>
      <c r="GV145" s="489"/>
      <c r="GW145" s="489"/>
      <c r="GX145" s="489"/>
      <c r="GY145" s="489"/>
      <c r="GZ145" s="489"/>
      <c r="HA145" s="489"/>
      <c r="HB145" s="489"/>
      <c r="HC145" s="489"/>
      <c r="HD145" s="489"/>
      <c r="HE145" s="489"/>
      <c r="HF145" s="489"/>
      <c r="HG145" s="489"/>
      <c r="HH145" s="489"/>
      <c r="HI145" s="489"/>
      <c r="HJ145" s="489"/>
      <c r="HK145" s="489"/>
      <c r="HL145" s="489"/>
      <c r="HM145" s="489"/>
      <c r="HN145" s="489"/>
      <c r="HO145" s="489"/>
      <c r="HP145" s="489"/>
      <c r="HQ145" s="489"/>
      <c r="HR145" s="489"/>
      <c r="HS145" s="489"/>
      <c r="HT145" s="489"/>
      <c r="HU145" s="489"/>
      <c r="HV145" s="489"/>
      <c r="HW145" s="489"/>
      <c r="HX145" s="487"/>
    </row>
    <row r="146" spans="1:232" s="637" customFormat="1" ht="19.5" customHeight="1">
      <c r="A146" s="885" t="s">
        <v>1027</v>
      </c>
      <c r="B146" s="1602" t="s">
        <v>1041</v>
      </c>
      <c r="C146" s="1602"/>
      <c r="D146" s="1602"/>
      <c r="E146" s="1602"/>
      <c r="F146" s="1602"/>
      <c r="G146" s="1602"/>
      <c r="H146" s="1602"/>
      <c r="I146" s="1602"/>
      <c r="J146" s="1602"/>
      <c r="K146" s="463"/>
      <c r="L146" s="463"/>
      <c r="M146" s="464"/>
      <c r="N146" s="464"/>
      <c r="O146" s="495"/>
      <c r="P146" s="492"/>
      <c r="Q146" s="492"/>
      <c r="R146" s="492"/>
      <c r="S146" s="492"/>
      <c r="T146" s="492"/>
      <c r="U146" s="489"/>
      <c r="V146" s="489"/>
      <c r="W146" s="489"/>
      <c r="X146" s="489"/>
      <c r="Y146" s="489"/>
      <c r="Z146" s="489"/>
      <c r="AA146" s="489"/>
      <c r="AB146" s="489"/>
      <c r="AC146" s="489"/>
      <c r="AD146" s="489"/>
      <c r="AE146" s="489"/>
      <c r="AF146" s="489"/>
      <c r="AG146" s="489"/>
      <c r="AH146" s="489"/>
      <c r="AI146" s="489"/>
      <c r="AJ146" s="489"/>
      <c r="AK146" s="489"/>
      <c r="AL146" s="489"/>
      <c r="AM146" s="489"/>
      <c r="AN146" s="489"/>
      <c r="AO146" s="489"/>
      <c r="AP146" s="489"/>
      <c r="AQ146" s="489"/>
      <c r="AR146" s="489"/>
      <c r="AS146" s="489"/>
      <c r="AT146" s="489"/>
      <c r="AU146" s="489"/>
      <c r="AV146" s="489"/>
      <c r="AW146" s="489"/>
      <c r="AX146" s="489"/>
      <c r="AY146" s="489"/>
      <c r="AZ146" s="489"/>
      <c r="BA146" s="489"/>
      <c r="BB146" s="489"/>
      <c r="BC146" s="489"/>
      <c r="BD146" s="489"/>
      <c r="BE146" s="489"/>
      <c r="BF146" s="489"/>
      <c r="BG146" s="489"/>
      <c r="BH146" s="489"/>
      <c r="BI146" s="489"/>
      <c r="BJ146" s="489"/>
      <c r="BK146" s="489"/>
      <c r="BL146" s="489"/>
      <c r="BM146" s="489"/>
      <c r="BN146" s="489"/>
      <c r="BO146" s="489"/>
      <c r="BP146" s="489"/>
      <c r="BQ146" s="489"/>
      <c r="BR146" s="489"/>
      <c r="BS146" s="489"/>
      <c r="BT146" s="489"/>
      <c r="BU146" s="489"/>
      <c r="BV146" s="489"/>
      <c r="BW146" s="489"/>
      <c r="BX146" s="489"/>
      <c r="BY146" s="489"/>
      <c r="BZ146" s="489"/>
      <c r="CA146" s="489"/>
      <c r="CB146" s="489"/>
      <c r="CC146" s="489"/>
      <c r="CD146" s="489"/>
      <c r="CE146" s="489"/>
      <c r="CF146" s="489"/>
      <c r="CG146" s="489"/>
      <c r="CH146" s="489"/>
      <c r="CI146" s="489"/>
      <c r="CJ146" s="489"/>
      <c r="CK146" s="489"/>
      <c r="CL146" s="489"/>
      <c r="CM146" s="489"/>
      <c r="CN146" s="489"/>
      <c r="CO146" s="489"/>
      <c r="CP146" s="489"/>
      <c r="CQ146" s="489"/>
      <c r="CR146" s="489"/>
      <c r="CS146" s="489"/>
      <c r="CT146" s="489"/>
      <c r="CU146" s="489"/>
      <c r="CV146" s="489"/>
      <c r="CW146" s="489"/>
      <c r="CX146" s="489"/>
      <c r="CY146" s="489"/>
      <c r="CZ146" s="489"/>
      <c r="DA146" s="489"/>
      <c r="DB146" s="489"/>
      <c r="DC146" s="489"/>
      <c r="DD146" s="489"/>
      <c r="DE146" s="489"/>
      <c r="DF146" s="489"/>
      <c r="DG146" s="489"/>
      <c r="DH146" s="489"/>
      <c r="DI146" s="489"/>
      <c r="DJ146" s="489"/>
      <c r="DK146" s="489"/>
      <c r="DL146" s="489"/>
      <c r="DM146" s="489"/>
      <c r="DN146" s="489"/>
      <c r="DO146" s="489"/>
      <c r="DP146" s="489"/>
      <c r="DQ146" s="489"/>
      <c r="DR146" s="489"/>
      <c r="DS146" s="489"/>
      <c r="DT146" s="489"/>
      <c r="DU146" s="489"/>
      <c r="DV146" s="489"/>
      <c r="DW146" s="489"/>
      <c r="DX146" s="489"/>
      <c r="DY146" s="489"/>
      <c r="DZ146" s="489"/>
      <c r="EA146" s="489"/>
      <c r="EB146" s="489"/>
      <c r="EC146" s="489"/>
      <c r="ED146" s="489"/>
      <c r="EE146" s="489"/>
      <c r="EF146" s="489"/>
      <c r="EG146" s="489"/>
      <c r="EH146" s="489"/>
      <c r="EI146" s="489"/>
      <c r="EJ146" s="489"/>
      <c r="EK146" s="489"/>
      <c r="EL146" s="489"/>
      <c r="EM146" s="489"/>
      <c r="EN146" s="489"/>
      <c r="EO146" s="489"/>
      <c r="EP146" s="489"/>
      <c r="EQ146" s="489"/>
      <c r="ER146" s="489"/>
      <c r="ES146" s="489"/>
      <c r="ET146" s="489"/>
      <c r="EU146" s="489"/>
      <c r="EV146" s="489"/>
      <c r="EW146" s="489"/>
      <c r="EX146" s="489"/>
      <c r="EY146" s="489"/>
      <c r="EZ146" s="489"/>
      <c r="FA146" s="489"/>
      <c r="FB146" s="489"/>
      <c r="FC146" s="489"/>
      <c r="FD146" s="489"/>
      <c r="FE146" s="489"/>
      <c r="FF146" s="489"/>
      <c r="FG146" s="489"/>
      <c r="FH146" s="489"/>
      <c r="FI146" s="489"/>
      <c r="FJ146" s="489"/>
      <c r="FK146" s="489"/>
      <c r="FL146" s="489"/>
      <c r="FM146" s="489"/>
      <c r="FN146" s="489"/>
      <c r="FO146" s="489"/>
      <c r="FP146" s="489"/>
      <c r="FQ146" s="489"/>
      <c r="FR146" s="489"/>
      <c r="FS146" s="489"/>
      <c r="FT146" s="489"/>
      <c r="FU146" s="489"/>
      <c r="FV146" s="489"/>
      <c r="FW146" s="489"/>
      <c r="FX146" s="489"/>
      <c r="FY146" s="489"/>
      <c r="FZ146" s="489"/>
      <c r="GA146" s="489"/>
      <c r="GB146" s="489"/>
      <c r="GC146" s="489"/>
      <c r="GD146" s="489"/>
      <c r="GE146" s="489"/>
      <c r="GF146" s="489"/>
      <c r="GG146" s="489"/>
      <c r="GH146" s="489"/>
      <c r="GI146" s="489"/>
      <c r="GJ146" s="489"/>
      <c r="GK146" s="489"/>
      <c r="GL146" s="489"/>
      <c r="GM146" s="489"/>
      <c r="GN146" s="489"/>
      <c r="GO146" s="489"/>
      <c r="GP146" s="489"/>
      <c r="GQ146" s="489"/>
      <c r="GR146" s="489"/>
      <c r="GS146" s="489"/>
      <c r="GT146" s="489"/>
      <c r="GU146" s="489"/>
      <c r="GV146" s="489"/>
      <c r="GW146" s="489"/>
      <c r="GX146" s="489"/>
      <c r="GY146" s="489"/>
      <c r="GZ146" s="489"/>
      <c r="HA146" s="489"/>
      <c r="HB146" s="489"/>
      <c r="HC146" s="489"/>
      <c r="HD146" s="489"/>
      <c r="HE146" s="489"/>
      <c r="HF146" s="489"/>
      <c r="HG146" s="489"/>
      <c r="HH146" s="489"/>
      <c r="HI146" s="489"/>
      <c r="HJ146" s="489"/>
      <c r="HK146" s="489"/>
      <c r="HL146" s="489"/>
      <c r="HM146" s="489"/>
      <c r="HN146" s="489"/>
      <c r="HO146" s="489"/>
      <c r="HP146" s="489"/>
      <c r="HQ146" s="489"/>
      <c r="HR146" s="489"/>
      <c r="HS146" s="489"/>
      <c r="HT146" s="489"/>
      <c r="HU146" s="489"/>
      <c r="HV146" s="489"/>
      <c r="HW146" s="489"/>
      <c r="HX146" s="487"/>
    </row>
    <row r="147" spans="1:232" s="637" customFormat="1" ht="19.5" customHeight="1">
      <c r="A147" s="885" t="s">
        <v>1027</v>
      </c>
      <c r="B147" s="1602" t="s">
        <v>1039</v>
      </c>
      <c r="C147" s="1602"/>
      <c r="D147" s="1602"/>
      <c r="E147" s="1602"/>
      <c r="F147" s="1602"/>
      <c r="G147" s="1602"/>
      <c r="H147" s="1602"/>
      <c r="I147" s="1602"/>
      <c r="J147" s="1602"/>
      <c r="K147" s="463"/>
      <c r="L147" s="463"/>
      <c r="M147" s="464"/>
      <c r="N147" s="464"/>
      <c r="O147" s="504"/>
      <c r="P147" s="492"/>
      <c r="Q147" s="492"/>
      <c r="R147" s="492"/>
      <c r="S147" s="492"/>
      <c r="T147" s="492"/>
      <c r="U147" s="489"/>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89"/>
      <c r="BH147" s="489"/>
      <c r="BI147" s="489"/>
      <c r="BJ147" s="489"/>
      <c r="BK147" s="489"/>
      <c r="BL147" s="489"/>
      <c r="BM147" s="489"/>
      <c r="BN147" s="489"/>
      <c r="BO147" s="489"/>
      <c r="BP147" s="489"/>
      <c r="BQ147" s="489"/>
      <c r="BR147" s="489"/>
      <c r="BS147" s="489"/>
      <c r="BT147" s="489"/>
      <c r="BU147" s="489"/>
      <c r="BV147" s="489"/>
      <c r="BW147" s="489"/>
      <c r="BX147" s="489"/>
      <c r="BY147" s="489"/>
      <c r="BZ147" s="489"/>
      <c r="CA147" s="489"/>
      <c r="CB147" s="489"/>
      <c r="CC147" s="489"/>
      <c r="CD147" s="489"/>
      <c r="CE147" s="489"/>
      <c r="CF147" s="489"/>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89"/>
      <c r="DN147" s="489"/>
      <c r="DO147" s="489"/>
      <c r="DP147" s="489"/>
      <c r="DQ147" s="489"/>
      <c r="DR147" s="489"/>
      <c r="DS147" s="489"/>
      <c r="DT147" s="489"/>
      <c r="DU147" s="489"/>
      <c r="DV147" s="489"/>
      <c r="DW147" s="489"/>
      <c r="DX147" s="489"/>
      <c r="DY147" s="489"/>
      <c r="DZ147" s="489"/>
      <c r="EA147" s="489"/>
      <c r="EB147" s="489"/>
      <c r="EC147" s="489"/>
      <c r="ED147" s="489"/>
      <c r="EE147" s="489"/>
      <c r="EF147" s="489"/>
      <c r="EG147" s="489"/>
      <c r="EH147" s="489"/>
      <c r="EI147" s="489"/>
      <c r="EJ147" s="489"/>
      <c r="EK147" s="489"/>
      <c r="EL147" s="489"/>
      <c r="EM147" s="489"/>
      <c r="EN147" s="489"/>
      <c r="EO147" s="489"/>
      <c r="EP147" s="489"/>
      <c r="EQ147" s="489"/>
      <c r="ER147" s="489"/>
      <c r="ES147" s="489"/>
      <c r="ET147" s="489"/>
      <c r="EU147" s="489"/>
      <c r="EV147" s="489"/>
      <c r="EW147" s="489"/>
      <c r="EX147" s="489"/>
      <c r="EY147" s="489"/>
      <c r="EZ147" s="489"/>
      <c r="FA147" s="489"/>
      <c r="FB147" s="489"/>
      <c r="FC147" s="489"/>
      <c r="FD147" s="489"/>
      <c r="FE147" s="489"/>
      <c r="FF147" s="489"/>
      <c r="FG147" s="489"/>
      <c r="FH147" s="489"/>
      <c r="FI147" s="489"/>
      <c r="FJ147" s="489"/>
      <c r="FK147" s="489"/>
      <c r="FL147" s="489"/>
      <c r="FM147" s="489"/>
      <c r="FN147" s="489"/>
      <c r="FO147" s="489"/>
      <c r="FP147" s="489"/>
      <c r="FQ147" s="489"/>
      <c r="FR147" s="489"/>
      <c r="FS147" s="489"/>
      <c r="FT147" s="489"/>
      <c r="FU147" s="489"/>
      <c r="FV147" s="489"/>
      <c r="FW147" s="489"/>
      <c r="FX147" s="489"/>
      <c r="FY147" s="489"/>
      <c r="FZ147" s="489"/>
      <c r="GA147" s="489"/>
      <c r="GB147" s="489"/>
      <c r="GC147" s="489"/>
      <c r="GD147" s="489"/>
      <c r="GE147" s="489"/>
      <c r="GF147" s="489"/>
      <c r="GG147" s="489"/>
      <c r="GH147" s="489"/>
      <c r="GI147" s="489"/>
      <c r="GJ147" s="489"/>
      <c r="GK147" s="489"/>
      <c r="GL147" s="489"/>
      <c r="GM147" s="489"/>
      <c r="GN147" s="489"/>
      <c r="GO147" s="489"/>
      <c r="GP147" s="489"/>
      <c r="GQ147" s="489"/>
      <c r="GR147" s="489"/>
      <c r="GS147" s="489"/>
      <c r="GT147" s="489"/>
      <c r="GU147" s="489"/>
      <c r="GV147" s="489"/>
      <c r="GW147" s="489"/>
      <c r="GX147" s="489"/>
      <c r="GY147" s="489"/>
      <c r="GZ147" s="489"/>
      <c r="HA147" s="489"/>
      <c r="HB147" s="489"/>
      <c r="HC147" s="489"/>
      <c r="HD147" s="489"/>
      <c r="HE147" s="489"/>
      <c r="HF147" s="489"/>
      <c r="HG147" s="489"/>
      <c r="HH147" s="489"/>
      <c r="HI147" s="489"/>
      <c r="HJ147" s="489"/>
      <c r="HK147" s="489"/>
      <c r="HL147" s="489"/>
      <c r="HM147" s="489"/>
      <c r="HN147" s="489"/>
      <c r="HO147" s="489"/>
      <c r="HP147" s="489"/>
      <c r="HQ147" s="489"/>
      <c r="HR147" s="489"/>
      <c r="HS147" s="489"/>
      <c r="HT147" s="489"/>
      <c r="HU147" s="489"/>
      <c r="HV147" s="489"/>
      <c r="HW147" s="489"/>
      <c r="HX147" s="487"/>
    </row>
    <row r="148" spans="1:232" s="637" customFormat="1" ht="19.5" customHeight="1">
      <c r="A148" s="885" t="s">
        <v>1027</v>
      </c>
      <c r="B148" s="1602" t="s">
        <v>1036</v>
      </c>
      <c r="C148" s="1602"/>
      <c r="D148" s="1602"/>
      <c r="E148" s="1602"/>
      <c r="F148" s="1602"/>
      <c r="G148" s="1602"/>
      <c r="H148" s="1602"/>
      <c r="I148" s="1602"/>
      <c r="J148" s="1602"/>
      <c r="K148" s="463"/>
      <c r="L148" s="463"/>
      <c r="M148" s="464"/>
      <c r="N148" s="464"/>
      <c r="O148" s="406"/>
      <c r="P148" s="492"/>
      <c r="Q148" s="492"/>
      <c r="R148" s="492"/>
      <c r="S148" s="492"/>
      <c r="T148" s="492"/>
      <c r="U148" s="489"/>
      <c r="V148" s="489"/>
      <c r="W148" s="489"/>
      <c r="X148" s="489"/>
      <c r="Y148" s="489"/>
      <c r="Z148" s="489"/>
      <c r="AA148" s="489"/>
      <c r="AB148" s="489"/>
      <c r="AC148" s="489"/>
      <c r="AD148" s="489"/>
      <c r="AE148" s="489"/>
      <c r="AF148" s="489"/>
      <c r="AG148" s="489"/>
      <c r="AH148" s="489"/>
      <c r="AI148" s="489"/>
      <c r="AJ148" s="489"/>
      <c r="AK148" s="489"/>
      <c r="AL148" s="489"/>
      <c r="AM148" s="489"/>
      <c r="AN148" s="489"/>
      <c r="AO148" s="489"/>
      <c r="AP148" s="489"/>
      <c r="AQ148" s="489"/>
      <c r="AR148" s="489"/>
      <c r="AS148" s="489"/>
      <c r="AT148" s="489"/>
      <c r="AU148" s="489"/>
      <c r="AV148" s="489"/>
      <c r="AW148" s="489"/>
      <c r="AX148" s="489"/>
      <c r="AY148" s="489"/>
      <c r="AZ148" s="489"/>
      <c r="BA148" s="489"/>
      <c r="BB148" s="489"/>
      <c r="BC148" s="489"/>
      <c r="BD148" s="489"/>
      <c r="BE148" s="489"/>
      <c r="BF148" s="489"/>
      <c r="BG148" s="489"/>
      <c r="BH148" s="489"/>
      <c r="BI148" s="489"/>
      <c r="BJ148" s="489"/>
      <c r="BK148" s="489"/>
      <c r="BL148" s="489"/>
      <c r="BM148" s="489"/>
      <c r="BN148" s="489"/>
      <c r="BO148" s="489"/>
      <c r="BP148" s="489"/>
      <c r="BQ148" s="489"/>
      <c r="BR148" s="489"/>
      <c r="BS148" s="489"/>
      <c r="BT148" s="489"/>
      <c r="BU148" s="489"/>
      <c r="BV148" s="489"/>
      <c r="BW148" s="489"/>
      <c r="BX148" s="489"/>
      <c r="BY148" s="489"/>
      <c r="BZ148" s="489"/>
      <c r="CA148" s="489"/>
      <c r="CB148" s="489"/>
      <c r="CC148" s="489"/>
      <c r="CD148" s="489"/>
      <c r="CE148" s="489"/>
      <c r="CF148" s="489"/>
      <c r="CG148" s="489"/>
      <c r="CH148" s="489"/>
      <c r="CI148" s="489"/>
      <c r="CJ148" s="489"/>
      <c r="CK148" s="489"/>
      <c r="CL148" s="489"/>
      <c r="CM148" s="489"/>
      <c r="CN148" s="489"/>
      <c r="CO148" s="489"/>
      <c r="CP148" s="489"/>
      <c r="CQ148" s="489"/>
      <c r="CR148" s="489"/>
      <c r="CS148" s="489"/>
      <c r="CT148" s="489"/>
      <c r="CU148" s="489"/>
      <c r="CV148" s="489"/>
      <c r="CW148" s="489"/>
      <c r="CX148" s="489"/>
      <c r="CY148" s="489"/>
      <c r="CZ148" s="489"/>
      <c r="DA148" s="489"/>
      <c r="DB148" s="489"/>
      <c r="DC148" s="489"/>
      <c r="DD148" s="489"/>
      <c r="DE148" s="489"/>
      <c r="DF148" s="489"/>
      <c r="DG148" s="489"/>
      <c r="DH148" s="489"/>
      <c r="DI148" s="489"/>
      <c r="DJ148" s="489"/>
      <c r="DK148" s="489"/>
      <c r="DL148" s="489"/>
      <c r="DM148" s="489"/>
      <c r="DN148" s="489"/>
      <c r="DO148" s="489"/>
      <c r="DP148" s="489"/>
      <c r="DQ148" s="489"/>
      <c r="DR148" s="489"/>
      <c r="DS148" s="489"/>
      <c r="DT148" s="489"/>
      <c r="DU148" s="489"/>
      <c r="DV148" s="489"/>
      <c r="DW148" s="489"/>
      <c r="DX148" s="489"/>
      <c r="DY148" s="489"/>
      <c r="DZ148" s="489"/>
      <c r="EA148" s="489"/>
      <c r="EB148" s="489"/>
      <c r="EC148" s="489"/>
      <c r="ED148" s="489"/>
      <c r="EE148" s="489"/>
      <c r="EF148" s="489"/>
      <c r="EG148" s="489"/>
      <c r="EH148" s="489"/>
      <c r="EI148" s="489"/>
      <c r="EJ148" s="489"/>
      <c r="EK148" s="489"/>
      <c r="EL148" s="489"/>
      <c r="EM148" s="489"/>
      <c r="EN148" s="489"/>
      <c r="EO148" s="489"/>
      <c r="EP148" s="489"/>
      <c r="EQ148" s="489"/>
      <c r="ER148" s="489"/>
      <c r="ES148" s="489"/>
      <c r="ET148" s="489"/>
      <c r="EU148" s="489"/>
      <c r="EV148" s="489"/>
      <c r="EW148" s="489"/>
      <c r="EX148" s="489"/>
      <c r="EY148" s="489"/>
      <c r="EZ148" s="489"/>
      <c r="FA148" s="489"/>
      <c r="FB148" s="489"/>
      <c r="FC148" s="489"/>
      <c r="FD148" s="489"/>
      <c r="FE148" s="489"/>
      <c r="FF148" s="489"/>
      <c r="FG148" s="489"/>
      <c r="FH148" s="489"/>
      <c r="FI148" s="489"/>
      <c r="FJ148" s="489"/>
      <c r="FK148" s="489"/>
      <c r="FL148" s="489"/>
      <c r="FM148" s="489"/>
      <c r="FN148" s="489"/>
      <c r="FO148" s="489"/>
      <c r="FP148" s="489"/>
      <c r="FQ148" s="489"/>
      <c r="FR148" s="489"/>
      <c r="FS148" s="489"/>
      <c r="FT148" s="489"/>
      <c r="FU148" s="489"/>
      <c r="FV148" s="489"/>
      <c r="FW148" s="489"/>
      <c r="FX148" s="489"/>
      <c r="FY148" s="489"/>
      <c r="FZ148" s="489"/>
      <c r="GA148" s="489"/>
      <c r="GB148" s="489"/>
      <c r="GC148" s="489"/>
      <c r="GD148" s="489"/>
      <c r="GE148" s="489"/>
      <c r="GF148" s="489"/>
      <c r="GG148" s="489"/>
      <c r="GH148" s="489"/>
      <c r="GI148" s="489"/>
      <c r="GJ148" s="489"/>
      <c r="GK148" s="489"/>
      <c r="GL148" s="489"/>
      <c r="GM148" s="489"/>
      <c r="GN148" s="489"/>
      <c r="GO148" s="489"/>
      <c r="GP148" s="489"/>
      <c r="GQ148" s="489"/>
      <c r="GR148" s="489"/>
      <c r="GS148" s="489"/>
      <c r="GT148" s="489"/>
      <c r="GU148" s="489"/>
      <c r="GV148" s="489"/>
      <c r="GW148" s="489"/>
      <c r="GX148" s="489"/>
      <c r="GY148" s="489"/>
      <c r="GZ148" s="489"/>
      <c r="HA148" s="489"/>
      <c r="HB148" s="489"/>
      <c r="HC148" s="489"/>
      <c r="HD148" s="489"/>
      <c r="HE148" s="489"/>
      <c r="HF148" s="489"/>
      <c r="HG148" s="489"/>
      <c r="HH148" s="489"/>
      <c r="HI148" s="489"/>
      <c r="HJ148" s="489"/>
      <c r="HK148" s="489"/>
      <c r="HL148" s="489"/>
      <c r="HM148" s="489"/>
      <c r="HN148" s="489"/>
      <c r="HO148" s="489"/>
      <c r="HP148" s="489"/>
      <c r="HQ148" s="489"/>
      <c r="HR148" s="489"/>
      <c r="HS148" s="489"/>
      <c r="HT148" s="489"/>
      <c r="HU148" s="489"/>
      <c r="HV148" s="489"/>
      <c r="HW148" s="489"/>
      <c r="HX148" s="487"/>
    </row>
    <row r="149" spans="1:232" s="637" customFormat="1" ht="19.5" customHeight="1">
      <c r="A149" s="885" t="s">
        <v>1027</v>
      </c>
      <c r="B149" s="1602" t="s">
        <v>1045</v>
      </c>
      <c r="C149" s="1602"/>
      <c r="D149" s="1602"/>
      <c r="E149" s="1602"/>
      <c r="F149" s="1602"/>
      <c r="G149" s="1602"/>
      <c r="H149" s="1602"/>
      <c r="I149" s="1602"/>
      <c r="J149" s="1602"/>
      <c r="K149" s="463"/>
      <c r="L149" s="463"/>
      <c r="M149" s="464"/>
      <c r="N149" s="464"/>
      <c r="O149" s="406"/>
      <c r="P149" s="492"/>
      <c r="Q149" s="492"/>
      <c r="R149" s="492"/>
      <c r="S149" s="492"/>
      <c r="T149" s="492"/>
      <c r="U149" s="489"/>
      <c r="V149" s="489"/>
      <c r="W149" s="489"/>
      <c r="X149" s="489"/>
      <c r="Y149" s="489"/>
      <c r="Z149" s="489"/>
      <c r="AA149" s="489"/>
      <c r="AB149" s="489"/>
      <c r="AC149" s="489"/>
      <c r="AD149" s="489"/>
      <c r="AE149" s="489"/>
      <c r="AF149" s="489"/>
      <c r="AG149" s="489"/>
      <c r="AH149" s="489"/>
      <c r="AI149" s="489"/>
      <c r="AJ149" s="489"/>
      <c r="AK149" s="489"/>
      <c r="AL149" s="489"/>
      <c r="AM149" s="489"/>
      <c r="AN149" s="489"/>
      <c r="AO149" s="489"/>
      <c r="AP149" s="489"/>
      <c r="AQ149" s="489"/>
      <c r="AR149" s="489"/>
      <c r="AS149" s="489"/>
      <c r="AT149" s="489"/>
      <c r="AU149" s="489"/>
      <c r="AV149" s="489"/>
      <c r="AW149" s="489"/>
      <c r="AX149" s="489"/>
      <c r="AY149" s="489"/>
      <c r="AZ149" s="489"/>
      <c r="BA149" s="489"/>
      <c r="BB149" s="489"/>
      <c r="BC149" s="489"/>
      <c r="BD149" s="489"/>
      <c r="BE149" s="489"/>
      <c r="BF149" s="489"/>
      <c r="BG149" s="489"/>
      <c r="BH149" s="489"/>
      <c r="BI149" s="489"/>
      <c r="BJ149" s="489"/>
      <c r="BK149" s="489"/>
      <c r="BL149" s="489"/>
      <c r="BM149" s="489"/>
      <c r="BN149" s="489"/>
      <c r="BO149" s="489"/>
      <c r="BP149" s="489"/>
      <c r="BQ149" s="489"/>
      <c r="BR149" s="489"/>
      <c r="BS149" s="489"/>
      <c r="BT149" s="489"/>
      <c r="BU149" s="489"/>
      <c r="BV149" s="489"/>
      <c r="BW149" s="489"/>
      <c r="BX149" s="489"/>
      <c r="BY149" s="489"/>
      <c r="BZ149" s="489"/>
      <c r="CA149" s="489"/>
      <c r="CB149" s="489"/>
      <c r="CC149" s="489"/>
      <c r="CD149" s="489"/>
      <c r="CE149" s="489"/>
      <c r="CF149" s="489"/>
      <c r="CG149" s="489"/>
      <c r="CH149" s="489"/>
      <c r="CI149" s="489"/>
      <c r="CJ149" s="489"/>
      <c r="CK149" s="489"/>
      <c r="CL149" s="489"/>
      <c r="CM149" s="489"/>
      <c r="CN149" s="489"/>
      <c r="CO149" s="489"/>
      <c r="CP149" s="489"/>
      <c r="CQ149" s="489"/>
      <c r="CR149" s="489"/>
      <c r="CS149" s="489"/>
      <c r="CT149" s="489"/>
      <c r="CU149" s="489"/>
      <c r="CV149" s="489"/>
      <c r="CW149" s="489"/>
      <c r="CX149" s="489"/>
      <c r="CY149" s="489"/>
      <c r="CZ149" s="489"/>
      <c r="DA149" s="489"/>
      <c r="DB149" s="489"/>
      <c r="DC149" s="489"/>
      <c r="DD149" s="489"/>
      <c r="DE149" s="489"/>
      <c r="DF149" s="489"/>
      <c r="DG149" s="489"/>
      <c r="DH149" s="489"/>
      <c r="DI149" s="489"/>
      <c r="DJ149" s="489"/>
      <c r="DK149" s="489"/>
      <c r="DL149" s="489"/>
      <c r="DM149" s="489"/>
      <c r="DN149" s="489"/>
      <c r="DO149" s="489"/>
      <c r="DP149" s="489"/>
      <c r="DQ149" s="489"/>
      <c r="DR149" s="489"/>
      <c r="DS149" s="489"/>
      <c r="DT149" s="489"/>
      <c r="DU149" s="489"/>
      <c r="DV149" s="489"/>
      <c r="DW149" s="489"/>
      <c r="DX149" s="489"/>
      <c r="DY149" s="489"/>
      <c r="DZ149" s="489"/>
      <c r="EA149" s="489"/>
      <c r="EB149" s="489"/>
      <c r="EC149" s="489"/>
      <c r="ED149" s="489"/>
      <c r="EE149" s="489"/>
      <c r="EF149" s="489"/>
      <c r="EG149" s="489"/>
      <c r="EH149" s="489"/>
      <c r="EI149" s="489"/>
      <c r="EJ149" s="489"/>
      <c r="EK149" s="489"/>
      <c r="EL149" s="489"/>
      <c r="EM149" s="489"/>
      <c r="EN149" s="489"/>
      <c r="EO149" s="489"/>
      <c r="EP149" s="489"/>
      <c r="EQ149" s="489"/>
      <c r="ER149" s="489"/>
      <c r="ES149" s="489"/>
      <c r="ET149" s="489"/>
      <c r="EU149" s="489"/>
      <c r="EV149" s="489"/>
      <c r="EW149" s="489"/>
      <c r="EX149" s="489"/>
      <c r="EY149" s="489"/>
      <c r="EZ149" s="489"/>
      <c r="FA149" s="489"/>
      <c r="FB149" s="489"/>
      <c r="FC149" s="489"/>
      <c r="FD149" s="489"/>
      <c r="FE149" s="489"/>
      <c r="FF149" s="489"/>
      <c r="FG149" s="489"/>
      <c r="FH149" s="489"/>
      <c r="FI149" s="489"/>
      <c r="FJ149" s="489"/>
      <c r="FK149" s="489"/>
      <c r="FL149" s="489"/>
      <c r="FM149" s="489"/>
      <c r="FN149" s="489"/>
      <c r="FO149" s="489"/>
      <c r="FP149" s="489"/>
      <c r="FQ149" s="489"/>
      <c r="FR149" s="489"/>
      <c r="FS149" s="489"/>
      <c r="FT149" s="489"/>
      <c r="FU149" s="489"/>
      <c r="FV149" s="489"/>
      <c r="FW149" s="489"/>
      <c r="FX149" s="489"/>
      <c r="FY149" s="489"/>
      <c r="FZ149" s="489"/>
      <c r="GA149" s="489"/>
      <c r="GB149" s="489"/>
      <c r="GC149" s="489"/>
      <c r="GD149" s="489"/>
      <c r="GE149" s="489"/>
      <c r="GF149" s="489"/>
      <c r="GG149" s="489"/>
      <c r="GH149" s="489"/>
      <c r="GI149" s="489"/>
      <c r="GJ149" s="489"/>
      <c r="GK149" s="489"/>
      <c r="GL149" s="489"/>
      <c r="GM149" s="489"/>
      <c r="GN149" s="489"/>
      <c r="GO149" s="489"/>
      <c r="GP149" s="489"/>
      <c r="GQ149" s="489"/>
      <c r="GR149" s="489"/>
      <c r="GS149" s="489"/>
      <c r="GT149" s="489"/>
      <c r="GU149" s="489"/>
      <c r="GV149" s="489"/>
      <c r="GW149" s="489"/>
      <c r="GX149" s="489"/>
      <c r="GY149" s="489"/>
      <c r="GZ149" s="489"/>
      <c r="HA149" s="489"/>
      <c r="HB149" s="489"/>
      <c r="HC149" s="489"/>
      <c r="HD149" s="489"/>
      <c r="HE149" s="489"/>
      <c r="HF149" s="489"/>
      <c r="HG149" s="489"/>
      <c r="HH149" s="489"/>
      <c r="HI149" s="489"/>
      <c r="HJ149" s="489"/>
      <c r="HK149" s="489"/>
      <c r="HL149" s="489"/>
      <c r="HM149" s="489"/>
      <c r="HN149" s="489"/>
      <c r="HO149" s="489"/>
      <c r="HP149" s="489"/>
      <c r="HQ149" s="489"/>
      <c r="HR149" s="489"/>
      <c r="HS149" s="489"/>
      <c r="HT149" s="489"/>
      <c r="HU149" s="489"/>
      <c r="HV149" s="489"/>
      <c r="HW149" s="489"/>
      <c r="HX149" s="487"/>
    </row>
    <row r="150" spans="1:232" s="637" customFormat="1" ht="19.5" customHeight="1">
      <c r="A150" s="885" t="s">
        <v>1027</v>
      </c>
      <c r="B150" s="917" t="str">
        <f>B37</f>
        <v>TCVN 5308 - 1991: Quy trình kỹ thuật an toàn trong xây dựng.</v>
      </c>
      <c r="C150" s="742"/>
      <c r="D150" s="742"/>
      <c r="E150" s="742"/>
      <c r="F150" s="742"/>
      <c r="G150" s="742"/>
      <c r="H150" s="742"/>
      <c r="I150" s="742"/>
      <c r="J150" s="742"/>
      <c r="K150" s="463"/>
      <c r="L150" s="463"/>
      <c r="M150" s="464"/>
      <c r="N150" s="464"/>
      <c r="O150" s="406"/>
      <c r="P150" s="492"/>
      <c r="Q150" s="492"/>
      <c r="R150" s="492"/>
      <c r="S150" s="492"/>
      <c r="T150" s="492"/>
      <c r="U150" s="489"/>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7"/>
    </row>
    <row r="151" spans="1:232" s="637" customFormat="1" ht="20.100000000000001" customHeight="1">
      <c r="A151" s="886" t="s">
        <v>1031</v>
      </c>
      <c r="C151" s="491"/>
      <c r="D151" s="491"/>
      <c r="E151" s="491"/>
      <c r="F151" s="491"/>
      <c r="G151" s="491"/>
      <c r="H151" s="491"/>
      <c r="I151" s="491"/>
      <c r="J151" s="491"/>
      <c r="K151" s="463"/>
      <c r="L151" s="463"/>
      <c r="M151" s="464"/>
      <c r="N151" s="464"/>
      <c r="O151" s="406"/>
      <c r="P151" s="477"/>
      <c r="Q151" s="477"/>
      <c r="R151" s="477"/>
      <c r="S151" s="477"/>
      <c r="T151" s="492"/>
      <c r="U151" s="489"/>
      <c r="V151" s="489"/>
      <c r="W151" s="489"/>
      <c r="X151" s="489"/>
      <c r="Y151" s="489"/>
      <c r="Z151" s="489"/>
      <c r="AA151" s="489"/>
      <c r="AB151" s="489"/>
      <c r="AC151" s="489"/>
      <c r="AD151" s="489"/>
      <c r="AE151" s="489"/>
      <c r="AF151" s="489"/>
      <c r="AG151" s="489"/>
      <c r="AH151" s="489"/>
      <c r="AI151" s="489"/>
      <c r="AJ151" s="489"/>
      <c r="AK151" s="489"/>
      <c r="AL151" s="489"/>
      <c r="AM151" s="489"/>
      <c r="AN151" s="489"/>
      <c r="AO151" s="489"/>
      <c r="AP151" s="489"/>
      <c r="AQ151" s="489"/>
      <c r="AR151" s="489"/>
      <c r="AS151" s="489"/>
      <c r="AT151" s="489"/>
      <c r="AU151" s="489"/>
      <c r="AV151" s="489"/>
      <c r="AW151" s="489"/>
      <c r="AX151" s="489"/>
      <c r="AY151" s="489"/>
      <c r="AZ151" s="489"/>
      <c r="BA151" s="489"/>
      <c r="BB151" s="489"/>
      <c r="BC151" s="489"/>
      <c r="BD151" s="489"/>
      <c r="BE151" s="489"/>
      <c r="BF151" s="489"/>
      <c r="BG151" s="489"/>
      <c r="BH151" s="489"/>
      <c r="BI151" s="489"/>
      <c r="BJ151" s="489"/>
      <c r="BK151" s="489"/>
      <c r="BL151" s="489"/>
      <c r="BM151" s="489"/>
      <c r="BN151" s="489"/>
      <c r="BO151" s="489"/>
      <c r="BP151" s="489"/>
      <c r="BQ151" s="489"/>
      <c r="BR151" s="489"/>
      <c r="BS151" s="489"/>
      <c r="BT151" s="489"/>
      <c r="BU151" s="489"/>
      <c r="BV151" s="489"/>
      <c r="BW151" s="489"/>
      <c r="BX151" s="489"/>
      <c r="BY151" s="489"/>
      <c r="BZ151" s="489"/>
      <c r="CA151" s="489"/>
      <c r="CB151" s="489"/>
      <c r="CC151" s="489"/>
      <c r="CD151" s="489"/>
      <c r="CE151" s="489"/>
      <c r="CF151" s="489"/>
      <c r="CG151" s="489"/>
      <c r="CH151" s="489"/>
      <c r="CI151" s="489"/>
      <c r="CJ151" s="489"/>
      <c r="CK151" s="489"/>
      <c r="CL151" s="489"/>
      <c r="CM151" s="489"/>
      <c r="CN151" s="489"/>
      <c r="CO151" s="489"/>
      <c r="CP151" s="489"/>
      <c r="CQ151" s="489"/>
      <c r="CR151" s="489"/>
      <c r="CS151" s="489"/>
      <c r="CT151" s="489"/>
      <c r="CU151" s="489"/>
      <c r="CV151" s="489"/>
      <c r="CW151" s="489"/>
      <c r="CX151" s="489"/>
      <c r="CY151" s="489"/>
      <c r="CZ151" s="489"/>
      <c r="DA151" s="489"/>
      <c r="DB151" s="489"/>
      <c r="DC151" s="489"/>
      <c r="DD151" s="489"/>
      <c r="DE151" s="489"/>
      <c r="DF151" s="489"/>
      <c r="DG151" s="489"/>
      <c r="DH151" s="489"/>
      <c r="DI151" s="489"/>
      <c r="DJ151" s="489"/>
      <c r="DK151" s="489"/>
      <c r="DL151" s="489"/>
      <c r="DM151" s="489"/>
      <c r="DN151" s="489"/>
      <c r="DO151" s="489"/>
      <c r="DP151" s="489"/>
      <c r="DQ151" s="489"/>
      <c r="DR151" s="489"/>
      <c r="DS151" s="489"/>
      <c r="DT151" s="489"/>
      <c r="DU151" s="489"/>
      <c r="DV151" s="489"/>
      <c r="DW151" s="489"/>
      <c r="DX151" s="489"/>
      <c r="DY151" s="489"/>
      <c r="DZ151" s="489"/>
      <c r="EA151" s="489"/>
      <c r="EB151" s="489"/>
      <c r="EC151" s="489"/>
      <c r="ED151" s="489"/>
      <c r="EE151" s="489"/>
      <c r="EF151" s="489"/>
      <c r="EG151" s="489"/>
      <c r="EH151" s="489"/>
      <c r="EI151" s="489"/>
      <c r="EJ151" s="489"/>
      <c r="EK151" s="489"/>
      <c r="EL151" s="489"/>
      <c r="EM151" s="489"/>
      <c r="EN151" s="489"/>
      <c r="EO151" s="489"/>
      <c r="EP151" s="489"/>
      <c r="EQ151" s="489"/>
      <c r="ER151" s="489"/>
      <c r="ES151" s="489"/>
      <c r="ET151" s="489"/>
      <c r="EU151" s="489"/>
      <c r="EV151" s="489"/>
      <c r="EW151" s="489"/>
      <c r="EX151" s="489"/>
      <c r="EY151" s="489"/>
      <c r="EZ151" s="489"/>
      <c r="FA151" s="489"/>
      <c r="FB151" s="489"/>
      <c r="FC151" s="489"/>
      <c r="FD151" s="489"/>
      <c r="FE151" s="489"/>
      <c r="FF151" s="489"/>
      <c r="FG151" s="489"/>
      <c r="FH151" s="489"/>
      <c r="FI151" s="489"/>
      <c r="FJ151" s="489"/>
      <c r="FK151" s="489"/>
      <c r="FL151" s="489"/>
      <c r="FM151" s="489"/>
      <c r="FN151" s="489"/>
      <c r="FO151" s="489"/>
      <c r="FP151" s="489"/>
      <c r="FQ151" s="489"/>
      <c r="FR151" s="489"/>
      <c r="FS151" s="489"/>
      <c r="FT151" s="489"/>
      <c r="FU151" s="489"/>
      <c r="FV151" s="489"/>
      <c r="FW151" s="489"/>
      <c r="FX151" s="489"/>
      <c r="FY151" s="489"/>
      <c r="FZ151" s="489"/>
      <c r="GA151" s="489"/>
      <c r="GB151" s="489"/>
      <c r="GC151" s="489"/>
      <c r="GD151" s="489"/>
      <c r="GE151" s="489"/>
      <c r="GF151" s="489"/>
      <c r="GG151" s="489"/>
      <c r="GH151" s="489"/>
      <c r="GI151" s="489"/>
      <c r="GJ151" s="489"/>
      <c r="GK151" s="489"/>
      <c r="GL151" s="489"/>
      <c r="GM151" s="489"/>
      <c r="GN151" s="489"/>
      <c r="GO151" s="489"/>
      <c r="GP151" s="489"/>
      <c r="GQ151" s="489"/>
      <c r="GR151" s="489"/>
      <c r="GS151" s="489"/>
      <c r="GT151" s="489"/>
      <c r="GU151" s="489"/>
      <c r="GV151" s="489"/>
      <c r="GW151" s="489"/>
      <c r="GX151" s="489"/>
      <c r="GY151" s="489"/>
      <c r="GZ151" s="489"/>
      <c r="HA151" s="489"/>
      <c r="HB151" s="489"/>
      <c r="HC151" s="489"/>
      <c r="HD151" s="489"/>
      <c r="HE151" s="489"/>
      <c r="HF151" s="489"/>
      <c r="HG151" s="489"/>
      <c r="HH151" s="489"/>
      <c r="HI151" s="489"/>
      <c r="HJ151" s="489"/>
      <c r="HK151" s="489"/>
      <c r="HL151" s="489"/>
      <c r="HM151" s="489"/>
      <c r="HN151" s="489"/>
      <c r="HO151" s="489"/>
      <c r="HP151" s="489"/>
      <c r="HQ151" s="489"/>
      <c r="HR151" s="489"/>
      <c r="HS151" s="489"/>
      <c r="HT151" s="489"/>
      <c r="HU151" s="489"/>
      <c r="HV151" s="489"/>
      <c r="HW151" s="489"/>
      <c r="HX151" s="487"/>
    </row>
    <row r="152" spans="1:232" s="637" customFormat="1" ht="20.100000000000001" customHeight="1">
      <c r="A152" s="490" t="str">
        <f>A39</f>
        <v>-   Các quy chuẩn, tiêu chuẩn, quy phạm hiện hành khác liên quan đến đối tượng nghiệm thu.</v>
      </c>
      <c r="B152" s="491"/>
      <c r="C152" s="491"/>
      <c r="D152" s="491"/>
      <c r="E152" s="491"/>
      <c r="F152" s="491"/>
      <c r="G152" s="491"/>
      <c r="H152" s="491"/>
      <c r="I152" s="491"/>
      <c r="J152" s="491"/>
      <c r="K152" s="463"/>
      <c r="L152" s="463"/>
      <c r="M152" s="464"/>
      <c r="N152" s="464"/>
      <c r="O152" s="405"/>
      <c r="P152" s="477"/>
      <c r="Q152" s="477"/>
      <c r="R152" s="477"/>
      <c r="S152" s="477"/>
      <c r="T152" s="492"/>
      <c r="U152" s="489"/>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487"/>
    </row>
    <row r="153" spans="1:232" s="45" customFormat="1" ht="20.100000000000001" customHeight="1">
      <c r="A153" s="493" t="s">
        <v>1040</v>
      </c>
      <c r="B153" s="489"/>
      <c r="C153" s="489"/>
      <c r="D153" s="489"/>
      <c r="E153" s="489"/>
      <c r="F153" s="489"/>
      <c r="G153" s="489"/>
      <c r="H153" s="489"/>
      <c r="I153" s="489"/>
      <c r="J153" s="489"/>
      <c r="K153" s="463"/>
      <c r="L153" s="463"/>
      <c r="M153" s="464"/>
      <c r="N153" s="464"/>
      <c r="O153" s="405"/>
      <c r="P153" s="492"/>
      <c r="Q153" s="492"/>
      <c r="R153" s="492"/>
      <c r="S153" s="492"/>
      <c r="T153" s="495"/>
      <c r="U153" s="496"/>
      <c r="V153" s="496"/>
      <c r="W153" s="496"/>
      <c r="X153" s="496"/>
      <c r="Y153" s="496"/>
      <c r="Z153" s="496"/>
      <c r="AA153" s="496"/>
      <c r="AB153" s="496"/>
      <c r="AC153" s="496"/>
      <c r="AD153" s="496"/>
      <c r="AE153" s="496"/>
      <c r="AF153" s="496"/>
      <c r="AG153" s="496"/>
      <c r="AH153" s="496"/>
      <c r="AI153" s="496"/>
      <c r="AJ153" s="496"/>
      <c r="AK153" s="496"/>
      <c r="AL153" s="496"/>
      <c r="AM153" s="496"/>
      <c r="AN153" s="496"/>
      <c r="AO153" s="496"/>
      <c r="AP153" s="496"/>
      <c r="AQ153" s="496"/>
      <c r="AR153" s="496"/>
      <c r="AS153" s="496"/>
      <c r="AT153" s="496"/>
      <c r="AU153" s="496"/>
      <c r="AV153" s="496"/>
      <c r="AW153" s="496"/>
      <c r="AX153" s="496"/>
      <c r="AY153" s="496"/>
      <c r="AZ153" s="496"/>
      <c r="BA153" s="496"/>
      <c r="BB153" s="496"/>
      <c r="BC153" s="496"/>
      <c r="BD153" s="496"/>
      <c r="BE153" s="496"/>
      <c r="BF153" s="496"/>
      <c r="BG153" s="496"/>
      <c r="BH153" s="496"/>
      <c r="BI153" s="496"/>
      <c r="BJ153" s="496"/>
      <c r="BK153" s="496"/>
      <c r="BL153" s="496"/>
      <c r="BM153" s="496"/>
      <c r="BN153" s="496"/>
      <c r="BO153" s="496"/>
      <c r="BP153" s="496"/>
      <c r="BQ153" s="496"/>
      <c r="BR153" s="496"/>
      <c r="BS153" s="496"/>
      <c r="BT153" s="496"/>
      <c r="BU153" s="496"/>
      <c r="BV153" s="496"/>
      <c r="BW153" s="496"/>
      <c r="BX153" s="496"/>
      <c r="BY153" s="496"/>
      <c r="BZ153" s="496"/>
      <c r="CA153" s="496"/>
      <c r="CB153" s="496"/>
      <c r="CC153" s="496"/>
      <c r="CD153" s="496"/>
      <c r="CE153" s="496"/>
      <c r="CF153" s="496"/>
      <c r="CG153" s="496"/>
      <c r="CH153" s="496"/>
      <c r="CI153" s="496"/>
      <c r="CJ153" s="496"/>
      <c r="CK153" s="496"/>
      <c r="CL153" s="496"/>
      <c r="CM153" s="496"/>
      <c r="CN153" s="496"/>
      <c r="CO153" s="496"/>
      <c r="CP153" s="496"/>
      <c r="CQ153" s="496"/>
      <c r="CR153" s="496"/>
      <c r="CS153" s="496"/>
      <c r="CT153" s="496"/>
      <c r="CU153" s="496"/>
      <c r="CV153" s="496"/>
      <c r="CW153" s="496"/>
      <c r="CX153" s="496"/>
      <c r="CY153" s="496"/>
      <c r="CZ153" s="496"/>
      <c r="DA153" s="496"/>
      <c r="DB153" s="496"/>
      <c r="DC153" s="496"/>
      <c r="DD153" s="496"/>
      <c r="DE153" s="496"/>
      <c r="DF153" s="496"/>
      <c r="DG153" s="496"/>
      <c r="DH153" s="496"/>
      <c r="DI153" s="496"/>
      <c r="DJ153" s="496"/>
      <c r="DK153" s="496"/>
      <c r="DL153" s="496"/>
      <c r="DM153" s="496"/>
      <c r="DN153" s="496"/>
      <c r="DO153" s="496"/>
      <c r="DP153" s="496"/>
      <c r="DQ153" s="496"/>
      <c r="DR153" s="496"/>
      <c r="DS153" s="496"/>
      <c r="DT153" s="496"/>
      <c r="DU153" s="496"/>
      <c r="DV153" s="496"/>
      <c r="DW153" s="496"/>
      <c r="DX153" s="496"/>
      <c r="DY153" s="496"/>
      <c r="DZ153" s="496"/>
      <c r="EA153" s="496"/>
      <c r="EB153" s="496"/>
      <c r="EC153" s="496"/>
      <c r="ED153" s="496"/>
      <c r="EE153" s="496"/>
      <c r="EF153" s="496"/>
      <c r="EG153" s="496"/>
      <c r="EH153" s="496"/>
      <c r="EI153" s="496"/>
      <c r="EJ153" s="496"/>
      <c r="EK153" s="496"/>
      <c r="EL153" s="496"/>
      <c r="EM153" s="496"/>
      <c r="EN153" s="496"/>
      <c r="EO153" s="496"/>
      <c r="EP153" s="496"/>
      <c r="EQ153" s="496"/>
      <c r="ER153" s="496"/>
      <c r="ES153" s="496"/>
      <c r="ET153" s="496"/>
      <c r="EU153" s="496"/>
      <c r="EV153" s="496"/>
      <c r="EW153" s="496"/>
      <c r="EX153" s="496"/>
      <c r="EY153" s="496"/>
      <c r="EZ153" s="496"/>
      <c r="FA153" s="496"/>
      <c r="FB153" s="496"/>
      <c r="FC153" s="496"/>
      <c r="FD153" s="496"/>
      <c r="FE153" s="496"/>
      <c r="FF153" s="496"/>
      <c r="FG153" s="496"/>
      <c r="FH153" s="496"/>
      <c r="FI153" s="496"/>
      <c r="FJ153" s="496"/>
      <c r="FK153" s="496"/>
      <c r="FL153" s="496"/>
      <c r="FM153" s="496"/>
      <c r="FN153" s="496"/>
      <c r="FO153" s="496"/>
      <c r="FP153" s="496"/>
      <c r="FQ153" s="496"/>
      <c r="FR153" s="496"/>
      <c r="FS153" s="496"/>
      <c r="FT153" s="496"/>
      <c r="FU153" s="496"/>
      <c r="FV153" s="496"/>
      <c r="FW153" s="496"/>
      <c r="FX153" s="496"/>
      <c r="FY153" s="496"/>
      <c r="FZ153" s="496"/>
      <c r="GA153" s="496"/>
      <c r="GB153" s="496"/>
      <c r="GC153" s="496"/>
      <c r="GD153" s="496"/>
      <c r="GE153" s="496"/>
      <c r="GF153" s="496"/>
      <c r="GG153" s="496"/>
      <c r="GH153" s="496"/>
      <c r="GI153" s="496"/>
      <c r="GJ153" s="496"/>
      <c r="GK153" s="496"/>
      <c r="GL153" s="496"/>
      <c r="GM153" s="496"/>
      <c r="GN153" s="496"/>
      <c r="GO153" s="496"/>
      <c r="GP153" s="496"/>
      <c r="GQ153" s="496"/>
      <c r="GR153" s="496"/>
      <c r="GS153" s="496"/>
      <c r="GT153" s="496"/>
      <c r="GU153" s="496"/>
      <c r="GV153" s="496"/>
      <c r="GW153" s="496"/>
      <c r="GX153" s="496"/>
      <c r="GY153" s="496"/>
      <c r="GZ153" s="496"/>
      <c r="HA153" s="496"/>
      <c r="HB153" s="496"/>
      <c r="HC153" s="496"/>
      <c r="HD153" s="496"/>
      <c r="HE153" s="496"/>
      <c r="HF153" s="496"/>
      <c r="HG153" s="496"/>
      <c r="HH153" s="496"/>
      <c r="HI153" s="496"/>
      <c r="HJ153" s="496"/>
      <c r="HK153" s="496"/>
      <c r="HL153" s="496"/>
      <c r="HM153" s="496"/>
      <c r="HN153" s="496"/>
      <c r="HO153" s="496"/>
      <c r="HP153" s="496"/>
      <c r="HQ153" s="496"/>
      <c r="HR153" s="496"/>
      <c r="HS153" s="496"/>
      <c r="HT153" s="496"/>
      <c r="HU153" s="496"/>
      <c r="HV153" s="496"/>
      <c r="HW153" s="490"/>
      <c r="HX153" s="490"/>
    </row>
    <row r="154" spans="1:232" s="5" customFormat="1" ht="20.100000000000001" customHeight="1">
      <c r="A154" s="497" t="str">
        <f>'8.BBCT'!A154</f>
        <v>-   Biện pháp thi công được phê duyệt.</v>
      </c>
      <c r="B154" s="498"/>
      <c r="C154" s="498"/>
      <c r="D154" s="498"/>
      <c r="E154" s="498"/>
      <c r="F154" s="498"/>
      <c r="G154" s="498"/>
      <c r="H154" s="498"/>
      <c r="I154" s="498"/>
      <c r="J154" s="498"/>
      <c r="K154" s="463"/>
      <c r="L154" s="463"/>
      <c r="M154" s="464"/>
      <c r="N154" s="464"/>
      <c r="O154" s="405"/>
      <c r="P154" s="495"/>
      <c r="Q154" s="495"/>
      <c r="R154" s="495"/>
      <c r="S154" s="495"/>
      <c r="T154" s="495"/>
      <c r="U154" s="489"/>
      <c r="V154" s="489"/>
      <c r="W154" s="489"/>
      <c r="X154" s="489"/>
      <c r="Y154" s="489"/>
      <c r="Z154" s="489"/>
      <c r="AA154" s="489"/>
      <c r="AB154" s="489"/>
      <c r="AC154" s="489"/>
      <c r="AD154" s="489"/>
      <c r="AE154" s="489"/>
      <c r="AF154" s="489"/>
      <c r="AG154" s="489"/>
      <c r="AH154" s="489"/>
      <c r="AI154" s="489"/>
      <c r="AJ154" s="489"/>
      <c r="AK154" s="489"/>
      <c r="AL154" s="489"/>
      <c r="AM154" s="489"/>
      <c r="AN154" s="489"/>
      <c r="AO154" s="489"/>
      <c r="AP154" s="489"/>
      <c r="AQ154" s="489"/>
      <c r="AR154" s="489"/>
      <c r="AS154" s="489"/>
      <c r="AT154" s="489"/>
      <c r="AU154" s="489"/>
      <c r="AV154" s="489"/>
      <c r="AW154" s="489"/>
      <c r="AX154" s="489"/>
      <c r="AY154" s="489"/>
      <c r="AZ154" s="489"/>
      <c r="BA154" s="489"/>
      <c r="BB154" s="489"/>
      <c r="BC154" s="489"/>
      <c r="BD154" s="489"/>
      <c r="BE154" s="489"/>
      <c r="BF154" s="489"/>
      <c r="BG154" s="489"/>
      <c r="BH154" s="489"/>
      <c r="BI154" s="489"/>
      <c r="BJ154" s="489"/>
      <c r="BK154" s="489"/>
      <c r="BL154" s="489"/>
      <c r="BM154" s="489"/>
      <c r="BN154" s="489"/>
      <c r="BO154" s="489"/>
      <c r="BP154" s="489"/>
      <c r="BQ154" s="489"/>
      <c r="BR154" s="489"/>
      <c r="BS154" s="489"/>
      <c r="BT154" s="489"/>
      <c r="BU154" s="489"/>
      <c r="BV154" s="489"/>
      <c r="BW154" s="489"/>
      <c r="BX154" s="489"/>
      <c r="BY154" s="489"/>
      <c r="BZ154" s="489"/>
      <c r="CA154" s="489"/>
      <c r="CB154" s="489"/>
      <c r="CC154" s="489"/>
      <c r="CD154" s="489"/>
      <c r="CE154" s="489"/>
      <c r="CF154" s="489"/>
      <c r="CG154" s="489"/>
      <c r="CH154" s="489"/>
      <c r="CI154" s="489"/>
      <c r="CJ154" s="489"/>
      <c r="CK154" s="489"/>
      <c r="CL154" s="489"/>
      <c r="CM154" s="489"/>
      <c r="CN154" s="489"/>
      <c r="CO154" s="489"/>
      <c r="CP154" s="489"/>
      <c r="CQ154" s="489"/>
      <c r="CR154" s="489"/>
      <c r="CS154" s="489"/>
      <c r="CT154" s="489"/>
      <c r="CU154" s="489"/>
      <c r="CV154" s="489"/>
      <c r="CW154" s="489"/>
      <c r="CX154" s="489"/>
      <c r="CY154" s="489"/>
      <c r="CZ154" s="489"/>
      <c r="DA154" s="489"/>
      <c r="DB154" s="489"/>
      <c r="DC154" s="489"/>
      <c r="DD154" s="489"/>
      <c r="DE154" s="489"/>
      <c r="DF154" s="489"/>
      <c r="DG154" s="489"/>
      <c r="DH154" s="489"/>
      <c r="DI154" s="489"/>
      <c r="DJ154" s="489"/>
      <c r="DK154" s="489"/>
      <c r="DL154" s="489"/>
      <c r="DM154" s="489"/>
      <c r="DN154" s="489"/>
      <c r="DO154" s="489"/>
      <c r="DP154" s="489"/>
      <c r="DQ154" s="489"/>
      <c r="DR154" s="489"/>
      <c r="DS154" s="489"/>
      <c r="DT154" s="489"/>
      <c r="DU154" s="489"/>
      <c r="DV154" s="489"/>
      <c r="DW154" s="489"/>
      <c r="DX154" s="489"/>
      <c r="DY154" s="489"/>
      <c r="DZ154" s="489"/>
      <c r="EA154" s="489"/>
      <c r="EB154" s="489"/>
      <c r="EC154" s="489"/>
      <c r="ED154" s="489"/>
      <c r="EE154" s="489"/>
      <c r="EF154" s="489"/>
      <c r="EG154" s="489"/>
      <c r="EH154" s="489"/>
      <c r="EI154" s="489"/>
      <c r="EJ154" s="489"/>
      <c r="EK154" s="489"/>
      <c r="EL154" s="489"/>
      <c r="EM154" s="489"/>
      <c r="EN154" s="489"/>
      <c r="EO154" s="489"/>
      <c r="EP154" s="489"/>
      <c r="EQ154" s="489"/>
      <c r="ER154" s="489"/>
      <c r="ES154" s="489"/>
      <c r="ET154" s="489"/>
      <c r="EU154" s="489"/>
      <c r="EV154" s="489"/>
      <c r="EW154" s="489"/>
      <c r="EX154" s="489"/>
      <c r="EY154" s="489"/>
      <c r="EZ154" s="489"/>
      <c r="FA154" s="489"/>
      <c r="FB154" s="489"/>
      <c r="FC154" s="489"/>
      <c r="FD154" s="489"/>
      <c r="FE154" s="489"/>
      <c r="FF154" s="489"/>
      <c r="FG154" s="489"/>
      <c r="FH154" s="489"/>
      <c r="FI154" s="489"/>
      <c r="FJ154" s="489"/>
      <c r="FK154" s="489"/>
      <c r="FL154" s="489"/>
      <c r="FM154" s="489"/>
      <c r="FN154" s="489"/>
      <c r="FO154" s="489"/>
      <c r="FP154" s="489"/>
      <c r="FQ154" s="489"/>
      <c r="FR154" s="489"/>
      <c r="FS154" s="489"/>
      <c r="FT154" s="489"/>
      <c r="FU154" s="489"/>
      <c r="FV154" s="489"/>
      <c r="FW154" s="489"/>
      <c r="FX154" s="489"/>
      <c r="FY154" s="489"/>
      <c r="FZ154" s="489"/>
      <c r="GA154" s="489"/>
      <c r="GB154" s="489"/>
      <c r="GC154" s="489"/>
      <c r="GD154" s="489"/>
      <c r="GE154" s="489"/>
      <c r="GF154" s="489"/>
      <c r="GG154" s="489"/>
      <c r="GH154" s="489"/>
      <c r="GI154" s="489"/>
      <c r="GJ154" s="489"/>
      <c r="GK154" s="489"/>
      <c r="GL154" s="489"/>
      <c r="GM154" s="489"/>
      <c r="GN154" s="489"/>
      <c r="GO154" s="489"/>
      <c r="GP154" s="489"/>
      <c r="GQ154" s="489"/>
      <c r="GR154" s="489"/>
      <c r="GS154" s="489"/>
      <c r="GT154" s="489"/>
      <c r="GU154" s="489"/>
      <c r="GV154" s="489"/>
      <c r="GW154" s="489"/>
      <c r="GX154" s="489"/>
      <c r="GY154" s="489"/>
      <c r="GZ154" s="489"/>
      <c r="HA154" s="489"/>
      <c r="HB154" s="489"/>
      <c r="HC154" s="489"/>
      <c r="HD154" s="489"/>
      <c r="HE154" s="489"/>
      <c r="HF154" s="489"/>
      <c r="HG154" s="489"/>
      <c r="HH154" s="489"/>
      <c r="HI154" s="489"/>
      <c r="HJ154" s="489"/>
      <c r="HK154" s="489"/>
      <c r="HL154" s="489"/>
      <c r="HM154" s="489"/>
      <c r="HN154" s="489"/>
      <c r="HO154" s="489"/>
      <c r="HP154" s="489"/>
      <c r="HQ154" s="489"/>
      <c r="HR154" s="489"/>
      <c r="HS154" s="489"/>
      <c r="HT154" s="489"/>
      <c r="HU154" s="489"/>
      <c r="HV154" s="489"/>
      <c r="HW154" s="489"/>
      <c r="HX154" s="358"/>
    </row>
    <row r="155" spans="1:232" s="5" customFormat="1" ht="20.100000000000001" customHeight="1">
      <c r="A155" s="497" t="s">
        <v>863</v>
      </c>
      <c r="B155" s="498"/>
      <c r="C155" s="498"/>
      <c r="D155" s="498"/>
      <c r="E155" s="498"/>
      <c r="F155" s="498"/>
      <c r="G155" s="498"/>
      <c r="H155" s="498"/>
      <c r="I155" s="498"/>
      <c r="J155" s="498"/>
      <c r="K155" s="463"/>
      <c r="L155" s="463"/>
      <c r="M155" s="464"/>
      <c r="N155" s="464"/>
      <c r="O155" s="405"/>
      <c r="P155" s="495"/>
      <c r="Q155" s="495"/>
      <c r="R155" s="495"/>
      <c r="S155" s="495"/>
      <c r="T155" s="495"/>
      <c r="U155" s="499"/>
      <c r="V155" s="499"/>
      <c r="W155" s="499"/>
      <c r="X155" s="499"/>
      <c r="Y155" s="499"/>
      <c r="Z155" s="499"/>
      <c r="AA155" s="499"/>
      <c r="AB155" s="499"/>
      <c r="AC155" s="499"/>
      <c r="AD155" s="499"/>
      <c r="AE155" s="499"/>
      <c r="AF155" s="499"/>
      <c r="AG155" s="499"/>
      <c r="AH155" s="499"/>
      <c r="AI155" s="499"/>
      <c r="AJ155" s="499"/>
      <c r="AK155" s="499"/>
      <c r="AL155" s="499"/>
      <c r="AM155" s="499"/>
      <c r="AN155" s="499"/>
      <c r="AO155" s="499"/>
      <c r="AP155" s="499"/>
      <c r="AQ155" s="499"/>
      <c r="AR155" s="499"/>
      <c r="AS155" s="499"/>
      <c r="AT155" s="499"/>
      <c r="AU155" s="499"/>
      <c r="AV155" s="499"/>
      <c r="AW155" s="499"/>
      <c r="AX155" s="499"/>
      <c r="AY155" s="499"/>
      <c r="AZ155" s="499"/>
      <c r="BA155" s="499"/>
      <c r="BB155" s="499"/>
      <c r="BC155" s="499"/>
      <c r="BD155" s="499"/>
      <c r="BE155" s="499"/>
      <c r="BF155" s="499"/>
      <c r="BG155" s="499"/>
      <c r="BH155" s="499"/>
      <c r="BI155" s="499"/>
      <c r="BJ155" s="499"/>
      <c r="BK155" s="499"/>
      <c r="BL155" s="499"/>
      <c r="BM155" s="499"/>
      <c r="BN155" s="499"/>
      <c r="BO155" s="499"/>
      <c r="BP155" s="499"/>
      <c r="BQ155" s="499"/>
      <c r="BR155" s="499"/>
      <c r="BS155" s="499"/>
      <c r="BT155" s="499"/>
      <c r="BU155" s="499"/>
      <c r="BV155" s="499"/>
      <c r="BW155" s="499"/>
      <c r="BX155" s="499"/>
      <c r="BY155" s="499"/>
      <c r="BZ155" s="499"/>
      <c r="CA155" s="499"/>
      <c r="CB155" s="499"/>
      <c r="CC155" s="499"/>
      <c r="CD155" s="499"/>
      <c r="CE155" s="499"/>
      <c r="CF155" s="499"/>
      <c r="CG155" s="499"/>
      <c r="CH155" s="499"/>
      <c r="CI155" s="499"/>
      <c r="CJ155" s="499"/>
      <c r="CK155" s="499"/>
      <c r="CL155" s="499"/>
      <c r="CM155" s="499"/>
      <c r="CN155" s="499"/>
      <c r="CO155" s="499"/>
      <c r="CP155" s="499"/>
      <c r="CQ155" s="499"/>
      <c r="CR155" s="499"/>
      <c r="CS155" s="499"/>
      <c r="CT155" s="499"/>
      <c r="CU155" s="499"/>
      <c r="CV155" s="499"/>
      <c r="CW155" s="499"/>
      <c r="CX155" s="499"/>
      <c r="CY155" s="499"/>
      <c r="CZ155" s="499"/>
      <c r="DA155" s="499"/>
      <c r="DB155" s="499"/>
      <c r="DC155" s="499"/>
      <c r="DD155" s="499"/>
      <c r="DE155" s="499"/>
      <c r="DF155" s="499"/>
      <c r="DG155" s="499"/>
      <c r="DH155" s="499"/>
      <c r="DI155" s="499"/>
      <c r="DJ155" s="499"/>
      <c r="DK155" s="499"/>
      <c r="DL155" s="499"/>
      <c r="DM155" s="499"/>
      <c r="DN155" s="499"/>
      <c r="DO155" s="499"/>
      <c r="DP155" s="499"/>
      <c r="DQ155" s="499"/>
      <c r="DR155" s="499"/>
      <c r="DS155" s="499"/>
      <c r="DT155" s="499"/>
      <c r="DU155" s="499"/>
      <c r="DV155" s="499"/>
      <c r="DW155" s="499"/>
      <c r="DX155" s="499"/>
      <c r="DY155" s="499"/>
      <c r="DZ155" s="499"/>
      <c r="EA155" s="499"/>
      <c r="EB155" s="499"/>
      <c r="EC155" s="499"/>
      <c r="ED155" s="499"/>
      <c r="EE155" s="499"/>
      <c r="EF155" s="499"/>
      <c r="EG155" s="499"/>
      <c r="EH155" s="499"/>
      <c r="EI155" s="499"/>
      <c r="EJ155" s="499"/>
      <c r="EK155" s="499"/>
      <c r="EL155" s="499"/>
      <c r="EM155" s="499"/>
      <c r="EN155" s="499"/>
      <c r="EO155" s="499"/>
      <c r="EP155" s="499"/>
      <c r="EQ155" s="499"/>
      <c r="ER155" s="499"/>
      <c r="ES155" s="499"/>
      <c r="ET155" s="499"/>
      <c r="EU155" s="499"/>
      <c r="EV155" s="499"/>
      <c r="EW155" s="499"/>
      <c r="EX155" s="499"/>
      <c r="EY155" s="499"/>
      <c r="EZ155" s="499"/>
      <c r="FA155" s="499"/>
      <c r="FB155" s="499"/>
      <c r="FC155" s="499"/>
      <c r="FD155" s="499"/>
      <c r="FE155" s="499"/>
      <c r="FF155" s="499"/>
      <c r="FG155" s="499"/>
      <c r="FH155" s="499"/>
      <c r="FI155" s="499"/>
      <c r="FJ155" s="499"/>
      <c r="FK155" s="499"/>
      <c r="FL155" s="499"/>
      <c r="FM155" s="499"/>
      <c r="FN155" s="499"/>
      <c r="FO155" s="499"/>
      <c r="FP155" s="499"/>
      <c r="FQ155" s="499"/>
      <c r="FR155" s="499"/>
      <c r="FS155" s="499"/>
      <c r="FT155" s="499"/>
      <c r="FU155" s="499"/>
      <c r="FV155" s="499"/>
      <c r="FW155" s="499"/>
      <c r="FX155" s="499"/>
      <c r="FY155" s="499"/>
      <c r="FZ155" s="499"/>
      <c r="GA155" s="499"/>
      <c r="GB155" s="499"/>
      <c r="GC155" s="499"/>
      <c r="GD155" s="499"/>
      <c r="GE155" s="499"/>
      <c r="GF155" s="499"/>
      <c r="GG155" s="499"/>
      <c r="GH155" s="499"/>
      <c r="GI155" s="499"/>
      <c r="GJ155" s="499"/>
      <c r="GK155" s="499"/>
      <c r="GL155" s="499"/>
      <c r="GM155" s="499"/>
      <c r="GN155" s="499"/>
      <c r="GO155" s="499"/>
      <c r="GP155" s="499"/>
      <c r="GQ155" s="499"/>
      <c r="GR155" s="499"/>
      <c r="GS155" s="499"/>
      <c r="GT155" s="499"/>
      <c r="GU155" s="499"/>
      <c r="GV155" s="499"/>
      <c r="GW155" s="499"/>
      <c r="GX155" s="499"/>
      <c r="GY155" s="499"/>
      <c r="GZ155" s="499"/>
      <c r="HA155" s="499"/>
      <c r="HB155" s="499"/>
      <c r="HC155" s="499"/>
      <c r="HD155" s="499"/>
      <c r="HE155" s="499"/>
      <c r="HF155" s="499"/>
      <c r="HG155" s="499"/>
      <c r="HH155" s="499"/>
      <c r="HI155" s="499"/>
      <c r="HJ155" s="499"/>
      <c r="HK155" s="499"/>
      <c r="HL155" s="499"/>
      <c r="HM155" s="499"/>
      <c r="HN155" s="499"/>
      <c r="HO155" s="499"/>
      <c r="HP155" s="499"/>
      <c r="HQ155" s="499"/>
      <c r="HR155" s="499"/>
      <c r="HS155" s="499"/>
      <c r="HT155" s="499"/>
      <c r="HU155" s="499"/>
      <c r="HV155" s="499"/>
      <c r="HW155" s="499"/>
      <c r="HX155" s="358"/>
    </row>
    <row r="156" spans="1:232" ht="38.25" customHeight="1">
      <c r="A156" s="1607" t="s">
        <v>112</v>
      </c>
      <c r="B156" s="1607"/>
      <c r="C156" s="1607"/>
      <c r="D156" s="1607"/>
      <c r="E156" s="1607"/>
      <c r="F156" s="1607"/>
      <c r="G156" s="1607"/>
      <c r="H156" s="1607"/>
      <c r="I156" s="1607"/>
      <c r="J156" s="1607"/>
      <c r="P156" s="495"/>
      <c r="Q156" s="495"/>
      <c r="R156" s="495"/>
      <c r="S156" s="495"/>
    </row>
    <row r="157" spans="1:232" ht="20.100000000000001" customHeight="1">
      <c r="A157" s="1608" t="str">
        <f>'8.BBCT'!A157:J157</f>
        <v>-   Biên bản nghiệm thu nội bộ của nhà thầu.</v>
      </c>
      <c r="B157" s="1607"/>
      <c r="C157" s="1607"/>
      <c r="D157" s="1607"/>
      <c r="E157" s="1607"/>
      <c r="F157" s="1607"/>
      <c r="G157" s="1607"/>
      <c r="H157" s="1607"/>
      <c r="I157" s="1607"/>
      <c r="J157" s="1607"/>
    </row>
    <row r="158" spans="1:232" ht="20.100000000000001" customHeight="1">
      <c r="A158" s="1604" t="s">
        <v>864</v>
      </c>
      <c r="B158" s="1604"/>
      <c r="C158" s="1604"/>
      <c r="D158" s="1604"/>
      <c r="E158" s="1604"/>
      <c r="F158" s="1604"/>
      <c r="G158" s="1604"/>
      <c r="H158" s="1604"/>
      <c r="I158" s="1604"/>
      <c r="J158" s="1604"/>
    </row>
    <row r="159" spans="1:232" s="5" customFormat="1" ht="20.100000000000001" customHeight="1">
      <c r="A159" s="500" t="s">
        <v>1032</v>
      </c>
      <c r="C159" s="501"/>
      <c r="D159" s="501"/>
      <c r="E159" s="501"/>
      <c r="F159" s="501"/>
      <c r="G159" s="501"/>
      <c r="H159" s="501"/>
      <c r="I159" s="501"/>
      <c r="J159" s="502"/>
      <c r="K159" s="463"/>
      <c r="L159" s="463"/>
      <c r="M159" s="464"/>
      <c r="N159" s="464"/>
      <c r="O159" s="464"/>
      <c r="P159" s="464"/>
      <c r="Q159" s="464"/>
      <c r="R159" s="464"/>
      <c r="S159" s="464"/>
      <c r="T159" s="495"/>
      <c r="U159" s="499"/>
      <c r="V159" s="499"/>
      <c r="W159" s="499"/>
      <c r="X159" s="499"/>
      <c r="Y159" s="499"/>
      <c r="Z159" s="499"/>
      <c r="AA159" s="499"/>
      <c r="AB159" s="499"/>
      <c r="AC159" s="499"/>
      <c r="AD159" s="499"/>
      <c r="AE159" s="499"/>
      <c r="AF159" s="499"/>
      <c r="AG159" s="499"/>
      <c r="AH159" s="499"/>
      <c r="AI159" s="499"/>
      <c r="AJ159" s="499"/>
      <c r="AK159" s="499"/>
      <c r="AL159" s="499"/>
      <c r="AM159" s="499"/>
      <c r="AN159" s="499"/>
      <c r="AO159" s="499"/>
      <c r="AP159" s="499"/>
      <c r="AQ159" s="499"/>
      <c r="AR159" s="499"/>
      <c r="AS159" s="499"/>
      <c r="AT159" s="499"/>
      <c r="AU159" s="499"/>
      <c r="AV159" s="499"/>
      <c r="AW159" s="499"/>
      <c r="AX159" s="499"/>
      <c r="AY159" s="499"/>
      <c r="AZ159" s="499"/>
      <c r="BA159" s="499"/>
      <c r="BB159" s="499"/>
      <c r="BC159" s="499"/>
      <c r="BD159" s="499"/>
      <c r="BE159" s="499"/>
      <c r="BF159" s="499"/>
      <c r="BG159" s="499"/>
      <c r="BH159" s="499"/>
      <c r="BI159" s="499"/>
      <c r="BJ159" s="499"/>
      <c r="BK159" s="499"/>
      <c r="BL159" s="499"/>
      <c r="BM159" s="499"/>
      <c r="BN159" s="499"/>
      <c r="BO159" s="499"/>
      <c r="BP159" s="499"/>
      <c r="BQ159" s="499"/>
      <c r="BR159" s="499"/>
      <c r="BS159" s="499"/>
      <c r="BT159" s="499"/>
      <c r="BU159" s="499"/>
      <c r="BV159" s="499"/>
      <c r="BW159" s="499"/>
      <c r="BX159" s="499"/>
      <c r="BY159" s="499"/>
      <c r="BZ159" s="499"/>
      <c r="CA159" s="499"/>
      <c r="CB159" s="499"/>
      <c r="CC159" s="499"/>
      <c r="CD159" s="499"/>
      <c r="CE159" s="499"/>
      <c r="CF159" s="499"/>
      <c r="CG159" s="499"/>
      <c r="CH159" s="499"/>
      <c r="CI159" s="499"/>
      <c r="CJ159" s="499"/>
      <c r="CK159" s="499"/>
      <c r="CL159" s="499"/>
      <c r="CM159" s="499"/>
      <c r="CN159" s="499"/>
      <c r="CO159" s="499"/>
      <c r="CP159" s="499"/>
      <c r="CQ159" s="499"/>
      <c r="CR159" s="499"/>
      <c r="CS159" s="499"/>
      <c r="CT159" s="499"/>
      <c r="CU159" s="499"/>
      <c r="CV159" s="499"/>
      <c r="CW159" s="499"/>
      <c r="CX159" s="499"/>
      <c r="CY159" s="499"/>
      <c r="CZ159" s="499"/>
      <c r="DA159" s="499"/>
      <c r="DB159" s="499"/>
      <c r="DC159" s="499"/>
      <c r="DD159" s="499"/>
      <c r="DE159" s="499"/>
      <c r="DF159" s="499"/>
      <c r="DG159" s="499"/>
      <c r="DH159" s="499"/>
      <c r="DI159" s="499"/>
      <c r="DJ159" s="499"/>
      <c r="DK159" s="499"/>
      <c r="DL159" s="499"/>
      <c r="DM159" s="499"/>
      <c r="DN159" s="499"/>
      <c r="DO159" s="499"/>
      <c r="DP159" s="499"/>
      <c r="DQ159" s="499"/>
      <c r="DR159" s="499"/>
      <c r="DS159" s="499"/>
      <c r="DT159" s="499"/>
      <c r="DU159" s="499"/>
      <c r="DV159" s="499"/>
      <c r="DW159" s="499"/>
      <c r="DX159" s="499"/>
      <c r="DY159" s="499"/>
      <c r="DZ159" s="499"/>
      <c r="EA159" s="499"/>
      <c r="EB159" s="499"/>
      <c r="EC159" s="499"/>
      <c r="ED159" s="499"/>
      <c r="EE159" s="499"/>
      <c r="EF159" s="499"/>
      <c r="EG159" s="499"/>
      <c r="EH159" s="499"/>
      <c r="EI159" s="499"/>
      <c r="EJ159" s="499"/>
      <c r="EK159" s="499"/>
      <c r="EL159" s="499"/>
      <c r="EM159" s="499"/>
      <c r="EN159" s="499"/>
      <c r="EO159" s="499"/>
      <c r="EP159" s="499"/>
      <c r="EQ159" s="499"/>
      <c r="ER159" s="499"/>
      <c r="ES159" s="499"/>
      <c r="ET159" s="499"/>
      <c r="EU159" s="499"/>
      <c r="EV159" s="499"/>
      <c r="EW159" s="499"/>
      <c r="EX159" s="499"/>
      <c r="EY159" s="499"/>
      <c r="EZ159" s="499"/>
      <c r="FA159" s="499"/>
      <c r="FB159" s="499"/>
      <c r="FC159" s="499"/>
      <c r="FD159" s="499"/>
      <c r="FE159" s="499"/>
      <c r="FF159" s="499"/>
      <c r="FG159" s="499"/>
      <c r="FH159" s="499"/>
      <c r="FI159" s="499"/>
      <c r="FJ159" s="499"/>
      <c r="FK159" s="499"/>
      <c r="FL159" s="499"/>
      <c r="FM159" s="499"/>
      <c r="FN159" s="499"/>
      <c r="FO159" s="499"/>
      <c r="FP159" s="499"/>
      <c r="FQ159" s="499"/>
      <c r="FR159" s="499"/>
      <c r="FS159" s="499"/>
      <c r="FT159" s="499"/>
      <c r="FU159" s="499"/>
      <c r="FV159" s="499"/>
      <c r="FW159" s="499"/>
      <c r="FX159" s="499"/>
      <c r="FY159" s="499"/>
      <c r="FZ159" s="499"/>
      <c r="GA159" s="499"/>
      <c r="GB159" s="499"/>
      <c r="GC159" s="499"/>
      <c r="GD159" s="499"/>
      <c r="GE159" s="499"/>
      <c r="GF159" s="499"/>
      <c r="GG159" s="499"/>
      <c r="GH159" s="499"/>
      <c r="GI159" s="499"/>
      <c r="GJ159" s="499"/>
      <c r="GK159" s="499"/>
      <c r="GL159" s="499"/>
      <c r="GM159" s="499"/>
      <c r="GN159" s="499"/>
      <c r="GO159" s="499"/>
      <c r="GP159" s="499"/>
      <c r="GQ159" s="499"/>
      <c r="GR159" s="499"/>
      <c r="GS159" s="499"/>
      <c r="GT159" s="499"/>
      <c r="GU159" s="499"/>
      <c r="GV159" s="499"/>
      <c r="GW159" s="499"/>
      <c r="GX159" s="499"/>
      <c r="GY159" s="499"/>
      <c r="GZ159" s="499"/>
      <c r="HA159" s="499"/>
      <c r="HB159" s="499"/>
      <c r="HC159" s="499"/>
      <c r="HD159" s="499"/>
      <c r="HE159" s="499"/>
      <c r="HF159" s="499"/>
      <c r="HG159" s="499"/>
      <c r="HH159" s="499"/>
      <c r="HI159" s="499"/>
      <c r="HJ159" s="499"/>
      <c r="HK159" s="499"/>
      <c r="HL159" s="499"/>
      <c r="HM159" s="499"/>
      <c r="HN159" s="499"/>
      <c r="HO159" s="499"/>
      <c r="HP159" s="499"/>
      <c r="HQ159" s="499"/>
      <c r="HR159" s="499"/>
      <c r="HS159" s="499"/>
      <c r="HT159" s="499"/>
      <c r="HU159" s="499"/>
      <c r="HV159" s="499"/>
      <c r="HW159" s="499"/>
      <c r="HX159" s="358"/>
    </row>
    <row r="160" spans="1:232" s="5" customFormat="1" ht="20.100000000000001" customHeight="1">
      <c r="A160" s="1676" t="s">
        <v>191</v>
      </c>
      <c r="B160" s="1631" t="s">
        <v>115</v>
      </c>
      <c r="C160" s="1632"/>
      <c r="D160" s="1632"/>
      <c r="E160" s="1632"/>
      <c r="F160" s="1632"/>
      <c r="G160" s="1632"/>
      <c r="H160" s="1633"/>
      <c r="I160" s="1606" t="s">
        <v>117</v>
      </c>
      <c r="J160" s="1606"/>
      <c r="K160" s="463"/>
      <c r="L160" s="463"/>
      <c r="M160" s="464"/>
      <c r="N160" s="464"/>
      <c r="O160" s="464"/>
      <c r="P160" s="495"/>
      <c r="Q160" s="495"/>
      <c r="R160" s="495"/>
      <c r="S160" s="495"/>
      <c r="T160" s="504"/>
      <c r="U160" s="358"/>
      <c r="V160" s="358"/>
      <c r="W160" s="358"/>
      <c r="X160" s="358"/>
      <c r="Y160" s="358"/>
      <c r="Z160" s="358"/>
      <c r="AA160" s="358"/>
      <c r="AB160" s="358"/>
      <c r="AC160" s="358"/>
      <c r="AD160" s="358"/>
      <c r="AE160" s="358"/>
      <c r="AF160" s="358"/>
      <c r="AG160" s="358"/>
      <c r="AH160" s="358"/>
      <c r="AI160" s="358"/>
      <c r="AJ160" s="358"/>
      <c r="AK160" s="358"/>
      <c r="AL160" s="358"/>
      <c r="AM160" s="358"/>
      <c r="AN160" s="358"/>
      <c r="AO160" s="358"/>
      <c r="AP160" s="358"/>
      <c r="AQ160" s="358"/>
      <c r="AR160" s="358"/>
      <c r="AS160" s="358"/>
      <c r="AT160" s="358"/>
      <c r="AU160" s="358"/>
      <c r="AV160" s="358"/>
      <c r="AW160" s="358"/>
      <c r="AX160" s="358"/>
      <c r="AY160" s="358"/>
      <c r="AZ160" s="358"/>
      <c r="BA160" s="358"/>
      <c r="BB160" s="358"/>
      <c r="BC160" s="358"/>
      <c r="BD160" s="358"/>
      <c r="BE160" s="358"/>
      <c r="BF160" s="358"/>
      <c r="BG160" s="358"/>
      <c r="BH160" s="358"/>
      <c r="BI160" s="358"/>
      <c r="BJ160" s="358"/>
      <c r="BK160" s="358"/>
      <c r="BL160" s="358"/>
      <c r="BM160" s="358"/>
      <c r="BN160" s="358"/>
      <c r="BO160" s="358"/>
      <c r="BP160" s="358"/>
      <c r="BQ160" s="358"/>
      <c r="BR160" s="358"/>
      <c r="BS160" s="358"/>
      <c r="BT160" s="358"/>
      <c r="BU160" s="358"/>
      <c r="BV160" s="358"/>
      <c r="BW160" s="358"/>
      <c r="BX160" s="358"/>
      <c r="BY160" s="358"/>
      <c r="BZ160" s="358"/>
      <c r="CA160" s="358"/>
      <c r="CB160" s="358"/>
      <c r="CC160" s="358"/>
      <c r="CD160" s="358"/>
      <c r="CE160" s="358"/>
      <c r="CF160" s="358"/>
      <c r="CG160" s="358"/>
      <c r="CH160" s="358"/>
      <c r="CI160" s="358"/>
      <c r="CJ160" s="358"/>
      <c r="CK160" s="358"/>
      <c r="CL160" s="358"/>
      <c r="CM160" s="358"/>
      <c r="CN160" s="358"/>
      <c r="CO160" s="358"/>
      <c r="CP160" s="358"/>
      <c r="CQ160" s="358"/>
      <c r="CR160" s="358"/>
      <c r="CS160" s="358"/>
      <c r="CT160" s="358"/>
      <c r="CU160" s="358"/>
      <c r="CV160" s="358"/>
      <c r="CW160" s="358"/>
      <c r="CX160" s="358"/>
      <c r="CY160" s="358"/>
      <c r="CZ160" s="358"/>
      <c r="DA160" s="358"/>
      <c r="DB160" s="358"/>
      <c r="DC160" s="358"/>
      <c r="DD160" s="358"/>
      <c r="DE160" s="358"/>
      <c r="DF160" s="358"/>
      <c r="DG160" s="358"/>
      <c r="DH160" s="358"/>
      <c r="DI160" s="358"/>
      <c r="DJ160" s="358"/>
      <c r="DK160" s="358"/>
      <c r="DL160" s="358"/>
      <c r="DM160" s="358"/>
      <c r="DN160" s="358"/>
      <c r="DO160" s="358"/>
      <c r="DP160" s="358"/>
      <c r="DQ160" s="358"/>
      <c r="DR160" s="358"/>
      <c r="DS160" s="358"/>
      <c r="DT160" s="358"/>
      <c r="DU160" s="358"/>
      <c r="DV160" s="358"/>
      <c r="DW160" s="358"/>
      <c r="DX160" s="358"/>
      <c r="DY160" s="358"/>
      <c r="DZ160" s="358"/>
      <c r="EA160" s="358"/>
      <c r="EB160" s="358"/>
      <c r="EC160" s="358"/>
      <c r="ED160" s="358"/>
      <c r="EE160" s="358"/>
      <c r="EF160" s="358"/>
      <c r="EG160" s="358"/>
      <c r="EH160" s="358"/>
      <c r="EI160" s="358"/>
      <c r="EJ160" s="358"/>
      <c r="EK160" s="358"/>
      <c r="EL160" s="358"/>
      <c r="EM160" s="358"/>
      <c r="EN160" s="358"/>
      <c r="EO160" s="358"/>
      <c r="EP160" s="358"/>
      <c r="EQ160" s="358"/>
      <c r="ER160" s="358"/>
      <c r="ES160" s="358"/>
      <c r="ET160" s="358"/>
      <c r="EU160" s="358"/>
      <c r="EV160" s="358"/>
      <c r="EW160" s="358"/>
      <c r="EX160" s="358"/>
      <c r="EY160" s="358"/>
      <c r="EZ160" s="358"/>
      <c r="FA160" s="358"/>
      <c r="FB160" s="358"/>
      <c r="FC160" s="358"/>
      <c r="FD160" s="358"/>
      <c r="FE160" s="358"/>
      <c r="FF160" s="358"/>
      <c r="FG160" s="358"/>
      <c r="FH160" s="358"/>
      <c r="FI160" s="358"/>
      <c r="FJ160" s="358"/>
      <c r="FK160" s="358"/>
      <c r="FL160" s="358"/>
      <c r="FM160" s="358"/>
      <c r="FN160" s="358"/>
      <c r="FO160" s="358"/>
      <c r="FP160" s="358"/>
      <c r="FQ160" s="358"/>
      <c r="FR160" s="358"/>
      <c r="FS160" s="358"/>
      <c r="FT160" s="358"/>
      <c r="FU160" s="358"/>
      <c r="FV160" s="358"/>
      <c r="FW160" s="358"/>
      <c r="FX160" s="358"/>
      <c r="FY160" s="358"/>
      <c r="FZ160" s="358"/>
      <c r="GA160" s="358"/>
      <c r="GB160" s="358"/>
      <c r="GC160" s="358"/>
      <c r="GD160" s="358"/>
      <c r="GE160" s="358"/>
      <c r="GF160" s="358"/>
      <c r="GG160" s="358"/>
      <c r="GH160" s="358"/>
      <c r="GI160" s="358"/>
      <c r="GJ160" s="358"/>
      <c r="GK160" s="358"/>
      <c r="GL160" s="358"/>
      <c r="GM160" s="358"/>
      <c r="GN160" s="358"/>
      <c r="GO160" s="358"/>
      <c r="GP160" s="358"/>
      <c r="GQ160" s="358"/>
      <c r="GR160" s="358"/>
      <c r="GS160" s="358"/>
      <c r="GT160" s="358"/>
      <c r="GU160" s="358"/>
      <c r="GV160" s="358"/>
      <c r="GW160" s="358"/>
      <c r="GX160" s="358"/>
      <c r="GY160" s="358"/>
      <c r="GZ160" s="358"/>
      <c r="HA160" s="358"/>
      <c r="HB160" s="358"/>
      <c r="HC160" s="358"/>
      <c r="HD160" s="358"/>
      <c r="HE160" s="358"/>
      <c r="HF160" s="358"/>
      <c r="HG160" s="358"/>
      <c r="HH160" s="358"/>
      <c r="HI160" s="358"/>
      <c r="HJ160" s="358"/>
      <c r="HK160" s="358"/>
      <c r="HL160" s="358"/>
      <c r="HM160" s="358"/>
      <c r="HN160" s="358"/>
      <c r="HO160" s="358"/>
      <c r="HP160" s="358"/>
      <c r="HQ160" s="358"/>
      <c r="HR160" s="358"/>
      <c r="HS160" s="358"/>
      <c r="HT160" s="358"/>
      <c r="HU160" s="358"/>
      <c r="HV160" s="358"/>
      <c r="HW160" s="358"/>
      <c r="HX160" s="358"/>
    </row>
    <row r="161" spans="1:232" s="5" customFormat="1" ht="34.5" customHeight="1">
      <c r="A161" s="1677"/>
      <c r="B161" s="1637"/>
      <c r="C161" s="1638"/>
      <c r="D161" s="1638"/>
      <c r="E161" s="1638"/>
      <c r="F161" s="1638"/>
      <c r="G161" s="1638"/>
      <c r="H161" s="1639"/>
      <c r="I161" s="503" t="s">
        <v>118</v>
      </c>
      <c r="J161" s="503" t="s">
        <v>119</v>
      </c>
      <c r="K161" s="463"/>
      <c r="L161" s="463"/>
      <c r="M161" s="464"/>
      <c r="N161" s="464"/>
      <c r="O161" s="464"/>
      <c r="P161" s="504"/>
      <c r="Q161" s="504"/>
      <c r="R161" s="504"/>
      <c r="S161" s="504"/>
      <c r="T161" s="406"/>
      <c r="U161" s="358"/>
      <c r="V161" s="358"/>
      <c r="W161" s="358"/>
      <c r="X161" s="358"/>
      <c r="Y161" s="358"/>
      <c r="Z161" s="358"/>
      <c r="AA161" s="358"/>
      <c r="AB161" s="358"/>
      <c r="AC161" s="358"/>
      <c r="AD161" s="358"/>
      <c r="AE161" s="358"/>
      <c r="AF161" s="358"/>
      <c r="AG161" s="358"/>
      <c r="AH161" s="358"/>
      <c r="AI161" s="358"/>
      <c r="AJ161" s="358"/>
      <c r="AK161" s="358"/>
      <c r="AL161" s="358"/>
      <c r="AM161" s="358"/>
      <c r="AN161" s="358"/>
      <c r="AO161" s="358"/>
      <c r="AP161" s="358"/>
      <c r="AQ161" s="358"/>
      <c r="AR161" s="358"/>
      <c r="AS161" s="358"/>
      <c r="AT161" s="358"/>
      <c r="AU161" s="358"/>
      <c r="AV161" s="358"/>
      <c r="AW161" s="358"/>
      <c r="AX161" s="358"/>
      <c r="AY161" s="358"/>
      <c r="AZ161" s="358"/>
      <c r="BA161" s="358"/>
      <c r="BB161" s="358"/>
      <c r="BC161" s="358"/>
      <c r="BD161" s="358"/>
      <c r="BE161" s="358"/>
      <c r="BF161" s="358"/>
      <c r="BG161" s="358"/>
      <c r="BH161" s="358"/>
      <c r="BI161" s="358"/>
      <c r="BJ161" s="358"/>
      <c r="BK161" s="358"/>
      <c r="BL161" s="358"/>
      <c r="BM161" s="358"/>
      <c r="BN161" s="358"/>
      <c r="BO161" s="358"/>
      <c r="BP161" s="358"/>
      <c r="BQ161" s="358"/>
      <c r="BR161" s="358"/>
      <c r="BS161" s="358"/>
      <c r="BT161" s="358"/>
      <c r="BU161" s="358"/>
      <c r="BV161" s="358"/>
      <c r="BW161" s="358"/>
      <c r="BX161" s="358"/>
      <c r="BY161" s="358"/>
      <c r="BZ161" s="358"/>
      <c r="CA161" s="358"/>
      <c r="CB161" s="358"/>
      <c r="CC161" s="358"/>
      <c r="CD161" s="358"/>
      <c r="CE161" s="358"/>
      <c r="CF161" s="358"/>
      <c r="CG161" s="358"/>
      <c r="CH161" s="358"/>
      <c r="CI161" s="358"/>
      <c r="CJ161" s="358"/>
      <c r="CK161" s="358"/>
      <c r="CL161" s="358"/>
      <c r="CM161" s="358"/>
      <c r="CN161" s="358"/>
      <c r="CO161" s="358"/>
      <c r="CP161" s="358"/>
      <c r="CQ161" s="358"/>
      <c r="CR161" s="358"/>
      <c r="CS161" s="358"/>
      <c r="CT161" s="358"/>
      <c r="CU161" s="358"/>
      <c r="CV161" s="358"/>
      <c r="CW161" s="358"/>
      <c r="CX161" s="358"/>
      <c r="CY161" s="358"/>
      <c r="CZ161" s="358"/>
      <c r="DA161" s="358"/>
      <c r="DB161" s="358"/>
      <c r="DC161" s="358"/>
      <c r="DD161" s="358"/>
      <c r="DE161" s="358"/>
      <c r="DF161" s="358"/>
      <c r="DG161" s="358"/>
      <c r="DH161" s="358"/>
      <c r="DI161" s="358"/>
      <c r="DJ161" s="358"/>
      <c r="DK161" s="358"/>
      <c r="DL161" s="358"/>
      <c r="DM161" s="358"/>
      <c r="DN161" s="358"/>
      <c r="DO161" s="358"/>
      <c r="DP161" s="358"/>
      <c r="DQ161" s="358"/>
      <c r="DR161" s="358"/>
      <c r="DS161" s="358"/>
      <c r="DT161" s="358"/>
      <c r="DU161" s="358"/>
      <c r="DV161" s="358"/>
      <c r="DW161" s="358"/>
      <c r="DX161" s="358"/>
      <c r="DY161" s="358"/>
      <c r="DZ161" s="358"/>
      <c r="EA161" s="358"/>
      <c r="EB161" s="358"/>
      <c r="EC161" s="358"/>
      <c r="ED161" s="358"/>
      <c r="EE161" s="358"/>
      <c r="EF161" s="358"/>
      <c r="EG161" s="358"/>
      <c r="EH161" s="358"/>
      <c r="EI161" s="358"/>
      <c r="EJ161" s="358"/>
      <c r="EK161" s="358"/>
      <c r="EL161" s="358"/>
      <c r="EM161" s="358"/>
      <c r="EN161" s="358"/>
      <c r="EO161" s="358"/>
      <c r="EP161" s="358"/>
      <c r="EQ161" s="358"/>
      <c r="ER161" s="358"/>
      <c r="ES161" s="358"/>
      <c r="ET161" s="358"/>
      <c r="EU161" s="358"/>
      <c r="EV161" s="358"/>
      <c r="EW161" s="358"/>
      <c r="EX161" s="358"/>
      <c r="EY161" s="358"/>
      <c r="EZ161" s="358"/>
      <c r="FA161" s="358"/>
      <c r="FB161" s="358"/>
      <c r="FC161" s="358"/>
      <c r="FD161" s="358"/>
      <c r="FE161" s="358"/>
      <c r="FF161" s="358"/>
      <c r="FG161" s="358"/>
      <c r="FH161" s="358"/>
      <c r="FI161" s="358"/>
      <c r="FJ161" s="358"/>
      <c r="FK161" s="358"/>
      <c r="FL161" s="358"/>
      <c r="FM161" s="358"/>
      <c r="FN161" s="358"/>
      <c r="FO161" s="358"/>
      <c r="FP161" s="358"/>
      <c r="FQ161" s="358"/>
      <c r="FR161" s="358"/>
      <c r="FS161" s="358"/>
      <c r="FT161" s="358"/>
      <c r="FU161" s="358"/>
      <c r="FV161" s="358"/>
      <c r="FW161" s="358"/>
      <c r="FX161" s="358"/>
      <c r="FY161" s="358"/>
      <c r="FZ161" s="358"/>
      <c r="GA161" s="358"/>
      <c r="GB161" s="358"/>
      <c r="GC161" s="358"/>
      <c r="GD161" s="358"/>
      <c r="GE161" s="358"/>
      <c r="GF161" s="358"/>
      <c r="GG161" s="358"/>
      <c r="GH161" s="358"/>
      <c r="GI161" s="358"/>
      <c r="GJ161" s="358"/>
      <c r="GK161" s="358"/>
      <c r="GL161" s="358"/>
      <c r="GM161" s="358"/>
      <c r="GN161" s="358"/>
      <c r="GO161" s="358"/>
      <c r="GP161" s="358"/>
      <c r="GQ161" s="358"/>
      <c r="GR161" s="358"/>
      <c r="GS161" s="358"/>
      <c r="GT161" s="358"/>
      <c r="GU161" s="358"/>
      <c r="GV161" s="358"/>
      <c r="GW161" s="358"/>
      <c r="GX161" s="358"/>
      <c r="GY161" s="358"/>
      <c r="GZ161" s="358"/>
      <c r="HA161" s="358"/>
      <c r="HB161" s="358"/>
      <c r="HC161" s="358"/>
      <c r="HD161" s="358"/>
      <c r="HE161" s="358"/>
      <c r="HF161" s="358"/>
      <c r="HG161" s="358"/>
      <c r="HH161" s="358"/>
      <c r="HI161" s="358"/>
      <c r="HJ161" s="358"/>
      <c r="HK161" s="358"/>
      <c r="HL161" s="358"/>
      <c r="HM161" s="358"/>
      <c r="HN161" s="358"/>
      <c r="HO161" s="358"/>
      <c r="HP161" s="358"/>
      <c r="HQ161" s="358"/>
      <c r="HR161" s="358"/>
      <c r="HS161" s="358"/>
      <c r="HT161" s="358"/>
      <c r="HU161" s="358"/>
      <c r="HV161" s="358"/>
      <c r="HW161" s="358"/>
      <c r="HX161" s="358"/>
    </row>
    <row r="162" spans="1:232" s="5" customFormat="1" ht="35.25" customHeight="1">
      <c r="A162" s="1678"/>
      <c r="B162" s="1673" t="s">
        <v>420</v>
      </c>
      <c r="C162" s="1674"/>
      <c r="D162" s="1675"/>
      <c r="E162" s="1674" t="s">
        <v>421</v>
      </c>
      <c r="F162" s="1675"/>
      <c r="G162" s="1668" t="s">
        <v>422</v>
      </c>
      <c r="H162" s="1670"/>
      <c r="I162" s="822" t="s">
        <v>471</v>
      </c>
      <c r="J162" s="506"/>
      <c r="K162" s="463"/>
      <c r="L162" s="463"/>
      <c r="M162" s="464"/>
      <c r="N162" s="464"/>
      <c r="O162" s="464"/>
      <c r="P162" s="406"/>
      <c r="Q162" s="406"/>
      <c r="R162" s="406"/>
      <c r="S162" s="406"/>
      <c r="T162" s="406"/>
      <c r="U162" s="358"/>
      <c r="V162" s="358"/>
      <c r="W162" s="358"/>
      <c r="X162" s="358"/>
      <c r="Y162" s="358"/>
      <c r="Z162" s="358"/>
      <c r="AA162" s="358"/>
      <c r="AB162" s="358"/>
      <c r="AC162" s="358"/>
      <c r="AD162" s="358"/>
      <c r="AE162" s="358"/>
      <c r="AF162" s="358"/>
      <c r="AG162" s="358"/>
      <c r="AH162" s="358"/>
      <c r="AI162" s="358"/>
      <c r="AJ162" s="358"/>
      <c r="AK162" s="358"/>
      <c r="AL162" s="358"/>
      <c r="AM162" s="358"/>
      <c r="AN162" s="358"/>
      <c r="AO162" s="358"/>
      <c r="AP162" s="358"/>
      <c r="AQ162" s="358"/>
      <c r="AR162" s="358"/>
      <c r="AS162" s="358"/>
      <c r="AT162" s="358"/>
      <c r="AU162" s="358"/>
      <c r="AV162" s="358"/>
      <c r="AW162" s="358"/>
      <c r="AX162" s="358"/>
      <c r="AY162" s="358"/>
      <c r="AZ162" s="358"/>
      <c r="BA162" s="358"/>
      <c r="BB162" s="358"/>
      <c r="BC162" s="358"/>
      <c r="BD162" s="358"/>
      <c r="BE162" s="358"/>
      <c r="BF162" s="358"/>
      <c r="BG162" s="358"/>
      <c r="BH162" s="358"/>
      <c r="BI162" s="358"/>
      <c r="BJ162" s="358"/>
      <c r="BK162" s="358"/>
      <c r="BL162" s="358"/>
      <c r="BM162" s="358"/>
      <c r="BN162" s="358"/>
      <c r="BO162" s="358"/>
      <c r="BP162" s="358"/>
      <c r="BQ162" s="358"/>
      <c r="BR162" s="358"/>
      <c r="BS162" s="358"/>
      <c r="BT162" s="358"/>
      <c r="BU162" s="358"/>
      <c r="BV162" s="358"/>
      <c r="BW162" s="358"/>
      <c r="BX162" s="358"/>
      <c r="BY162" s="358"/>
      <c r="BZ162" s="358"/>
      <c r="CA162" s="358"/>
      <c r="CB162" s="358"/>
      <c r="CC162" s="358"/>
      <c r="CD162" s="358"/>
      <c r="CE162" s="358"/>
      <c r="CF162" s="358"/>
      <c r="CG162" s="358"/>
      <c r="CH162" s="358"/>
      <c r="CI162" s="358"/>
      <c r="CJ162" s="358"/>
      <c r="CK162" s="358"/>
      <c r="CL162" s="358"/>
      <c r="CM162" s="358"/>
      <c r="CN162" s="358"/>
      <c r="CO162" s="358"/>
      <c r="CP162" s="358"/>
      <c r="CQ162" s="358"/>
      <c r="CR162" s="358"/>
      <c r="CS162" s="358"/>
      <c r="CT162" s="358"/>
      <c r="CU162" s="358"/>
      <c r="CV162" s="358"/>
      <c r="CW162" s="358"/>
      <c r="CX162" s="358"/>
      <c r="CY162" s="358"/>
      <c r="CZ162" s="358"/>
      <c r="DA162" s="358"/>
      <c r="DB162" s="358"/>
      <c r="DC162" s="358"/>
      <c r="DD162" s="358"/>
      <c r="DE162" s="358"/>
      <c r="DF162" s="358"/>
      <c r="DG162" s="358"/>
      <c r="DH162" s="358"/>
      <c r="DI162" s="358"/>
      <c r="DJ162" s="358"/>
      <c r="DK162" s="358"/>
      <c r="DL162" s="358"/>
      <c r="DM162" s="358"/>
      <c r="DN162" s="358"/>
      <c r="DO162" s="358"/>
      <c r="DP162" s="358"/>
      <c r="DQ162" s="358"/>
      <c r="DR162" s="358"/>
      <c r="DS162" s="358"/>
      <c r="DT162" s="358"/>
      <c r="DU162" s="358"/>
      <c r="DV162" s="358"/>
      <c r="DW162" s="358"/>
      <c r="DX162" s="358"/>
      <c r="DY162" s="358"/>
      <c r="DZ162" s="358"/>
      <c r="EA162" s="358"/>
      <c r="EB162" s="358"/>
      <c r="EC162" s="358"/>
      <c r="ED162" s="358"/>
      <c r="EE162" s="358"/>
      <c r="EF162" s="358"/>
      <c r="EG162" s="358"/>
      <c r="EH162" s="358"/>
      <c r="EI162" s="358"/>
      <c r="EJ162" s="358"/>
      <c r="EK162" s="358"/>
      <c r="EL162" s="358"/>
      <c r="EM162" s="358"/>
      <c r="EN162" s="358"/>
      <c r="EO162" s="358"/>
      <c r="EP162" s="358"/>
      <c r="EQ162" s="358"/>
      <c r="ER162" s="358"/>
      <c r="ES162" s="358"/>
      <c r="ET162" s="358"/>
      <c r="EU162" s="358"/>
      <c r="EV162" s="358"/>
      <c r="EW162" s="358"/>
      <c r="EX162" s="358"/>
      <c r="EY162" s="358"/>
      <c r="EZ162" s="358"/>
      <c r="FA162" s="358"/>
      <c r="FB162" s="358"/>
      <c r="FC162" s="358"/>
      <c r="FD162" s="358"/>
      <c r="FE162" s="358"/>
      <c r="FF162" s="358"/>
      <c r="FG162" s="358"/>
      <c r="FH162" s="358"/>
      <c r="FI162" s="358"/>
      <c r="FJ162" s="358"/>
      <c r="FK162" s="358"/>
      <c r="FL162" s="358"/>
      <c r="FM162" s="358"/>
      <c r="FN162" s="358"/>
      <c r="FO162" s="358"/>
      <c r="FP162" s="358"/>
      <c r="FQ162" s="358"/>
      <c r="FR162" s="358"/>
      <c r="FS162" s="358"/>
      <c r="FT162" s="358"/>
      <c r="FU162" s="358"/>
      <c r="FV162" s="358"/>
      <c r="FW162" s="358"/>
      <c r="FX162" s="358"/>
      <c r="FY162" s="358"/>
      <c r="FZ162" s="358"/>
      <c r="GA162" s="358"/>
      <c r="GB162" s="358"/>
      <c r="GC162" s="358"/>
      <c r="GD162" s="358"/>
      <c r="GE162" s="358"/>
      <c r="GF162" s="358"/>
      <c r="GG162" s="358"/>
      <c r="GH162" s="358"/>
      <c r="GI162" s="358"/>
      <c r="GJ162" s="358"/>
      <c r="GK162" s="358"/>
      <c r="GL162" s="358"/>
      <c r="GM162" s="358"/>
      <c r="GN162" s="358"/>
      <c r="GO162" s="358"/>
      <c r="GP162" s="358"/>
      <c r="GQ162" s="358"/>
      <c r="GR162" s="358"/>
      <c r="GS162" s="358"/>
      <c r="GT162" s="358"/>
      <c r="GU162" s="358"/>
      <c r="GV162" s="358"/>
      <c r="GW162" s="358"/>
      <c r="GX162" s="358"/>
      <c r="GY162" s="358"/>
      <c r="GZ162" s="358"/>
      <c r="HA162" s="358"/>
      <c r="HB162" s="358"/>
      <c r="HC162" s="358"/>
      <c r="HD162" s="358"/>
      <c r="HE162" s="358"/>
      <c r="HF162" s="358"/>
      <c r="HG162" s="358"/>
      <c r="HH162" s="358"/>
      <c r="HI162" s="358"/>
      <c r="HJ162" s="358"/>
      <c r="HK162" s="358"/>
      <c r="HL162" s="358"/>
      <c r="HM162" s="358"/>
      <c r="HN162" s="358"/>
      <c r="HO162" s="358"/>
      <c r="HP162" s="358"/>
      <c r="HQ162" s="358"/>
      <c r="HR162" s="358"/>
      <c r="HS162" s="358"/>
      <c r="HT162" s="358"/>
      <c r="HU162" s="358"/>
      <c r="HV162" s="358"/>
      <c r="HW162" s="358"/>
      <c r="HX162" s="358"/>
    </row>
    <row r="163" spans="1:232" s="5" customFormat="1" ht="35.25" customHeight="1">
      <c r="A163" s="503" t="s">
        <v>188</v>
      </c>
      <c r="B163" s="1673">
        <f>B49</f>
        <v>2317790.6910000001</v>
      </c>
      <c r="C163" s="1674"/>
      <c r="D163" s="1675"/>
      <c r="E163" s="1673">
        <f>E49</f>
        <v>2317790.6920000003</v>
      </c>
      <c r="F163" s="1675"/>
      <c r="G163" s="1668">
        <f>G49</f>
        <v>1E-3</v>
      </c>
      <c r="H163" s="1670"/>
      <c r="I163" s="822" t="s">
        <v>471</v>
      </c>
      <c r="J163" s="506"/>
      <c r="K163" s="463"/>
      <c r="L163" s="463"/>
      <c r="M163" s="464"/>
      <c r="N163" s="464"/>
      <c r="O163" s="464"/>
      <c r="P163" s="406"/>
      <c r="Q163" s="406"/>
      <c r="R163" s="406"/>
      <c r="S163" s="406"/>
      <c r="T163" s="406"/>
      <c r="U163" s="358"/>
      <c r="V163" s="358"/>
      <c r="W163" s="358"/>
      <c r="X163" s="358"/>
      <c r="Y163" s="358"/>
      <c r="Z163" s="358"/>
      <c r="AA163" s="358"/>
      <c r="AB163" s="358"/>
      <c r="AC163" s="358"/>
      <c r="AD163" s="358"/>
      <c r="AE163" s="358"/>
      <c r="AF163" s="358"/>
      <c r="AG163" s="358"/>
      <c r="AH163" s="358"/>
      <c r="AI163" s="358"/>
      <c r="AJ163" s="358"/>
      <c r="AK163" s="358"/>
      <c r="AL163" s="358"/>
      <c r="AM163" s="358"/>
      <c r="AN163" s="358"/>
      <c r="AO163" s="358"/>
      <c r="AP163" s="358"/>
      <c r="AQ163" s="358"/>
      <c r="AR163" s="358"/>
      <c r="AS163" s="358"/>
      <c r="AT163" s="358"/>
      <c r="AU163" s="358"/>
      <c r="AV163" s="358"/>
      <c r="AW163" s="358"/>
      <c r="AX163" s="358"/>
      <c r="AY163" s="358"/>
      <c r="AZ163" s="358"/>
      <c r="BA163" s="358"/>
      <c r="BB163" s="358"/>
      <c r="BC163" s="358"/>
      <c r="BD163" s="358"/>
      <c r="BE163" s="358"/>
      <c r="BF163" s="358"/>
      <c r="BG163" s="358"/>
      <c r="BH163" s="358"/>
      <c r="BI163" s="358"/>
      <c r="BJ163" s="358"/>
      <c r="BK163" s="358"/>
      <c r="BL163" s="358"/>
      <c r="BM163" s="358"/>
      <c r="BN163" s="358"/>
      <c r="BO163" s="358"/>
      <c r="BP163" s="358"/>
      <c r="BQ163" s="358"/>
      <c r="BR163" s="358"/>
      <c r="BS163" s="358"/>
      <c r="BT163" s="358"/>
      <c r="BU163" s="358"/>
      <c r="BV163" s="358"/>
      <c r="BW163" s="358"/>
      <c r="BX163" s="358"/>
      <c r="BY163" s="358"/>
      <c r="BZ163" s="358"/>
      <c r="CA163" s="358"/>
      <c r="CB163" s="358"/>
      <c r="CC163" s="358"/>
      <c r="CD163" s="358"/>
      <c r="CE163" s="358"/>
      <c r="CF163" s="358"/>
      <c r="CG163" s="358"/>
      <c r="CH163" s="358"/>
      <c r="CI163" s="358"/>
      <c r="CJ163" s="358"/>
      <c r="CK163" s="358"/>
      <c r="CL163" s="358"/>
      <c r="CM163" s="358"/>
      <c r="CN163" s="358"/>
      <c r="CO163" s="358"/>
      <c r="CP163" s="358"/>
      <c r="CQ163" s="358"/>
      <c r="CR163" s="358"/>
      <c r="CS163" s="358"/>
      <c r="CT163" s="358"/>
      <c r="CU163" s="358"/>
      <c r="CV163" s="358"/>
      <c r="CW163" s="358"/>
      <c r="CX163" s="358"/>
      <c r="CY163" s="358"/>
      <c r="CZ163" s="358"/>
      <c r="DA163" s="358"/>
      <c r="DB163" s="358"/>
      <c r="DC163" s="358"/>
      <c r="DD163" s="358"/>
      <c r="DE163" s="358"/>
      <c r="DF163" s="358"/>
      <c r="DG163" s="358"/>
      <c r="DH163" s="358"/>
      <c r="DI163" s="358"/>
      <c r="DJ163" s="358"/>
      <c r="DK163" s="358"/>
      <c r="DL163" s="358"/>
      <c r="DM163" s="358"/>
      <c r="DN163" s="358"/>
      <c r="DO163" s="358"/>
      <c r="DP163" s="358"/>
      <c r="DQ163" s="358"/>
      <c r="DR163" s="358"/>
      <c r="DS163" s="358"/>
      <c r="DT163" s="358"/>
      <c r="DU163" s="358"/>
      <c r="DV163" s="358"/>
      <c r="DW163" s="358"/>
      <c r="DX163" s="358"/>
      <c r="DY163" s="358"/>
      <c r="DZ163" s="358"/>
      <c r="EA163" s="358"/>
      <c r="EB163" s="358"/>
      <c r="EC163" s="358"/>
      <c r="ED163" s="358"/>
      <c r="EE163" s="358"/>
      <c r="EF163" s="358"/>
      <c r="EG163" s="358"/>
      <c r="EH163" s="358"/>
      <c r="EI163" s="358"/>
      <c r="EJ163" s="358"/>
      <c r="EK163" s="358"/>
      <c r="EL163" s="358"/>
      <c r="EM163" s="358"/>
      <c r="EN163" s="358"/>
      <c r="EO163" s="358"/>
      <c r="EP163" s="358"/>
      <c r="EQ163" s="358"/>
      <c r="ER163" s="358"/>
      <c r="ES163" s="358"/>
      <c r="ET163" s="358"/>
      <c r="EU163" s="358"/>
      <c r="EV163" s="358"/>
      <c r="EW163" s="358"/>
      <c r="EX163" s="358"/>
      <c r="EY163" s="358"/>
      <c r="EZ163" s="358"/>
      <c r="FA163" s="358"/>
      <c r="FB163" s="358"/>
      <c r="FC163" s="358"/>
      <c r="FD163" s="358"/>
      <c r="FE163" s="358"/>
      <c r="FF163" s="358"/>
      <c r="FG163" s="358"/>
      <c r="FH163" s="358"/>
      <c r="FI163" s="358"/>
      <c r="FJ163" s="358"/>
      <c r="FK163" s="358"/>
      <c r="FL163" s="358"/>
      <c r="FM163" s="358"/>
      <c r="FN163" s="358"/>
      <c r="FO163" s="358"/>
      <c r="FP163" s="358"/>
      <c r="FQ163" s="358"/>
      <c r="FR163" s="358"/>
      <c r="FS163" s="358"/>
      <c r="FT163" s="358"/>
      <c r="FU163" s="358"/>
      <c r="FV163" s="358"/>
      <c r="FW163" s="358"/>
      <c r="FX163" s="358"/>
      <c r="FY163" s="358"/>
      <c r="FZ163" s="358"/>
      <c r="GA163" s="358"/>
      <c r="GB163" s="358"/>
      <c r="GC163" s="358"/>
      <c r="GD163" s="358"/>
      <c r="GE163" s="358"/>
      <c r="GF163" s="358"/>
      <c r="GG163" s="358"/>
      <c r="GH163" s="358"/>
      <c r="GI163" s="358"/>
      <c r="GJ163" s="358"/>
      <c r="GK163" s="358"/>
      <c r="GL163" s="358"/>
      <c r="GM163" s="358"/>
      <c r="GN163" s="358"/>
      <c r="GO163" s="358"/>
      <c r="GP163" s="358"/>
      <c r="GQ163" s="358"/>
      <c r="GR163" s="358"/>
      <c r="GS163" s="358"/>
      <c r="GT163" s="358"/>
      <c r="GU163" s="358"/>
      <c r="GV163" s="358"/>
      <c r="GW163" s="358"/>
      <c r="GX163" s="358"/>
      <c r="GY163" s="358"/>
      <c r="GZ163" s="358"/>
      <c r="HA163" s="358"/>
      <c r="HB163" s="358"/>
      <c r="HC163" s="358"/>
      <c r="HD163" s="358"/>
      <c r="HE163" s="358"/>
      <c r="HF163" s="358"/>
      <c r="HG163" s="358"/>
      <c r="HH163" s="358"/>
      <c r="HI163" s="358"/>
      <c r="HJ163" s="358"/>
      <c r="HK163" s="358"/>
      <c r="HL163" s="358"/>
      <c r="HM163" s="358"/>
      <c r="HN163" s="358"/>
      <c r="HO163" s="358"/>
      <c r="HP163" s="358"/>
      <c r="HQ163" s="358"/>
      <c r="HR163" s="358"/>
      <c r="HS163" s="358"/>
      <c r="HT163" s="358"/>
      <c r="HU163" s="358"/>
      <c r="HV163" s="358"/>
      <c r="HW163" s="358"/>
      <c r="HX163" s="358"/>
    </row>
    <row r="164" spans="1:232" s="5" customFormat="1" ht="36.75" customHeight="1">
      <c r="A164" s="503" t="s">
        <v>423</v>
      </c>
      <c r="B164" s="1673">
        <f>B50</f>
        <v>430397.96399999998</v>
      </c>
      <c r="C164" s="1674"/>
      <c r="D164" s="1675"/>
      <c r="E164" s="1673">
        <f>E50</f>
        <v>430397.984</v>
      </c>
      <c r="F164" s="1675"/>
      <c r="G164" s="1668">
        <f>G50</f>
        <v>0.02</v>
      </c>
      <c r="H164" s="1670"/>
      <c r="I164" s="822" t="s">
        <v>471</v>
      </c>
      <c r="J164" s="506"/>
      <c r="K164" s="463"/>
      <c r="L164" s="463"/>
      <c r="M164" s="464"/>
      <c r="N164" s="464"/>
      <c r="O164" s="464"/>
      <c r="P164" s="406"/>
      <c r="Q164" s="406"/>
      <c r="R164" s="406"/>
      <c r="S164" s="406"/>
      <c r="T164" s="405"/>
      <c r="U164" s="358"/>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row>
    <row r="165" spans="1:232" s="5" customFormat="1" ht="20.100000000000001" customHeight="1">
      <c r="A165" s="503"/>
      <c r="B165" s="773"/>
      <c r="C165" s="774"/>
      <c r="D165" s="775"/>
      <c r="E165" s="773"/>
      <c r="F165" s="776"/>
      <c r="G165" s="777"/>
      <c r="H165" s="776"/>
      <c r="I165" s="562"/>
      <c r="J165" s="506"/>
      <c r="K165" s="463"/>
      <c r="L165" s="463"/>
      <c r="M165" s="464"/>
      <c r="N165" s="464"/>
      <c r="O165" s="464"/>
      <c r="P165" s="405"/>
      <c r="Q165" s="405"/>
      <c r="R165" s="405"/>
      <c r="S165" s="405"/>
      <c r="T165" s="405"/>
      <c r="U165" s="358"/>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row>
    <row r="166" spans="1:232" s="5" customFormat="1" ht="20.100000000000001" customHeight="1">
      <c r="A166" s="503"/>
      <c r="B166" s="773"/>
      <c r="C166" s="774"/>
      <c r="D166" s="775"/>
      <c r="E166" s="773"/>
      <c r="F166" s="776"/>
      <c r="G166" s="777"/>
      <c r="H166" s="776"/>
      <c r="I166" s="562"/>
      <c r="J166" s="506"/>
      <c r="K166" s="463"/>
      <c r="L166" s="463"/>
      <c r="M166" s="464"/>
      <c r="N166" s="464"/>
      <c r="O166" s="464"/>
      <c r="P166" s="405"/>
      <c r="Q166" s="405"/>
      <c r="R166" s="405"/>
      <c r="S166" s="405"/>
      <c r="T166" s="405"/>
      <c r="U166" s="358"/>
      <c r="V166" s="358"/>
      <c r="W166" s="358"/>
      <c r="X166" s="358"/>
      <c r="Y166" s="358"/>
      <c r="Z166" s="358"/>
      <c r="AA166" s="358"/>
      <c r="AB166" s="358"/>
      <c r="AC166" s="358"/>
      <c r="AD166" s="358"/>
      <c r="AE166" s="358"/>
      <c r="AF166" s="358"/>
      <c r="AG166" s="358"/>
      <c r="AH166" s="358"/>
      <c r="AI166" s="358"/>
      <c r="AJ166" s="358"/>
      <c r="AK166" s="358"/>
      <c r="AL166" s="358"/>
      <c r="AM166" s="358"/>
      <c r="AN166" s="358"/>
      <c r="AO166" s="358"/>
      <c r="AP166" s="358"/>
      <c r="AQ166" s="358"/>
      <c r="AR166" s="358"/>
      <c r="AS166" s="358"/>
      <c r="AT166" s="358"/>
      <c r="AU166" s="358"/>
      <c r="AV166" s="358"/>
      <c r="AW166" s="358"/>
      <c r="AX166" s="358"/>
      <c r="AY166" s="358"/>
      <c r="AZ166" s="358"/>
      <c r="BA166" s="358"/>
      <c r="BB166" s="358"/>
      <c r="BC166" s="358"/>
      <c r="BD166" s="358"/>
      <c r="BE166" s="358"/>
      <c r="BF166" s="358"/>
      <c r="BG166" s="358"/>
      <c r="BH166" s="358"/>
      <c r="BI166" s="358"/>
      <c r="BJ166" s="358"/>
      <c r="BK166" s="358"/>
      <c r="BL166" s="358"/>
      <c r="BM166" s="358"/>
      <c r="BN166" s="358"/>
      <c r="BO166" s="358"/>
      <c r="BP166" s="358"/>
      <c r="BQ166" s="358"/>
      <c r="BR166" s="358"/>
      <c r="BS166" s="358"/>
      <c r="BT166" s="358"/>
      <c r="BU166" s="358"/>
      <c r="BV166" s="358"/>
      <c r="BW166" s="358"/>
      <c r="BX166" s="358"/>
      <c r="BY166" s="358"/>
      <c r="BZ166" s="358"/>
      <c r="CA166" s="358"/>
      <c r="CB166" s="358"/>
      <c r="CC166" s="358"/>
      <c r="CD166" s="358"/>
      <c r="CE166" s="358"/>
      <c r="CF166" s="358"/>
      <c r="CG166" s="358"/>
      <c r="CH166" s="358"/>
      <c r="CI166" s="358"/>
      <c r="CJ166" s="358"/>
      <c r="CK166" s="358"/>
      <c r="CL166" s="358"/>
      <c r="CM166" s="358"/>
      <c r="CN166" s="358"/>
      <c r="CO166" s="358"/>
      <c r="CP166" s="358"/>
      <c r="CQ166" s="358"/>
      <c r="CR166" s="358"/>
      <c r="CS166" s="358"/>
      <c r="CT166" s="358"/>
      <c r="CU166" s="358"/>
      <c r="CV166" s="358"/>
      <c r="CW166" s="358"/>
      <c r="CX166" s="358"/>
      <c r="CY166" s="358"/>
      <c r="CZ166" s="358"/>
      <c r="DA166" s="358"/>
      <c r="DB166" s="358"/>
      <c r="DC166" s="358"/>
      <c r="DD166" s="358"/>
      <c r="DE166" s="358"/>
      <c r="DF166" s="358"/>
      <c r="DG166" s="358"/>
      <c r="DH166" s="358"/>
      <c r="DI166" s="358"/>
      <c r="DJ166" s="358"/>
      <c r="DK166" s="358"/>
      <c r="DL166" s="358"/>
      <c r="DM166" s="358"/>
      <c r="DN166" s="358"/>
      <c r="DO166" s="358"/>
      <c r="DP166" s="358"/>
      <c r="DQ166" s="358"/>
      <c r="DR166" s="358"/>
      <c r="DS166" s="358"/>
      <c r="DT166" s="358"/>
      <c r="DU166" s="358"/>
      <c r="DV166" s="358"/>
      <c r="DW166" s="358"/>
      <c r="DX166" s="358"/>
      <c r="DY166" s="358"/>
      <c r="DZ166" s="358"/>
      <c r="EA166" s="358"/>
      <c r="EB166" s="358"/>
      <c r="EC166" s="358"/>
      <c r="ED166" s="358"/>
      <c r="EE166" s="358"/>
      <c r="EF166" s="358"/>
      <c r="EG166" s="358"/>
      <c r="EH166" s="358"/>
      <c r="EI166" s="358"/>
      <c r="EJ166" s="358"/>
      <c r="EK166" s="358"/>
      <c r="EL166" s="358"/>
      <c r="EM166" s="358"/>
      <c r="EN166" s="358"/>
      <c r="EO166" s="358"/>
      <c r="EP166" s="358"/>
      <c r="EQ166" s="358"/>
      <c r="ER166" s="358"/>
      <c r="ES166" s="358"/>
      <c r="ET166" s="358"/>
      <c r="EU166" s="358"/>
      <c r="EV166" s="358"/>
      <c r="EW166" s="358"/>
      <c r="EX166" s="358"/>
      <c r="EY166" s="358"/>
      <c r="EZ166" s="358"/>
      <c r="FA166" s="358"/>
      <c r="FB166" s="358"/>
      <c r="FC166" s="358"/>
      <c r="FD166" s="358"/>
      <c r="FE166" s="358"/>
      <c r="FF166" s="358"/>
      <c r="FG166" s="358"/>
      <c r="FH166" s="358"/>
      <c r="FI166" s="358"/>
      <c r="FJ166" s="358"/>
      <c r="FK166" s="358"/>
      <c r="FL166" s="358"/>
      <c r="FM166" s="358"/>
      <c r="FN166" s="358"/>
      <c r="FO166" s="358"/>
      <c r="FP166" s="358"/>
      <c r="FQ166" s="358"/>
      <c r="FR166" s="358"/>
      <c r="FS166" s="358"/>
      <c r="FT166" s="358"/>
      <c r="FU166" s="358"/>
      <c r="FV166" s="358"/>
      <c r="FW166" s="358"/>
      <c r="FX166" s="358"/>
      <c r="FY166" s="358"/>
      <c r="FZ166" s="358"/>
      <c r="GA166" s="358"/>
      <c r="GB166" s="358"/>
      <c r="GC166" s="358"/>
      <c r="GD166" s="358"/>
      <c r="GE166" s="358"/>
      <c r="GF166" s="358"/>
      <c r="GG166" s="358"/>
      <c r="GH166" s="358"/>
      <c r="GI166" s="358"/>
      <c r="GJ166" s="358"/>
      <c r="GK166" s="358"/>
      <c r="GL166" s="358"/>
      <c r="GM166" s="358"/>
      <c r="GN166" s="358"/>
      <c r="GO166" s="358"/>
      <c r="GP166" s="358"/>
      <c r="GQ166" s="358"/>
      <c r="GR166" s="358"/>
      <c r="GS166" s="358"/>
      <c r="GT166" s="358"/>
      <c r="GU166" s="358"/>
      <c r="GV166" s="358"/>
      <c r="GW166" s="358"/>
      <c r="GX166" s="358"/>
      <c r="GY166" s="358"/>
      <c r="GZ166" s="358"/>
      <c r="HA166" s="358"/>
      <c r="HB166" s="358"/>
      <c r="HC166" s="358"/>
      <c r="HD166" s="358"/>
      <c r="HE166" s="358"/>
      <c r="HF166" s="358"/>
      <c r="HG166" s="358"/>
      <c r="HH166" s="358"/>
      <c r="HI166" s="358"/>
      <c r="HJ166" s="358"/>
      <c r="HK166" s="358"/>
      <c r="HL166" s="358"/>
      <c r="HM166" s="358"/>
      <c r="HN166" s="358"/>
      <c r="HO166" s="358"/>
      <c r="HP166" s="358"/>
      <c r="HQ166" s="358"/>
      <c r="HR166" s="358"/>
      <c r="HS166" s="358"/>
      <c r="HT166" s="358"/>
      <c r="HU166" s="358"/>
      <c r="HV166" s="358"/>
      <c r="HW166" s="358"/>
      <c r="HX166" s="358"/>
    </row>
    <row r="167" spans="1:232" s="5" customFormat="1" ht="20.100000000000001" customHeight="1">
      <c r="A167" s="521"/>
      <c r="B167" s="522"/>
      <c r="C167" s="522"/>
      <c r="D167" s="522"/>
      <c r="E167" s="522"/>
      <c r="F167" s="523"/>
      <c r="G167" s="523"/>
      <c r="H167" s="523"/>
      <c r="J167" s="502"/>
      <c r="K167" s="463"/>
      <c r="L167" s="463"/>
      <c r="M167" s="464"/>
      <c r="N167" s="464"/>
      <c r="O167" s="464"/>
      <c r="P167" s="405"/>
      <c r="Q167" s="405"/>
      <c r="R167" s="405"/>
      <c r="S167" s="405"/>
      <c r="T167" s="405"/>
      <c r="U167" s="358"/>
      <c r="V167" s="358"/>
      <c r="W167" s="358"/>
      <c r="X167" s="358"/>
      <c r="Y167" s="358"/>
      <c r="Z167" s="358"/>
      <c r="AA167" s="358"/>
      <c r="AB167" s="358"/>
      <c r="AC167" s="358"/>
      <c r="AD167" s="358"/>
      <c r="AE167" s="358"/>
      <c r="AF167" s="358"/>
      <c r="AG167" s="358"/>
      <c r="AH167" s="358"/>
      <c r="AI167" s="358"/>
      <c r="AJ167" s="358"/>
      <c r="AK167" s="358"/>
      <c r="AL167" s="358"/>
      <c r="AM167" s="358"/>
      <c r="AN167" s="358"/>
      <c r="AO167" s="358"/>
      <c r="AP167" s="358"/>
      <c r="AQ167" s="358"/>
      <c r="AR167" s="358"/>
      <c r="AS167" s="358"/>
      <c r="AT167" s="358"/>
      <c r="AU167" s="358"/>
      <c r="AV167" s="358"/>
      <c r="AW167" s="358"/>
      <c r="AX167" s="358"/>
      <c r="AY167" s="358"/>
      <c r="AZ167" s="358"/>
      <c r="BA167" s="358"/>
      <c r="BB167" s="358"/>
      <c r="BC167" s="358"/>
      <c r="BD167" s="358"/>
      <c r="BE167" s="358"/>
      <c r="BF167" s="358"/>
      <c r="BG167" s="358"/>
      <c r="BH167" s="358"/>
      <c r="BI167" s="358"/>
      <c r="BJ167" s="358"/>
      <c r="BK167" s="358"/>
      <c r="BL167" s="358"/>
      <c r="BM167" s="358"/>
      <c r="BN167" s="358"/>
      <c r="BO167" s="358"/>
      <c r="BP167" s="358"/>
      <c r="BQ167" s="358"/>
      <c r="BR167" s="358"/>
      <c r="BS167" s="358"/>
      <c r="BT167" s="358"/>
      <c r="BU167" s="358"/>
      <c r="BV167" s="358"/>
      <c r="BW167" s="358"/>
      <c r="BX167" s="358"/>
      <c r="BY167" s="358"/>
      <c r="BZ167" s="358"/>
      <c r="CA167" s="358"/>
      <c r="CB167" s="358"/>
      <c r="CC167" s="358"/>
      <c r="CD167" s="358"/>
      <c r="CE167" s="358"/>
      <c r="CF167" s="358"/>
      <c r="CG167" s="358"/>
      <c r="CH167" s="358"/>
      <c r="CI167" s="358"/>
      <c r="CJ167" s="358"/>
      <c r="CK167" s="358"/>
      <c r="CL167" s="358"/>
      <c r="CM167" s="358"/>
      <c r="CN167" s="358"/>
      <c r="CO167" s="358"/>
      <c r="CP167" s="358"/>
      <c r="CQ167" s="358"/>
      <c r="CR167" s="358"/>
      <c r="CS167" s="358"/>
      <c r="CT167" s="358"/>
      <c r="CU167" s="358"/>
      <c r="CV167" s="358"/>
      <c r="CW167" s="358"/>
      <c r="CX167" s="358"/>
      <c r="CY167" s="358"/>
      <c r="CZ167" s="358"/>
      <c r="DA167" s="358"/>
      <c r="DB167" s="358"/>
      <c r="DC167" s="358"/>
      <c r="DD167" s="358"/>
      <c r="DE167" s="358"/>
      <c r="DF167" s="358"/>
      <c r="DG167" s="358"/>
      <c r="DH167" s="358"/>
      <c r="DI167" s="358"/>
      <c r="DJ167" s="358"/>
      <c r="DK167" s="358"/>
      <c r="DL167" s="358"/>
      <c r="DM167" s="358"/>
      <c r="DN167" s="358"/>
      <c r="DO167" s="358"/>
      <c r="DP167" s="358"/>
      <c r="DQ167" s="358"/>
      <c r="DR167" s="358"/>
      <c r="DS167" s="358"/>
      <c r="DT167" s="358"/>
      <c r="DU167" s="358"/>
      <c r="DV167" s="358"/>
      <c r="DW167" s="358"/>
      <c r="DX167" s="358"/>
      <c r="DY167" s="358"/>
      <c r="DZ167" s="358"/>
      <c r="EA167" s="358"/>
      <c r="EB167" s="358"/>
      <c r="EC167" s="358"/>
      <c r="ED167" s="358"/>
      <c r="EE167" s="358"/>
      <c r="EF167" s="358"/>
      <c r="EG167" s="358"/>
      <c r="EH167" s="358"/>
      <c r="EI167" s="358"/>
      <c r="EJ167" s="358"/>
      <c r="EK167" s="358"/>
      <c r="EL167" s="358"/>
      <c r="EM167" s="358"/>
      <c r="EN167" s="358"/>
      <c r="EO167" s="358"/>
      <c r="EP167" s="358"/>
      <c r="EQ167" s="358"/>
      <c r="ER167" s="358"/>
      <c r="ES167" s="358"/>
      <c r="ET167" s="358"/>
      <c r="EU167" s="358"/>
      <c r="EV167" s="358"/>
      <c r="EW167" s="358"/>
      <c r="EX167" s="358"/>
      <c r="EY167" s="358"/>
      <c r="EZ167" s="358"/>
      <c r="FA167" s="358"/>
      <c r="FB167" s="358"/>
      <c r="FC167" s="358"/>
      <c r="FD167" s="358"/>
      <c r="FE167" s="358"/>
      <c r="FF167" s="358"/>
      <c r="FG167" s="358"/>
      <c r="FH167" s="358"/>
      <c r="FI167" s="358"/>
      <c r="FJ167" s="358"/>
      <c r="FK167" s="358"/>
      <c r="FL167" s="358"/>
      <c r="FM167" s="358"/>
      <c r="FN167" s="358"/>
      <c r="FO167" s="358"/>
      <c r="FP167" s="358"/>
      <c r="FQ167" s="358"/>
      <c r="FR167" s="358"/>
      <c r="FS167" s="358"/>
      <c r="FT167" s="358"/>
      <c r="FU167" s="358"/>
      <c r="FV167" s="358"/>
      <c r="FW167" s="358"/>
      <c r="FX167" s="358"/>
      <c r="FY167" s="358"/>
      <c r="FZ167" s="358"/>
      <c r="GA167" s="358"/>
      <c r="GB167" s="358"/>
      <c r="GC167" s="358"/>
      <c r="GD167" s="358"/>
      <c r="GE167" s="358"/>
      <c r="GF167" s="358"/>
      <c r="GG167" s="358"/>
      <c r="GH167" s="358"/>
      <c r="GI167" s="358"/>
      <c r="GJ167" s="358"/>
      <c r="GK167" s="358"/>
      <c r="GL167" s="358"/>
      <c r="GM167" s="358"/>
      <c r="GN167" s="358"/>
      <c r="GO167" s="358"/>
      <c r="GP167" s="358"/>
      <c r="GQ167" s="358"/>
      <c r="GR167" s="358"/>
      <c r="GS167" s="358"/>
      <c r="GT167" s="358"/>
      <c r="GU167" s="358"/>
      <c r="GV167" s="358"/>
      <c r="GW167" s="358"/>
      <c r="GX167" s="358"/>
      <c r="GY167" s="358"/>
      <c r="GZ167" s="358"/>
      <c r="HA167" s="358"/>
      <c r="HB167" s="358"/>
      <c r="HC167" s="358"/>
      <c r="HD167" s="358"/>
      <c r="HE167" s="358"/>
      <c r="HF167" s="358"/>
      <c r="HG167" s="358"/>
      <c r="HH167" s="358"/>
      <c r="HI167" s="358"/>
      <c r="HJ167" s="358"/>
      <c r="HK167" s="358"/>
      <c r="HL167" s="358"/>
      <c r="HM167" s="358"/>
      <c r="HN167" s="358"/>
      <c r="HO167" s="358"/>
      <c r="HP167" s="358"/>
      <c r="HQ167" s="358"/>
      <c r="HR167" s="358"/>
      <c r="HS167" s="358"/>
      <c r="HT167" s="358"/>
      <c r="HU167" s="358"/>
      <c r="HV167" s="358"/>
      <c r="HW167" s="358"/>
      <c r="HX167" s="358"/>
    </row>
    <row r="168" spans="1:232" ht="20.100000000000001" customHeight="1">
      <c r="A168" s="1595" t="s">
        <v>1042</v>
      </c>
      <c r="B168" s="1595"/>
      <c r="C168" s="1595"/>
      <c r="D168" s="1595"/>
      <c r="E168" s="1595"/>
      <c r="F168" s="1595"/>
      <c r="G168" s="1595"/>
      <c r="H168" s="1595"/>
      <c r="I168" s="1595"/>
      <c r="J168" s="1595"/>
      <c r="P168" s="405"/>
      <c r="Q168" s="405"/>
      <c r="R168" s="405"/>
      <c r="S168" s="405"/>
    </row>
    <row r="169" spans="1:232" ht="20.100000000000001" customHeight="1">
      <c r="A169" s="1596" t="s">
        <v>121</v>
      </c>
      <c r="B169" s="1596"/>
      <c r="C169" s="1596"/>
      <c r="D169" s="1596"/>
      <c r="E169" s="1596"/>
      <c r="F169" s="1596"/>
      <c r="G169" s="1596"/>
      <c r="H169" s="1596"/>
      <c r="I169" s="1596"/>
      <c r="J169" s="1596"/>
    </row>
    <row r="170" spans="1:232" ht="20.100000000000001" customHeight="1">
      <c r="A170" s="1600" t="s">
        <v>917</v>
      </c>
      <c r="B170" s="1600"/>
      <c r="C170" s="1600"/>
      <c r="D170" s="1600"/>
      <c r="E170" s="1600"/>
      <c r="F170" s="1600"/>
      <c r="G170" s="1600"/>
      <c r="H170" s="1600"/>
      <c r="I170" s="1600"/>
      <c r="J170" s="1600"/>
    </row>
    <row r="171" spans="1:232" ht="20.100000000000001" customHeight="1">
      <c r="A171" s="1595"/>
      <c r="B171" s="1595"/>
      <c r="C171" s="1595"/>
      <c r="D171" s="1595"/>
      <c r="E171" s="1595"/>
      <c r="F171" s="1595"/>
      <c r="G171" s="1595"/>
      <c r="H171" s="1595"/>
      <c r="I171" s="1595"/>
      <c r="J171" s="1595"/>
    </row>
    <row r="172" spans="1:232" ht="20.100000000000001" customHeight="1">
      <c r="A172" s="1672" t="s">
        <v>820</v>
      </c>
      <c r="B172" s="1672"/>
      <c r="C172" s="1672"/>
      <c r="D172" s="1672"/>
      <c r="E172" s="1599" t="s">
        <v>186</v>
      </c>
      <c r="F172" s="1599"/>
      <c r="G172" s="1599"/>
      <c r="H172" s="640" t="s">
        <v>5</v>
      </c>
      <c r="I172" s="507"/>
      <c r="J172" s="507"/>
    </row>
    <row r="173" spans="1:232" ht="20.100000000000001" customHeight="1">
      <c r="I173" s="640"/>
      <c r="J173" s="640"/>
    </row>
    <row r="174" spans="1:232" ht="20.100000000000001" customHeight="1">
      <c r="A174" s="640"/>
      <c r="B174" s="640"/>
      <c r="C174" s="640"/>
      <c r="D174" s="640"/>
      <c r="E174" s="640"/>
      <c r="F174" s="640"/>
      <c r="G174" s="640"/>
      <c r="H174" s="640"/>
      <c r="I174" s="640"/>
      <c r="J174" s="640"/>
    </row>
    <row r="175" spans="1:232" ht="20.100000000000001" customHeight="1">
      <c r="A175" s="640"/>
      <c r="B175" s="640"/>
      <c r="C175" s="640"/>
      <c r="D175" s="640"/>
      <c r="E175" s="640"/>
      <c r="F175" s="640"/>
      <c r="G175" s="640"/>
      <c r="H175" s="640"/>
      <c r="I175" s="640"/>
      <c r="J175" s="640"/>
    </row>
    <row r="176" spans="1:232" ht="20.100000000000001" customHeight="1">
      <c r="A176" s="640"/>
      <c r="B176" s="640"/>
      <c r="C176" s="640"/>
      <c r="D176" s="640"/>
      <c r="E176" s="640"/>
      <c r="F176" s="640"/>
      <c r="G176" s="640"/>
      <c r="H176" s="640"/>
      <c r="I176" s="640"/>
      <c r="J176" s="640"/>
    </row>
    <row r="177" spans="1:10" ht="20.100000000000001" customHeight="1">
      <c r="A177" s="640"/>
      <c r="B177" s="640"/>
      <c r="C177" s="640"/>
      <c r="D177" s="640"/>
      <c r="E177" s="640"/>
      <c r="F177" s="640"/>
      <c r="G177" s="640"/>
      <c r="H177" s="640"/>
      <c r="I177" s="640"/>
      <c r="J177" s="640"/>
    </row>
    <row r="178" spans="1:10" ht="20.100000000000001" customHeight="1">
      <c r="A178" s="640"/>
      <c r="B178" s="640"/>
      <c r="C178" s="640"/>
      <c r="D178" s="640"/>
      <c r="E178" s="640"/>
      <c r="F178" s="640"/>
      <c r="G178" s="640"/>
      <c r="H178" s="640"/>
      <c r="I178" s="640"/>
      <c r="J178" s="640"/>
    </row>
    <row r="179" spans="1:10" ht="20.100000000000001" customHeight="1">
      <c r="A179" s="508"/>
      <c r="B179" s="508"/>
      <c r="C179" s="508"/>
      <c r="D179" s="508"/>
      <c r="E179" s="508"/>
      <c r="F179" s="508"/>
      <c r="G179" s="508"/>
      <c r="H179" s="508"/>
      <c r="I179" s="508"/>
      <c r="J179" s="508"/>
    </row>
  </sheetData>
  <mergeCells count="146">
    <mergeCell ref="A1:J1"/>
    <mergeCell ref="A2:J2"/>
    <mergeCell ref="A3:J3"/>
    <mergeCell ref="A4:J4"/>
    <mergeCell ref="A6:J6"/>
    <mergeCell ref="A7:J7"/>
    <mergeCell ref="C9:J9"/>
    <mergeCell ref="C10:J10"/>
    <mergeCell ref="C11:J11"/>
    <mergeCell ref="C12:J12"/>
    <mergeCell ref="A13:J13"/>
    <mergeCell ref="A14:J14"/>
    <mergeCell ref="E23:J23"/>
    <mergeCell ref="A15:J15"/>
    <mergeCell ref="A17:E17"/>
    <mergeCell ref="F17:J17"/>
    <mergeCell ref="A18:E18"/>
    <mergeCell ref="F18:J18"/>
    <mergeCell ref="A19:J19"/>
    <mergeCell ref="E24:J24"/>
    <mergeCell ref="A26:J26"/>
    <mergeCell ref="A27:J27"/>
    <mergeCell ref="A28:J28"/>
    <mergeCell ref="A29:J29"/>
    <mergeCell ref="A20:E20"/>
    <mergeCell ref="F20:J20"/>
    <mergeCell ref="A21:E21"/>
    <mergeCell ref="F21:J21"/>
    <mergeCell ref="A22:J22"/>
    <mergeCell ref="B35:J35"/>
    <mergeCell ref="B36:J36"/>
    <mergeCell ref="A43:J43"/>
    <mergeCell ref="A44:J44"/>
    <mergeCell ref="A46:A48"/>
    <mergeCell ref="B46:H47"/>
    <mergeCell ref="I46:J46"/>
    <mergeCell ref="B48:D48"/>
    <mergeCell ref="E48:F48"/>
    <mergeCell ref="G48:H48"/>
    <mergeCell ref="B49:D49"/>
    <mergeCell ref="E49:F49"/>
    <mergeCell ref="G49:H49"/>
    <mergeCell ref="B50:D50"/>
    <mergeCell ref="E50:F50"/>
    <mergeCell ref="G50:H50"/>
    <mergeCell ref="A53:J53"/>
    <mergeCell ref="A54:J54"/>
    <mergeCell ref="A55:J55"/>
    <mergeCell ref="A56:J56"/>
    <mergeCell ref="A58:E58"/>
    <mergeCell ref="F58:J58"/>
    <mergeCell ref="F59:G59"/>
    <mergeCell ref="H59:J59"/>
    <mergeCell ref="A75:E75"/>
    <mergeCell ref="F75:J75"/>
    <mergeCell ref="A76:E76"/>
    <mergeCell ref="F76:J76"/>
    <mergeCell ref="F77:J77"/>
    <mergeCell ref="A80:J80"/>
    <mergeCell ref="A81:J81"/>
    <mergeCell ref="C82:J82"/>
    <mergeCell ref="C83:J83"/>
    <mergeCell ref="A78:J78"/>
    <mergeCell ref="C84:J84"/>
    <mergeCell ref="C85:J85"/>
    <mergeCell ref="A89:J89"/>
    <mergeCell ref="A90:B90"/>
    <mergeCell ref="A94:C96"/>
    <mergeCell ref="D94:E94"/>
    <mergeCell ref="F94:J94"/>
    <mergeCell ref="D95:D96"/>
    <mergeCell ref="E95:E96"/>
    <mergeCell ref="F95:J96"/>
    <mergeCell ref="A97:C99"/>
    <mergeCell ref="D97:E97"/>
    <mergeCell ref="F97:J97"/>
    <mergeCell ref="D98:D99"/>
    <mergeCell ref="E98:E99"/>
    <mergeCell ref="F98:J99"/>
    <mergeCell ref="D91:F91"/>
    <mergeCell ref="A100:F100"/>
    <mergeCell ref="A101:F101"/>
    <mergeCell ref="H101:J101"/>
    <mergeCell ref="A102:G102"/>
    <mergeCell ref="A103:G103"/>
    <mergeCell ref="A104:G104"/>
    <mergeCell ref="A105:G105"/>
    <mergeCell ref="A106:G106"/>
    <mergeCell ref="A107:G107"/>
    <mergeCell ref="A108:G108"/>
    <mergeCell ref="H108:J108"/>
    <mergeCell ref="A111:J111"/>
    <mergeCell ref="A112:J112"/>
    <mergeCell ref="A113:J113"/>
    <mergeCell ref="A114:J114"/>
    <mergeCell ref="A116:J116"/>
    <mergeCell ref="A117:J117"/>
    <mergeCell ref="C119:J119"/>
    <mergeCell ref="C120:J120"/>
    <mergeCell ref="C121:J121"/>
    <mergeCell ref="C122:J122"/>
    <mergeCell ref="A123:J123"/>
    <mergeCell ref="A124:J124"/>
    <mergeCell ref="A125:J125"/>
    <mergeCell ref="A127:E127"/>
    <mergeCell ref="F127:J127"/>
    <mergeCell ref="A128:E128"/>
    <mergeCell ref="F128:J128"/>
    <mergeCell ref="E137:J137"/>
    <mergeCell ref="A139:J139"/>
    <mergeCell ref="A140:J140"/>
    <mergeCell ref="A142:J142"/>
    <mergeCell ref="B146:J146"/>
    <mergeCell ref="B147:J147"/>
    <mergeCell ref="A129:J129"/>
    <mergeCell ref="A130:E130"/>
    <mergeCell ref="F130:J130"/>
    <mergeCell ref="F131:J131"/>
    <mergeCell ref="A132:J132"/>
    <mergeCell ref="F133:J133"/>
    <mergeCell ref="F134:J134"/>
    <mergeCell ref="A135:J135"/>
    <mergeCell ref="E136:J136"/>
    <mergeCell ref="B148:J148"/>
    <mergeCell ref="B149:J149"/>
    <mergeCell ref="A156:J156"/>
    <mergeCell ref="A157:J157"/>
    <mergeCell ref="A158:J158"/>
    <mergeCell ref="A160:A162"/>
    <mergeCell ref="B160:H161"/>
    <mergeCell ref="I160:J160"/>
    <mergeCell ref="B162:D162"/>
    <mergeCell ref="E162:F162"/>
    <mergeCell ref="A168:J168"/>
    <mergeCell ref="A169:J169"/>
    <mergeCell ref="A170:J170"/>
    <mergeCell ref="A171:J171"/>
    <mergeCell ref="A172:D172"/>
    <mergeCell ref="E172:G172"/>
    <mergeCell ref="G162:H162"/>
    <mergeCell ref="B163:D163"/>
    <mergeCell ref="E163:F163"/>
    <mergeCell ref="G163:H163"/>
    <mergeCell ref="B164:D164"/>
    <mergeCell ref="E164:F164"/>
    <mergeCell ref="G164:H164"/>
  </mergeCells>
  <printOptions horizontalCentered="1"/>
  <pageMargins left="0.70866141732283472" right="0" top="0.51181102362204722" bottom="0.51181102362204722" header="0.31496062992125984" footer="0.31496062992125984"/>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Y181"/>
  <sheetViews>
    <sheetView view="pageBreakPreview" topLeftCell="A7" zoomScaleNormal="100" zoomScaleSheetLayoutView="100" workbookViewId="0">
      <selection activeCell="L17" sqref="L17"/>
    </sheetView>
  </sheetViews>
  <sheetFormatPr defaultRowHeight="15"/>
  <cols>
    <col min="1" max="1" width="5.140625" style="463" customWidth="1"/>
    <col min="2" max="2" width="12.28515625" style="463" customWidth="1"/>
    <col min="3" max="3" width="10.140625" style="463" customWidth="1"/>
    <col min="4" max="4" width="8.28515625" style="463" customWidth="1"/>
    <col min="5" max="5" width="13" style="463" customWidth="1"/>
    <col min="6" max="6" width="9.7109375" style="463" customWidth="1"/>
    <col min="7" max="7" width="8" style="463" customWidth="1"/>
    <col min="8" max="8" width="9.42578125" style="463" customWidth="1"/>
    <col min="9" max="9" width="9.7109375" style="463" customWidth="1"/>
    <col min="10" max="10" width="11.5703125" style="463" customWidth="1"/>
    <col min="11" max="11" width="12.42578125" style="463" customWidth="1"/>
    <col min="12" max="12" width="11.28515625" style="463" bestFit="1" customWidth="1"/>
    <col min="13" max="13" width="9.140625" style="463"/>
    <col min="14" max="14" width="8.5703125" style="464" customWidth="1"/>
    <col min="15" max="15" width="24.7109375" style="464" bestFit="1" customWidth="1"/>
    <col min="16" max="16" width="18" style="464" customWidth="1"/>
    <col min="17" max="17" width="18.42578125" style="464" customWidth="1"/>
    <col min="18" max="25" width="9.140625" style="464"/>
    <col min="26" max="31" width="9.140625" style="468"/>
    <col min="32" max="16384" width="9.140625" style="463"/>
  </cols>
  <sheetData>
    <row r="1" spans="1:31" ht="20.100000000000001" customHeight="1">
      <c r="A1" s="1682" t="s">
        <v>77</v>
      </c>
      <c r="B1" s="1682"/>
      <c r="C1" s="1682"/>
      <c r="D1" s="1682"/>
      <c r="E1" s="1682"/>
      <c r="F1" s="1682"/>
      <c r="G1" s="1682"/>
      <c r="H1" s="1682"/>
      <c r="I1" s="1682"/>
      <c r="J1" s="1682"/>
      <c r="K1" s="751"/>
      <c r="M1" s="464"/>
      <c r="N1" s="465"/>
      <c r="P1" s="466"/>
      <c r="Q1" s="466"/>
      <c r="R1" s="467"/>
      <c r="W1" s="467"/>
    </row>
    <row r="2" spans="1:31" ht="20.100000000000001" customHeight="1">
      <c r="A2" s="1683" t="s">
        <v>80</v>
      </c>
      <c r="B2" s="1683"/>
      <c r="C2" s="1683"/>
      <c r="D2" s="1683"/>
      <c r="E2" s="1683"/>
      <c r="F2" s="1683"/>
      <c r="G2" s="1683"/>
      <c r="H2" s="1683"/>
      <c r="I2" s="1683"/>
      <c r="J2" s="1683"/>
      <c r="K2" s="752"/>
      <c r="M2" s="467"/>
      <c r="O2" s="467"/>
      <c r="P2" s="466"/>
      <c r="Q2" s="466"/>
      <c r="R2" s="467" t="s">
        <v>1132</v>
      </c>
      <c r="W2" s="467"/>
    </row>
    <row r="3" spans="1:31" ht="20.100000000000001" customHeight="1">
      <c r="A3" s="1616" t="s">
        <v>82</v>
      </c>
      <c r="B3" s="1616"/>
      <c r="C3" s="1616"/>
      <c r="D3" s="1616"/>
      <c r="E3" s="1616"/>
      <c r="F3" s="1616"/>
      <c r="G3" s="1616"/>
      <c r="H3" s="1616"/>
      <c r="I3" s="1616"/>
      <c r="J3" s="1616"/>
      <c r="K3" s="737"/>
      <c r="M3" s="469"/>
      <c r="O3" s="467"/>
      <c r="Q3" s="467"/>
      <c r="W3" s="467"/>
    </row>
    <row r="4" spans="1:31" ht="20.100000000000001" customHeight="1">
      <c r="A4" s="1684">
        <f>L20</f>
        <v>42466</v>
      </c>
      <c r="B4" s="1684"/>
      <c r="C4" s="1684"/>
      <c r="D4" s="1684"/>
      <c r="E4" s="1684"/>
      <c r="F4" s="1684"/>
      <c r="G4" s="1684"/>
      <c r="H4" s="1684"/>
      <c r="I4" s="1684"/>
      <c r="J4" s="1684"/>
      <c r="K4" s="759"/>
      <c r="M4" s="469"/>
      <c r="O4" s="467"/>
      <c r="P4" s="466"/>
      <c r="Q4" s="466"/>
      <c r="R4" s="467"/>
    </row>
    <row r="5" spans="1:31" ht="20.100000000000001" customHeight="1">
      <c r="A5" s="1685" t="s">
        <v>86</v>
      </c>
      <c r="B5" s="1618"/>
      <c r="C5" s="1618"/>
      <c r="D5" s="1618"/>
      <c r="E5" s="1618"/>
      <c r="F5" s="1618"/>
      <c r="G5" s="1618"/>
      <c r="H5" s="1618"/>
      <c r="I5" s="1618"/>
      <c r="J5" s="1618"/>
      <c r="K5" s="736"/>
      <c r="N5" s="469"/>
      <c r="O5" s="470"/>
      <c r="P5" s="466"/>
      <c r="Q5" s="466"/>
      <c r="R5" s="466"/>
    </row>
    <row r="6" spans="1:31" ht="20.100000000000001" customHeight="1">
      <c r="A6" s="1686" t="str">
        <f xml:space="preserve"> "SỐ: TGHL-HT-CWI-C&amp;S-"&amp;'2. NK'!D10&amp;"/"&amp;'2. NK'!H10</f>
        <v>SỐ: TGHL-HT-CWI-C&amp;S-B1/800</v>
      </c>
      <c r="B6" s="1686"/>
      <c r="C6" s="1686"/>
      <c r="D6" s="1686"/>
      <c r="E6" s="1686"/>
      <c r="F6" s="1686"/>
      <c r="G6" s="1686"/>
      <c r="H6" s="1686"/>
      <c r="I6" s="1686"/>
      <c r="J6" s="1686"/>
      <c r="K6" s="770"/>
      <c r="M6" s="469"/>
      <c r="O6" s="467"/>
      <c r="P6" s="466"/>
      <c r="Q6" s="466"/>
      <c r="R6" s="466"/>
    </row>
    <row r="7" spans="1:31" s="472" customFormat="1" ht="20.100000000000001" customHeight="1">
      <c r="A7" s="471"/>
      <c r="B7" s="471"/>
      <c r="C7" s="471"/>
      <c r="D7" s="471"/>
      <c r="E7" s="471"/>
      <c r="F7" s="471"/>
      <c r="G7" s="471"/>
      <c r="H7" s="471"/>
      <c r="I7" s="471"/>
      <c r="J7" s="471"/>
      <c r="K7" s="471"/>
      <c r="M7" s="463"/>
      <c r="N7" s="469"/>
      <c r="O7" s="473"/>
      <c r="P7" s="466"/>
      <c r="Q7" s="466"/>
      <c r="R7" s="467"/>
      <c r="S7" s="464"/>
      <c r="T7" s="464"/>
      <c r="U7" s="464"/>
      <c r="V7" s="474"/>
      <c r="W7" s="474"/>
      <c r="X7" s="474"/>
      <c r="Y7" s="474"/>
      <c r="Z7" s="475"/>
      <c r="AA7" s="475"/>
      <c r="AB7" s="475"/>
      <c r="AC7" s="475"/>
      <c r="AD7" s="475"/>
      <c r="AE7" s="475"/>
    </row>
    <row r="8" spans="1:31" ht="35.1" customHeight="1">
      <c r="A8" s="760" t="str">
        <f>'[6]7. BBNT-TOADOCOC'!A9</f>
        <v>DỰ ÁN:</v>
      </c>
      <c r="B8" s="760"/>
      <c r="C8" s="1681" t="str">
        <f>'[6]7. BBNT-TOADOCOC'!C9:J9</f>
        <v>KHU HỖN HỢP CHUNG CƯ, VĂN PHÒNG, TRUNG TÂM THƯƠNG MẠI VÀ NHÀ Ở KẾT HỢP KHU MUA SẮM</v>
      </c>
      <c r="D8" s="1681"/>
      <c r="E8" s="1681"/>
      <c r="F8" s="1681"/>
      <c r="G8" s="1681"/>
      <c r="H8" s="1681"/>
      <c r="I8" s="1681"/>
      <c r="J8" s="1681"/>
      <c r="K8" s="761"/>
      <c r="M8" s="467"/>
      <c r="N8" s="467"/>
      <c r="O8" s="467"/>
      <c r="P8" s="762"/>
      <c r="Q8" s="466"/>
      <c r="R8" s="466"/>
    </row>
    <row r="9" spans="1:31" ht="20.25" customHeight="1">
      <c r="A9" s="760" t="str">
        <f>'[6]7. BBNT-TOADOCOC'!A10</f>
        <v>CÔNG TRÌNH:</v>
      </c>
      <c r="B9" s="760"/>
      <c r="C9" s="1681" t="str">
        <f>'[6]7. BBNT-TOADOCOC'!C10:J10</f>
        <v>KHU HỖN HỢP CHUNG CƯ, VĂN PHÒNG, TTTM</v>
      </c>
      <c r="D9" s="1681"/>
      <c r="E9" s="1681"/>
      <c r="F9" s="1681"/>
      <c r="G9" s="1681"/>
      <c r="H9" s="1681"/>
      <c r="I9" s="1681"/>
      <c r="J9" s="1681"/>
      <c r="K9" s="761"/>
      <c r="M9" s="467"/>
      <c r="N9" s="467"/>
      <c r="O9" s="467"/>
      <c r="P9" s="762"/>
      <c r="Q9" s="466"/>
      <c r="R9" s="466"/>
    </row>
    <row r="10" spans="1:31" ht="20.100000000000001" customHeight="1">
      <c r="A10" s="760" t="str">
        <f>'[6]7. BBNT-TOADOCOC'!A11</f>
        <v>GÓI THẦU :</v>
      </c>
      <c r="B10" s="760"/>
      <c r="C10" s="1681" t="str">
        <f>'[6]7. BBNT-TOADOCOC'!C11:J11</f>
        <v>THI CÔNG CỌC KHOAN NHỒI</v>
      </c>
      <c r="D10" s="1681"/>
      <c r="E10" s="1681"/>
      <c r="F10" s="1681"/>
      <c r="G10" s="1681"/>
      <c r="H10" s="1681"/>
      <c r="I10" s="1681"/>
      <c r="J10" s="1681"/>
      <c r="K10" s="761"/>
      <c r="M10" s="467"/>
      <c r="N10" s="467"/>
      <c r="O10" s="470"/>
      <c r="P10" s="466"/>
      <c r="Q10" s="466"/>
      <c r="R10" s="466"/>
    </row>
    <row r="11" spans="1:31" ht="20.100000000000001" customHeight="1">
      <c r="A11" s="760" t="str">
        <f>'[6]7. BBNT-TOADOCOC'!A12</f>
        <v>ĐỊA ĐIỂM :</v>
      </c>
      <c r="B11" s="760"/>
      <c r="C11" s="1681" t="str">
        <f>'[6]7. BBNT-TOADOCOC'!C12:J12</f>
        <v>ĐƯỜNG 25/4, P BẠCH ĐẰNG, TP. HẠ LONG, TỈNH QUẢNG NINH</v>
      </c>
      <c r="D11" s="1681"/>
      <c r="E11" s="1681"/>
      <c r="F11" s="1681"/>
      <c r="G11" s="1681"/>
      <c r="H11" s="1681"/>
      <c r="I11" s="1681"/>
      <c r="J11" s="1681"/>
      <c r="K11" s="761"/>
      <c r="M11" s="467"/>
      <c r="N11" s="467"/>
      <c r="O11" s="473"/>
      <c r="P11" s="466"/>
      <c r="Q11" s="466"/>
      <c r="R11" s="467"/>
    </row>
    <row r="12" spans="1:31" ht="20.100000000000001" customHeight="1">
      <c r="A12" s="1596" t="s">
        <v>89</v>
      </c>
      <c r="B12" s="1596"/>
      <c r="C12" s="1596"/>
      <c r="D12" s="1596"/>
      <c r="E12" s="1596"/>
      <c r="F12" s="1596"/>
      <c r="G12" s="1596"/>
      <c r="H12" s="1596"/>
      <c r="I12" s="1596"/>
      <c r="J12" s="1596"/>
      <c r="K12" s="741"/>
      <c r="M12" s="469"/>
      <c r="N12" s="467"/>
      <c r="O12" s="467"/>
      <c r="P12" s="478"/>
      <c r="Q12" s="479"/>
      <c r="R12" s="469"/>
      <c r="S12" s="474"/>
      <c r="T12" s="474"/>
      <c r="U12" s="474"/>
    </row>
    <row r="13" spans="1:31" ht="20.100000000000001" customHeight="1">
      <c r="A13" s="1610" t="str">
        <f>"Gia công, lắp dựng cốt thép cọc số hiệu "&amp; '2. NK'!D10</f>
        <v>Gia công, lắp dựng cốt thép cọc số hiệu B1</v>
      </c>
      <c r="B13" s="1622"/>
      <c r="C13" s="1622"/>
      <c r="D13" s="1622"/>
      <c r="E13" s="1622"/>
      <c r="F13" s="1622"/>
      <c r="G13" s="1622"/>
      <c r="H13" s="1622"/>
      <c r="I13" s="1622"/>
      <c r="J13" s="1622"/>
      <c r="K13"/>
      <c r="M13" s="469"/>
      <c r="N13" s="469"/>
      <c r="O13" s="470"/>
      <c r="P13" s="466"/>
      <c r="Q13" s="466"/>
      <c r="R13" s="467"/>
    </row>
    <row r="14" spans="1:31" ht="20.100000000000001" customHeight="1">
      <c r="A14" s="1596" t="s">
        <v>859</v>
      </c>
      <c r="B14" s="1596"/>
      <c r="C14" s="1596"/>
      <c r="D14" s="1596"/>
      <c r="E14" s="1596"/>
      <c r="F14" s="1596"/>
      <c r="G14" s="1596"/>
      <c r="H14" s="1596"/>
      <c r="I14" s="1596"/>
      <c r="J14" s="1596"/>
      <c r="K14" s="741"/>
      <c r="M14" s="469"/>
      <c r="N14" s="467"/>
      <c r="O14" s="467"/>
      <c r="P14" s="466"/>
      <c r="Q14" s="466"/>
      <c r="R14" s="466"/>
    </row>
    <row r="15" spans="1:31" ht="20.100000000000001" customHeight="1">
      <c r="A15" s="482" t="s">
        <v>860</v>
      </c>
      <c r="B15" s="118"/>
      <c r="C15" s="118"/>
      <c r="D15" s="118"/>
      <c r="E15" s="118"/>
      <c r="F15" s="483"/>
      <c r="G15" s="483"/>
      <c r="H15" s="483"/>
      <c r="I15" s="483"/>
      <c r="J15" s="483"/>
      <c r="K15" s="483"/>
      <c r="N15" s="469"/>
      <c r="O15" s="470"/>
      <c r="P15" s="466"/>
      <c r="Q15" s="466"/>
      <c r="R15" s="466"/>
    </row>
    <row r="16" spans="1:31" ht="20.100000000000001" customHeight="1">
      <c r="A16" s="1595" t="s">
        <v>907</v>
      </c>
      <c r="B16" s="1595"/>
      <c r="C16" s="1595"/>
      <c r="D16" s="1595"/>
      <c r="E16" s="1595"/>
      <c r="F16" s="1595" t="s">
        <v>908</v>
      </c>
      <c r="G16" s="1595"/>
      <c r="H16" s="1595"/>
      <c r="I16" s="1595"/>
      <c r="J16" s="1595"/>
      <c r="K16" s="481"/>
      <c r="O16" s="473"/>
      <c r="P16" s="466"/>
      <c r="Q16" s="466"/>
      <c r="R16" s="466"/>
    </row>
    <row r="17" spans="1:233" ht="20.100000000000001" customHeight="1">
      <c r="A17" s="1595" t="s">
        <v>907</v>
      </c>
      <c r="B17" s="1595"/>
      <c r="C17" s="1595"/>
      <c r="D17" s="1595"/>
      <c r="E17" s="1595"/>
      <c r="F17" s="1595" t="s">
        <v>908</v>
      </c>
      <c r="G17" s="1595"/>
      <c r="H17" s="1595"/>
      <c r="I17" s="1595"/>
      <c r="J17" s="1595"/>
      <c r="K17" s="481"/>
      <c r="O17" s="473"/>
      <c r="P17" s="466"/>
      <c r="Q17" s="466"/>
      <c r="R17" s="466"/>
    </row>
    <row r="18" spans="1:233" ht="20.100000000000001" customHeight="1">
      <c r="A18" s="1604" t="s">
        <v>861</v>
      </c>
      <c r="B18" s="1604"/>
      <c r="C18" s="1604"/>
      <c r="D18" s="1604"/>
      <c r="E18" s="1604"/>
      <c r="F18" s="1604"/>
      <c r="G18" s="1604"/>
      <c r="H18" s="1604"/>
      <c r="I18" s="1604"/>
      <c r="J18" s="1604"/>
      <c r="K18" s="482"/>
      <c r="Q18" s="479"/>
      <c r="R18" s="479"/>
    </row>
    <row r="19" spans="1:233" ht="20.100000000000001" customHeight="1">
      <c r="A19" s="1595" t="s">
        <v>907</v>
      </c>
      <c r="B19" s="1595"/>
      <c r="C19" s="1595"/>
      <c r="D19" s="1595"/>
      <c r="E19" s="1595"/>
      <c r="F19" s="1595" t="s">
        <v>909</v>
      </c>
      <c r="G19" s="1595"/>
      <c r="H19" s="1595"/>
      <c r="I19" s="1595"/>
      <c r="J19" s="1595"/>
      <c r="K19" s="481"/>
      <c r="Q19" s="479"/>
      <c r="R19" s="479"/>
    </row>
    <row r="20" spans="1:233" ht="20.100000000000001" customHeight="1">
      <c r="A20" s="1595" t="s">
        <v>907</v>
      </c>
      <c r="B20" s="1595"/>
      <c r="C20" s="1595"/>
      <c r="D20" s="1595"/>
      <c r="E20" s="1595"/>
      <c r="F20" s="1595" t="s">
        <v>908</v>
      </c>
      <c r="G20" s="1595"/>
      <c r="H20" s="1595"/>
      <c r="I20" s="1595"/>
      <c r="J20" s="1595"/>
      <c r="K20" s="481" t="s">
        <v>920</v>
      </c>
      <c r="L20" s="769">
        <f>'2. NK'!J31</f>
        <v>42466</v>
      </c>
      <c r="Q20" s="479"/>
      <c r="R20" s="479"/>
    </row>
    <row r="21" spans="1:233" s="175" customFormat="1" ht="20.100000000000001" customHeight="1">
      <c r="A21" s="1596" t="s">
        <v>1083</v>
      </c>
      <c r="B21" s="1596"/>
      <c r="C21" s="1596"/>
      <c r="D21" s="1596"/>
      <c r="E21" s="1596"/>
      <c r="F21" s="1596"/>
      <c r="G21" s="1596"/>
      <c r="H21" s="1596"/>
      <c r="I21" s="1596"/>
      <c r="J21" s="1596"/>
      <c r="K21" s="741"/>
      <c r="O21" s="464"/>
      <c r="P21" s="467"/>
      <c r="Q21" s="467"/>
      <c r="R21" s="464"/>
      <c r="S21" s="464"/>
      <c r="T21" s="464"/>
    </row>
    <row r="22" spans="1:233" ht="20.100000000000001" customHeight="1">
      <c r="A22" s="477" t="s">
        <v>1024</v>
      </c>
      <c r="B22" s="477"/>
      <c r="C22" s="477"/>
      <c r="D22" s="484">
        <f>D23-M26</f>
        <v>0.71874999999999978</v>
      </c>
      <c r="E22" s="1603">
        <f>L20</f>
        <v>42466</v>
      </c>
      <c r="F22" s="1603"/>
      <c r="G22" s="1603"/>
      <c r="H22" s="1603"/>
      <c r="I22" s="1603"/>
      <c r="J22" s="1603"/>
      <c r="K22" s="485" t="s">
        <v>918</v>
      </c>
      <c r="L22" s="768">
        <f>'2. NK'!F31</f>
        <v>0.73958333333333315</v>
      </c>
      <c r="M22" s="768">
        <f>(L23-L22)/3</f>
        <v>3.4722222222222099E-3</v>
      </c>
      <c r="O22" s="175"/>
      <c r="P22" s="467"/>
      <c r="Q22" s="467"/>
      <c r="T22" s="175"/>
    </row>
    <row r="23" spans="1:233" ht="20.100000000000001" customHeight="1">
      <c r="A23" s="477" t="s">
        <v>1025</v>
      </c>
      <c r="B23" s="477"/>
      <c r="C23" s="477"/>
      <c r="D23" s="484">
        <f>D98-M25</f>
        <v>0.7256944444444442</v>
      </c>
      <c r="E23" s="1603">
        <f>L20</f>
        <v>42466</v>
      </c>
      <c r="F23" s="1603"/>
      <c r="G23" s="1603"/>
      <c r="H23" s="1603"/>
      <c r="I23" s="1603"/>
      <c r="J23" s="1603"/>
      <c r="K23" s="485" t="s">
        <v>919</v>
      </c>
      <c r="L23" s="768">
        <f>'2. NK'!H31</f>
        <v>0.74999999999999978</v>
      </c>
      <c r="Q23" s="467"/>
      <c r="R23" s="467"/>
    </row>
    <row r="24" spans="1:233" ht="20.100000000000001" customHeight="1">
      <c r="A24" s="763" t="s">
        <v>99</v>
      </c>
      <c r="B24" s="764" t="str">
        <f>'[6]7. BBNT-TOADOCOC'!B25</f>
        <v>Công trình: Khu hỗn hợp chung cư, văn phòng, trung tâm thương mại.</v>
      </c>
      <c r="C24" s="489"/>
      <c r="D24" s="489"/>
      <c r="E24" s="489"/>
      <c r="F24" s="489"/>
      <c r="G24" s="489"/>
      <c r="H24" s="489"/>
      <c r="I24" s="489"/>
      <c r="J24" s="489"/>
      <c r="K24" s="489"/>
      <c r="Q24" s="467"/>
      <c r="R24" s="467"/>
    </row>
    <row r="25" spans="1:233" ht="20.100000000000001" customHeight="1">
      <c r="A25" s="1596" t="s">
        <v>441</v>
      </c>
      <c r="B25" s="1596"/>
      <c r="C25" s="1596"/>
      <c r="D25" s="1596"/>
      <c r="E25" s="1596"/>
      <c r="F25" s="1596"/>
      <c r="G25" s="1596"/>
      <c r="H25" s="1596"/>
      <c r="I25" s="1596"/>
      <c r="J25" s="1596"/>
      <c r="K25" s="741"/>
      <c r="L25" s="768">
        <v>3.472222222222222E-3</v>
      </c>
      <c r="M25" s="463">
        <v>3.472222222222222E-3</v>
      </c>
      <c r="Q25" s="467"/>
    </row>
    <row r="26" spans="1:233" s="175" customFormat="1" ht="20.100000000000001" customHeight="1">
      <c r="A26" s="1604" t="s">
        <v>101</v>
      </c>
      <c r="B26" s="1604"/>
      <c r="C26" s="1604"/>
      <c r="D26" s="1604"/>
      <c r="E26" s="1604"/>
      <c r="F26" s="1604"/>
      <c r="G26" s="1604"/>
      <c r="H26" s="1604"/>
      <c r="I26" s="1604"/>
      <c r="J26" s="1604"/>
      <c r="K26" s="482"/>
      <c r="L26" s="1193">
        <v>6.9444444444444441E-3</v>
      </c>
      <c r="M26" s="175">
        <v>6.9444444444444441E-3</v>
      </c>
      <c r="O26" s="464"/>
      <c r="P26" s="464"/>
      <c r="Q26" s="467"/>
      <c r="R26" s="467"/>
      <c r="S26" s="464"/>
      <c r="T26" s="464"/>
    </row>
    <row r="27" spans="1:233" ht="20.100000000000001" customHeight="1">
      <c r="A27" s="1595" t="s">
        <v>862</v>
      </c>
      <c r="B27" s="1595"/>
      <c r="C27" s="1595"/>
      <c r="D27" s="1595"/>
      <c r="E27" s="1595"/>
      <c r="F27" s="1595"/>
      <c r="G27" s="1595"/>
      <c r="H27" s="1595"/>
      <c r="I27" s="1595"/>
      <c r="J27" s="1595"/>
      <c r="K27" s="481"/>
      <c r="L27" s="768">
        <v>1.0416666666666701E-2</v>
      </c>
      <c r="M27" s="463">
        <v>1.0416666666666701E-2</v>
      </c>
      <c r="O27" s="175"/>
      <c r="P27" s="175"/>
      <c r="Q27" s="467"/>
      <c r="S27" s="175"/>
      <c r="T27" s="175"/>
    </row>
    <row r="28" spans="1:233" ht="20.100000000000001" customHeight="1">
      <c r="A28" s="1707" t="s">
        <v>1026</v>
      </c>
      <c r="B28" s="1609"/>
      <c r="C28" s="1609"/>
      <c r="D28" s="1609"/>
      <c r="E28" s="1609"/>
      <c r="F28" s="1609"/>
      <c r="G28" s="1609"/>
      <c r="H28" s="1609"/>
      <c r="I28" s="1609"/>
      <c r="J28" s="1609"/>
      <c r="K28" s="744"/>
      <c r="L28" s="1193">
        <v>1.3888888888888888E-2</v>
      </c>
      <c r="M28" s="1194">
        <v>1.3888888888888888E-2</v>
      </c>
      <c r="Q28" s="467"/>
    </row>
    <row r="29" spans="1:233" s="637" customFormat="1" ht="20.100000000000001" customHeight="1">
      <c r="A29" s="486" t="s">
        <v>104</v>
      </c>
      <c r="B29" s="477"/>
      <c r="C29" s="477"/>
      <c r="D29" s="477"/>
      <c r="E29" s="477"/>
      <c r="F29" s="477"/>
      <c r="G29" s="477"/>
      <c r="H29" s="477"/>
      <c r="I29" s="477"/>
      <c r="J29" s="477"/>
      <c r="K29" s="477"/>
      <c r="L29" s="768">
        <v>1.7361111111111112E-2</v>
      </c>
      <c r="M29" s="1195">
        <v>1.7361111111111112E-2</v>
      </c>
      <c r="N29" s="477"/>
      <c r="O29" s="464"/>
      <c r="P29" s="464"/>
      <c r="Q29" s="467"/>
      <c r="R29" s="464"/>
      <c r="S29" s="464"/>
      <c r="T29" s="464"/>
      <c r="U29" s="487"/>
      <c r="V29" s="487"/>
      <c r="W29" s="487"/>
      <c r="X29" s="487"/>
      <c r="Y29" s="487"/>
      <c r="Z29" s="487"/>
      <c r="AA29" s="487"/>
      <c r="AB29" s="487"/>
      <c r="AC29" s="487"/>
      <c r="AD29" s="487"/>
      <c r="AE29" s="487"/>
      <c r="AF29" s="487"/>
      <c r="AG29" s="487"/>
      <c r="AH29" s="487"/>
      <c r="AI29" s="487"/>
      <c r="AJ29" s="487"/>
      <c r="AK29" s="487"/>
      <c r="AL29" s="487"/>
      <c r="AM29" s="487"/>
      <c r="AN29" s="487"/>
      <c r="AO29" s="487"/>
      <c r="AP29" s="487"/>
      <c r="AQ29" s="487"/>
      <c r="AR29" s="487"/>
      <c r="AS29" s="487"/>
      <c r="AT29" s="487"/>
      <c r="AU29" s="487"/>
      <c r="AV29" s="487"/>
      <c r="AW29" s="487"/>
      <c r="AX29" s="487"/>
      <c r="AY29" s="487"/>
      <c r="AZ29" s="487"/>
      <c r="BA29" s="487"/>
      <c r="BB29" s="487"/>
      <c r="BC29" s="487"/>
      <c r="BD29" s="487"/>
      <c r="BE29" s="487"/>
      <c r="BF29" s="487"/>
      <c r="BG29" s="487"/>
      <c r="BH29" s="487"/>
      <c r="BI29" s="487"/>
      <c r="BJ29" s="487"/>
      <c r="BK29" s="487"/>
      <c r="BL29" s="487"/>
      <c r="BM29" s="487"/>
      <c r="BN29" s="487"/>
      <c r="BO29" s="487"/>
      <c r="BP29" s="487"/>
      <c r="BQ29" s="487"/>
      <c r="BR29" s="487"/>
      <c r="BS29" s="487"/>
      <c r="BT29" s="487"/>
      <c r="BU29" s="487"/>
      <c r="BV29" s="487"/>
      <c r="BW29" s="487"/>
      <c r="BX29" s="487"/>
      <c r="BY29" s="487"/>
      <c r="BZ29" s="487"/>
      <c r="CA29" s="487"/>
      <c r="CB29" s="487"/>
      <c r="CC29" s="487"/>
      <c r="CD29" s="487"/>
      <c r="CE29" s="487"/>
      <c r="CF29" s="487"/>
      <c r="CG29" s="487"/>
      <c r="CH29" s="487"/>
      <c r="CI29" s="487"/>
      <c r="CJ29" s="487"/>
      <c r="CK29" s="487"/>
      <c r="CL29" s="487"/>
      <c r="CM29" s="487"/>
      <c r="CN29" s="487"/>
      <c r="CO29" s="487"/>
      <c r="CP29" s="487"/>
      <c r="CQ29" s="487"/>
      <c r="CR29" s="487"/>
      <c r="CS29" s="487"/>
      <c r="CT29" s="487"/>
      <c r="CU29" s="487"/>
      <c r="CV29" s="487"/>
      <c r="CW29" s="487"/>
      <c r="CX29" s="487"/>
      <c r="CY29" s="487"/>
      <c r="CZ29" s="487"/>
      <c r="DA29" s="487"/>
      <c r="DB29" s="487"/>
      <c r="DC29" s="487"/>
      <c r="DD29" s="487"/>
      <c r="DE29" s="487"/>
      <c r="DF29" s="487"/>
      <c r="DG29" s="487"/>
      <c r="DH29" s="487"/>
      <c r="DI29" s="487"/>
      <c r="DJ29" s="487"/>
      <c r="DK29" s="487"/>
      <c r="DL29" s="487"/>
      <c r="DM29" s="487"/>
      <c r="DN29" s="487"/>
      <c r="DO29" s="487"/>
      <c r="DP29" s="487"/>
      <c r="DQ29" s="487"/>
      <c r="DR29" s="487"/>
      <c r="DS29" s="487"/>
      <c r="DT29" s="487"/>
      <c r="DU29" s="487"/>
      <c r="DV29" s="487"/>
      <c r="DW29" s="487"/>
      <c r="DX29" s="487"/>
      <c r="DY29" s="487"/>
      <c r="DZ29" s="487"/>
      <c r="EA29" s="487"/>
      <c r="EB29" s="487"/>
      <c r="EC29" s="487"/>
      <c r="ED29" s="487"/>
      <c r="EE29" s="487"/>
      <c r="EF29" s="487"/>
      <c r="EG29" s="487"/>
      <c r="EH29" s="487"/>
      <c r="EI29" s="487"/>
      <c r="EJ29" s="487"/>
      <c r="EK29" s="487"/>
      <c r="EL29" s="487"/>
      <c r="EM29" s="487"/>
      <c r="EN29" s="487"/>
      <c r="EO29" s="487"/>
      <c r="EP29" s="487"/>
      <c r="EQ29" s="487"/>
      <c r="ER29" s="487"/>
      <c r="ES29" s="487"/>
      <c r="ET29" s="487"/>
      <c r="EU29" s="487"/>
      <c r="EV29" s="487"/>
      <c r="EW29" s="487"/>
      <c r="EX29" s="487"/>
      <c r="EY29" s="487"/>
      <c r="EZ29" s="487"/>
      <c r="FA29" s="487"/>
      <c r="FB29" s="487"/>
      <c r="FC29" s="487"/>
      <c r="FD29" s="487"/>
      <c r="FE29" s="487"/>
      <c r="FF29" s="487"/>
      <c r="FG29" s="487"/>
      <c r="FH29" s="487"/>
      <c r="FI29" s="487"/>
      <c r="FJ29" s="487"/>
      <c r="FK29" s="487"/>
      <c r="FL29" s="487"/>
      <c r="FM29" s="487"/>
      <c r="FN29" s="487"/>
      <c r="FO29" s="487"/>
      <c r="FP29" s="487"/>
      <c r="FQ29" s="487"/>
      <c r="FR29" s="487"/>
      <c r="FS29" s="487"/>
      <c r="FT29" s="487"/>
      <c r="FU29" s="487"/>
      <c r="FV29" s="487"/>
      <c r="FW29" s="487"/>
      <c r="FX29" s="487"/>
      <c r="FY29" s="487"/>
      <c r="FZ29" s="487"/>
      <c r="GA29" s="487"/>
      <c r="GB29" s="487"/>
      <c r="GC29" s="487"/>
      <c r="GD29" s="487"/>
      <c r="GE29" s="487"/>
      <c r="GF29" s="487"/>
      <c r="GG29" s="487"/>
      <c r="GH29" s="487"/>
      <c r="GI29" s="487"/>
      <c r="GJ29" s="487"/>
      <c r="GK29" s="487"/>
      <c r="GL29" s="487"/>
      <c r="GM29" s="487"/>
      <c r="GN29" s="487"/>
      <c r="GO29" s="487"/>
      <c r="GP29" s="487"/>
      <c r="GQ29" s="487"/>
      <c r="GR29" s="487"/>
      <c r="GS29" s="487"/>
      <c r="GT29" s="487"/>
      <c r="GU29" s="487"/>
      <c r="GV29" s="487"/>
      <c r="GW29" s="487"/>
      <c r="GX29" s="487"/>
      <c r="GY29" s="487"/>
      <c r="GZ29" s="487"/>
      <c r="HA29" s="487"/>
      <c r="HB29" s="487"/>
      <c r="HC29" s="487"/>
      <c r="HD29" s="487"/>
      <c r="HE29" s="487"/>
      <c r="HF29" s="487"/>
      <c r="HG29" s="487"/>
      <c r="HH29" s="487"/>
      <c r="HI29" s="487"/>
      <c r="HJ29" s="487"/>
      <c r="HK29" s="487"/>
      <c r="HL29" s="487"/>
      <c r="HM29" s="487"/>
      <c r="HN29" s="487"/>
      <c r="HO29" s="487"/>
      <c r="HP29" s="487"/>
      <c r="HQ29" s="487"/>
      <c r="HR29" s="487"/>
      <c r="HS29" s="487"/>
      <c r="HT29" s="487"/>
      <c r="HU29" s="487"/>
      <c r="HV29" s="487"/>
      <c r="HW29" s="487"/>
      <c r="HX29" s="487"/>
      <c r="HY29" s="487"/>
    </row>
    <row r="30" spans="1:233" s="637" customFormat="1" ht="20.100000000000001" customHeight="1">
      <c r="A30" s="885" t="s">
        <v>1027</v>
      </c>
      <c r="B30" s="477" t="s">
        <v>1028</v>
      </c>
      <c r="C30" s="477"/>
      <c r="D30" s="477"/>
      <c r="E30" s="477"/>
      <c r="F30" s="477"/>
      <c r="G30" s="477"/>
      <c r="H30" s="477"/>
      <c r="I30" s="477"/>
      <c r="J30" s="477"/>
      <c r="K30" s="477"/>
      <c r="L30" s="477"/>
      <c r="M30" s="477"/>
      <c r="N30" s="477"/>
      <c r="O30" s="487"/>
      <c r="P30" s="487"/>
      <c r="Q30" s="467"/>
      <c r="R30" s="464"/>
      <c r="S30" s="487"/>
      <c r="T30" s="487"/>
      <c r="U30" s="487"/>
      <c r="V30" s="489"/>
      <c r="W30" s="489"/>
      <c r="X30" s="489"/>
      <c r="Y30" s="489"/>
      <c r="Z30" s="489"/>
      <c r="AA30" s="489"/>
      <c r="AB30" s="489"/>
      <c r="AC30" s="489"/>
      <c r="AD30" s="489"/>
      <c r="AE30" s="489"/>
      <c r="AF30" s="489"/>
      <c r="AG30" s="489"/>
      <c r="AH30" s="489"/>
      <c r="AI30" s="489"/>
      <c r="AJ30" s="489"/>
      <c r="AK30" s="489"/>
      <c r="AL30" s="489"/>
      <c r="AM30" s="489"/>
      <c r="AN30" s="489"/>
      <c r="AO30" s="489"/>
      <c r="AP30" s="489"/>
      <c r="AQ30" s="489"/>
      <c r="AR30" s="489"/>
      <c r="AS30" s="489"/>
      <c r="AT30" s="489"/>
      <c r="AU30" s="489"/>
      <c r="AV30" s="489"/>
      <c r="AW30" s="489"/>
      <c r="AX30" s="489"/>
      <c r="AY30" s="489"/>
      <c r="AZ30" s="489"/>
      <c r="BA30" s="489"/>
      <c r="BB30" s="489"/>
      <c r="BC30" s="489"/>
      <c r="BD30" s="489"/>
      <c r="BE30" s="489"/>
      <c r="BF30" s="489"/>
      <c r="BG30" s="489"/>
      <c r="BH30" s="489"/>
      <c r="BI30" s="489"/>
      <c r="BJ30" s="489"/>
      <c r="BK30" s="489"/>
      <c r="BL30" s="489"/>
      <c r="BM30" s="489"/>
      <c r="BN30" s="489"/>
      <c r="BO30" s="489"/>
      <c r="BP30" s="489"/>
      <c r="BQ30" s="489"/>
      <c r="BR30" s="489"/>
      <c r="BS30" s="489"/>
      <c r="BT30" s="489"/>
      <c r="BU30" s="489"/>
      <c r="BV30" s="489"/>
      <c r="BW30" s="489"/>
      <c r="BX30" s="489"/>
      <c r="BY30" s="489"/>
      <c r="BZ30" s="489"/>
      <c r="CA30" s="489"/>
      <c r="CB30" s="489"/>
      <c r="CC30" s="489"/>
      <c r="CD30" s="489"/>
      <c r="CE30" s="489"/>
      <c r="CF30" s="489"/>
      <c r="CG30" s="489"/>
      <c r="CH30" s="489"/>
      <c r="CI30" s="489"/>
      <c r="CJ30" s="489"/>
      <c r="CK30" s="489"/>
      <c r="CL30" s="489"/>
      <c r="CM30" s="489"/>
      <c r="CN30" s="489"/>
      <c r="CO30" s="489"/>
      <c r="CP30" s="489"/>
      <c r="CQ30" s="489"/>
      <c r="CR30" s="489"/>
      <c r="CS30" s="489"/>
      <c r="CT30" s="489"/>
      <c r="CU30" s="489"/>
      <c r="CV30" s="489"/>
      <c r="CW30" s="489"/>
      <c r="CX30" s="489"/>
      <c r="CY30" s="489"/>
      <c r="CZ30" s="489"/>
      <c r="DA30" s="489"/>
      <c r="DB30" s="489"/>
      <c r="DC30" s="489"/>
      <c r="DD30" s="489"/>
      <c r="DE30" s="489"/>
      <c r="DF30" s="489"/>
      <c r="DG30" s="489"/>
      <c r="DH30" s="489"/>
      <c r="DI30" s="489"/>
      <c r="DJ30" s="489"/>
      <c r="DK30" s="489"/>
      <c r="DL30" s="489"/>
      <c r="DM30" s="489"/>
      <c r="DN30" s="489"/>
      <c r="DO30" s="489"/>
      <c r="DP30" s="489"/>
      <c r="DQ30" s="489"/>
      <c r="DR30" s="489"/>
      <c r="DS30" s="489"/>
      <c r="DT30" s="489"/>
      <c r="DU30" s="489"/>
      <c r="DV30" s="489"/>
      <c r="DW30" s="489"/>
      <c r="DX30" s="489"/>
      <c r="DY30" s="489"/>
      <c r="DZ30" s="489"/>
      <c r="EA30" s="489"/>
      <c r="EB30" s="489"/>
      <c r="EC30" s="489"/>
      <c r="ED30" s="489"/>
      <c r="EE30" s="489"/>
      <c r="EF30" s="489"/>
      <c r="EG30" s="489"/>
      <c r="EH30" s="489"/>
      <c r="EI30" s="489"/>
      <c r="EJ30" s="489"/>
      <c r="EK30" s="489"/>
      <c r="EL30" s="489"/>
      <c r="EM30" s="489"/>
      <c r="EN30" s="489"/>
      <c r="EO30" s="489"/>
      <c r="EP30" s="489"/>
      <c r="EQ30" s="489"/>
      <c r="ER30" s="489"/>
      <c r="ES30" s="489"/>
      <c r="ET30" s="489"/>
      <c r="EU30" s="489"/>
      <c r="EV30" s="489"/>
      <c r="EW30" s="489"/>
      <c r="EX30" s="489"/>
      <c r="EY30" s="489"/>
      <c r="EZ30" s="489"/>
      <c r="FA30" s="489"/>
      <c r="FB30" s="489"/>
      <c r="FC30" s="489"/>
      <c r="FD30" s="489"/>
      <c r="FE30" s="489"/>
      <c r="FF30" s="489"/>
      <c r="FG30" s="489"/>
      <c r="FH30" s="489"/>
      <c r="FI30" s="489"/>
      <c r="FJ30" s="489"/>
      <c r="FK30" s="489"/>
      <c r="FL30" s="489"/>
      <c r="FM30" s="489"/>
      <c r="FN30" s="489"/>
      <c r="FO30" s="489"/>
      <c r="FP30" s="489"/>
      <c r="FQ30" s="489"/>
      <c r="FR30" s="489"/>
      <c r="FS30" s="489"/>
      <c r="FT30" s="489"/>
      <c r="FU30" s="489"/>
      <c r="FV30" s="489"/>
      <c r="FW30" s="489"/>
      <c r="FX30" s="489"/>
      <c r="FY30" s="489"/>
      <c r="FZ30" s="489"/>
      <c r="GA30" s="489"/>
      <c r="GB30" s="489"/>
      <c r="GC30" s="489"/>
      <c r="GD30" s="489"/>
      <c r="GE30" s="489"/>
      <c r="GF30" s="489"/>
      <c r="GG30" s="489"/>
      <c r="GH30" s="489"/>
      <c r="GI30" s="489"/>
      <c r="GJ30" s="489"/>
      <c r="GK30" s="489"/>
      <c r="GL30" s="489"/>
      <c r="GM30" s="489"/>
      <c r="GN30" s="489"/>
      <c r="GO30" s="489"/>
      <c r="GP30" s="489"/>
      <c r="GQ30" s="489"/>
      <c r="GR30" s="489"/>
      <c r="GS30" s="489"/>
      <c r="GT30" s="489"/>
      <c r="GU30" s="489"/>
      <c r="GV30" s="489"/>
      <c r="GW30" s="489"/>
      <c r="GX30" s="489"/>
      <c r="GY30" s="489"/>
      <c r="GZ30" s="489"/>
      <c r="HA30" s="489"/>
      <c r="HB30" s="489"/>
      <c r="HC30" s="489"/>
      <c r="HD30" s="489"/>
      <c r="HE30" s="489"/>
      <c r="HF30" s="489"/>
      <c r="HG30" s="489"/>
      <c r="HH30" s="489"/>
      <c r="HI30" s="489"/>
      <c r="HJ30" s="489"/>
      <c r="HK30" s="489"/>
      <c r="HL30" s="489"/>
      <c r="HM30" s="489"/>
      <c r="HN30" s="489"/>
      <c r="HO30" s="489"/>
      <c r="HP30" s="489"/>
      <c r="HQ30" s="489"/>
      <c r="HR30" s="489"/>
      <c r="HS30" s="489"/>
      <c r="HT30" s="489"/>
      <c r="HU30" s="489"/>
      <c r="HV30" s="489"/>
      <c r="HW30" s="489"/>
      <c r="HX30" s="489"/>
      <c r="HY30" s="487"/>
    </row>
    <row r="31" spans="1:233" s="637" customFormat="1" ht="20.100000000000001" customHeight="1">
      <c r="A31" s="885" t="s">
        <v>1027</v>
      </c>
      <c r="B31" s="477" t="s">
        <v>1029</v>
      </c>
      <c r="C31" s="477"/>
      <c r="D31" s="477"/>
      <c r="E31" s="477"/>
      <c r="F31" s="477"/>
      <c r="G31" s="477"/>
      <c r="H31" s="477"/>
      <c r="I31" s="477"/>
      <c r="J31" s="477"/>
      <c r="K31" s="477"/>
      <c r="L31" s="477"/>
      <c r="M31" s="477"/>
      <c r="N31" s="477"/>
      <c r="O31" s="487"/>
      <c r="P31" s="487"/>
      <c r="Q31" s="487"/>
      <c r="R31" s="487"/>
      <c r="S31" s="487"/>
      <c r="T31" s="487"/>
      <c r="U31" s="477"/>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9"/>
      <c r="HY31" s="487"/>
    </row>
    <row r="32" spans="1:233" s="637" customFormat="1" ht="19.5" customHeight="1">
      <c r="A32" s="885" t="s">
        <v>1027</v>
      </c>
      <c r="B32" s="1602" t="s">
        <v>1030</v>
      </c>
      <c r="C32" s="1602"/>
      <c r="D32" s="1602"/>
      <c r="E32" s="1602"/>
      <c r="F32" s="1602"/>
      <c r="G32" s="1602"/>
      <c r="H32" s="1602"/>
      <c r="I32" s="1602"/>
      <c r="J32" s="1602"/>
      <c r="K32" s="742"/>
      <c r="L32" s="491"/>
      <c r="M32" s="477"/>
      <c r="N32" s="477"/>
      <c r="O32" s="492"/>
      <c r="P32" s="492"/>
      <c r="Q32" s="492"/>
      <c r="R32" s="492"/>
      <c r="S32" s="492"/>
      <c r="T32" s="492"/>
      <c r="U32" s="492"/>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9"/>
      <c r="HY32" s="487"/>
    </row>
    <row r="33" spans="1:233" s="637" customFormat="1" ht="19.5" customHeight="1">
      <c r="A33" s="885" t="s">
        <v>1027</v>
      </c>
      <c r="B33" s="1602" t="s">
        <v>1045</v>
      </c>
      <c r="C33" s="1602"/>
      <c r="D33" s="1602"/>
      <c r="E33" s="1602"/>
      <c r="F33" s="1602"/>
      <c r="G33" s="1602"/>
      <c r="H33" s="1602"/>
      <c r="I33" s="1602"/>
      <c r="J33" s="1602"/>
      <c r="K33" s="742"/>
      <c r="L33" s="491"/>
      <c r="M33" s="477"/>
      <c r="N33" s="477"/>
      <c r="O33" s="492"/>
      <c r="P33" s="492"/>
      <c r="Q33" s="492"/>
      <c r="R33" s="492"/>
      <c r="S33" s="492"/>
      <c r="T33" s="492"/>
      <c r="U33" s="492"/>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9"/>
      <c r="HY33" s="487"/>
    </row>
    <row r="34" spans="1:233" s="637" customFormat="1" ht="19.5" customHeight="1">
      <c r="A34" s="885" t="s">
        <v>1027</v>
      </c>
      <c r="B34" s="917" t="s">
        <v>1084</v>
      </c>
      <c r="C34" s="742"/>
      <c r="D34" s="742"/>
      <c r="E34" s="742"/>
      <c r="F34" s="742"/>
      <c r="G34" s="742"/>
      <c r="H34" s="742"/>
      <c r="I34" s="742"/>
      <c r="J34" s="742"/>
      <c r="K34" s="742"/>
      <c r="L34" s="491"/>
      <c r="M34" s="477"/>
      <c r="N34" s="477"/>
      <c r="O34" s="492"/>
      <c r="P34" s="492"/>
      <c r="Q34" s="492"/>
      <c r="R34" s="492"/>
      <c r="S34" s="492"/>
      <c r="T34" s="492"/>
      <c r="U34" s="492"/>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9"/>
      <c r="HY34" s="487"/>
    </row>
    <row r="35" spans="1:233" s="637" customFormat="1" ht="20.100000000000001" customHeight="1">
      <c r="A35" s="886" t="s">
        <v>1031</v>
      </c>
      <c r="C35" s="491"/>
      <c r="D35" s="491"/>
      <c r="E35" s="491"/>
      <c r="F35" s="491"/>
      <c r="G35" s="491"/>
      <c r="H35" s="491"/>
      <c r="I35" s="491"/>
      <c r="J35" s="491"/>
      <c r="K35" s="491"/>
      <c r="L35" s="491"/>
      <c r="M35" s="477"/>
      <c r="N35" s="477"/>
      <c r="O35" s="477"/>
      <c r="P35" s="477"/>
      <c r="Q35" s="477"/>
      <c r="R35" s="477"/>
      <c r="S35" s="477"/>
      <c r="T35" s="477"/>
      <c r="U35" s="492"/>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9"/>
      <c r="HY35" s="487"/>
    </row>
    <row r="36" spans="1:233" s="637" customFormat="1" ht="20.100000000000001" customHeight="1">
      <c r="A36" s="890" t="s">
        <v>1037</v>
      </c>
      <c r="B36" s="491"/>
      <c r="C36" s="491"/>
      <c r="D36" s="491"/>
      <c r="E36" s="491"/>
      <c r="F36" s="491"/>
      <c r="G36" s="491"/>
      <c r="H36" s="491"/>
      <c r="I36" s="491"/>
      <c r="J36" s="491"/>
      <c r="K36" s="491"/>
      <c r="L36" s="491"/>
      <c r="M36" s="477"/>
      <c r="N36" s="477"/>
      <c r="O36" s="477"/>
      <c r="P36" s="477"/>
      <c r="Q36" s="477"/>
      <c r="R36" s="477"/>
      <c r="S36" s="477"/>
      <c r="T36" s="477"/>
      <c r="U36" s="492"/>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9"/>
      <c r="HY36" s="487"/>
    </row>
    <row r="37" spans="1:233" s="45" customFormat="1" ht="20.100000000000001" customHeight="1">
      <c r="A37" s="493" t="s">
        <v>109</v>
      </c>
      <c r="B37" s="489"/>
      <c r="C37" s="489"/>
      <c r="D37" s="489"/>
      <c r="E37" s="489"/>
      <c r="F37" s="489"/>
      <c r="G37" s="489"/>
      <c r="H37" s="489"/>
      <c r="I37" s="489"/>
      <c r="J37" s="489"/>
      <c r="K37" s="489"/>
      <c r="L37" s="489"/>
      <c r="M37" s="494"/>
      <c r="N37" s="494"/>
      <c r="O37" s="492"/>
      <c r="P37" s="492"/>
      <c r="Q37" s="492"/>
      <c r="R37" s="492"/>
      <c r="S37" s="492"/>
      <c r="T37" s="492"/>
      <c r="U37" s="495"/>
      <c r="V37" s="496"/>
      <c r="W37" s="496"/>
      <c r="X37" s="496"/>
      <c r="Y37" s="496"/>
      <c r="Z37" s="496"/>
      <c r="AA37" s="496"/>
      <c r="AB37" s="496"/>
      <c r="AC37" s="496"/>
      <c r="AD37" s="496"/>
      <c r="AE37" s="496"/>
      <c r="AF37" s="496"/>
      <c r="AG37" s="496"/>
      <c r="AH37" s="496"/>
      <c r="AI37" s="496"/>
      <c r="AJ37" s="496"/>
      <c r="AK37" s="496"/>
      <c r="AL37" s="496"/>
      <c r="AM37" s="496"/>
      <c r="AN37" s="496"/>
      <c r="AO37" s="496"/>
      <c r="AP37" s="496"/>
      <c r="AQ37" s="496"/>
      <c r="AR37" s="496"/>
      <c r="AS37" s="496"/>
      <c r="AT37" s="496"/>
      <c r="AU37" s="496"/>
      <c r="AV37" s="496"/>
      <c r="AW37" s="496"/>
      <c r="AX37" s="496"/>
      <c r="AY37" s="496"/>
      <c r="AZ37" s="496"/>
      <c r="BA37" s="496"/>
      <c r="BB37" s="496"/>
      <c r="BC37" s="496"/>
      <c r="BD37" s="496"/>
      <c r="BE37" s="496"/>
      <c r="BF37" s="496"/>
      <c r="BG37" s="496"/>
      <c r="BH37" s="496"/>
      <c r="BI37" s="496"/>
      <c r="BJ37" s="496"/>
      <c r="BK37" s="496"/>
      <c r="BL37" s="496"/>
      <c r="BM37" s="496"/>
      <c r="BN37" s="496"/>
      <c r="BO37" s="496"/>
      <c r="BP37" s="496"/>
      <c r="BQ37" s="496"/>
      <c r="BR37" s="496"/>
      <c r="BS37" s="496"/>
      <c r="BT37" s="496"/>
      <c r="BU37" s="496"/>
      <c r="BV37" s="496"/>
      <c r="BW37" s="496"/>
      <c r="BX37" s="496"/>
      <c r="BY37" s="496"/>
      <c r="BZ37" s="496"/>
      <c r="CA37" s="496"/>
      <c r="CB37" s="496"/>
      <c r="CC37" s="496"/>
      <c r="CD37" s="496"/>
      <c r="CE37" s="496"/>
      <c r="CF37" s="496"/>
      <c r="CG37" s="496"/>
      <c r="CH37" s="496"/>
      <c r="CI37" s="496"/>
      <c r="CJ37" s="496"/>
      <c r="CK37" s="496"/>
      <c r="CL37" s="496"/>
      <c r="CM37" s="496"/>
      <c r="CN37" s="496"/>
      <c r="CO37" s="496"/>
      <c r="CP37" s="496"/>
      <c r="CQ37" s="496"/>
      <c r="CR37" s="496"/>
      <c r="CS37" s="496"/>
      <c r="CT37" s="496"/>
      <c r="CU37" s="496"/>
      <c r="CV37" s="496"/>
      <c r="CW37" s="496"/>
      <c r="CX37" s="496"/>
      <c r="CY37" s="496"/>
      <c r="CZ37" s="496"/>
      <c r="DA37" s="496"/>
      <c r="DB37" s="496"/>
      <c r="DC37" s="496"/>
      <c r="DD37" s="496"/>
      <c r="DE37" s="496"/>
      <c r="DF37" s="496"/>
      <c r="DG37" s="496"/>
      <c r="DH37" s="496"/>
      <c r="DI37" s="496"/>
      <c r="DJ37" s="496"/>
      <c r="DK37" s="496"/>
      <c r="DL37" s="496"/>
      <c r="DM37" s="496"/>
      <c r="DN37" s="496"/>
      <c r="DO37" s="496"/>
      <c r="DP37" s="496"/>
      <c r="DQ37" s="496"/>
      <c r="DR37" s="496"/>
      <c r="DS37" s="496"/>
      <c r="DT37" s="496"/>
      <c r="DU37" s="496"/>
      <c r="DV37" s="496"/>
      <c r="DW37" s="496"/>
      <c r="DX37" s="496"/>
      <c r="DY37" s="496"/>
      <c r="DZ37" s="496"/>
      <c r="EA37" s="496"/>
      <c r="EB37" s="496"/>
      <c r="EC37" s="496"/>
      <c r="ED37" s="496"/>
      <c r="EE37" s="496"/>
      <c r="EF37" s="496"/>
      <c r="EG37" s="496"/>
      <c r="EH37" s="496"/>
      <c r="EI37" s="496"/>
      <c r="EJ37" s="496"/>
      <c r="EK37" s="496"/>
      <c r="EL37" s="496"/>
      <c r="EM37" s="496"/>
      <c r="EN37" s="496"/>
      <c r="EO37" s="496"/>
      <c r="EP37" s="496"/>
      <c r="EQ37" s="496"/>
      <c r="ER37" s="496"/>
      <c r="ES37" s="496"/>
      <c r="ET37" s="496"/>
      <c r="EU37" s="496"/>
      <c r="EV37" s="496"/>
      <c r="EW37" s="496"/>
      <c r="EX37" s="496"/>
      <c r="EY37" s="496"/>
      <c r="EZ37" s="496"/>
      <c r="FA37" s="496"/>
      <c r="FB37" s="496"/>
      <c r="FC37" s="496"/>
      <c r="FD37" s="496"/>
      <c r="FE37" s="496"/>
      <c r="FF37" s="496"/>
      <c r="FG37" s="496"/>
      <c r="FH37" s="496"/>
      <c r="FI37" s="496"/>
      <c r="FJ37" s="496"/>
      <c r="FK37" s="496"/>
      <c r="FL37" s="496"/>
      <c r="FM37" s="496"/>
      <c r="FN37" s="496"/>
      <c r="FO37" s="496"/>
      <c r="FP37" s="496"/>
      <c r="FQ37" s="496"/>
      <c r="FR37" s="496"/>
      <c r="FS37" s="496"/>
      <c r="FT37" s="496"/>
      <c r="FU37" s="496"/>
      <c r="FV37" s="496"/>
      <c r="FW37" s="496"/>
      <c r="FX37" s="496"/>
      <c r="FY37" s="496"/>
      <c r="FZ37" s="496"/>
      <c r="GA37" s="496"/>
      <c r="GB37" s="496"/>
      <c r="GC37" s="496"/>
      <c r="GD37" s="496"/>
      <c r="GE37" s="496"/>
      <c r="GF37" s="496"/>
      <c r="GG37" s="496"/>
      <c r="GH37" s="496"/>
      <c r="GI37" s="496"/>
      <c r="GJ37" s="496"/>
      <c r="GK37" s="496"/>
      <c r="GL37" s="496"/>
      <c r="GM37" s="496"/>
      <c r="GN37" s="496"/>
      <c r="GO37" s="496"/>
      <c r="GP37" s="496"/>
      <c r="GQ37" s="496"/>
      <c r="GR37" s="496"/>
      <c r="GS37" s="496"/>
      <c r="GT37" s="496"/>
      <c r="GU37" s="496"/>
      <c r="GV37" s="496"/>
      <c r="GW37" s="496"/>
      <c r="GX37" s="496"/>
      <c r="GY37" s="496"/>
      <c r="GZ37" s="496"/>
      <c r="HA37" s="496"/>
      <c r="HB37" s="496"/>
      <c r="HC37" s="496"/>
      <c r="HD37" s="496"/>
      <c r="HE37" s="496"/>
      <c r="HF37" s="496"/>
      <c r="HG37" s="496"/>
      <c r="HH37" s="496"/>
      <c r="HI37" s="496"/>
      <c r="HJ37" s="496"/>
      <c r="HK37" s="496"/>
      <c r="HL37" s="496"/>
      <c r="HM37" s="496"/>
      <c r="HN37" s="496"/>
      <c r="HO37" s="496"/>
      <c r="HP37" s="496"/>
      <c r="HQ37" s="496"/>
      <c r="HR37" s="496"/>
      <c r="HS37" s="496"/>
      <c r="HT37" s="496"/>
      <c r="HU37" s="496"/>
      <c r="HV37" s="496"/>
      <c r="HW37" s="496"/>
      <c r="HX37" s="490"/>
      <c r="HY37" s="490"/>
    </row>
    <row r="38" spans="1:233" s="5" customFormat="1" ht="20.100000000000001" customHeight="1">
      <c r="A38" s="497" t="s">
        <v>1034</v>
      </c>
      <c r="B38" s="498"/>
      <c r="C38" s="498"/>
      <c r="D38" s="498"/>
      <c r="E38" s="498"/>
      <c r="F38" s="498"/>
      <c r="G38" s="498"/>
      <c r="H38" s="498"/>
      <c r="I38" s="498"/>
      <c r="J38" s="498"/>
      <c r="K38" s="498"/>
      <c r="L38" s="498"/>
      <c r="M38" s="494"/>
      <c r="N38" s="494"/>
      <c r="O38" s="495"/>
      <c r="P38" s="495"/>
      <c r="Q38" s="495"/>
      <c r="R38" s="495"/>
      <c r="S38" s="495"/>
      <c r="T38" s="495"/>
      <c r="U38" s="495"/>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89"/>
      <c r="BC38" s="489"/>
      <c r="BD38" s="489"/>
      <c r="BE38" s="489"/>
      <c r="BF38" s="489"/>
      <c r="BG38" s="489"/>
      <c r="BH38" s="489"/>
      <c r="BI38" s="489"/>
      <c r="BJ38" s="489"/>
      <c r="BK38" s="489"/>
      <c r="BL38" s="489"/>
      <c r="BM38" s="489"/>
      <c r="BN38" s="489"/>
      <c r="BO38" s="489"/>
      <c r="BP38" s="489"/>
      <c r="BQ38" s="489"/>
      <c r="BR38" s="489"/>
      <c r="BS38" s="489"/>
      <c r="BT38" s="489"/>
      <c r="BU38" s="489"/>
      <c r="BV38" s="489"/>
      <c r="BW38" s="489"/>
      <c r="BX38" s="489"/>
      <c r="BY38" s="489"/>
      <c r="BZ38" s="489"/>
      <c r="CA38" s="489"/>
      <c r="CB38" s="489"/>
      <c r="CC38" s="489"/>
      <c r="CD38" s="489"/>
      <c r="CE38" s="489"/>
      <c r="CF38" s="489"/>
      <c r="CG38" s="489"/>
      <c r="CH38" s="489"/>
      <c r="CI38" s="489"/>
      <c r="CJ38" s="489"/>
      <c r="CK38" s="489"/>
      <c r="CL38" s="489"/>
      <c r="CM38" s="489"/>
      <c r="CN38" s="489"/>
      <c r="CO38" s="489"/>
      <c r="CP38" s="489"/>
      <c r="CQ38" s="489"/>
      <c r="CR38" s="489"/>
      <c r="CS38" s="489"/>
      <c r="CT38" s="489"/>
      <c r="CU38" s="489"/>
      <c r="CV38" s="489"/>
      <c r="CW38" s="489"/>
      <c r="CX38" s="489"/>
      <c r="CY38" s="489"/>
      <c r="CZ38" s="489"/>
      <c r="DA38" s="489"/>
      <c r="DB38" s="489"/>
      <c r="DC38" s="489"/>
      <c r="DD38" s="489"/>
      <c r="DE38" s="489"/>
      <c r="DF38" s="489"/>
      <c r="DG38" s="489"/>
      <c r="DH38" s="489"/>
      <c r="DI38" s="489"/>
      <c r="DJ38" s="489"/>
      <c r="DK38" s="489"/>
      <c r="DL38" s="489"/>
      <c r="DM38" s="489"/>
      <c r="DN38" s="489"/>
      <c r="DO38" s="489"/>
      <c r="DP38" s="489"/>
      <c r="DQ38" s="489"/>
      <c r="DR38" s="489"/>
      <c r="DS38" s="489"/>
      <c r="DT38" s="489"/>
      <c r="DU38" s="489"/>
      <c r="DV38" s="489"/>
      <c r="DW38" s="489"/>
      <c r="DX38" s="489"/>
      <c r="DY38" s="489"/>
      <c r="DZ38" s="489"/>
      <c r="EA38" s="489"/>
      <c r="EB38" s="489"/>
      <c r="EC38" s="489"/>
      <c r="ED38" s="489"/>
      <c r="EE38" s="489"/>
      <c r="EF38" s="489"/>
      <c r="EG38" s="489"/>
      <c r="EH38" s="489"/>
      <c r="EI38" s="489"/>
      <c r="EJ38" s="489"/>
      <c r="EK38" s="489"/>
      <c r="EL38" s="489"/>
      <c r="EM38" s="489"/>
      <c r="EN38" s="489"/>
      <c r="EO38" s="489"/>
      <c r="EP38" s="489"/>
      <c r="EQ38" s="489"/>
      <c r="ER38" s="489"/>
      <c r="ES38" s="489"/>
      <c r="ET38" s="489"/>
      <c r="EU38" s="489"/>
      <c r="EV38" s="489"/>
      <c r="EW38" s="489"/>
      <c r="EX38" s="489"/>
      <c r="EY38" s="489"/>
      <c r="EZ38" s="489"/>
      <c r="FA38" s="489"/>
      <c r="FB38" s="489"/>
      <c r="FC38" s="489"/>
      <c r="FD38" s="489"/>
      <c r="FE38" s="489"/>
      <c r="FF38" s="489"/>
      <c r="FG38" s="489"/>
      <c r="FH38" s="489"/>
      <c r="FI38" s="489"/>
      <c r="FJ38" s="489"/>
      <c r="FK38" s="489"/>
      <c r="FL38" s="489"/>
      <c r="FM38" s="489"/>
      <c r="FN38" s="489"/>
      <c r="FO38" s="489"/>
      <c r="FP38" s="489"/>
      <c r="FQ38" s="489"/>
      <c r="FR38" s="489"/>
      <c r="FS38" s="489"/>
      <c r="FT38" s="489"/>
      <c r="FU38" s="489"/>
      <c r="FV38" s="489"/>
      <c r="FW38" s="489"/>
      <c r="FX38" s="489"/>
      <c r="FY38" s="489"/>
      <c r="FZ38" s="489"/>
      <c r="GA38" s="489"/>
      <c r="GB38" s="489"/>
      <c r="GC38" s="489"/>
      <c r="GD38" s="489"/>
      <c r="GE38" s="489"/>
      <c r="GF38" s="489"/>
      <c r="GG38" s="489"/>
      <c r="GH38" s="489"/>
      <c r="GI38" s="489"/>
      <c r="GJ38" s="489"/>
      <c r="GK38" s="489"/>
      <c r="GL38" s="489"/>
      <c r="GM38" s="489"/>
      <c r="GN38" s="489"/>
      <c r="GO38" s="489"/>
      <c r="GP38" s="489"/>
      <c r="GQ38" s="489"/>
      <c r="GR38" s="489"/>
      <c r="GS38" s="489"/>
      <c r="GT38" s="489"/>
      <c r="GU38" s="489"/>
      <c r="GV38" s="489"/>
      <c r="GW38" s="489"/>
      <c r="GX38" s="489"/>
      <c r="GY38" s="489"/>
      <c r="GZ38" s="489"/>
      <c r="HA38" s="489"/>
      <c r="HB38" s="489"/>
      <c r="HC38" s="489"/>
      <c r="HD38" s="489"/>
      <c r="HE38" s="489"/>
      <c r="HF38" s="489"/>
      <c r="HG38" s="489"/>
      <c r="HH38" s="489"/>
      <c r="HI38" s="489"/>
      <c r="HJ38" s="489"/>
      <c r="HK38" s="489"/>
      <c r="HL38" s="489"/>
      <c r="HM38" s="489"/>
      <c r="HN38" s="489"/>
      <c r="HO38" s="489"/>
      <c r="HP38" s="489"/>
      <c r="HQ38" s="489"/>
      <c r="HR38" s="489"/>
      <c r="HS38" s="489"/>
      <c r="HT38" s="489"/>
      <c r="HU38" s="489"/>
      <c r="HV38" s="489"/>
      <c r="HW38" s="489"/>
      <c r="HX38" s="489"/>
      <c r="HY38" s="358"/>
    </row>
    <row r="39" spans="1:233" s="5" customFormat="1" ht="20.100000000000001" customHeight="1">
      <c r="A39" s="497" t="s">
        <v>863</v>
      </c>
      <c r="B39" s="498"/>
      <c r="C39" s="498"/>
      <c r="D39" s="498"/>
      <c r="E39" s="498"/>
      <c r="F39" s="498"/>
      <c r="G39" s="498"/>
      <c r="H39" s="498"/>
      <c r="I39" s="498"/>
      <c r="J39" s="498"/>
      <c r="K39" s="498"/>
      <c r="L39" s="498"/>
      <c r="M39" s="494"/>
      <c r="N39" s="494"/>
      <c r="O39" s="495"/>
      <c r="P39" s="495"/>
      <c r="Q39" s="495"/>
      <c r="R39" s="495"/>
      <c r="S39" s="495"/>
      <c r="T39" s="495"/>
      <c r="U39" s="495"/>
      <c r="V39" s="499"/>
      <c r="W39" s="499"/>
      <c r="X39" s="499"/>
      <c r="Y39" s="499"/>
      <c r="Z39" s="499"/>
      <c r="AA39" s="499"/>
      <c r="AB39" s="499"/>
      <c r="AC39" s="499"/>
      <c r="AD39" s="499"/>
      <c r="AE39" s="499"/>
      <c r="AF39" s="499"/>
      <c r="AG39" s="499"/>
      <c r="AH39" s="499"/>
      <c r="AI39" s="499"/>
      <c r="AJ39" s="499"/>
      <c r="AK39" s="499"/>
      <c r="AL39" s="499"/>
      <c r="AM39" s="499"/>
      <c r="AN39" s="499"/>
      <c r="AO39" s="499"/>
      <c r="AP39" s="499"/>
      <c r="AQ39" s="499"/>
      <c r="AR39" s="499"/>
      <c r="AS39" s="499"/>
      <c r="AT39" s="499"/>
      <c r="AU39" s="499"/>
      <c r="AV39" s="499"/>
      <c r="AW39" s="499"/>
      <c r="AX39" s="499"/>
      <c r="AY39" s="499"/>
      <c r="AZ39" s="499"/>
      <c r="BA39" s="499"/>
      <c r="BB39" s="499"/>
      <c r="BC39" s="499"/>
      <c r="BD39" s="499"/>
      <c r="BE39" s="499"/>
      <c r="BF39" s="499"/>
      <c r="BG39" s="499"/>
      <c r="BH39" s="499"/>
      <c r="BI39" s="499"/>
      <c r="BJ39" s="499"/>
      <c r="BK39" s="499"/>
      <c r="BL39" s="499"/>
      <c r="BM39" s="499"/>
      <c r="BN39" s="499"/>
      <c r="BO39" s="499"/>
      <c r="BP39" s="499"/>
      <c r="BQ39" s="499"/>
      <c r="BR39" s="499"/>
      <c r="BS39" s="499"/>
      <c r="BT39" s="499"/>
      <c r="BU39" s="499"/>
      <c r="BV39" s="499"/>
      <c r="BW39" s="499"/>
      <c r="BX39" s="499"/>
      <c r="BY39" s="499"/>
      <c r="BZ39" s="499"/>
      <c r="CA39" s="499"/>
      <c r="CB39" s="499"/>
      <c r="CC39" s="499"/>
      <c r="CD39" s="499"/>
      <c r="CE39" s="499"/>
      <c r="CF39" s="499"/>
      <c r="CG39" s="499"/>
      <c r="CH39" s="499"/>
      <c r="CI39" s="499"/>
      <c r="CJ39" s="499"/>
      <c r="CK39" s="499"/>
      <c r="CL39" s="499"/>
      <c r="CM39" s="499"/>
      <c r="CN39" s="499"/>
      <c r="CO39" s="499"/>
      <c r="CP39" s="499"/>
      <c r="CQ39" s="499"/>
      <c r="CR39" s="499"/>
      <c r="CS39" s="499"/>
      <c r="CT39" s="499"/>
      <c r="CU39" s="499"/>
      <c r="CV39" s="499"/>
      <c r="CW39" s="499"/>
      <c r="CX39" s="499"/>
      <c r="CY39" s="499"/>
      <c r="CZ39" s="499"/>
      <c r="DA39" s="499"/>
      <c r="DB39" s="499"/>
      <c r="DC39" s="499"/>
      <c r="DD39" s="499"/>
      <c r="DE39" s="499"/>
      <c r="DF39" s="499"/>
      <c r="DG39" s="499"/>
      <c r="DH39" s="499"/>
      <c r="DI39" s="499"/>
      <c r="DJ39" s="499"/>
      <c r="DK39" s="499"/>
      <c r="DL39" s="499"/>
      <c r="DM39" s="499"/>
      <c r="DN39" s="499"/>
      <c r="DO39" s="499"/>
      <c r="DP39" s="499"/>
      <c r="DQ39" s="499"/>
      <c r="DR39" s="499"/>
      <c r="DS39" s="499"/>
      <c r="DT39" s="499"/>
      <c r="DU39" s="499"/>
      <c r="DV39" s="499"/>
      <c r="DW39" s="499"/>
      <c r="DX39" s="499"/>
      <c r="DY39" s="499"/>
      <c r="DZ39" s="499"/>
      <c r="EA39" s="499"/>
      <c r="EB39" s="499"/>
      <c r="EC39" s="499"/>
      <c r="ED39" s="499"/>
      <c r="EE39" s="499"/>
      <c r="EF39" s="499"/>
      <c r="EG39" s="499"/>
      <c r="EH39" s="499"/>
      <c r="EI39" s="499"/>
      <c r="EJ39" s="499"/>
      <c r="EK39" s="499"/>
      <c r="EL39" s="499"/>
      <c r="EM39" s="499"/>
      <c r="EN39" s="499"/>
      <c r="EO39" s="499"/>
      <c r="EP39" s="499"/>
      <c r="EQ39" s="499"/>
      <c r="ER39" s="499"/>
      <c r="ES39" s="499"/>
      <c r="ET39" s="499"/>
      <c r="EU39" s="499"/>
      <c r="EV39" s="499"/>
      <c r="EW39" s="499"/>
      <c r="EX39" s="499"/>
      <c r="EY39" s="499"/>
      <c r="EZ39" s="499"/>
      <c r="FA39" s="499"/>
      <c r="FB39" s="499"/>
      <c r="FC39" s="499"/>
      <c r="FD39" s="499"/>
      <c r="FE39" s="499"/>
      <c r="FF39" s="499"/>
      <c r="FG39" s="499"/>
      <c r="FH39" s="499"/>
      <c r="FI39" s="499"/>
      <c r="FJ39" s="499"/>
      <c r="FK39" s="499"/>
      <c r="FL39" s="499"/>
      <c r="FM39" s="499"/>
      <c r="FN39" s="499"/>
      <c r="FO39" s="499"/>
      <c r="FP39" s="499"/>
      <c r="FQ39" s="499"/>
      <c r="FR39" s="499"/>
      <c r="FS39" s="499"/>
      <c r="FT39" s="499"/>
      <c r="FU39" s="499"/>
      <c r="FV39" s="499"/>
      <c r="FW39" s="499"/>
      <c r="FX39" s="499"/>
      <c r="FY39" s="499"/>
      <c r="FZ39" s="499"/>
      <c r="GA39" s="499"/>
      <c r="GB39" s="499"/>
      <c r="GC39" s="499"/>
      <c r="GD39" s="499"/>
      <c r="GE39" s="499"/>
      <c r="GF39" s="499"/>
      <c r="GG39" s="499"/>
      <c r="GH39" s="499"/>
      <c r="GI39" s="499"/>
      <c r="GJ39" s="499"/>
      <c r="GK39" s="499"/>
      <c r="GL39" s="499"/>
      <c r="GM39" s="499"/>
      <c r="GN39" s="499"/>
      <c r="GO39" s="499"/>
      <c r="GP39" s="499"/>
      <c r="GQ39" s="499"/>
      <c r="GR39" s="499"/>
      <c r="GS39" s="499"/>
      <c r="GT39" s="499"/>
      <c r="GU39" s="499"/>
      <c r="GV39" s="499"/>
      <c r="GW39" s="499"/>
      <c r="GX39" s="499"/>
      <c r="GY39" s="499"/>
      <c r="GZ39" s="499"/>
      <c r="HA39" s="499"/>
      <c r="HB39" s="499"/>
      <c r="HC39" s="499"/>
      <c r="HD39" s="499"/>
      <c r="HE39" s="499"/>
      <c r="HF39" s="499"/>
      <c r="HG39" s="499"/>
      <c r="HH39" s="499"/>
      <c r="HI39" s="499"/>
      <c r="HJ39" s="499"/>
      <c r="HK39" s="499"/>
      <c r="HL39" s="499"/>
      <c r="HM39" s="499"/>
      <c r="HN39" s="499"/>
      <c r="HO39" s="499"/>
      <c r="HP39" s="499"/>
      <c r="HQ39" s="499"/>
      <c r="HR39" s="499"/>
      <c r="HS39" s="499"/>
      <c r="HT39" s="499"/>
      <c r="HU39" s="499"/>
      <c r="HV39" s="499"/>
      <c r="HW39" s="499"/>
      <c r="HX39" s="499"/>
      <c r="HY39" s="358"/>
    </row>
    <row r="40" spans="1:233" ht="33" customHeight="1">
      <c r="A40" s="1607" t="s">
        <v>112</v>
      </c>
      <c r="B40" s="1607"/>
      <c r="C40" s="1607"/>
      <c r="D40" s="1607"/>
      <c r="E40" s="1607"/>
      <c r="F40" s="1607"/>
      <c r="G40" s="1607"/>
      <c r="H40" s="1607"/>
      <c r="I40" s="1607"/>
      <c r="J40" s="1607"/>
      <c r="K40" s="743"/>
      <c r="O40" s="495"/>
      <c r="P40" s="495"/>
      <c r="Q40" s="495"/>
      <c r="R40" s="495"/>
      <c r="S40" s="495"/>
      <c r="T40" s="495"/>
    </row>
    <row r="41" spans="1:233" ht="20.100000000000001" customHeight="1">
      <c r="A41" s="1604" t="s">
        <v>864</v>
      </c>
      <c r="B41" s="1604"/>
      <c r="C41" s="1604"/>
      <c r="D41" s="1604"/>
      <c r="E41" s="1604"/>
      <c r="F41" s="1604"/>
      <c r="G41" s="1604"/>
      <c r="H41" s="1604"/>
      <c r="I41" s="1604"/>
      <c r="J41" s="1604"/>
      <c r="K41" s="482"/>
    </row>
    <row r="42" spans="1:233" s="5" customFormat="1" ht="20.100000000000001" customHeight="1">
      <c r="A42" s="500" t="s">
        <v>1032</v>
      </c>
      <c r="C42" s="501"/>
      <c r="D42" s="501"/>
      <c r="E42" s="501"/>
      <c r="F42" s="501"/>
      <c r="G42" s="501"/>
      <c r="H42" s="501"/>
      <c r="I42" s="501"/>
      <c r="J42" s="502"/>
      <c r="K42" s="502"/>
      <c r="L42" s="502"/>
      <c r="M42" s="494"/>
      <c r="N42" s="494"/>
      <c r="O42" s="464"/>
      <c r="P42" s="464"/>
      <c r="Q42" s="464"/>
      <c r="R42" s="464"/>
      <c r="S42" s="464"/>
      <c r="T42" s="464"/>
      <c r="U42" s="495"/>
      <c r="V42" s="499"/>
      <c r="W42" s="499"/>
      <c r="X42" s="499"/>
      <c r="Y42" s="499"/>
      <c r="Z42" s="499"/>
      <c r="AA42" s="499"/>
      <c r="AB42" s="499"/>
      <c r="AC42" s="499"/>
      <c r="AD42" s="499"/>
      <c r="AE42" s="499"/>
      <c r="AF42" s="499"/>
      <c r="AG42" s="499"/>
      <c r="AH42" s="499"/>
      <c r="AI42" s="499"/>
      <c r="AJ42" s="499"/>
      <c r="AK42" s="499"/>
      <c r="AL42" s="499"/>
      <c r="AM42" s="499"/>
      <c r="AN42" s="499"/>
      <c r="AO42" s="499"/>
      <c r="AP42" s="499"/>
      <c r="AQ42" s="499"/>
      <c r="AR42" s="499"/>
      <c r="AS42" s="499"/>
      <c r="AT42" s="499"/>
      <c r="AU42" s="499"/>
      <c r="AV42" s="499"/>
      <c r="AW42" s="499"/>
      <c r="AX42" s="499"/>
      <c r="AY42" s="499"/>
      <c r="AZ42" s="499"/>
      <c r="BA42" s="499"/>
      <c r="BB42" s="499"/>
      <c r="BC42" s="499"/>
      <c r="BD42" s="499"/>
      <c r="BE42" s="499"/>
      <c r="BF42" s="499"/>
      <c r="BG42" s="499"/>
      <c r="BH42" s="499"/>
      <c r="BI42" s="499"/>
      <c r="BJ42" s="499"/>
      <c r="BK42" s="499"/>
      <c r="BL42" s="499"/>
      <c r="BM42" s="499"/>
      <c r="BN42" s="499"/>
      <c r="BO42" s="499"/>
      <c r="BP42" s="499"/>
      <c r="BQ42" s="499"/>
      <c r="BR42" s="499"/>
      <c r="BS42" s="499"/>
      <c r="BT42" s="499"/>
      <c r="BU42" s="499"/>
      <c r="BV42" s="499"/>
      <c r="BW42" s="499"/>
      <c r="BX42" s="499"/>
      <c r="BY42" s="499"/>
      <c r="BZ42" s="499"/>
      <c r="CA42" s="499"/>
      <c r="CB42" s="499"/>
      <c r="CC42" s="499"/>
      <c r="CD42" s="499"/>
      <c r="CE42" s="499"/>
      <c r="CF42" s="499"/>
      <c r="CG42" s="499"/>
      <c r="CH42" s="499"/>
      <c r="CI42" s="499"/>
      <c r="CJ42" s="499"/>
      <c r="CK42" s="499"/>
      <c r="CL42" s="499"/>
      <c r="CM42" s="499"/>
      <c r="CN42" s="499"/>
      <c r="CO42" s="499"/>
      <c r="CP42" s="499"/>
      <c r="CQ42" s="499"/>
      <c r="CR42" s="499"/>
      <c r="CS42" s="499"/>
      <c r="CT42" s="499"/>
      <c r="CU42" s="499"/>
      <c r="CV42" s="499"/>
      <c r="CW42" s="499"/>
      <c r="CX42" s="499"/>
      <c r="CY42" s="499"/>
      <c r="CZ42" s="499"/>
      <c r="DA42" s="499"/>
      <c r="DB42" s="499"/>
      <c r="DC42" s="499"/>
      <c r="DD42" s="499"/>
      <c r="DE42" s="499"/>
      <c r="DF42" s="499"/>
      <c r="DG42" s="499"/>
      <c r="DH42" s="499"/>
      <c r="DI42" s="499"/>
      <c r="DJ42" s="499"/>
      <c r="DK42" s="499"/>
      <c r="DL42" s="499"/>
      <c r="DM42" s="499"/>
      <c r="DN42" s="499"/>
      <c r="DO42" s="499"/>
      <c r="DP42" s="499"/>
      <c r="DQ42" s="499"/>
      <c r="DR42" s="499"/>
      <c r="DS42" s="499"/>
      <c r="DT42" s="499"/>
      <c r="DU42" s="499"/>
      <c r="DV42" s="499"/>
      <c r="DW42" s="499"/>
      <c r="DX42" s="499"/>
      <c r="DY42" s="499"/>
      <c r="DZ42" s="499"/>
      <c r="EA42" s="499"/>
      <c r="EB42" s="499"/>
      <c r="EC42" s="499"/>
      <c r="ED42" s="499"/>
      <c r="EE42" s="499"/>
      <c r="EF42" s="499"/>
      <c r="EG42" s="499"/>
      <c r="EH42" s="499"/>
      <c r="EI42" s="499"/>
      <c r="EJ42" s="499"/>
      <c r="EK42" s="499"/>
      <c r="EL42" s="499"/>
      <c r="EM42" s="499"/>
      <c r="EN42" s="499"/>
      <c r="EO42" s="499"/>
      <c r="EP42" s="499"/>
      <c r="EQ42" s="499"/>
      <c r="ER42" s="499"/>
      <c r="ES42" s="499"/>
      <c r="ET42" s="499"/>
      <c r="EU42" s="499"/>
      <c r="EV42" s="499"/>
      <c r="EW42" s="499"/>
      <c r="EX42" s="499"/>
      <c r="EY42" s="499"/>
      <c r="EZ42" s="499"/>
      <c r="FA42" s="499"/>
      <c r="FB42" s="499"/>
      <c r="FC42" s="499"/>
      <c r="FD42" s="499"/>
      <c r="FE42" s="499"/>
      <c r="FF42" s="499"/>
      <c r="FG42" s="499"/>
      <c r="FH42" s="499"/>
      <c r="FI42" s="499"/>
      <c r="FJ42" s="499"/>
      <c r="FK42" s="499"/>
      <c r="FL42" s="499"/>
      <c r="FM42" s="499"/>
      <c r="FN42" s="499"/>
      <c r="FO42" s="499"/>
      <c r="FP42" s="499"/>
      <c r="FQ42" s="499"/>
      <c r="FR42" s="499"/>
      <c r="FS42" s="499"/>
      <c r="FT42" s="499"/>
      <c r="FU42" s="499"/>
      <c r="FV42" s="499"/>
      <c r="FW42" s="499"/>
      <c r="FX42" s="499"/>
      <c r="FY42" s="499"/>
      <c r="FZ42" s="499"/>
      <c r="GA42" s="499"/>
      <c r="GB42" s="499"/>
      <c r="GC42" s="499"/>
      <c r="GD42" s="499"/>
      <c r="GE42" s="499"/>
      <c r="GF42" s="499"/>
      <c r="GG42" s="499"/>
      <c r="GH42" s="499"/>
      <c r="GI42" s="499"/>
      <c r="GJ42" s="499"/>
      <c r="GK42" s="499"/>
      <c r="GL42" s="499"/>
      <c r="GM42" s="499"/>
      <c r="GN42" s="499"/>
      <c r="GO42" s="499"/>
      <c r="GP42" s="499"/>
      <c r="GQ42" s="499"/>
      <c r="GR42" s="499"/>
      <c r="GS42" s="499"/>
      <c r="GT42" s="499"/>
      <c r="GU42" s="499"/>
      <c r="GV42" s="499"/>
      <c r="GW42" s="499"/>
      <c r="GX42" s="499"/>
      <c r="GY42" s="499"/>
      <c r="GZ42" s="499"/>
      <c r="HA42" s="499"/>
      <c r="HB42" s="499"/>
      <c r="HC42" s="499"/>
      <c r="HD42" s="499"/>
      <c r="HE42" s="499"/>
      <c r="HF42" s="499"/>
      <c r="HG42" s="499"/>
      <c r="HH42" s="499"/>
      <c r="HI42" s="499"/>
      <c r="HJ42" s="499"/>
      <c r="HK42" s="499"/>
      <c r="HL42" s="499"/>
      <c r="HM42" s="499"/>
      <c r="HN42" s="499"/>
      <c r="HO42" s="499"/>
      <c r="HP42" s="499"/>
      <c r="HQ42" s="499"/>
      <c r="HR42" s="499"/>
      <c r="HS42" s="499"/>
      <c r="HT42" s="499"/>
      <c r="HU42" s="499"/>
      <c r="HV42" s="499"/>
      <c r="HW42" s="499"/>
      <c r="HX42" s="499"/>
      <c r="HY42" s="358"/>
    </row>
    <row r="43" spans="1:233" s="5" customFormat="1" ht="20.100000000000001" customHeight="1">
      <c r="A43" s="1605" t="s">
        <v>191</v>
      </c>
      <c r="B43" s="1606" t="s">
        <v>115</v>
      </c>
      <c r="C43" s="1606"/>
      <c r="D43" s="1606"/>
      <c r="E43" s="1606"/>
      <c r="F43" s="1606" t="s">
        <v>116</v>
      </c>
      <c r="G43" s="1606"/>
      <c r="H43" s="1606"/>
      <c r="I43" s="1606" t="s">
        <v>117</v>
      </c>
      <c r="J43" s="1606"/>
      <c r="K43" s="521"/>
      <c r="O43" s="495"/>
      <c r="P43" s="495"/>
      <c r="Q43" s="495"/>
      <c r="R43" s="495"/>
      <c r="S43" s="495"/>
      <c r="T43" s="495"/>
      <c r="U43" s="504"/>
      <c r="V43" s="358"/>
      <c r="W43" s="358"/>
      <c r="X43" s="358"/>
      <c r="Y43" s="358"/>
      <c r="Z43" s="358"/>
      <c r="AA43" s="358"/>
      <c r="AB43" s="358"/>
      <c r="AC43" s="358"/>
      <c r="AD43" s="358"/>
      <c r="AE43" s="358"/>
      <c r="AF43" s="358"/>
      <c r="AG43" s="358"/>
      <c r="AH43" s="358"/>
      <c r="AI43" s="358"/>
      <c r="AJ43" s="358"/>
      <c r="AK43" s="358"/>
      <c r="AL43" s="358"/>
      <c r="AM43" s="358"/>
      <c r="AN43" s="358"/>
      <c r="AO43" s="358"/>
      <c r="AP43" s="358"/>
      <c r="AQ43" s="358"/>
      <c r="AR43" s="358"/>
      <c r="AS43" s="358"/>
      <c r="AT43" s="358"/>
      <c r="AU43" s="358"/>
      <c r="AV43" s="358"/>
      <c r="AW43" s="358"/>
      <c r="AX43" s="358"/>
      <c r="AY43" s="358"/>
      <c r="AZ43" s="358"/>
      <c r="BA43" s="358"/>
      <c r="BB43" s="358"/>
      <c r="BC43" s="358"/>
      <c r="BD43" s="358"/>
      <c r="BE43" s="358"/>
      <c r="BF43" s="358"/>
      <c r="BG43" s="358"/>
      <c r="BH43" s="358"/>
      <c r="BI43" s="358"/>
      <c r="BJ43" s="358"/>
      <c r="BK43" s="358"/>
      <c r="BL43" s="358"/>
      <c r="BM43" s="358"/>
      <c r="BN43" s="358"/>
      <c r="BO43" s="358"/>
      <c r="BP43" s="358"/>
      <c r="BQ43" s="358"/>
      <c r="BR43" s="358"/>
      <c r="BS43" s="358"/>
      <c r="BT43" s="358"/>
      <c r="BU43" s="358"/>
      <c r="BV43" s="358"/>
      <c r="BW43" s="358"/>
      <c r="BX43" s="358"/>
      <c r="BY43" s="358"/>
      <c r="BZ43" s="358"/>
      <c r="CA43" s="358"/>
      <c r="CB43" s="358"/>
      <c r="CC43" s="358"/>
      <c r="CD43" s="358"/>
      <c r="CE43" s="358"/>
      <c r="CF43" s="358"/>
      <c r="CG43" s="358"/>
      <c r="CH43" s="358"/>
      <c r="CI43" s="358"/>
      <c r="CJ43" s="358"/>
      <c r="CK43" s="358"/>
      <c r="CL43" s="358"/>
      <c r="CM43" s="358"/>
      <c r="CN43" s="358"/>
      <c r="CO43" s="358"/>
      <c r="CP43" s="358"/>
      <c r="CQ43" s="358"/>
      <c r="CR43" s="358"/>
      <c r="CS43" s="358"/>
      <c r="CT43" s="358"/>
      <c r="CU43" s="358"/>
      <c r="CV43" s="358"/>
      <c r="CW43" s="358"/>
      <c r="CX43" s="358"/>
      <c r="CY43" s="358"/>
      <c r="CZ43" s="358"/>
      <c r="DA43" s="358"/>
      <c r="DB43" s="358"/>
      <c r="DC43" s="358"/>
      <c r="DD43" s="358"/>
      <c r="DE43" s="358"/>
      <c r="DF43" s="358"/>
      <c r="DG43" s="358"/>
      <c r="DH43" s="358"/>
      <c r="DI43" s="358"/>
      <c r="DJ43" s="358"/>
      <c r="DK43" s="358"/>
      <c r="DL43" s="358"/>
      <c r="DM43" s="358"/>
      <c r="DN43" s="358"/>
      <c r="DO43" s="358"/>
      <c r="DP43" s="358"/>
      <c r="DQ43" s="358"/>
      <c r="DR43" s="358"/>
      <c r="DS43" s="358"/>
      <c r="DT43" s="358"/>
      <c r="DU43" s="358"/>
      <c r="DV43" s="358"/>
      <c r="DW43" s="358"/>
      <c r="DX43" s="358"/>
      <c r="DY43" s="358"/>
      <c r="DZ43" s="358"/>
      <c r="EA43" s="358"/>
      <c r="EB43" s="358"/>
      <c r="EC43" s="358"/>
      <c r="ED43" s="358"/>
      <c r="EE43" s="358"/>
      <c r="EF43" s="358"/>
      <c r="EG43" s="358"/>
      <c r="EH43" s="358"/>
      <c r="EI43" s="358"/>
      <c r="EJ43" s="358"/>
      <c r="EK43" s="358"/>
      <c r="EL43" s="358"/>
      <c r="EM43" s="358"/>
      <c r="EN43" s="358"/>
      <c r="EO43" s="358"/>
      <c r="EP43" s="358"/>
      <c r="EQ43" s="358"/>
      <c r="ER43" s="358"/>
      <c r="ES43" s="358"/>
      <c r="ET43" s="358"/>
      <c r="EU43" s="358"/>
      <c r="EV43" s="358"/>
      <c r="EW43" s="358"/>
      <c r="EX43" s="358"/>
      <c r="EY43" s="358"/>
      <c r="EZ43" s="358"/>
      <c r="FA43" s="358"/>
      <c r="FB43" s="358"/>
      <c r="FC43" s="358"/>
      <c r="FD43" s="358"/>
      <c r="FE43" s="358"/>
      <c r="FF43" s="358"/>
      <c r="FG43" s="358"/>
      <c r="FH43" s="358"/>
      <c r="FI43" s="358"/>
      <c r="FJ43" s="358"/>
      <c r="FK43" s="358"/>
      <c r="FL43" s="358"/>
      <c r="FM43" s="358"/>
      <c r="FN43" s="358"/>
      <c r="FO43" s="358"/>
      <c r="FP43" s="358"/>
      <c r="FQ43" s="358"/>
      <c r="FR43" s="358"/>
      <c r="FS43" s="358"/>
      <c r="FT43" s="358"/>
      <c r="FU43" s="358"/>
      <c r="FV43" s="358"/>
      <c r="FW43" s="358"/>
      <c r="FX43" s="358"/>
      <c r="FY43" s="358"/>
      <c r="FZ43" s="358"/>
      <c r="GA43" s="358"/>
      <c r="GB43" s="358"/>
      <c r="GC43" s="358"/>
      <c r="GD43" s="358"/>
      <c r="GE43" s="358"/>
      <c r="GF43" s="358"/>
      <c r="GG43" s="358"/>
      <c r="GH43" s="358"/>
      <c r="GI43" s="358"/>
      <c r="GJ43" s="358"/>
      <c r="GK43" s="358"/>
      <c r="GL43" s="358"/>
      <c r="GM43" s="358"/>
      <c r="GN43" s="358"/>
      <c r="GO43" s="358"/>
      <c r="GP43" s="358"/>
      <c r="GQ43" s="358"/>
      <c r="GR43" s="358"/>
      <c r="GS43" s="358"/>
      <c r="GT43" s="358"/>
      <c r="GU43" s="358"/>
      <c r="GV43" s="358"/>
      <c r="GW43" s="358"/>
      <c r="GX43" s="358"/>
      <c r="GY43" s="358"/>
      <c r="GZ43" s="358"/>
      <c r="HA43" s="358"/>
      <c r="HB43" s="358"/>
      <c r="HC43" s="358"/>
      <c r="HD43" s="358"/>
      <c r="HE43" s="358"/>
      <c r="HF43" s="358"/>
      <c r="HG43" s="358"/>
      <c r="HH43" s="358"/>
      <c r="HI43" s="358"/>
      <c r="HJ43" s="358"/>
      <c r="HK43" s="358"/>
      <c r="HL43" s="358"/>
      <c r="HM43" s="358"/>
      <c r="HN43" s="358"/>
      <c r="HO43" s="358"/>
      <c r="HP43" s="358"/>
      <c r="HQ43" s="358"/>
      <c r="HR43" s="358"/>
      <c r="HS43" s="358"/>
      <c r="HT43" s="358"/>
      <c r="HU43" s="358"/>
      <c r="HV43" s="358"/>
      <c r="HW43" s="358"/>
      <c r="HX43" s="358"/>
      <c r="HY43" s="358"/>
    </row>
    <row r="44" spans="1:233" s="5" customFormat="1" ht="34.5" customHeight="1">
      <c r="A44" s="1605"/>
      <c r="B44" s="1606"/>
      <c r="C44" s="1606"/>
      <c r="D44" s="1606"/>
      <c r="E44" s="1606"/>
      <c r="F44" s="1606"/>
      <c r="G44" s="1606"/>
      <c r="H44" s="1606"/>
      <c r="I44" s="503" t="s">
        <v>118</v>
      </c>
      <c r="J44" s="503" t="s">
        <v>119</v>
      </c>
      <c r="K44" s="521"/>
      <c r="P44" s="504"/>
      <c r="Q44" s="504"/>
      <c r="R44" s="504"/>
      <c r="S44" s="504"/>
      <c r="T44" s="504"/>
      <c r="U44" s="406"/>
      <c r="V44" s="358"/>
      <c r="W44" s="358"/>
      <c r="X44" s="358"/>
      <c r="Y44" s="358"/>
      <c r="Z44" s="358"/>
      <c r="AA44" s="358"/>
      <c r="AB44" s="358"/>
      <c r="AC44" s="358"/>
      <c r="AD44" s="358"/>
      <c r="AE44" s="358"/>
      <c r="AF44" s="358"/>
      <c r="AG44" s="358"/>
      <c r="AH44" s="358"/>
      <c r="AI44" s="358"/>
      <c r="AJ44" s="358"/>
      <c r="AK44" s="358"/>
      <c r="AL44" s="358"/>
      <c r="AM44" s="358"/>
      <c r="AN44" s="358"/>
      <c r="AO44" s="358"/>
      <c r="AP44" s="358"/>
      <c r="AQ44" s="358"/>
      <c r="AR44" s="358"/>
      <c r="AS44" s="358"/>
      <c r="AT44" s="358"/>
      <c r="AU44" s="358"/>
      <c r="AV44" s="358"/>
      <c r="AW44" s="358"/>
      <c r="AX44" s="358"/>
      <c r="AY44" s="358"/>
      <c r="AZ44" s="358"/>
      <c r="BA44" s="358"/>
      <c r="BB44" s="358"/>
      <c r="BC44" s="358"/>
      <c r="BD44" s="358"/>
      <c r="BE44" s="358"/>
      <c r="BF44" s="358"/>
      <c r="BG44" s="358"/>
      <c r="BH44" s="358"/>
      <c r="BI44" s="358"/>
      <c r="BJ44" s="358"/>
      <c r="BK44" s="358"/>
      <c r="BL44" s="358"/>
      <c r="BM44" s="358"/>
      <c r="BN44" s="358"/>
      <c r="BO44" s="358"/>
      <c r="BP44" s="358"/>
      <c r="BQ44" s="358"/>
      <c r="BR44" s="358"/>
      <c r="BS44" s="358"/>
      <c r="BT44" s="358"/>
      <c r="BU44" s="358"/>
      <c r="BV44" s="358"/>
      <c r="BW44" s="358"/>
      <c r="BX44" s="358"/>
      <c r="BY44" s="358"/>
      <c r="BZ44" s="358"/>
      <c r="CA44" s="358"/>
      <c r="CB44" s="358"/>
      <c r="CC44" s="358"/>
      <c r="CD44" s="358"/>
      <c r="CE44" s="358"/>
      <c r="CF44" s="358"/>
      <c r="CG44" s="358"/>
      <c r="CH44" s="358"/>
      <c r="CI44" s="358"/>
      <c r="CJ44" s="358"/>
      <c r="CK44" s="358"/>
      <c r="CL44" s="358"/>
      <c r="CM44" s="358"/>
      <c r="CN44" s="358"/>
      <c r="CO44" s="358"/>
      <c r="CP44" s="358"/>
      <c r="CQ44" s="358"/>
      <c r="CR44" s="358"/>
      <c r="CS44" s="358"/>
      <c r="CT44" s="358"/>
      <c r="CU44" s="358"/>
      <c r="CV44" s="358"/>
      <c r="CW44" s="358"/>
      <c r="CX44" s="358"/>
      <c r="CY44" s="358"/>
      <c r="CZ44" s="358"/>
      <c r="DA44" s="358"/>
      <c r="DB44" s="358"/>
      <c r="DC44" s="358"/>
      <c r="DD44" s="358"/>
      <c r="DE44" s="358"/>
      <c r="DF44" s="358"/>
      <c r="DG44" s="358"/>
      <c r="DH44" s="358"/>
      <c r="DI44" s="358"/>
      <c r="DJ44" s="358"/>
      <c r="DK44" s="358"/>
      <c r="DL44" s="358"/>
      <c r="DM44" s="358"/>
      <c r="DN44" s="358"/>
      <c r="DO44" s="358"/>
      <c r="DP44" s="358"/>
      <c r="DQ44" s="358"/>
      <c r="DR44" s="358"/>
      <c r="DS44" s="358"/>
      <c r="DT44" s="358"/>
      <c r="DU44" s="358"/>
      <c r="DV44" s="358"/>
      <c r="DW44" s="358"/>
      <c r="DX44" s="358"/>
      <c r="DY44" s="358"/>
      <c r="DZ44" s="358"/>
      <c r="EA44" s="358"/>
      <c r="EB44" s="358"/>
      <c r="EC44" s="358"/>
      <c r="ED44" s="358"/>
      <c r="EE44" s="358"/>
      <c r="EF44" s="358"/>
      <c r="EG44" s="358"/>
      <c r="EH44" s="358"/>
      <c r="EI44" s="358"/>
      <c r="EJ44" s="358"/>
      <c r="EK44" s="358"/>
      <c r="EL44" s="358"/>
      <c r="EM44" s="358"/>
      <c r="EN44" s="358"/>
      <c r="EO44" s="358"/>
      <c r="EP44" s="358"/>
      <c r="EQ44" s="358"/>
      <c r="ER44" s="358"/>
      <c r="ES44" s="358"/>
      <c r="ET44" s="358"/>
      <c r="EU44" s="358"/>
      <c r="EV44" s="358"/>
      <c r="EW44" s="358"/>
      <c r="EX44" s="358"/>
      <c r="EY44" s="358"/>
      <c r="EZ44" s="358"/>
      <c r="FA44" s="358"/>
      <c r="FB44" s="358"/>
      <c r="FC44" s="358"/>
      <c r="FD44" s="358"/>
      <c r="FE44" s="358"/>
      <c r="FF44" s="358"/>
      <c r="FG44" s="358"/>
      <c r="FH44" s="358"/>
      <c r="FI44" s="358"/>
      <c r="FJ44" s="358"/>
      <c r="FK44" s="358"/>
      <c r="FL44" s="358"/>
      <c r="FM44" s="358"/>
      <c r="FN44" s="358"/>
      <c r="FO44" s="358"/>
      <c r="FP44" s="358"/>
      <c r="FQ44" s="358"/>
      <c r="FR44" s="358"/>
      <c r="FS44" s="358"/>
      <c r="FT44" s="358"/>
      <c r="FU44" s="358"/>
      <c r="FV44" s="358"/>
      <c r="FW44" s="358"/>
      <c r="FX44" s="358"/>
      <c r="FY44" s="358"/>
      <c r="FZ44" s="358"/>
      <c r="GA44" s="358"/>
      <c r="GB44" s="358"/>
      <c r="GC44" s="358"/>
      <c r="GD44" s="358"/>
      <c r="GE44" s="358"/>
      <c r="GF44" s="358"/>
      <c r="GG44" s="358"/>
      <c r="GH44" s="358"/>
      <c r="GI44" s="358"/>
      <c r="GJ44" s="358"/>
      <c r="GK44" s="358"/>
      <c r="GL44" s="358"/>
      <c r="GM44" s="358"/>
      <c r="GN44" s="358"/>
      <c r="GO44" s="358"/>
      <c r="GP44" s="358"/>
      <c r="GQ44" s="358"/>
      <c r="GR44" s="358"/>
      <c r="GS44" s="358"/>
      <c r="GT44" s="358"/>
      <c r="GU44" s="358"/>
      <c r="GV44" s="358"/>
      <c r="GW44" s="358"/>
      <c r="GX44" s="358"/>
      <c r="GY44" s="358"/>
      <c r="GZ44" s="358"/>
      <c r="HA44" s="358"/>
      <c r="HB44" s="358"/>
      <c r="HC44" s="358"/>
      <c r="HD44" s="358"/>
      <c r="HE44" s="358"/>
      <c r="HF44" s="358"/>
      <c r="HG44" s="358"/>
      <c r="HH44" s="358"/>
      <c r="HI44" s="358"/>
      <c r="HJ44" s="358"/>
      <c r="HK44" s="358"/>
      <c r="HL44" s="358"/>
      <c r="HM44" s="358"/>
      <c r="HN44" s="358"/>
      <c r="HO44" s="358"/>
      <c r="HP44" s="358"/>
      <c r="HQ44" s="358"/>
      <c r="HR44" s="358"/>
      <c r="HS44" s="358"/>
      <c r="HT44" s="358"/>
      <c r="HU44" s="358"/>
      <c r="HV44" s="358"/>
      <c r="HW44" s="358"/>
      <c r="HX44" s="358"/>
      <c r="HY44" s="358"/>
    </row>
    <row r="45" spans="1:233" s="5" customFormat="1" ht="20.100000000000001" customHeight="1">
      <c r="A45" s="503">
        <v>1</v>
      </c>
      <c r="B45" s="1597" t="s">
        <v>429</v>
      </c>
      <c r="C45" s="1597"/>
      <c r="D45" s="1597"/>
      <c r="E45" s="1597"/>
      <c r="F45" s="1598" t="s">
        <v>432</v>
      </c>
      <c r="G45" s="1598"/>
      <c r="H45" s="1598"/>
      <c r="I45" s="562" t="s">
        <v>471</v>
      </c>
      <c r="J45" s="506"/>
      <c r="K45" s="502"/>
      <c r="P45" s="406"/>
      <c r="Q45" s="406"/>
      <c r="R45" s="406"/>
      <c r="S45" s="406"/>
      <c r="T45" s="406"/>
      <c r="U45" s="406"/>
      <c r="V45" s="358"/>
      <c r="W45" s="358"/>
      <c r="X45" s="358"/>
      <c r="Y45" s="358"/>
      <c r="Z45" s="358"/>
      <c r="AA45" s="358"/>
      <c r="AB45" s="358"/>
      <c r="AC45" s="358"/>
      <c r="AD45" s="358"/>
      <c r="AE45" s="358"/>
      <c r="AF45" s="358"/>
      <c r="AG45" s="358"/>
      <c r="AH45" s="358"/>
      <c r="AI45" s="358"/>
      <c r="AJ45" s="358"/>
      <c r="AK45" s="358"/>
      <c r="AL45" s="358"/>
      <c r="AM45" s="358"/>
      <c r="AN45" s="358"/>
      <c r="AO45" s="358"/>
      <c r="AP45" s="358"/>
      <c r="AQ45" s="358"/>
      <c r="AR45" s="358"/>
      <c r="AS45" s="358"/>
      <c r="AT45" s="358"/>
      <c r="AU45" s="358"/>
      <c r="AV45" s="358"/>
      <c r="AW45" s="358"/>
      <c r="AX45" s="358"/>
      <c r="AY45" s="358"/>
      <c r="AZ45" s="358"/>
      <c r="BA45" s="358"/>
      <c r="BB45" s="358"/>
      <c r="BC45" s="358"/>
      <c r="BD45" s="358"/>
      <c r="BE45" s="358"/>
      <c r="BF45" s="358"/>
      <c r="BG45" s="358"/>
      <c r="BH45" s="358"/>
      <c r="BI45" s="358"/>
      <c r="BJ45" s="358"/>
      <c r="BK45" s="358"/>
      <c r="BL45" s="358"/>
      <c r="BM45" s="358"/>
      <c r="BN45" s="358"/>
      <c r="BO45" s="358"/>
      <c r="BP45" s="358"/>
      <c r="BQ45" s="358"/>
      <c r="BR45" s="358"/>
      <c r="BS45" s="358"/>
      <c r="BT45" s="358"/>
      <c r="BU45" s="358"/>
      <c r="BV45" s="358"/>
      <c r="BW45" s="358"/>
      <c r="BX45" s="358"/>
      <c r="BY45" s="358"/>
      <c r="BZ45" s="358"/>
      <c r="CA45" s="358"/>
      <c r="CB45" s="358"/>
      <c r="CC45" s="358"/>
      <c r="CD45" s="358"/>
      <c r="CE45" s="358"/>
      <c r="CF45" s="358"/>
      <c r="CG45" s="358"/>
      <c r="CH45" s="358"/>
      <c r="CI45" s="358"/>
      <c r="CJ45" s="358"/>
      <c r="CK45" s="358"/>
      <c r="CL45" s="358"/>
      <c r="CM45" s="358"/>
      <c r="CN45" s="358"/>
      <c r="CO45" s="358"/>
      <c r="CP45" s="358"/>
      <c r="CQ45" s="358"/>
      <c r="CR45" s="358"/>
      <c r="CS45" s="358"/>
      <c r="CT45" s="358"/>
      <c r="CU45" s="358"/>
      <c r="CV45" s="358"/>
      <c r="CW45" s="358"/>
      <c r="CX45" s="358"/>
      <c r="CY45" s="358"/>
      <c r="CZ45" s="358"/>
      <c r="DA45" s="358"/>
      <c r="DB45" s="358"/>
      <c r="DC45" s="358"/>
      <c r="DD45" s="358"/>
      <c r="DE45" s="358"/>
      <c r="DF45" s="358"/>
      <c r="DG45" s="358"/>
      <c r="DH45" s="358"/>
      <c r="DI45" s="358"/>
      <c r="DJ45" s="358"/>
      <c r="DK45" s="358"/>
      <c r="DL45" s="358"/>
      <c r="DM45" s="358"/>
      <c r="DN45" s="358"/>
      <c r="DO45" s="358"/>
      <c r="DP45" s="358"/>
      <c r="DQ45" s="358"/>
      <c r="DR45" s="358"/>
      <c r="DS45" s="358"/>
      <c r="DT45" s="358"/>
      <c r="DU45" s="358"/>
      <c r="DV45" s="358"/>
      <c r="DW45" s="358"/>
      <c r="DX45" s="358"/>
      <c r="DY45" s="358"/>
      <c r="DZ45" s="358"/>
      <c r="EA45" s="358"/>
      <c r="EB45" s="358"/>
      <c r="EC45" s="358"/>
      <c r="ED45" s="358"/>
      <c r="EE45" s="358"/>
      <c r="EF45" s="358"/>
      <c r="EG45" s="358"/>
      <c r="EH45" s="358"/>
      <c r="EI45" s="358"/>
      <c r="EJ45" s="358"/>
      <c r="EK45" s="358"/>
      <c r="EL45" s="358"/>
      <c r="EM45" s="358"/>
      <c r="EN45" s="358"/>
      <c r="EO45" s="358"/>
      <c r="EP45" s="358"/>
      <c r="EQ45" s="358"/>
      <c r="ER45" s="358"/>
      <c r="ES45" s="358"/>
      <c r="ET45" s="358"/>
      <c r="EU45" s="358"/>
      <c r="EV45" s="358"/>
      <c r="EW45" s="358"/>
      <c r="EX45" s="358"/>
      <c r="EY45" s="358"/>
      <c r="EZ45" s="358"/>
      <c r="FA45" s="358"/>
      <c r="FB45" s="358"/>
      <c r="FC45" s="358"/>
      <c r="FD45" s="358"/>
      <c r="FE45" s="358"/>
      <c r="FF45" s="358"/>
      <c r="FG45" s="358"/>
      <c r="FH45" s="358"/>
      <c r="FI45" s="358"/>
      <c r="FJ45" s="358"/>
      <c r="FK45" s="358"/>
      <c r="FL45" s="358"/>
      <c r="FM45" s="358"/>
      <c r="FN45" s="358"/>
      <c r="FO45" s="358"/>
      <c r="FP45" s="358"/>
      <c r="FQ45" s="358"/>
      <c r="FR45" s="358"/>
      <c r="FS45" s="358"/>
      <c r="FT45" s="358"/>
      <c r="FU45" s="358"/>
      <c r="FV45" s="358"/>
      <c r="FW45" s="358"/>
      <c r="FX45" s="358"/>
      <c r="FY45" s="358"/>
      <c r="FZ45" s="358"/>
      <c r="GA45" s="358"/>
      <c r="GB45" s="358"/>
      <c r="GC45" s="358"/>
      <c r="GD45" s="358"/>
      <c r="GE45" s="358"/>
      <c r="GF45" s="358"/>
      <c r="GG45" s="358"/>
      <c r="GH45" s="358"/>
      <c r="GI45" s="358"/>
      <c r="GJ45" s="358"/>
      <c r="GK45" s="358"/>
      <c r="GL45" s="358"/>
      <c r="GM45" s="358"/>
      <c r="GN45" s="358"/>
      <c r="GO45" s="358"/>
      <c r="GP45" s="358"/>
      <c r="GQ45" s="358"/>
      <c r="GR45" s="358"/>
      <c r="GS45" s="358"/>
      <c r="GT45" s="358"/>
      <c r="GU45" s="358"/>
      <c r="GV45" s="358"/>
      <c r="GW45" s="358"/>
      <c r="GX45" s="358"/>
      <c r="GY45" s="358"/>
      <c r="GZ45" s="358"/>
      <c r="HA45" s="358"/>
      <c r="HB45" s="358"/>
      <c r="HC45" s="358"/>
      <c r="HD45" s="358"/>
      <c r="HE45" s="358"/>
      <c r="HF45" s="358"/>
      <c r="HG45" s="358"/>
      <c r="HH45" s="358"/>
      <c r="HI45" s="358"/>
      <c r="HJ45" s="358"/>
      <c r="HK45" s="358"/>
      <c r="HL45" s="358"/>
      <c r="HM45" s="358"/>
      <c r="HN45" s="358"/>
      <c r="HO45" s="358"/>
      <c r="HP45" s="358"/>
      <c r="HQ45" s="358"/>
      <c r="HR45" s="358"/>
      <c r="HS45" s="358"/>
      <c r="HT45" s="358"/>
      <c r="HU45" s="358"/>
      <c r="HV45" s="358"/>
      <c r="HW45" s="358"/>
      <c r="HX45" s="358"/>
      <c r="HY45" s="358"/>
    </row>
    <row r="46" spans="1:233" s="5" customFormat="1" ht="20.100000000000001" customHeight="1">
      <c r="A46" s="503">
        <v>2</v>
      </c>
      <c r="B46" s="1597" t="s">
        <v>426</v>
      </c>
      <c r="C46" s="1597"/>
      <c r="D46" s="1597"/>
      <c r="E46" s="1597"/>
      <c r="F46" s="1598" t="s">
        <v>428</v>
      </c>
      <c r="G46" s="1598"/>
      <c r="H46" s="1598"/>
      <c r="I46" s="562" t="s">
        <v>471</v>
      </c>
      <c r="J46" s="506"/>
      <c r="K46" s="502"/>
      <c r="P46" s="406"/>
      <c r="Q46" s="406"/>
      <c r="R46" s="406"/>
      <c r="S46" s="406"/>
      <c r="T46" s="406"/>
      <c r="U46" s="406"/>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c r="HY46" s="358"/>
    </row>
    <row r="47" spans="1:233" s="5" customFormat="1" ht="20.100000000000001" customHeight="1">
      <c r="A47" s="503">
        <v>3</v>
      </c>
      <c r="B47" s="1661" t="s">
        <v>430</v>
      </c>
      <c r="C47" s="1662"/>
      <c r="D47" s="1662"/>
      <c r="E47" s="1663"/>
      <c r="F47" s="1598" t="s">
        <v>431</v>
      </c>
      <c r="G47" s="1598"/>
      <c r="H47" s="1598"/>
      <c r="I47" s="562" t="s">
        <v>471</v>
      </c>
      <c r="J47" s="506"/>
      <c r="K47" s="502"/>
      <c r="P47" s="406"/>
      <c r="Q47" s="406"/>
      <c r="R47" s="406"/>
      <c r="S47" s="406"/>
      <c r="T47" s="406"/>
      <c r="U47" s="405"/>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c r="HY47" s="358"/>
    </row>
    <row r="48" spans="1:233" s="5" customFormat="1" ht="20.100000000000001" customHeight="1">
      <c r="A48" s="503">
        <v>4</v>
      </c>
      <c r="B48" s="1661" t="s">
        <v>427</v>
      </c>
      <c r="C48" s="1662"/>
      <c r="D48" s="1662"/>
      <c r="E48" s="1663"/>
      <c r="F48" s="1598" t="s">
        <v>138</v>
      </c>
      <c r="G48" s="1598"/>
      <c r="H48" s="1598"/>
      <c r="I48" s="562" t="s">
        <v>471</v>
      </c>
      <c r="J48" s="506"/>
      <c r="K48" s="502"/>
      <c r="P48" s="405"/>
      <c r="Q48" s="405"/>
      <c r="R48" s="405"/>
      <c r="S48" s="405"/>
      <c r="T48" s="405"/>
      <c r="U48" s="405"/>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c r="HY48" s="358"/>
    </row>
    <row r="49" spans="1:233" s="5" customFormat="1" ht="20.100000000000001" customHeight="1">
      <c r="A49" s="503">
        <v>5</v>
      </c>
      <c r="B49" s="1661" t="s">
        <v>424</v>
      </c>
      <c r="C49" s="1662"/>
      <c r="D49" s="1662"/>
      <c r="E49" s="1663"/>
      <c r="F49" s="1598" t="s">
        <v>140</v>
      </c>
      <c r="G49" s="1598"/>
      <c r="H49" s="1598"/>
      <c r="I49" s="562" t="s">
        <v>471</v>
      </c>
      <c r="J49" s="506"/>
      <c r="K49" s="502"/>
      <c r="P49" s="405"/>
      <c r="Q49" s="405"/>
      <c r="R49" s="405"/>
      <c r="S49" s="405"/>
      <c r="T49" s="405"/>
      <c r="U49" s="405"/>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c r="HY49" s="358"/>
    </row>
    <row r="50" spans="1:233" s="5" customFormat="1" ht="20.100000000000001" customHeight="1">
      <c r="A50" s="503">
        <v>6</v>
      </c>
      <c r="B50" s="1597" t="s">
        <v>425</v>
      </c>
      <c r="C50" s="1597"/>
      <c r="D50" s="1597"/>
      <c r="E50" s="1597"/>
      <c r="F50" s="1598" t="s">
        <v>139</v>
      </c>
      <c r="G50" s="1598"/>
      <c r="H50" s="1598"/>
      <c r="I50" s="562" t="s">
        <v>471</v>
      </c>
      <c r="J50" s="506"/>
      <c r="K50" s="502"/>
      <c r="P50" s="405"/>
      <c r="Q50" s="405"/>
      <c r="R50" s="405"/>
      <c r="S50" s="405"/>
      <c r="T50" s="405"/>
      <c r="U50" s="405"/>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c r="HY50" s="358"/>
    </row>
    <row r="51" spans="1:233" s="5" customFormat="1" ht="20.100000000000001" customHeight="1">
      <c r="A51" s="503"/>
      <c r="B51" s="1597"/>
      <c r="C51" s="1597"/>
      <c r="D51" s="1597"/>
      <c r="E51" s="1597"/>
      <c r="F51" s="1598"/>
      <c r="G51" s="1598"/>
      <c r="H51" s="1598"/>
      <c r="I51" s="505"/>
      <c r="J51" s="506"/>
      <c r="K51" s="502"/>
      <c r="P51" s="405"/>
      <c r="Q51" s="405"/>
      <c r="R51" s="405"/>
      <c r="S51" s="405"/>
      <c r="T51" s="405"/>
      <c r="U51" s="405"/>
      <c r="V51" s="358"/>
      <c r="W51" s="358"/>
      <c r="X51" s="358"/>
      <c r="Y51" s="358"/>
      <c r="Z51" s="358"/>
      <c r="AA51" s="358"/>
      <c r="AB51" s="358"/>
      <c r="AC51" s="358"/>
      <c r="AD51" s="358"/>
      <c r="AE51" s="358"/>
      <c r="AF51" s="358"/>
      <c r="AG51" s="358"/>
      <c r="AH51" s="358"/>
      <c r="AI51" s="358"/>
      <c r="AJ51" s="358"/>
      <c r="AK51" s="358"/>
      <c r="AL51" s="358"/>
      <c r="AM51" s="358"/>
      <c r="AN51" s="358"/>
      <c r="AO51" s="358"/>
      <c r="AP51" s="358"/>
      <c r="AQ51" s="358"/>
      <c r="AR51" s="358"/>
      <c r="AS51" s="358"/>
      <c r="AT51" s="358"/>
      <c r="AU51" s="358"/>
      <c r="AV51" s="358"/>
      <c r="AW51" s="358"/>
      <c r="AX51" s="358"/>
      <c r="AY51" s="358"/>
      <c r="AZ51" s="358"/>
      <c r="BA51" s="358"/>
      <c r="BB51" s="358"/>
      <c r="BC51" s="358"/>
      <c r="BD51" s="358"/>
      <c r="BE51" s="358"/>
      <c r="BF51" s="358"/>
      <c r="BG51" s="358"/>
      <c r="BH51" s="358"/>
      <c r="BI51" s="358"/>
      <c r="BJ51" s="358"/>
      <c r="BK51" s="358"/>
      <c r="BL51" s="358"/>
      <c r="BM51" s="358"/>
      <c r="BN51" s="358"/>
      <c r="BO51" s="358"/>
      <c r="BP51" s="358"/>
      <c r="BQ51" s="358"/>
      <c r="BR51" s="358"/>
      <c r="BS51" s="358"/>
      <c r="BT51" s="358"/>
      <c r="BU51" s="358"/>
      <c r="BV51" s="358"/>
      <c r="BW51" s="358"/>
      <c r="BX51" s="358"/>
      <c r="BY51" s="358"/>
      <c r="BZ51" s="358"/>
      <c r="CA51" s="358"/>
      <c r="CB51" s="358"/>
      <c r="CC51" s="358"/>
      <c r="CD51" s="358"/>
      <c r="CE51" s="358"/>
      <c r="CF51" s="358"/>
      <c r="CG51" s="358"/>
      <c r="CH51" s="358"/>
      <c r="CI51" s="358"/>
      <c r="CJ51" s="358"/>
      <c r="CK51" s="358"/>
      <c r="CL51" s="358"/>
      <c r="CM51" s="358"/>
      <c r="CN51" s="358"/>
      <c r="CO51" s="358"/>
      <c r="CP51" s="358"/>
      <c r="CQ51" s="358"/>
      <c r="CR51" s="358"/>
      <c r="CS51" s="358"/>
      <c r="CT51" s="358"/>
      <c r="CU51" s="358"/>
      <c r="CV51" s="358"/>
      <c r="CW51" s="358"/>
      <c r="CX51" s="358"/>
      <c r="CY51" s="358"/>
      <c r="CZ51" s="358"/>
      <c r="DA51" s="358"/>
      <c r="DB51" s="358"/>
      <c r="DC51" s="358"/>
      <c r="DD51" s="358"/>
      <c r="DE51" s="358"/>
      <c r="DF51" s="358"/>
      <c r="DG51" s="358"/>
      <c r="DH51" s="358"/>
      <c r="DI51" s="358"/>
      <c r="DJ51" s="358"/>
      <c r="DK51" s="358"/>
      <c r="DL51" s="358"/>
      <c r="DM51" s="358"/>
      <c r="DN51" s="358"/>
      <c r="DO51" s="358"/>
      <c r="DP51" s="358"/>
      <c r="DQ51" s="358"/>
      <c r="DR51" s="358"/>
      <c r="DS51" s="358"/>
      <c r="DT51" s="358"/>
      <c r="DU51" s="358"/>
      <c r="DV51" s="358"/>
      <c r="DW51" s="358"/>
      <c r="DX51" s="358"/>
      <c r="DY51" s="358"/>
      <c r="DZ51" s="358"/>
      <c r="EA51" s="358"/>
      <c r="EB51" s="358"/>
      <c r="EC51" s="358"/>
      <c r="ED51" s="358"/>
      <c r="EE51" s="358"/>
      <c r="EF51" s="358"/>
      <c r="EG51" s="358"/>
      <c r="EH51" s="358"/>
      <c r="EI51" s="358"/>
      <c r="EJ51" s="358"/>
      <c r="EK51" s="358"/>
      <c r="EL51" s="358"/>
      <c r="EM51" s="358"/>
      <c r="EN51" s="358"/>
      <c r="EO51" s="358"/>
      <c r="EP51" s="358"/>
      <c r="EQ51" s="358"/>
      <c r="ER51" s="358"/>
      <c r="ES51" s="358"/>
      <c r="ET51" s="358"/>
      <c r="EU51" s="358"/>
      <c r="EV51" s="358"/>
      <c r="EW51" s="358"/>
      <c r="EX51" s="358"/>
      <c r="EY51" s="358"/>
      <c r="EZ51" s="358"/>
      <c r="FA51" s="358"/>
      <c r="FB51" s="358"/>
      <c r="FC51" s="358"/>
      <c r="FD51" s="358"/>
      <c r="FE51" s="358"/>
      <c r="FF51" s="358"/>
      <c r="FG51" s="358"/>
      <c r="FH51" s="358"/>
      <c r="FI51" s="358"/>
      <c r="FJ51" s="358"/>
      <c r="FK51" s="358"/>
      <c r="FL51" s="358"/>
      <c r="FM51" s="358"/>
      <c r="FN51" s="358"/>
      <c r="FO51" s="358"/>
      <c r="FP51" s="358"/>
      <c r="FQ51" s="358"/>
      <c r="FR51" s="358"/>
      <c r="FS51" s="358"/>
      <c r="FT51" s="358"/>
      <c r="FU51" s="358"/>
      <c r="FV51" s="358"/>
      <c r="FW51" s="358"/>
      <c r="FX51" s="358"/>
      <c r="FY51" s="358"/>
      <c r="FZ51" s="358"/>
      <c r="GA51" s="358"/>
      <c r="GB51" s="358"/>
      <c r="GC51" s="358"/>
      <c r="GD51" s="358"/>
      <c r="GE51" s="358"/>
      <c r="GF51" s="358"/>
      <c r="GG51" s="358"/>
      <c r="GH51" s="358"/>
      <c r="GI51" s="358"/>
      <c r="GJ51" s="358"/>
      <c r="GK51" s="358"/>
      <c r="GL51" s="358"/>
      <c r="GM51" s="358"/>
      <c r="GN51" s="358"/>
      <c r="GO51" s="358"/>
      <c r="GP51" s="358"/>
      <c r="GQ51" s="358"/>
      <c r="GR51" s="358"/>
      <c r="GS51" s="358"/>
      <c r="GT51" s="358"/>
      <c r="GU51" s="358"/>
      <c r="GV51" s="358"/>
      <c r="GW51" s="358"/>
      <c r="GX51" s="358"/>
      <c r="GY51" s="358"/>
      <c r="GZ51" s="358"/>
      <c r="HA51" s="358"/>
      <c r="HB51" s="358"/>
      <c r="HC51" s="358"/>
      <c r="HD51" s="358"/>
      <c r="HE51" s="358"/>
      <c r="HF51" s="358"/>
      <c r="HG51" s="358"/>
      <c r="HH51" s="358"/>
      <c r="HI51" s="358"/>
      <c r="HJ51" s="358"/>
      <c r="HK51" s="358"/>
      <c r="HL51" s="358"/>
      <c r="HM51" s="358"/>
      <c r="HN51" s="358"/>
      <c r="HO51" s="358"/>
      <c r="HP51" s="358"/>
      <c r="HQ51" s="358"/>
      <c r="HR51" s="358"/>
      <c r="HS51" s="358"/>
      <c r="HT51" s="358"/>
      <c r="HU51" s="358"/>
      <c r="HV51" s="358"/>
      <c r="HW51" s="358"/>
      <c r="HX51" s="358"/>
      <c r="HY51" s="358"/>
    </row>
    <row r="52" spans="1:233" ht="20.100000000000001" customHeight="1">
      <c r="A52" s="1595" t="s">
        <v>1033</v>
      </c>
      <c r="B52" s="1595"/>
      <c r="C52" s="1595"/>
      <c r="D52" s="1595"/>
      <c r="E52" s="1595"/>
      <c r="F52" s="1595"/>
      <c r="G52" s="1595"/>
      <c r="H52" s="1595"/>
      <c r="I52" s="1595"/>
      <c r="J52" s="1595"/>
      <c r="K52" s="481"/>
      <c r="O52" s="5"/>
      <c r="P52" s="405"/>
      <c r="Q52" s="405"/>
      <c r="R52" s="405"/>
      <c r="S52" s="405"/>
      <c r="T52" s="405"/>
    </row>
    <row r="53" spans="1:233" ht="20.100000000000001" customHeight="1">
      <c r="A53" s="1596" t="s">
        <v>121</v>
      </c>
      <c r="B53" s="1596"/>
      <c r="C53" s="1596"/>
      <c r="D53" s="1596"/>
      <c r="E53" s="1596"/>
      <c r="F53" s="1596"/>
      <c r="G53" s="1596"/>
      <c r="H53" s="1596"/>
      <c r="I53" s="1596"/>
      <c r="J53" s="1596"/>
      <c r="K53" s="741"/>
    </row>
    <row r="54" spans="1:233" ht="20.100000000000001" customHeight="1">
      <c r="A54" s="1600" t="s">
        <v>910</v>
      </c>
      <c r="B54" s="1600"/>
      <c r="C54" s="1600"/>
      <c r="D54" s="1600"/>
      <c r="E54" s="1600"/>
      <c r="F54" s="1600"/>
      <c r="G54" s="1600"/>
      <c r="H54" s="1600"/>
      <c r="I54" s="1600"/>
      <c r="J54" s="1600"/>
      <c r="K54" s="740"/>
    </row>
    <row r="55" spans="1:233" ht="20.100000000000001" customHeight="1">
      <c r="A55" s="1595"/>
      <c r="B55" s="1595"/>
      <c r="C55" s="1595"/>
      <c r="D55" s="1595"/>
      <c r="E55" s="1595"/>
      <c r="F55" s="1595"/>
      <c r="G55" s="1595"/>
      <c r="H55" s="1595"/>
      <c r="I55" s="1595"/>
      <c r="J55" s="1595"/>
      <c r="K55" s="481"/>
    </row>
    <row r="56" spans="1:233" ht="20.100000000000001" customHeight="1">
      <c r="A56" s="507"/>
      <c r="B56" s="507"/>
      <c r="C56" s="507"/>
      <c r="D56" s="507"/>
      <c r="E56" s="507"/>
      <c r="F56" s="507"/>
      <c r="G56" s="507"/>
      <c r="H56" s="507"/>
      <c r="I56" s="507"/>
      <c r="J56" s="507"/>
      <c r="K56" s="507"/>
    </row>
    <row r="57" spans="1:233" ht="20.100000000000001" customHeight="1">
      <c r="A57" s="1599" t="s">
        <v>442</v>
      </c>
      <c r="B57" s="1599"/>
      <c r="C57" s="1599"/>
      <c r="D57" s="1599"/>
      <c r="E57" s="1599"/>
      <c r="F57" s="1666" t="s">
        <v>123</v>
      </c>
      <c r="G57" s="1666"/>
      <c r="H57" s="1666"/>
      <c r="I57" s="1666"/>
      <c r="J57" s="1666"/>
      <c r="K57" s="750"/>
    </row>
    <row r="58" spans="1:233" ht="20.100000000000001" customHeight="1">
      <c r="A58" s="563"/>
      <c r="B58" s="508"/>
      <c r="C58" s="508"/>
      <c r="D58" s="508"/>
      <c r="E58" s="563"/>
      <c r="F58" s="1599" t="s">
        <v>124</v>
      </c>
      <c r="G58" s="1599"/>
      <c r="H58" s="1599" t="s">
        <v>331</v>
      </c>
      <c r="I58" s="1599"/>
      <c r="J58" s="1599"/>
      <c r="K58" s="739"/>
    </row>
    <row r="59" spans="1:233" ht="20.100000000000001" customHeight="1">
      <c r="A59" s="508"/>
      <c r="B59" s="508"/>
      <c r="C59" s="508"/>
      <c r="D59" s="508"/>
      <c r="E59" s="508"/>
      <c r="F59" s="508"/>
      <c r="G59" s="508"/>
      <c r="H59" s="508"/>
      <c r="I59" s="508"/>
      <c r="J59" s="508"/>
      <c r="K59" s="508"/>
    </row>
    <row r="60" spans="1:233" ht="20.100000000000001" customHeight="1">
      <c r="A60" s="508"/>
      <c r="B60" s="508"/>
      <c r="C60" s="508"/>
      <c r="D60" s="508"/>
      <c r="E60" s="508"/>
      <c r="F60" s="508"/>
      <c r="G60" s="508"/>
      <c r="H60" s="508"/>
      <c r="I60" s="508"/>
      <c r="J60" s="508"/>
      <c r="K60" s="508"/>
    </row>
    <row r="61" spans="1:233" ht="20.100000000000001" customHeight="1">
      <c r="A61" s="508"/>
      <c r="B61" s="508"/>
      <c r="C61" s="508"/>
      <c r="D61" s="508"/>
      <c r="E61" s="508"/>
      <c r="F61" s="508"/>
      <c r="G61" s="508"/>
      <c r="H61" s="508"/>
      <c r="I61" s="508"/>
      <c r="J61" s="508"/>
      <c r="K61" s="508"/>
    </row>
    <row r="62" spans="1:233" ht="20.100000000000001" customHeight="1">
      <c r="A62" s="508"/>
      <c r="B62" s="508"/>
      <c r="C62" s="508"/>
      <c r="D62" s="508"/>
      <c r="E62" s="508"/>
      <c r="F62" s="508"/>
      <c r="G62" s="508"/>
      <c r="H62" s="508"/>
      <c r="I62" s="508"/>
      <c r="J62" s="508"/>
      <c r="K62" s="508"/>
    </row>
    <row r="63" spans="1:233" ht="20.100000000000001" customHeight="1">
      <c r="A63" s="508"/>
      <c r="B63" s="508"/>
      <c r="C63" s="508"/>
      <c r="D63" s="508"/>
      <c r="E63" s="508"/>
      <c r="F63" s="508"/>
      <c r="G63" s="508"/>
      <c r="H63" s="508"/>
      <c r="I63" s="508"/>
      <c r="J63" s="508"/>
      <c r="K63" s="508"/>
    </row>
    <row r="64" spans="1:233" ht="20.100000000000001" customHeight="1">
      <c r="A64" s="508"/>
      <c r="B64" s="508"/>
      <c r="C64" s="508"/>
      <c r="D64" s="508"/>
      <c r="E64" s="508"/>
      <c r="F64" s="508"/>
      <c r="G64" s="508"/>
      <c r="H64" s="508"/>
      <c r="I64" s="508"/>
      <c r="J64" s="508"/>
      <c r="K64" s="508"/>
    </row>
    <row r="65" spans="1:11" ht="20.100000000000001" customHeight="1">
      <c r="A65" s="508"/>
      <c r="B65" s="508"/>
      <c r="C65" s="508"/>
      <c r="D65" s="508"/>
      <c r="E65" s="508"/>
      <c r="F65" s="508"/>
      <c r="G65" s="508"/>
      <c r="H65" s="508"/>
      <c r="I65" s="508"/>
      <c r="J65" s="508"/>
      <c r="K65" s="508"/>
    </row>
    <row r="66" spans="1:11" ht="20.100000000000001" customHeight="1">
      <c r="A66" s="508"/>
      <c r="B66" s="508"/>
      <c r="C66" s="508"/>
      <c r="D66" s="508"/>
      <c r="E66" s="508"/>
      <c r="F66" s="508"/>
      <c r="G66" s="508"/>
      <c r="H66" s="508"/>
      <c r="I66" s="508"/>
      <c r="J66" s="508"/>
      <c r="K66" s="508"/>
    </row>
    <row r="67" spans="1:11" ht="20.100000000000001" customHeight="1">
      <c r="A67" s="508"/>
      <c r="B67" s="508"/>
      <c r="C67" s="508"/>
      <c r="D67" s="508"/>
      <c r="E67" s="508"/>
      <c r="F67" s="508"/>
      <c r="G67" s="508"/>
      <c r="H67" s="508"/>
      <c r="I67" s="508"/>
      <c r="J67" s="508"/>
      <c r="K67" s="508"/>
    </row>
    <row r="68" spans="1:11" ht="20.100000000000001" customHeight="1">
      <c r="A68" s="508"/>
      <c r="B68" s="508"/>
      <c r="C68" s="508"/>
      <c r="D68" s="508"/>
      <c r="E68" s="508"/>
      <c r="F68" s="508"/>
      <c r="G68" s="508"/>
      <c r="H68" s="508"/>
      <c r="I68" s="508"/>
      <c r="J68" s="508"/>
      <c r="K68" s="508"/>
    </row>
    <row r="69" spans="1:11" ht="20.100000000000001" customHeight="1">
      <c r="A69" s="508"/>
      <c r="B69" s="508"/>
      <c r="C69" s="508"/>
      <c r="D69" s="508"/>
      <c r="E69" s="508"/>
      <c r="F69" s="508"/>
      <c r="G69" s="508"/>
      <c r="H69" s="508"/>
      <c r="I69" s="508"/>
      <c r="J69" s="508"/>
      <c r="K69" s="508"/>
    </row>
    <row r="70" spans="1:11" ht="20.100000000000001" customHeight="1">
      <c r="A70" s="508"/>
      <c r="B70" s="508"/>
      <c r="C70" s="508"/>
      <c r="D70" s="508"/>
      <c r="E70" s="508"/>
      <c r="F70" s="508"/>
      <c r="G70" s="508"/>
      <c r="H70" s="508"/>
      <c r="I70" s="508"/>
      <c r="J70" s="508"/>
      <c r="K70" s="508"/>
    </row>
    <row r="71" spans="1:11" ht="20.100000000000001" customHeight="1">
      <c r="A71" s="508"/>
      <c r="B71" s="508"/>
      <c r="C71" s="508"/>
      <c r="D71" s="508"/>
      <c r="E71" s="508"/>
      <c r="F71" s="508"/>
      <c r="G71" s="508"/>
      <c r="H71" s="508"/>
      <c r="I71" s="508"/>
      <c r="J71" s="508"/>
      <c r="K71" s="508"/>
    </row>
    <row r="72" spans="1:11" ht="20.100000000000001" customHeight="1">
      <c r="A72" s="508"/>
      <c r="B72" s="508"/>
      <c r="C72" s="508"/>
      <c r="D72" s="508"/>
      <c r="E72" s="508"/>
      <c r="F72" s="508"/>
      <c r="G72" s="508"/>
      <c r="H72" s="508"/>
      <c r="I72" s="508"/>
      <c r="J72" s="508"/>
      <c r="K72" s="508"/>
    </row>
    <row r="73" spans="1:11" ht="20.100000000000001" customHeight="1">
      <c r="A73" s="508"/>
      <c r="B73" s="508"/>
      <c r="C73" s="508"/>
      <c r="D73" s="508"/>
      <c r="E73" s="508"/>
      <c r="F73" s="508"/>
      <c r="G73" s="508"/>
      <c r="H73" s="508"/>
      <c r="I73" s="508"/>
      <c r="J73" s="508"/>
      <c r="K73" s="508"/>
    </row>
    <row r="74" spans="1:11" ht="20.100000000000001" customHeight="1">
      <c r="A74" s="508"/>
      <c r="B74" s="508"/>
      <c r="C74" s="508"/>
      <c r="D74" s="508"/>
      <c r="E74" s="508"/>
      <c r="F74" s="508"/>
      <c r="G74" s="508"/>
      <c r="H74" s="508"/>
      <c r="I74" s="508"/>
      <c r="J74" s="508"/>
      <c r="K74" s="508"/>
    </row>
    <row r="75" spans="1:11" ht="20.100000000000001" customHeight="1">
      <c r="A75" s="508"/>
      <c r="B75" s="508"/>
      <c r="C75" s="508"/>
      <c r="D75" s="508"/>
      <c r="E75" s="508"/>
      <c r="F75" s="508"/>
      <c r="G75" s="508"/>
      <c r="H75" s="508"/>
      <c r="I75" s="508"/>
      <c r="J75" s="508"/>
      <c r="K75" s="508"/>
    </row>
    <row r="76" spans="1:11" ht="20.100000000000001" customHeight="1">
      <c r="A76" s="508"/>
      <c r="B76" s="508"/>
      <c r="C76" s="508"/>
      <c r="D76" s="508"/>
      <c r="E76" s="508"/>
      <c r="F76" s="508"/>
      <c r="G76" s="508"/>
      <c r="H76" s="508"/>
      <c r="I76" s="508"/>
      <c r="J76" s="508"/>
      <c r="K76" s="508"/>
    </row>
    <row r="77" spans="1:11" ht="18.75" customHeight="1">
      <c r="A77" s="1599"/>
      <c r="B77" s="1599"/>
      <c r="C77" s="1599"/>
      <c r="D77" s="1599"/>
      <c r="E77" s="1599"/>
      <c r="F77" s="1665"/>
      <c r="G77" s="1665"/>
      <c r="H77" s="1665"/>
      <c r="I77" s="1665"/>
      <c r="J77" s="1665"/>
      <c r="K77" s="749"/>
    </row>
    <row r="78" spans="1:11" ht="20.100000000000001" customHeight="1">
      <c r="A78" s="1698" t="s">
        <v>458</v>
      </c>
      <c r="B78" s="1698"/>
      <c r="C78" s="1698"/>
      <c r="D78" s="1698"/>
      <c r="E78" s="1698"/>
      <c r="F78" s="1699" t="s">
        <v>126</v>
      </c>
      <c r="G78" s="1699"/>
      <c r="H78" s="1699"/>
      <c r="I78" s="1699"/>
      <c r="J78" s="1699"/>
      <c r="K78" s="468"/>
    </row>
    <row r="79" spans="1:11" ht="20.100000000000001" customHeight="1">
      <c r="A79" s="1613" t="s">
        <v>127</v>
      </c>
      <c r="B79" s="1613"/>
      <c r="C79" s="1613"/>
      <c r="D79" s="1613"/>
      <c r="E79" s="1613"/>
      <c r="F79" s="1700" t="s">
        <v>128</v>
      </c>
      <c r="G79" s="1700"/>
      <c r="H79" s="1700"/>
      <c r="I79" s="1700"/>
      <c r="J79" s="1700"/>
      <c r="K79" s="753"/>
    </row>
    <row r="80" spans="1:11" ht="20.100000000000001" customHeight="1">
      <c r="F80" s="1652" t="s">
        <v>404</v>
      </c>
      <c r="G80" s="1653"/>
      <c r="H80" s="1653"/>
      <c r="I80" s="1653"/>
      <c r="J80" s="1653"/>
      <c r="K80" s="746"/>
    </row>
    <row r="81" spans="1:11" ht="20.100000000000001" customHeight="1">
      <c r="F81" s="1706">
        <f>A4</f>
        <v>42466</v>
      </c>
      <c r="G81" s="1706"/>
      <c r="H81" s="1706"/>
      <c r="I81" s="1706"/>
      <c r="J81" s="1706"/>
      <c r="K81" s="747"/>
    </row>
    <row r="82" spans="1:11" ht="20.100000000000001" customHeight="1">
      <c r="A82" s="509"/>
      <c r="B82" s="509"/>
      <c r="C82" s="509"/>
      <c r="D82" s="509"/>
      <c r="E82" s="509"/>
      <c r="F82" s="510"/>
      <c r="G82" s="510"/>
      <c r="H82" s="510"/>
      <c r="I82" s="510"/>
      <c r="J82" s="510"/>
      <c r="K82" s="510"/>
    </row>
    <row r="83" spans="1:11" ht="19.5">
      <c r="A83" s="1655" t="s">
        <v>438</v>
      </c>
      <c r="B83" s="1656"/>
      <c r="C83" s="1656"/>
      <c r="D83" s="1656"/>
      <c r="E83" s="1656"/>
      <c r="F83" s="1656"/>
      <c r="G83" s="1656"/>
      <c r="H83" s="1656"/>
      <c r="I83" s="1656"/>
      <c r="J83" s="1656"/>
      <c r="K83" s="748"/>
    </row>
    <row r="84" spans="1:11" ht="20.100000000000001" customHeight="1">
      <c r="A84" s="1696" t="str">
        <f>A6</f>
        <v>SỐ: TGHL-HT-CWI-C&amp;S-B1/800</v>
      </c>
      <c r="B84" s="1696"/>
      <c r="C84" s="1696"/>
      <c r="D84" s="1696"/>
      <c r="E84" s="1696"/>
      <c r="F84" s="1696"/>
      <c r="G84" s="1696"/>
      <c r="H84" s="1696"/>
      <c r="I84" s="1696"/>
      <c r="J84" s="1696"/>
      <c r="K84" s="771"/>
    </row>
    <row r="85" spans="1:11" ht="35.1" customHeight="1">
      <c r="A85" s="641" t="str">
        <f>A8</f>
        <v>DỰ ÁN:</v>
      </c>
      <c r="B85" s="476"/>
      <c r="C85" s="1615" t="str">
        <f>C8</f>
        <v>KHU HỖN HỢP CHUNG CƯ, VĂN PHÒNG, TRUNG TÂM THƯƠNG MẠI VÀ NHÀ Ở KẾT HỢP KHU MUA SẮM</v>
      </c>
      <c r="D85" s="1615"/>
      <c r="E85" s="1615"/>
      <c r="F85" s="1615"/>
      <c r="G85" s="1615"/>
      <c r="H85" s="1615"/>
      <c r="I85" s="1615"/>
      <c r="J85" s="1615"/>
      <c r="K85" s="498"/>
    </row>
    <row r="86" spans="1:11" ht="22.5" customHeight="1">
      <c r="A86" s="641" t="str">
        <f>A9</f>
        <v>CÔNG TRÌNH:</v>
      </c>
      <c r="B86" s="476"/>
      <c r="C86" s="1615" t="str">
        <f>C9</f>
        <v>KHU HỖN HỢP CHUNG CƯ, VĂN PHÒNG, TTTM</v>
      </c>
      <c r="D86" s="1615"/>
      <c r="E86" s="1615"/>
      <c r="F86" s="1615"/>
      <c r="G86" s="1615"/>
      <c r="H86" s="1615"/>
      <c r="I86" s="1615"/>
      <c r="J86" s="1615"/>
      <c r="K86" s="498"/>
    </row>
    <row r="87" spans="1:11" ht="20.100000000000001" customHeight="1">
      <c r="A87" s="641" t="str">
        <f>A10</f>
        <v>GÓI THẦU :</v>
      </c>
      <c r="B87" s="476"/>
      <c r="C87" s="1615" t="str">
        <f>C10</f>
        <v>THI CÔNG CỌC KHOAN NHỒI</v>
      </c>
      <c r="D87" s="1615"/>
      <c r="E87" s="1615"/>
      <c r="F87" s="1615"/>
      <c r="G87" s="1615"/>
      <c r="H87" s="1615"/>
      <c r="I87" s="1615"/>
      <c r="J87" s="1615"/>
      <c r="K87" s="498"/>
    </row>
    <row r="88" spans="1:11" ht="20.100000000000001" customHeight="1">
      <c r="A88" s="641" t="str">
        <f>A11</f>
        <v>ĐỊA ĐIỂM :</v>
      </c>
      <c r="B88" s="476"/>
      <c r="C88" s="1615" t="str">
        <f>C11</f>
        <v>ĐƯỜNG 25/4, P BẠCH ĐẰNG, TP. HẠ LONG, TỈNH QUẢNG NINH</v>
      </c>
      <c r="D88" s="1615"/>
      <c r="E88" s="1615"/>
      <c r="F88" s="1615"/>
      <c r="G88" s="1615"/>
      <c r="H88" s="1615"/>
      <c r="I88" s="1615"/>
      <c r="J88" s="1615"/>
      <c r="K88" s="498"/>
    </row>
    <row r="89" spans="1:11" ht="16.5">
      <c r="A89" s="511"/>
      <c r="B89" s="512"/>
      <c r="C89" s="481"/>
      <c r="D89" s="481"/>
      <c r="E89" s="481"/>
      <c r="F89" s="481"/>
      <c r="G89" s="481"/>
      <c r="H89" s="481"/>
      <c r="I89" s="481"/>
      <c r="J89" s="481"/>
      <c r="K89" s="481"/>
    </row>
    <row r="90" spans="1:11" ht="16.5">
      <c r="A90" s="477" t="s">
        <v>911</v>
      </c>
      <c r="B90" s="638"/>
      <c r="C90" s="476" t="s">
        <v>820</v>
      </c>
      <c r="D90" s="638"/>
      <c r="E90" s="638"/>
      <c r="F90" s="638"/>
      <c r="G90" s="638"/>
      <c r="H90" s="638"/>
      <c r="I90" s="638"/>
      <c r="J90" s="638"/>
      <c r="K90" s="638"/>
    </row>
    <row r="91" spans="1:11" ht="16.5">
      <c r="A91" s="509"/>
      <c r="B91" s="509"/>
      <c r="C91" s="476" t="s">
        <v>867</v>
      </c>
      <c r="D91" s="509"/>
      <c r="E91" s="509"/>
      <c r="F91" s="510"/>
      <c r="G91" s="510"/>
      <c r="H91" s="510"/>
      <c r="I91" s="510"/>
      <c r="J91" s="510"/>
      <c r="K91" s="510"/>
    </row>
    <row r="92" spans="1:11" ht="50.25" customHeight="1">
      <c r="A92" s="1626" t="s">
        <v>912</v>
      </c>
      <c r="B92" s="1627"/>
      <c r="C92" s="1627"/>
      <c r="D92" s="1627"/>
      <c r="E92" s="1627"/>
      <c r="F92" s="1627"/>
      <c r="G92" s="1627"/>
      <c r="H92" s="1627"/>
      <c r="I92" s="1627"/>
      <c r="J92" s="1627"/>
      <c r="K92" s="745"/>
    </row>
    <row r="93" spans="1:11" ht="20.100000000000001" customHeight="1">
      <c r="A93" s="1689" t="s">
        <v>868</v>
      </c>
      <c r="B93" s="1689"/>
      <c r="C93" s="518" t="str">
        <f>A13</f>
        <v>Gia công, lắp dựng cốt thép cọc số hiệu B1</v>
      </c>
      <c r="D93" s="542"/>
      <c r="E93" s="542"/>
      <c r="F93" s="542"/>
      <c r="G93" s="542"/>
      <c r="H93" s="542"/>
      <c r="I93" s="542"/>
      <c r="J93" s="542"/>
      <c r="K93" s="542"/>
    </row>
    <row r="94" spans="1:11" ht="20.100000000000001" customHeight="1">
      <c r="A94" s="543" t="s">
        <v>131</v>
      </c>
      <c r="B94" s="487"/>
      <c r="C94" s="514">
        <f>L22-M26</f>
        <v>0.73263888888888873</v>
      </c>
      <c r="D94" s="1705">
        <f>L20</f>
        <v>42466</v>
      </c>
      <c r="E94" s="1705"/>
      <c r="F94" s="1705"/>
      <c r="G94" s="1705"/>
      <c r="H94" s="1705"/>
      <c r="I94" s="513"/>
      <c r="J94" s="513"/>
      <c r="K94" s="513"/>
    </row>
    <row r="95" spans="1:11" ht="20.100000000000001" customHeight="1">
      <c r="A95" s="543" t="str">
        <f>'[6]7. BBNT-TOADOCOC'!A92</f>
        <v>Tại:</v>
      </c>
      <c r="B95" s="487" t="str">
        <f>'[6]7. BBNT-TOADOCOC'!B92</f>
        <v>Công trình: Khu hỗn hợp chung cư, văn phòng, trung tâm thương mại.</v>
      </c>
      <c r="C95" s="766"/>
      <c r="D95" s="766"/>
      <c r="E95" s="766"/>
      <c r="F95" s="766"/>
      <c r="G95" s="766"/>
      <c r="H95" s="766"/>
      <c r="I95" s="766"/>
      <c r="J95" s="766"/>
      <c r="K95" s="766"/>
    </row>
    <row r="96" spans="1:11" ht="20.100000000000001" customHeight="1">
      <c r="A96" s="517"/>
      <c r="B96" s="517"/>
      <c r="C96" s="517"/>
      <c r="D96" s="517"/>
      <c r="E96" s="517"/>
      <c r="F96" s="519"/>
      <c r="G96" s="519"/>
      <c r="H96" s="519"/>
      <c r="I96" s="519"/>
      <c r="J96" s="519"/>
      <c r="K96" s="513"/>
    </row>
    <row r="97" spans="1:233" s="464" customFormat="1" ht="39.75" customHeight="1">
      <c r="A97" s="1631" t="s">
        <v>869</v>
      </c>
      <c r="B97" s="1632"/>
      <c r="C97" s="1633"/>
      <c r="D97" s="1606" t="s">
        <v>870</v>
      </c>
      <c r="E97" s="1606"/>
      <c r="F97" s="1690" t="s">
        <v>409</v>
      </c>
      <c r="G97" s="1691"/>
      <c r="H97" s="1691"/>
      <c r="I97" s="1691"/>
      <c r="J97" s="1692"/>
      <c r="K97" s="772"/>
      <c r="L97" s="463"/>
      <c r="M97" s="463"/>
      <c r="Z97" s="468"/>
      <c r="AA97" s="468"/>
      <c r="AB97" s="468"/>
      <c r="AC97" s="468"/>
      <c r="AD97" s="468"/>
      <c r="AE97" s="468"/>
      <c r="AF97" s="463"/>
      <c r="AG97" s="463"/>
      <c r="AH97" s="463"/>
      <c r="AI97" s="463"/>
      <c r="AJ97" s="463"/>
      <c r="AK97" s="463"/>
      <c r="AL97" s="463"/>
      <c r="AM97" s="463"/>
      <c r="AN97" s="463"/>
      <c r="AO97" s="463"/>
      <c r="AP97" s="463"/>
      <c r="AQ97" s="463"/>
      <c r="AR97" s="463"/>
      <c r="AS97" s="463"/>
      <c r="AT97" s="463"/>
      <c r="AU97" s="463"/>
      <c r="AV97" s="463"/>
      <c r="AW97" s="463"/>
      <c r="AX97" s="463"/>
      <c r="AY97" s="463"/>
      <c r="AZ97" s="463"/>
      <c r="BA97" s="463"/>
      <c r="BB97" s="463"/>
      <c r="BC97" s="463"/>
      <c r="BD97" s="463"/>
      <c r="BE97" s="463"/>
      <c r="BF97" s="463"/>
      <c r="BG97" s="463"/>
      <c r="BH97" s="463"/>
      <c r="BI97" s="463"/>
      <c r="BJ97" s="463"/>
      <c r="BK97" s="463"/>
      <c r="BL97" s="463"/>
      <c r="BM97" s="463"/>
      <c r="BN97" s="463"/>
      <c r="BO97" s="463"/>
      <c r="BP97" s="463"/>
      <c r="BQ97" s="463"/>
      <c r="BR97" s="463"/>
      <c r="BS97" s="463"/>
      <c r="BT97" s="463"/>
      <c r="BU97" s="463"/>
      <c r="BV97" s="463"/>
      <c r="BW97" s="463"/>
      <c r="BX97" s="463"/>
      <c r="BY97" s="463"/>
      <c r="BZ97" s="463"/>
      <c r="CA97" s="463"/>
      <c r="CB97" s="463"/>
      <c r="CC97" s="463"/>
      <c r="CD97" s="463"/>
      <c r="CE97" s="463"/>
      <c r="CF97" s="463"/>
      <c r="CG97" s="463"/>
      <c r="CH97" s="463"/>
      <c r="CI97" s="463"/>
      <c r="CJ97" s="463"/>
      <c r="CK97" s="463"/>
      <c r="CL97" s="463"/>
      <c r="CM97" s="463"/>
      <c r="CN97" s="463"/>
      <c r="CO97" s="463"/>
      <c r="CP97" s="463"/>
      <c r="CQ97" s="463"/>
      <c r="CR97" s="463"/>
      <c r="CS97" s="463"/>
      <c r="CT97" s="463"/>
      <c r="CU97" s="463"/>
      <c r="CV97" s="463"/>
      <c r="CW97" s="463"/>
      <c r="CX97" s="463"/>
      <c r="CY97" s="463"/>
      <c r="CZ97" s="463"/>
      <c r="DA97" s="463"/>
      <c r="DB97" s="463"/>
      <c r="DC97" s="463"/>
      <c r="DD97" s="463"/>
      <c r="DE97" s="463"/>
      <c r="DF97" s="463"/>
      <c r="DG97" s="463"/>
      <c r="DH97" s="463"/>
      <c r="DI97" s="463"/>
      <c r="DJ97" s="463"/>
      <c r="DK97" s="463"/>
      <c r="DL97" s="463"/>
      <c r="DM97" s="463"/>
      <c r="DN97" s="463"/>
      <c r="DO97" s="463"/>
      <c r="DP97" s="463"/>
      <c r="DQ97" s="463"/>
      <c r="DR97" s="463"/>
      <c r="DS97" s="463"/>
      <c r="DT97" s="463"/>
      <c r="DU97" s="463"/>
      <c r="DV97" s="463"/>
      <c r="DW97" s="463"/>
      <c r="DX97" s="463"/>
      <c r="DY97" s="463"/>
      <c r="DZ97" s="463"/>
      <c r="EA97" s="463"/>
      <c r="EB97" s="463"/>
      <c r="EC97" s="463"/>
      <c r="ED97" s="463"/>
      <c r="EE97" s="463"/>
      <c r="EF97" s="463"/>
      <c r="EG97" s="463"/>
      <c r="EH97" s="463"/>
      <c r="EI97" s="463"/>
      <c r="EJ97" s="463"/>
      <c r="EK97" s="463"/>
      <c r="EL97" s="463"/>
      <c r="EM97" s="463"/>
      <c r="EN97" s="463"/>
      <c r="EO97" s="463"/>
      <c r="EP97" s="463"/>
      <c r="EQ97" s="463"/>
      <c r="ER97" s="463"/>
      <c r="ES97" s="463"/>
      <c r="ET97" s="463"/>
      <c r="EU97" s="463"/>
      <c r="EV97" s="463"/>
      <c r="EW97" s="463"/>
      <c r="EX97" s="463"/>
      <c r="EY97" s="463"/>
      <c r="EZ97" s="463"/>
      <c r="FA97" s="463"/>
      <c r="FB97" s="463"/>
      <c r="FC97" s="463"/>
      <c r="FD97" s="463"/>
      <c r="FE97" s="463"/>
      <c r="FF97" s="463"/>
      <c r="FG97" s="463"/>
      <c r="FH97" s="463"/>
      <c r="FI97" s="463"/>
      <c r="FJ97" s="463"/>
      <c r="FK97" s="463"/>
      <c r="FL97" s="463"/>
      <c r="FM97" s="463"/>
      <c r="FN97" s="463"/>
      <c r="FO97" s="463"/>
      <c r="FP97" s="463"/>
      <c r="FQ97" s="463"/>
      <c r="FR97" s="463"/>
      <c r="FS97" s="463"/>
      <c r="FT97" s="463"/>
      <c r="FU97" s="463"/>
      <c r="FV97" s="463"/>
      <c r="FW97" s="463"/>
      <c r="FX97" s="463"/>
      <c r="FY97" s="463"/>
      <c r="FZ97" s="463"/>
      <c r="GA97" s="463"/>
      <c r="GB97" s="463"/>
      <c r="GC97" s="463"/>
      <c r="GD97" s="463"/>
      <c r="GE97" s="463"/>
      <c r="GF97" s="463"/>
      <c r="GG97" s="463"/>
      <c r="GH97" s="463"/>
      <c r="GI97" s="463"/>
      <c r="GJ97" s="463"/>
      <c r="GK97" s="463"/>
      <c r="GL97" s="463"/>
      <c r="GM97" s="463"/>
      <c r="GN97" s="463"/>
      <c r="GO97" s="463"/>
      <c r="GP97" s="463"/>
      <c r="GQ97" s="463"/>
      <c r="GR97" s="463"/>
      <c r="GS97" s="463"/>
      <c r="GT97" s="463"/>
      <c r="GU97" s="463"/>
      <c r="GV97" s="463"/>
      <c r="GW97" s="463"/>
      <c r="GX97" s="463"/>
      <c r="GY97" s="463"/>
      <c r="GZ97" s="463"/>
      <c r="HA97" s="463"/>
      <c r="HB97" s="463"/>
      <c r="HC97" s="463"/>
      <c r="HD97" s="463"/>
      <c r="HE97" s="463"/>
      <c r="HF97" s="463"/>
      <c r="HG97" s="463"/>
      <c r="HH97" s="463"/>
      <c r="HI97" s="463"/>
      <c r="HJ97" s="463"/>
      <c r="HK97" s="463"/>
      <c r="HL97" s="463"/>
      <c r="HM97" s="463"/>
      <c r="HN97" s="463"/>
      <c r="HO97" s="463"/>
      <c r="HP97" s="463"/>
      <c r="HQ97" s="463"/>
      <c r="HR97" s="463"/>
      <c r="HS97" s="463"/>
      <c r="HT97" s="463"/>
      <c r="HU97" s="463"/>
      <c r="HV97" s="463"/>
      <c r="HW97" s="463"/>
      <c r="HX97" s="463"/>
      <c r="HY97" s="463"/>
    </row>
    <row r="98" spans="1:233" s="464" customFormat="1" ht="34.5" customHeight="1">
      <c r="A98" s="1634"/>
      <c r="B98" s="1635"/>
      <c r="C98" s="1636"/>
      <c r="D98" s="1641">
        <f>L22-L27</f>
        <v>0.72916666666666641</v>
      </c>
      <c r="E98" s="1693">
        <f>L20</f>
        <v>42466</v>
      </c>
      <c r="F98" s="1645"/>
      <c r="G98" s="1646"/>
      <c r="H98" s="1646"/>
      <c r="I98" s="1646"/>
      <c r="J98" s="1647"/>
      <c r="K98" s="772"/>
      <c r="L98" s="463"/>
      <c r="M98" s="463"/>
      <c r="Z98" s="468"/>
      <c r="AA98" s="468"/>
      <c r="AB98" s="468"/>
      <c r="AC98" s="468"/>
      <c r="AD98" s="468"/>
      <c r="AE98" s="468"/>
      <c r="AF98" s="463"/>
      <c r="AG98" s="463"/>
      <c r="AH98" s="463"/>
      <c r="AI98" s="463"/>
      <c r="AJ98" s="463"/>
      <c r="AK98" s="463"/>
      <c r="AL98" s="463"/>
      <c r="AM98" s="463"/>
      <c r="AN98" s="463"/>
      <c r="AO98" s="463"/>
      <c r="AP98" s="463"/>
      <c r="AQ98" s="463"/>
      <c r="AR98" s="463"/>
      <c r="AS98" s="463"/>
      <c r="AT98" s="463"/>
      <c r="AU98" s="463"/>
      <c r="AV98" s="463"/>
      <c r="AW98" s="463"/>
      <c r="AX98" s="463"/>
      <c r="AY98" s="463"/>
      <c r="AZ98" s="463"/>
      <c r="BA98" s="463"/>
      <c r="BB98" s="463"/>
      <c r="BC98" s="463"/>
      <c r="BD98" s="463"/>
      <c r="BE98" s="463"/>
      <c r="BF98" s="463"/>
      <c r="BG98" s="463"/>
      <c r="BH98" s="463"/>
      <c r="BI98" s="463"/>
      <c r="BJ98" s="463"/>
      <c r="BK98" s="463"/>
      <c r="BL98" s="463"/>
      <c r="BM98" s="463"/>
      <c r="BN98" s="463"/>
      <c r="BO98" s="463"/>
      <c r="BP98" s="463"/>
      <c r="BQ98" s="463"/>
      <c r="BR98" s="463"/>
      <c r="BS98" s="463"/>
      <c r="BT98" s="463"/>
      <c r="BU98" s="463"/>
      <c r="BV98" s="463"/>
      <c r="BW98" s="463"/>
      <c r="BX98" s="463"/>
      <c r="BY98" s="463"/>
      <c r="BZ98" s="463"/>
      <c r="CA98" s="463"/>
      <c r="CB98" s="463"/>
      <c r="CC98" s="463"/>
      <c r="CD98" s="463"/>
      <c r="CE98" s="463"/>
      <c r="CF98" s="463"/>
      <c r="CG98" s="463"/>
      <c r="CH98" s="463"/>
      <c r="CI98" s="463"/>
      <c r="CJ98" s="463"/>
      <c r="CK98" s="463"/>
      <c r="CL98" s="463"/>
      <c r="CM98" s="463"/>
      <c r="CN98" s="463"/>
      <c r="CO98" s="463"/>
      <c r="CP98" s="463"/>
      <c r="CQ98" s="463"/>
      <c r="CR98" s="463"/>
      <c r="CS98" s="463"/>
      <c r="CT98" s="463"/>
      <c r="CU98" s="463"/>
      <c r="CV98" s="463"/>
      <c r="CW98" s="463"/>
      <c r="CX98" s="463"/>
      <c r="CY98" s="463"/>
      <c r="CZ98" s="463"/>
      <c r="DA98" s="463"/>
      <c r="DB98" s="463"/>
      <c r="DC98" s="463"/>
      <c r="DD98" s="463"/>
      <c r="DE98" s="463"/>
      <c r="DF98" s="463"/>
      <c r="DG98" s="463"/>
      <c r="DH98" s="463"/>
      <c r="DI98" s="463"/>
      <c r="DJ98" s="463"/>
      <c r="DK98" s="463"/>
      <c r="DL98" s="463"/>
      <c r="DM98" s="463"/>
      <c r="DN98" s="463"/>
      <c r="DO98" s="463"/>
      <c r="DP98" s="463"/>
      <c r="DQ98" s="463"/>
      <c r="DR98" s="463"/>
      <c r="DS98" s="463"/>
      <c r="DT98" s="463"/>
      <c r="DU98" s="463"/>
      <c r="DV98" s="463"/>
      <c r="DW98" s="463"/>
      <c r="DX98" s="463"/>
      <c r="DY98" s="463"/>
      <c r="DZ98" s="463"/>
      <c r="EA98" s="463"/>
      <c r="EB98" s="463"/>
      <c r="EC98" s="463"/>
      <c r="ED98" s="463"/>
      <c r="EE98" s="463"/>
      <c r="EF98" s="463"/>
      <c r="EG98" s="463"/>
      <c r="EH98" s="463"/>
      <c r="EI98" s="463"/>
      <c r="EJ98" s="463"/>
      <c r="EK98" s="463"/>
      <c r="EL98" s="463"/>
      <c r="EM98" s="463"/>
      <c r="EN98" s="463"/>
      <c r="EO98" s="463"/>
      <c r="EP98" s="463"/>
      <c r="EQ98" s="463"/>
      <c r="ER98" s="463"/>
      <c r="ES98" s="463"/>
      <c r="ET98" s="463"/>
      <c r="EU98" s="463"/>
      <c r="EV98" s="463"/>
      <c r="EW98" s="463"/>
      <c r="EX98" s="463"/>
      <c r="EY98" s="463"/>
      <c r="EZ98" s="463"/>
      <c r="FA98" s="463"/>
      <c r="FB98" s="463"/>
      <c r="FC98" s="463"/>
      <c r="FD98" s="463"/>
      <c r="FE98" s="463"/>
      <c r="FF98" s="463"/>
      <c r="FG98" s="463"/>
      <c r="FH98" s="463"/>
      <c r="FI98" s="463"/>
      <c r="FJ98" s="463"/>
      <c r="FK98" s="463"/>
      <c r="FL98" s="463"/>
      <c r="FM98" s="463"/>
      <c r="FN98" s="463"/>
      <c r="FO98" s="463"/>
      <c r="FP98" s="463"/>
      <c r="FQ98" s="463"/>
      <c r="FR98" s="463"/>
      <c r="FS98" s="463"/>
      <c r="FT98" s="463"/>
      <c r="FU98" s="463"/>
      <c r="FV98" s="463"/>
      <c r="FW98" s="463"/>
      <c r="FX98" s="463"/>
      <c r="FY98" s="463"/>
      <c r="FZ98" s="463"/>
      <c r="GA98" s="463"/>
      <c r="GB98" s="463"/>
      <c r="GC98" s="463"/>
      <c r="GD98" s="463"/>
      <c r="GE98" s="463"/>
      <c r="GF98" s="463"/>
      <c r="GG98" s="463"/>
      <c r="GH98" s="463"/>
      <c r="GI98" s="463"/>
      <c r="GJ98" s="463"/>
      <c r="GK98" s="463"/>
      <c r="GL98" s="463"/>
      <c r="GM98" s="463"/>
      <c r="GN98" s="463"/>
      <c r="GO98" s="463"/>
      <c r="GP98" s="463"/>
      <c r="GQ98" s="463"/>
      <c r="GR98" s="463"/>
      <c r="GS98" s="463"/>
      <c r="GT98" s="463"/>
      <c r="GU98" s="463"/>
      <c r="GV98" s="463"/>
      <c r="GW98" s="463"/>
      <c r="GX98" s="463"/>
      <c r="GY98" s="463"/>
      <c r="GZ98" s="463"/>
      <c r="HA98" s="463"/>
      <c r="HB98" s="463"/>
      <c r="HC98" s="463"/>
      <c r="HD98" s="463"/>
      <c r="HE98" s="463"/>
      <c r="HF98" s="463"/>
      <c r="HG98" s="463"/>
      <c r="HH98" s="463"/>
      <c r="HI98" s="463"/>
      <c r="HJ98" s="463"/>
      <c r="HK98" s="463"/>
      <c r="HL98" s="463"/>
      <c r="HM98" s="463"/>
      <c r="HN98" s="463"/>
      <c r="HO98" s="463"/>
      <c r="HP98" s="463"/>
      <c r="HQ98" s="463"/>
      <c r="HR98" s="463"/>
      <c r="HS98" s="463"/>
      <c r="HT98" s="463"/>
      <c r="HU98" s="463"/>
      <c r="HV98" s="463"/>
      <c r="HW98" s="463"/>
      <c r="HX98" s="463"/>
      <c r="HY98" s="463"/>
    </row>
    <row r="99" spans="1:233" s="464" customFormat="1" ht="20.100000000000001" customHeight="1">
      <c r="A99" s="1637"/>
      <c r="B99" s="1638"/>
      <c r="C99" s="1639"/>
      <c r="D99" s="1642"/>
      <c r="E99" s="1694"/>
      <c r="F99" s="1648"/>
      <c r="G99" s="1649"/>
      <c r="H99" s="1649"/>
      <c r="I99" s="1649"/>
      <c r="J99" s="1650"/>
      <c r="K99" s="772"/>
      <c r="L99" s="463"/>
      <c r="M99" s="463"/>
      <c r="Z99" s="468"/>
      <c r="AA99" s="468"/>
      <c r="AB99" s="468"/>
      <c r="AC99" s="468"/>
      <c r="AD99" s="468"/>
      <c r="AE99" s="468"/>
      <c r="AF99" s="463"/>
      <c r="AG99" s="463"/>
      <c r="AH99" s="463"/>
      <c r="AI99" s="463"/>
      <c r="AJ99" s="463"/>
      <c r="AK99" s="463"/>
      <c r="AL99" s="463"/>
      <c r="AM99" s="463"/>
      <c r="AN99" s="463"/>
      <c r="AO99" s="463"/>
      <c r="AP99" s="463"/>
      <c r="AQ99" s="463"/>
      <c r="AR99" s="463"/>
      <c r="AS99" s="463"/>
      <c r="AT99" s="463"/>
      <c r="AU99" s="463"/>
      <c r="AV99" s="463"/>
      <c r="AW99" s="463"/>
      <c r="AX99" s="463"/>
      <c r="AY99" s="463"/>
      <c r="AZ99" s="463"/>
      <c r="BA99" s="463"/>
      <c r="BB99" s="463"/>
      <c r="BC99" s="463"/>
      <c r="BD99" s="463"/>
      <c r="BE99" s="463"/>
      <c r="BF99" s="463"/>
      <c r="BG99" s="463"/>
      <c r="BH99" s="463"/>
      <c r="BI99" s="463"/>
      <c r="BJ99" s="463"/>
      <c r="BK99" s="463"/>
      <c r="BL99" s="463"/>
      <c r="BM99" s="463"/>
      <c r="BN99" s="463"/>
      <c r="BO99" s="463"/>
      <c r="BP99" s="463"/>
      <c r="BQ99" s="463"/>
      <c r="BR99" s="463"/>
      <c r="BS99" s="463"/>
      <c r="BT99" s="463"/>
      <c r="BU99" s="463"/>
      <c r="BV99" s="463"/>
      <c r="BW99" s="463"/>
      <c r="BX99" s="463"/>
      <c r="BY99" s="463"/>
      <c r="BZ99" s="463"/>
      <c r="CA99" s="463"/>
      <c r="CB99" s="463"/>
      <c r="CC99" s="463"/>
      <c r="CD99" s="463"/>
      <c r="CE99" s="463"/>
      <c r="CF99" s="463"/>
      <c r="CG99" s="463"/>
      <c r="CH99" s="463"/>
      <c r="CI99" s="463"/>
      <c r="CJ99" s="463"/>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63"/>
      <c r="DJ99" s="463"/>
      <c r="DK99" s="463"/>
      <c r="DL99" s="463"/>
      <c r="DM99" s="463"/>
      <c r="DN99" s="463"/>
      <c r="DO99" s="463"/>
      <c r="DP99" s="463"/>
      <c r="DQ99" s="463"/>
      <c r="DR99" s="463"/>
      <c r="DS99" s="463"/>
      <c r="DT99" s="463"/>
      <c r="DU99" s="463"/>
      <c r="DV99" s="463"/>
      <c r="DW99" s="463"/>
      <c r="DX99" s="463"/>
      <c r="DY99" s="463"/>
      <c r="DZ99" s="463"/>
      <c r="EA99" s="463"/>
      <c r="EB99" s="463"/>
      <c r="EC99" s="463"/>
      <c r="ED99" s="463"/>
      <c r="EE99" s="463"/>
      <c r="EF99" s="463"/>
      <c r="EG99" s="463"/>
      <c r="EH99" s="463"/>
      <c r="EI99" s="463"/>
      <c r="EJ99" s="463"/>
      <c r="EK99" s="463"/>
      <c r="EL99" s="463"/>
      <c r="EM99" s="463"/>
      <c r="EN99" s="463"/>
      <c r="EO99" s="463"/>
      <c r="EP99" s="463"/>
      <c r="EQ99" s="463"/>
      <c r="ER99" s="463"/>
      <c r="ES99" s="463"/>
      <c r="ET99" s="463"/>
      <c r="EU99" s="463"/>
      <c r="EV99" s="463"/>
      <c r="EW99" s="463"/>
      <c r="EX99" s="463"/>
      <c r="EY99" s="463"/>
      <c r="EZ99" s="463"/>
      <c r="FA99" s="463"/>
      <c r="FB99" s="463"/>
      <c r="FC99" s="463"/>
      <c r="FD99" s="463"/>
      <c r="FE99" s="463"/>
      <c r="FF99" s="463"/>
      <c r="FG99" s="463"/>
      <c r="FH99" s="463"/>
      <c r="FI99" s="463"/>
      <c r="FJ99" s="463"/>
      <c r="FK99" s="463"/>
      <c r="FL99" s="463"/>
      <c r="FM99" s="463"/>
      <c r="FN99" s="463"/>
      <c r="FO99" s="463"/>
      <c r="FP99" s="463"/>
      <c r="FQ99" s="463"/>
      <c r="FR99" s="463"/>
      <c r="FS99" s="463"/>
      <c r="FT99" s="463"/>
      <c r="FU99" s="463"/>
      <c r="FV99" s="463"/>
      <c r="FW99" s="463"/>
      <c r="FX99" s="463"/>
      <c r="FY99" s="463"/>
      <c r="FZ99" s="463"/>
      <c r="GA99" s="463"/>
      <c r="GB99" s="463"/>
      <c r="GC99" s="463"/>
      <c r="GD99" s="463"/>
      <c r="GE99" s="463"/>
      <c r="GF99" s="463"/>
      <c r="GG99" s="463"/>
      <c r="GH99" s="463"/>
      <c r="GI99" s="463"/>
      <c r="GJ99" s="463"/>
      <c r="GK99" s="463"/>
      <c r="GL99" s="463"/>
      <c r="GM99" s="463"/>
      <c r="GN99" s="463"/>
      <c r="GO99" s="463"/>
      <c r="GP99" s="463"/>
      <c r="GQ99" s="463"/>
      <c r="GR99" s="463"/>
      <c r="GS99" s="463"/>
      <c r="GT99" s="463"/>
      <c r="GU99" s="463"/>
      <c r="GV99" s="463"/>
      <c r="GW99" s="463"/>
      <c r="GX99" s="463"/>
      <c r="GY99" s="463"/>
      <c r="GZ99" s="463"/>
      <c r="HA99" s="463"/>
      <c r="HB99" s="463"/>
      <c r="HC99" s="463"/>
      <c r="HD99" s="463"/>
      <c r="HE99" s="463"/>
      <c r="HF99" s="463"/>
      <c r="HG99" s="463"/>
      <c r="HH99" s="463"/>
      <c r="HI99" s="463"/>
      <c r="HJ99" s="463"/>
      <c r="HK99" s="463"/>
      <c r="HL99" s="463"/>
      <c r="HM99" s="463"/>
      <c r="HN99" s="463"/>
      <c r="HO99" s="463"/>
      <c r="HP99" s="463"/>
      <c r="HQ99" s="463"/>
      <c r="HR99" s="463"/>
      <c r="HS99" s="463"/>
      <c r="HT99" s="463"/>
      <c r="HU99" s="463"/>
      <c r="HV99" s="463"/>
      <c r="HW99" s="463"/>
      <c r="HX99" s="463"/>
      <c r="HY99" s="463"/>
    </row>
    <row r="100" spans="1:233" s="464" customFormat="1" ht="37.5" customHeight="1">
      <c r="A100" s="1631" t="s">
        <v>197</v>
      </c>
      <c r="B100" s="1632"/>
      <c r="C100" s="1633"/>
      <c r="D100" s="1606" t="s">
        <v>870</v>
      </c>
      <c r="E100" s="1606"/>
      <c r="F100" s="1690" t="s">
        <v>409</v>
      </c>
      <c r="G100" s="1691"/>
      <c r="H100" s="1691"/>
      <c r="I100" s="1691"/>
      <c r="J100" s="1692"/>
      <c r="K100" s="772"/>
      <c r="L100" s="463"/>
      <c r="M100" s="463"/>
      <c r="Z100" s="468"/>
      <c r="AA100" s="468"/>
      <c r="AB100" s="468"/>
      <c r="AC100" s="468"/>
      <c r="AD100" s="468"/>
      <c r="AE100" s="468"/>
      <c r="AF100" s="463"/>
      <c r="AG100" s="463"/>
      <c r="AH100" s="463"/>
      <c r="AI100" s="463"/>
      <c r="AJ100" s="463"/>
      <c r="AK100" s="463"/>
      <c r="AL100" s="463"/>
      <c r="AM100" s="463"/>
      <c r="AN100" s="463"/>
      <c r="AO100" s="463"/>
      <c r="AP100" s="463"/>
      <c r="AQ100" s="463"/>
      <c r="AR100" s="463"/>
      <c r="AS100" s="463"/>
      <c r="AT100" s="463"/>
      <c r="AU100" s="463"/>
      <c r="AV100" s="463"/>
      <c r="AW100" s="463"/>
      <c r="AX100" s="463"/>
      <c r="AY100" s="463"/>
      <c r="AZ100" s="463"/>
      <c r="BA100" s="463"/>
      <c r="BB100" s="463"/>
      <c r="BC100" s="463"/>
      <c r="BD100" s="463"/>
      <c r="BE100" s="463"/>
      <c r="BF100" s="463"/>
      <c r="BG100" s="463"/>
      <c r="BH100" s="463"/>
      <c r="BI100" s="463"/>
      <c r="BJ100" s="463"/>
      <c r="BK100" s="463"/>
      <c r="BL100" s="463"/>
      <c r="BM100" s="463"/>
      <c r="BN100" s="463"/>
      <c r="BO100" s="463"/>
      <c r="BP100" s="463"/>
      <c r="BQ100" s="463"/>
      <c r="BR100" s="463"/>
      <c r="BS100" s="463"/>
      <c r="BT100" s="463"/>
      <c r="BU100" s="463"/>
      <c r="BV100" s="463"/>
      <c r="BW100" s="463"/>
      <c r="BX100" s="463"/>
      <c r="BY100" s="463"/>
      <c r="BZ100" s="463"/>
      <c r="CA100" s="463"/>
      <c r="CB100" s="463"/>
      <c r="CC100" s="463"/>
      <c r="CD100" s="463"/>
      <c r="CE100" s="463"/>
      <c r="CF100" s="463"/>
      <c r="CG100" s="463"/>
      <c r="CH100" s="463"/>
      <c r="CI100" s="463"/>
      <c r="CJ100" s="463"/>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63"/>
      <c r="DJ100" s="463"/>
      <c r="DK100" s="463"/>
      <c r="DL100" s="463"/>
      <c r="DM100" s="463"/>
      <c r="DN100" s="463"/>
      <c r="DO100" s="463"/>
      <c r="DP100" s="463"/>
      <c r="DQ100" s="463"/>
      <c r="DR100" s="463"/>
      <c r="DS100" s="463"/>
      <c r="DT100" s="463"/>
      <c r="DU100" s="463"/>
      <c r="DV100" s="463"/>
      <c r="DW100" s="463"/>
      <c r="DX100" s="463"/>
      <c r="DY100" s="463"/>
      <c r="DZ100" s="463"/>
      <c r="EA100" s="463"/>
      <c r="EB100" s="463"/>
      <c r="EC100" s="463"/>
      <c r="ED100" s="463"/>
      <c r="EE100" s="463"/>
      <c r="EF100" s="463"/>
      <c r="EG100" s="463"/>
      <c r="EH100" s="463"/>
      <c r="EI100" s="463"/>
      <c r="EJ100" s="463"/>
      <c r="EK100" s="463"/>
      <c r="EL100" s="463"/>
      <c r="EM100" s="463"/>
      <c r="EN100" s="463"/>
      <c r="EO100" s="463"/>
      <c r="EP100" s="463"/>
      <c r="EQ100" s="463"/>
      <c r="ER100" s="463"/>
      <c r="ES100" s="463"/>
      <c r="ET100" s="463"/>
      <c r="EU100" s="463"/>
      <c r="EV100" s="463"/>
      <c r="EW100" s="463"/>
      <c r="EX100" s="463"/>
      <c r="EY100" s="463"/>
      <c r="EZ100" s="463"/>
      <c r="FA100" s="463"/>
      <c r="FB100" s="463"/>
      <c r="FC100" s="463"/>
      <c r="FD100" s="463"/>
      <c r="FE100" s="463"/>
      <c r="FF100" s="463"/>
      <c r="FG100" s="463"/>
      <c r="FH100" s="463"/>
      <c r="FI100" s="463"/>
      <c r="FJ100" s="463"/>
      <c r="FK100" s="463"/>
      <c r="FL100" s="463"/>
      <c r="FM100" s="463"/>
      <c r="FN100" s="463"/>
      <c r="FO100" s="463"/>
      <c r="FP100" s="463"/>
      <c r="FQ100" s="463"/>
      <c r="FR100" s="463"/>
      <c r="FS100" s="463"/>
      <c r="FT100" s="463"/>
      <c r="FU100" s="463"/>
      <c r="FV100" s="463"/>
      <c r="FW100" s="463"/>
      <c r="FX100" s="463"/>
      <c r="FY100" s="463"/>
      <c r="FZ100" s="463"/>
      <c r="GA100" s="463"/>
      <c r="GB100" s="463"/>
      <c r="GC100" s="463"/>
      <c r="GD100" s="463"/>
      <c r="GE100" s="463"/>
      <c r="GF100" s="463"/>
      <c r="GG100" s="463"/>
      <c r="GH100" s="463"/>
      <c r="GI100" s="463"/>
      <c r="GJ100" s="463"/>
      <c r="GK100" s="463"/>
      <c r="GL100" s="463"/>
      <c r="GM100" s="463"/>
      <c r="GN100" s="463"/>
      <c r="GO100" s="463"/>
      <c r="GP100" s="463"/>
      <c r="GQ100" s="463"/>
      <c r="GR100" s="463"/>
      <c r="GS100" s="463"/>
      <c r="GT100" s="463"/>
      <c r="GU100" s="463"/>
      <c r="GV100" s="463"/>
      <c r="GW100" s="463"/>
      <c r="GX100" s="463"/>
      <c r="GY100" s="463"/>
      <c r="GZ100" s="463"/>
      <c r="HA100" s="463"/>
      <c r="HB100" s="463"/>
      <c r="HC100" s="463"/>
      <c r="HD100" s="463"/>
      <c r="HE100" s="463"/>
      <c r="HF100" s="463"/>
      <c r="HG100" s="463"/>
      <c r="HH100" s="463"/>
      <c r="HI100" s="463"/>
      <c r="HJ100" s="463"/>
      <c r="HK100" s="463"/>
      <c r="HL100" s="463"/>
      <c r="HM100" s="463"/>
      <c r="HN100" s="463"/>
      <c r="HO100" s="463"/>
      <c r="HP100" s="463"/>
      <c r="HQ100" s="463"/>
      <c r="HR100" s="463"/>
      <c r="HS100" s="463"/>
      <c r="HT100" s="463"/>
      <c r="HU100" s="463"/>
      <c r="HV100" s="463"/>
      <c r="HW100" s="463"/>
      <c r="HX100" s="463"/>
      <c r="HY100" s="463"/>
    </row>
    <row r="101" spans="1:233" s="464" customFormat="1" ht="42" customHeight="1">
      <c r="A101" s="1634"/>
      <c r="B101" s="1635"/>
      <c r="C101" s="1636"/>
      <c r="D101" s="1641">
        <f>D98</f>
        <v>0.72916666666666641</v>
      </c>
      <c r="E101" s="1693">
        <f>L20</f>
        <v>42466</v>
      </c>
      <c r="F101" s="1645"/>
      <c r="G101" s="1646"/>
      <c r="H101" s="1646"/>
      <c r="I101" s="1646"/>
      <c r="J101" s="1647"/>
      <c r="K101" s="772"/>
      <c r="L101" s="463"/>
      <c r="M101" s="463"/>
      <c r="Z101" s="468"/>
      <c r="AA101" s="468"/>
      <c r="AB101" s="468"/>
      <c r="AC101" s="468"/>
      <c r="AD101" s="468"/>
      <c r="AE101" s="468"/>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c r="HY101" s="463"/>
    </row>
    <row r="102" spans="1:233" s="464" customFormat="1" ht="20.100000000000001" customHeight="1">
      <c r="A102" s="1637"/>
      <c r="B102" s="1638"/>
      <c r="C102" s="1639"/>
      <c r="D102" s="1642"/>
      <c r="E102" s="1694"/>
      <c r="F102" s="1648"/>
      <c r="G102" s="1649"/>
      <c r="H102" s="1649"/>
      <c r="I102" s="1649"/>
      <c r="J102" s="1650"/>
      <c r="K102" s="772"/>
      <c r="L102" s="463"/>
      <c r="M102" s="463"/>
      <c r="Z102" s="468"/>
      <c r="AA102" s="468"/>
      <c r="AB102" s="468"/>
      <c r="AC102" s="468"/>
      <c r="AD102" s="468"/>
      <c r="AE102" s="468"/>
      <c r="AF102" s="463"/>
      <c r="AG102" s="463"/>
      <c r="AH102" s="463"/>
      <c r="AI102" s="463"/>
      <c r="AJ102" s="463"/>
      <c r="AK102" s="463"/>
      <c r="AL102" s="463"/>
      <c r="AM102" s="463"/>
      <c r="AN102" s="463"/>
      <c r="AO102" s="463"/>
      <c r="AP102" s="463"/>
      <c r="AQ102" s="463"/>
      <c r="AR102" s="463"/>
      <c r="AS102" s="463"/>
      <c r="AT102" s="463"/>
      <c r="AU102" s="463"/>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3"/>
      <c r="BY102" s="463"/>
      <c r="BZ102" s="463"/>
      <c r="CA102" s="463"/>
      <c r="CB102" s="463"/>
      <c r="CC102" s="463"/>
      <c r="CD102" s="463"/>
      <c r="CE102" s="463"/>
      <c r="CF102" s="463"/>
      <c r="CG102" s="463"/>
      <c r="CH102" s="463"/>
      <c r="CI102" s="463"/>
      <c r="CJ102" s="463"/>
      <c r="CK102" s="463"/>
      <c r="CL102" s="463"/>
      <c r="CM102" s="463"/>
      <c r="CN102" s="463"/>
      <c r="CO102" s="463"/>
      <c r="CP102" s="463"/>
      <c r="CQ102" s="463"/>
      <c r="CR102" s="463"/>
      <c r="CS102" s="463"/>
      <c r="CT102" s="463"/>
      <c r="CU102" s="463"/>
      <c r="CV102" s="463"/>
      <c r="CW102" s="463"/>
      <c r="CX102" s="463"/>
      <c r="CY102" s="463"/>
      <c r="CZ102" s="463"/>
      <c r="DA102" s="463"/>
      <c r="DB102" s="463"/>
      <c r="DC102" s="463"/>
      <c r="DD102" s="463"/>
      <c r="DE102" s="463"/>
      <c r="DF102" s="463"/>
      <c r="DG102" s="463"/>
      <c r="DH102" s="463"/>
      <c r="DI102" s="463"/>
      <c r="DJ102" s="463"/>
      <c r="DK102" s="463"/>
      <c r="DL102" s="463"/>
      <c r="DM102" s="463"/>
      <c r="DN102" s="463"/>
      <c r="DO102" s="463"/>
      <c r="DP102" s="463"/>
      <c r="DQ102" s="463"/>
      <c r="DR102" s="463"/>
      <c r="DS102" s="463"/>
      <c r="DT102" s="463"/>
      <c r="DU102" s="463"/>
      <c r="DV102" s="463"/>
      <c r="DW102" s="463"/>
      <c r="DX102" s="463"/>
      <c r="DY102" s="463"/>
      <c r="DZ102" s="463"/>
      <c r="EA102" s="463"/>
      <c r="EB102" s="463"/>
      <c r="EC102" s="463"/>
      <c r="ED102" s="463"/>
      <c r="EE102" s="463"/>
      <c r="EF102" s="463"/>
      <c r="EG102" s="463"/>
      <c r="EH102" s="463"/>
      <c r="EI102" s="463"/>
      <c r="EJ102" s="463"/>
      <c r="EK102" s="463"/>
      <c r="EL102" s="463"/>
      <c r="EM102" s="463"/>
      <c r="EN102" s="463"/>
      <c r="EO102" s="463"/>
      <c r="EP102" s="463"/>
      <c r="EQ102" s="463"/>
      <c r="ER102" s="463"/>
      <c r="ES102" s="463"/>
      <c r="ET102" s="463"/>
      <c r="EU102" s="463"/>
      <c r="EV102" s="463"/>
      <c r="EW102" s="463"/>
      <c r="EX102" s="463"/>
      <c r="EY102" s="463"/>
      <c r="EZ102" s="463"/>
      <c r="FA102" s="463"/>
      <c r="FB102" s="463"/>
      <c r="FC102" s="463"/>
      <c r="FD102" s="463"/>
      <c r="FE102" s="463"/>
      <c r="FF102" s="463"/>
      <c r="FG102" s="463"/>
      <c r="FH102" s="463"/>
      <c r="FI102" s="463"/>
      <c r="FJ102" s="463"/>
      <c r="FK102" s="463"/>
      <c r="FL102" s="463"/>
      <c r="FM102" s="463"/>
      <c r="FN102" s="463"/>
      <c r="FO102" s="463"/>
      <c r="FP102" s="463"/>
      <c r="FQ102" s="463"/>
      <c r="FR102" s="463"/>
      <c r="FS102" s="463"/>
      <c r="FT102" s="463"/>
      <c r="FU102" s="463"/>
      <c r="FV102" s="463"/>
      <c r="FW102" s="463"/>
      <c r="FX102" s="463"/>
      <c r="FY102" s="463"/>
      <c r="FZ102" s="463"/>
      <c r="GA102" s="463"/>
      <c r="GB102" s="463"/>
      <c r="GC102" s="463"/>
      <c r="GD102" s="463"/>
      <c r="GE102" s="463"/>
      <c r="GF102" s="463"/>
      <c r="GG102" s="463"/>
      <c r="GH102" s="463"/>
      <c r="GI102" s="463"/>
      <c r="GJ102" s="463"/>
      <c r="GK102" s="463"/>
      <c r="GL102" s="463"/>
      <c r="GM102" s="463"/>
      <c r="GN102" s="463"/>
      <c r="GO102" s="463"/>
      <c r="GP102" s="463"/>
      <c r="GQ102" s="463"/>
      <c r="GR102" s="463"/>
      <c r="GS102" s="463"/>
      <c r="GT102" s="463"/>
      <c r="GU102" s="463"/>
      <c r="GV102" s="463"/>
      <c r="GW102" s="463"/>
      <c r="GX102" s="463"/>
      <c r="GY102" s="463"/>
      <c r="GZ102" s="463"/>
      <c r="HA102" s="463"/>
      <c r="HB102" s="463"/>
      <c r="HC102" s="463"/>
      <c r="HD102" s="463"/>
      <c r="HE102" s="463"/>
      <c r="HF102" s="463"/>
      <c r="HG102" s="463"/>
      <c r="HH102" s="463"/>
      <c r="HI102" s="463"/>
      <c r="HJ102" s="463"/>
      <c r="HK102" s="463"/>
      <c r="HL102" s="463"/>
      <c r="HM102" s="463"/>
      <c r="HN102" s="463"/>
      <c r="HO102" s="463"/>
      <c r="HP102" s="463"/>
      <c r="HQ102" s="463"/>
      <c r="HR102" s="463"/>
      <c r="HS102" s="463"/>
      <c r="HT102" s="463"/>
      <c r="HU102" s="463"/>
      <c r="HV102" s="463"/>
      <c r="HW102" s="463"/>
      <c r="HX102" s="463"/>
      <c r="HY102" s="463"/>
    </row>
    <row r="103" spans="1:233" s="464" customFormat="1" ht="16.5" customHeight="1">
      <c r="A103" s="1687"/>
      <c r="B103" s="1687"/>
      <c r="C103" s="1687"/>
      <c r="D103" s="1687"/>
      <c r="E103" s="1687"/>
      <c r="F103" s="1687"/>
      <c r="G103" s="639"/>
      <c r="H103" s="544"/>
      <c r="I103" s="544"/>
      <c r="J103" s="544"/>
      <c r="K103" s="513"/>
      <c r="L103" s="463"/>
      <c r="M103" s="463"/>
      <c r="Z103" s="468"/>
      <c r="AA103" s="468"/>
      <c r="AB103" s="468"/>
      <c r="AC103" s="468"/>
      <c r="AD103" s="468"/>
      <c r="AE103" s="468"/>
      <c r="AF103" s="463"/>
      <c r="AG103" s="463"/>
      <c r="AH103" s="463"/>
      <c r="AI103" s="463"/>
      <c r="AJ103" s="463"/>
      <c r="AK103" s="463"/>
      <c r="AL103" s="463"/>
      <c r="AM103" s="463"/>
      <c r="AN103" s="463"/>
      <c r="AO103" s="463"/>
      <c r="AP103" s="463"/>
      <c r="AQ103" s="463"/>
      <c r="AR103" s="463"/>
      <c r="AS103" s="463"/>
      <c r="AT103" s="463"/>
      <c r="AU103" s="463"/>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3"/>
      <c r="BY103" s="463"/>
      <c r="BZ103" s="463"/>
      <c r="CA103" s="463"/>
      <c r="CB103" s="463"/>
      <c r="CC103" s="463"/>
      <c r="CD103" s="463"/>
      <c r="CE103" s="463"/>
      <c r="CF103" s="463"/>
      <c r="CG103" s="463"/>
      <c r="CH103" s="463"/>
      <c r="CI103" s="463"/>
      <c r="CJ103" s="463"/>
      <c r="CK103" s="463"/>
      <c r="CL103" s="463"/>
      <c r="CM103" s="463"/>
      <c r="CN103" s="463"/>
      <c r="CO103" s="463"/>
      <c r="CP103" s="463"/>
      <c r="CQ103" s="463"/>
      <c r="CR103" s="463"/>
      <c r="CS103" s="463"/>
      <c r="CT103" s="463"/>
      <c r="CU103" s="463"/>
      <c r="CV103" s="463"/>
      <c r="CW103" s="463"/>
      <c r="CX103" s="463"/>
      <c r="CY103" s="463"/>
      <c r="CZ103" s="463"/>
      <c r="DA103" s="463"/>
      <c r="DB103" s="463"/>
      <c r="DC103" s="463"/>
      <c r="DD103" s="463"/>
      <c r="DE103" s="463"/>
      <c r="DF103" s="463"/>
      <c r="DG103" s="463"/>
      <c r="DH103" s="463"/>
      <c r="DI103" s="463"/>
      <c r="DJ103" s="463"/>
      <c r="DK103" s="463"/>
      <c r="DL103" s="463"/>
      <c r="DM103" s="463"/>
      <c r="DN103" s="463"/>
      <c r="DO103" s="463"/>
      <c r="DP103" s="463"/>
      <c r="DQ103" s="463"/>
      <c r="DR103" s="463"/>
      <c r="DS103" s="463"/>
      <c r="DT103" s="463"/>
      <c r="DU103" s="463"/>
      <c r="DV103" s="463"/>
      <c r="DW103" s="463"/>
      <c r="DX103" s="463"/>
      <c r="DY103" s="463"/>
      <c r="DZ103" s="463"/>
      <c r="EA103" s="463"/>
      <c r="EB103" s="463"/>
      <c r="EC103" s="463"/>
      <c r="ED103" s="463"/>
      <c r="EE103" s="463"/>
      <c r="EF103" s="463"/>
      <c r="EG103" s="463"/>
      <c r="EH103" s="463"/>
      <c r="EI103" s="463"/>
      <c r="EJ103" s="463"/>
      <c r="EK103" s="463"/>
      <c r="EL103" s="463"/>
      <c r="EM103" s="463"/>
      <c r="EN103" s="463"/>
      <c r="EO103" s="463"/>
      <c r="EP103" s="463"/>
      <c r="EQ103" s="463"/>
      <c r="ER103" s="463"/>
      <c r="ES103" s="463"/>
      <c r="ET103" s="463"/>
      <c r="EU103" s="463"/>
      <c r="EV103" s="463"/>
      <c r="EW103" s="463"/>
      <c r="EX103" s="463"/>
      <c r="EY103" s="463"/>
      <c r="EZ103" s="463"/>
      <c r="FA103" s="463"/>
      <c r="FB103" s="463"/>
      <c r="FC103" s="463"/>
      <c r="FD103" s="463"/>
      <c r="FE103" s="463"/>
      <c r="FF103" s="463"/>
      <c r="FG103" s="463"/>
      <c r="FH103" s="463"/>
      <c r="FI103" s="463"/>
      <c r="FJ103" s="463"/>
      <c r="FK103" s="463"/>
      <c r="FL103" s="463"/>
      <c r="FM103" s="463"/>
      <c r="FN103" s="463"/>
      <c r="FO103" s="463"/>
      <c r="FP103" s="463"/>
      <c r="FQ103" s="463"/>
      <c r="FR103" s="463"/>
      <c r="FS103" s="463"/>
      <c r="FT103" s="463"/>
      <c r="FU103" s="463"/>
      <c r="FV103" s="463"/>
      <c r="FW103" s="463"/>
      <c r="FX103" s="463"/>
      <c r="FY103" s="463"/>
      <c r="FZ103" s="463"/>
      <c r="GA103" s="463"/>
      <c r="GB103" s="463"/>
      <c r="GC103" s="463"/>
      <c r="GD103" s="463"/>
      <c r="GE103" s="463"/>
      <c r="GF103" s="463"/>
      <c r="GG103" s="463"/>
      <c r="GH103" s="463"/>
      <c r="GI103" s="463"/>
      <c r="GJ103" s="463"/>
      <c r="GK103" s="463"/>
      <c r="GL103" s="463"/>
      <c r="GM103" s="463"/>
      <c r="GN103" s="463"/>
      <c r="GO103" s="463"/>
      <c r="GP103" s="463"/>
      <c r="GQ103" s="463"/>
      <c r="GR103" s="463"/>
      <c r="GS103" s="463"/>
      <c r="GT103" s="463"/>
      <c r="GU103" s="463"/>
      <c r="GV103" s="463"/>
      <c r="GW103" s="463"/>
      <c r="GX103" s="463"/>
      <c r="GY103" s="463"/>
      <c r="GZ103" s="463"/>
      <c r="HA103" s="463"/>
      <c r="HB103" s="463"/>
      <c r="HC103" s="463"/>
      <c r="HD103" s="463"/>
      <c r="HE103" s="463"/>
      <c r="HF103" s="463"/>
      <c r="HG103" s="463"/>
      <c r="HH103" s="463"/>
      <c r="HI103" s="463"/>
      <c r="HJ103" s="463"/>
      <c r="HK103" s="463"/>
      <c r="HL103" s="463"/>
      <c r="HM103" s="463"/>
      <c r="HN103" s="463"/>
      <c r="HO103" s="463"/>
      <c r="HP103" s="463"/>
      <c r="HQ103" s="463"/>
      <c r="HR103" s="463"/>
      <c r="HS103" s="463"/>
      <c r="HT103" s="463"/>
      <c r="HU103" s="463"/>
      <c r="HV103" s="463"/>
      <c r="HW103" s="463"/>
      <c r="HX103" s="463"/>
      <c r="HY103" s="463"/>
    </row>
    <row r="104" spans="1:233" s="464" customFormat="1" ht="20.100000000000001" customHeight="1">
      <c r="A104" s="1688"/>
      <c r="B104" s="1688"/>
      <c r="C104" s="1688"/>
      <c r="D104" s="1688"/>
      <c r="E104" s="1688"/>
      <c r="F104" s="1688"/>
      <c r="G104" s="635"/>
      <c r="H104" s="1625" t="s">
        <v>133</v>
      </c>
      <c r="I104" s="1625"/>
      <c r="J104" s="1625"/>
      <c r="K104" s="531"/>
      <c r="L104" s="463"/>
      <c r="M104" s="463"/>
      <c r="Z104" s="468"/>
      <c r="AA104" s="468"/>
      <c r="AB104" s="468"/>
      <c r="AC104" s="468"/>
      <c r="AD104" s="468"/>
      <c r="AE104" s="468"/>
      <c r="AF104" s="463"/>
      <c r="AG104" s="463"/>
      <c r="AH104" s="463"/>
      <c r="AI104" s="463"/>
      <c r="AJ104" s="463"/>
      <c r="AK104" s="463"/>
      <c r="AL104" s="463"/>
      <c r="AM104" s="463"/>
      <c r="AN104" s="463"/>
      <c r="AO104" s="463"/>
      <c r="AP104" s="463"/>
      <c r="AQ104" s="463"/>
      <c r="AR104" s="463"/>
      <c r="AS104" s="463"/>
      <c r="AT104" s="463"/>
      <c r="AU104" s="463"/>
      <c r="AV104" s="463"/>
      <c r="AW104" s="463"/>
      <c r="AX104" s="463"/>
      <c r="AY104" s="463"/>
      <c r="AZ104" s="463"/>
      <c r="BA104" s="463"/>
      <c r="BB104" s="463"/>
      <c r="BC104" s="463"/>
      <c r="BD104" s="463"/>
      <c r="BE104" s="463"/>
      <c r="BF104" s="463"/>
      <c r="BG104" s="463"/>
      <c r="BH104" s="463"/>
      <c r="BI104" s="463"/>
      <c r="BJ104" s="463"/>
      <c r="BK104" s="463"/>
      <c r="BL104" s="463"/>
      <c r="BM104" s="463"/>
      <c r="BN104" s="463"/>
      <c r="BO104" s="463"/>
      <c r="BP104" s="463"/>
      <c r="BQ104" s="463"/>
      <c r="BR104" s="463"/>
      <c r="BS104" s="463"/>
      <c r="BT104" s="463"/>
      <c r="BU104" s="463"/>
      <c r="BV104" s="463"/>
      <c r="BW104" s="463"/>
      <c r="BX104" s="463"/>
      <c r="BY104" s="463"/>
      <c r="BZ104" s="463"/>
      <c r="CA104" s="463"/>
      <c r="CB104" s="463"/>
      <c r="CC104" s="463"/>
      <c r="CD104" s="463"/>
      <c r="CE104" s="463"/>
      <c r="CF104" s="463"/>
      <c r="CG104" s="463"/>
      <c r="CH104" s="463"/>
      <c r="CI104" s="463"/>
      <c r="CJ104" s="463"/>
      <c r="CK104" s="463"/>
      <c r="CL104" s="463"/>
      <c r="CM104" s="463"/>
      <c r="CN104" s="463"/>
      <c r="CO104" s="463"/>
      <c r="CP104" s="463"/>
      <c r="CQ104" s="463"/>
      <c r="CR104" s="463"/>
      <c r="CS104" s="463"/>
      <c r="CT104" s="463"/>
      <c r="CU104" s="463"/>
      <c r="CV104" s="463"/>
      <c r="CW104" s="463"/>
      <c r="CX104" s="463"/>
      <c r="CY104" s="463"/>
      <c r="CZ104" s="463"/>
      <c r="DA104" s="463"/>
      <c r="DB104" s="463"/>
      <c r="DC104" s="463"/>
      <c r="DD104" s="463"/>
      <c r="DE104" s="463"/>
      <c r="DF104" s="463"/>
      <c r="DG104" s="463"/>
      <c r="DH104" s="463"/>
      <c r="DI104" s="463"/>
      <c r="DJ104" s="463"/>
      <c r="DK104" s="463"/>
      <c r="DL104" s="463"/>
      <c r="DM104" s="463"/>
      <c r="DN104" s="463"/>
      <c r="DO104" s="463"/>
      <c r="DP104" s="463"/>
      <c r="DQ104" s="463"/>
      <c r="DR104" s="463"/>
      <c r="DS104" s="463"/>
      <c r="DT104" s="463"/>
      <c r="DU104" s="463"/>
      <c r="DV104" s="463"/>
      <c r="DW104" s="463"/>
      <c r="DX104" s="463"/>
      <c r="DY104" s="463"/>
      <c r="DZ104" s="463"/>
      <c r="EA104" s="463"/>
      <c r="EB104" s="463"/>
      <c r="EC104" s="463"/>
      <c r="ED104" s="463"/>
      <c r="EE104" s="463"/>
      <c r="EF104" s="463"/>
      <c r="EG104" s="463"/>
      <c r="EH104" s="463"/>
      <c r="EI104" s="463"/>
      <c r="EJ104" s="463"/>
      <c r="EK104" s="463"/>
      <c r="EL104" s="463"/>
      <c r="EM104" s="463"/>
      <c r="EN104" s="463"/>
      <c r="EO104" s="463"/>
      <c r="EP104" s="463"/>
      <c r="EQ104" s="463"/>
      <c r="ER104" s="463"/>
      <c r="ES104" s="463"/>
      <c r="ET104" s="463"/>
      <c r="EU104" s="463"/>
      <c r="EV104" s="463"/>
      <c r="EW104" s="463"/>
      <c r="EX104" s="463"/>
      <c r="EY104" s="463"/>
      <c r="EZ104" s="463"/>
      <c r="FA104" s="463"/>
      <c r="FB104" s="463"/>
      <c r="FC104" s="463"/>
      <c r="FD104" s="463"/>
      <c r="FE104" s="463"/>
      <c r="FF104" s="463"/>
      <c r="FG104" s="463"/>
      <c r="FH104" s="463"/>
      <c r="FI104" s="463"/>
      <c r="FJ104" s="463"/>
      <c r="FK104" s="463"/>
      <c r="FL104" s="463"/>
      <c r="FM104" s="463"/>
      <c r="FN104" s="463"/>
      <c r="FO104" s="463"/>
      <c r="FP104" s="463"/>
      <c r="FQ104" s="463"/>
      <c r="FR104" s="463"/>
      <c r="FS104" s="463"/>
      <c r="FT104" s="463"/>
      <c r="FU104" s="463"/>
      <c r="FV104" s="463"/>
      <c r="FW104" s="463"/>
      <c r="FX104" s="463"/>
      <c r="FY104" s="463"/>
      <c r="FZ104" s="463"/>
      <c r="GA104" s="463"/>
      <c r="GB104" s="463"/>
      <c r="GC104" s="463"/>
      <c r="GD104" s="463"/>
      <c r="GE104" s="463"/>
      <c r="GF104" s="463"/>
      <c r="GG104" s="463"/>
      <c r="GH104" s="463"/>
      <c r="GI104" s="463"/>
      <c r="GJ104" s="463"/>
      <c r="GK104" s="463"/>
      <c r="GL104" s="463"/>
      <c r="GM104" s="463"/>
      <c r="GN104" s="463"/>
      <c r="GO104" s="463"/>
      <c r="GP104" s="463"/>
      <c r="GQ104" s="463"/>
      <c r="GR104" s="463"/>
      <c r="GS104" s="463"/>
      <c r="GT104" s="463"/>
      <c r="GU104" s="463"/>
      <c r="GV104" s="463"/>
      <c r="GW104" s="463"/>
      <c r="GX104" s="463"/>
      <c r="GY104" s="463"/>
      <c r="GZ104" s="463"/>
      <c r="HA104" s="463"/>
      <c r="HB104" s="463"/>
      <c r="HC104" s="463"/>
      <c r="HD104" s="463"/>
      <c r="HE104" s="463"/>
      <c r="HF104" s="463"/>
      <c r="HG104" s="463"/>
      <c r="HH104" s="463"/>
      <c r="HI104" s="463"/>
      <c r="HJ104" s="463"/>
      <c r="HK104" s="463"/>
      <c r="HL104" s="463"/>
      <c r="HM104" s="463"/>
      <c r="HN104" s="463"/>
      <c r="HO104" s="463"/>
      <c r="HP104" s="463"/>
      <c r="HQ104" s="463"/>
      <c r="HR104" s="463"/>
      <c r="HS104" s="463"/>
      <c r="HT104" s="463"/>
      <c r="HU104" s="463"/>
      <c r="HV104" s="463"/>
      <c r="HW104" s="463"/>
      <c r="HX104" s="463"/>
      <c r="HY104" s="463"/>
    </row>
    <row r="105" spans="1:233" ht="20.100000000000001" customHeight="1">
      <c r="A105" s="1619" t="s">
        <v>412</v>
      </c>
      <c r="B105" s="1619"/>
      <c r="C105" s="1619"/>
      <c r="D105" s="1619"/>
      <c r="E105" s="1619"/>
      <c r="F105" s="1619"/>
      <c r="G105" s="1619"/>
      <c r="H105" s="513"/>
      <c r="I105" s="513"/>
      <c r="J105" s="513"/>
      <c r="K105" s="513"/>
      <c r="N105" s="463"/>
      <c r="O105" s="463"/>
      <c r="P105" s="463"/>
      <c r="Q105" s="463"/>
      <c r="R105" s="463"/>
      <c r="S105" s="463"/>
      <c r="T105" s="463"/>
      <c r="U105" s="463"/>
      <c r="V105" s="463"/>
      <c r="W105" s="463"/>
      <c r="X105" s="463"/>
      <c r="Y105" s="463"/>
      <c r="Z105" s="463"/>
      <c r="AA105" s="463"/>
      <c r="AB105" s="463"/>
      <c r="AC105" s="463"/>
      <c r="AD105" s="463"/>
      <c r="AE105" s="463"/>
    </row>
    <row r="106" spans="1:233" ht="16.5" customHeight="1">
      <c r="A106" s="1620" t="s">
        <v>413</v>
      </c>
      <c r="B106" s="1620"/>
      <c r="C106" s="1620"/>
      <c r="D106" s="1620"/>
      <c r="E106" s="1620"/>
      <c r="F106" s="1620"/>
      <c r="G106" s="1620"/>
      <c r="H106" s="513"/>
      <c r="I106" s="513"/>
      <c r="J106" s="513"/>
      <c r="K106" s="513"/>
      <c r="N106" s="463"/>
      <c r="O106" s="463"/>
      <c r="P106" s="463"/>
      <c r="Q106" s="463"/>
      <c r="R106" s="463"/>
      <c r="S106" s="463"/>
      <c r="T106" s="463"/>
      <c r="U106" s="463"/>
      <c r="V106" s="463"/>
      <c r="W106" s="463"/>
      <c r="X106" s="463"/>
      <c r="Y106" s="463"/>
      <c r="Z106" s="463"/>
      <c r="AA106" s="463"/>
      <c r="AB106" s="463"/>
      <c r="AC106" s="463"/>
      <c r="AD106" s="463"/>
      <c r="AE106" s="463"/>
    </row>
    <row r="107" spans="1:233" ht="16.5" customHeight="1">
      <c r="A107" s="1620" t="s">
        <v>414</v>
      </c>
      <c r="B107" s="1620"/>
      <c r="C107" s="1620"/>
      <c r="D107" s="1620"/>
      <c r="E107" s="1620"/>
      <c r="F107" s="1620"/>
      <c r="G107" s="1620"/>
      <c r="H107" s="513"/>
      <c r="I107" s="513"/>
      <c r="J107" s="513"/>
      <c r="K107" s="513"/>
      <c r="N107" s="463"/>
      <c r="O107" s="463"/>
      <c r="P107" s="463"/>
      <c r="Q107" s="463"/>
      <c r="R107" s="463"/>
      <c r="S107" s="463"/>
      <c r="T107" s="463"/>
      <c r="U107" s="463"/>
      <c r="V107" s="463"/>
      <c r="W107" s="463"/>
      <c r="X107" s="463"/>
      <c r="Y107" s="463"/>
      <c r="Z107" s="463"/>
      <c r="AA107" s="463"/>
      <c r="AB107" s="463"/>
      <c r="AC107" s="463"/>
      <c r="AD107" s="463"/>
      <c r="AE107" s="463"/>
    </row>
    <row r="108" spans="1:233" ht="16.5" customHeight="1">
      <c r="A108" s="1620" t="s">
        <v>415</v>
      </c>
      <c r="B108" s="1620"/>
      <c r="C108" s="1620"/>
      <c r="D108" s="1620"/>
      <c r="E108" s="1620"/>
      <c r="F108" s="1620"/>
      <c r="G108" s="1620"/>
      <c r="H108" s="513"/>
      <c r="I108" s="513"/>
      <c r="J108" s="513"/>
      <c r="K108" s="513"/>
      <c r="N108" s="463"/>
      <c r="O108" s="463"/>
      <c r="P108" s="463"/>
      <c r="Q108" s="463"/>
      <c r="R108" s="463"/>
      <c r="S108" s="463"/>
      <c r="T108" s="463"/>
      <c r="U108" s="463"/>
      <c r="V108" s="463"/>
      <c r="W108" s="463"/>
      <c r="X108" s="463"/>
      <c r="Y108" s="463"/>
      <c r="Z108" s="463"/>
      <c r="AA108" s="463"/>
      <c r="AB108" s="463"/>
      <c r="AC108" s="463"/>
      <c r="AD108" s="463"/>
      <c r="AE108" s="463"/>
    </row>
    <row r="109" spans="1:233" ht="16.5">
      <c r="A109" s="1620" t="s">
        <v>416</v>
      </c>
      <c r="B109" s="1620"/>
      <c r="C109" s="1620"/>
      <c r="D109" s="1620"/>
      <c r="E109" s="1620"/>
      <c r="F109" s="1620"/>
      <c r="G109" s="1620"/>
      <c r="H109" s="513"/>
      <c r="I109" s="513"/>
      <c r="J109" s="513"/>
      <c r="K109" s="513"/>
      <c r="N109" s="463"/>
      <c r="O109" s="463"/>
      <c r="P109" s="463"/>
      <c r="Q109" s="463"/>
      <c r="R109" s="463"/>
      <c r="S109" s="463"/>
      <c r="T109" s="463"/>
      <c r="U109" s="463"/>
      <c r="V109" s="463"/>
      <c r="W109" s="463"/>
      <c r="X109" s="463"/>
      <c r="Y109" s="463"/>
      <c r="Z109" s="463"/>
      <c r="AA109" s="463"/>
      <c r="AB109" s="463"/>
      <c r="AC109" s="463"/>
      <c r="AD109" s="463"/>
      <c r="AE109" s="463"/>
    </row>
    <row r="110" spans="1:233" ht="16.5">
      <c r="A110" s="1620" t="s">
        <v>417</v>
      </c>
      <c r="B110" s="1620"/>
      <c r="C110" s="1620"/>
      <c r="D110" s="1620"/>
      <c r="E110" s="1620"/>
      <c r="F110" s="1620"/>
      <c r="G110" s="1620"/>
      <c r="H110" s="513"/>
      <c r="I110" s="513"/>
      <c r="J110" s="513"/>
      <c r="K110" s="513"/>
      <c r="N110" s="463"/>
      <c r="O110" s="463"/>
      <c r="P110" s="463"/>
      <c r="Q110" s="463"/>
      <c r="R110" s="463"/>
      <c r="S110" s="463"/>
      <c r="T110" s="463"/>
      <c r="U110" s="463"/>
      <c r="V110" s="463"/>
      <c r="W110" s="463"/>
      <c r="X110" s="463"/>
      <c r="Y110" s="463"/>
      <c r="Z110" s="463"/>
      <c r="AA110" s="463"/>
      <c r="AB110" s="463"/>
      <c r="AC110" s="463"/>
      <c r="AD110" s="463"/>
      <c r="AE110" s="463"/>
    </row>
    <row r="111" spans="1:233" ht="16.5">
      <c r="A111" s="1624"/>
      <c r="B111" s="1624"/>
      <c r="C111" s="1624"/>
      <c r="D111" s="1624"/>
      <c r="E111" s="1624"/>
      <c r="F111" s="1624"/>
      <c r="G111" s="1624"/>
      <c r="H111" s="1625"/>
      <c r="I111" s="1625"/>
      <c r="J111" s="1625"/>
      <c r="K111" s="531"/>
      <c r="N111" s="463"/>
      <c r="O111" s="463"/>
      <c r="P111" s="463"/>
      <c r="Q111" s="463"/>
      <c r="R111" s="463"/>
      <c r="S111" s="463"/>
      <c r="T111" s="463"/>
      <c r="U111" s="463"/>
      <c r="V111" s="463"/>
      <c r="W111" s="463"/>
      <c r="X111" s="463"/>
      <c r="Y111" s="463"/>
      <c r="Z111" s="463"/>
      <c r="AA111" s="463"/>
      <c r="AB111" s="463"/>
      <c r="AC111" s="463"/>
      <c r="AD111" s="463"/>
      <c r="AE111" s="463"/>
    </row>
    <row r="112" spans="1:233" ht="16.5">
      <c r="A112" s="636"/>
      <c r="B112" s="636"/>
      <c r="C112" s="636"/>
      <c r="D112" s="636"/>
      <c r="E112" s="636"/>
      <c r="F112" s="636"/>
      <c r="G112" s="636"/>
      <c r="H112" s="531"/>
      <c r="I112" s="531"/>
      <c r="J112" s="531"/>
      <c r="K112" s="531"/>
      <c r="N112" s="463"/>
      <c r="O112" s="463"/>
      <c r="P112" s="463"/>
      <c r="Q112" s="463"/>
      <c r="R112" s="463"/>
      <c r="S112" s="463"/>
      <c r="T112" s="463"/>
      <c r="U112" s="463"/>
      <c r="V112" s="463"/>
      <c r="W112" s="463"/>
      <c r="X112" s="463"/>
      <c r="Y112" s="463"/>
      <c r="Z112" s="463"/>
      <c r="AA112" s="463"/>
      <c r="AB112" s="463"/>
      <c r="AC112" s="463"/>
      <c r="AD112" s="463"/>
      <c r="AE112" s="463"/>
    </row>
    <row r="113" spans="1:31" ht="16.5">
      <c r="A113" s="636"/>
      <c r="B113" s="636"/>
      <c r="C113" s="636"/>
      <c r="D113" s="636"/>
      <c r="E113" s="636"/>
      <c r="F113" s="636"/>
      <c r="G113" s="636"/>
      <c r="H113" s="531"/>
      <c r="I113" s="531"/>
      <c r="J113" s="531"/>
      <c r="K113" s="531"/>
      <c r="N113" s="463"/>
      <c r="O113" s="463"/>
      <c r="P113" s="463"/>
      <c r="Q113" s="463"/>
      <c r="R113" s="463"/>
      <c r="S113" s="463"/>
      <c r="T113" s="463"/>
      <c r="U113" s="463"/>
      <c r="V113" s="463"/>
      <c r="W113" s="463"/>
      <c r="X113" s="463"/>
      <c r="Y113" s="463"/>
      <c r="Z113" s="463"/>
      <c r="AA113" s="463"/>
      <c r="AB113" s="463"/>
      <c r="AC113" s="463"/>
      <c r="AD113" s="463"/>
      <c r="AE113" s="463"/>
    </row>
    <row r="114" spans="1:31" ht="20.100000000000001" customHeight="1">
      <c r="A114" s="1682" t="s">
        <v>77</v>
      </c>
      <c r="B114" s="1682"/>
      <c r="C114" s="1682"/>
      <c r="D114" s="1682"/>
      <c r="E114" s="1682"/>
      <c r="F114" s="1682"/>
      <c r="G114" s="1682"/>
      <c r="H114" s="1682"/>
      <c r="I114" s="1682"/>
      <c r="J114" s="1682"/>
      <c r="K114" s="751"/>
    </row>
    <row r="115" spans="1:31" ht="20.100000000000001" customHeight="1">
      <c r="A115" s="1683" t="s">
        <v>80</v>
      </c>
      <c r="B115" s="1683"/>
      <c r="C115" s="1683"/>
      <c r="D115" s="1683"/>
      <c r="E115" s="1683"/>
      <c r="F115" s="1683"/>
      <c r="G115" s="1683"/>
      <c r="H115" s="1683"/>
      <c r="I115" s="1683"/>
      <c r="J115" s="1683"/>
      <c r="K115" s="752"/>
      <c r="M115" s="464"/>
      <c r="N115" s="465"/>
    </row>
    <row r="116" spans="1:31" ht="20.100000000000001" customHeight="1">
      <c r="A116" s="1616" t="s">
        <v>82</v>
      </c>
      <c r="B116" s="1616"/>
      <c r="C116" s="1616"/>
      <c r="D116" s="1616"/>
      <c r="E116" s="1616"/>
      <c r="F116" s="1616"/>
      <c r="G116" s="1616"/>
      <c r="H116" s="1616"/>
      <c r="I116" s="1616"/>
      <c r="J116" s="1616"/>
      <c r="K116" s="737"/>
      <c r="M116" s="467"/>
      <c r="P116" s="466"/>
      <c r="Q116" s="466"/>
      <c r="R116" s="467"/>
    </row>
    <row r="117" spans="1:31" ht="20.100000000000001" customHeight="1">
      <c r="A117" s="1684">
        <f>F81</f>
        <v>42466</v>
      </c>
      <c r="B117" s="1684"/>
      <c r="C117" s="1684"/>
      <c r="D117" s="1684"/>
      <c r="E117" s="1684"/>
      <c r="F117" s="1684"/>
      <c r="G117" s="1684"/>
      <c r="H117" s="1684"/>
      <c r="I117" s="1684"/>
      <c r="J117" s="1684"/>
      <c r="K117" s="759"/>
      <c r="M117" s="469"/>
      <c r="O117" s="467"/>
      <c r="P117" s="466"/>
      <c r="Q117" s="466"/>
      <c r="R117" s="467"/>
    </row>
    <row r="118" spans="1:31" ht="24.95" customHeight="1">
      <c r="A118" s="1685" t="s">
        <v>134</v>
      </c>
      <c r="B118" s="1618"/>
      <c r="C118" s="1618"/>
      <c r="D118" s="1618"/>
      <c r="E118" s="1618"/>
      <c r="F118" s="1618"/>
      <c r="G118" s="1618"/>
      <c r="H118" s="1618"/>
      <c r="I118" s="1618"/>
      <c r="J118" s="1618"/>
      <c r="K118" s="736"/>
      <c r="M118" s="469"/>
      <c r="O118" s="467"/>
      <c r="P118" s="466"/>
      <c r="Q118" s="466"/>
      <c r="R118" s="467"/>
    </row>
    <row r="119" spans="1:31" ht="20.100000000000001" customHeight="1">
      <c r="A119" s="1686" t="str">
        <f>A84</f>
        <v>SỐ: TGHL-HT-CWI-C&amp;S-B1/800</v>
      </c>
      <c r="B119" s="1686"/>
      <c r="C119" s="1686"/>
      <c r="D119" s="1686"/>
      <c r="E119" s="1686"/>
      <c r="F119" s="1686"/>
      <c r="G119" s="1686"/>
      <c r="H119" s="1686"/>
      <c r="I119" s="1686"/>
      <c r="J119" s="1686"/>
      <c r="K119" s="770"/>
      <c r="M119" s="469"/>
      <c r="O119" s="467"/>
      <c r="Q119" s="467"/>
    </row>
    <row r="120" spans="1:31" ht="14.25" customHeight="1">
      <c r="A120" s="471"/>
      <c r="B120" s="471"/>
      <c r="C120" s="471"/>
      <c r="D120" s="471"/>
      <c r="E120" s="471"/>
      <c r="F120" s="471"/>
      <c r="G120" s="471"/>
      <c r="H120" s="471"/>
      <c r="I120" s="471"/>
      <c r="J120" s="471"/>
      <c r="K120" s="471"/>
      <c r="N120" s="469"/>
      <c r="P120" s="466"/>
      <c r="Q120" s="466"/>
      <c r="R120" s="467"/>
    </row>
    <row r="121" spans="1:31" s="472" customFormat="1" ht="35.1" customHeight="1">
      <c r="A121" s="641" t="str">
        <f>A85</f>
        <v>DỰ ÁN:</v>
      </c>
      <c r="B121" s="476"/>
      <c r="C121" s="1615" t="str">
        <f>C85</f>
        <v>KHU HỖN HỢP CHUNG CƯ, VĂN PHÒNG, TRUNG TÂM THƯƠNG MẠI VÀ NHÀ Ở KẾT HỢP KHU MUA SẮM</v>
      </c>
      <c r="D121" s="1615"/>
      <c r="E121" s="1615"/>
      <c r="F121" s="1615"/>
      <c r="G121" s="1615"/>
      <c r="H121" s="1615"/>
      <c r="I121" s="1615"/>
      <c r="J121" s="1615"/>
      <c r="K121" s="498"/>
      <c r="M121" s="463"/>
      <c r="N121" s="469"/>
      <c r="O121" s="467"/>
      <c r="P121" s="466"/>
      <c r="Q121" s="466"/>
      <c r="R121" s="467"/>
      <c r="S121" s="464"/>
      <c r="T121" s="464"/>
      <c r="U121" s="464"/>
      <c r="V121" s="474"/>
      <c r="W121" s="474"/>
      <c r="X121" s="474"/>
      <c r="Y121" s="474"/>
      <c r="Z121" s="475"/>
      <c r="AA121" s="475"/>
      <c r="AB121" s="475"/>
      <c r="AC121" s="475"/>
      <c r="AD121" s="475"/>
      <c r="AE121" s="475"/>
    </row>
    <row r="122" spans="1:31" s="472" customFormat="1" ht="16.5">
      <c r="A122" s="641" t="str">
        <f>A86</f>
        <v>CÔNG TRÌNH:</v>
      </c>
      <c r="B122" s="476"/>
      <c r="C122" s="1615" t="str">
        <f>C86</f>
        <v>KHU HỖN HỢP CHUNG CƯ, VĂN PHÒNG, TTTM</v>
      </c>
      <c r="D122" s="1615"/>
      <c r="E122" s="1615"/>
      <c r="F122" s="1615"/>
      <c r="G122" s="1615"/>
      <c r="H122" s="1615"/>
      <c r="I122" s="1615"/>
      <c r="J122" s="1615"/>
      <c r="K122" s="498"/>
      <c r="M122" s="463"/>
      <c r="N122" s="469"/>
      <c r="O122" s="467"/>
      <c r="P122" s="466"/>
      <c r="Q122" s="466"/>
      <c r="R122" s="467"/>
      <c r="S122" s="464"/>
      <c r="T122" s="464"/>
      <c r="U122" s="464"/>
      <c r="V122" s="474"/>
      <c r="W122" s="474"/>
      <c r="X122" s="474"/>
      <c r="Y122" s="474"/>
      <c r="Z122" s="475"/>
      <c r="AA122" s="475"/>
      <c r="AB122" s="475"/>
      <c r="AC122" s="475"/>
      <c r="AD122" s="475"/>
      <c r="AE122" s="475"/>
    </row>
    <row r="123" spans="1:31" ht="20.100000000000001" customHeight="1">
      <c r="A123" s="641" t="str">
        <f>A87</f>
        <v>GÓI THẦU :</v>
      </c>
      <c r="B123" s="476"/>
      <c r="C123" s="1615" t="str">
        <f>C87</f>
        <v>THI CÔNG CỌC KHOAN NHỒI</v>
      </c>
      <c r="D123" s="1615"/>
      <c r="E123" s="1615"/>
      <c r="F123" s="1615"/>
      <c r="G123" s="1615"/>
      <c r="H123" s="1615"/>
      <c r="I123" s="1615"/>
      <c r="J123" s="1615"/>
      <c r="K123" s="498"/>
      <c r="M123" s="469"/>
      <c r="N123" s="467"/>
      <c r="O123" s="467"/>
      <c r="P123" s="466"/>
      <c r="Q123" s="466"/>
      <c r="R123" s="467"/>
      <c r="U123" s="474"/>
    </row>
    <row r="124" spans="1:31" ht="20.100000000000001" customHeight="1">
      <c r="A124" s="641" t="str">
        <f>A88</f>
        <v>ĐỊA ĐIỂM :</v>
      </c>
      <c r="B124" s="476"/>
      <c r="C124" s="1615" t="str">
        <f>C88</f>
        <v>ĐƯỜNG 25/4, P BẠCH ĐẰNG, TP. HẠ LONG, TỈNH QUẢNG NINH</v>
      </c>
      <c r="D124" s="1615"/>
      <c r="E124" s="1615"/>
      <c r="F124" s="1615"/>
      <c r="G124" s="1615"/>
      <c r="H124" s="1615"/>
      <c r="I124" s="1615"/>
      <c r="J124" s="1615"/>
      <c r="K124" s="498"/>
      <c r="M124" s="469"/>
      <c r="N124" s="469"/>
      <c r="P124" s="478"/>
      <c r="Q124" s="479"/>
      <c r="R124" s="469"/>
      <c r="S124" s="474"/>
      <c r="T124" s="474"/>
    </row>
    <row r="125" spans="1:31" s="472" customFormat="1" ht="20.100000000000001" customHeight="1">
      <c r="A125" s="1596" t="s">
        <v>89</v>
      </c>
      <c r="B125" s="1596"/>
      <c r="C125" s="1596"/>
      <c r="D125" s="1596"/>
      <c r="E125" s="1596"/>
      <c r="F125" s="1596"/>
      <c r="G125" s="1596"/>
      <c r="H125" s="1596"/>
      <c r="I125" s="1596"/>
      <c r="J125" s="1596"/>
      <c r="K125" s="741"/>
      <c r="M125" s="469"/>
      <c r="N125" s="469"/>
      <c r="O125" s="470"/>
      <c r="P125" s="466"/>
      <c r="Q125" s="479"/>
      <c r="R125" s="469"/>
      <c r="S125" s="464"/>
      <c r="T125" s="464"/>
      <c r="U125" s="464"/>
      <c r="V125" s="474"/>
      <c r="W125" s="474"/>
      <c r="X125" s="474"/>
      <c r="Y125" s="474"/>
      <c r="Z125" s="475"/>
      <c r="AA125" s="475"/>
      <c r="AB125" s="475"/>
      <c r="AC125" s="475"/>
      <c r="AD125" s="475"/>
      <c r="AE125" s="475"/>
    </row>
    <row r="126" spans="1:31" s="175" customFormat="1" ht="20.100000000000001" customHeight="1">
      <c r="A126" s="1610" t="str">
        <f>A13</f>
        <v>Gia công, lắp dựng cốt thép cọc số hiệu B1</v>
      </c>
      <c r="B126" s="1622"/>
      <c r="C126" s="1622"/>
      <c r="D126" s="1622"/>
      <c r="E126" s="1622"/>
      <c r="F126" s="1622"/>
      <c r="G126" s="1622"/>
      <c r="H126" s="1622"/>
      <c r="I126" s="1622"/>
      <c r="J126" s="1622"/>
      <c r="K126"/>
      <c r="M126" s="520"/>
      <c r="N126" s="520"/>
      <c r="O126" s="473"/>
      <c r="P126" s="466"/>
      <c r="Q126" s="479"/>
      <c r="R126" s="469"/>
      <c r="S126" s="464"/>
      <c r="T126" s="464"/>
    </row>
    <row r="127" spans="1:31" ht="20.100000000000001" customHeight="1">
      <c r="A127" s="1596" t="s">
        <v>859</v>
      </c>
      <c r="B127" s="1596"/>
      <c r="C127" s="1596"/>
      <c r="D127" s="1596"/>
      <c r="E127" s="1596"/>
      <c r="F127" s="1596"/>
      <c r="G127" s="1596"/>
      <c r="H127" s="1596"/>
      <c r="I127" s="1596"/>
      <c r="J127" s="1596"/>
      <c r="K127" s="741"/>
      <c r="N127" s="469"/>
      <c r="O127" s="470"/>
      <c r="P127" s="466"/>
      <c r="Q127" s="466"/>
      <c r="R127" s="467"/>
    </row>
    <row r="128" spans="1:31" ht="20.100000000000001" customHeight="1">
      <c r="A128" s="482" t="str">
        <f>'[6]1. BBkt -MM'!A125</f>
        <v>1 - Đại diện chủ đầu tư : Ban QLDA Times garden Hạ Long</v>
      </c>
      <c r="B128" s="118"/>
      <c r="C128" s="118"/>
      <c r="D128" s="118"/>
      <c r="E128" s="118"/>
      <c r="F128" s="483"/>
      <c r="G128" s="483"/>
      <c r="H128" s="483"/>
      <c r="I128" s="483"/>
      <c r="J128" s="483"/>
      <c r="K128" s="483"/>
      <c r="N128" s="469"/>
      <c r="O128" s="470"/>
      <c r="P128" s="466"/>
      <c r="Q128" s="466"/>
      <c r="R128" s="467"/>
    </row>
    <row r="129" spans="1:20" ht="20.100000000000001" customHeight="1">
      <c r="A129" s="1595" t="s">
        <v>913</v>
      </c>
      <c r="B129" s="1595"/>
      <c r="C129" s="1595"/>
      <c r="D129" s="1595"/>
      <c r="E129" s="1595"/>
      <c r="F129" s="1595" t="s">
        <v>914</v>
      </c>
      <c r="G129" s="1595"/>
      <c r="H129" s="1595"/>
      <c r="I129" s="1595"/>
      <c r="J129" s="1595"/>
      <c r="K129" s="481"/>
      <c r="N129" s="469"/>
      <c r="O129" s="470"/>
      <c r="P129" s="466"/>
      <c r="Q129" s="466"/>
      <c r="R129" s="467"/>
    </row>
    <row r="130" spans="1:20" ht="20.100000000000001" customHeight="1">
      <c r="A130" s="1595" t="s">
        <v>913</v>
      </c>
      <c r="B130" s="1595"/>
      <c r="C130" s="1595"/>
      <c r="D130" s="1595"/>
      <c r="E130" s="1595"/>
      <c r="F130" s="1595" t="s">
        <v>914</v>
      </c>
      <c r="G130" s="1595"/>
      <c r="H130" s="1595"/>
      <c r="I130" s="1595"/>
      <c r="J130" s="1595"/>
      <c r="K130" s="481"/>
      <c r="N130" s="469"/>
      <c r="O130" s="470"/>
      <c r="P130" s="466"/>
      <c r="Q130" s="466"/>
      <c r="R130" s="467"/>
    </row>
    <row r="131" spans="1:20" s="175" customFormat="1" ht="20.100000000000001" customHeight="1">
      <c r="A131" s="1680" t="s">
        <v>915</v>
      </c>
      <c r="B131" s="1680"/>
      <c r="C131" s="1680"/>
      <c r="D131" s="1680"/>
      <c r="E131" s="1680"/>
      <c r="F131" s="1680"/>
      <c r="G131" s="1680"/>
      <c r="H131" s="1680"/>
      <c r="I131" s="1680"/>
      <c r="J131" s="1680"/>
      <c r="K131" s="754"/>
      <c r="M131" s="520"/>
      <c r="N131" s="520"/>
      <c r="O131" s="473"/>
      <c r="P131" s="464"/>
      <c r="Q131" s="467"/>
      <c r="R131" s="464"/>
      <c r="S131" s="464"/>
      <c r="T131" s="464"/>
    </row>
    <row r="132" spans="1:20" ht="20.100000000000001" customHeight="1">
      <c r="A132" s="1595" t="s">
        <v>913</v>
      </c>
      <c r="B132" s="1595"/>
      <c r="C132" s="1595"/>
      <c r="D132" s="1595"/>
      <c r="E132" s="1595"/>
      <c r="F132" s="1595" t="s">
        <v>914</v>
      </c>
      <c r="G132" s="1595"/>
      <c r="H132" s="1595"/>
      <c r="I132" s="1595"/>
      <c r="J132" s="1595"/>
      <c r="K132" s="481"/>
      <c r="N132" s="469"/>
      <c r="O132" s="175"/>
      <c r="P132" s="401"/>
      <c r="Q132" s="401"/>
      <c r="R132" s="520"/>
      <c r="S132" s="175"/>
      <c r="T132" s="175"/>
    </row>
    <row r="133" spans="1:20" ht="20.100000000000001" customHeight="1">
      <c r="A133" s="481" t="s">
        <v>913</v>
      </c>
      <c r="B133" s="481"/>
      <c r="C133" s="481"/>
      <c r="D133" s="481"/>
      <c r="E133" s="481"/>
      <c r="F133" s="481" t="s">
        <v>916</v>
      </c>
      <c r="G133" s="481"/>
      <c r="H133" s="481"/>
      <c r="I133" s="481"/>
      <c r="J133" s="481"/>
      <c r="K133" s="481"/>
      <c r="O133" s="470"/>
      <c r="P133" s="466"/>
      <c r="Q133" s="466"/>
      <c r="R133" s="467"/>
    </row>
    <row r="134" spans="1:20" ht="20.100000000000001" customHeight="1">
      <c r="A134" s="1604" t="s">
        <v>871</v>
      </c>
      <c r="B134" s="1604"/>
      <c r="C134" s="1604"/>
      <c r="D134" s="1604"/>
      <c r="E134" s="1604"/>
      <c r="F134" s="1604"/>
      <c r="G134" s="1604"/>
      <c r="H134" s="1604"/>
      <c r="I134" s="1604"/>
      <c r="J134" s="1604"/>
      <c r="K134" s="482"/>
      <c r="N134" s="469"/>
      <c r="Q134" s="479"/>
      <c r="R134" s="469"/>
    </row>
    <row r="135" spans="1:20" ht="20.100000000000001" customHeight="1">
      <c r="A135" s="481" t="s">
        <v>913</v>
      </c>
      <c r="B135" s="481"/>
      <c r="C135" s="481"/>
      <c r="D135" s="481"/>
      <c r="E135" s="481"/>
      <c r="F135" s="481" t="s">
        <v>916</v>
      </c>
      <c r="G135" s="481"/>
      <c r="H135" s="481"/>
      <c r="I135" s="481"/>
      <c r="J135" s="481"/>
      <c r="K135" s="481"/>
      <c r="Q135" s="479"/>
      <c r="R135" s="469"/>
    </row>
    <row r="136" spans="1:20" ht="20.100000000000001" customHeight="1">
      <c r="A136" s="481" t="s">
        <v>913</v>
      </c>
      <c r="B136" s="481"/>
      <c r="C136" s="481"/>
      <c r="D136" s="481"/>
      <c r="E136" s="481"/>
      <c r="F136" s="481" t="s">
        <v>916</v>
      </c>
      <c r="G136" s="481"/>
      <c r="H136" s="481"/>
      <c r="I136" s="481"/>
      <c r="J136" s="481"/>
      <c r="K136" s="481"/>
      <c r="Q136" s="479"/>
      <c r="R136" s="469"/>
    </row>
    <row r="137" spans="1:20" ht="20.100000000000001" customHeight="1">
      <c r="A137" s="1596" t="str">
        <f>A21</f>
        <v>III./ THỜI GIAN NGHIỆM THU:</v>
      </c>
      <c r="B137" s="1596"/>
      <c r="C137" s="1596"/>
      <c r="D137" s="1596"/>
      <c r="E137" s="1596"/>
      <c r="F137" s="1596"/>
      <c r="G137" s="1596"/>
      <c r="H137" s="1596"/>
      <c r="I137" s="1596"/>
      <c r="J137" s="1596"/>
      <c r="K137" s="741"/>
      <c r="Q137" s="479"/>
      <c r="R137" s="469"/>
    </row>
    <row r="138" spans="1:20" ht="20.100000000000001" customHeight="1">
      <c r="A138" s="477" t="str">
        <f>A22</f>
        <v xml:space="preserve">Bắt đầu nghiệm thu:    </v>
      </c>
      <c r="B138" s="477"/>
      <c r="C138" s="477"/>
      <c r="D138" s="484">
        <f>L22</f>
        <v>0.73958333333333315</v>
      </c>
      <c r="E138" s="1603">
        <f>L20</f>
        <v>42466</v>
      </c>
      <c r="F138" s="1603"/>
      <c r="G138" s="1603"/>
      <c r="H138" s="1603"/>
      <c r="I138" s="1603"/>
      <c r="J138" s="1603"/>
      <c r="K138" s="485"/>
      <c r="Q138" s="479"/>
      <c r="R138" s="469"/>
    </row>
    <row r="139" spans="1:20" s="175" customFormat="1" ht="20.100000000000001" customHeight="1">
      <c r="A139" s="477" t="str">
        <f>A23</f>
        <v xml:space="preserve">Kết thúc nghiệm thu: </v>
      </c>
      <c r="B139" s="477"/>
      <c r="C139" s="477"/>
      <c r="D139" s="484">
        <f>L23</f>
        <v>0.74999999999999978</v>
      </c>
      <c r="E139" s="1603">
        <f>L20</f>
        <v>42466</v>
      </c>
      <c r="F139" s="1603"/>
      <c r="G139" s="1603"/>
      <c r="H139" s="1603"/>
      <c r="I139" s="1603"/>
      <c r="J139" s="1603"/>
      <c r="K139" s="485"/>
      <c r="O139" s="464"/>
      <c r="P139" s="464"/>
      <c r="Q139" s="464"/>
      <c r="R139" s="464"/>
      <c r="S139" s="464"/>
      <c r="T139" s="464"/>
    </row>
    <row r="140" spans="1:20" ht="20.100000000000001" customHeight="1">
      <c r="A140" s="767" t="str">
        <f>'[6]7. BBNT-TOADOCOC'!A138</f>
        <v>Tại:</v>
      </c>
      <c r="B140" s="765" t="str">
        <f>'[6]7. BBNT-TOADOCOC'!B138</f>
        <v>Công trình: Khu hỗn hợp chung cư, văn phòng, trung tâm thương mại.</v>
      </c>
      <c r="C140" s="489"/>
      <c r="D140" s="489"/>
      <c r="E140" s="489"/>
      <c r="F140" s="489"/>
      <c r="G140" s="489"/>
      <c r="H140" s="489"/>
      <c r="I140" s="489"/>
      <c r="J140" s="489"/>
      <c r="K140" s="489"/>
      <c r="O140" s="175"/>
      <c r="P140" s="175"/>
      <c r="Q140" s="175"/>
      <c r="R140" s="175"/>
      <c r="S140" s="175"/>
      <c r="T140" s="175"/>
    </row>
    <row r="141" spans="1:20" ht="20.100000000000001" customHeight="1">
      <c r="A141" s="1596" t="s">
        <v>441</v>
      </c>
      <c r="B141" s="1596"/>
      <c r="C141" s="1596"/>
      <c r="D141" s="1596"/>
      <c r="E141" s="1596"/>
      <c r="F141" s="1596"/>
      <c r="G141" s="1596"/>
      <c r="H141" s="1596"/>
      <c r="I141" s="1596"/>
      <c r="J141" s="1596"/>
      <c r="K141" s="741"/>
    </row>
    <row r="142" spans="1:20" ht="20.100000000000001" customHeight="1">
      <c r="A142" s="1604" t="s">
        <v>101</v>
      </c>
      <c r="B142" s="1604"/>
      <c r="C142" s="1604"/>
      <c r="D142" s="1604"/>
      <c r="E142" s="1604"/>
      <c r="F142" s="1604"/>
      <c r="G142" s="1604"/>
      <c r="H142" s="1604"/>
      <c r="I142" s="1604"/>
      <c r="J142" s="1604"/>
      <c r="K142" s="482"/>
    </row>
    <row r="143" spans="1:20" s="175" customFormat="1" ht="20.100000000000001" customHeight="1">
      <c r="A143" s="477" t="str">
        <f>"-    Phiếu yêu cầu kiểm tra công việc xây dựng số: TGHL-HT-CWI-C&amp;S-"&amp;'2. NK'!D10&amp;"/"&amp;'2. NK'!H10</f>
        <v>-    Phiếu yêu cầu kiểm tra công việc xây dựng số: TGHL-HT-CWI-C&amp;S-B1/800</v>
      </c>
      <c r="B143" s="477"/>
      <c r="C143" s="477"/>
      <c r="D143" s="477"/>
      <c r="E143" s="477"/>
      <c r="F143" s="477"/>
      <c r="G143" s="477"/>
      <c r="H143" s="477"/>
      <c r="I143" s="477"/>
      <c r="J143" s="477"/>
      <c r="K143" s="477"/>
      <c r="O143" s="464"/>
      <c r="P143" s="464"/>
      <c r="Q143" s="464"/>
      <c r="R143" s="464"/>
      <c r="S143" s="464"/>
      <c r="T143" s="464"/>
    </row>
    <row r="144" spans="1:20" ht="20.100000000000001" customHeight="1">
      <c r="A144" s="1704" t="s">
        <v>1035</v>
      </c>
      <c r="B144" s="1679"/>
      <c r="C144" s="1679"/>
      <c r="D144" s="1679"/>
      <c r="E144" s="1679"/>
      <c r="F144" s="1679"/>
      <c r="G144" s="1679"/>
      <c r="H144" s="1679"/>
      <c r="I144" s="1679"/>
      <c r="J144" s="1679"/>
      <c r="K144" s="744"/>
      <c r="O144" s="175"/>
      <c r="P144" s="175"/>
      <c r="Q144" s="175"/>
      <c r="R144" s="175"/>
      <c r="S144" s="175"/>
      <c r="T144" s="175"/>
    </row>
    <row r="145" spans="1:233" s="637" customFormat="1" ht="20.100000000000001" customHeight="1">
      <c r="A145" s="486" t="s">
        <v>104</v>
      </c>
      <c r="B145" s="477"/>
      <c r="C145" s="477"/>
      <c r="D145" s="477"/>
      <c r="E145" s="477"/>
      <c r="F145" s="477"/>
      <c r="G145" s="477"/>
      <c r="H145" s="477"/>
      <c r="I145" s="477"/>
      <c r="J145" s="477"/>
      <c r="K145" s="477"/>
      <c r="L145" s="477"/>
      <c r="M145" s="477"/>
      <c r="N145" s="477"/>
      <c r="O145" s="464"/>
      <c r="P145" s="464"/>
      <c r="Q145" s="464"/>
      <c r="R145" s="464"/>
      <c r="S145" s="464"/>
      <c r="T145" s="464"/>
      <c r="U145" s="487"/>
      <c r="V145" s="487"/>
      <c r="W145" s="487"/>
      <c r="X145" s="487"/>
      <c r="Y145" s="487"/>
      <c r="Z145" s="487"/>
      <c r="AA145" s="487"/>
      <c r="AB145" s="487"/>
      <c r="AC145" s="487"/>
      <c r="AD145" s="487"/>
      <c r="AE145" s="487"/>
      <c r="AF145" s="487"/>
      <c r="AG145" s="487"/>
      <c r="AH145" s="487"/>
      <c r="AI145" s="487"/>
      <c r="AJ145" s="487"/>
      <c r="AK145" s="487"/>
      <c r="AL145" s="487"/>
      <c r="AM145" s="487"/>
      <c r="AN145" s="487"/>
      <c r="AO145" s="487"/>
      <c r="AP145" s="487"/>
      <c r="AQ145" s="487"/>
      <c r="AR145" s="487"/>
      <c r="AS145" s="487"/>
      <c r="AT145" s="487"/>
      <c r="AU145" s="487"/>
      <c r="AV145" s="487"/>
      <c r="AW145" s="487"/>
      <c r="AX145" s="487"/>
      <c r="AY145" s="487"/>
      <c r="AZ145" s="487"/>
      <c r="BA145" s="487"/>
      <c r="BB145" s="487"/>
      <c r="BC145" s="487"/>
      <c r="BD145" s="487"/>
      <c r="BE145" s="487"/>
      <c r="BF145" s="487"/>
      <c r="BG145" s="487"/>
      <c r="BH145" s="487"/>
      <c r="BI145" s="487"/>
      <c r="BJ145" s="487"/>
      <c r="BK145" s="487"/>
      <c r="BL145" s="487"/>
      <c r="BM145" s="487"/>
      <c r="BN145" s="487"/>
      <c r="BO145" s="487"/>
      <c r="BP145" s="487"/>
      <c r="BQ145" s="487"/>
      <c r="BR145" s="487"/>
      <c r="BS145" s="487"/>
      <c r="BT145" s="487"/>
      <c r="BU145" s="487"/>
      <c r="BV145" s="487"/>
      <c r="BW145" s="487"/>
      <c r="BX145" s="487"/>
      <c r="BY145" s="487"/>
      <c r="BZ145" s="487"/>
      <c r="CA145" s="487"/>
      <c r="CB145" s="487"/>
      <c r="CC145" s="487"/>
      <c r="CD145" s="487"/>
      <c r="CE145" s="487"/>
      <c r="CF145" s="487"/>
      <c r="CG145" s="487"/>
      <c r="CH145" s="487"/>
      <c r="CI145" s="487"/>
      <c r="CJ145" s="487"/>
      <c r="CK145" s="487"/>
      <c r="CL145" s="487"/>
      <c r="CM145" s="487"/>
      <c r="CN145" s="487"/>
      <c r="CO145" s="487"/>
      <c r="CP145" s="487"/>
      <c r="CQ145" s="487"/>
      <c r="CR145" s="487"/>
      <c r="CS145" s="487"/>
      <c r="CT145" s="487"/>
      <c r="CU145" s="487"/>
      <c r="CV145" s="487"/>
      <c r="CW145" s="487"/>
      <c r="CX145" s="487"/>
      <c r="CY145" s="487"/>
      <c r="CZ145" s="487"/>
      <c r="DA145" s="487"/>
      <c r="DB145" s="487"/>
      <c r="DC145" s="487"/>
      <c r="DD145" s="487"/>
      <c r="DE145" s="487"/>
      <c r="DF145" s="487"/>
      <c r="DG145" s="487"/>
      <c r="DH145" s="487"/>
      <c r="DI145" s="487"/>
      <c r="DJ145" s="487"/>
      <c r="DK145" s="487"/>
      <c r="DL145" s="487"/>
      <c r="DM145" s="487"/>
      <c r="DN145" s="487"/>
      <c r="DO145" s="487"/>
      <c r="DP145" s="487"/>
      <c r="DQ145" s="487"/>
      <c r="DR145" s="487"/>
      <c r="DS145" s="487"/>
      <c r="DT145" s="487"/>
      <c r="DU145" s="487"/>
      <c r="DV145" s="487"/>
      <c r="DW145" s="487"/>
      <c r="DX145" s="487"/>
      <c r="DY145" s="487"/>
      <c r="DZ145" s="487"/>
      <c r="EA145" s="487"/>
      <c r="EB145" s="487"/>
      <c r="EC145" s="487"/>
      <c r="ED145" s="487"/>
      <c r="EE145" s="487"/>
      <c r="EF145" s="487"/>
      <c r="EG145" s="487"/>
      <c r="EH145" s="487"/>
      <c r="EI145" s="487"/>
      <c r="EJ145" s="487"/>
      <c r="EK145" s="487"/>
      <c r="EL145" s="487"/>
      <c r="EM145" s="487"/>
      <c r="EN145" s="487"/>
      <c r="EO145" s="487"/>
      <c r="EP145" s="487"/>
      <c r="EQ145" s="487"/>
      <c r="ER145" s="487"/>
      <c r="ES145" s="487"/>
      <c r="ET145" s="487"/>
      <c r="EU145" s="487"/>
      <c r="EV145" s="487"/>
      <c r="EW145" s="487"/>
      <c r="EX145" s="487"/>
      <c r="EY145" s="487"/>
      <c r="EZ145" s="487"/>
      <c r="FA145" s="487"/>
      <c r="FB145" s="487"/>
      <c r="FC145" s="487"/>
      <c r="FD145" s="487"/>
      <c r="FE145" s="487"/>
      <c r="FF145" s="487"/>
      <c r="FG145" s="487"/>
      <c r="FH145" s="487"/>
      <c r="FI145" s="487"/>
      <c r="FJ145" s="487"/>
      <c r="FK145" s="487"/>
      <c r="FL145" s="487"/>
      <c r="FM145" s="487"/>
      <c r="FN145" s="487"/>
      <c r="FO145" s="487"/>
      <c r="FP145" s="487"/>
      <c r="FQ145" s="487"/>
      <c r="FR145" s="487"/>
      <c r="FS145" s="487"/>
      <c r="FT145" s="487"/>
      <c r="FU145" s="487"/>
      <c r="FV145" s="487"/>
      <c r="FW145" s="487"/>
      <c r="FX145" s="487"/>
      <c r="FY145" s="487"/>
      <c r="FZ145" s="487"/>
      <c r="GA145" s="487"/>
      <c r="GB145" s="487"/>
      <c r="GC145" s="487"/>
      <c r="GD145" s="487"/>
      <c r="GE145" s="487"/>
      <c r="GF145" s="487"/>
      <c r="GG145" s="487"/>
      <c r="GH145" s="487"/>
      <c r="GI145" s="487"/>
      <c r="GJ145" s="487"/>
      <c r="GK145" s="487"/>
      <c r="GL145" s="487"/>
      <c r="GM145" s="487"/>
      <c r="GN145" s="487"/>
      <c r="GO145" s="487"/>
      <c r="GP145" s="487"/>
      <c r="GQ145" s="487"/>
      <c r="GR145" s="487"/>
      <c r="GS145" s="487"/>
      <c r="GT145" s="487"/>
      <c r="GU145" s="487"/>
      <c r="GV145" s="487"/>
      <c r="GW145" s="487"/>
      <c r="GX145" s="487"/>
      <c r="GY145" s="487"/>
      <c r="GZ145" s="487"/>
      <c r="HA145" s="487"/>
      <c r="HB145" s="487"/>
      <c r="HC145" s="487"/>
      <c r="HD145" s="487"/>
      <c r="HE145" s="487"/>
      <c r="HF145" s="487"/>
      <c r="HG145" s="487"/>
      <c r="HH145" s="487"/>
      <c r="HI145" s="487"/>
      <c r="HJ145" s="487"/>
      <c r="HK145" s="487"/>
      <c r="HL145" s="487"/>
      <c r="HM145" s="487"/>
      <c r="HN145" s="487"/>
      <c r="HO145" s="487"/>
      <c r="HP145" s="487"/>
      <c r="HQ145" s="487"/>
      <c r="HR145" s="487"/>
      <c r="HS145" s="487"/>
      <c r="HT145" s="487"/>
      <c r="HU145" s="487"/>
      <c r="HV145" s="487"/>
      <c r="HW145" s="487"/>
      <c r="HX145" s="487"/>
      <c r="HY145" s="487"/>
    </row>
    <row r="146" spans="1:233" s="637" customFormat="1" ht="20.100000000000001" customHeight="1">
      <c r="A146" s="885" t="s">
        <v>1027</v>
      </c>
      <c r="B146" s="477" t="s">
        <v>1028</v>
      </c>
      <c r="C146" s="477"/>
      <c r="D146" s="477"/>
      <c r="E146" s="477"/>
      <c r="F146" s="477"/>
      <c r="G146" s="477"/>
      <c r="H146" s="477"/>
      <c r="I146" s="477"/>
      <c r="J146" s="477"/>
      <c r="K146" s="477"/>
      <c r="L146" s="477"/>
      <c r="M146" s="477"/>
      <c r="N146" s="477"/>
      <c r="O146" s="487"/>
      <c r="P146" s="487"/>
      <c r="Q146" s="467"/>
      <c r="R146" s="464"/>
      <c r="S146" s="487"/>
      <c r="T146" s="487"/>
      <c r="U146" s="487"/>
      <c r="V146" s="489"/>
      <c r="W146" s="489"/>
      <c r="X146" s="489"/>
      <c r="Y146" s="489"/>
      <c r="Z146" s="489"/>
      <c r="AA146" s="489"/>
      <c r="AB146" s="489"/>
      <c r="AC146" s="489"/>
      <c r="AD146" s="489"/>
      <c r="AE146" s="489"/>
      <c r="AF146" s="489"/>
      <c r="AG146" s="489"/>
      <c r="AH146" s="489"/>
      <c r="AI146" s="489"/>
      <c r="AJ146" s="489"/>
      <c r="AK146" s="489"/>
      <c r="AL146" s="489"/>
      <c r="AM146" s="489"/>
      <c r="AN146" s="489"/>
      <c r="AO146" s="489"/>
      <c r="AP146" s="489"/>
      <c r="AQ146" s="489"/>
      <c r="AR146" s="489"/>
      <c r="AS146" s="489"/>
      <c r="AT146" s="489"/>
      <c r="AU146" s="489"/>
      <c r="AV146" s="489"/>
      <c r="AW146" s="489"/>
      <c r="AX146" s="489"/>
      <c r="AY146" s="489"/>
      <c r="AZ146" s="489"/>
      <c r="BA146" s="489"/>
      <c r="BB146" s="489"/>
      <c r="BC146" s="489"/>
      <c r="BD146" s="489"/>
      <c r="BE146" s="489"/>
      <c r="BF146" s="489"/>
      <c r="BG146" s="489"/>
      <c r="BH146" s="489"/>
      <c r="BI146" s="489"/>
      <c r="BJ146" s="489"/>
      <c r="BK146" s="489"/>
      <c r="BL146" s="489"/>
      <c r="BM146" s="489"/>
      <c r="BN146" s="489"/>
      <c r="BO146" s="489"/>
      <c r="BP146" s="489"/>
      <c r="BQ146" s="489"/>
      <c r="BR146" s="489"/>
      <c r="BS146" s="489"/>
      <c r="BT146" s="489"/>
      <c r="BU146" s="489"/>
      <c r="BV146" s="489"/>
      <c r="BW146" s="489"/>
      <c r="BX146" s="489"/>
      <c r="BY146" s="489"/>
      <c r="BZ146" s="489"/>
      <c r="CA146" s="489"/>
      <c r="CB146" s="489"/>
      <c r="CC146" s="489"/>
      <c r="CD146" s="489"/>
      <c r="CE146" s="489"/>
      <c r="CF146" s="489"/>
      <c r="CG146" s="489"/>
      <c r="CH146" s="489"/>
      <c r="CI146" s="489"/>
      <c r="CJ146" s="489"/>
      <c r="CK146" s="489"/>
      <c r="CL146" s="489"/>
      <c r="CM146" s="489"/>
      <c r="CN146" s="489"/>
      <c r="CO146" s="489"/>
      <c r="CP146" s="489"/>
      <c r="CQ146" s="489"/>
      <c r="CR146" s="489"/>
      <c r="CS146" s="489"/>
      <c r="CT146" s="489"/>
      <c r="CU146" s="489"/>
      <c r="CV146" s="489"/>
      <c r="CW146" s="489"/>
      <c r="CX146" s="489"/>
      <c r="CY146" s="489"/>
      <c r="CZ146" s="489"/>
      <c r="DA146" s="489"/>
      <c r="DB146" s="489"/>
      <c r="DC146" s="489"/>
      <c r="DD146" s="489"/>
      <c r="DE146" s="489"/>
      <c r="DF146" s="489"/>
      <c r="DG146" s="489"/>
      <c r="DH146" s="489"/>
      <c r="DI146" s="489"/>
      <c r="DJ146" s="489"/>
      <c r="DK146" s="489"/>
      <c r="DL146" s="489"/>
      <c r="DM146" s="489"/>
      <c r="DN146" s="489"/>
      <c r="DO146" s="489"/>
      <c r="DP146" s="489"/>
      <c r="DQ146" s="489"/>
      <c r="DR146" s="489"/>
      <c r="DS146" s="489"/>
      <c r="DT146" s="489"/>
      <c r="DU146" s="489"/>
      <c r="DV146" s="489"/>
      <c r="DW146" s="489"/>
      <c r="DX146" s="489"/>
      <c r="DY146" s="489"/>
      <c r="DZ146" s="489"/>
      <c r="EA146" s="489"/>
      <c r="EB146" s="489"/>
      <c r="EC146" s="489"/>
      <c r="ED146" s="489"/>
      <c r="EE146" s="489"/>
      <c r="EF146" s="489"/>
      <c r="EG146" s="489"/>
      <c r="EH146" s="489"/>
      <c r="EI146" s="489"/>
      <c r="EJ146" s="489"/>
      <c r="EK146" s="489"/>
      <c r="EL146" s="489"/>
      <c r="EM146" s="489"/>
      <c r="EN146" s="489"/>
      <c r="EO146" s="489"/>
      <c r="EP146" s="489"/>
      <c r="EQ146" s="489"/>
      <c r="ER146" s="489"/>
      <c r="ES146" s="489"/>
      <c r="ET146" s="489"/>
      <c r="EU146" s="489"/>
      <c r="EV146" s="489"/>
      <c r="EW146" s="489"/>
      <c r="EX146" s="489"/>
      <c r="EY146" s="489"/>
      <c r="EZ146" s="489"/>
      <c r="FA146" s="489"/>
      <c r="FB146" s="489"/>
      <c r="FC146" s="489"/>
      <c r="FD146" s="489"/>
      <c r="FE146" s="489"/>
      <c r="FF146" s="489"/>
      <c r="FG146" s="489"/>
      <c r="FH146" s="489"/>
      <c r="FI146" s="489"/>
      <c r="FJ146" s="489"/>
      <c r="FK146" s="489"/>
      <c r="FL146" s="489"/>
      <c r="FM146" s="489"/>
      <c r="FN146" s="489"/>
      <c r="FO146" s="489"/>
      <c r="FP146" s="489"/>
      <c r="FQ146" s="489"/>
      <c r="FR146" s="489"/>
      <c r="FS146" s="489"/>
      <c r="FT146" s="489"/>
      <c r="FU146" s="489"/>
      <c r="FV146" s="489"/>
      <c r="FW146" s="489"/>
      <c r="FX146" s="489"/>
      <c r="FY146" s="489"/>
      <c r="FZ146" s="489"/>
      <c r="GA146" s="489"/>
      <c r="GB146" s="489"/>
      <c r="GC146" s="489"/>
      <c r="GD146" s="489"/>
      <c r="GE146" s="489"/>
      <c r="GF146" s="489"/>
      <c r="GG146" s="489"/>
      <c r="GH146" s="489"/>
      <c r="GI146" s="489"/>
      <c r="GJ146" s="489"/>
      <c r="GK146" s="489"/>
      <c r="GL146" s="489"/>
      <c r="GM146" s="489"/>
      <c r="GN146" s="489"/>
      <c r="GO146" s="489"/>
      <c r="GP146" s="489"/>
      <c r="GQ146" s="489"/>
      <c r="GR146" s="489"/>
      <c r="GS146" s="489"/>
      <c r="GT146" s="489"/>
      <c r="GU146" s="489"/>
      <c r="GV146" s="489"/>
      <c r="GW146" s="489"/>
      <c r="GX146" s="489"/>
      <c r="GY146" s="489"/>
      <c r="GZ146" s="489"/>
      <c r="HA146" s="489"/>
      <c r="HB146" s="489"/>
      <c r="HC146" s="489"/>
      <c r="HD146" s="489"/>
      <c r="HE146" s="489"/>
      <c r="HF146" s="489"/>
      <c r="HG146" s="489"/>
      <c r="HH146" s="489"/>
      <c r="HI146" s="489"/>
      <c r="HJ146" s="489"/>
      <c r="HK146" s="489"/>
      <c r="HL146" s="489"/>
      <c r="HM146" s="489"/>
      <c r="HN146" s="489"/>
      <c r="HO146" s="489"/>
      <c r="HP146" s="489"/>
      <c r="HQ146" s="489"/>
      <c r="HR146" s="489"/>
      <c r="HS146" s="489"/>
      <c r="HT146" s="489"/>
      <c r="HU146" s="489"/>
      <c r="HV146" s="489"/>
      <c r="HW146" s="489"/>
      <c r="HX146" s="489"/>
      <c r="HY146" s="487"/>
    </row>
    <row r="147" spans="1:233" s="637" customFormat="1" ht="20.100000000000001" customHeight="1">
      <c r="A147" s="885" t="s">
        <v>1027</v>
      </c>
      <c r="B147" s="477" t="s">
        <v>1029</v>
      </c>
      <c r="C147" s="477"/>
      <c r="D147" s="477"/>
      <c r="E147" s="477"/>
      <c r="F147" s="477"/>
      <c r="G147" s="477"/>
      <c r="H147" s="477"/>
      <c r="I147" s="477"/>
      <c r="J147" s="477"/>
      <c r="K147" s="477"/>
      <c r="L147" s="477"/>
      <c r="M147" s="477"/>
      <c r="N147" s="477"/>
      <c r="O147" s="487"/>
      <c r="P147" s="487"/>
      <c r="Q147" s="487"/>
      <c r="R147" s="487"/>
      <c r="S147" s="487"/>
      <c r="T147" s="487"/>
      <c r="U147" s="477"/>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89"/>
      <c r="BH147" s="489"/>
      <c r="BI147" s="489"/>
      <c r="BJ147" s="489"/>
      <c r="BK147" s="489"/>
      <c r="BL147" s="489"/>
      <c r="BM147" s="489"/>
      <c r="BN147" s="489"/>
      <c r="BO147" s="489"/>
      <c r="BP147" s="489"/>
      <c r="BQ147" s="489"/>
      <c r="BR147" s="489"/>
      <c r="BS147" s="489"/>
      <c r="BT147" s="489"/>
      <c r="BU147" s="489"/>
      <c r="BV147" s="489"/>
      <c r="BW147" s="489"/>
      <c r="BX147" s="489"/>
      <c r="BY147" s="489"/>
      <c r="BZ147" s="489"/>
      <c r="CA147" s="489"/>
      <c r="CB147" s="489"/>
      <c r="CC147" s="489"/>
      <c r="CD147" s="489"/>
      <c r="CE147" s="489"/>
      <c r="CF147" s="489"/>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89"/>
      <c r="DN147" s="489"/>
      <c r="DO147" s="489"/>
      <c r="DP147" s="489"/>
      <c r="DQ147" s="489"/>
      <c r="DR147" s="489"/>
      <c r="DS147" s="489"/>
      <c r="DT147" s="489"/>
      <c r="DU147" s="489"/>
      <c r="DV147" s="489"/>
      <c r="DW147" s="489"/>
      <c r="DX147" s="489"/>
      <c r="DY147" s="489"/>
      <c r="DZ147" s="489"/>
      <c r="EA147" s="489"/>
      <c r="EB147" s="489"/>
      <c r="EC147" s="489"/>
      <c r="ED147" s="489"/>
      <c r="EE147" s="489"/>
      <c r="EF147" s="489"/>
      <c r="EG147" s="489"/>
      <c r="EH147" s="489"/>
      <c r="EI147" s="489"/>
      <c r="EJ147" s="489"/>
      <c r="EK147" s="489"/>
      <c r="EL147" s="489"/>
      <c r="EM147" s="489"/>
      <c r="EN147" s="489"/>
      <c r="EO147" s="489"/>
      <c r="EP147" s="489"/>
      <c r="EQ147" s="489"/>
      <c r="ER147" s="489"/>
      <c r="ES147" s="489"/>
      <c r="ET147" s="489"/>
      <c r="EU147" s="489"/>
      <c r="EV147" s="489"/>
      <c r="EW147" s="489"/>
      <c r="EX147" s="489"/>
      <c r="EY147" s="489"/>
      <c r="EZ147" s="489"/>
      <c r="FA147" s="489"/>
      <c r="FB147" s="489"/>
      <c r="FC147" s="489"/>
      <c r="FD147" s="489"/>
      <c r="FE147" s="489"/>
      <c r="FF147" s="489"/>
      <c r="FG147" s="489"/>
      <c r="FH147" s="489"/>
      <c r="FI147" s="489"/>
      <c r="FJ147" s="489"/>
      <c r="FK147" s="489"/>
      <c r="FL147" s="489"/>
      <c r="FM147" s="489"/>
      <c r="FN147" s="489"/>
      <c r="FO147" s="489"/>
      <c r="FP147" s="489"/>
      <c r="FQ147" s="489"/>
      <c r="FR147" s="489"/>
      <c r="FS147" s="489"/>
      <c r="FT147" s="489"/>
      <c r="FU147" s="489"/>
      <c r="FV147" s="489"/>
      <c r="FW147" s="489"/>
      <c r="FX147" s="489"/>
      <c r="FY147" s="489"/>
      <c r="FZ147" s="489"/>
      <c r="GA147" s="489"/>
      <c r="GB147" s="489"/>
      <c r="GC147" s="489"/>
      <c r="GD147" s="489"/>
      <c r="GE147" s="489"/>
      <c r="GF147" s="489"/>
      <c r="GG147" s="489"/>
      <c r="GH147" s="489"/>
      <c r="GI147" s="489"/>
      <c r="GJ147" s="489"/>
      <c r="GK147" s="489"/>
      <c r="GL147" s="489"/>
      <c r="GM147" s="489"/>
      <c r="GN147" s="489"/>
      <c r="GO147" s="489"/>
      <c r="GP147" s="489"/>
      <c r="GQ147" s="489"/>
      <c r="GR147" s="489"/>
      <c r="GS147" s="489"/>
      <c r="GT147" s="489"/>
      <c r="GU147" s="489"/>
      <c r="GV147" s="489"/>
      <c r="GW147" s="489"/>
      <c r="GX147" s="489"/>
      <c r="GY147" s="489"/>
      <c r="GZ147" s="489"/>
      <c r="HA147" s="489"/>
      <c r="HB147" s="489"/>
      <c r="HC147" s="489"/>
      <c r="HD147" s="489"/>
      <c r="HE147" s="489"/>
      <c r="HF147" s="489"/>
      <c r="HG147" s="489"/>
      <c r="HH147" s="489"/>
      <c r="HI147" s="489"/>
      <c r="HJ147" s="489"/>
      <c r="HK147" s="489"/>
      <c r="HL147" s="489"/>
      <c r="HM147" s="489"/>
      <c r="HN147" s="489"/>
      <c r="HO147" s="489"/>
      <c r="HP147" s="489"/>
      <c r="HQ147" s="489"/>
      <c r="HR147" s="489"/>
      <c r="HS147" s="489"/>
      <c r="HT147" s="489"/>
      <c r="HU147" s="489"/>
      <c r="HV147" s="489"/>
      <c r="HW147" s="489"/>
      <c r="HX147" s="489"/>
      <c r="HY147" s="487"/>
    </row>
    <row r="148" spans="1:233" s="637" customFormat="1" ht="19.5" customHeight="1">
      <c r="A148" s="885" t="s">
        <v>1027</v>
      </c>
      <c r="B148" s="1602" t="s">
        <v>1030</v>
      </c>
      <c r="C148" s="1602"/>
      <c r="D148" s="1602"/>
      <c r="E148" s="1602"/>
      <c r="F148" s="1602"/>
      <c r="G148" s="1602"/>
      <c r="H148" s="1602"/>
      <c r="I148" s="1602"/>
      <c r="J148" s="1602"/>
      <c r="K148" s="742"/>
      <c r="L148" s="491"/>
      <c r="M148" s="477"/>
      <c r="N148" s="477"/>
      <c r="O148" s="492"/>
      <c r="P148" s="492"/>
      <c r="Q148" s="492"/>
      <c r="R148" s="492"/>
      <c r="S148" s="492"/>
      <c r="T148" s="492"/>
      <c r="U148" s="492"/>
      <c r="V148" s="489"/>
      <c r="W148" s="489"/>
      <c r="X148" s="489"/>
      <c r="Y148" s="489"/>
      <c r="Z148" s="489"/>
      <c r="AA148" s="489"/>
      <c r="AB148" s="489"/>
      <c r="AC148" s="489"/>
      <c r="AD148" s="489"/>
      <c r="AE148" s="489"/>
      <c r="AF148" s="489"/>
      <c r="AG148" s="489"/>
      <c r="AH148" s="489"/>
      <c r="AI148" s="489"/>
      <c r="AJ148" s="489"/>
      <c r="AK148" s="489"/>
      <c r="AL148" s="489"/>
      <c r="AM148" s="489"/>
      <c r="AN148" s="489"/>
      <c r="AO148" s="489"/>
      <c r="AP148" s="489"/>
      <c r="AQ148" s="489"/>
      <c r="AR148" s="489"/>
      <c r="AS148" s="489"/>
      <c r="AT148" s="489"/>
      <c r="AU148" s="489"/>
      <c r="AV148" s="489"/>
      <c r="AW148" s="489"/>
      <c r="AX148" s="489"/>
      <c r="AY148" s="489"/>
      <c r="AZ148" s="489"/>
      <c r="BA148" s="489"/>
      <c r="BB148" s="489"/>
      <c r="BC148" s="489"/>
      <c r="BD148" s="489"/>
      <c r="BE148" s="489"/>
      <c r="BF148" s="489"/>
      <c r="BG148" s="489"/>
      <c r="BH148" s="489"/>
      <c r="BI148" s="489"/>
      <c r="BJ148" s="489"/>
      <c r="BK148" s="489"/>
      <c r="BL148" s="489"/>
      <c r="BM148" s="489"/>
      <c r="BN148" s="489"/>
      <c r="BO148" s="489"/>
      <c r="BP148" s="489"/>
      <c r="BQ148" s="489"/>
      <c r="BR148" s="489"/>
      <c r="BS148" s="489"/>
      <c r="BT148" s="489"/>
      <c r="BU148" s="489"/>
      <c r="BV148" s="489"/>
      <c r="BW148" s="489"/>
      <c r="BX148" s="489"/>
      <c r="BY148" s="489"/>
      <c r="BZ148" s="489"/>
      <c r="CA148" s="489"/>
      <c r="CB148" s="489"/>
      <c r="CC148" s="489"/>
      <c r="CD148" s="489"/>
      <c r="CE148" s="489"/>
      <c r="CF148" s="489"/>
      <c r="CG148" s="489"/>
      <c r="CH148" s="489"/>
      <c r="CI148" s="489"/>
      <c r="CJ148" s="489"/>
      <c r="CK148" s="489"/>
      <c r="CL148" s="489"/>
      <c r="CM148" s="489"/>
      <c r="CN148" s="489"/>
      <c r="CO148" s="489"/>
      <c r="CP148" s="489"/>
      <c r="CQ148" s="489"/>
      <c r="CR148" s="489"/>
      <c r="CS148" s="489"/>
      <c r="CT148" s="489"/>
      <c r="CU148" s="489"/>
      <c r="CV148" s="489"/>
      <c r="CW148" s="489"/>
      <c r="CX148" s="489"/>
      <c r="CY148" s="489"/>
      <c r="CZ148" s="489"/>
      <c r="DA148" s="489"/>
      <c r="DB148" s="489"/>
      <c r="DC148" s="489"/>
      <c r="DD148" s="489"/>
      <c r="DE148" s="489"/>
      <c r="DF148" s="489"/>
      <c r="DG148" s="489"/>
      <c r="DH148" s="489"/>
      <c r="DI148" s="489"/>
      <c r="DJ148" s="489"/>
      <c r="DK148" s="489"/>
      <c r="DL148" s="489"/>
      <c r="DM148" s="489"/>
      <c r="DN148" s="489"/>
      <c r="DO148" s="489"/>
      <c r="DP148" s="489"/>
      <c r="DQ148" s="489"/>
      <c r="DR148" s="489"/>
      <c r="DS148" s="489"/>
      <c r="DT148" s="489"/>
      <c r="DU148" s="489"/>
      <c r="DV148" s="489"/>
      <c r="DW148" s="489"/>
      <c r="DX148" s="489"/>
      <c r="DY148" s="489"/>
      <c r="DZ148" s="489"/>
      <c r="EA148" s="489"/>
      <c r="EB148" s="489"/>
      <c r="EC148" s="489"/>
      <c r="ED148" s="489"/>
      <c r="EE148" s="489"/>
      <c r="EF148" s="489"/>
      <c r="EG148" s="489"/>
      <c r="EH148" s="489"/>
      <c r="EI148" s="489"/>
      <c r="EJ148" s="489"/>
      <c r="EK148" s="489"/>
      <c r="EL148" s="489"/>
      <c r="EM148" s="489"/>
      <c r="EN148" s="489"/>
      <c r="EO148" s="489"/>
      <c r="EP148" s="489"/>
      <c r="EQ148" s="489"/>
      <c r="ER148" s="489"/>
      <c r="ES148" s="489"/>
      <c r="ET148" s="489"/>
      <c r="EU148" s="489"/>
      <c r="EV148" s="489"/>
      <c r="EW148" s="489"/>
      <c r="EX148" s="489"/>
      <c r="EY148" s="489"/>
      <c r="EZ148" s="489"/>
      <c r="FA148" s="489"/>
      <c r="FB148" s="489"/>
      <c r="FC148" s="489"/>
      <c r="FD148" s="489"/>
      <c r="FE148" s="489"/>
      <c r="FF148" s="489"/>
      <c r="FG148" s="489"/>
      <c r="FH148" s="489"/>
      <c r="FI148" s="489"/>
      <c r="FJ148" s="489"/>
      <c r="FK148" s="489"/>
      <c r="FL148" s="489"/>
      <c r="FM148" s="489"/>
      <c r="FN148" s="489"/>
      <c r="FO148" s="489"/>
      <c r="FP148" s="489"/>
      <c r="FQ148" s="489"/>
      <c r="FR148" s="489"/>
      <c r="FS148" s="489"/>
      <c r="FT148" s="489"/>
      <c r="FU148" s="489"/>
      <c r="FV148" s="489"/>
      <c r="FW148" s="489"/>
      <c r="FX148" s="489"/>
      <c r="FY148" s="489"/>
      <c r="FZ148" s="489"/>
      <c r="GA148" s="489"/>
      <c r="GB148" s="489"/>
      <c r="GC148" s="489"/>
      <c r="GD148" s="489"/>
      <c r="GE148" s="489"/>
      <c r="GF148" s="489"/>
      <c r="GG148" s="489"/>
      <c r="GH148" s="489"/>
      <c r="GI148" s="489"/>
      <c r="GJ148" s="489"/>
      <c r="GK148" s="489"/>
      <c r="GL148" s="489"/>
      <c r="GM148" s="489"/>
      <c r="GN148" s="489"/>
      <c r="GO148" s="489"/>
      <c r="GP148" s="489"/>
      <c r="GQ148" s="489"/>
      <c r="GR148" s="489"/>
      <c r="GS148" s="489"/>
      <c r="GT148" s="489"/>
      <c r="GU148" s="489"/>
      <c r="GV148" s="489"/>
      <c r="GW148" s="489"/>
      <c r="GX148" s="489"/>
      <c r="GY148" s="489"/>
      <c r="GZ148" s="489"/>
      <c r="HA148" s="489"/>
      <c r="HB148" s="489"/>
      <c r="HC148" s="489"/>
      <c r="HD148" s="489"/>
      <c r="HE148" s="489"/>
      <c r="HF148" s="489"/>
      <c r="HG148" s="489"/>
      <c r="HH148" s="489"/>
      <c r="HI148" s="489"/>
      <c r="HJ148" s="489"/>
      <c r="HK148" s="489"/>
      <c r="HL148" s="489"/>
      <c r="HM148" s="489"/>
      <c r="HN148" s="489"/>
      <c r="HO148" s="489"/>
      <c r="HP148" s="489"/>
      <c r="HQ148" s="489"/>
      <c r="HR148" s="489"/>
      <c r="HS148" s="489"/>
      <c r="HT148" s="489"/>
      <c r="HU148" s="489"/>
      <c r="HV148" s="489"/>
      <c r="HW148" s="489"/>
      <c r="HX148" s="489"/>
      <c r="HY148" s="487"/>
    </row>
    <row r="149" spans="1:233" s="637" customFormat="1" ht="19.5" customHeight="1">
      <c r="A149" s="885" t="s">
        <v>1027</v>
      </c>
      <c r="B149" s="1602" t="s">
        <v>1045</v>
      </c>
      <c r="C149" s="1602"/>
      <c r="D149" s="1602"/>
      <c r="E149" s="1602"/>
      <c r="F149" s="1602"/>
      <c r="G149" s="1602"/>
      <c r="H149" s="1602"/>
      <c r="I149" s="1602"/>
      <c r="J149" s="1602"/>
      <c r="K149" s="742"/>
      <c r="L149" s="491"/>
      <c r="M149" s="477"/>
      <c r="N149" s="477"/>
      <c r="O149" s="492"/>
      <c r="P149" s="492"/>
      <c r="Q149" s="492"/>
      <c r="R149" s="492"/>
      <c r="S149" s="492"/>
      <c r="T149" s="492"/>
      <c r="U149" s="492"/>
      <c r="V149" s="489"/>
      <c r="W149" s="489"/>
      <c r="X149" s="489"/>
      <c r="Y149" s="489"/>
      <c r="Z149" s="489"/>
      <c r="AA149" s="489"/>
      <c r="AB149" s="489"/>
      <c r="AC149" s="489"/>
      <c r="AD149" s="489"/>
      <c r="AE149" s="489"/>
      <c r="AF149" s="489"/>
      <c r="AG149" s="489"/>
      <c r="AH149" s="489"/>
      <c r="AI149" s="489"/>
      <c r="AJ149" s="489"/>
      <c r="AK149" s="489"/>
      <c r="AL149" s="489"/>
      <c r="AM149" s="489"/>
      <c r="AN149" s="489"/>
      <c r="AO149" s="489"/>
      <c r="AP149" s="489"/>
      <c r="AQ149" s="489"/>
      <c r="AR149" s="489"/>
      <c r="AS149" s="489"/>
      <c r="AT149" s="489"/>
      <c r="AU149" s="489"/>
      <c r="AV149" s="489"/>
      <c r="AW149" s="489"/>
      <c r="AX149" s="489"/>
      <c r="AY149" s="489"/>
      <c r="AZ149" s="489"/>
      <c r="BA149" s="489"/>
      <c r="BB149" s="489"/>
      <c r="BC149" s="489"/>
      <c r="BD149" s="489"/>
      <c r="BE149" s="489"/>
      <c r="BF149" s="489"/>
      <c r="BG149" s="489"/>
      <c r="BH149" s="489"/>
      <c r="BI149" s="489"/>
      <c r="BJ149" s="489"/>
      <c r="BK149" s="489"/>
      <c r="BL149" s="489"/>
      <c r="BM149" s="489"/>
      <c r="BN149" s="489"/>
      <c r="BO149" s="489"/>
      <c r="BP149" s="489"/>
      <c r="BQ149" s="489"/>
      <c r="BR149" s="489"/>
      <c r="BS149" s="489"/>
      <c r="BT149" s="489"/>
      <c r="BU149" s="489"/>
      <c r="BV149" s="489"/>
      <c r="BW149" s="489"/>
      <c r="BX149" s="489"/>
      <c r="BY149" s="489"/>
      <c r="BZ149" s="489"/>
      <c r="CA149" s="489"/>
      <c r="CB149" s="489"/>
      <c r="CC149" s="489"/>
      <c r="CD149" s="489"/>
      <c r="CE149" s="489"/>
      <c r="CF149" s="489"/>
      <c r="CG149" s="489"/>
      <c r="CH149" s="489"/>
      <c r="CI149" s="489"/>
      <c r="CJ149" s="489"/>
      <c r="CK149" s="489"/>
      <c r="CL149" s="489"/>
      <c r="CM149" s="489"/>
      <c r="CN149" s="489"/>
      <c r="CO149" s="489"/>
      <c r="CP149" s="489"/>
      <c r="CQ149" s="489"/>
      <c r="CR149" s="489"/>
      <c r="CS149" s="489"/>
      <c r="CT149" s="489"/>
      <c r="CU149" s="489"/>
      <c r="CV149" s="489"/>
      <c r="CW149" s="489"/>
      <c r="CX149" s="489"/>
      <c r="CY149" s="489"/>
      <c r="CZ149" s="489"/>
      <c r="DA149" s="489"/>
      <c r="DB149" s="489"/>
      <c r="DC149" s="489"/>
      <c r="DD149" s="489"/>
      <c r="DE149" s="489"/>
      <c r="DF149" s="489"/>
      <c r="DG149" s="489"/>
      <c r="DH149" s="489"/>
      <c r="DI149" s="489"/>
      <c r="DJ149" s="489"/>
      <c r="DK149" s="489"/>
      <c r="DL149" s="489"/>
      <c r="DM149" s="489"/>
      <c r="DN149" s="489"/>
      <c r="DO149" s="489"/>
      <c r="DP149" s="489"/>
      <c r="DQ149" s="489"/>
      <c r="DR149" s="489"/>
      <c r="DS149" s="489"/>
      <c r="DT149" s="489"/>
      <c r="DU149" s="489"/>
      <c r="DV149" s="489"/>
      <c r="DW149" s="489"/>
      <c r="DX149" s="489"/>
      <c r="DY149" s="489"/>
      <c r="DZ149" s="489"/>
      <c r="EA149" s="489"/>
      <c r="EB149" s="489"/>
      <c r="EC149" s="489"/>
      <c r="ED149" s="489"/>
      <c r="EE149" s="489"/>
      <c r="EF149" s="489"/>
      <c r="EG149" s="489"/>
      <c r="EH149" s="489"/>
      <c r="EI149" s="489"/>
      <c r="EJ149" s="489"/>
      <c r="EK149" s="489"/>
      <c r="EL149" s="489"/>
      <c r="EM149" s="489"/>
      <c r="EN149" s="489"/>
      <c r="EO149" s="489"/>
      <c r="EP149" s="489"/>
      <c r="EQ149" s="489"/>
      <c r="ER149" s="489"/>
      <c r="ES149" s="489"/>
      <c r="ET149" s="489"/>
      <c r="EU149" s="489"/>
      <c r="EV149" s="489"/>
      <c r="EW149" s="489"/>
      <c r="EX149" s="489"/>
      <c r="EY149" s="489"/>
      <c r="EZ149" s="489"/>
      <c r="FA149" s="489"/>
      <c r="FB149" s="489"/>
      <c r="FC149" s="489"/>
      <c r="FD149" s="489"/>
      <c r="FE149" s="489"/>
      <c r="FF149" s="489"/>
      <c r="FG149" s="489"/>
      <c r="FH149" s="489"/>
      <c r="FI149" s="489"/>
      <c r="FJ149" s="489"/>
      <c r="FK149" s="489"/>
      <c r="FL149" s="489"/>
      <c r="FM149" s="489"/>
      <c r="FN149" s="489"/>
      <c r="FO149" s="489"/>
      <c r="FP149" s="489"/>
      <c r="FQ149" s="489"/>
      <c r="FR149" s="489"/>
      <c r="FS149" s="489"/>
      <c r="FT149" s="489"/>
      <c r="FU149" s="489"/>
      <c r="FV149" s="489"/>
      <c r="FW149" s="489"/>
      <c r="FX149" s="489"/>
      <c r="FY149" s="489"/>
      <c r="FZ149" s="489"/>
      <c r="GA149" s="489"/>
      <c r="GB149" s="489"/>
      <c r="GC149" s="489"/>
      <c r="GD149" s="489"/>
      <c r="GE149" s="489"/>
      <c r="GF149" s="489"/>
      <c r="GG149" s="489"/>
      <c r="GH149" s="489"/>
      <c r="GI149" s="489"/>
      <c r="GJ149" s="489"/>
      <c r="GK149" s="489"/>
      <c r="GL149" s="489"/>
      <c r="GM149" s="489"/>
      <c r="GN149" s="489"/>
      <c r="GO149" s="489"/>
      <c r="GP149" s="489"/>
      <c r="GQ149" s="489"/>
      <c r="GR149" s="489"/>
      <c r="GS149" s="489"/>
      <c r="GT149" s="489"/>
      <c r="GU149" s="489"/>
      <c r="GV149" s="489"/>
      <c r="GW149" s="489"/>
      <c r="GX149" s="489"/>
      <c r="GY149" s="489"/>
      <c r="GZ149" s="489"/>
      <c r="HA149" s="489"/>
      <c r="HB149" s="489"/>
      <c r="HC149" s="489"/>
      <c r="HD149" s="489"/>
      <c r="HE149" s="489"/>
      <c r="HF149" s="489"/>
      <c r="HG149" s="489"/>
      <c r="HH149" s="489"/>
      <c r="HI149" s="489"/>
      <c r="HJ149" s="489"/>
      <c r="HK149" s="489"/>
      <c r="HL149" s="489"/>
      <c r="HM149" s="489"/>
      <c r="HN149" s="489"/>
      <c r="HO149" s="489"/>
      <c r="HP149" s="489"/>
      <c r="HQ149" s="489"/>
      <c r="HR149" s="489"/>
      <c r="HS149" s="489"/>
      <c r="HT149" s="489"/>
      <c r="HU149" s="489"/>
      <c r="HV149" s="489"/>
      <c r="HW149" s="489"/>
      <c r="HX149" s="489"/>
      <c r="HY149" s="487"/>
    </row>
    <row r="150" spans="1:233" s="637" customFormat="1" ht="19.5" customHeight="1">
      <c r="A150" s="885" t="s">
        <v>1027</v>
      </c>
      <c r="B150" s="917" t="str">
        <f>B34</f>
        <v>TCVN 5308 - 1991: Quy trình kỹ thuật an toàn trong xây dựng.</v>
      </c>
      <c r="C150" s="742"/>
      <c r="D150" s="742"/>
      <c r="E150" s="742"/>
      <c r="F150" s="742"/>
      <c r="G150" s="742"/>
      <c r="H150" s="742"/>
      <c r="I150" s="742"/>
      <c r="J150" s="742"/>
      <c r="K150" s="742"/>
      <c r="L150" s="491"/>
      <c r="M150" s="477"/>
      <c r="N150" s="477"/>
      <c r="O150" s="492"/>
      <c r="P150" s="492"/>
      <c r="Q150" s="492"/>
      <c r="R150" s="492"/>
      <c r="S150" s="492"/>
      <c r="T150" s="492"/>
      <c r="U150" s="492"/>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9"/>
      <c r="HY150" s="487"/>
    </row>
    <row r="151" spans="1:233" s="637" customFormat="1" ht="20.100000000000001" customHeight="1">
      <c r="A151" s="886" t="s">
        <v>1031</v>
      </c>
      <c r="C151" s="491"/>
      <c r="D151" s="491"/>
      <c r="E151" s="491"/>
      <c r="F151" s="491"/>
      <c r="G151" s="491"/>
      <c r="H151" s="491"/>
      <c r="I151" s="491"/>
      <c r="J151" s="491"/>
      <c r="K151" s="491"/>
      <c r="L151" s="491"/>
      <c r="M151" s="477"/>
      <c r="N151" s="477"/>
      <c r="O151" s="477"/>
      <c r="P151" s="477"/>
      <c r="Q151" s="477"/>
      <c r="R151" s="477"/>
      <c r="S151" s="477"/>
      <c r="T151" s="477"/>
      <c r="U151" s="492"/>
      <c r="V151" s="489"/>
      <c r="W151" s="489"/>
      <c r="X151" s="489"/>
      <c r="Y151" s="489"/>
      <c r="Z151" s="489"/>
      <c r="AA151" s="489"/>
      <c r="AB151" s="489"/>
      <c r="AC151" s="489"/>
      <c r="AD151" s="489"/>
      <c r="AE151" s="489"/>
      <c r="AF151" s="489"/>
      <c r="AG151" s="489"/>
      <c r="AH151" s="489"/>
      <c r="AI151" s="489"/>
      <c r="AJ151" s="489"/>
      <c r="AK151" s="489"/>
      <c r="AL151" s="489"/>
      <c r="AM151" s="489"/>
      <c r="AN151" s="489"/>
      <c r="AO151" s="489"/>
      <c r="AP151" s="489"/>
      <c r="AQ151" s="489"/>
      <c r="AR151" s="489"/>
      <c r="AS151" s="489"/>
      <c r="AT151" s="489"/>
      <c r="AU151" s="489"/>
      <c r="AV151" s="489"/>
      <c r="AW151" s="489"/>
      <c r="AX151" s="489"/>
      <c r="AY151" s="489"/>
      <c r="AZ151" s="489"/>
      <c r="BA151" s="489"/>
      <c r="BB151" s="489"/>
      <c r="BC151" s="489"/>
      <c r="BD151" s="489"/>
      <c r="BE151" s="489"/>
      <c r="BF151" s="489"/>
      <c r="BG151" s="489"/>
      <c r="BH151" s="489"/>
      <c r="BI151" s="489"/>
      <c r="BJ151" s="489"/>
      <c r="BK151" s="489"/>
      <c r="BL151" s="489"/>
      <c r="BM151" s="489"/>
      <c r="BN151" s="489"/>
      <c r="BO151" s="489"/>
      <c r="BP151" s="489"/>
      <c r="BQ151" s="489"/>
      <c r="BR151" s="489"/>
      <c r="BS151" s="489"/>
      <c r="BT151" s="489"/>
      <c r="BU151" s="489"/>
      <c r="BV151" s="489"/>
      <c r="BW151" s="489"/>
      <c r="BX151" s="489"/>
      <c r="BY151" s="489"/>
      <c r="BZ151" s="489"/>
      <c r="CA151" s="489"/>
      <c r="CB151" s="489"/>
      <c r="CC151" s="489"/>
      <c r="CD151" s="489"/>
      <c r="CE151" s="489"/>
      <c r="CF151" s="489"/>
      <c r="CG151" s="489"/>
      <c r="CH151" s="489"/>
      <c r="CI151" s="489"/>
      <c r="CJ151" s="489"/>
      <c r="CK151" s="489"/>
      <c r="CL151" s="489"/>
      <c r="CM151" s="489"/>
      <c r="CN151" s="489"/>
      <c r="CO151" s="489"/>
      <c r="CP151" s="489"/>
      <c r="CQ151" s="489"/>
      <c r="CR151" s="489"/>
      <c r="CS151" s="489"/>
      <c r="CT151" s="489"/>
      <c r="CU151" s="489"/>
      <c r="CV151" s="489"/>
      <c r="CW151" s="489"/>
      <c r="CX151" s="489"/>
      <c r="CY151" s="489"/>
      <c r="CZ151" s="489"/>
      <c r="DA151" s="489"/>
      <c r="DB151" s="489"/>
      <c r="DC151" s="489"/>
      <c r="DD151" s="489"/>
      <c r="DE151" s="489"/>
      <c r="DF151" s="489"/>
      <c r="DG151" s="489"/>
      <c r="DH151" s="489"/>
      <c r="DI151" s="489"/>
      <c r="DJ151" s="489"/>
      <c r="DK151" s="489"/>
      <c r="DL151" s="489"/>
      <c r="DM151" s="489"/>
      <c r="DN151" s="489"/>
      <c r="DO151" s="489"/>
      <c r="DP151" s="489"/>
      <c r="DQ151" s="489"/>
      <c r="DR151" s="489"/>
      <c r="DS151" s="489"/>
      <c r="DT151" s="489"/>
      <c r="DU151" s="489"/>
      <c r="DV151" s="489"/>
      <c r="DW151" s="489"/>
      <c r="DX151" s="489"/>
      <c r="DY151" s="489"/>
      <c r="DZ151" s="489"/>
      <c r="EA151" s="489"/>
      <c r="EB151" s="489"/>
      <c r="EC151" s="489"/>
      <c r="ED151" s="489"/>
      <c r="EE151" s="489"/>
      <c r="EF151" s="489"/>
      <c r="EG151" s="489"/>
      <c r="EH151" s="489"/>
      <c r="EI151" s="489"/>
      <c r="EJ151" s="489"/>
      <c r="EK151" s="489"/>
      <c r="EL151" s="489"/>
      <c r="EM151" s="489"/>
      <c r="EN151" s="489"/>
      <c r="EO151" s="489"/>
      <c r="EP151" s="489"/>
      <c r="EQ151" s="489"/>
      <c r="ER151" s="489"/>
      <c r="ES151" s="489"/>
      <c r="ET151" s="489"/>
      <c r="EU151" s="489"/>
      <c r="EV151" s="489"/>
      <c r="EW151" s="489"/>
      <c r="EX151" s="489"/>
      <c r="EY151" s="489"/>
      <c r="EZ151" s="489"/>
      <c r="FA151" s="489"/>
      <c r="FB151" s="489"/>
      <c r="FC151" s="489"/>
      <c r="FD151" s="489"/>
      <c r="FE151" s="489"/>
      <c r="FF151" s="489"/>
      <c r="FG151" s="489"/>
      <c r="FH151" s="489"/>
      <c r="FI151" s="489"/>
      <c r="FJ151" s="489"/>
      <c r="FK151" s="489"/>
      <c r="FL151" s="489"/>
      <c r="FM151" s="489"/>
      <c r="FN151" s="489"/>
      <c r="FO151" s="489"/>
      <c r="FP151" s="489"/>
      <c r="FQ151" s="489"/>
      <c r="FR151" s="489"/>
      <c r="FS151" s="489"/>
      <c r="FT151" s="489"/>
      <c r="FU151" s="489"/>
      <c r="FV151" s="489"/>
      <c r="FW151" s="489"/>
      <c r="FX151" s="489"/>
      <c r="FY151" s="489"/>
      <c r="FZ151" s="489"/>
      <c r="GA151" s="489"/>
      <c r="GB151" s="489"/>
      <c r="GC151" s="489"/>
      <c r="GD151" s="489"/>
      <c r="GE151" s="489"/>
      <c r="GF151" s="489"/>
      <c r="GG151" s="489"/>
      <c r="GH151" s="489"/>
      <c r="GI151" s="489"/>
      <c r="GJ151" s="489"/>
      <c r="GK151" s="489"/>
      <c r="GL151" s="489"/>
      <c r="GM151" s="489"/>
      <c r="GN151" s="489"/>
      <c r="GO151" s="489"/>
      <c r="GP151" s="489"/>
      <c r="GQ151" s="489"/>
      <c r="GR151" s="489"/>
      <c r="GS151" s="489"/>
      <c r="GT151" s="489"/>
      <c r="GU151" s="489"/>
      <c r="GV151" s="489"/>
      <c r="GW151" s="489"/>
      <c r="GX151" s="489"/>
      <c r="GY151" s="489"/>
      <c r="GZ151" s="489"/>
      <c r="HA151" s="489"/>
      <c r="HB151" s="489"/>
      <c r="HC151" s="489"/>
      <c r="HD151" s="489"/>
      <c r="HE151" s="489"/>
      <c r="HF151" s="489"/>
      <c r="HG151" s="489"/>
      <c r="HH151" s="489"/>
      <c r="HI151" s="489"/>
      <c r="HJ151" s="489"/>
      <c r="HK151" s="489"/>
      <c r="HL151" s="489"/>
      <c r="HM151" s="489"/>
      <c r="HN151" s="489"/>
      <c r="HO151" s="489"/>
      <c r="HP151" s="489"/>
      <c r="HQ151" s="489"/>
      <c r="HR151" s="489"/>
      <c r="HS151" s="489"/>
      <c r="HT151" s="489"/>
      <c r="HU151" s="489"/>
      <c r="HV151" s="489"/>
      <c r="HW151" s="489"/>
      <c r="HX151" s="489"/>
      <c r="HY151" s="487"/>
    </row>
    <row r="152" spans="1:233" s="637" customFormat="1" ht="20.100000000000001" customHeight="1">
      <c r="A152" s="490" t="str">
        <f>A36</f>
        <v>-   Các quy chuẩn, tiêu chuẩn, quy phạm hiện hành khác liên quan đến đối tượng nghiệm thu.</v>
      </c>
      <c r="B152" s="491"/>
      <c r="C152" s="491"/>
      <c r="D152" s="491"/>
      <c r="E152" s="491"/>
      <c r="F152" s="491"/>
      <c r="G152" s="491"/>
      <c r="H152" s="491"/>
      <c r="I152" s="491"/>
      <c r="J152" s="491"/>
      <c r="K152" s="491"/>
      <c r="L152" s="491"/>
      <c r="M152" s="477"/>
      <c r="N152" s="477"/>
      <c r="O152" s="477"/>
      <c r="P152" s="477"/>
      <c r="Q152" s="477"/>
      <c r="R152" s="477"/>
      <c r="S152" s="477"/>
      <c r="T152" s="477"/>
      <c r="U152" s="492"/>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489"/>
      <c r="HY152" s="487"/>
    </row>
    <row r="153" spans="1:233" s="45" customFormat="1" ht="20.100000000000001" customHeight="1">
      <c r="A153" s="493" t="s">
        <v>109</v>
      </c>
      <c r="B153" s="489"/>
      <c r="C153" s="489"/>
      <c r="D153" s="489"/>
      <c r="E153" s="489"/>
      <c r="F153" s="489"/>
      <c r="G153" s="489"/>
      <c r="H153" s="489"/>
      <c r="I153" s="489"/>
      <c r="J153" s="489"/>
      <c r="K153" s="489"/>
      <c r="L153" s="489"/>
      <c r="M153" s="494"/>
      <c r="N153" s="494"/>
      <c r="O153" s="492"/>
      <c r="P153" s="492"/>
      <c r="Q153" s="492"/>
      <c r="R153" s="492"/>
      <c r="S153" s="492"/>
      <c r="T153" s="492"/>
      <c r="U153" s="495"/>
      <c r="V153" s="496"/>
      <c r="W153" s="496"/>
      <c r="X153" s="496"/>
      <c r="Y153" s="496"/>
      <c r="Z153" s="496"/>
      <c r="AA153" s="496"/>
      <c r="AB153" s="496"/>
      <c r="AC153" s="496"/>
      <c r="AD153" s="496"/>
      <c r="AE153" s="496"/>
      <c r="AF153" s="496"/>
      <c r="AG153" s="496"/>
      <c r="AH153" s="496"/>
      <c r="AI153" s="496"/>
      <c r="AJ153" s="496"/>
      <c r="AK153" s="496"/>
      <c r="AL153" s="496"/>
      <c r="AM153" s="496"/>
      <c r="AN153" s="496"/>
      <c r="AO153" s="496"/>
      <c r="AP153" s="496"/>
      <c r="AQ153" s="496"/>
      <c r="AR153" s="496"/>
      <c r="AS153" s="496"/>
      <c r="AT153" s="496"/>
      <c r="AU153" s="496"/>
      <c r="AV153" s="496"/>
      <c r="AW153" s="496"/>
      <c r="AX153" s="496"/>
      <c r="AY153" s="496"/>
      <c r="AZ153" s="496"/>
      <c r="BA153" s="496"/>
      <c r="BB153" s="496"/>
      <c r="BC153" s="496"/>
      <c r="BD153" s="496"/>
      <c r="BE153" s="496"/>
      <c r="BF153" s="496"/>
      <c r="BG153" s="496"/>
      <c r="BH153" s="496"/>
      <c r="BI153" s="496"/>
      <c r="BJ153" s="496"/>
      <c r="BK153" s="496"/>
      <c r="BL153" s="496"/>
      <c r="BM153" s="496"/>
      <c r="BN153" s="496"/>
      <c r="BO153" s="496"/>
      <c r="BP153" s="496"/>
      <c r="BQ153" s="496"/>
      <c r="BR153" s="496"/>
      <c r="BS153" s="496"/>
      <c r="BT153" s="496"/>
      <c r="BU153" s="496"/>
      <c r="BV153" s="496"/>
      <c r="BW153" s="496"/>
      <c r="BX153" s="496"/>
      <c r="BY153" s="496"/>
      <c r="BZ153" s="496"/>
      <c r="CA153" s="496"/>
      <c r="CB153" s="496"/>
      <c r="CC153" s="496"/>
      <c r="CD153" s="496"/>
      <c r="CE153" s="496"/>
      <c r="CF153" s="496"/>
      <c r="CG153" s="496"/>
      <c r="CH153" s="496"/>
      <c r="CI153" s="496"/>
      <c r="CJ153" s="496"/>
      <c r="CK153" s="496"/>
      <c r="CL153" s="496"/>
      <c r="CM153" s="496"/>
      <c r="CN153" s="496"/>
      <c r="CO153" s="496"/>
      <c r="CP153" s="496"/>
      <c r="CQ153" s="496"/>
      <c r="CR153" s="496"/>
      <c r="CS153" s="496"/>
      <c r="CT153" s="496"/>
      <c r="CU153" s="496"/>
      <c r="CV153" s="496"/>
      <c r="CW153" s="496"/>
      <c r="CX153" s="496"/>
      <c r="CY153" s="496"/>
      <c r="CZ153" s="496"/>
      <c r="DA153" s="496"/>
      <c r="DB153" s="496"/>
      <c r="DC153" s="496"/>
      <c r="DD153" s="496"/>
      <c r="DE153" s="496"/>
      <c r="DF153" s="496"/>
      <c r="DG153" s="496"/>
      <c r="DH153" s="496"/>
      <c r="DI153" s="496"/>
      <c r="DJ153" s="496"/>
      <c r="DK153" s="496"/>
      <c r="DL153" s="496"/>
      <c r="DM153" s="496"/>
      <c r="DN153" s="496"/>
      <c r="DO153" s="496"/>
      <c r="DP153" s="496"/>
      <c r="DQ153" s="496"/>
      <c r="DR153" s="496"/>
      <c r="DS153" s="496"/>
      <c r="DT153" s="496"/>
      <c r="DU153" s="496"/>
      <c r="DV153" s="496"/>
      <c r="DW153" s="496"/>
      <c r="DX153" s="496"/>
      <c r="DY153" s="496"/>
      <c r="DZ153" s="496"/>
      <c r="EA153" s="496"/>
      <c r="EB153" s="496"/>
      <c r="EC153" s="496"/>
      <c r="ED153" s="496"/>
      <c r="EE153" s="496"/>
      <c r="EF153" s="496"/>
      <c r="EG153" s="496"/>
      <c r="EH153" s="496"/>
      <c r="EI153" s="496"/>
      <c r="EJ153" s="496"/>
      <c r="EK153" s="496"/>
      <c r="EL153" s="496"/>
      <c r="EM153" s="496"/>
      <c r="EN153" s="496"/>
      <c r="EO153" s="496"/>
      <c r="EP153" s="496"/>
      <c r="EQ153" s="496"/>
      <c r="ER153" s="496"/>
      <c r="ES153" s="496"/>
      <c r="ET153" s="496"/>
      <c r="EU153" s="496"/>
      <c r="EV153" s="496"/>
      <c r="EW153" s="496"/>
      <c r="EX153" s="496"/>
      <c r="EY153" s="496"/>
      <c r="EZ153" s="496"/>
      <c r="FA153" s="496"/>
      <c r="FB153" s="496"/>
      <c r="FC153" s="496"/>
      <c r="FD153" s="496"/>
      <c r="FE153" s="496"/>
      <c r="FF153" s="496"/>
      <c r="FG153" s="496"/>
      <c r="FH153" s="496"/>
      <c r="FI153" s="496"/>
      <c r="FJ153" s="496"/>
      <c r="FK153" s="496"/>
      <c r="FL153" s="496"/>
      <c r="FM153" s="496"/>
      <c r="FN153" s="496"/>
      <c r="FO153" s="496"/>
      <c r="FP153" s="496"/>
      <c r="FQ153" s="496"/>
      <c r="FR153" s="496"/>
      <c r="FS153" s="496"/>
      <c r="FT153" s="496"/>
      <c r="FU153" s="496"/>
      <c r="FV153" s="496"/>
      <c r="FW153" s="496"/>
      <c r="FX153" s="496"/>
      <c r="FY153" s="496"/>
      <c r="FZ153" s="496"/>
      <c r="GA153" s="496"/>
      <c r="GB153" s="496"/>
      <c r="GC153" s="496"/>
      <c r="GD153" s="496"/>
      <c r="GE153" s="496"/>
      <c r="GF153" s="496"/>
      <c r="GG153" s="496"/>
      <c r="GH153" s="496"/>
      <c r="GI153" s="496"/>
      <c r="GJ153" s="496"/>
      <c r="GK153" s="496"/>
      <c r="GL153" s="496"/>
      <c r="GM153" s="496"/>
      <c r="GN153" s="496"/>
      <c r="GO153" s="496"/>
      <c r="GP153" s="496"/>
      <c r="GQ153" s="496"/>
      <c r="GR153" s="496"/>
      <c r="GS153" s="496"/>
      <c r="GT153" s="496"/>
      <c r="GU153" s="496"/>
      <c r="GV153" s="496"/>
      <c r="GW153" s="496"/>
      <c r="GX153" s="496"/>
      <c r="GY153" s="496"/>
      <c r="GZ153" s="496"/>
      <c r="HA153" s="496"/>
      <c r="HB153" s="496"/>
      <c r="HC153" s="496"/>
      <c r="HD153" s="496"/>
      <c r="HE153" s="496"/>
      <c r="HF153" s="496"/>
      <c r="HG153" s="496"/>
      <c r="HH153" s="496"/>
      <c r="HI153" s="496"/>
      <c r="HJ153" s="496"/>
      <c r="HK153" s="496"/>
      <c r="HL153" s="496"/>
      <c r="HM153" s="496"/>
      <c r="HN153" s="496"/>
      <c r="HO153" s="496"/>
      <c r="HP153" s="496"/>
      <c r="HQ153" s="496"/>
      <c r="HR153" s="496"/>
      <c r="HS153" s="496"/>
      <c r="HT153" s="496"/>
      <c r="HU153" s="496"/>
      <c r="HV153" s="496"/>
      <c r="HW153" s="496"/>
      <c r="HX153" s="490"/>
      <c r="HY153" s="490"/>
    </row>
    <row r="154" spans="1:233" s="5" customFormat="1" ht="20.100000000000001" customHeight="1">
      <c r="A154" s="497" t="s">
        <v>1034</v>
      </c>
      <c r="B154" s="498"/>
      <c r="C154" s="498"/>
      <c r="D154" s="498"/>
      <c r="E154" s="498"/>
      <c r="F154" s="498"/>
      <c r="G154" s="498"/>
      <c r="H154" s="498"/>
      <c r="I154" s="498"/>
      <c r="J154" s="498"/>
      <c r="K154" s="498"/>
      <c r="L154" s="498"/>
      <c r="M154" s="494"/>
      <c r="N154" s="494"/>
      <c r="O154" s="495"/>
      <c r="P154" s="495"/>
      <c r="Q154" s="495"/>
      <c r="R154" s="495"/>
      <c r="S154" s="495"/>
      <c r="T154" s="495"/>
      <c r="U154" s="495"/>
      <c r="V154" s="489"/>
      <c r="W154" s="489"/>
      <c r="X154" s="489"/>
      <c r="Y154" s="489"/>
      <c r="Z154" s="489"/>
      <c r="AA154" s="489"/>
      <c r="AB154" s="489"/>
      <c r="AC154" s="489"/>
      <c r="AD154" s="489"/>
      <c r="AE154" s="489"/>
      <c r="AF154" s="489"/>
      <c r="AG154" s="489"/>
      <c r="AH154" s="489"/>
      <c r="AI154" s="489"/>
      <c r="AJ154" s="489"/>
      <c r="AK154" s="489"/>
      <c r="AL154" s="489"/>
      <c r="AM154" s="489"/>
      <c r="AN154" s="489"/>
      <c r="AO154" s="489"/>
      <c r="AP154" s="489"/>
      <c r="AQ154" s="489"/>
      <c r="AR154" s="489"/>
      <c r="AS154" s="489"/>
      <c r="AT154" s="489"/>
      <c r="AU154" s="489"/>
      <c r="AV154" s="489"/>
      <c r="AW154" s="489"/>
      <c r="AX154" s="489"/>
      <c r="AY154" s="489"/>
      <c r="AZ154" s="489"/>
      <c r="BA154" s="489"/>
      <c r="BB154" s="489"/>
      <c r="BC154" s="489"/>
      <c r="BD154" s="489"/>
      <c r="BE154" s="489"/>
      <c r="BF154" s="489"/>
      <c r="BG154" s="489"/>
      <c r="BH154" s="489"/>
      <c r="BI154" s="489"/>
      <c r="BJ154" s="489"/>
      <c r="BK154" s="489"/>
      <c r="BL154" s="489"/>
      <c r="BM154" s="489"/>
      <c r="BN154" s="489"/>
      <c r="BO154" s="489"/>
      <c r="BP154" s="489"/>
      <c r="BQ154" s="489"/>
      <c r="BR154" s="489"/>
      <c r="BS154" s="489"/>
      <c r="BT154" s="489"/>
      <c r="BU154" s="489"/>
      <c r="BV154" s="489"/>
      <c r="BW154" s="489"/>
      <c r="BX154" s="489"/>
      <c r="BY154" s="489"/>
      <c r="BZ154" s="489"/>
      <c r="CA154" s="489"/>
      <c r="CB154" s="489"/>
      <c r="CC154" s="489"/>
      <c r="CD154" s="489"/>
      <c r="CE154" s="489"/>
      <c r="CF154" s="489"/>
      <c r="CG154" s="489"/>
      <c r="CH154" s="489"/>
      <c r="CI154" s="489"/>
      <c r="CJ154" s="489"/>
      <c r="CK154" s="489"/>
      <c r="CL154" s="489"/>
      <c r="CM154" s="489"/>
      <c r="CN154" s="489"/>
      <c r="CO154" s="489"/>
      <c r="CP154" s="489"/>
      <c r="CQ154" s="489"/>
      <c r="CR154" s="489"/>
      <c r="CS154" s="489"/>
      <c r="CT154" s="489"/>
      <c r="CU154" s="489"/>
      <c r="CV154" s="489"/>
      <c r="CW154" s="489"/>
      <c r="CX154" s="489"/>
      <c r="CY154" s="489"/>
      <c r="CZ154" s="489"/>
      <c r="DA154" s="489"/>
      <c r="DB154" s="489"/>
      <c r="DC154" s="489"/>
      <c r="DD154" s="489"/>
      <c r="DE154" s="489"/>
      <c r="DF154" s="489"/>
      <c r="DG154" s="489"/>
      <c r="DH154" s="489"/>
      <c r="DI154" s="489"/>
      <c r="DJ154" s="489"/>
      <c r="DK154" s="489"/>
      <c r="DL154" s="489"/>
      <c r="DM154" s="489"/>
      <c r="DN154" s="489"/>
      <c r="DO154" s="489"/>
      <c r="DP154" s="489"/>
      <c r="DQ154" s="489"/>
      <c r="DR154" s="489"/>
      <c r="DS154" s="489"/>
      <c r="DT154" s="489"/>
      <c r="DU154" s="489"/>
      <c r="DV154" s="489"/>
      <c r="DW154" s="489"/>
      <c r="DX154" s="489"/>
      <c r="DY154" s="489"/>
      <c r="DZ154" s="489"/>
      <c r="EA154" s="489"/>
      <c r="EB154" s="489"/>
      <c r="EC154" s="489"/>
      <c r="ED154" s="489"/>
      <c r="EE154" s="489"/>
      <c r="EF154" s="489"/>
      <c r="EG154" s="489"/>
      <c r="EH154" s="489"/>
      <c r="EI154" s="489"/>
      <c r="EJ154" s="489"/>
      <c r="EK154" s="489"/>
      <c r="EL154" s="489"/>
      <c r="EM154" s="489"/>
      <c r="EN154" s="489"/>
      <c r="EO154" s="489"/>
      <c r="EP154" s="489"/>
      <c r="EQ154" s="489"/>
      <c r="ER154" s="489"/>
      <c r="ES154" s="489"/>
      <c r="ET154" s="489"/>
      <c r="EU154" s="489"/>
      <c r="EV154" s="489"/>
      <c r="EW154" s="489"/>
      <c r="EX154" s="489"/>
      <c r="EY154" s="489"/>
      <c r="EZ154" s="489"/>
      <c r="FA154" s="489"/>
      <c r="FB154" s="489"/>
      <c r="FC154" s="489"/>
      <c r="FD154" s="489"/>
      <c r="FE154" s="489"/>
      <c r="FF154" s="489"/>
      <c r="FG154" s="489"/>
      <c r="FH154" s="489"/>
      <c r="FI154" s="489"/>
      <c r="FJ154" s="489"/>
      <c r="FK154" s="489"/>
      <c r="FL154" s="489"/>
      <c r="FM154" s="489"/>
      <c r="FN154" s="489"/>
      <c r="FO154" s="489"/>
      <c r="FP154" s="489"/>
      <c r="FQ154" s="489"/>
      <c r="FR154" s="489"/>
      <c r="FS154" s="489"/>
      <c r="FT154" s="489"/>
      <c r="FU154" s="489"/>
      <c r="FV154" s="489"/>
      <c r="FW154" s="489"/>
      <c r="FX154" s="489"/>
      <c r="FY154" s="489"/>
      <c r="FZ154" s="489"/>
      <c r="GA154" s="489"/>
      <c r="GB154" s="489"/>
      <c r="GC154" s="489"/>
      <c r="GD154" s="489"/>
      <c r="GE154" s="489"/>
      <c r="GF154" s="489"/>
      <c r="GG154" s="489"/>
      <c r="GH154" s="489"/>
      <c r="GI154" s="489"/>
      <c r="GJ154" s="489"/>
      <c r="GK154" s="489"/>
      <c r="GL154" s="489"/>
      <c r="GM154" s="489"/>
      <c r="GN154" s="489"/>
      <c r="GO154" s="489"/>
      <c r="GP154" s="489"/>
      <c r="GQ154" s="489"/>
      <c r="GR154" s="489"/>
      <c r="GS154" s="489"/>
      <c r="GT154" s="489"/>
      <c r="GU154" s="489"/>
      <c r="GV154" s="489"/>
      <c r="GW154" s="489"/>
      <c r="GX154" s="489"/>
      <c r="GY154" s="489"/>
      <c r="GZ154" s="489"/>
      <c r="HA154" s="489"/>
      <c r="HB154" s="489"/>
      <c r="HC154" s="489"/>
      <c r="HD154" s="489"/>
      <c r="HE154" s="489"/>
      <c r="HF154" s="489"/>
      <c r="HG154" s="489"/>
      <c r="HH154" s="489"/>
      <c r="HI154" s="489"/>
      <c r="HJ154" s="489"/>
      <c r="HK154" s="489"/>
      <c r="HL154" s="489"/>
      <c r="HM154" s="489"/>
      <c r="HN154" s="489"/>
      <c r="HO154" s="489"/>
      <c r="HP154" s="489"/>
      <c r="HQ154" s="489"/>
      <c r="HR154" s="489"/>
      <c r="HS154" s="489"/>
      <c r="HT154" s="489"/>
      <c r="HU154" s="489"/>
      <c r="HV154" s="489"/>
      <c r="HW154" s="489"/>
      <c r="HX154" s="489"/>
      <c r="HY154" s="358"/>
    </row>
    <row r="155" spans="1:233" s="5" customFormat="1" ht="20.100000000000001" customHeight="1">
      <c r="A155" s="497" t="s">
        <v>863</v>
      </c>
      <c r="B155" s="498"/>
      <c r="C155" s="498"/>
      <c r="D155" s="498"/>
      <c r="E155" s="498"/>
      <c r="F155" s="498"/>
      <c r="G155" s="498"/>
      <c r="H155" s="498"/>
      <c r="I155" s="498"/>
      <c r="J155" s="498"/>
      <c r="K155" s="498"/>
      <c r="L155" s="498"/>
      <c r="M155" s="494"/>
      <c r="N155" s="494"/>
      <c r="O155" s="495"/>
      <c r="P155" s="495"/>
      <c r="Q155" s="495"/>
      <c r="R155" s="495"/>
      <c r="S155" s="495"/>
      <c r="T155" s="495"/>
      <c r="U155" s="495"/>
      <c r="V155" s="499"/>
      <c r="W155" s="499"/>
      <c r="X155" s="499"/>
      <c r="Y155" s="499"/>
      <c r="Z155" s="499"/>
      <c r="AA155" s="499"/>
      <c r="AB155" s="499"/>
      <c r="AC155" s="499"/>
      <c r="AD155" s="499"/>
      <c r="AE155" s="499"/>
      <c r="AF155" s="499"/>
      <c r="AG155" s="499"/>
      <c r="AH155" s="499"/>
      <c r="AI155" s="499"/>
      <c r="AJ155" s="499"/>
      <c r="AK155" s="499"/>
      <c r="AL155" s="499"/>
      <c r="AM155" s="499"/>
      <c r="AN155" s="499"/>
      <c r="AO155" s="499"/>
      <c r="AP155" s="499"/>
      <c r="AQ155" s="499"/>
      <c r="AR155" s="499"/>
      <c r="AS155" s="499"/>
      <c r="AT155" s="499"/>
      <c r="AU155" s="499"/>
      <c r="AV155" s="499"/>
      <c r="AW155" s="499"/>
      <c r="AX155" s="499"/>
      <c r="AY155" s="499"/>
      <c r="AZ155" s="499"/>
      <c r="BA155" s="499"/>
      <c r="BB155" s="499"/>
      <c r="BC155" s="499"/>
      <c r="BD155" s="499"/>
      <c r="BE155" s="499"/>
      <c r="BF155" s="499"/>
      <c r="BG155" s="499"/>
      <c r="BH155" s="499"/>
      <c r="BI155" s="499"/>
      <c r="BJ155" s="499"/>
      <c r="BK155" s="499"/>
      <c r="BL155" s="499"/>
      <c r="BM155" s="499"/>
      <c r="BN155" s="499"/>
      <c r="BO155" s="499"/>
      <c r="BP155" s="499"/>
      <c r="BQ155" s="499"/>
      <c r="BR155" s="499"/>
      <c r="BS155" s="499"/>
      <c r="BT155" s="499"/>
      <c r="BU155" s="499"/>
      <c r="BV155" s="499"/>
      <c r="BW155" s="499"/>
      <c r="BX155" s="499"/>
      <c r="BY155" s="499"/>
      <c r="BZ155" s="499"/>
      <c r="CA155" s="499"/>
      <c r="CB155" s="499"/>
      <c r="CC155" s="499"/>
      <c r="CD155" s="499"/>
      <c r="CE155" s="499"/>
      <c r="CF155" s="499"/>
      <c r="CG155" s="499"/>
      <c r="CH155" s="499"/>
      <c r="CI155" s="499"/>
      <c r="CJ155" s="499"/>
      <c r="CK155" s="499"/>
      <c r="CL155" s="499"/>
      <c r="CM155" s="499"/>
      <c r="CN155" s="499"/>
      <c r="CO155" s="499"/>
      <c r="CP155" s="499"/>
      <c r="CQ155" s="499"/>
      <c r="CR155" s="499"/>
      <c r="CS155" s="499"/>
      <c r="CT155" s="499"/>
      <c r="CU155" s="499"/>
      <c r="CV155" s="499"/>
      <c r="CW155" s="499"/>
      <c r="CX155" s="499"/>
      <c r="CY155" s="499"/>
      <c r="CZ155" s="499"/>
      <c r="DA155" s="499"/>
      <c r="DB155" s="499"/>
      <c r="DC155" s="499"/>
      <c r="DD155" s="499"/>
      <c r="DE155" s="499"/>
      <c r="DF155" s="499"/>
      <c r="DG155" s="499"/>
      <c r="DH155" s="499"/>
      <c r="DI155" s="499"/>
      <c r="DJ155" s="499"/>
      <c r="DK155" s="499"/>
      <c r="DL155" s="499"/>
      <c r="DM155" s="499"/>
      <c r="DN155" s="499"/>
      <c r="DO155" s="499"/>
      <c r="DP155" s="499"/>
      <c r="DQ155" s="499"/>
      <c r="DR155" s="499"/>
      <c r="DS155" s="499"/>
      <c r="DT155" s="499"/>
      <c r="DU155" s="499"/>
      <c r="DV155" s="499"/>
      <c r="DW155" s="499"/>
      <c r="DX155" s="499"/>
      <c r="DY155" s="499"/>
      <c r="DZ155" s="499"/>
      <c r="EA155" s="499"/>
      <c r="EB155" s="499"/>
      <c r="EC155" s="499"/>
      <c r="ED155" s="499"/>
      <c r="EE155" s="499"/>
      <c r="EF155" s="499"/>
      <c r="EG155" s="499"/>
      <c r="EH155" s="499"/>
      <c r="EI155" s="499"/>
      <c r="EJ155" s="499"/>
      <c r="EK155" s="499"/>
      <c r="EL155" s="499"/>
      <c r="EM155" s="499"/>
      <c r="EN155" s="499"/>
      <c r="EO155" s="499"/>
      <c r="EP155" s="499"/>
      <c r="EQ155" s="499"/>
      <c r="ER155" s="499"/>
      <c r="ES155" s="499"/>
      <c r="ET155" s="499"/>
      <c r="EU155" s="499"/>
      <c r="EV155" s="499"/>
      <c r="EW155" s="499"/>
      <c r="EX155" s="499"/>
      <c r="EY155" s="499"/>
      <c r="EZ155" s="499"/>
      <c r="FA155" s="499"/>
      <c r="FB155" s="499"/>
      <c r="FC155" s="499"/>
      <c r="FD155" s="499"/>
      <c r="FE155" s="499"/>
      <c r="FF155" s="499"/>
      <c r="FG155" s="499"/>
      <c r="FH155" s="499"/>
      <c r="FI155" s="499"/>
      <c r="FJ155" s="499"/>
      <c r="FK155" s="499"/>
      <c r="FL155" s="499"/>
      <c r="FM155" s="499"/>
      <c r="FN155" s="499"/>
      <c r="FO155" s="499"/>
      <c r="FP155" s="499"/>
      <c r="FQ155" s="499"/>
      <c r="FR155" s="499"/>
      <c r="FS155" s="499"/>
      <c r="FT155" s="499"/>
      <c r="FU155" s="499"/>
      <c r="FV155" s="499"/>
      <c r="FW155" s="499"/>
      <c r="FX155" s="499"/>
      <c r="FY155" s="499"/>
      <c r="FZ155" s="499"/>
      <c r="GA155" s="499"/>
      <c r="GB155" s="499"/>
      <c r="GC155" s="499"/>
      <c r="GD155" s="499"/>
      <c r="GE155" s="499"/>
      <c r="GF155" s="499"/>
      <c r="GG155" s="499"/>
      <c r="GH155" s="499"/>
      <c r="GI155" s="499"/>
      <c r="GJ155" s="499"/>
      <c r="GK155" s="499"/>
      <c r="GL155" s="499"/>
      <c r="GM155" s="499"/>
      <c r="GN155" s="499"/>
      <c r="GO155" s="499"/>
      <c r="GP155" s="499"/>
      <c r="GQ155" s="499"/>
      <c r="GR155" s="499"/>
      <c r="GS155" s="499"/>
      <c r="GT155" s="499"/>
      <c r="GU155" s="499"/>
      <c r="GV155" s="499"/>
      <c r="GW155" s="499"/>
      <c r="GX155" s="499"/>
      <c r="GY155" s="499"/>
      <c r="GZ155" s="499"/>
      <c r="HA155" s="499"/>
      <c r="HB155" s="499"/>
      <c r="HC155" s="499"/>
      <c r="HD155" s="499"/>
      <c r="HE155" s="499"/>
      <c r="HF155" s="499"/>
      <c r="HG155" s="499"/>
      <c r="HH155" s="499"/>
      <c r="HI155" s="499"/>
      <c r="HJ155" s="499"/>
      <c r="HK155" s="499"/>
      <c r="HL155" s="499"/>
      <c r="HM155" s="499"/>
      <c r="HN155" s="499"/>
      <c r="HO155" s="499"/>
      <c r="HP155" s="499"/>
      <c r="HQ155" s="499"/>
      <c r="HR155" s="499"/>
      <c r="HS155" s="499"/>
      <c r="HT155" s="499"/>
      <c r="HU155" s="499"/>
      <c r="HV155" s="499"/>
      <c r="HW155" s="499"/>
      <c r="HX155" s="499"/>
      <c r="HY155" s="358"/>
    </row>
    <row r="156" spans="1:233" ht="38.25" customHeight="1">
      <c r="A156" s="1607" t="s">
        <v>112</v>
      </c>
      <c r="B156" s="1607"/>
      <c r="C156" s="1607"/>
      <c r="D156" s="1607"/>
      <c r="E156" s="1607"/>
      <c r="F156" s="1607"/>
      <c r="G156" s="1607"/>
      <c r="H156" s="1607"/>
      <c r="I156" s="1607"/>
      <c r="J156" s="1607"/>
      <c r="K156" s="743"/>
      <c r="O156" s="495"/>
      <c r="P156" s="495"/>
      <c r="Q156" s="495"/>
      <c r="R156" s="495"/>
      <c r="S156" s="495"/>
      <c r="T156" s="495"/>
    </row>
    <row r="157" spans="1:233" ht="20.100000000000001" customHeight="1">
      <c r="A157" s="1608" t="s">
        <v>1038</v>
      </c>
      <c r="B157" s="1607"/>
      <c r="C157" s="1607"/>
      <c r="D157" s="1607"/>
      <c r="E157" s="1607"/>
      <c r="F157" s="1607"/>
      <c r="G157" s="1607"/>
      <c r="H157" s="1607"/>
      <c r="I157" s="1607"/>
      <c r="J157" s="1607"/>
      <c r="K157" s="743"/>
    </row>
    <row r="158" spans="1:233" ht="20.100000000000001" customHeight="1">
      <c r="A158" s="1604" t="s">
        <v>864</v>
      </c>
      <c r="B158" s="1604"/>
      <c r="C158" s="1604"/>
      <c r="D158" s="1604"/>
      <c r="E158" s="1604"/>
      <c r="F158" s="1604"/>
      <c r="G158" s="1604"/>
      <c r="H158" s="1604"/>
      <c r="I158" s="1604"/>
      <c r="J158" s="1604"/>
      <c r="K158" s="482"/>
    </row>
    <row r="159" spans="1:233" s="5" customFormat="1" ht="20.100000000000001" customHeight="1">
      <c r="A159" s="500" t="s">
        <v>1032</v>
      </c>
      <c r="C159" s="501"/>
      <c r="D159" s="501"/>
      <c r="E159" s="501"/>
      <c r="F159" s="501"/>
      <c r="G159" s="501"/>
      <c r="H159" s="501"/>
      <c r="I159" s="501"/>
      <c r="J159" s="502"/>
      <c r="K159" s="502"/>
      <c r="L159" s="502"/>
      <c r="M159" s="494"/>
      <c r="N159" s="494"/>
      <c r="O159" s="464"/>
      <c r="P159" s="464"/>
      <c r="Q159" s="464"/>
      <c r="R159" s="464"/>
      <c r="S159" s="464"/>
      <c r="T159" s="464"/>
      <c r="U159" s="495"/>
      <c r="V159" s="499"/>
      <c r="W159" s="499"/>
      <c r="X159" s="499"/>
      <c r="Y159" s="499"/>
      <c r="Z159" s="499"/>
      <c r="AA159" s="499"/>
      <c r="AB159" s="499"/>
      <c r="AC159" s="499"/>
      <c r="AD159" s="499"/>
      <c r="AE159" s="499"/>
      <c r="AF159" s="499"/>
      <c r="AG159" s="499"/>
      <c r="AH159" s="499"/>
      <c r="AI159" s="499"/>
      <c r="AJ159" s="499"/>
      <c r="AK159" s="499"/>
      <c r="AL159" s="499"/>
      <c r="AM159" s="499"/>
      <c r="AN159" s="499"/>
      <c r="AO159" s="499"/>
      <c r="AP159" s="499"/>
      <c r="AQ159" s="499"/>
      <c r="AR159" s="499"/>
      <c r="AS159" s="499"/>
      <c r="AT159" s="499"/>
      <c r="AU159" s="499"/>
      <c r="AV159" s="499"/>
      <c r="AW159" s="499"/>
      <c r="AX159" s="499"/>
      <c r="AY159" s="499"/>
      <c r="AZ159" s="499"/>
      <c r="BA159" s="499"/>
      <c r="BB159" s="499"/>
      <c r="BC159" s="499"/>
      <c r="BD159" s="499"/>
      <c r="BE159" s="499"/>
      <c r="BF159" s="499"/>
      <c r="BG159" s="499"/>
      <c r="BH159" s="499"/>
      <c r="BI159" s="499"/>
      <c r="BJ159" s="499"/>
      <c r="BK159" s="499"/>
      <c r="BL159" s="499"/>
      <c r="BM159" s="499"/>
      <c r="BN159" s="499"/>
      <c r="BO159" s="499"/>
      <c r="BP159" s="499"/>
      <c r="BQ159" s="499"/>
      <c r="BR159" s="499"/>
      <c r="BS159" s="499"/>
      <c r="BT159" s="499"/>
      <c r="BU159" s="499"/>
      <c r="BV159" s="499"/>
      <c r="BW159" s="499"/>
      <c r="BX159" s="499"/>
      <c r="BY159" s="499"/>
      <c r="BZ159" s="499"/>
      <c r="CA159" s="499"/>
      <c r="CB159" s="499"/>
      <c r="CC159" s="499"/>
      <c r="CD159" s="499"/>
      <c r="CE159" s="499"/>
      <c r="CF159" s="499"/>
      <c r="CG159" s="499"/>
      <c r="CH159" s="499"/>
      <c r="CI159" s="499"/>
      <c r="CJ159" s="499"/>
      <c r="CK159" s="499"/>
      <c r="CL159" s="499"/>
      <c r="CM159" s="499"/>
      <c r="CN159" s="499"/>
      <c r="CO159" s="499"/>
      <c r="CP159" s="499"/>
      <c r="CQ159" s="499"/>
      <c r="CR159" s="499"/>
      <c r="CS159" s="499"/>
      <c r="CT159" s="499"/>
      <c r="CU159" s="499"/>
      <c r="CV159" s="499"/>
      <c r="CW159" s="499"/>
      <c r="CX159" s="499"/>
      <c r="CY159" s="499"/>
      <c r="CZ159" s="499"/>
      <c r="DA159" s="499"/>
      <c r="DB159" s="499"/>
      <c r="DC159" s="499"/>
      <c r="DD159" s="499"/>
      <c r="DE159" s="499"/>
      <c r="DF159" s="499"/>
      <c r="DG159" s="499"/>
      <c r="DH159" s="499"/>
      <c r="DI159" s="499"/>
      <c r="DJ159" s="499"/>
      <c r="DK159" s="499"/>
      <c r="DL159" s="499"/>
      <c r="DM159" s="499"/>
      <c r="DN159" s="499"/>
      <c r="DO159" s="499"/>
      <c r="DP159" s="499"/>
      <c r="DQ159" s="499"/>
      <c r="DR159" s="499"/>
      <c r="DS159" s="499"/>
      <c r="DT159" s="499"/>
      <c r="DU159" s="499"/>
      <c r="DV159" s="499"/>
      <c r="DW159" s="499"/>
      <c r="DX159" s="499"/>
      <c r="DY159" s="499"/>
      <c r="DZ159" s="499"/>
      <c r="EA159" s="499"/>
      <c r="EB159" s="499"/>
      <c r="EC159" s="499"/>
      <c r="ED159" s="499"/>
      <c r="EE159" s="499"/>
      <c r="EF159" s="499"/>
      <c r="EG159" s="499"/>
      <c r="EH159" s="499"/>
      <c r="EI159" s="499"/>
      <c r="EJ159" s="499"/>
      <c r="EK159" s="499"/>
      <c r="EL159" s="499"/>
      <c r="EM159" s="499"/>
      <c r="EN159" s="499"/>
      <c r="EO159" s="499"/>
      <c r="EP159" s="499"/>
      <c r="EQ159" s="499"/>
      <c r="ER159" s="499"/>
      <c r="ES159" s="499"/>
      <c r="ET159" s="499"/>
      <c r="EU159" s="499"/>
      <c r="EV159" s="499"/>
      <c r="EW159" s="499"/>
      <c r="EX159" s="499"/>
      <c r="EY159" s="499"/>
      <c r="EZ159" s="499"/>
      <c r="FA159" s="499"/>
      <c r="FB159" s="499"/>
      <c r="FC159" s="499"/>
      <c r="FD159" s="499"/>
      <c r="FE159" s="499"/>
      <c r="FF159" s="499"/>
      <c r="FG159" s="499"/>
      <c r="FH159" s="499"/>
      <c r="FI159" s="499"/>
      <c r="FJ159" s="499"/>
      <c r="FK159" s="499"/>
      <c r="FL159" s="499"/>
      <c r="FM159" s="499"/>
      <c r="FN159" s="499"/>
      <c r="FO159" s="499"/>
      <c r="FP159" s="499"/>
      <c r="FQ159" s="499"/>
      <c r="FR159" s="499"/>
      <c r="FS159" s="499"/>
      <c r="FT159" s="499"/>
      <c r="FU159" s="499"/>
      <c r="FV159" s="499"/>
      <c r="FW159" s="499"/>
      <c r="FX159" s="499"/>
      <c r="FY159" s="499"/>
      <c r="FZ159" s="499"/>
      <c r="GA159" s="499"/>
      <c r="GB159" s="499"/>
      <c r="GC159" s="499"/>
      <c r="GD159" s="499"/>
      <c r="GE159" s="499"/>
      <c r="GF159" s="499"/>
      <c r="GG159" s="499"/>
      <c r="GH159" s="499"/>
      <c r="GI159" s="499"/>
      <c r="GJ159" s="499"/>
      <c r="GK159" s="499"/>
      <c r="GL159" s="499"/>
      <c r="GM159" s="499"/>
      <c r="GN159" s="499"/>
      <c r="GO159" s="499"/>
      <c r="GP159" s="499"/>
      <c r="GQ159" s="499"/>
      <c r="GR159" s="499"/>
      <c r="GS159" s="499"/>
      <c r="GT159" s="499"/>
      <c r="GU159" s="499"/>
      <c r="GV159" s="499"/>
      <c r="GW159" s="499"/>
      <c r="GX159" s="499"/>
      <c r="GY159" s="499"/>
      <c r="GZ159" s="499"/>
      <c r="HA159" s="499"/>
      <c r="HB159" s="499"/>
      <c r="HC159" s="499"/>
      <c r="HD159" s="499"/>
      <c r="HE159" s="499"/>
      <c r="HF159" s="499"/>
      <c r="HG159" s="499"/>
      <c r="HH159" s="499"/>
      <c r="HI159" s="499"/>
      <c r="HJ159" s="499"/>
      <c r="HK159" s="499"/>
      <c r="HL159" s="499"/>
      <c r="HM159" s="499"/>
      <c r="HN159" s="499"/>
      <c r="HO159" s="499"/>
      <c r="HP159" s="499"/>
      <c r="HQ159" s="499"/>
      <c r="HR159" s="499"/>
      <c r="HS159" s="499"/>
      <c r="HT159" s="499"/>
      <c r="HU159" s="499"/>
      <c r="HV159" s="499"/>
      <c r="HW159" s="499"/>
      <c r="HX159" s="499"/>
      <c r="HY159" s="358"/>
    </row>
    <row r="160" spans="1:233" s="5" customFormat="1" ht="20.100000000000001" customHeight="1">
      <c r="A160" s="1605" t="s">
        <v>191</v>
      </c>
      <c r="B160" s="1606" t="s">
        <v>115</v>
      </c>
      <c r="C160" s="1606"/>
      <c r="D160" s="1606"/>
      <c r="E160" s="1606"/>
      <c r="F160" s="1606" t="s">
        <v>116</v>
      </c>
      <c r="G160" s="1606"/>
      <c r="H160" s="1606"/>
      <c r="I160" s="1606" t="s">
        <v>117</v>
      </c>
      <c r="J160" s="1606"/>
      <c r="K160" s="521"/>
      <c r="O160" s="495"/>
      <c r="P160" s="495"/>
      <c r="Q160" s="495"/>
      <c r="R160" s="495"/>
      <c r="S160" s="495"/>
      <c r="T160" s="495"/>
      <c r="U160" s="504"/>
      <c r="V160" s="358"/>
      <c r="W160" s="358"/>
      <c r="X160" s="358"/>
      <c r="Y160" s="358"/>
      <c r="Z160" s="358"/>
      <c r="AA160" s="358"/>
      <c r="AB160" s="358"/>
      <c r="AC160" s="358"/>
      <c r="AD160" s="358"/>
      <c r="AE160" s="358"/>
      <c r="AF160" s="358"/>
      <c r="AG160" s="358"/>
      <c r="AH160" s="358"/>
      <c r="AI160" s="358"/>
      <c r="AJ160" s="358"/>
      <c r="AK160" s="358"/>
      <c r="AL160" s="358"/>
      <c r="AM160" s="358"/>
      <c r="AN160" s="358"/>
      <c r="AO160" s="358"/>
      <c r="AP160" s="358"/>
      <c r="AQ160" s="358"/>
      <c r="AR160" s="358"/>
      <c r="AS160" s="358"/>
      <c r="AT160" s="358"/>
      <c r="AU160" s="358"/>
      <c r="AV160" s="358"/>
      <c r="AW160" s="358"/>
      <c r="AX160" s="358"/>
      <c r="AY160" s="358"/>
      <c r="AZ160" s="358"/>
      <c r="BA160" s="358"/>
      <c r="BB160" s="358"/>
      <c r="BC160" s="358"/>
      <c r="BD160" s="358"/>
      <c r="BE160" s="358"/>
      <c r="BF160" s="358"/>
      <c r="BG160" s="358"/>
      <c r="BH160" s="358"/>
      <c r="BI160" s="358"/>
      <c r="BJ160" s="358"/>
      <c r="BK160" s="358"/>
      <c r="BL160" s="358"/>
      <c r="BM160" s="358"/>
      <c r="BN160" s="358"/>
      <c r="BO160" s="358"/>
      <c r="BP160" s="358"/>
      <c r="BQ160" s="358"/>
      <c r="BR160" s="358"/>
      <c r="BS160" s="358"/>
      <c r="BT160" s="358"/>
      <c r="BU160" s="358"/>
      <c r="BV160" s="358"/>
      <c r="BW160" s="358"/>
      <c r="BX160" s="358"/>
      <c r="BY160" s="358"/>
      <c r="BZ160" s="358"/>
      <c r="CA160" s="358"/>
      <c r="CB160" s="358"/>
      <c r="CC160" s="358"/>
      <c r="CD160" s="358"/>
      <c r="CE160" s="358"/>
      <c r="CF160" s="358"/>
      <c r="CG160" s="358"/>
      <c r="CH160" s="358"/>
      <c r="CI160" s="358"/>
      <c r="CJ160" s="358"/>
      <c r="CK160" s="358"/>
      <c r="CL160" s="358"/>
      <c r="CM160" s="358"/>
      <c r="CN160" s="358"/>
      <c r="CO160" s="358"/>
      <c r="CP160" s="358"/>
      <c r="CQ160" s="358"/>
      <c r="CR160" s="358"/>
      <c r="CS160" s="358"/>
      <c r="CT160" s="358"/>
      <c r="CU160" s="358"/>
      <c r="CV160" s="358"/>
      <c r="CW160" s="358"/>
      <c r="CX160" s="358"/>
      <c r="CY160" s="358"/>
      <c r="CZ160" s="358"/>
      <c r="DA160" s="358"/>
      <c r="DB160" s="358"/>
      <c r="DC160" s="358"/>
      <c r="DD160" s="358"/>
      <c r="DE160" s="358"/>
      <c r="DF160" s="358"/>
      <c r="DG160" s="358"/>
      <c r="DH160" s="358"/>
      <c r="DI160" s="358"/>
      <c r="DJ160" s="358"/>
      <c r="DK160" s="358"/>
      <c r="DL160" s="358"/>
      <c r="DM160" s="358"/>
      <c r="DN160" s="358"/>
      <c r="DO160" s="358"/>
      <c r="DP160" s="358"/>
      <c r="DQ160" s="358"/>
      <c r="DR160" s="358"/>
      <c r="DS160" s="358"/>
      <c r="DT160" s="358"/>
      <c r="DU160" s="358"/>
      <c r="DV160" s="358"/>
      <c r="DW160" s="358"/>
      <c r="DX160" s="358"/>
      <c r="DY160" s="358"/>
      <c r="DZ160" s="358"/>
      <c r="EA160" s="358"/>
      <c r="EB160" s="358"/>
      <c r="EC160" s="358"/>
      <c r="ED160" s="358"/>
      <c r="EE160" s="358"/>
      <c r="EF160" s="358"/>
      <c r="EG160" s="358"/>
      <c r="EH160" s="358"/>
      <c r="EI160" s="358"/>
      <c r="EJ160" s="358"/>
      <c r="EK160" s="358"/>
      <c r="EL160" s="358"/>
      <c r="EM160" s="358"/>
      <c r="EN160" s="358"/>
      <c r="EO160" s="358"/>
      <c r="EP160" s="358"/>
      <c r="EQ160" s="358"/>
      <c r="ER160" s="358"/>
      <c r="ES160" s="358"/>
      <c r="ET160" s="358"/>
      <c r="EU160" s="358"/>
      <c r="EV160" s="358"/>
      <c r="EW160" s="358"/>
      <c r="EX160" s="358"/>
      <c r="EY160" s="358"/>
      <c r="EZ160" s="358"/>
      <c r="FA160" s="358"/>
      <c r="FB160" s="358"/>
      <c r="FC160" s="358"/>
      <c r="FD160" s="358"/>
      <c r="FE160" s="358"/>
      <c r="FF160" s="358"/>
      <c r="FG160" s="358"/>
      <c r="FH160" s="358"/>
      <c r="FI160" s="358"/>
      <c r="FJ160" s="358"/>
      <c r="FK160" s="358"/>
      <c r="FL160" s="358"/>
      <c r="FM160" s="358"/>
      <c r="FN160" s="358"/>
      <c r="FO160" s="358"/>
      <c r="FP160" s="358"/>
      <c r="FQ160" s="358"/>
      <c r="FR160" s="358"/>
      <c r="FS160" s="358"/>
      <c r="FT160" s="358"/>
      <c r="FU160" s="358"/>
      <c r="FV160" s="358"/>
      <c r="FW160" s="358"/>
      <c r="FX160" s="358"/>
      <c r="FY160" s="358"/>
      <c r="FZ160" s="358"/>
      <c r="GA160" s="358"/>
      <c r="GB160" s="358"/>
      <c r="GC160" s="358"/>
      <c r="GD160" s="358"/>
      <c r="GE160" s="358"/>
      <c r="GF160" s="358"/>
      <c r="GG160" s="358"/>
      <c r="GH160" s="358"/>
      <c r="GI160" s="358"/>
      <c r="GJ160" s="358"/>
      <c r="GK160" s="358"/>
      <c r="GL160" s="358"/>
      <c r="GM160" s="358"/>
      <c r="GN160" s="358"/>
      <c r="GO160" s="358"/>
      <c r="GP160" s="358"/>
      <c r="GQ160" s="358"/>
      <c r="GR160" s="358"/>
      <c r="GS160" s="358"/>
      <c r="GT160" s="358"/>
      <c r="GU160" s="358"/>
      <c r="GV160" s="358"/>
      <c r="GW160" s="358"/>
      <c r="GX160" s="358"/>
      <c r="GY160" s="358"/>
      <c r="GZ160" s="358"/>
      <c r="HA160" s="358"/>
      <c r="HB160" s="358"/>
      <c r="HC160" s="358"/>
      <c r="HD160" s="358"/>
      <c r="HE160" s="358"/>
      <c r="HF160" s="358"/>
      <c r="HG160" s="358"/>
      <c r="HH160" s="358"/>
      <c r="HI160" s="358"/>
      <c r="HJ160" s="358"/>
      <c r="HK160" s="358"/>
      <c r="HL160" s="358"/>
      <c r="HM160" s="358"/>
      <c r="HN160" s="358"/>
      <c r="HO160" s="358"/>
      <c r="HP160" s="358"/>
      <c r="HQ160" s="358"/>
      <c r="HR160" s="358"/>
      <c r="HS160" s="358"/>
      <c r="HT160" s="358"/>
      <c r="HU160" s="358"/>
      <c r="HV160" s="358"/>
      <c r="HW160" s="358"/>
      <c r="HX160" s="358"/>
      <c r="HY160" s="358"/>
    </row>
    <row r="161" spans="1:233" s="5" customFormat="1" ht="30.75" customHeight="1">
      <c r="A161" s="1605"/>
      <c r="B161" s="1606"/>
      <c r="C161" s="1606"/>
      <c r="D161" s="1606"/>
      <c r="E161" s="1606"/>
      <c r="F161" s="1606"/>
      <c r="G161" s="1606"/>
      <c r="H161" s="1606"/>
      <c r="I161" s="503" t="s">
        <v>118</v>
      </c>
      <c r="J161" s="503" t="s">
        <v>119</v>
      </c>
      <c r="K161" s="521"/>
      <c r="P161" s="504"/>
      <c r="Q161" s="504"/>
      <c r="R161" s="504"/>
      <c r="S161" s="504"/>
      <c r="T161" s="504"/>
      <c r="U161" s="406"/>
      <c r="V161" s="358"/>
      <c r="W161" s="358"/>
      <c r="X161" s="358"/>
      <c r="Y161" s="358"/>
      <c r="Z161" s="358"/>
      <c r="AA161" s="358"/>
      <c r="AB161" s="358"/>
      <c r="AC161" s="358"/>
      <c r="AD161" s="358"/>
      <c r="AE161" s="358"/>
      <c r="AF161" s="358"/>
      <c r="AG161" s="358"/>
      <c r="AH161" s="358"/>
      <c r="AI161" s="358"/>
      <c r="AJ161" s="358"/>
      <c r="AK161" s="358"/>
      <c r="AL161" s="358"/>
      <c r="AM161" s="358"/>
      <c r="AN161" s="358"/>
      <c r="AO161" s="358"/>
      <c r="AP161" s="358"/>
      <c r="AQ161" s="358"/>
      <c r="AR161" s="358"/>
      <c r="AS161" s="358"/>
      <c r="AT161" s="358"/>
      <c r="AU161" s="358"/>
      <c r="AV161" s="358"/>
      <c r="AW161" s="358"/>
      <c r="AX161" s="358"/>
      <c r="AY161" s="358"/>
      <c r="AZ161" s="358"/>
      <c r="BA161" s="358"/>
      <c r="BB161" s="358"/>
      <c r="BC161" s="358"/>
      <c r="BD161" s="358"/>
      <c r="BE161" s="358"/>
      <c r="BF161" s="358"/>
      <c r="BG161" s="358"/>
      <c r="BH161" s="358"/>
      <c r="BI161" s="358"/>
      <c r="BJ161" s="358"/>
      <c r="BK161" s="358"/>
      <c r="BL161" s="358"/>
      <c r="BM161" s="358"/>
      <c r="BN161" s="358"/>
      <c r="BO161" s="358"/>
      <c r="BP161" s="358"/>
      <c r="BQ161" s="358"/>
      <c r="BR161" s="358"/>
      <c r="BS161" s="358"/>
      <c r="BT161" s="358"/>
      <c r="BU161" s="358"/>
      <c r="BV161" s="358"/>
      <c r="BW161" s="358"/>
      <c r="BX161" s="358"/>
      <c r="BY161" s="358"/>
      <c r="BZ161" s="358"/>
      <c r="CA161" s="358"/>
      <c r="CB161" s="358"/>
      <c r="CC161" s="358"/>
      <c r="CD161" s="358"/>
      <c r="CE161" s="358"/>
      <c r="CF161" s="358"/>
      <c r="CG161" s="358"/>
      <c r="CH161" s="358"/>
      <c r="CI161" s="358"/>
      <c r="CJ161" s="358"/>
      <c r="CK161" s="358"/>
      <c r="CL161" s="358"/>
      <c r="CM161" s="358"/>
      <c r="CN161" s="358"/>
      <c r="CO161" s="358"/>
      <c r="CP161" s="358"/>
      <c r="CQ161" s="358"/>
      <c r="CR161" s="358"/>
      <c r="CS161" s="358"/>
      <c r="CT161" s="358"/>
      <c r="CU161" s="358"/>
      <c r="CV161" s="358"/>
      <c r="CW161" s="358"/>
      <c r="CX161" s="358"/>
      <c r="CY161" s="358"/>
      <c r="CZ161" s="358"/>
      <c r="DA161" s="358"/>
      <c r="DB161" s="358"/>
      <c r="DC161" s="358"/>
      <c r="DD161" s="358"/>
      <c r="DE161" s="358"/>
      <c r="DF161" s="358"/>
      <c r="DG161" s="358"/>
      <c r="DH161" s="358"/>
      <c r="DI161" s="358"/>
      <c r="DJ161" s="358"/>
      <c r="DK161" s="358"/>
      <c r="DL161" s="358"/>
      <c r="DM161" s="358"/>
      <c r="DN161" s="358"/>
      <c r="DO161" s="358"/>
      <c r="DP161" s="358"/>
      <c r="DQ161" s="358"/>
      <c r="DR161" s="358"/>
      <c r="DS161" s="358"/>
      <c r="DT161" s="358"/>
      <c r="DU161" s="358"/>
      <c r="DV161" s="358"/>
      <c r="DW161" s="358"/>
      <c r="DX161" s="358"/>
      <c r="DY161" s="358"/>
      <c r="DZ161" s="358"/>
      <c r="EA161" s="358"/>
      <c r="EB161" s="358"/>
      <c r="EC161" s="358"/>
      <c r="ED161" s="358"/>
      <c r="EE161" s="358"/>
      <c r="EF161" s="358"/>
      <c r="EG161" s="358"/>
      <c r="EH161" s="358"/>
      <c r="EI161" s="358"/>
      <c r="EJ161" s="358"/>
      <c r="EK161" s="358"/>
      <c r="EL161" s="358"/>
      <c r="EM161" s="358"/>
      <c r="EN161" s="358"/>
      <c r="EO161" s="358"/>
      <c r="EP161" s="358"/>
      <c r="EQ161" s="358"/>
      <c r="ER161" s="358"/>
      <c r="ES161" s="358"/>
      <c r="ET161" s="358"/>
      <c r="EU161" s="358"/>
      <c r="EV161" s="358"/>
      <c r="EW161" s="358"/>
      <c r="EX161" s="358"/>
      <c r="EY161" s="358"/>
      <c r="EZ161" s="358"/>
      <c r="FA161" s="358"/>
      <c r="FB161" s="358"/>
      <c r="FC161" s="358"/>
      <c r="FD161" s="358"/>
      <c r="FE161" s="358"/>
      <c r="FF161" s="358"/>
      <c r="FG161" s="358"/>
      <c r="FH161" s="358"/>
      <c r="FI161" s="358"/>
      <c r="FJ161" s="358"/>
      <c r="FK161" s="358"/>
      <c r="FL161" s="358"/>
      <c r="FM161" s="358"/>
      <c r="FN161" s="358"/>
      <c r="FO161" s="358"/>
      <c r="FP161" s="358"/>
      <c r="FQ161" s="358"/>
      <c r="FR161" s="358"/>
      <c r="FS161" s="358"/>
      <c r="FT161" s="358"/>
      <c r="FU161" s="358"/>
      <c r="FV161" s="358"/>
      <c r="FW161" s="358"/>
      <c r="FX161" s="358"/>
      <c r="FY161" s="358"/>
      <c r="FZ161" s="358"/>
      <c r="GA161" s="358"/>
      <c r="GB161" s="358"/>
      <c r="GC161" s="358"/>
      <c r="GD161" s="358"/>
      <c r="GE161" s="358"/>
      <c r="GF161" s="358"/>
      <c r="GG161" s="358"/>
      <c r="GH161" s="358"/>
      <c r="GI161" s="358"/>
      <c r="GJ161" s="358"/>
      <c r="GK161" s="358"/>
      <c r="GL161" s="358"/>
      <c r="GM161" s="358"/>
      <c r="GN161" s="358"/>
      <c r="GO161" s="358"/>
      <c r="GP161" s="358"/>
      <c r="GQ161" s="358"/>
      <c r="GR161" s="358"/>
      <c r="GS161" s="358"/>
      <c r="GT161" s="358"/>
      <c r="GU161" s="358"/>
      <c r="GV161" s="358"/>
      <c r="GW161" s="358"/>
      <c r="GX161" s="358"/>
      <c r="GY161" s="358"/>
      <c r="GZ161" s="358"/>
      <c r="HA161" s="358"/>
      <c r="HB161" s="358"/>
      <c r="HC161" s="358"/>
      <c r="HD161" s="358"/>
      <c r="HE161" s="358"/>
      <c r="HF161" s="358"/>
      <c r="HG161" s="358"/>
      <c r="HH161" s="358"/>
      <c r="HI161" s="358"/>
      <c r="HJ161" s="358"/>
      <c r="HK161" s="358"/>
      <c r="HL161" s="358"/>
      <c r="HM161" s="358"/>
      <c r="HN161" s="358"/>
      <c r="HO161" s="358"/>
      <c r="HP161" s="358"/>
      <c r="HQ161" s="358"/>
      <c r="HR161" s="358"/>
      <c r="HS161" s="358"/>
      <c r="HT161" s="358"/>
      <c r="HU161" s="358"/>
      <c r="HV161" s="358"/>
      <c r="HW161" s="358"/>
      <c r="HX161" s="358"/>
      <c r="HY161" s="358"/>
    </row>
    <row r="162" spans="1:233" s="5" customFormat="1" ht="20.100000000000001" customHeight="1">
      <c r="A162" s="503">
        <v>1</v>
      </c>
      <c r="B162" s="1597" t="s">
        <v>429</v>
      </c>
      <c r="C162" s="1597"/>
      <c r="D162" s="1597"/>
      <c r="E162" s="1597"/>
      <c r="F162" s="1598" t="s">
        <v>432</v>
      </c>
      <c r="G162" s="1598"/>
      <c r="H162" s="1598"/>
      <c r="I162" s="562" t="s">
        <v>471</v>
      </c>
      <c r="J162" s="506"/>
      <c r="K162" s="502"/>
      <c r="P162" s="406"/>
      <c r="Q162" s="406"/>
      <c r="R162" s="406"/>
      <c r="S162" s="406"/>
      <c r="T162" s="406"/>
      <c r="U162" s="406"/>
      <c r="V162" s="358"/>
      <c r="W162" s="358"/>
      <c r="X162" s="358"/>
      <c r="Y162" s="358"/>
      <c r="Z162" s="358"/>
      <c r="AA162" s="358"/>
      <c r="AB162" s="358"/>
      <c r="AC162" s="358"/>
      <c r="AD162" s="358"/>
      <c r="AE162" s="358"/>
      <c r="AF162" s="358"/>
      <c r="AG162" s="358"/>
      <c r="AH162" s="358"/>
      <c r="AI162" s="358"/>
      <c r="AJ162" s="358"/>
      <c r="AK162" s="358"/>
      <c r="AL162" s="358"/>
      <c r="AM162" s="358"/>
      <c r="AN162" s="358"/>
      <c r="AO162" s="358"/>
      <c r="AP162" s="358"/>
      <c r="AQ162" s="358"/>
      <c r="AR162" s="358"/>
      <c r="AS162" s="358"/>
      <c r="AT162" s="358"/>
      <c r="AU162" s="358"/>
      <c r="AV162" s="358"/>
      <c r="AW162" s="358"/>
      <c r="AX162" s="358"/>
      <c r="AY162" s="358"/>
      <c r="AZ162" s="358"/>
      <c r="BA162" s="358"/>
      <c r="BB162" s="358"/>
      <c r="BC162" s="358"/>
      <c r="BD162" s="358"/>
      <c r="BE162" s="358"/>
      <c r="BF162" s="358"/>
      <c r="BG162" s="358"/>
      <c r="BH162" s="358"/>
      <c r="BI162" s="358"/>
      <c r="BJ162" s="358"/>
      <c r="BK162" s="358"/>
      <c r="BL162" s="358"/>
      <c r="BM162" s="358"/>
      <c r="BN162" s="358"/>
      <c r="BO162" s="358"/>
      <c r="BP162" s="358"/>
      <c r="BQ162" s="358"/>
      <c r="BR162" s="358"/>
      <c r="BS162" s="358"/>
      <c r="BT162" s="358"/>
      <c r="BU162" s="358"/>
      <c r="BV162" s="358"/>
      <c r="BW162" s="358"/>
      <c r="BX162" s="358"/>
      <c r="BY162" s="358"/>
      <c r="BZ162" s="358"/>
      <c r="CA162" s="358"/>
      <c r="CB162" s="358"/>
      <c r="CC162" s="358"/>
      <c r="CD162" s="358"/>
      <c r="CE162" s="358"/>
      <c r="CF162" s="358"/>
      <c r="CG162" s="358"/>
      <c r="CH162" s="358"/>
      <c r="CI162" s="358"/>
      <c r="CJ162" s="358"/>
      <c r="CK162" s="358"/>
      <c r="CL162" s="358"/>
      <c r="CM162" s="358"/>
      <c r="CN162" s="358"/>
      <c r="CO162" s="358"/>
      <c r="CP162" s="358"/>
      <c r="CQ162" s="358"/>
      <c r="CR162" s="358"/>
      <c r="CS162" s="358"/>
      <c r="CT162" s="358"/>
      <c r="CU162" s="358"/>
      <c r="CV162" s="358"/>
      <c r="CW162" s="358"/>
      <c r="CX162" s="358"/>
      <c r="CY162" s="358"/>
      <c r="CZ162" s="358"/>
      <c r="DA162" s="358"/>
      <c r="DB162" s="358"/>
      <c r="DC162" s="358"/>
      <c r="DD162" s="358"/>
      <c r="DE162" s="358"/>
      <c r="DF162" s="358"/>
      <c r="DG162" s="358"/>
      <c r="DH162" s="358"/>
      <c r="DI162" s="358"/>
      <c r="DJ162" s="358"/>
      <c r="DK162" s="358"/>
      <c r="DL162" s="358"/>
      <c r="DM162" s="358"/>
      <c r="DN162" s="358"/>
      <c r="DO162" s="358"/>
      <c r="DP162" s="358"/>
      <c r="DQ162" s="358"/>
      <c r="DR162" s="358"/>
      <c r="DS162" s="358"/>
      <c r="DT162" s="358"/>
      <c r="DU162" s="358"/>
      <c r="DV162" s="358"/>
      <c r="DW162" s="358"/>
      <c r="DX162" s="358"/>
      <c r="DY162" s="358"/>
      <c r="DZ162" s="358"/>
      <c r="EA162" s="358"/>
      <c r="EB162" s="358"/>
      <c r="EC162" s="358"/>
      <c r="ED162" s="358"/>
      <c r="EE162" s="358"/>
      <c r="EF162" s="358"/>
      <c r="EG162" s="358"/>
      <c r="EH162" s="358"/>
      <c r="EI162" s="358"/>
      <c r="EJ162" s="358"/>
      <c r="EK162" s="358"/>
      <c r="EL162" s="358"/>
      <c r="EM162" s="358"/>
      <c r="EN162" s="358"/>
      <c r="EO162" s="358"/>
      <c r="EP162" s="358"/>
      <c r="EQ162" s="358"/>
      <c r="ER162" s="358"/>
      <c r="ES162" s="358"/>
      <c r="ET162" s="358"/>
      <c r="EU162" s="358"/>
      <c r="EV162" s="358"/>
      <c r="EW162" s="358"/>
      <c r="EX162" s="358"/>
      <c r="EY162" s="358"/>
      <c r="EZ162" s="358"/>
      <c r="FA162" s="358"/>
      <c r="FB162" s="358"/>
      <c r="FC162" s="358"/>
      <c r="FD162" s="358"/>
      <c r="FE162" s="358"/>
      <c r="FF162" s="358"/>
      <c r="FG162" s="358"/>
      <c r="FH162" s="358"/>
      <c r="FI162" s="358"/>
      <c r="FJ162" s="358"/>
      <c r="FK162" s="358"/>
      <c r="FL162" s="358"/>
      <c r="FM162" s="358"/>
      <c r="FN162" s="358"/>
      <c r="FO162" s="358"/>
      <c r="FP162" s="358"/>
      <c r="FQ162" s="358"/>
      <c r="FR162" s="358"/>
      <c r="FS162" s="358"/>
      <c r="FT162" s="358"/>
      <c r="FU162" s="358"/>
      <c r="FV162" s="358"/>
      <c r="FW162" s="358"/>
      <c r="FX162" s="358"/>
      <c r="FY162" s="358"/>
      <c r="FZ162" s="358"/>
      <c r="GA162" s="358"/>
      <c r="GB162" s="358"/>
      <c r="GC162" s="358"/>
      <c r="GD162" s="358"/>
      <c r="GE162" s="358"/>
      <c r="GF162" s="358"/>
      <c r="GG162" s="358"/>
      <c r="GH162" s="358"/>
      <c r="GI162" s="358"/>
      <c r="GJ162" s="358"/>
      <c r="GK162" s="358"/>
      <c r="GL162" s="358"/>
      <c r="GM162" s="358"/>
      <c r="GN162" s="358"/>
      <c r="GO162" s="358"/>
      <c r="GP162" s="358"/>
      <c r="GQ162" s="358"/>
      <c r="GR162" s="358"/>
      <c r="GS162" s="358"/>
      <c r="GT162" s="358"/>
      <c r="GU162" s="358"/>
      <c r="GV162" s="358"/>
      <c r="GW162" s="358"/>
      <c r="GX162" s="358"/>
      <c r="GY162" s="358"/>
      <c r="GZ162" s="358"/>
      <c r="HA162" s="358"/>
      <c r="HB162" s="358"/>
      <c r="HC162" s="358"/>
      <c r="HD162" s="358"/>
      <c r="HE162" s="358"/>
      <c r="HF162" s="358"/>
      <c r="HG162" s="358"/>
      <c r="HH162" s="358"/>
      <c r="HI162" s="358"/>
      <c r="HJ162" s="358"/>
      <c r="HK162" s="358"/>
      <c r="HL162" s="358"/>
      <c r="HM162" s="358"/>
      <c r="HN162" s="358"/>
      <c r="HO162" s="358"/>
      <c r="HP162" s="358"/>
      <c r="HQ162" s="358"/>
      <c r="HR162" s="358"/>
      <c r="HS162" s="358"/>
      <c r="HT162" s="358"/>
      <c r="HU162" s="358"/>
      <c r="HV162" s="358"/>
      <c r="HW162" s="358"/>
      <c r="HX162" s="358"/>
      <c r="HY162" s="358"/>
    </row>
    <row r="163" spans="1:233" s="5" customFormat="1" ht="20.100000000000001" customHeight="1">
      <c r="A163" s="503">
        <v>2</v>
      </c>
      <c r="B163" s="1597" t="s">
        <v>426</v>
      </c>
      <c r="C163" s="1597"/>
      <c r="D163" s="1597"/>
      <c r="E163" s="1597"/>
      <c r="F163" s="1598" t="s">
        <v>428</v>
      </c>
      <c r="G163" s="1598"/>
      <c r="H163" s="1598"/>
      <c r="I163" s="562" t="s">
        <v>471</v>
      </c>
      <c r="J163" s="506"/>
      <c r="K163" s="502"/>
      <c r="P163" s="406"/>
      <c r="Q163" s="406"/>
      <c r="R163" s="406"/>
      <c r="S163" s="406"/>
      <c r="T163" s="406"/>
      <c r="U163" s="406"/>
      <c r="V163" s="358"/>
      <c r="W163" s="358"/>
      <c r="X163" s="358"/>
      <c r="Y163" s="358"/>
      <c r="Z163" s="358"/>
      <c r="AA163" s="358"/>
      <c r="AB163" s="358"/>
      <c r="AC163" s="358"/>
      <c r="AD163" s="358"/>
      <c r="AE163" s="358"/>
      <c r="AF163" s="358"/>
      <c r="AG163" s="358"/>
      <c r="AH163" s="358"/>
      <c r="AI163" s="358"/>
      <c r="AJ163" s="358"/>
      <c r="AK163" s="358"/>
      <c r="AL163" s="358"/>
      <c r="AM163" s="358"/>
      <c r="AN163" s="358"/>
      <c r="AO163" s="358"/>
      <c r="AP163" s="358"/>
      <c r="AQ163" s="358"/>
      <c r="AR163" s="358"/>
      <c r="AS163" s="358"/>
      <c r="AT163" s="358"/>
      <c r="AU163" s="358"/>
      <c r="AV163" s="358"/>
      <c r="AW163" s="358"/>
      <c r="AX163" s="358"/>
      <c r="AY163" s="358"/>
      <c r="AZ163" s="358"/>
      <c r="BA163" s="358"/>
      <c r="BB163" s="358"/>
      <c r="BC163" s="358"/>
      <c r="BD163" s="358"/>
      <c r="BE163" s="358"/>
      <c r="BF163" s="358"/>
      <c r="BG163" s="358"/>
      <c r="BH163" s="358"/>
      <c r="BI163" s="358"/>
      <c r="BJ163" s="358"/>
      <c r="BK163" s="358"/>
      <c r="BL163" s="358"/>
      <c r="BM163" s="358"/>
      <c r="BN163" s="358"/>
      <c r="BO163" s="358"/>
      <c r="BP163" s="358"/>
      <c r="BQ163" s="358"/>
      <c r="BR163" s="358"/>
      <c r="BS163" s="358"/>
      <c r="BT163" s="358"/>
      <c r="BU163" s="358"/>
      <c r="BV163" s="358"/>
      <c r="BW163" s="358"/>
      <c r="BX163" s="358"/>
      <c r="BY163" s="358"/>
      <c r="BZ163" s="358"/>
      <c r="CA163" s="358"/>
      <c r="CB163" s="358"/>
      <c r="CC163" s="358"/>
      <c r="CD163" s="358"/>
      <c r="CE163" s="358"/>
      <c r="CF163" s="358"/>
      <c r="CG163" s="358"/>
      <c r="CH163" s="358"/>
      <c r="CI163" s="358"/>
      <c r="CJ163" s="358"/>
      <c r="CK163" s="358"/>
      <c r="CL163" s="358"/>
      <c r="CM163" s="358"/>
      <c r="CN163" s="358"/>
      <c r="CO163" s="358"/>
      <c r="CP163" s="358"/>
      <c r="CQ163" s="358"/>
      <c r="CR163" s="358"/>
      <c r="CS163" s="358"/>
      <c r="CT163" s="358"/>
      <c r="CU163" s="358"/>
      <c r="CV163" s="358"/>
      <c r="CW163" s="358"/>
      <c r="CX163" s="358"/>
      <c r="CY163" s="358"/>
      <c r="CZ163" s="358"/>
      <c r="DA163" s="358"/>
      <c r="DB163" s="358"/>
      <c r="DC163" s="358"/>
      <c r="DD163" s="358"/>
      <c r="DE163" s="358"/>
      <c r="DF163" s="358"/>
      <c r="DG163" s="358"/>
      <c r="DH163" s="358"/>
      <c r="DI163" s="358"/>
      <c r="DJ163" s="358"/>
      <c r="DK163" s="358"/>
      <c r="DL163" s="358"/>
      <c r="DM163" s="358"/>
      <c r="DN163" s="358"/>
      <c r="DO163" s="358"/>
      <c r="DP163" s="358"/>
      <c r="DQ163" s="358"/>
      <c r="DR163" s="358"/>
      <c r="DS163" s="358"/>
      <c r="DT163" s="358"/>
      <c r="DU163" s="358"/>
      <c r="DV163" s="358"/>
      <c r="DW163" s="358"/>
      <c r="DX163" s="358"/>
      <c r="DY163" s="358"/>
      <c r="DZ163" s="358"/>
      <c r="EA163" s="358"/>
      <c r="EB163" s="358"/>
      <c r="EC163" s="358"/>
      <c r="ED163" s="358"/>
      <c r="EE163" s="358"/>
      <c r="EF163" s="358"/>
      <c r="EG163" s="358"/>
      <c r="EH163" s="358"/>
      <c r="EI163" s="358"/>
      <c r="EJ163" s="358"/>
      <c r="EK163" s="358"/>
      <c r="EL163" s="358"/>
      <c r="EM163" s="358"/>
      <c r="EN163" s="358"/>
      <c r="EO163" s="358"/>
      <c r="EP163" s="358"/>
      <c r="EQ163" s="358"/>
      <c r="ER163" s="358"/>
      <c r="ES163" s="358"/>
      <c r="ET163" s="358"/>
      <c r="EU163" s="358"/>
      <c r="EV163" s="358"/>
      <c r="EW163" s="358"/>
      <c r="EX163" s="358"/>
      <c r="EY163" s="358"/>
      <c r="EZ163" s="358"/>
      <c r="FA163" s="358"/>
      <c r="FB163" s="358"/>
      <c r="FC163" s="358"/>
      <c r="FD163" s="358"/>
      <c r="FE163" s="358"/>
      <c r="FF163" s="358"/>
      <c r="FG163" s="358"/>
      <c r="FH163" s="358"/>
      <c r="FI163" s="358"/>
      <c r="FJ163" s="358"/>
      <c r="FK163" s="358"/>
      <c r="FL163" s="358"/>
      <c r="FM163" s="358"/>
      <c r="FN163" s="358"/>
      <c r="FO163" s="358"/>
      <c r="FP163" s="358"/>
      <c r="FQ163" s="358"/>
      <c r="FR163" s="358"/>
      <c r="FS163" s="358"/>
      <c r="FT163" s="358"/>
      <c r="FU163" s="358"/>
      <c r="FV163" s="358"/>
      <c r="FW163" s="358"/>
      <c r="FX163" s="358"/>
      <c r="FY163" s="358"/>
      <c r="FZ163" s="358"/>
      <c r="GA163" s="358"/>
      <c r="GB163" s="358"/>
      <c r="GC163" s="358"/>
      <c r="GD163" s="358"/>
      <c r="GE163" s="358"/>
      <c r="GF163" s="358"/>
      <c r="GG163" s="358"/>
      <c r="GH163" s="358"/>
      <c r="GI163" s="358"/>
      <c r="GJ163" s="358"/>
      <c r="GK163" s="358"/>
      <c r="GL163" s="358"/>
      <c r="GM163" s="358"/>
      <c r="GN163" s="358"/>
      <c r="GO163" s="358"/>
      <c r="GP163" s="358"/>
      <c r="GQ163" s="358"/>
      <c r="GR163" s="358"/>
      <c r="GS163" s="358"/>
      <c r="GT163" s="358"/>
      <c r="GU163" s="358"/>
      <c r="GV163" s="358"/>
      <c r="GW163" s="358"/>
      <c r="GX163" s="358"/>
      <c r="GY163" s="358"/>
      <c r="GZ163" s="358"/>
      <c r="HA163" s="358"/>
      <c r="HB163" s="358"/>
      <c r="HC163" s="358"/>
      <c r="HD163" s="358"/>
      <c r="HE163" s="358"/>
      <c r="HF163" s="358"/>
      <c r="HG163" s="358"/>
      <c r="HH163" s="358"/>
      <c r="HI163" s="358"/>
      <c r="HJ163" s="358"/>
      <c r="HK163" s="358"/>
      <c r="HL163" s="358"/>
      <c r="HM163" s="358"/>
      <c r="HN163" s="358"/>
      <c r="HO163" s="358"/>
      <c r="HP163" s="358"/>
      <c r="HQ163" s="358"/>
      <c r="HR163" s="358"/>
      <c r="HS163" s="358"/>
      <c r="HT163" s="358"/>
      <c r="HU163" s="358"/>
      <c r="HV163" s="358"/>
      <c r="HW163" s="358"/>
      <c r="HX163" s="358"/>
      <c r="HY163" s="358"/>
    </row>
    <row r="164" spans="1:233" s="5" customFormat="1" ht="20.100000000000001" customHeight="1">
      <c r="A164" s="503">
        <v>3</v>
      </c>
      <c r="B164" s="1661" t="s">
        <v>430</v>
      </c>
      <c r="C164" s="1662"/>
      <c r="D164" s="1662"/>
      <c r="E164" s="1663"/>
      <c r="F164" s="1598" t="s">
        <v>431</v>
      </c>
      <c r="G164" s="1598"/>
      <c r="H164" s="1598"/>
      <c r="I164" s="562" t="s">
        <v>471</v>
      </c>
      <c r="J164" s="506"/>
      <c r="K164" s="502"/>
      <c r="P164" s="406"/>
      <c r="Q164" s="406"/>
      <c r="R164" s="406"/>
      <c r="S164" s="406"/>
      <c r="T164" s="406"/>
      <c r="U164" s="405"/>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c r="HY164" s="358"/>
    </row>
    <row r="165" spans="1:233" s="5" customFormat="1" ht="20.100000000000001" customHeight="1">
      <c r="A165" s="503">
        <v>4</v>
      </c>
      <c r="B165" s="1661" t="s">
        <v>427</v>
      </c>
      <c r="C165" s="1662"/>
      <c r="D165" s="1662"/>
      <c r="E165" s="1663"/>
      <c r="F165" s="1598" t="s">
        <v>138</v>
      </c>
      <c r="G165" s="1598"/>
      <c r="H165" s="1598"/>
      <c r="I165" s="562" t="s">
        <v>471</v>
      </c>
      <c r="J165" s="506"/>
      <c r="K165" s="502"/>
      <c r="P165" s="405"/>
      <c r="Q165" s="405"/>
      <c r="R165" s="405"/>
      <c r="S165" s="405"/>
      <c r="T165" s="405"/>
      <c r="U165" s="405"/>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c r="HY165" s="358"/>
    </row>
    <row r="166" spans="1:233" s="5" customFormat="1" ht="20.100000000000001" customHeight="1">
      <c r="A166" s="503">
        <v>5</v>
      </c>
      <c r="B166" s="1661" t="s">
        <v>424</v>
      </c>
      <c r="C166" s="1662"/>
      <c r="D166" s="1662"/>
      <c r="E166" s="1663"/>
      <c r="F166" s="1598" t="s">
        <v>140</v>
      </c>
      <c r="G166" s="1598"/>
      <c r="H166" s="1598"/>
      <c r="I166" s="562" t="s">
        <v>471</v>
      </c>
      <c r="J166" s="506"/>
      <c r="K166" s="502"/>
      <c r="P166" s="405"/>
      <c r="Q166" s="405"/>
      <c r="R166" s="405"/>
      <c r="S166" s="405"/>
      <c r="T166" s="405"/>
      <c r="U166" s="405"/>
      <c r="V166" s="358"/>
      <c r="W166" s="358"/>
      <c r="X166" s="358"/>
      <c r="Y166" s="358"/>
      <c r="Z166" s="358"/>
      <c r="AA166" s="358"/>
      <c r="AB166" s="358"/>
      <c r="AC166" s="358"/>
      <c r="AD166" s="358"/>
      <c r="AE166" s="358"/>
      <c r="AF166" s="358"/>
      <c r="AG166" s="358"/>
      <c r="AH166" s="358"/>
      <c r="AI166" s="358"/>
      <c r="AJ166" s="358"/>
      <c r="AK166" s="358"/>
      <c r="AL166" s="358"/>
      <c r="AM166" s="358"/>
      <c r="AN166" s="358"/>
      <c r="AO166" s="358"/>
      <c r="AP166" s="358"/>
      <c r="AQ166" s="358"/>
      <c r="AR166" s="358"/>
      <c r="AS166" s="358"/>
      <c r="AT166" s="358"/>
      <c r="AU166" s="358"/>
      <c r="AV166" s="358"/>
      <c r="AW166" s="358"/>
      <c r="AX166" s="358"/>
      <c r="AY166" s="358"/>
      <c r="AZ166" s="358"/>
      <c r="BA166" s="358"/>
      <c r="BB166" s="358"/>
      <c r="BC166" s="358"/>
      <c r="BD166" s="358"/>
      <c r="BE166" s="358"/>
      <c r="BF166" s="358"/>
      <c r="BG166" s="358"/>
      <c r="BH166" s="358"/>
      <c r="BI166" s="358"/>
      <c r="BJ166" s="358"/>
      <c r="BK166" s="358"/>
      <c r="BL166" s="358"/>
      <c r="BM166" s="358"/>
      <c r="BN166" s="358"/>
      <c r="BO166" s="358"/>
      <c r="BP166" s="358"/>
      <c r="BQ166" s="358"/>
      <c r="BR166" s="358"/>
      <c r="BS166" s="358"/>
      <c r="BT166" s="358"/>
      <c r="BU166" s="358"/>
      <c r="BV166" s="358"/>
      <c r="BW166" s="358"/>
      <c r="BX166" s="358"/>
      <c r="BY166" s="358"/>
      <c r="BZ166" s="358"/>
      <c r="CA166" s="358"/>
      <c r="CB166" s="358"/>
      <c r="CC166" s="358"/>
      <c r="CD166" s="358"/>
      <c r="CE166" s="358"/>
      <c r="CF166" s="358"/>
      <c r="CG166" s="358"/>
      <c r="CH166" s="358"/>
      <c r="CI166" s="358"/>
      <c r="CJ166" s="358"/>
      <c r="CK166" s="358"/>
      <c r="CL166" s="358"/>
      <c r="CM166" s="358"/>
      <c r="CN166" s="358"/>
      <c r="CO166" s="358"/>
      <c r="CP166" s="358"/>
      <c r="CQ166" s="358"/>
      <c r="CR166" s="358"/>
      <c r="CS166" s="358"/>
      <c r="CT166" s="358"/>
      <c r="CU166" s="358"/>
      <c r="CV166" s="358"/>
      <c r="CW166" s="358"/>
      <c r="CX166" s="358"/>
      <c r="CY166" s="358"/>
      <c r="CZ166" s="358"/>
      <c r="DA166" s="358"/>
      <c r="DB166" s="358"/>
      <c r="DC166" s="358"/>
      <c r="DD166" s="358"/>
      <c r="DE166" s="358"/>
      <c r="DF166" s="358"/>
      <c r="DG166" s="358"/>
      <c r="DH166" s="358"/>
      <c r="DI166" s="358"/>
      <c r="DJ166" s="358"/>
      <c r="DK166" s="358"/>
      <c r="DL166" s="358"/>
      <c r="DM166" s="358"/>
      <c r="DN166" s="358"/>
      <c r="DO166" s="358"/>
      <c r="DP166" s="358"/>
      <c r="DQ166" s="358"/>
      <c r="DR166" s="358"/>
      <c r="DS166" s="358"/>
      <c r="DT166" s="358"/>
      <c r="DU166" s="358"/>
      <c r="DV166" s="358"/>
      <c r="DW166" s="358"/>
      <c r="DX166" s="358"/>
      <c r="DY166" s="358"/>
      <c r="DZ166" s="358"/>
      <c r="EA166" s="358"/>
      <c r="EB166" s="358"/>
      <c r="EC166" s="358"/>
      <c r="ED166" s="358"/>
      <c r="EE166" s="358"/>
      <c r="EF166" s="358"/>
      <c r="EG166" s="358"/>
      <c r="EH166" s="358"/>
      <c r="EI166" s="358"/>
      <c r="EJ166" s="358"/>
      <c r="EK166" s="358"/>
      <c r="EL166" s="358"/>
      <c r="EM166" s="358"/>
      <c r="EN166" s="358"/>
      <c r="EO166" s="358"/>
      <c r="EP166" s="358"/>
      <c r="EQ166" s="358"/>
      <c r="ER166" s="358"/>
      <c r="ES166" s="358"/>
      <c r="ET166" s="358"/>
      <c r="EU166" s="358"/>
      <c r="EV166" s="358"/>
      <c r="EW166" s="358"/>
      <c r="EX166" s="358"/>
      <c r="EY166" s="358"/>
      <c r="EZ166" s="358"/>
      <c r="FA166" s="358"/>
      <c r="FB166" s="358"/>
      <c r="FC166" s="358"/>
      <c r="FD166" s="358"/>
      <c r="FE166" s="358"/>
      <c r="FF166" s="358"/>
      <c r="FG166" s="358"/>
      <c r="FH166" s="358"/>
      <c r="FI166" s="358"/>
      <c r="FJ166" s="358"/>
      <c r="FK166" s="358"/>
      <c r="FL166" s="358"/>
      <c r="FM166" s="358"/>
      <c r="FN166" s="358"/>
      <c r="FO166" s="358"/>
      <c r="FP166" s="358"/>
      <c r="FQ166" s="358"/>
      <c r="FR166" s="358"/>
      <c r="FS166" s="358"/>
      <c r="FT166" s="358"/>
      <c r="FU166" s="358"/>
      <c r="FV166" s="358"/>
      <c r="FW166" s="358"/>
      <c r="FX166" s="358"/>
      <c r="FY166" s="358"/>
      <c r="FZ166" s="358"/>
      <c r="GA166" s="358"/>
      <c r="GB166" s="358"/>
      <c r="GC166" s="358"/>
      <c r="GD166" s="358"/>
      <c r="GE166" s="358"/>
      <c r="GF166" s="358"/>
      <c r="GG166" s="358"/>
      <c r="GH166" s="358"/>
      <c r="GI166" s="358"/>
      <c r="GJ166" s="358"/>
      <c r="GK166" s="358"/>
      <c r="GL166" s="358"/>
      <c r="GM166" s="358"/>
      <c r="GN166" s="358"/>
      <c r="GO166" s="358"/>
      <c r="GP166" s="358"/>
      <c r="GQ166" s="358"/>
      <c r="GR166" s="358"/>
      <c r="GS166" s="358"/>
      <c r="GT166" s="358"/>
      <c r="GU166" s="358"/>
      <c r="GV166" s="358"/>
      <c r="GW166" s="358"/>
      <c r="GX166" s="358"/>
      <c r="GY166" s="358"/>
      <c r="GZ166" s="358"/>
      <c r="HA166" s="358"/>
      <c r="HB166" s="358"/>
      <c r="HC166" s="358"/>
      <c r="HD166" s="358"/>
      <c r="HE166" s="358"/>
      <c r="HF166" s="358"/>
      <c r="HG166" s="358"/>
      <c r="HH166" s="358"/>
      <c r="HI166" s="358"/>
      <c r="HJ166" s="358"/>
      <c r="HK166" s="358"/>
      <c r="HL166" s="358"/>
      <c r="HM166" s="358"/>
      <c r="HN166" s="358"/>
      <c r="HO166" s="358"/>
      <c r="HP166" s="358"/>
      <c r="HQ166" s="358"/>
      <c r="HR166" s="358"/>
      <c r="HS166" s="358"/>
      <c r="HT166" s="358"/>
      <c r="HU166" s="358"/>
      <c r="HV166" s="358"/>
      <c r="HW166" s="358"/>
      <c r="HX166" s="358"/>
      <c r="HY166" s="358"/>
    </row>
    <row r="167" spans="1:233" s="5" customFormat="1" ht="20.100000000000001" customHeight="1">
      <c r="A167" s="503">
        <v>6</v>
      </c>
      <c r="B167" s="1597" t="s">
        <v>425</v>
      </c>
      <c r="C167" s="1597"/>
      <c r="D167" s="1597"/>
      <c r="E167" s="1597"/>
      <c r="F167" s="1598" t="s">
        <v>139</v>
      </c>
      <c r="G167" s="1598"/>
      <c r="H167" s="1598"/>
      <c r="I167" s="562" t="s">
        <v>471</v>
      </c>
      <c r="J167" s="506"/>
      <c r="K167" s="502"/>
      <c r="P167" s="405"/>
      <c r="Q167" s="405"/>
      <c r="R167" s="405"/>
      <c r="S167" s="405"/>
      <c r="T167" s="405"/>
      <c r="U167" s="405"/>
      <c r="V167" s="358"/>
      <c r="W167" s="358"/>
      <c r="X167" s="358"/>
      <c r="Y167" s="358"/>
      <c r="Z167" s="358"/>
      <c r="AA167" s="358"/>
      <c r="AB167" s="358"/>
      <c r="AC167" s="358"/>
      <c r="AD167" s="358"/>
      <c r="AE167" s="358"/>
      <c r="AF167" s="358"/>
      <c r="AG167" s="358"/>
      <c r="AH167" s="358"/>
      <c r="AI167" s="358"/>
      <c r="AJ167" s="358"/>
      <c r="AK167" s="358"/>
      <c r="AL167" s="358"/>
      <c r="AM167" s="358"/>
      <c r="AN167" s="358"/>
      <c r="AO167" s="358"/>
      <c r="AP167" s="358"/>
      <c r="AQ167" s="358"/>
      <c r="AR167" s="358"/>
      <c r="AS167" s="358"/>
      <c r="AT167" s="358"/>
      <c r="AU167" s="358"/>
      <c r="AV167" s="358"/>
      <c r="AW167" s="358"/>
      <c r="AX167" s="358"/>
      <c r="AY167" s="358"/>
      <c r="AZ167" s="358"/>
      <c r="BA167" s="358"/>
      <c r="BB167" s="358"/>
      <c r="BC167" s="358"/>
      <c r="BD167" s="358"/>
      <c r="BE167" s="358"/>
      <c r="BF167" s="358"/>
      <c r="BG167" s="358"/>
      <c r="BH167" s="358"/>
      <c r="BI167" s="358"/>
      <c r="BJ167" s="358"/>
      <c r="BK167" s="358"/>
      <c r="BL167" s="358"/>
      <c r="BM167" s="358"/>
      <c r="BN167" s="358"/>
      <c r="BO167" s="358"/>
      <c r="BP167" s="358"/>
      <c r="BQ167" s="358"/>
      <c r="BR167" s="358"/>
      <c r="BS167" s="358"/>
      <c r="BT167" s="358"/>
      <c r="BU167" s="358"/>
      <c r="BV167" s="358"/>
      <c r="BW167" s="358"/>
      <c r="BX167" s="358"/>
      <c r="BY167" s="358"/>
      <c r="BZ167" s="358"/>
      <c r="CA167" s="358"/>
      <c r="CB167" s="358"/>
      <c r="CC167" s="358"/>
      <c r="CD167" s="358"/>
      <c r="CE167" s="358"/>
      <c r="CF167" s="358"/>
      <c r="CG167" s="358"/>
      <c r="CH167" s="358"/>
      <c r="CI167" s="358"/>
      <c r="CJ167" s="358"/>
      <c r="CK167" s="358"/>
      <c r="CL167" s="358"/>
      <c r="CM167" s="358"/>
      <c r="CN167" s="358"/>
      <c r="CO167" s="358"/>
      <c r="CP167" s="358"/>
      <c r="CQ167" s="358"/>
      <c r="CR167" s="358"/>
      <c r="CS167" s="358"/>
      <c r="CT167" s="358"/>
      <c r="CU167" s="358"/>
      <c r="CV167" s="358"/>
      <c r="CW167" s="358"/>
      <c r="CX167" s="358"/>
      <c r="CY167" s="358"/>
      <c r="CZ167" s="358"/>
      <c r="DA167" s="358"/>
      <c r="DB167" s="358"/>
      <c r="DC167" s="358"/>
      <c r="DD167" s="358"/>
      <c r="DE167" s="358"/>
      <c r="DF167" s="358"/>
      <c r="DG167" s="358"/>
      <c r="DH167" s="358"/>
      <c r="DI167" s="358"/>
      <c r="DJ167" s="358"/>
      <c r="DK167" s="358"/>
      <c r="DL167" s="358"/>
      <c r="DM167" s="358"/>
      <c r="DN167" s="358"/>
      <c r="DO167" s="358"/>
      <c r="DP167" s="358"/>
      <c r="DQ167" s="358"/>
      <c r="DR167" s="358"/>
      <c r="DS167" s="358"/>
      <c r="DT167" s="358"/>
      <c r="DU167" s="358"/>
      <c r="DV167" s="358"/>
      <c r="DW167" s="358"/>
      <c r="DX167" s="358"/>
      <c r="DY167" s="358"/>
      <c r="DZ167" s="358"/>
      <c r="EA167" s="358"/>
      <c r="EB167" s="358"/>
      <c r="EC167" s="358"/>
      <c r="ED167" s="358"/>
      <c r="EE167" s="358"/>
      <c r="EF167" s="358"/>
      <c r="EG167" s="358"/>
      <c r="EH167" s="358"/>
      <c r="EI167" s="358"/>
      <c r="EJ167" s="358"/>
      <c r="EK167" s="358"/>
      <c r="EL167" s="358"/>
      <c r="EM167" s="358"/>
      <c r="EN167" s="358"/>
      <c r="EO167" s="358"/>
      <c r="EP167" s="358"/>
      <c r="EQ167" s="358"/>
      <c r="ER167" s="358"/>
      <c r="ES167" s="358"/>
      <c r="ET167" s="358"/>
      <c r="EU167" s="358"/>
      <c r="EV167" s="358"/>
      <c r="EW167" s="358"/>
      <c r="EX167" s="358"/>
      <c r="EY167" s="358"/>
      <c r="EZ167" s="358"/>
      <c r="FA167" s="358"/>
      <c r="FB167" s="358"/>
      <c r="FC167" s="358"/>
      <c r="FD167" s="358"/>
      <c r="FE167" s="358"/>
      <c r="FF167" s="358"/>
      <c r="FG167" s="358"/>
      <c r="FH167" s="358"/>
      <c r="FI167" s="358"/>
      <c r="FJ167" s="358"/>
      <c r="FK167" s="358"/>
      <c r="FL167" s="358"/>
      <c r="FM167" s="358"/>
      <c r="FN167" s="358"/>
      <c r="FO167" s="358"/>
      <c r="FP167" s="358"/>
      <c r="FQ167" s="358"/>
      <c r="FR167" s="358"/>
      <c r="FS167" s="358"/>
      <c r="FT167" s="358"/>
      <c r="FU167" s="358"/>
      <c r="FV167" s="358"/>
      <c r="FW167" s="358"/>
      <c r="FX167" s="358"/>
      <c r="FY167" s="358"/>
      <c r="FZ167" s="358"/>
      <c r="GA167" s="358"/>
      <c r="GB167" s="358"/>
      <c r="GC167" s="358"/>
      <c r="GD167" s="358"/>
      <c r="GE167" s="358"/>
      <c r="GF167" s="358"/>
      <c r="GG167" s="358"/>
      <c r="GH167" s="358"/>
      <c r="GI167" s="358"/>
      <c r="GJ167" s="358"/>
      <c r="GK167" s="358"/>
      <c r="GL167" s="358"/>
      <c r="GM167" s="358"/>
      <c r="GN167" s="358"/>
      <c r="GO167" s="358"/>
      <c r="GP167" s="358"/>
      <c r="GQ167" s="358"/>
      <c r="GR167" s="358"/>
      <c r="GS167" s="358"/>
      <c r="GT167" s="358"/>
      <c r="GU167" s="358"/>
      <c r="GV167" s="358"/>
      <c r="GW167" s="358"/>
      <c r="GX167" s="358"/>
      <c r="GY167" s="358"/>
      <c r="GZ167" s="358"/>
      <c r="HA167" s="358"/>
      <c r="HB167" s="358"/>
      <c r="HC167" s="358"/>
      <c r="HD167" s="358"/>
      <c r="HE167" s="358"/>
      <c r="HF167" s="358"/>
      <c r="HG167" s="358"/>
      <c r="HH167" s="358"/>
      <c r="HI167" s="358"/>
      <c r="HJ167" s="358"/>
      <c r="HK167" s="358"/>
      <c r="HL167" s="358"/>
      <c r="HM167" s="358"/>
      <c r="HN167" s="358"/>
      <c r="HO167" s="358"/>
      <c r="HP167" s="358"/>
      <c r="HQ167" s="358"/>
      <c r="HR167" s="358"/>
      <c r="HS167" s="358"/>
      <c r="HT167" s="358"/>
      <c r="HU167" s="358"/>
      <c r="HV167" s="358"/>
      <c r="HW167" s="358"/>
      <c r="HX167" s="358"/>
      <c r="HY167" s="358"/>
    </row>
    <row r="168" spans="1:233" s="5" customFormat="1" ht="20.100000000000001" customHeight="1">
      <c r="A168" s="503"/>
      <c r="B168" s="1597"/>
      <c r="C168" s="1597"/>
      <c r="D168" s="1597"/>
      <c r="E168" s="1597"/>
      <c r="F168" s="1598"/>
      <c r="G168" s="1598"/>
      <c r="H168" s="1598"/>
      <c r="I168" s="505"/>
      <c r="J168" s="506"/>
      <c r="K168" s="502"/>
      <c r="P168" s="405"/>
      <c r="Q168" s="405"/>
      <c r="R168" s="405"/>
      <c r="S168" s="405"/>
      <c r="T168" s="405"/>
      <c r="U168" s="405"/>
      <c r="V168" s="358"/>
      <c r="W168" s="358"/>
      <c r="X168" s="358"/>
      <c r="Y168" s="358"/>
      <c r="Z168" s="358"/>
      <c r="AA168" s="358"/>
      <c r="AB168" s="358"/>
      <c r="AC168" s="358"/>
      <c r="AD168" s="358"/>
      <c r="AE168" s="358"/>
      <c r="AF168" s="358"/>
      <c r="AG168" s="358"/>
      <c r="AH168" s="358"/>
      <c r="AI168" s="358"/>
      <c r="AJ168" s="358"/>
      <c r="AK168" s="358"/>
      <c r="AL168" s="358"/>
      <c r="AM168" s="358"/>
      <c r="AN168" s="358"/>
      <c r="AO168" s="358"/>
      <c r="AP168" s="358"/>
      <c r="AQ168" s="358"/>
      <c r="AR168" s="358"/>
      <c r="AS168" s="358"/>
      <c r="AT168" s="358"/>
      <c r="AU168" s="358"/>
      <c r="AV168" s="358"/>
      <c r="AW168" s="358"/>
      <c r="AX168" s="358"/>
      <c r="AY168" s="358"/>
      <c r="AZ168" s="358"/>
      <c r="BA168" s="358"/>
      <c r="BB168" s="358"/>
      <c r="BC168" s="358"/>
      <c r="BD168" s="358"/>
      <c r="BE168" s="358"/>
      <c r="BF168" s="358"/>
      <c r="BG168" s="358"/>
      <c r="BH168" s="358"/>
      <c r="BI168" s="358"/>
      <c r="BJ168" s="358"/>
      <c r="BK168" s="358"/>
      <c r="BL168" s="358"/>
      <c r="BM168" s="358"/>
      <c r="BN168" s="358"/>
      <c r="BO168" s="358"/>
      <c r="BP168" s="358"/>
      <c r="BQ168" s="358"/>
      <c r="BR168" s="358"/>
      <c r="BS168" s="358"/>
      <c r="BT168" s="358"/>
      <c r="BU168" s="358"/>
      <c r="BV168" s="358"/>
      <c r="BW168" s="358"/>
      <c r="BX168" s="358"/>
      <c r="BY168" s="358"/>
      <c r="BZ168" s="358"/>
      <c r="CA168" s="358"/>
      <c r="CB168" s="358"/>
      <c r="CC168" s="358"/>
      <c r="CD168" s="358"/>
      <c r="CE168" s="358"/>
      <c r="CF168" s="358"/>
      <c r="CG168" s="358"/>
      <c r="CH168" s="358"/>
      <c r="CI168" s="358"/>
      <c r="CJ168" s="358"/>
      <c r="CK168" s="358"/>
      <c r="CL168" s="358"/>
      <c r="CM168" s="358"/>
      <c r="CN168" s="358"/>
      <c r="CO168" s="358"/>
      <c r="CP168" s="358"/>
      <c r="CQ168" s="358"/>
      <c r="CR168" s="358"/>
      <c r="CS168" s="358"/>
      <c r="CT168" s="358"/>
      <c r="CU168" s="358"/>
      <c r="CV168" s="358"/>
      <c r="CW168" s="358"/>
      <c r="CX168" s="358"/>
      <c r="CY168" s="358"/>
      <c r="CZ168" s="358"/>
      <c r="DA168" s="358"/>
      <c r="DB168" s="358"/>
      <c r="DC168" s="358"/>
      <c r="DD168" s="358"/>
      <c r="DE168" s="358"/>
      <c r="DF168" s="358"/>
      <c r="DG168" s="358"/>
      <c r="DH168" s="358"/>
      <c r="DI168" s="358"/>
      <c r="DJ168" s="358"/>
      <c r="DK168" s="358"/>
      <c r="DL168" s="358"/>
      <c r="DM168" s="358"/>
      <c r="DN168" s="358"/>
      <c r="DO168" s="358"/>
      <c r="DP168" s="358"/>
      <c r="DQ168" s="358"/>
      <c r="DR168" s="358"/>
      <c r="DS168" s="358"/>
      <c r="DT168" s="358"/>
      <c r="DU168" s="358"/>
      <c r="DV168" s="358"/>
      <c r="DW168" s="358"/>
      <c r="DX168" s="358"/>
      <c r="DY168" s="358"/>
      <c r="DZ168" s="358"/>
      <c r="EA168" s="358"/>
      <c r="EB168" s="358"/>
      <c r="EC168" s="358"/>
      <c r="ED168" s="358"/>
      <c r="EE168" s="358"/>
      <c r="EF168" s="358"/>
      <c r="EG168" s="358"/>
      <c r="EH168" s="358"/>
      <c r="EI168" s="358"/>
      <c r="EJ168" s="358"/>
      <c r="EK168" s="358"/>
      <c r="EL168" s="358"/>
      <c r="EM168" s="358"/>
      <c r="EN168" s="358"/>
      <c r="EO168" s="358"/>
      <c r="EP168" s="358"/>
      <c r="EQ168" s="358"/>
      <c r="ER168" s="358"/>
      <c r="ES168" s="358"/>
      <c r="ET168" s="358"/>
      <c r="EU168" s="358"/>
      <c r="EV168" s="358"/>
      <c r="EW168" s="358"/>
      <c r="EX168" s="358"/>
      <c r="EY168" s="358"/>
      <c r="EZ168" s="358"/>
      <c r="FA168" s="358"/>
      <c r="FB168" s="358"/>
      <c r="FC168" s="358"/>
      <c r="FD168" s="358"/>
      <c r="FE168" s="358"/>
      <c r="FF168" s="358"/>
      <c r="FG168" s="358"/>
      <c r="FH168" s="358"/>
      <c r="FI168" s="358"/>
      <c r="FJ168" s="358"/>
      <c r="FK168" s="358"/>
      <c r="FL168" s="358"/>
      <c r="FM168" s="358"/>
      <c r="FN168" s="358"/>
      <c r="FO168" s="358"/>
      <c r="FP168" s="358"/>
      <c r="FQ168" s="358"/>
      <c r="FR168" s="358"/>
      <c r="FS168" s="358"/>
      <c r="FT168" s="358"/>
      <c r="FU168" s="358"/>
      <c r="FV168" s="358"/>
      <c r="FW168" s="358"/>
      <c r="FX168" s="358"/>
      <c r="FY168" s="358"/>
      <c r="FZ168" s="358"/>
      <c r="GA168" s="358"/>
      <c r="GB168" s="358"/>
      <c r="GC168" s="358"/>
      <c r="GD168" s="358"/>
      <c r="GE168" s="358"/>
      <c r="GF168" s="358"/>
      <c r="GG168" s="358"/>
      <c r="GH168" s="358"/>
      <c r="GI168" s="358"/>
      <c r="GJ168" s="358"/>
      <c r="GK168" s="358"/>
      <c r="GL168" s="358"/>
      <c r="GM168" s="358"/>
      <c r="GN168" s="358"/>
      <c r="GO168" s="358"/>
      <c r="GP168" s="358"/>
      <c r="GQ168" s="358"/>
      <c r="GR168" s="358"/>
      <c r="GS168" s="358"/>
      <c r="GT168" s="358"/>
      <c r="GU168" s="358"/>
      <c r="GV168" s="358"/>
      <c r="GW168" s="358"/>
      <c r="GX168" s="358"/>
      <c r="GY168" s="358"/>
      <c r="GZ168" s="358"/>
      <c r="HA168" s="358"/>
      <c r="HB168" s="358"/>
      <c r="HC168" s="358"/>
      <c r="HD168" s="358"/>
      <c r="HE168" s="358"/>
      <c r="HF168" s="358"/>
      <c r="HG168" s="358"/>
      <c r="HH168" s="358"/>
      <c r="HI168" s="358"/>
      <c r="HJ168" s="358"/>
      <c r="HK168" s="358"/>
      <c r="HL168" s="358"/>
      <c r="HM168" s="358"/>
      <c r="HN168" s="358"/>
      <c r="HO168" s="358"/>
      <c r="HP168" s="358"/>
      <c r="HQ168" s="358"/>
      <c r="HR168" s="358"/>
      <c r="HS168" s="358"/>
      <c r="HT168" s="358"/>
      <c r="HU168" s="358"/>
      <c r="HV168" s="358"/>
      <c r="HW168" s="358"/>
      <c r="HX168" s="358"/>
      <c r="HY168" s="358"/>
    </row>
    <row r="169" spans="1:233" s="5" customFormat="1" ht="20.100000000000001" customHeight="1">
      <c r="A169" s="521"/>
      <c r="B169" s="522"/>
      <c r="C169" s="522"/>
      <c r="D169" s="522"/>
      <c r="E169" s="522"/>
      <c r="F169" s="523"/>
      <c r="G169" s="523"/>
      <c r="H169" s="523"/>
      <c r="J169" s="502"/>
      <c r="K169" s="502"/>
      <c r="P169" s="405"/>
      <c r="Q169" s="405"/>
      <c r="R169" s="405"/>
      <c r="S169" s="405"/>
      <c r="T169" s="405"/>
      <c r="U169" s="405"/>
      <c r="V169" s="358"/>
      <c r="W169" s="358"/>
      <c r="X169" s="358"/>
      <c r="Y169" s="358"/>
      <c r="Z169" s="358"/>
      <c r="AA169" s="358"/>
      <c r="AB169" s="358"/>
      <c r="AC169" s="358"/>
      <c r="AD169" s="358"/>
      <c r="AE169" s="358"/>
      <c r="AF169" s="358"/>
      <c r="AG169" s="358"/>
      <c r="AH169" s="358"/>
      <c r="AI169" s="358"/>
      <c r="AJ169" s="358"/>
      <c r="AK169" s="358"/>
      <c r="AL169" s="358"/>
      <c r="AM169" s="358"/>
      <c r="AN169" s="358"/>
      <c r="AO169" s="358"/>
      <c r="AP169" s="358"/>
      <c r="AQ169" s="358"/>
      <c r="AR169" s="358"/>
      <c r="AS169" s="358"/>
      <c r="AT169" s="358"/>
      <c r="AU169" s="358"/>
      <c r="AV169" s="358"/>
      <c r="AW169" s="358"/>
      <c r="AX169" s="358"/>
      <c r="AY169" s="358"/>
      <c r="AZ169" s="358"/>
      <c r="BA169" s="358"/>
      <c r="BB169" s="358"/>
      <c r="BC169" s="358"/>
      <c r="BD169" s="358"/>
      <c r="BE169" s="358"/>
      <c r="BF169" s="358"/>
      <c r="BG169" s="358"/>
      <c r="BH169" s="358"/>
      <c r="BI169" s="358"/>
      <c r="BJ169" s="358"/>
      <c r="BK169" s="358"/>
      <c r="BL169" s="358"/>
      <c r="BM169" s="358"/>
      <c r="BN169" s="358"/>
      <c r="BO169" s="358"/>
      <c r="BP169" s="358"/>
      <c r="BQ169" s="358"/>
      <c r="BR169" s="358"/>
      <c r="BS169" s="358"/>
      <c r="BT169" s="358"/>
      <c r="BU169" s="358"/>
      <c r="BV169" s="358"/>
      <c r="BW169" s="358"/>
      <c r="BX169" s="358"/>
      <c r="BY169" s="358"/>
      <c r="BZ169" s="358"/>
      <c r="CA169" s="358"/>
      <c r="CB169" s="358"/>
      <c r="CC169" s="358"/>
      <c r="CD169" s="358"/>
      <c r="CE169" s="358"/>
      <c r="CF169" s="358"/>
      <c r="CG169" s="358"/>
      <c r="CH169" s="358"/>
      <c r="CI169" s="358"/>
      <c r="CJ169" s="358"/>
      <c r="CK169" s="358"/>
      <c r="CL169" s="358"/>
      <c r="CM169" s="358"/>
      <c r="CN169" s="358"/>
      <c r="CO169" s="358"/>
      <c r="CP169" s="358"/>
      <c r="CQ169" s="358"/>
      <c r="CR169" s="358"/>
      <c r="CS169" s="358"/>
      <c r="CT169" s="358"/>
      <c r="CU169" s="358"/>
      <c r="CV169" s="358"/>
      <c r="CW169" s="358"/>
      <c r="CX169" s="358"/>
      <c r="CY169" s="358"/>
      <c r="CZ169" s="358"/>
      <c r="DA169" s="358"/>
      <c r="DB169" s="358"/>
      <c r="DC169" s="358"/>
      <c r="DD169" s="358"/>
      <c r="DE169" s="358"/>
      <c r="DF169" s="358"/>
      <c r="DG169" s="358"/>
      <c r="DH169" s="358"/>
      <c r="DI169" s="358"/>
      <c r="DJ169" s="358"/>
      <c r="DK169" s="358"/>
      <c r="DL169" s="358"/>
      <c r="DM169" s="358"/>
      <c r="DN169" s="358"/>
      <c r="DO169" s="358"/>
      <c r="DP169" s="358"/>
      <c r="DQ169" s="358"/>
      <c r="DR169" s="358"/>
      <c r="DS169" s="358"/>
      <c r="DT169" s="358"/>
      <c r="DU169" s="358"/>
      <c r="DV169" s="358"/>
      <c r="DW169" s="358"/>
      <c r="DX169" s="358"/>
      <c r="DY169" s="358"/>
      <c r="DZ169" s="358"/>
      <c r="EA169" s="358"/>
      <c r="EB169" s="358"/>
      <c r="EC169" s="358"/>
      <c r="ED169" s="358"/>
      <c r="EE169" s="358"/>
      <c r="EF169" s="358"/>
      <c r="EG169" s="358"/>
      <c r="EH169" s="358"/>
      <c r="EI169" s="358"/>
      <c r="EJ169" s="358"/>
      <c r="EK169" s="358"/>
      <c r="EL169" s="358"/>
      <c r="EM169" s="358"/>
      <c r="EN169" s="358"/>
      <c r="EO169" s="358"/>
      <c r="EP169" s="358"/>
      <c r="EQ169" s="358"/>
      <c r="ER169" s="358"/>
      <c r="ES169" s="358"/>
      <c r="ET169" s="358"/>
      <c r="EU169" s="358"/>
      <c r="EV169" s="358"/>
      <c r="EW169" s="358"/>
      <c r="EX169" s="358"/>
      <c r="EY169" s="358"/>
      <c r="EZ169" s="358"/>
      <c r="FA169" s="358"/>
      <c r="FB169" s="358"/>
      <c r="FC169" s="358"/>
      <c r="FD169" s="358"/>
      <c r="FE169" s="358"/>
      <c r="FF169" s="358"/>
      <c r="FG169" s="358"/>
      <c r="FH169" s="358"/>
      <c r="FI169" s="358"/>
      <c r="FJ169" s="358"/>
      <c r="FK169" s="358"/>
      <c r="FL169" s="358"/>
      <c r="FM169" s="358"/>
      <c r="FN169" s="358"/>
      <c r="FO169" s="358"/>
      <c r="FP169" s="358"/>
      <c r="FQ169" s="358"/>
      <c r="FR169" s="358"/>
      <c r="FS169" s="358"/>
      <c r="FT169" s="358"/>
      <c r="FU169" s="358"/>
      <c r="FV169" s="358"/>
      <c r="FW169" s="358"/>
      <c r="FX169" s="358"/>
      <c r="FY169" s="358"/>
      <c r="FZ169" s="358"/>
      <c r="GA169" s="358"/>
      <c r="GB169" s="358"/>
      <c r="GC169" s="358"/>
      <c r="GD169" s="358"/>
      <c r="GE169" s="358"/>
      <c r="GF169" s="358"/>
      <c r="GG169" s="358"/>
      <c r="GH169" s="358"/>
      <c r="GI169" s="358"/>
      <c r="GJ169" s="358"/>
      <c r="GK169" s="358"/>
      <c r="GL169" s="358"/>
      <c r="GM169" s="358"/>
      <c r="GN169" s="358"/>
      <c r="GO169" s="358"/>
      <c r="GP169" s="358"/>
      <c r="GQ169" s="358"/>
      <c r="GR169" s="358"/>
      <c r="GS169" s="358"/>
      <c r="GT169" s="358"/>
      <c r="GU169" s="358"/>
      <c r="GV169" s="358"/>
      <c r="GW169" s="358"/>
      <c r="GX169" s="358"/>
      <c r="GY169" s="358"/>
      <c r="GZ169" s="358"/>
      <c r="HA169" s="358"/>
      <c r="HB169" s="358"/>
      <c r="HC169" s="358"/>
      <c r="HD169" s="358"/>
      <c r="HE169" s="358"/>
      <c r="HF169" s="358"/>
      <c r="HG169" s="358"/>
      <c r="HH169" s="358"/>
      <c r="HI169" s="358"/>
      <c r="HJ169" s="358"/>
      <c r="HK169" s="358"/>
      <c r="HL169" s="358"/>
      <c r="HM169" s="358"/>
      <c r="HN169" s="358"/>
      <c r="HO169" s="358"/>
      <c r="HP169" s="358"/>
      <c r="HQ169" s="358"/>
      <c r="HR169" s="358"/>
      <c r="HS169" s="358"/>
      <c r="HT169" s="358"/>
      <c r="HU169" s="358"/>
      <c r="HV169" s="358"/>
      <c r="HW169" s="358"/>
      <c r="HX169" s="358"/>
      <c r="HY169" s="358"/>
    </row>
    <row r="170" spans="1:233" ht="20.100000000000001" customHeight="1">
      <c r="A170" s="1595" t="s">
        <v>1033</v>
      </c>
      <c r="B170" s="1595"/>
      <c r="C170" s="1595"/>
      <c r="D170" s="1595"/>
      <c r="E170" s="1595"/>
      <c r="F170" s="1595"/>
      <c r="G170" s="1595"/>
      <c r="H170" s="1595"/>
      <c r="I170" s="1595"/>
      <c r="J170" s="1595"/>
      <c r="K170" s="481"/>
      <c r="O170" s="5"/>
      <c r="P170" s="405"/>
      <c r="Q170" s="405"/>
      <c r="R170" s="405"/>
      <c r="S170" s="405"/>
      <c r="T170" s="405"/>
    </row>
    <row r="171" spans="1:233" ht="20.100000000000001" customHeight="1">
      <c r="A171" s="1596" t="s">
        <v>121</v>
      </c>
      <c r="B171" s="1596"/>
      <c r="C171" s="1596"/>
      <c r="D171" s="1596"/>
      <c r="E171" s="1596"/>
      <c r="F171" s="1596"/>
      <c r="G171" s="1596"/>
      <c r="H171" s="1596"/>
      <c r="I171" s="1596"/>
      <c r="J171" s="1596"/>
      <c r="K171" s="741"/>
    </row>
    <row r="172" spans="1:233" ht="20.100000000000001" customHeight="1">
      <c r="A172" s="1600" t="s">
        <v>917</v>
      </c>
      <c r="B172" s="1600"/>
      <c r="C172" s="1600"/>
      <c r="D172" s="1600"/>
      <c r="E172" s="1600"/>
      <c r="F172" s="1600"/>
      <c r="G172" s="1600"/>
      <c r="H172" s="1600"/>
      <c r="I172" s="1600"/>
      <c r="J172" s="1600"/>
      <c r="K172" s="740"/>
    </row>
    <row r="173" spans="1:233" ht="20.100000000000001" customHeight="1">
      <c r="A173" s="1595"/>
      <c r="B173" s="1595"/>
      <c r="C173" s="1595"/>
      <c r="D173" s="1595"/>
      <c r="E173" s="1595"/>
      <c r="F173" s="1595"/>
      <c r="G173" s="1595"/>
      <c r="H173" s="1595"/>
      <c r="I173" s="1595"/>
      <c r="J173" s="1595"/>
      <c r="K173" s="481"/>
    </row>
    <row r="174" spans="1:233" ht="20.100000000000001" customHeight="1">
      <c r="A174" s="1672" t="s">
        <v>820</v>
      </c>
      <c r="B174" s="1672"/>
      <c r="C174" s="1672"/>
      <c r="D174" s="1672"/>
      <c r="E174" s="1599" t="s">
        <v>186</v>
      </c>
      <c r="F174" s="1599"/>
      <c r="G174" s="1599"/>
      <c r="H174" s="640" t="s">
        <v>5</v>
      </c>
      <c r="I174" s="507"/>
      <c r="J174" s="507"/>
      <c r="K174" s="507"/>
    </row>
    <row r="175" spans="1:233" ht="20.100000000000001" customHeight="1">
      <c r="I175" s="640"/>
      <c r="J175" s="640"/>
      <c r="K175" s="640"/>
    </row>
    <row r="176" spans="1:233" ht="20.100000000000001" customHeight="1">
      <c r="A176" s="640"/>
      <c r="B176" s="640"/>
      <c r="C176" s="640"/>
      <c r="D176" s="640"/>
      <c r="E176" s="640"/>
      <c r="F176" s="640"/>
      <c r="G176" s="640"/>
      <c r="H176" s="640"/>
      <c r="I176" s="640"/>
      <c r="J176" s="640"/>
      <c r="K176" s="640"/>
    </row>
    <row r="177" spans="1:11" ht="20.100000000000001" customHeight="1">
      <c r="A177" s="640"/>
      <c r="B177" s="640"/>
      <c r="C177" s="640"/>
      <c r="D177" s="640"/>
      <c r="E177" s="640"/>
      <c r="F177" s="640"/>
      <c r="G177" s="640"/>
      <c r="H177" s="640"/>
      <c r="I177" s="640"/>
      <c r="J177" s="640"/>
      <c r="K177" s="640"/>
    </row>
    <row r="178" spans="1:11" ht="20.100000000000001" customHeight="1">
      <c r="A178" s="640"/>
      <c r="B178" s="640"/>
      <c r="C178" s="640"/>
      <c r="D178" s="640"/>
      <c r="E178" s="640"/>
      <c r="F178" s="640"/>
      <c r="G178" s="640"/>
      <c r="H178" s="640"/>
      <c r="I178" s="640"/>
      <c r="J178" s="640"/>
      <c r="K178" s="640"/>
    </row>
    <row r="179" spans="1:11" ht="20.100000000000001" customHeight="1">
      <c r="A179" s="640"/>
      <c r="B179" s="640"/>
      <c r="C179" s="640"/>
      <c r="D179" s="640"/>
      <c r="E179" s="640"/>
      <c r="F179" s="640"/>
      <c r="G179" s="640"/>
      <c r="H179" s="640"/>
      <c r="I179" s="640"/>
      <c r="J179" s="640"/>
      <c r="K179" s="640"/>
    </row>
    <row r="180" spans="1:11" ht="20.100000000000001" customHeight="1">
      <c r="A180" s="640"/>
      <c r="B180" s="640"/>
      <c r="C180" s="640"/>
      <c r="D180" s="640"/>
      <c r="E180" s="640"/>
      <c r="F180" s="640"/>
      <c r="G180" s="640"/>
      <c r="H180" s="640"/>
      <c r="I180" s="640"/>
      <c r="J180" s="640"/>
      <c r="K180" s="640"/>
    </row>
    <row r="181" spans="1:11" ht="20.100000000000001" customHeight="1">
      <c r="A181" s="508"/>
      <c r="B181" s="508"/>
      <c r="C181" s="508"/>
      <c r="D181" s="508"/>
      <c r="E181" s="508"/>
      <c r="F181" s="508"/>
      <c r="G181" s="508"/>
      <c r="H181" s="508"/>
      <c r="I181" s="508"/>
      <c r="J181" s="508"/>
      <c r="K181" s="508"/>
    </row>
  </sheetData>
  <mergeCells count="155">
    <mergeCell ref="A1:J1"/>
    <mergeCell ref="A2:J2"/>
    <mergeCell ref="A3:J3"/>
    <mergeCell ref="A4:J4"/>
    <mergeCell ref="A5:J5"/>
    <mergeCell ref="A6:J6"/>
    <mergeCell ref="C8:J8"/>
    <mergeCell ref="C9:J9"/>
    <mergeCell ref="C10:J10"/>
    <mergeCell ref="C11:J11"/>
    <mergeCell ref="A12:J12"/>
    <mergeCell ref="A13:J13"/>
    <mergeCell ref="A14:J14"/>
    <mergeCell ref="A16:E16"/>
    <mergeCell ref="F16:J16"/>
    <mergeCell ref="A17:E17"/>
    <mergeCell ref="F17:J17"/>
    <mergeCell ref="A18:J18"/>
    <mergeCell ref="A19:E19"/>
    <mergeCell ref="F19:J19"/>
    <mergeCell ref="A20:E20"/>
    <mergeCell ref="F20:J20"/>
    <mergeCell ref="A21:J21"/>
    <mergeCell ref="E22:J22"/>
    <mergeCell ref="E23:J23"/>
    <mergeCell ref="A25:J25"/>
    <mergeCell ref="A26:J26"/>
    <mergeCell ref="A27:J27"/>
    <mergeCell ref="A28:J28"/>
    <mergeCell ref="B32:J32"/>
    <mergeCell ref="B33:J33"/>
    <mergeCell ref="A40:J40"/>
    <mergeCell ref="A41:J41"/>
    <mergeCell ref="A43:A44"/>
    <mergeCell ref="B43:E44"/>
    <mergeCell ref="F43:H44"/>
    <mergeCell ref="I43:J43"/>
    <mergeCell ref="B45:E45"/>
    <mergeCell ref="F45:H45"/>
    <mergeCell ref="B46:E46"/>
    <mergeCell ref="F46:H46"/>
    <mergeCell ref="B47:E47"/>
    <mergeCell ref="F47:H47"/>
    <mergeCell ref="B48:E48"/>
    <mergeCell ref="F48:H48"/>
    <mergeCell ref="B49:E49"/>
    <mergeCell ref="F49:H49"/>
    <mergeCell ref="B50:E50"/>
    <mergeCell ref="F50:H50"/>
    <mergeCell ref="B51:E51"/>
    <mergeCell ref="F51:H51"/>
    <mergeCell ref="A52:J52"/>
    <mergeCell ref="A53:J53"/>
    <mergeCell ref="A54:J54"/>
    <mergeCell ref="A55:J55"/>
    <mergeCell ref="A57:E57"/>
    <mergeCell ref="F57:J57"/>
    <mergeCell ref="F58:G58"/>
    <mergeCell ref="H58:J58"/>
    <mergeCell ref="A77:E77"/>
    <mergeCell ref="F77:J77"/>
    <mergeCell ref="A78:E78"/>
    <mergeCell ref="F78:J78"/>
    <mergeCell ref="A79:E79"/>
    <mergeCell ref="F79:J79"/>
    <mergeCell ref="F80:J80"/>
    <mergeCell ref="F81:J81"/>
    <mergeCell ref="A83:J83"/>
    <mergeCell ref="A84:J84"/>
    <mergeCell ref="C85:J85"/>
    <mergeCell ref="C86:J86"/>
    <mergeCell ref="C87:J87"/>
    <mergeCell ref="C88:J88"/>
    <mergeCell ref="A92:J92"/>
    <mergeCell ref="A93:B93"/>
    <mergeCell ref="A97:C99"/>
    <mergeCell ref="D97:E97"/>
    <mergeCell ref="F97:J97"/>
    <mergeCell ref="D98:D99"/>
    <mergeCell ref="E98:E99"/>
    <mergeCell ref="F98:J99"/>
    <mergeCell ref="D94:H94"/>
    <mergeCell ref="A100:C102"/>
    <mergeCell ref="D100:E100"/>
    <mergeCell ref="F100:J100"/>
    <mergeCell ref="D101:D102"/>
    <mergeCell ref="E101:E102"/>
    <mergeCell ref="F101:J102"/>
    <mergeCell ref="A103:F103"/>
    <mergeCell ref="A104:F104"/>
    <mergeCell ref="H104:J104"/>
    <mergeCell ref="A105:G105"/>
    <mergeCell ref="A106:G106"/>
    <mergeCell ref="A107:G107"/>
    <mergeCell ref="A108:G108"/>
    <mergeCell ref="A109:G109"/>
    <mergeCell ref="A110:G110"/>
    <mergeCell ref="A111:G111"/>
    <mergeCell ref="H111:J111"/>
    <mergeCell ref="A114:J114"/>
    <mergeCell ref="A115:J115"/>
    <mergeCell ref="A116:J116"/>
    <mergeCell ref="A117:J117"/>
    <mergeCell ref="A118:J118"/>
    <mergeCell ref="A119:J119"/>
    <mergeCell ref="C121:J121"/>
    <mergeCell ref="C122:J122"/>
    <mergeCell ref="C123:J123"/>
    <mergeCell ref="C124:J124"/>
    <mergeCell ref="A125:J125"/>
    <mergeCell ref="A126:J126"/>
    <mergeCell ref="A127:J127"/>
    <mergeCell ref="A142:J142"/>
    <mergeCell ref="A129:E129"/>
    <mergeCell ref="F129:J129"/>
    <mergeCell ref="A130:E130"/>
    <mergeCell ref="F130:J130"/>
    <mergeCell ref="A131:J131"/>
    <mergeCell ref="A132:E132"/>
    <mergeCell ref="F132:J132"/>
    <mergeCell ref="A144:J144"/>
    <mergeCell ref="B148:J148"/>
    <mergeCell ref="B149:J149"/>
    <mergeCell ref="A156:J156"/>
    <mergeCell ref="A157:J157"/>
    <mergeCell ref="A134:J134"/>
    <mergeCell ref="A137:J137"/>
    <mergeCell ref="E138:J138"/>
    <mergeCell ref="E139:J139"/>
    <mergeCell ref="A141:J141"/>
    <mergeCell ref="A158:J158"/>
    <mergeCell ref="A160:A161"/>
    <mergeCell ref="B160:E161"/>
    <mergeCell ref="F160:H161"/>
    <mergeCell ref="I160:J160"/>
    <mergeCell ref="B162:E162"/>
    <mergeCell ref="F162:H162"/>
    <mergeCell ref="B163:E163"/>
    <mergeCell ref="F163:H163"/>
    <mergeCell ref="A170:J170"/>
    <mergeCell ref="A171:J171"/>
    <mergeCell ref="A172:J172"/>
    <mergeCell ref="A173:J173"/>
    <mergeCell ref="A174:D174"/>
    <mergeCell ref="E174:G174"/>
    <mergeCell ref="B164:E164"/>
    <mergeCell ref="F164:H164"/>
    <mergeCell ref="B165:E165"/>
    <mergeCell ref="F165:H165"/>
    <mergeCell ref="B166:E166"/>
    <mergeCell ref="F166:H166"/>
    <mergeCell ref="B167:E167"/>
    <mergeCell ref="F167:H167"/>
    <mergeCell ref="B168:E168"/>
    <mergeCell ref="F168:H168"/>
  </mergeCells>
  <printOptions horizontalCentered="1"/>
  <pageMargins left="0.70866141732283472" right="0" top="0.51181102362204722" bottom="0.51181102362204722" header="0.31496062992125984" footer="0.31496062992125984"/>
  <pageSetup paperSize="9" scale="9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177"/>
  <sheetViews>
    <sheetView view="pageBreakPreview" topLeftCell="A67" zoomScaleNormal="100" zoomScaleSheetLayoutView="100" workbookViewId="0">
      <selection activeCell="K45" sqref="K45"/>
    </sheetView>
  </sheetViews>
  <sheetFormatPr defaultRowHeight="15"/>
  <cols>
    <col min="1" max="1" width="5.140625" style="463" customWidth="1"/>
    <col min="2" max="2" width="12.42578125" style="463" customWidth="1"/>
    <col min="3" max="3" width="10.140625" style="463" customWidth="1"/>
    <col min="4" max="4" width="8.5703125" style="463" customWidth="1"/>
    <col min="5" max="5" width="13" style="463" customWidth="1"/>
    <col min="6" max="6" width="9.7109375" style="463" customWidth="1"/>
    <col min="7" max="7" width="8" style="463" customWidth="1"/>
    <col min="8" max="8" width="9.42578125" style="463" customWidth="1"/>
    <col min="9" max="9" width="9.7109375" style="463" customWidth="1"/>
    <col min="10" max="10" width="9.42578125" style="463" customWidth="1"/>
    <col min="11" max="12" width="9.140625" style="463"/>
    <col min="13" max="13" width="8.5703125" style="464" customWidth="1"/>
    <col min="14" max="14" width="24.7109375" style="464" bestFit="1" customWidth="1"/>
    <col min="15" max="15" width="18" style="464" customWidth="1"/>
    <col min="16" max="16" width="18.42578125" style="464" customWidth="1"/>
    <col min="17" max="24" width="9.140625" style="464"/>
    <col min="25" max="30" width="9.140625" style="468"/>
    <col min="31" max="16384" width="9.140625" style="463"/>
  </cols>
  <sheetData>
    <row r="1" spans="1:30" ht="20.100000000000001" customHeight="1">
      <c r="A1" s="1682" t="s">
        <v>77</v>
      </c>
      <c r="B1" s="1682"/>
      <c r="C1" s="1682"/>
      <c r="D1" s="1682"/>
      <c r="E1" s="1682"/>
      <c r="F1" s="1682"/>
      <c r="G1" s="1682"/>
      <c r="H1" s="1682"/>
      <c r="I1" s="1682"/>
      <c r="J1" s="1682"/>
      <c r="L1" s="464" t="s">
        <v>78</v>
      </c>
      <c r="M1" s="465"/>
      <c r="O1" s="466" t="s">
        <v>79</v>
      </c>
      <c r="P1" s="466"/>
      <c r="Q1" s="467"/>
      <c r="V1" s="467"/>
    </row>
    <row r="2" spans="1:30" ht="20.100000000000001" customHeight="1">
      <c r="A2" s="1683" t="s">
        <v>80</v>
      </c>
      <c r="B2" s="1683"/>
      <c r="C2" s="1683"/>
      <c r="D2" s="1683"/>
      <c r="E2" s="1683"/>
      <c r="F2" s="1683"/>
      <c r="G2" s="1683"/>
      <c r="H2" s="1683"/>
      <c r="I2" s="1683"/>
      <c r="J2" s="1683"/>
      <c r="L2" s="467" t="s">
        <v>81</v>
      </c>
      <c r="N2" s="467" t="str">
        <f>'2. NK'!$D$10</f>
        <v>B1</v>
      </c>
      <c r="O2" s="466" t="s">
        <v>346</v>
      </c>
      <c r="P2" s="466"/>
      <c r="Q2" s="467"/>
      <c r="R2" s="464" t="s">
        <v>1132</v>
      </c>
      <c r="V2" s="467"/>
    </row>
    <row r="3" spans="1:30" ht="20.100000000000001" customHeight="1">
      <c r="A3" s="1616" t="s">
        <v>82</v>
      </c>
      <c r="B3" s="1616"/>
      <c r="C3" s="1616"/>
      <c r="D3" s="1616"/>
      <c r="E3" s="1616"/>
      <c r="F3" s="1616"/>
      <c r="G3" s="1616"/>
      <c r="H3" s="1616"/>
      <c r="I3" s="1616"/>
      <c r="J3" s="1616"/>
      <c r="L3" s="469" t="s">
        <v>83</v>
      </c>
      <c r="N3" s="467" t="str">
        <f>'2. NK'!$R$12</f>
        <v>Tại công trình</v>
      </c>
      <c r="P3" s="467"/>
      <c r="V3" s="467"/>
    </row>
    <row r="4" spans="1:30" ht="20.100000000000001" customHeight="1">
      <c r="A4" s="1684">
        <f>N17</f>
        <v>42494</v>
      </c>
      <c r="B4" s="1684"/>
      <c r="C4" s="1684"/>
      <c r="D4" s="1684"/>
      <c r="E4" s="1684"/>
      <c r="F4" s="1684"/>
      <c r="G4" s="1684"/>
      <c r="H4" s="1684"/>
      <c r="I4" s="1684"/>
      <c r="J4" s="1684"/>
      <c r="L4" s="469" t="s">
        <v>84</v>
      </c>
      <c r="N4" s="467" t="str">
        <f>'2. NK'!$D$10&amp;"/"&amp;'2. NK'!$H$10</f>
        <v>B1/800</v>
      </c>
      <c r="O4" s="466" t="s">
        <v>85</v>
      </c>
      <c r="P4" s="466"/>
      <c r="Q4" s="467"/>
    </row>
    <row r="5" spans="1:30" ht="20.100000000000001" customHeight="1">
      <c r="A5" s="1685" t="s">
        <v>86</v>
      </c>
      <c r="B5" s="1618"/>
      <c r="C5" s="1618"/>
      <c r="D5" s="1618"/>
      <c r="E5" s="1618"/>
      <c r="F5" s="1618"/>
      <c r="G5" s="1618"/>
      <c r="H5" s="1618"/>
      <c r="I5" s="1618"/>
      <c r="J5" s="1618"/>
      <c r="L5" s="469" t="s">
        <v>36</v>
      </c>
      <c r="N5" s="467"/>
      <c r="P5" s="466"/>
      <c r="Q5" s="466"/>
    </row>
    <row r="6" spans="1:30" ht="20.100000000000001" customHeight="1">
      <c r="A6" s="1686" t="str">
        <f>"SỐ: TGHL-HT-CWI-C&amp;S-"&amp;N4</f>
        <v>SỐ: TGHL-HT-CWI-C&amp;S-B1/800</v>
      </c>
      <c r="B6" s="1686"/>
      <c r="C6" s="1686"/>
      <c r="D6" s="1686"/>
      <c r="E6" s="1686"/>
      <c r="F6" s="1686"/>
      <c r="G6" s="1686"/>
      <c r="H6" s="1686"/>
      <c r="I6" s="1686"/>
      <c r="J6" s="1686"/>
      <c r="M6" s="469" t="s">
        <v>87</v>
      </c>
      <c r="N6" s="470">
        <v>0</v>
      </c>
      <c r="O6" s="466"/>
      <c r="P6" s="466"/>
      <c r="Q6" s="466"/>
    </row>
    <row r="7" spans="1:30" s="472" customFormat="1" ht="20.100000000000001" customHeight="1">
      <c r="A7" s="471"/>
      <c r="B7" s="471"/>
      <c r="C7" s="471"/>
      <c r="D7" s="471"/>
      <c r="E7" s="471"/>
      <c r="F7" s="471"/>
      <c r="G7" s="471"/>
      <c r="H7" s="471"/>
      <c r="I7" s="471"/>
      <c r="J7" s="471"/>
      <c r="L7" s="463"/>
      <c r="M7" s="469" t="s">
        <v>354</v>
      </c>
      <c r="N7" s="473">
        <v>0</v>
      </c>
      <c r="O7" s="466"/>
      <c r="P7" s="466"/>
      <c r="Q7" s="467"/>
      <c r="R7" s="464"/>
      <c r="S7" s="464"/>
      <c r="T7" s="464"/>
      <c r="U7" s="474"/>
      <c r="V7" s="474"/>
      <c r="W7" s="474"/>
      <c r="X7" s="474"/>
      <c r="Y7" s="475"/>
      <c r="Z7" s="475"/>
      <c r="AA7" s="475"/>
      <c r="AB7" s="475"/>
      <c r="AC7" s="475"/>
      <c r="AD7" s="475"/>
    </row>
    <row r="8" spans="1:30" ht="35.1" customHeight="1">
      <c r="A8" s="760" t="str">
        <f>'[6]7. BBNT-TOADOCOC'!A9</f>
        <v>DỰ ÁN:</v>
      </c>
      <c r="B8" s="778"/>
      <c r="C8" s="1681" t="str">
        <f>'[6]7. BBNT-TOADOCOC'!C9:J9</f>
        <v>KHU HỖN HỢP CHUNG CƯ, VĂN PHÒNG, TRUNG TÂM THƯƠNG MẠI VÀ NHÀ Ở KẾT HỢP KHU MUA SẮM</v>
      </c>
      <c r="D8" s="1681"/>
      <c r="E8" s="1681"/>
      <c r="F8" s="1681"/>
      <c r="G8" s="1681"/>
      <c r="H8" s="1681"/>
      <c r="I8" s="1681"/>
      <c r="J8" s="1681"/>
      <c r="L8" s="469" t="s">
        <v>88</v>
      </c>
      <c r="M8" s="467"/>
      <c r="N8" s="467"/>
      <c r="O8" s="466" t="s">
        <v>197</v>
      </c>
      <c r="P8" s="466"/>
      <c r="Q8" s="466"/>
    </row>
    <row r="9" spans="1:30" ht="20.100000000000001" customHeight="1">
      <c r="A9" s="760" t="str">
        <f>'[6]7. BBNT-TOADOCOC'!A10</f>
        <v>CÔNG TRÌNH:</v>
      </c>
      <c r="B9" s="778"/>
      <c r="C9" s="1681" t="str">
        <f>'[6]7. BBNT-TOADOCOC'!C10:J10</f>
        <v>KHU HỖN HỢP CHUNG CƯ, VĂN PHÒNG, TTTM</v>
      </c>
      <c r="D9" s="1681"/>
      <c r="E9" s="1681"/>
      <c r="F9" s="1681"/>
      <c r="G9" s="1681"/>
      <c r="H9" s="1681"/>
      <c r="I9" s="1681"/>
      <c r="J9" s="1681"/>
      <c r="L9" s="469"/>
      <c r="M9" s="467"/>
      <c r="N9" s="467"/>
      <c r="O9" s="478"/>
      <c r="P9" s="466"/>
      <c r="Q9" s="466"/>
    </row>
    <row r="10" spans="1:30" ht="20.100000000000001" customHeight="1">
      <c r="A10" s="760" t="str">
        <f>'[6]7. BBNT-TOADOCOC'!A11</f>
        <v>GÓI THẦU :</v>
      </c>
      <c r="B10" s="778"/>
      <c r="C10" s="1681" t="str">
        <f>'[6]7. BBNT-TOADOCOC'!C11:J11</f>
        <v>THI CÔNG CỌC KHOAN NHỒI</v>
      </c>
      <c r="D10" s="1681"/>
      <c r="E10" s="1681"/>
      <c r="F10" s="1681"/>
      <c r="G10" s="1681"/>
      <c r="H10" s="1681"/>
      <c r="I10" s="1681"/>
      <c r="J10" s="1681"/>
      <c r="L10" s="469"/>
      <c r="M10" s="469" t="s">
        <v>87</v>
      </c>
      <c r="N10" s="470">
        <v>0.58333333333333337</v>
      </c>
      <c r="O10" s="478"/>
      <c r="P10" s="466"/>
      <c r="Q10" s="466"/>
    </row>
    <row r="11" spans="1:30" ht="20.100000000000001" customHeight="1">
      <c r="A11" s="760" t="str">
        <f>'[6]7. BBNT-TOADOCOC'!A12</f>
        <v>ĐỊA ĐIỂM :</v>
      </c>
      <c r="B11" s="778"/>
      <c r="C11" s="1681" t="str">
        <f>'[6]7. BBNT-TOADOCOC'!C12:J12</f>
        <v>ĐƯỜNG 25/4, P BẠCH ĐẰNG, TP. HẠ LONG, TỈNH QUẢNG NINH</v>
      </c>
      <c r="D11" s="1681"/>
      <c r="E11" s="1681"/>
      <c r="F11" s="1681"/>
      <c r="G11" s="1681"/>
      <c r="H11" s="1681"/>
      <c r="I11" s="1681"/>
      <c r="J11" s="1681"/>
      <c r="K11" s="472"/>
      <c r="L11" s="469"/>
      <c r="M11" s="469" t="s">
        <v>354</v>
      </c>
      <c r="N11" s="473">
        <f>N17</f>
        <v>42494</v>
      </c>
      <c r="O11" s="470">
        <f>(N16-N10)/3</f>
        <v>1.3888888888888876E-2</v>
      </c>
      <c r="P11" s="466"/>
      <c r="Q11" s="467"/>
    </row>
    <row r="12" spans="1:30" ht="20.100000000000001" customHeight="1">
      <c r="A12" s="1596" t="s">
        <v>89</v>
      </c>
      <c r="B12" s="1596"/>
      <c r="C12" s="1596"/>
      <c r="D12" s="1596"/>
      <c r="E12" s="1596"/>
      <c r="F12" s="1596"/>
      <c r="G12" s="1596"/>
      <c r="H12" s="1596"/>
      <c r="I12" s="1596"/>
      <c r="J12" s="1596"/>
      <c r="L12" s="469" t="s">
        <v>90</v>
      </c>
      <c r="M12" s="467"/>
      <c r="N12" s="467"/>
      <c r="O12" s="466"/>
      <c r="P12" s="479"/>
      <c r="Q12" s="469"/>
      <c r="R12" s="474"/>
      <c r="S12" s="474"/>
      <c r="T12" s="474"/>
    </row>
    <row r="13" spans="1:30" ht="20.100000000000001" customHeight="1">
      <c r="A13" s="1610" t="str">
        <f>"Cấu kiện bê tông cọc số hiệu "&amp;N2</f>
        <v>Cấu kiện bê tông cọc số hiệu B1</v>
      </c>
      <c r="B13" s="1622"/>
      <c r="C13" s="1622"/>
      <c r="D13" s="1622"/>
      <c r="E13" s="1622"/>
      <c r="F13" s="1622"/>
      <c r="G13" s="1622"/>
      <c r="H13" s="1622"/>
      <c r="I13" s="1622"/>
      <c r="J13" s="1622"/>
      <c r="L13" s="469"/>
      <c r="M13" s="469" t="s">
        <v>87</v>
      </c>
      <c r="N13" s="470">
        <f>N16-0.00694444444444444</f>
        <v>0.61805555555555558</v>
      </c>
      <c r="O13" s="478"/>
      <c r="P13" s="466"/>
      <c r="Q13" s="467"/>
    </row>
    <row r="14" spans="1:30" ht="20.100000000000001" customHeight="1">
      <c r="A14" s="1596" t="s">
        <v>859</v>
      </c>
      <c r="B14" s="1596"/>
      <c r="C14" s="1596"/>
      <c r="D14" s="1596"/>
      <c r="E14" s="1596"/>
      <c r="F14" s="1596"/>
      <c r="G14" s="1596"/>
      <c r="H14" s="1596"/>
      <c r="I14" s="1596"/>
      <c r="J14" s="1596"/>
      <c r="M14" s="469" t="s">
        <v>354</v>
      </c>
      <c r="N14" s="473">
        <f>N17</f>
        <v>42494</v>
      </c>
      <c r="O14" s="466" t="s">
        <v>91</v>
      </c>
      <c r="P14" s="466"/>
      <c r="Q14" s="466"/>
    </row>
    <row r="15" spans="1:30" ht="20.100000000000001" customHeight="1">
      <c r="A15" s="482" t="s">
        <v>860</v>
      </c>
      <c r="B15" s="118"/>
      <c r="C15" s="118"/>
      <c r="D15" s="118"/>
      <c r="E15" s="118"/>
      <c r="F15" s="483"/>
      <c r="G15" s="483"/>
      <c r="H15" s="483"/>
      <c r="I15" s="483"/>
      <c r="J15" s="483"/>
      <c r="L15" s="469" t="s">
        <v>93</v>
      </c>
      <c r="M15" s="467"/>
      <c r="N15" s="467"/>
      <c r="P15" s="466"/>
      <c r="Q15" s="466"/>
    </row>
    <row r="16" spans="1:30" ht="20.100000000000001" customHeight="1">
      <c r="A16" s="1595" t="s">
        <v>907</v>
      </c>
      <c r="B16" s="1595"/>
      <c r="C16" s="1595"/>
      <c r="D16" s="1595"/>
      <c r="E16" s="1595"/>
      <c r="F16" s="1595" t="s">
        <v>908</v>
      </c>
      <c r="G16" s="1595"/>
      <c r="H16" s="1595"/>
      <c r="I16" s="1595"/>
      <c r="J16" s="1595"/>
      <c r="M16" s="469" t="s">
        <v>87</v>
      </c>
      <c r="N16" s="545">
        <v>0.625</v>
      </c>
      <c r="O16" s="466"/>
      <c r="P16" s="466"/>
      <c r="Q16" s="466"/>
    </row>
    <row r="17" spans="1:232" ht="20.100000000000001" customHeight="1">
      <c r="A17" s="1595" t="s">
        <v>907</v>
      </c>
      <c r="B17" s="1595"/>
      <c r="C17" s="1595"/>
      <c r="D17" s="1595"/>
      <c r="E17" s="1595"/>
      <c r="F17" s="1595" t="s">
        <v>908</v>
      </c>
      <c r="G17" s="1595"/>
      <c r="H17" s="1595"/>
      <c r="I17" s="1595"/>
      <c r="J17" s="1595"/>
      <c r="M17" s="469" t="s">
        <v>354</v>
      </c>
      <c r="N17" s="546">
        <f>'2. NK'!$J$52+28</f>
        <v>42494</v>
      </c>
      <c r="O17" s="466"/>
      <c r="P17" s="466"/>
      <c r="Q17" s="466"/>
    </row>
    <row r="18" spans="1:232" ht="20.100000000000001" customHeight="1">
      <c r="A18" s="1604" t="s">
        <v>861</v>
      </c>
      <c r="B18" s="1604"/>
      <c r="C18" s="1604"/>
      <c r="D18" s="1604"/>
      <c r="E18" s="1604"/>
      <c r="F18" s="1604"/>
      <c r="G18" s="1604"/>
      <c r="H18" s="1604"/>
      <c r="I18" s="1604"/>
      <c r="J18" s="1604"/>
      <c r="N18" s="473"/>
      <c r="O18" s="466" t="s">
        <v>94</v>
      </c>
      <c r="P18" s="479"/>
      <c r="Q18" s="479"/>
    </row>
    <row r="19" spans="1:232" ht="20.100000000000001" customHeight="1">
      <c r="A19" s="1595" t="s">
        <v>907</v>
      </c>
      <c r="B19" s="1595"/>
      <c r="C19" s="1595"/>
      <c r="D19" s="1595"/>
      <c r="E19" s="1595"/>
      <c r="F19" s="1595" t="s">
        <v>909</v>
      </c>
      <c r="G19" s="1595"/>
      <c r="H19" s="1595"/>
      <c r="I19" s="1595"/>
      <c r="J19" s="1595"/>
      <c r="P19" s="479"/>
      <c r="Q19" s="479"/>
    </row>
    <row r="20" spans="1:232" ht="20.100000000000001" customHeight="1">
      <c r="A20" s="1595" t="s">
        <v>907</v>
      </c>
      <c r="B20" s="1595"/>
      <c r="C20" s="1595"/>
      <c r="D20" s="1595"/>
      <c r="E20" s="1595"/>
      <c r="F20" s="1595" t="s">
        <v>908</v>
      </c>
      <c r="G20" s="1595"/>
      <c r="H20" s="1595"/>
      <c r="I20" s="1595"/>
      <c r="J20" s="1595"/>
      <c r="P20" s="479"/>
      <c r="Q20" s="479"/>
    </row>
    <row r="21" spans="1:232" s="175" customFormat="1" ht="19.5" customHeight="1">
      <c r="A21" s="1596" t="str">
        <f>'7.BBKT-  TĐC'!A135:J135</f>
        <v>III./ THỜI GIAN NGHIỆM THU:</v>
      </c>
      <c r="B21" s="1596"/>
      <c r="C21" s="1596"/>
      <c r="D21" s="1596"/>
      <c r="E21" s="1596"/>
      <c r="F21" s="1596"/>
      <c r="G21" s="1596"/>
      <c r="H21" s="1596"/>
      <c r="I21" s="1596"/>
      <c r="J21" s="1596"/>
      <c r="N21" s="464"/>
      <c r="O21" s="467"/>
      <c r="P21" s="467"/>
      <c r="Q21" s="464"/>
      <c r="R21" s="464"/>
      <c r="S21" s="464"/>
    </row>
    <row r="22" spans="1:232" ht="20.100000000000001" customHeight="1">
      <c r="A22" s="477" t="str">
        <f>'7.BBKT-  TĐC'!A136</f>
        <v xml:space="preserve">Bắt đầu nghiệm thu:    </v>
      </c>
      <c r="B22" s="477"/>
      <c r="C22" s="477"/>
      <c r="D22" s="484">
        <f>N10</f>
        <v>0.58333333333333337</v>
      </c>
      <c r="E22" s="1603">
        <f>$N$17</f>
        <v>42494</v>
      </c>
      <c r="F22" s="1603"/>
      <c r="G22" s="1603"/>
      <c r="H22" s="1603"/>
      <c r="I22" s="1603"/>
      <c r="J22" s="1603"/>
      <c r="N22" s="175"/>
      <c r="O22" s="467"/>
      <c r="P22" s="467"/>
      <c r="S22" s="175"/>
    </row>
    <row r="23" spans="1:232" ht="20.100000000000001" customHeight="1">
      <c r="A23" s="477" t="str">
        <f>'7.BBKT-  TĐC'!A137</f>
        <v xml:space="preserve">Kết thúc nghiệm thu: </v>
      </c>
      <c r="B23" s="477"/>
      <c r="C23" s="477"/>
      <c r="D23" s="484">
        <f>N10+O11</f>
        <v>0.59722222222222221</v>
      </c>
      <c r="E23" s="1603">
        <f>$N$17</f>
        <v>42494</v>
      </c>
      <c r="F23" s="1603"/>
      <c r="G23" s="1603"/>
      <c r="H23" s="1603"/>
      <c r="I23" s="1603"/>
      <c r="J23" s="1603"/>
      <c r="P23" s="467"/>
      <c r="Q23" s="467"/>
    </row>
    <row r="24" spans="1:232" ht="20.100000000000001" customHeight="1">
      <c r="A24" s="765" t="str">
        <f>'[6]7. BBNT-TOADOCOC'!A26</f>
        <v>Địa điểm: Đường 25/4, Phường Bạch Đằng, TP. Hạ Long, tỉnh Quảng Ninh</v>
      </c>
      <c r="B24" s="489"/>
      <c r="C24" s="489"/>
      <c r="D24" s="489"/>
      <c r="E24" s="489"/>
      <c r="F24" s="489"/>
      <c r="G24" s="489"/>
      <c r="H24" s="489"/>
      <c r="I24" s="489"/>
      <c r="J24" s="489"/>
      <c r="P24" s="467"/>
      <c r="Q24" s="467"/>
    </row>
    <row r="25" spans="1:232" ht="20.100000000000001" customHeight="1">
      <c r="A25" s="1596" t="s">
        <v>441</v>
      </c>
      <c r="B25" s="1596"/>
      <c r="C25" s="1596"/>
      <c r="D25" s="1596"/>
      <c r="E25" s="1596"/>
      <c r="F25" s="1596"/>
      <c r="G25" s="1596"/>
      <c r="H25" s="1596"/>
      <c r="I25" s="1596"/>
      <c r="J25" s="1596"/>
      <c r="P25" s="467"/>
    </row>
    <row r="26" spans="1:232" s="175" customFormat="1" ht="20.100000000000001" customHeight="1">
      <c r="A26" s="1604" t="s">
        <v>921</v>
      </c>
      <c r="B26" s="1604"/>
      <c r="C26" s="1604"/>
      <c r="D26" s="1604"/>
      <c r="E26" s="1604"/>
      <c r="F26" s="1604"/>
      <c r="G26" s="1604"/>
      <c r="H26" s="1604"/>
      <c r="I26" s="1604"/>
      <c r="J26" s="1604"/>
      <c r="N26" s="464"/>
      <c r="O26" s="464"/>
      <c r="P26" s="467"/>
      <c r="Q26" s="467"/>
      <c r="R26" s="464"/>
      <c r="S26" s="464"/>
    </row>
    <row r="27" spans="1:232" ht="20.100000000000001" customHeight="1">
      <c r="A27" s="1595" t="s">
        <v>862</v>
      </c>
      <c r="B27" s="1595"/>
      <c r="C27" s="1595"/>
      <c r="D27" s="1595"/>
      <c r="E27" s="1595"/>
      <c r="F27" s="1595"/>
      <c r="G27" s="1595"/>
      <c r="H27" s="1595"/>
      <c r="I27" s="1595"/>
      <c r="J27" s="1595"/>
      <c r="N27" s="175"/>
      <c r="O27" s="175"/>
      <c r="P27" s="467"/>
      <c r="R27" s="175"/>
      <c r="S27" s="175"/>
    </row>
    <row r="28" spans="1:232" ht="20.100000000000001" customHeight="1">
      <c r="A28" s="1679" t="str">
        <f>'7.BBKT-  TĐC'!A29:J29</f>
        <v>-    Hồ sơ thiết kế bản vẽ thi công đã được phê duyệt.</v>
      </c>
      <c r="B28" s="1679"/>
      <c r="C28" s="1679"/>
      <c r="D28" s="1679"/>
      <c r="E28" s="1679"/>
      <c r="F28" s="1679"/>
      <c r="G28" s="1679"/>
      <c r="H28" s="1679"/>
      <c r="I28" s="1679"/>
      <c r="J28" s="1679"/>
      <c r="P28" s="467"/>
    </row>
    <row r="29" spans="1:232" s="637" customFormat="1" ht="20.100000000000001" customHeight="1">
      <c r="A29" s="486" t="s">
        <v>104</v>
      </c>
      <c r="B29" s="477"/>
      <c r="C29" s="477"/>
      <c r="D29" s="477"/>
      <c r="E29" s="477"/>
      <c r="F29" s="477"/>
      <c r="G29" s="477"/>
      <c r="H29" s="477"/>
      <c r="I29" s="477"/>
      <c r="J29" s="477"/>
      <c r="K29" s="477"/>
      <c r="L29" s="477"/>
      <c r="M29" s="477"/>
      <c r="N29" s="464"/>
      <c r="O29" s="464"/>
      <c r="P29" s="467"/>
      <c r="Q29" s="464"/>
      <c r="R29" s="464"/>
      <c r="S29" s="464"/>
      <c r="T29" s="487"/>
      <c r="U29" s="487"/>
      <c r="V29" s="487"/>
      <c r="W29" s="487"/>
      <c r="X29" s="487"/>
      <c r="Y29" s="487"/>
      <c r="Z29" s="487"/>
      <c r="AA29" s="487"/>
      <c r="AB29" s="487"/>
      <c r="AC29" s="487"/>
      <c r="AD29" s="487"/>
      <c r="AE29" s="487"/>
      <c r="AF29" s="487"/>
      <c r="AG29" s="487"/>
      <c r="AH29" s="487"/>
      <c r="AI29" s="487"/>
      <c r="AJ29" s="487"/>
      <c r="AK29" s="487"/>
      <c r="AL29" s="487"/>
      <c r="AM29" s="487"/>
      <c r="AN29" s="487"/>
      <c r="AO29" s="487"/>
      <c r="AP29" s="487"/>
      <c r="AQ29" s="487"/>
      <c r="AR29" s="487"/>
      <c r="AS29" s="487"/>
      <c r="AT29" s="487"/>
      <c r="AU29" s="487"/>
      <c r="AV29" s="487"/>
      <c r="AW29" s="487"/>
      <c r="AX29" s="487"/>
      <c r="AY29" s="487"/>
      <c r="AZ29" s="487"/>
      <c r="BA29" s="487"/>
      <c r="BB29" s="487"/>
      <c r="BC29" s="487"/>
      <c r="BD29" s="487"/>
      <c r="BE29" s="487"/>
      <c r="BF29" s="487"/>
      <c r="BG29" s="487"/>
      <c r="BH29" s="487"/>
      <c r="BI29" s="487"/>
      <c r="BJ29" s="487"/>
      <c r="BK29" s="487"/>
      <c r="BL29" s="487"/>
      <c r="BM29" s="487"/>
      <c r="BN29" s="487"/>
      <c r="BO29" s="487"/>
      <c r="BP29" s="487"/>
      <c r="BQ29" s="487"/>
      <c r="BR29" s="487"/>
      <c r="BS29" s="487"/>
      <c r="BT29" s="487"/>
      <c r="BU29" s="487"/>
      <c r="BV29" s="487"/>
      <c r="BW29" s="487"/>
      <c r="BX29" s="487"/>
      <c r="BY29" s="487"/>
      <c r="BZ29" s="487"/>
      <c r="CA29" s="487"/>
      <c r="CB29" s="487"/>
      <c r="CC29" s="487"/>
      <c r="CD29" s="487"/>
      <c r="CE29" s="487"/>
      <c r="CF29" s="487"/>
      <c r="CG29" s="487"/>
      <c r="CH29" s="487"/>
      <c r="CI29" s="487"/>
      <c r="CJ29" s="487"/>
      <c r="CK29" s="487"/>
      <c r="CL29" s="487"/>
      <c r="CM29" s="487"/>
      <c r="CN29" s="487"/>
      <c r="CO29" s="487"/>
      <c r="CP29" s="487"/>
      <c r="CQ29" s="487"/>
      <c r="CR29" s="487"/>
      <c r="CS29" s="487"/>
      <c r="CT29" s="487"/>
      <c r="CU29" s="487"/>
      <c r="CV29" s="487"/>
      <c r="CW29" s="487"/>
      <c r="CX29" s="487"/>
      <c r="CY29" s="487"/>
      <c r="CZ29" s="487"/>
      <c r="DA29" s="487"/>
      <c r="DB29" s="487"/>
      <c r="DC29" s="487"/>
      <c r="DD29" s="487"/>
      <c r="DE29" s="487"/>
      <c r="DF29" s="487"/>
      <c r="DG29" s="487"/>
      <c r="DH29" s="487"/>
      <c r="DI29" s="487"/>
      <c r="DJ29" s="487"/>
      <c r="DK29" s="487"/>
      <c r="DL29" s="487"/>
      <c r="DM29" s="487"/>
      <c r="DN29" s="487"/>
      <c r="DO29" s="487"/>
      <c r="DP29" s="487"/>
      <c r="DQ29" s="487"/>
      <c r="DR29" s="487"/>
      <c r="DS29" s="487"/>
      <c r="DT29" s="487"/>
      <c r="DU29" s="487"/>
      <c r="DV29" s="487"/>
      <c r="DW29" s="487"/>
      <c r="DX29" s="487"/>
      <c r="DY29" s="487"/>
      <c r="DZ29" s="487"/>
      <c r="EA29" s="487"/>
      <c r="EB29" s="487"/>
      <c r="EC29" s="487"/>
      <c r="ED29" s="487"/>
      <c r="EE29" s="487"/>
      <c r="EF29" s="487"/>
      <c r="EG29" s="487"/>
      <c r="EH29" s="487"/>
      <c r="EI29" s="487"/>
      <c r="EJ29" s="487"/>
      <c r="EK29" s="487"/>
      <c r="EL29" s="487"/>
      <c r="EM29" s="487"/>
      <c r="EN29" s="487"/>
      <c r="EO29" s="487"/>
      <c r="EP29" s="487"/>
      <c r="EQ29" s="487"/>
      <c r="ER29" s="487"/>
      <c r="ES29" s="487"/>
      <c r="ET29" s="487"/>
      <c r="EU29" s="487"/>
      <c r="EV29" s="487"/>
      <c r="EW29" s="487"/>
      <c r="EX29" s="487"/>
      <c r="EY29" s="487"/>
      <c r="EZ29" s="487"/>
      <c r="FA29" s="487"/>
      <c r="FB29" s="487"/>
      <c r="FC29" s="487"/>
      <c r="FD29" s="487"/>
      <c r="FE29" s="487"/>
      <c r="FF29" s="487"/>
      <c r="FG29" s="487"/>
      <c r="FH29" s="487"/>
      <c r="FI29" s="487"/>
      <c r="FJ29" s="487"/>
      <c r="FK29" s="487"/>
      <c r="FL29" s="487"/>
      <c r="FM29" s="487"/>
      <c r="FN29" s="487"/>
      <c r="FO29" s="487"/>
      <c r="FP29" s="487"/>
      <c r="FQ29" s="487"/>
      <c r="FR29" s="487"/>
      <c r="FS29" s="487"/>
      <c r="FT29" s="487"/>
      <c r="FU29" s="487"/>
      <c r="FV29" s="487"/>
      <c r="FW29" s="487"/>
      <c r="FX29" s="487"/>
      <c r="FY29" s="487"/>
      <c r="FZ29" s="487"/>
      <c r="GA29" s="487"/>
      <c r="GB29" s="487"/>
      <c r="GC29" s="487"/>
      <c r="GD29" s="487"/>
      <c r="GE29" s="487"/>
      <c r="GF29" s="487"/>
      <c r="GG29" s="487"/>
      <c r="GH29" s="487"/>
      <c r="GI29" s="487"/>
      <c r="GJ29" s="487"/>
      <c r="GK29" s="487"/>
      <c r="GL29" s="487"/>
      <c r="GM29" s="487"/>
      <c r="GN29" s="487"/>
      <c r="GO29" s="487"/>
      <c r="GP29" s="487"/>
      <c r="GQ29" s="487"/>
      <c r="GR29" s="487"/>
      <c r="GS29" s="487"/>
      <c r="GT29" s="487"/>
      <c r="GU29" s="487"/>
      <c r="GV29" s="487"/>
      <c r="GW29" s="487"/>
      <c r="GX29" s="487"/>
      <c r="GY29" s="487"/>
      <c r="GZ29" s="487"/>
      <c r="HA29" s="487"/>
      <c r="HB29" s="487"/>
      <c r="HC29" s="487"/>
      <c r="HD29" s="487"/>
      <c r="HE29" s="487"/>
      <c r="HF29" s="487"/>
      <c r="HG29" s="487"/>
      <c r="HH29" s="487"/>
      <c r="HI29" s="487"/>
      <c r="HJ29" s="487"/>
      <c r="HK29" s="487"/>
      <c r="HL29" s="487"/>
      <c r="HM29" s="487"/>
      <c r="HN29" s="487"/>
      <c r="HO29" s="487"/>
      <c r="HP29" s="487"/>
      <c r="HQ29" s="487"/>
      <c r="HR29" s="487"/>
      <c r="HS29" s="487"/>
      <c r="HT29" s="487"/>
      <c r="HU29" s="487"/>
      <c r="HV29" s="487"/>
      <c r="HW29" s="487"/>
      <c r="HX29" s="487"/>
    </row>
    <row r="30" spans="1:232" s="637" customFormat="1" ht="20.100000000000001" customHeight="1">
      <c r="A30" s="885" t="s">
        <v>1027</v>
      </c>
      <c r="B30" s="477" t="s">
        <v>1028</v>
      </c>
      <c r="C30" s="477"/>
      <c r="D30" s="477"/>
      <c r="E30" s="477"/>
      <c r="F30" s="477"/>
      <c r="G30" s="477"/>
      <c r="H30" s="477"/>
      <c r="I30" s="477"/>
      <c r="J30" s="477"/>
      <c r="K30" s="477"/>
      <c r="L30" s="477"/>
      <c r="M30" s="477"/>
      <c r="N30" s="487"/>
      <c r="O30" s="487"/>
      <c r="P30" s="467"/>
      <c r="Q30" s="464"/>
      <c r="R30" s="487"/>
      <c r="S30" s="487"/>
      <c r="T30" s="487"/>
      <c r="U30" s="489"/>
      <c r="V30" s="489"/>
      <c r="W30" s="489"/>
      <c r="X30" s="489"/>
      <c r="Y30" s="489"/>
      <c r="Z30" s="489"/>
      <c r="AA30" s="489"/>
      <c r="AB30" s="489"/>
      <c r="AC30" s="489"/>
      <c r="AD30" s="489"/>
      <c r="AE30" s="489"/>
      <c r="AF30" s="489"/>
      <c r="AG30" s="489"/>
      <c r="AH30" s="489"/>
      <c r="AI30" s="489"/>
      <c r="AJ30" s="489"/>
      <c r="AK30" s="489"/>
      <c r="AL30" s="489"/>
      <c r="AM30" s="489"/>
      <c r="AN30" s="489"/>
      <c r="AO30" s="489"/>
      <c r="AP30" s="489"/>
      <c r="AQ30" s="489"/>
      <c r="AR30" s="489"/>
      <c r="AS30" s="489"/>
      <c r="AT30" s="489"/>
      <c r="AU30" s="489"/>
      <c r="AV30" s="489"/>
      <c r="AW30" s="489"/>
      <c r="AX30" s="489"/>
      <c r="AY30" s="489"/>
      <c r="AZ30" s="489"/>
      <c r="BA30" s="489"/>
      <c r="BB30" s="489"/>
      <c r="BC30" s="489"/>
      <c r="BD30" s="489"/>
      <c r="BE30" s="489"/>
      <c r="BF30" s="489"/>
      <c r="BG30" s="489"/>
      <c r="BH30" s="489"/>
      <c r="BI30" s="489"/>
      <c r="BJ30" s="489"/>
      <c r="BK30" s="489"/>
      <c r="BL30" s="489"/>
      <c r="BM30" s="489"/>
      <c r="BN30" s="489"/>
      <c r="BO30" s="489"/>
      <c r="BP30" s="489"/>
      <c r="BQ30" s="489"/>
      <c r="BR30" s="489"/>
      <c r="BS30" s="489"/>
      <c r="BT30" s="489"/>
      <c r="BU30" s="489"/>
      <c r="BV30" s="489"/>
      <c r="BW30" s="489"/>
      <c r="BX30" s="489"/>
      <c r="BY30" s="489"/>
      <c r="BZ30" s="489"/>
      <c r="CA30" s="489"/>
      <c r="CB30" s="489"/>
      <c r="CC30" s="489"/>
      <c r="CD30" s="489"/>
      <c r="CE30" s="489"/>
      <c r="CF30" s="489"/>
      <c r="CG30" s="489"/>
      <c r="CH30" s="489"/>
      <c r="CI30" s="489"/>
      <c r="CJ30" s="489"/>
      <c r="CK30" s="489"/>
      <c r="CL30" s="489"/>
      <c r="CM30" s="489"/>
      <c r="CN30" s="489"/>
      <c r="CO30" s="489"/>
      <c r="CP30" s="489"/>
      <c r="CQ30" s="489"/>
      <c r="CR30" s="489"/>
      <c r="CS30" s="489"/>
      <c r="CT30" s="489"/>
      <c r="CU30" s="489"/>
      <c r="CV30" s="489"/>
      <c r="CW30" s="489"/>
      <c r="CX30" s="489"/>
      <c r="CY30" s="489"/>
      <c r="CZ30" s="489"/>
      <c r="DA30" s="489"/>
      <c r="DB30" s="489"/>
      <c r="DC30" s="489"/>
      <c r="DD30" s="489"/>
      <c r="DE30" s="489"/>
      <c r="DF30" s="489"/>
      <c r="DG30" s="489"/>
      <c r="DH30" s="489"/>
      <c r="DI30" s="489"/>
      <c r="DJ30" s="489"/>
      <c r="DK30" s="489"/>
      <c r="DL30" s="489"/>
      <c r="DM30" s="489"/>
      <c r="DN30" s="489"/>
      <c r="DO30" s="489"/>
      <c r="DP30" s="489"/>
      <c r="DQ30" s="489"/>
      <c r="DR30" s="489"/>
      <c r="DS30" s="489"/>
      <c r="DT30" s="489"/>
      <c r="DU30" s="489"/>
      <c r="DV30" s="489"/>
      <c r="DW30" s="489"/>
      <c r="DX30" s="489"/>
      <c r="DY30" s="489"/>
      <c r="DZ30" s="489"/>
      <c r="EA30" s="489"/>
      <c r="EB30" s="489"/>
      <c r="EC30" s="489"/>
      <c r="ED30" s="489"/>
      <c r="EE30" s="489"/>
      <c r="EF30" s="489"/>
      <c r="EG30" s="489"/>
      <c r="EH30" s="489"/>
      <c r="EI30" s="489"/>
      <c r="EJ30" s="489"/>
      <c r="EK30" s="489"/>
      <c r="EL30" s="489"/>
      <c r="EM30" s="489"/>
      <c r="EN30" s="489"/>
      <c r="EO30" s="489"/>
      <c r="EP30" s="489"/>
      <c r="EQ30" s="489"/>
      <c r="ER30" s="489"/>
      <c r="ES30" s="489"/>
      <c r="ET30" s="489"/>
      <c r="EU30" s="489"/>
      <c r="EV30" s="489"/>
      <c r="EW30" s="489"/>
      <c r="EX30" s="489"/>
      <c r="EY30" s="489"/>
      <c r="EZ30" s="489"/>
      <c r="FA30" s="489"/>
      <c r="FB30" s="489"/>
      <c r="FC30" s="489"/>
      <c r="FD30" s="489"/>
      <c r="FE30" s="489"/>
      <c r="FF30" s="489"/>
      <c r="FG30" s="489"/>
      <c r="FH30" s="489"/>
      <c r="FI30" s="489"/>
      <c r="FJ30" s="489"/>
      <c r="FK30" s="489"/>
      <c r="FL30" s="489"/>
      <c r="FM30" s="489"/>
      <c r="FN30" s="489"/>
      <c r="FO30" s="489"/>
      <c r="FP30" s="489"/>
      <c r="FQ30" s="489"/>
      <c r="FR30" s="489"/>
      <c r="FS30" s="489"/>
      <c r="FT30" s="489"/>
      <c r="FU30" s="489"/>
      <c r="FV30" s="489"/>
      <c r="FW30" s="489"/>
      <c r="FX30" s="489"/>
      <c r="FY30" s="489"/>
      <c r="FZ30" s="489"/>
      <c r="GA30" s="489"/>
      <c r="GB30" s="489"/>
      <c r="GC30" s="489"/>
      <c r="GD30" s="489"/>
      <c r="GE30" s="489"/>
      <c r="GF30" s="489"/>
      <c r="GG30" s="489"/>
      <c r="GH30" s="489"/>
      <c r="GI30" s="489"/>
      <c r="GJ30" s="489"/>
      <c r="GK30" s="489"/>
      <c r="GL30" s="489"/>
      <c r="GM30" s="489"/>
      <c r="GN30" s="489"/>
      <c r="GO30" s="489"/>
      <c r="GP30" s="489"/>
      <c r="GQ30" s="489"/>
      <c r="GR30" s="489"/>
      <c r="GS30" s="489"/>
      <c r="GT30" s="489"/>
      <c r="GU30" s="489"/>
      <c r="GV30" s="489"/>
      <c r="GW30" s="489"/>
      <c r="GX30" s="489"/>
      <c r="GY30" s="489"/>
      <c r="GZ30" s="489"/>
      <c r="HA30" s="489"/>
      <c r="HB30" s="489"/>
      <c r="HC30" s="489"/>
      <c r="HD30" s="489"/>
      <c r="HE30" s="489"/>
      <c r="HF30" s="489"/>
      <c r="HG30" s="489"/>
      <c r="HH30" s="489"/>
      <c r="HI30" s="489"/>
      <c r="HJ30" s="489"/>
      <c r="HK30" s="489"/>
      <c r="HL30" s="489"/>
      <c r="HM30" s="489"/>
      <c r="HN30" s="489"/>
      <c r="HO30" s="489"/>
      <c r="HP30" s="489"/>
      <c r="HQ30" s="489"/>
      <c r="HR30" s="489"/>
      <c r="HS30" s="489"/>
      <c r="HT30" s="489"/>
      <c r="HU30" s="489"/>
      <c r="HV30" s="489"/>
      <c r="HW30" s="489"/>
      <c r="HX30" s="487"/>
    </row>
    <row r="31" spans="1:232" s="637" customFormat="1" ht="20.100000000000001" customHeight="1">
      <c r="A31" s="885" t="s">
        <v>1027</v>
      </c>
      <c r="B31" s="477" t="s">
        <v>1029</v>
      </c>
      <c r="C31" s="477"/>
      <c r="D31" s="477"/>
      <c r="E31" s="477"/>
      <c r="F31" s="477"/>
      <c r="G31" s="477"/>
      <c r="H31" s="477"/>
      <c r="I31" s="477"/>
      <c r="J31" s="477"/>
      <c r="K31" s="477"/>
      <c r="L31" s="477"/>
      <c r="M31" s="477"/>
      <c r="N31" s="487"/>
      <c r="O31" s="487"/>
      <c r="P31" s="487"/>
      <c r="Q31" s="487"/>
      <c r="R31" s="487"/>
      <c r="S31" s="487"/>
      <c r="T31" s="477"/>
      <c r="U31" s="489"/>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7"/>
    </row>
    <row r="32" spans="1:232" s="637" customFormat="1" ht="33" customHeight="1">
      <c r="A32" s="892" t="s">
        <v>1027</v>
      </c>
      <c r="B32" s="1602" t="s">
        <v>1043</v>
      </c>
      <c r="C32" s="1602"/>
      <c r="D32" s="1602"/>
      <c r="E32" s="1602"/>
      <c r="F32" s="1602"/>
      <c r="G32" s="1602"/>
      <c r="H32" s="1602"/>
      <c r="I32" s="1602"/>
      <c r="J32" s="1602"/>
      <c r="K32" s="491"/>
      <c r="L32" s="477"/>
      <c r="M32" s="477"/>
      <c r="N32" s="492"/>
      <c r="O32" s="492"/>
      <c r="P32" s="492"/>
      <c r="Q32" s="492"/>
      <c r="R32" s="492"/>
      <c r="S32" s="492"/>
      <c r="T32" s="492"/>
      <c r="U32" s="489"/>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7"/>
    </row>
    <row r="33" spans="1:232" s="637" customFormat="1" ht="19.5" customHeight="1">
      <c r="A33" s="885" t="s">
        <v>1027</v>
      </c>
      <c r="B33" s="1602" t="s">
        <v>1044</v>
      </c>
      <c r="C33" s="1602"/>
      <c r="D33" s="1602"/>
      <c r="E33" s="1602"/>
      <c r="F33" s="1602"/>
      <c r="G33" s="1602"/>
      <c r="H33" s="1602"/>
      <c r="I33" s="1602"/>
      <c r="J33" s="1602"/>
      <c r="K33" s="491"/>
      <c r="L33" s="477"/>
      <c r="M33" s="477"/>
      <c r="N33" s="492"/>
      <c r="O33" s="492"/>
      <c r="P33" s="492"/>
      <c r="Q33" s="492"/>
      <c r="R33" s="492"/>
      <c r="S33" s="492"/>
      <c r="T33" s="492"/>
      <c r="U33" s="489"/>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7"/>
    </row>
    <row r="34" spans="1:232" s="637" customFormat="1" ht="19.5" customHeight="1">
      <c r="A34" s="885" t="s">
        <v>1027</v>
      </c>
      <c r="B34" s="1602" t="s">
        <v>1045</v>
      </c>
      <c r="C34" s="1602"/>
      <c r="D34" s="1602"/>
      <c r="E34" s="1602"/>
      <c r="F34" s="1602"/>
      <c r="G34" s="1602"/>
      <c r="H34" s="1602"/>
      <c r="I34" s="1602"/>
      <c r="J34" s="1602"/>
      <c r="K34" s="491"/>
      <c r="L34" s="477"/>
      <c r="M34" s="477"/>
      <c r="N34" s="492"/>
      <c r="O34" s="492"/>
      <c r="P34" s="492"/>
      <c r="Q34" s="492"/>
      <c r="R34" s="492"/>
      <c r="S34" s="492"/>
      <c r="T34" s="492"/>
      <c r="U34" s="489"/>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7"/>
    </row>
    <row r="35" spans="1:232" s="637" customFormat="1" ht="19.5" customHeight="1">
      <c r="A35" s="885" t="s">
        <v>1027</v>
      </c>
      <c r="B35" s="917" t="str">
        <f>'7.BBKT-  TĐC'!B150</f>
        <v>TCVN 5308 - 1991: Quy trình kỹ thuật an toàn trong xây dựng.</v>
      </c>
      <c r="C35" s="742"/>
      <c r="D35" s="742"/>
      <c r="E35" s="742"/>
      <c r="F35" s="742"/>
      <c r="G35" s="742"/>
      <c r="H35" s="742"/>
      <c r="I35" s="742"/>
      <c r="J35" s="742"/>
      <c r="K35" s="491"/>
      <c r="L35" s="477"/>
      <c r="M35" s="477"/>
      <c r="N35" s="492"/>
      <c r="O35" s="492"/>
      <c r="P35" s="492"/>
      <c r="Q35" s="492"/>
      <c r="R35" s="492"/>
      <c r="S35" s="492"/>
      <c r="T35" s="492"/>
      <c r="U35" s="489"/>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7"/>
    </row>
    <row r="36" spans="1:232" s="637" customFormat="1" ht="20.100000000000001" customHeight="1">
      <c r="A36" s="886" t="s">
        <v>1031</v>
      </c>
      <c r="C36" s="491"/>
      <c r="D36" s="491"/>
      <c r="E36" s="491"/>
      <c r="F36" s="491"/>
      <c r="G36" s="491"/>
      <c r="H36" s="491"/>
      <c r="I36" s="491"/>
      <c r="J36" s="491"/>
      <c r="K36" s="491"/>
      <c r="L36" s="477"/>
      <c r="M36" s="477"/>
      <c r="N36" s="477"/>
      <c r="O36" s="477"/>
      <c r="P36" s="477"/>
      <c r="Q36" s="477"/>
      <c r="R36" s="477"/>
      <c r="S36" s="477"/>
      <c r="T36" s="492"/>
      <c r="U36" s="489"/>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7"/>
    </row>
    <row r="37" spans="1:232" s="637" customFormat="1" ht="20.100000000000001" customHeight="1">
      <c r="A37" s="890" t="s">
        <v>1037</v>
      </c>
      <c r="B37" s="491"/>
      <c r="C37" s="491"/>
      <c r="D37" s="491"/>
      <c r="E37" s="491"/>
      <c r="F37" s="491"/>
      <c r="G37" s="491"/>
      <c r="H37" s="491"/>
      <c r="I37" s="491"/>
      <c r="J37" s="491"/>
      <c r="K37" s="491"/>
      <c r="L37" s="477"/>
      <c r="M37" s="477"/>
      <c r="N37" s="477"/>
      <c r="O37" s="477"/>
      <c r="P37" s="477"/>
      <c r="Q37" s="477"/>
      <c r="R37" s="477"/>
      <c r="S37" s="477"/>
      <c r="T37" s="492"/>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7"/>
    </row>
    <row r="38" spans="1:232" s="45" customFormat="1" ht="20.100000000000001" customHeight="1">
      <c r="A38" s="493" t="s">
        <v>1040</v>
      </c>
      <c r="B38" s="489"/>
      <c r="C38" s="489"/>
      <c r="D38" s="489"/>
      <c r="E38" s="489"/>
      <c r="F38" s="489"/>
      <c r="G38" s="489"/>
      <c r="H38" s="489"/>
      <c r="I38" s="489"/>
      <c r="J38" s="489"/>
      <c r="K38" s="489"/>
      <c r="L38" s="494"/>
      <c r="M38" s="494"/>
      <c r="N38" s="492"/>
      <c r="O38" s="492"/>
      <c r="P38" s="492"/>
      <c r="Q38" s="492"/>
      <c r="R38" s="492"/>
      <c r="S38" s="492"/>
      <c r="T38" s="495"/>
      <c r="U38" s="496"/>
      <c r="V38" s="496"/>
      <c r="W38" s="496"/>
      <c r="X38" s="496"/>
      <c r="Y38" s="496"/>
      <c r="Z38" s="496"/>
      <c r="AA38" s="496"/>
      <c r="AB38" s="496"/>
      <c r="AC38" s="496"/>
      <c r="AD38" s="496"/>
      <c r="AE38" s="496"/>
      <c r="AF38" s="496"/>
      <c r="AG38" s="496"/>
      <c r="AH38" s="496"/>
      <c r="AI38" s="496"/>
      <c r="AJ38" s="496"/>
      <c r="AK38" s="496"/>
      <c r="AL38" s="496"/>
      <c r="AM38" s="496"/>
      <c r="AN38" s="496"/>
      <c r="AO38" s="496"/>
      <c r="AP38" s="496"/>
      <c r="AQ38" s="496"/>
      <c r="AR38" s="496"/>
      <c r="AS38" s="496"/>
      <c r="AT38" s="496"/>
      <c r="AU38" s="496"/>
      <c r="AV38" s="496"/>
      <c r="AW38" s="496"/>
      <c r="AX38" s="496"/>
      <c r="AY38" s="496"/>
      <c r="AZ38" s="496"/>
      <c r="BA38" s="496"/>
      <c r="BB38" s="496"/>
      <c r="BC38" s="496"/>
      <c r="BD38" s="496"/>
      <c r="BE38" s="496"/>
      <c r="BF38" s="496"/>
      <c r="BG38" s="496"/>
      <c r="BH38" s="496"/>
      <c r="BI38" s="496"/>
      <c r="BJ38" s="496"/>
      <c r="BK38" s="496"/>
      <c r="BL38" s="496"/>
      <c r="BM38" s="496"/>
      <c r="BN38" s="496"/>
      <c r="BO38" s="496"/>
      <c r="BP38" s="496"/>
      <c r="BQ38" s="496"/>
      <c r="BR38" s="496"/>
      <c r="BS38" s="496"/>
      <c r="BT38" s="496"/>
      <c r="BU38" s="496"/>
      <c r="BV38" s="496"/>
      <c r="BW38" s="496"/>
      <c r="BX38" s="496"/>
      <c r="BY38" s="496"/>
      <c r="BZ38" s="496"/>
      <c r="CA38" s="496"/>
      <c r="CB38" s="496"/>
      <c r="CC38" s="496"/>
      <c r="CD38" s="496"/>
      <c r="CE38" s="496"/>
      <c r="CF38" s="496"/>
      <c r="CG38" s="496"/>
      <c r="CH38" s="496"/>
      <c r="CI38" s="496"/>
      <c r="CJ38" s="496"/>
      <c r="CK38" s="496"/>
      <c r="CL38" s="496"/>
      <c r="CM38" s="496"/>
      <c r="CN38" s="496"/>
      <c r="CO38" s="496"/>
      <c r="CP38" s="496"/>
      <c r="CQ38" s="496"/>
      <c r="CR38" s="496"/>
      <c r="CS38" s="496"/>
      <c r="CT38" s="496"/>
      <c r="CU38" s="496"/>
      <c r="CV38" s="496"/>
      <c r="CW38" s="496"/>
      <c r="CX38" s="496"/>
      <c r="CY38" s="496"/>
      <c r="CZ38" s="496"/>
      <c r="DA38" s="496"/>
      <c r="DB38" s="496"/>
      <c r="DC38" s="496"/>
      <c r="DD38" s="496"/>
      <c r="DE38" s="496"/>
      <c r="DF38" s="496"/>
      <c r="DG38" s="496"/>
      <c r="DH38" s="496"/>
      <c r="DI38" s="496"/>
      <c r="DJ38" s="496"/>
      <c r="DK38" s="496"/>
      <c r="DL38" s="496"/>
      <c r="DM38" s="496"/>
      <c r="DN38" s="496"/>
      <c r="DO38" s="496"/>
      <c r="DP38" s="496"/>
      <c r="DQ38" s="496"/>
      <c r="DR38" s="496"/>
      <c r="DS38" s="496"/>
      <c r="DT38" s="496"/>
      <c r="DU38" s="496"/>
      <c r="DV38" s="496"/>
      <c r="DW38" s="496"/>
      <c r="DX38" s="496"/>
      <c r="DY38" s="496"/>
      <c r="DZ38" s="496"/>
      <c r="EA38" s="496"/>
      <c r="EB38" s="496"/>
      <c r="EC38" s="496"/>
      <c r="ED38" s="496"/>
      <c r="EE38" s="496"/>
      <c r="EF38" s="496"/>
      <c r="EG38" s="496"/>
      <c r="EH38" s="496"/>
      <c r="EI38" s="496"/>
      <c r="EJ38" s="496"/>
      <c r="EK38" s="496"/>
      <c r="EL38" s="496"/>
      <c r="EM38" s="496"/>
      <c r="EN38" s="496"/>
      <c r="EO38" s="496"/>
      <c r="EP38" s="496"/>
      <c r="EQ38" s="496"/>
      <c r="ER38" s="496"/>
      <c r="ES38" s="496"/>
      <c r="ET38" s="496"/>
      <c r="EU38" s="496"/>
      <c r="EV38" s="496"/>
      <c r="EW38" s="496"/>
      <c r="EX38" s="496"/>
      <c r="EY38" s="496"/>
      <c r="EZ38" s="496"/>
      <c r="FA38" s="496"/>
      <c r="FB38" s="496"/>
      <c r="FC38" s="496"/>
      <c r="FD38" s="496"/>
      <c r="FE38" s="496"/>
      <c r="FF38" s="496"/>
      <c r="FG38" s="496"/>
      <c r="FH38" s="496"/>
      <c r="FI38" s="496"/>
      <c r="FJ38" s="496"/>
      <c r="FK38" s="496"/>
      <c r="FL38" s="496"/>
      <c r="FM38" s="496"/>
      <c r="FN38" s="496"/>
      <c r="FO38" s="496"/>
      <c r="FP38" s="496"/>
      <c r="FQ38" s="496"/>
      <c r="FR38" s="496"/>
      <c r="FS38" s="496"/>
      <c r="FT38" s="496"/>
      <c r="FU38" s="496"/>
      <c r="FV38" s="496"/>
      <c r="FW38" s="496"/>
      <c r="FX38" s="496"/>
      <c r="FY38" s="496"/>
      <c r="FZ38" s="496"/>
      <c r="GA38" s="496"/>
      <c r="GB38" s="496"/>
      <c r="GC38" s="496"/>
      <c r="GD38" s="496"/>
      <c r="GE38" s="496"/>
      <c r="GF38" s="496"/>
      <c r="GG38" s="496"/>
      <c r="GH38" s="496"/>
      <c r="GI38" s="496"/>
      <c r="GJ38" s="496"/>
      <c r="GK38" s="496"/>
      <c r="GL38" s="496"/>
      <c r="GM38" s="496"/>
      <c r="GN38" s="496"/>
      <c r="GO38" s="496"/>
      <c r="GP38" s="496"/>
      <c r="GQ38" s="496"/>
      <c r="GR38" s="496"/>
      <c r="GS38" s="496"/>
      <c r="GT38" s="496"/>
      <c r="GU38" s="496"/>
      <c r="GV38" s="496"/>
      <c r="GW38" s="496"/>
      <c r="GX38" s="496"/>
      <c r="GY38" s="496"/>
      <c r="GZ38" s="496"/>
      <c r="HA38" s="496"/>
      <c r="HB38" s="496"/>
      <c r="HC38" s="496"/>
      <c r="HD38" s="496"/>
      <c r="HE38" s="496"/>
      <c r="HF38" s="496"/>
      <c r="HG38" s="496"/>
      <c r="HH38" s="496"/>
      <c r="HI38" s="496"/>
      <c r="HJ38" s="496"/>
      <c r="HK38" s="496"/>
      <c r="HL38" s="496"/>
      <c r="HM38" s="496"/>
      <c r="HN38" s="496"/>
      <c r="HO38" s="496"/>
      <c r="HP38" s="496"/>
      <c r="HQ38" s="496"/>
      <c r="HR38" s="496"/>
      <c r="HS38" s="496"/>
      <c r="HT38" s="496"/>
      <c r="HU38" s="496"/>
      <c r="HV38" s="496"/>
      <c r="HW38" s="490"/>
      <c r="HX38" s="490"/>
    </row>
    <row r="39" spans="1:232" s="5" customFormat="1" ht="20.100000000000001" customHeight="1">
      <c r="A39" s="497" t="s">
        <v>1046</v>
      </c>
      <c r="B39" s="498"/>
      <c r="C39" s="498"/>
      <c r="D39" s="498"/>
      <c r="E39" s="498"/>
      <c r="F39" s="498"/>
      <c r="G39" s="498"/>
      <c r="H39" s="498"/>
      <c r="I39" s="498"/>
      <c r="J39" s="498"/>
      <c r="K39" s="498"/>
      <c r="L39" s="494"/>
      <c r="M39" s="494"/>
      <c r="N39" s="495"/>
      <c r="O39" s="495"/>
      <c r="P39" s="495"/>
      <c r="Q39" s="495"/>
      <c r="R39" s="495"/>
      <c r="S39" s="495"/>
      <c r="T39" s="495"/>
      <c r="U39" s="489"/>
      <c r="V39" s="489"/>
      <c r="W39" s="489"/>
      <c r="X39" s="489"/>
      <c r="Y39" s="489"/>
      <c r="Z39" s="489"/>
      <c r="AA39" s="489"/>
      <c r="AB39" s="489"/>
      <c r="AC39" s="489"/>
      <c r="AD39" s="489"/>
      <c r="AE39" s="489"/>
      <c r="AF39" s="489"/>
      <c r="AG39" s="489"/>
      <c r="AH39" s="489"/>
      <c r="AI39" s="489"/>
      <c r="AJ39" s="489"/>
      <c r="AK39" s="489"/>
      <c r="AL39" s="489"/>
      <c r="AM39" s="489"/>
      <c r="AN39" s="489"/>
      <c r="AO39" s="489"/>
      <c r="AP39" s="489"/>
      <c r="AQ39" s="489"/>
      <c r="AR39" s="489"/>
      <c r="AS39" s="489"/>
      <c r="AT39" s="489"/>
      <c r="AU39" s="489"/>
      <c r="AV39" s="489"/>
      <c r="AW39" s="489"/>
      <c r="AX39" s="489"/>
      <c r="AY39" s="489"/>
      <c r="AZ39" s="489"/>
      <c r="BA39" s="489"/>
      <c r="BB39" s="489"/>
      <c r="BC39" s="489"/>
      <c r="BD39" s="489"/>
      <c r="BE39" s="489"/>
      <c r="BF39" s="489"/>
      <c r="BG39" s="489"/>
      <c r="BH39" s="489"/>
      <c r="BI39" s="489"/>
      <c r="BJ39" s="489"/>
      <c r="BK39" s="489"/>
      <c r="BL39" s="489"/>
      <c r="BM39" s="489"/>
      <c r="BN39" s="489"/>
      <c r="BO39" s="489"/>
      <c r="BP39" s="489"/>
      <c r="BQ39" s="489"/>
      <c r="BR39" s="489"/>
      <c r="BS39" s="489"/>
      <c r="BT39" s="489"/>
      <c r="BU39" s="489"/>
      <c r="BV39" s="489"/>
      <c r="BW39" s="489"/>
      <c r="BX39" s="489"/>
      <c r="BY39" s="489"/>
      <c r="BZ39" s="489"/>
      <c r="CA39" s="489"/>
      <c r="CB39" s="489"/>
      <c r="CC39" s="489"/>
      <c r="CD39" s="489"/>
      <c r="CE39" s="489"/>
      <c r="CF39" s="489"/>
      <c r="CG39" s="489"/>
      <c r="CH39" s="489"/>
      <c r="CI39" s="489"/>
      <c r="CJ39" s="489"/>
      <c r="CK39" s="489"/>
      <c r="CL39" s="489"/>
      <c r="CM39" s="489"/>
      <c r="CN39" s="489"/>
      <c r="CO39" s="489"/>
      <c r="CP39" s="489"/>
      <c r="CQ39" s="489"/>
      <c r="CR39" s="489"/>
      <c r="CS39" s="489"/>
      <c r="CT39" s="489"/>
      <c r="CU39" s="489"/>
      <c r="CV39" s="489"/>
      <c r="CW39" s="489"/>
      <c r="CX39" s="489"/>
      <c r="CY39" s="489"/>
      <c r="CZ39" s="489"/>
      <c r="DA39" s="489"/>
      <c r="DB39" s="489"/>
      <c r="DC39" s="489"/>
      <c r="DD39" s="489"/>
      <c r="DE39" s="489"/>
      <c r="DF39" s="489"/>
      <c r="DG39" s="489"/>
      <c r="DH39" s="489"/>
      <c r="DI39" s="489"/>
      <c r="DJ39" s="489"/>
      <c r="DK39" s="489"/>
      <c r="DL39" s="489"/>
      <c r="DM39" s="489"/>
      <c r="DN39" s="489"/>
      <c r="DO39" s="489"/>
      <c r="DP39" s="489"/>
      <c r="DQ39" s="489"/>
      <c r="DR39" s="489"/>
      <c r="DS39" s="489"/>
      <c r="DT39" s="489"/>
      <c r="DU39" s="489"/>
      <c r="DV39" s="489"/>
      <c r="DW39" s="489"/>
      <c r="DX39" s="489"/>
      <c r="DY39" s="489"/>
      <c r="DZ39" s="489"/>
      <c r="EA39" s="489"/>
      <c r="EB39" s="489"/>
      <c r="EC39" s="489"/>
      <c r="ED39" s="489"/>
      <c r="EE39" s="489"/>
      <c r="EF39" s="489"/>
      <c r="EG39" s="489"/>
      <c r="EH39" s="489"/>
      <c r="EI39" s="489"/>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89"/>
      <c r="FK39" s="489"/>
      <c r="FL39" s="489"/>
      <c r="FM39" s="489"/>
      <c r="FN39" s="489"/>
      <c r="FO39" s="489"/>
      <c r="FP39" s="489"/>
      <c r="FQ39" s="489"/>
      <c r="FR39" s="489"/>
      <c r="FS39" s="489"/>
      <c r="FT39" s="489"/>
      <c r="FU39" s="489"/>
      <c r="FV39" s="489"/>
      <c r="FW39" s="489"/>
      <c r="FX39" s="489"/>
      <c r="FY39" s="489"/>
      <c r="FZ39" s="489"/>
      <c r="GA39" s="489"/>
      <c r="GB39" s="489"/>
      <c r="GC39" s="489"/>
      <c r="GD39" s="489"/>
      <c r="GE39" s="489"/>
      <c r="GF39" s="489"/>
      <c r="GG39" s="489"/>
      <c r="GH39" s="489"/>
      <c r="GI39" s="489"/>
      <c r="GJ39" s="489"/>
      <c r="GK39" s="489"/>
      <c r="GL39" s="489"/>
      <c r="GM39" s="489"/>
      <c r="GN39" s="489"/>
      <c r="GO39" s="489"/>
      <c r="GP39" s="489"/>
      <c r="GQ39" s="489"/>
      <c r="GR39" s="489"/>
      <c r="GS39" s="489"/>
      <c r="GT39" s="489"/>
      <c r="GU39" s="489"/>
      <c r="GV39" s="489"/>
      <c r="GW39" s="489"/>
      <c r="GX39" s="489"/>
      <c r="GY39" s="489"/>
      <c r="GZ39" s="489"/>
      <c r="HA39" s="489"/>
      <c r="HB39" s="489"/>
      <c r="HC39" s="489"/>
      <c r="HD39" s="489"/>
      <c r="HE39" s="489"/>
      <c r="HF39" s="489"/>
      <c r="HG39" s="489"/>
      <c r="HH39" s="489"/>
      <c r="HI39" s="489"/>
      <c r="HJ39" s="489"/>
      <c r="HK39" s="489"/>
      <c r="HL39" s="489"/>
      <c r="HM39" s="489"/>
      <c r="HN39" s="489"/>
      <c r="HO39" s="489"/>
      <c r="HP39" s="489"/>
      <c r="HQ39" s="489"/>
      <c r="HR39" s="489"/>
      <c r="HS39" s="489"/>
      <c r="HT39" s="489"/>
      <c r="HU39" s="489"/>
      <c r="HV39" s="489"/>
      <c r="HW39" s="489"/>
      <c r="HX39" s="358"/>
    </row>
    <row r="40" spans="1:232" s="5" customFormat="1" ht="20.100000000000001" customHeight="1">
      <c r="A40" s="497" t="s">
        <v>863</v>
      </c>
      <c r="B40" s="498"/>
      <c r="C40" s="498"/>
      <c r="D40" s="498"/>
      <c r="E40" s="498"/>
      <c r="F40" s="498"/>
      <c r="G40" s="498"/>
      <c r="H40" s="498"/>
      <c r="I40" s="498"/>
      <c r="J40" s="498"/>
      <c r="K40" s="498"/>
      <c r="L40" s="494"/>
      <c r="M40" s="494"/>
      <c r="N40" s="495"/>
      <c r="O40" s="495"/>
      <c r="P40" s="495"/>
      <c r="Q40" s="495"/>
      <c r="R40" s="495"/>
      <c r="S40" s="495"/>
      <c r="T40" s="495"/>
      <c r="U40" s="499"/>
      <c r="V40" s="499"/>
      <c r="W40" s="499"/>
      <c r="X40" s="499"/>
      <c r="Y40" s="499"/>
      <c r="Z40" s="499"/>
      <c r="AA40" s="499"/>
      <c r="AB40" s="499"/>
      <c r="AC40" s="499"/>
      <c r="AD40" s="499"/>
      <c r="AE40" s="499"/>
      <c r="AF40" s="499"/>
      <c r="AG40" s="499"/>
      <c r="AH40" s="499"/>
      <c r="AI40" s="499"/>
      <c r="AJ40" s="499"/>
      <c r="AK40" s="499"/>
      <c r="AL40" s="499"/>
      <c r="AM40" s="499"/>
      <c r="AN40" s="499"/>
      <c r="AO40" s="499"/>
      <c r="AP40" s="499"/>
      <c r="AQ40" s="499"/>
      <c r="AR40" s="499"/>
      <c r="AS40" s="499"/>
      <c r="AT40" s="499"/>
      <c r="AU40" s="499"/>
      <c r="AV40" s="499"/>
      <c r="AW40" s="499"/>
      <c r="AX40" s="499"/>
      <c r="AY40" s="499"/>
      <c r="AZ40" s="499"/>
      <c r="BA40" s="499"/>
      <c r="BB40" s="499"/>
      <c r="BC40" s="499"/>
      <c r="BD40" s="499"/>
      <c r="BE40" s="499"/>
      <c r="BF40" s="499"/>
      <c r="BG40" s="499"/>
      <c r="BH40" s="499"/>
      <c r="BI40" s="499"/>
      <c r="BJ40" s="499"/>
      <c r="BK40" s="499"/>
      <c r="BL40" s="499"/>
      <c r="BM40" s="499"/>
      <c r="BN40" s="499"/>
      <c r="BO40" s="499"/>
      <c r="BP40" s="499"/>
      <c r="BQ40" s="499"/>
      <c r="BR40" s="499"/>
      <c r="BS40" s="499"/>
      <c r="BT40" s="499"/>
      <c r="BU40" s="499"/>
      <c r="BV40" s="499"/>
      <c r="BW40" s="499"/>
      <c r="BX40" s="499"/>
      <c r="BY40" s="499"/>
      <c r="BZ40" s="499"/>
      <c r="CA40" s="499"/>
      <c r="CB40" s="499"/>
      <c r="CC40" s="499"/>
      <c r="CD40" s="499"/>
      <c r="CE40" s="499"/>
      <c r="CF40" s="499"/>
      <c r="CG40" s="499"/>
      <c r="CH40" s="499"/>
      <c r="CI40" s="499"/>
      <c r="CJ40" s="499"/>
      <c r="CK40" s="499"/>
      <c r="CL40" s="499"/>
      <c r="CM40" s="499"/>
      <c r="CN40" s="499"/>
      <c r="CO40" s="499"/>
      <c r="CP40" s="499"/>
      <c r="CQ40" s="499"/>
      <c r="CR40" s="499"/>
      <c r="CS40" s="499"/>
      <c r="CT40" s="499"/>
      <c r="CU40" s="499"/>
      <c r="CV40" s="499"/>
      <c r="CW40" s="499"/>
      <c r="CX40" s="499"/>
      <c r="CY40" s="499"/>
      <c r="CZ40" s="499"/>
      <c r="DA40" s="499"/>
      <c r="DB40" s="499"/>
      <c r="DC40" s="499"/>
      <c r="DD40" s="499"/>
      <c r="DE40" s="499"/>
      <c r="DF40" s="499"/>
      <c r="DG40" s="499"/>
      <c r="DH40" s="499"/>
      <c r="DI40" s="499"/>
      <c r="DJ40" s="499"/>
      <c r="DK40" s="499"/>
      <c r="DL40" s="499"/>
      <c r="DM40" s="499"/>
      <c r="DN40" s="499"/>
      <c r="DO40" s="499"/>
      <c r="DP40" s="499"/>
      <c r="DQ40" s="499"/>
      <c r="DR40" s="499"/>
      <c r="DS40" s="499"/>
      <c r="DT40" s="499"/>
      <c r="DU40" s="499"/>
      <c r="DV40" s="499"/>
      <c r="DW40" s="499"/>
      <c r="DX40" s="499"/>
      <c r="DY40" s="499"/>
      <c r="DZ40" s="499"/>
      <c r="EA40" s="499"/>
      <c r="EB40" s="499"/>
      <c r="EC40" s="499"/>
      <c r="ED40" s="499"/>
      <c r="EE40" s="499"/>
      <c r="EF40" s="499"/>
      <c r="EG40" s="499"/>
      <c r="EH40" s="499"/>
      <c r="EI40" s="499"/>
      <c r="EJ40" s="499"/>
      <c r="EK40" s="499"/>
      <c r="EL40" s="499"/>
      <c r="EM40" s="499"/>
      <c r="EN40" s="499"/>
      <c r="EO40" s="499"/>
      <c r="EP40" s="499"/>
      <c r="EQ40" s="499"/>
      <c r="ER40" s="499"/>
      <c r="ES40" s="499"/>
      <c r="ET40" s="499"/>
      <c r="EU40" s="499"/>
      <c r="EV40" s="499"/>
      <c r="EW40" s="499"/>
      <c r="EX40" s="499"/>
      <c r="EY40" s="499"/>
      <c r="EZ40" s="499"/>
      <c r="FA40" s="499"/>
      <c r="FB40" s="499"/>
      <c r="FC40" s="499"/>
      <c r="FD40" s="499"/>
      <c r="FE40" s="499"/>
      <c r="FF40" s="499"/>
      <c r="FG40" s="499"/>
      <c r="FH40" s="499"/>
      <c r="FI40" s="499"/>
      <c r="FJ40" s="499"/>
      <c r="FK40" s="499"/>
      <c r="FL40" s="499"/>
      <c r="FM40" s="499"/>
      <c r="FN40" s="499"/>
      <c r="FO40" s="499"/>
      <c r="FP40" s="499"/>
      <c r="FQ40" s="499"/>
      <c r="FR40" s="499"/>
      <c r="FS40" s="499"/>
      <c r="FT40" s="499"/>
      <c r="FU40" s="499"/>
      <c r="FV40" s="499"/>
      <c r="FW40" s="499"/>
      <c r="FX40" s="499"/>
      <c r="FY40" s="499"/>
      <c r="FZ40" s="499"/>
      <c r="GA40" s="499"/>
      <c r="GB40" s="499"/>
      <c r="GC40" s="499"/>
      <c r="GD40" s="499"/>
      <c r="GE40" s="499"/>
      <c r="GF40" s="499"/>
      <c r="GG40" s="499"/>
      <c r="GH40" s="499"/>
      <c r="GI40" s="499"/>
      <c r="GJ40" s="499"/>
      <c r="GK40" s="499"/>
      <c r="GL40" s="499"/>
      <c r="GM40" s="499"/>
      <c r="GN40" s="499"/>
      <c r="GO40" s="499"/>
      <c r="GP40" s="499"/>
      <c r="GQ40" s="499"/>
      <c r="GR40" s="499"/>
      <c r="GS40" s="499"/>
      <c r="GT40" s="499"/>
      <c r="GU40" s="499"/>
      <c r="GV40" s="499"/>
      <c r="GW40" s="499"/>
      <c r="GX40" s="499"/>
      <c r="GY40" s="499"/>
      <c r="GZ40" s="499"/>
      <c r="HA40" s="499"/>
      <c r="HB40" s="499"/>
      <c r="HC40" s="499"/>
      <c r="HD40" s="499"/>
      <c r="HE40" s="499"/>
      <c r="HF40" s="499"/>
      <c r="HG40" s="499"/>
      <c r="HH40" s="499"/>
      <c r="HI40" s="499"/>
      <c r="HJ40" s="499"/>
      <c r="HK40" s="499"/>
      <c r="HL40" s="499"/>
      <c r="HM40" s="499"/>
      <c r="HN40" s="499"/>
      <c r="HO40" s="499"/>
      <c r="HP40" s="499"/>
      <c r="HQ40" s="499"/>
      <c r="HR40" s="499"/>
      <c r="HS40" s="499"/>
      <c r="HT40" s="499"/>
      <c r="HU40" s="499"/>
      <c r="HV40" s="499"/>
      <c r="HW40" s="499"/>
      <c r="HX40" s="358"/>
    </row>
    <row r="41" spans="1:232" ht="33" customHeight="1">
      <c r="A41" s="1607" t="s">
        <v>112</v>
      </c>
      <c r="B41" s="1607"/>
      <c r="C41" s="1607"/>
      <c r="D41" s="1607"/>
      <c r="E41" s="1607"/>
      <c r="F41" s="1607"/>
      <c r="G41" s="1607"/>
      <c r="H41" s="1607"/>
      <c r="I41" s="1607"/>
      <c r="J41" s="1607"/>
      <c r="N41" s="495"/>
      <c r="O41" s="495"/>
      <c r="P41" s="495"/>
      <c r="Q41" s="495"/>
      <c r="R41" s="495"/>
      <c r="S41" s="495"/>
    </row>
    <row r="42" spans="1:232" ht="20.100000000000001" customHeight="1">
      <c r="A42" s="1604" t="s">
        <v>864</v>
      </c>
      <c r="B42" s="1604"/>
      <c r="C42" s="1604"/>
      <c r="D42" s="1604"/>
      <c r="E42" s="1604"/>
      <c r="F42" s="1604"/>
      <c r="G42" s="1604"/>
      <c r="H42" s="1604"/>
      <c r="I42" s="1604"/>
      <c r="J42" s="1604"/>
    </row>
    <row r="43" spans="1:232" s="5" customFormat="1" ht="20.100000000000001" customHeight="1">
      <c r="A43" s="500" t="s">
        <v>1032</v>
      </c>
      <c r="C43" s="501"/>
      <c r="D43" s="501"/>
      <c r="E43" s="501"/>
      <c r="F43" s="501"/>
      <c r="G43" s="501"/>
      <c r="H43" s="501"/>
      <c r="I43" s="501"/>
      <c r="J43" s="502"/>
      <c r="K43" s="502"/>
      <c r="L43" s="494"/>
      <c r="M43" s="494"/>
      <c r="N43" s="464"/>
      <c r="O43" s="464"/>
      <c r="P43" s="464"/>
      <c r="Q43" s="464"/>
      <c r="R43" s="464"/>
      <c r="S43" s="464"/>
      <c r="T43" s="495"/>
      <c r="U43" s="499"/>
      <c r="V43" s="499"/>
      <c r="W43" s="499"/>
      <c r="X43" s="499"/>
      <c r="Y43" s="499"/>
      <c r="Z43" s="499"/>
      <c r="AA43" s="499"/>
      <c r="AB43" s="499"/>
      <c r="AC43" s="499"/>
      <c r="AD43" s="499"/>
      <c r="AE43" s="499"/>
      <c r="AF43" s="499"/>
      <c r="AG43" s="499"/>
      <c r="AH43" s="499"/>
      <c r="AI43" s="499"/>
      <c r="AJ43" s="499"/>
      <c r="AK43" s="499"/>
      <c r="AL43" s="499"/>
      <c r="AM43" s="499"/>
      <c r="AN43" s="499"/>
      <c r="AO43" s="499"/>
      <c r="AP43" s="499"/>
      <c r="AQ43" s="499"/>
      <c r="AR43" s="499"/>
      <c r="AS43" s="499"/>
      <c r="AT43" s="499"/>
      <c r="AU43" s="499"/>
      <c r="AV43" s="499"/>
      <c r="AW43" s="499"/>
      <c r="AX43" s="499"/>
      <c r="AY43" s="499"/>
      <c r="AZ43" s="499"/>
      <c r="BA43" s="499"/>
      <c r="BB43" s="499"/>
      <c r="BC43" s="499"/>
      <c r="BD43" s="499"/>
      <c r="BE43" s="499"/>
      <c r="BF43" s="499"/>
      <c r="BG43" s="499"/>
      <c r="BH43" s="499"/>
      <c r="BI43" s="499"/>
      <c r="BJ43" s="499"/>
      <c r="BK43" s="499"/>
      <c r="BL43" s="499"/>
      <c r="BM43" s="499"/>
      <c r="BN43" s="499"/>
      <c r="BO43" s="499"/>
      <c r="BP43" s="499"/>
      <c r="BQ43" s="499"/>
      <c r="BR43" s="499"/>
      <c r="BS43" s="499"/>
      <c r="BT43" s="499"/>
      <c r="BU43" s="499"/>
      <c r="BV43" s="499"/>
      <c r="BW43" s="499"/>
      <c r="BX43" s="499"/>
      <c r="BY43" s="499"/>
      <c r="BZ43" s="499"/>
      <c r="CA43" s="499"/>
      <c r="CB43" s="499"/>
      <c r="CC43" s="499"/>
      <c r="CD43" s="499"/>
      <c r="CE43" s="499"/>
      <c r="CF43" s="499"/>
      <c r="CG43" s="499"/>
      <c r="CH43" s="499"/>
      <c r="CI43" s="499"/>
      <c r="CJ43" s="499"/>
      <c r="CK43" s="499"/>
      <c r="CL43" s="499"/>
      <c r="CM43" s="499"/>
      <c r="CN43" s="499"/>
      <c r="CO43" s="499"/>
      <c r="CP43" s="499"/>
      <c r="CQ43" s="499"/>
      <c r="CR43" s="499"/>
      <c r="CS43" s="499"/>
      <c r="CT43" s="499"/>
      <c r="CU43" s="499"/>
      <c r="CV43" s="499"/>
      <c r="CW43" s="499"/>
      <c r="CX43" s="499"/>
      <c r="CY43" s="499"/>
      <c r="CZ43" s="499"/>
      <c r="DA43" s="499"/>
      <c r="DB43" s="499"/>
      <c r="DC43" s="499"/>
      <c r="DD43" s="499"/>
      <c r="DE43" s="499"/>
      <c r="DF43" s="499"/>
      <c r="DG43" s="499"/>
      <c r="DH43" s="499"/>
      <c r="DI43" s="499"/>
      <c r="DJ43" s="499"/>
      <c r="DK43" s="499"/>
      <c r="DL43" s="499"/>
      <c r="DM43" s="499"/>
      <c r="DN43" s="499"/>
      <c r="DO43" s="499"/>
      <c r="DP43" s="499"/>
      <c r="DQ43" s="499"/>
      <c r="DR43" s="499"/>
      <c r="DS43" s="499"/>
      <c r="DT43" s="499"/>
      <c r="DU43" s="499"/>
      <c r="DV43" s="499"/>
      <c r="DW43" s="499"/>
      <c r="DX43" s="499"/>
      <c r="DY43" s="499"/>
      <c r="DZ43" s="499"/>
      <c r="EA43" s="499"/>
      <c r="EB43" s="499"/>
      <c r="EC43" s="499"/>
      <c r="ED43" s="499"/>
      <c r="EE43" s="499"/>
      <c r="EF43" s="499"/>
      <c r="EG43" s="499"/>
      <c r="EH43" s="499"/>
      <c r="EI43" s="499"/>
      <c r="EJ43" s="499"/>
      <c r="EK43" s="499"/>
      <c r="EL43" s="499"/>
      <c r="EM43" s="499"/>
      <c r="EN43" s="499"/>
      <c r="EO43" s="499"/>
      <c r="EP43" s="499"/>
      <c r="EQ43" s="499"/>
      <c r="ER43" s="499"/>
      <c r="ES43" s="499"/>
      <c r="ET43" s="499"/>
      <c r="EU43" s="499"/>
      <c r="EV43" s="499"/>
      <c r="EW43" s="499"/>
      <c r="EX43" s="499"/>
      <c r="EY43" s="499"/>
      <c r="EZ43" s="499"/>
      <c r="FA43" s="499"/>
      <c r="FB43" s="499"/>
      <c r="FC43" s="499"/>
      <c r="FD43" s="499"/>
      <c r="FE43" s="499"/>
      <c r="FF43" s="499"/>
      <c r="FG43" s="499"/>
      <c r="FH43" s="499"/>
      <c r="FI43" s="499"/>
      <c r="FJ43" s="499"/>
      <c r="FK43" s="499"/>
      <c r="FL43" s="499"/>
      <c r="FM43" s="499"/>
      <c r="FN43" s="499"/>
      <c r="FO43" s="499"/>
      <c r="FP43" s="499"/>
      <c r="FQ43" s="499"/>
      <c r="FR43" s="499"/>
      <c r="FS43" s="499"/>
      <c r="FT43" s="499"/>
      <c r="FU43" s="499"/>
      <c r="FV43" s="499"/>
      <c r="FW43" s="499"/>
      <c r="FX43" s="499"/>
      <c r="FY43" s="499"/>
      <c r="FZ43" s="499"/>
      <c r="GA43" s="499"/>
      <c r="GB43" s="499"/>
      <c r="GC43" s="499"/>
      <c r="GD43" s="499"/>
      <c r="GE43" s="499"/>
      <c r="GF43" s="499"/>
      <c r="GG43" s="499"/>
      <c r="GH43" s="499"/>
      <c r="GI43" s="499"/>
      <c r="GJ43" s="499"/>
      <c r="GK43" s="499"/>
      <c r="GL43" s="499"/>
      <c r="GM43" s="499"/>
      <c r="GN43" s="499"/>
      <c r="GO43" s="499"/>
      <c r="GP43" s="499"/>
      <c r="GQ43" s="499"/>
      <c r="GR43" s="499"/>
      <c r="GS43" s="499"/>
      <c r="GT43" s="499"/>
      <c r="GU43" s="499"/>
      <c r="GV43" s="499"/>
      <c r="GW43" s="499"/>
      <c r="GX43" s="499"/>
      <c r="GY43" s="499"/>
      <c r="GZ43" s="499"/>
      <c r="HA43" s="499"/>
      <c r="HB43" s="499"/>
      <c r="HC43" s="499"/>
      <c r="HD43" s="499"/>
      <c r="HE43" s="499"/>
      <c r="HF43" s="499"/>
      <c r="HG43" s="499"/>
      <c r="HH43" s="499"/>
      <c r="HI43" s="499"/>
      <c r="HJ43" s="499"/>
      <c r="HK43" s="499"/>
      <c r="HL43" s="499"/>
      <c r="HM43" s="499"/>
      <c r="HN43" s="499"/>
      <c r="HO43" s="499"/>
      <c r="HP43" s="499"/>
      <c r="HQ43" s="499"/>
      <c r="HR43" s="499"/>
      <c r="HS43" s="499"/>
      <c r="HT43" s="499"/>
      <c r="HU43" s="499"/>
      <c r="HV43" s="499"/>
      <c r="HW43" s="499"/>
      <c r="HX43" s="358"/>
    </row>
    <row r="44" spans="1:232" s="5" customFormat="1" ht="20.100000000000001" customHeight="1">
      <c r="A44" s="1605" t="s">
        <v>191</v>
      </c>
      <c r="B44" s="1606" t="s">
        <v>115</v>
      </c>
      <c r="C44" s="1606"/>
      <c r="D44" s="1606"/>
      <c r="E44" s="1606"/>
      <c r="F44" s="1606" t="s">
        <v>116</v>
      </c>
      <c r="G44" s="1606"/>
      <c r="H44" s="1606"/>
      <c r="I44" s="1606" t="s">
        <v>117</v>
      </c>
      <c r="J44" s="1606"/>
      <c r="N44" s="495"/>
      <c r="O44" s="495"/>
      <c r="P44" s="495"/>
      <c r="Q44" s="495"/>
      <c r="R44" s="495"/>
      <c r="S44" s="495"/>
      <c r="T44" s="504"/>
      <c r="U44" s="358"/>
      <c r="V44" s="358"/>
      <c r="W44" s="358"/>
      <c r="X44" s="358"/>
      <c r="Y44" s="358"/>
      <c r="Z44" s="358"/>
      <c r="AA44" s="358"/>
      <c r="AB44" s="358"/>
      <c r="AC44" s="358"/>
      <c r="AD44" s="358"/>
      <c r="AE44" s="358"/>
      <c r="AF44" s="358"/>
      <c r="AG44" s="358"/>
      <c r="AH44" s="358"/>
      <c r="AI44" s="358"/>
      <c r="AJ44" s="358"/>
      <c r="AK44" s="358"/>
      <c r="AL44" s="358"/>
      <c r="AM44" s="358"/>
      <c r="AN44" s="358"/>
      <c r="AO44" s="358"/>
      <c r="AP44" s="358"/>
      <c r="AQ44" s="358"/>
      <c r="AR44" s="358"/>
      <c r="AS44" s="358"/>
      <c r="AT44" s="358"/>
      <c r="AU44" s="358"/>
      <c r="AV44" s="358"/>
      <c r="AW44" s="358"/>
      <c r="AX44" s="358"/>
      <c r="AY44" s="358"/>
      <c r="AZ44" s="358"/>
      <c r="BA44" s="358"/>
      <c r="BB44" s="358"/>
      <c r="BC44" s="358"/>
      <c r="BD44" s="358"/>
      <c r="BE44" s="358"/>
      <c r="BF44" s="358"/>
      <c r="BG44" s="358"/>
      <c r="BH44" s="358"/>
      <c r="BI44" s="358"/>
      <c r="BJ44" s="358"/>
      <c r="BK44" s="358"/>
      <c r="BL44" s="358"/>
      <c r="BM44" s="358"/>
      <c r="BN44" s="358"/>
      <c r="BO44" s="358"/>
      <c r="BP44" s="358"/>
      <c r="BQ44" s="358"/>
      <c r="BR44" s="358"/>
      <c r="BS44" s="358"/>
      <c r="BT44" s="358"/>
      <c r="BU44" s="358"/>
      <c r="BV44" s="358"/>
      <c r="BW44" s="358"/>
      <c r="BX44" s="358"/>
      <c r="BY44" s="358"/>
      <c r="BZ44" s="358"/>
      <c r="CA44" s="358"/>
      <c r="CB44" s="358"/>
      <c r="CC44" s="358"/>
      <c r="CD44" s="358"/>
      <c r="CE44" s="358"/>
      <c r="CF44" s="358"/>
      <c r="CG44" s="358"/>
      <c r="CH44" s="358"/>
      <c r="CI44" s="358"/>
      <c r="CJ44" s="358"/>
      <c r="CK44" s="358"/>
      <c r="CL44" s="358"/>
      <c r="CM44" s="358"/>
      <c r="CN44" s="358"/>
      <c r="CO44" s="358"/>
      <c r="CP44" s="358"/>
      <c r="CQ44" s="358"/>
      <c r="CR44" s="358"/>
      <c r="CS44" s="358"/>
      <c r="CT44" s="358"/>
      <c r="CU44" s="358"/>
      <c r="CV44" s="358"/>
      <c r="CW44" s="358"/>
      <c r="CX44" s="358"/>
      <c r="CY44" s="358"/>
      <c r="CZ44" s="358"/>
      <c r="DA44" s="358"/>
      <c r="DB44" s="358"/>
      <c r="DC44" s="358"/>
      <c r="DD44" s="358"/>
      <c r="DE44" s="358"/>
      <c r="DF44" s="358"/>
      <c r="DG44" s="358"/>
      <c r="DH44" s="358"/>
      <c r="DI44" s="358"/>
      <c r="DJ44" s="358"/>
      <c r="DK44" s="358"/>
      <c r="DL44" s="358"/>
      <c r="DM44" s="358"/>
      <c r="DN44" s="358"/>
      <c r="DO44" s="358"/>
      <c r="DP44" s="358"/>
      <c r="DQ44" s="358"/>
      <c r="DR44" s="358"/>
      <c r="DS44" s="358"/>
      <c r="DT44" s="358"/>
      <c r="DU44" s="358"/>
      <c r="DV44" s="358"/>
      <c r="DW44" s="358"/>
      <c r="DX44" s="358"/>
      <c r="DY44" s="358"/>
      <c r="DZ44" s="358"/>
      <c r="EA44" s="358"/>
      <c r="EB44" s="358"/>
      <c r="EC44" s="358"/>
      <c r="ED44" s="358"/>
      <c r="EE44" s="358"/>
      <c r="EF44" s="358"/>
      <c r="EG44" s="358"/>
      <c r="EH44" s="358"/>
      <c r="EI44" s="358"/>
      <c r="EJ44" s="358"/>
      <c r="EK44" s="358"/>
      <c r="EL44" s="358"/>
      <c r="EM44" s="358"/>
      <c r="EN44" s="358"/>
      <c r="EO44" s="358"/>
      <c r="EP44" s="358"/>
      <c r="EQ44" s="358"/>
      <c r="ER44" s="358"/>
      <c r="ES44" s="358"/>
      <c r="ET44" s="358"/>
      <c r="EU44" s="358"/>
      <c r="EV44" s="358"/>
      <c r="EW44" s="358"/>
      <c r="EX44" s="358"/>
      <c r="EY44" s="358"/>
      <c r="EZ44" s="358"/>
      <c r="FA44" s="358"/>
      <c r="FB44" s="358"/>
      <c r="FC44" s="358"/>
      <c r="FD44" s="358"/>
      <c r="FE44" s="358"/>
      <c r="FF44" s="358"/>
      <c r="FG44" s="358"/>
      <c r="FH44" s="358"/>
      <c r="FI44" s="358"/>
      <c r="FJ44" s="358"/>
      <c r="FK44" s="358"/>
      <c r="FL44" s="358"/>
      <c r="FM44" s="358"/>
      <c r="FN44" s="358"/>
      <c r="FO44" s="358"/>
      <c r="FP44" s="358"/>
      <c r="FQ44" s="358"/>
      <c r="FR44" s="358"/>
      <c r="FS44" s="358"/>
      <c r="FT44" s="358"/>
      <c r="FU44" s="358"/>
      <c r="FV44" s="358"/>
      <c r="FW44" s="358"/>
      <c r="FX44" s="358"/>
      <c r="FY44" s="358"/>
      <c r="FZ44" s="358"/>
      <c r="GA44" s="358"/>
      <c r="GB44" s="358"/>
      <c r="GC44" s="358"/>
      <c r="GD44" s="358"/>
      <c r="GE44" s="358"/>
      <c r="GF44" s="358"/>
      <c r="GG44" s="358"/>
      <c r="GH44" s="358"/>
      <c r="GI44" s="358"/>
      <c r="GJ44" s="358"/>
      <c r="GK44" s="358"/>
      <c r="GL44" s="358"/>
      <c r="GM44" s="358"/>
      <c r="GN44" s="358"/>
      <c r="GO44" s="358"/>
      <c r="GP44" s="358"/>
      <c r="GQ44" s="358"/>
      <c r="GR44" s="358"/>
      <c r="GS44" s="358"/>
      <c r="GT44" s="358"/>
      <c r="GU44" s="358"/>
      <c r="GV44" s="358"/>
      <c r="GW44" s="358"/>
      <c r="GX44" s="358"/>
      <c r="GY44" s="358"/>
      <c r="GZ44" s="358"/>
      <c r="HA44" s="358"/>
      <c r="HB44" s="358"/>
      <c r="HC44" s="358"/>
      <c r="HD44" s="358"/>
      <c r="HE44" s="358"/>
      <c r="HF44" s="358"/>
      <c r="HG44" s="358"/>
      <c r="HH44" s="358"/>
      <c r="HI44" s="358"/>
      <c r="HJ44" s="358"/>
      <c r="HK44" s="358"/>
      <c r="HL44" s="358"/>
      <c r="HM44" s="358"/>
      <c r="HN44" s="358"/>
      <c r="HO44" s="358"/>
      <c r="HP44" s="358"/>
      <c r="HQ44" s="358"/>
      <c r="HR44" s="358"/>
      <c r="HS44" s="358"/>
      <c r="HT44" s="358"/>
      <c r="HU44" s="358"/>
      <c r="HV44" s="358"/>
      <c r="HW44" s="358"/>
      <c r="HX44" s="358"/>
    </row>
    <row r="45" spans="1:232" s="5" customFormat="1" ht="32.25" customHeight="1">
      <c r="A45" s="1605"/>
      <c r="B45" s="1606"/>
      <c r="C45" s="1606"/>
      <c r="D45" s="1606"/>
      <c r="E45" s="1606"/>
      <c r="F45" s="1606"/>
      <c r="G45" s="1606"/>
      <c r="H45" s="1606"/>
      <c r="I45" s="503" t="s">
        <v>118</v>
      </c>
      <c r="J45" s="503" t="s">
        <v>119</v>
      </c>
      <c r="O45" s="504"/>
      <c r="P45" s="504"/>
      <c r="Q45" s="504"/>
      <c r="R45" s="504"/>
      <c r="S45" s="504"/>
      <c r="T45" s="406"/>
      <c r="U45" s="358"/>
      <c r="V45" s="358"/>
      <c r="W45" s="358"/>
      <c r="X45" s="358"/>
      <c r="Y45" s="358"/>
      <c r="Z45" s="358"/>
      <c r="AA45" s="358"/>
      <c r="AB45" s="358"/>
      <c r="AC45" s="358"/>
      <c r="AD45" s="358"/>
      <c r="AE45" s="358"/>
      <c r="AF45" s="358"/>
      <c r="AG45" s="358"/>
      <c r="AH45" s="358"/>
      <c r="AI45" s="358"/>
      <c r="AJ45" s="358"/>
      <c r="AK45" s="358"/>
      <c r="AL45" s="358"/>
      <c r="AM45" s="358"/>
      <c r="AN45" s="358"/>
      <c r="AO45" s="358"/>
      <c r="AP45" s="358"/>
      <c r="AQ45" s="358"/>
      <c r="AR45" s="358"/>
      <c r="AS45" s="358"/>
      <c r="AT45" s="358"/>
      <c r="AU45" s="358"/>
      <c r="AV45" s="358"/>
      <c r="AW45" s="358"/>
      <c r="AX45" s="358"/>
      <c r="AY45" s="358"/>
      <c r="AZ45" s="358"/>
      <c r="BA45" s="358"/>
      <c r="BB45" s="358"/>
      <c r="BC45" s="358"/>
      <c r="BD45" s="358"/>
      <c r="BE45" s="358"/>
      <c r="BF45" s="358"/>
      <c r="BG45" s="358"/>
      <c r="BH45" s="358"/>
      <c r="BI45" s="358"/>
      <c r="BJ45" s="358"/>
      <c r="BK45" s="358"/>
      <c r="BL45" s="358"/>
      <c r="BM45" s="358"/>
      <c r="BN45" s="358"/>
      <c r="BO45" s="358"/>
      <c r="BP45" s="358"/>
      <c r="BQ45" s="358"/>
      <c r="BR45" s="358"/>
      <c r="BS45" s="358"/>
      <c r="BT45" s="358"/>
      <c r="BU45" s="358"/>
      <c r="BV45" s="358"/>
      <c r="BW45" s="358"/>
      <c r="BX45" s="358"/>
      <c r="BY45" s="358"/>
      <c r="BZ45" s="358"/>
      <c r="CA45" s="358"/>
      <c r="CB45" s="358"/>
      <c r="CC45" s="358"/>
      <c r="CD45" s="358"/>
      <c r="CE45" s="358"/>
      <c r="CF45" s="358"/>
      <c r="CG45" s="358"/>
      <c r="CH45" s="358"/>
      <c r="CI45" s="358"/>
      <c r="CJ45" s="358"/>
      <c r="CK45" s="358"/>
      <c r="CL45" s="358"/>
      <c r="CM45" s="358"/>
      <c r="CN45" s="358"/>
      <c r="CO45" s="358"/>
      <c r="CP45" s="358"/>
      <c r="CQ45" s="358"/>
      <c r="CR45" s="358"/>
      <c r="CS45" s="358"/>
      <c r="CT45" s="358"/>
      <c r="CU45" s="358"/>
      <c r="CV45" s="358"/>
      <c r="CW45" s="358"/>
      <c r="CX45" s="358"/>
      <c r="CY45" s="358"/>
      <c r="CZ45" s="358"/>
      <c r="DA45" s="358"/>
      <c r="DB45" s="358"/>
      <c r="DC45" s="358"/>
      <c r="DD45" s="358"/>
      <c r="DE45" s="358"/>
      <c r="DF45" s="358"/>
      <c r="DG45" s="358"/>
      <c r="DH45" s="358"/>
      <c r="DI45" s="358"/>
      <c r="DJ45" s="358"/>
      <c r="DK45" s="358"/>
      <c r="DL45" s="358"/>
      <c r="DM45" s="358"/>
      <c r="DN45" s="358"/>
      <c r="DO45" s="358"/>
      <c r="DP45" s="358"/>
      <c r="DQ45" s="358"/>
      <c r="DR45" s="358"/>
      <c r="DS45" s="358"/>
      <c r="DT45" s="358"/>
      <c r="DU45" s="358"/>
      <c r="DV45" s="358"/>
      <c r="DW45" s="358"/>
      <c r="DX45" s="358"/>
      <c r="DY45" s="358"/>
      <c r="DZ45" s="358"/>
      <c r="EA45" s="358"/>
      <c r="EB45" s="358"/>
      <c r="EC45" s="358"/>
      <c r="ED45" s="358"/>
      <c r="EE45" s="358"/>
      <c r="EF45" s="358"/>
      <c r="EG45" s="358"/>
      <c r="EH45" s="358"/>
      <c r="EI45" s="358"/>
      <c r="EJ45" s="358"/>
      <c r="EK45" s="358"/>
      <c r="EL45" s="358"/>
      <c r="EM45" s="358"/>
      <c r="EN45" s="358"/>
      <c r="EO45" s="358"/>
      <c r="EP45" s="358"/>
      <c r="EQ45" s="358"/>
      <c r="ER45" s="358"/>
      <c r="ES45" s="358"/>
      <c r="ET45" s="358"/>
      <c r="EU45" s="358"/>
      <c r="EV45" s="358"/>
      <c r="EW45" s="358"/>
      <c r="EX45" s="358"/>
      <c r="EY45" s="358"/>
      <c r="EZ45" s="358"/>
      <c r="FA45" s="358"/>
      <c r="FB45" s="358"/>
      <c r="FC45" s="358"/>
      <c r="FD45" s="358"/>
      <c r="FE45" s="358"/>
      <c r="FF45" s="358"/>
      <c r="FG45" s="358"/>
      <c r="FH45" s="358"/>
      <c r="FI45" s="358"/>
      <c r="FJ45" s="358"/>
      <c r="FK45" s="358"/>
      <c r="FL45" s="358"/>
      <c r="FM45" s="358"/>
      <c r="FN45" s="358"/>
      <c r="FO45" s="358"/>
      <c r="FP45" s="358"/>
      <c r="FQ45" s="358"/>
      <c r="FR45" s="358"/>
      <c r="FS45" s="358"/>
      <c r="FT45" s="358"/>
      <c r="FU45" s="358"/>
      <c r="FV45" s="358"/>
      <c r="FW45" s="358"/>
      <c r="FX45" s="358"/>
      <c r="FY45" s="358"/>
      <c r="FZ45" s="358"/>
      <c r="GA45" s="358"/>
      <c r="GB45" s="358"/>
      <c r="GC45" s="358"/>
      <c r="GD45" s="358"/>
      <c r="GE45" s="358"/>
      <c r="GF45" s="358"/>
      <c r="GG45" s="358"/>
      <c r="GH45" s="358"/>
      <c r="GI45" s="358"/>
      <c r="GJ45" s="358"/>
      <c r="GK45" s="358"/>
      <c r="GL45" s="358"/>
      <c r="GM45" s="358"/>
      <c r="GN45" s="358"/>
      <c r="GO45" s="358"/>
      <c r="GP45" s="358"/>
      <c r="GQ45" s="358"/>
      <c r="GR45" s="358"/>
      <c r="GS45" s="358"/>
      <c r="GT45" s="358"/>
      <c r="GU45" s="358"/>
      <c r="GV45" s="358"/>
      <c r="GW45" s="358"/>
      <c r="GX45" s="358"/>
      <c r="GY45" s="358"/>
      <c r="GZ45" s="358"/>
      <c r="HA45" s="358"/>
      <c r="HB45" s="358"/>
      <c r="HC45" s="358"/>
      <c r="HD45" s="358"/>
      <c r="HE45" s="358"/>
      <c r="HF45" s="358"/>
      <c r="HG45" s="358"/>
      <c r="HH45" s="358"/>
      <c r="HI45" s="358"/>
      <c r="HJ45" s="358"/>
      <c r="HK45" s="358"/>
      <c r="HL45" s="358"/>
      <c r="HM45" s="358"/>
      <c r="HN45" s="358"/>
      <c r="HO45" s="358"/>
      <c r="HP45" s="358"/>
      <c r="HQ45" s="358"/>
      <c r="HR45" s="358"/>
      <c r="HS45" s="358"/>
      <c r="HT45" s="358"/>
      <c r="HU45" s="358"/>
      <c r="HV45" s="358"/>
      <c r="HW45" s="358"/>
      <c r="HX45" s="358"/>
    </row>
    <row r="46" spans="1:232" s="5" customFormat="1" ht="20.100000000000001" customHeight="1">
      <c r="A46" s="503">
        <v>1</v>
      </c>
      <c r="B46" s="1597" t="s">
        <v>448</v>
      </c>
      <c r="C46" s="1597"/>
      <c r="D46" s="1597"/>
      <c r="E46" s="1597"/>
      <c r="F46" s="1598" t="s">
        <v>433</v>
      </c>
      <c r="G46" s="1598"/>
      <c r="H46" s="1598"/>
      <c r="I46" s="562" t="s">
        <v>471</v>
      </c>
      <c r="J46" s="506"/>
      <c r="O46" s="406"/>
      <c r="P46" s="406"/>
      <c r="Q46" s="406"/>
      <c r="R46" s="406"/>
      <c r="S46" s="406"/>
      <c r="T46" s="406"/>
      <c r="U46" s="358"/>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row>
    <row r="47" spans="1:232" s="5" customFormat="1" ht="20.100000000000001" customHeight="1">
      <c r="A47" s="503">
        <v>2</v>
      </c>
      <c r="B47" s="1597" t="s">
        <v>434</v>
      </c>
      <c r="C47" s="1597"/>
      <c r="D47" s="1597"/>
      <c r="E47" s="1597"/>
      <c r="F47" s="1598" t="s">
        <v>450</v>
      </c>
      <c r="G47" s="1598"/>
      <c r="H47" s="1598"/>
      <c r="I47" s="562" t="s">
        <v>471</v>
      </c>
      <c r="J47" s="506"/>
      <c r="O47" s="406"/>
      <c r="P47" s="406"/>
      <c r="Q47" s="406"/>
      <c r="R47" s="406"/>
      <c r="S47" s="406"/>
      <c r="T47" s="406"/>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row>
    <row r="48" spans="1:232" s="5" customFormat="1" ht="20.100000000000001" customHeight="1">
      <c r="A48" s="503">
        <v>3</v>
      </c>
      <c r="B48" s="1661" t="s">
        <v>61</v>
      </c>
      <c r="C48" s="1662"/>
      <c r="D48" s="1662"/>
      <c r="E48" s="1663"/>
      <c r="F48" s="1598" t="s">
        <v>435</v>
      </c>
      <c r="G48" s="1598"/>
      <c r="H48" s="1598"/>
      <c r="I48" s="562" t="s">
        <v>471</v>
      </c>
      <c r="J48" s="506"/>
      <c r="O48" s="406"/>
      <c r="P48" s="406"/>
      <c r="Q48" s="406"/>
      <c r="R48" s="406"/>
      <c r="S48" s="406"/>
      <c r="T48" s="405"/>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row>
    <row r="49" spans="1:232" s="5" customFormat="1" ht="20.100000000000001" customHeight="1">
      <c r="A49" s="503"/>
      <c r="B49" s="1661"/>
      <c r="C49" s="1662"/>
      <c r="D49" s="1662"/>
      <c r="E49" s="1663"/>
      <c r="F49" s="1598"/>
      <c r="G49" s="1598"/>
      <c r="H49" s="1598"/>
      <c r="I49" s="562"/>
      <c r="J49" s="506"/>
      <c r="O49" s="405"/>
      <c r="P49" s="405"/>
      <c r="Q49" s="405"/>
      <c r="R49" s="405"/>
      <c r="S49" s="405"/>
      <c r="T49" s="405"/>
      <c r="U49" s="358"/>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row>
    <row r="50" spans="1:232" s="5" customFormat="1" ht="20.100000000000001" customHeight="1">
      <c r="A50" s="503"/>
      <c r="B50" s="1661"/>
      <c r="C50" s="1662"/>
      <c r="D50" s="1662"/>
      <c r="E50" s="1663"/>
      <c r="F50" s="1598"/>
      <c r="G50" s="1598"/>
      <c r="H50" s="1598"/>
      <c r="I50" s="562"/>
      <c r="J50" s="506"/>
      <c r="O50" s="405"/>
      <c r="P50" s="405"/>
      <c r="Q50" s="405"/>
      <c r="R50" s="405"/>
      <c r="S50" s="405"/>
      <c r="T50" s="405"/>
      <c r="U50" s="358"/>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row>
    <row r="51" spans="1:232" ht="20.100000000000001" customHeight="1">
      <c r="A51" s="1595" t="s">
        <v>1042</v>
      </c>
      <c r="B51" s="1595"/>
      <c r="C51" s="1595"/>
      <c r="D51" s="1595"/>
      <c r="E51" s="1595"/>
      <c r="F51" s="1595"/>
      <c r="G51" s="1595"/>
      <c r="H51" s="1595"/>
      <c r="I51" s="1595"/>
      <c r="J51" s="1595"/>
      <c r="N51" s="5"/>
      <c r="O51" s="405"/>
      <c r="P51" s="405"/>
      <c r="Q51" s="405"/>
      <c r="R51" s="405"/>
      <c r="S51" s="405"/>
    </row>
    <row r="52" spans="1:232" ht="20.100000000000001" customHeight="1">
      <c r="A52" s="1596" t="s">
        <v>121</v>
      </c>
      <c r="B52" s="1596"/>
      <c r="C52" s="1596"/>
      <c r="D52" s="1596"/>
      <c r="E52" s="1596"/>
      <c r="F52" s="1596"/>
      <c r="G52" s="1596"/>
      <c r="H52" s="1596"/>
      <c r="I52" s="1596"/>
      <c r="J52" s="1596"/>
    </row>
    <row r="53" spans="1:232" ht="20.100000000000001" customHeight="1">
      <c r="A53" s="1600" t="s">
        <v>910</v>
      </c>
      <c r="B53" s="1600"/>
      <c r="C53" s="1600"/>
      <c r="D53" s="1600"/>
      <c r="E53" s="1600"/>
      <c r="F53" s="1600"/>
      <c r="G53" s="1600"/>
      <c r="H53" s="1600"/>
      <c r="I53" s="1600"/>
      <c r="J53" s="1600"/>
    </row>
    <row r="54" spans="1:232" ht="20.100000000000001" customHeight="1">
      <c r="A54" s="1595"/>
      <c r="B54" s="1595"/>
      <c r="C54" s="1595"/>
      <c r="D54" s="1595"/>
      <c r="E54" s="1595"/>
      <c r="F54" s="1595"/>
      <c r="G54" s="1595"/>
      <c r="H54" s="1595"/>
      <c r="I54" s="1595"/>
      <c r="J54" s="1595"/>
    </row>
    <row r="55" spans="1:232" ht="20.100000000000001" customHeight="1">
      <c r="A55" s="507"/>
      <c r="B55" s="507"/>
      <c r="C55" s="507"/>
      <c r="D55" s="507"/>
      <c r="E55" s="507"/>
      <c r="F55" s="507"/>
      <c r="G55" s="507"/>
      <c r="H55" s="507"/>
      <c r="I55" s="507"/>
      <c r="J55" s="507"/>
    </row>
    <row r="56" spans="1:232" ht="20.100000000000001" customHeight="1">
      <c r="A56" s="1599" t="s">
        <v>442</v>
      </c>
      <c r="B56" s="1599"/>
      <c r="C56" s="1599"/>
      <c r="D56" s="1599"/>
      <c r="E56" s="1599"/>
      <c r="F56" s="1666" t="s">
        <v>123</v>
      </c>
      <c r="G56" s="1666"/>
      <c r="H56" s="1666"/>
      <c r="I56" s="1666"/>
      <c r="J56" s="1666"/>
    </row>
    <row r="57" spans="1:232" ht="20.100000000000001" customHeight="1">
      <c r="A57" s="563"/>
      <c r="B57" s="508"/>
      <c r="C57" s="508"/>
      <c r="D57" s="508"/>
      <c r="E57" s="563"/>
      <c r="F57" s="1599" t="s">
        <v>124</v>
      </c>
      <c r="G57" s="1599"/>
      <c r="H57" s="1599" t="s">
        <v>331</v>
      </c>
      <c r="I57" s="1599"/>
      <c r="J57" s="1599"/>
    </row>
    <row r="58" spans="1:232" ht="20.100000000000001" customHeight="1">
      <c r="A58" s="508"/>
      <c r="B58" s="508"/>
      <c r="C58" s="508"/>
      <c r="D58" s="508"/>
      <c r="E58" s="508"/>
      <c r="F58" s="508"/>
      <c r="G58" s="508"/>
      <c r="H58" s="508"/>
      <c r="I58" s="508"/>
      <c r="J58" s="508"/>
    </row>
    <row r="59" spans="1:232" ht="20.100000000000001" customHeight="1">
      <c r="A59" s="508"/>
      <c r="B59" s="508"/>
      <c r="C59" s="508"/>
      <c r="D59" s="508"/>
      <c r="E59" s="508"/>
      <c r="F59" s="508"/>
      <c r="G59" s="508"/>
      <c r="H59" s="508"/>
      <c r="I59" s="508"/>
      <c r="J59" s="508"/>
    </row>
    <row r="60" spans="1:232" ht="20.100000000000001" customHeight="1">
      <c r="A60" s="508"/>
      <c r="B60" s="508"/>
      <c r="C60" s="508"/>
      <c r="D60" s="508"/>
      <c r="E60" s="508"/>
      <c r="F60" s="508"/>
      <c r="G60" s="508"/>
      <c r="H60" s="508"/>
      <c r="I60" s="508"/>
      <c r="J60" s="508"/>
    </row>
    <row r="61" spans="1:232" ht="20.100000000000001" customHeight="1">
      <c r="A61" s="508"/>
      <c r="B61" s="508"/>
      <c r="C61" s="508"/>
      <c r="D61" s="508"/>
      <c r="E61" s="508"/>
      <c r="F61" s="508"/>
      <c r="G61" s="508"/>
      <c r="H61" s="508"/>
      <c r="I61" s="508"/>
      <c r="J61" s="508"/>
    </row>
    <row r="62" spans="1:232" ht="20.100000000000001" customHeight="1">
      <c r="A62" s="508"/>
      <c r="B62" s="508"/>
      <c r="C62" s="508"/>
      <c r="D62" s="508"/>
      <c r="E62" s="508"/>
      <c r="F62" s="508"/>
      <c r="G62" s="508"/>
      <c r="H62" s="508"/>
      <c r="I62" s="508"/>
      <c r="J62" s="508"/>
    </row>
    <row r="63" spans="1:232" ht="20.100000000000001" customHeight="1">
      <c r="A63" s="508"/>
      <c r="B63" s="508"/>
      <c r="C63" s="508"/>
      <c r="D63" s="508"/>
      <c r="E63" s="508"/>
      <c r="F63" s="508"/>
      <c r="G63" s="508"/>
      <c r="H63" s="508"/>
      <c r="I63" s="508"/>
      <c r="J63" s="508"/>
    </row>
    <row r="64" spans="1:232" ht="20.100000000000001" customHeight="1">
      <c r="A64" s="508"/>
      <c r="B64" s="508"/>
      <c r="C64" s="508"/>
      <c r="D64" s="508"/>
      <c r="E64" s="508"/>
      <c r="F64" s="508"/>
      <c r="G64" s="508"/>
      <c r="H64" s="508"/>
      <c r="I64" s="508"/>
      <c r="J64" s="508"/>
    </row>
    <row r="65" spans="1:10" ht="20.100000000000001" customHeight="1">
      <c r="A65" s="508"/>
      <c r="B65" s="508"/>
      <c r="C65" s="508"/>
      <c r="D65" s="508"/>
      <c r="E65" s="508"/>
      <c r="F65" s="508"/>
      <c r="G65" s="508"/>
      <c r="H65" s="508"/>
      <c r="I65" s="508"/>
      <c r="J65" s="508"/>
    </row>
    <row r="66" spans="1:10" ht="20.100000000000001" customHeight="1">
      <c r="A66" s="508"/>
      <c r="B66" s="508"/>
      <c r="C66" s="508"/>
      <c r="D66" s="508"/>
      <c r="E66" s="508"/>
      <c r="F66" s="508"/>
      <c r="G66" s="508"/>
      <c r="H66" s="508"/>
      <c r="I66" s="508"/>
      <c r="J66" s="508"/>
    </row>
    <row r="67" spans="1:10" ht="20.100000000000001" customHeight="1">
      <c r="A67" s="508"/>
      <c r="B67" s="508"/>
      <c r="C67" s="508"/>
      <c r="D67" s="508"/>
      <c r="E67" s="508"/>
      <c r="F67" s="508"/>
      <c r="G67" s="508"/>
      <c r="H67" s="508"/>
      <c r="I67" s="508"/>
      <c r="J67" s="508"/>
    </row>
    <row r="68" spans="1:10" ht="20.100000000000001" customHeight="1">
      <c r="A68" s="508"/>
      <c r="B68" s="508"/>
      <c r="C68" s="508"/>
      <c r="D68" s="508"/>
      <c r="E68" s="508"/>
      <c r="F68" s="508"/>
      <c r="G68" s="508"/>
      <c r="H68" s="508"/>
      <c r="I68" s="508"/>
      <c r="J68" s="508"/>
    </row>
    <row r="69" spans="1:10" ht="20.100000000000001" customHeight="1">
      <c r="A69" s="508"/>
      <c r="B69" s="508"/>
      <c r="C69" s="508"/>
      <c r="D69" s="508"/>
      <c r="E69" s="508"/>
      <c r="F69" s="508"/>
      <c r="G69" s="508"/>
      <c r="H69" s="508"/>
      <c r="I69" s="508"/>
      <c r="J69" s="508"/>
    </row>
    <row r="70" spans="1:10" ht="20.100000000000001" customHeight="1">
      <c r="A70" s="508"/>
      <c r="B70" s="508"/>
      <c r="C70" s="508"/>
      <c r="D70" s="508"/>
      <c r="E70" s="508"/>
      <c r="F70" s="508"/>
      <c r="G70" s="508"/>
      <c r="H70" s="508"/>
      <c r="I70" s="508"/>
      <c r="J70" s="508"/>
    </row>
    <row r="71" spans="1:10" ht="20.100000000000001" customHeight="1">
      <c r="A71" s="508"/>
      <c r="B71" s="508"/>
      <c r="C71" s="508"/>
      <c r="D71" s="508"/>
      <c r="E71" s="508"/>
      <c r="F71" s="508"/>
      <c r="G71" s="508"/>
      <c r="H71" s="508"/>
      <c r="I71" s="508"/>
      <c r="J71" s="508"/>
    </row>
    <row r="72" spans="1:10" ht="20.100000000000001" customHeight="1">
      <c r="A72" s="508"/>
      <c r="B72" s="508"/>
      <c r="C72" s="508"/>
      <c r="D72" s="508"/>
      <c r="E72" s="508"/>
      <c r="F72" s="508"/>
      <c r="G72" s="508"/>
      <c r="H72" s="508"/>
      <c r="I72" s="508"/>
      <c r="J72" s="508"/>
    </row>
    <row r="73" spans="1:10" ht="20.100000000000001" customHeight="1">
      <c r="A73" s="508"/>
      <c r="B73" s="508"/>
      <c r="C73" s="508"/>
      <c r="D73" s="508"/>
      <c r="E73" s="508"/>
      <c r="F73" s="508"/>
      <c r="G73" s="508"/>
      <c r="H73" s="508"/>
      <c r="I73" s="508"/>
      <c r="J73" s="508"/>
    </row>
    <row r="74" spans="1:10" ht="20.100000000000001" customHeight="1">
      <c r="A74" s="508"/>
      <c r="B74" s="508"/>
      <c r="C74" s="508"/>
      <c r="D74" s="508"/>
      <c r="E74" s="508"/>
      <c r="F74" s="508"/>
      <c r="G74" s="508"/>
      <c r="H74" s="508"/>
      <c r="I74" s="508"/>
      <c r="J74" s="508"/>
    </row>
    <row r="75" spans="1:10" ht="20.100000000000001" customHeight="1">
      <c r="A75" s="508"/>
      <c r="B75" s="508"/>
      <c r="C75" s="508"/>
      <c r="D75" s="508"/>
      <c r="E75" s="508"/>
      <c r="F75" s="508"/>
      <c r="G75" s="508"/>
      <c r="H75" s="508"/>
      <c r="I75" s="508"/>
      <c r="J75" s="508"/>
    </row>
    <row r="76" spans="1:10" ht="20.100000000000001" customHeight="1">
      <c r="A76" s="508"/>
      <c r="B76" s="508"/>
      <c r="C76" s="508"/>
      <c r="D76" s="508"/>
      <c r="E76" s="508"/>
      <c r="F76" s="508"/>
      <c r="G76" s="508"/>
      <c r="H76" s="508"/>
      <c r="I76" s="508"/>
      <c r="J76" s="508"/>
    </row>
    <row r="77" spans="1:10" ht="20.100000000000001" customHeight="1">
      <c r="A77" s="1698" t="s">
        <v>458</v>
      </c>
      <c r="B77" s="1698"/>
      <c r="C77" s="1698"/>
      <c r="D77" s="1698"/>
      <c r="E77" s="1698"/>
      <c r="F77" s="1652" t="s">
        <v>126</v>
      </c>
      <c r="G77" s="1652"/>
      <c r="H77" s="1652"/>
      <c r="I77" s="1652"/>
      <c r="J77" s="1652"/>
    </row>
    <row r="78" spans="1:10" ht="20.100000000000001" customHeight="1">
      <c r="A78" s="1613" t="s">
        <v>127</v>
      </c>
      <c r="B78" s="1613"/>
      <c r="C78" s="1613"/>
      <c r="D78" s="1613"/>
      <c r="E78" s="1613"/>
      <c r="F78" s="1700" t="s">
        <v>128</v>
      </c>
      <c r="G78" s="1700"/>
      <c r="H78" s="1700"/>
      <c r="I78" s="1700"/>
      <c r="J78" s="1700"/>
    </row>
    <row r="79" spans="1:10" ht="20.100000000000001" customHeight="1">
      <c r="F79" s="1652" t="s">
        <v>404</v>
      </c>
      <c r="G79" s="1653"/>
      <c r="H79" s="1653"/>
      <c r="I79" s="1653"/>
      <c r="J79" s="1653"/>
    </row>
    <row r="80" spans="1:10" ht="20.100000000000001" customHeight="1">
      <c r="F80" s="1706">
        <f>A4</f>
        <v>42494</v>
      </c>
      <c r="G80" s="1706"/>
      <c r="H80" s="1706"/>
      <c r="I80" s="1706"/>
      <c r="J80" s="1706"/>
    </row>
    <row r="81" spans="1:232" ht="20.100000000000001" customHeight="1">
      <c r="A81" s="509"/>
      <c r="B81" s="509"/>
      <c r="C81" s="509"/>
      <c r="D81" s="509"/>
      <c r="E81" s="509"/>
      <c r="F81" s="510"/>
      <c r="G81" s="510"/>
      <c r="H81" s="510"/>
      <c r="I81" s="510"/>
      <c r="J81" s="510"/>
    </row>
    <row r="82" spans="1:232" ht="19.5">
      <c r="A82" s="1655" t="s">
        <v>438</v>
      </c>
      <c r="B82" s="1656"/>
      <c r="C82" s="1656"/>
      <c r="D82" s="1656"/>
      <c r="E82" s="1656"/>
      <c r="F82" s="1656"/>
      <c r="G82" s="1656"/>
      <c r="H82" s="1656"/>
      <c r="I82" s="1656"/>
      <c r="J82" s="1656"/>
    </row>
    <row r="83" spans="1:232" ht="20.100000000000001" customHeight="1">
      <c r="A83" s="1696" t="str">
        <f>A6</f>
        <v>SỐ: TGHL-HT-CWI-C&amp;S-B1/800</v>
      </c>
      <c r="B83" s="1696"/>
      <c r="C83" s="1696"/>
      <c r="D83" s="1696"/>
      <c r="E83" s="1696"/>
      <c r="F83" s="1696"/>
      <c r="G83" s="1696"/>
      <c r="H83" s="1696"/>
      <c r="I83" s="1696"/>
      <c r="J83" s="1696"/>
    </row>
    <row r="84" spans="1:232" ht="35.1" customHeight="1">
      <c r="A84" s="641" t="str">
        <f>A8</f>
        <v>DỰ ÁN:</v>
      </c>
      <c r="B84" s="641"/>
      <c r="C84" s="1615" t="str">
        <f>C8</f>
        <v>KHU HỖN HỢP CHUNG CƯ, VĂN PHÒNG, TRUNG TÂM THƯƠNG MẠI VÀ NHÀ Ở KẾT HỢP KHU MUA SẮM</v>
      </c>
      <c r="D84" s="1615"/>
      <c r="E84" s="1615"/>
      <c r="F84" s="1615"/>
      <c r="G84" s="1615"/>
      <c r="H84" s="1615"/>
      <c r="I84" s="1615"/>
      <c r="J84" s="1615"/>
    </row>
    <row r="85" spans="1:232" ht="20.100000000000001" customHeight="1">
      <c r="A85" s="641" t="str">
        <f>A9</f>
        <v>CÔNG TRÌNH:</v>
      </c>
      <c r="B85" s="641"/>
      <c r="C85" s="1615" t="str">
        <f>C9</f>
        <v>KHU HỖN HỢP CHUNG CƯ, VĂN PHÒNG, TTTM</v>
      </c>
      <c r="D85" s="1615"/>
      <c r="E85" s="1615"/>
      <c r="F85" s="1615"/>
      <c r="G85" s="1615"/>
      <c r="H85" s="1615"/>
      <c r="I85" s="1615"/>
      <c r="J85" s="1615"/>
    </row>
    <row r="86" spans="1:232" ht="20.100000000000001" customHeight="1">
      <c r="A86" s="641" t="str">
        <f>A10</f>
        <v>GÓI THẦU :</v>
      </c>
      <c r="B86" s="641"/>
      <c r="C86" s="1615" t="str">
        <f>C10</f>
        <v>THI CÔNG CỌC KHOAN NHỒI</v>
      </c>
      <c r="D86" s="1615"/>
      <c r="E86" s="1615"/>
      <c r="F86" s="1615"/>
      <c r="G86" s="1615"/>
      <c r="H86" s="1615"/>
      <c r="I86" s="1615"/>
      <c r="J86" s="1615"/>
    </row>
    <row r="87" spans="1:232" ht="20.100000000000001" customHeight="1">
      <c r="A87" s="641" t="str">
        <f>A11</f>
        <v>ĐỊA ĐIỂM :</v>
      </c>
      <c r="B87" s="641"/>
      <c r="C87" s="1615" t="str">
        <f>C11</f>
        <v>ĐƯỜNG 25/4, P BẠCH ĐẰNG, TP. HẠ LONG, TỈNH QUẢNG NINH</v>
      </c>
      <c r="D87" s="1615"/>
      <c r="E87" s="1615"/>
      <c r="F87" s="1615"/>
      <c r="G87" s="1615"/>
      <c r="H87" s="1615"/>
      <c r="I87" s="1615"/>
      <c r="J87" s="1615"/>
    </row>
    <row r="88" spans="1:232" ht="16.5">
      <c r="A88" s="511"/>
      <c r="B88" s="512"/>
      <c r="C88" s="481"/>
      <c r="D88" s="481"/>
      <c r="E88" s="481"/>
      <c r="F88" s="481"/>
      <c r="G88" s="481"/>
      <c r="H88" s="481"/>
      <c r="I88" s="481"/>
      <c r="J88" s="481"/>
    </row>
    <row r="89" spans="1:232" ht="16.5">
      <c r="A89" s="477" t="s">
        <v>911</v>
      </c>
      <c r="B89" s="638"/>
      <c r="C89" s="476" t="s">
        <v>820</v>
      </c>
      <c r="D89" s="638"/>
      <c r="E89" s="638"/>
      <c r="F89" s="638"/>
      <c r="G89" s="638"/>
      <c r="H89" s="638"/>
      <c r="I89" s="638"/>
      <c r="J89" s="638"/>
    </row>
    <row r="90" spans="1:232" ht="16.5">
      <c r="A90" s="509"/>
      <c r="B90" s="509"/>
      <c r="C90" s="782" t="s">
        <v>867</v>
      </c>
      <c r="D90" s="509"/>
      <c r="E90" s="509"/>
      <c r="F90" s="510"/>
      <c r="G90" s="510"/>
      <c r="H90" s="510"/>
      <c r="I90" s="510"/>
      <c r="J90" s="510"/>
    </row>
    <row r="91" spans="1:232" ht="51" customHeight="1">
      <c r="A91" s="1626" t="str">
        <f>'[6]7. BBNT-TOADOCOC'!A89:J89</f>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
      <c r="B91" s="1627"/>
      <c r="C91" s="1627"/>
      <c r="D91" s="1627"/>
      <c r="E91" s="1627"/>
      <c r="F91" s="1627"/>
      <c r="G91" s="1627"/>
      <c r="H91" s="1627"/>
      <c r="I91" s="1627"/>
      <c r="J91" s="1627"/>
    </row>
    <row r="92" spans="1:232" ht="20.100000000000001" customHeight="1">
      <c r="A92" s="1689" t="s">
        <v>868</v>
      </c>
      <c r="B92" s="1689"/>
      <c r="C92" s="518" t="str">
        <f>A13</f>
        <v>Cấu kiện bê tông cọc số hiệu B1</v>
      </c>
      <c r="D92" s="542"/>
      <c r="E92" s="542"/>
      <c r="F92" s="542"/>
      <c r="G92" s="542"/>
      <c r="H92" s="542"/>
      <c r="I92" s="542"/>
      <c r="J92" s="542"/>
    </row>
    <row r="93" spans="1:232" ht="20.100000000000001" customHeight="1">
      <c r="A93" s="543" t="s">
        <v>131</v>
      </c>
      <c r="B93" s="487"/>
      <c r="C93" s="514">
        <f>N16-O11</f>
        <v>0.61111111111111116</v>
      </c>
      <c r="D93" s="1603">
        <f>$N$17</f>
        <v>42494</v>
      </c>
      <c r="E93" s="1603"/>
      <c r="F93" s="1603"/>
      <c r="G93" s="1603"/>
      <c r="H93" s="1603"/>
      <c r="I93" s="1603"/>
      <c r="J93" s="513"/>
    </row>
    <row r="94" spans="1:232" ht="20.100000000000001" customHeight="1">
      <c r="A94" s="543" t="str">
        <f>'[6]7. BBNT-TOADOCOC'!A92</f>
        <v>Tại:</v>
      </c>
      <c r="B94" s="487" t="str">
        <f>'[6]7. BBNT-TOADOCOC'!B92</f>
        <v>Công trình: Khu hỗn hợp chung cư, văn phòng, trung tâm thương mại.</v>
      </c>
      <c r="C94" s="766"/>
      <c r="D94" s="766"/>
      <c r="E94" s="766"/>
      <c r="F94" s="766"/>
      <c r="G94" s="766"/>
      <c r="H94" s="766"/>
      <c r="I94" s="766"/>
      <c r="J94" s="766"/>
    </row>
    <row r="95" spans="1:232" ht="20.100000000000001" customHeight="1">
      <c r="A95" s="517"/>
      <c r="B95" s="517"/>
      <c r="C95" s="517"/>
      <c r="D95" s="517"/>
      <c r="E95" s="517"/>
      <c r="F95" s="519"/>
      <c r="G95" s="519"/>
      <c r="H95" s="519"/>
      <c r="I95" s="519"/>
      <c r="J95" s="519"/>
    </row>
    <row r="96" spans="1:232" s="464" customFormat="1" ht="39.75" customHeight="1">
      <c r="A96" s="1631" t="s">
        <v>869</v>
      </c>
      <c r="B96" s="1632"/>
      <c r="C96" s="1633"/>
      <c r="D96" s="1606" t="s">
        <v>870</v>
      </c>
      <c r="E96" s="1606"/>
      <c r="F96" s="1690" t="s">
        <v>409</v>
      </c>
      <c r="G96" s="1691"/>
      <c r="H96" s="1691"/>
      <c r="I96" s="1691"/>
      <c r="J96" s="1692"/>
      <c r="K96" s="463"/>
      <c r="L96" s="463"/>
      <c r="Y96" s="468"/>
      <c r="Z96" s="468"/>
      <c r="AA96" s="468"/>
      <c r="AB96" s="468"/>
      <c r="AC96" s="468"/>
      <c r="AD96" s="468"/>
      <c r="AE96" s="463"/>
      <c r="AF96" s="463"/>
      <c r="AG96" s="463"/>
      <c r="AH96" s="463"/>
      <c r="AI96" s="463"/>
      <c r="AJ96" s="463"/>
      <c r="AK96" s="463"/>
      <c r="AL96" s="463"/>
      <c r="AM96" s="463"/>
      <c r="AN96" s="463"/>
      <c r="AO96" s="463"/>
      <c r="AP96" s="463"/>
      <c r="AQ96" s="463"/>
      <c r="AR96" s="463"/>
      <c r="AS96" s="463"/>
      <c r="AT96" s="463"/>
      <c r="AU96" s="463"/>
      <c r="AV96" s="463"/>
      <c r="AW96" s="463"/>
      <c r="AX96" s="463"/>
      <c r="AY96" s="463"/>
      <c r="AZ96" s="463"/>
      <c r="BA96" s="463"/>
      <c r="BB96" s="463"/>
      <c r="BC96" s="463"/>
      <c r="BD96" s="463"/>
      <c r="BE96" s="463"/>
      <c r="BF96" s="463"/>
      <c r="BG96" s="463"/>
      <c r="BH96" s="463"/>
      <c r="BI96" s="463"/>
      <c r="BJ96" s="463"/>
      <c r="BK96" s="463"/>
      <c r="BL96" s="463"/>
      <c r="BM96" s="463"/>
      <c r="BN96" s="463"/>
      <c r="BO96" s="463"/>
      <c r="BP96" s="463"/>
      <c r="BQ96" s="463"/>
      <c r="BR96" s="463"/>
      <c r="BS96" s="463"/>
      <c r="BT96" s="463"/>
      <c r="BU96" s="463"/>
      <c r="BV96" s="463"/>
      <c r="BW96" s="463"/>
      <c r="BX96" s="463"/>
      <c r="BY96" s="463"/>
      <c r="BZ96" s="463"/>
      <c r="CA96" s="463"/>
      <c r="CB96" s="463"/>
      <c r="CC96" s="463"/>
      <c r="CD96" s="463"/>
      <c r="CE96" s="463"/>
      <c r="CF96" s="463"/>
      <c r="CG96" s="463"/>
      <c r="CH96" s="463"/>
      <c r="CI96" s="463"/>
      <c r="CJ96" s="463"/>
      <c r="CK96" s="463"/>
      <c r="CL96" s="463"/>
      <c r="CM96" s="463"/>
      <c r="CN96" s="463"/>
      <c r="CO96" s="463"/>
      <c r="CP96" s="463"/>
      <c r="CQ96" s="463"/>
      <c r="CR96" s="463"/>
      <c r="CS96" s="463"/>
      <c r="CT96" s="463"/>
      <c r="CU96" s="463"/>
      <c r="CV96" s="463"/>
      <c r="CW96" s="463"/>
      <c r="CX96" s="463"/>
      <c r="CY96" s="463"/>
      <c r="CZ96" s="463"/>
      <c r="DA96" s="463"/>
      <c r="DB96" s="463"/>
      <c r="DC96" s="463"/>
      <c r="DD96" s="463"/>
      <c r="DE96" s="463"/>
      <c r="DF96" s="463"/>
      <c r="DG96" s="463"/>
      <c r="DH96" s="463"/>
      <c r="DI96" s="463"/>
      <c r="DJ96" s="463"/>
      <c r="DK96" s="463"/>
      <c r="DL96" s="463"/>
      <c r="DM96" s="463"/>
      <c r="DN96" s="463"/>
      <c r="DO96" s="463"/>
      <c r="DP96" s="463"/>
      <c r="DQ96" s="463"/>
      <c r="DR96" s="463"/>
      <c r="DS96" s="463"/>
      <c r="DT96" s="463"/>
      <c r="DU96" s="463"/>
      <c r="DV96" s="463"/>
      <c r="DW96" s="463"/>
      <c r="DX96" s="463"/>
      <c r="DY96" s="463"/>
      <c r="DZ96" s="463"/>
      <c r="EA96" s="463"/>
      <c r="EB96" s="463"/>
      <c r="EC96" s="463"/>
      <c r="ED96" s="463"/>
      <c r="EE96" s="463"/>
      <c r="EF96" s="463"/>
      <c r="EG96" s="463"/>
      <c r="EH96" s="463"/>
      <c r="EI96" s="463"/>
      <c r="EJ96" s="463"/>
      <c r="EK96" s="463"/>
      <c r="EL96" s="463"/>
      <c r="EM96" s="463"/>
      <c r="EN96" s="463"/>
      <c r="EO96" s="463"/>
      <c r="EP96" s="463"/>
      <c r="EQ96" s="463"/>
      <c r="ER96" s="463"/>
      <c r="ES96" s="463"/>
      <c r="ET96" s="463"/>
      <c r="EU96" s="463"/>
      <c r="EV96" s="463"/>
      <c r="EW96" s="463"/>
      <c r="EX96" s="463"/>
      <c r="EY96" s="463"/>
      <c r="EZ96" s="463"/>
      <c r="FA96" s="463"/>
      <c r="FB96" s="463"/>
      <c r="FC96" s="463"/>
      <c r="FD96" s="463"/>
      <c r="FE96" s="463"/>
      <c r="FF96" s="463"/>
      <c r="FG96" s="463"/>
      <c r="FH96" s="463"/>
      <c r="FI96" s="463"/>
      <c r="FJ96" s="463"/>
      <c r="FK96" s="463"/>
      <c r="FL96" s="463"/>
      <c r="FM96" s="463"/>
      <c r="FN96" s="463"/>
      <c r="FO96" s="463"/>
      <c r="FP96" s="463"/>
      <c r="FQ96" s="463"/>
      <c r="FR96" s="463"/>
      <c r="FS96" s="463"/>
      <c r="FT96" s="463"/>
      <c r="FU96" s="463"/>
      <c r="FV96" s="463"/>
      <c r="FW96" s="463"/>
      <c r="FX96" s="463"/>
      <c r="FY96" s="463"/>
      <c r="FZ96" s="463"/>
      <c r="GA96" s="463"/>
      <c r="GB96" s="463"/>
      <c r="GC96" s="463"/>
      <c r="GD96" s="463"/>
      <c r="GE96" s="463"/>
      <c r="GF96" s="463"/>
      <c r="GG96" s="463"/>
      <c r="GH96" s="463"/>
      <c r="GI96" s="463"/>
      <c r="GJ96" s="463"/>
      <c r="GK96" s="463"/>
      <c r="GL96" s="463"/>
      <c r="GM96" s="463"/>
      <c r="GN96" s="463"/>
      <c r="GO96" s="463"/>
      <c r="GP96" s="463"/>
      <c r="GQ96" s="463"/>
      <c r="GR96" s="463"/>
      <c r="GS96" s="463"/>
      <c r="GT96" s="463"/>
      <c r="GU96" s="463"/>
      <c r="GV96" s="463"/>
      <c r="GW96" s="463"/>
      <c r="GX96" s="463"/>
      <c r="GY96" s="463"/>
      <c r="GZ96" s="463"/>
      <c r="HA96" s="463"/>
      <c r="HB96" s="463"/>
      <c r="HC96" s="463"/>
      <c r="HD96" s="463"/>
      <c r="HE96" s="463"/>
      <c r="HF96" s="463"/>
      <c r="HG96" s="463"/>
      <c r="HH96" s="463"/>
      <c r="HI96" s="463"/>
      <c r="HJ96" s="463"/>
      <c r="HK96" s="463"/>
      <c r="HL96" s="463"/>
      <c r="HM96" s="463"/>
      <c r="HN96" s="463"/>
      <c r="HO96" s="463"/>
      <c r="HP96" s="463"/>
      <c r="HQ96" s="463"/>
      <c r="HR96" s="463"/>
      <c r="HS96" s="463"/>
      <c r="HT96" s="463"/>
      <c r="HU96" s="463"/>
      <c r="HV96" s="463"/>
      <c r="HW96" s="463"/>
      <c r="HX96" s="463"/>
    </row>
    <row r="97" spans="1:232" s="464" customFormat="1" ht="34.5" customHeight="1">
      <c r="A97" s="1634"/>
      <c r="B97" s="1635"/>
      <c r="C97" s="1636"/>
      <c r="D97" s="1641">
        <f>N10+O11+O11/3</f>
        <v>0.60185185185185186</v>
      </c>
      <c r="E97" s="1693">
        <f>N17</f>
        <v>42494</v>
      </c>
      <c r="F97" s="1645"/>
      <c r="G97" s="1646"/>
      <c r="H97" s="1646"/>
      <c r="I97" s="1646"/>
      <c r="J97" s="1647"/>
      <c r="K97" s="463"/>
      <c r="L97" s="463"/>
      <c r="Y97" s="468"/>
      <c r="Z97" s="468"/>
      <c r="AA97" s="468"/>
      <c r="AB97" s="468"/>
      <c r="AC97" s="468"/>
      <c r="AD97" s="468"/>
      <c r="AE97" s="463"/>
      <c r="AF97" s="463"/>
      <c r="AG97" s="463"/>
      <c r="AH97" s="463"/>
      <c r="AI97" s="463"/>
      <c r="AJ97" s="463"/>
      <c r="AK97" s="463"/>
      <c r="AL97" s="463"/>
      <c r="AM97" s="463"/>
      <c r="AN97" s="463"/>
      <c r="AO97" s="463"/>
      <c r="AP97" s="463"/>
      <c r="AQ97" s="463"/>
      <c r="AR97" s="463"/>
      <c r="AS97" s="463"/>
      <c r="AT97" s="463"/>
      <c r="AU97" s="463"/>
      <c r="AV97" s="463"/>
      <c r="AW97" s="463"/>
      <c r="AX97" s="463"/>
      <c r="AY97" s="463"/>
      <c r="AZ97" s="463"/>
      <c r="BA97" s="463"/>
      <c r="BB97" s="463"/>
      <c r="BC97" s="463"/>
      <c r="BD97" s="463"/>
      <c r="BE97" s="463"/>
      <c r="BF97" s="463"/>
      <c r="BG97" s="463"/>
      <c r="BH97" s="463"/>
      <c r="BI97" s="463"/>
      <c r="BJ97" s="463"/>
      <c r="BK97" s="463"/>
      <c r="BL97" s="463"/>
      <c r="BM97" s="463"/>
      <c r="BN97" s="463"/>
      <c r="BO97" s="463"/>
      <c r="BP97" s="463"/>
      <c r="BQ97" s="463"/>
      <c r="BR97" s="463"/>
      <c r="BS97" s="463"/>
      <c r="BT97" s="463"/>
      <c r="BU97" s="463"/>
      <c r="BV97" s="463"/>
      <c r="BW97" s="463"/>
      <c r="BX97" s="463"/>
      <c r="BY97" s="463"/>
      <c r="BZ97" s="463"/>
      <c r="CA97" s="463"/>
      <c r="CB97" s="463"/>
      <c r="CC97" s="463"/>
      <c r="CD97" s="463"/>
      <c r="CE97" s="463"/>
      <c r="CF97" s="463"/>
      <c r="CG97" s="463"/>
      <c r="CH97" s="463"/>
      <c r="CI97" s="463"/>
      <c r="CJ97" s="463"/>
      <c r="CK97" s="463"/>
      <c r="CL97" s="463"/>
      <c r="CM97" s="463"/>
      <c r="CN97" s="463"/>
      <c r="CO97" s="463"/>
      <c r="CP97" s="463"/>
      <c r="CQ97" s="463"/>
      <c r="CR97" s="463"/>
      <c r="CS97" s="463"/>
      <c r="CT97" s="463"/>
      <c r="CU97" s="463"/>
      <c r="CV97" s="463"/>
      <c r="CW97" s="463"/>
      <c r="CX97" s="463"/>
      <c r="CY97" s="463"/>
      <c r="CZ97" s="463"/>
      <c r="DA97" s="463"/>
      <c r="DB97" s="463"/>
      <c r="DC97" s="463"/>
      <c r="DD97" s="463"/>
      <c r="DE97" s="463"/>
      <c r="DF97" s="463"/>
      <c r="DG97" s="463"/>
      <c r="DH97" s="463"/>
      <c r="DI97" s="463"/>
      <c r="DJ97" s="463"/>
      <c r="DK97" s="463"/>
      <c r="DL97" s="463"/>
      <c r="DM97" s="463"/>
      <c r="DN97" s="463"/>
      <c r="DO97" s="463"/>
      <c r="DP97" s="463"/>
      <c r="DQ97" s="463"/>
      <c r="DR97" s="463"/>
      <c r="DS97" s="463"/>
      <c r="DT97" s="463"/>
      <c r="DU97" s="463"/>
      <c r="DV97" s="463"/>
      <c r="DW97" s="463"/>
      <c r="DX97" s="463"/>
      <c r="DY97" s="463"/>
      <c r="DZ97" s="463"/>
      <c r="EA97" s="463"/>
      <c r="EB97" s="463"/>
      <c r="EC97" s="463"/>
      <c r="ED97" s="463"/>
      <c r="EE97" s="463"/>
      <c r="EF97" s="463"/>
      <c r="EG97" s="463"/>
      <c r="EH97" s="463"/>
      <c r="EI97" s="463"/>
      <c r="EJ97" s="463"/>
      <c r="EK97" s="463"/>
      <c r="EL97" s="463"/>
      <c r="EM97" s="463"/>
      <c r="EN97" s="463"/>
      <c r="EO97" s="463"/>
      <c r="EP97" s="463"/>
      <c r="EQ97" s="463"/>
      <c r="ER97" s="463"/>
      <c r="ES97" s="463"/>
      <c r="ET97" s="463"/>
      <c r="EU97" s="463"/>
      <c r="EV97" s="463"/>
      <c r="EW97" s="463"/>
      <c r="EX97" s="463"/>
      <c r="EY97" s="463"/>
      <c r="EZ97" s="463"/>
      <c r="FA97" s="463"/>
      <c r="FB97" s="463"/>
      <c r="FC97" s="463"/>
      <c r="FD97" s="463"/>
      <c r="FE97" s="463"/>
      <c r="FF97" s="463"/>
      <c r="FG97" s="463"/>
      <c r="FH97" s="463"/>
      <c r="FI97" s="463"/>
      <c r="FJ97" s="463"/>
      <c r="FK97" s="463"/>
      <c r="FL97" s="463"/>
      <c r="FM97" s="463"/>
      <c r="FN97" s="463"/>
      <c r="FO97" s="463"/>
      <c r="FP97" s="463"/>
      <c r="FQ97" s="463"/>
      <c r="FR97" s="463"/>
      <c r="FS97" s="463"/>
      <c r="FT97" s="463"/>
      <c r="FU97" s="463"/>
      <c r="FV97" s="463"/>
      <c r="FW97" s="463"/>
      <c r="FX97" s="463"/>
      <c r="FY97" s="463"/>
      <c r="FZ97" s="463"/>
      <c r="GA97" s="463"/>
      <c r="GB97" s="463"/>
      <c r="GC97" s="463"/>
      <c r="GD97" s="463"/>
      <c r="GE97" s="463"/>
      <c r="GF97" s="463"/>
      <c r="GG97" s="463"/>
      <c r="GH97" s="463"/>
      <c r="GI97" s="463"/>
      <c r="GJ97" s="463"/>
      <c r="GK97" s="463"/>
      <c r="GL97" s="463"/>
      <c r="GM97" s="463"/>
      <c r="GN97" s="463"/>
      <c r="GO97" s="463"/>
      <c r="GP97" s="463"/>
      <c r="GQ97" s="463"/>
      <c r="GR97" s="463"/>
      <c r="GS97" s="463"/>
      <c r="GT97" s="463"/>
      <c r="GU97" s="463"/>
      <c r="GV97" s="463"/>
      <c r="GW97" s="463"/>
      <c r="GX97" s="463"/>
      <c r="GY97" s="463"/>
      <c r="GZ97" s="463"/>
      <c r="HA97" s="463"/>
      <c r="HB97" s="463"/>
      <c r="HC97" s="463"/>
      <c r="HD97" s="463"/>
      <c r="HE97" s="463"/>
      <c r="HF97" s="463"/>
      <c r="HG97" s="463"/>
      <c r="HH97" s="463"/>
      <c r="HI97" s="463"/>
      <c r="HJ97" s="463"/>
      <c r="HK97" s="463"/>
      <c r="HL97" s="463"/>
      <c r="HM97" s="463"/>
      <c r="HN97" s="463"/>
      <c r="HO97" s="463"/>
      <c r="HP97" s="463"/>
      <c r="HQ97" s="463"/>
      <c r="HR97" s="463"/>
      <c r="HS97" s="463"/>
      <c r="HT97" s="463"/>
      <c r="HU97" s="463"/>
      <c r="HV97" s="463"/>
      <c r="HW97" s="463"/>
      <c r="HX97" s="463"/>
    </row>
    <row r="98" spans="1:232" s="464" customFormat="1" ht="20.100000000000001" customHeight="1">
      <c r="A98" s="1637"/>
      <c r="B98" s="1638"/>
      <c r="C98" s="1639"/>
      <c r="D98" s="1642"/>
      <c r="E98" s="1694"/>
      <c r="F98" s="1648"/>
      <c r="G98" s="1649"/>
      <c r="H98" s="1649"/>
      <c r="I98" s="1649"/>
      <c r="J98" s="1650"/>
      <c r="K98" s="463"/>
      <c r="L98" s="463"/>
      <c r="Y98" s="468"/>
      <c r="Z98" s="468"/>
      <c r="AA98" s="468"/>
      <c r="AB98" s="468"/>
      <c r="AC98" s="468"/>
      <c r="AD98" s="468"/>
      <c r="AE98" s="463"/>
      <c r="AF98" s="463"/>
      <c r="AG98" s="463"/>
      <c r="AH98" s="463"/>
      <c r="AI98" s="463"/>
      <c r="AJ98" s="463"/>
      <c r="AK98" s="463"/>
      <c r="AL98" s="463"/>
      <c r="AM98" s="463"/>
      <c r="AN98" s="463"/>
      <c r="AO98" s="463"/>
      <c r="AP98" s="463"/>
      <c r="AQ98" s="463"/>
      <c r="AR98" s="463"/>
      <c r="AS98" s="463"/>
      <c r="AT98" s="463"/>
      <c r="AU98" s="463"/>
      <c r="AV98" s="463"/>
      <c r="AW98" s="463"/>
      <c r="AX98" s="463"/>
      <c r="AY98" s="463"/>
      <c r="AZ98" s="463"/>
      <c r="BA98" s="463"/>
      <c r="BB98" s="463"/>
      <c r="BC98" s="463"/>
      <c r="BD98" s="463"/>
      <c r="BE98" s="463"/>
      <c r="BF98" s="463"/>
      <c r="BG98" s="463"/>
      <c r="BH98" s="463"/>
      <c r="BI98" s="463"/>
      <c r="BJ98" s="463"/>
      <c r="BK98" s="463"/>
      <c r="BL98" s="463"/>
      <c r="BM98" s="463"/>
      <c r="BN98" s="463"/>
      <c r="BO98" s="463"/>
      <c r="BP98" s="463"/>
      <c r="BQ98" s="463"/>
      <c r="BR98" s="463"/>
      <c r="BS98" s="463"/>
      <c r="BT98" s="463"/>
      <c r="BU98" s="463"/>
      <c r="BV98" s="463"/>
      <c r="BW98" s="463"/>
      <c r="BX98" s="463"/>
      <c r="BY98" s="463"/>
      <c r="BZ98" s="463"/>
      <c r="CA98" s="463"/>
      <c r="CB98" s="463"/>
      <c r="CC98" s="463"/>
      <c r="CD98" s="463"/>
      <c r="CE98" s="463"/>
      <c r="CF98" s="463"/>
      <c r="CG98" s="463"/>
      <c r="CH98" s="463"/>
      <c r="CI98" s="463"/>
      <c r="CJ98" s="463"/>
      <c r="CK98" s="463"/>
      <c r="CL98" s="463"/>
      <c r="CM98" s="463"/>
      <c r="CN98" s="463"/>
      <c r="CO98" s="463"/>
      <c r="CP98" s="463"/>
      <c r="CQ98" s="463"/>
      <c r="CR98" s="463"/>
      <c r="CS98" s="463"/>
      <c r="CT98" s="463"/>
      <c r="CU98" s="463"/>
      <c r="CV98" s="463"/>
      <c r="CW98" s="463"/>
      <c r="CX98" s="463"/>
      <c r="CY98" s="463"/>
      <c r="CZ98" s="463"/>
      <c r="DA98" s="463"/>
      <c r="DB98" s="463"/>
      <c r="DC98" s="463"/>
      <c r="DD98" s="463"/>
      <c r="DE98" s="463"/>
      <c r="DF98" s="463"/>
      <c r="DG98" s="463"/>
      <c r="DH98" s="463"/>
      <c r="DI98" s="463"/>
      <c r="DJ98" s="463"/>
      <c r="DK98" s="463"/>
      <c r="DL98" s="463"/>
      <c r="DM98" s="463"/>
      <c r="DN98" s="463"/>
      <c r="DO98" s="463"/>
      <c r="DP98" s="463"/>
      <c r="DQ98" s="463"/>
      <c r="DR98" s="463"/>
      <c r="DS98" s="463"/>
      <c r="DT98" s="463"/>
      <c r="DU98" s="463"/>
      <c r="DV98" s="463"/>
      <c r="DW98" s="463"/>
      <c r="DX98" s="463"/>
      <c r="DY98" s="463"/>
      <c r="DZ98" s="463"/>
      <c r="EA98" s="463"/>
      <c r="EB98" s="463"/>
      <c r="EC98" s="463"/>
      <c r="ED98" s="463"/>
      <c r="EE98" s="463"/>
      <c r="EF98" s="463"/>
      <c r="EG98" s="463"/>
      <c r="EH98" s="463"/>
      <c r="EI98" s="463"/>
      <c r="EJ98" s="463"/>
      <c r="EK98" s="463"/>
      <c r="EL98" s="463"/>
      <c r="EM98" s="463"/>
      <c r="EN98" s="463"/>
      <c r="EO98" s="463"/>
      <c r="EP98" s="463"/>
      <c r="EQ98" s="463"/>
      <c r="ER98" s="463"/>
      <c r="ES98" s="463"/>
      <c r="ET98" s="463"/>
      <c r="EU98" s="463"/>
      <c r="EV98" s="463"/>
      <c r="EW98" s="463"/>
      <c r="EX98" s="463"/>
      <c r="EY98" s="463"/>
      <c r="EZ98" s="463"/>
      <c r="FA98" s="463"/>
      <c r="FB98" s="463"/>
      <c r="FC98" s="463"/>
      <c r="FD98" s="463"/>
      <c r="FE98" s="463"/>
      <c r="FF98" s="463"/>
      <c r="FG98" s="463"/>
      <c r="FH98" s="463"/>
      <c r="FI98" s="463"/>
      <c r="FJ98" s="463"/>
      <c r="FK98" s="463"/>
      <c r="FL98" s="463"/>
      <c r="FM98" s="463"/>
      <c r="FN98" s="463"/>
      <c r="FO98" s="463"/>
      <c r="FP98" s="463"/>
      <c r="FQ98" s="463"/>
      <c r="FR98" s="463"/>
      <c r="FS98" s="463"/>
      <c r="FT98" s="463"/>
      <c r="FU98" s="463"/>
      <c r="FV98" s="463"/>
      <c r="FW98" s="463"/>
      <c r="FX98" s="463"/>
      <c r="FY98" s="463"/>
      <c r="FZ98" s="463"/>
      <c r="GA98" s="463"/>
      <c r="GB98" s="463"/>
      <c r="GC98" s="463"/>
      <c r="GD98" s="463"/>
      <c r="GE98" s="463"/>
      <c r="GF98" s="463"/>
      <c r="GG98" s="463"/>
      <c r="GH98" s="463"/>
      <c r="GI98" s="463"/>
      <c r="GJ98" s="463"/>
      <c r="GK98" s="463"/>
      <c r="GL98" s="463"/>
      <c r="GM98" s="463"/>
      <c r="GN98" s="463"/>
      <c r="GO98" s="463"/>
      <c r="GP98" s="463"/>
      <c r="GQ98" s="463"/>
      <c r="GR98" s="463"/>
      <c r="GS98" s="463"/>
      <c r="GT98" s="463"/>
      <c r="GU98" s="463"/>
      <c r="GV98" s="463"/>
      <c r="GW98" s="463"/>
      <c r="GX98" s="463"/>
      <c r="GY98" s="463"/>
      <c r="GZ98" s="463"/>
      <c r="HA98" s="463"/>
      <c r="HB98" s="463"/>
      <c r="HC98" s="463"/>
      <c r="HD98" s="463"/>
      <c r="HE98" s="463"/>
      <c r="HF98" s="463"/>
      <c r="HG98" s="463"/>
      <c r="HH98" s="463"/>
      <c r="HI98" s="463"/>
      <c r="HJ98" s="463"/>
      <c r="HK98" s="463"/>
      <c r="HL98" s="463"/>
      <c r="HM98" s="463"/>
      <c r="HN98" s="463"/>
      <c r="HO98" s="463"/>
      <c r="HP98" s="463"/>
      <c r="HQ98" s="463"/>
      <c r="HR98" s="463"/>
      <c r="HS98" s="463"/>
      <c r="HT98" s="463"/>
      <c r="HU98" s="463"/>
      <c r="HV98" s="463"/>
      <c r="HW98" s="463"/>
      <c r="HX98" s="463"/>
    </row>
    <row r="99" spans="1:232" s="464" customFormat="1" ht="37.5" customHeight="1">
      <c r="A99" s="1631" t="s">
        <v>197</v>
      </c>
      <c r="B99" s="1632"/>
      <c r="C99" s="1633"/>
      <c r="D99" s="1606" t="s">
        <v>870</v>
      </c>
      <c r="E99" s="1606"/>
      <c r="F99" s="1690" t="s">
        <v>409</v>
      </c>
      <c r="G99" s="1691"/>
      <c r="H99" s="1691"/>
      <c r="I99" s="1691"/>
      <c r="J99" s="1692"/>
      <c r="K99" s="463"/>
      <c r="L99" s="463"/>
      <c r="Y99" s="468"/>
      <c r="Z99" s="468"/>
      <c r="AA99" s="468"/>
      <c r="AB99" s="468"/>
      <c r="AC99" s="468"/>
      <c r="AD99" s="468"/>
      <c r="AE99" s="463"/>
      <c r="AF99" s="463"/>
      <c r="AG99" s="463"/>
      <c r="AH99" s="463"/>
      <c r="AI99" s="463"/>
      <c r="AJ99" s="463"/>
      <c r="AK99" s="463"/>
      <c r="AL99" s="463"/>
      <c r="AM99" s="463"/>
      <c r="AN99" s="463"/>
      <c r="AO99" s="463"/>
      <c r="AP99" s="463"/>
      <c r="AQ99" s="463"/>
      <c r="AR99" s="463"/>
      <c r="AS99" s="463"/>
      <c r="AT99" s="463"/>
      <c r="AU99" s="463"/>
      <c r="AV99" s="463"/>
      <c r="AW99" s="463"/>
      <c r="AX99" s="463"/>
      <c r="AY99" s="463"/>
      <c r="AZ99" s="463"/>
      <c r="BA99" s="463"/>
      <c r="BB99" s="463"/>
      <c r="BC99" s="463"/>
      <c r="BD99" s="463"/>
      <c r="BE99" s="463"/>
      <c r="BF99" s="463"/>
      <c r="BG99" s="463"/>
      <c r="BH99" s="463"/>
      <c r="BI99" s="463"/>
      <c r="BJ99" s="463"/>
      <c r="BK99" s="463"/>
      <c r="BL99" s="463"/>
      <c r="BM99" s="463"/>
      <c r="BN99" s="463"/>
      <c r="BO99" s="463"/>
      <c r="BP99" s="463"/>
      <c r="BQ99" s="463"/>
      <c r="BR99" s="463"/>
      <c r="BS99" s="463"/>
      <c r="BT99" s="463"/>
      <c r="BU99" s="463"/>
      <c r="BV99" s="463"/>
      <c r="BW99" s="463"/>
      <c r="BX99" s="463"/>
      <c r="BY99" s="463"/>
      <c r="BZ99" s="463"/>
      <c r="CA99" s="463"/>
      <c r="CB99" s="463"/>
      <c r="CC99" s="463"/>
      <c r="CD99" s="463"/>
      <c r="CE99" s="463"/>
      <c r="CF99" s="463"/>
      <c r="CG99" s="463"/>
      <c r="CH99" s="463"/>
      <c r="CI99" s="463"/>
      <c r="CJ99" s="463"/>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63"/>
      <c r="DJ99" s="463"/>
      <c r="DK99" s="463"/>
      <c r="DL99" s="463"/>
      <c r="DM99" s="463"/>
      <c r="DN99" s="463"/>
      <c r="DO99" s="463"/>
      <c r="DP99" s="463"/>
      <c r="DQ99" s="463"/>
      <c r="DR99" s="463"/>
      <c r="DS99" s="463"/>
      <c r="DT99" s="463"/>
      <c r="DU99" s="463"/>
      <c r="DV99" s="463"/>
      <c r="DW99" s="463"/>
      <c r="DX99" s="463"/>
      <c r="DY99" s="463"/>
      <c r="DZ99" s="463"/>
      <c r="EA99" s="463"/>
      <c r="EB99" s="463"/>
      <c r="EC99" s="463"/>
      <c r="ED99" s="463"/>
      <c r="EE99" s="463"/>
      <c r="EF99" s="463"/>
      <c r="EG99" s="463"/>
      <c r="EH99" s="463"/>
      <c r="EI99" s="463"/>
      <c r="EJ99" s="463"/>
      <c r="EK99" s="463"/>
      <c r="EL99" s="463"/>
      <c r="EM99" s="463"/>
      <c r="EN99" s="463"/>
      <c r="EO99" s="463"/>
      <c r="EP99" s="463"/>
      <c r="EQ99" s="463"/>
      <c r="ER99" s="463"/>
      <c r="ES99" s="463"/>
      <c r="ET99" s="463"/>
      <c r="EU99" s="463"/>
      <c r="EV99" s="463"/>
      <c r="EW99" s="463"/>
      <c r="EX99" s="463"/>
      <c r="EY99" s="463"/>
      <c r="EZ99" s="463"/>
      <c r="FA99" s="463"/>
      <c r="FB99" s="463"/>
      <c r="FC99" s="463"/>
      <c r="FD99" s="463"/>
      <c r="FE99" s="463"/>
      <c r="FF99" s="463"/>
      <c r="FG99" s="463"/>
      <c r="FH99" s="463"/>
      <c r="FI99" s="463"/>
      <c r="FJ99" s="463"/>
      <c r="FK99" s="463"/>
      <c r="FL99" s="463"/>
      <c r="FM99" s="463"/>
      <c r="FN99" s="463"/>
      <c r="FO99" s="463"/>
      <c r="FP99" s="463"/>
      <c r="FQ99" s="463"/>
      <c r="FR99" s="463"/>
      <c r="FS99" s="463"/>
      <c r="FT99" s="463"/>
      <c r="FU99" s="463"/>
      <c r="FV99" s="463"/>
      <c r="FW99" s="463"/>
      <c r="FX99" s="463"/>
      <c r="FY99" s="463"/>
      <c r="FZ99" s="463"/>
      <c r="GA99" s="463"/>
      <c r="GB99" s="463"/>
      <c r="GC99" s="463"/>
      <c r="GD99" s="463"/>
      <c r="GE99" s="463"/>
      <c r="GF99" s="463"/>
      <c r="GG99" s="463"/>
      <c r="GH99" s="463"/>
      <c r="GI99" s="463"/>
      <c r="GJ99" s="463"/>
      <c r="GK99" s="463"/>
      <c r="GL99" s="463"/>
      <c r="GM99" s="463"/>
      <c r="GN99" s="463"/>
      <c r="GO99" s="463"/>
      <c r="GP99" s="463"/>
      <c r="GQ99" s="463"/>
      <c r="GR99" s="463"/>
      <c r="GS99" s="463"/>
      <c r="GT99" s="463"/>
      <c r="GU99" s="463"/>
      <c r="GV99" s="463"/>
      <c r="GW99" s="463"/>
      <c r="GX99" s="463"/>
      <c r="GY99" s="463"/>
      <c r="GZ99" s="463"/>
      <c r="HA99" s="463"/>
      <c r="HB99" s="463"/>
      <c r="HC99" s="463"/>
      <c r="HD99" s="463"/>
      <c r="HE99" s="463"/>
      <c r="HF99" s="463"/>
      <c r="HG99" s="463"/>
      <c r="HH99" s="463"/>
      <c r="HI99" s="463"/>
      <c r="HJ99" s="463"/>
      <c r="HK99" s="463"/>
      <c r="HL99" s="463"/>
      <c r="HM99" s="463"/>
      <c r="HN99" s="463"/>
      <c r="HO99" s="463"/>
      <c r="HP99" s="463"/>
      <c r="HQ99" s="463"/>
      <c r="HR99" s="463"/>
      <c r="HS99" s="463"/>
      <c r="HT99" s="463"/>
      <c r="HU99" s="463"/>
      <c r="HV99" s="463"/>
      <c r="HW99" s="463"/>
      <c r="HX99" s="463"/>
    </row>
    <row r="100" spans="1:232" s="464" customFormat="1" ht="42" customHeight="1">
      <c r="A100" s="1634"/>
      <c r="B100" s="1635"/>
      <c r="C100" s="1636"/>
      <c r="D100" s="1641">
        <f>D97+O11/3</f>
        <v>0.60648148148148151</v>
      </c>
      <c r="E100" s="1693">
        <f>E97</f>
        <v>42494</v>
      </c>
      <c r="F100" s="1645"/>
      <c r="G100" s="1646"/>
      <c r="H100" s="1646"/>
      <c r="I100" s="1646"/>
      <c r="J100" s="1647"/>
      <c r="K100" s="463"/>
      <c r="L100" s="463"/>
      <c r="Y100" s="468"/>
      <c r="Z100" s="468"/>
      <c r="AA100" s="468"/>
      <c r="AB100" s="468"/>
      <c r="AC100" s="468"/>
      <c r="AD100" s="468"/>
      <c r="AE100" s="463"/>
      <c r="AF100" s="463"/>
      <c r="AG100" s="463"/>
      <c r="AH100" s="463"/>
      <c r="AI100" s="463"/>
      <c r="AJ100" s="463"/>
      <c r="AK100" s="463"/>
      <c r="AL100" s="463"/>
      <c r="AM100" s="463"/>
      <c r="AN100" s="463"/>
      <c r="AO100" s="463"/>
      <c r="AP100" s="463"/>
      <c r="AQ100" s="463"/>
      <c r="AR100" s="463"/>
      <c r="AS100" s="463"/>
      <c r="AT100" s="463"/>
      <c r="AU100" s="463"/>
      <c r="AV100" s="463"/>
      <c r="AW100" s="463"/>
      <c r="AX100" s="463"/>
      <c r="AY100" s="463"/>
      <c r="AZ100" s="463"/>
      <c r="BA100" s="463"/>
      <c r="BB100" s="463"/>
      <c r="BC100" s="463"/>
      <c r="BD100" s="463"/>
      <c r="BE100" s="463"/>
      <c r="BF100" s="463"/>
      <c r="BG100" s="463"/>
      <c r="BH100" s="463"/>
      <c r="BI100" s="463"/>
      <c r="BJ100" s="463"/>
      <c r="BK100" s="463"/>
      <c r="BL100" s="463"/>
      <c r="BM100" s="463"/>
      <c r="BN100" s="463"/>
      <c r="BO100" s="463"/>
      <c r="BP100" s="463"/>
      <c r="BQ100" s="463"/>
      <c r="BR100" s="463"/>
      <c r="BS100" s="463"/>
      <c r="BT100" s="463"/>
      <c r="BU100" s="463"/>
      <c r="BV100" s="463"/>
      <c r="BW100" s="463"/>
      <c r="BX100" s="463"/>
      <c r="BY100" s="463"/>
      <c r="BZ100" s="463"/>
      <c r="CA100" s="463"/>
      <c r="CB100" s="463"/>
      <c r="CC100" s="463"/>
      <c r="CD100" s="463"/>
      <c r="CE100" s="463"/>
      <c r="CF100" s="463"/>
      <c r="CG100" s="463"/>
      <c r="CH100" s="463"/>
      <c r="CI100" s="463"/>
      <c r="CJ100" s="463"/>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63"/>
      <c r="DJ100" s="463"/>
      <c r="DK100" s="463"/>
      <c r="DL100" s="463"/>
      <c r="DM100" s="463"/>
      <c r="DN100" s="463"/>
      <c r="DO100" s="463"/>
      <c r="DP100" s="463"/>
      <c r="DQ100" s="463"/>
      <c r="DR100" s="463"/>
      <c r="DS100" s="463"/>
      <c r="DT100" s="463"/>
      <c r="DU100" s="463"/>
      <c r="DV100" s="463"/>
      <c r="DW100" s="463"/>
      <c r="DX100" s="463"/>
      <c r="DY100" s="463"/>
      <c r="DZ100" s="463"/>
      <c r="EA100" s="463"/>
      <c r="EB100" s="463"/>
      <c r="EC100" s="463"/>
      <c r="ED100" s="463"/>
      <c r="EE100" s="463"/>
      <c r="EF100" s="463"/>
      <c r="EG100" s="463"/>
      <c r="EH100" s="463"/>
      <c r="EI100" s="463"/>
      <c r="EJ100" s="463"/>
      <c r="EK100" s="463"/>
      <c r="EL100" s="463"/>
      <c r="EM100" s="463"/>
      <c r="EN100" s="463"/>
      <c r="EO100" s="463"/>
      <c r="EP100" s="463"/>
      <c r="EQ100" s="463"/>
      <c r="ER100" s="463"/>
      <c r="ES100" s="463"/>
      <c r="ET100" s="463"/>
      <c r="EU100" s="463"/>
      <c r="EV100" s="463"/>
      <c r="EW100" s="463"/>
      <c r="EX100" s="463"/>
      <c r="EY100" s="463"/>
      <c r="EZ100" s="463"/>
      <c r="FA100" s="463"/>
      <c r="FB100" s="463"/>
      <c r="FC100" s="463"/>
      <c r="FD100" s="463"/>
      <c r="FE100" s="463"/>
      <c r="FF100" s="463"/>
      <c r="FG100" s="463"/>
      <c r="FH100" s="463"/>
      <c r="FI100" s="463"/>
      <c r="FJ100" s="463"/>
      <c r="FK100" s="463"/>
      <c r="FL100" s="463"/>
      <c r="FM100" s="463"/>
      <c r="FN100" s="463"/>
      <c r="FO100" s="463"/>
      <c r="FP100" s="463"/>
      <c r="FQ100" s="463"/>
      <c r="FR100" s="463"/>
      <c r="FS100" s="463"/>
      <c r="FT100" s="463"/>
      <c r="FU100" s="463"/>
      <c r="FV100" s="463"/>
      <c r="FW100" s="463"/>
      <c r="FX100" s="463"/>
      <c r="FY100" s="463"/>
      <c r="FZ100" s="463"/>
      <c r="GA100" s="463"/>
      <c r="GB100" s="463"/>
      <c r="GC100" s="463"/>
      <c r="GD100" s="463"/>
      <c r="GE100" s="463"/>
      <c r="GF100" s="463"/>
      <c r="GG100" s="463"/>
      <c r="GH100" s="463"/>
      <c r="GI100" s="463"/>
      <c r="GJ100" s="463"/>
      <c r="GK100" s="463"/>
      <c r="GL100" s="463"/>
      <c r="GM100" s="463"/>
      <c r="GN100" s="463"/>
      <c r="GO100" s="463"/>
      <c r="GP100" s="463"/>
      <c r="GQ100" s="463"/>
      <c r="GR100" s="463"/>
      <c r="GS100" s="463"/>
      <c r="GT100" s="463"/>
      <c r="GU100" s="463"/>
      <c r="GV100" s="463"/>
      <c r="GW100" s="463"/>
      <c r="GX100" s="463"/>
      <c r="GY100" s="463"/>
      <c r="GZ100" s="463"/>
      <c r="HA100" s="463"/>
      <c r="HB100" s="463"/>
      <c r="HC100" s="463"/>
      <c r="HD100" s="463"/>
      <c r="HE100" s="463"/>
      <c r="HF100" s="463"/>
      <c r="HG100" s="463"/>
      <c r="HH100" s="463"/>
      <c r="HI100" s="463"/>
      <c r="HJ100" s="463"/>
      <c r="HK100" s="463"/>
      <c r="HL100" s="463"/>
      <c r="HM100" s="463"/>
      <c r="HN100" s="463"/>
      <c r="HO100" s="463"/>
      <c r="HP100" s="463"/>
      <c r="HQ100" s="463"/>
      <c r="HR100" s="463"/>
      <c r="HS100" s="463"/>
      <c r="HT100" s="463"/>
      <c r="HU100" s="463"/>
      <c r="HV100" s="463"/>
      <c r="HW100" s="463"/>
      <c r="HX100" s="463"/>
    </row>
    <row r="101" spans="1:232" s="464" customFormat="1" ht="20.100000000000001" customHeight="1">
      <c r="A101" s="1637"/>
      <c r="B101" s="1638"/>
      <c r="C101" s="1639"/>
      <c r="D101" s="1642"/>
      <c r="E101" s="1694"/>
      <c r="F101" s="1648"/>
      <c r="G101" s="1649"/>
      <c r="H101" s="1649"/>
      <c r="I101" s="1649"/>
      <c r="J101" s="1650"/>
      <c r="K101" s="463"/>
      <c r="L101" s="463"/>
      <c r="Y101" s="468"/>
      <c r="Z101" s="468"/>
      <c r="AA101" s="468"/>
      <c r="AB101" s="468"/>
      <c r="AC101" s="468"/>
      <c r="AD101" s="468"/>
      <c r="AE101" s="463"/>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row>
    <row r="102" spans="1:232" s="464" customFormat="1" ht="16.5" customHeight="1">
      <c r="A102" s="1687"/>
      <c r="B102" s="1687"/>
      <c r="C102" s="1687"/>
      <c r="D102" s="1687"/>
      <c r="E102" s="1687"/>
      <c r="F102" s="1687"/>
      <c r="G102" s="639"/>
      <c r="H102" s="544"/>
      <c r="I102" s="544"/>
      <c r="J102" s="544"/>
      <c r="K102" s="463"/>
      <c r="L102" s="463"/>
      <c r="Y102" s="468"/>
      <c r="Z102" s="468"/>
      <c r="AA102" s="468"/>
      <c r="AB102" s="468"/>
      <c r="AC102" s="468"/>
      <c r="AD102" s="468"/>
      <c r="AE102" s="463"/>
      <c r="AF102" s="463"/>
      <c r="AG102" s="463"/>
      <c r="AH102" s="463"/>
      <c r="AI102" s="463"/>
      <c r="AJ102" s="463"/>
      <c r="AK102" s="463"/>
      <c r="AL102" s="463"/>
      <c r="AM102" s="463"/>
      <c r="AN102" s="463"/>
      <c r="AO102" s="463"/>
      <c r="AP102" s="463"/>
      <c r="AQ102" s="463"/>
      <c r="AR102" s="463"/>
      <c r="AS102" s="463"/>
      <c r="AT102" s="463"/>
      <c r="AU102" s="463"/>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3"/>
      <c r="BY102" s="463"/>
      <c r="BZ102" s="463"/>
      <c r="CA102" s="463"/>
      <c r="CB102" s="463"/>
      <c r="CC102" s="463"/>
      <c r="CD102" s="463"/>
      <c r="CE102" s="463"/>
      <c r="CF102" s="463"/>
      <c r="CG102" s="463"/>
      <c r="CH102" s="463"/>
      <c r="CI102" s="463"/>
      <c r="CJ102" s="463"/>
      <c r="CK102" s="463"/>
      <c r="CL102" s="463"/>
      <c r="CM102" s="463"/>
      <c r="CN102" s="463"/>
      <c r="CO102" s="463"/>
      <c r="CP102" s="463"/>
      <c r="CQ102" s="463"/>
      <c r="CR102" s="463"/>
      <c r="CS102" s="463"/>
      <c r="CT102" s="463"/>
      <c r="CU102" s="463"/>
      <c r="CV102" s="463"/>
      <c r="CW102" s="463"/>
      <c r="CX102" s="463"/>
      <c r="CY102" s="463"/>
      <c r="CZ102" s="463"/>
      <c r="DA102" s="463"/>
      <c r="DB102" s="463"/>
      <c r="DC102" s="463"/>
      <c r="DD102" s="463"/>
      <c r="DE102" s="463"/>
      <c r="DF102" s="463"/>
      <c r="DG102" s="463"/>
      <c r="DH102" s="463"/>
      <c r="DI102" s="463"/>
      <c r="DJ102" s="463"/>
      <c r="DK102" s="463"/>
      <c r="DL102" s="463"/>
      <c r="DM102" s="463"/>
      <c r="DN102" s="463"/>
      <c r="DO102" s="463"/>
      <c r="DP102" s="463"/>
      <c r="DQ102" s="463"/>
      <c r="DR102" s="463"/>
      <c r="DS102" s="463"/>
      <c r="DT102" s="463"/>
      <c r="DU102" s="463"/>
      <c r="DV102" s="463"/>
      <c r="DW102" s="463"/>
      <c r="DX102" s="463"/>
      <c r="DY102" s="463"/>
      <c r="DZ102" s="463"/>
      <c r="EA102" s="463"/>
      <c r="EB102" s="463"/>
      <c r="EC102" s="463"/>
      <c r="ED102" s="463"/>
      <c r="EE102" s="463"/>
      <c r="EF102" s="463"/>
      <c r="EG102" s="463"/>
      <c r="EH102" s="463"/>
      <c r="EI102" s="463"/>
      <c r="EJ102" s="463"/>
      <c r="EK102" s="463"/>
      <c r="EL102" s="463"/>
      <c r="EM102" s="463"/>
      <c r="EN102" s="463"/>
      <c r="EO102" s="463"/>
      <c r="EP102" s="463"/>
      <c r="EQ102" s="463"/>
      <c r="ER102" s="463"/>
      <c r="ES102" s="463"/>
      <c r="ET102" s="463"/>
      <c r="EU102" s="463"/>
      <c r="EV102" s="463"/>
      <c r="EW102" s="463"/>
      <c r="EX102" s="463"/>
      <c r="EY102" s="463"/>
      <c r="EZ102" s="463"/>
      <c r="FA102" s="463"/>
      <c r="FB102" s="463"/>
      <c r="FC102" s="463"/>
      <c r="FD102" s="463"/>
      <c r="FE102" s="463"/>
      <c r="FF102" s="463"/>
      <c r="FG102" s="463"/>
      <c r="FH102" s="463"/>
      <c r="FI102" s="463"/>
      <c r="FJ102" s="463"/>
      <c r="FK102" s="463"/>
      <c r="FL102" s="463"/>
      <c r="FM102" s="463"/>
      <c r="FN102" s="463"/>
      <c r="FO102" s="463"/>
      <c r="FP102" s="463"/>
      <c r="FQ102" s="463"/>
      <c r="FR102" s="463"/>
      <c r="FS102" s="463"/>
      <c r="FT102" s="463"/>
      <c r="FU102" s="463"/>
      <c r="FV102" s="463"/>
      <c r="FW102" s="463"/>
      <c r="FX102" s="463"/>
      <c r="FY102" s="463"/>
      <c r="FZ102" s="463"/>
      <c r="GA102" s="463"/>
      <c r="GB102" s="463"/>
      <c r="GC102" s="463"/>
      <c r="GD102" s="463"/>
      <c r="GE102" s="463"/>
      <c r="GF102" s="463"/>
      <c r="GG102" s="463"/>
      <c r="GH102" s="463"/>
      <c r="GI102" s="463"/>
      <c r="GJ102" s="463"/>
      <c r="GK102" s="463"/>
      <c r="GL102" s="463"/>
      <c r="GM102" s="463"/>
      <c r="GN102" s="463"/>
      <c r="GO102" s="463"/>
      <c r="GP102" s="463"/>
      <c r="GQ102" s="463"/>
      <c r="GR102" s="463"/>
      <c r="GS102" s="463"/>
      <c r="GT102" s="463"/>
      <c r="GU102" s="463"/>
      <c r="GV102" s="463"/>
      <c r="GW102" s="463"/>
      <c r="GX102" s="463"/>
      <c r="GY102" s="463"/>
      <c r="GZ102" s="463"/>
      <c r="HA102" s="463"/>
      <c r="HB102" s="463"/>
      <c r="HC102" s="463"/>
      <c r="HD102" s="463"/>
      <c r="HE102" s="463"/>
      <c r="HF102" s="463"/>
      <c r="HG102" s="463"/>
      <c r="HH102" s="463"/>
      <c r="HI102" s="463"/>
      <c r="HJ102" s="463"/>
      <c r="HK102" s="463"/>
      <c r="HL102" s="463"/>
      <c r="HM102" s="463"/>
      <c r="HN102" s="463"/>
      <c r="HO102" s="463"/>
      <c r="HP102" s="463"/>
      <c r="HQ102" s="463"/>
      <c r="HR102" s="463"/>
      <c r="HS102" s="463"/>
      <c r="HT102" s="463"/>
      <c r="HU102" s="463"/>
      <c r="HV102" s="463"/>
      <c r="HW102" s="463"/>
      <c r="HX102" s="463"/>
    </row>
    <row r="103" spans="1:232" s="464" customFormat="1" ht="20.100000000000001" customHeight="1">
      <c r="A103" s="1688"/>
      <c r="B103" s="1688"/>
      <c r="C103" s="1688"/>
      <c r="D103" s="1688"/>
      <c r="E103" s="1688"/>
      <c r="F103" s="1688"/>
      <c r="G103" s="635"/>
      <c r="H103" s="1625" t="s">
        <v>133</v>
      </c>
      <c r="I103" s="1625"/>
      <c r="J103" s="1625"/>
      <c r="K103" s="463"/>
      <c r="L103" s="463"/>
      <c r="Y103" s="468"/>
      <c r="Z103" s="468"/>
      <c r="AA103" s="468"/>
      <c r="AB103" s="468"/>
      <c r="AC103" s="468"/>
      <c r="AD103" s="468"/>
      <c r="AE103" s="463"/>
      <c r="AF103" s="463"/>
      <c r="AG103" s="463"/>
      <c r="AH103" s="463"/>
      <c r="AI103" s="463"/>
      <c r="AJ103" s="463"/>
      <c r="AK103" s="463"/>
      <c r="AL103" s="463"/>
      <c r="AM103" s="463"/>
      <c r="AN103" s="463"/>
      <c r="AO103" s="463"/>
      <c r="AP103" s="463"/>
      <c r="AQ103" s="463"/>
      <c r="AR103" s="463"/>
      <c r="AS103" s="463"/>
      <c r="AT103" s="463"/>
      <c r="AU103" s="463"/>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3"/>
      <c r="BY103" s="463"/>
      <c r="BZ103" s="463"/>
      <c r="CA103" s="463"/>
      <c r="CB103" s="463"/>
      <c r="CC103" s="463"/>
      <c r="CD103" s="463"/>
      <c r="CE103" s="463"/>
      <c r="CF103" s="463"/>
      <c r="CG103" s="463"/>
      <c r="CH103" s="463"/>
      <c r="CI103" s="463"/>
      <c r="CJ103" s="463"/>
      <c r="CK103" s="463"/>
      <c r="CL103" s="463"/>
      <c r="CM103" s="463"/>
      <c r="CN103" s="463"/>
      <c r="CO103" s="463"/>
      <c r="CP103" s="463"/>
      <c r="CQ103" s="463"/>
      <c r="CR103" s="463"/>
      <c r="CS103" s="463"/>
      <c r="CT103" s="463"/>
      <c r="CU103" s="463"/>
      <c r="CV103" s="463"/>
      <c r="CW103" s="463"/>
      <c r="CX103" s="463"/>
      <c r="CY103" s="463"/>
      <c r="CZ103" s="463"/>
      <c r="DA103" s="463"/>
      <c r="DB103" s="463"/>
      <c r="DC103" s="463"/>
      <c r="DD103" s="463"/>
      <c r="DE103" s="463"/>
      <c r="DF103" s="463"/>
      <c r="DG103" s="463"/>
      <c r="DH103" s="463"/>
      <c r="DI103" s="463"/>
      <c r="DJ103" s="463"/>
      <c r="DK103" s="463"/>
      <c r="DL103" s="463"/>
      <c r="DM103" s="463"/>
      <c r="DN103" s="463"/>
      <c r="DO103" s="463"/>
      <c r="DP103" s="463"/>
      <c r="DQ103" s="463"/>
      <c r="DR103" s="463"/>
      <c r="DS103" s="463"/>
      <c r="DT103" s="463"/>
      <c r="DU103" s="463"/>
      <c r="DV103" s="463"/>
      <c r="DW103" s="463"/>
      <c r="DX103" s="463"/>
      <c r="DY103" s="463"/>
      <c r="DZ103" s="463"/>
      <c r="EA103" s="463"/>
      <c r="EB103" s="463"/>
      <c r="EC103" s="463"/>
      <c r="ED103" s="463"/>
      <c r="EE103" s="463"/>
      <c r="EF103" s="463"/>
      <c r="EG103" s="463"/>
      <c r="EH103" s="463"/>
      <c r="EI103" s="463"/>
      <c r="EJ103" s="463"/>
      <c r="EK103" s="463"/>
      <c r="EL103" s="463"/>
      <c r="EM103" s="463"/>
      <c r="EN103" s="463"/>
      <c r="EO103" s="463"/>
      <c r="EP103" s="463"/>
      <c r="EQ103" s="463"/>
      <c r="ER103" s="463"/>
      <c r="ES103" s="463"/>
      <c r="ET103" s="463"/>
      <c r="EU103" s="463"/>
      <c r="EV103" s="463"/>
      <c r="EW103" s="463"/>
      <c r="EX103" s="463"/>
      <c r="EY103" s="463"/>
      <c r="EZ103" s="463"/>
      <c r="FA103" s="463"/>
      <c r="FB103" s="463"/>
      <c r="FC103" s="463"/>
      <c r="FD103" s="463"/>
      <c r="FE103" s="463"/>
      <c r="FF103" s="463"/>
      <c r="FG103" s="463"/>
      <c r="FH103" s="463"/>
      <c r="FI103" s="463"/>
      <c r="FJ103" s="463"/>
      <c r="FK103" s="463"/>
      <c r="FL103" s="463"/>
      <c r="FM103" s="463"/>
      <c r="FN103" s="463"/>
      <c r="FO103" s="463"/>
      <c r="FP103" s="463"/>
      <c r="FQ103" s="463"/>
      <c r="FR103" s="463"/>
      <c r="FS103" s="463"/>
      <c r="FT103" s="463"/>
      <c r="FU103" s="463"/>
      <c r="FV103" s="463"/>
      <c r="FW103" s="463"/>
      <c r="FX103" s="463"/>
      <c r="FY103" s="463"/>
      <c r="FZ103" s="463"/>
      <c r="GA103" s="463"/>
      <c r="GB103" s="463"/>
      <c r="GC103" s="463"/>
      <c r="GD103" s="463"/>
      <c r="GE103" s="463"/>
      <c r="GF103" s="463"/>
      <c r="GG103" s="463"/>
      <c r="GH103" s="463"/>
      <c r="GI103" s="463"/>
      <c r="GJ103" s="463"/>
      <c r="GK103" s="463"/>
      <c r="GL103" s="463"/>
      <c r="GM103" s="463"/>
      <c r="GN103" s="463"/>
      <c r="GO103" s="463"/>
      <c r="GP103" s="463"/>
      <c r="GQ103" s="463"/>
      <c r="GR103" s="463"/>
      <c r="GS103" s="463"/>
      <c r="GT103" s="463"/>
      <c r="GU103" s="463"/>
      <c r="GV103" s="463"/>
      <c r="GW103" s="463"/>
      <c r="GX103" s="463"/>
      <c r="GY103" s="463"/>
      <c r="GZ103" s="463"/>
      <c r="HA103" s="463"/>
      <c r="HB103" s="463"/>
      <c r="HC103" s="463"/>
      <c r="HD103" s="463"/>
      <c r="HE103" s="463"/>
      <c r="HF103" s="463"/>
      <c r="HG103" s="463"/>
      <c r="HH103" s="463"/>
      <c r="HI103" s="463"/>
      <c r="HJ103" s="463"/>
      <c r="HK103" s="463"/>
      <c r="HL103" s="463"/>
      <c r="HM103" s="463"/>
      <c r="HN103" s="463"/>
      <c r="HO103" s="463"/>
      <c r="HP103" s="463"/>
      <c r="HQ103" s="463"/>
      <c r="HR103" s="463"/>
      <c r="HS103" s="463"/>
      <c r="HT103" s="463"/>
      <c r="HU103" s="463"/>
      <c r="HV103" s="463"/>
      <c r="HW103" s="463"/>
      <c r="HX103" s="463"/>
    </row>
    <row r="104" spans="1:232" ht="20.100000000000001" customHeight="1">
      <c r="A104" s="1619" t="s">
        <v>412</v>
      </c>
      <c r="B104" s="1619"/>
      <c r="C104" s="1619"/>
      <c r="D104" s="1619"/>
      <c r="E104" s="1619"/>
      <c r="F104" s="1619"/>
      <c r="G104" s="1619"/>
      <c r="H104" s="513"/>
      <c r="I104" s="513"/>
      <c r="J104" s="513"/>
      <c r="M104" s="463"/>
      <c r="N104" s="463"/>
      <c r="O104" s="463"/>
      <c r="P104" s="463"/>
      <c r="Q104" s="463"/>
      <c r="R104" s="463"/>
      <c r="S104" s="463"/>
      <c r="T104" s="463"/>
      <c r="U104" s="463"/>
      <c r="V104" s="463"/>
      <c r="W104" s="463"/>
      <c r="X104" s="463"/>
      <c r="Y104" s="463"/>
      <c r="Z104" s="463"/>
      <c r="AA104" s="463"/>
      <c r="AB104" s="463"/>
      <c r="AC104" s="463"/>
      <c r="AD104" s="463"/>
    </row>
    <row r="105" spans="1:232" ht="16.5" customHeight="1">
      <c r="A105" s="1620" t="s">
        <v>413</v>
      </c>
      <c r="B105" s="1620"/>
      <c r="C105" s="1620"/>
      <c r="D105" s="1620"/>
      <c r="E105" s="1620"/>
      <c r="F105" s="1620"/>
      <c r="G105" s="1620"/>
      <c r="H105" s="513"/>
      <c r="I105" s="513"/>
      <c r="J105" s="513"/>
      <c r="M105" s="463"/>
      <c r="N105" s="463"/>
      <c r="O105" s="463"/>
      <c r="P105" s="463"/>
      <c r="Q105" s="463"/>
      <c r="R105" s="463"/>
      <c r="S105" s="463"/>
      <c r="T105" s="463"/>
      <c r="U105" s="463"/>
      <c r="V105" s="463"/>
      <c r="W105" s="463"/>
      <c r="X105" s="463"/>
      <c r="Y105" s="463"/>
      <c r="Z105" s="463"/>
      <c r="AA105" s="463"/>
      <c r="AB105" s="463"/>
      <c r="AC105" s="463"/>
      <c r="AD105" s="463"/>
    </row>
    <row r="106" spans="1:232" ht="16.5" customHeight="1">
      <c r="A106" s="1620" t="s">
        <v>414</v>
      </c>
      <c r="B106" s="1620"/>
      <c r="C106" s="1620"/>
      <c r="D106" s="1620"/>
      <c r="E106" s="1620"/>
      <c r="F106" s="1620"/>
      <c r="G106" s="1620"/>
      <c r="H106" s="513"/>
      <c r="I106" s="513"/>
      <c r="J106" s="513"/>
      <c r="M106" s="463"/>
      <c r="N106" s="463"/>
      <c r="O106" s="463"/>
      <c r="P106" s="463"/>
      <c r="Q106" s="463"/>
      <c r="R106" s="463"/>
      <c r="S106" s="463"/>
      <c r="T106" s="463"/>
      <c r="U106" s="463"/>
      <c r="V106" s="463"/>
      <c r="W106" s="463"/>
      <c r="X106" s="463"/>
      <c r="Y106" s="463"/>
      <c r="Z106" s="463"/>
      <c r="AA106" s="463"/>
      <c r="AB106" s="463"/>
      <c r="AC106" s="463"/>
      <c r="AD106" s="463"/>
    </row>
    <row r="107" spans="1:232" ht="16.5" customHeight="1">
      <c r="A107" s="1620" t="s">
        <v>415</v>
      </c>
      <c r="B107" s="1620"/>
      <c r="C107" s="1620"/>
      <c r="D107" s="1620"/>
      <c r="E107" s="1620"/>
      <c r="F107" s="1620"/>
      <c r="G107" s="1620"/>
      <c r="H107" s="513"/>
      <c r="I107" s="513"/>
      <c r="J107" s="513"/>
      <c r="M107" s="463"/>
      <c r="N107" s="463"/>
      <c r="O107" s="463"/>
      <c r="P107" s="463"/>
      <c r="Q107" s="463"/>
      <c r="R107" s="463"/>
      <c r="S107" s="463"/>
      <c r="T107" s="463"/>
      <c r="U107" s="463"/>
      <c r="V107" s="463"/>
      <c r="W107" s="463"/>
      <c r="X107" s="463"/>
      <c r="Y107" s="463"/>
      <c r="Z107" s="463"/>
      <c r="AA107" s="463"/>
      <c r="AB107" s="463"/>
      <c r="AC107" s="463"/>
      <c r="AD107" s="463"/>
    </row>
    <row r="108" spans="1:232" ht="16.5">
      <c r="A108" s="1620" t="s">
        <v>416</v>
      </c>
      <c r="B108" s="1620"/>
      <c r="C108" s="1620"/>
      <c r="D108" s="1620"/>
      <c r="E108" s="1620"/>
      <c r="F108" s="1620"/>
      <c r="G108" s="1620"/>
      <c r="H108" s="513"/>
      <c r="I108" s="513"/>
      <c r="J108" s="513"/>
      <c r="M108" s="463"/>
      <c r="N108" s="463"/>
      <c r="O108" s="463"/>
      <c r="P108" s="463"/>
      <c r="Q108" s="463"/>
      <c r="R108" s="463"/>
      <c r="S108" s="463"/>
      <c r="T108" s="463"/>
      <c r="U108" s="463"/>
      <c r="V108" s="463"/>
      <c r="W108" s="463"/>
      <c r="X108" s="463"/>
      <c r="Y108" s="463"/>
      <c r="Z108" s="463"/>
      <c r="AA108" s="463"/>
      <c r="AB108" s="463"/>
      <c r="AC108" s="463"/>
      <c r="AD108" s="463"/>
    </row>
    <row r="109" spans="1:232" ht="16.5">
      <c r="A109" s="1620" t="s">
        <v>417</v>
      </c>
      <c r="B109" s="1620"/>
      <c r="C109" s="1620"/>
      <c r="D109" s="1620"/>
      <c r="E109" s="1620"/>
      <c r="F109" s="1620"/>
      <c r="G109" s="1620"/>
      <c r="H109" s="513"/>
      <c r="I109" s="513"/>
      <c r="J109" s="513"/>
      <c r="M109" s="463"/>
      <c r="N109" s="463"/>
      <c r="O109" s="463"/>
      <c r="P109" s="463"/>
      <c r="Q109" s="463"/>
      <c r="R109" s="463"/>
      <c r="S109" s="463"/>
      <c r="T109" s="463"/>
      <c r="U109" s="463"/>
      <c r="V109" s="463"/>
      <c r="W109" s="463"/>
      <c r="X109" s="463"/>
      <c r="Y109" s="463"/>
      <c r="Z109" s="463"/>
      <c r="AA109" s="463"/>
      <c r="AB109" s="463"/>
      <c r="AC109" s="463"/>
      <c r="AD109" s="463"/>
    </row>
    <row r="110" spans="1:232" ht="16.5">
      <c r="A110" s="635"/>
      <c r="B110" s="635"/>
      <c r="C110" s="635"/>
      <c r="D110" s="635"/>
      <c r="E110" s="635"/>
      <c r="F110" s="635"/>
      <c r="G110" s="635"/>
      <c r="H110" s="513"/>
      <c r="I110" s="513"/>
      <c r="J110" s="513"/>
      <c r="M110" s="463"/>
      <c r="N110" s="463"/>
      <c r="O110" s="463"/>
      <c r="P110" s="463"/>
      <c r="Q110" s="463"/>
      <c r="R110" s="463"/>
      <c r="S110" s="463"/>
      <c r="T110" s="463"/>
      <c r="U110" s="463"/>
      <c r="V110" s="463"/>
      <c r="W110" s="463"/>
      <c r="X110" s="463"/>
      <c r="Y110" s="463"/>
      <c r="Z110" s="463"/>
      <c r="AA110" s="463"/>
      <c r="AB110" s="463"/>
      <c r="AC110" s="463"/>
      <c r="AD110" s="463"/>
    </row>
    <row r="111" spans="1:232" ht="16.5">
      <c r="A111" s="1624"/>
      <c r="B111" s="1624"/>
      <c r="C111" s="1624"/>
      <c r="D111" s="1624"/>
      <c r="E111" s="1624"/>
      <c r="F111" s="1624"/>
      <c r="G111" s="1624"/>
      <c r="H111" s="1625"/>
      <c r="I111" s="1625"/>
      <c r="J111" s="1625"/>
      <c r="M111" s="463"/>
      <c r="N111" s="463"/>
      <c r="O111" s="463"/>
      <c r="P111" s="463"/>
      <c r="Q111" s="463"/>
      <c r="R111" s="463"/>
      <c r="S111" s="463"/>
      <c r="T111" s="463"/>
      <c r="U111" s="463"/>
      <c r="V111" s="463"/>
      <c r="W111" s="463"/>
      <c r="X111" s="463"/>
      <c r="Y111" s="463"/>
      <c r="Z111" s="463"/>
      <c r="AA111" s="463"/>
      <c r="AB111" s="463"/>
      <c r="AC111" s="463"/>
      <c r="AD111" s="463"/>
    </row>
    <row r="112" spans="1:232" ht="20.100000000000001" customHeight="1">
      <c r="A112" s="1682" t="s">
        <v>77</v>
      </c>
      <c r="B112" s="1682"/>
      <c r="C112" s="1682"/>
      <c r="D112" s="1682"/>
      <c r="E112" s="1682"/>
      <c r="F112" s="1682"/>
      <c r="G112" s="1682"/>
      <c r="H112" s="1682"/>
      <c r="I112" s="1682"/>
      <c r="J112" s="1682"/>
    </row>
    <row r="113" spans="1:30" ht="20.100000000000001" customHeight="1">
      <c r="A113" s="1683" t="s">
        <v>80</v>
      </c>
      <c r="B113" s="1683"/>
      <c r="C113" s="1683"/>
      <c r="D113" s="1683"/>
      <c r="E113" s="1683"/>
      <c r="F113" s="1683"/>
      <c r="G113" s="1683"/>
      <c r="H113" s="1683"/>
      <c r="I113" s="1683"/>
      <c r="J113" s="1683"/>
      <c r="L113" s="464"/>
      <c r="M113" s="465"/>
    </row>
    <row r="114" spans="1:30" ht="20.100000000000001" customHeight="1">
      <c r="A114" s="1616" t="s">
        <v>82</v>
      </c>
      <c r="B114" s="1616"/>
      <c r="C114" s="1616"/>
      <c r="D114" s="1616"/>
      <c r="E114" s="1616"/>
      <c r="F114" s="1616"/>
      <c r="G114" s="1616"/>
      <c r="H114" s="1616"/>
      <c r="I114" s="1616"/>
      <c r="J114" s="1616"/>
      <c r="L114" s="467"/>
      <c r="O114" s="466"/>
      <c r="P114" s="466"/>
      <c r="Q114" s="467"/>
    </row>
    <row r="115" spans="1:30" ht="20.100000000000001" customHeight="1">
      <c r="A115" s="1684">
        <f>F80</f>
        <v>42494</v>
      </c>
      <c r="B115" s="1684"/>
      <c r="C115" s="1684"/>
      <c r="D115" s="1684"/>
      <c r="E115" s="1684"/>
      <c r="F115" s="1684"/>
      <c r="G115" s="1684"/>
      <c r="H115" s="1684"/>
      <c r="I115" s="1684"/>
      <c r="J115" s="1684"/>
      <c r="L115" s="469"/>
      <c r="N115" s="467"/>
      <c r="O115" s="466"/>
      <c r="P115" s="466"/>
      <c r="Q115" s="467"/>
    </row>
    <row r="116" spans="1:30" ht="24.95" customHeight="1">
      <c r="A116" s="1685" t="s">
        <v>134</v>
      </c>
      <c r="B116" s="1618"/>
      <c r="C116" s="1618"/>
      <c r="D116" s="1618"/>
      <c r="E116" s="1618"/>
      <c r="F116" s="1618"/>
      <c r="G116" s="1618"/>
      <c r="H116" s="1618"/>
      <c r="I116" s="1618"/>
      <c r="J116" s="1618"/>
      <c r="L116" s="469"/>
      <c r="N116" s="467"/>
      <c r="O116" s="466"/>
      <c r="P116" s="466"/>
      <c r="Q116" s="467"/>
    </row>
    <row r="117" spans="1:30" ht="20.100000000000001" customHeight="1">
      <c r="A117" s="1686" t="str">
        <f>A83</f>
        <v>SỐ: TGHL-HT-CWI-C&amp;S-B1/800</v>
      </c>
      <c r="B117" s="1686"/>
      <c r="C117" s="1686"/>
      <c r="D117" s="1686"/>
      <c r="E117" s="1686"/>
      <c r="F117" s="1686"/>
      <c r="G117" s="1686"/>
      <c r="H117" s="1686"/>
      <c r="I117" s="1686"/>
      <c r="J117" s="1686"/>
      <c r="L117" s="469"/>
      <c r="N117" s="467"/>
      <c r="P117" s="467"/>
    </row>
    <row r="118" spans="1:30" ht="14.25" customHeight="1">
      <c r="A118" s="471"/>
      <c r="B118" s="471"/>
      <c r="C118" s="471"/>
      <c r="D118" s="471"/>
      <c r="E118" s="471"/>
      <c r="F118" s="471"/>
      <c r="G118" s="471"/>
      <c r="H118" s="471"/>
      <c r="I118" s="471"/>
      <c r="J118" s="471"/>
      <c r="M118" s="469"/>
      <c r="O118" s="466"/>
      <c r="P118" s="466"/>
      <c r="Q118" s="467"/>
    </row>
    <row r="119" spans="1:30" s="472" customFormat="1" ht="35.1" customHeight="1">
      <c r="A119" s="641" t="str">
        <f>A84</f>
        <v>DỰ ÁN:</v>
      </c>
      <c r="B119" s="641"/>
      <c r="C119" s="1615" t="str">
        <f>C84</f>
        <v>KHU HỖN HỢP CHUNG CƯ, VĂN PHÒNG, TRUNG TÂM THƯƠNG MẠI VÀ NHÀ Ở KẾT HỢP KHU MUA SẮM</v>
      </c>
      <c r="D119" s="1615"/>
      <c r="E119" s="1615"/>
      <c r="F119" s="1615"/>
      <c r="G119" s="1615"/>
      <c r="H119" s="1615"/>
      <c r="I119" s="1615"/>
      <c r="J119" s="1615"/>
      <c r="L119" s="463"/>
      <c r="M119" s="469"/>
      <c r="N119" s="467"/>
      <c r="O119" s="466"/>
      <c r="P119" s="466"/>
      <c r="Q119" s="467"/>
      <c r="R119" s="464"/>
      <c r="S119" s="464"/>
      <c r="T119" s="464"/>
      <c r="U119" s="474"/>
      <c r="V119" s="474"/>
      <c r="W119" s="474"/>
      <c r="X119" s="474"/>
      <c r="Y119" s="475"/>
      <c r="Z119" s="475"/>
      <c r="AA119" s="475"/>
      <c r="AB119" s="475"/>
      <c r="AC119" s="475"/>
      <c r="AD119" s="475"/>
    </row>
    <row r="120" spans="1:30" ht="20.100000000000001" customHeight="1">
      <c r="A120" s="641" t="str">
        <f>A85</f>
        <v>CÔNG TRÌNH:</v>
      </c>
      <c r="B120" s="641"/>
      <c r="C120" s="1615" t="str">
        <f>C85</f>
        <v>KHU HỖN HỢP CHUNG CƯ, VĂN PHÒNG, TTTM</v>
      </c>
      <c r="D120" s="1615"/>
      <c r="E120" s="1615"/>
      <c r="F120" s="1615"/>
      <c r="G120" s="1615"/>
      <c r="H120" s="1615"/>
      <c r="I120" s="1615"/>
      <c r="J120" s="1615"/>
      <c r="L120" s="469"/>
      <c r="M120" s="467"/>
      <c r="N120" s="467"/>
      <c r="O120" s="466"/>
      <c r="P120" s="466"/>
      <c r="Q120" s="467"/>
      <c r="T120" s="474"/>
    </row>
    <row r="121" spans="1:30" ht="20.100000000000001" customHeight="1">
      <c r="A121" s="641" t="str">
        <f>A86</f>
        <v>GÓI THẦU :</v>
      </c>
      <c r="B121" s="641"/>
      <c r="C121" s="1615" t="str">
        <f>C86</f>
        <v>THI CÔNG CỌC KHOAN NHỒI</v>
      </c>
      <c r="D121" s="1615"/>
      <c r="E121" s="1615"/>
      <c r="F121" s="1615"/>
      <c r="G121" s="1615"/>
      <c r="H121" s="1615"/>
      <c r="I121" s="1615"/>
      <c r="J121" s="1615"/>
      <c r="L121" s="469"/>
      <c r="M121" s="467"/>
      <c r="N121" s="467"/>
      <c r="O121" s="466"/>
      <c r="P121" s="466"/>
      <c r="Q121" s="467"/>
      <c r="T121" s="474"/>
    </row>
    <row r="122" spans="1:30" ht="20.100000000000001" customHeight="1">
      <c r="A122" s="641" t="str">
        <f>A87</f>
        <v>ĐỊA ĐIỂM :</v>
      </c>
      <c r="B122" s="641"/>
      <c r="C122" s="1615" t="str">
        <f>C87</f>
        <v>ĐƯỜNG 25/4, P BẠCH ĐẰNG, TP. HẠ LONG, TỈNH QUẢNG NINH</v>
      </c>
      <c r="D122" s="1615"/>
      <c r="E122" s="1615"/>
      <c r="F122" s="1615"/>
      <c r="G122" s="1615"/>
      <c r="H122" s="1615"/>
      <c r="I122" s="1615"/>
      <c r="J122" s="1615"/>
      <c r="L122" s="469"/>
      <c r="M122" s="469"/>
      <c r="O122" s="478"/>
      <c r="P122" s="479"/>
      <c r="Q122" s="469"/>
      <c r="R122" s="474"/>
      <c r="S122" s="474"/>
    </row>
    <row r="123" spans="1:30" s="472" customFormat="1" ht="20.100000000000001" customHeight="1">
      <c r="A123" s="1596" t="s">
        <v>89</v>
      </c>
      <c r="B123" s="1596"/>
      <c r="C123" s="1596"/>
      <c r="D123" s="1596"/>
      <c r="E123" s="1596"/>
      <c r="F123" s="1596"/>
      <c r="G123" s="1596"/>
      <c r="H123" s="1596"/>
      <c r="I123" s="1596"/>
      <c r="J123" s="1596"/>
      <c r="L123" s="469"/>
      <c r="M123" s="469"/>
      <c r="N123" s="470"/>
      <c r="O123" s="466"/>
      <c r="P123" s="479"/>
      <c r="Q123" s="469"/>
      <c r="R123" s="464"/>
      <c r="S123" s="464"/>
      <c r="T123" s="464"/>
      <c r="U123" s="474"/>
      <c r="V123" s="474"/>
      <c r="W123" s="474"/>
      <c r="X123" s="474"/>
      <c r="Y123" s="475"/>
      <c r="Z123" s="475"/>
      <c r="AA123" s="475"/>
      <c r="AB123" s="475"/>
      <c r="AC123" s="475"/>
      <c r="AD123" s="475"/>
    </row>
    <row r="124" spans="1:30" s="175" customFormat="1" ht="20.100000000000001" customHeight="1">
      <c r="A124" s="1610" t="str">
        <f>A13</f>
        <v>Cấu kiện bê tông cọc số hiệu B1</v>
      </c>
      <c r="B124" s="1622"/>
      <c r="C124" s="1622"/>
      <c r="D124" s="1622"/>
      <c r="E124" s="1622"/>
      <c r="F124" s="1622"/>
      <c r="G124" s="1622"/>
      <c r="H124" s="1622"/>
      <c r="I124" s="1622"/>
      <c r="J124" s="1622"/>
      <c r="L124" s="520"/>
      <c r="M124" s="520"/>
      <c r="N124" s="473"/>
      <c r="O124" s="466"/>
      <c r="P124" s="479"/>
      <c r="Q124" s="469"/>
      <c r="R124" s="464"/>
      <c r="S124" s="464"/>
    </row>
    <row r="125" spans="1:30" ht="20.100000000000001" customHeight="1">
      <c r="A125" s="1596" t="s">
        <v>859</v>
      </c>
      <c r="B125" s="1596"/>
      <c r="C125" s="1596"/>
      <c r="D125" s="1596"/>
      <c r="E125" s="1596"/>
      <c r="F125" s="1596"/>
      <c r="G125" s="1596"/>
      <c r="H125" s="1596"/>
      <c r="I125" s="1596"/>
      <c r="J125" s="1596"/>
      <c r="M125" s="469"/>
      <c r="N125" s="470"/>
      <c r="O125" s="466"/>
      <c r="P125" s="466"/>
      <c r="Q125" s="467"/>
    </row>
    <row r="126" spans="1:30" ht="20.100000000000001" customHeight="1">
      <c r="A126" s="482" t="str">
        <f>'[6]1. BBkt -MM'!A125</f>
        <v>1 - Đại diện chủ đầu tư : Ban QLDA Times garden Hạ Long</v>
      </c>
      <c r="B126" s="118"/>
      <c r="C126" s="118"/>
      <c r="D126" s="118"/>
      <c r="E126" s="118"/>
      <c r="F126" s="483"/>
      <c r="G126" s="483"/>
      <c r="H126" s="483"/>
      <c r="I126" s="483"/>
      <c r="J126" s="483"/>
      <c r="M126" s="469"/>
      <c r="N126" s="470"/>
      <c r="O126" s="466"/>
      <c r="P126" s="466"/>
      <c r="Q126" s="467"/>
    </row>
    <row r="127" spans="1:30" ht="20.100000000000001" customHeight="1">
      <c r="A127" s="1595" t="s">
        <v>913</v>
      </c>
      <c r="B127" s="1595"/>
      <c r="C127" s="1595"/>
      <c r="D127" s="1595"/>
      <c r="E127" s="1595"/>
      <c r="F127" s="1595" t="s">
        <v>914</v>
      </c>
      <c r="G127" s="1595"/>
      <c r="H127" s="1595"/>
      <c r="I127" s="1595"/>
      <c r="J127" s="1595"/>
      <c r="M127" s="469"/>
      <c r="N127" s="470"/>
      <c r="O127" s="466"/>
      <c r="P127" s="466"/>
      <c r="Q127" s="467"/>
    </row>
    <row r="128" spans="1:30" ht="20.100000000000001" customHeight="1">
      <c r="A128" s="1595" t="s">
        <v>913</v>
      </c>
      <c r="B128" s="1595"/>
      <c r="C128" s="1595"/>
      <c r="D128" s="1595"/>
      <c r="E128" s="1595"/>
      <c r="F128" s="1595" t="s">
        <v>914</v>
      </c>
      <c r="G128" s="1595"/>
      <c r="H128" s="1595"/>
      <c r="I128" s="1595"/>
      <c r="J128" s="1595"/>
      <c r="M128" s="469"/>
      <c r="N128" s="470"/>
      <c r="O128" s="466"/>
      <c r="P128" s="466"/>
      <c r="Q128" s="467"/>
    </row>
    <row r="129" spans="1:232" s="175" customFormat="1" ht="20.100000000000001" customHeight="1">
      <c r="A129" s="1680" t="s">
        <v>915</v>
      </c>
      <c r="B129" s="1680"/>
      <c r="C129" s="1680"/>
      <c r="D129" s="1680"/>
      <c r="E129" s="1680"/>
      <c r="F129" s="1680"/>
      <c r="G129" s="1680"/>
      <c r="H129" s="1680"/>
      <c r="I129" s="1680"/>
      <c r="J129" s="1680"/>
      <c r="L129" s="520"/>
      <c r="M129" s="520"/>
      <c r="N129" s="473"/>
      <c r="O129" s="464"/>
      <c r="P129" s="467"/>
      <c r="Q129" s="464"/>
      <c r="R129" s="464"/>
      <c r="S129" s="464"/>
    </row>
    <row r="130" spans="1:232" ht="20.100000000000001" customHeight="1">
      <c r="A130" s="1595" t="s">
        <v>913</v>
      </c>
      <c r="B130" s="1595"/>
      <c r="C130" s="1595"/>
      <c r="D130" s="1595"/>
      <c r="E130" s="1595"/>
      <c r="F130" s="1595" t="s">
        <v>914</v>
      </c>
      <c r="G130" s="1595"/>
      <c r="H130" s="1595"/>
      <c r="I130" s="1595"/>
      <c r="J130" s="1595"/>
      <c r="M130" s="469"/>
      <c r="N130" s="175"/>
      <c r="O130" s="401"/>
      <c r="P130" s="401"/>
      <c r="Q130" s="520"/>
      <c r="R130" s="175"/>
      <c r="S130" s="175"/>
    </row>
    <row r="131" spans="1:232" ht="20.100000000000001" customHeight="1">
      <c r="A131" s="481" t="s">
        <v>913</v>
      </c>
      <c r="B131" s="481"/>
      <c r="C131" s="481"/>
      <c r="D131" s="481"/>
      <c r="E131" s="481"/>
      <c r="F131" s="481" t="s">
        <v>916</v>
      </c>
      <c r="G131" s="481"/>
      <c r="H131" s="481"/>
      <c r="I131" s="481"/>
      <c r="J131" s="481"/>
      <c r="N131" s="470"/>
      <c r="O131" s="466"/>
      <c r="P131" s="466"/>
      <c r="Q131" s="467"/>
    </row>
    <row r="132" spans="1:232" ht="20.100000000000001" customHeight="1">
      <c r="A132" s="1604" t="s">
        <v>871</v>
      </c>
      <c r="B132" s="1604"/>
      <c r="C132" s="1604"/>
      <c r="D132" s="1604"/>
      <c r="E132" s="1604"/>
      <c r="F132" s="1604"/>
      <c r="G132" s="1604"/>
      <c r="H132" s="1604"/>
      <c r="I132" s="1604"/>
      <c r="J132" s="1604"/>
      <c r="M132" s="469"/>
      <c r="P132" s="479"/>
      <c r="Q132" s="469"/>
    </row>
    <row r="133" spans="1:232" ht="20.100000000000001" customHeight="1">
      <c r="A133" s="481" t="s">
        <v>913</v>
      </c>
      <c r="B133" s="481"/>
      <c r="C133" s="481"/>
      <c r="D133" s="481"/>
      <c r="E133" s="481"/>
      <c r="F133" s="481" t="s">
        <v>916</v>
      </c>
      <c r="G133" s="481"/>
      <c r="H133" s="481"/>
      <c r="I133" s="481"/>
      <c r="J133" s="481"/>
      <c r="P133" s="479"/>
      <c r="Q133" s="469"/>
    </row>
    <row r="134" spans="1:232" ht="20.100000000000001" customHeight="1">
      <c r="A134" s="481" t="s">
        <v>913</v>
      </c>
      <c r="B134" s="481"/>
      <c r="C134" s="481"/>
      <c r="D134" s="481"/>
      <c r="E134" s="481"/>
      <c r="F134" s="481" t="s">
        <v>916</v>
      </c>
      <c r="G134" s="481"/>
      <c r="H134" s="481"/>
      <c r="I134" s="481"/>
      <c r="J134" s="481"/>
      <c r="P134" s="479"/>
      <c r="Q134" s="469"/>
    </row>
    <row r="135" spans="1:232" ht="20.100000000000001" customHeight="1">
      <c r="A135" s="1596" t="str">
        <f>A21</f>
        <v>III./ THỜI GIAN NGHIỆM THU:</v>
      </c>
      <c r="B135" s="1596"/>
      <c r="C135" s="1596"/>
      <c r="D135" s="1596"/>
      <c r="E135" s="1596"/>
      <c r="F135" s="1596"/>
      <c r="G135" s="1596"/>
      <c r="H135" s="1596"/>
      <c r="I135" s="1596"/>
      <c r="J135" s="1596"/>
      <c r="P135" s="479"/>
      <c r="Q135" s="469"/>
    </row>
    <row r="136" spans="1:232" ht="20.100000000000001" customHeight="1">
      <c r="A136" s="477" t="str">
        <f>A22</f>
        <v xml:space="preserve">Bắt đầu nghiệm thu:    </v>
      </c>
      <c r="B136" s="477"/>
      <c r="C136" s="477"/>
      <c r="D136" s="484">
        <f>N16-O11</f>
        <v>0.61111111111111116</v>
      </c>
      <c r="E136" s="1603">
        <f>E23</f>
        <v>42494</v>
      </c>
      <c r="F136" s="1603"/>
      <c r="G136" s="1603"/>
      <c r="H136" s="1603"/>
      <c r="I136" s="1603"/>
      <c r="J136" s="1603"/>
      <c r="P136" s="479"/>
      <c r="Q136" s="469"/>
    </row>
    <row r="137" spans="1:232" s="175" customFormat="1" ht="20.100000000000001" customHeight="1">
      <c r="A137" s="477" t="str">
        <f>A23</f>
        <v xml:space="preserve">Kết thúc nghiệm thu: </v>
      </c>
      <c r="B137" s="477"/>
      <c r="C137" s="477"/>
      <c r="D137" s="484">
        <f>N16</f>
        <v>0.625</v>
      </c>
      <c r="E137" s="1603">
        <f>E136</f>
        <v>42494</v>
      </c>
      <c r="F137" s="1603"/>
      <c r="G137" s="1603"/>
      <c r="H137" s="1603"/>
      <c r="I137" s="1603"/>
      <c r="J137" s="1603"/>
      <c r="N137" s="464"/>
      <c r="O137" s="464"/>
      <c r="P137" s="464"/>
      <c r="Q137" s="464"/>
      <c r="R137" s="464"/>
      <c r="S137" s="464"/>
    </row>
    <row r="138" spans="1:232" ht="20.100000000000001" customHeight="1">
      <c r="A138" s="767" t="str">
        <f>'[6]7. BBNT-TOADOCOC'!A138</f>
        <v>Tại:</v>
      </c>
      <c r="B138" s="765" t="str">
        <f>'[6]7. BBNT-TOADOCOC'!B138</f>
        <v>Công trình: Khu hỗn hợp chung cư, văn phòng, trung tâm thương mại.</v>
      </c>
      <c r="C138" s="489"/>
      <c r="D138" s="489"/>
      <c r="E138" s="489"/>
      <c r="F138" s="489"/>
      <c r="G138" s="489"/>
      <c r="H138" s="489"/>
      <c r="I138" s="489"/>
      <c r="J138" s="489"/>
      <c r="N138" s="175"/>
      <c r="O138" s="175"/>
      <c r="P138" s="175"/>
      <c r="Q138" s="175"/>
      <c r="R138" s="175"/>
      <c r="S138" s="175"/>
    </row>
    <row r="139" spans="1:232" ht="20.100000000000001" customHeight="1">
      <c r="A139" s="1596" t="s">
        <v>441</v>
      </c>
      <c r="B139" s="1596"/>
      <c r="C139" s="1596"/>
      <c r="D139" s="1596"/>
      <c r="E139" s="1596"/>
      <c r="F139" s="1596"/>
      <c r="G139" s="1596"/>
      <c r="H139" s="1596"/>
      <c r="I139" s="1596"/>
      <c r="J139" s="1596"/>
    </row>
    <row r="140" spans="1:232" ht="20.100000000000001" customHeight="1">
      <c r="A140" s="1604" t="s">
        <v>921</v>
      </c>
      <c r="B140" s="1604"/>
      <c r="C140" s="1604"/>
      <c r="D140" s="1604"/>
      <c r="E140" s="1604"/>
      <c r="F140" s="1604"/>
      <c r="G140" s="1604"/>
      <c r="H140" s="1604"/>
      <c r="I140" s="1604"/>
      <c r="J140" s="1604"/>
    </row>
    <row r="141" spans="1:232" s="175" customFormat="1" ht="20.100000000000001" customHeight="1">
      <c r="A141" s="486" t="str">
        <f>"-    Phiếu yêu cầu kiểm tra công việc xây dựng số: TGHL-HT-CWI-C&amp;S-"&amp;'2. NK'!D10&amp;"/"&amp;'2. NK'!H10</f>
        <v>-    Phiếu yêu cầu kiểm tra công việc xây dựng số: TGHL-HT-CWI-C&amp;S-B1/800</v>
      </c>
      <c r="B141" s="477"/>
      <c r="C141" s="477"/>
      <c r="D141" s="477"/>
      <c r="E141" s="477"/>
      <c r="F141" s="477"/>
      <c r="G141" s="477"/>
      <c r="H141" s="477"/>
      <c r="I141" s="477"/>
      <c r="J141" s="477"/>
      <c r="N141" s="464"/>
      <c r="O141" s="464"/>
      <c r="P141" s="464"/>
      <c r="Q141" s="464"/>
      <c r="R141" s="464"/>
      <c r="S141" s="464"/>
    </row>
    <row r="142" spans="1:232" ht="20.100000000000001" customHeight="1">
      <c r="A142" s="1679" t="str">
        <f>'7.BBKT-  TĐC'!A142:J142</f>
        <v>-    Hồ sơ thiết kế bản vẽ thi công đã được phê duyệt.</v>
      </c>
      <c r="B142" s="1679"/>
      <c r="C142" s="1679"/>
      <c r="D142" s="1679"/>
      <c r="E142" s="1679"/>
      <c r="F142" s="1679"/>
      <c r="G142" s="1679"/>
      <c r="H142" s="1679"/>
      <c r="I142" s="1679"/>
      <c r="J142" s="1679"/>
      <c r="N142" s="175"/>
      <c r="O142" s="175"/>
      <c r="P142" s="175"/>
      <c r="Q142" s="175"/>
      <c r="R142" s="175"/>
      <c r="S142" s="175"/>
    </row>
    <row r="143" spans="1:232" s="637" customFormat="1" ht="20.100000000000001" customHeight="1">
      <c r="A143" s="486" t="s">
        <v>104</v>
      </c>
      <c r="B143" s="477"/>
      <c r="C143" s="477"/>
      <c r="D143" s="477"/>
      <c r="E143" s="477"/>
      <c r="F143" s="477"/>
      <c r="G143" s="477"/>
      <c r="H143" s="477"/>
      <c r="I143" s="477"/>
      <c r="J143" s="477"/>
      <c r="K143" s="477"/>
      <c r="L143" s="477"/>
      <c r="M143" s="477"/>
      <c r="N143" s="464"/>
      <c r="O143" s="464"/>
      <c r="P143" s="464"/>
      <c r="Q143" s="464"/>
      <c r="R143" s="464"/>
      <c r="S143" s="464"/>
      <c r="T143" s="487"/>
      <c r="U143" s="487"/>
      <c r="V143" s="487"/>
      <c r="W143" s="487"/>
      <c r="X143" s="487"/>
      <c r="Y143" s="487"/>
      <c r="Z143" s="487"/>
      <c r="AA143" s="487"/>
      <c r="AB143" s="487"/>
      <c r="AC143" s="487"/>
      <c r="AD143" s="487"/>
      <c r="AE143" s="487"/>
      <c r="AF143" s="487"/>
      <c r="AG143" s="487"/>
      <c r="AH143" s="487"/>
      <c r="AI143" s="487"/>
      <c r="AJ143" s="487"/>
      <c r="AK143" s="487"/>
      <c r="AL143" s="487"/>
      <c r="AM143" s="487"/>
      <c r="AN143" s="487"/>
      <c r="AO143" s="487"/>
      <c r="AP143" s="487"/>
      <c r="AQ143" s="487"/>
      <c r="AR143" s="487"/>
      <c r="AS143" s="487"/>
      <c r="AT143" s="487"/>
      <c r="AU143" s="487"/>
      <c r="AV143" s="487"/>
      <c r="AW143" s="487"/>
      <c r="AX143" s="487"/>
      <c r="AY143" s="487"/>
      <c r="AZ143" s="487"/>
      <c r="BA143" s="487"/>
      <c r="BB143" s="487"/>
      <c r="BC143" s="487"/>
      <c r="BD143" s="487"/>
      <c r="BE143" s="487"/>
      <c r="BF143" s="487"/>
      <c r="BG143" s="487"/>
      <c r="BH143" s="487"/>
      <c r="BI143" s="487"/>
      <c r="BJ143" s="487"/>
      <c r="BK143" s="487"/>
      <c r="BL143" s="487"/>
      <c r="BM143" s="487"/>
      <c r="BN143" s="487"/>
      <c r="BO143" s="487"/>
      <c r="BP143" s="487"/>
      <c r="BQ143" s="487"/>
      <c r="BR143" s="487"/>
      <c r="BS143" s="487"/>
      <c r="BT143" s="487"/>
      <c r="BU143" s="487"/>
      <c r="BV143" s="487"/>
      <c r="BW143" s="487"/>
      <c r="BX143" s="487"/>
      <c r="BY143" s="487"/>
      <c r="BZ143" s="487"/>
      <c r="CA143" s="487"/>
      <c r="CB143" s="487"/>
      <c r="CC143" s="487"/>
      <c r="CD143" s="487"/>
      <c r="CE143" s="487"/>
      <c r="CF143" s="487"/>
      <c r="CG143" s="487"/>
      <c r="CH143" s="487"/>
      <c r="CI143" s="487"/>
      <c r="CJ143" s="487"/>
      <c r="CK143" s="487"/>
      <c r="CL143" s="487"/>
      <c r="CM143" s="487"/>
      <c r="CN143" s="487"/>
      <c r="CO143" s="487"/>
      <c r="CP143" s="487"/>
      <c r="CQ143" s="487"/>
      <c r="CR143" s="487"/>
      <c r="CS143" s="487"/>
      <c r="CT143" s="487"/>
      <c r="CU143" s="487"/>
      <c r="CV143" s="487"/>
      <c r="CW143" s="487"/>
      <c r="CX143" s="487"/>
      <c r="CY143" s="487"/>
      <c r="CZ143" s="487"/>
      <c r="DA143" s="487"/>
      <c r="DB143" s="487"/>
      <c r="DC143" s="487"/>
      <c r="DD143" s="487"/>
      <c r="DE143" s="487"/>
      <c r="DF143" s="487"/>
      <c r="DG143" s="487"/>
      <c r="DH143" s="487"/>
      <c r="DI143" s="487"/>
      <c r="DJ143" s="487"/>
      <c r="DK143" s="487"/>
      <c r="DL143" s="487"/>
      <c r="DM143" s="487"/>
      <c r="DN143" s="487"/>
      <c r="DO143" s="487"/>
      <c r="DP143" s="487"/>
      <c r="DQ143" s="487"/>
      <c r="DR143" s="487"/>
      <c r="DS143" s="487"/>
      <c r="DT143" s="487"/>
      <c r="DU143" s="487"/>
      <c r="DV143" s="487"/>
      <c r="DW143" s="487"/>
      <c r="DX143" s="487"/>
      <c r="DY143" s="487"/>
      <c r="DZ143" s="487"/>
      <c r="EA143" s="487"/>
      <c r="EB143" s="487"/>
      <c r="EC143" s="487"/>
      <c r="ED143" s="487"/>
      <c r="EE143" s="487"/>
      <c r="EF143" s="487"/>
      <c r="EG143" s="487"/>
      <c r="EH143" s="487"/>
      <c r="EI143" s="487"/>
      <c r="EJ143" s="487"/>
      <c r="EK143" s="487"/>
      <c r="EL143" s="487"/>
      <c r="EM143" s="487"/>
      <c r="EN143" s="487"/>
      <c r="EO143" s="487"/>
      <c r="EP143" s="487"/>
      <c r="EQ143" s="487"/>
      <c r="ER143" s="487"/>
      <c r="ES143" s="487"/>
      <c r="ET143" s="487"/>
      <c r="EU143" s="487"/>
      <c r="EV143" s="487"/>
      <c r="EW143" s="487"/>
      <c r="EX143" s="487"/>
      <c r="EY143" s="487"/>
      <c r="EZ143" s="487"/>
      <c r="FA143" s="487"/>
      <c r="FB143" s="487"/>
      <c r="FC143" s="487"/>
      <c r="FD143" s="487"/>
      <c r="FE143" s="487"/>
      <c r="FF143" s="487"/>
      <c r="FG143" s="487"/>
      <c r="FH143" s="487"/>
      <c r="FI143" s="487"/>
      <c r="FJ143" s="487"/>
      <c r="FK143" s="487"/>
      <c r="FL143" s="487"/>
      <c r="FM143" s="487"/>
      <c r="FN143" s="487"/>
      <c r="FO143" s="487"/>
      <c r="FP143" s="487"/>
      <c r="FQ143" s="487"/>
      <c r="FR143" s="487"/>
      <c r="FS143" s="487"/>
      <c r="FT143" s="487"/>
      <c r="FU143" s="487"/>
      <c r="FV143" s="487"/>
      <c r="FW143" s="487"/>
      <c r="FX143" s="487"/>
      <c r="FY143" s="487"/>
      <c r="FZ143" s="487"/>
      <c r="GA143" s="487"/>
      <c r="GB143" s="487"/>
      <c r="GC143" s="487"/>
      <c r="GD143" s="487"/>
      <c r="GE143" s="487"/>
      <c r="GF143" s="487"/>
      <c r="GG143" s="487"/>
      <c r="GH143" s="487"/>
      <c r="GI143" s="487"/>
      <c r="GJ143" s="487"/>
      <c r="GK143" s="487"/>
      <c r="GL143" s="487"/>
      <c r="GM143" s="487"/>
      <c r="GN143" s="487"/>
      <c r="GO143" s="487"/>
      <c r="GP143" s="487"/>
      <c r="GQ143" s="487"/>
      <c r="GR143" s="487"/>
      <c r="GS143" s="487"/>
      <c r="GT143" s="487"/>
      <c r="GU143" s="487"/>
      <c r="GV143" s="487"/>
      <c r="GW143" s="487"/>
      <c r="GX143" s="487"/>
      <c r="GY143" s="487"/>
      <c r="GZ143" s="487"/>
      <c r="HA143" s="487"/>
      <c r="HB143" s="487"/>
      <c r="HC143" s="487"/>
      <c r="HD143" s="487"/>
      <c r="HE143" s="487"/>
      <c r="HF143" s="487"/>
      <c r="HG143" s="487"/>
      <c r="HH143" s="487"/>
      <c r="HI143" s="487"/>
      <c r="HJ143" s="487"/>
      <c r="HK143" s="487"/>
      <c r="HL143" s="487"/>
      <c r="HM143" s="487"/>
      <c r="HN143" s="487"/>
      <c r="HO143" s="487"/>
      <c r="HP143" s="487"/>
      <c r="HQ143" s="487"/>
      <c r="HR143" s="487"/>
      <c r="HS143" s="487"/>
      <c r="HT143" s="487"/>
      <c r="HU143" s="487"/>
      <c r="HV143" s="487"/>
      <c r="HW143" s="487"/>
      <c r="HX143" s="487"/>
    </row>
    <row r="144" spans="1:232" s="637" customFormat="1" ht="20.100000000000001" customHeight="1">
      <c r="A144" s="885" t="s">
        <v>1027</v>
      </c>
      <c r="B144" s="477" t="s">
        <v>1028</v>
      </c>
      <c r="C144" s="477"/>
      <c r="D144" s="477"/>
      <c r="E144" s="477"/>
      <c r="F144" s="477"/>
      <c r="G144" s="477"/>
      <c r="H144" s="477"/>
      <c r="I144" s="477"/>
      <c r="J144" s="477"/>
      <c r="K144" s="477"/>
      <c r="L144" s="477"/>
      <c r="M144" s="477"/>
      <c r="N144" s="487"/>
      <c r="O144" s="487"/>
      <c r="P144" s="467"/>
      <c r="Q144" s="464"/>
      <c r="R144" s="487"/>
      <c r="S144" s="487"/>
      <c r="T144" s="487"/>
      <c r="U144" s="489"/>
      <c r="V144" s="489"/>
      <c r="W144" s="489"/>
      <c r="X144" s="489"/>
      <c r="Y144" s="489"/>
      <c r="Z144" s="489"/>
      <c r="AA144" s="489"/>
      <c r="AB144" s="489"/>
      <c r="AC144" s="489"/>
      <c r="AD144" s="489"/>
      <c r="AE144" s="489"/>
      <c r="AF144" s="489"/>
      <c r="AG144" s="489"/>
      <c r="AH144" s="489"/>
      <c r="AI144" s="489"/>
      <c r="AJ144" s="489"/>
      <c r="AK144" s="489"/>
      <c r="AL144" s="489"/>
      <c r="AM144" s="489"/>
      <c r="AN144" s="489"/>
      <c r="AO144" s="489"/>
      <c r="AP144" s="489"/>
      <c r="AQ144" s="489"/>
      <c r="AR144" s="489"/>
      <c r="AS144" s="489"/>
      <c r="AT144" s="489"/>
      <c r="AU144" s="489"/>
      <c r="AV144" s="489"/>
      <c r="AW144" s="489"/>
      <c r="AX144" s="489"/>
      <c r="AY144" s="489"/>
      <c r="AZ144" s="489"/>
      <c r="BA144" s="489"/>
      <c r="BB144" s="489"/>
      <c r="BC144" s="489"/>
      <c r="BD144" s="489"/>
      <c r="BE144" s="489"/>
      <c r="BF144" s="489"/>
      <c r="BG144" s="489"/>
      <c r="BH144" s="489"/>
      <c r="BI144" s="489"/>
      <c r="BJ144" s="489"/>
      <c r="BK144" s="489"/>
      <c r="BL144" s="489"/>
      <c r="BM144" s="489"/>
      <c r="BN144" s="489"/>
      <c r="BO144" s="489"/>
      <c r="BP144" s="489"/>
      <c r="BQ144" s="489"/>
      <c r="BR144" s="489"/>
      <c r="BS144" s="489"/>
      <c r="BT144" s="489"/>
      <c r="BU144" s="489"/>
      <c r="BV144" s="489"/>
      <c r="BW144" s="489"/>
      <c r="BX144" s="489"/>
      <c r="BY144" s="489"/>
      <c r="BZ144" s="489"/>
      <c r="CA144" s="489"/>
      <c r="CB144" s="489"/>
      <c r="CC144" s="489"/>
      <c r="CD144" s="489"/>
      <c r="CE144" s="489"/>
      <c r="CF144" s="489"/>
      <c r="CG144" s="489"/>
      <c r="CH144" s="489"/>
      <c r="CI144" s="489"/>
      <c r="CJ144" s="489"/>
      <c r="CK144" s="489"/>
      <c r="CL144" s="489"/>
      <c r="CM144" s="489"/>
      <c r="CN144" s="489"/>
      <c r="CO144" s="489"/>
      <c r="CP144" s="489"/>
      <c r="CQ144" s="489"/>
      <c r="CR144" s="489"/>
      <c r="CS144" s="489"/>
      <c r="CT144" s="489"/>
      <c r="CU144" s="489"/>
      <c r="CV144" s="489"/>
      <c r="CW144" s="489"/>
      <c r="CX144" s="489"/>
      <c r="CY144" s="489"/>
      <c r="CZ144" s="489"/>
      <c r="DA144" s="489"/>
      <c r="DB144" s="489"/>
      <c r="DC144" s="489"/>
      <c r="DD144" s="489"/>
      <c r="DE144" s="489"/>
      <c r="DF144" s="489"/>
      <c r="DG144" s="489"/>
      <c r="DH144" s="489"/>
      <c r="DI144" s="489"/>
      <c r="DJ144" s="489"/>
      <c r="DK144" s="489"/>
      <c r="DL144" s="489"/>
      <c r="DM144" s="489"/>
      <c r="DN144" s="489"/>
      <c r="DO144" s="489"/>
      <c r="DP144" s="489"/>
      <c r="DQ144" s="489"/>
      <c r="DR144" s="489"/>
      <c r="DS144" s="489"/>
      <c r="DT144" s="489"/>
      <c r="DU144" s="489"/>
      <c r="DV144" s="489"/>
      <c r="DW144" s="489"/>
      <c r="DX144" s="489"/>
      <c r="DY144" s="489"/>
      <c r="DZ144" s="489"/>
      <c r="EA144" s="489"/>
      <c r="EB144" s="489"/>
      <c r="EC144" s="489"/>
      <c r="ED144" s="489"/>
      <c r="EE144" s="489"/>
      <c r="EF144" s="489"/>
      <c r="EG144" s="489"/>
      <c r="EH144" s="489"/>
      <c r="EI144" s="489"/>
      <c r="EJ144" s="489"/>
      <c r="EK144" s="489"/>
      <c r="EL144" s="489"/>
      <c r="EM144" s="489"/>
      <c r="EN144" s="489"/>
      <c r="EO144" s="489"/>
      <c r="EP144" s="489"/>
      <c r="EQ144" s="489"/>
      <c r="ER144" s="489"/>
      <c r="ES144" s="489"/>
      <c r="ET144" s="489"/>
      <c r="EU144" s="489"/>
      <c r="EV144" s="489"/>
      <c r="EW144" s="489"/>
      <c r="EX144" s="489"/>
      <c r="EY144" s="489"/>
      <c r="EZ144" s="489"/>
      <c r="FA144" s="489"/>
      <c r="FB144" s="489"/>
      <c r="FC144" s="489"/>
      <c r="FD144" s="489"/>
      <c r="FE144" s="489"/>
      <c r="FF144" s="489"/>
      <c r="FG144" s="489"/>
      <c r="FH144" s="489"/>
      <c r="FI144" s="489"/>
      <c r="FJ144" s="489"/>
      <c r="FK144" s="489"/>
      <c r="FL144" s="489"/>
      <c r="FM144" s="489"/>
      <c r="FN144" s="489"/>
      <c r="FO144" s="489"/>
      <c r="FP144" s="489"/>
      <c r="FQ144" s="489"/>
      <c r="FR144" s="489"/>
      <c r="FS144" s="489"/>
      <c r="FT144" s="489"/>
      <c r="FU144" s="489"/>
      <c r="FV144" s="489"/>
      <c r="FW144" s="489"/>
      <c r="FX144" s="489"/>
      <c r="FY144" s="489"/>
      <c r="FZ144" s="489"/>
      <c r="GA144" s="489"/>
      <c r="GB144" s="489"/>
      <c r="GC144" s="489"/>
      <c r="GD144" s="489"/>
      <c r="GE144" s="489"/>
      <c r="GF144" s="489"/>
      <c r="GG144" s="489"/>
      <c r="GH144" s="489"/>
      <c r="GI144" s="489"/>
      <c r="GJ144" s="489"/>
      <c r="GK144" s="489"/>
      <c r="GL144" s="489"/>
      <c r="GM144" s="489"/>
      <c r="GN144" s="489"/>
      <c r="GO144" s="489"/>
      <c r="GP144" s="489"/>
      <c r="GQ144" s="489"/>
      <c r="GR144" s="489"/>
      <c r="GS144" s="489"/>
      <c r="GT144" s="489"/>
      <c r="GU144" s="489"/>
      <c r="GV144" s="489"/>
      <c r="GW144" s="489"/>
      <c r="GX144" s="489"/>
      <c r="GY144" s="489"/>
      <c r="GZ144" s="489"/>
      <c r="HA144" s="489"/>
      <c r="HB144" s="489"/>
      <c r="HC144" s="489"/>
      <c r="HD144" s="489"/>
      <c r="HE144" s="489"/>
      <c r="HF144" s="489"/>
      <c r="HG144" s="489"/>
      <c r="HH144" s="489"/>
      <c r="HI144" s="489"/>
      <c r="HJ144" s="489"/>
      <c r="HK144" s="489"/>
      <c r="HL144" s="489"/>
      <c r="HM144" s="489"/>
      <c r="HN144" s="489"/>
      <c r="HO144" s="489"/>
      <c r="HP144" s="489"/>
      <c r="HQ144" s="489"/>
      <c r="HR144" s="489"/>
      <c r="HS144" s="489"/>
      <c r="HT144" s="489"/>
      <c r="HU144" s="489"/>
      <c r="HV144" s="489"/>
      <c r="HW144" s="489"/>
      <c r="HX144" s="487"/>
    </row>
    <row r="145" spans="1:232" s="637" customFormat="1" ht="20.100000000000001" customHeight="1">
      <c r="A145" s="885" t="s">
        <v>1027</v>
      </c>
      <c r="B145" s="477" t="s">
        <v>1029</v>
      </c>
      <c r="C145" s="477"/>
      <c r="D145" s="477"/>
      <c r="E145" s="477"/>
      <c r="F145" s="477"/>
      <c r="G145" s="477"/>
      <c r="H145" s="477"/>
      <c r="I145" s="477"/>
      <c r="J145" s="477"/>
      <c r="K145" s="477"/>
      <c r="L145" s="477"/>
      <c r="M145" s="477"/>
      <c r="N145" s="487"/>
      <c r="O145" s="487"/>
      <c r="P145" s="487"/>
      <c r="Q145" s="487"/>
      <c r="R145" s="487"/>
      <c r="S145" s="487"/>
      <c r="T145" s="477"/>
      <c r="U145" s="489"/>
      <c r="V145" s="489"/>
      <c r="W145" s="489"/>
      <c r="X145" s="489"/>
      <c r="Y145" s="489"/>
      <c r="Z145" s="489"/>
      <c r="AA145" s="489"/>
      <c r="AB145" s="489"/>
      <c r="AC145" s="489"/>
      <c r="AD145" s="489"/>
      <c r="AE145" s="489"/>
      <c r="AF145" s="489"/>
      <c r="AG145" s="489"/>
      <c r="AH145" s="489"/>
      <c r="AI145" s="489"/>
      <c r="AJ145" s="489"/>
      <c r="AK145" s="489"/>
      <c r="AL145" s="489"/>
      <c r="AM145" s="489"/>
      <c r="AN145" s="489"/>
      <c r="AO145" s="489"/>
      <c r="AP145" s="489"/>
      <c r="AQ145" s="489"/>
      <c r="AR145" s="489"/>
      <c r="AS145" s="489"/>
      <c r="AT145" s="489"/>
      <c r="AU145" s="489"/>
      <c r="AV145" s="489"/>
      <c r="AW145" s="489"/>
      <c r="AX145" s="489"/>
      <c r="AY145" s="489"/>
      <c r="AZ145" s="489"/>
      <c r="BA145" s="489"/>
      <c r="BB145" s="489"/>
      <c r="BC145" s="489"/>
      <c r="BD145" s="489"/>
      <c r="BE145" s="489"/>
      <c r="BF145" s="489"/>
      <c r="BG145" s="489"/>
      <c r="BH145" s="489"/>
      <c r="BI145" s="489"/>
      <c r="BJ145" s="489"/>
      <c r="BK145" s="489"/>
      <c r="BL145" s="489"/>
      <c r="BM145" s="489"/>
      <c r="BN145" s="489"/>
      <c r="BO145" s="489"/>
      <c r="BP145" s="489"/>
      <c r="BQ145" s="489"/>
      <c r="BR145" s="489"/>
      <c r="BS145" s="489"/>
      <c r="BT145" s="489"/>
      <c r="BU145" s="489"/>
      <c r="BV145" s="489"/>
      <c r="BW145" s="489"/>
      <c r="BX145" s="489"/>
      <c r="BY145" s="489"/>
      <c r="BZ145" s="489"/>
      <c r="CA145" s="489"/>
      <c r="CB145" s="489"/>
      <c r="CC145" s="489"/>
      <c r="CD145" s="489"/>
      <c r="CE145" s="489"/>
      <c r="CF145" s="489"/>
      <c r="CG145" s="489"/>
      <c r="CH145" s="489"/>
      <c r="CI145" s="489"/>
      <c r="CJ145" s="489"/>
      <c r="CK145" s="489"/>
      <c r="CL145" s="489"/>
      <c r="CM145" s="489"/>
      <c r="CN145" s="489"/>
      <c r="CO145" s="489"/>
      <c r="CP145" s="489"/>
      <c r="CQ145" s="489"/>
      <c r="CR145" s="489"/>
      <c r="CS145" s="489"/>
      <c r="CT145" s="489"/>
      <c r="CU145" s="489"/>
      <c r="CV145" s="489"/>
      <c r="CW145" s="489"/>
      <c r="CX145" s="489"/>
      <c r="CY145" s="489"/>
      <c r="CZ145" s="489"/>
      <c r="DA145" s="489"/>
      <c r="DB145" s="489"/>
      <c r="DC145" s="489"/>
      <c r="DD145" s="489"/>
      <c r="DE145" s="489"/>
      <c r="DF145" s="489"/>
      <c r="DG145" s="489"/>
      <c r="DH145" s="489"/>
      <c r="DI145" s="489"/>
      <c r="DJ145" s="489"/>
      <c r="DK145" s="489"/>
      <c r="DL145" s="489"/>
      <c r="DM145" s="489"/>
      <c r="DN145" s="489"/>
      <c r="DO145" s="489"/>
      <c r="DP145" s="489"/>
      <c r="DQ145" s="489"/>
      <c r="DR145" s="489"/>
      <c r="DS145" s="489"/>
      <c r="DT145" s="489"/>
      <c r="DU145" s="489"/>
      <c r="DV145" s="489"/>
      <c r="DW145" s="489"/>
      <c r="DX145" s="489"/>
      <c r="DY145" s="489"/>
      <c r="DZ145" s="489"/>
      <c r="EA145" s="489"/>
      <c r="EB145" s="489"/>
      <c r="EC145" s="489"/>
      <c r="ED145" s="489"/>
      <c r="EE145" s="489"/>
      <c r="EF145" s="489"/>
      <c r="EG145" s="489"/>
      <c r="EH145" s="489"/>
      <c r="EI145" s="489"/>
      <c r="EJ145" s="489"/>
      <c r="EK145" s="489"/>
      <c r="EL145" s="489"/>
      <c r="EM145" s="489"/>
      <c r="EN145" s="489"/>
      <c r="EO145" s="489"/>
      <c r="EP145" s="489"/>
      <c r="EQ145" s="489"/>
      <c r="ER145" s="489"/>
      <c r="ES145" s="489"/>
      <c r="ET145" s="489"/>
      <c r="EU145" s="489"/>
      <c r="EV145" s="489"/>
      <c r="EW145" s="489"/>
      <c r="EX145" s="489"/>
      <c r="EY145" s="489"/>
      <c r="EZ145" s="489"/>
      <c r="FA145" s="489"/>
      <c r="FB145" s="489"/>
      <c r="FC145" s="489"/>
      <c r="FD145" s="489"/>
      <c r="FE145" s="489"/>
      <c r="FF145" s="489"/>
      <c r="FG145" s="489"/>
      <c r="FH145" s="489"/>
      <c r="FI145" s="489"/>
      <c r="FJ145" s="489"/>
      <c r="FK145" s="489"/>
      <c r="FL145" s="489"/>
      <c r="FM145" s="489"/>
      <c r="FN145" s="489"/>
      <c r="FO145" s="489"/>
      <c r="FP145" s="489"/>
      <c r="FQ145" s="489"/>
      <c r="FR145" s="489"/>
      <c r="FS145" s="489"/>
      <c r="FT145" s="489"/>
      <c r="FU145" s="489"/>
      <c r="FV145" s="489"/>
      <c r="FW145" s="489"/>
      <c r="FX145" s="489"/>
      <c r="FY145" s="489"/>
      <c r="FZ145" s="489"/>
      <c r="GA145" s="489"/>
      <c r="GB145" s="489"/>
      <c r="GC145" s="489"/>
      <c r="GD145" s="489"/>
      <c r="GE145" s="489"/>
      <c r="GF145" s="489"/>
      <c r="GG145" s="489"/>
      <c r="GH145" s="489"/>
      <c r="GI145" s="489"/>
      <c r="GJ145" s="489"/>
      <c r="GK145" s="489"/>
      <c r="GL145" s="489"/>
      <c r="GM145" s="489"/>
      <c r="GN145" s="489"/>
      <c r="GO145" s="489"/>
      <c r="GP145" s="489"/>
      <c r="GQ145" s="489"/>
      <c r="GR145" s="489"/>
      <c r="GS145" s="489"/>
      <c r="GT145" s="489"/>
      <c r="GU145" s="489"/>
      <c r="GV145" s="489"/>
      <c r="GW145" s="489"/>
      <c r="GX145" s="489"/>
      <c r="GY145" s="489"/>
      <c r="GZ145" s="489"/>
      <c r="HA145" s="489"/>
      <c r="HB145" s="489"/>
      <c r="HC145" s="489"/>
      <c r="HD145" s="489"/>
      <c r="HE145" s="489"/>
      <c r="HF145" s="489"/>
      <c r="HG145" s="489"/>
      <c r="HH145" s="489"/>
      <c r="HI145" s="489"/>
      <c r="HJ145" s="489"/>
      <c r="HK145" s="489"/>
      <c r="HL145" s="489"/>
      <c r="HM145" s="489"/>
      <c r="HN145" s="489"/>
      <c r="HO145" s="489"/>
      <c r="HP145" s="489"/>
      <c r="HQ145" s="489"/>
      <c r="HR145" s="489"/>
      <c r="HS145" s="489"/>
      <c r="HT145" s="489"/>
      <c r="HU145" s="489"/>
      <c r="HV145" s="489"/>
      <c r="HW145" s="489"/>
      <c r="HX145" s="487"/>
    </row>
    <row r="146" spans="1:232" s="637" customFormat="1" ht="19.5" customHeight="1">
      <c r="A146" s="885" t="s">
        <v>1027</v>
      </c>
      <c r="B146" s="1602" t="s">
        <v>1030</v>
      </c>
      <c r="C146" s="1602"/>
      <c r="D146" s="1602"/>
      <c r="E146" s="1602"/>
      <c r="F146" s="1602"/>
      <c r="G146" s="1602"/>
      <c r="H146" s="1602"/>
      <c r="I146" s="1602"/>
      <c r="J146" s="1602"/>
      <c r="K146" s="491"/>
      <c r="L146" s="477"/>
      <c r="M146" s="477"/>
      <c r="N146" s="492"/>
      <c r="O146" s="492"/>
      <c r="P146" s="492"/>
      <c r="Q146" s="492"/>
      <c r="R146" s="492"/>
      <c r="S146" s="492"/>
      <c r="T146" s="492"/>
      <c r="U146" s="489"/>
      <c r="V146" s="489"/>
      <c r="W146" s="489"/>
      <c r="X146" s="489"/>
      <c r="Y146" s="489"/>
      <c r="Z146" s="489"/>
      <c r="AA146" s="489"/>
      <c r="AB146" s="489"/>
      <c r="AC146" s="489"/>
      <c r="AD146" s="489"/>
      <c r="AE146" s="489"/>
      <c r="AF146" s="489"/>
      <c r="AG146" s="489"/>
      <c r="AH146" s="489"/>
      <c r="AI146" s="489"/>
      <c r="AJ146" s="489"/>
      <c r="AK146" s="489"/>
      <c r="AL146" s="489"/>
      <c r="AM146" s="489"/>
      <c r="AN146" s="489"/>
      <c r="AO146" s="489"/>
      <c r="AP146" s="489"/>
      <c r="AQ146" s="489"/>
      <c r="AR146" s="489"/>
      <c r="AS146" s="489"/>
      <c r="AT146" s="489"/>
      <c r="AU146" s="489"/>
      <c r="AV146" s="489"/>
      <c r="AW146" s="489"/>
      <c r="AX146" s="489"/>
      <c r="AY146" s="489"/>
      <c r="AZ146" s="489"/>
      <c r="BA146" s="489"/>
      <c r="BB146" s="489"/>
      <c r="BC146" s="489"/>
      <c r="BD146" s="489"/>
      <c r="BE146" s="489"/>
      <c r="BF146" s="489"/>
      <c r="BG146" s="489"/>
      <c r="BH146" s="489"/>
      <c r="BI146" s="489"/>
      <c r="BJ146" s="489"/>
      <c r="BK146" s="489"/>
      <c r="BL146" s="489"/>
      <c r="BM146" s="489"/>
      <c r="BN146" s="489"/>
      <c r="BO146" s="489"/>
      <c r="BP146" s="489"/>
      <c r="BQ146" s="489"/>
      <c r="BR146" s="489"/>
      <c r="BS146" s="489"/>
      <c r="BT146" s="489"/>
      <c r="BU146" s="489"/>
      <c r="BV146" s="489"/>
      <c r="BW146" s="489"/>
      <c r="BX146" s="489"/>
      <c r="BY146" s="489"/>
      <c r="BZ146" s="489"/>
      <c r="CA146" s="489"/>
      <c r="CB146" s="489"/>
      <c r="CC146" s="489"/>
      <c r="CD146" s="489"/>
      <c r="CE146" s="489"/>
      <c r="CF146" s="489"/>
      <c r="CG146" s="489"/>
      <c r="CH146" s="489"/>
      <c r="CI146" s="489"/>
      <c r="CJ146" s="489"/>
      <c r="CK146" s="489"/>
      <c r="CL146" s="489"/>
      <c r="CM146" s="489"/>
      <c r="CN146" s="489"/>
      <c r="CO146" s="489"/>
      <c r="CP146" s="489"/>
      <c r="CQ146" s="489"/>
      <c r="CR146" s="489"/>
      <c r="CS146" s="489"/>
      <c r="CT146" s="489"/>
      <c r="CU146" s="489"/>
      <c r="CV146" s="489"/>
      <c r="CW146" s="489"/>
      <c r="CX146" s="489"/>
      <c r="CY146" s="489"/>
      <c r="CZ146" s="489"/>
      <c r="DA146" s="489"/>
      <c r="DB146" s="489"/>
      <c r="DC146" s="489"/>
      <c r="DD146" s="489"/>
      <c r="DE146" s="489"/>
      <c r="DF146" s="489"/>
      <c r="DG146" s="489"/>
      <c r="DH146" s="489"/>
      <c r="DI146" s="489"/>
      <c r="DJ146" s="489"/>
      <c r="DK146" s="489"/>
      <c r="DL146" s="489"/>
      <c r="DM146" s="489"/>
      <c r="DN146" s="489"/>
      <c r="DO146" s="489"/>
      <c r="DP146" s="489"/>
      <c r="DQ146" s="489"/>
      <c r="DR146" s="489"/>
      <c r="DS146" s="489"/>
      <c r="DT146" s="489"/>
      <c r="DU146" s="489"/>
      <c r="DV146" s="489"/>
      <c r="DW146" s="489"/>
      <c r="DX146" s="489"/>
      <c r="DY146" s="489"/>
      <c r="DZ146" s="489"/>
      <c r="EA146" s="489"/>
      <c r="EB146" s="489"/>
      <c r="EC146" s="489"/>
      <c r="ED146" s="489"/>
      <c r="EE146" s="489"/>
      <c r="EF146" s="489"/>
      <c r="EG146" s="489"/>
      <c r="EH146" s="489"/>
      <c r="EI146" s="489"/>
      <c r="EJ146" s="489"/>
      <c r="EK146" s="489"/>
      <c r="EL146" s="489"/>
      <c r="EM146" s="489"/>
      <c r="EN146" s="489"/>
      <c r="EO146" s="489"/>
      <c r="EP146" s="489"/>
      <c r="EQ146" s="489"/>
      <c r="ER146" s="489"/>
      <c r="ES146" s="489"/>
      <c r="ET146" s="489"/>
      <c r="EU146" s="489"/>
      <c r="EV146" s="489"/>
      <c r="EW146" s="489"/>
      <c r="EX146" s="489"/>
      <c r="EY146" s="489"/>
      <c r="EZ146" s="489"/>
      <c r="FA146" s="489"/>
      <c r="FB146" s="489"/>
      <c r="FC146" s="489"/>
      <c r="FD146" s="489"/>
      <c r="FE146" s="489"/>
      <c r="FF146" s="489"/>
      <c r="FG146" s="489"/>
      <c r="FH146" s="489"/>
      <c r="FI146" s="489"/>
      <c r="FJ146" s="489"/>
      <c r="FK146" s="489"/>
      <c r="FL146" s="489"/>
      <c r="FM146" s="489"/>
      <c r="FN146" s="489"/>
      <c r="FO146" s="489"/>
      <c r="FP146" s="489"/>
      <c r="FQ146" s="489"/>
      <c r="FR146" s="489"/>
      <c r="FS146" s="489"/>
      <c r="FT146" s="489"/>
      <c r="FU146" s="489"/>
      <c r="FV146" s="489"/>
      <c r="FW146" s="489"/>
      <c r="FX146" s="489"/>
      <c r="FY146" s="489"/>
      <c r="FZ146" s="489"/>
      <c r="GA146" s="489"/>
      <c r="GB146" s="489"/>
      <c r="GC146" s="489"/>
      <c r="GD146" s="489"/>
      <c r="GE146" s="489"/>
      <c r="GF146" s="489"/>
      <c r="GG146" s="489"/>
      <c r="GH146" s="489"/>
      <c r="GI146" s="489"/>
      <c r="GJ146" s="489"/>
      <c r="GK146" s="489"/>
      <c r="GL146" s="489"/>
      <c r="GM146" s="489"/>
      <c r="GN146" s="489"/>
      <c r="GO146" s="489"/>
      <c r="GP146" s="489"/>
      <c r="GQ146" s="489"/>
      <c r="GR146" s="489"/>
      <c r="GS146" s="489"/>
      <c r="GT146" s="489"/>
      <c r="GU146" s="489"/>
      <c r="GV146" s="489"/>
      <c r="GW146" s="489"/>
      <c r="GX146" s="489"/>
      <c r="GY146" s="489"/>
      <c r="GZ146" s="489"/>
      <c r="HA146" s="489"/>
      <c r="HB146" s="489"/>
      <c r="HC146" s="489"/>
      <c r="HD146" s="489"/>
      <c r="HE146" s="489"/>
      <c r="HF146" s="489"/>
      <c r="HG146" s="489"/>
      <c r="HH146" s="489"/>
      <c r="HI146" s="489"/>
      <c r="HJ146" s="489"/>
      <c r="HK146" s="489"/>
      <c r="HL146" s="489"/>
      <c r="HM146" s="489"/>
      <c r="HN146" s="489"/>
      <c r="HO146" s="489"/>
      <c r="HP146" s="489"/>
      <c r="HQ146" s="489"/>
      <c r="HR146" s="489"/>
      <c r="HS146" s="489"/>
      <c r="HT146" s="489"/>
      <c r="HU146" s="489"/>
      <c r="HV146" s="489"/>
      <c r="HW146" s="489"/>
      <c r="HX146" s="487"/>
    </row>
    <row r="147" spans="1:232" s="637" customFormat="1" ht="19.5" customHeight="1">
      <c r="A147" s="885" t="s">
        <v>1027</v>
      </c>
      <c r="B147" s="1602" t="s">
        <v>1045</v>
      </c>
      <c r="C147" s="1602"/>
      <c r="D147" s="1602"/>
      <c r="E147" s="1602"/>
      <c r="F147" s="1602"/>
      <c r="G147" s="1602"/>
      <c r="H147" s="1602"/>
      <c r="I147" s="1602"/>
      <c r="J147" s="1602"/>
      <c r="K147" s="491"/>
      <c r="L147" s="477"/>
      <c r="M147" s="477"/>
      <c r="N147" s="492"/>
      <c r="O147" s="492"/>
      <c r="P147" s="492"/>
      <c r="Q147" s="492"/>
      <c r="R147" s="492"/>
      <c r="S147" s="492"/>
      <c r="T147" s="492"/>
      <c r="U147" s="489"/>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89"/>
      <c r="BH147" s="489"/>
      <c r="BI147" s="489"/>
      <c r="BJ147" s="489"/>
      <c r="BK147" s="489"/>
      <c r="BL147" s="489"/>
      <c r="BM147" s="489"/>
      <c r="BN147" s="489"/>
      <c r="BO147" s="489"/>
      <c r="BP147" s="489"/>
      <c r="BQ147" s="489"/>
      <c r="BR147" s="489"/>
      <c r="BS147" s="489"/>
      <c r="BT147" s="489"/>
      <c r="BU147" s="489"/>
      <c r="BV147" s="489"/>
      <c r="BW147" s="489"/>
      <c r="BX147" s="489"/>
      <c r="BY147" s="489"/>
      <c r="BZ147" s="489"/>
      <c r="CA147" s="489"/>
      <c r="CB147" s="489"/>
      <c r="CC147" s="489"/>
      <c r="CD147" s="489"/>
      <c r="CE147" s="489"/>
      <c r="CF147" s="489"/>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89"/>
      <c r="DN147" s="489"/>
      <c r="DO147" s="489"/>
      <c r="DP147" s="489"/>
      <c r="DQ147" s="489"/>
      <c r="DR147" s="489"/>
      <c r="DS147" s="489"/>
      <c r="DT147" s="489"/>
      <c r="DU147" s="489"/>
      <c r="DV147" s="489"/>
      <c r="DW147" s="489"/>
      <c r="DX147" s="489"/>
      <c r="DY147" s="489"/>
      <c r="DZ147" s="489"/>
      <c r="EA147" s="489"/>
      <c r="EB147" s="489"/>
      <c r="EC147" s="489"/>
      <c r="ED147" s="489"/>
      <c r="EE147" s="489"/>
      <c r="EF147" s="489"/>
      <c r="EG147" s="489"/>
      <c r="EH147" s="489"/>
      <c r="EI147" s="489"/>
      <c r="EJ147" s="489"/>
      <c r="EK147" s="489"/>
      <c r="EL147" s="489"/>
      <c r="EM147" s="489"/>
      <c r="EN147" s="489"/>
      <c r="EO147" s="489"/>
      <c r="EP147" s="489"/>
      <c r="EQ147" s="489"/>
      <c r="ER147" s="489"/>
      <c r="ES147" s="489"/>
      <c r="ET147" s="489"/>
      <c r="EU147" s="489"/>
      <c r="EV147" s="489"/>
      <c r="EW147" s="489"/>
      <c r="EX147" s="489"/>
      <c r="EY147" s="489"/>
      <c r="EZ147" s="489"/>
      <c r="FA147" s="489"/>
      <c r="FB147" s="489"/>
      <c r="FC147" s="489"/>
      <c r="FD147" s="489"/>
      <c r="FE147" s="489"/>
      <c r="FF147" s="489"/>
      <c r="FG147" s="489"/>
      <c r="FH147" s="489"/>
      <c r="FI147" s="489"/>
      <c r="FJ147" s="489"/>
      <c r="FK147" s="489"/>
      <c r="FL147" s="489"/>
      <c r="FM147" s="489"/>
      <c r="FN147" s="489"/>
      <c r="FO147" s="489"/>
      <c r="FP147" s="489"/>
      <c r="FQ147" s="489"/>
      <c r="FR147" s="489"/>
      <c r="FS147" s="489"/>
      <c r="FT147" s="489"/>
      <c r="FU147" s="489"/>
      <c r="FV147" s="489"/>
      <c r="FW147" s="489"/>
      <c r="FX147" s="489"/>
      <c r="FY147" s="489"/>
      <c r="FZ147" s="489"/>
      <c r="GA147" s="489"/>
      <c r="GB147" s="489"/>
      <c r="GC147" s="489"/>
      <c r="GD147" s="489"/>
      <c r="GE147" s="489"/>
      <c r="GF147" s="489"/>
      <c r="GG147" s="489"/>
      <c r="GH147" s="489"/>
      <c r="GI147" s="489"/>
      <c r="GJ147" s="489"/>
      <c r="GK147" s="489"/>
      <c r="GL147" s="489"/>
      <c r="GM147" s="489"/>
      <c r="GN147" s="489"/>
      <c r="GO147" s="489"/>
      <c r="GP147" s="489"/>
      <c r="GQ147" s="489"/>
      <c r="GR147" s="489"/>
      <c r="GS147" s="489"/>
      <c r="GT147" s="489"/>
      <c r="GU147" s="489"/>
      <c r="GV147" s="489"/>
      <c r="GW147" s="489"/>
      <c r="GX147" s="489"/>
      <c r="GY147" s="489"/>
      <c r="GZ147" s="489"/>
      <c r="HA147" s="489"/>
      <c r="HB147" s="489"/>
      <c r="HC147" s="489"/>
      <c r="HD147" s="489"/>
      <c r="HE147" s="489"/>
      <c r="HF147" s="489"/>
      <c r="HG147" s="489"/>
      <c r="HH147" s="489"/>
      <c r="HI147" s="489"/>
      <c r="HJ147" s="489"/>
      <c r="HK147" s="489"/>
      <c r="HL147" s="489"/>
      <c r="HM147" s="489"/>
      <c r="HN147" s="489"/>
      <c r="HO147" s="489"/>
      <c r="HP147" s="489"/>
      <c r="HQ147" s="489"/>
      <c r="HR147" s="489"/>
      <c r="HS147" s="489"/>
      <c r="HT147" s="489"/>
      <c r="HU147" s="489"/>
      <c r="HV147" s="489"/>
      <c r="HW147" s="489"/>
      <c r="HX147" s="487"/>
    </row>
    <row r="148" spans="1:232" s="637" customFormat="1" ht="19.5" customHeight="1">
      <c r="A148" s="885" t="s">
        <v>1027</v>
      </c>
      <c r="B148" s="917" t="str">
        <f>B35</f>
        <v>TCVN 5308 - 1991: Quy trình kỹ thuật an toàn trong xây dựng.</v>
      </c>
      <c r="C148" s="742"/>
      <c r="D148" s="742"/>
      <c r="E148" s="742"/>
      <c r="F148" s="742"/>
      <c r="G148" s="742"/>
      <c r="H148" s="742"/>
      <c r="I148" s="742"/>
      <c r="J148" s="742"/>
      <c r="K148" s="491"/>
      <c r="L148" s="477"/>
      <c r="M148" s="477"/>
      <c r="N148" s="492"/>
      <c r="O148" s="492"/>
      <c r="P148" s="492"/>
      <c r="Q148" s="492"/>
      <c r="R148" s="492"/>
      <c r="S148" s="492"/>
      <c r="T148" s="492"/>
      <c r="U148" s="489"/>
      <c r="V148" s="489"/>
      <c r="W148" s="489"/>
      <c r="X148" s="489"/>
      <c r="Y148" s="489"/>
      <c r="Z148" s="489"/>
      <c r="AA148" s="489"/>
      <c r="AB148" s="489"/>
      <c r="AC148" s="489"/>
      <c r="AD148" s="489"/>
      <c r="AE148" s="489"/>
      <c r="AF148" s="489"/>
      <c r="AG148" s="489"/>
      <c r="AH148" s="489"/>
      <c r="AI148" s="489"/>
      <c r="AJ148" s="489"/>
      <c r="AK148" s="489"/>
      <c r="AL148" s="489"/>
      <c r="AM148" s="489"/>
      <c r="AN148" s="489"/>
      <c r="AO148" s="489"/>
      <c r="AP148" s="489"/>
      <c r="AQ148" s="489"/>
      <c r="AR148" s="489"/>
      <c r="AS148" s="489"/>
      <c r="AT148" s="489"/>
      <c r="AU148" s="489"/>
      <c r="AV148" s="489"/>
      <c r="AW148" s="489"/>
      <c r="AX148" s="489"/>
      <c r="AY148" s="489"/>
      <c r="AZ148" s="489"/>
      <c r="BA148" s="489"/>
      <c r="BB148" s="489"/>
      <c r="BC148" s="489"/>
      <c r="BD148" s="489"/>
      <c r="BE148" s="489"/>
      <c r="BF148" s="489"/>
      <c r="BG148" s="489"/>
      <c r="BH148" s="489"/>
      <c r="BI148" s="489"/>
      <c r="BJ148" s="489"/>
      <c r="BK148" s="489"/>
      <c r="BL148" s="489"/>
      <c r="BM148" s="489"/>
      <c r="BN148" s="489"/>
      <c r="BO148" s="489"/>
      <c r="BP148" s="489"/>
      <c r="BQ148" s="489"/>
      <c r="BR148" s="489"/>
      <c r="BS148" s="489"/>
      <c r="BT148" s="489"/>
      <c r="BU148" s="489"/>
      <c r="BV148" s="489"/>
      <c r="BW148" s="489"/>
      <c r="BX148" s="489"/>
      <c r="BY148" s="489"/>
      <c r="BZ148" s="489"/>
      <c r="CA148" s="489"/>
      <c r="CB148" s="489"/>
      <c r="CC148" s="489"/>
      <c r="CD148" s="489"/>
      <c r="CE148" s="489"/>
      <c r="CF148" s="489"/>
      <c r="CG148" s="489"/>
      <c r="CH148" s="489"/>
      <c r="CI148" s="489"/>
      <c r="CJ148" s="489"/>
      <c r="CK148" s="489"/>
      <c r="CL148" s="489"/>
      <c r="CM148" s="489"/>
      <c r="CN148" s="489"/>
      <c r="CO148" s="489"/>
      <c r="CP148" s="489"/>
      <c r="CQ148" s="489"/>
      <c r="CR148" s="489"/>
      <c r="CS148" s="489"/>
      <c r="CT148" s="489"/>
      <c r="CU148" s="489"/>
      <c r="CV148" s="489"/>
      <c r="CW148" s="489"/>
      <c r="CX148" s="489"/>
      <c r="CY148" s="489"/>
      <c r="CZ148" s="489"/>
      <c r="DA148" s="489"/>
      <c r="DB148" s="489"/>
      <c r="DC148" s="489"/>
      <c r="DD148" s="489"/>
      <c r="DE148" s="489"/>
      <c r="DF148" s="489"/>
      <c r="DG148" s="489"/>
      <c r="DH148" s="489"/>
      <c r="DI148" s="489"/>
      <c r="DJ148" s="489"/>
      <c r="DK148" s="489"/>
      <c r="DL148" s="489"/>
      <c r="DM148" s="489"/>
      <c r="DN148" s="489"/>
      <c r="DO148" s="489"/>
      <c r="DP148" s="489"/>
      <c r="DQ148" s="489"/>
      <c r="DR148" s="489"/>
      <c r="DS148" s="489"/>
      <c r="DT148" s="489"/>
      <c r="DU148" s="489"/>
      <c r="DV148" s="489"/>
      <c r="DW148" s="489"/>
      <c r="DX148" s="489"/>
      <c r="DY148" s="489"/>
      <c r="DZ148" s="489"/>
      <c r="EA148" s="489"/>
      <c r="EB148" s="489"/>
      <c r="EC148" s="489"/>
      <c r="ED148" s="489"/>
      <c r="EE148" s="489"/>
      <c r="EF148" s="489"/>
      <c r="EG148" s="489"/>
      <c r="EH148" s="489"/>
      <c r="EI148" s="489"/>
      <c r="EJ148" s="489"/>
      <c r="EK148" s="489"/>
      <c r="EL148" s="489"/>
      <c r="EM148" s="489"/>
      <c r="EN148" s="489"/>
      <c r="EO148" s="489"/>
      <c r="EP148" s="489"/>
      <c r="EQ148" s="489"/>
      <c r="ER148" s="489"/>
      <c r="ES148" s="489"/>
      <c r="ET148" s="489"/>
      <c r="EU148" s="489"/>
      <c r="EV148" s="489"/>
      <c r="EW148" s="489"/>
      <c r="EX148" s="489"/>
      <c r="EY148" s="489"/>
      <c r="EZ148" s="489"/>
      <c r="FA148" s="489"/>
      <c r="FB148" s="489"/>
      <c r="FC148" s="489"/>
      <c r="FD148" s="489"/>
      <c r="FE148" s="489"/>
      <c r="FF148" s="489"/>
      <c r="FG148" s="489"/>
      <c r="FH148" s="489"/>
      <c r="FI148" s="489"/>
      <c r="FJ148" s="489"/>
      <c r="FK148" s="489"/>
      <c r="FL148" s="489"/>
      <c r="FM148" s="489"/>
      <c r="FN148" s="489"/>
      <c r="FO148" s="489"/>
      <c r="FP148" s="489"/>
      <c r="FQ148" s="489"/>
      <c r="FR148" s="489"/>
      <c r="FS148" s="489"/>
      <c r="FT148" s="489"/>
      <c r="FU148" s="489"/>
      <c r="FV148" s="489"/>
      <c r="FW148" s="489"/>
      <c r="FX148" s="489"/>
      <c r="FY148" s="489"/>
      <c r="FZ148" s="489"/>
      <c r="GA148" s="489"/>
      <c r="GB148" s="489"/>
      <c r="GC148" s="489"/>
      <c r="GD148" s="489"/>
      <c r="GE148" s="489"/>
      <c r="GF148" s="489"/>
      <c r="GG148" s="489"/>
      <c r="GH148" s="489"/>
      <c r="GI148" s="489"/>
      <c r="GJ148" s="489"/>
      <c r="GK148" s="489"/>
      <c r="GL148" s="489"/>
      <c r="GM148" s="489"/>
      <c r="GN148" s="489"/>
      <c r="GO148" s="489"/>
      <c r="GP148" s="489"/>
      <c r="GQ148" s="489"/>
      <c r="GR148" s="489"/>
      <c r="GS148" s="489"/>
      <c r="GT148" s="489"/>
      <c r="GU148" s="489"/>
      <c r="GV148" s="489"/>
      <c r="GW148" s="489"/>
      <c r="GX148" s="489"/>
      <c r="GY148" s="489"/>
      <c r="GZ148" s="489"/>
      <c r="HA148" s="489"/>
      <c r="HB148" s="489"/>
      <c r="HC148" s="489"/>
      <c r="HD148" s="489"/>
      <c r="HE148" s="489"/>
      <c r="HF148" s="489"/>
      <c r="HG148" s="489"/>
      <c r="HH148" s="489"/>
      <c r="HI148" s="489"/>
      <c r="HJ148" s="489"/>
      <c r="HK148" s="489"/>
      <c r="HL148" s="489"/>
      <c r="HM148" s="489"/>
      <c r="HN148" s="489"/>
      <c r="HO148" s="489"/>
      <c r="HP148" s="489"/>
      <c r="HQ148" s="489"/>
      <c r="HR148" s="489"/>
      <c r="HS148" s="489"/>
      <c r="HT148" s="489"/>
      <c r="HU148" s="489"/>
      <c r="HV148" s="489"/>
      <c r="HW148" s="489"/>
      <c r="HX148" s="487"/>
    </row>
    <row r="149" spans="1:232" s="637" customFormat="1" ht="20.100000000000001" customHeight="1">
      <c r="A149" s="886" t="s">
        <v>1031</v>
      </c>
      <c r="C149" s="491"/>
      <c r="D149" s="491"/>
      <c r="E149" s="491"/>
      <c r="F149" s="491"/>
      <c r="G149" s="491"/>
      <c r="H149" s="491"/>
      <c r="I149" s="491"/>
      <c r="J149" s="491"/>
      <c r="K149" s="491"/>
      <c r="L149" s="477"/>
      <c r="M149" s="477"/>
      <c r="N149" s="477"/>
      <c r="O149" s="477"/>
      <c r="P149" s="477"/>
      <c r="Q149" s="477"/>
      <c r="R149" s="477"/>
      <c r="S149" s="477"/>
      <c r="T149" s="492"/>
      <c r="U149" s="489"/>
      <c r="V149" s="489"/>
      <c r="W149" s="489"/>
      <c r="X149" s="489"/>
      <c r="Y149" s="489"/>
      <c r="Z149" s="489"/>
      <c r="AA149" s="489"/>
      <c r="AB149" s="489"/>
      <c r="AC149" s="489"/>
      <c r="AD149" s="489"/>
      <c r="AE149" s="489"/>
      <c r="AF149" s="489"/>
      <c r="AG149" s="489"/>
      <c r="AH149" s="489"/>
      <c r="AI149" s="489"/>
      <c r="AJ149" s="489"/>
      <c r="AK149" s="489"/>
      <c r="AL149" s="489"/>
      <c r="AM149" s="489"/>
      <c r="AN149" s="489"/>
      <c r="AO149" s="489"/>
      <c r="AP149" s="489"/>
      <c r="AQ149" s="489"/>
      <c r="AR149" s="489"/>
      <c r="AS149" s="489"/>
      <c r="AT149" s="489"/>
      <c r="AU149" s="489"/>
      <c r="AV149" s="489"/>
      <c r="AW149" s="489"/>
      <c r="AX149" s="489"/>
      <c r="AY149" s="489"/>
      <c r="AZ149" s="489"/>
      <c r="BA149" s="489"/>
      <c r="BB149" s="489"/>
      <c r="BC149" s="489"/>
      <c r="BD149" s="489"/>
      <c r="BE149" s="489"/>
      <c r="BF149" s="489"/>
      <c r="BG149" s="489"/>
      <c r="BH149" s="489"/>
      <c r="BI149" s="489"/>
      <c r="BJ149" s="489"/>
      <c r="BK149" s="489"/>
      <c r="BL149" s="489"/>
      <c r="BM149" s="489"/>
      <c r="BN149" s="489"/>
      <c r="BO149" s="489"/>
      <c r="BP149" s="489"/>
      <c r="BQ149" s="489"/>
      <c r="BR149" s="489"/>
      <c r="BS149" s="489"/>
      <c r="BT149" s="489"/>
      <c r="BU149" s="489"/>
      <c r="BV149" s="489"/>
      <c r="BW149" s="489"/>
      <c r="BX149" s="489"/>
      <c r="BY149" s="489"/>
      <c r="BZ149" s="489"/>
      <c r="CA149" s="489"/>
      <c r="CB149" s="489"/>
      <c r="CC149" s="489"/>
      <c r="CD149" s="489"/>
      <c r="CE149" s="489"/>
      <c r="CF149" s="489"/>
      <c r="CG149" s="489"/>
      <c r="CH149" s="489"/>
      <c r="CI149" s="489"/>
      <c r="CJ149" s="489"/>
      <c r="CK149" s="489"/>
      <c r="CL149" s="489"/>
      <c r="CM149" s="489"/>
      <c r="CN149" s="489"/>
      <c r="CO149" s="489"/>
      <c r="CP149" s="489"/>
      <c r="CQ149" s="489"/>
      <c r="CR149" s="489"/>
      <c r="CS149" s="489"/>
      <c r="CT149" s="489"/>
      <c r="CU149" s="489"/>
      <c r="CV149" s="489"/>
      <c r="CW149" s="489"/>
      <c r="CX149" s="489"/>
      <c r="CY149" s="489"/>
      <c r="CZ149" s="489"/>
      <c r="DA149" s="489"/>
      <c r="DB149" s="489"/>
      <c r="DC149" s="489"/>
      <c r="DD149" s="489"/>
      <c r="DE149" s="489"/>
      <c r="DF149" s="489"/>
      <c r="DG149" s="489"/>
      <c r="DH149" s="489"/>
      <c r="DI149" s="489"/>
      <c r="DJ149" s="489"/>
      <c r="DK149" s="489"/>
      <c r="DL149" s="489"/>
      <c r="DM149" s="489"/>
      <c r="DN149" s="489"/>
      <c r="DO149" s="489"/>
      <c r="DP149" s="489"/>
      <c r="DQ149" s="489"/>
      <c r="DR149" s="489"/>
      <c r="DS149" s="489"/>
      <c r="DT149" s="489"/>
      <c r="DU149" s="489"/>
      <c r="DV149" s="489"/>
      <c r="DW149" s="489"/>
      <c r="DX149" s="489"/>
      <c r="DY149" s="489"/>
      <c r="DZ149" s="489"/>
      <c r="EA149" s="489"/>
      <c r="EB149" s="489"/>
      <c r="EC149" s="489"/>
      <c r="ED149" s="489"/>
      <c r="EE149" s="489"/>
      <c r="EF149" s="489"/>
      <c r="EG149" s="489"/>
      <c r="EH149" s="489"/>
      <c r="EI149" s="489"/>
      <c r="EJ149" s="489"/>
      <c r="EK149" s="489"/>
      <c r="EL149" s="489"/>
      <c r="EM149" s="489"/>
      <c r="EN149" s="489"/>
      <c r="EO149" s="489"/>
      <c r="EP149" s="489"/>
      <c r="EQ149" s="489"/>
      <c r="ER149" s="489"/>
      <c r="ES149" s="489"/>
      <c r="ET149" s="489"/>
      <c r="EU149" s="489"/>
      <c r="EV149" s="489"/>
      <c r="EW149" s="489"/>
      <c r="EX149" s="489"/>
      <c r="EY149" s="489"/>
      <c r="EZ149" s="489"/>
      <c r="FA149" s="489"/>
      <c r="FB149" s="489"/>
      <c r="FC149" s="489"/>
      <c r="FD149" s="489"/>
      <c r="FE149" s="489"/>
      <c r="FF149" s="489"/>
      <c r="FG149" s="489"/>
      <c r="FH149" s="489"/>
      <c r="FI149" s="489"/>
      <c r="FJ149" s="489"/>
      <c r="FK149" s="489"/>
      <c r="FL149" s="489"/>
      <c r="FM149" s="489"/>
      <c r="FN149" s="489"/>
      <c r="FO149" s="489"/>
      <c r="FP149" s="489"/>
      <c r="FQ149" s="489"/>
      <c r="FR149" s="489"/>
      <c r="FS149" s="489"/>
      <c r="FT149" s="489"/>
      <c r="FU149" s="489"/>
      <c r="FV149" s="489"/>
      <c r="FW149" s="489"/>
      <c r="FX149" s="489"/>
      <c r="FY149" s="489"/>
      <c r="FZ149" s="489"/>
      <c r="GA149" s="489"/>
      <c r="GB149" s="489"/>
      <c r="GC149" s="489"/>
      <c r="GD149" s="489"/>
      <c r="GE149" s="489"/>
      <c r="GF149" s="489"/>
      <c r="GG149" s="489"/>
      <c r="GH149" s="489"/>
      <c r="GI149" s="489"/>
      <c r="GJ149" s="489"/>
      <c r="GK149" s="489"/>
      <c r="GL149" s="489"/>
      <c r="GM149" s="489"/>
      <c r="GN149" s="489"/>
      <c r="GO149" s="489"/>
      <c r="GP149" s="489"/>
      <c r="GQ149" s="489"/>
      <c r="GR149" s="489"/>
      <c r="GS149" s="489"/>
      <c r="GT149" s="489"/>
      <c r="GU149" s="489"/>
      <c r="GV149" s="489"/>
      <c r="GW149" s="489"/>
      <c r="GX149" s="489"/>
      <c r="GY149" s="489"/>
      <c r="GZ149" s="489"/>
      <c r="HA149" s="489"/>
      <c r="HB149" s="489"/>
      <c r="HC149" s="489"/>
      <c r="HD149" s="489"/>
      <c r="HE149" s="489"/>
      <c r="HF149" s="489"/>
      <c r="HG149" s="489"/>
      <c r="HH149" s="489"/>
      <c r="HI149" s="489"/>
      <c r="HJ149" s="489"/>
      <c r="HK149" s="489"/>
      <c r="HL149" s="489"/>
      <c r="HM149" s="489"/>
      <c r="HN149" s="489"/>
      <c r="HO149" s="489"/>
      <c r="HP149" s="489"/>
      <c r="HQ149" s="489"/>
      <c r="HR149" s="489"/>
      <c r="HS149" s="489"/>
      <c r="HT149" s="489"/>
      <c r="HU149" s="489"/>
      <c r="HV149" s="489"/>
      <c r="HW149" s="489"/>
      <c r="HX149" s="487"/>
    </row>
    <row r="150" spans="1:232" s="637" customFormat="1" ht="20.100000000000001" customHeight="1">
      <c r="A150" s="890" t="s">
        <v>1037</v>
      </c>
      <c r="B150" s="491"/>
      <c r="C150" s="491"/>
      <c r="D150" s="491"/>
      <c r="E150" s="491"/>
      <c r="F150" s="491"/>
      <c r="G150" s="491"/>
      <c r="H150" s="491"/>
      <c r="I150" s="491"/>
      <c r="J150" s="491"/>
      <c r="K150" s="491"/>
      <c r="L150" s="477"/>
      <c r="M150" s="477"/>
      <c r="N150" s="477"/>
      <c r="O150" s="477"/>
      <c r="P150" s="477"/>
      <c r="Q150" s="477"/>
      <c r="R150" s="477"/>
      <c r="S150" s="477"/>
      <c r="T150" s="492"/>
      <c r="U150" s="489"/>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7"/>
    </row>
    <row r="151" spans="1:232" s="45" customFormat="1" ht="20.100000000000001" customHeight="1">
      <c r="A151" s="493" t="s">
        <v>1040</v>
      </c>
      <c r="B151" s="489"/>
      <c r="C151" s="489"/>
      <c r="D151" s="489"/>
      <c r="E151" s="489"/>
      <c r="F151" s="489"/>
      <c r="G151" s="489"/>
      <c r="H151" s="489"/>
      <c r="I151" s="489"/>
      <c r="J151" s="489"/>
      <c r="K151" s="489"/>
      <c r="L151" s="494"/>
      <c r="M151" s="494"/>
      <c r="N151" s="492"/>
      <c r="O151" s="492"/>
      <c r="P151" s="492"/>
      <c r="Q151" s="492"/>
      <c r="R151" s="492"/>
      <c r="S151" s="492"/>
      <c r="T151" s="495"/>
      <c r="U151" s="496"/>
      <c r="V151" s="496"/>
      <c r="W151" s="496"/>
      <c r="X151" s="496"/>
      <c r="Y151" s="496"/>
      <c r="Z151" s="496"/>
      <c r="AA151" s="496"/>
      <c r="AB151" s="496"/>
      <c r="AC151" s="496"/>
      <c r="AD151" s="496"/>
      <c r="AE151" s="496"/>
      <c r="AF151" s="496"/>
      <c r="AG151" s="496"/>
      <c r="AH151" s="496"/>
      <c r="AI151" s="496"/>
      <c r="AJ151" s="496"/>
      <c r="AK151" s="496"/>
      <c r="AL151" s="496"/>
      <c r="AM151" s="496"/>
      <c r="AN151" s="496"/>
      <c r="AO151" s="496"/>
      <c r="AP151" s="496"/>
      <c r="AQ151" s="496"/>
      <c r="AR151" s="496"/>
      <c r="AS151" s="496"/>
      <c r="AT151" s="496"/>
      <c r="AU151" s="496"/>
      <c r="AV151" s="496"/>
      <c r="AW151" s="496"/>
      <c r="AX151" s="496"/>
      <c r="AY151" s="496"/>
      <c r="AZ151" s="496"/>
      <c r="BA151" s="496"/>
      <c r="BB151" s="496"/>
      <c r="BC151" s="496"/>
      <c r="BD151" s="496"/>
      <c r="BE151" s="496"/>
      <c r="BF151" s="496"/>
      <c r="BG151" s="496"/>
      <c r="BH151" s="496"/>
      <c r="BI151" s="496"/>
      <c r="BJ151" s="496"/>
      <c r="BK151" s="496"/>
      <c r="BL151" s="496"/>
      <c r="BM151" s="496"/>
      <c r="BN151" s="496"/>
      <c r="BO151" s="496"/>
      <c r="BP151" s="496"/>
      <c r="BQ151" s="496"/>
      <c r="BR151" s="496"/>
      <c r="BS151" s="496"/>
      <c r="BT151" s="496"/>
      <c r="BU151" s="496"/>
      <c r="BV151" s="496"/>
      <c r="BW151" s="496"/>
      <c r="BX151" s="496"/>
      <c r="BY151" s="496"/>
      <c r="BZ151" s="496"/>
      <c r="CA151" s="496"/>
      <c r="CB151" s="496"/>
      <c r="CC151" s="496"/>
      <c r="CD151" s="496"/>
      <c r="CE151" s="496"/>
      <c r="CF151" s="496"/>
      <c r="CG151" s="496"/>
      <c r="CH151" s="496"/>
      <c r="CI151" s="496"/>
      <c r="CJ151" s="496"/>
      <c r="CK151" s="496"/>
      <c r="CL151" s="496"/>
      <c r="CM151" s="496"/>
      <c r="CN151" s="496"/>
      <c r="CO151" s="496"/>
      <c r="CP151" s="496"/>
      <c r="CQ151" s="496"/>
      <c r="CR151" s="496"/>
      <c r="CS151" s="496"/>
      <c r="CT151" s="496"/>
      <c r="CU151" s="496"/>
      <c r="CV151" s="496"/>
      <c r="CW151" s="496"/>
      <c r="CX151" s="496"/>
      <c r="CY151" s="496"/>
      <c r="CZ151" s="496"/>
      <c r="DA151" s="496"/>
      <c r="DB151" s="496"/>
      <c r="DC151" s="496"/>
      <c r="DD151" s="496"/>
      <c r="DE151" s="496"/>
      <c r="DF151" s="496"/>
      <c r="DG151" s="496"/>
      <c r="DH151" s="496"/>
      <c r="DI151" s="496"/>
      <c r="DJ151" s="496"/>
      <c r="DK151" s="496"/>
      <c r="DL151" s="496"/>
      <c r="DM151" s="496"/>
      <c r="DN151" s="496"/>
      <c r="DO151" s="496"/>
      <c r="DP151" s="496"/>
      <c r="DQ151" s="496"/>
      <c r="DR151" s="496"/>
      <c r="DS151" s="496"/>
      <c r="DT151" s="496"/>
      <c r="DU151" s="496"/>
      <c r="DV151" s="496"/>
      <c r="DW151" s="496"/>
      <c r="DX151" s="496"/>
      <c r="DY151" s="496"/>
      <c r="DZ151" s="496"/>
      <c r="EA151" s="496"/>
      <c r="EB151" s="496"/>
      <c r="EC151" s="496"/>
      <c r="ED151" s="496"/>
      <c r="EE151" s="496"/>
      <c r="EF151" s="496"/>
      <c r="EG151" s="496"/>
      <c r="EH151" s="496"/>
      <c r="EI151" s="496"/>
      <c r="EJ151" s="496"/>
      <c r="EK151" s="496"/>
      <c r="EL151" s="496"/>
      <c r="EM151" s="496"/>
      <c r="EN151" s="496"/>
      <c r="EO151" s="496"/>
      <c r="EP151" s="496"/>
      <c r="EQ151" s="496"/>
      <c r="ER151" s="496"/>
      <c r="ES151" s="496"/>
      <c r="ET151" s="496"/>
      <c r="EU151" s="496"/>
      <c r="EV151" s="496"/>
      <c r="EW151" s="496"/>
      <c r="EX151" s="496"/>
      <c r="EY151" s="496"/>
      <c r="EZ151" s="496"/>
      <c r="FA151" s="496"/>
      <c r="FB151" s="496"/>
      <c r="FC151" s="496"/>
      <c r="FD151" s="496"/>
      <c r="FE151" s="496"/>
      <c r="FF151" s="496"/>
      <c r="FG151" s="496"/>
      <c r="FH151" s="496"/>
      <c r="FI151" s="496"/>
      <c r="FJ151" s="496"/>
      <c r="FK151" s="496"/>
      <c r="FL151" s="496"/>
      <c r="FM151" s="496"/>
      <c r="FN151" s="496"/>
      <c r="FO151" s="496"/>
      <c r="FP151" s="496"/>
      <c r="FQ151" s="496"/>
      <c r="FR151" s="496"/>
      <c r="FS151" s="496"/>
      <c r="FT151" s="496"/>
      <c r="FU151" s="496"/>
      <c r="FV151" s="496"/>
      <c r="FW151" s="496"/>
      <c r="FX151" s="496"/>
      <c r="FY151" s="496"/>
      <c r="FZ151" s="496"/>
      <c r="GA151" s="496"/>
      <c r="GB151" s="496"/>
      <c r="GC151" s="496"/>
      <c r="GD151" s="496"/>
      <c r="GE151" s="496"/>
      <c r="GF151" s="496"/>
      <c r="GG151" s="496"/>
      <c r="GH151" s="496"/>
      <c r="GI151" s="496"/>
      <c r="GJ151" s="496"/>
      <c r="GK151" s="496"/>
      <c r="GL151" s="496"/>
      <c r="GM151" s="496"/>
      <c r="GN151" s="496"/>
      <c r="GO151" s="496"/>
      <c r="GP151" s="496"/>
      <c r="GQ151" s="496"/>
      <c r="GR151" s="496"/>
      <c r="GS151" s="496"/>
      <c r="GT151" s="496"/>
      <c r="GU151" s="496"/>
      <c r="GV151" s="496"/>
      <c r="GW151" s="496"/>
      <c r="GX151" s="496"/>
      <c r="GY151" s="496"/>
      <c r="GZ151" s="496"/>
      <c r="HA151" s="496"/>
      <c r="HB151" s="496"/>
      <c r="HC151" s="496"/>
      <c r="HD151" s="496"/>
      <c r="HE151" s="496"/>
      <c r="HF151" s="496"/>
      <c r="HG151" s="496"/>
      <c r="HH151" s="496"/>
      <c r="HI151" s="496"/>
      <c r="HJ151" s="496"/>
      <c r="HK151" s="496"/>
      <c r="HL151" s="496"/>
      <c r="HM151" s="496"/>
      <c r="HN151" s="496"/>
      <c r="HO151" s="496"/>
      <c r="HP151" s="496"/>
      <c r="HQ151" s="496"/>
      <c r="HR151" s="496"/>
      <c r="HS151" s="496"/>
      <c r="HT151" s="496"/>
      <c r="HU151" s="496"/>
      <c r="HV151" s="496"/>
      <c r="HW151" s="490"/>
      <c r="HX151" s="490"/>
    </row>
    <row r="152" spans="1:232" s="5" customFormat="1" ht="20.100000000000001" customHeight="1">
      <c r="A152" s="497" t="str">
        <f>'7.BBKT-  TĐC'!A154</f>
        <v>-   Biện pháp thi công được phê duyệt.</v>
      </c>
      <c r="B152" s="498"/>
      <c r="C152" s="498"/>
      <c r="D152" s="498"/>
      <c r="E152" s="498"/>
      <c r="F152" s="498"/>
      <c r="G152" s="498"/>
      <c r="H152" s="498"/>
      <c r="I152" s="498"/>
      <c r="J152" s="498"/>
      <c r="K152" s="498"/>
      <c r="L152" s="494"/>
      <c r="M152" s="494"/>
      <c r="N152" s="495"/>
      <c r="O152" s="495"/>
      <c r="P152" s="495"/>
      <c r="Q152" s="495"/>
      <c r="R152" s="495"/>
      <c r="S152" s="495"/>
      <c r="T152" s="495"/>
      <c r="U152" s="489"/>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358"/>
    </row>
    <row r="153" spans="1:232" s="5" customFormat="1" ht="20.100000000000001" customHeight="1">
      <c r="A153" s="497" t="s">
        <v>863</v>
      </c>
      <c r="B153" s="498"/>
      <c r="C153" s="498"/>
      <c r="D153" s="498"/>
      <c r="E153" s="498"/>
      <c r="F153" s="498"/>
      <c r="G153" s="498"/>
      <c r="H153" s="498"/>
      <c r="I153" s="498"/>
      <c r="J153" s="498"/>
      <c r="K153" s="498"/>
      <c r="L153" s="494"/>
      <c r="M153" s="494"/>
      <c r="N153" s="495"/>
      <c r="O153" s="495"/>
      <c r="P153" s="495"/>
      <c r="Q153" s="495"/>
      <c r="R153" s="495"/>
      <c r="S153" s="495"/>
      <c r="T153" s="495"/>
      <c r="U153" s="499"/>
      <c r="V153" s="499"/>
      <c r="W153" s="499"/>
      <c r="X153" s="499"/>
      <c r="Y153" s="499"/>
      <c r="Z153" s="499"/>
      <c r="AA153" s="499"/>
      <c r="AB153" s="499"/>
      <c r="AC153" s="499"/>
      <c r="AD153" s="499"/>
      <c r="AE153" s="499"/>
      <c r="AF153" s="499"/>
      <c r="AG153" s="499"/>
      <c r="AH153" s="499"/>
      <c r="AI153" s="499"/>
      <c r="AJ153" s="499"/>
      <c r="AK153" s="499"/>
      <c r="AL153" s="499"/>
      <c r="AM153" s="499"/>
      <c r="AN153" s="499"/>
      <c r="AO153" s="499"/>
      <c r="AP153" s="499"/>
      <c r="AQ153" s="499"/>
      <c r="AR153" s="499"/>
      <c r="AS153" s="499"/>
      <c r="AT153" s="499"/>
      <c r="AU153" s="499"/>
      <c r="AV153" s="499"/>
      <c r="AW153" s="499"/>
      <c r="AX153" s="499"/>
      <c r="AY153" s="499"/>
      <c r="AZ153" s="499"/>
      <c r="BA153" s="499"/>
      <c r="BB153" s="499"/>
      <c r="BC153" s="499"/>
      <c r="BD153" s="499"/>
      <c r="BE153" s="499"/>
      <c r="BF153" s="499"/>
      <c r="BG153" s="499"/>
      <c r="BH153" s="499"/>
      <c r="BI153" s="499"/>
      <c r="BJ153" s="499"/>
      <c r="BK153" s="499"/>
      <c r="BL153" s="499"/>
      <c r="BM153" s="499"/>
      <c r="BN153" s="499"/>
      <c r="BO153" s="499"/>
      <c r="BP153" s="499"/>
      <c r="BQ153" s="499"/>
      <c r="BR153" s="499"/>
      <c r="BS153" s="499"/>
      <c r="BT153" s="499"/>
      <c r="BU153" s="499"/>
      <c r="BV153" s="499"/>
      <c r="BW153" s="499"/>
      <c r="BX153" s="499"/>
      <c r="BY153" s="499"/>
      <c r="BZ153" s="499"/>
      <c r="CA153" s="499"/>
      <c r="CB153" s="499"/>
      <c r="CC153" s="499"/>
      <c r="CD153" s="499"/>
      <c r="CE153" s="499"/>
      <c r="CF153" s="499"/>
      <c r="CG153" s="499"/>
      <c r="CH153" s="499"/>
      <c r="CI153" s="499"/>
      <c r="CJ153" s="499"/>
      <c r="CK153" s="499"/>
      <c r="CL153" s="499"/>
      <c r="CM153" s="499"/>
      <c r="CN153" s="499"/>
      <c r="CO153" s="499"/>
      <c r="CP153" s="499"/>
      <c r="CQ153" s="499"/>
      <c r="CR153" s="499"/>
      <c r="CS153" s="499"/>
      <c r="CT153" s="499"/>
      <c r="CU153" s="499"/>
      <c r="CV153" s="499"/>
      <c r="CW153" s="499"/>
      <c r="CX153" s="499"/>
      <c r="CY153" s="499"/>
      <c r="CZ153" s="499"/>
      <c r="DA153" s="499"/>
      <c r="DB153" s="499"/>
      <c r="DC153" s="499"/>
      <c r="DD153" s="499"/>
      <c r="DE153" s="499"/>
      <c r="DF153" s="499"/>
      <c r="DG153" s="499"/>
      <c r="DH153" s="499"/>
      <c r="DI153" s="499"/>
      <c r="DJ153" s="499"/>
      <c r="DK153" s="499"/>
      <c r="DL153" s="499"/>
      <c r="DM153" s="499"/>
      <c r="DN153" s="499"/>
      <c r="DO153" s="499"/>
      <c r="DP153" s="499"/>
      <c r="DQ153" s="499"/>
      <c r="DR153" s="499"/>
      <c r="DS153" s="499"/>
      <c r="DT153" s="499"/>
      <c r="DU153" s="499"/>
      <c r="DV153" s="499"/>
      <c r="DW153" s="499"/>
      <c r="DX153" s="499"/>
      <c r="DY153" s="499"/>
      <c r="DZ153" s="499"/>
      <c r="EA153" s="499"/>
      <c r="EB153" s="499"/>
      <c r="EC153" s="499"/>
      <c r="ED153" s="499"/>
      <c r="EE153" s="499"/>
      <c r="EF153" s="499"/>
      <c r="EG153" s="499"/>
      <c r="EH153" s="499"/>
      <c r="EI153" s="499"/>
      <c r="EJ153" s="499"/>
      <c r="EK153" s="499"/>
      <c r="EL153" s="499"/>
      <c r="EM153" s="499"/>
      <c r="EN153" s="499"/>
      <c r="EO153" s="499"/>
      <c r="EP153" s="499"/>
      <c r="EQ153" s="499"/>
      <c r="ER153" s="499"/>
      <c r="ES153" s="499"/>
      <c r="ET153" s="499"/>
      <c r="EU153" s="499"/>
      <c r="EV153" s="499"/>
      <c r="EW153" s="499"/>
      <c r="EX153" s="499"/>
      <c r="EY153" s="499"/>
      <c r="EZ153" s="499"/>
      <c r="FA153" s="499"/>
      <c r="FB153" s="499"/>
      <c r="FC153" s="499"/>
      <c r="FD153" s="499"/>
      <c r="FE153" s="499"/>
      <c r="FF153" s="499"/>
      <c r="FG153" s="499"/>
      <c r="FH153" s="499"/>
      <c r="FI153" s="499"/>
      <c r="FJ153" s="499"/>
      <c r="FK153" s="499"/>
      <c r="FL153" s="499"/>
      <c r="FM153" s="499"/>
      <c r="FN153" s="499"/>
      <c r="FO153" s="499"/>
      <c r="FP153" s="499"/>
      <c r="FQ153" s="499"/>
      <c r="FR153" s="499"/>
      <c r="FS153" s="499"/>
      <c r="FT153" s="499"/>
      <c r="FU153" s="499"/>
      <c r="FV153" s="499"/>
      <c r="FW153" s="499"/>
      <c r="FX153" s="499"/>
      <c r="FY153" s="499"/>
      <c r="FZ153" s="499"/>
      <c r="GA153" s="499"/>
      <c r="GB153" s="499"/>
      <c r="GC153" s="499"/>
      <c r="GD153" s="499"/>
      <c r="GE153" s="499"/>
      <c r="GF153" s="499"/>
      <c r="GG153" s="499"/>
      <c r="GH153" s="499"/>
      <c r="GI153" s="499"/>
      <c r="GJ153" s="499"/>
      <c r="GK153" s="499"/>
      <c r="GL153" s="499"/>
      <c r="GM153" s="499"/>
      <c r="GN153" s="499"/>
      <c r="GO153" s="499"/>
      <c r="GP153" s="499"/>
      <c r="GQ153" s="499"/>
      <c r="GR153" s="499"/>
      <c r="GS153" s="499"/>
      <c r="GT153" s="499"/>
      <c r="GU153" s="499"/>
      <c r="GV153" s="499"/>
      <c r="GW153" s="499"/>
      <c r="GX153" s="499"/>
      <c r="GY153" s="499"/>
      <c r="GZ153" s="499"/>
      <c r="HA153" s="499"/>
      <c r="HB153" s="499"/>
      <c r="HC153" s="499"/>
      <c r="HD153" s="499"/>
      <c r="HE153" s="499"/>
      <c r="HF153" s="499"/>
      <c r="HG153" s="499"/>
      <c r="HH153" s="499"/>
      <c r="HI153" s="499"/>
      <c r="HJ153" s="499"/>
      <c r="HK153" s="499"/>
      <c r="HL153" s="499"/>
      <c r="HM153" s="499"/>
      <c r="HN153" s="499"/>
      <c r="HO153" s="499"/>
      <c r="HP153" s="499"/>
      <c r="HQ153" s="499"/>
      <c r="HR153" s="499"/>
      <c r="HS153" s="499"/>
      <c r="HT153" s="499"/>
      <c r="HU153" s="499"/>
      <c r="HV153" s="499"/>
      <c r="HW153" s="499"/>
      <c r="HX153" s="358"/>
    </row>
    <row r="154" spans="1:232" ht="38.25" customHeight="1">
      <c r="A154" s="1607" t="s">
        <v>112</v>
      </c>
      <c r="B154" s="1607"/>
      <c r="C154" s="1607"/>
      <c r="D154" s="1607"/>
      <c r="E154" s="1607"/>
      <c r="F154" s="1607"/>
      <c r="G154" s="1607"/>
      <c r="H154" s="1607"/>
      <c r="I154" s="1607"/>
      <c r="J154" s="1607"/>
      <c r="N154" s="495"/>
      <c r="O154" s="495"/>
      <c r="P154" s="495"/>
      <c r="Q154" s="495"/>
      <c r="R154" s="495"/>
      <c r="S154" s="495"/>
    </row>
    <row r="155" spans="1:232" ht="20.100000000000001" customHeight="1">
      <c r="A155" s="1608" t="str">
        <f>'7.BBKT-  TĐC'!A157:J157</f>
        <v>-   Biên bản nghiệm thu nội bộ của nhà thầu.</v>
      </c>
      <c r="B155" s="1607"/>
      <c r="C155" s="1607"/>
      <c r="D155" s="1607"/>
      <c r="E155" s="1607"/>
      <c r="F155" s="1607"/>
      <c r="G155" s="1607"/>
      <c r="H155" s="1607"/>
      <c r="I155" s="1607"/>
      <c r="J155" s="1607"/>
    </row>
    <row r="156" spans="1:232" ht="20.100000000000001" customHeight="1">
      <c r="A156" s="1604" t="s">
        <v>864</v>
      </c>
      <c r="B156" s="1604"/>
      <c r="C156" s="1604"/>
      <c r="D156" s="1604"/>
      <c r="E156" s="1604"/>
      <c r="F156" s="1604"/>
      <c r="G156" s="1604"/>
      <c r="H156" s="1604"/>
      <c r="I156" s="1604"/>
      <c r="J156" s="1604"/>
    </row>
    <row r="157" spans="1:232" s="5" customFormat="1" ht="20.100000000000001" customHeight="1">
      <c r="A157" s="500" t="s">
        <v>1032</v>
      </c>
      <c r="C157" s="501"/>
      <c r="D157" s="501"/>
      <c r="E157" s="501"/>
      <c r="F157" s="501"/>
      <c r="G157" s="501"/>
      <c r="H157" s="501"/>
      <c r="I157" s="501"/>
      <c r="J157" s="502"/>
      <c r="K157" s="502"/>
      <c r="L157" s="494"/>
      <c r="M157" s="494"/>
      <c r="N157" s="464"/>
      <c r="O157" s="464"/>
      <c r="P157" s="464"/>
      <c r="Q157" s="464"/>
      <c r="R157" s="464"/>
      <c r="S157" s="464"/>
      <c r="T157" s="495"/>
      <c r="U157" s="499"/>
      <c r="V157" s="499"/>
      <c r="W157" s="499"/>
      <c r="X157" s="499"/>
      <c r="Y157" s="499"/>
      <c r="Z157" s="499"/>
      <c r="AA157" s="499"/>
      <c r="AB157" s="499"/>
      <c r="AC157" s="499"/>
      <c r="AD157" s="499"/>
      <c r="AE157" s="499"/>
      <c r="AF157" s="499"/>
      <c r="AG157" s="499"/>
      <c r="AH157" s="499"/>
      <c r="AI157" s="499"/>
      <c r="AJ157" s="499"/>
      <c r="AK157" s="499"/>
      <c r="AL157" s="499"/>
      <c r="AM157" s="499"/>
      <c r="AN157" s="499"/>
      <c r="AO157" s="499"/>
      <c r="AP157" s="499"/>
      <c r="AQ157" s="499"/>
      <c r="AR157" s="499"/>
      <c r="AS157" s="499"/>
      <c r="AT157" s="499"/>
      <c r="AU157" s="499"/>
      <c r="AV157" s="499"/>
      <c r="AW157" s="499"/>
      <c r="AX157" s="499"/>
      <c r="AY157" s="499"/>
      <c r="AZ157" s="499"/>
      <c r="BA157" s="499"/>
      <c r="BB157" s="499"/>
      <c r="BC157" s="499"/>
      <c r="BD157" s="499"/>
      <c r="BE157" s="499"/>
      <c r="BF157" s="499"/>
      <c r="BG157" s="499"/>
      <c r="BH157" s="499"/>
      <c r="BI157" s="499"/>
      <c r="BJ157" s="499"/>
      <c r="BK157" s="499"/>
      <c r="BL157" s="499"/>
      <c r="BM157" s="499"/>
      <c r="BN157" s="499"/>
      <c r="BO157" s="499"/>
      <c r="BP157" s="499"/>
      <c r="BQ157" s="499"/>
      <c r="BR157" s="499"/>
      <c r="BS157" s="499"/>
      <c r="BT157" s="499"/>
      <c r="BU157" s="499"/>
      <c r="BV157" s="499"/>
      <c r="BW157" s="499"/>
      <c r="BX157" s="499"/>
      <c r="BY157" s="499"/>
      <c r="BZ157" s="499"/>
      <c r="CA157" s="499"/>
      <c r="CB157" s="499"/>
      <c r="CC157" s="499"/>
      <c r="CD157" s="499"/>
      <c r="CE157" s="499"/>
      <c r="CF157" s="499"/>
      <c r="CG157" s="499"/>
      <c r="CH157" s="499"/>
      <c r="CI157" s="499"/>
      <c r="CJ157" s="499"/>
      <c r="CK157" s="499"/>
      <c r="CL157" s="499"/>
      <c r="CM157" s="499"/>
      <c r="CN157" s="499"/>
      <c r="CO157" s="499"/>
      <c r="CP157" s="499"/>
      <c r="CQ157" s="499"/>
      <c r="CR157" s="499"/>
      <c r="CS157" s="499"/>
      <c r="CT157" s="499"/>
      <c r="CU157" s="499"/>
      <c r="CV157" s="499"/>
      <c r="CW157" s="499"/>
      <c r="CX157" s="499"/>
      <c r="CY157" s="499"/>
      <c r="CZ157" s="499"/>
      <c r="DA157" s="499"/>
      <c r="DB157" s="499"/>
      <c r="DC157" s="499"/>
      <c r="DD157" s="499"/>
      <c r="DE157" s="499"/>
      <c r="DF157" s="499"/>
      <c r="DG157" s="499"/>
      <c r="DH157" s="499"/>
      <c r="DI157" s="499"/>
      <c r="DJ157" s="499"/>
      <c r="DK157" s="499"/>
      <c r="DL157" s="499"/>
      <c r="DM157" s="499"/>
      <c r="DN157" s="499"/>
      <c r="DO157" s="499"/>
      <c r="DP157" s="499"/>
      <c r="DQ157" s="499"/>
      <c r="DR157" s="499"/>
      <c r="DS157" s="499"/>
      <c r="DT157" s="499"/>
      <c r="DU157" s="499"/>
      <c r="DV157" s="499"/>
      <c r="DW157" s="499"/>
      <c r="DX157" s="499"/>
      <c r="DY157" s="499"/>
      <c r="DZ157" s="499"/>
      <c r="EA157" s="499"/>
      <c r="EB157" s="499"/>
      <c r="EC157" s="499"/>
      <c r="ED157" s="499"/>
      <c r="EE157" s="499"/>
      <c r="EF157" s="499"/>
      <c r="EG157" s="499"/>
      <c r="EH157" s="499"/>
      <c r="EI157" s="499"/>
      <c r="EJ157" s="499"/>
      <c r="EK157" s="499"/>
      <c r="EL157" s="499"/>
      <c r="EM157" s="499"/>
      <c r="EN157" s="499"/>
      <c r="EO157" s="499"/>
      <c r="EP157" s="499"/>
      <c r="EQ157" s="499"/>
      <c r="ER157" s="499"/>
      <c r="ES157" s="499"/>
      <c r="ET157" s="499"/>
      <c r="EU157" s="499"/>
      <c r="EV157" s="499"/>
      <c r="EW157" s="499"/>
      <c r="EX157" s="499"/>
      <c r="EY157" s="499"/>
      <c r="EZ157" s="499"/>
      <c r="FA157" s="499"/>
      <c r="FB157" s="499"/>
      <c r="FC157" s="499"/>
      <c r="FD157" s="499"/>
      <c r="FE157" s="499"/>
      <c r="FF157" s="499"/>
      <c r="FG157" s="499"/>
      <c r="FH157" s="499"/>
      <c r="FI157" s="499"/>
      <c r="FJ157" s="499"/>
      <c r="FK157" s="499"/>
      <c r="FL157" s="499"/>
      <c r="FM157" s="499"/>
      <c r="FN157" s="499"/>
      <c r="FO157" s="499"/>
      <c r="FP157" s="499"/>
      <c r="FQ157" s="499"/>
      <c r="FR157" s="499"/>
      <c r="FS157" s="499"/>
      <c r="FT157" s="499"/>
      <c r="FU157" s="499"/>
      <c r="FV157" s="499"/>
      <c r="FW157" s="499"/>
      <c r="FX157" s="499"/>
      <c r="FY157" s="499"/>
      <c r="FZ157" s="499"/>
      <c r="GA157" s="499"/>
      <c r="GB157" s="499"/>
      <c r="GC157" s="499"/>
      <c r="GD157" s="499"/>
      <c r="GE157" s="499"/>
      <c r="GF157" s="499"/>
      <c r="GG157" s="499"/>
      <c r="GH157" s="499"/>
      <c r="GI157" s="499"/>
      <c r="GJ157" s="499"/>
      <c r="GK157" s="499"/>
      <c r="GL157" s="499"/>
      <c r="GM157" s="499"/>
      <c r="GN157" s="499"/>
      <c r="GO157" s="499"/>
      <c r="GP157" s="499"/>
      <c r="GQ157" s="499"/>
      <c r="GR157" s="499"/>
      <c r="GS157" s="499"/>
      <c r="GT157" s="499"/>
      <c r="GU157" s="499"/>
      <c r="GV157" s="499"/>
      <c r="GW157" s="499"/>
      <c r="GX157" s="499"/>
      <c r="GY157" s="499"/>
      <c r="GZ157" s="499"/>
      <c r="HA157" s="499"/>
      <c r="HB157" s="499"/>
      <c r="HC157" s="499"/>
      <c r="HD157" s="499"/>
      <c r="HE157" s="499"/>
      <c r="HF157" s="499"/>
      <c r="HG157" s="499"/>
      <c r="HH157" s="499"/>
      <c r="HI157" s="499"/>
      <c r="HJ157" s="499"/>
      <c r="HK157" s="499"/>
      <c r="HL157" s="499"/>
      <c r="HM157" s="499"/>
      <c r="HN157" s="499"/>
      <c r="HO157" s="499"/>
      <c r="HP157" s="499"/>
      <c r="HQ157" s="499"/>
      <c r="HR157" s="499"/>
      <c r="HS157" s="499"/>
      <c r="HT157" s="499"/>
      <c r="HU157" s="499"/>
      <c r="HV157" s="499"/>
      <c r="HW157" s="499"/>
      <c r="HX157" s="358"/>
    </row>
    <row r="158" spans="1:232" s="5" customFormat="1" ht="20.100000000000001" customHeight="1">
      <c r="A158" s="1605" t="s">
        <v>191</v>
      </c>
      <c r="B158" s="1606" t="s">
        <v>115</v>
      </c>
      <c r="C158" s="1606"/>
      <c r="D158" s="1606"/>
      <c r="E158" s="1606"/>
      <c r="F158" s="1606" t="s">
        <v>116</v>
      </c>
      <c r="G158" s="1606"/>
      <c r="H158" s="1606"/>
      <c r="I158" s="1606" t="s">
        <v>117</v>
      </c>
      <c r="J158" s="1606"/>
      <c r="N158" s="495"/>
      <c r="O158" s="495"/>
      <c r="P158" s="495"/>
      <c r="Q158" s="495"/>
      <c r="R158" s="495"/>
      <c r="S158" s="495"/>
      <c r="T158" s="504"/>
      <c r="U158" s="358"/>
      <c r="V158" s="358"/>
      <c r="W158" s="358"/>
      <c r="X158" s="358"/>
      <c r="Y158" s="358"/>
      <c r="Z158" s="358"/>
      <c r="AA158" s="358"/>
      <c r="AB158" s="358"/>
      <c r="AC158" s="358"/>
      <c r="AD158" s="358"/>
      <c r="AE158" s="358"/>
      <c r="AF158" s="358"/>
      <c r="AG158" s="358"/>
      <c r="AH158" s="358"/>
      <c r="AI158" s="358"/>
      <c r="AJ158" s="358"/>
      <c r="AK158" s="358"/>
      <c r="AL158" s="358"/>
      <c r="AM158" s="358"/>
      <c r="AN158" s="358"/>
      <c r="AO158" s="358"/>
      <c r="AP158" s="358"/>
      <c r="AQ158" s="358"/>
      <c r="AR158" s="358"/>
      <c r="AS158" s="358"/>
      <c r="AT158" s="358"/>
      <c r="AU158" s="358"/>
      <c r="AV158" s="358"/>
      <c r="AW158" s="358"/>
      <c r="AX158" s="358"/>
      <c r="AY158" s="358"/>
      <c r="AZ158" s="358"/>
      <c r="BA158" s="358"/>
      <c r="BB158" s="358"/>
      <c r="BC158" s="358"/>
      <c r="BD158" s="358"/>
      <c r="BE158" s="358"/>
      <c r="BF158" s="358"/>
      <c r="BG158" s="358"/>
      <c r="BH158" s="358"/>
      <c r="BI158" s="358"/>
      <c r="BJ158" s="358"/>
      <c r="BK158" s="358"/>
      <c r="BL158" s="358"/>
      <c r="BM158" s="358"/>
      <c r="BN158" s="358"/>
      <c r="BO158" s="358"/>
      <c r="BP158" s="358"/>
      <c r="BQ158" s="358"/>
      <c r="BR158" s="358"/>
      <c r="BS158" s="358"/>
      <c r="BT158" s="358"/>
      <c r="BU158" s="358"/>
      <c r="BV158" s="358"/>
      <c r="BW158" s="358"/>
      <c r="BX158" s="358"/>
      <c r="BY158" s="358"/>
      <c r="BZ158" s="358"/>
      <c r="CA158" s="358"/>
      <c r="CB158" s="358"/>
      <c r="CC158" s="358"/>
      <c r="CD158" s="358"/>
      <c r="CE158" s="358"/>
      <c r="CF158" s="358"/>
      <c r="CG158" s="358"/>
      <c r="CH158" s="358"/>
      <c r="CI158" s="358"/>
      <c r="CJ158" s="358"/>
      <c r="CK158" s="358"/>
      <c r="CL158" s="358"/>
      <c r="CM158" s="358"/>
      <c r="CN158" s="358"/>
      <c r="CO158" s="358"/>
      <c r="CP158" s="358"/>
      <c r="CQ158" s="358"/>
      <c r="CR158" s="358"/>
      <c r="CS158" s="358"/>
      <c r="CT158" s="358"/>
      <c r="CU158" s="358"/>
      <c r="CV158" s="358"/>
      <c r="CW158" s="358"/>
      <c r="CX158" s="358"/>
      <c r="CY158" s="358"/>
      <c r="CZ158" s="358"/>
      <c r="DA158" s="358"/>
      <c r="DB158" s="358"/>
      <c r="DC158" s="358"/>
      <c r="DD158" s="358"/>
      <c r="DE158" s="358"/>
      <c r="DF158" s="358"/>
      <c r="DG158" s="358"/>
      <c r="DH158" s="358"/>
      <c r="DI158" s="358"/>
      <c r="DJ158" s="358"/>
      <c r="DK158" s="358"/>
      <c r="DL158" s="358"/>
      <c r="DM158" s="358"/>
      <c r="DN158" s="358"/>
      <c r="DO158" s="358"/>
      <c r="DP158" s="358"/>
      <c r="DQ158" s="358"/>
      <c r="DR158" s="358"/>
      <c r="DS158" s="358"/>
      <c r="DT158" s="358"/>
      <c r="DU158" s="358"/>
      <c r="DV158" s="358"/>
      <c r="DW158" s="358"/>
      <c r="DX158" s="358"/>
      <c r="DY158" s="358"/>
      <c r="DZ158" s="358"/>
      <c r="EA158" s="358"/>
      <c r="EB158" s="358"/>
      <c r="EC158" s="358"/>
      <c r="ED158" s="358"/>
      <c r="EE158" s="358"/>
      <c r="EF158" s="358"/>
      <c r="EG158" s="358"/>
      <c r="EH158" s="358"/>
      <c r="EI158" s="358"/>
      <c r="EJ158" s="358"/>
      <c r="EK158" s="358"/>
      <c r="EL158" s="358"/>
      <c r="EM158" s="358"/>
      <c r="EN158" s="358"/>
      <c r="EO158" s="358"/>
      <c r="EP158" s="358"/>
      <c r="EQ158" s="358"/>
      <c r="ER158" s="358"/>
      <c r="ES158" s="358"/>
      <c r="ET158" s="358"/>
      <c r="EU158" s="358"/>
      <c r="EV158" s="358"/>
      <c r="EW158" s="358"/>
      <c r="EX158" s="358"/>
      <c r="EY158" s="358"/>
      <c r="EZ158" s="358"/>
      <c r="FA158" s="358"/>
      <c r="FB158" s="358"/>
      <c r="FC158" s="358"/>
      <c r="FD158" s="358"/>
      <c r="FE158" s="358"/>
      <c r="FF158" s="358"/>
      <c r="FG158" s="358"/>
      <c r="FH158" s="358"/>
      <c r="FI158" s="358"/>
      <c r="FJ158" s="358"/>
      <c r="FK158" s="358"/>
      <c r="FL158" s="358"/>
      <c r="FM158" s="358"/>
      <c r="FN158" s="358"/>
      <c r="FO158" s="358"/>
      <c r="FP158" s="358"/>
      <c r="FQ158" s="358"/>
      <c r="FR158" s="358"/>
      <c r="FS158" s="358"/>
      <c r="FT158" s="358"/>
      <c r="FU158" s="358"/>
      <c r="FV158" s="358"/>
      <c r="FW158" s="358"/>
      <c r="FX158" s="358"/>
      <c r="FY158" s="358"/>
      <c r="FZ158" s="358"/>
      <c r="GA158" s="358"/>
      <c r="GB158" s="358"/>
      <c r="GC158" s="358"/>
      <c r="GD158" s="358"/>
      <c r="GE158" s="358"/>
      <c r="GF158" s="358"/>
      <c r="GG158" s="358"/>
      <c r="GH158" s="358"/>
      <c r="GI158" s="358"/>
      <c r="GJ158" s="358"/>
      <c r="GK158" s="358"/>
      <c r="GL158" s="358"/>
      <c r="GM158" s="358"/>
      <c r="GN158" s="358"/>
      <c r="GO158" s="358"/>
      <c r="GP158" s="358"/>
      <c r="GQ158" s="358"/>
      <c r="GR158" s="358"/>
      <c r="GS158" s="358"/>
      <c r="GT158" s="358"/>
      <c r="GU158" s="358"/>
      <c r="GV158" s="358"/>
      <c r="GW158" s="358"/>
      <c r="GX158" s="358"/>
      <c r="GY158" s="358"/>
      <c r="GZ158" s="358"/>
      <c r="HA158" s="358"/>
      <c r="HB158" s="358"/>
      <c r="HC158" s="358"/>
      <c r="HD158" s="358"/>
      <c r="HE158" s="358"/>
      <c r="HF158" s="358"/>
      <c r="HG158" s="358"/>
      <c r="HH158" s="358"/>
      <c r="HI158" s="358"/>
      <c r="HJ158" s="358"/>
      <c r="HK158" s="358"/>
      <c r="HL158" s="358"/>
      <c r="HM158" s="358"/>
      <c r="HN158" s="358"/>
      <c r="HO158" s="358"/>
      <c r="HP158" s="358"/>
      <c r="HQ158" s="358"/>
      <c r="HR158" s="358"/>
      <c r="HS158" s="358"/>
      <c r="HT158" s="358"/>
      <c r="HU158" s="358"/>
      <c r="HV158" s="358"/>
      <c r="HW158" s="358"/>
      <c r="HX158" s="358"/>
    </row>
    <row r="159" spans="1:232" s="5" customFormat="1" ht="33.75" customHeight="1">
      <c r="A159" s="1605"/>
      <c r="B159" s="1606"/>
      <c r="C159" s="1606"/>
      <c r="D159" s="1606"/>
      <c r="E159" s="1606"/>
      <c r="F159" s="1606"/>
      <c r="G159" s="1606"/>
      <c r="H159" s="1606"/>
      <c r="I159" s="503" t="s">
        <v>118</v>
      </c>
      <c r="J159" s="503" t="s">
        <v>119</v>
      </c>
      <c r="O159" s="504"/>
      <c r="P159" s="504"/>
      <c r="Q159" s="504"/>
      <c r="R159" s="504"/>
      <c r="S159" s="504"/>
      <c r="T159" s="406"/>
      <c r="U159" s="358"/>
      <c r="V159" s="358"/>
      <c r="W159" s="358"/>
      <c r="X159" s="358"/>
      <c r="Y159" s="358"/>
      <c r="Z159" s="358"/>
      <c r="AA159" s="358"/>
      <c r="AB159" s="358"/>
      <c r="AC159" s="358"/>
      <c r="AD159" s="358"/>
      <c r="AE159" s="358"/>
      <c r="AF159" s="358"/>
      <c r="AG159" s="358"/>
      <c r="AH159" s="358"/>
      <c r="AI159" s="358"/>
      <c r="AJ159" s="358"/>
      <c r="AK159" s="358"/>
      <c r="AL159" s="358"/>
      <c r="AM159" s="358"/>
      <c r="AN159" s="358"/>
      <c r="AO159" s="358"/>
      <c r="AP159" s="358"/>
      <c r="AQ159" s="358"/>
      <c r="AR159" s="358"/>
      <c r="AS159" s="358"/>
      <c r="AT159" s="358"/>
      <c r="AU159" s="358"/>
      <c r="AV159" s="358"/>
      <c r="AW159" s="358"/>
      <c r="AX159" s="358"/>
      <c r="AY159" s="358"/>
      <c r="AZ159" s="358"/>
      <c r="BA159" s="358"/>
      <c r="BB159" s="358"/>
      <c r="BC159" s="358"/>
      <c r="BD159" s="358"/>
      <c r="BE159" s="358"/>
      <c r="BF159" s="358"/>
      <c r="BG159" s="358"/>
      <c r="BH159" s="358"/>
      <c r="BI159" s="358"/>
      <c r="BJ159" s="358"/>
      <c r="BK159" s="358"/>
      <c r="BL159" s="358"/>
      <c r="BM159" s="358"/>
      <c r="BN159" s="358"/>
      <c r="BO159" s="358"/>
      <c r="BP159" s="358"/>
      <c r="BQ159" s="358"/>
      <c r="BR159" s="358"/>
      <c r="BS159" s="358"/>
      <c r="BT159" s="358"/>
      <c r="BU159" s="358"/>
      <c r="BV159" s="358"/>
      <c r="BW159" s="358"/>
      <c r="BX159" s="358"/>
      <c r="BY159" s="358"/>
      <c r="BZ159" s="358"/>
      <c r="CA159" s="358"/>
      <c r="CB159" s="358"/>
      <c r="CC159" s="358"/>
      <c r="CD159" s="358"/>
      <c r="CE159" s="358"/>
      <c r="CF159" s="358"/>
      <c r="CG159" s="358"/>
      <c r="CH159" s="358"/>
      <c r="CI159" s="358"/>
      <c r="CJ159" s="358"/>
      <c r="CK159" s="358"/>
      <c r="CL159" s="358"/>
      <c r="CM159" s="358"/>
      <c r="CN159" s="358"/>
      <c r="CO159" s="358"/>
      <c r="CP159" s="358"/>
      <c r="CQ159" s="358"/>
      <c r="CR159" s="358"/>
      <c r="CS159" s="358"/>
      <c r="CT159" s="358"/>
      <c r="CU159" s="358"/>
      <c r="CV159" s="358"/>
      <c r="CW159" s="358"/>
      <c r="CX159" s="358"/>
      <c r="CY159" s="358"/>
      <c r="CZ159" s="358"/>
      <c r="DA159" s="358"/>
      <c r="DB159" s="358"/>
      <c r="DC159" s="358"/>
      <c r="DD159" s="358"/>
      <c r="DE159" s="358"/>
      <c r="DF159" s="358"/>
      <c r="DG159" s="358"/>
      <c r="DH159" s="358"/>
      <c r="DI159" s="358"/>
      <c r="DJ159" s="358"/>
      <c r="DK159" s="358"/>
      <c r="DL159" s="358"/>
      <c r="DM159" s="358"/>
      <c r="DN159" s="358"/>
      <c r="DO159" s="358"/>
      <c r="DP159" s="358"/>
      <c r="DQ159" s="358"/>
      <c r="DR159" s="358"/>
      <c r="DS159" s="358"/>
      <c r="DT159" s="358"/>
      <c r="DU159" s="358"/>
      <c r="DV159" s="358"/>
      <c r="DW159" s="358"/>
      <c r="DX159" s="358"/>
      <c r="DY159" s="358"/>
      <c r="DZ159" s="358"/>
      <c r="EA159" s="358"/>
      <c r="EB159" s="358"/>
      <c r="EC159" s="358"/>
      <c r="ED159" s="358"/>
      <c r="EE159" s="358"/>
      <c r="EF159" s="358"/>
      <c r="EG159" s="358"/>
      <c r="EH159" s="358"/>
      <c r="EI159" s="358"/>
      <c r="EJ159" s="358"/>
      <c r="EK159" s="358"/>
      <c r="EL159" s="358"/>
      <c r="EM159" s="358"/>
      <c r="EN159" s="358"/>
      <c r="EO159" s="358"/>
      <c r="EP159" s="358"/>
      <c r="EQ159" s="358"/>
      <c r="ER159" s="358"/>
      <c r="ES159" s="358"/>
      <c r="ET159" s="358"/>
      <c r="EU159" s="358"/>
      <c r="EV159" s="358"/>
      <c r="EW159" s="358"/>
      <c r="EX159" s="358"/>
      <c r="EY159" s="358"/>
      <c r="EZ159" s="358"/>
      <c r="FA159" s="358"/>
      <c r="FB159" s="358"/>
      <c r="FC159" s="358"/>
      <c r="FD159" s="358"/>
      <c r="FE159" s="358"/>
      <c r="FF159" s="358"/>
      <c r="FG159" s="358"/>
      <c r="FH159" s="358"/>
      <c r="FI159" s="358"/>
      <c r="FJ159" s="358"/>
      <c r="FK159" s="358"/>
      <c r="FL159" s="358"/>
      <c r="FM159" s="358"/>
      <c r="FN159" s="358"/>
      <c r="FO159" s="358"/>
      <c r="FP159" s="358"/>
      <c r="FQ159" s="358"/>
      <c r="FR159" s="358"/>
      <c r="FS159" s="358"/>
      <c r="FT159" s="358"/>
      <c r="FU159" s="358"/>
      <c r="FV159" s="358"/>
      <c r="FW159" s="358"/>
      <c r="FX159" s="358"/>
      <c r="FY159" s="358"/>
      <c r="FZ159" s="358"/>
      <c r="GA159" s="358"/>
      <c r="GB159" s="358"/>
      <c r="GC159" s="358"/>
      <c r="GD159" s="358"/>
      <c r="GE159" s="358"/>
      <c r="GF159" s="358"/>
      <c r="GG159" s="358"/>
      <c r="GH159" s="358"/>
      <c r="GI159" s="358"/>
      <c r="GJ159" s="358"/>
      <c r="GK159" s="358"/>
      <c r="GL159" s="358"/>
      <c r="GM159" s="358"/>
      <c r="GN159" s="358"/>
      <c r="GO159" s="358"/>
      <c r="GP159" s="358"/>
      <c r="GQ159" s="358"/>
      <c r="GR159" s="358"/>
      <c r="GS159" s="358"/>
      <c r="GT159" s="358"/>
      <c r="GU159" s="358"/>
      <c r="GV159" s="358"/>
      <c r="GW159" s="358"/>
      <c r="GX159" s="358"/>
      <c r="GY159" s="358"/>
      <c r="GZ159" s="358"/>
      <c r="HA159" s="358"/>
      <c r="HB159" s="358"/>
      <c r="HC159" s="358"/>
      <c r="HD159" s="358"/>
      <c r="HE159" s="358"/>
      <c r="HF159" s="358"/>
      <c r="HG159" s="358"/>
      <c r="HH159" s="358"/>
      <c r="HI159" s="358"/>
      <c r="HJ159" s="358"/>
      <c r="HK159" s="358"/>
      <c r="HL159" s="358"/>
      <c r="HM159" s="358"/>
      <c r="HN159" s="358"/>
      <c r="HO159" s="358"/>
      <c r="HP159" s="358"/>
      <c r="HQ159" s="358"/>
      <c r="HR159" s="358"/>
      <c r="HS159" s="358"/>
      <c r="HT159" s="358"/>
      <c r="HU159" s="358"/>
      <c r="HV159" s="358"/>
      <c r="HW159" s="358"/>
      <c r="HX159" s="358"/>
    </row>
    <row r="160" spans="1:232" s="5" customFormat="1" ht="20.100000000000001" customHeight="1">
      <c r="A160" s="503">
        <v>1</v>
      </c>
      <c r="B160" s="1597" t="s">
        <v>448</v>
      </c>
      <c r="C160" s="1597"/>
      <c r="D160" s="1597"/>
      <c r="E160" s="1597"/>
      <c r="F160" s="1598" t="s">
        <v>433</v>
      </c>
      <c r="G160" s="1598"/>
      <c r="H160" s="1598"/>
      <c r="I160" s="562" t="s">
        <v>471</v>
      </c>
      <c r="J160" s="506"/>
      <c r="O160" s="406"/>
      <c r="P160" s="406"/>
      <c r="Q160" s="406"/>
      <c r="R160" s="406"/>
      <c r="S160" s="406"/>
      <c r="T160" s="406"/>
      <c r="U160" s="358"/>
      <c r="V160" s="358"/>
      <c r="W160" s="358"/>
      <c r="X160" s="358"/>
      <c r="Y160" s="358"/>
      <c r="Z160" s="358"/>
      <c r="AA160" s="358"/>
      <c r="AB160" s="358"/>
      <c r="AC160" s="358"/>
      <c r="AD160" s="358"/>
      <c r="AE160" s="358"/>
      <c r="AF160" s="358"/>
      <c r="AG160" s="358"/>
      <c r="AH160" s="358"/>
      <c r="AI160" s="358"/>
      <c r="AJ160" s="358"/>
      <c r="AK160" s="358"/>
      <c r="AL160" s="358"/>
      <c r="AM160" s="358"/>
      <c r="AN160" s="358"/>
      <c r="AO160" s="358"/>
      <c r="AP160" s="358"/>
      <c r="AQ160" s="358"/>
      <c r="AR160" s="358"/>
      <c r="AS160" s="358"/>
      <c r="AT160" s="358"/>
      <c r="AU160" s="358"/>
      <c r="AV160" s="358"/>
      <c r="AW160" s="358"/>
      <c r="AX160" s="358"/>
      <c r="AY160" s="358"/>
      <c r="AZ160" s="358"/>
      <c r="BA160" s="358"/>
      <c r="BB160" s="358"/>
      <c r="BC160" s="358"/>
      <c r="BD160" s="358"/>
      <c r="BE160" s="358"/>
      <c r="BF160" s="358"/>
      <c r="BG160" s="358"/>
      <c r="BH160" s="358"/>
      <c r="BI160" s="358"/>
      <c r="BJ160" s="358"/>
      <c r="BK160" s="358"/>
      <c r="BL160" s="358"/>
      <c r="BM160" s="358"/>
      <c r="BN160" s="358"/>
      <c r="BO160" s="358"/>
      <c r="BP160" s="358"/>
      <c r="BQ160" s="358"/>
      <c r="BR160" s="358"/>
      <c r="BS160" s="358"/>
      <c r="BT160" s="358"/>
      <c r="BU160" s="358"/>
      <c r="BV160" s="358"/>
      <c r="BW160" s="358"/>
      <c r="BX160" s="358"/>
      <c r="BY160" s="358"/>
      <c r="BZ160" s="358"/>
      <c r="CA160" s="358"/>
      <c r="CB160" s="358"/>
      <c r="CC160" s="358"/>
      <c r="CD160" s="358"/>
      <c r="CE160" s="358"/>
      <c r="CF160" s="358"/>
      <c r="CG160" s="358"/>
      <c r="CH160" s="358"/>
      <c r="CI160" s="358"/>
      <c r="CJ160" s="358"/>
      <c r="CK160" s="358"/>
      <c r="CL160" s="358"/>
      <c r="CM160" s="358"/>
      <c r="CN160" s="358"/>
      <c r="CO160" s="358"/>
      <c r="CP160" s="358"/>
      <c r="CQ160" s="358"/>
      <c r="CR160" s="358"/>
      <c r="CS160" s="358"/>
      <c r="CT160" s="358"/>
      <c r="CU160" s="358"/>
      <c r="CV160" s="358"/>
      <c r="CW160" s="358"/>
      <c r="CX160" s="358"/>
      <c r="CY160" s="358"/>
      <c r="CZ160" s="358"/>
      <c r="DA160" s="358"/>
      <c r="DB160" s="358"/>
      <c r="DC160" s="358"/>
      <c r="DD160" s="358"/>
      <c r="DE160" s="358"/>
      <c r="DF160" s="358"/>
      <c r="DG160" s="358"/>
      <c r="DH160" s="358"/>
      <c r="DI160" s="358"/>
      <c r="DJ160" s="358"/>
      <c r="DK160" s="358"/>
      <c r="DL160" s="358"/>
      <c r="DM160" s="358"/>
      <c r="DN160" s="358"/>
      <c r="DO160" s="358"/>
      <c r="DP160" s="358"/>
      <c r="DQ160" s="358"/>
      <c r="DR160" s="358"/>
      <c r="DS160" s="358"/>
      <c r="DT160" s="358"/>
      <c r="DU160" s="358"/>
      <c r="DV160" s="358"/>
      <c r="DW160" s="358"/>
      <c r="DX160" s="358"/>
      <c r="DY160" s="358"/>
      <c r="DZ160" s="358"/>
      <c r="EA160" s="358"/>
      <c r="EB160" s="358"/>
      <c r="EC160" s="358"/>
      <c r="ED160" s="358"/>
      <c r="EE160" s="358"/>
      <c r="EF160" s="358"/>
      <c r="EG160" s="358"/>
      <c r="EH160" s="358"/>
      <c r="EI160" s="358"/>
      <c r="EJ160" s="358"/>
      <c r="EK160" s="358"/>
      <c r="EL160" s="358"/>
      <c r="EM160" s="358"/>
      <c r="EN160" s="358"/>
      <c r="EO160" s="358"/>
      <c r="EP160" s="358"/>
      <c r="EQ160" s="358"/>
      <c r="ER160" s="358"/>
      <c r="ES160" s="358"/>
      <c r="ET160" s="358"/>
      <c r="EU160" s="358"/>
      <c r="EV160" s="358"/>
      <c r="EW160" s="358"/>
      <c r="EX160" s="358"/>
      <c r="EY160" s="358"/>
      <c r="EZ160" s="358"/>
      <c r="FA160" s="358"/>
      <c r="FB160" s="358"/>
      <c r="FC160" s="358"/>
      <c r="FD160" s="358"/>
      <c r="FE160" s="358"/>
      <c r="FF160" s="358"/>
      <c r="FG160" s="358"/>
      <c r="FH160" s="358"/>
      <c r="FI160" s="358"/>
      <c r="FJ160" s="358"/>
      <c r="FK160" s="358"/>
      <c r="FL160" s="358"/>
      <c r="FM160" s="358"/>
      <c r="FN160" s="358"/>
      <c r="FO160" s="358"/>
      <c r="FP160" s="358"/>
      <c r="FQ160" s="358"/>
      <c r="FR160" s="358"/>
      <c r="FS160" s="358"/>
      <c r="FT160" s="358"/>
      <c r="FU160" s="358"/>
      <c r="FV160" s="358"/>
      <c r="FW160" s="358"/>
      <c r="FX160" s="358"/>
      <c r="FY160" s="358"/>
      <c r="FZ160" s="358"/>
      <c r="GA160" s="358"/>
      <c r="GB160" s="358"/>
      <c r="GC160" s="358"/>
      <c r="GD160" s="358"/>
      <c r="GE160" s="358"/>
      <c r="GF160" s="358"/>
      <c r="GG160" s="358"/>
      <c r="GH160" s="358"/>
      <c r="GI160" s="358"/>
      <c r="GJ160" s="358"/>
      <c r="GK160" s="358"/>
      <c r="GL160" s="358"/>
      <c r="GM160" s="358"/>
      <c r="GN160" s="358"/>
      <c r="GO160" s="358"/>
      <c r="GP160" s="358"/>
      <c r="GQ160" s="358"/>
      <c r="GR160" s="358"/>
      <c r="GS160" s="358"/>
      <c r="GT160" s="358"/>
      <c r="GU160" s="358"/>
      <c r="GV160" s="358"/>
      <c r="GW160" s="358"/>
      <c r="GX160" s="358"/>
      <c r="GY160" s="358"/>
      <c r="GZ160" s="358"/>
      <c r="HA160" s="358"/>
      <c r="HB160" s="358"/>
      <c r="HC160" s="358"/>
      <c r="HD160" s="358"/>
      <c r="HE160" s="358"/>
      <c r="HF160" s="358"/>
      <c r="HG160" s="358"/>
      <c r="HH160" s="358"/>
      <c r="HI160" s="358"/>
      <c r="HJ160" s="358"/>
      <c r="HK160" s="358"/>
      <c r="HL160" s="358"/>
      <c r="HM160" s="358"/>
      <c r="HN160" s="358"/>
      <c r="HO160" s="358"/>
      <c r="HP160" s="358"/>
      <c r="HQ160" s="358"/>
      <c r="HR160" s="358"/>
      <c r="HS160" s="358"/>
      <c r="HT160" s="358"/>
      <c r="HU160" s="358"/>
      <c r="HV160" s="358"/>
      <c r="HW160" s="358"/>
      <c r="HX160" s="358"/>
    </row>
    <row r="161" spans="1:232" s="5" customFormat="1" ht="20.100000000000001" customHeight="1">
      <c r="A161" s="503">
        <v>2</v>
      </c>
      <c r="B161" s="1597" t="s">
        <v>434</v>
      </c>
      <c r="C161" s="1597"/>
      <c r="D161" s="1597"/>
      <c r="E161" s="1597"/>
      <c r="F161" s="1598" t="s">
        <v>450</v>
      </c>
      <c r="G161" s="1598"/>
      <c r="H161" s="1598"/>
      <c r="I161" s="562" t="s">
        <v>471</v>
      </c>
      <c r="J161" s="506"/>
      <c r="O161" s="406"/>
      <c r="P161" s="406"/>
      <c r="Q161" s="406"/>
      <c r="R161" s="406"/>
      <c r="S161" s="406"/>
      <c r="T161" s="406"/>
      <c r="U161" s="358"/>
      <c r="V161" s="358"/>
      <c r="W161" s="358"/>
      <c r="X161" s="358"/>
      <c r="Y161" s="358"/>
      <c r="Z161" s="358"/>
      <c r="AA161" s="358"/>
      <c r="AB161" s="358"/>
      <c r="AC161" s="358"/>
      <c r="AD161" s="358"/>
      <c r="AE161" s="358"/>
      <c r="AF161" s="358"/>
      <c r="AG161" s="358"/>
      <c r="AH161" s="358"/>
      <c r="AI161" s="358"/>
      <c r="AJ161" s="358"/>
      <c r="AK161" s="358"/>
      <c r="AL161" s="358"/>
      <c r="AM161" s="358"/>
      <c r="AN161" s="358"/>
      <c r="AO161" s="358"/>
      <c r="AP161" s="358"/>
      <c r="AQ161" s="358"/>
      <c r="AR161" s="358"/>
      <c r="AS161" s="358"/>
      <c r="AT161" s="358"/>
      <c r="AU161" s="358"/>
      <c r="AV161" s="358"/>
      <c r="AW161" s="358"/>
      <c r="AX161" s="358"/>
      <c r="AY161" s="358"/>
      <c r="AZ161" s="358"/>
      <c r="BA161" s="358"/>
      <c r="BB161" s="358"/>
      <c r="BC161" s="358"/>
      <c r="BD161" s="358"/>
      <c r="BE161" s="358"/>
      <c r="BF161" s="358"/>
      <c r="BG161" s="358"/>
      <c r="BH161" s="358"/>
      <c r="BI161" s="358"/>
      <c r="BJ161" s="358"/>
      <c r="BK161" s="358"/>
      <c r="BL161" s="358"/>
      <c r="BM161" s="358"/>
      <c r="BN161" s="358"/>
      <c r="BO161" s="358"/>
      <c r="BP161" s="358"/>
      <c r="BQ161" s="358"/>
      <c r="BR161" s="358"/>
      <c r="BS161" s="358"/>
      <c r="BT161" s="358"/>
      <c r="BU161" s="358"/>
      <c r="BV161" s="358"/>
      <c r="BW161" s="358"/>
      <c r="BX161" s="358"/>
      <c r="BY161" s="358"/>
      <c r="BZ161" s="358"/>
      <c r="CA161" s="358"/>
      <c r="CB161" s="358"/>
      <c r="CC161" s="358"/>
      <c r="CD161" s="358"/>
      <c r="CE161" s="358"/>
      <c r="CF161" s="358"/>
      <c r="CG161" s="358"/>
      <c r="CH161" s="358"/>
      <c r="CI161" s="358"/>
      <c r="CJ161" s="358"/>
      <c r="CK161" s="358"/>
      <c r="CL161" s="358"/>
      <c r="CM161" s="358"/>
      <c r="CN161" s="358"/>
      <c r="CO161" s="358"/>
      <c r="CP161" s="358"/>
      <c r="CQ161" s="358"/>
      <c r="CR161" s="358"/>
      <c r="CS161" s="358"/>
      <c r="CT161" s="358"/>
      <c r="CU161" s="358"/>
      <c r="CV161" s="358"/>
      <c r="CW161" s="358"/>
      <c r="CX161" s="358"/>
      <c r="CY161" s="358"/>
      <c r="CZ161" s="358"/>
      <c r="DA161" s="358"/>
      <c r="DB161" s="358"/>
      <c r="DC161" s="358"/>
      <c r="DD161" s="358"/>
      <c r="DE161" s="358"/>
      <c r="DF161" s="358"/>
      <c r="DG161" s="358"/>
      <c r="DH161" s="358"/>
      <c r="DI161" s="358"/>
      <c r="DJ161" s="358"/>
      <c r="DK161" s="358"/>
      <c r="DL161" s="358"/>
      <c r="DM161" s="358"/>
      <c r="DN161" s="358"/>
      <c r="DO161" s="358"/>
      <c r="DP161" s="358"/>
      <c r="DQ161" s="358"/>
      <c r="DR161" s="358"/>
      <c r="DS161" s="358"/>
      <c r="DT161" s="358"/>
      <c r="DU161" s="358"/>
      <c r="DV161" s="358"/>
      <c r="DW161" s="358"/>
      <c r="DX161" s="358"/>
      <c r="DY161" s="358"/>
      <c r="DZ161" s="358"/>
      <c r="EA161" s="358"/>
      <c r="EB161" s="358"/>
      <c r="EC161" s="358"/>
      <c r="ED161" s="358"/>
      <c r="EE161" s="358"/>
      <c r="EF161" s="358"/>
      <c r="EG161" s="358"/>
      <c r="EH161" s="358"/>
      <c r="EI161" s="358"/>
      <c r="EJ161" s="358"/>
      <c r="EK161" s="358"/>
      <c r="EL161" s="358"/>
      <c r="EM161" s="358"/>
      <c r="EN161" s="358"/>
      <c r="EO161" s="358"/>
      <c r="EP161" s="358"/>
      <c r="EQ161" s="358"/>
      <c r="ER161" s="358"/>
      <c r="ES161" s="358"/>
      <c r="ET161" s="358"/>
      <c r="EU161" s="358"/>
      <c r="EV161" s="358"/>
      <c r="EW161" s="358"/>
      <c r="EX161" s="358"/>
      <c r="EY161" s="358"/>
      <c r="EZ161" s="358"/>
      <c r="FA161" s="358"/>
      <c r="FB161" s="358"/>
      <c r="FC161" s="358"/>
      <c r="FD161" s="358"/>
      <c r="FE161" s="358"/>
      <c r="FF161" s="358"/>
      <c r="FG161" s="358"/>
      <c r="FH161" s="358"/>
      <c r="FI161" s="358"/>
      <c r="FJ161" s="358"/>
      <c r="FK161" s="358"/>
      <c r="FL161" s="358"/>
      <c r="FM161" s="358"/>
      <c r="FN161" s="358"/>
      <c r="FO161" s="358"/>
      <c r="FP161" s="358"/>
      <c r="FQ161" s="358"/>
      <c r="FR161" s="358"/>
      <c r="FS161" s="358"/>
      <c r="FT161" s="358"/>
      <c r="FU161" s="358"/>
      <c r="FV161" s="358"/>
      <c r="FW161" s="358"/>
      <c r="FX161" s="358"/>
      <c r="FY161" s="358"/>
      <c r="FZ161" s="358"/>
      <c r="GA161" s="358"/>
      <c r="GB161" s="358"/>
      <c r="GC161" s="358"/>
      <c r="GD161" s="358"/>
      <c r="GE161" s="358"/>
      <c r="GF161" s="358"/>
      <c r="GG161" s="358"/>
      <c r="GH161" s="358"/>
      <c r="GI161" s="358"/>
      <c r="GJ161" s="358"/>
      <c r="GK161" s="358"/>
      <c r="GL161" s="358"/>
      <c r="GM161" s="358"/>
      <c r="GN161" s="358"/>
      <c r="GO161" s="358"/>
      <c r="GP161" s="358"/>
      <c r="GQ161" s="358"/>
      <c r="GR161" s="358"/>
      <c r="GS161" s="358"/>
      <c r="GT161" s="358"/>
      <c r="GU161" s="358"/>
      <c r="GV161" s="358"/>
      <c r="GW161" s="358"/>
      <c r="GX161" s="358"/>
      <c r="GY161" s="358"/>
      <c r="GZ161" s="358"/>
      <c r="HA161" s="358"/>
      <c r="HB161" s="358"/>
      <c r="HC161" s="358"/>
      <c r="HD161" s="358"/>
      <c r="HE161" s="358"/>
      <c r="HF161" s="358"/>
      <c r="HG161" s="358"/>
      <c r="HH161" s="358"/>
      <c r="HI161" s="358"/>
      <c r="HJ161" s="358"/>
      <c r="HK161" s="358"/>
      <c r="HL161" s="358"/>
      <c r="HM161" s="358"/>
      <c r="HN161" s="358"/>
      <c r="HO161" s="358"/>
      <c r="HP161" s="358"/>
      <c r="HQ161" s="358"/>
      <c r="HR161" s="358"/>
      <c r="HS161" s="358"/>
      <c r="HT161" s="358"/>
      <c r="HU161" s="358"/>
      <c r="HV161" s="358"/>
      <c r="HW161" s="358"/>
      <c r="HX161" s="358"/>
    </row>
    <row r="162" spans="1:232" s="5" customFormat="1" ht="20.100000000000001" customHeight="1">
      <c r="A162" s="503">
        <v>3</v>
      </c>
      <c r="B162" s="1661" t="s">
        <v>61</v>
      </c>
      <c r="C162" s="1662"/>
      <c r="D162" s="1662"/>
      <c r="E162" s="1663"/>
      <c r="F162" s="1598" t="s">
        <v>435</v>
      </c>
      <c r="G162" s="1598"/>
      <c r="H162" s="1598"/>
      <c r="I162" s="562" t="s">
        <v>471</v>
      </c>
      <c r="J162" s="506"/>
      <c r="O162" s="406"/>
      <c r="P162" s="406"/>
      <c r="Q162" s="406"/>
      <c r="R162" s="406"/>
      <c r="S162" s="406"/>
      <c r="T162" s="405"/>
      <c r="U162" s="358"/>
      <c r="V162" s="358"/>
      <c r="W162" s="358"/>
      <c r="X162" s="358"/>
      <c r="Y162" s="358"/>
      <c r="Z162" s="358"/>
      <c r="AA162" s="358"/>
      <c r="AB162" s="358"/>
      <c r="AC162" s="358"/>
      <c r="AD162" s="358"/>
      <c r="AE162" s="358"/>
      <c r="AF162" s="358"/>
      <c r="AG162" s="358"/>
      <c r="AH162" s="358"/>
      <c r="AI162" s="358"/>
      <c r="AJ162" s="358"/>
      <c r="AK162" s="358"/>
      <c r="AL162" s="358"/>
      <c r="AM162" s="358"/>
      <c r="AN162" s="358"/>
      <c r="AO162" s="358"/>
      <c r="AP162" s="358"/>
      <c r="AQ162" s="358"/>
      <c r="AR162" s="358"/>
      <c r="AS162" s="358"/>
      <c r="AT162" s="358"/>
      <c r="AU162" s="358"/>
      <c r="AV162" s="358"/>
      <c r="AW162" s="358"/>
      <c r="AX162" s="358"/>
      <c r="AY162" s="358"/>
      <c r="AZ162" s="358"/>
      <c r="BA162" s="358"/>
      <c r="BB162" s="358"/>
      <c r="BC162" s="358"/>
      <c r="BD162" s="358"/>
      <c r="BE162" s="358"/>
      <c r="BF162" s="358"/>
      <c r="BG162" s="358"/>
      <c r="BH162" s="358"/>
      <c r="BI162" s="358"/>
      <c r="BJ162" s="358"/>
      <c r="BK162" s="358"/>
      <c r="BL162" s="358"/>
      <c r="BM162" s="358"/>
      <c r="BN162" s="358"/>
      <c r="BO162" s="358"/>
      <c r="BP162" s="358"/>
      <c r="BQ162" s="358"/>
      <c r="BR162" s="358"/>
      <c r="BS162" s="358"/>
      <c r="BT162" s="358"/>
      <c r="BU162" s="358"/>
      <c r="BV162" s="358"/>
      <c r="BW162" s="358"/>
      <c r="BX162" s="358"/>
      <c r="BY162" s="358"/>
      <c r="BZ162" s="358"/>
      <c r="CA162" s="358"/>
      <c r="CB162" s="358"/>
      <c r="CC162" s="358"/>
      <c r="CD162" s="358"/>
      <c r="CE162" s="358"/>
      <c r="CF162" s="358"/>
      <c r="CG162" s="358"/>
      <c r="CH162" s="358"/>
      <c r="CI162" s="358"/>
      <c r="CJ162" s="358"/>
      <c r="CK162" s="358"/>
      <c r="CL162" s="358"/>
      <c r="CM162" s="358"/>
      <c r="CN162" s="358"/>
      <c r="CO162" s="358"/>
      <c r="CP162" s="358"/>
      <c r="CQ162" s="358"/>
      <c r="CR162" s="358"/>
      <c r="CS162" s="358"/>
      <c r="CT162" s="358"/>
      <c r="CU162" s="358"/>
      <c r="CV162" s="358"/>
      <c r="CW162" s="358"/>
      <c r="CX162" s="358"/>
      <c r="CY162" s="358"/>
      <c r="CZ162" s="358"/>
      <c r="DA162" s="358"/>
      <c r="DB162" s="358"/>
      <c r="DC162" s="358"/>
      <c r="DD162" s="358"/>
      <c r="DE162" s="358"/>
      <c r="DF162" s="358"/>
      <c r="DG162" s="358"/>
      <c r="DH162" s="358"/>
      <c r="DI162" s="358"/>
      <c r="DJ162" s="358"/>
      <c r="DK162" s="358"/>
      <c r="DL162" s="358"/>
      <c r="DM162" s="358"/>
      <c r="DN162" s="358"/>
      <c r="DO162" s="358"/>
      <c r="DP162" s="358"/>
      <c r="DQ162" s="358"/>
      <c r="DR162" s="358"/>
      <c r="DS162" s="358"/>
      <c r="DT162" s="358"/>
      <c r="DU162" s="358"/>
      <c r="DV162" s="358"/>
      <c r="DW162" s="358"/>
      <c r="DX162" s="358"/>
      <c r="DY162" s="358"/>
      <c r="DZ162" s="358"/>
      <c r="EA162" s="358"/>
      <c r="EB162" s="358"/>
      <c r="EC162" s="358"/>
      <c r="ED162" s="358"/>
      <c r="EE162" s="358"/>
      <c r="EF162" s="358"/>
      <c r="EG162" s="358"/>
      <c r="EH162" s="358"/>
      <c r="EI162" s="358"/>
      <c r="EJ162" s="358"/>
      <c r="EK162" s="358"/>
      <c r="EL162" s="358"/>
      <c r="EM162" s="358"/>
      <c r="EN162" s="358"/>
      <c r="EO162" s="358"/>
      <c r="EP162" s="358"/>
      <c r="EQ162" s="358"/>
      <c r="ER162" s="358"/>
      <c r="ES162" s="358"/>
      <c r="ET162" s="358"/>
      <c r="EU162" s="358"/>
      <c r="EV162" s="358"/>
      <c r="EW162" s="358"/>
      <c r="EX162" s="358"/>
      <c r="EY162" s="358"/>
      <c r="EZ162" s="358"/>
      <c r="FA162" s="358"/>
      <c r="FB162" s="358"/>
      <c r="FC162" s="358"/>
      <c r="FD162" s="358"/>
      <c r="FE162" s="358"/>
      <c r="FF162" s="358"/>
      <c r="FG162" s="358"/>
      <c r="FH162" s="358"/>
      <c r="FI162" s="358"/>
      <c r="FJ162" s="358"/>
      <c r="FK162" s="358"/>
      <c r="FL162" s="358"/>
      <c r="FM162" s="358"/>
      <c r="FN162" s="358"/>
      <c r="FO162" s="358"/>
      <c r="FP162" s="358"/>
      <c r="FQ162" s="358"/>
      <c r="FR162" s="358"/>
      <c r="FS162" s="358"/>
      <c r="FT162" s="358"/>
      <c r="FU162" s="358"/>
      <c r="FV162" s="358"/>
      <c r="FW162" s="358"/>
      <c r="FX162" s="358"/>
      <c r="FY162" s="358"/>
      <c r="FZ162" s="358"/>
      <c r="GA162" s="358"/>
      <c r="GB162" s="358"/>
      <c r="GC162" s="358"/>
      <c r="GD162" s="358"/>
      <c r="GE162" s="358"/>
      <c r="GF162" s="358"/>
      <c r="GG162" s="358"/>
      <c r="GH162" s="358"/>
      <c r="GI162" s="358"/>
      <c r="GJ162" s="358"/>
      <c r="GK162" s="358"/>
      <c r="GL162" s="358"/>
      <c r="GM162" s="358"/>
      <c r="GN162" s="358"/>
      <c r="GO162" s="358"/>
      <c r="GP162" s="358"/>
      <c r="GQ162" s="358"/>
      <c r="GR162" s="358"/>
      <c r="GS162" s="358"/>
      <c r="GT162" s="358"/>
      <c r="GU162" s="358"/>
      <c r="GV162" s="358"/>
      <c r="GW162" s="358"/>
      <c r="GX162" s="358"/>
      <c r="GY162" s="358"/>
      <c r="GZ162" s="358"/>
      <c r="HA162" s="358"/>
      <c r="HB162" s="358"/>
      <c r="HC162" s="358"/>
      <c r="HD162" s="358"/>
      <c r="HE162" s="358"/>
      <c r="HF162" s="358"/>
      <c r="HG162" s="358"/>
      <c r="HH162" s="358"/>
      <c r="HI162" s="358"/>
      <c r="HJ162" s="358"/>
      <c r="HK162" s="358"/>
      <c r="HL162" s="358"/>
      <c r="HM162" s="358"/>
      <c r="HN162" s="358"/>
      <c r="HO162" s="358"/>
      <c r="HP162" s="358"/>
      <c r="HQ162" s="358"/>
      <c r="HR162" s="358"/>
      <c r="HS162" s="358"/>
      <c r="HT162" s="358"/>
      <c r="HU162" s="358"/>
      <c r="HV162" s="358"/>
      <c r="HW162" s="358"/>
      <c r="HX162" s="358"/>
    </row>
    <row r="163" spans="1:232" s="5" customFormat="1" ht="20.100000000000001" customHeight="1">
      <c r="A163" s="503"/>
      <c r="B163" s="1661"/>
      <c r="C163" s="1662"/>
      <c r="D163" s="1662"/>
      <c r="E163" s="1663"/>
      <c r="F163" s="1598"/>
      <c r="G163" s="1598"/>
      <c r="H163" s="1598"/>
      <c r="I163" s="562"/>
      <c r="J163" s="506"/>
      <c r="O163" s="405"/>
      <c r="P163" s="405"/>
      <c r="Q163" s="405"/>
      <c r="R163" s="405"/>
      <c r="S163" s="405"/>
      <c r="T163" s="405"/>
      <c r="U163" s="358"/>
      <c r="V163" s="358"/>
      <c r="W163" s="358"/>
      <c r="X163" s="358"/>
      <c r="Y163" s="358"/>
      <c r="Z163" s="358"/>
      <c r="AA163" s="358"/>
      <c r="AB163" s="358"/>
      <c r="AC163" s="358"/>
      <c r="AD163" s="358"/>
      <c r="AE163" s="358"/>
      <c r="AF163" s="358"/>
      <c r="AG163" s="358"/>
      <c r="AH163" s="358"/>
      <c r="AI163" s="358"/>
      <c r="AJ163" s="358"/>
      <c r="AK163" s="358"/>
      <c r="AL163" s="358"/>
      <c r="AM163" s="358"/>
      <c r="AN163" s="358"/>
      <c r="AO163" s="358"/>
      <c r="AP163" s="358"/>
      <c r="AQ163" s="358"/>
      <c r="AR163" s="358"/>
      <c r="AS163" s="358"/>
      <c r="AT163" s="358"/>
      <c r="AU163" s="358"/>
      <c r="AV163" s="358"/>
      <c r="AW163" s="358"/>
      <c r="AX163" s="358"/>
      <c r="AY163" s="358"/>
      <c r="AZ163" s="358"/>
      <c r="BA163" s="358"/>
      <c r="BB163" s="358"/>
      <c r="BC163" s="358"/>
      <c r="BD163" s="358"/>
      <c r="BE163" s="358"/>
      <c r="BF163" s="358"/>
      <c r="BG163" s="358"/>
      <c r="BH163" s="358"/>
      <c r="BI163" s="358"/>
      <c r="BJ163" s="358"/>
      <c r="BK163" s="358"/>
      <c r="BL163" s="358"/>
      <c r="BM163" s="358"/>
      <c r="BN163" s="358"/>
      <c r="BO163" s="358"/>
      <c r="BP163" s="358"/>
      <c r="BQ163" s="358"/>
      <c r="BR163" s="358"/>
      <c r="BS163" s="358"/>
      <c r="BT163" s="358"/>
      <c r="BU163" s="358"/>
      <c r="BV163" s="358"/>
      <c r="BW163" s="358"/>
      <c r="BX163" s="358"/>
      <c r="BY163" s="358"/>
      <c r="BZ163" s="358"/>
      <c r="CA163" s="358"/>
      <c r="CB163" s="358"/>
      <c r="CC163" s="358"/>
      <c r="CD163" s="358"/>
      <c r="CE163" s="358"/>
      <c r="CF163" s="358"/>
      <c r="CG163" s="358"/>
      <c r="CH163" s="358"/>
      <c r="CI163" s="358"/>
      <c r="CJ163" s="358"/>
      <c r="CK163" s="358"/>
      <c r="CL163" s="358"/>
      <c r="CM163" s="358"/>
      <c r="CN163" s="358"/>
      <c r="CO163" s="358"/>
      <c r="CP163" s="358"/>
      <c r="CQ163" s="358"/>
      <c r="CR163" s="358"/>
      <c r="CS163" s="358"/>
      <c r="CT163" s="358"/>
      <c r="CU163" s="358"/>
      <c r="CV163" s="358"/>
      <c r="CW163" s="358"/>
      <c r="CX163" s="358"/>
      <c r="CY163" s="358"/>
      <c r="CZ163" s="358"/>
      <c r="DA163" s="358"/>
      <c r="DB163" s="358"/>
      <c r="DC163" s="358"/>
      <c r="DD163" s="358"/>
      <c r="DE163" s="358"/>
      <c r="DF163" s="358"/>
      <c r="DG163" s="358"/>
      <c r="DH163" s="358"/>
      <c r="DI163" s="358"/>
      <c r="DJ163" s="358"/>
      <c r="DK163" s="358"/>
      <c r="DL163" s="358"/>
      <c r="DM163" s="358"/>
      <c r="DN163" s="358"/>
      <c r="DO163" s="358"/>
      <c r="DP163" s="358"/>
      <c r="DQ163" s="358"/>
      <c r="DR163" s="358"/>
      <c r="DS163" s="358"/>
      <c r="DT163" s="358"/>
      <c r="DU163" s="358"/>
      <c r="DV163" s="358"/>
      <c r="DW163" s="358"/>
      <c r="DX163" s="358"/>
      <c r="DY163" s="358"/>
      <c r="DZ163" s="358"/>
      <c r="EA163" s="358"/>
      <c r="EB163" s="358"/>
      <c r="EC163" s="358"/>
      <c r="ED163" s="358"/>
      <c r="EE163" s="358"/>
      <c r="EF163" s="358"/>
      <c r="EG163" s="358"/>
      <c r="EH163" s="358"/>
      <c r="EI163" s="358"/>
      <c r="EJ163" s="358"/>
      <c r="EK163" s="358"/>
      <c r="EL163" s="358"/>
      <c r="EM163" s="358"/>
      <c r="EN163" s="358"/>
      <c r="EO163" s="358"/>
      <c r="EP163" s="358"/>
      <c r="EQ163" s="358"/>
      <c r="ER163" s="358"/>
      <c r="ES163" s="358"/>
      <c r="ET163" s="358"/>
      <c r="EU163" s="358"/>
      <c r="EV163" s="358"/>
      <c r="EW163" s="358"/>
      <c r="EX163" s="358"/>
      <c r="EY163" s="358"/>
      <c r="EZ163" s="358"/>
      <c r="FA163" s="358"/>
      <c r="FB163" s="358"/>
      <c r="FC163" s="358"/>
      <c r="FD163" s="358"/>
      <c r="FE163" s="358"/>
      <c r="FF163" s="358"/>
      <c r="FG163" s="358"/>
      <c r="FH163" s="358"/>
      <c r="FI163" s="358"/>
      <c r="FJ163" s="358"/>
      <c r="FK163" s="358"/>
      <c r="FL163" s="358"/>
      <c r="FM163" s="358"/>
      <c r="FN163" s="358"/>
      <c r="FO163" s="358"/>
      <c r="FP163" s="358"/>
      <c r="FQ163" s="358"/>
      <c r="FR163" s="358"/>
      <c r="FS163" s="358"/>
      <c r="FT163" s="358"/>
      <c r="FU163" s="358"/>
      <c r="FV163" s="358"/>
      <c r="FW163" s="358"/>
      <c r="FX163" s="358"/>
      <c r="FY163" s="358"/>
      <c r="FZ163" s="358"/>
      <c r="GA163" s="358"/>
      <c r="GB163" s="358"/>
      <c r="GC163" s="358"/>
      <c r="GD163" s="358"/>
      <c r="GE163" s="358"/>
      <c r="GF163" s="358"/>
      <c r="GG163" s="358"/>
      <c r="GH163" s="358"/>
      <c r="GI163" s="358"/>
      <c r="GJ163" s="358"/>
      <c r="GK163" s="358"/>
      <c r="GL163" s="358"/>
      <c r="GM163" s="358"/>
      <c r="GN163" s="358"/>
      <c r="GO163" s="358"/>
      <c r="GP163" s="358"/>
      <c r="GQ163" s="358"/>
      <c r="GR163" s="358"/>
      <c r="GS163" s="358"/>
      <c r="GT163" s="358"/>
      <c r="GU163" s="358"/>
      <c r="GV163" s="358"/>
      <c r="GW163" s="358"/>
      <c r="GX163" s="358"/>
      <c r="GY163" s="358"/>
      <c r="GZ163" s="358"/>
      <c r="HA163" s="358"/>
      <c r="HB163" s="358"/>
      <c r="HC163" s="358"/>
      <c r="HD163" s="358"/>
      <c r="HE163" s="358"/>
      <c r="HF163" s="358"/>
      <c r="HG163" s="358"/>
      <c r="HH163" s="358"/>
      <c r="HI163" s="358"/>
      <c r="HJ163" s="358"/>
      <c r="HK163" s="358"/>
      <c r="HL163" s="358"/>
      <c r="HM163" s="358"/>
      <c r="HN163" s="358"/>
      <c r="HO163" s="358"/>
      <c r="HP163" s="358"/>
      <c r="HQ163" s="358"/>
      <c r="HR163" s="358"/>
      <c r="HS163" s="358"/>
      <c r="HT163" s="358"/>
      <c r="HU163" s="358"/>
      <c r="HV163" s="358"/>
      <c r="HW163" s="358"/>
      <c r="HX163" s="358"/>
    </row>
    <row r="164" spans="1:232" s="5" customFormat="1" ht="20.100000000000001" customHeight="1">
      <c r="A164" s="503"/>
      <c r="B164" s="1661"/>
      <c r="C164" s="1662"/>
      <c r="D164" s="1662"/>
      <c r="E164" s="1663"/>
      <c r="F164" s="1598"/>
      <c r="G164" s="1598"/>
      <c r="H164" s="1598"/>
      <c r="I164" s="562"/>
      <c r="J164" s="506"/>
      <c r="O164" s="405"/>
      <c r="P164" s="405"/>
      <c r="Q164" s="405"/>
      <c r="R164" s="405"/>
      <c r="S164" s="405"/>
      <c r="T164" s="405"/>
      <c r="U164" s="358"/>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row>
    <row r="165" spans="1:232" s="5" customFormat="1" ht="20.100000000000001" customHeight="1">
      <c r="A165" s="521"/>
      <c r="B165" s="522"/>
      <c r="C165" s="522"/>
      <c r="D165" s="522"/>
      <c r="E165" s="522"/>
      <c r="F165" s="523"/>
      <c r="G165" s="523"/>
      <c r="H165" s="523"/>
      <c r="J165" s="502"/>
      <c r="O165" s="405"/>
      <c r="P165" s="405"/>
      <c r="Q165" s="405"/>
      <c r="R165" s="405"/>
      <c r="S165" s="405"/>
      <c r="T165" s="405"/>
      <c r="U165" s="358"/>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row>
    <row r="166" spans="1:232" ht="20.100000000000001" customHeight="1">
      <c r="A166" s="1595" t="s">
        <v>1033</v>
      </c>
      <c r="B166" s="1595"/>
      <c r="C166" s="1595"/>
      <c r="D166" s="1595"/>
      <c r="E166" s="1595"/>
      <c r="F166" s="1595"/>
      <c r="G166" s="1595"/>
      <c r="H166" s="1595"/>
      <c r="I166" s="1595"/>
      <c r="J166" s="1595"/>
      <c r="N166" s="5"/>
      <c r="O166" s="405"/>
      <c r="P166" s="405"/>
      <c r="Q166" s="405"/>
      <c r="R166" s="405"/>
      <c r="S166" s="405"/>
    </row>
    <row r="167" spans="1:232" ht="20.100000000000001" customHeight="1">
      <c r="A167" s="1596" t="s">
        <v>121</v>
      </c>
      <c r="B167" s="1596"/>
      <c r="C167" s="1596"/>
      <c r="D167" s="1596"/>
      <c r="E167" s="1596"/>
      <c r="F167" s="1596"/>
      <c r="G167" s="1596"/>
      <c r="H167" s="1596"/>
      <c r="I167" s="1596"/>
      <c r="J167" s="1596"/>
    </row>
    <row r="168" spans="1:232" ht="20.100000000000001" customHeight="1">
      <c r="A168" s="1600" t="s">
        <v>917</v>
      </c>
      <c r="B168" s="1600"/>
      <c r="C168" s="1600"/>
      <c r="D168" s="1600"/>
      <c r="E168" s="1600"/>
      <c r="F168" s="1600"/>
      <c r="G168" s="1600"/>
      <c r="H168" s="1600"/>
      <c r="I168" s="1600"/>
      <c r="J168" s="1600"/>
    </row>
    <row r="169" spans="1:232" ht="20.100000000000001" customHeight="1">
      <c r="A169" s="1595"/>
      <c r="B169" s="1595"/>
      <c r="C169" s="1595"/>
      <c r="D169" s="1595"/>
      <c r="E169" s="1595"/>
      <c r="F169" s="1595"/>
      <c r="G169" s="1595"/>
      <c r="H169" s="1595"/>
      <c r="I169" s="1595"/>
      <c r="J169" s="1595"/>
    </row>
    <row r="170" spans="1:232" ht="20.100000000000001" customHeight="1">
      <c r="A170" s="1672" t="s">
        <v>820</v>
      </c>
      <c r="B170" s="1672"/>
      <c r="C170" s="1672"/>
      <c r="D170" s="1672"/>
      <c r="E170" s="1599" t="s">
        <v>186</v>
      </c>
      <c r="F170" s="1599"/>
      <c r="G170" s="1599"/>
      <c r="H170" s="640" t="s">
        <v>5</v>
      </c>
      <c r="I170" s="507"/>
      <c r="J170" s="507"/>
    </row>
    <row r="171" spans="1:232" ht="20.100000000000001" customHeight="1">
      <c r="I171" s="640"/>
      <c r="J171" s="640"/>
    </row>
    <row r="172" spans="1:232" ht="20.100000000000001" customHeight="1">
      <c r="A172" s="640"/>
      <c r="B172" s="640"/>
      <c r="C172" s="640"/>
      <c r="D172" s="640"/>
      <c r="E172" s="640"/>
      <c r="F172" s="640"/>
      <c r="G172" s="640"/>
      <c r="H172" s="640"/>
      <c r="I172" s="640"/>
      <c r="J172" s="640"/>
    </row>
    <row r="173" spans="1:232" ht="20.100000000000001" customHeight="1">
      <c r="A173" s="640"/>
      <c r="B173" s="640"/>
      <c r="C173" s="640"/>
      <c r="D173" s="640"/>
      <c r="E173" s="640"/>
      <c r="F173" s="640"/>
      <c r="G173" s="640"/>
      <c r="H173" s="640"/>
      <c r="I173" s="640"/>
      <c r="J173" s="640"/>
    </row>
    <row r="174" spans="1:232" ht="20.100000000000001" customHeight="1">
      <c r="A174" s="640"/>
      <c r="B174" s="640"/>
      <c r="C174" s="640"/>
      <c r="D174" s="640"/>
      <c r="E174" s="640"/>
      <c r="F174" s="640"/>
      <c r="G174" s="640"/>
      <c r="H174" s="640"/>
      <c r="I174" s="640"/>
      <c r="J174" s="640"/>
    </row>
    <row r="175" spans="1:232" ht="20.100000000000001" customHeight="1">
      <c r="A175" s="640"/>
      <c r="B175" s="640"/>
      <c r="C175" s="640"/>
      <c r="D175" s="640"/>
      <c r="E175" s="640"/>
      <c r="F175" s="640"/>
      <c r="G175" s="640"/>
      <c r="H175" s="640"/>
      <c r="I175" s="640"/>
      <c r="J175" s="640"/>
    </row>
    <row r="176" spans="1:232" ht="20.100000000000001" customHeight="1">
      <c r="A176" s="640"/>
      <c r="B176" s="640"/>
      <c r="C176" s="640"/>
      <c r="D176" s="640"/>
      <c r="E176" s="640"/>
      <c r="F176" s="640"/>
      <c r="G176" s="640"/>
      <c r="H176" s="640"/>
      <c r="I176" s="640"/>
      <c r="J176" s="640"/>
    </row>
    <row r="177" spans="1:10" ht="20.100000000000001" customHeight="1">
      <c r="A177" s="508"/>
      <c r="B177" s="508"/>
      <c r="C177" s="508"/>
      <c r="D177" s="508"/>
      <c r="E177" s="508"/>
      <c r="F177" s="508"/>
      <c r="G177" s="508"/>
      <c r="H177" s="508"/>
      <c r="I177" s="508"/>
      <c r="J177" s="508"/>
    </row>
  </sheetData>
  <mergeCells count="146">
    <mergeCell ref="A1:J1"/>
    <mergeCell ref="A2:J2"/>
    <mergeCell ref="A3:J3"/>
    <mergeCell ref="A4:J4"/>
    <mergeCell ref="A5:J5"/>
    <mergeCell ref="A6:J6"/>
    <mergeCell ref="C8:J8"/>
    <mergeCell ref="C9:J9"/>
    <mergeCell ref="C10:J10"/>
    <mergeCell ref="C11:J11"/>
    <mergeCell ref="A12:J12"/>
    <mergeCell ref="A13:J13"/>
    <mergeCell ref="A14:J14"/>
    <mergeCell ref="A16:E16"/>
    <mergeCell ref="F16:J16"/>
    <mergeCell ref="A17:E17"/>
    <mergeCell ref="F17:J17"/>
    <mergeCell ref="A18:J18"/>
    <mergeCell ref="A19:E19"/>
    <mergeCell ref="F19:J19"/>
    <mergeCell ref="A20:E20"/>
    <mergeCell ref="F20:J20"/>
    <mergeCell ref="A21:J21"/>
    <mergeCell ref="E22:J22"/>
    <mergeCell ref="E23:J23"/>
    <mergeCell ref="A25:J25"/>
    <mergeCell ref="A26:J26"/>
    <mergeCell ref="A27:J27"/>
    <mergeCell ref="A28:J28"/>
    <mergeCell ref="B32:J32"/>
    <mergeCell ref="B33:J33"/>
    <mergeCell ref="B34:J34"/>
    <mergeCell ref="A41:J41"/>
    <mergeCell ref="A42:J42"/>
    <mergeCell ref="A44:A45"/>
    <mergeCell ref="B44:E45"/>
    <mergeCell ref="F44:H45"/>
    <mergeCell ref="I44:J44"/>
    <mergeCell ref="B46:E46"/>
    <mergeCell ref="F46:H46"/>
    <mergeCell ref="B47:E47"/>
    <mergeCell ref="F47:H47"/>
    <mergeCell ref="B48:E48"/>
    <mergeCell ref="F48:H48"/>
    <mergeCell ref="B49:E49"/>
    <mergeCell ref="F49:H49"/>
    <mergeCell ref="B50:E50"/>
    <mergeCell ref="F50:H50"/>
    <mergeCell ref="A51:J51"/>
    <mergeCell ref="A52:J52"/>
    <mergeCell ref="A53:J53"/>
    <mergeCell ref="A54:J54"/>
    <mergeCell ref="A56:E56"/>
    <mergeCell ref="F56:J56"/>
    <mergeCell ref="F57:G57"/>
    <mergeCell ref="H57:J57"/>
    <mergeCell ref="A77:E77"/>
    <mergeCell ref="F77:J77"/>
    <mergeCell ref="A78:E78"/>
    <mergeCell ref="F78:J78"/>
    <mergeCell ref="F79:J79"/>
    <mergeCell ref="F80:J80"/>
    <mergeCell ref="A82:J82"/>
    <mergeCell ref="A83:J83"/>
    <mergeCell ref="C84:J84"/>
    <mergeCell ref="C85:J85"/>
    <mergeCell ref="C86:J86"/>
    <mergeCell ref="C87:J87"/>
    <mergeCell ref="A91:J91"/>
    <mergeCell ref="A92:B92"/>
    <mergeCell ref="A96:C98"/>
    <mergeCell ref="D96:E96"/>
    <mergeCell ref="F96:J96"/>
    <mergeCell ref="D97:D98"/>
    <mergeCell ref="E97:E98"/>
    <mergeCell ref="F97:J98"/>
    <mergeCell ref="D93:I93"/>
    <mergeCell ref="A99:C101"/>
    <mergeCell ref="D99:E99"/>
    <mergeCell ref="F99:J99"/>
    <mergeCell ref="D100:D101"/>
    <mergeCell ref="E100:E101"/>
    <mergeCell ref="F100:J101"/>
    <mergeCell ref="A102:F102"/>
    <mergeCell ref="A103:F103"/>
    <mergeCell ref="H103:J103"/>
    <mergeCell ref="A104:G104"/>
    <mergeCell ref="A105:G105"/>
    <mergeCell ref="A106:G106"/>
    <mergeCell ref="A107:G107"/>
    <mergeCell ref="A108:G108"/>
    <mergeCell ref="A109:G109"/>
    <mergeCell ref="A111:G111"/>
    <mergeCell ref="H111:J111"/>
    <mergeCell ref="A112:J112"/>
    <mergeCell ref="A113:J113"/>
    <mergeCell ref="A114:J114"/>
    <mergeCell ref="A115:J115"/>
    <mergeCell ref="A116:J116"/>
    <mergeCell ref="A117:J117"/>
    <mergeCell ref="C119:J119"/>
    <mergeCell ref="C120:J120"/>
    <mergeCell ref="C121:J121"/>
    <mergeCell ref="C122:J122"/>
    <mergeCell ref="A123:J123"/>
    <mergeCell ref="A124:J124"/>
    <mergeCell ref="A125:J125"/>
    <mergeCell ref="A127:E127"/>
    <mergeCell ref="F127:J127"/>
    <mergeCell ref="A128:E128"/>
    <mergeCell ref="F128:J128"/>
    <mergeCell ref="A129:J129"/>
    <mergeCell ref="A130:E130"/>
    <mergeCell ref="F130:J130"/>
    <mergeCell ref="A132:J132"/>
    <mergeCell ref="A135:J135"/>
    <mergeCell ref="E136:J136"/>
    <mergeCell ref="E137:J137"/>
    <mergeCell ref="A139:J139"/>
    <mergeCell ref="A140:J140"/>
    <mergeCell ref="I158:J158"/>
    <mergeCell ref="B160:E160"/>
    <mergeCell ref="F160:H160"/>
    <mergeCell ref="A142:J142"/>
    <mergeCell ref="B146:J146"/>
    <mergeCell ref="B147:J147"/>
    <mergeCell ref="A154:J154"/>
    <mergeCell ref="A155:J155"/>
    <mergeCell ref="A156:J156"/>
    <mergeCell ref="F161:H161"/>
    <mergeCell ref="B162:E162"/>
    <mergeCell ref="F162:H162"/>
    <mergeCell ref="B163:E163"/>
    <mergeCell ref="F163:H163"/>
    <mergeCell ref="A158:A159"/>
    <mergeCell ref="B158:E159"/>
    <mergeCell ref="F158:H159"/>
    <mergeCell ref="A170:D170"/>
    <mergeCell ref="E170:G170"/>
    <mergeCell ref="B164:E164"/>
    <mergeCell ref="F164:H164"/>
    <mergeCell ref="A166:J166"/>
    <mergeCell ref="A167:J167"/>
    <mergeCell ref="A168:J168"/>
    <mergeCell ref="A169:J169"/>
    <mergeCell ref="B161:E161"/>
  </mergeCells>
  <printOptions horizontalCentered="1"/>
  <pageMargins left="0.70866141732283472" right="0" top="0.51181102362204722" bottom="0.51181102362204722" header="0.31496062992125984" footer="0.31496062992125984"/>
  <pageSetup paperSize="9" orientation="portrait" r:id="rId1"/>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58"/>
  <sheetViews>
    <sheetView view="pageBreakPreview" zoomScale="115" zoomScaleNormal="100" zoomScaleSheetLayoutView="115" workbookViewId="0">
      <selection activeCell="K62" sqref="K62"/>
    </sheetView>
  </sheetViews>
  <sheetFormatPr defaultColWidth="10.28515625" defaultRowHeight="15"/>
  <cols>
    <col min="1" max="1" width="2.7109375" style="203" customWidth="1"/>
    <col min="2" max="2" width="5.7109375" style="203" customWidth="1"/>
    <col min="3" max="3" width="14.28515625" style="203" customWidth="1"/>
    <col min="4" max="4" width="8.7109375" style="203" customWidth="1"/>
    <col min="5" max="5" width="9.140625" style="203" customWidth="1"/>
    <col min="6" max="6" width="7.5703125" style="203" customWidth="1"/>
    <col min="7" max="7" width="8.7109375" style="203" customWidth="1"/>
    <col min="8" max="8" width="7.7109375" style="203" customWidth="1"/>
    <col min="9" max="9" width="9.28515625" style="203" customWidth="1"/>
    <col min="10" max="10" width="8.5703125" style="203" customWidth="1"/>
    <col min="11" max="13" width="7.42578125" style="203" customWidth="1"/>
    <col min="14" max="16384" width="10.28515625" style="203"/>
  </cols>
  <sheetData>
    <row r="1" spans="1:20" ht="15" customHeight="1">
      <c r="A1" s="1276" t="str">
        <f>'[5]Du lieu'!C4</f>
        <v>KHU HỖN HỢP CHUNG CƯ, VĂN PHÒNG, TRUNG TÂM THƯƠNG MẠI VÀ NHÀ Ở KẾT HỢP KHU MUA SẮM</v>
      </c>
      <c r="B1" s="1276"/>
      <c r="C1" s="1276"/>
      <c r="D1" s="1276"/>
      <c r="E1" s="1276"/>
      <c r="F1" s="1276"/>
      <c r="G1" s="1276"/>
      <c r="H1" s="1709" t="s">
        <v>336</v>
      </c>
      <c r="I1" s="1709"/>
      <c r="J1" s="1709"/>
      <c r="K1" s="1709"/>
      <c r="L1" s="1709"/>
      <c r="M1" s="1709"/>
      <c r="O1" s="212"/>
      <c r="P1" s="212"/>
      <c r="R1" s="212"/>
    </row>
    <row r="2" spans="1:20" ht="15" customHeight="1">
      <c r="A2" s="1276"/>
      <c r="B2" s="1276"/>
      <c r="C2" s="1276"/>
      <c r="D2" s="1276"/>
      <c r="E2" s="1276"/>
      <c r="F2" s="1276"/>
      <c r="G2" s="1276"/>
      <c r="H2" s="1424" t="s">
        <v>344</v>
      </c>
      <c r="I2" s="1424"/>
      <c r="J2" s="1424"/>
      <c r="K2" s="1424"/>
      <c r="L2" s="1424"/>
      <c r="M2" s="1424"/>
      <c r="N2" s="202"/>
      <c r="O2" s="202"/>
      <c r="P2" s="205" t="s">
        <v>347</v>
      </c>
      <c r="Q2" s="206"/>
      <c r="R2" s="631" t="str">
        <f>'2. NK'!R2</f>
        <v>B1</v>
      </c>
    </row>
    <row r="3" spans="1:20" ht="13.5" customHeight="1">
      <c r="A3" s="207"/>
      <c r="B3" s="207"/>
      <c r="C3" s="207"/>
      <c r="D3" s="207"/>
      <c r="E3" s="207"/>
      <c r="F3" s="207"/>
      <c r="G3" s="207"/>
      <c r="H3" s="1277" t="s">
        <v>155</v>
      </c>
      <c r="I3" s="1277"/>
      <c r="J3" s="1277"/>
      <c r="K3" s="1277"/>
      <c r="L3" s="1277"/>
      <c r="M3" s="1277"/>
      <c r="N3" s="202"/>
      <c r="O3" s="202"/>
      <c r="P3" s="205" t="s">
        <v>13</v>
      </c>
      <c r="Q3" s="206"/>
      <c r="R3" s="586">
        <f>VLOOKUP($R$2,'Thong tin'!A:R,13,0)</f>
        <v>800</v>
      </c>
    </row>
    <row r="4" spans="1:20" s="209" customFormat="1" ht="19.5" customHeight="1" thickBot="1">
      <c r="A4" s="1710" t="s">
        <v>345</v>
      </c>
      <c r="B4" s="1710"/>
      <c r="C4" s="1710"/>
      <c r="D4" s="1710"/>
      <c r="E4" s="1710"/>
      <c r="F4" s="1710"/>
      <c r="G4" s="1710"/>
      <c r="H4" s="1710"/>
      <c r="I4" s="1710"/>
      <c r="J4" s="1710"/>
      <c r="K4" s="1710"/>
      <c r="L4" s="1710"/>
      <c r="M4" s="1710"/>
      <c r="N4" s="208"/>
      <c r="O4" s="208"/>
      <c r="P4" s="205" t="s">
        <v>70</v>
      </c>
      <c r="Q4" s="206"/>
      <c r="R4" s="586">
        <f>VLOOKUP($R$2,'Thong tin'!$A:$R,6,0)</f>
        <v>-8</v>
      </c>
    </row>
    <row r="5" spans="1:20" s="214" customFormat="1" ht="15.75" customHeight="1" thickTop="1">
      <c r="A5" s="210" t="str">
        <f>'1. Bia'!B10</f>
        <v>DỰ ÁN:</v>
      </c>
      <c r="B5" s="211"/>
      <c r="C5" s="211"/>
      <c r="D5" s="1280" t="str">
        <f>'1. Bia'!E10</f>
        <v>KHU HỖN HỢP CHUNG CƯ, VĂN PHÒNG, TRUNG TÂM THƯƠNG MẠI VÀ NHÀ Ở KẾT HỢP KHU MUA SẮM</v>
      </c>
      <c r="E5" s="1280"/>
      <c r="F5" s="1280"/>
      <c r="G5" s="1280"/>
      <c r="H5" s="1280"/>
      <c r="I5" s="1280"/>
      <c r="J5" s="1281"/>
      <c r="K5" s="1282" t="s">
        <v>482</v>
      </c>
      <c r="L5" s="1283"/>
      <c r="M5" s="1284"/>
      <c r="N5" s="213"/>
      <c r="O5" s="213"/>
      <c r="P5" s="205" t="s">
        <v>71</v>
      </c>
      <c r="Q5" s="206" t="s">
        <v>69</v>
      </c>
      <c r="R5" s="586"/>
    </row>
    <row r="6" spans="1:20" s="214" customFormat="1">
      <c r="A6" s="210"/>
      <c r="B6" s="211"/>
      <c r="C6" s="211"/>
      <c r="D6" s="1280"/>
      <c r="E6" s="1280"/>
      <c r="F6" s="1280"/>
      <c r="G6" s="1280"/>
      <c r="H6" s="1280"/>
      <c r="I6" s="1280"/>
      <c r="J6" s="1281"/>
      <c r="K6" s="1285" t="s">
        <v>483</v>
      </c>
      <c r="L6" s="1288" t="s">
        <v>197</v>
      </c>
      <c r="M6" s="1291" t="s">
        <v>157</v>
      </c>
      <c r="N6" s="213"/>
      <c r="O6" s="213"/>
      <c r="P6" s="205"/>
      <c r="Q6" s="206"/>
      <c r="R6" s="586"/>
    </row>
    <row r="7" spans="1:20" s="214" customFormat="1">
      <c r="A7" s="882" t="str">
        <f>'1. Bia'!B11</f>
        <v>CÔNG TRÌNH:</v>
      </c>
      <c r="B7" s="211"/>
      <c r="C7" s="211"/>
      <c r="D7" s="881" t="str">
        <f>'1. Bia'!E11</f>
        <v>KHU HỖN HỢP CHUNG CƯ, VĂN PHÒNG, TTTM</v>
      </c>
      <c r="E7" s="880"/>
      <c r="F7" s="880"/>
      <c r="G7" s="880"/>
      <c r="H7" s="880"/>
      <c r="I7" s="880"/>
      <c r="J7" s="879"/>
      <c r="K7" s="1286"/>
      <c r="L7" s="1289"/>
      <c r="M7" s="1292"/>
      <c r="N7" s="213"/>
      <c r="O7" s="213"/>
      <c r="P7" s="682"/>
      <c r="Q7" s="683"/>
      <c r="R7" s="684"/>
    </row>
    <row r="8" spans="1:20" s="214" customFormat="1" ht="15" customHeight="1">
      <c r="A8" s="883" t="str">
        <f>'1. Bia'!B12</f>
        <v>GÓI THẦU:</v>
      </c>
      <c r="B8" s="215"/>
      <c r="C8" s="215"/>
      <c r="D8" s="881" t="str">
        <f>'1. Bia'!E12</f>
        <v>THI CÔNG CỌC KHOAN NHỒI</v>
      </c>
      <c r="E8" s="215"/>
      <c r="F8" s="215"/>
      <c r="G8" s="213"/>
      <c r="H8" s="213"/>
      <c r="I8" s="213"/>
      <c r="J8" s="213"/>
      <c r="K8" s="1286"/>
      <c r="L8" s="1289"/>
      <c r="M8" s="1292"/>
      <c r="N8" s="213"/>
      <c r="O8" s="213"/>
      <c r="P8" s="682"/>
      <c r="Q8" s="683" t="s">
        <v>158</v>
      </c>
      <c r="R8" s="586">
        <f>VLOOKUP($R$2,'Thong tin'!$A:$R,15,0)</f>
        <v>16</v>
      </c>
    </row>
    <row r="9" spans="1:20" s="214" customFormat="1" ht="14.25" customHeight="1">
      <c r="A9" s="883" t="str">
        <f>'1. Bia'!B13</f>
        <v>ĐỊA ĐIỂM:</v>
      </c>
      <c r="D9" s="881" t="str">
        <f>'1. Bia'!E13</f>
        <v>ĐƯỜNG 25/4, P BẠCH ĐẰNG, TP HẠ LONG, TỈNH QUẢNG NINH</v>
      </c>
      <c r="F9" s="212"/>
      <c r="G9" s="212"/>
      <c r="H9" s="213"/>
      <c r="I9" s="213"/>
      <c r="J9" s="213"/>
      <c r="K9" s="1286"/>
      <c r="L9" s="1289"/>
      <c r="M9" s="1292"/>
      <c r="N9" s="213"/>
      <c r="O9" s="213"/>
      <c r="P9" s="685"/>
      <c r="Q9" s="686" t="s">
        <v>69</v>
      </c>
      <c r="R9" s="586">
        <f>VLOOKUP($R$2,'Thong tin'!$A:$R,14,0)</f>
        <v>20</v>
      </c>
      <c r="S9" s="685"/>
      <c r="T9" s="685"/>
    </row>
    <row r="10" spans="1:20" s="214" customFormat="1" ht="15" customHeight="1" thickBot="1">
      <c r="A10" s="216" t="s">
        <v>189</v>
      </c>
      <c r="B10" s="213"/>
      <c r="C10" s="213"/>
      <c r="D10" s="217" t="str">
        <f>R2</f>
        <v>B1</v>
      </c>
      <c r="E10" s="213"/>
      <c r="F10" s="216" t="s">
        <v>6</v>
      </c>
      <c r="G10" s="213"/>
      <c r="H10" s="218">
        <f>R3</f>
        <v>800</v>
      </c>
      <c r="I10" s="213" t="s">
        <v>159</v>
      </c>
      <c r="J10" s="213"/>
      <c r="K10" s="1287"/>
      <c r="L10" s="1290"/>
      <c r="M10" s="1293"/>
      <c r="N10" s="213"/>
      <c r="P10" s="685"/>
      <c r="Q10" s="686"/>
      <c r="R10" s="687"/>
      <c r="S10" s="685"/>
      <c r="T10" s="685"/>
    </row>
    <row r="11" spans="1:20" s="214" customFormat="1" ht="15" customHeight="1" thickTop="1">
      <c r="A11" s="1267" t="s">
        <v>160</v>
      </c>
      <c r="B11" s="1269" t="s">
        <v>369</v>
      </c>
      <c r="C11" s="1269"/>
      <c r="D11" s="288"/>
      <c r="E11" s="288" t="s">
        <v>370</v>
      </c>
      <c r="F11" s="933">
        <f>VLOOKUP($D$10,DT.NK!$B:$AZ,2,0)</f>
        <v>0.375</v>
      </c>
      <c r="G11" s="298" t="s">
        <v>349</v>
      </c>
      <c r="H11" s="933">
        <f>VLOOKUP($D$10,DT.NK!$B:$AZ,3,0)</f>
        <v>0.39583333333333331</v>
      </c>
      <c r="I11" s="294" t="s">
        <v>354</v>
      </c>
      <c r="J11" s="893">
        <f>VLOOKUP($D$10,DT.NK!$B:$AZ,4,0)</f>
        <v>42466</v>
      </c>
      <c r="K11" s="318"/>
      <c r="L11" s="568"/>
      <c r="M11" s="319"/>
      <c r="N11" s="213"/>
      <c r="P11" s="685" t="s">
        <v>68</v>
      </c>
      <c r="Q11" s="685"/>
      <c r="R11" s="685" t="s">
        <v>464</v>
      </c>
      <c r="S11" s="685"/>
      <c r="T11" s="685"/>
    </row>
    <row r="12" spans="1:20" s="214" customFormat="1" ht="12">
      <c r="A12" s="1268"/>
      <c r="B12" s="1270"/>
      <c r="C12" s="1270"/>
      <c r="D12" s="289"/>
      <c r="E12" s="788"/>
      <c r="F12" s="289"/>
      <c r="G12" s="297"/>
      <c r="H12" s="658"/>
      <c r="I12" s="285"/>
      <c r="J12" s="310"/>
      <c r="K12" s="320"/>
      <c r="L12" s="569"/>
      <c r="M12" s="321"/>
      <c r="N12" s="213"/>
      <c r="P12" s="685" t="s">
        <v>151</v>
      </c>
      <c r="Q12" s="685"/>
      <c r="R12" s="685" t="s">
        <v>465</v>
      </c>
      <c r="S12" s="685"/>
      <c r="T12" s="685"/>
    </row>
    <row r="13" spans="1:20" s="214" customFormat="1" ht="12" customHeight="1">
      <c r="A13" s="291" t="s">
        <v>161</v>
      </c>
      <c r="B13" s="257" t="s">
        <v>403</v>
      </c>
      <c r="C13" s="257"/>
      <c r="D13" s="306"/>
      <c r="E13" s="789" t="s">
        <v>370</v>
      </c>
      <c r="F13" s="934">
        <f>VLOOKUP($D$10,DT.NK!$B:$AZ,5,0)</f>
        <v>0.40277777777777773</v>
      </c>
      <c r="G13" s="299" t="s">
        <v>350</v>
      </c>
      <c r="H13" s="934">
        <f>VLOOKUP($D$10,DT.NK!$B:$AZ,6,0)</f>
        <v>0.40624999999999994</v>
      </c>
      <c r="I13" s="295" t="s">
        <v>354</v>
      </c>
      <c r="J13" s="894">
        <f>VLOOKUP($D$10,DT.NK!$B:$AZ,7,0)</f>
        <v>42466</v>
      </c>
      <c r="K13" s="318"/>
      <c r="L13" s="568"/>
      <c r="M13" s="319"/>
      <c r="N13" s="213"/>
      <c r="P13" s="685" t="s">
        <v>731</v>
      </c>
      <c r="Q13" s="685" t="s">
        <v>471</v>
      </c>
      <c r="R13" s="586">
        <f>VLOOKUP($R$2,'Thong tin'!$A:$R,2,0)</f>
        <v>2317790.6910000001</v>
      </c>
      <c r="S13" s="685"/>
      <c r="T13" s="685"/>
    </row>
    <row r="14" spans="1:20" s="214" customFormat="1" ht="12" customHeight="1">
      <c r="A14" s="222"/>
      <c r="B14" s="223" t="s">
        <v>338</v>
      </c>
      <c r="C14" s="567">
        <f>R13</f>
        <v>2317790.6910000001</v>
      </c>
      <c r="D14" s="223" t="s">
        <v>164</v>
      </c>
      <c r="E14" s="223" t="s">
        <v>339</v>
      </c>
      <c r="F14" s="1271">
        <f>I14+C14</f>
        <v>2317790.6920000003</v>
      </c>
      <c r="G14" s="1271"/>
      <c r="H14" s="224" t="s">
        <v>340</v>
      </c>
      <c r="I14" s="585">
        <f>VLOOKUP($D$10,DT.NK!$B:$AZ,8,0)</f>
        <v>1E-3</v>
      </c>
      <c r="J14" s="223" t="s">
        <v>164</v>
      </c>
      <c r="K14" s="322"/>
      <c r="L14" s="271"/>
      <c r="M14" s="323"/>
      <c r="N14" s="213"/>
      <c r="P14" s="685"/>
      <c r="Q14" s="685" t="s">
        <v>732</v>
      </c>
      <c r="R14" s="586">
        <f>VLOOKUP($R$2,'Thong tin'!$A:$R,3,0)</f>
        <v>430397.96399999998</v>
      </c>
      <c r="S14" s="685"/>
      <c r="T14" s="685"/>
    </row>
    <row r="15" spans="1:20" s="214" customFormat="1" ht="12" customHeight="1">
      <c r="A15" s="225"/>
      <c r="B15" s="223" t="s">
        <v>341</v>
      </c>
      <c r="C15" s="567">
        <f>R14</f>
        <v>430397.96399999998</v>
      </c>
      <c r="D15" s="223" t="s">
        <v>164</v>
      </c>
      <c r="E15" s="223" t="s">
        <v>342</v>
      </c>
      <c r="F15" s="1271">
        <f>I15+C15</f>
        <v>430397.984</v>
      </c>
      <c r="G15" s="1271"/>
      <c r="H15" s="224" t="s">
        <v>343</v>
      </c>
      <c r="I15" s="585">
        <f>VLOOKUP($D$10,DT.NK!$B:$AZ,9,0)</f>
        <v>0.02</v>
      </c>
      <c r="J15" s="223" t="s">
        <v>164</v>
      </c>
      <c r="K15" s="322"/>
      <c r="L15" s="271"/>
      <c r="M15" s="323"/>
      <c r="N15" s="213"/>
      <c r="P15" s="685" t="s">
        <v>733</v>
      </c>
      <c r="Q15" s="685"/>
      <c r="R15" s="687">
        <f>VLOOKUP($R$2,'Thong tin'!$A:$R,11,0)</f>
        <v>2</v>
      </c>
      <c r="S15" s="685"/>
      <c r="T15" s="685"/>
    </row>
    <row r="16" spans="1:20" s="214" customFormat="1" ht="12" customHeight="1">
      <c r="A16" s="225"/>
      <c r="B16" s="221" t="s">
        <v>727</v>
      </c>
      <c r="C16" s="224"/>
      <c r="D16" s="226"/>
      <c r="E16" s="306"/>
      <c r="F16" s="660">
        <f>VLOOKUP($D$10,DT.NK!$B:$AZ,10,0)</f>
        <v>-0.35299999999999998</v>
      </c>
      <c r="G16" s="1266" t="s">
        <v>728</v>
      </c>
      <c r="H16" s="1266"/>
      <c r="I16" s="1266"/>
      <c r="J16" s="659">
        <f>VLOOKUP($D$10,DT.NK!$B:$AZ,11,0)</f>
        <v>-0.71699999999999997</v>
      </c>
      <c r="K16" s="322"/>
      <c r="L16" s="271"/>
      <c r="M16" s="323"/>
      <c r="N16" s="213"/>
      <c r="P16" s="685" t="s">
        <v>734</v>
      </c>
      <c r="Q16" s="685"/>
      <c r="R16" s="687">
        <f>VLOOKUP($R$2,'Thong tin'!$A:$R,12,0)</f>
        <v>1</v>
      </c>
      <c r="S16" s="685"/>
      <c r="T16" s="685"/>
    </row>
    <row r="17" spans="1:22" s="214" customFormat="1" ht="12" customHeight="1">
      <c r="A17" s="225"/>
      <c r="C17" s="224"/>
      <c r="D17" s="226"/>
      <c r="E17" s="306"/>
      <c r="G17" s="1272"/>
      <c r="H17" s="1272"/>
      <c r="I17" s="1272"/>
      <c r="J17" s="227"/>
      <c r="K17" s="322"/>
      <c r="L17" s="271"/>
      <c r="M17" s="323"/>
      <c r="N17" s="213"/>
      <c r="P17" s="685" t="s">
        <v>846</v>
      </c>
      <c r="Q17" s="685"/>
      <c r="R17" s="685">
        <v>900</v>
      </c>
      <c r="S17" s="685"/>
      <c r="T17" s="685"/>
    </row>
    <row r="18" spans="1:22" s="214" customFormat="1" ht="13.5" customHeight="1">
      <c r="A18" s="291">
        <v>3</v>
      </c>
      <c r="B18" s="1265" t="s">
        <v>400</v>
      </c>
      <c r="C18" s="1265"/>
      <c r="D18" s="260"/>
      <c r="E18" s="290" t="s">
        <v>358</v>
      </c>
      <c r="F18" s="934">
        <f>VLOOKUP($D$10,DT.NK!$B:$AZ,12,0)</f>
        <v>0.40972222222222215</v>
      </c>
      <c r="G18" s="299" t="s">
        <v>350</v>
      </c>
      <c r="H18" s="934">
        <f>VLOOKUP($D$10,DT.NK!$B:$AZ,13,0)</f>
        <v>0.42013888888888884</v>
      </c>
      <c r="I18" s="284" t="s">
        <v>354</v>
      </c>
      <c r="J18" s="895">
        <f>VLOOKUP($D$10,DT.NK!$B:$AZ,14,0)</f>
        <v>42466</v>
      </c>
      <c r="K18" s="324"/>
      <c r="L18" s="260"/>
      <c r="M18" s="325"/>
      <c r="N18" s="213"/>
      <c r="P18" s="685" t="s">
        <v>845</v>
      </c>
      <c r="Q18" s="685"/>
      <c r="R18" s="688">
        <f>R4-H30+1-0.1</f>
        <v>22.603000000000002</v>
      </c>
      <c r="S18" s="685" t="s">
        <v>847</v>
      </c>
      <c r="T18" s="685"/>
    </row>
    <row r="19" spans="1:22" s="214" customFormat="1" ht="15" customHeight="1">
      <c r="A19" s="222"/>
      <c r="B19" s="221" t="s">
        <v>362</v>
      </c>
      <c r="C19" s="221"/>
      <c r="D19" s="228">
        <f>VLOOKUP($D$10,DT.NK!$B:$AZ,15,0)</f>
        <v>1.08</v>
      </c>
      <c r="E19" s="221" t="s">
        <v>364</v>
      </c>
      <c r="F19" s="223"/>
      <c r="G19" s="306"/>
      <c r="H19" s="236">
        <f>VLOOKUP($D$10,DT.NK!$B:$AZ,16,0)</f>
        <v>9</v>
      </c>
      <c r="I19" s="306"/>
      <c r="J19" s="223"/>
      <c r="K19" s="322"/>
      <c r="L19" s="271"/>
      <c r="M19" s="323"/>
      <c r="N19" s="213"/>
      <c r="P19" s="685" t="s">
        <v>843</v>
      </c>
      <c r="Q19" s="685"/>
      <c r="R19" s="685" t="s">
        <v>844</v>
      </c>
      <c r="S19" s="688">
        <f>F16-R4</f>
        <v>7.6470000000000002</v>
      </c>
      <c r="T19" s="685">
        <v>0.1</v>
      </c>
    </row>
    <row r="20" spans="1:22" s="214" customFormat="1" ht="15" customHeight="1">
      <c r="A20" s="225"/>
      <c r="B20" s="221" t="s">
        <v>363</v>
      </c>
      <c r="C20" s="221"/>
      <c r="D20" s="228">
        <f>VLOOKUP($D$10,DT.NK!$B:$AZ,17,0)</f>
        <v>19</v>
      </c>
      <c r="E20" s="221" t="s">
        <v>365</v>
      </c>
      <c r="F20" s="223"/>
      <c r="G20" s="306"/>
      <c r="H20" s="662">
        <f>VLOOKUP($D$10,DT.NK!$B:$AZ,18,0)</f>
        <v>0</v>
      </c>
      <c r="I20" s="306"/>
      <c r="J20" s="311"/>
      <c r="K20" s="322"/>
      <c r="L20" s="271"/>
      <c r="M20" s="323"/>
      <c r="N20" s="213"/>
      <c r="P20" s="685" t="s">
        <v>839</v>
      </c>
      <c r="Q20" s="685"/>
      <c r="R20" s="685" t="str">
        <f>$R$8*2&amp;"F"&amp;$R$9</f>
        <v>32F20</v>
      </c>
      <c r="S20" s="685">
        <f>IF(R3=1200,3.4,2.6)</f>
        <v>2.6</v>
      </c>
      <c r="T20" s="685"/>
      <c r="V20" s="214">
        <v>11.7</v>
      </c>
    </row>
    <row r="21" spans="1:22" s="214" customFormat="1" ht="15" customHeight="1">
      <c r="A21" s="225"/>
      <c r="B21" s="221" t="s">
        <v>356</v>
      </c>
      <c r="C21" s="221"/>
      <c r="D21" s="221"/>
      <c r="E21" s="224"/>
      <c r="F21" s="221"/>
      <c r="G21" s="221"/>
      <c r="H21" s="223"/>
      <c r="I21" s="223"/>
      <c r="J21" s="311"/>
      <c r="K21" s="322"/>
      <c r="L21" s="271"/>
      <c r="M21" s="323"/>
      <c r="N21" s="213"/>
      <c r="P21" s="685"/>
      <c r="Q21" s="685"/>
      <c r="R21" s="685"/>
      <c r="S21" s="685">
        <f>11.7-S20</f>
        <v>9.1</v>
      </c>
      <c r="T21" s="685"/>
    </row>
    <row r="22" spans="1:22" s="214" customFormat="1" ht="15" customHeight="1">
      <c r="A22" s="291">
        <v>4</v>
      </c>
      <c r="B22" s="257" t="s">
        <v>468</v>
      </c>
      <c r="C22" s="254"/>
      <c r="D22" s="239" t="s">
        <v>469</v>
      </c>
      <c r="E22" s="292"/>
      <c r="F22" s="239"/>
      <c r="G22" s="293" t="s">
        <v>359</v>
      </c>
      <c r="H22" s="935">
        <f>VLOOKUP($D$10,DT.NK!$B:$AZ,19,0)</f>
        <v>0.54513888888888884</v>
      </c>
      <c r="I22" s="295" t="s">
        <v>354</v>
      </c>
      <c r="J22" s="896">
        <f>VLOOKUP($D$10,DT.NK!$B:$AZ,20,0)</f>
        <v>42466</v>
      </c>
      <c r="K22" s="324"/>
      <c r="L22" s="260"/>
      <c r="M22" s="325"/>
      <c r="N22" s="213"/>
      <c r="P22" s="685" t="s">
        <v>840</v>
      </c>
      <c r="Q22" s="685"/>
      <c r="R22" s="685" t="str">
        <f>$R$8&amp;"F"&amp;$R$9</f>
        <v>16F20</v>
      </c>
      <c r="S22" s="685">
        <f>IF(R18-V20+0.9&gt;11.7,11.7,R18-V20+0.9)</f>
        <v>11.7</v>
      </c>
      <c r="T22" s="685" t="str">
        <f>IF(S22&lt;11.7,0.1,"")</f>
        <v/>
      </c>
    </row>
    <row r="23" spans="1:22" s="214" customFormat="1" ht="15" customHeight="1">
      <c r="A23" s="233"/>
      <c r="B23" s="221" t="s">
        <v>367</v>
      </c>
      <c r="C23" s="220"/>
      <c r="D23" s="235"/>
      <c r="E23" s="306"/>
      <c r="F23" s="235"/>
      <c r="G23" s="223"/>
      <c r="H23" s="660">
        <f>VLOOKUP($D$10,DT.NK!$B:$AZ,21,0)</f>
        <v>22.3</v>
      </c>
      <c r="I23" s="296"/>
      <c r="J23" s="551"/>
      <c r="K23" s="322"/>
      <c r="L23" s="271"/>
      <c r="M23" s="323"/>
      <c r="N23" s="213"/>
      <c r="P23" s="685" t="s">
        <v>841</v>
      </c>
      <c r="Q23" s="685"/>
      <c r="R23" s="685" t="str">
        <f>IF(S23="","",($R$8&amp;"F"&amp;$R$9))</f>
        <v>16F20</v>
      </c>
      <c r="S23" s="685">
        <f>IF(S22&lt;11.7,"",IF(R18-V20-S22+2*0.9&gt;11.7,11.7,R18-V20-S22+2*0.9))</f>
        <v>1.003000000000003</v>
      </c>
      <c r="T23" s="685">
        <f>IF(S23&lt;11.7,0.1,"")</f>
        <v>0.1</v>
      </c>
    </row>
    <row r="24" spans="1:22" s="214" customFormat="1" ht="13.5" customHeight="1">
      <c r="A24" s="229"/>
      <c r="B24" s="230" t="s">
        <v>879</v>
      </c>
      <c r="C24" s="231"/>
      <c r="D24" s="237"/>
      <c r="E24" s="237"/>
      <c r="F24" s="242"/>
      <c r="G24" s="242"/>
      <c r="H24" s="661">
        <f>-(H23-$F$16)</f>
        <v>-22.653000000000002</v>
      </c>
      <c r="I24" s="230"/>
      <c r="J24" s="556"/>
      <c r="K24" s="326"/>
      <c r="L24" s="570"/>
      <c r="M24" s="327"/>
      <c r="N24" s="213"/>
      <c r="O24" s="213"/>
      <c r="P24" s="685" t="s">
        <v>842</v>
      </c>
      <c r="Q24" s="685"/>
      <c r="R24" s="685" t="str">
        <f>IF(S24="","",($R$8&amp;"F"&amp;$R$9))</f>
        <v/>
      </c>
      <c r="S24" s="685" t="str">
        <f>IF(S23="","",IF(S23&lt;11.7,"",IF(R18-V20-S22-S23+3*0.9&gt;11.7,11.7,R18-V20-S22-S23+3*0.9)))</f>
        <v/>
      </c>
      <c r="T24" s="685" t="str">
        <f>IF(S24&lt;11.7,0.1,"")</f>
        <v/>
      </c>
    </row>
    <row r="25" spans="1:22" s="214" customFormat="1" ht="15" customHeight="1">
      <c r="A25" s="233">
        <v>5</v>
      </c>
      <c r="B25" s="234" t="s">
        <v>373</v>
      </c>
      <c r="C25" s="220"/>
      <c r="D25" s="235"/>
      <c r="E25" s="238"/>
      <c r="F25" s="235"/>
      <c r="G25" s="235"/>
      <c r="H25" s="936">
        <f>VLOOKUP($D$10,DT.NK!$B:$AZ,22,0)</f>
        <v>0.67013888888888884</v>
      </c>
      <c r="I25" s="296" t="s">
        <v>354</v>
      </c>
      <c r="J25" s="897">
        <f>VLOOKUP($D$10,DT.NK!$B:$AZ,23,0)</f>
        <v>42466</v>
      </c>
      <c r="K25" s="324"/>
      <c r="L25" s="260"/>
      <c r="M25" s="325"/>
      <c r="N25" s="240"/>
      <c r="O25" s="213"/>
      <c r="P25" s="685"/>
      <c r="Q25" s="685"/>
      <c r="R25" s="685"/>
      <c r="S25" s="685"/>
      <c r="T25" s="685"/>
    </row>
    <row r="26" spans="1:22" s="214" customFormat="1" ht="12.75" customHeight="1">
      <c r="A26" s="225"/>
      <c r="B26" s="221" t="s">
        <v>368</v>
      </c>
      <c r="C26" s="224"/>
      <c r="D26" s="306"/>
      <c r="E26" s="306"/>
      <c r="F26" s="241"/>
      <c r="G26" s="241"/>
      <c r="H26" s="660">
        <f>VLOOKUP($D$10,DT.NK!$B:$AZ,24,0)</f>
        <v>29.35</v>
      </c>
      <c r="I26" s="224"/>
      <c r="J26" s="312"/>
      <c r="K26" s="322"/>
      <c r="L26" s="271"/>
      <c r="M26" s="323"/>
      <c r="N26" s="213"/>
      <c r="O26" s="213"/>
      <c r="P26" s="685" t="s">
        <v>148</v>
      </c>
      <c r="Q26" s="689" t="str">
        <f>Q31</f>
        <v>Công ty TNHH kinh doanh và phát triển Vượng Phát</v>
      </c>
      <c r="R26" s="685"/>
      <c r="S26" s="685"/>
      <c r="T26" s="685"/>
    </row>
    <row r="27" spans="1:22" s="214" customFormat="1" ht="13.5" customHeight="1">
      <c r="A27" s="229"/>
      <c r="B27" s="230" t="s">
        <v>879</v>
      </c>
      <c r="C27" s="231"/>
      <c r="D27" s="237"/>
      <c r="E27" s="306"/>
      <c r="F27" s="242"/>
      <c r="G27" s="242"/>
      <c r="H27" s="661">
        <f>-(H26-$F$16)</f>
        <v>-29.703000000000003</v>
      </c>
      <c r="I27" s="230"/>
      <c r="J27" s="230"/>
      <c r="K27" s="326"/>
      <c r="L27" s="570"/>
      <c r="M27" s="327"/>
      <c r="N27" s="213"/>
      <c r="O27" s="213"/>
      <c r="P27" s="685" t="s">
        <v>880</v>
      </c>
      <c r="Q27" s="689" t="s">
        <v>881</v>
      </c>
      <c r="R27" s="685"/>
      <c r="S27" s="685"/>
      <c r="T27" s="685"/>
    </row>
    <row r="28" spans="1:22" s="214" customFormat="1" ht="15" customHeight="1">
      <c r="A28" s="291" t="s">
        <v>167</v>
      </c>
      <c r="B28" s="257" t="s">
        <v>371</v>
      </c>
      <c r="C28" s="254"/>
      <c r="D28" s="254"/>
      <c r="E28" s="254" t="s">
        <v>359</v>
      </c>
      <c r="F28" s="935">
        <f>VLOOKUP($D$10,DT.NK!$B:$AZ,25,0)</f>
        <v>0.71180555555555547</v>
      </c>
      <c r="G28" s="299" t="s">
        <v>351</v>
      </c>
      <c r="H28" s="935">
        <f>VLOOKUP($D$10,DT.NK!$B:$AZ,26,0)</f>
        <v>0.73263888888888873</v>
      </c>
      <c r="I28" s="295" t="s">
        <v>354</v>
      </c>
      <c r="J28" s="895">
        <f>VLOOKUP($D$10,DT.NK!$B:$AZ,27,0)</f>
        <v>42466</v>
      </c>
      <c r="K28" s="324" t="s">
        <v>163</v>
      </c>
      <c r="L28" s="260"/>
      <c r="M28" s="325"/>
      <c r="N28" s="213"/>
      <c r="O28" s="213"/>
      <c r="P28" s="690"/>
      <c r="Q28" s="690"/>
      <c r="R28" s="690"/>
      <c r="S28" s="690"/>
      <c r="T28" s="690"/>
    </row>
    <row r="29" spans="1:22" s="214" customFormat="1" ht="11.25" customHeight="1">
      <c r="A29" s="304"/>
      <c r="B29" s="221" t="s">
        <v>372</v>
      </c>
      <c r="C29" s="220"/>
      <c r="D29" s="220"/>
      <c r="E29" s="220"/>
      <c r="F29" s="267"/>
      <c r="G29" s="220"/>
      <c r="H29" s="863">
        <f>VLOOKUP($D$10,DT.NK!$B:$AZ,28,0)</f>
        <v>29.35</v>
      </c>
      <c r="I29" s="268"/>
      <c r="J29" s="313"/>
      <c r="K29" s="322"/>
      <c r="L29" s="271"/>
      <c r="M29" s="323"/>
      <c r="N29" s="213"/>
      <c r="O29" s="213"/>
    </row>
    <row r="30" spans="1:22" s="214" customFormat="1" ht="15" customHeight="1">
      <c r="A30" s="305"/>
      <c r="B30" s="230" t="s">
        <v>879</v>
      </c>
      <c r="C30" s="231"/>
      <c r="D30" s="231"/>
      <c r="E30" s="237"/>
      <c r="F30" s="237"/>
      <c r="G30" s="237"/>
      <c r="H30" s="661">
        <f>-(H29-$F$16)</f>
        <v>-29.703000000000003</v>
      </c>
      <c r="I30" s="237"/>
      <c r="J30" s="314"/>
      <c r="K30" s="322"/>
      <c r="L30" s="271"/>
      <c r="M30" s="323"/>
      <c r="N30" s="863"/>
      <c r="O30" s="864"/>
    </row>
    <row r="31" spans="1:22" s="214" customFormat="1" ht="15" customHeight="1" thickBot="1">
      <c r="A31" s="233" t="s">
        <v>168</v>
      </c>
      <c r="B31" s="1273" t="s">
        <v>374</v>
      </c>
      <c r="C31" s="1273"/>
      <c r="D31" s="220"/>
      <c r="E31" s="243" t="s">
        <v>360</v>
      </c>
      <c r="F31" s="934">
        <f>VLOOKUP($D$10,DT.NK!$B:$AZ,29,0)</f>
        <v>0.73958333333333315</v>
      </c>
      <c r="G31" s="243" t="s">
        <v>350</v>
      </c>
      <c r="H31" s="934">
        <f>VLOOKUP($D$10,DT.NK!$B:$AZ,30,0)</f>
        <v>0.74999999999999978</v>
      </c>
      <c r="I31" s="295" t="s">
        <v>354</v>
      </c>
      <c r="J31" s="897">
        <f>VLOOKUP($D$10,DT.NK!$B:$AZ,31,0)</f>
        <v>42466</v>
      </c>
      <c r="K31" s="324"/>
      <c r="L31" s="260"/>
      <c r="M31" s="325"/>
      <c r="N31" s="213"/>
      <c r="O31" s="213"/>
      <c r="Q31" s="214" t="s">
        <v>895</v>
      </c>
    </row>
    <row r="32" spans="1:22" s="248" customFormat="1" ht="12.75" thickTop="1">
      <c r="A32" s="245"/>
      <c r="B32" s="246" t="s">
        <v>375</v>
      </c>
      <c r="C32" s="1274" t="s">
        <v>376</v>
      </c>
      <c r="D32" s="1274"/>
      <c r="E32" s="1274" t="s">
        <v>377</v>
      </c>
      <c r="F32" s="1274"/>
      <c r="G32" s="1274" t="s">
        <v>378</v>
      </c>
      <c r="H32" s="1274"/>
      <c r="I32" s="1274" t="s">
        <v>379</v>
      </c>
      <c r="J32" s="1275"/>
      <c r="K32" s="322"/>
      <c r="L32" s="271"/>
      <c r="M32" s="323"/>
      <c r="N32" s="866"/>
      <c r="O32" s="247"/>
    </row>
    <row r="33" spans="1:22" s="248" customFormat="1" ht="12.75">
      <c r="A33" s="245"/>
      <c r="B33" s="691">
        <v>1</v>
      </c>
      <c r="C33" s="1253" t="str">
        <f>R19</f>
        <v>6F14</v>
      </c>
      <c r="D33" s="1253"/>
      <c r="E33" s="1261"/>
      <c r="F33" s="1261"/>
      <c r="G33" s="1252" t="s">
        <v>467</v>
      </c>
      <c r="H33" s="1253"/>
      <c r="I33" s="697">
        <f>S19</f>
        <v>7.6470000000000002</v>
      </c>
      <c r="J33" s="634">
        <v>0.1</v>
      </c>
      <c r="K33" s="322"/>
      <c r="L33" s="271"/>
      <c r="M33" s="323"/>
      <c r="N33" s="247"/>
      <c r="Q33" s="689" t="s">
        <v>878</v>
      </c>
    </row>
    <row r="34" spans="1:22" s="248" customFormat="1" ht="12.75" customHeight="1">
      <c r="A34" s="245"/>
      <c r="B34" s="1298">
        <v>2</v>
      </c>
      <c r="C34" s="1253" t="str">
        <f>R20</f>
        <v>32F20</v>
      </c>
      <c r="D34" s="1253"/>
      <c r="E34" s="1253" t="s">
        <v>882</v>
      </c>
      <c r="F34" s="1253"/>
      <c r="G34" s="1299" t="s">
        <v>467</v>
      </c>
      <c r="H34" s="1299"/>
      <c r="I34" s="697">
        <f>S20</f>
        <v>2.6</v>
      </c>
      <c r="J34" s="633"/>
      <c r="K34" s="322"/>
      <c r="L34" s="271"/>
      <c r="M34" s="323"/>
      <c r="N34" s="247"/>
    </row>
    <row r="35" spans="1:22" s="248" customFormat="1" ht="12">
      <c r="A35" s="245"/>
      <c r="B35" s="1298"/>
      <c r="C35" s="1253" t="str">
        <f>R22</f>
        <v>16F20</v>
      </c>
      <c r="D35" s="1253"/>
      <c r="E35" s="1253" t="s">
        <v>466</v>
      </c>
      <c r="F35" s="1253"/>
      <c r="G35" s="1300"/>
      <c r="H35" s="1300"/>
      <c r="I35" s="698">
        <f>11.7-I34</f>
        <v>9.1</v>
      </c>
      <c r="J35" s="692"/>
      <c r="K35" s="322"/>
      <c r="L35" s="271"/>
      <c r="M35" s="323"/>
      <c r="N35" s="247"/>
    </row>
    <row r="36" spans="1:22" s="214" customFormat="1" ht="15" customHeight="1">
      <c r="A36" s="225"/>
      <c r="B36" s="249">
        <v>3</v>
      </c>
      <c r="C36" s="1253" t="str">
        <f>R22</f>
        <v>16F20</v>
      </c>
      <c r="D36" s="1253"/>
      <c r="E36" s="1253" t="s">
        <v>466</v>
      </c>
      <c r="F36" s="1253"/>
      <c r="G36" s="1252" t="s">
        <v>467</v>
      </c>
      <c r="H36" s="1253"/>
      <c r="I36" s="697">
        <f t="shared" ref="I36:J38" si="0">S22</f>
        <v>11.7</v>
      </c>
      <c r="J36" s="634" t="str">
        <f t="shared" si="0"/>
        <v/>
      </c>
      <c r="K36" s="322"/>
      <c r="L36" s="271"/>
      <c r="M36" s="323"/>
      <c r="N36" s="529"/>
    </row>
    <row r="37" spans="1:22" s="214" customFormat="1" ht="15" customHeight="1">
      <c r="A37" s="225"/>
      <c r="B37" s="693">
        <v>4</v>
      </c>
      <c r="C37" s="1253" t="str">
        <f>R23</f>
        <v>16F20</v>
      </c>
      <c r="D37" s="1253"/>
      <c r="E37" s="1253" t="str">
        <f>IF(C37="","",E36)</f>
        <v>f10 a200</v>
      </c>
      <c r="F37" s="1253"/>
      <c r="G37" s="1252" t="str">
        <f>IF(E37="","",G36)</f>
        <v>f18 a2000</v>
      </c>
      <c r="H37" s="1253"/>
      <c r="I37" s="632">
        <f t="shared" si="0"/>
        <v>1.003000000000003</v>
      </c>
      <c r="J37" s="634">
        <f t="shared" si="0"/>
        <v>0.1</v>
      </c>
      <c r="K37" s="322"/>
      <c r="L37" s="271"/>
      <c r="M37" s="323"/>
      <c r="N37" s="529"/>
      <c r="O37" s="694"/>
      <c r="P37" s="694"/>
      <c r="Q37" s="694"/>
      <c r="R37" s="694"/>
      <c r="S37" s="695"/>
      <c r="T37" s="694"/>
      <c r="U37" s="312"/>
      <c r="V37" s="696"/>
    </row>
    <row r="38" spans="1:22" s="214" customFormat="1" ht="15" customHeight="1" thickBot="1">
      <c r="A38" s="225"/>
      <c r="B38" s="251">
        <v>5</v>
      </c>
      <c r="C38" s="1263" t="str">
        <f>R24</f>
        <v/>
      </c>
      <c r="D38" s="1263"/>
      <c r="E38" s="1263" t="str">
        <f>IF(C38="","",E37)</f>
        <v/>
      </c>
      <c r="F38" s="1263"/>
      <c r="G38" s="1264" t="str">
        <f>IF(E38="","",G37)</f>
        <v/>
      </c>
      <c r="H38" s="1263"/>
      <c r="I38" s="590" t="str">
        <f t="shared" si="0"/>
        <v/>
      </c>
      <c r="J38" s="533" t="str">
        <f t="shared" si="0"/>
        <v/>
      </c>
      <c r="K38" s="322"/>
      <c r="L38" s="271"/>
      <c r="M38" s="323"/>
      <c r="N38" s="250"/>
    </row>
    <row r="39" spans="1:22" s="214" customFormat="1" ht="15" customHeight="1" thickTop="1">
      <c r="A39" s="222" t="s">
        <v>170</v>
      </c>
      <c r="B39" s="224" t="s">
        <v>382</v>
      </c>
      <c r="C39" s="223"/>
      <c r="D39" s="223"/>
      <c r="E39" s="241">
        <f>R15</f>
        <v>2</v>
      </c>
      <c r="F39" s="588"/>
      <c r="G39" s="224" t="s">
        <v>384</v>
      </c>
      <c r="H39" s="588"/>
      <c r="I39" s="842">
        <f>IF(E39=0,0,(J16-H30-0.1-0.5))</f>
        <v>28.386000000000003</v>
      </c>
      <c r="J39" s="224"/>
      <c r="K39" s="322"/>
      <c r="L39" s="271"/>
      <c r="M39" s="323"/>
      <c r="N39" s="213"/>
      <c r="O39" s="213"/>
    </row>
    <row r="40" spans="1:22" s="214" customFormat="1" ht="15" customHeight="1">
      <c r="A40" s="222" t="s">
        <v>170</v>
      </c>
      <c r="B40" s="224" t="s">
        <v>383</v>
      </c>
      <c r="C40" s="223"/>
      <c r="D40" s="223"/>
      <c r="E40" s="241">
        <f>R16</f>
        <v>1</v>
      </c>
      <c r="F40" s="588"/>
      <c r="G40" s="224" t="s">
        <v>384</v>
      </c>
      <c r="H40" s="588"/>
      <c r="I40" s="589">
        <f>IF(E40=0,0,I39-0.9)</f>
        <v>27.486000000000004</v>
      </c>
      <c r="J40" s="224"/>
      <c r="K40" s="322"/>
      <c r="L40" s="271"/>
      <c r="M40" s="323"/>
      <c r="N40" s="213"/>
      <c r="O40" s="213"/>
    </row>
    <row r="41" spans="1:22" s="214" customFormat="1" ht="15" customHeight="1">
      <c r="A41" s="252" t="s">
        <v>170</v>
      </c>
      <c r="B41" s="231" t="s">
        <v>386</v>
      </c>
      <c r="C41" s="232"/>
      <c r="D41" s="232"/>
      <c r="E41" s="242">
        <f>H10-140</f>
        <v>660</v>
      </c>
      <c r="F41" s="230"/>
      <c r="G41" s="223" t="s">
        <v>399</v>
      </c>
      <c r="H41" s="253"/>
      <c r="I41" s="312">
        <f>ROUND((R4+1-H30)/2,0)*4</f>
        <v>44</v>
      </c>
      <c r="J41" s="230"/>
      <c r="K41" s="322"/>
      <c r="L41" s="271"/>
      <c r="M41" s="323"/>
      <c r="N41" s="213"/>
      <c r="O41" s="213"/>
    </row>
    <row r="42" spans="1:22" s="214" customFormat="1" ht="15" customHeight="1">
      <c r="A42" s="291" t="s">
        <v>169</v>
      </c>
      <c r="B42" s="257" t="s">
        <v>387</v>
      </c>
      <c r="C42" s="254"/>
      <c r="D42" s="254"/>
      <c r="E42" s="254" t="s">
        <v>359</v>
      </c>
      <c r="F42" s="934">
        <f>VLOOKUP($D$10,DT.NK!$B:$AZ,32,0)</f>
        <v>0.7569444444444442</v>
      </c>
      <c r="G42" s="254" t="s">
        <v>351</v>
      </c>
      <c r="H42" s="934">
        <f>VLOOKUP($D$10,DT.NK!$B:$AZ,33,0)</f>
        <v>0.79861111111111083</v>
      </c>
      <c r="I42" s="295" t="s">
        <v>354</v>
      </c>
      <c r="J42" s="898">
        <f>VLOOKUP($D$10,DT.NK!$B:$AZ,34,0)</f>
        <v>42466</v>
      </c>
      <c r="K42" s="324" t="s">
        <v>163</v>
      </c>
      <c r="L42" s="260"/>
      <c r="M42" s="325"/>
      <c r="N42" s="213"/>
      <c r="O42" s="213"/>
    </row>
    <row r="43" spans="1:22" s="214" customFormat="1" ht="15" customHeight="1">
      <c r="A43" s="528"/>
      <c r="B43" s="536"/>
      <c r="C43" s="259"/>
      <c r="D43" s="259"/>
      <c r="E43" s="259"/>
      <c r="F43" s="537"/>
      <c r="G43" s="259"/>
      <c r="H43" s="537"/>
      <c r="I43" s="538"/>
      <c r="J43" s="539"/>
      <c r="K43" s="326"/>
      <c r="L43" s="570"/>
      <c r="M43" s="327"/>
      <c r="N43" s="213"/>
      <c r="O43" s="213"/>
    </row>
    <row r="44" spans="1:22" s="214" customFormat="1" ht="15" customHeight="1">
      <c r="A44" s="233" t="s">
        <v>171</v>
      </c>
      <c r="B44" s="1265" t="s">
        <v>401</v>
      </c>
      <c r="C44" s="1265"/>
      <c r="D44" s="220"/>
      <c r="E44" s="303" t="s">
        <v>359</v>
      </c>
      <c r="F44" s="937">
        <f>VLOOKUP($D$10,DT.NK!$B:$AZ,35,0)</f>
        <v>0.81944444444444409</v>
      </c>
      <c r="G44" s="303" t="s">
        <v>351</v>
      </c>
      <c r="H44" s="937">
        <f>VLOOKUP($D$10,DT.NK!$B:$AZ,36,0)</f>
        <v>0.82638888888888851</v>
      </c>
      <c r="I44" s="296" t="s">
        <v>354</v>
      </c>
      <c r="J44" s="897">
        <f>VLOOKUP($D$10,DT.NK!$B:$AZ,37,0)</f>
        <v>42466</v>
      </c>
      <c r="K44" s="324"/>
      <c r="L44" s="260"/>
      <c r="M44" s="325"/>
      <c r="N44" s="213"/>
      <c r="O44" s="213"/>
    </row>
    <row r="45" spans="1:22" s="214" customFormat="1" ht="15" customHeight="1">
      <c r="A45" s="222"/>
      <c r="B45" s="221" t="s">
        <v>362</v>
      </c>
      <c r="C45" s="221"/>
      <c r="D45" s="261">
        <f>VLOOKUP($D$10,DT.NK!$B:$AZ,38,0)</f>
        <v>1.0900000000000001</v>
      </c>
      <c r="E45" s="221" t="s">
        <v>364</v>
      </c>
      <c r="F45" s="223"/>
      <c r="G45" s="221"/>
      <c r="H45" s="228">
        <f>VLOOKUP($D$10,DT.NK!$B:$AZ,39,0)</f>
        <v>9</v>
      </c>
      <c r="I45" s="223"/>
      <c r="J45" s="223"/>
      <c r="K45" s="322"/>
      <c r="L45" s="271"/>
      <c r="M45" s="323"/>
      <c r="N45" s="213"/>
      <c r="O45" s="213"/>
    </row>
    <row r="46" spans="1:22" s="214" customFormat="1" ht="15" customHeight="1">
      <c r="A46" s="225"/>
      <c r="B46" s="221" t="s">
        <v>363</v>
      </c>
      <c r="C46" s="221"/>
      <c r="D46" s="228">
        <f>VLOOKUP($D$10,DT.NK!$B:$AZ,40,0)</f>
        <v>28</v>
      </c>
      <c r="E46" s="221" t="s">
        <v>366</v>
      </c>
      <c r="F46" s="223"/>
      <c r="G46" s="221"/>
      <c r="H46" s="262">
        <f>VLOOKUP($D$10,DT.NK!$B:$AZ,41,0)</f>
        <v>0</v>
      </c>
      <c r="I46" s="223"/>
      <c r="J46" s="311"/>
      <c r="K46" s="322"/>
      <c r="L46" s="271"/>
      <c r="M46" s="323"/>
      <c r="N46" s="213"/>
      <c r="O46" s="213"/>
    </row>
    <row r="47" spans="1:22" s="214" customFormat="1" ht="12.75" customHeight="1">
      <c r="A47" s="225"/>
      <c r="B47" s="221"/>
      <c r="C47" s="221"/>
      <c r="D47" s="221"/>
      <c r="E47" s="221"/>
      <c r="F47" s="306"/>
      <c r="G47" s="221"/>
      <c r="H47" s="308"/>
      <c r="I47" s="223"/>
      <c r="J47" s="311"/>
      <c r="K47" s="326"/>
      <c r="L47" s="570"/>
      <c r="M47" s="327"/>
      <c r="N47" s="213"/>
      <c r="O47" s="213"/>
    </row>
    <row r="48" spans="1:22" s="214" customFormat="1" ht="15" customHeight="1">
      <c r="A48" s="256" t="s">
        <v>172</v>
      </c>
      <c r="B48" s="257" t="s">
        <v>391</v>
      </c>
      <c r="C48" s="254"/>
      <c r="D48" s="254"/>
      <c r="E48" s="254"/>
      <c r="F48" s="263"/>
      <c r="G48" s="243"/>
      <c r="H48" s="301"/>
      <c r="I48" s="292"/>
      <c r="J48" s="255"/>
      <c r="K48" s="324"/>
      <c r="L48" s="260"/>
      <c r="M48" s="325"/>
      <c r="N48" s="213"/>
      <c r="O48" s="213"/>
    </row>
    <row r="49" spans="1:16" s="214" customFormat="1" ht="15" customHeight="1">
      <c r="A49" s="264"/>
      <c r="B49" s="234"/>
      <c r="C49" s="220"/>
      <c r="D49" s="220"/>
      <c r="E49" s="303" t="s">
        <v>359</v>
      </c>
      <c r="F49" s="937">
        <f>VLOOKUP($D$10,DT.NK!$B:$AZ,42,0)</f>
        <v>0.82638888888888851</v>
      </c>
      <c r="G49" s="303" t="s">
        <v>351</v>
      </c>
      <c r="H49" s="938">
        <f>VLOOKUP($D$10,DT.NK!$B:$AZ,43,0)</f>
        <v>0.83333333333333293</v>
      </c>
      <c r="I49" s="296" t="s">
        <v>354</v>
      </c>
      <c r="J49" s="897">
        <f>VLOOKUP($D$10,DT.NK!$B:$AZ,44,0)</f>
        <v>42466</v>
      </c>
      <c r="K49" s="322"/>
      <c r="L49" s="271"/>
      <c r="M49" s="323"/>
      <c r="N49" s="213"/>
      <c r="O49" s="213"/>
    </row>
    <row r="50" spans="1:16" s="214" customFormat="1" ht="15" customHeight="1">
      <c r="A50" s="264"/>
      <c r="B50" s="221" t="s">
        <v>388</v>
      </c>
      <c r="C50" s="220"/>
      <c r="D50" s="306"/>
      <c r="E50" s="306"/>
      <c r="F50" s="266"/>
      <c r="G50" s="220"/>
      <c r="H50" s="1098">
        <f>VLOOKUP($D$10,DT.NK!$B:$AZ,45,0)</f>
        <v>29.35</v>
      </c>
      <c r="I50" s="268"/>
      <c r="J50" s="221"/>
      <c r="K50" s="322"/>
      <c r="L50" s="271"/>
      <c r="M50" s="323"/>
      <c r="N50" s="213"/>
      <c r="O50" s="213"/>
    </row>
    <row r="51" spans="1:16" s="214" customFormat="1" ht="15" customHeight="1">
      <c r="A51" s="258"/>
      <c r="B51" s="230" t="s">
        <v>879</v>
      </c>
      <c r="C51" s="259"/>
      <c r="D51" s="237"/>
      <c r="E51" s="237"/>
      <c r="F51" s="269"/>
      <c r="G51" s="237"/>
      <c r="H51" s="661">
        <f>-(H50-$F$16)</f>
        <v>-29.703000000000003</v>
      </c>
      <c r="I51" s="237"/>
      <c r="J51" s="230"/>
      <c r="K51" s="322"/>
      <c r="L51" s="271"/>
      <c r="M51" s="323"/>
      <c r="N51" s="213"/>
      <c r="O51" s="213"/>
    </row>
    <row r="52" spans="1:16" s="214" customFormat="1" ht="15" customHeight="1">
      <c r="A52" s="270" t="s">
        <v>173</v>
      </c>
      <c r="B52" s="257" t="s">
        <v>395</v>
      </c>
      <c r="C52" s="254"/>
      <c r="D52" s="254"/>
      <c r="E52" s="243" t="s">
        <v>359</v>
      </c>
      <c r="F52" s="934">
        <f>VLOOKUP($D$10,DT.NK!$B:$AZ,46,0)</f>
        <v>0.83333333333333293</v>
      </c>
      <c r="G52" s="895">
        <f>VLOOKUP($D$10,DT.NK!$B:$AZ,47,0)</f>
        <v>42466</v>
      </c>
      <c r="H52" s="260" t="s">
        <v>351</v>
      </c>
      <c r="I52" s="939">
        <f>VLOOKUP($D$10,DT.NK!$B:$AZ,48,0)</f>
        <v>0.87499999999999956</v>
      </c>
      <c r="J52" s="899">
        <f>VLOOKUP($D$10,DT.NK!$B:$AZ,49,0)</f>
        <v>42466</v>
      </c>
      <c r="K52" s="324"/>
      <c r="L52" s="260"/>
      <c r="M52" s="325"/>
      <c r="N52" s="213"/>
      <c r="O52" s="213"/>
    </row>
    <row r="53" spans="1:16" s="214" customFormat="1" ht="15" customHeight="1">
      <c r="A53" s="272"/>
      <c r="B53" s="220" t="s">
        <v>402</v>
      </c>
      <c r="C53" s="220"/>
      <c r="D53" s="220"/>
      <c r="E53" s="271"/>
      <c r="F53" s="677">
        <f>VLOOKUP($D$10,DT.NK!$B:$AZ,50,0)</f>
        <v>0</v>
      </c>
      <c r="G53" s="1266" t="s">
        <v>484</v>
      </c>
      <c r="H53" s="1266"/>
      <c r="I53" s="1266"/>
      <c r="J53" s="676">
        <f>-(F53-$F$16)</f>
        <v>-0.35299999999999998</v>
      </c>
      <c r="K53" s="322"/>
      <c r="L53" s="271"/>
      <c r="M53" s="323"/>
      <c r="N53" s="213"/>
      <c r="O53" s="250"/>
    </row>
    <row r="54" spans="1:16" s="214" customFormat="1" ht="10.5" customHeight="1">
      <c r="A54" s="272"/>
      <c r="B54" s="220"/>
      <c r="C54" s="220"/>
      <c r="D54" s="220"/>
      <c r="E54" s="306"/>
      <c r="F54" s="273"/>
      <c r="G54" s="1266"/>
      <c r="H54" s="1266"/>
      <c r="I54" s="1266"/>
      <c r="K54" s="322"/>
      <c r="L54" s="271"/>
      <c r="M54" s="323"/>
      <c r="N54" s="213"/>
      <c r="O54" s="213"/>
    </row>
    <row r="55" spans="1:16" s="214" customFormat="1" ht="15" customHeight="1">
      <c r="A55" s="272"/>
      <c r="B55" s="220" t="s">
        <v>398</v>
      </c>
      <c r="C55" s="220"/>
      <c r="D55" s="306"/>
      <c r="E55" s="306"/>
      <c r="F55" s="273">
        <f>VLOOKUP($D$10,DT.NK!$B:$AZ,51,0)</f>
        <v>18</v>
      </c>
      <c r="G55" s="223" t="s">
        <v>470</v>
      </c>
      <c r="H55" s="306"/>
      <c r="I55" s="274"/>
      <c r="J55" s="316">
        <f>(R4+1-H51)*3.14*(R3/2000)^2</f>
        <v>11.405987200000004</v>
      </c>
      <c r="K55" s="322"/>
      <c r="L55" s="271"/>
      <c r="M55" s="323"/>
      <c r="N55" s="213"/>
      <c r="O55" s="213"/>
    </row>
    <row r="56" spans="1:16" s="209" customFormat="1" ht="14.25" customHeight="1" thickBot="1">
      <c r="A56" s="276"/>
      <c r="B56" s="277"/>
      <c r="C56" s="278"/>
      <c r="D56" s="278"/>
      <c r="E56" s="280"/>
      <c r="F56" s="309"/>
      <c r="G56" s="279"/>
      <c r="H56" s="280"/>
      <c r="I56" s="281"/>
      <c r="J56" s="317"/>
      <c r="K56" s="328"/>
      <c r="L56" s="571"/>
      <c r="M56" s="329"/>
      <c r="N56" s="208"/>
      <c r="O56" s="208"/>
    </row>
    <row r="57" spans="1:16" s="209" customFormat="1" ht="9" customHeight="1" thickTop="1">
      <c r="B57" s="1262"/>
      <c r="C57" s="1262"/>
      <c r="D57" s="1262"/>
      <c r="E57" s="1262"/>
      <c r="F57" s="282"/>
      <c r="G57" s="282"/>
      <c r="H57" s="1262"/>
      <c r="I57" s="1262"/>
      <c r="J57" s="1262"/>
      <c r="K57" s="1262"/>
      <c r="L57" s="555"/>
    </row>
    <row r="58" spans="1:16" ht="16.5" customHeight="1">
      <c r="B58" s="574" t="s">
        <v>820</v>
      </c>
      <c r="C58" s="574"/>
      <c r="D58" s="574"/>
      <c r="E58" s="574"/>
      <c r="F58" s="574" t="s">
        <v>186</v>
      </c>
      <c r="G58" s="283"/>
      <c r="I58" s="573"/>
      <c r="J58" s="1708" t="s">
        <v>5</v>
      </c>
      <c r="K58" s="1708"/>
      <c r="L58" s="1708"/>
      <c r="M58" s="1708"/>
      <c r="P58" s="316">
        <f>(R4-H51)*3.14*(R3/2000)^2+3.14*((R3+100)/2000)^2</f>
        <v>11.539437200000004</v>
      </c>
    </row>
  </sheetData>
  <mergeCells count="44">
    <mergeCell ref="B57:E57"/>
    <mergeCell ref="H57:K57"/>
    <mergeCell ref="C36:D36"/>
    <mergeCell ref="E36:F36"/>
    <mergeCell ref="G36:H36"/>
    <mergeCell ref="C37:D37"/>
    <mergeCell ref="E37:F37"/>
    <mergeCell ref="G37:H37"/>
    <mergeCell ref="C38:D38"/>
    <mergeCell ref="E38:F38"/>
    <mergeCell ref="G38:H38"/>
    <mergeCell ref="B44:C44"/>
    <mergeCell ref="G53:I54"/>
    <mergeCell ref="C33:D33"/>
    <mergeCell ref="E33:F33"/>
    <mergeCell ref="G33:H33"/>
    <mergeCell ref="B34:B35"/>
    <mergeCell ref="C34:D34"/>
    <mergeCell ref="E34:F34"/>
    <mergeCell ref="G34:H35"/>
    <mergeCell ref="C35:D35"/>
    <mergeCell ref="E35:F35"/>
    <mergeCell ref="G16:I17"/>
    <mergeCell ref="B18:C18"/>
    <mergeCell ref="B31:C31"/>
    <mergeCell ref="C32:D32"/>
    <mergeCell ref="E32:F32"/>
    <mergeCell ref="G32:H32"/>
    <mergeCell ref="J58:M58"/>
    <mergeCell ref="A1:G2"/>
    <mergeCell ref="H1:M1"/>
    <mergeCell ref="H2:M2"/>
    <mergeCell ref="H3:M3"/>
    <mergeCell ref="A4:M4"/>
    <mergeCell ref="D5:J6"/>
    <mergeCell ref="K5:M5"/>
    <mergeCell ref="K6:K10"/>
    <mergeCell ref="L6:L10"/>
    <mergeCell ref="I32:J32"/>
    <mergeCell ref="M6:M10"/>
    <mergeCell ref="A11:A12"/>
    <mergeCell ref="B11:C12"/>
    <mergeCell ref="F14:G14"/>
    <mergeCell ref="F15:G15"/>
  </mergeCells>
  <pageMargins left="0.74803149606299213" right="0" top="0" bottom="0.31496062992125984" header="0.23622047244094491" footer="0.19685039370078741"/>
  <pageSetup scale="93" orientation="portrait" r:id="rId1"/>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view="pageBreakPreview" topLeftCell="A7" zoomScaleNormal="100" zoomScaleSheetLayoutView="100" workbookViewId="0">
      <selection activeCell="D37" sqref="D37:D38"/>
    </sheetView>
  </sheetViews>
  <sheetFormatPr defaultRowHeight="15.75"/>
  <cols>
    <col min="1" max="1" width="10" style="334" customWidth="1"/>
    <col min="2" max="2" width="10.85546875" style="334" customWidth="1"/>
    <col min="3" max="3" width="9.140625" style="334"/>
    <col min="4" max="4" width="11.5703125" style="334" customWidth="1"/>
    <col min="5" max="5" width="12.7109375" style="334" customWidth="1"/>
    <col min="6" max="6" width="18.28515625" style="334" customWidth="1"/>
    <col min="7" max="7" width="25.140625" style="334" customWidth="1"/>
    <col min="8" max="8" width="17" style="190" customWidth="1"/>
    <col min="9" max="9" width="15.5703125" style="190" customWidth="1"/>
    <col min="10" max="10" width="11.140625" style="190" customWidth="1"/>
    <col min="11" max="15" width="9.7109375" style="190" customWidth="1"/>
    <col min="16" max="16" width="11.140625" style="190" customWidth="1"/>
    <col min="17" max="23" width="10.7109375" style="190" customWidth="1"/>
    <col min="24" max="25" width="12.7109375" style="190" customWidth="1"/>
    <col min="26" max="26" width="14.7109375" style="190" customWidth="1"/>
    <col min="27" max="27" width="9.5703125" style="334" customWidth="1"/>
    <col min="28" max="28" width="9.140625" style="334"/>
    <col min="29" max="29" width="8.42578125" style="334" customWidth="1"/>
    <col min="30" max="30" width="9.140625" style="334"/>
    <col min="31" max="31" width="15.140625" style="357" customWidth="1"/>
    <col min="32" max="32" width="10" style="334" customWidth="1"/>
    <col min="33" max="33" width="20.28515625" style="334" customWidth="1"/>
    <col min="34" max="16384" width="9.140625" style="334"/>
  </cols>
  <sheetData>
    <row r="1" spans="1:34">
      <c r="A1" s="330"/>
      <c r="B1" s="331"/>
      <c r="C1" s="332"/>
      <c r="D1" s="331"/>
      <c r="E1" s="331"/>
      <c r="F1" s="332"/>
      <c r="G1" s="333"/>
      <c r="H1" s="193"/>
      <c r="I1" s="193"/>
      <c r="J1" s="193"/>
      <c r="K1" s="193"/>
      <c r="L1" s="193"/>
      <c r="M1" s="193"/>
      <c r="N1" s="193"/>
      <c r="O1" s="193"/>
      <c r="P1" s="193"/>
      <c r="Q1" s="193"/>
      <c r="R1" s="193"/>
      <c r="S1" s="193"/>
      <c r="T1" s="193"/>
      <c r="U1" s="193"/>
      <c r="V1" s="193"/>
      <c r="W1" s="193"/>
      <c r="X1" s="193"/>
      <c r="Y1" s="193"/>
      <c r="Z1" s="193"/>
      <c r="AB1" s="334" t="s">
        <v>828</v>
      </c>
      <c r="AC1" s="553">
        <f>'2. NK'!H30</f>
        <v>-29.703000000000003</v>
      </c>
      <c r="AE1" s="357" t="s">
        <v>856</v>
      </c>
      <c r="AF1" s="347">
        <f>'2. NK'!H24</f>
        <v>-22.653000000000002</v>
      </c>
      <c r="AG1" s="334" t="s">
        <v>830</v>
      </c>
      <c r="AH1" s="334">
        <f>MAX(AG5:AG16)</f>
        <v>6</v>
      </c>
    </row>
    <row r="2" spans="1:34" ht="18.75">
      <c r="A2" s="335"/>
      <c r="B2" s="336"/>
      <c r="C2" s="336" t="s">
        <v>11</v>
      </c>
      <c r="D2" s="336"/>
      <c r="E2" s="336"/>
      <c r="F2" s="336"/>
      <c r="G2" s="337" t="str">
        <f>'2. NK'!D10</f>
        <v>B1</v>
      </c>
      <c r="H2" s="790"/>
      <c r="I2" s="790"/>
      <c r="J2" s="790"/>
      <c r="K2" s="790"/>
      <c r="L2" s="790"/>
      <c r="M2" s="790"/>
      <c r="N2" s="790"/>
      <c r="O2" s="790"/>
      <c r="P2" s="790"/>
      <c r="Q2" s="790"/>
      <c r="R2" s="790"/>
      <c r="S2" s="790"/>
      <c r="T2" s="790"/>
      <c r="U2" s="790"/>
      <c r="V2" s="790"/>
      <c r="W2" s="790"/>
      <c r="X2" s="790"/>
      <c r="Y2" s="790"/>
      <c r="Z2" s="790"/>
      <c r="AA2" s="549"/>
      <c r="AB2" s="334" t="s">
        <v>821</v>
      </c>
      <c r="AD2" s="334" t="str">
        <f>VLOOKUP(G2,'Thong tin'!A:R,16)</f>
        <v>HK36</v>
      </c>
    </row>
    <row r="3" spans="1:34" ht="18.95" customHeight="1">
      <c r="A3" s="338"/>
      <c r="B3" s="339"/>
      <c r="C3" s="1374" t="s">
        <v>12</v>
      </c>
      <c r="D3" s="1374"/>
      <c r="E3" s="1374"/>
      <c r="F3" s="940">
        <f>'2. NK'!F11</f>
        <v>0.375</v>
      </c>
      <c r="G3" s="903">
        <f>'2. NK'!J11</f>
        <v>42466</v>
      </c>
      <c r="H3" s="791"/>
      <c r="I3" s="791"/>
      <c r="J3" s="791"/>
      <c r="K3" s="791"/>
      <c r="L3" s="791"/>
      <c r="M3" s="791"/>
      <c r="N3" s="791"/>
      <c r="O3" s="791"/>
      <c r="P3" s="791"/>
      <c r="Q3" s="791"/>
      <c r="R3" s="791"/>
      <c r="S3" s="791"/>
      <c r="T3" s="791"/>
      <c r="U3" s="791"/>
      <c r="V3" s="791"/>
      <c r="W3" s="791"/>
      <c r="X3" s="791"/>
      <c r="Y3" s="791"/>
      <c r="Z3" s="791"/>
      <c r="AA3" s="549"/>
      <c r="AC3" s="342">
        <f>IF(AD3=0,"",COUNTA($AD$3:AD3))</f>
        <v>1</v>
      </c>
      <c r="AD3" s="620">
        <f>VLOOKUP($AD$2,'Dia chat'!$E:$AI,2,0)</f>
        <v>1</v>
      </c>
      <c r="AE3" s="621">
        <f>VLOOKUP($AD$2,'Dia chat'!$E:$AE,3,0)</f>
        <v>0</v>
      </c>
      <c r="AF3" s="334" t="str">
        <f>VLOOKUP(AD3,'Dia chat'!$A$3:$C$9,2,0)</f>
        <v>Đất lấp: Sét pha, lẫn gạch vụn, đá tảng.</v>
      </c>
    </row>
    <row r="4" spans="1:34" ht="18.95" customHeight="1">
      <c r="A4" s="338"/>
      <c r="B4" s="339"/>
      <c r="C4" s="1374" t="s">
        <v>352</v>
      </c>
      <c r="D4" s="1374"/>
      <c r="E4" s="1374"/>
      <c r="F4" s="940">
        <f>'2. NK'!H25</f>
        <v>0.67013888888888884</v>
      </c>
      <c r="G4" s="903">
        <f>'2. NK'!J25</f>
        <v>42466</v>
      </c>
      <c r="H4" s="792"/>
      <c r="I4" s="792"/>
      <c r="J4" s="792"/>
      <c r="K4" s="792"/>
      <c r="L4" s="792"/>
      <c r="M4" s="792"/>
      <c r="N4" s="792"/>
      <c r="O4" s="792"/>
      <c r="P4" s="792"/>
      <c r="Q4" s="792"/>
      <c r="R4" s="792"/>
      <c r="S4" s="792"/>
      <c r="T4" s="792"/>
      <c r="U4" s="792"/>
      <c r="V4" s="792"/>
      <c r="W4" s="792"/>
      <c r="X4" s="792"/>
      <c r="Y4" s="792"/>
      <c r="Z4" s="792"/>
      <c r="AA4" s="549"/>
      <c r="AC4" s="342">
        <f>IF(AD4=0,"",COUNTA($AD$3:AD4))</f>
        <v>2</v>
      </c>
      <c r="AD4" s="620">
        <f>VLOOKUP($AD$2,'Dia chat'!$E:$AI,4,0)</f>
        <v>2</v>
      </c>
      <c r="AE4" s="621">
        <f>VLOOKUP($AD$2,'Dia chat'!$E:$AE,5,0)</f>
        <v>-1.75</v>
      </c>
      <c r="AF4" s="334" t="str">
        <f>VLOOKUP(AD4,'Dia chat'!$A$3:$C$9,2,0)</f>
        <v>Sét pha lẫn sạn, màu nâu đỏ, xám vàng, trạng thái dẻo cứng</v>
      </c>
    </row>
    <row r="5" spans="1:34">
      <c r="A5" s="335"/>
      <c r="B5" s="340"/>
      <c r="C5" s="1375" t="s">
        <v>14</v>
      </c>
      <c r="D5" s="1375"/>
      <c r="E5" s="1375"/>
      <c r="F5" s="559">
        <f>'[5]2. NK'!H9</f>
        <v>1200</v>
      </c>
      <c r="G5" s="664">
        <f>'2. NK'!F16</f>
        <v>-0.35299999999999998</v>
      </c>
      <c r="H5" s="793"/>
      <c r="I5" s="793"/>
      <c r="J5" s="793"/>
      <c r="K5" s="793"/>
      <c r="L5" s="793"/>
      <c r="M5" s="793"/>
      <c r="N5" s="793"/>
      <c r="O5" s="793"/>
      <c r="P5" s="793"/>
      <c r="Q5" s="793"/>
      <c r="R5" s="793"/>
      <c r="S5" s="793"/>
      <c r="T5" s="793"/>
      <c r="U5" s="793"/>
      <c r="V5" s="793"/>
      <c r="W5" s="793"/>
      <c r="X5" s="793"/>
      <c r="Y5" s="793"/>
      <c r="Z5" s="793"/>
      <c r="AA5" s="549">
        <f>IF(AC5&lt;$AC$17,AB5,"")</f>
        <v>3</v>
      </c>
      <c r="AB5" s="334">
        <f>IF($AC$1&lt;AE5,AC5,0)</f>
        <v>3</v>
      </c>
      <c r="AC5" s="342">
        <f>IF(AD5=0,"",COUNTA($AD$3:AD5))</f>
        <v>3</v>
      </c>
      <c r="AD5" s="620">
        <f>VLOOKUP($AD$2,'Dia chat'!$E:$AI,6,0)</f>
        <v>3</v>
      </c>
      <c r="AE5" s="621">
        <f>VLOOKUP($AD$2,'Dia chat'!$E:$AE,7,0)</f>
        <v>-14.25</v>
      </c>
      <c r="AF5" s="334" t="str">
        <f>VLOOKUP(AD5,'Dia chat'!$A$3:$C$9,2,0)</f>
        <v>Đá dăm lẫn sét pha (Đá vôi phong hóa mạnh đến hoàn toàn)</v>
      </c>
      <c r="AG5" s="334">
        <f>IF($AF$1&lt;AE5,AC5,0)</f>
        <v>3</v>
      </c>
    </row>
    <row r="6" spans="1:34" ht="18" customHeight="1">
      <c r="A6" s="1369" t="s">
        <v>7</v>
      </c>
      <c r="B6" s="1348" t="s">
        <v>355</v>
      </c>
      <c r="C6" s="1348" t="s">
        <v>8</v>
      </c>
      <c r="D6" s="1348" t="s">
        <v>9</v>
      </c>
      <c r="E6" s="1348" t="str">
        <f>AN20</f>
        <v>Chiều sâu ( m) tính từ đỉnh sing</v>
      </c>
      <c r="F6" s="1362" t="s">
        <v>10</v>
      </c>
      <c r="G6" s="560"/>
      <c r="H6" s="794"/>
      <c r="I6" s="794"/>
      <c r="J6" s="794"/>
      <c r="K6" s="794"/>
      <c r="L6" s="794"/>
      <c r="M6" s="794"/>
      <c r="N6" s="794"/>
      <c r="O6" s="794"/>
      <c r="P6" s="794"/>
      <c r="Q6" s="794"/>
      <c r="R6" s="794"/>
      <c r="S6" s="794"/>
      <c r="T6" s="794"/>
      <c r="U6" s="794"/>
      <c r="V6" s="794"/>
      <c r="W6" s="794"/>
      <c r="X6" s="794"/>
      <c r="Y6" s="794"/>
      <c r="Z6" s="794"/>
      <c r="AA6" s="549">
        <f t="shared" ref="AA6:AA15" si="0">IF(AC6&lt;$AC$17,AB6,"")</f>
        <v>4</v>
      </c>
      <c r="AB6" s="334">
        <f t="shared" ref="AB6:AB16" si="1">IF($AC$1&lt;AE6,AC6,0)</f>
        <v>4</v>
      </c>
      <c r="AC6" s="342">
        <f>IF(AD6=0,"",COUNTA($AD$3:AD6))</f>
        <v>4</v>
      </c>
      <c r="AD6" s="620" t="str">
        <f>VLOOKUP($AD$2,'Dia chat'!$E:$AI,8,0)</f>
        <v>4a</v>
      </c>
      <c r="AE6" s="621">
        <f>VLOOKUP($AD$2,'Dia chat'!$E:$AE,9,0)</f>
        <v>-17.850000000000001</v>
      </c>
      <c r="AF6" s="334" t="str">
        <f>VLOOKUP(AD6,'Dia chat'!$A$3:$C$9,2,0)</f>
        <v>Đá vôi màu xám nâu, xám xanh, phong hóa nứt nẻ, dập vỡ mạnh, háng hốc Karst</v>
      </c>
      <c r="AG6" s="334">
        <f t="shared" ref="AG6:AG15" si="2">IF($AF$1&lt;AE6,AC6,0)</f>
        <v>4</v>
      </c>
    </row>
    <row r="7" spans="1:34">
      <c r="A7" s="1370"/>
      <c r="B7" s="1349"/>
      <c r="C7" s="1349"/>
      <c r="D7" s="1349"/>
      <c r="E7" s="1349"/>
      <c r="F7" s="1363"/>
      <c r="G7" s="663">
        <f>'2. NK'!J16</f>
        <v>-0.71699999999999997</v>
      </c>
      <c r="H7" s="795"/>
      <c r="I7" s="802"/>
      <c r="J7" s="802"/>
      <c r="K7" s="802"/>
      <c r="L7" s="802"/>
      <c r="M7" s="802"/>
      <c r="N7" s="802"/>
      <c r="O7" s="802"/>
      <c r="P7" s="802"/>
      <c r="Q7" s="802"/>
      <c r="R7" s="802"/>
      <c r="S7" s="802"/>
      <c r="T7" s="802"/>
      <c r="U7" s="802"/>
      <c r="V7" s="802"/>
      <c r="W7" s="802"/>
      <c r="X7" s="795"/>
      <c r="Y7" s="795"/>
      <c r="Z7" s="795"/>
      <c r="AA7" s="549">
        <f t="shared" si="0"/>
        <v>5</v>
      </c>
      <c r="AB7" s="334">
        <f t="shared" si="1"/>
        <v>5</v>
      </c>
      <c r="AC7" s="342">
        <f>IF(AD7=0,"",COUNTA($AD$3:AD7))</f>
        <v>5</v>
      </c>
      <c r="AD7" s="620" t="str">
        <f>VLOOKUP($AD$2,'Dia chat'!$E:$AI,10,0)</f>
        <v>H</v>
      </c>
      <c r="AE7" s="621">
        <f>VLOOKUP($AD$2,'Dia chat'!$E:$AE,11,0)</f>
        <v>-20.05</v>
      </c>
      <c r="AF7" s="334" t="str">
        <f>VLOOKUP(AD7,'Dia chat'!$A$3:$C$9,2,0)</f>
        <v>Hạng Karst chứa sét pha</v>
      </c>
      <c r="AG7" s="334">
        <f t="shared" si="2"/>
        <v>5</v>
      </c>
    </row>
    <row r="8" spans="1:34">
      <c r="A8" s="1371"/>
      <c r="B8" s="1350"/>
      <c r="C8" s="1350"/>
      <c r="D8" s="1350"/>
      <c r="E8" s="1350"/>
      <c r="F8" s="1364"/>
      <c r="G8" s="561"/>
      <c r="H8" s="796"/>
      <c r="I8" s="796"/>
      <c r="J8" s="796"/>
      <c r="K8" s="796"/>
      <c r="L8" s="796"/>
      <c r="M8" s="796"/>
      <c r="N8" s="796"/>
      <c r="O8" s="796"/>
      <c r="P8" s="796"/>
      <c r="Q8" s="796"/>
      <c r="R8" s="796"/>
      <c r="S8" s="796"/>
      <c r="T8" s="796"/>
      <c r="U8" s="796"/>
      <c r="V8" s="796"/>
      <c r="W8" s="796"/>
      <c r="X8" s="796"/>
      <c r="Y8" s="796"/>
      <c r="Z8" s="796"/>
      <c r="AA8" s="549">
        <f t="shared" si="0"/>
        <v>6</v>
      </c>
      <c r="AB8" s="334">
        <f t="shared" si="1"/>
        <v>6</v>
      </c>
      <c r="AC8" s="342">
        <f>IF(AD8=0,"",COUNTA($AD$3:AD8))</f>
        <v>6</v>
      </c>
      <c r="AD8" s="620" t="str">
        <f>VLOOKUP($AD$2,'Dia chat'!$E:$AI,12,0)</f>
        <v>4a</v>
      </c>
      <c r="AE8" s="621">
        <f>VLOOKUP($AD$2,'Dia chat'!$E:$AE,13,0)</f>
        <v>-20.55</v>
      </c>
      <c r="AF8" s="334" t="str">
        <f>VLOOKUP(AD8,'Dia chat'!$A$3:$C$9,2,0)</f>
        <v>Đá vôi màu xám nâu, xám xanh, phong hóa nứt nẻ, dập vỡ mạnh, háng hốc Karst</v>
      </c>
      <c r="AG8" s="334">
        <f t="shared" si="2"/>
        <v>6</v>
      </c>
    </row>
    <row r="9" spans="1:34" ht="18.95" customHeight="1">
      <c r="A9" s="1365">
        <f>AC3</f>
        <v>1</v>
      </c>
      <c r="B9" s="667">
        <f>G7</f>
        <v>-0.71699999999999997</v>
      </c>
      <c r="C9" s="622"/>
      <c r="D9" s="1367">
        <f>B9-B10</f>
        <v>4.3470000000000004</v>
      </c>
      <c r="E9" s="1367">
        <f>G5-B10</f>
        <v>4.7110000000000003</v>
      </c>
      <c r="F9" s="1711" t="str">
        <f>AF3</f>
        <v>Đất lấp: Sét pha, lẫn gạch vụn, đá tảng.</v>
      </c>
      <c r="G9" s="341"/>
      <c r="H9" s="193"/>
      <c r="I9" s="790" t="s">
        <v>937</v>
      </c>
      <c r="J9" s="803">
        <f>G7</f>
        <v>-0.71699999999999997</v>
      </c>
      <c r="K9" s="193"/>
      <c r="L9" s="193"/>
      <c r="M9" s="193"/>
      <c r="N9" s="193"/>
      <c r="O9" s="193"/>
      <c r="P9" s="193"/>
      <c r="Q9" s="193"/>
      <c r="R9" s="193"/>
      <c r="S9" s="193"/>
      <c r="T9" s="193"/>
      <c r="U9" s="193"/>
      <c r="V9" s="193"/>
      <c r="W9" s="193"/>
      <c r="X9" s="193"/>
      <c r="Y9" s="193"/>
      <c r="Z9" s="193"/>
      <c r="AA9" s="549" t="str">
        <f t="shared" si="0"/>
        <v/>
      </c>
      <c r="AB9" s="334">
        <f t="shared" si="1"/>
        <v>7</v>
      </c>
      <c r="AC9" s="342">
        <f>IF(AD9=0,"",COUNTA($AD$3:AD9))</f>
        <v>7</v>
      </c>
      <c r="AD9" s="620" t="str">
        <f>VLOOKUP($AD$2,'Dia chat'!$E:$AI,14,0)</f>
        <v>4b</v>
      </c>
      <c r="AE9" s="621">
        <f>VLOOKUP($AD$2,'Dia chat'!$E:$AE,15,0)</f>
        <v>-23.56</v>
      </c>
      <c r="AF9" s="334" t="str">
        <f>VLOOKUP(AD9,'Dia chat'!$A$3:$C$9,2,0)</f>
        <v>Đá vôi màu xám xanh, xám đen, nâu hồng, phong hóa nứt nẻ, dập vỡ mạnh, khe nứt lấp nhét, sét pha, đá cứng chắc.</v>
      </c>
      <c r="AG9" s="334">
        <f t="shared" si="2"/>
        <v>0</v>
      </c>
    </row>
    <row r="10" spans="1:34">
      <c r="A10" s="1366"/>
      <c r="B10" s="668">
        <f>J17</f>
        <v>-5.0640000000000001</v>
      </c>
      <c r="C10" s="622"/>
      <c r="D10" s="1368"/>
      <c r="E10" s="1368"/>
      <c r="F10" s="1712"/>
      <c r="G10" s="341"/>
      <c r="H10" s="193"/>
      <c r="M10" s="193"/>
      <c r="N10" s="193"/>
      <c r="O10" s="193"/>
      <c r="P10" s="193"/>
      <c r="Q10" s="193"/>
      <c r="R10" s="193"/>
      <c r="S10" s="193"/>
      <c r="T10" s="193"/>
      <c r="U10" s="193"/>
      <c r="V10" s="193"/>
      <c r="W10" s="193"/>
      <c r="X10" s="193"/>
      <c r="Y10" s="193"/>
      <c r="Z10" s="193"/>
      <c r="AA10" s="549" t="str">
        <f t="shared" si="0"/>
        <v/>
      </c>
      <c r="AB10" s="334" t="str">
        <f t="shared" si="1"/>
        <v/>
      </c>
      <c r="AC10" s="342" t="str">
        <f>IF(AD10=0,"",COUNTA($AD$3:AD10))</f>
        <v/>
      </c>
      <c r="AD10" s="620">
        <f>VLOOKUP($AD$2,'Dia chat'!$E:$AI,16,0)</f>
        <v>0</v>
      </c>
      <c r="AE10" s="621">
        <f>VLOOKUP($AD$2,'Dia chat'!$E:$AE,17,0)</f>
        <v>0</v>
      </c>
      <c r="AF10" s="334" t="e">
        <f>VLOOKUP(AD10,'Dia chat'!$A$3:$C$9,2,0)</f>
        <v>#N/A</v>
      </c>
      <c r="AG10" s="334" t="str">
        <f t="shared" si="2"/>
        <v/>
      </c>
    </row>
    <row r="11" spans="1:34" ht="13.5" customHeight="1">
      <c r="A11" s="1365">
        <f>AC4</f>
        <v>2</v>
      </c>
      <c r="B11" s="1380">
        <f>B10</f>
        <v>-5.0640000000000001</v>
      </c>
      <c r="C11" s="1377">
        <v>2</v>
      </c>
      <c r="D11" s="1367">
        <f>B11-B13</f>
        <v>17.588999999999999</v>
      </c>
      <c r="E11" s="1367">
        <f>G5-B13</f>
        <v>22.299999999999997</v>
      </c>
      <c r="F11" s="1711" t="str">
        <f>AF4</f>
        <v>Sét pha lẫn sạn, màu nâu đỏ, xám vàng, trạng thái dẻo cứng</v>
      </c>
      <c r="G11" s="341"/>
      <c r="H11" s="193"/>
      <c r="M11" s="193"/>
      <c r="N11" s="193"/>
      <c r="O11" s="193"/>
      <c r="P11" s="193"/>
      <c r="Q11" s="193"/>
      <c r="R11" s="193"/>
      <c r="S11" s="193"/>
      <c r="T11" s="193"/>
      <c r="U11" s="193"/>
      <c r="V11" s="193"/>
      <c r="W11" s="193"/>
      <c r="X11" s="193"/>
      <c r="Y11" s="193"/>
      <c r="Z11" s="193"/>
      <c r="AA11" s="549" t="str">
        <f t="shared" si="0"/>
        <v/>
      </c>
      <c r="AB11" s="334" t="str">
        <f t="shared" si="1"/>
        <v/>
      </c>
      <c r="AC11" s="342" t="str">
        <f>IF(AD11=0,"",COUNTA($AD$3:AD11))</f>
        <v/>
      </c>
      <c r="AD11" s="620">
        <f>VLOOKUP($AD$2,'Dia chat'!$E:$AI,18,0)</f>
        <v>0</v>
      </c>
      <c r="AE11" s="621">
        <f>VLOOKUP($AD$2,'Dia chat'!$E:$AE,19,0)</f>
        <v>0</v>
      </c>
      <c r="AF11" s="334" t="e">
        <f>VLOOKUP(AD11,'Dia chat'!$A$3:$C$9,2,0)</f>
        <v>#N/A</v>
      </c>
      <c r="AG11" s="334" t="str">
        <f t="shared" si="2"/>
        <v/>
      </c>
    </row>
    <row r="12" spans="1:34" ht="10.5" customHeight="1">
      <c r="A12" s="1382"/>
      <c r="B12" s="1381"/>
      <c r="C12" s="1378"/>
      <c r="D12" s="1376"/>
      <c r="E12" s="1376"/>
      <c r="F12" s="1714"/>
      <c r="G12" s="341"/>
      <c r="H12" s="193"/>
      <c r="I12" s="790"/>
      <c r="J12" s="193"/>
      <c r="K12" s="193"/>
      <c r="L12" s="193"/>
      <c r="M12" s="193"/>
      <c r="N12" s="193"/>
      <c r="O12" s="193"/>
      <c r="P12" s="193"/>
      <c r="Q12" s="193"/>
      <c r="R12" s="193"/>
      <c r="S12" s="193"/>
      <c r="T12" s="193"/>
      <c r="U12" s="193"/>
      <c r="V12" s="193"/>
      <c r="W12" s="193"/>
      <c r="X12" s="193"/>
      <c r="Y12" s="193"/>
      <c r="Z12" s="193"/>
      <c r="AA12" s="549" t="str">
        <f t="shared" si="0"/>
        <v/>
      </c>
      <c r="AB12" s="334" t="str">
        <f t="shared" si="1"/>
        <v/>
      </c>
      <c r="AC12" s="342" t="str">
        <f>IF(AD12=0,"",COUNTA($AD$3:AD12))</f>
        <v/>
      </c>
      <c r="AD12" s="620">
        <f>VLOOKUP($AD$2,'Dia chat'!$E:$AI,20,0)</f>
        <v>0</v>
      </c>
      <c r="AE12" s="621">
        <f>VLOOKUP($AD$2,'Dia chat'!$E:$AE,21,0)</f>
        <v>0</v>
      </c>
      <c r="AF12" s="334" t="e">
        <f>VLOOKUP(AD12,'Dia chat'!$A$3:$C$9,2,0)</f>
        <v>#N/A</v>
      </c>
      <c r="AG12" s="334" t="str">
        <f t="shared" si="2"/>
        <v/>
      </c>
    </row>
    <row r="13" spans="1:34" ht="8.25" customHeight="1">
      <c r="A13" s="1382"/>
      <c r="B13" s="1381">
        <f>J18</f>
        <v>-22.652999999999999</v>
      </c>
      <c r="C13" s="1378"/>
      <c r="D13" s="1376"/>
      <c r="E13" s="1376"/>
      <c r="F13" s="1714"/>
      <c r="G13" s="341"/>
      <c r="H13" s="193"/>
      <c r="I13" s="790"/>
      <c r="J13" s="193"/>
      <c r="K13" s="193"/>
      <c r="L13" s="193"/>
      <c r="M13" s="193"/>
      <c r="N13" s="193"/>
      <c r="O13" s="193"/>
      <c r="P13" s="193"/>
      <c r="Q13" s="193"/>
      <c r="R13" s="193"/>
      <c r="S13" s="193"/>
      <c r="T13" s="193"/>
      <c r="U13" s="193"/>
      <c r="V13" s="193"/>
      <c r="W13" s="193"/>
      <c r="X13" s="193"/>
      <c r="Y13" s="193"/>
      <c r="Z13" s="193"/>
      <c r="AA13" s="549" t="str">
        <f t="shared" si="0"/>
        <v/>
      </c>
      <c r="AB13" s="334" t="str">
        <f t="shared" si="1"/>
        <v/>
      </c>
      <c r="AC13" s="342" t="str">
        <f>IF(AD13=0,"",COUNTA($AD$3:AD13))</f>
        <v/>
      </c>
      <c r="AD13" s="620">
        <f>VLOOKUP($AD$2,'Dia chat'!$E:$AI,22,0)</f>
        <v>0</v>
      </c>
      <c r="AE13" s="621">
        <f>VLOOKUP($AD$2,'Dia chat'!$E:$AE,23,0)</f>
        <v>0</v>
      </c>
      <c r="AF13" s="334" t="e">
        <f>VLOOKUP(AD13,'Dia chat'!$A$3:$C$9,2,0)</f>
        <v>#N/A</v>
      </c>
      <c r="AG13" s="334" t="str">
        <f t="shared" si="2"/>
        <v/>
      </c>
    </row>
    <row r="14" spans="1:34" ht="13.5" customHeight="1">
      <c r="A14" s="1382"/>
      <c r="B14" s="1381"/>
      <c r="C14" s="1378"/>
      <c r="D14" s="1376"/>
      <c r="E14" s="1376"/>
      <c r="F14" s="1714"/>
      <c r="G14" s="341"/>
      <c r="H14" s="193"/>
      <c r="I14" s="790"/>
      <c r="J14" s="193"/>
      <c r="K14" s="193"/>
      <c r="L14" s="193"/>
      <c r="M14" s="193"/>
      <c r="N14" s="193"/>
      <c r="O14" s="193"/>
      <c r="P14" s="193"/>
      <c r="Q14" s="193"/>
      <c r="R14" s="193"/>
      <c r="S14" s="193"/>
      <c r="T14" s="193"/>
      <c r="U14" s="193"/>
      <c r="V14" s="193"/>
      <c r="W14" s="193"/>
      <c r="X14" s="193"/>
      <c r="Y14" s="193"/>
      <c r="Z14" s="193"/>
      <c r="AA14" s="549" t="str">
        <f t="shared" si="0"/>
        <v/>
      </c>
      <c r="AB14" s="334" t="str">
        <f t="shared" si="1"/>
        <v/>
      </c>
      <c r="AC14" s="342" t="str">
        <f>IF(AD14=0,"",COUNTA($AD$3:AD14))</f>
        <v/>
      </c>
      <c r="AD14" s="620">
        <f>VLOOKUP($AD$2,'Dia chat'!$E:$AI,24,0)</f>
        <v>0</v>
      </c>
      <c r="AE14" s="621">
        <f>VLOOKUP($AD$2,'Dia chat'!$E:$AE,25,0)</f>
        <v>0</v>
      </c>
      <c r="AF14" s="334" t="e">
        <f>VLOOKUP(AD14,'Dia chat'!$A$3:$C$9,2,0)</f>
        <v>#N/A</v>
      </c>
      <c r="AG14" s="334" t="str">
        <f t="shared" si="2"/>
        <v/>
      </c>
    </row>
    <row r="15" spans="1:34" ht="12.75" customHeight="1">
      <c r="A15" s="1382"/>
      <c r="B15" s="1381"/>
      <c r="C15" s="1378"/>
      <c r="D15" s="1376"/>
      <c r="E15" s="1376"/>
      <c r="F15" s="1714"/>
      <c r="G15" s="341"/>
      <c r="H15" s="193"/>
      <c r="I15" s="790"/>
      <c r="J15" s="193"/>
      <c r="K15" s="193"/>
      <c r="L15" s="193"/>
      <c r="M15" s="193"/>
      <c r="N15" s="193"/>
      <c r="O15" s="193"/>
      <c r="P15" s="193"/>
      <c r="Q15" s="193"/>
      <c r="R15" s="193"/>
      <c r="S15" s="193"/>
      <c r="T15" s="193"/>
      <c r="U15" s="193"/>
      <c r="V15" s="193"/>
      <c r="W15" s="193"/>
      <c r="X15" s="193"/>
      <c r="Y15" s="193"/>
      <c r="Z15" s="193"/>
      <c r="AA15" s="549" t="str">
        <f t="shared" si="0"/>
        <v/>
      </c>
      <c r="AB15" s="334" t="str">
        <f t="shared" si="1"/>
        <v/>
      </c>
      <c r="AC15" s="342" t="str">
        <f>IF(AD15=0,"",COUNTA($AD$3:AD15))</f>
        <v/>
      </c>
      <c r="AD15" s="620">
        <f>VLOOKUP($AD$2,'Dia chat'!$E:$AI,26,0)</f>
        <v>0</v>
      </c>
      <c r="AE15" s="621">
        <f>VLOOKUP($AD$2,'Dia chat'!$E:$AE,27,0)</f>
        <v>0</v>
      </c>
      <c r="AF15" s="334" t="e">
        <f>VLOOKUP(AD15,'Dia chat'!$A$3:$C$9,2,0)</f>
        <v>#N/A</v>
      </c>
      <c r="AG15" s="334" t="str">
        <f t="shared" si="2"/>
        <v/>
      </c>
    </row>
    <row r="16" spans="1:34" ht="15" customHeight="1">
      <c r="A16" s="1382"/>
      <c r="B16" s="1381"/>
      <c r="C16" s="1378"/>
      <c r="D16" s="1376"/>
      <c r="E16" s="1376"/>
      <c r="F16" s="1714"/>
      <c r="G16" s="341"/>
      <c r="H16" s="193"/>
      <c r="I16" s="790"/>
      <c r="J16" s="193"/>
      <c r="K16" s="554">
        <f>MAX(K17:K40)</f>
        <v>5</v>
      </c>
      <c r="L16" s="554"/>
      <c r="M16" s="193"/>
      <c r="N16" s="193"/>
      <c r="O16" s="193"/>
      <c r="P16" s="193"/>
      <c r="Q16" s="193"/>
      <c r="R16" s="193"/>
      <c r="S16" s="193"/>
      <c r="T16" s="193"/>
      <c r="U16" s="193"/>
      <c r="V16" s="193"/>
      <c r="W16" s="193"/>
      <c r="X16" s="193"/>
      <c r="Y16" s="193"/>
      <c r="Z16" s="193"/>
      <c r="AA16" s="549"/>
      <c r="AB16" s="334">
        <f t="shared" si="1"/>
        <v>0</v>
      </c>
      <c r="AC16" s="342"/>
      <c r="AD16" s="342"/>
      <c r="AE16" s="621"/>
    </row>
    <row r="17" spans="1:44" ht="24.75" customHeight="1">
      <c r="A17" s="1382"/>
      <c r="B17" s="1381"/>
      <c r="C17" s="1378"/>
      <c r="D17" s="1376"/>
      <c r="E17" s="1376"/>
      <c r="F17" s="1714"/>
      <c r="G17" s="341"/>
      <c r="H17" s="193"/>
      <c r="I17" s="811" t="s">
        <v>924</v>
      </c>
      <c r="J17" s="812">
        <f>VLOOKUP($G$2,'ĐT ĐC'!$B:$Z,2,0)</f>
        <v>-5.0640000000000001</v>
      </c>
      <c r="K17" s="813">
        <f>IF(J17=0,"",COUNTA($J$17:J17))</f>
        <v>1</v>
      </c>
      <c r="L17" s="813"/>
      <c r="M17" s="813"/>
      <c r="N17" s="813"/>
      <c r="O17" s="813"/>
      <c r="P17" s="193"/>
      <c r="Q17" s="193"/>
      <c r="R17" s="193"/>
      <c r="S17" s="193"/>
      <c r="T17" s="193"/>
      <c r="U17" s="193"/>
      <c r="V17" s="193"/>
      <c r="W17" s="193"/>
      <c r="X17" s="193"/>
      <c r="Y17" s="193"/>
      <c r="Z17" s="193"/>
      <c r="AA17" s="334" t="s">
        <v>829</v>
      </c>
      <c r="AC17" s="342">
        <f>MAX(AB3:AB16)</f>
        <v>7</v>
      </c>
      <c r="AD17" s="342"/>
      <c r="AE17" s="342">
        <f>VLOOKUP(AC17,AC3:AE15,3,0)</f>
        <v>-23.56</v>
      </c>
    </row>
    <row r="18" spans="1:44" ht="27" customHeight="1">
      <c r="A18" s="1366"/>
      <c r="B18" s="1383"/>
      <c r="C18" s="1379"/>
      <c r="D18" s="1368"/>
      <c r="E18" s="1368"/>
      <c r="F18" s="1712"/>
      <c r="G18" s="341"/>
      <c r="H18" s="193"/>
      <c r="I18" s="811" t="s">
        <v>925</v>
      </c>
      <c r="J18" s="812">
        <f>VLOOKUP($G$2,'ĐT ĐC'!$B:$Z,3,0)</f>
        <v>-22.652999999999999</v>
      </c>
      <c r="K18" s="813">
        <f>IF(J18=0,"",COUNTA($J$17:J18))</f>
        <v>2</v>
      </c>
      <c r="L18" s="813"/>
      <c r="M18" s="813"/>
      <c r="N18" s="813"/>
      <c r="O18" s="813"/>
      <c r="P18" s="193"/>
      <c r="Q18" s="193"/>
      <c r="R18" s="193"/>
      <c r="S18" s="193"/>
      <c r="T18" s="193"/>
      <c r="U18" s="193"/>
      <c r="V18" s="193"/>
      <c r="W18" s="193"/>
      <c r="X18" s="193"/>
      <c r="Y18" s="193"/>
      <c r="Z18" s="193"/>
      <c r="AB18" s="334" t="s">
        <v>831</v>
      </c>
      <c r="AC18" s="334" t="s">
        <v>832</v>
      </c>
      <c r="AD18" s="334" t="s">
        <v>833</v>
      </c>
      <c r="AE18" s="357" t="s">
        <v>834</v>
      </c>
      <c r="AF18" s="334" t="s">
        <v>835</v>
      </c>
      <c r="AG18" s="334" t="s">
        <v>58</v>
      </c>
      <c r="AH18" s="334" t="s">
        <v>836</v>
      </c>
      <c r="AI18" s="342" t="s">
        <v>837</v>
      </c>
      <c r="AJ18" s="342" t="s">
        <v>838</v>
      </c>
      <c r="AK18" s="553"/>
    </row>
    <row r="19" spans="1:44" ht="29.25" customHeight="1">
      <c r="A19" s="1357">
        <f>K19</f>
        <v>3</v>
      </c>
      <c r="B19" s="666">
        <f>B13</f>
        <v>-22.652999999999999</v>
      </c>
      <c r="C19" s="804" t="str">
        <f>M19</f>
        <v>4</v>
      </c>
      <c r="D19" s="1384">
        <f>IF(A19&lt;$K$16,B19-B20,B19-$B$40)</f>
        <v>0.36400000000000077</v>
      </c>
      <c r="E19" s="1384">
        <f>IF(A19&lt;$K$16,$G$5-B20,IF(A19=$K$16,$G$5-$B$40,""))</f>
        <v>22.663999999999998</v>
      </c>
      <c r="F19" s="1715" t="str">
        <f>IF(A19&lt;=$K$16,VLOOKUP(O19,$P$20:$Q$26,2,0),"")</f>
        <v>Đá vôi màu xám nâu, xám xanh, phong hóa nứt nẻ, dập vỡ mạnh, háng hốc Karst</v>
      </c>
      <c r="G19" s="343"/>
      <c r="H19" s="797"/>
      <c r="I19" s="814" t="s">
        <v>926</v>
      </c>
      <c r="J19" s="843">
        <f>IF(VLOOKUP($G$2,'ĐT ĐC'!$B:$Z,4,0)="",0,VLOOKUP($G$2,'ĐT ĐC'!$B:$Z,4,0))</f>
        <v>-23.016999999999999</v>
      </c>
      <c r="K19" s="813">
        <f>IF(J19=0,"",COUNTA($J$17:J19))</f>
        <v>3</v>
      </c>
      <c r="L19" s="813"/>
      <c r="M19" s="815" t="str">
        <f>N19</f>
        <v>4</v>
      </c>
      <c r="N19" s="815" t="str">
        <f>IF(O19="","",LEFT(O19,1))</f>
        <v>4</v>
      </c>
      <c r="O19" s="816" t="str">
        <f>IF(VLOOKUP($G$2,'ĐT ĐC'!$B:$Z,15,0)="","",VLOOKUP($G$2,'ĐT ĐC'!$B:$Z,15,0))</f>
        <v>4a</v>
      </c>
      <c r="P19" s="808" t="s">
        <v>735</v>
      </c>
      <c r="Q19" s="600" t="s">
        <v>736</v>
      </c>
      <c r="R19" s="600" t="s">
        <v>737</v>
      </c>
      <c r="S19" s="797"/>
      <c r="T19" s="797"/>
      <c r="U19" s="797"/>
      <c r="V19" s="797"/>
      <c r="W19" s="797"/>
      <c r="X19" s="797"/>
      <c r="Y19" s="797"/>
      <c r="Z19" s="797"/>
      <c r="AA19" s="627" t="s">
        <v>830</v>
      </c>
      <c r="AB19" s="342">
        <f>AH1</f>
        <v>6</v>
      </c>
      <c r="AC19" s="342">
        <f>IF($AC$17&gt;=AB19,AB19,"")</f>
        <v>6</v>
      </c>
      <c r="AD19" s="342" t="str">
        <f>VLOOKUP(AB19,$AC$5:$AF$15,2,0)</f>
        <v>4a</v>
      </c>
      <c r="AE19" s="621" t="str">
        <f>IF(AC19="","",LEFT(AD19,1))</f>
        <v>4</v>
      </c>
      <c r="AF19" s="628">
        <f>B13</f>
        <v>-22.652999999999999</v>
      </c>
      <c r="AG19" s="342" t="str">
        <f>IF(AC19="","",VLOOKUP(AC19,$AC$3:AF$15,4,0))</f>
        <v>Đá vôi màu xám nâu, xám xanh, phong hóa nứt nẻ, dập vỡ mạnh, háng hốc Karst</v>
      </c>
      <c r="AH19" s="629" t="str">
        <f>AE19</f>
        <v>4</v>
      </c>
      <c r="AI19" s="342">
        <f>IF(AC19&lt;$AC$17,AF19-AF20,IF(AC19=$AC$17,AF19-$AF$40,""))</f>
        <v>0.90700000000000003</v>
      </c>
      <c r="AJ19" s="342">
        <f>IF(AC19&lt;$AC$17,$G$7-AF20,IF(AC19=$AC$17,$G$7-$AF$40,""))</f>
        <v>22.843</v>
      </c>
      <c r="AK19" t="s">
        <v>886</v>
      </c>
      <c r="AL19"/>
      <c r="AM19"/>
      <c r="AN19"/>
    </row>
    <row r="20" spans="1:44" ht="41.25" customHeight="1">
      <c r="A20" s="1358"/>
      <c r="B20" s="806">
        <f>IF(A19&lt;$K$16,J19,"")</f>
        <v>-23.016999999999999</v>
      </c>
      <c r="C20" s="805" t="str">
        <f>C19</f>
        <v>4</v>
      </c>
      <c r="D20" s="1353"/>
      <c r="E20" s="1353"/>
      <c r="F20" s="1714"/>
      <c r="G20" s="343"/>
      <c r="H20" s="797"/>
      <c r="I20" s="811"/>
      <c r="J20" s="818"/>
      <c r="K20" s="813" t="str">
        <f>IF(J20=0,"",COUNTA($J$17:J20))</f>
        <v/>
      </c>
      <c r="L20" s="813"/>
      <c r="M20" s="815"/>
      <c r="N20" s="815" t="str">
        <f t="shared" ref="N20:N40" si="3">IF(O20="","",LEFT(O20,1))</f>
        <v/>
      </c>
      <c r="O20" s="816"/>
      <c r="P20" s="809">
        <v>1</v>
      </c>
      <c r="Q20" s="596" t="s">
        <v>738</v>
      </c>
      <c r="R20" s="597">
        <f>P20</f>
        <v>1</v>
      </c>
      <c r="S20" s="797"/>
      <c r="T20" s="797"/>
      <c r="U20" s="797"/>
      <c r="V20" s="797"/>
      <c r="W20" s="797"/>
      <c r="X20" s="797"/>
      <c r="Y20" s="797"/>
      <c r="Z20" s="797"/>
      <c r="AA20" s="627"/>
      <c r="AB20" s="342"/>
      <c r="AC20" s="342"/>
      <c r="AD20" s="342"/>
      <c r="AE20" s="621" t="str">
        <f t="shared" ref="AE20:AE38" si="4">IF(AC20="","",AD20)</f>
        <v/>
      </c>
      <c r="AF20" s="342">
        <f>AF21</f>
        <v>-23.56</v>
      </c>
      <c r="AG20" s="342"/>
      <c r="AH20" s="629"/>
      <c r="AI20" s="342"/>
      <c r="AJ20" s="342"/>
      <c r="AK20" t="s">
        <v>888</v>
      </c>
      <c r="AL20"/>
      <c r="AM20"/>
      <c r="AN20" s="1348" t="s">
        <v>889</v>
      </c>
      <c r="AR20" s="553"/>
    </row>
    <row r="21" spans="1:44" ht="19.5" customHeight="1">
      <c r="A21" s="1358">
        <f>K21</f>
        <v>4</v>
      </c>
      <c r="B21" s="626">
        <f>B20</f>
        <v>-23.016999999999999</v>
      </c>
      <c r="C21" s="805" t="str">
        <f>M21</f>
        <v>h</v>
      </c>
      <c r="D21" s="1353">
        <f>IF(A21&lt;$K$16,B21-B22,B21-$B$40)</f>
        <v>2.0470000000000006</v>
      </c>
      <c r="E21" s="1353">
        <f>IF(A21&lt;$K$16,$G$5-B22,IF(A21=$K$16,$G$5-$B$40,""))</f>
        <v>24.710999999999999</v>
      </c>
      <c r="F21" s="1713" t="str">
        <f>IF(A21&lt;=$K$16,VLOOKUP(O21,$P$20:$Q$26,2,0),"")</f>
        <v xml:space="preserve"> Hạng Karst chứa sét pha</v>
      </c>
      <c r="G21" s="343"/>
      <c r="H21" s="797"/>
      <c r="I21" s="811" t="s">
        <v>927</v>
      </c>
      <c r="J21" s="818">
        <f>IF(VLOOKUP($G$2,'ĐT ĐC'!$B:$Z,5,0)="",0,VLOOKUP($G$2,'ĐT ĐC'!$B:$Z,5,0))</f>
        <v>-25.064</v>
      </c>
      <c r="K21" s="813">
        <f>IF(J21=0,"",COUNTA($J$17:J21))</f>
        <v>4</v>
      </c>
      <c r="L21" s="813"/>
      <c r="M21" s="815" t="str">
        <f>IF(N21="",M19,N21)</f>
        <v>h</v>
      </c>
      <c r="N21" s="815" t="str">
        <f t="shared" si="3"/>
        <v>h</v>
      </c>
      <c r="O21" s="816" t="str">
        <f>IF(VLOOKUP($G$2,'ĐT ĐC'!$B:$Z,16,0)="","",VLOOKUP($G$2,'ĐT ĐC'!$B:$Z,16,0))</f>
        <v>h</v>
      </c>
      <c r="P21" s="809">
        <v>2</v>
      </c>
      <c r="Q21" s="596" t="s">
        <v>739</v>
      </c>
      <c r="R21" s="597">
        <f t="shared" ref="R21:R26" si="5">P21</f>
        <v>2</v>
      </c>
      <c r="S21" s="797"/>
      <c r="T21" s="797"/>
      <c r="U21" s="797"/>
      <c r="V21" s="797"/>
      <c r="W21" s="797"/>
      <c r="X21" s="797"/>
      <c r="Y21" s="797"/>
      <c r="Z21" s="797"/>
      <c r="AA21" s="627"/>
      <c r="AB21" s="342">
        <f>AB19+1</f>
        <v>7</v>
      </c>
      <c r="AC21" s="342">
        <f>IF($AC$17&gt;=AB21,AB21,"")</f>
        <v>7</v>
      </c>
      <c r="AD21" s="342" t="str">
        <f>VLOOKUP(AB21,$AC$5:$AF$15,2,0)</f>
        <v>4b</v>
      </c>
      <c r="AE21" s="621" t="str">
        <f>IF(AC21="","",LEFT(AD21,1))</f>
        <v>4</v>
      </c>
      <c r="AF21" s="342">
        <f>IF(AC21="","",VLOOKUP(AC21,$AC$3:AF$15,3,0))</f>
        <v>-23.56</v>
      </c>
      <c r="AG21" s="342" t="str">
        <f>IF(AC21="","",VLOOKUP(AC21,$AC$3:AF$15,4,0))</f>
        <v>Đá vôi màu xám xanh, xám đen, nâu hồng, phong hóa nứt nẻ, dập vỡ mạnh, khe nứt lấp nhét, sét pha, đá cứng chắc.</v>
      </c>
      <c r="AH21" s="629" t="str">
        <f>IF(AE21="",AH19,AE21)</f>
        <v>4</v>
      </c>
      <c r="AI21" s="342">
        <f>IF(AC21&lt;$AC$17,AF21-AF22,IF(AC21=$AC$17,AF21-$AF$40,""))</f>
        <v>6.1430000000000042</v>
      </c>
      <c r="AJ21" s="342">
        <f>IF(AC21&lt;$AC$17,$G$7-AF22,IF(AC21=$AC$17,$G$7-$AF$40,""))</f>
        <v>28.986000000000004</v>
      </c>
      <c r="AK21" t="s">
        <v>891</v>
      </c>
      <c r="AL21"/>
      <c r="AM21"/>
      <c r="AN21" s="1349"/>
    </row>
    <row r="22" spans="1:44" ht="25.5" customHeight="1">
      <c r="A22" s="1358"/>
      <c r="B22" s="626">
        <f>IF(A21&lt;$K$16,J21,"")</f>
        <v>-25.064</v>
      </c>
      <c r="C22" s="805" t="str">
        <f>C21</f>
        <v>h</v>
      </c>
      <c r="D22" s="1353"/>
      <c r="E22" s="1353"/>
      <c r="F22" s="1713"/>
      <c r="G22" s="341"/>
      <c r="H22" s="193"/>
      <c r="I22" s="811"/>
      <c r="J22" s="818"/>
      <c r="K22" s="813" t="str">
        <f>IF(J22=0,"",COUNTA($J$17:J22))</f>
        <v/>
      </c>
      <c r="L22" s="813"/>
      <c r="M22" s="815"/>
      <c r="N22" s="815" t="str">
        <f t="shared" si="3"/>
        <v/>
      </c>
      <c r="O22" s="816"/>
      <c r="P22" s="809">
        <v>3</v>
      </c>
      <c r="Q22" s="596" t="s">
        <v>740</v>
      </c>
      <c r="R22" s="597">
        <f t="shared" si="5"/>
        <v>3</v>
      </c>
      <c r="S22" s="193"/>
      <c r="T22" s="193"/>
      <c r="U22" s="193"/>
      <c r="V22" s="193"/>
      <c r="W22" s="193"/>
      <c r="X22" s="193"/>
      <c r="Y22" s="193"/>
      <c r="Z22" s="193"/>
      <c r="AA22" s="627"/>
      <c r="AB22" s="342"/>
      <c r="AC22" s="342"/>
      <c r="AD22" s="342"/>
      <c r="AE22" s="621" t="str">
        <f t="shared" si="4"/>
        <v/>
      </c>
      <c r="AF22" s="342" t="str">
        <f>AF23</f>
        <v/>
      </c>
      <c r="AG22" s="342"/>
      <c r="AH22" s="629"/>
      <c r="AI22" s="342"/>
      <c r="AJ22" s="342"/>
      <c r="AK22" t="s">
        <v>893</v>
      </c>
      <c r="AL22"/>
      <c r="AM22"/>
      <c r="AN22" s="1350"/>
      <c r="AR22" s="553"/>
    </row>
    <row r="23" spans="1:44" ht="29.25" customHeight="1">
      <c r="A23" s="1358">
        <f>K23</f>
        <v>5</v>
      </c>
      <c r="B23" s="626">
        <f>B22</f>
        <v>-25.064</v>
      </c>
      <c r="C23" s="805" t="str">
        <f>M23</f>
        <v>4</v>
      </c>
      <c r="D23" s="1353">
        <f>IF(A23&lt;$K$16,B23-B24,B23-$B$40)</f>
        <v>4.6390000000000029</v>
      </c>
      <c r="E23" s="1353">
        <f>IF(A23&lt;$K$16,$G$5-B24,IF(A23=$K$16,$G$5-$B$40,""))</f>
        <v>29.35</v>
      </c>
      <c r="F23" s="1713" t="str">
        <f>IF(A23&lt;=$K$16,VLOOKUP(O23,$P$20:$Q$26,2,0),"")</f>
        <v>Đá vôi màu xám nâu, xám xanh, phong hóa nứt nẻ, dập vỡ mạnh, háng hốc Karst</v>
      </c>
      <c r="G23" s="341"/>
      <c r="H23" s="193"/>
      <c r="I23" s="811" t="s">
        <v>928</v>
      </c>
      <c r="J23" s="818">
        <f>IF(VLOOKUP($G$2,'ĐT ĐC'!$B:$Z,6,0)="",0,VLOOKUP($G$2,'ĐT ĐC'!$B:$Z,6,0))</f>
        <v>-29.702999999999999</v>
      </c>
      <c r="K23" s="813">
        <f>IF(J23=0,"",COUNTA($J$17:J23))</f>
        <v>5</v>
      </c>
      <c r="L23" s="813"/>
      <c r="M23" s="815" t="str">
        <f t="shared" ref="M23:M39" si="6">IF(N23="",M21,N23)</f>
        <v>4</v>
      </c>
      <c r="N23" s="815" t="str">
        <f t="shared" si="3"/>
        <v>4</v>
      </c>
      <c r="O23" s="816" t="str">
        <f>IF(VLOOKUP($G$2,'ĐT ĐC'!$B:$Z,17,0)="","",VLOOKUP($G$2,'ĐT ĐC'!$B:$Z,17,0))</f>
        <v>4a</v>
      </c>
      <c r="P23" s="809" t="s">
        <v>741</v>
      </c>
      <c r="Q23" s="596" t="s">
        <v>742</v>
      </c>
      <c r="R23" s="597" t="str">
        <f t="shared" si="5"/>
        <v>4a</v>
      </c>
      <c r="S23" s="193"/>
      <c r="T23" s="193"/>
      <c r="U23" s="193"/>
      <c r="V23" s="193"/>
      <c r="W23" s="193"/>
      <c r="X23" s="193"/>
      <c r="Y23" s="193"/>
      <c r="Z23" s="193"/>
      <c r="AA23" s="627"/>
      <c r="AB23" s="342">
        <f>AB21+1</f>
        <v>8</v>
      </c>
      <c r="AC23" s="342" t="str">
        <f>IF($AC$17&gt;=AB23,AB23,"")</f>
        <v/>
      </c>
      <c r="AD23" s="342" t="e">
        <f>VLOOKUP(AB23,$AC$5:$AF$15,2,0)</f>
        <v>#N/A</v>
      </c>
      <c r="AE23" s="621" t="str">
        <f>IF(AC23="","",LEFT(AD23,1))</f>
        <v/>
      </c>
      <c r="AF23" s="342" t="str">
        <f>IF(AC23="","",VLOOKUP(AC23,$AC$3:AF$15,3,0))</f>
        <v/>
      </c>
      <c r="AG23" s="342" t="str">
        <f>IF(AC23="","",VLOOKUP(AC23,$AC$3:AF$15,4,0))</f>
        <v/>
      </c>
      <c r="AH23" s="629" t="str">
        <f>IF(AE23="",AH21,AE23)</f>
        <v>4</v>
      </c>
      <c r="AI23" s="342" t="str">
        <f>IF(AC23&lt;$AC$17,AF23-AF24,IF(AC23=$AC$17,AF23-$AF$40,""))</f>
        <v/>
      </c>
      <c r="AJ23" s="342" t="str">
        <f>IF(AC23&lt;$AC$17,$G$7-AF24,IF(AC23=$AC$17,$G$7-$AF$40,""))</f>
        <v/>
      </c>
      <c r="AK23" t="s">
        <v>891</v>
      </c>
      <c r="AL23"/>
      <c r="AM23"/>
      <c r="AN23"/>
    </row>
    <row r="24" spans="1:44" ht="30.75" customHeight="1">
      <c r="A24" s="1358"/>
      <c r="B24" s="626" t="str">
        <f>IF(A23&lt;$K$16,J23,"")</f>
        <v/>
      </c>
      <c r="C24" s="805" t="str">
        <f>C23</f>
        <v>4</v>
      </c>
      <c r="D24" s="1353"/>
      <c r="E24" s="1353"/>
      <c r="F24" s="1713"/>
      <c r="G24" s="341"/>
      <c r="H24" s="193"/>
      <c r="I24" s="811"/>
      <c r="J24" s="818"/>
      <c r="K24" s="813" t="str">
        <f>IF(J24=0,"",COUNTA($J$17:J24))</f>
        <v/>
      </c>
      <c r="L24" s="813"/>
      <c r="M24" s="815"/>
      <c r="N24" s="815" t="str">
        <f t="shared" si="3"/>
        <v/>
      </c>
      <c r="O24" s="816"/>
      <c r="P24" s="809" t="s">
        <v>743</v>
      </c>
      <c r="Q24" s="596" t="s">
        <v>1095</v>
      </c>
      <c r="R24" s="597" t="str">
        <f t="shared" si="5"/>
        <v>H</v>
      </c>
      <c r="S24" s="193"/>
      <c r="T24" s="193"/>
      <c r="U24" s="193"/>
      <c r="V24" s="193"/>
      <c r="W24" s="193"/>
      <c r="X24" s="193"/>
      <c r="Y24" s="193"/>
      <c r="Z24" s="193"/>
      <c r="AA24" s="627"/>
      <c r="AB24" s="342"/>
      <c r="AC24" s="342"/>
      <c r="AD24" s="342"/>
      <c r="AE24" s="621" t="str">
        <f t="shared" si="4"/>
        <v/>
      </c>
      <c r="AF24" s="342" t="str">
        <f>AF25</f>
        <v/>
      </c>
      <c r="AG24" s="342"/>
      <c r="AH24" s="629"/>
      <c r="AI24" s="342"/>
      <c r="AJ24" s="342"/>
      <c r="AK24"/>
      <c r="AL24"/>
      <c r="AM24"/>
      <c r="AN24"/>
      <c r="AR24" s="553"/>
    </row>
    <row r="25" spans="1:44" ht="20.100000000000001" customHeight="1">
      <c r="A25" s="1358" t="str">
        <f>K25</f>
        <v/>
      </c>
      <c r="B25" s="626" t="str">
        <f>B24</f>
        <v/>
      </c>
      <c r="C25" s="805" t="str">
        <f>M25</f>
        <v>4</v>
      </c>
      <c r="D25" s="1353" t="e">
        <f>IF(A25&lt;$K$16,B25-B26,B25-$B$40)</f>
        <v>#VALUE!</v>
      </c>
      <c r="E25" s="1353" t="str">
        <f>IF(A25&lt;$K$16,$G$5-B26,IF(A25=$K$16,$G$5-$B$40,""))</f>
        <v/>
      </c>
      <c r="F25" s="1713" t="str">
        <f>IF(A25&lt;=$K$16,VLOOKUP(O25,$P$20:$Q$26,2,0),"")</f>
        <v/>
      </c>
      <c r="G25" s="341"/>
      <c r="H25" s="193"/>
      <c r="I25" s="811" t="s">
        <v>929</v>
      </c>
      <c r="J25" s="818">
        <f>IF(VLOOKUP($G$2,'ĐT ĐC'!$B:$Z,7,0)="",0,VLOOKUP($G$2,'ĐT ĐC'!$B:$Z,7,0))</f>
        <v>0</v>
      </c>
      <c r="K25" s="813" t="str">
        <f>IF(J25=0,"",COUNTA($J$17:J25))</f>
        <v/>
      </c>
      <c r="L25" s="813"/>
      <c r="M25" s="815" t="str">
        <f t="shared" si="6"/>
        <v>4</v>
      </c>
      <c r="N25" s="815" t="str">
        <f t="shared" si="3"/>
        <v/>
      </c>
      <c r="O25" s="816" t="str">
        <f>IF(VLOOKUP($G$2,'ĐT ĐC'!$B:$Z,18,0)="","",VLOOKUP($G$2,'ĐT ĐC'!$B:$Z,18,0))</f>
        <v/>
      </c>
      <c r="P25" s="809" t="s">
        <v>745</v>
      </c>
      <c r="Q25" s="596" t="s">
        <v>746</v>
      </c>
      <c r="R25" s="597" t="str">
        <f t="shared" si="5"/>
        <v>4b</v>
      </c>
      <c r="S25" s="193"/>
      <c r="T25" s="193"/>
      <c r="U25" s="193"/>
      <c r="V25" s="193"/>
      <c r="W25" s="193"/>
      <c r="X25" s="193"/>
      <c r="Y25" s="193"/>
      <c r="Z25" s="193"/>
      <c r="AA25" s="627"/>
      <c r="AB25" s="342">
        <f>AB23+1</f>
        <v>9</v>
      </c>
      <c r="AC25" s="342" t="str">
        <f>IF($AC$17&gt;=AB25,AB25,"")</f>
        <v/>
      </c>
      <c r="AD25" s="342" t="e">
        <f>VLOOKUP(AB25,$AC$5:$AF$15,2,0)</f>
        <v>#N/A</v>
      </c>
      <c r="AE25" s="621" t="str">
        <f>IF(AC25="","",LEFT(AD25,1))</f>
        <v/>
      </c>
      <c r="AF25" s="342" t="str">
        <f>IF(AC25="","",VLOOKUP(AC25,$AC$3:AF$15,3,0))</f>
        <v/>
      </c>
      <c r="AG25" s="342" t="str">
        <f>IF(AC25="","",VLOOKUP(AC25,$AC$3:AF$15,4,0))</f>
        <v/>
      </c>
      <c r="AH25" s="629" t="str">
        <f>IF(AE25="",AH23,AE25)</f>
        <v>4</v>
      </c>
      <c r="AI25" s="342" t="str">
        <f>IF(AC25&lt;$AC$17,AF25-AF26,IF(AC25=$AC$17,AF25-$AF$40,""))</f>
        <v/>
      </c>
      <c r="AJ25" s="342" t="str">
        <f>IF(AC25&lt;$AC$17,$G$7-AF26,IF(AC25=$AC$17,$G$7-$AF$40,""))</f>
        <v/>
      </c>
      <c r="AN25" s="357"/>
    </row>
    <row r="26" spans="1:44" ht="27.75" customHeight="1">
      <c r="A26" s="1358"/>
      <c r="B26" s="626" t="str">
        <f>IF(A25&lt;$K$16,J25,"")</f>
        <v/>
      </c>
      <c r="C26" s="805" t="str">
        <f>C25</f>
        <v>4</v>
      </c>
      <c r="D26" s="1353"/>
      <c r="E26" s="1353"/>
      <c r="F26" s="1713"/>
      <c r="G26" s="341"/>
      <c r="H26" s="193"/>
      <c r="I26" s="811"/>
      <c r="J26" s="818"/>
      <c r="K26" s="813" t="str">
        <f>IF(J26=0,"",COUNTA($J$17:J26))</f>
        <v/>
      </c>
      <c r="L26" s="813"/>
      <c r="M26" s="815"/>
      <c r="N26" s="815" t="str">
        <f t="shared" si="3"/>
        <v/>
      </c>
      <c r="O26" s="816"/>
      <c r="P26" s="810" t="s">
        <v>747</v>
      </c>
      <c r="Q26" s="598" t="s">
        <v>748</v>
      </c>
      <c r="R26" s="599" t="str">
        <f t="shared" si="5"/>
        <v>4c</v>
      </c>
      <c r="S26" s="193"/>
      <c r="T26" s="193"/>
      <c r="U26" s="193"/>
      <c r="V26" s="193"/>
      <c r="W26" s="193"/>
      <c r="X26" s="193"/>
      <c r="Y26" s="193"/>
      <c r="Z26" s="193"/>
      <c r="AA26" s="627"/>
      <c r="AB26" s="342"/>
      <c r="AC26" s="342"/>
      <c r="AD26" s="342"/>
      <c r="AE26" s="621" t="str">
        <f t="shared" si="4"/>
        <v/>
      </c>
      <c r="AF26" s="342" t="str">
        <f>AF27</f>
        <v/>
      </c>
      <c r="AG26" s="342"/>
      <c r="AH26" s="629"/>
      <c r="AI26" s="342"/>
      <c r="AJ26" s="342"/>
      <c r="AN26" s="357"/>
      <c r="AR26" s="553"/>
    </row>
    <row r="27" spans="1:44" ht="20.100000000000001" customHeight="1">
      <c r="A27" s="1358" t="str">
        <f>K27</f>
        <v/>
      </c>
      <c r="B27" s="626" t="str">
        <f>B26</f>
        <v/>
      </c>
      <c r="C27" s="805" t="str">
        <f>M27</f>
        <v>4</v>
      </c>
      <c r="D27" s="1353" t="e">
        <f>IF(A27&lt;$K$16,B27-B28,B27-$B$40)</f>
        <v>#VALUE!</v>
      </c>
      <c r="E27" s="1353" t="str">
        <f>IF(A27&lt;$K$16,$G$5-B28,IF(A27=$K$16,$G$5-$B$40,""))</f>
        <v/>
      </c>
      <c r="F27" s="1713" t="str">
        <f>IF(A27&lt;=$K$16,VLOOKUP(O27,$P$20:$Q$26,2,0),"")</f>
        <v/>
      </c>
      <c r="G27" s="341"/>
      <c r="H27" s="193"/>
      <c r="I27" s="811" t="s">
        <v>930</v>
      </c>
      <c r="J27" s="818">
        <f>IF(VLOOKUP($G$2,'ĐT ĐC'!$B:$Z,8,0)="",0,VLOOKUP($G$2,'ĐT ĐC'!$B:$Z,8,0))</f>
        <v>0</v>
      </c>
      <c r="K27" s="813" t="str">
        <f>IF(J27=0,"",COUNTA($J$17:J27))</f>
        <v/>
      </c>
      <c r="L27" s="813"/>
      <c r="M27" s="815" t="str">
        <f t="shared" si="6"/>
        <v>4</v>
      </c>
      <c r="N27" s="815" t="str">
        <f t="shared" si="3"/>
        <v/>
      </c>
      <c r="O27" s="816" t="str">
        <f>IF(VLOOKUP($G$2,'ĐT ĐC'!$B:$Z,19,0)="","",VLOOKUP($G$2,'ĐT ĐC'!$B:$Z,19,0))</f>
        <v/>
      </c>
      <c r="P27" s="193"/>
      <c r="Q27" s="193"/>
      <c r="R27" s="193"/>
      <c r="S27" s="193"/>
      <c r="T27" s="193"/>
      <c r="U27" s="193"/>
      <c r="V27" s="193"/>
      <c r="W27" s="193"/>
      <c r="X27" s="193"/>
      <c r="Y27" s="193"/>
      <c r="Z27" s="193"/>
      <c r="AA27" s="627"/>
      <c r="AB27" s="342">
        <f>AB25+1</f>
        <v>10</v>
      </c>
      <c r="AC27" s="342" t="str">
        <f>IF($AC$17&gt;=AB27,AB27,"")</f>
        <v/>
      </c>
      <c r="AD27" s="342" t="e">
        <f>VLOOKUP(AB27,$AC$5:$AF$15,2,0)</f>
        <v>#N/A</v>
      </c>
      <c r="AE27" s="621" t="str">
        <f>IF(AC27="","",LEFT(AD27,1))</f>
        <v/>
      </c>
      <c r="AF27" s="342" t="str">
        <f>IF(AC27="","",VLOOKUP(AC27,$AC$3:AF$15,3,0))</f>
        <v/>
      </c>
      <c r="AG27" s="342" t="str">
        <f>IF(AC27="","",VLOOKUP(AC27,$AC$3:AF$15,4,0))</f>
        <v/>
      </c>
      <c r="AH27" s="629" t="str">
        <f>IF(AE27="",AH25,AE27)</f>
        <v>4</v>
      </c>
      <c r="AI27" s="342" t="str">
        <f>IF(AC27&lt;$AC$17,AF27-AF28,IF(AC27=$AC$17,AF27-$AF$40,""))</f>
        <v/>
      </c>
      <c r="AJ27" s="342" t="str">
        <f>IF(AC27&lt;$AC$17,$G$7-AF28,IF(AC27=$AC$17,$G$7-$AF$40,""))</f>
        <v/>
      </c>
      <c r="AN27" s="357"/>
    </row>
    <row r="28" spans="1:44" ht="49.5" customHeight="1">
      <c r="A28" s="1358"/>
      <c r="B28" s="626" t="str">
        <f>IF(A27&lt;$K$16,J27,"")</f>
        <v/>
      </c>
      <c r="C28" s="805" t="str">
        <f>C27</f>
        <v>4</v>
      </c>
      <c r="D28" s="1353"/>
      <c r="E28" s="1353"/>
      <c r="F28" s="1713"/>
      <c r="G28" s="341"/>
      <c r="H28" s="193"/>
      <c r="I28" s="811"/>
      <c r="J28" s="818"/>
      <c r="K28" s="813" t="str">
        <f>IF(J28=0,"",COUNTA($J$17:J28))</f>
        <v/>
      </c>
      <c r="L28" s="813"/>
      <c r="M28" s="815"/>
      <c r="N28" s="815" t="str">
        <f t="shared" si="3"/>
        <v/>
      </c>
      <c r="O28" s="816"/>
      <c r="P28" s="193"/>
      <c r="Q28" s="193"/>
      <c r="R28" s="193"/>
      <c r="S28" s="193"/>
      <c r="T28" s="193"/>
      <c r="U28" s="193"/>
      <c r="V28" s="193"/>
      <c r="W28" s="193"/>
      <c r="X28" s="193"/>
      <c r="Y28" s="193"/>
      <c r="Z28" s="193"/>
      <c r="AA28" s="627"/>
      <c r="AB28" s="342"/>
      <c r="AC28" s="342"/>
      <c r="AD28" s="342"/>
      <c r="AE28" s="621" t="str">
        <f t="shared" si="4"/>
        <v/>
      </c>
      <c r="AF28" s="342" t="str">
        <f>AF29</f>
        <v/>
      </c>
      <c r="AG28" s="342"/>
      <c r="AH28" s="629"/>
      <c r="AI28" s="342"/>
      <c r="AJ28" s="342"/>
      <c r="AN28" s="357"/>
      <c r="AR28" s="553"/>
    </row>
    <row r="29" spans="1:44" ht="20.100000000000001" customHeight="1">
      <c r="A29" s="1358" t="str">
        <f>K29</f>
        <v/>
      </c>
      <c r="B29" s="626" t="str">
        <f>B28</f>
        <v/>
      </c>
      <c r="C29" s="805" t="str">
        <f>M29</f>
        <v>4</v>
      </c>
      <c r="D29" s="1353" t="e">
        <f>IF(A29&lt;$K$16,B29-B30,B29-$B$40)</f>
        <v>#VALUE!</v>
      </c>
      <c r="E29" s="1353" t="str">
        <f>IF(A29&lt;$K$16,$G$5-B30,IF(A29=$K$16,$G$5-$B$40,""))</f>
        <v/>
      </c>
      <c r="F29" s="1713" t="str">
        <f>IF(A29&lt;=$K$16,VLOOKUP(O29,$P$20:$Q$26,2,0),"")</f>
        <v/>
      </c>
      <c r="G29" s="341"/>
      <c r="H29" s="193"/>
      <c r="I29" s="811" t="s">
        <v>931</v>
      </c>
      <c r="J29" s="818">
        <f>IF(VLOOKUP($G$2,'ĐT ĐC'!$B:$Z,9,0)="",0,VLOOKUP($G$2,'ĐT ĐC'!$B:$Z,9,0))</f>
        <v>0</v>
      </c>
      <c r="K29" s="813" t="str">
        <f>IF(J29=0,"",COUNTA($J$17:J29))</f>
        <v/>
      </c>
      <c r="L29" s="813"/>
      <c r="M29" s="815" t="str">
        <f t="shared" si="6"/>
        <v>4</v>
      </c>
      <c r="N29" s="815" t="str">
        <f t="shared" si="3"/>
        <v/>
      </c>
      <c r="O29" s="816" t="str">
        <f>IF(VLOOKUP($G$2,'ĐT ĐC'!$B:$Z,20,0)="","",VLOOKUP($G$2,'ĐT ĐC'!$B:$Z,20,0))</f>
        <v/>
      </c>
      <c r="P29" s="193"/>
      <c r="Q29" s="193"/>
      <c r="R29" s="193"/>
      <c r="S29" s="193"/>
      <c r="T29" s="193"/>
      <c r="U29" s="193"/>
      <c r="V29" s="193"/>
      <c r="W29" s="193"/>
      <c r="X29" s="193"/>
      <c r="Y29" s="193"/>
      <c r="Z29" s="193"/>
      <c r="AA29" s="627"/>
      <c r="AB29" s="342">
        <f>AB27+1</f>
        <v>11</v>
      </c>
      <c r="AC29" s="342" t="str">
        <f>IF($AC$17&gt;=AB29,AB29,"")</f>
        <v/>
      </c>
      <c r="AD29" s="342" t="e">
        <f>VLOOKUP(AB29,$AC$5:$AF$15,2,0)</f>
        <v>#N/A</v>
      </c>
      <c r="AE29" s="621" t="str">
        <f>IF(AC29="","",LEFT(AD29,1))</f>
        <v/>
      </c>
      <c r="AF29" s="342" t="str">
        <f>IF(AC29="","",VLOOKUP(AC29,$AC$3:AF$15,3,0))</f>
        <v/>
      </c>
      <c r="AG29" s="342" t="str">
        <f>IF(AC29="","",VLOOKUP(AC29,$AC$3:AF$15,4,0))</f>
        <v/>
      </c>
      <c r="AH29" s="629" t="str">
        <f>IF(AE29="",AH27,AE29)</f>
        <v>4</v>
      </c>
      <c r="AI29" s="342" t="str">
        <f>IF(AC29&lt;$AC$17,AF29-AF30,IF(AC29=$AC$17,AF29-$AF$40,""))</f>
        <v/>
      </c>
      <c r="AJ29" s="342" t="str">
        <f>IF(AC29&lt;$AC$17,$G$7-AF30,IF(AC29=$AC$17,$G$7-$AF$40,""))</f>
        <v/>
      </c>
      <c r="AN29" s="357"/>
    </row>
    <row r="30" spans="1:44" ht="20.100000000000001" customHeight="1">
      <c r="A30" s="1358"/>
      <c r="B30" s="626" t="str">
        <f>IF(A29&lt;$K$16,J29,"")</f>
        <v/>
      </c>
      <c r="C30" s="805" t="str">
        <f>C29</f>
        <v>4</v>
      </c>
      <c r="D30" s="1353"/>
      <c r="E30" s="1353"/>
      <c r="F30" s="1713"/>
      <c r="G30" s="341"/>
      <c r="H30" s="193"/>
      <c r="I30" s="811"/>
      <c r="J30" s="818"/>
      <c r="K30" s="813" t="str">
        <f>IF(J30=0,"",COUNTA($J$17:J30))</f>
        <v/>
      </c>
      <c r="L30" s="813"/>
      <c r="M30" s="815"/>
      <c r="N30" s="815" t="str">
        <f t="shared" si="3"/>
        <v/>
      </c>
      <c r="O30" s="816"/>
      <c r="P30" s="193"/>
      <c r="Q30" s="193"/>
      <c r="R30" s="193"/>
      <c r="S30" s="193"/>
      <c r="T30" s="193"/>
      <c r="U30" s="193"/>
      <c r="V30" s="193"/>
      <c r="W30" s="193"/>
      <c r="X30" s="193"/>
      <c r="Y30" s="193"/>
      <c r="Z30" s="193"/>
      <c r="AA30" s="627"/>
      <c r="AB30" s="342"/>
      <c r="AC30" s="342"/>
      <c r="AD30" s="342"/>
      <c r="AE30" s="621" t="str">
        <f t="shared" si="4"/>
        <v/>
      </c>
      <c r="AF30" s="342" t="str">
        <f>AF31</f>
        <v/>
      </c>
      <c r="AG30" s="342"/>
      <c r="AH30" s="629"/>
      <c r="AI30" s="342"/>
      <c r="AJ30" s="342"/>
      <c r="AN30" s="357"/>
      <c r="AR30" s="553"/>
    </row>
    <row r="31" spans="1:44" ht="20.100000000000001" customHeight="1">
      <c r="A31" s="1358" t="str">
        <f>K31</f>
        <v/>
      </c>
      <c r="B31" s="626" t="str">
        <f>B30</f>
        <v/>
      </c>
      <c r="C31" s="805" t="str">
        <f>M31</f>
        <v>4</v>
      </c>
      <c r="D31" s="1353" t="e">
        <f>IF(A31&lt;$K$16,B31-B32,B31-$B$40)</f>
        <v>#VALUE!</v>
      </c>
      <c r="E31" s="1353" t="str">
        <f>IF(A31&lt;$K$16,$G$5-B32,IF(A31=$K$16,$G$5-$B$40,""))</f>
        <v/>
      </c>
      <c r="F31" s="1713" t="str">
        <f>IF(A31&lt;=$K$16,VLOOKUP(O31,$P$20:$Q$26,2,0),"")</f>
        <v/>
      </c>
      <c r="G31" s="341"/>
      <c r="H31" s="193"/>
      <c r="I31" s="811" t="s">
        <v>932</v>
      </c>
      <c r="J31" s="818">
        <f>IF(VLOOKUP($G$2,'ĐT ĐC'!$B:$Z,10,0)="",0,VLOOKUP($G$2,'ĐT ĐC'!$B:$Z,10,0))</f>
        <v>0</v>
      </c>
      <c r="K31" s="813" t="str">
        <f>IF(J31=0,"",COUNTA($J$17:J31))</f>
        <v/>
      </c>
      <c r="L31" s="813"/>
      <c r="M31" s="815" t="str">
        <f t="shared" si="6"/>
        <v>4</v>
      </c>
      <c r="N31" s="815" t="str">
        <f t="shared" si="3"/>
        <v/>
      </c>
      <c r="O31" s="816" t="str">
        <f>IF(VLOOKUP($G$2,'ĐT ĐC'!$B:$Z,21,0)="","",VLOOKUP($G$2,'ĐT ĐC'!$B:$Z,21,0))</f>
        <v/>
      </c>
      <c r="P31" s="193"/>
      <c r="Q31" s="193"/>
      <c r="R31" s="193"/>
      <c r="S31" s="193"/>
      <c r="T31" s="193"/>
      <c r="U31" s="193"/>
      <c r="V31" s="193"/>
      <c r="W31" s="193"/>
      <c r="X31" s="193"/>
      <c r="Y31" s="193"/>
      <c r="Z31" s="193"/>
      <c r="AA31" s="627"/>
      <c r="AB31" s="342">
        <f>AB29+1</f>
        <v>12</v>
      </c>
      <c r="AC31" s="342" t="str">
        <f>IF($AC$17&gt;=AB31,AB31,"")</f>
        <v/>
      </c>
      <c r="AD31" s="342" t="e">
        <f>VLOOKUP(AB31,$AC$5:$AF$15,2,0)</f>
        <v>#N/A</v>
      </c>
      <c r="AE31" s="621" t="str">
        <f>IF(AC31="","",LEFT(AD31,1))</f>
        <v/>
      </c>
      <c r="AF31" s="342" t="str">
        <f>IF(AC31="","",VLOOKUP(AC31,$AC$3:AF$15,3,0))</f>
        <v/>
      </c>
      <c r="AG31" s="342" t="str">
        <f>IF(AC31="","",VLOOKUP(AC31,$AC$3:AF$15,4,0))</f>
        <v/>
      </c>
      <c r="AH31" s="629" t="str">
        <f>IF(AE31="",AH29,AE31)</f>
        <v>4</v>
      </c>
      <c r="AI31" s="342" t="str">
        <f>IF(AC31&lt;$AC$17,AF31-AF32,IF(AC31=$AC$17,AF31-$AF$40,""))</f>
        <v/>
      </c>
      <c r="AJ31" s="342" t="str">
        <f>IF(AC31&lt;$AC$17,$G$7-AF32,IF(AC31=$AC$17,$G$7-$AF$40,""))</f>
        <v/>
      </c>
      <c r="AN31" s="357"/>
    </row>
    <row r="32" spans="1:44" ht="51" customHeight="1">
      <c r="A32" s="1358"/>
      <c r="B32" s="626" t="str">
        <f>IF(A31&lt;$K$16,J31,"")</f>
        <v/>
      </c>
      <c r="C32" s="805" t="str">
        <f>C31</f>
        <v>4</v>
      </c>
      <c r="D32" s="1353"/>
      <c r="E32" s="1353"/>
      <c r="F32" s="1713"/>
      <c r="G32" s="341"/>
      <c r="H32" s="193"/>
      <c r="I32" s="811"/>
      <c r="J32" s="818"/>
      <c r="K32" s="813" t="str">
        <f>IF(J32=0,"",COUNTA($J$17:J32))</f>
        <v/>
      </c>
      <c r="L32" s="813"/>
      <c r="M32" s="815"/>
      <c r="N32" s="815" t="str">
        <f t="shared" si="3"/>
        <v/>
      </c>
      <c r="O32" s="816"/>
      <c r="P32" s="193"/>
      <c r="Q32" s="193"/>
      <c r="R32" s="193"/>
      <c r="S32" s="193"/>
      <c r="T32" s="193"/>
      <c r="U32" s="193"/>
      <c r="V32" s="193"/>
      <c r="W32" s="193"/>
      <c r="X32" s="193"/>
      <c r="Y32" s="193"/>
      <c r="Z32" s="193"/>
      <c r="AA32" s="627"/>
      <c r="AB32" s="342"/>
      <c r="AC32" s="342"/>
      <c r="AD32" s="342"/>
      <c r="AE32" s="621" t="str">
        <f t="shared" si="4"/>
        <v/>
      </c>
      <c r="AF32" s="342" t="str">
        <f>AF33</f>
        <v/>
      </c>
      <c r="AG32" s="342"/>
      <c r="AH32" s="629"/>
      <c r="AI32" s="342"/>
      <c r="AJ32" s="342"/>
      <c r="AN32" s="357"/>
      <c r="AR32" s="553"/>
    </row>
    <row r="33" spans="1:44" ht="15" customHeight="1">
      <c r="A33" s="1358" t="str">
        <f>K33</f>
        <v/>
      </c>
      <c r="B33" s="626" t="str">
        <f>B32</f>
        <v/>
      </c>
      <c r="C33" s="805" t="str">
        <f>M33</f>
        <v>4</v>
      </c>
      <c r="D33" s="1353" t="e">
        <f>IF(A33&lt;$K$16,B33-B34,B33-$B$40)</f>
        <v>#VALUE!</v>
      </c>
      <c r="E33" s="1353" t="str">
        <f>IF(A33&lt;$K$16,$G$5-B34,IF(A33=$K$16,$G$5-$B$40,""))</f>
        <v/>
      </c>
      <c r="F33" s="1713" t="str">
        <f>IF(A33&lt;=$K$16,VLOOKUP(O33,$P$20:$Q$26,2,0),"")</f>
        <v/>
      </c>
      <c r="G33" s="341"/>
      <c r="H33" s="193"/>
      <c r="I33" s="811" t="s">
        <v>933</v>
      </c>
      <c r="J33" s="818">
        <f>IF(VLOOKUP($G$2,'ĐT ĐC'!$B:$Z,11,0)="",0,VLOOKUP($G$2,'ĐT ĐC'!$B:$Z,11,0))</f>
        <v>0</v>
      </c>
      <c r="K33" s="813" t="str">
        <f>IF(J33=0,"",COUNTA($J$17:J33))</f>
        <v/>
      </c>
      <c r="L33" s="813"/>
      <c r="M33" s="815" t="str">
        <f t="shared" si="6"/>
        <v>4</v>
      </c>
      <c r="N33" s="815" t="str">
        <f t="shared" si="3"/>
        <v/>
      </c>
      <c r="O33" s="816" t="str">
        <f>IF(VLOOKUP($G$2,'ĐT ĐC'!$B:$Z,22,0)="","",VLOOKUP($G$2,'ĐT ĐC'!$B:$Z,22,0))</f>
        <v/>
      </c>
      <c r="P33" s="193"/>
      <c r="Q33" s="193"/>
      <c r="R33" s="193"/>
      <c r="S33" s="193"/>
      <c r="T33" s="193"/>
      <c r="U33" s="193"/>
      <c r="V33" s="193"/>
      <c r="W33" s="193"/>
      <c r="X33" s="193"/>
      <c r="Y33" s="193"/>
      <c r="Z33" s="193"/>
      <c r="AA33" s="627"/>
      <c r="AB33" s="342">
        <f>AB31+1</f>
        <v>13</v>
      </c>
      <c r="AC33" s="342" t="str">
        <f>IF($AC$17&gt;=AB33,AB33,"")</f>
        <v/>
      </c>
      <c r="AD33" s="342" t="e">
        <f>VLOOKUP(AB33,$AC$5:$AF$15,2,0)</f>
        <v>#N/A</v>
      </c>
      <c r="AE33" s="621" t="str">
        <f>IF(AC33="","",LEFT(AD33,1))</f>
        <v/>
      </c>
      <c r="AF33" s="342" t="str">
        <f>IF(AC33="","",VLOOKUP(AC33,$AC$3:AF$15,3,0))</f>
        <v/>
      </c>
      <c r="AG33" s="342" t="str">
        <f>IF(AC33="","",VLOOKUP(AC33,$AC$3:AF$15,4,0))</f>
        <v/>
      </c>
      <c r="AH33" s="629" t="str">
        <f>IF(AE33="",AH31,AE33)</f>
        <v>4</v>
      </c>
      <c r="AI33" s="342" t="str">
        <f>IF(AC33&lt;$AC$17,AF33-AF34,IF(AC33=$AC$17,AF33-$AF$40,""))</f>
        <v/>
      </c>
      <c r="AJ33" s="342" t="str">
        <f>IF(AC33&lt;$AC$17,$G$7-AF34,IF(AC33=$AC$17,$G$7-$AF$40,""))</f>
        <v/>
      </c>
      <c r="AN33" s="357"/>
    </row>
    <row r="34" spans="1:44" ht="15" customHeight="1">
      <c r="A34" s="1358"/>
      <c r="B34" s="626" t="str">
        <f>IF(A33&lt;$K$16,J33,"")</f>
        <v/>
      </c>
      <c r="C34" s="805" t="str">
        <f>C33</f>
        <v>4</v>
      </c>
      <c r="D34" s="1353"/>
      <c r="E34" s="1353"/>
      <c r="F34" s="1713"/>
      <c r="G34" s="625"/>
      <c r="H34" s="798"/>
      <c r="I34" s="811"/>
      <c r="J34" s="818"/>
      <c r="K34" s="813" t="str">
        <f>IF(J34=0,"",COUNTA($J$17:J34))</f>
        <v/>
      </c>
      <c r="L34" s="813"/>
      <c r="M34" s="815"/>
      <c r="N34" s="815" t="str">
        <f t="shared" si="3"/>
        <v/>
      </c>
      <c r="O34" s="816"/>
      <c r="P34" s="798"/>
      <c r="Q34" s="798"/>
      <c r="R34" s="798"/>
      <c r="S34" s="798"/>
      <c r="T34" s="798"/>
      <c r="U34" s="798"/>
      <c r="V34" s="798"/>
      <c r="W34" s="798"/>
      <c r="X34" s="798"/>
      <c r="Y34" s="798"/>
      <c r="Z34" s="798"/>
      <c r="AA34" s="627"/>
      <c r="AB34" s="342"/>
      <c r="AC34" s="342"/>
      <c r="AD34" s="342"/>
      <c r="AE34" s="621" t="str">
        <f t="shared" si="4"/>
        <v/>
      </c>
      <c r="AF34" s="342" t="str">
        <f>AF35</f>
        <v/>
      </c>
      <c r="AG34" s="342"/>
      <c r="AH34" s="629"/>
      <c r="AI34" s="342"/>
      <c r="AJ34" s="342"/>
      <c r="AN34" s="357"/>
      <c r="AR34" s="553"/>
    </row>
    <row r="35" spans="1:44" ht="13.5" customHeight="1">
      <c r="A35" s="1358" t="str">
        <f>K35</f>
        <v/>
      </c>
      <c r="B35" s="626" t="str">
        <f>B34</f>
        <v/>
      </c>
      <c r="C35" s="805" t="str">
        <f>M35</f>
        <v>4</v>
      </c>
      <c r="D35" s="1353" t="e">
        <f>IF(A35&lt;$K$16,B35-B36,B35-$B$40)</f>
        <v>#VALUE!</v>
      </c>
      <c r="E35" s="1353" t="str">
        <f>IF(A35&lt;$K$16,$G$5-B36,IF(A35=$K$16,$G$5-$B$40,""))</f>
        <v/>
      </c>
      <c r="F35" s="1713" t="str">
        <f>IF(A35&lt;=$K$16,VLOOKUP(O35,$P$20:$Q$26,2,0),"")</f>
        <v/>
      </c>
      <c r="G35" s="341"/>
      <c r="H35" s="193"/>
      <c r="I35" s="811" t="s">
        <v>934</v>
      </c>
      <c r="J35" s="818">
        <f>IF(VLOOKUP($G$2,'ĐT ĐC'!$B:$Z,12,0)="",0,VLOOKUP($G$2,'ĐT ĐC'!$B:$Z,12,0))</f>
        <v>0</v>
      </c>
      <c r="K35" s="813" t="str">
        <f>IF(J35=0,"",COUNTA($J$17:J35))</f>
        <v/>
      </c>
      <c r="L35" s="813"/>
      <c r="M35" s="815" t="str">
        <f t="shared" si="6"/>
        <v>4</v>
      </c>
      <c r="N35" s="815" t="str">
        <f t="shared" si="3"/>
        <v/>
      </c>
      <c r="O35" s="816" t="str">
        <f>IF(VLOOKUP($G$2,'ĐT ĐC'!$B:$Z,23,0)="","",VLOOKUP($G$2,'ĐT ĐC'!$B:$Z,23,0))</f>
        <v/>
      </c>
      <c r="P35" s="193"/>
      <c r="Q35" s="193"/>
      <c r="R35" s="193"/>
      <c r="S35" s="193"/>
      <c r="T35" s="193"/>
      <c r="U35" s="193"/>
      <c r="V35" s="193"/>
      <c r="W35" s="193"/>
      <c r="X35" s="193"/>
      <c r="Y35" s="193"/>
      <c r="Z35" s="193"/>
      <c r="AA35" s="627"/>
      <c r="AB35" s="342">
        <f>AB33+1</f>
        <v>14</v>
      </c>
      <c r="AC35" s="342" t="str">
        <f>IF($AC$17&gt;=AB35,AB35,"")</f>
        <v/>
      </c>
      <c r="AD35" s="342" t="e">
        <f>VLOOKUP(AB35,$AC$5:$AF$15,2,0)</f>
        <v>#N/A</v>
      </c>
      <c r="AE35" s="621" t="str">
        <f>IF(AC35="","",LEFT(AD35,1))</f>
        <v/>
      </c>
      <c r="AF35" s="342" t="str">
        <f>IF(AC35="","",VLOOKUP(AC35,$AC$3:AF$15,3,0))</f>
        <v/>
      </c>
      <c r="AG35" s="342" t="str">
        <f>IF(AC35="","",VLOOKUP(AC35,$AC$3:AF$15,4,0))</f>
        <v/>
      </c>
      <c r="AH35" s="629" t="str">
        <f>IF(AE35="",AH33,AE35)</f>
        <v>4</v>
      </c>
      <c r="AI35" s="342" t="str">
        <f>IF(AC35&lt;$AC$17,AF35-AF36,IF(AC35=$AC$17,AF35-$AF$40,""))</f>
        <v/>
      </c>
      <c r="AJ35" s="342" t="str">
        <f>IF(AC35&lt;$AC$17,$G$7-AF36,IF(AC35=$AC$17,$G$7-$AF$40,""))</f>
        <v/>
      </c>
      <c r="AN35" s="357"/>
    </row>
    <row r="36" spans="1:44" ht="13.5" customHeight="1">
      <c r="A36" s="1358"/>
      <c r="B36" s="626" t="str">
        <f>IF(A35&lt;$K$16,J35,"")</f>
        <v/>
      </c>
      <c r="C36" s="805" t="str">
        <f>C35</f>
        <v>4</v>
      </c>
      <c r="D36" s="1353"/>
      <c r="E36" s="1353"/>
      <c r="F36" s="1713"/>
      <c r="G36" s="344"/>
      <c r="H36" s="798"/>
      <c r="I36" s="811"/>
      <c r="J36" s="818"/>
      <c r="K36" s="813" t="str">
        <f>IF(J36=0,"",COUNTA($J$17:J36))</f>
        <v/>
      </c>
      <c r="L36" s="813"/>
      <c r="M36" s="815"/>
      <c r="N36" s="815" t="str">
        <f t="shared" si="3"/>
        <v/>
      </c>
      <c r="O36" s="816"/>
      <c r="P36" s="798"/>
      <c r="Q36" s="798"/>
      <c r="R36" s="798"/>
      <c r="S36" s="798"/>
      <c r="T36" s="798"/>
      <c r="U36" s="798"/>
      <c r="V36" s="798"/>
      <c r="W36" s="798"/>
      <c r="X36" s="798"/>
      <c r="Y36" s="798"/>
      <c r="Z36" s="798"/>
      <c r="AA36" s="627"/>
      <c r="AB36" s="342"/>
      <c r="AC36" s="342"/>
      <c r="AD36" s="342"/>
      <c r="AE36" s="621" t="str">
        <f t="shared" si="4"/>
        <v/>
      </c>
      <c r="AF36" s="342" t="str">
        <f>AF37</f>
        <v/>
      </c>
      <c r="AG36" s="342"/>
      <c r="AH36" s="629"/>
      <c r="AI36" s="342"/>
      <c r="AJ36" s="342"/>
      <c r="AN36" s="357"/>
      <c r="AR36" s="553"/>
    </row>
    <row r="37" spans="1:44" ht="9.75" customHeight="1">
      <c r="A37" s="1358" t="str">
        <f>K37</f>
        <v/>
      </c>
      <c r="B37" s="626" t="str">
        <f>B36</f>
        <v/>
      </c>
      <c r="C37" s="805" t="str">
        <f>M37</f>
        <v>4</v>
      </c>
      <c r="D37" s="1353" t="e">
        <f>IF(A37&lt;$K$16,B37-B38,B37-$B$40)</f>
        <v>#VALUE!</v>
      </c>
      <c r="E37" s="1353" t="str">
        <f>IF(A37&lt;$K$16,$G$5-B38,IF(A37=$K$16,$G$5-$B$40,""))</f>
        <v/>
      </c>
      <c r="F37" s="1713" t="str">
        <f>IF(A37&lt;=$K$16,VLOOKUP(O37,$P$20:$Q$26,2,0),"")</f>
        <v/>
      </c>
      <c r="G37" s="341"/>
      <c r="H37" s="193"/>
      <c r="I37" s="811" t="s">
        <v>935</v>
      </c>
      <c r="J37" s="818">
        <f>IF(VLOOKUP($G$2,'ĐT ĐC'!$B:$Z,13,0)="",0,VLOOKUP($G$2,'ĐT ĐC'!$B:$Z,13,0))</f>
        <v>0</v>
      </c>
      <c r="K37" s="813" t="str">
        <f>IF(J37=0,"",COUNTA($J$17:J37))</f>
        <v/>
      </c>
      <c r="L37" s="813"/>
      <c r="M37" s="815" t="str">
        <f t="shared" si="6"/>
        <v>4</v>
      </c>
      <c r="N37" s="815" t="str">
        <f t="shared" si="3"/>
        <v/>
      </c>
      <c r="O37" s="816" t="str">
        <f>IF(VLOOKUP($G$2,'ĐT ĐC'!$B:$Z,24,0)="","",VLOOKUP($G$2,'ĐT ĐC'!$B:$Z,24,0))</f>
        <v/>
      </c>
      <c r="P37" s="193"/>
      <c r="Q37" s="193"/>
      <c r="R37" s="193"/>
      <c r="S37" s="193"/>
      <c r="T37" s="193"/>
      <c r="U37" s="193"/>
      <c r="V37" s="193"/>
      <c r="W37" s="193"/>
      <c r="X37" s="193"/>
      <c r="Y37" s="193"/>
      <c r="Z37" s="193"/>
      <c r="AA37" s="627"/>
      <c r="AB37" s="342">
        <f>AB35+1</f>
        <v>15</v>
      </c>
      <c r="AC37" s="626" t="str">
        <f>IF($AC$17&gt;=AB37,AB37,"")</f>
        <v/>
      </c>
      <c r="AD37" s="342" t="e">
        <f>VLOOKUP(AB37,$AC$5:$AF$15,2,0)</f>
        <v>#N/A</v>
      </c>
      <c r="AE37" s="621" t="str">
        <f>IF(AC37="","",LEFT(AD37,1))</f>
        <v/>
      </c>
      <c r="AF37" s="342" t="str">
        <f>IF(AC37="","",VLOOKUP(AC37,$AC$3:AF$15,3,0))</f>
        <v/>
      </c>
      <c r="AG37" s="342" t="str">
        <f>IF(AC37="","",VLOOKUP(AC37,$AC$3:AF$15,4,0))</f>
        <v/>
      </c>
      <c r="AH37" s="629" t="str">
        <f>IF(AE37="",AH35,AE37)</f>
        <v>4</v>
      </c>
      <c r="AI37" s="342" t="str">
        <f>IF(AC37&lt;$AC$17,AF37-AF38,IF(AC37=$AC$17,AF37-$AF$40,""))</f>
        <v/>
      </c>
      <c r="AJ37" s="342" t="str">
        <f>IF(AC37&lt;$AC$17,$G$7-AF38,IF(AC37=$AC$17,$G$7-$AF$40,""))</f>
        <v/>
      </c>
      <c r="AN37" s="357"/>
    </row>
    <row r="38" spans="1:44" ht="12.75" customHeight="1">
      <c r="A38" s="1358"/>
      <c r="B38" s="626" t="str">
        <f>IF(A37&lt;$K$16,J37,"")</f>
        <v/>
      </c>
      <c r="C38" s="805" t="str">
        <f>C37</f>
        <v>4</v>
      </c>
      <c r="D38" s="1353"/>
      <c r="E38" s="1353"/>
      <c r="F38" s="1713"/>
      <c r="G38" s="344"/>
      <c r="H38" s="798"/>
      <c r="I38" s="811"/>
      <c r="J38" s="818"/>
      <c r="K38" s="813" t="str">
        <f>IF(J38=0,"",COUNTA($J$17:J38))</f>
        <v/>
      </c>
      <c r="L38" s="813"/>
      <c r="M38" s="815"/>
      <c r="N38" s="815" t="str">
        <f t="shared" si="3"/>
        <v/>
      </c>
      <c r="O38" s="816"/>
      <c r="P38" s="798"/>
      <c r="Q38" s="798"/>
      <c r="R38" s="798"/>
      <c r="S38" s="798"/>
      <c r="T38" s="798"/>
      <c r="U38" s="798"/>
      <c r="V38" s="798"/>
      <c r="W38" s="798"/>
      <c r="X38" s="798"/>
      <c r="Y38" s="798"/>
      <c r="Z38" s="798"/>
      <c r="AA38" s="627"/>
      <c r="AB38" s="342"/>
      <c r="AC38" s="342"/>
      <c r="AD38" s="342"/>
      <c r="AE38" s="621" t="str">
        <f t="shared" si="4"/>
        <v/>
      </c>
      <c r="AF38" s="342" t="str">
        <f>AF39</f>
        <v/>
      </c>
      <c r="AG38" s="342"/>
      <c r="AH38" s="629"/>
      <c r="AI38" s="342"/>
      <c r="AJ38" s="342"/>
      <c r="AN38" s="357"/>
      <c r="AR38" s="553"/>
    </row>
    <row r="39" spans="1:44" ht="11.25" customHeight="1">
      <c r="A39" s="1358" t="str">
        <f>K39</f>
        <v/>
      </c>
      <c r="B39" s="626" t="str">
        <f>B38</f>
        <v/>
      </c>
      <c r="C39" s="805" t="str">
        <f>M39</f>
        <v>4</v>
      </c>
      <c r="D39" s="1353" t="e">
        <f>IF(A39&lt;$K$16,B39-B40,B39-$B$40)</f>
        <v>#VALUE!</v>
      </c>
      <c r="E39" s="1353" t="str">
        <f>IF(A39&lt;$K$16,$G$5-B40,IF(A39=$K$16,$G$5-$B$40,""))</f>
        <v/>
      </c>
      <c r="F39" s="1713" t="str">
        <f>IF(A39&lt;=$K$16,VLOOKUP(O39,$P$20:$Q$26,2,0),"")</f>
        <v/>
      </c>
      <c r="G39" s="345"/>
      <c r="H39" s="193"/>
      <c r="I39" s="811" t="s">
        <v>936</v>
      </c>
      <c r="J39" s="818">
        <f>IF(VLOOKUP($G$2,'ĐT ĐC'!$B:$Z,14,0)="",0,VLOOKUP($G$2,'ĐT ĐC'!$B:$Z,14,0))</f>
        <v>0</v>
      </c>
      <c r="K39" s="813" t="str">
        <f>IF(J39=0,"",COUNTA($J$17:J39))</f>
        <v/>
      </c>
      <c r="L39" s="813"/>
      <c r="M39" s="815" t="str">
        <f t="shared" si="6"/>
        <v>4</v>
      </c>
      <c r="N39" s="815" t="str">
        <f t="shared" si="3"/>
        <v/>
      </c>
      <c r="O39" s="816" t="str">
        <f>IF(VLOOKUP($G$2,'ĐT ĐC'!$B:$Z,25,0)="","",VLOOKUP($G$2,'ĐT ĐC'!$B:$Z,25,0))</f>
        <v/>
      </c>
      <c r="P39" s="193"/>
      <c r="Q39" s="193"/>
      <c r="R39" s="193"/>
      <c r="S39" s="193"/>
      <c r="T39" s="193"/>
      <c r="U39" s="193"/>
      <c r="V39" s="193"/>
      <c r="W39" s="193"/>
      <c r="X39" s="193"/>
      <c r="Y39" s="193"/>
      <c r="Z39" s="193"/>
      <c r="AA39" s="627"/>
      <c r="AB39" s="342">
        <f>AB37+1</f>
        <v>16</v>
      </c>
      <c r="AC39" s="342" t="str">
        <f>IF($AC$17&gt;=AB39,AB39,"")</f>
        <v/>
      </c>
      <c r="AD39" s="342" t="e">
        <f>VLOOKUP(AB39,$AC$5:$AF$15,2,0)</f>
        <v>#N/A</v>
      </c>
      <c r="AE39" s="621" t="str">
        <f>IF(AC39="","",LEFT(AD39,1))</f>
        <v/>
      </c>
      <c r="AF39" s="342" t="str">
        <f>IF(AC39="","",VLOOKUP(AC39,$AC$3:AF$15,3,0))</f>
        <v/>
      </c>
      <c r="AG39" s="342" t="str">
        <f>IF(AC39="","",VLOOKUP(AC39,$AC$3:AF$15,4,0))</f>
        <v/>
      </c>
      <c r="AH39" s="629" t="str">
        <f>IF(AE39="",AH37,AE39)</f>
        <v>4</v>
      </c>
      <c r="AI39" s="342" t="str">
        <f>IF(AC39&lt;$AC$17,AF39-AF40,IF(AC39=$AC$17,AF39-$AF$40,""))</f>
        <v/>
      </c>
      <c r="AJ39" s="342" t="str">
        <f>IF(AC39&lt;$AC$17,$G$7-AF40,IF(AC39=$AC$17,$G$7-$AF$40,""))</f>
        <v/>
      </c>
      <c r="AN39" s="357"/>
      <c r="AR39" s="553"/>
    </row>
    <row r="40" spans="1:44" ht="20.100000000000001" customHeight="1">
      <c r="A40" s="1361"/>
      <c r="B40" s="665">
        <f>AF40</f>
        <v>-29.703000000000003</v>
      </c>
      <c r="C40" s="807" t="str">
        <f>C39</f>
        <v>4</v>
      </c>
      <c r="D40" s="1355"/>
      <c r="E40" s="1355"/>
      <c r="F40" s="1716"/>
      <c r="G40" s="346"/>
      <c r="H40" s="799"/>
      <c r="I40" s="811"/>
      <c r="J40" s="818"/>
      <c r="K40" s="813" t="str">
        <f>IF(J40=0,"",COUNTA($J$17:J40))</f>
        <v/>
      </c>
      <c r="L40" s="813"/>
      <c r="M40" s="815"/>
      <c r="N40" s="815" t="str">
        <f t="shared" si="3"/>
        <v/>
      </c>
      <c r="O40" s="819"/>
      <c r="P40" s="799"/>
      <c r="Q40" s="799"/>
      <c r="R40" s="799"/>
      <c r="S40" s="799"/>
      <c r="T40" s="799"/>
      <c r="U40" s="799"/>
      <c r="V40" s="799"/>
      <c r="W40" s="799"/>
      <c r="X40" s="799"/>
      <c r="Y40" s="799"/>
      <c r="Z40" s="799"/>
      <c r="AF40" s="553">
        <f>AC1</f>
        <v>-29.703000000000003</v>
      </c>
      <c r="AK40" s="334" t="str">
        <f>LEFT(AD16,1)</f>
        <v/>
      </c>
      <c r="AN40" s="357"/>
      <c r="AR40" s="553"/>
    </row>
    <row r="41" spans="1:44" ht="18.95" customHeight="1">
      <c r="A41" s="630"/>
      <c r="B41" s="348"/>
      <c r="C41" s="349"/>
      <c r="D41" s="351"/>
      <c r="E41" s="352"/>
      <c r="F41" s="353"/>
      <c r="G41" s="900">
        <f>B40</f>
        <v>-29.703000000000003</v>
      </c>
      <c r="H41" s="800"/>
      <c r="I41" s="800"/>
      <c r="J41" s="817">
        <f>MIN(J17:J40)</f>
        <v>-29.702999999999999</v>
      </c>
      <c r="K41" s="800"/>
      <c r="L41" s="800"/>
      <c r="M41" s="800"/>
      <c r="N41" s="800"/>
      <c r="O41" s="820"/>
      <c r="P41" s="800"/>
      <c r="Q41" s="800"/>
      <c r="R41" s="800"/>
      <c r="S41" s="800"/>
      <c r="T41" s="800"/>
      <c r="U41" s="800"/>
      <c r="V41" s="800"/>
      <c r="W41" s="800"/>
      <c r="X41" s="800"/>
      <c r="Y41" s="800"/>
      <c r="Z41" s="800"/>
      <c r="AK41" s="334" t="str">
        <f>LEFT(AD17,1)</f>
        <v/>
      </c>
      <c r="AN41" s="357"/>
    </row>
    <row r="42" spans="1:44" ht="12" customHeight="1">
      <c r="A42" s="902"/>
      <c r="B42" s="354"/>
      <c r="C42" s="355"/>
      <c r="D42" s="356"/>
      <c r="E42" s="354"/>
      <c r="G42" s="733"/>
      <c r="H42" s="193"/>
      <c r="I42" s="193"/>
      <c r="J42" s="193"/>
      <c r="K42" s="193"/>
      <c r="L42" s="193"/>
      <c r="M42" s="193"/>
      <c r="N42" s="193"/>
      <c r="O42" s="193"/>
      <c r="P42" s="193"/>
      <c r="Q42" s="193"/>
      <c r="R42" s="193"/>
      <c r="S42" s="193"/>
      <c r="T42" s="193"/>
      <c r="U42" s="193"/>
      <c r="V42" s="193"/>
      <c r="W42" s="193"/>
      <c r="X42" s="193"/>
      <c r="Y42" s="193"/>
      <c r="Z42" s="193"/>
    </row>
    <row r="43" spans="1:44" ht="16.5" customHeight="1">
      <c r="A43" s="1354" t="s">
        <v>820</v>
      </c>
      <c r="B43" s="1354"/>
      <c r="C43" s="1354"/>
      <c r="D43" s="1354" t="s">
        <v>186</v>
      </c>
      <c r="E43" s="1354"/>
      <c r="F43" s="1354"/>
      <c r="G43" s="901" t="s">
        <v>5</v>
      </c>
      <c r="H43" s="801"/>
      <c r="I43" s="801"/>
      <c r="J43" s="801"/>
      <c r="K43" s="801"/>
      <c r="L43" s="801"/>
      <c r="M43" s="801"/>
      <c r="N43" s="801"/>
      <c r="O43" s="801"/>
      <c r="P43" s="801"/>
      <c r="Q43" s="801"/>
      <c r="R43" s="801"/>
      <c r="S43" s="801"/>
      <c r="T43" s="801"/>
      <c r="U43" s="801"/>
      <c r="V43" s="801"/>
      <c r="W43" s="801"/>
      <c r="X43" s="801"/>
      <c r="Y43" s="801"/>
      <c r="Z43" s="801"/>
    </row>
    <row r="44" spans="1:44" ht="16.5" customHeight="1">
      <c r="A44" s="340"/>
      <c r="B44" s="1351"/>
      <c r="C44" s="1351"/>
      <c r="D44" s="340"/>
      <c r="E44" s="340"/>
      <c r="F44" s="783"/>
      <c r="G44" s="887"/>
      <c r="H44" s="787"/>
      <c r="I44" s="787"/>
      <c r="J44" s="787"/>
      <c r="K44" s="787"/>
      <c r="L44" s="787"/>
      <c r="M44" s="787"/>
      <c r="N44" s="787"/>
      <c r="O44" s="787"/>
      <c r="P44" s="787"/>
      <c r="Q44" s="787"/>
      <c r="R44" s="787"/>
      <c r="S44" s="787"/>
      <c r="T44" s="787"/>
      <c r="U44" s="787"/>
      <c r="V44" s="787"/>
      <c r="W44" s="787"/>
      <c r="X44" s="787"/>
      <c r="Y44" s="787"/>
      <c r="Z44" s="787"/>
    </row>
    <row r="45" spans="1:44" ht="16.5" customHeight="1">
      <c r="A45" s="340"/>
      <c r="B45" s="340"/>
      <c r="C45" s="358"/>
      <c r="D45" s="340"/>
      <c r="E45" s="340"/>
      <c r="F45" s="783"/>
      <c r="G45" s="358"/>
      <c r="H45" s="193"/>
      <c r="I45" s="193"/>
      <c r="J45" s="193"/>
      <c r="K45" s="193"/>
      <c r="L45" s="193"/>
      <c r="M45" s="193"/>
      <c r="N45" s="193"/>
      <c r="O45" s="193"/>
      <c r="P45" s="193"/>
      <c r="Q45" s="193"/>
      <c r="R45" s="193"/>
      <c r="S45" s="193"/>
      <c r="T45" s="193"/>
      <c r="U45" s="193"/>
      <c r="V45" s="193"/>
      <c r="W45" s="193"/>
      <c r="X45" s="193"/>
      <c r="Y45" s="193"/>
      <c r="Z45" s="193"/>
    </row>
    <row r="46" spans="1:44" ht="16.5" customHeight="1">
      <c r="A46" s="340"/>
      <c r="B46" s="340"/>
      <c r="C46" s="358"/>
      <c r="D46" s="340"/>
      <c r="E46" s="340"/>
      <c r="F46" s="358"/>
      <c r="G46" s="340"/>
      <c r="H46" s="699"/>
      <c r="I46" s="699"/>
      <c r="J46" s="699"/>
      <c r="K46" s="699"/>
      <c r="L46" s="699"/>
      <c r="M46" s="699"/>
      <c r="N46" s="699"/>
      <c r="O46" s="699"/>
      <c r="P46" s="699"/>
      <c r="Q46" s="699"/>
      <c r="R46" s="699"/>
      <c r="S46" s="699"/>
      <c r="T46" s="699"/>
      <c r="U46" s="699"/>
      <c r="V46" s="699"/>
      <c r="W46" s="699"/>
      <c r="X46" s="699"/>
      <c r="Y46" s="699"/>
      <c r="Z46" s="699"/>
    </row>
    <row r="47" spans="1:44" ht="16.5" customHeight="1">
      <c r="A47" s="340"/>
      <c r="B47" s="340"/>
      <c r="C47" s="358"/>
      <c r="D47" s="340"/>
      <c r="E47" s="340"/>
      <c r="F47" s="358"/>
      <c r="G47" s="358"/>
    </row>
    <row r="48" spans="1:44">
      <c r="A48" s="358"/>
    </row>
    <row r="53" spans="27:28">
      <c r="AA53" s="334" t="e">
        <f>LEFT(#REF!,1)</f>
        <v>#REF!</v>
      </c>
      <c r="AB53" s="334" t="str">
        <f>IF(AA11="","",AA47)</f>
        <v/>
      </c>
    </row>
    <row r="54" spans="27:28">
      <c r="AB54" s="334" t="str">
        <f>IF(AA12="","",AA48)</f>
        <v/>
      </c>
    </row>
    <row r="55" spans="27:28">
      <c r="AB55" s="334" t="str">
        <f>IF(AA13="","",AA49)</f>
        <v/>
      </c>
    </row>
    <row r="56" spans="27:28">
      <c r="AB56" s="334" t="str">
        <f>IF(AA14="","",AA50)</f>
        <v/>
      </c>
    </row>
    <row r="57" spans="27:28">
      <c r="AB57" s="334" t="str">
        <f>IF(AA15="","",AA51)</f>
        <v/>
      </c>
    </row>
  </sheetData>
  <mergeCells count="68">
    <mergeCell ref="A43:C43"/>
    <mergeCell ref="D43:F43"/>
    <mergeCell ref="B44:C44"/>
    <mergeCell ref="A37:A38"/>
    <mergeCell ref="D37:D38"/>
    <mergeCell ref="E37:E38"/>
    <mergeCell ref="F37:F38"/>
    <mergeCell ref="A39:A40"/>
    <mergeCell ref="D39:D40"/>
    <mergeCell ref="E39:E40"/>
    <mergeCell ref="F39:F40"/>
    <mergeCell ref="A33:A34"/>
    <mergeCell ref="D33:D34"/>
    <mergeCell ref="E33:E34"/>
    <mergeCell ref="F33:F34"/>
    <mergeCell ref="A35:A36"/>
    <mergeCell ref="D35:D36"/>
    <mergeCell ref="E35:E36"/>
    <mergeCell ref="F35:F36"/>
    <mergeCell ref="A29:A30"/>
    <mergeCell ref="D29:D30"/>
    <mergeCell ref="E29:E30"/>
    <mergeCell ref="F29:F30"/>
    <mergeCell ref="A31:A32"/>
    <mergeCell ref="D31:D32"/>
    <mergeCell ref="E31:E32"/>
    <mergeCell ref="F31:F32"/>
    <mergeCell ref="A25:A26"/>
    <mergeCell ref="D25:D26"/>
    <mergeCell ref="E25:E26"/>
    <mergeCell ref="F25:F26"/>
    <mergeCell ref="A27:A28"/>
    <mergeCell ref="D27:D28"/>
    <mergeCell ref="E27:E28"/>
    <mergeCell ref="F27:F28"/>
    <mergeCell ref="AN20:AN22"/>
    <mergeCell ref="A21:A22"/>
    <mergeCell ref="D21:D22"/>
    <mergeCell ref="E21:E22"/>
    <mergeCell ref="F21:F22"/>
    <mergeCell ref="A23:A24"/>
    <mergeCell ref="D23:D24"/>
    <mergeCell ref="E23:E24"/>
    <mergeCell ref="F23:F24"/>
    <mergeCell ref="F11:F18"/>
    <mergeCell ref="B13:B18"/>
    <mergeCell ref="A19:A20"/>
    <mergeCell ref="D19:D20"/>
    <mergeCell ref="E19:E20"/>
    <mergeCell ref="F19:F20"/>
    <mergeCell ref="A11:A18"/>
    <mergeCell ref="B11:B12"/>
    <mergeCell ref="C11:C18"/>
    <mergeCell ref="D11:D18"/>
    <mergeCell ref="E11:E18"/>
    <mergeCell ref="F6:F8"/>
    <mergeCell ref="A9:A10"/>
    <mergeCell ref="D9:D10"/>
    <mergeCell ref="E9:E10"/>
    <mergeCell ref="F9:F10"/>
    <mergeCell ref="C3:E3"/>
    <mergeCell ref="C4:E4"/>
    <mergeCell ref="C5:E5"/>
    <mergeCell ref="A6:A8"/>
    <mergeCell ref="B6:B8"/>
    <mergeCell ref="C6:C8"/>
    <mergeCell ref="D6:D8"/>
    <mergeCell ref="E6:E8"/>
  </mergeCells>
  <conditionalFormatting sqref="C9:C10 R20">
    <cfRule type="cellIs" dxfId="5" priority="14" stopIfTrue="1" operator="equal">
      <formula>1</formula>
    </cfRule>
  </conditionalFormatting>
  <conditionalFormatting sqref="A37:A38 B37 D37:F38">
    <cfRule type="cellIs" dxfId="4" priority="13" stopIfTrue="1" operator="notEqual">
      <formula>""</formula>
    </cfRule>
  </conditionalFormatting>
  <conditionalFormatting sqref="B39 A19:A36 B19 F21:F36 B25 B27 B29 B31 B33 B35 D19:E36 F19 B21 B23">
    <cfRule type="cellIs" dxfId="3" priority="12" stopIfTrue="1" operator="notEqual">
      <formula>""</formula>
    </cfRule>
  </conditionalFormatting>
  <conditionalFormatting sqref="B40 B20 B24 B26 B28 B30 B32 B34 B36 B22 AC37 B38 D39:E40 F39 A39">
    <cfRule type="cellIs" dxfId="2" priority="11" stopIfTrue="1" operator="notEqual">
      <formula>""</formula>
    </cfRule>
  </conditionalFormatting>
  <conditionalFormatting sqref="C19:C40">
    <cfRule type="cellIs" dxfId="1" priority="1" stopIfTrue="1" operator="equal">
      <formula>"h"</formula>
    </cfRule>
    <cfRule type="cellIs" dxfId="0" priority="2" stopIfTrue="1" operator="equal">
      <formula>"4"</formula>
    </cfRule>
  </conditionalFormatting>
  <pageMargins left="1.1023622047244095" right="0" top="0.39370078740157483" bottom="0.39370078740157483" header="0.31496062992125984" footer="0.31496062992125984"/>
  <pageSetup paperSize="9" scale="90"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
  <sheetViews>
    <sheetView view="pageBreakPreview" topLeftCell="A4" zoomScaleNormal="100" zoomScaleSheetLayoutView="100" workbookViewId="0">
      <selection activeCell="D10" sqref="D10"/>
    </sheetView>
  </sheetViews>
  <sheetFormatPr defaultRowHeight="18.75"/>
  <cols>
    <col min="1" max="2" width="6.7109375" style="360" customWidth="1"/>
    <col min="3" max="3" width="7.5703125" style="360" customWidth="1"/>
    <col min="4" max="4" width="13.7109375" style="360" customWidth="1"/>
    <col min="5" max="5" width="10.5703125" style="360" customWidth="1"/>
    <col min="6" max="6" width="12.28515625" style="360" customWidth="1"/>
    <col min="7" max="7" width="8.85546875" style="360" customWidth="1"/>
    <col min="8" max="8" width="9" style="360" customWidth="1"/>
    <col min="9" max="9" width="10" style="360" customWidth="1"/>
    <col min="10" max="10" width="8.28515625" style="360" customWidth="1"/>
    <col min="11" max="13" width="11.28515625" style="360" customWidth="1"/>
    <col min="14" max="14" width="10.5703125" style="360" customWidth="1"/>
    <col min="15" max="15" width="11.5703125" style="360" customWidth="1"/>
    <col min="16" max="16" width="13.5703125" style="394" customWidth="1"/>
    <col min="17" max="16384" width="9.140625" style="360"/>
  </cols>
  <sheetData>
    <row r="1" spans="1:24" ht="34.5" customHeight="1">
      <c r="A1" s="1403" t="s">
        <v>38</v>
      </c>
      <c r="B1" s="1403"/>
      <c r="C1" s="1403"/>
      <c r="D1" s="1403"/>
      <c r="E1" s="1403"/>
      <c r="F1" s="1403"/>
      <c r="G1" s="1403"/>
      <c r="H1" s="1403"/>
      <c r="I1" s="1403"/>
      <c r="J1" s="1403"/>
      <c r="K1" s="1403"/>
      <c r="L1" s="1403"/>
      <c r="M1" s="1403"/>
      <c r="N1" s="1403"/>
      <c r="O1" s="1403"/>
      <c r="P1" s="1403"/>
    </row>
    <row r="2" spans="1:24" s="361" customFormat="1" ht="23.25" customHeight="1">
      <c r="A2" s="1400" t="s">
        <v>16</v>
      </c>
      <c r="B2" s="1400" t="s">
        <v>17</v>
      </c>
      <c r="C2" s="1400" t="s">
        <v>177</v>
      </c>
      <c r="D2" s="1400" t="s">
        <v>18</v>
      </c>
      <c r="E2" s="1389" t="s">
        <v>19</v>
      </c>
      <c r="F2" s="1390"/>
      <c r="G2" s="1389" t="s">
        <v>22</v>
      </c>
      <c r="H2" s="1390"/>
      <c r="I2" s="1393" t="s">
        <v>26</v>
      </c>
      <c r="J2" s="1390"/>
      <c r="K2" s="1389" t="s">
        <v>392</v>
      </c>
      <c r="L2" s="1390"/>
      <c r="M2" s="1389" t="s">
        <v>28</v>
      </c>
      <c r="N2" s="1393"/>
      <c r="O2" s="1390"/>
      <c r="P2" s="1400" t="s">
        <v>36</v>
      </c>
      <c r="R2" s="361">
        <f>MAX(H6:H20)-MIN(G6:G20)</f>
        <v>4.5138888888888895E-2</v>
      </c>
    </row>
    <row r="3" spans="1:24" s="361" customFormat="1" ht="24.75" customHeight="1">
      <c r="A3" s="1401"/>
      <c r="B3" s="1401"/>
      <c r="C3" s="1401"/>
      <c r="D3" s="1401"/>
      <c r="E3" s="1391"/>
      <c r="F3" s="1392"/>
      <c r="G3" s="1391"/>
      <c r="H3" s="1392"/>
      <c r="I3" s="1394"/>
      <c r="J3" s="1392"/>
      <c r="K3" s="1391"/>
      <c r="L3" s="1392"/>
      <c r="M3" s="1391"/>
      <c r="N3" s="1394"/>
      <c r="O3" s="1392"/>
      <c r="P3" s="1401"/>
    </row>
    <row r="4" spans="1:24" s="361" customFormat="1" ht="24" customHeight="1">
      <c r="A4" s="1401"/>
      <c r="B4" s="1401"/>
      <c r="C4" s="1401"/>
      <c r="D4" s="1401"/>
      <c r="E4" s="1400" t="s">
        <v>20</v>
      </c>
      <c r="F4" s="1400" t="s">
        <v>21</v>
      </c>
      <c r="G4" s="1400" t="s">
        <v>361</v>
      </c>
      <c r="H4" s="1400" t="s">
        <v>353</v>
      </c>
      <c r="I4" s="1400" t="s">
        <v>23</v>
      </c>
      <c r="J4" s="1400" t="s">
        <v>24</v>
      </c>
      <c r="K4" s="1400" t="s">
        <v>27</v>
      </c>
      <c r="L4" s="1400" t="s">
        <v>178</v>
      </c>
      <c r="M4" s="1400" t="s">
        <v>1</v>
      </c>
      <c r="N4" s="1400" t="s">
        <v>29</v>
      </c>
      <c r="O4" s="1400" t="s">
        <v>33</v>
      </c>
      <c r="P4" s="1401"/>
      <c r="R4" s="361" t="s">
        <v>39</v>
      </c>
      <c r="S4" s="362">
        <f>'2. NK'!H10</f>
        <v>800</v>
      </c>
      <c r="T4" s="362"/>
    </row>
    <row r="5" spans="1:24" s="361" customFormat="1" ht="27.75" customHeight="1">
      <c r="A5" s="1402"/>
      <c r="B5" s="1402"/>
      <c r="C5" s="1402"/>
      <c r="D5" s="1402"/>
      <c r="E5" s="1402"/>
      <c r="F5" s="1402"/>
      <c r="G5" s="1402"/>
      <c r="H5" s="1402"/>
      <c r="I5" s="1402"/>
      <c r="J5" s="1402"/>
      <c r="K5" s="1402"/>
      <c r="L5" s="1402"/>
      <c r="M5" s="1402"/>
      <c r="N5" s="1402"/>
      <c r="O5" s="1402"/>
      <c r="P5" s="1402"/>
      <c r="R5" s="1399" t="s">
        <v>393</v>
      </c>
      <c r="S5" s="1397">
        <f>'2. NK'!H50</f>
        <v>29.35</v>
      </c>
      <c r="T5" s="830"/>
    </row>
    <row r="6" spans="1:24" s="361" customFormat="1" ht="23.25" customHeight="1">
      <c r="A6" s="1717">
        <f>'2. NK'!G52</f>
        <v>42466</v>
      </c>
      <c r="B6" s="1407" t="str">
        <f>'2. NK'!D10</f>
        <v>B1</v>
      </c>
      <c r="C6" s="363"/>
      <c r="D6" s="669" t="str">
        <f>IF(VLOOKUP(X6,ĐTBT!$D:$R,3,0)="","",VLOOKUP(X6,ĐTBT!$D:$R,3,0))</f>
        <v/>
      </c>
      <c r="E6" s="364"/>
      <c r="F6" s="364"/>
      <c r="G6" s="364"/>
      <c r="H6" s="364"/>
      <c r="I6" s="364"/>
      <c r="J6" s="364"/>
      <c r="K6" s="674"/>
      <c r="L6" s="1097"/>
      <c r="M6" s="1097">
        <f>S5</f>
        <v>29.35</v>
      </c>
      <c r="N6" s="1097">
        <f>M6</f>
        <v>29.35</v>
      </c>
      <c r="O6" s="1097"/>
      <c r="P6" s="365"/>
      <c r="Q6" s="366"/>
      <c r="R6" s="1399"/>
      <c r="S6" s="1398"/>
      <c r="T6" s="831"/>
      <c r="W6" s="844" t="s">
        <v>983</v>
      </c>
      <c r="X6" s="853" t="str">
        <f>$B$6&amp;W6</f>
        <v>B1a</v>
      </c>
    </row>
    <row r="7" spans="1:24" s="366" customFormat="1" ht="21.95" customHeight="1">
      <c r="A7" s="1718"/>
      <c r="B7" s="1408"/>
      <c r="C7" s="367">
        <v>1</v>
      </c>
      <c r="D7" s="669" t="str">
        <f>IF(VLOOKUP($X$7,ĐTBT!$D:$R,3,0)="","",VLOOKUP($X$7,ĐTBT!$D:$R,3,0))</f>
        <v>14C-00534</v>
      </c>
      <c r="E7" s="854">
        <f>IF(VLOOKUP(X7,ĐTBT!$D:$R,4,0)="","",VLOOKUP(X7,ĐTBT!$D:$R,4,0))</f>
        <v>9.1666666666666674E-2</v>
      </c>
      <c r="F7" s="854">
        <f>IF(VLOOKUP(X7,ĐTBT!$D:$R,5,0)="","",VLOOKUP(X7,ĐTBT!$D:$R,5,0))</f>
        <v>0.11805555555555557</v>
      </c>
      <c r="G7" s="854">
        <f>IF(VLOOKUP(X7,ĐTBT!$D:$R,6,0)="","",VLOOKUP(X7,ĐTBT!$D:$R,6,0))</f>
        <v>0.1423611111111111</v>
      </c>
      <c r="H7" s="854">
        <f>IF(VLOOKUP(X7,ĐTBT!$D:$R,7,0)="","",VLOOKUP(X7,ĐTBT!$D:$R,7,0))</f>
        <v>0.15277777777777776</v>
      </c>
      <c r="I7" s="669">
        <f>IF(VLOOKUP(X7,ĐTBT!$D:$R,8,0)="","",VLOOKUP(X7,ĐTBT!$D:$R,8,0))</f>
        <v>8</v>
      </c>
      <c r="J7" s="669">
        <f>IF(VLOOKUP(X7,ĐTBT!$D:$R,9,0)="","",VLOOKUP(X7,ĐTBT!$D:$R,9,0))</f>
        <v>19</v>
      </c>
      <c r="K7" s="669">
        <f>IF(VLOOKUP(X7,ĐTBT!$D:$R,10,0)="","",VLOOKUP(X7,ĐTBT!$D:$R,10,0))</f>
        <v>22.48</v>
      </c>
      <c r="L7" s="372">
        <f t="shared" ref="L7:L10" si="0">IF(K7="","",IF(K7-N7&gt;0,K7-N7,0))</f>
        <v>18.600000000000001</v>
      </c>
      <c r="M7" s="372">
        <f>IF(I7="","",IF(M6="","",IF((M6-I7/(PI()*($S$4/2000)^2))&gt;0,(M6-I7/(PI()*($S$4/2000)^2)),"")))</f>
        <v>13.434505690810468</v>
      </c>
      <c r="N7" s="373">
        <f>IF(VLOOKUP(X7,ĐTBT!$D:$R,13,0)="","",VLOOKUP(X7,ĐTBT!$D:$R,13,0))</f>
        <v>3.88</v>
      </c>
      <c r="O7" s="374">
        <f>IF(K7="","",IF(M7="","",ABS(M7-N7)))</f>
        <v>9.5545056908104691</v>
      </c>
      <c r="P7" s="375" t="str">
        <f>IF(VLOOKUP(X7,ĐTBT!$D:$R,15,0)="","",VLOOKUP(X7,ĐTBT!$D:$R,15,0))</f>
        <v>X</v>
      </c>
      <c r="Q7" s="366">
        <v>1</v>
      </c>
      <c r="R7" s="376"/>
      <c r="S7" s="376"/>
      <c r="T7" s="376"/>
      <c r="V7" s="366">
        <v>1</v>
      </c>
      <c r="W7" s="845" t="s">
        <v>984</v>
      </c>
      <c r="X7" s="853" t="str">
        <f t="shared" ref="X7:X21" si="1">$B$6&amp;W7</f>
        <v>B1b</v>
      </c>
    </row>
    <row r="8" spans="1:24" s="366" customFormat="1" ht="21.95" customHeight="1">
      <c r="A8" s="1718"/>
      <c r="B8" s="1408"/>
      <c r="C8" s="367">
        <v>2</v>
      </c>
      <c r="D8" s="669" t="str">
        <f>IF(VLOOKUP(X8,ĐTBT!$D:$R,3,0)="","",VLOOKUP(X8,ĐTBT!$D:$R,3,0))</f>
        <v>14P-0582</v>
      </c>
      <c r="E8" s="854">
        <f>IF(VLOOKUP(X8,ĐTBT!$D:$R,4,0)="","",VLOOKUP(X8,ĐTBT!$D:$R,4,0))</f>
        <v>0.10902777777777778</v>
      </c>
      <c r="F8" s="854">
        <f>IF(VLOOKUP(X8,ĐTBT!$D:$R,5,0)="","",VLOOKUP(X8,ĐTBT!$D:$R,5,0))</f>
        <v>0.15277777777777776</v>
      </c>
      <c r="G8" s="854">
        <f>IF(VLOOKUP(X8,ĐTBT!$D:$R,6,0)="","",VLOOKUP(X8,ĐTBT!$D:$R,6,0))</f>
        <v>0.15625</v>
      </c>
      <c r="H8" s="854">
        <f>IF(VLOOKUP(X8,ĐTBT!$D:$R,7,0)="","",VLOOKUP(X8,ĐTBT!$D:$R,7,0))</f>
        <v>0.17083333333333331</v>
      </c>
      <c r="I8" s="669">
        <f>IF(VLOOKUP(X8,ĐTBT!$D:$R,8,0)="","",VLOOKUP(X8,ĐTBT!$D:$R,8,0))</f>
        <v>8</v>
      </c>
      <c r="J8" s="669">
        <f>IF(VLOOKUP(X8,ĐTBT!$D:$R,9,0)="","",VLOOKUP(X8,ĐTBT!$D:$R,9,0))</f>
        <v>18.5</v>
      </c>
      <c r="K8" s="669">
        <f>IF(VLOOKUP(X8,ĐTBT!$D:$R,10,0)="","",VLOOKUP(X8,ĐTBT!$D:$R,10,0))</f>
        <v>3.7</v>
      </c>
      <c r="L8" s="372">
        <f t="shared" si="0"/>
        <v>2.6900000000000004</v>
      </c>
      <c r="M8" s="372" t="str">
        <f t="shared" ref="M8:M21" si="2">IF(I8="","",IF(M7="","",IF((M7-I8/(PI()*($S$4/2000)^2))&gt;0,(M7-I8/(PI()*($S$4/2000)^2)),"")))</f>
        <v/>
      </c>
      <c r="N8" s="373">
        <f>IF(VLOOKUP(X8,ĐTBT!$D:$R,13,0)="","",VLOOKUP(X8,ĐTBT!$D:$R,13,0))</f>
        <v>1.01</v>
      </c>
      <c r="O8" s="374" t="str">
        <f t="shared" ref="O8:O21" si="3">IF(K8="","",IF(M8="","",ABS(M8-N8)))</f>
        <v/>
      </c>
      <c r="P8" s="375" t="str">
        <f>IF(VLOOKUP(X8,ĐTBT!$D:$R,15,0)="","",VLOOKUP(X8,ĐTBT!$D:$R,15,0))</f>
        <v>X</v>
      </c>
      <c r="Q8" s="366">
        <v>2</v>
      </c>
      <c r="R8" s="376"/>
      <c r="S8" s="376"/>
      <c r="T8" s="376"/>
      <c r="V8" s="366">
        <v>2</v>
      </c>
      <c r="W8" s="845" t="s">
        <v>985</v>
      </c>
      <c r="X8" s="853" t="str">
        <f t="shared" si="1"/>
        <v>B1c</v>
      </c>
    </row>
    <row r="9" spans="1:24" s="366" customFormat="1" ht="21.95" customHeight="1">
      <c r="A9" s="1718"/>
      <c r="B9" s="1408"/>
      <c r="C9" s="367">
        <v>3</v>
      </c>
      <c r="D9" s="669" t="str">
        <f>IF(VLOOKUP(X9,ĐTBT!$D:$R,3,0)="","",VLOOKUP(X9,ĐTBT!$D:$R,3,0))</f>
        <v>14C-10388</v>
      </c>
      <c r="E9" s="854">
        <f>IF(VLOOKUP(X9,ĐTBT!$D:$R,4,0)="","",VLOOKUP(X9,ĐTBT!$D:$R,4,0))</f>
        <v>0.16666666666666666</v>
      </c>
      <c r="F9" s="854">
        <f>IF(VLOOKUP(X9,ĐTBT!$D:$R,5,0)="","",VLOOKUP(X9,ĐTBT!$D:$R,5,0))</f>
        <v>0.18055555555555555</v>
      </c>
      <c r="G9" s="854">
        <f>IF(VLOOKUP(X9,ĐTBT!$D:$R,6,0)="","",VLOOKUP(X9,ĐTBT!$D:$R,6,0))</f>
        <v>0.18402777777777779</v>
      </c>
      <c r="H9" s="854">
        <f>IF(VLOOKUP(X9,ĐTBT!$D:$R,7,0)="","",VLOOKUP(X9,ĐTBT!$D:$R,7,0))</f>
        <v>0.1875</v>
      </c>
      <c r="I9" s="669">
        <f>IF(VLOOKUP(X9,ĐTBT!$D:$R,8,0)="","",VLOOKUP(X9,ĐTBT!$D:$R,8,0))</f>
        <v>2</v>
      </c>
      <c r="J9" s="669">
        <f>IF(VLOOKUP(X9,ĐTBT!$D:$R,9,0)="","",VLOOKUP(X9,ĐTBT!$D:$R,9,0))</f>
        <v>19.5</v>
      </c>
      <c r="K9" s="669">
        <f>IF(VLOOKUP(X9,ĐTBT!$D:$R,10,0)="","",VLOOKUP(X9,ĐTBT!$D:$R,10,0))</f>
        <v>0</v>
      </c>
      <c r="L9" s="372">
        <f t="shared" si="0"/>
        <v>0</v>
      </c>
      <c r="M9" s="372" t="str">
        <f t="shared" si="2"/>
        <v/>
      </c>
      <c r="N9" s="373">
        <f>IF(VLOOKUP(X9,ĐTBT!$D:$R,13,0)="","",VLOOKUP(X9,ĐTBT!$D:$R,13,0))</f>
        <v>0.2</v>
      </c>
      <c r="O9" s="374" t="str">
        <f t="shared" si="3"/>
        <v/>
      </c>
      <c r="P9" s="375" t="str">
        <f>IF(VLOOKUP(X9,ĐTBT!$D:$R,15,0)="","",VLOOKUP(X9,ĐTBT!$D:$R,15,0))</f>
        <v>X</v>
      </c>
      <c r="Q9" s="366">
        <v>3</v>
      </c>
      <c r="R9" s="376"/>
      <c r="S9" s="376"/>
      <c r="T9" s="376"/>
      <c r="V9" s="366">
        <v>3</v>
      </c>
      <c r="W9" s="845" t="s">
        <v>986</v>
      </c>
      <c r="X9" s="853" t="str">
        <f t="shared" si="1"/>
        <v>B1d</v>
      </c>
    </row>
    <row r="10" spans="1:24" s="366" customFormat="1" ht="21.95" customHeight="1">
      <c r="A10" s="1718"/>
      <c r="B10" s="1408"/>
      <c r="C10" s="367">
        <v>4</v>
      </c>
      <c r="D10" s="669" t="str">
        <f>IF(VLOOKUP(X10,ĐTBT!$D:$R,3,0)="","",VLOOKUP(X10,ĐTBT!$D:$R,3,0))</f>
        <v/>
      </c>
      <c r="E10" s="854" t="str">
        <f>IF(VLOOKUP(X10,ĐTBT!$D:$R,4,0)="","",VLOOKUP(X10,ĐTBT!$D:$R,4,0))</f>
        <v/>
      </c>
      <c r="F10" s="854" t="str">
        <f>IF(VLOOKUP(X10,ĐTBT!$D:$R,5,0)="","",VLOOKUP(X10,ĐTBT!$D:$R,5,0))</f>
        <v/>
      </c>
      <c r="G10" s="854" t="str">
        <f>IF(VLOOKUP(X10,ĐTBT!$D:$R,6,0)="","",VLOOKUP(X10,ĐTBT!$D:$R,6,0))</f>
        <v/>
      </c>
      <c r="H10" s="854" t="str">
        <f>IF(VLOOKUP(X10,ĐTBT!$D:$R,7,0)="","",VLOOKUP(X10,ĐTBT!$D:$R,7,0))</f>
        <v/>
      </c>
      <c r="I10" s="669" t="str">
        <f>IF(VLOOKUP(X10,ĐTBT!$D:$R,8,0)="","",VLOOKUP(X10,ĐTBT!$D:$R,8,0))</f>
        <v/>
      </c>
      <c r="J10" s="669" t="str">
        <f>IF(VLOOKUP(X10,ĐTBT!$D:$R,9,0)="","",VLOOKUP(X10,ĐTBT!$D:$R,9,0))</f>
        <v/>
      </c>
      <c r="K10" s="669" t="str">
        <f>IF(VLOOKUP(X10,ĐTBT!$D:$R,10,0)="","",VLOOKUP(X10,ĐTBT!$D:$R,10,0))</f>
        <v/>
      </c>
      <c r="L10" s="372" t="str">
        <f t="shared" si="0"/>
        <v/>
      </c>
      <c r="M10" s="372" t="str">
        <f t="shared" si="2"/>
        <v/>
      </c>
      <c r="N10" s="373" t="str">
        <f>IF(VLOOKUP(X10,ĐTBT!$D:$R,13,0)="","",VLOOKUP(X10,ĐTBT!$D:$R,13,0))</f>
        <v/>
      </c>
      <c r="O10" s="374" t="str">
        <f t="shared" si="3"/>
        <v/>
      </c>
      <c r="P10" s="375" t="str">
        <f>IF(VLOOKUP(X10,ĐTBT!$D:$R,15,0)="","",VLOOKUP(X10,ĐTBT!$D:$R,15,0))</f>
        <v/>
      </c>
      <c r="Q10" s="366">
        <v>4</v>
      </c>
      <c r="R10" s="376"/>
      <c r="S10" s="376"/>
      <c r="T10" s="376"/>
      <c r="V10" s="366">
        <v>4</v>
      </c>
      <c r="W10" s="845" t="s">
        <v>987</v>
      </c>
      <c r="X10" s="853" t="str">
        <f t="shared" si="1"/>
        <v>B1e</v>
      </c>
    </row>
    <row r="11" spans="1:24" s="366" customFormat="1" ht="24.75" customHeight="1">
      <c r="A11" s="1718"/>
      <c r="B11" s="1408"/>
      <c r="C11" s="367">
        <v>5</v>
      </c>
      <c r="D11" s="669" t="str">
        <f>IF(VLOOKUP(X11,ĐTBT!$D:$R,3,0)="","",VLOOKUP(X11,ĐTBT!$D:$R,3,0))</f>
        <v/>
      </c>
      <c r="E11" s="854" t="str">
        <f>IF(VLOOKUP(X11,ĐTBT!$D:$R,4,0)="","",VLOOKUP(X11,ĐTBT!$D:$R,4,0))</f>
        <v/>
      </c>
      <c r="F11" s="854" t="str">
        <f>IF(VLOOKUP(X11,ĐTBT!$D:$R,5,0)="","",VLOOKUP(X11,ĐTBT!$D:$R,5,0))</f>
        <v/>
      </c>
      <c r="G11" s="854" t="str">
        <f>IF(VLOOKUP(X11,ĐTBT!$D:$R,6,0)="","",VLOOKUP(X11,ĐTBT!$D:$R,6,0))</f>
        <v/>
      </c>
      <c r="H11" s="854" t="str">
        <f>IF(VLOOKUP(X11,ĐTBT!$D:$R,7,0)="","",VLOOKUP(X11,ĐTBT!$D:$R,7,0))</f>
        <v/>
      </c>
      <c r="I11" s="669" t="str">
        <f>IF(VLOOKUP(X11,ĐTBT!$D:$R,8,0)="","",VLOOKUP(X11,ĐTBT!$D:$R,8,0))</f>
        <v/>
      </c>
      <c r="J11" s="669" t="str">
        <f>IF(VLOOKUP(X11,ĐTBT!$D:$R,9,0)="","",VLOOKUP(X11,ĐTBT!$D:$R,9,0))</f>
        <v/>
      </c>
      <c r="K11" s="669" t="str">
        <f>IF(VLOOKUP(X11,ĐTBT!$D:$R,10,0)="","",VLOOKUP(X11,ĐTBT!$D:$R,10,0))</f>
        <v/>
      </c>
      <c r="L11" s="372" t="str">
        <f>IF(K11="","",IF(K11-N11&gt;0,K11-N11,0))</f>
        <v/>
      </c>
      <c r="M11" s="372" t="str">
        <f t="shared" si="2"/>
        <v/>
      </c>
      <c r="N11" s="373" t="str">
        <f>IF(VLOOKUP(X11,ĐTBT!$D:$R,13,0)="","",VLOOKUP(X11,ĐTBT!$D:$R,13,0))</f>
        <v/>
      </c>
      <c r="O11" s="374" t="str">
        <f t="shared" si="3"/>
        <v/>
      </c>
      <c r="P11" s="375" t="str">
        <f>IF(VLOOKUP(X11,ĐTBT!$D:$R,15,0)="","",VLOOKUP(X11,ĐTBT!$D:$R,15,0))</f>
        <v/>
      </c>
      <c r="R11" s="376"/>
      <c r="S11" s="376"/>
      <c r="T11" s="376"/>
      <c r="V11" s="366">
        <v>5</v>
      </c>
      <c r="W11" s="845" t="s">
        <v>988</v>
      </c>
      <c r="X11" s="853" t="str">
        <f t="shared" si="1"/>
        <v>B1f</v>
      </c>
    </row>
    <row r="12" spans="1:24" s="366" customFormat="1" ht="21.95" customHeight="1">
      <c r="A12" s="1718"/>
      <c r="B12" s="1408"/>
      <c r="C12" s="367">
        <v>6</v>
      </c>
      <c r="D12" s="669" t="str">
        <f>IF(VLOOKUP(X12,ĐTBT!$D:$R,3,0)="","",VLOOKUP(X12,ĐTBT!$D:$R,3,0))</f>
        <v/>
      </c>
      <c r="E12" s="854" t="str">
        <f>IF(VLOOKUP(X12,ĐTBT!$D:$R,4,0)="","",VLOOKUP(X12,ĐTBT!$D:$R,4,0))</f>
        <v/>
      </c>
      <c r="F12" s="854" t="str">
        <f>IF(VLOOKUP(X12,ĐTBT!$D:$R,5,0)="","",VLOOKUP(X12,ĐTBT!$D:$R,5,0))</f>
        <v/>
      </c>
      <c r="G12" s="854" t="str">
        <f>IF(VLOOKUP(X12,ĐTBT!$D:$R,6,0)="","",VLOOKUP(X12,ĐTBT!$D:$R,6,0))</f>
        <v/>
      </c>
      <c r="H12" s="854" t="str">
        <f>IF(VLOOKUP(X12,ĐTBT!$D:$R,7,0)="","",VLOOKUP(X12,ĐTBT!$D:$R,7,0))</f>
        <v/>
      </c>
      <c r="I12" s="669" t="str">
        <f>IF(VLOOKUP(X12,ĐTBT!$D:$R,8,0)="","",VLOOKUP(X12,ĐTBT!$D:$R,8,0))</f>
        <v/>
      </c>
      <c r="J12" s="669" t="str">
        <f>IF(VLOOKUP(X12,ĐTBT!$D:$R,9,0)="","",VLOOKUP(X12,ĐTBT!$D:$R,9,0))</f>
        <v/>
      </c>
      <c r="K12" s="669" t="str">
        <f>IF(VLOOKUP(X12,ĐTBT!$D:$R,10,0)="","",VLOOKUP(X12,ĐTBT!$D:$R,10,0))</f>
        <v/>
      </c>
      <c r="L12" s="372" t="str">
        <f t="shared" ref="L12:L21" si="4">IF(K12="","",IF(K12-N12&gt;0,K12-N12,0))</f>
        <v/>
      </c>
      <c r="M12" s="372" t="str">
        <f t="shared" si="2"/>
        <v/>
      </c>
      <c r="N12" s="373" t="str">
        <f>IF(VLOOKUP(X12,ĐTBT!$D:$R,13,0)="","",VLOOKUP(X12,ĐTBT!$D:$R,13,0))</f>
        <v/>
      </c>
      <c r="O12" s="374" t="str">
        <f t="shared" si="3"/>
        <v/>
      </c>
      <c r="P12" s="375" t="str">
        <f>IF(VLOOKUP(X12,ĐTBT!$D:$R,15,0)="","",VLOOKUP(X12,ĐTBT!$D:$R,15,0))</f>
        <v/>
      </c>
      <c r="R12" s="376"/>
      <c r="V12" s="366">
        <v>6</v>
      </c>
      <c r="W12" s="845" t="s">
        <v>989</v>
      </c>
      <c r="X12" s="853" t="str">
        <f t="shared" si="1"/>
        <v>B1g</v>
      </c>
    </row>
    <row r="13" spans="1:24" s="366" customFormat="1" ht="21.95" customHeight="1">
      <c r="A13" s="1718"/>
      <c r="B13" s="1408"/>
      <c r="C13" s="367">
        <v>7</v>
      </c>
      <c r="D13" s="669" t="str">
        <f>IF(VLOOKUP(X13,ĐTBT!$D:$R,3,0)="","",VLOOKUP(X13,ĐTBT!$D:$R,3,0))</f>
        <v/>
      </c>
      <c r="E13" s="854" t="str">
        <f>IF(VLOOKUP(X13,ĐTBT!$D:$R,4,0)="","",VLOOKUP(X13,ĐTBT!$D:$R,4,0))</f>
        <v/>
      </c>
      <c r="F13" s="854" t="str">
        <f>IF(VLOOKUP(X13,ĐTBT!$D:$R,5,0)="","",VLOOKUP(X13,ĐTBT!$D:$R,5,0))</f>
        <v/>
      </c>
      <c r="G13" s="854" t="str">
        <f>IF(VLOOKUP(X13,ĐTBT!$D:$R,6,0)="","",VLOOKUP(X13,ĐTBT!$D:$R,6,0))</f>
        <v/>
      </c>
      <c r="H13" s="854" t="str">
        <f>IF(VLOOKUP(X13,ĐTBT!$D:$R,7,0)="","",VLOOKUP(X13,ĐTBT!$D:$R,7,0))</f>
        <v/>
      </c>
      <c r="I13" s="669" t="str">
        <f>IF(VLOOKUP(X13,ĐTBT!$D:$R,8,0)="","",VLOOKUP(X13,ĐTBT!$D:$R,8,0))</f>
        <v/>
      </c>
      <c r="J13" s="669" t="str">
        <f>IF(VLOOKUP(X13,ĐTBT!$D:$R,9,0)="","",VLOOKUP(X13,ĐTBT!$D:$R,9,0))</f>
        <v/>
      </c>
      <c r="K13" s="669" t="str">
        <f>IF(VLOOKUP(X13,ĐTBT!$D:$R,10,0)="","",VLOOKUP(X13,ĐTBT!$D:$R,10,0))</f>
        <v/>
      </c>
      <c r="L13" s="372" t="str">
        <f t="shared" si="4"/>
        <v/>
      </c>
      <c r="M13" s="372" t="str">
        <f t="shared" si="2"/>
        <v/>
      </c>
      <c r="N13" s="373" t="str">
        <f>IF(VLOOKUP(X13,ĐTBT!$D:$R,13,0)="","",VLOOKUP(X13,ĐTBT!$D:$R,13,0))</f>
        <v/>
      </c>
      <c r="O13" s="374" t="str">
        <f t="shared" si="3"/>
        <v/>
      </c>
      <c r="P13" s="375" t="str">
        <f>IF(VLOOKUP(X13,ĐTBT!$D:$R,15,0)="","",VLOOKUP(X13,ĐTBT!$D:$R,15,0))</f>
        <v/>
      </c>
      <c r="R13" s="376"/>
      <c r="V13" s="366">
        <v>7</v>
      </c>
      <c r="W13" s="845" t="s">
        <v>990</v>
      </c>
      <c r="X13" s="853" t="str">
        <f t="shared" si="1"/>
        <v>B1h</v>
      </c>
    </row>
    <row r="14" spans="1:24" s="366" customFormat="1" ht="21.95" customHeight="1">
      <c r="A14" s="1718"/>
      <c r="B14" s="1408"/>
      <c r="C14" s="367">
        <v>8</v>
      </c>
      <c r="D14" s="669" t="str">
        <f>IF(VLOOKUP(X14,ĐTBT!$D:$R,3,0)="","",VLOOKUP(X14,ĐTBT!$D:$R,3,0))</f>
        <v/>
      </c>
      <c r="E14" s="854" t="str">
        <f>IF(VLOOKUP(X14,ĐTBT!$D:$R,4,0)="","",VLOOKUP(X14,ĐTBT!$D:$R,4,0))</f>
        <v/>
      </c>
      <c r="F14" s="854" t="str">
        <f>IF(VLOOKUP(X14,ĐTBT!$D:$R,5,0)="","",VLOOKUP(X14,ĐTBT!$D:$R,5,0))</f>
        <v/>
      </c>
      <c r="G14" s="854" t="str">
        <f>IF(VLOOKUP(X14,ĐTBT!$D:$R,6,0)="","",VLOOKUP(X14,ĐTBT!$D:$R,6,0))</f>
        <v/>
      </c>
      <c r="H14" s="854" t="str">
        <f>IF(VLOOKUP(X14,ĐTBT!$D:$R,7,0)="","",VLOOKUP(X14,ĐTBT!$D:$R,7,0))</f>
        <v/>
      </c>
      <c r="I14" s="669" t="str">
        <f>IF(VLOOKUP(X14,ĐTBT!$D:$R,8,0)="","",VLOOKUP(X14,ĐTBT!$D:$R,8,0))</f>
        <v/>
      </c>
      <c r="J14" s="669" t="str">
        <f>IF(VLOOKUP(X14,ĐTBT!$D:$R,9,0)="","",VLOOKUP(X14,ĐTBT!$D:$R,9,0))</f>
        <v/>
      </c>
      <c r="K14" s="669" t="str">
        <f>IF(VLOOKUP(X14,ĐTBT!$D:$R,10,0)="","",VLOOKUP(X14,ĐTBT!$D:$R,10,0))</f>
        <v/>
      </c>
      <c r="L14" s="372" t="str">
        <f t="shared" si="4"/>
        <v/>
      </c>
      <c r="M14" s="372" t="str">
        <f t="shared" si="2"/>
        <v/>
      </c>
      <c r="N14" s="373" t="str">
        <f>IF(VLOOKUP(X14,ĐTBT!$D:$R,13,0)="","",VLOOKUP(X14,ĐTBT!$D:$R,13,0))</f>
        <v/>
      </c>
      <c r="O14" s="374" t="str">
        <f t="shared" si="3"/>
        <v/>
      </c>
      <c r="P14" s="375" t="str">
        <f>IF(VLOOKUP(X14,ĐTBT!$D:$R,15,0)="","",VLOOKUP(X14,ĐTBT!$D:$R,15,0))</f>
        <v/>
      </c>
      <c r="R14" s="376"/>
      <c r="V14" s="366">
        <v>8</v>
      </c>
      <c r="W14" s="845" t="s">
        <v>991</v>
      </c>
      <c r="X14" s="853" t="str">
        <f t="shared" si="1"/>
        <v>B1i</v>
      </c>
    </row>
    <row r="15" spans="1:24" s="366" customFormat="1" ht="21.95" customHeight="1">
      <c r="A15" s="1718"/>
      <c r="B15" s="1408"/>
      <c r="C15" s="367">
        <v>9</v>
      </c>
      <c r="D15" s="669" t="str">
        <f>IF(VLOOKUP(X15,ĐTBT!$D:$R,3,0)="","",VLOOKUP(X15,ĐTBT!$D:$R,3,0))</f>
        <v/>
      </c>
      <c r="E15" s="854" t="str">
        <f>IF(VLOOKUP(X15,ĐTBT!$D:$R,4,0)="","",VLOOKUP(X15,ĐTBT!$D:$R,4,0))</f>
        <v/>
      </c>
      <c r="F15" s="854" t="str">
        <f>IF(VLOOKUP(X15,ĐTBT!$D:$R,5,0)="","",VLOOKUP(X15,ĐTBT!$D:$R,5,0))</f>
        <v/>
      </c>
      <c r="G15" s="854" t="str">
        <f>IF(VLOOKUP(X15,ĐTBT!$D:$R,6,0)="","",VLOOKUP(X15,ĐTBT!$D:$R,6,0))</f>
        <v/>
      </c>
      <c r="H15" s="854" t="str">
        <f>IF(VLOOKUP(X15,ĐTBT!$D:$R,7,0)="","",VLOOKUP(X15,ĐTBT!$D:$R,7,0))</f>
        <v/>
      </c>
      <c r="I15" s="669" t="str">
        <f>IF(VLOOKUP(X15,ĐTBT!$D:$R,8,0)="","",VLOOKUP(X15,ĐTBT!$D:$R,8,0))</f>
        <v/>
      </c>
      <c r="J15" s="669" t="str">
        <f>IF(VLOOKUP(X15,ĐTBT!$D:$R,9,0)="","",VLOOKUP(X15,ĐTBT!$D:$R,9,0))</f>
        <v/>
      </c>
      <c r="K15" s="669" t="str">
        <f>IF(VLOOKUP(X15,ĐTBT!$D:$R,10,0)="","",VLOOKUP(X15,ĐTBT!$D:$R,10,0))</f>
        <v/>
      </c>
      <c r="L15" s="372" t="str">
        <f t="shared" si="4"/>
        <v/>
      </c>
      <c r="M15" s="372" t="str">
        <f t="shared" si="2"/>
        <v/>
      </c>
      <c r="N15" s="373" t="str">
        <f>IF(VLOOKUP(X15,ĐTBT!$D:$R,13,0)="","",VLOOKUP(X15,ĐTBT!$D:$R,13,0))</f>
        <v/>
      </c>
      <c r="O15" s="374" t="str">
        <f t="shared" si="3"/>
        <v/>
      </c>
      <c r="P15" s="375" t="str">
        <f>IF(VLOOKUP(X15,ĐTBT!$D:$R,15,0)="","",VLOOKUP(X15,ĐTBT!$D:$R,15,0))</f>
        <v/>
      </c>
      <c r="R15" s="376"/>
      <c r="V15" s="366">
        <v>9</v>
      </c>
      <c r="W15" s="845" t="s">
        <v>992</v>
      </c>
      <c r="X15" s="853" t="str">
        <f t="shared" si="1"/>
        <v>B1k</v>
      </c>
    </row>
    <row r="16" spans="1:24" s="366" customFormat="1" ht="21.95" customHeight="1">
      <c r="A16" s="1718"/>
      <c r="B16" s="1408"/>
      <c r="C16" s="367">
        <v>10</v>
      </c>
      <c r="D16" s="669" t="str">
        <f>IF(VLOOKUP(X16,ĐTBT!$D:$R,3,0)="","",VLOOKUP(X16,ĐTBT!$D:$R,3,0))</f>
        <v/>
      </c>
      <c r="E16" s="854" t="str">
        <f>IF(VLOOKUP(X16,ĐTBT!$D:$R,4,0)="","",VLOOKUP(X16,ĐTBT!$D:$R,4,0))</f>
        <v/>
      </c>
      <c r="F16" s="854" t="str">
        <f>IF(VLOOKUP(X16,ĐTBT!$D:$R,5,0)="","",VLOOKUP(X16,ĐTBT!$D:$R,5,0))</f>
        <v/>
      </c>
      <c r="G16" s="854" t="str">
        <f>IF(VLOOKUP(X16,ĐTBT!$D:$R,6,0)="","",VLOOKUP(X16,ĐTBT!$D:$R,6,0))</f>
        <v/>
      </c>
      <c r="H16" s="854" t="str">
        <f>IF(VLOOKUP(X16,ĐTBT!$D:$R,7,0)="","",VLOOKUP(X16,ĐTBT!$D:$R,7,0))</f>
        <v/>
      </c>
      <c r="I16" s="669" t="str">
        <f>IF(VLOOKUP(X16,ĐTBT!$D:$R,8,0)="","",VLOOKUP(X16,ĐTBT!$D:$R,8,0))</f>
        <v/>
      </c>
      <c r="J16" s="669" t="str">
        <f>IF(VLOOKUP(X16,ĐTBT!$D:$R,9,0)="","",VLOOKUP(X16,ĐTBT!$D:$R,9,0))</f>
        <v/>
      </c>
      <c r="K16" s="669" t="str">
        <f>IF(VLOOKUP(X16,ĐTBT!$D:$R,10,0)="","",VLOOKUP(X16,ĐTBT!$D:$R,10,0))</f>
        <v/>
      </c>
      <c r="L16" s="372" t="str">
        <f t="shared" si="4"/>
        <v/>
      </c>
      <c r="M16" s="372" t="str">
        <f t="shared" si="2"/>
        <v/>
      </c>
      <c r="N16" s="373" t="str">
        <f>IF(VLOOKUP(X16,ĐTBT!$D:$R,13,0)="","",VLOOKUP(X16,ĐTBT!$D:$R,13,0))</f>
        <v/>
      </c>
      <c r="O16" s="374" t="str">
        <f t="shared" si="3"/>
        <v/>
      </c>
      <c r="P16" s="375" t="str">
        <f>IF(VLOOKUP(X16,ĐTBT!$D:$R,15,0)="","",VLOOKUP(X16,ĐTBT!$D:$R,15,0))</f>
        <v/>
      </c>
      <c r="R16" s="376"/>
      <c r="V16" s="366">
        <v>10</v>
      </c>
      <c r="W16" s="845" t="s">
        <v>993</v>
      </c>
      <c r="X16" s="853" t="str">
        <f t="shared" si="1"/>
        <v>B1l</v>
      </c>
    </row>
    <row r="17" spans="1:24" s="366" customFormat="1" ht="21.95" customHeight="1">
      <c r="A17" s="1718"/>
      <c r="B17" s="1408"/>
      <c r="C17" s="367">
        <v>11</v>
      </c>
      <c r="D17" s="669" t="str">
        <f>IF(VLOOKUP(X17,ĐTBT!$D:$R,3,0)="","",VLOOKUP(X17,ĐTBT!$D:$R,3,0))</f>
        <v/>
      </c>
      <c r="E17" s="854" t="str">
        <f>IF(VLOOKUP(X17,ĐTBT!$D:$R,4,0)="","",VLOOKUP(X17,ĐTBT!$D:$R,4,0))</f>
        <v/>
      </c>
      <c r="F17" s="854" t="str">
        <f>IF(VLOOKUP(X17,ĐTBT!$D:$R,5,0)="","",VLOOKUP(X17,ĐTBT!$D:$R,5,0))</f>
        <v/>
      </c>
      <c r="G17" s="854" t="str">
        <f>IF(VLOOKUP(X17,ĐTBT!$D:$R,6,0)="","",VLOOKUP(X17,ĐTBT!$D:$R,6,0))</f>
        <v/>
      </c>
      <c r="H17" s="854" t="str">
        <f>IF(VLOOKUP(X17,ĐTBT!$D:$R,7,0)="","",VLOOKUP(X17,ĐTBT!$D:$R,7,0))</f>
        <v/>
      </c>
      <c r="I17" s="669" t="str">
        <f>IF(VLOOKUP(X17,ĐTBT!$D:$R,8,0)="","",VLOOKUP(X17,ĐTBT!$D:$R,8,0))</f>
        <v/>
      </c>
      <c r="J17" s="669" t="str">
        <f>IF(VLOOKUP(X17,ĐTBT!$D:$R,9,0)="","",VLOOKUP(X17,ĐTBT!$D:$R,9,0))</f>
        <v/>
      </c>
      <c r="K17" s="669" t="str">
        <f>IF(VLOOKUP(X17,ĐTBT!$D:$R,10,0)="","",VLOOKUP(X17,ĐTBT!$D:$R,10,0))</f>
        <v/>
      </c>
      <c r="L17" s="372" t="str">
        <f t="shared" si="4"/>
        <v/>
      </c>
      <c r="M17" s="372" t="str">
        <f t="shared" si="2"/>
        <v/>
      </c>
      <c r="N17" s="373" t="str">
        <f>IF(VLOOKUP(X17,ĐTBT!$D:$R,13,0)="","",VLOOKUP(X17,ĐTBT!$D:$R,13,0))</f>
        <v/>
      </c>
      <c r="O17" s="374" t="str">
        <f t="shared" si="3"/>
        <v/>
      </c>
      <c r="P17" s="375" t="str">
        <f>IF(VLOOKUP(X17,ĐTBT!$D:$R,15,0)="","",VLOOKUP(X17,ĐTBT!$D:$R,15,0))</f>
        <v/>
      </c>
      <c r="R17" s="376"/>
      <c r="V17" s="366">
        <v>11</v>
      </c>
      <c r="W17" s="845" t="s">
        <v>994</v>
      </c>
      <c r="X17" s="853" t="str">
        <f t="shared" si="1"/>
        <v>B1m</v>
      </c>
    </row>
    <row r="18" spans="1:24" s="366" customFormat="1" ht="21.95" customHeight="1">
      <c r="A18" s="1718"/>
      <c r="B18" s="1408"/>
      <c r="C18" s="367">
        <v>12</v>
      </c>
      <c r="D18" s="669" t="str">
        <f>IF(VLOOKUP(X18,ĐTBT!$D:$R,3,0)="","",VLOOKUP(X18,ĐTBT!$D:$R,3,0))</f>
        <v/>
      </c>
      <c r="E18" s="854" t="str">
        <f>IF(VLOOKUP(X18,ĐTBT!$D:$R,4,0)="","",VLOOKUP(X18,ĐTBT!$D:$R,4,0))</f>
        <v/>
      </c>
      <c r="F18" s="854" t="str">
        <f>IF(VLOOKUP(X18,ĐTBT!$D:$R,5,0)="","",VLOOKUP(X18,ĐTBT!$D:$R,5,0))</f>
        <v/>
      </c>
      <c r="G18" s="854" t="str">
        <f>IF(VLOOKUP(X18,ĐTBT!$D:$R,6,0)="","",VLOOKUP(X18,ĐTBT!$D:$R,6,0))</f>
        <v/>
      </c>
      <c r="H18" s="854" t="str">
        <f>IF(VLOOKUP(X18,ĐTBT!$D:$R,7,0)="","",VLOOKUP(X18,ĐTBT!$D:$R,7,0))</f>
        <v/>
      </c>
      <c r="I18" s="669" t="str">
        <f>IF(VLOOKUP(X18,ĐTBT!$D:$R,8,0)="","",VLOOKUP(X18,ĐTBT!$D:$R,8,0))</f>
        <v/>
      </c>
      <c r="J18" s="669" t="str">
        <f>IF(VLOOKUP(X18,ĐTBT!$D:$R,9,0)="","",VLOOKUP(X18,ĐTBT!$D:$R,9,0))</f>
        <v/>
      </c>
      <c r="K18" s="669" t="str">
        <f>IF(VLOOKUP(X18,ĐTBT!$D:$R,10,0)="","",VLOOKUP(X18,ĐTBT!$D:$R,10,0))</f>
        <v/>
      </c>
      <c r="L18" s="372" t="str">
        <f t="shared" si="4"/>
        <v/>
      </c>
      <c r="M18" s="372" t="str">
        <f t="shared" si="2"/>
        <v/>
      </c>
      <c r="N18" s="373" t="str">
        <f>IF(VLOOKUP(X18,ĐTBT!$D:$R,13,0)="","",VLOOKUP(X18,ĐTBT!$D:$R,13,0))</f>
        <v/>
      </c>
      <c r="O18" s="374" t="str">
        <f t="shared" si="3"/>
        <v/>
      </c>
      <c r="P18" s="375" t="str">
        <f>IF(VLOOKUP(X18,ĐTBT!$D:$R,15,0)="","",VLOOKUP(X18,ĐTBT!$D:$R,15,0))</f>
        <v/>
      </c>
      <c r="R18" s="376"/>
      <c r="V18" s="366">
        <v>12</v>
      </c>
      <c r="W18" s="845" t="s">
        <v>995</v>
      </c>
      <c r="X18" s="853" t="str">
        <f t="shared" si="1"/>
        <v>B1n</v>
      </c>
    </row>
    <row r="19" spans="1:24" s="366" customFormat="1" ht="21.95" customHeight="1">
      <c r="A19" s="1718"/>
      <c r="B19" s="1408"/>
      <c r="C19" s="367">
        <v>13</v>
      </c>
      <c r="D19" s="669" t="str">
        <f>IF(VLOOKUP(X19,ĐTBT!$D:$R,3,0)="","",VLOOKUP(X19,ĐTBT!$D:$R,3,0))</f>
        <v/>
      </c>
      <c r="E19" s="854" t="str">
        <f>IF(VLOOKUP(X19,ĐTBT!$D:$R,4,0)="","",VLOOKUP(X19,ĐTBT!$D:$R,4,0))</f>
        <v/>
      </c>
      <c r="F19" s="854" t="str">
        <f>IF(VLOOKUP(X19,ĐTBT!$D:$R,5,0)="","",VLOOKUP(X19,ĐTBT!$D:$R,5,0))</f>
        <v/>
      </c>
      <c r="G19" s="854" t="str">
        <f>IF(VLOOKUP(X19,ĐTBT!$D:$R,6,0)="","",VLOOKUP(X19,ĐTBT!$D:$R,6,0))</f>
        <v/>
      </c>
      <c r="H19" s="854" t="str">
        <f>IF(VLOOKUP(X19,ĐTBT!$D:$R,7,0)="","",VLOOKUP(X19,ĐTBT!$D:$R,7,0))</f>
        <v/>
      </c>
      <c r="I19" s="669" t="str">
        <f>IF(VLOOKUP(X19,ĐTBT!$D:$R,8,0)="","",VLOOKUP(X19,ĐTBT!$D:$R,8,0))</f>
        <v/>
      </c>
      <c r="J19" s="669" t="str">
        <f>IF(VLOOKUP(X19,ĐTBT!$D:$R,9,0)="","",VLOOKUP(X19,ĐTBT!$D:$R,9,0))</f>
        <v/>
      </c>
      <c r="K19" s="669" t="str">
        <f>IF(VLOOKUP(X19,ĐTBT!$D:$R,10,0)="","",VLOOKUP(X19,ĐTBT!$D:$R,10,0))</f>
        <v/>
      </c>
      <c r="L19" s="372" t="str">
        <f t="shared" si="4"/>
        <v/>
      </c>
      <c r="M19" s="372" t="str">
        <f t="shared" si="2"/>
        <v/>
      </c>
      <c r="N19" s="373" t="str">
        <f>IF(VLOOKUP(X19,ĐTBT!$D:$R,13,0)="","",VLOOKUP(X19,ĐTBT!$D:$R,13,0))</f>
        <v/>
      </c>
      <c r="O19" s="374" t="str">
        <f t="shared" si="3"/>
        <v/>
      </c>
      <c r="P19" s="375" t="str">
        <f>IF(VLOOKUP(X19,ĐTBT!$D:$R,15,0)="","",VLOOKUP(X19,ĐTBT!$D:$R,15,0))</f>
        <v/>
      </c>
      <c r="R19" s="376"/>
      <c r="V19" s="366">
        <v>13</v>
      </c>
      <c r="W19" s="845" t="s">
        <v>471</v>
      </c>
      <c r="X19" s="853" t="str">
        <f t="shared" si="1"/>
        <v>B1x</v>
      </c>
    </row>
    <row r="20" spans="1:24" s="366" customFormat="1" ht="21.95" customHeight="1">
      <c r="A20" s="1718"/>
      <c r="B20" s="1408"/>
      <c r="C20" s="367">
        <v>14</v>
      </c>
      <c r="D20" s="669" t="str">
        <f>IF(VLOOKUP(X20,ĐTBT!$D:$R,3,0)="","",VLOOKUP(X20,ĐTBT!$D:$R,3,0))</f>
        <v/>
      </c>
      <c r="E20" s="854" t="str">
        <f>IF(VLOOKUP(X20,ĐTBT!$D:$R,4,0)="","",VLOOKUP(X20,ĐTBT!$D:$R,4,0))</f>
        <v/>
      </c>
      <c r="F20" s="854" t="str">
        <f>IF(VLOOKUP(X20,ĐTBT!$D:$R,5,0)="","",VLOOKUP(X20,ĐTBT!$D:$R,5,0))</f>
        <v/>
      </c>
      <c r="G20" s="854" t="str">
        <f>IF(VLOOKUP(X20,ĐTBT!$D:$R,6,0)="","",VLOOKUP(X20,ĐTBT!$D:$R,6,0))</f>
        <v/>
      </c>
      <c r="H20" s="854" t="str">
        <f>IF(VLOOKUP(X20,ĐTBT!$D:$R,7,0)="","",VLOOKUP(X20,ĐTBT!$D:$R,7,0))</f>
        <v/>
      </c>
      <c r="I20" s="669" t="str">
        <f>IF(VLOOKUP(X20,ĐTBT!$D:$R,8,0)="","",VLOOKUP(X20,ĐTBT!$D:$R,8,0))</f>
        <v/>
      </c>
      <c r="J20" s="669" t="str">
        <f>IF(VLOOKUP(X20,ĐTBT!$D:$R,9,0)="","",VLOOKUP(X20,ĐTBT!$D:$R,9,0))</f>
        <v/>
      </c>
      <c r="K20" s="669" t="str">
        <f>IF(VLOOKUP(X20,ĐTBT!$D:$R,10,0)="","",VLOOKUP(X20,ĐTBT!$D:$R,10,0))</f>
        <v/>
      </c>
      <c r="L20" s="372" t="str">
        <f t="shared" si="4"/>
        <v/>
      </c>
      <c r="M20" s="372" t="str">
        <f t="shared" si="2"/>
        <v/>
      </c>
      <c r="N20" s="373" t="str">
        <f>IF(VLOOKUP(X20,ĐTBT!$D:$R,13,0)="","",VLOOKUP(X20,ĐTBT!$D:$R,13,0))</f>
        <v/>
      </c>
      <c r="O20" s="374" t="str">
        <f t="shared" si="3"/>
        <v/>
      </c>
      <c r="P20" s="375" t="str">
        <f>IF(VLOOKUP(X20,ĐTBT!$D:$R,15,0)="","",VLOOKUP(X20,ĐTBT!$D:$R,15,0))</f>
        <v/>
      </c>
      <c r="R20" s="376"/>
      <c r="V20" s="366">
        <v>14</v>
      </c>
      <c r="W20" s="845" t="s">
        <v>732</v>
      </c>
      <c r="X20" s="853" t="str">
        <f t="shared" si="1"/>
        <v>B1y</v>
      </c>
    </row>
    <row r="21" spans="1:24" s="366" customFormat="1" ht="21.95" customHeight="1">
      <c r="A21" s="1718"/>
      <c r="B21" s="1408"/>
      <c r="C21" s="367">
        <v>15</v>
      </c>
      <c r="D21" s="669" t="str">
        <f>IF(VLOOKUP(X21,ĐTBT!$D:$R,3,0)="","",VLOOKUP(X21,ĐTBT!$D:$R,3,0))</f>
        <v/>
      </c>
      <c r="E21" s="854" t="str">
        <f>IF(VLOOKUP(X21,ĐTBT!$D:$R,4,0)="","",VLOOKUP(X21,ĐTBT!$D:$R,4,0))</f>
        <v/>
      </c>
      <c r="F21" s="854" t="str">
        <f>IF(VLOOKUP(X21,ĐTBT!$D:$R,5,0)="","",VLOOKUP(X21,ĐTBT!$D:$R,5,0))</f>
        <v/>
      </c>
      <c r="G21" s="854" t="str">
        <f>IF(VLOOKUP(X21,ĐTBT!$D:$R,6,0)="","",VLOOKUP(X21,ĐTBT!$D:$R,6,0))</f>
        <v/>
      </c>
      <c r="H21" s="854" t="str">
        <f>IF(VLOOKUP(X21,ĐTBT!$D:$R,7,0)="","",VLOOKUP(X21,ĐTBT!$D:$R,7,0))</f>
        <v/>
      </c>
      <c r="I21" s="669" t="str">
        <f>IF(VLOOKUP(X21,ĐTBT!$D:$R,8,0)="","",VLOOKUP(X21,ĐTBT!$D:$R,8,0))</f>
        <v/>
      </c>
      <c r="J21" s="669" t="str">
        <f>IF(VLOOKUP(X21,ĐTBT!$D:$R,9,0)="","",VLOOKUP(X21,ĐTBT!$D:$R,9,0))</f>
        <v/>
      </c>
      <c r="K21" s="669" t="str">
        <f>IF(VLOOKUP(X21,ĐTBT!$D:$R,10,0)="","",VLOOKUP(X21,ĐTBT!$D:$R,10,0))</f>
        <v/>
      </c>
      <c r="L21" s="372" t="str">
        <f t="shared" si="4"/>
        <v/>
      </c>
      <c r="M21" s="372" t="str">
        <f t="shared" si="2"/>
        <v/>
      </c>
      <c r="N21" s="373" t="str">
        <f>IF(VLOOKUP(X21,ĐTBT!$D:$R,13,0)="","",VLOOKUP(X21,ĐTBT!$D:$R,13,0))</f>
        <v/>
      </c>
      <c r="O21" s="374" t="str">
        <f t="shared" si="3"/>
        <v/>
      </c>
      <c r="P21" s="858" t="str">
        <f>IF(VLOOKUP(X21,ĐTBT!$D:$R,15,0)="","",VLOOKUP(X21,ĐTBT!$D:$R,15,0))</f>
        <v/>
      </c>
      <c r="R21" s="376"/>
      <c r="V21" s="366">
        <v>15</v>
      </c>
      <c r="W21" s="846" t="s">
        <v>996</v>
      </c>
      <c r="X21" s="853" t="str">
        <f t="shared" si="1"/>
        <v>B1z</v>
      </c>
    </row>
    <row r="22" spans="1:24" s="361" customFormat="1">
      <c r="A22" s="384"/>
      <c r="B22" s="384"/>
      <c r="C22" s="186"/>
      <c r="D22" s="186"/>
      <c r="E22" s="186"/>
      <c r="F22" s="1404" t="s">
        <v>30</v>
      </c>
      <c r="G22" s="1404"/>
      <c r="H22" s="1404"/>
      <c r="I22" s="1404"/>
      <c r="J22" s="1404"/>
      <c r="K22" s="385"/>
      <c r="L22" s="386">
        <f>SUM(I7:I21)</f>
        <v>18</v>
      </c>
      <c r="M22" s="385" t="s">
        <v>15</v>
      </c>
      <c r="N22" s="385"/>
      <c r="O22" s="186"/>
      <c r="P22" s="186"/>
      <c r="W22" s="846"/>
      <c r="X22" s="361" t="str">
        <f>B22&amp;W22</f>
        <v/>
      </c>
    </row>
    <row r="23" spans="1:24" s="361" customFormat="1">
      <c r="A23" s="388"/>
      <c r="B23" s="388"/>
      <c r="C23" s="387"/>
      <c r="D23" s="387"/>
      <c r="E23" s="387"/>
      <c r="F23" s="1388" t="s">
        <v>2</v>
      </c>
      <c r="G23" s="1388"/>
      <c r="H23" s="1388"/>
      <c r="I23" s="1388"/>
      <c r="J23" s="1388"/>
      <c r="K23" s="389"/>
      <c r="L23" s="390">
        <f>'2. NK'!J55</f>
        <v>11.405987200000004</v>
      </c>
      <c r="M23" s="389" t="s">
        <v>15</v>
      </c>
      <c r="N23" s="389"/>
      <c r="O23" s="387"/>
      <c r="P23" s="387"/>
    </row>
    <row r="24" spans="1:24" s="361" customFormat="1">
      <c r="A24" s="350"/>
      <c r="B24" s="350"/>
      <c r="C24" s="350"/>
      <c r="D24" s="350"/>
      <c r="E24" s="350"/>
      <c r="F24" s="1388" t="s">
        <v>34</v>
      </c>
      <c r="G24" s="1388"/>
      <c r="H24" s="1388"/>
      <c r="I24" s="1388"/>
      <c r="J24" s="1388"/>
      <c r="K24" s="389"/>
      <c r="L24" s="390">
        <f>L22-L23</f>
        <v>6.5940127999999962</v>
      </c>
      <c r="M24" s="389" t="s">
        <v>15</v>
      </c>
      <c r="N24" s="389"/>
      <c r="O24" s="350"/>
      <c r="P24" s="350"/>
    </row>
    <row r="25" spans="1:24" s="361" customFormat="1" ht="15.75">
      <c r="A25" s="1395" t="s">
        <v>820</v>
      </c>
      <c r="B25" s="1395"/>
      <c r="C25" s="1395"/>
      <c r="D25" s="1395"/>
      <c r="E25" s="1395"/>
      <c r="F25" s="1395" t="s">
        <v>186</v>
      </c>
      <c r="G25" s="1395"/>
      <c r="H25" s="1395"/>
      <c r="I25" s="1395"/>
      <c r="J25" s="1395"/>
      <c r="K25" s="1396" t="s">
        <v>5</v>
      </c>
      <c r="L25" s="1396"/>
      <c r="M25" s="1396"/>
      <c r="N25" s="1396"/>
      <c r="O25" s="1396"/>
      <c r="P25" s="350"/>
    </row>
    <row r="26" spans="1:24">
      <c r="A26" s="391"/>
      <c r="B26" s="391"/>
      <c r="C26" s="391"/>
      <c r="D26" s="391"/>
      <c r="E26" s="391"/>
      <c r="F26" s="391"/>
      <c r="G26" s="391"/>
      <c r="H26" s="391"/>
      <c r="I26" s="391"/>
      <c r="J26" s="391"/>
      <c r="K26" s="391"/>
      <c r="L26" s="391"/>
      <c r="M26" s="391"/>
      <c r="N26" s="391"/>
      <c r="O26" s="391"/>
      <c r="P26" s="391"/>
    </row>
    <row r="27" spans="1:24" s="393" customFormat="1" ht="30" customHeight="1">
      <c r="A27" s="392"/>
      <c r="B27" s="392"/>
      <c r="C27" s="392"/>
      <c r="D27" s="392"/>
      <c r="E27" s="392" t="s">
        <v>165</v>
      </c>
      <c r="F27" s="392"/>
      <c r="G27" s="392"/>
      <c r="H27" s="392"/>
      <c r="I27" s="187"/>
      <c r="J27" s="187"/>
      <c r="K27" s="187"/>
      <c r="L27" s="1387"/>
      <c r="M27" s="1387"/>
      <c r="N27" s="1387"/>
      <c r="O27" s="392"/>
      <c r="P27" s="392"/>
    </row>
    <row r="28" spans="1:24">
      <c r="A28" s="391"/>
      <c r="B28" s="391"/>
      <c r="C28" s="391"/>
      <c r="D28" s="391"/>
      <c r="E28" s="391"/>
      <c r="F28" s="391"/>
      <c r="G28" s="391"/>
      <c r="H28" s="391"/>
      <c r="I28" s="391"/>
      <c r="J28" s="391"/>
      <c r="K28" s="391"/>
      <c r="L28" s="391"/>
      <c r="M28" s="391"/>
      <c r="N28" s="391"/>
      <c r="O28" s="391"/>
      <c r="P28" s="391"/>
    </row>
    <row r="29" spans="1:24">
      <c r="A29" s="391"/>
      <c r="B29" s="391"/>
      <c r="C29" s="391"/>
      <c r="D29" s="391"/>
      <c r="E29" s="391"/>
      <c r="F29" s="391"/>
      <c r="G29" s="391"/>
      <c r="H29" s="391"/>
      <c r="I29" s="391"/>
      <c r="J29" s="391"/>
      <c r="K29" s="391"/>
      <c r="L29" s="391"/>
      <c r="M29" s="391"/>
      <c r="N29" s="391"/>
      <c r="O29" s="391"/>
      <c r="P29" s="391"/>
    </row>
    <row r="30" spans="1:24">
      <c r="A30" s="391"/>
      <c r="B30" s="391"/>
      <c r="C30" s="391"/>
      <c r="D30" s="391"/>
      <c r="E30" s="391"/>
      <c r="F30" s="391"/>
      <c r="G30" s="391"/>
      <c r="H30" s="391"/>
      <c r="I30" s="391"/>
      <c r="J30" s="391"/>
      <c r="K30" s="391"/>
      <c r="L30" s="391"/>
      <c r="M30" s="391"/>
      <c r="N30" s="391"/>
      <c r="O30" s="391"/>
      <c r="P30" s="391"/>
    </row>
    <row r="31" spans="1:24">
      <c r="A31" s="391"/>
      <c r="B31" s="391"/>
      <c r="C31" s="391"/>
      <c r="D31" s="391"/>
      <c r="E31" s="391"/>
      <c r="F31" s="391"/>
      <c r="G31" s="391"/>
      <c r="H31" s="391"/>
      <c r="I31" s="391"/>
      <c r="J31" s="391"/>
      <c r="K31" s="391"/>
      <c r="L31" s="391"/>
      <c r="M31" s="391"/>
      <c r="N31" s="391"/>
      <c r="O31" s="391"/>
      <c r="P31" s="391"/>
    </row>
    <row r="35" spans="8:8">
      <c r="H35" s="395"/>
    </row>
  </sheetData>
  <mergeCells count="33">
    <mergeCell ref="L27:N27"/>
    <mergeCell ref="F22:J22"/>
    <mergeCell ref="F23:J23"/>
    <mergeCell ref="F24:J24"/>
    <mergeCell ref="A25:E25"/>
    <mergeCell ref="F25:J25"/>
    <mergeCell ref="K25:O25"/>
    <mergeCell ref="R5:R6"/>
    <mergeCell ref="S5:S6"/>
    <mergeCell ref="A6:A21"/>
    <mergeCell ref="B6:B21"/>
    <mergeCell ref="P2:P5"/>
    <mergeCell ref="E4:E5"/>
    <mergeCell ref="F4:F5"/>
    <mergeCell ref="G4:G5"/>
    <mergeCell ref="H4:H5"/>
    <mergeCell ref="I4:I5"/>
    <mergeCell ref="J4:J5"/>
    <mergeCell ref="K4:K5"/>
    <mergeCell ref="L4:L5"/>
    <mergeCell ref="M4:M5"/>
    <mergeCell ref="A1:P1"/>
    <mergeCell ref="A2:A5"/>
    <mergeCell ref="B2:B5"/>
    <mergeCell ref="C2:C5"/>
    <mergeCell ref="D2:D5"/>
    <mergeCell ref="E2:F3"/>
    <mergeCell ref="G2:H3"/>
    <mergeCell ref="I2:J3"/>
    <mergeCell ref="K2:L3"/>
    <mergeCell ref="M2:O3"/>
    <mergeCell ref="N4:N5"/>
    <mergeCell ref="O4:O5"/>
  </mergeCells>
  <pageMargins left="0.70866141732283472" right="0.70866141732283472" top="0.78740157480314965" bottom="0.74803149606299213" header="0.31496062992125984" footer="0.31496062992125984"/>
  <pageSetup paperSize="9" scale="81"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view="pageBreakPreview" topLeftCell="A13" zoomScaleNormal="100" zoomScaleSheetLayoutView="100" workbookViewId="0">
      <selection activeCell="E24" sqref="E24"/>
    </sheetView>
  </sheetViews>
  <sheetFormatPr defaultRowHeight="15.75"/>
  <cols>
    <col min="1" max="1" width="16.140625" style="702" customWidth="1"/>
    <col min="2" max="2" width="12.140625" style="702" customWidth="1"/>
    <col min="3" max="3" width="15.28515625" style="703" customWidth="1"/>
    <col min="4" max="4" width="15.5703125" style="702" customWidth="1"/>
    <col min="5" max="5" width="9.140625" style="702"/>
    <col min="6" max="6" width="12.85546875" style="702" customWidth="1"/>
    <col min="7" max="7" width="13" style="702" customWidth="1"/>
    <col min="8" max="16384" width="9.140625" style="702"/>
  </cols>
  <sheetData>
    <row r="1" spans="1:16" s="396" customFormat="1" ht="16.5" customHeight="1">
      <c r="A1" s="1423" t="s">
        <v>336</v>
      </c>
      <c r="B1" s="1423"/>
      <c r="C1" s="1423"/>
      <c r="D1" s="1423"/>
      <c r="E1" s="1423"/>
      <c r="F1" s="1423"/>
      <c r="G1" s="1423"/>
      <c r="I1" s="207"/>
      <c r="J1" s="207"/>
      <c r="K1" s="207"/>
      <c r="L1" s="207"/>
      <c r="M1" s="207"/>
      <c r="N1" s="174"/>
      <c r="O1" s="397"/>
      <c r="P1" s="397"/>
    </row>
    <row r="2" spans="1:16" s="396" customFormat="1" ht="15" customHeight="1">
      <c r="A2" s="1424" t="s">
        <v>344</v>
      </c>
      <c r="B2" s="1424"/>
      <c r="C2" s="1424"/>
      <c r="D2" s="1424"/>
      <c r="E2" s="1424"/>
      <c r="F2" s="1424"/>
      <c r="G2" s="1424"/>
      <c r="I2" s="204"/>
      <c r="J2" s="204"/>
      <c r="K2" s="204"/>
      <c r="L2" s="204"/>
      <c r="M2" s="204"/>
      <c r="N2" s="176"/>
      <c r="O2" s="397"/>
      <c r="P2" s="397"/>
    </row>
    <row r="3" spans="1:16" s="396" customFormat="1" ht="15" customHeight="1">
      <c r="A3" s="1425" t="s">
        <v>155</v>
      </c>
      <c r="B3" s="1425"/>
      <c r="C3" s="1425"/>
      <c r="D3" s="1425"/>
      <c r="E3" s="1425"/>
      <c r="F3" s="1425"/>
      <c r="G3" s="1425"/>
      <c r="I3" s="207"/>
      <c r="J3" s="207"/>
      <c r="K3" s="207"/>
      <c r="L3" s="207"/>
      <c r="M3" s="207"/>
      <c r="N3" s="174"/>
      <c r="O3" s="397"/>
      <c r="P3" s="397"/>
    </row>
    <row r="4" spans="1:16" ht="17.25" customHeight="1">
      <c r="A4" s="701"/>
      <c r="B4" s="701"/>
      <c r="C4" s="701"/>
      <c r="D4" s="1719" t="s">
        <v>1047</v>
      </c>
      <c r="E4" s="1719"/>
      <c r="F4" s="1719"/>
      <c r="G4" s="1719"/>
    </row>
    <row r="5" spans="1:16">
      <c r="A5" s="1427"/>
      <c r="B5" s="1427"/>
      <c r="C5" s="1427"/>
      <c r="D5" s="1427"/>
      <c r="E5" s="1427"/>
      <c r="F5" s="1427"/>
      <c r="G5" s="1427"/>
    </row>
    <row r="6" spans="1:16" ht="25.5" customHeight="1">
      <c r="A6" s="1428" t="s">
        <v>40</v>
      </c>
      <c r="B6" s="1428"/>
      <c r="C6" s="1428"/>
      <c r="D6" s="1428"/>
      <c r="E6" s="1428"/>
      <c r="F6" s="1428"/>
      <c r="G6" s="1428"/>
    </row>
    <row r="7" spans="1:16" ht="21.75" customHeight="1">
      <c r="A7" s="704"/>
      <c r="B7" s="704"/>
      <c r="C7" s="705" t="str">
        <f>"SỐ:TGHL-HT-"&amp;'2. NK'!D10&amp;"/"&amp;'2. NK'!H10&amp;"/LMTN"</f>
        <v>SỐ:TGHL-HT-B1/800/LMTN</v>
      </c>
      <c r="D7" s="706"/>
      <c r="E7" s="707"/>
      <c r="F7" s="704"/>
      <c r="G7" s="704"/>
    </row>
    <row r="8" spans="1:16" ht="14.25" customHeight="1">
      <c r="A8" s="704"/>
      <c r="B8" s="704"/>
      <c r="C8" s="705"/>
      <c r="D8" s="706"/>
      <c r="E8" s="707"/>
      <c r="F8" s="704"/>
      <c r="G8" s="704"/>
    </row>
    <row r="9" spans="1:16" s="710" customFormat="1" ht="31.5" customHeight="1">
      <c r="A9" s="708" t="s">
        <v>897</v>
      </c>
      <c r="B9" s="1418" t="str">
        <f>'[9]Du lieu'!C4</f>
        <v>KHU HỖN HỢP CHUNG CƯ, VĂN PHÒNG, TRUNG TÂM THƯƠNG MẠI VÀ NHÀ Ở KẾT HỢP KHU MUA SẮM</v>
      </c>
      <c r="C9" s="1418"/>
      <c r="D9" s="1418"/>
      <c r="E9" s="1418"/>
      <c r="F9" s="1418"/>
      <c r="G9" s="1418"/>
    </row>
    <row r="10" spans="1:16" s="710" customFormat="1" ht="15">
      <c r="A10" s="708" t="s">
        <v>480</v>
      </c>
      <c r="B10" s="711" t="s">
        <v>898</v>
      </c>
      <c r="C10" s="709"/>
      <c r="D10" s="709"/>
      <c r="E10" s="709"/>
      <c r="F10" s="709"/>
      <c r="G10" s="709"/>
    </row>
    <row r="11" spans="1:16" s="710" customFormat="1" ht="15">
      <c r="A11" s="712" t="s">
        <v>857</v>
      </c>
      <c r="B11" s="713" t="s">
        <v>899</v>
      </c>
      <c r="C11" s="714"/>
      <c r="E11" s="715"/>
      <c r="F11" s="715"/>
      <c r="G11" s="715"/>
    </row>
    <row r="12" spans="1:16" s="710" customFormat="1" ht="15">
      <c r="A12" s="716" t="s">
        <v>858</v>
      </c>
      <c r="B12" s="717" t="s">
        <v>900</v>
      </c>
      <c r="C12" s="714"/>
      <c r="E12" s="715"/>
      <c r="F12" s="715"/>
      <c r="G12" s="715"/>
    </row>
    <row r="13" spans="1:16">
      <c r="A13" s="718" t="s">
        <v>335</v>
      </c>
      <c r="B13" s="719" t="str">
        <f>'2. NK'!D10</f>
        <v>B1</v>
      </c>
    </row>
    <row r="14" spans="1:16" ht="22.5" customHeight="1">
      <c r="A14" s="1720" t="s">
        <v>1048</v>
      </c>
      <c r="B14" s="1720"/>
      <c r="C14" s="1720"/>
      <c r="D14" s="1720"/>
      <c r="E14" s="1720"/>
      <c r="F14" s="1720"/>
      <c r="G14" s="1720"/>
    </row>
    <row r="15" spans="1:16" ht="20.100000000000001" customHeight="1">
      <c r="A15" s="1420" t="str">
        <f>I15</f>
        <v>1 - Đại diện chủ đầu tư : Ban QLDA Times garden Hạ Long</v>
      </c>
      <c r="B15" s="1420"/>
      <c r="C15" s="1420"/>
      <c r="D15" s="1420"/>
      <c r="E15" s="1420"/>
      <c r="F15" s="1420"/>
      <c r="G15" s="1420"/>
      <c r="I15" s="482" t="s">
        <v>1021</v>
      </c>
    </row>
    <row r="16" spans="1:16" ht="22.5" customHeight="1">
      <c r="A16" s="720" t="s">
        <v>41</v>
      </c>
      <c r="B16" s="785" t="str">
        <f>VLOOKUP($B$13,ĐTBBLMBT!$B:$AC,2,0)</f>
        <v>.....................................</v>
      </c>
      <c r="D16" s="702" t="s">
        <v>43</v>
      </c>
      <c r="E16" s="785" t="str">
        <f>VLOOKUP($B$13,ĐTBBLMBT!$B:$AC,3,0)</f>
        <v>.....................................</v>
      </c>
    </row>
    <row r="17" spans="1:17" ht="22.5" customHeight="1">
      <c r="A17" s="720" t="s">
        <v>41</v>
      </c>
      <c r="B17" s="785" t="str">
        <f>VLOOKUP($B$13,ĐTBBLMBT!$B:$AC,4,0)</f>
        <v>.....................................</v>
      </c>
      <c r="D17" s="702" t="s">
        <v>43</v>
      </c>
      <c r="E17" s="785" t="str">
        <f>VLOOKUP($B$13,ĐTBBLMBT!$B:$AC,5,0)</f>
        <v>.....................................</v>
      </c>
      <c r="F17" s="720"/>
    </row>
    <row r="18" spans="1:17" ht="20.100000000000001" customHeight="1">
      <c r="A18" s="721" t="s">
        <v>1022</v>
      </c>
      <c r="J18" s="1421" t="s">
        <v>852</v>
      </c>
      <c r="K18" s="1421"/>
      <c r="L18" s="1421"/>
      <c r="M18" s="1421"/>
      <c r="N18" s="1421"/>
      <c r="O18" s="1421"/>
    </row>
    <row r="19" spans="1:17" ht="22.5" customHeight="1">
      <c r="A19" s="720" t="s">
        <v>41</v>
      </c>
      <c r="B19" s="785" t="str">
        <f>VLOOKUP($B$13,ĐTBBLMBT!$B:$AC,6,0)</f>
        <v>.....................................</v>
      </c>
      <c r="D19" s="702" t="s">
        <v>43</v>
      </c>
      <c r="E19" s="785" t="str">
        <f>VLOOKUP($B$13,ĐTBBLMBT!$B:$AC,7,0)</f>
        <v>.....................................</v>
      </c>
    </row>
    <row r="20" spans="1:17" ht="22.5" customHeight="1">
      <c r="A20" s="720" t="s">
        <v>41</v>
      </c>
      <c r="B20" s="785" t="str">
        <f>VLOOKUP($B$13,ĐTBBLMBT!$B:$AC,8,0)</f>
        <v>.....................................</v>
      </c>
      <c r="D20" s="702" t="s">
        <v>43</v>
      </c>
      <c r="E20" s="785" t="str">
        <f>VLOOKUP($B$13,ĐTBBLMBT!$B:$AC,9,0)</f>
        <v>.....................................</v>
      </c>
      <c r="F20" s="720"/>
    </row>
    <row r="21" spans="1:17" ht="22.5" customHeight="1">
      <c r="A21" s="719" t="s">
        <v>871</v>
      </c>
      <c r="K21" s="1422" t="str">
        <f>'[9]Du lieu'!C15</f>
        <v>CÔNG TY TRÁCH NHIỆM HỮU HẠN MỘT THÀNH VIÊN HANTECH</v>
      </c>
      <c r="L21" s="1422"/>
      <c r="M21" s="1422"/>
      <c r="N21" s="1422"/>
      <c r="O21" s="1422"/>
    </row>
    <row r="22" spans="1:17" ht="22.5" customHeight="1">
      <c r="A22" s="702" t="s">
        <v>42</v>
      </c>
      <c r="B22" s="785" t="str">
        <f>VLOOKUP($B$13,ĐTBBLMBT!$B:$AC,10,0)</f>
        <v>Nguyễn Duy Long</v>
      </c>
      <c r="D22" s="702" t="s">
        <v>44</v>
      </c>
      <c r="E22" s="785" t="str">
        <f>VLOOKUP($B$13,ĐTBBLMBT!$B:$AC,11,0)</f>
        <v>CBKT</v>
      </c>
    </row>
    <row r="23" spans="1:17" ht="22.5" customHeight="1">
      <c r="A23" s="720" t="s">
        <v>41</v>
      </c>
      <c r="B23" s="785" t="str">
        <f>VLOOKUP($B$13,ĐTBBLMBT!$B:$AC,12,0)</f>
        <v>.....................................</v>
      </c>
      <c r="D23" s="720" t="s">
        <v>44</v>
      </c>
      <c r="E23" s="785" t="str">
        <f>VLOOKUP($B$13,ĐTBBLMBT!$B:$AC,13,0)</f>
        <v>.....................................</v>
      </c>
      <c r="F23" s="720"/>
      <c r="J23" s="190"/>
      <c r="K23" s="399" t="s">
        <v>883</v>
      </c>
      <c r="L23" s="190"/>
      <c r="M23" s="399" t="s">
        <v>327</v>
      </c>
      <c r="N23" s="399"/>
      <c r="O23" s="399"/>
      <c r="P23" s="190"/>
      <c r="Q23" s="190"/>
    </row>
    <row r="24" spans="1:17" ht="22.5" customHeight="1">
      <c r="A24" s="719" t="s">
        <v>1023</v>
      </c>
      <c r="B24" s="722"/>
      <c r="C24" s="786" t="str">
        <f>VLOOKUP($B$13,ĐTBBLMBT!$B:$AC,16,0)</f>
        <v>Công ty Cổ phần và Xây dựng Quảng Ninh</v>
      </c>
      <c r="D24" s="719"/>
      <c r="J24" s="190"/>
      <c r="K24" s="190" t="s">
        <v>884</v>
      </c>
      <c r="L24" s="190"/>
      <c r="M24" s="399" t="s">
        <v>327</v>
      </c>
      <c r="N24" s="190"/>
      <c r="O24" s="190"/>
      <c r="P24" s="190"/>
      <c r="Q24" s="190"/>
    </row>
    <row r="25" spans="1:17" ht="22.5" customHeight="1">
      <c r="A25" s="702" t="s">
        <v>42</v>
      </c>
      <c r="B25" s="785" t="str">
        <f>VLOOKUP($B$13,ĐTBBLMBT!$B:$AC,14,0)</f>
        <v>.....................................</v>
      </c>
      <c r="D25" s="702" t="s">
        <v>44</v>
      </c>
      <c r="E25" s="785" t="str">
        <f>VLOOKUP($B$13,ĐTBBLMBT!$B:$AC,15,0)</f>
        <v>.....................................</v>
      </c>
      <c r="J25" s="190" t="s">
        <v>436</v>
      </c>
      <c r="K25" s="399" t="s">
        <v>885</v>
      </c>
      <c r="L25" s="190"/>
      <c r="M25" s="399" t="s">
        <v>197</v>
      </c>
      <c r="N25" s="190"/>
      <c r="O25" s="700" t="s">
        <v>886</v>
      </c>
      <c r="P25" s="700"/>
      <c r="Q25" s="190"/>
    </row>
    <row r="26" spans="1:17" ht="22.5" customHeight="1">
      <c r="A26" s="702" t="s">
        <v>45</v>
      </c>
      <c r="J26" s="190" t="s">
        <v>436</v>
      </c>
      <c r="K26" s="190" t="s">
        <v>887</v>
      </c>
      <c r="L26" s="190"/>
      <c r="M26" s="399" t="s">
        <v>197</v>
      </c>
      <c r="N26" s="190"/>
      <c r="O26" s="700" t="s">
        <v>888</v>
      </c>
      <c r="P26" s="1348" t="s">
        <v>889</v>
      </c>
      <c r="Q26" s="190"/>
    </row>
    <row r="27" spans="1:17" ht="22.5" customHeight="1">
      <c r="A27" s="702" t="s">
        <v>896</v>
      </c>
      <c r="J27" s="190" t="s">
        <v>436</v>
      </c>
      <c r="K27" s="399" t="s">
        <v>890</v>
      </c>
      <c r="L27" s="190"/>
      <c r="M27" s="399" t="s">
        <v>124</v>
      </c>
      <c r="N27" s="190"/>
      <c r="O27" s="700" t="s">
        <v>891</v>
      </c>
      <c r="P27" s="1349"/>
      <c r="Q27" s="190"/>
    </row>
    <row r="28" spans="1:17" ht="48.75" customHeight="1">
      <c r="A28" s="723" t="s">
        <v>184</v>
      </c>
      <c r="B28" s="723" t="s">
        <v>46</v>
      </c>
      <c r="C28" s="723" t="s">
        <v>47</v>
      </c>
      <c r="D28" s="723" t="s">
        <v>48</v>
      </c>
      <c r="E28" s="723" t="s">
        <v>49</v>
      </c>
      <c r="F28" s="723" t="s">
        <v>50</v>
      </c>
      <c r="G28" s="723" t="s">
        <v>321</v>
      </c>
      <c r="J28" s="190" t="s">
        <v>436</v>
      </c>
      <c r="K28" s="190" t="s">
        <v>892</v>
      </c>
      <c r="L28" s="190"/>
      <c r="M28" s="399" t="s">
        <v>124</v>
      </c>
      <c r="N28" s="190"/>
      <c r="O28" s="700" t="s">
        <v>893</v>
      </c>
      <c r="P28" s="1350"/>
      <c r="Q28" s="190"/>
    </row>
    <row r="29" spans="1:17" s="727" customFormat="1" ht="24.95" customHeight="1">
      <c r="A29" s="724">
        <f>IF(I29="","",1)</f>
        <v>1</v>
      </c>
      <c r="B29" s="725" t="str">
        <f>IF(I29="","",VLOOKUP(A29,'4. PTDBT'!$C$2:$P$21,2,0))</f>
        <v>14C-00534</v>
      </c>
      <c r="C29" s="941">
        <f>IF(I29="","",VLOOKUP($B$13,ĐTBBLMBT!$B:$AC,21,0))</f>
        <v>0.1388888888888889</v>
      </c>
      <c r="D29" s="400" t="str">
        <f>IF(I29="","","1-1;1-2;1-3")</f>
        <v>1-1;1-2;1-3</v>
      </c>
      <c r="E29" s="400">
        <f>IF(I29="","",VLOOKUP(I29,'4. PTDBT'!$C$6:$P$21,8,0))</f>
        <v>19</v>
      </c>
      <c r="F29" s="784">
        <f>IF(I29="","",9)</f>
        <v>9</v>
      </c>
      <c r="G29" s="726"/>
      <c r="I29" s="402">
        <f>IF(VLOOKUP($B$13,ĐTBBLMBT!$B:$AC,17,0)="","",VLOOKUP($B$13,ĐTBBLMBT!$B:$AC,17,0))</f>
        <v>1</v>
      </c>
      <c r="J29" s="190" t="s">
        <v>436</v>
      </c>
      <c r="K29" s="190" t="s">
        <v>922</v>
      </c>
      <c r="L29" s="190"/>
      <c r="M29" s="399" t="s">
        <v>124</v>
      </c>
      <c r="N29" s="190"/>
      <c r="O29" s="700" t="s">
        <v>891</v>
      </c>
      <c r="P29" s="700"/>
      <c r="Q29" s="190"/>
    </row>
    <row r="30" spans="1:17" s="727" customFormat="1" ht="24.95" customHeight="1">
      <c r="A30" s="724">
        <f>IF(I30="","",2)</f>
        <v>2</v>
      </c>
      <c r="B30" s="725" t="str">
        <f>IF(I30="","",VLOOKUP(A30,'4. PTDBT'!$C$2:$P$21,2,0))</f>
        <v>14P-0582</v>
      </c>
      <c r="C30" s="941">
        <f>IF(I30="","",VLOOKUP($B$13,ĐTBBLMBT!$B:$AC,22,0))</f>
        <v>0.14583333333333334</v>
      </c>
      <c r="D30" s="400" t="str">
        <f>IF(I30="","","2-1;2-2;2-3")</f>
        <v>2-1;2-2;2-3</v>
      </c>
      <c r="E30" s="400">
        <f>IF(I30="","",VLOOKUP(I30,'4. PTDBT'!$C$6:$P$21,8,0))</f>
        <v>18.5</v>
      </c>
      <c r="F30" s="784">
        <f>IF(I30="","",9)</f>
        <v>9</v>
      </c>
      <c r="G30" s="726"/>
      <c r="I30" s="402">
        <f>IF(VLOOKUP($B$13,ĐTBBLMBT!$B:$AC,18,0)="","",VLOOKUP($B$13,ĐTBBLMBT!$B:$AC,18,0))</f>
        <v>2</v>
      </c>
      <c r="J30" s="190" t="s">
        <v>436</v>
      </c>
      <c r="K30" s="190" t="s">
        <v>923</v>
      </c>
      <c r="L30" s="190"/>
      <c r="M30" s="399" t="s">
        <v>124</v>
      </c>
      <c r="N30" s="190"/>
      <c r="O30" s="700"/>
      <c r="P30" s="700"/>
      <c r="Q30" s="190"/>
    </row>
    <row r="31" spans="1:17" s="727" customFormat="1" ht="24.95" customHeight="1">
      <c r="A31" s="724">
        <f>IF(I31="","",3)</f>
        <v>3</v>
      </c>
      <c r="B31" s="725" t="str">
        <f>IF(I31="","",VLOOKUP(I31,'4. PTDBT'!$C$2:$P$21,2,0))</f>
        <v>14C-10388</v>
      </c>
      <c r="C31" s="941">
        <f>IF(I31="","",VLOOKUP($B$13,ĐTBBLMBT!$B:$AC,23,0))</f>
        <v>0.18055555555555555</v>
      </c>
      <c r="D31" s="400" t="str">
        <f>IF(I31="","","3-1;3-2;3-3")</f>
        <v>3-1;3-2;3-3</v>
      </c>
      <c r="E31" s="400">
        <f>IF(I31="","",VLOOKUP(I31,'4. PTDBT'!$C$6:$P$21,8,0))</f>
        <v>19.5</v>
      </c>
      <c r="F31" s="784">
        <f>IF(I31="","",9)</f>
        <v>9</v>
      </c>
      <c r="G31" s="726"/>
      <c r="I31" s="402">
        <f>IF(VLOOKUP($B$13,ĐTBBLMBT!$B:$AC,19,0)="","",VLOOKUP($B$13,ĐTBBLMBT!$B:$AC,19,0))</f>
        <v>3</v>
      </c>
      <c r="J31" s="190" t="s">
        <v>436</v>
      </c>
      <c r="K31" s="190"/>
      <c r="L31" s="398" t="s">
        <v>878</v>
      </c>
      <c r="M31" s="190"/>
      <c r="N31" s="190"/>
      <c r="O31" s="190"/>
      <c r="P31" s="190"/>
      <c r="Q31" s="190"/>
    </row>
    <row r="32" spans="1:17" s="727" customFormat="1" ht="24.95" customHeight="1">
      <c r="A32" s="945" t="str">
        <f>IF(I32="","",4)</f>
        <v/>
      </c>
      <c r="B32" s="952" t="str">
        <f>IF(I32="","",VLOOKUP(I32,'4. PTDBT'!$C$2:$P$21,2,0))</f>
        <v/>
      </c>
      <c r="C32" s="950" t="str">
        <f>IF(I32="","",VLOOKUP($B$13,ĐTBBLMBT!$B:$AC,24,0))</f>
        <v/>
      </c>
      <c r="D32" s="949" t="str">
        <f>IF(I32="","","4-1;4-2;4-3")</f>
        <v/>
      </c>
      <c r="E32" s="949" t="str">
        <f>IF(I32="","",VLOOKUP(I32,'4. PTDBT'!$C$6:$P$21,8,0))</f>
        <v/>
      </c>
      <c r="F32" s="948" t="str">
        <f>IF(I32="","",9)</f>
        <v/>
      </c>
      <c r="G32" s="946"/>
      <c r="H32" s="758"/>
      <c r="I32" s="402" t="str">
        <f>IF(VLOOKUP($B$13,ĐTBBLMBT!$B:$AC,20,0)="","",VLOOKUP($B$13,ĐTBBLMBT!$B:$AC,20,0))</f>
        <v/>
      </c>
      <c r="J32" s="190"/>
      <c r="K32" s="190"/>
      <c r="L32" s="398"/>
      <c r="M32" s="190"/>
      <c r="N32" s="190"/>
      <c r="O32" s="190"/>
      <c r="P32" s="190"/>
      <c r="Q32" s="190"/>
    </row>
    <row r="33" spans="1:17" ht="25.5" customHeight="1">
      <c r="A33" s="944" t="s">
        <v>51</v>
      </c>
      <c r="C33" s="951" t="s">
        <v>53</v>
      </c>
      <c r="D33" s="947"/>
      <c r="E33" s="947"/>
      <c r="F33" s="947"/>
      <c r="G33" s="947"/>
      <c r="J33" s="190"/>
      <c r="K33" s="190"/>
      <c r="L33" s="398" t="s">
        <v>894</v>
      </c>
      <c r="M33" s="190"/>
      <c r="N33" s="190"/>
      <c r="O33" s="190"/>
      <c r="P33" s="190"/>
      <c r="Q33" s="190"/>
    </row>
    <row r="34" spans="1:17" ht="24.95" customHeight="1">
      <c r="A34" s="702" t="s">
        <v>52</v>
      </c>
      <c r="C34" s="884" t="s">
        <v>439</v>
      </c>
      <c r="D34" s="728"/>
      <c r="E34" s="728"/>
      <c r="F34" s="728"/>
      <c r="G34" s="728"/>
      <c r="J34" s="190"/>
      <c r="K34" s="190"/>
      <c r="L34" s="190" t="s">
        <v>895</v>
      </c>
      <c r="M34" s="190"/>
      <c r="N34" s="190"/>
      <c r="O34" s="190"/>
      <c r="P34" s="190"/>
      <c r="Q34" s="190"/>
    </row>
    <row r="35" spans="1:17" ht="31.5" customHeight="1">
      <c r="A35" s="721" t="s">
        <v>901</v>
      </c>
      <c r="B35" s="721"/>
      <c r="C35" s="721"/>
      <c r="D35" s="721" t="s">
        <v>5</v>
      </c>
      <c r="E35" s="721"/>
      <c r="F35" s="1415" t="s">
        <v>902</v>
      </c>
      <c r="G35" s="1415"/>
      <c r="J35" s="190"/>
      <c r="K35" s="190"/>
      <c r="L35" s="190"/>
      <c r="M35" s="190"/>
      <c r="N35" s="190"/>
      <c r="O35" s="190"/>
      <c r="P35" s="190"/>
      <c r="Q35" s="190"/>
    </row>
    <row r="36" spans="1:17">
      <c r="J36" s="190"/>
      <c r="K36" s="190"/>
      <c r="L36" s="190"/>
      <c r="M36" s="190"/>
      <c r="N36" s="190"/>
      <c r="O36" s="190"/>
      <c r="P36" s="190"/>
      <c r="Q36" s="190"/>
    </row>
    <row r="40" spans="1:17">
      <c r="A40" s="1416"/>
      <c r="B40" s="1416"/>
      <c r="C40" s="1416"/>
      <c r="D40" s="1416"/>
      <c r="E40" s="1416"/>
      <c r="F40" s="1417"/>
      <c r="G40" s="1417"/>
    </row>
  </sheetData>
  <mergeCells count="16">
    <mergeCell ref="F35:G35"/>
    <mergeCell ref="A40:B40"/>
    <mergeCell ref="C40:E40"/>
    <mergeCell ref="F40:G40"/>
    <mergeCell ref="B9:G9"/>
    <mergeCell ref="A14:G14"/>
    <mergeCell ref="A15:G15"/>
    <mergeCell ref="J18:O18"/>
    <mergeCell ref="K21:O21"/>
    <mergeCell ref="P26:P28"/>
    <mergeCell ref="A1:G1"/>
    <mergeCell ref="A2:G2"/>
    <mergeCell ref="A3:G3"/>
    <mergeCell ref="D4:G4"/>
    <mergeCell ref="A5:G5"/>
    <mergeCell ref="A6:G6"/>
  </mergeCells>
  <printOptions horizontalCentered="1"/>
  <pageMargins left="0.70866141732283472" right="0" top="0.51181102362204722" bottom="0.51181102362204722" header="0.31496062992125984" footer="0.31496062992125984"/>
  <pageSetup paperSize="9" scale="9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
  <sheetViews>
    <sheetView view="pageBreakPreview" topLeftCell="A10" zoomScaleNormal="100" zoomScaleSheetLayoutView="100" workbookViewId="0">
      <selection activeCell="C13" sqref="C13:D13"/>
    </sheetView>
  </sheetViews>
  <sheetFormatPr defaultRowHeight="12.75"/>
  <cols>
    <col min="1" max="1" width="30.5703125" style="406" customWidth="1"/>
    <col min="2" max="2" width="15" style="406" customWidth="1"/>
    <col min="3" max="3" width="13.140625" style="406" customWidth="1"/>
    <col min="4" max="5" width="15.28515625" style="406" customWidth="1"/>
    <col min="6" max="6" width="2.140625" style="406" customWidth="1"/>
    <col min="7" max="7" width="6.85546875" style="406" customWidth="1"/>
    <col min="8" max="8" width="4" style="406" customWidth="1"/>
    <col min="9" max="9" width="17.42578125" style="406" customWidth="1"/>
    <col min="10" max="10" width="18.42578125" style="406" customWidth="1"/>
    <col min="11" max="11" width="23.28515625" style="406" customWidth="1"/>
    <col min="12" max="12" width="7" style="406" customWidth="1"/>
    <col min="13" max="13" width="9.28515625" style="406" bestFit="1" customWidth="1"/>
    <col min="14" max="15" width="9.42578125" style="406" bestFit="1" customWidth="1"/>
    <col min="16" max="16" width="11.85546875" style="406" customWidth="1"/>
    <col min="17" max="17" width="14.5703125" style="406" customWidth="1"/>
    <col min="18" max="19" width="12.42578125" style="406" customWidth="1"/>
    <col min="20" max="20" width="10" style="406" bestFit="1" customWidth="1"/>
    <col min="21" max="16384" width="9.140625" style="406"/>
  </cols>
  <sheetData>
    <row r="1" spans="1:20" ht="28.5" customHeight="1">
      <c r="A1" s="1439" t="s">
        <v>348</v>
      </c>
      <c r="B1" s="1440"/>
      <c r="C1" s="1440"/>
      <c r="D1" s="1440"/>
      <c r="E1" s="1440"/>
      <c r="F1" s="1441" t="str">
        <f>'2. NK'!D10</f>
        <v>B1</v>
      </c>
      <c r="G1" s="1441"/>
      <c r="H1" s="1441"/>
      <c r="I1" s="1441"/>
      <c r="J1" s="1441"/>
      <c r="K1" s="403" t="s">
        <v>37</v>
      </c>
      <c r="L1" s="404"/>
      <c r="M1" s="405"/>
      <c r="N1" s="405"/>
      <c r="O1" s="405"/>
      <c r="P1" s="405">
        <f>'2. NK'!H10</f>
        <v>800</v>
      </c>
      <c r="Q1" s="405"/>
      <c r="R1" s="405"/>
      <c r="S1" s="405"/>
      <c r="T1" s="405"/>
    </row>
    <row r="2" spans="1:20" ht="21" customHeight="1">
      <c r="A2" s="407" t="s">
        <v>60</v>
      </c>
      <c r="B2" s="408"/>
      <c r="C2" s="409"/>
      <c r="D2" s="409"/>
      <c r="E2" s="410" t="s">
        <v>174</v>
      </c>
      <c r="F2" s="1442"/>
      <c r="G2" s="1443"/>
      <c r="H2" s="1443"/>
      <c r="I2" s="1443"/>
      <c r="J2" s="1443"/>
      <c r="K2" s="1444"/>
      <c r="L2" s="411"/>
      <c r="M2" s="405"/>
      <c r="N2" s="405"/>
      <c r="O2" s="405"/>
      <c r="P2" s="405" t="s">
        <v>182</v>
      </c>
      <c r="Q2" s="412">
        <f>PI()*(P1/2000)^2</f>
        <v>0.50265482457436694</v>
      </c>
      <c r="R2" s="413">
        <f>'4. PTDBT'!L23</f>
        <v>11.405987200000004</v>
      </c>
      <c r="S2" s="413">
        <f>'2. NK'!R4+1</f>
        <v>-7</v>
      </c>
      <c r="T2" s="405"/>
    </row>
    <row r="3" spans="1:20" ht="18" customHeight="1">
      <c r="A3" s="414" t="s">
        <v>55</v>
      </c>
      <c r="B3" s="415"/>
      <c r="C3" s="1445">
        <f>'2. NK'!R4-'2. NK'!H51</f>
        <v>21.703000000000003</v>
      </c>
      <c r="D3" s="1446"/>
      <c r="E3" s="416" t="s">
        <v>394</v>
      </c>
      <c r="F3" s="417"/>
      <c r="G3" s="417"/>
      <c r="H3" s="417"/>
      <c r="I3" s="1447" t="s">
        <v>61</v>
      </c>
      <c r="J3" s="1447"/>
      <c r="K3" s="1448"/>
      <c r="L3" s="418"/>
      <c r="M3" s="419" t="s">
        <v>389</v>
      </c>
      <c r="N3" s="419" t="s">
        <v>183</v>
      </c>
      <c r="O3" s="419" t="s">
        <v>3</v>
      </c>
      <c r="P3" s="405" t="s">
        <v>390</v>
      </c>
      <c r="Q3" s="405" t="s">
        <v>31</v>
      </c>
      <c r="R3" s="405" t="s">
        <v>4</v>
      </c>
      <c r="S3" s="405" t="s">
        <v>198</v>
      </c>
      <c r="T3" s="405" t="s">
        <v>31</v>
      </c>
    </row>
    <row r="4" spans="1:20" ht="15" customHeight="1">
      <c r="A4" s="420"/>
      <c r="B4" s="415"/>
      <c r="C4" s="417"/>
      <c r="D4" s="417"/>
      <c r="E4" s="1449"/>
      <c r="F4" s="417"/>
      <c r="G4" s="417"/>
      <c r="H4" s="417"/>
      <c r="I4" s="1447"/>
      <c r="J4" s="1447"/>
      <c r="K4" s="1448"/>
      <c r="L4" s="418"/>
      <c r="M4" s="421">
        <v>0</v>
      </c>
      <c r="N4" s="405">
        <f>M4</f>
        <v>0</v>
      </c>
      <c r="O4" s="405">
        <v>0</v>
      </c>
      <c r="P4" s="405">
        <v>0</v>
      </c>
      <c r="Q4" s="680">
        <f>IF('4. PTDBT'!N6="",0,'4. PTDBT'!N6)</f>
        <v>29.35</v>
      </c>
      <c r="R4" s="681">
        <f>C7</f>
        <v>-29.703000000000003</v>
      </c>
      <c r="S4" s="679">
        <f>R4</f>
        <v>-29.703000000000003</v>
      </c>
      <c r="T4" s="681">
        <f>R4</f>
        <v>-29.703000000000003</v>
      </c>
    </row>
    <row r="5" spans="1:20" ht="18" customHeight="1">
      <c r="A5" s="414" t="s">
        <v>56</v>
      </c>
      <c r="B5" s="415"/>
      <c r="C5" s="1445">
        <f>'2. NK'!J53</f>
        <v>-0.35299999999999998</v>
      </c>
      <c r="D5" s="1446"/>
      <c r="E5" s="1449"/>
      <c r="F5" s="417"/>
      <c r="G5" s="422"/>
      <c r="H5" s="417"/>
      <c r="I5" s="423"/>
      <c r="J5" s="423" t="s">
        <v>396</v>
      </c>
      <c r="K5" s="424"/>
      <c r="L5" s="423">
        <v>1</v>
      </c>
      <c r="M5" s="425">
        <f>IF('4. PTDBT'!I7="",0,'4. PTDBT'!I7)</f>
        <v>8</v>
      </c>
      <c r="N5" s="426">
        <f t="shared" ref="N5:N17" si="0">M5+N4</f>
        <v>8</v>
      </c>
      <c r="O5" s="426">
        <f>IF(N5&lt;=R$2,N5,R$2)</f>
        <v>8</v>
      </c>
      <c r="P5" s="426">
        <f t="shared" ref="P5:P17" si="1">M5/$Q$2</f>
        <v>15.915494309189533</v>
      </c>
      <c r="Q5" s="680">
        <f>IF('4. PTDBT'!N7="",0,'4. PTDBT'!N7)</f>
        <v>3.88</v>
      </c>
      <c r="R5" s="426">
        <f t="shared" ref="R5:R17" si="2">R4+P5</f>
        <v>-13.78750569081047</v>
      </c>
      <c r="S5" s="413">
        <f>IF(R5&lt;S$2,R5,S$2)</f>
        <v>-13.78750569081047</v>
      </c>
      <c r="T5" s="427">
        <f t="shared" ref="T5:T17" si="3">IF(Q5&gt;0,T4+(Q4-Q5),T4)</f>
        <v>-4.2330000000000005</v>
      </c>
    </row>
    <row r="6" spans="1:20" ht="15" customHeight="1">
      <c r="A6" s="420"/>
      <c r="B6" s="415"/>
      <c r="C6" s="417"/>
      <c r="D6" s="417"/>
      <c r="E6" s="1449"/>
      <c r="F6" s="417"/>
      <c r="G6" s="1450" t="s">
        <v>72</v>
      </c>
      <c r="H6" s="417"/>
      <c r="I6" s="423"/>
      <c r="J6" s="423"/>
      <c r="K6" s="424"/>
      <c r="L6" s="423">
        <v>2</v>
      </c>
      <c r="M6" s="425">
        <f>IF('4. PTDBT'!I8="",0,'4. PTDBT'!I8)</f>
        <v>8</v>
      </c>
      <c r="N6" s="426">
        <f t="shared" si="0"/>
        <v>16</v>
      </c>
      <c r="O6" s="426">
        <f t="shared" ref="O6:O17" si="4">IF(N6&lt;=R$2,N6,R$2)</f>
        <v>11.405987200000004</v>
      </c>
      <c r="P6" s="426">
        <f t="shared" si="1"/>
        <v>15.915494309189533</v>
      </c>
      <c r="Q6" s="680">
        <f>IF('4. PTDBT'!N8="",0,'4. PTDBT'!N8)</f>
        <v>1.01</v>
      </c>
      <c r="R6" s="426">
        <f t="shared" si="2"/>
        <v>2.1279886183790637</v>
      </c>
      <c r="S6" s="413">
        <f t="shared" ref="S6:S17" si="5">IF(R6&lt;S$2,R6,S$2)</f>
        <v>-7</v>
      </c>
      <c r="T6" s="427">
        <f t="shared" si="3"/>
        <v>-1.3630000000000004</v>
      </c>
    </row>
    <row r="7" spans="1:20" ht="18" customHeight="1">
      <c r="A7" s="414" t="s">
        <v>63</v>
      </c>
      <c r="B7" s="415"/>
      <c r="C7" s="1445">
        <f>'2. NK'!H51</f>
        <v>-29.703000000000003</v>
      </c>
      <c r="D7" s="1446"/>
      <c r="E7" s="1449"/>
      <c r="F7" s="417"/>
      <c r="G7" s="1450"/>
      <c r="H7" s="417"/>
      <c r="I7" s="423"/>
      <c r="J7" s="423"/>
      <c r="K7" s="424"/>
      <c r="L7" s="423">
        <v>3</v>
      </c>
      <c r="M7" s="425">
        <f>IF('4. PTDBT'!I9="",0,'4. PTDBT'!I9)</f>
        <v>2</v>
      </c>
      <c r="N7" s="426">
        <f t="shared" si="0"/>
        <v>18</v>
      </c>
      <c r="O7" s="426">
        <f t="shared" si="4"/>
        <v>11.405987200000004</v>
      </c>
      <c r="P7" s="426">
        <f t="shared" si="1"/>
        <v>3.9788735772973833</v>
      </c>
      <c r="Q7" s="680">
        <f>IF('4. PTDBT'!N9="",0,'4. PTDBT'!N9)</f>
        <v>0.2</v>
      </c>
      <c r="R7" s="426">
        <f t="shared" si="2"/>
        <v>6.1068621956764471</v>
      </c>
      <c r="S7" s="413">
        <f t="shared" si="5"/>
        <v>-7</v>
      </c>
      <c r="T7" s="427">
        <f t="shared" si="3"/>
        <v>-0.55300000000000038</v>
      </c>
    </row>
    <row r="8" spans="1:20" ht="15" customHeight="1">
      <c r="A8" s="420"/>
      <c r="B8" s="415"/>
      <c r="C8" s="417"/>
      <c r="D8" s="417"/>
      <c r="E8" s="1449"/>
      <c r="F8" s="417"/>
      <c r="G8" s="1450"/>
      <c r="H8" s="417"/>
      <c r="I8" s="423"/>
      <c r="J8" s="423"/>
      <c r="K8" s="424"/>
      <c r="L8" s="423">
        <v>4</v>
      </c>
      <c r="M8" s="425">
        <f>IF('4. PTDBT'!I10="",0,'4. PTDBT'!I10)</f>
        <v>0</v>
      </c>
      <c r="N8" s="426">
        <f t="shared" si="0"/>
        <v>18</v>
      </c>
      <c r="O8" s="426">
        <f t="shared" si="4"/>
        <v>11.405987200000004</v>
      </c>
      <c r="P8" s="426">
        <f t="shared" si="1"/>
        <v>0</v>
      </c>
      <c r="Q8" s="680">
        <f>IF('4. PTDBT'!N10="",0,'4. PTDBT'!N10)</f>
        <v>0</v>
      </c>
      <c r="R8" s="426">
        <f t="shared" si="2"/>
        <v>6.1068621956764471</v>
      </c>
      <c r="S8" s="413">
        <f t="shared" si="5"/>
        <v>-7</v>
      </c>
      <c r="T8" s="427">
        <f t="shared" si="3"/>
        <v>-0.55300000000000038</v>
      </c>
    </row>
    <row r="9" spans="1:20" ht="18" customHeight="1">
      <c r="A9" s="414" t="s">
        <v>62</v>
      </c>
      <c r="B9" s="678"/>
      <c r="C9" s="1445">
        <f>'2. NK'!R4</f>
        <v>-8</v>
      </c>
      <c r="D9" s="1446"/>
      <c r="E9" s="1449"/>
      <c r="F9" s="417"/>
      <c r="G9" s="1450"/>
      <c r="H9" s="417"/>
      <c r="I9" s="423"/>
      <c r="J9" s="423"/>
      <c r="K9" s="424"/>
      <c r="L9" s="423">
        <v>5</v>
      </c>
      <c r="M9" s="425">
        <f>IF('4. PTDBT'!I11="",0,'4. PTDBT'!I11)</f>
        <v>0</v>
      </c>
      <c r="N9" s="426">
        <f t="shared" si="0"/>
        <v>18</v>
      </c>
      <c r="O9" s="426">
        <f t="shared" si="4"/>
        <v>11.405987200000004</v>
      </c>
      <c r="P9" s="426">
        <f t="shared" si="1"/>
        <v>0</v>
      </c>
      <c r="Q9" s="680">
        <f>IF('4. PTDBT'!N11="",0,'4. PTDBT'!N11)</f>
        <v>0</v>
      </c>
      <c r="R9" s="426">
        <f t="shared" si="2"/>
        <v>6.1068621956764471</v>
      </c>
      <c r="S9" s="413">
        <f t="shared" si="5"/>
        <v>-7</v>
      </c>
      <c r="T9" s="427">
        <f t="shared" si="3"/>
        <v>-0.55300000000000038</v>
      </c>
    </row>
    <row r="10" spans="1:20" ht="15" customHeight="1">
      <c r="A10" s="420"/>
      <c r="B10" s="415"/>
      <c r="C10" s="428"/>
      <c r="D10" s="428"/>
      <c r="E10" s="1449"/>
      <c r="F10" s="417"/>
      <c r="G10" s="1450"/>
      <c r="H10" s="417"/>
      <c r="I10" s="423"/>
      <c r="J10" s="423"/>
      <c r="K10" s="424"/>
      <c r="L10" s="423">
        <v>6</v>
      </c>
      <c r="M10" s="425">
        <f>IF('4. PTDBT'!I12="",0,'4. PTDBT'!I12)</f>
        <v>0</v>
      </c>
      <c r="N10" s="426">
        <f t="shared" si="0"/>
        <v>18</v>
      </c>
      <c r="O10" s="426">
        <f t="shared" si="4"/>
        <v>11.405987200000004</v>
      </c>
      <c r="P10" s="426">
        <f t="shared" si="1"/>
        <v>0</v>
      </c>
      <c r="Q10" s="680">
        <f>IF('4. PTDBT'!N12="",0,'4. PTDBT'!N12)</f>
        <v>0</v>
      </c>
      <c r="R10" s="426">
        <f t="shared" si="2"/>
        <v>6.1068621956764471</v>
      </c>
      <c r="S10" s="413">
        <f t="shared" si="5"/>
        <v>-7</v>
      </c>
      <c r="T10" s="427">
        <f t="shared" si="3"/>
        <v>-0.55300000000000038</v>
      </c>
    </row>
    <row r="11" spans="1:20" ht="18" customHeight="1">
      <c r="A11" s="414" t="s">
        <v>65</v>
      </c>
      <c r="B11" s="415"/>
      <c r="C11" s="1721">
        <f>'2. NK'!G52</f>
        <v>42466</v>
      </c>
      <c r="D11" s="1722"/>
      <c r="E11" s="1449"/>
      <c r="F11" s="417"/>
      <c r="G11" s="1450"/>
      <c r="H11" s="417"/>
      <c r="I11" s="423"/>
      <c r="J11" s="423"/>
      <c r="K11" s="424"/>
      <c r="L11" s="423">
        <v>7</v>
      </c>
      <c r="M11" s="425">
        <f>IF('4. PTDBT'!I13="",0,'4. PTDBT'!I13)</f>
        <v>0</v>
      </c>
      <c r="N11" s="426">
        <f t="shared" si="0"/>
        <v>18</v>
      </c>
      <c r="O11" s="426">
        <f t="shared" si="4"/>
        <v>11.405987200000004</v>
      </c>
      <c r="P11" s="426">
        <f t="shared" si="1"/>
        <v>0</v>
      </c>
      <c r="Q11" s="680">
        <f>IF('4. PTDBT'!N13="",0,'4. PTDBT'!N13)</f>
        <v>0</v>
      </c>
      <c r="R11" s="426">
        <f t="shared" si="2"/>
        <v>6.1068621956764471</v>
      </c>
      <c r="S11" s="413">
        <f t="shared" si="5"/>
        <v>-7</v>
      </c>
      <c r="T11" s="427">
        <f t="shared" si="3"/>
        <v>-0.55300000000000038</v>
      </c>
    </row>
    <row r="12" spans="1:20" ht="15" customHeight="1">
      <c r="A12" s="420"/>
      <c r="B12" s="415"/>
      <c r="C12" s="428"/>
      <c r="D12" s="428"/>
      <c r="E12" s="1449"/>
      <c r="F12" s="417"/>
      <c r="G12" s="1450"/>
      <c r="H12" s="417"/>
      <c r="I12" s="423"/>
      <c r="J12" s="423"/>
      <c r="K12" s="424"/>
      <c r="L12" s="423">
        <v>8</v>
      </c>
      <c r="M12" s="425">
        <f>IF('4. PTDBT'!I14="",0,'4. PTDBT'!I14)</f>
        <v>0</v>
      </c>
      <c r="N12" s="426">
        <f t="shared" si="0"/>
        <v>18</v>
      </c>
      <c r="O12" s="426">
        <f t="shared" si="4"/>
        <v>11.405987200000004</v>
      </c>
      <c r="P12" s="426">
        <f t="shared" si="1"/>
        <v>0</v>
      </c>
      <c r="Q12" s="680">
        <f>IF('4. PTDBT'!N14="",0,'4. PTDBT'!N14)</f>
        <v>0</v>
      </c>
      <c r="R12" s="426">
        <f t="shared" si="2"/>
        <v>6.1068621956764471</v>
      </c>
      <c r="S12" s="413">
        <f t="shared" si="5"/>
        <v>-7</v>
      </c>
      <c r="T12" s="427">
        <f t="shared" si="3"/>
        <v>-0.55300000000000038</v>
      </c>
    </row>
    <row r="13" spans="1:20" ht="18" customHeight="1">
      <c r="A13" s="414" t="s">
        <v>64</v>
      </c>
      <c r="B13" s="415"/>
      <c r="C13" s="1723" t="str">
        <f>'4. PTDBT'!R2</f>
        <v>BP2</v>
      </c>
      <c r="D13" s="1724"/>
      <c r="E13" s="1449"/>
      <c r="F13" s="417"/>
      <c r="G13" s="1450"/>
      <c r="H13" s="417"/>
      <c r="I13" s="423"/>
      <c r="J13" s="423"/>
      <c r="K13" s="424"/>
      <c r="L13" s="423">
        <v>9</v>
      </c>
      <c r="M13" s="425">
        <f>IF('4. PTDBT'!I15="",0,'4. PTDBT'!I15)</f>
        <v>0</v>
      </c>
      <c r="N13" s="426">
        <f t="shared" si="0"/>
        <v>18</v>
      </c>
      <c r="O13" s="426">
        <f t="shared" si="4"/>
        <v>11.405987200000004</v>
      </c>
      <c r="P13" s="426">
        <f t="shared" si="1"/>
        <v>0</v>
      </c>
      <c r="Q13" s="680">
        <f>IF('4. PTDBT'!N15="",0,'4. PTDBT'!N15)</f>
        <v>0</v>
      </c>
      <c r="R13" s="426">
        <f t="shared" si="2"/>
        <v>6.1068621956764471</v>
      </c>
      <c r="S13" s="413">
        <f t="shared" si="5"/>
        <v>-7</v>
      </c>
      <c r="T13" s="427">
        <f t="shared" si="3"/>
        <v>-0.55300000000000038</v>
      </c>
    </row>
    <row r="14" spans="1:20" ht="15" customHeight="1">
      <c r="A14" s="420"/>
      <c r="B14" s="415"/>
      <c r="C14" s="428"/>
      <c r="D14" s="428"/>
      <c r="E14" s="1449"/>
      <c r="F14" s="417"/>
      <c r="G14" s="1450"/>
      <c r="H14" s="417"/>
      <c r="I14" s="423"/>
      <c r="J14" s="423"/>
      <c r="K14" s="424"/>
      <c r="L14" s="423">
        <v>10</v>
      </c>
      <c r="M14" s="425">
        <f>IF('4. PTDBT'!I16="",0,'4. PTDBT'!I16)</f>
        <v>0</v>
      </c>
      <c r="N14" s="426">
        <f t="shared" si="0"/>
        <v>18</v>
      </c>
      <c r="O14" s="426">
        <f t="shared" si="4"/>
        <v>11.405987200000004</v>
      </c>
      <c r="P14" s="426">
        <f t="shared" si="1"/>
        <v>0</v>
      </c>
      <c r="Q14" s="680">
        <f>IF('4. PTDBT'!N16="",0,'4. PTDBT'!N16)</f>
        <v>0</v>
      </c>
      <c r="R14" s="426">
        <f t="shared" si="2"/>
        <v>6.1068621956764471</v>
      </c>
      <c r="S14" s="413">
        <f t="shared" si="5"/>
        <v>-7</v>
      </c>
      <c r="T14" s="427">
        <f t="shared" si="3"/>
        <v>-0.55300000000000038</v>
      </c>
    </row>
    <row r="15" spans="1:20" ht="15.75">
      <c r="A15" s="414" t="s">
        <v>66</v>
      </c>
      <c r="B15" s="415"/>
      <c r="C15" s="1455" t="str">
        <f>'2. NK'!Q27</f>
        <v>Bình thường</v>
      </c>
      <c r="D15" s="1456"/>
      <c r="E15" s="1449"/>
      <c r="F15" s="417"/>
      <c r="G15" s="1450"/>
      <c r="H15" s="417"/>
      <c r="I15" s="423"/>
      <c r="J15" s="423"/>
      <c r="K15" s="424"/>
      <c r="L15" s="423">
        <v>11</v>
      </c>
      <c r="M15" s="425">
        <f>IF('4. PTDBT'!I17="",0,'4. PTDBT'!I17)</f>
        <v>0</v>
      </c>
      <c r="N15" s="426">
        <f t="shared" si="0"/>
        <v>18</v>
      </c>
      <c r="O15" s="426">
        <f t="shared" si="4"/>
        <v>11.405987200000004</v>
      </c>
      <c r="P15" s="426">
        <f t="shared" si="1"/>
        <v>0</v>
      </c>
      <c r="Q15" s="680">
        <f>IF('4. PTDBT'!N17="",0,'4. PTDBT'!N17)</f>
        <v>0</v>
      </c>
      <c r="R15" s="426">
        <f t="shared" si="2"/>
        <v>6.1068621956764471</v>
      </c>
      <c r="S15" s="413">
        <f t="shared" si="5"/>
        <v>-7</v>
      </c>
      <c r="T15" s="427">
        <f t="shared" si="3"/>
        <v>-0.55300000000000038</v>
      </c>
    </row>
    <row r="16" spans="1:20" ht="15" customHeight="1">
      <c r="A16" s="420"/>
      <c r="B16" s="415"/>
      <c r="C16" s="428"/>
      <c r="D16" s="428"/>
      <c r="E16" s="1449"/>
      <c r="F16" s="417"/>
      <c r="G16" s="1450"/>
      <c r="H16" s="417"/>
      <c r="I16" s="423"/>
      <c r="J16" s="423"/>
      <c r="K16" s="424"/>
      <c r="L16" s="423">
        <v>12</v>
      </c>
      <c r="M16" s="425">
        <f>IF('4. PTDBT'!I18="",0,'4. PTDBT'!I18)</f>
        <v>0</v>
      </c>
      <c r="N16" s="426">
        <f t="shared" si="0"/>
        <v>18</v>
      </c>
      <c r="O16" s="426">
        <f t="shared" si="4"/>
        <v>11.405987200000004</v>
      </c>
      <c r="P16" s="426">
        <f t="shared" si="1"/>
        <v>0</v>
      </c>
      <c r="Q16" s="680">
        <f>IF('4. PTDBT'!N18="",0,'4. PTDBT'!N18)</f>
        <v>0</v>
      </c>
      <c r="R16" s="426">
        <f t="shared" si="2"/>
        <v>6.1068621956764471</v>
      </c>
      <c r="S16" s="413">
        <f t="shared" si="5"/>
        <v>-7</v>
      </c>
      <c r="T16" s="427">
        <f t="shared" si="3"/>
        <v>-0.55300000000000038</v>
      </c>
    </row>
    <row r="17" spans="1:20" ht="18" customHeight="1">
      <c r="A17" s="414" t="s">
        <v>67</v>
      </c>
      <c r="B17" s="415"/>
      <c r="C17" s="1455" t="str">
        <f>'2. NK'!R11</f>
        <v>B25</v>
      </c>
      <c r="D17" s="1457"/>
      <c r="E17" s="1449"/>
      <c r="F17" s="417"/>
      <c r="G17" s="1450"/>
      <c r="H17" s="417"/>
      <c r="I17" s="423"/>
      <c r="J17" s="423"/>
      <c r="K17" s="424"/>
      <c r="L17" s="423">
        <v>13</v>
      </c>
      <c r="M17" s="425">
        <f>IF('4. PTDBT'!I19="",0,'4. PTDBT'!I19)</f>
        <v>0</v>
      </c>
      <c r="N17" s="426">
        <f t="shared" si="0"/>
        <v>18</v>
      </c>
      <c r="O17" s="426">
        <f t="shared" si="4"/>
        <v>11.405987200000004</v>
      </c>
      <c r="P17" s="426">
        <f t="shared" si="1"/>
        <v>0</v>
      </c>
      <c r="Q17" s="680">
        <f>IF('4. PTDBT'!N19="",0,'4. PTDBT'!N19)</f>
        <v>0</v>
      </c>
      <c r="R17" s="426">
        <f t="shared" si="2"/>
        <v>6.1068621956764471</v>
      </c>
      <c r="S17" s="413">
        <f t="shared" si="5"/>
        <v>-7</v>
      </c>
      <c r="T17" s="427">
        <f t="shared" si="3"/>
        <v>-0.55300000000000038</v>
      </c>
    </row>
    <row r="18" spans="1:20" ht="15" customHeight="1">
      <c r="A18" s="420"/>
      <c r="B18" s="415"/>
      <c r="C18" s="417"/>
      <c r="D18" s="417"/>
      <c r="E18" s="429"/>
      <c r="F18" s="417"/>
      <c r="G18" s="1450"/>
      <c r="H18" s="417"/>
      <c r="I18" s="423"/>
      <c r="J18" s="423"/>
      <c r="K18" s="424"/>
      <c r="L18" s="423">
        <v>14</v>
      </c>
      <c r="M18" s="425"/>
      <c r="N18" s="430"/>
      <c r="O18" s="430"/>
      <c r="S18" s="413"/>
    </row>
    <row r="19" spans="1:20" ht="18" customHeight="1">
      <c r="A19" s="414" t="s">
        <v>73</v>
      </c>
      <c r="B19" s="415"/>
      <c r="C19" s="417"/>
      <c r="D19" s="417"/>
      <c r="E19" s="429"/>
      <c r="F19" s="417"/>
      <c r="G19" s="1450"/>
      <c r="H19" s="417"/>
      <c r="I19" s="423"/>
      <c r="J19" s="423"/>
      <c r="K19" s="424"/>
      <c r="L19" s="423"/>
    </row>
    <row r="20" spans="1:20" ht="7.5" customHeight="1">
      <c r="A20" s="420"/>
      <c r="B20" s="415"/>
      <c r="C20" s="417"/>
      <c r="D20" s="417"/>
      <c r="E20" s="429"/>
      <c r="F20" s="417"/>
      <c r="G20" s="1450"/>
      <c r="H20" s="417"/>
      <c r="I20" s="423"/>
      <c r="J20" s="423"/>
      <c r="K20" s="424"/>
      <c r="L20" s="423"/>
    </row>
    <row r="21" spans="1:20" ht="24.75" customHeight="1">
      <c r="A21" s="431" t="s">
        <v>57</v>
      </c>
      <c r="B21" s="1458" t="s">
        <v>0</v>
      </c>
      <c r="C21" s="1459"/>
      <c r="D21" s="432" t="s">
        <v>32</v>
      </c>
      <c r="E21" s="429"/>
      <c r="F21" s="417"/>
      <c r="G21" s="1450"/>
      <c r="H21" s="417"/>
      <c r="I21" s="423"/>
      <c r="J21" s="423"/>
      <c r="K21" s="424"/>
      <c r="L21" s="423"/>
      <c r="M21" s="433">
        <f>SUM(M4:M14)</f>
        <v>18</v>
      </c>
    </row>
    <row r="22" spans="1:20" ht="24" customHeight="1">
      <c r="A22" s="434" t="s">
        <v>74</v>
      </c>
      <c r="B22" s="1437" t="s">
        <v>855</v>
      </c>
      <c r="C22" s="1438"/>
      <c r="D22" s="540" t="s">
        <v>855</v>
      </c>
      <c r="E22" s="435"/>
      <c r="F22" s="417"/>
      <c r="G22" s="1450"/>
      <c r="H22" s="417"/>
      <c r="I22" s="423"/>
      <c r="J22" s="423"/>
      <c r="K22" s="424"/>
      <c r="L22" s="423"/>
    </row>
    <row r="23" spans="1:20" ht="15.75">
      <c r="A23" s="434" t="s">
        <v>25</v>
      </c>
      <c r="B23" s="1460" t="s">
        <v>59</v>
      </c>
      <c r="C23" s="1461"/>
      <c r="D23" s="436" t="s">
        <v>59</v>
      </c>
      <c r="E23" s="435"/>
      <c r="F23" s="417"/>
      <c r="G23" s="422"/>
      <c r="H23" s="417"/>
      <c r="I23" s="423"/>
      <c r="J23" s="423"/>
      <c r="K23" s="424"/>
      <c r="L23" s="423"/>
    </row>
    <row r="24" spans="1:20" ht="18.75">
      <c r="A24" s="434" t="s">
        <v>397</v>
      </c>
      <c r="B24" s="1462">
        <f>'4. PTDBT'!L23</f>
        <v>11.405987200000004</v>
      </c>
      <c r="C24" s="1463"/>
      <c r="D24" s="461">
        <f>'4. PTDBT'!L22</f>
        <v>18</v>
      </c>
      <c r="E24" s="435"/>
      <c r="F24" s="417"/>
      <c r="G24" s="417"/>
      <c r="H24" s="417"/>
      <c r="I24" s="417"/>
      <c r="J24" s="417"/>
      <c r="K24" s="437"/>
      <c r="L24" s="417"/>
      <c r="M24" s="438" t="s">
        <v>179</v>
      </c>
      <c r="N24" s="438"/>
      <c r="O24" s="438"/>
      <c r="P24" s="439" t="e">
        <f>#REF!-#REF!</f>
        <v>#REF!</v>
      </c>
      <c r="Q24" s="439"/>
    </row>
    <row r="25" spans="1:20" ht="18.75">
      <c r="A25" s="434" t="s">
        <v>35</v>
      </c>
      <c r="B25" s="1464">
        <f>D24-B24</f>
        <v>6.5940127999999962</v>
      </c>
      <c r="C25" s="1465"/>
      <c r="D25" s="462">
        <f>B25/B24</f>
        <v>0.57811855163225101</v>
      </c>
      <c r="E25" s="435"/>
      <c r="F25" s="440"/>
      <c r="G25" s="417"/>
      <c r="H25" s="417"/>
      <c r="I25" s="417"/>
      <c r="J25" s="1466"/>
      <c r="K25" s="1467"/>
      <c r="L25" s="417"/>
      <c r="M25" s="438" t="s">
        <v>180</v>
      </c>
      <c r="N25" s="438"/>
      <c r="O25" s="438"/>
      <c r="P25" s="443"/>
      <c r="Q25" s="443"/>
    </row>
    <row r="26" spans="1:20" ht="18" customHeight="1">
      <c r="A26" s="1468" t="s">
        <v>380</v>
      </c>
      <c r="B26" s="444" t="s">
        <v>175</v>
      </c>
      <c r="C26" s="444" t="s">
        <v>381</v>
      </c>
      <c r="D26" s="445" t="s">
        <v>385</v>
      </c>
      <c r="E26" s="437"/>
      <c r="F26" s="417"/>
      <c r="G26" s="417"/>
      <c r="H26" s="417"/>
      <c r="I26" s="417"/>
      <c r="J26" s="1466"/>
      <c r="K26" s="1467"/>
      <c r="L26" s="417"/>
      <c r="M26" s="438"/>
      <c r="N26" s="438"/>
      <c r="O26" s="438"/>
      <c r="P26" s="443"/>
      <c r="Q26" s="443"/>
    </row>
    <row r="27" spans="1:20" ht="18" customHeight="1">
      <c r="A27" s="1469"/>
      <c r="B27" s="444" t="s">
        <v>181</v>
      </c>
      <c r="C27" s="446">
        <f>'2. NK'!E39</f>
        <v>2</v>
      </c>
      <c r="D27" s="447">
        <f>'2. NK'!I39</f>
        <v>28.386000000000003</v>
      </c>
      <c r="E27" s="437"/>
      <c r="F27" s="417"/>
      <c r="G27" s="417"/>
      <c r="H27" s="417"/>
      <c r="I27" s="417"/>
      <c r="J27" s="441"/>
      <c r="K27" s="442"/>
      <c r="L27" s="417"/>
      <c r="M27" s="438"/>
      <c r="N27" s="438"/>
      <c r="O27" s="438"/>
      <c r="P27" s="443"/>
      <c r="Q27" s="443"/>
    </row>
    <row r="28" spans="1:20" ht="18" customHeight="1">
      <c r="A28" s="1469"/>
      <c r="B28" s="448" t="s">
        <v>187</v>
      </c>
      <c r="C28" s="446">
        <f>'2. NK'!E40</f>
        <v>1</v>
      </c>
      <c r="D28" s="447">
        <f>'2. NK'!I40</f>
        <v>27.486000000000004</v>
      </c>
      <c r="E28" s="437"/>
      <c r="F28" s="417"/>
      <c r="G28" s="417"/>
      <c r="H28" s="417"/>
      <c r="I28" s="417"/>
      <c r="J28" s="441"/>
      <c r="K28" s="442"/>
      <c r="L28" s="417"/>
      <c r="M28" s="438"/>
      <c r="N28" s="438"/>
      <c r="O28" s="438"/>
      <c r="P28" s="443"/>
      <c r="Q28" s="443"/>
    </row>
    <row r="29" spans="1:20" ht="18" customHeight="1">
      <c r="A29" s="1470"/>
      <c r="B29" s="449"/>
      <c r="C29" s="446"/>
      <c r="D29" s="447"/>
      <c r="E29" s="437"/>
      <c r="F29" s="417"/>
      <c r="G29" s="417"/>
      <c r="H29" s="417"/>
      <c r="I29" s="417"/>
      <c r="J29" s="1471"/>
      <c r="K29" s="1472"/>
      <c r="L29" s="417"/>
      <c r="M29" s="438"/>
      <c r="N29" s="438"/>
      <c r="O29" s="438"/>
      <c r="P29" s="443"/>
      <c r="Q29" s="443"/>
    </row>
    <row r="30" spans="1:20" ht="16.5" customHeight="1">
      <c r="A30" s="450" t="s">
        <v>54</v>
      </c>
      <c r="B30" s="451"/>
      <c r="C30" s="451"/>
      <c r="D30" s="452"/>
      <c r="E30" s="1473" t="s">
        <v>820</v>
      </c>
      <c r="F30" s="1474"/>
      <c r="G30" s="1474"/>
      <c r="H30" s="1474"/>
      <c r="I30" s="1481" t="s">
        <v>853</v>
      </c>
      <c r="J30" s="1481"/>
      <c r="K30" s="1482"/>
      <c r="L30" s="417"/>
      <c r="M30" s="438"/>
      <c r="N30" s="438"/>
      <c r="O30" s="438"/>
    </row>
    <row r="31" spans="1:20" ht="36" customHeight="1">
      <c r="A31" s="1475" t="s">
        <v>75</v>
      </c>
      <c r="B31" s="1476"/>
      <c r="C31" s="1476"/>
      <c r="D31" s="1477"/>
      <c r="E31" s="423"/>
      <c r="F31" s="417"/>
      <c r="G31" s="417"/>
      <c r="H31" s="417"/>
      <c r="I31" s="417"/>
      <c r="J31" s="417"/>
      <c r="K31" s="437"/>
      <c r="L31" s="417"/>
    </row>
    <row r="32" spans="1:20" ht="16.5">
      <c r="A32" s="453"/>
      <c r="B32" s="454"/>
      <c r="C32" s="454"/>
      <c r="D32" s="455"/>
      <c r="E32" s="423"/>
      <c r="F32" s="417"/>
      <c r="G32" s="417"/>
      <c r="H32" s="417"/>
      <c r="I32" s="417"/>
      <c r="J32" s="417"/>
      <c r="K32" s="437"/>
      <c r="L32" s="417"/>
    </row>
    <row r="33" spans="1:12" ht="16.5">
      <c r="A33" s="453"/>
      <c r="B33" s="454"/>
      <c r="C33" s="454"/>
      <c r="D33" s="455"/>
      <c r="E33" s="423"/>
      <c r="F33" s="417"/>
      <c r="G33" s="417"/>
      <c r="H33" s="417"/>
      <c r="I33" s="417"/>
      <c r="J33" s="417"/>
      <c r="K33" s="437"/>
      <c r="L33" s="417"/>
    </row>
    <row r="34" spans="1:12" ht="16.5">
      <c r="A34" s="456"/>
      <c r="B34" s="457"/>
      <c r="C34" s="457"/>
      <c r="D34" s="458"/>
      <c r="E34" s="1478"/>
      <c r="F34" s="1479"/>
      <c r="G34" s="1479"/>
      <c r="H34" s="459"/>
      <c r="I34" s="459"/>
      <c r="J34" s="1479"/>
      <c r="K34" s="1480"/>
      <c r="L34" s="417"/>
    </row>
    <row r="35" spans="1:12" ht="16.5">
      <c r="B35" s="460"/>
      <c r="C35" s="460"/>
      <c r="D35" s="460"/>
    </row>
  </sheetData>
  <mergeCells count="28">
    <mergeCell ref="E30:H30"/>
    <mergeCell ref="I30:K30"/>
    <mergeCell ref="A31:D31"/>
    <mergeCell ref="E34:G34"/>
    <mergeCell ref="J34:K34"/>
    <mergeCell ref="B23:C23"/>
    <mergeCell ref="B24:C24"/>
    <mergeCell ref="B25:C25"/>
    <mergeCell ref="J25:K25"/>
    <mergeCell ref="A26:A29"/>
    <mergeCell ref="J26:K26"/>
    <mergeCell ref="J29:K29"/>
    <mergeCell ref="B22:C22"/>
    <mergeCell ref="A1:E1"/>
    <mergeCell ref="F1:J1"/>
    <mergeCell ref="F2:K2"/>
    <mergeCell ref="C3:D3"/>
    <mergeCell ref="I3:K4"/>
    <mergeCell ref="E4:E17"/>
    <mergeCell ref="C5:D5"/>
    <mergeCell ref="G6:G22"/>
    <mergeCell ref="C7:D7"/>
    <mergeCell ref="C9:D9"/>
    <mergeCell ref="C11:D11"/>
    <mergeCell ref="C13:D13"/>
    <mergeCell ref="C15:D15"/>
    <mergeCell ref="C17:D17"/>
    <mergeCell ref="B21:C21"/>
  </mergeCells>
  <pageMargins left="0.43307086614173229" right="0.27559055118110237" top="0.74803149606299213" bottom="0.27559055118110237" header="0.19685039370078741" footer="0.19685039370078741"/>
  <pageSetup paperSize="9" scale="87"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Y185"/>
  <sheetViews>
    <sheetView view="pageBreakPreview" topLeftCell="A133" zoomScaleNormal="100" zoomScaleSheetLayoutView="100" workbookViewId="0">
      <selection activeCell="C88" sqref="C88:J88"/>
    </sheetView>
  </sheetViews>
  <sheetFormatPr defaultRowHeight="15"/>
  <cols>
    <col min="1" max="1" width="5.140625" style="463" customWidth="1"/>
    <col min="2" max="2" width="12.28515625" style="463" customWidth="1"/>
    <col min="3" max="3" width="10.140625" style="463" customWidth="1"/>
    <col min="4" max="4" width="8.28515625" style="463" customWidth="1"/>
    <col min="5" max="5" width="13" style="463" customWidth="1"/>
    <col min="6" max="6" width="9.7109375" style="463" customWidth="1"/>
    <col min="7" max="7" width="8" style="463" customWidth="1"/>
    <col min="8" max="8" width="9.42578125" style="463" customWidth="1"/>
    <col min="9" max="9" width="9.7109375" style="463" customWidth="1"/>
    <col min="10" max="10" width="11.5703125" style="463" customWidth="1"/>
    <col min="11" max="11" width="12.42578125" style="463" customWidth="1"/>
    <col min="12" max="12" width="11.28515625" style="463" bestFit="1" customWidth="1"/>
    <col min="13" max="13" width="9.140625" style="463"/>
    <col min="14" max="14" width="8.5703125" style="464" customWidth="1"/>
    <col min="15" max="15" width="24.7109375" style="464" bestFit="1" customWidth="1"/>
    <col min="16" max="16" width="18" style="464" customWidth="1"/>
    <col min="17" max="17" width="18.42578125" style="464" customWidth="1"/>
    <col min="18" max="25" width="9.140625" style="464"/>
    <col min="26" max="31" width="9.140625" style="468"/>
    <col min="32" max="16384" width="9.140625" style="463"/>
  </cols>
  <sheetData>
    <row r="1" spans="1:31" ht="20.100000000000001" customHeight="1">
      <c r="A1" s="1682" t="s">
        <v>77</v>
      </c>
      <c r="B1" s="1682"/>
      <c r="C1" s="1682"/>
      <c r="D1" s="1682"/>
      <c r="E1" s="1682"/>
      <c r="F1" s="1682"/>
      <c r="G1" s="1682"/>
      <c r="H1" s="1682"/>
      <c r="I1" s="1682"/>
      <c r="J1" s="1682"/>
      <c r="K1" s="751"/>
      <c r="M1" s="464"/>
      <c r="N1" s="465"/>
      <c r="P1" s="466"/>
      <c r="Q1" s="466"/>
      <c r="R1" s="467"/>
      <c r="W1" s="467"/>
    </row>
    <row r="2" spans="1:31" ht="20.100000000000001" customHeight="1">
      <c r="A2" s="1683" t="s">
        <v>80</v>
      </c>
      <c r="B2" s="1683"/>
      <c r="C2" s="1683"/>
      <c r="D2" s="1683"/>
      <c r="E2" s="1683"/>
      <c r="F2" s="1683"/>
      <c r="G2" s="1683"/>
      <c r="H2" s="1683"/>
      <c r="I2" s="1683"/>
      <c r="J2" s="1683"/>
      <c r="K2" s="752"/>
      <c r="M2" s="467"/>
      <c r="O2" s="467"/>
      <c r="P2" s="466"/>
      <c r="Q2" s="466"/>
      <c r="R2" s="467"/>
      <c r="W2" s="467"/>
    </row>
    <row r="3" spans="1:31" ht="20.100000000000001" customHeight="1">
      <c r="A3" s="1616" t="s">
        <v>82</v>
      </c>
      <c r="B3" s="1616"/>
      <c r="C3" s="1616"/>
      <c r="D3" s="1616"/>
      <c r="E3" s="1616"/>
      <c r="F3" s="1616"/>
      <c r="G3" s="1616"/>
      <c r="H3" s="1616"/>
      <c r="I3" s="1616"/>
      <c r="J3" s="1616"/>
      <c r="K3" s="737"/>
      <c r="M3" s="469"/>
      <c r="O3" s="467"/>
      <c r="Q3" s="467"/>
      <c r="W3" s="467"/>
    </row>
    <row r="4" spans="1:31" ht="20.100000000000001" customHeight="1">
      <c r="A4" s="1725" t="str">
        <f>'5'!D4</f>
        <v>Quảng Ninh, ngày……..tháng…….năm 2016</v>
      </c>
      <c r="B4" s="1725"/>
      <c r="C4" s="1725"/>
      <c r="D4" s="1725"/>
      <c r="E4" s="1725"/>
      <c r="F4" s="1725"/>
      <c r="G4" s="1725"/>
      <c r="H4" s="1725"/>
      <c r="I4" s="1725"/>
      <c r="J4" s="1725"/>
      <c r="K4" s="759"/>
      <c r="M4" s="469"/>
      <c r="O4" s="467"/>
      <c r="P4" s="466"/>
      <c r="Q4" s="466"/>
      <c r="R4" s="467"/>
    </row>
    <row r="5" spans="1:31" ht="20.100000000000001" customHeight="1">
      <c r="A5" s="1685" t="s">
        <v>86</v>
      </c>
      <c r="B5" s="1618"/>
      <c r="C5" s="1618"/>
      <c r="D5" s="1618"/>
      <c r="E5" s="1618"/>
      <c r="F5" s="1618"/>
      <c r="G5" s="1618"/>
      <c r="H5" s="1618"/>
      <c r="I5" s="1618"/>
      <c r="J5" s="1618"/>
      <c r="K5" s="736"/>
      <c r="N5" s="469"/>
      <c r="O5" s="470"/>
      <c r="P5" s="466"/>
      <c r="Q5" s="466"/>
      <c r="R5" s="466"/>
    </row>
    <row r="6" spans="1:31" ht="20.100000000000001" customHeight="1">
      <c r="A6" s="1686" t="str">
        <f xml:space="preserve"> "SỐ: TGHL-HT-CWI-C&amp;S-"&amp;'2. NK'!D10&amp;"/"&amp;'2. NK'!H10</f>
        <v>SỐ: TGHL-HT-CWI-C&amp;S-B1/800</v>
      </c>
      <c r="B6" s="1686"/>
      <c r="C6" s="1686"/>
      <c r="D6" s="1686"/>
      <c r="E6" s="1686"/>
      <c r="F6" s="1686"/>
      <c r="G6" s="1686"/>
      <c r="H6" s="1686"/>
      <c r="I6" s="1686"/>
      <c r="J6" s="1686"/>
      <c r="K6" s="888"/>
      <c r="M6" s="469"/>
      <c r="O6" s="467"/>
      <c r="P6" s="466"/>
      <c r="Q6" s="466"/>
      <c r="R6" s="466"/>
    </row>
    <row r="7" spans="1:31" s="472" customFormat="1" ht="20.100000000000001" customHeight="1">
      <c r="A7" s="471"/>
      <c r="B7" s="471"/>
      <c r="C7" s="471"/>
      <c r="D7" s="471"/>
      <c r="E7" s="471"/>
      <c r="F7" s="471"/>
      <c r="G7" s="471"/>
      <c r="H7" s="471"/>
      <c r="I7" s="471"/>
      <c r="J7" s="471"/>
      <c r="K7" s="471"/>
      <c r="M7" s="463"/>
      <c r="N7" s="469"/>
      <c r="O7" s="473"/>
      <c r="P7" s="466"/>
      <c r="Q7" s="466"/>
      <c r="R7" s="467"/>
      <c r="S7" s="464"/>
      <c r="T7" s="464"/>
      <c r="U7" s="464"/>
      <c r="V7" s="474"/>
      <c r="W7" s="474"/>
      <c r="X7" s="474"/>
      <c r="Y7" s="474"/>
      <c r="Z7" s="475"/>
      <c r="AA7" s="475"/>
      <c r="AB7" s="475"/>
      <c r="AC7" s="475"/>
      <c r="AD7" s="475"/>
      <c r="AE7" s="475"/>
    </row>
    <row r="8" spans="1:31" ht="35.1" customHeight="1">
      <c r="A8" s="760" t="str">
        <f>'[6]7. BBNT-TOADOCOC'!A9</f>
        <v>DỰ ÁN:</v>
      </c>
      <c r="B8" s="760"/>
      <c r="C8" s="1681" t="str">
        <f>'[6]7. BBNT-TOADOCOC'!C9:J9</f>
        <v>KHU HỖN HỢP CHUNG CƯ, VĂN PHÒNG, TRUNG TÂM THƯƠNG MẠI VÀ NHÀ Ở KẾT HỢP KHU MUA SẮM</v>
      </c>
      <c r="D8" s="1681"/>
      <c r="E8" s="1681"/>
      <c r="F8" s="1681"/>
      <c r="G8" s="1681"/>
      <c r="H8" s="1681"/>
      <c r="I8" s="1681"/>
      <c r="J8" s="1681"/>
      <c r="K8" s="761"/>
      <c r="M8" s="467"/>
      <c r="N8" s="467"/>
      <c r="O8" s="467"/>
      <c r="P8" s="762"/>
      <c r="Q8" s="466"/>
      <c r="R8" s="466"/>
    </row>
    <row r="9" spans="1:31" ht="20.25" customHeight="1">
      <c r="A9" s="760" t="str">
        <f>'[6]7. BBNT-TOADOCOC'!A10</f>
        <v>CÔNG TRÌNH:</v>
      </c>
      <c r="B9" s="760"/>
      <c r="C9" s="1681" t="str">
        <f>'[6]7. BBNT-TOADOCOC'!C10:J10</f>
        <v>KHU HỖN HỢP CHUNG CƯ, VĂN PHÒNG, TTTM</v>
      </c>
      <c r="D9" s="1681"/>
      <c r="E9" s="1681"/>
      <c r="F9" s="1681"/>
      <c r="G9" s="1681"/>
      <c r="H9" s="1681"/>
      <c r="I9" s="1681"/>
      <c r="J9" s="1681"/>
      <c r="K9" s="761"/>
      <c r="M9" s="467"/>
      <c r="N9" s="467"/>
      <c r="O9" s="467"/>
      <c r="P9" s="762"/>
      <c r="Q9" s="466"/>
      <c r="R9" s="466"/>
    </row>
    <row r="10" spans="1:31" ht="20.100000000000001" customHeight="1">
      <c r="A10" s="760" t="str">
        <f>'[6]7. BBNT-TOADOCOC'!A11</f>
        <v>GÓI THẦU :</v>
      </c>
      <c r="B10" s="760"/>
      <c r="C10" s="1681" t="str">
        <f>'[6]7. BBNT-TOADOCOC'!C11:J11</f>
        <v>THI CÔNG CỌC KHOAN NHỒI</v>
      </c>
      <c r="D10" s="1681"/>
      <c r="E10" s="1681"/>
      <c r="F10" s="1681"/>
      <c r="G10" s="1681"/>
      <c r="H10" s="1681"/>
      <c r="I10" s="1681"/>
      <c r="J10" s="1681"/>
      <c r="K10" s="761"/>
      <c r="M10" s="467"/>
      <c r="N10" s="467"/>
      <c r="O10" s="470"/>
      <c r="P10" s="466"/>
      <c r="Q10" s="466"/>
      <c r="R10" s="466"/>
    </row>
    <row r="11" spans="1:31" ht="20.100000000000001" customHeight="1">
      <c r="A11" s="760" t="str">
        <f>'[6]7. BBNT-TOADOCOC'!A12</f>
        <v>ĐỊA ĐIỂM :</v>
      </c>
      <c r="B11" s="760"/>
      <c r="C11" s="1681" t="str">
        <f>'[6]7. BBNT-TOADOCOC'!C12:J12</f>
        <v>ĐƯỜNG 25/4, P BẠCH ĐẰNG, TP. HẠ LONG, TỈNH QUẢNG NINH</v>
      </c>
      <c r="D11" s="1681"/>
      <c r="E11" s="1681"/>
      <c r="F11" s="1681"/>
      <c r="G11" s="1681"/>
      <c r="H11" s="1681"/>
      <c r="I11" s="1681"/>
      <c r="J11" s="1681"/>
      <c r="K11" s="761"/>
      <c r="M11" s="467"/>
      <c r="N11" s="467"/>
      <c r="O11" s="473"/>
      <c r="P11" s="466"/>
      <c r="Q11" s="466"/>
      <c r="R11" s="467"/>
    </row>
    <row r="12" spans="1:31" ht="20.100000000000001" customHeight="1">
      <c r="A12" s="1596" t="s">
        <v>89</v>
      </c>
      <c r="B12" s="1596"/>
      <c r="C12" s="1596"/>
      <c r="D12" s="1596"/>
      <c r="E12" s="1596"/>
      <c r="F12" s="1596"/>
      <c r="G12" s="1596"/>
      <c r="H12" s="1596"/>
      <c r="I12" s="1596"/>
      <c r="J12" s="1596"/>
      <c r="K12" s="741"/>
      <c r="M12" s="469"/>
      <c r="N12" s="467"/>
      <c r="O12" s="467"/>
      <c r="P12" s="478"/>
      <c r="Q12" s="479"/>
      <c r="R12" s="469"/>
      <c r="S12" s="474"/>
      <c r="T12" s="474"/>
      <c r="U12" s="474"/>
    </row>
    <row r="13" spans="1:31" ht="20.100000000000001" customHeight="1">
      <c r="A13" s="1610" t="str">
        <f>"Gia công, lắp dựng cốt thép cọc số hiệu "&amp; '2. NK'!D10</f>
        <v>Gia công, lắp dựng cốt thép cọc số hiệu B1</v>
      </c>
      <c r="B13" s="1622"/>
      <c r="C13" s="1622"/>
      <c r="D13" s="1622"/>
      <c r="E13" s="1622"/>
      <c r="F13" s="1622"/>
      <c r="G13" s="1622"/>
      <c r="H13" s="1622"/>
      <c r="I13" s="1622"/>
      <c r="J13" s="1622"/>
      <c r="K13"/>
      <c r="M13" s="469"/>
      <c r="N13" s="469"/>
      <c r="O13" s="470"/>
      <c r="P13" s="466"/>
      <c r="Q13" s="466"/>
      <c r="R13" s="467"/>
    </row>
    <row r="14" spans="1:31" ht="20.100000000000001" customHeight="1">
      <c r="A14" s="1596" t="s">
        <v>859</v>
      </c>
      <c r="B14" s="1596"/>
      <c r="C14" s="1596"/>
      <c r="D14" s="1596"/>
      <c r="E14" s="1596"/>
      <c r="F14" s="1596"/>
      <c r="G14" s="1596"/>
      <c r="H14" s="1596"/>
      <c r="I14" s="1596"/>
      <c r="J14" s="1596"/>
      <c r="K14" s="741"/>
      <c r="M14" s="469"/>
      <c r="N14" s="467"/>
      <c r="O14" s="467"/>
      <c r="P14" s="466"/>
      <c r="Q14" s="466"/>
      <c r="R14" s="466"/>
    </row>
    <row r="15" spans="1:31" ht="20.100000000000001" customHeight="1">
      <c r="A15" s="482" t="s">
        <v>860</v>
      </c>
      <c r="B15" s="118"/>
      <c r="C15" s="118"/>
      <c r="D15" s="118"/>
      <c r="E15" s="118"/>
      <c r="F15" s="483"/>
      <c r="G15" s="483"/>
      <c r="H15" s="483"/>
      <c r="I15" s="483"/>
      <c r="J15" s="483"/>
      <c r="K15" s="483"/>
      <c r="N15" s="469"/>
      <c r="O15" s="470"/>
      <c r="P15" s="466"/>
      <c r="Q15" s="466"/>
      <c r="R15" s="466"/>
    </row>
    <row r="16" spans="1:31" ht="20.100000000000001" customHeight="1">
      <c r="A16" s="1595" t="s">
        <v>907</v>
      </c>
      <c r="B16" s="1595"/>
      <c r="C16" s="1595"/>
      <c r="D16" s="1595"/>
      <c r="E16" s="1595"/>
      <c r="F16" s="1595" t="s">
        <v>908</v>
      </c>
      <c r="G16" s="1595"/>
      <c r="H16" s="1595"/>
      <c r="I16" s="1595"/>
      <c r="J16" s="1595"/>
      <c r="K16" s="481"/>
      <c r="O16" s="473"/>
      <c r="P16" s="466"/>
      <c r="Q16" s="466"/>
      <c r="R16" s="466"/>
    </row>
    <row r="17" spans="1:233" ht="20.100000000000001" customHeight="1">
      <c r="A17" s="1595" t="s">
        <v>907</v>
      </c>
      <c r="B17" s="1595"/>
      <c r="C17" s="1595"/>
      <c r="D17" s="1595"/>
      <c r="E17" s="1595"/>
      <c r="F17" s="1595" t="s">
        <v>908</v>
      </c>
      <c r="G17" s="1595"/>
      <c r="H17" s="1595"/>
      <c r="I17" s="1595"/>
      <c r="J17" s="1595"/>
      <c r="K17" s="481"/>
      <c r="O17" s="473"/>
      <c r="P17" s="466"/>
      <c r="Q17" s="466"/>
      <c r="R17" s="466"/>
    </row>
    <row r="18" spans="1:233" ht="20.100000000000001" customHeight="1">
      <c r="A18" s="1604" t="s">
        <v>861</v>
      </c>
      <c r="B18" s="1604"/>
      <c r="C18" s="1604"/>
      <c r="D18" s="1604"/>
      <c r="E18" s="1604"/>
      <c r="F18" s="1604"/>
      <c r="G18" s="1604"/>
      <c r="H18" s="1604"/>
      <c r="I18" s="1604"/>
      <c r="J18" s="1604"/>
      <c r="K18" s="482"/>
      <c r="Q18" s="479"/>
      <c r="R18" s="479"/>
    </row>
    <row r="19" spans="1:233" ht="20.100000000000001" customHeight="1">
      <c r="A19" s="1595" t="s">
        <v>907</v>
      </c>
      <c r="B19" s="1595"/>
      <c r="C19" s="1595"/>
      <c r="D19" s="1595"/>
      <c r="E19" s="1595"/>
      <c r="F19" s="1595" t="s">
        <v>909</v>
      </c>
      <c r="G19" s="1595"/>
      <c r="H19" s="1595"/>
      <c r="I19" s="1595"/>
      <c r="J19" s="1595"/>
      <c r="K19" s="481"/>
      <c r="Q19" s="479"/>
      <c r="R19" s="479"/>
    </row>
    <row r="20" spans="1:233" ht="20.100000000000001" customHeight="1">
      <c r="A20" s="1595" t="s">
        <v>907</v>
      </c>
      <c r="B20" s="1595"/>
      <c r="C20" s="1595"/>
      <c r="D20" s="1595"/>
      <c r="E20" s="1595"/>
      <c r="F20" s="1595" t="s">
        <v>908</v>
      </c>
      <c r="G20" s="1595"/>
      <c r="H20" s="1595"/>
      <c r="I20" s="1595"/>
      <c r="J20" s="1595"/>
      <c r="K20" s="481" t="s">
        <v>920</v>
      </c>
      <c r="L20" s="769">
        <f>'2. NK'!J31</f>
        <v>42466</v>
      </c>
      <c r="Q20" s="479"/>
      <c r="R20" s="479"/>
    </row>
    <row r="21" spans="1:233" s="175" customFormat="1" ht="20.100000000000001" customHeight="1">
      <c r="A21" s="1596" t="str">
        <f>'9.BB- CKBT'!A21:J21</f>
        <v>III./ THỜI GIAN NGHIỆM THU:</v>
      </c>
      <c r="B21" s="1596"/>
      <c r="C21" s="1596"/>
      <c r="D21" s="1596"/>
      <c r="E21" s="1596"/>
      <c r="F21" s="1596"/>
      <c r="G21" s="1596"/>
      <c r="H21" s="1596"/>
      <c r="I21" s="1596"/>
      <c r="J21" s="1596"/>
      <c r="K21" s="741"/>
      <c r="O21" s="464"/>
      <c r="P21" s="467"/>
      <c r="Q21" s="467"/>
      <c r="R21" s="464"/>
      <c r="S21" s="464"/>
      <c r="T21" s="464"/>
    </row>
    <row r="22" spans="1:233" ht="20.100000000000001" customHeight="1">
      <c r="A22" s="477" t="s">
        <v>1024</v>
      </c>
      <c r="B22" s="477"/>
      <c r="C22" s="477"/>
      <c r="D22" s="942">
        <f>$L$22</f>
        <v>0.73958333333333315</v>
      </c>
      <c r="E22" s="1726" t="str">
        <f>M25</f>
        <v>, ngày…..tháng…..năm 2016</v>
      </c>
      <c r="F22" s="1726"/>
      <c r="G22" s="1726"/>
      <c r="H22" s="1726"/>
      <c r="I22" s="1726"/>
      <c r="J22" s="1726"/>
      <c r="K22" s="485" t="s">
        <v>918</v>
      </c>
      <c r="L22" s="768">
        <f>'2. NK'!F31</f>
        <v>0.73958333333333315</v>
      </c>
      <c r="M22" s="768">
        <f>(L23-L22)/3</f>
        <v>3.4722222222222099E-3</v>
      </c>
      <c r="O22" s="175"/>
      <c r="P22" s="467"/>
      <c r="Q22" s="467"/>
      <c r="T22" s="175"/>
    </row>
    <row r="23" spans="1:233" ht="20.100000000000001" customHeight="1">
      <c r="A23" s="477" t="s">
        <v>1025</v>
      </c>
      <c r="B23" s="477"/>
      <c r="C23" s="477"/>
      <c r="D23" s="942">
        <f>L22+M22</f>
        <v>0.74305555555555536</v>
      </c>
      <c r="E23" s="1726" t="str">
        <f>M25</f>
        <v>, ngày…..tháng…..năm 2016</v>
      </c>
      <c r="F23" s="1726"/>
      <c r="G23" s="1726"/>
      <c r="H23" s="1726"/>
      <c r="I23" s="1726"/>
      <c r="J23" s="1726"/>
      <c r="K23" s="485" t="s">
        <v>919</v>
      </c>
      <c r="L23" s="768">
        <f>'2. NK'!H31</f>
        <v>0.74999999999999978</v>
      </c>
      <c r="Q23" s="467"/>
      <c r="R23" s="467"/>
    </row>
    <row r="24" spans="1:233" ht="20.100000000000001" customHeight="1">
      <c r="A24" s="763" t="s">
        <v>99</v>
      </c>
      <c r="B24" s="764" t="str">
        <f>'[6]7. BBNT-TOADOCOC'!B25</f>
        <v>Công trình: Khu hỗn hợp chung cư, văn phòng, trung tâm thương mại.</v>
      </c>
      <c r="C24" s="489"/>
      <c r="D24" s="489"/>
      <c r="E24" s="489"/>
      <c r="F24" s="489"/>
      <c r="G24" s="489"/>
      <c r="H24" s="489"/>
      <c r="I24" s="489"/>
      <c r="J24" s="489"/>
      <c r="K24" s="489"/>
      <c r="Q24" s="467"/>
      <c r="R24" s="467"/>
    </row>
    <row r="25" spans="1:233" ht="20.100000000000001" customHeight="1">
      <c r="A25" s="1596" t="s">
        <v>441</v>
      </c>
      <c r="B25" s="1596"/>
      <c r="C25" s="1596"/>
      <c r="D25" s="1596"/>
      <c r="E25" s="1596"/>
      <c r="F25" s="1596"/>
      <c r="G25" s="1596"/>
      <c r="H25" s="1596"/>
      <c r="I25" s="1596"/>
      <c r="J25" s="1596"/>
      <c r="K25" s="489"/>
      <c r="M25" s="904" t="s">
        <v>1049</v>
      </c>
      <c r="Q25" s="467"/>
      <c r="R25" s="467"/>
    </row>
    <row r="26" spans="1:233" ht="20.100000000000001" customHeight="1">
      <c r="A26" s="1604" t="s">
        <v>101</v>
      </c>
      <c r="B26" s="1604"/>
      <c r="C26" s="1604"/>
      <c r="D26" s="1604"/>
      <c r="E26" s="1604"/>
      <c r="F26" s="1604"/>
      <c r="G26" s="1604"/>
      <c r="H26" s="1604"/>
      <c r="I26" s="1604"/>
      <c r="J26" s="1604"/>
      <c r="K26" s="741"/>
      <c r="Q26" s="467"/>
    </row>
    <row r="27" spans="1:233" s="175" customFormat="1" ht="20.100000000000001" customHeight="1">
      <c r="A27" s="1595" t="s">
        <v>862</v>
      </c>
      <c r="B27" s="1595"/>
      <c r="C27" s="1595"/>
      <c r="D27" s="1595"/>
      <c r="E27" s="1595"/>
      <c r="F27" s="1595"/>
      <c r="G27" s="1595"/>
      <c r="H27" s="1595"/>
      <c r="I27" s="1595"/>
      <c r="J27" s="1595"/>
      <c r="K27" s="482"/>
      <c r="O27" s="464"/>
      <c r="P27" s="464"/>
      <c r="Q27" s="467"/>
      <c r="R27" s="467"/>
      <c r="S27" s="464"/>
      <c r="T27" s="464"/>
    </row>
    <row r="28" spans="1:233" ht="20.100000000000001" customHeight="1">
      <c r="A28" s="1707" t="s">
        <v>1026</v>
      </c>
      <c r="B28" s="1609"/>
      <c r="C28" s="1609"/>
      <c r="D28" s="1609"/>
      <c r="E28" s="1609"/>
      <c r="F28" s="1609"/>
      <c r="G28" s="1609"/>
      <c r="H28" s="1609"/>
      <c r="I28" s="1609"/>
      <c r="J28" s="1609"/>
      <c r="K28" s="481"/>
      <c r="O28" s="175"/>
      <c r="P28" s="175"/>
      <c r="Q28" s="467"/>
      <c r="S28" s="175"/>
      <c r="T28" s="175"/>
    </row>
    <row r="29" spans="1:233" ht="20.100000000000001" customHeight="1">
      <c r="A29" s="486" t="s">
        <v>104</v>
      </c>
      <c r="B29" s="477"/>
      <c r="C29" s="477"/>
      <c r="D29" s="477"/>
      <c r="E29" s="477"/>
      <c r="F29" s="477"/>
      <c r="G29" s="477"/>
      <c r="H29" s="477"/>
      <c r="I29" s="477"/>
      <c r="J29" s="477"/>
      <c r="K29" s="744"/>
      <c r="Q29" s="467"/>
    </row>
    <row r="30" spans="1:233" s="637" customFormat="1" ht="20.100000000000001" customHeight="1">
      <c r="A30" s="885" t="s">
        <v>1027</v>
      </c>
      <c r="B30" s="477" t="s">
        <v>1028</v>
      </c>
      <c r="C30" s="477"/>
      <c r="D30" s="477"/>
      <c r="E30" s="477"/>
      <c r="F30" s="477"/>
      <c r="G30" s="477"/>
      <c r="H30" s="477"/>
      <c r="I30" s="477"/>
      <c r="J30" s="477"/>
      <c r="K30" s="477"/>
      <c r="L30" s="477"/>
      <c r="M30" s="477"/>
      <c r="N30" s="477"/>
      <c r="O30" s="464"/>
      <c r="P30" s="464"/>
      <c r="Q30" s="467"/>
      <c r="R30" s="464"/>
      <c r="S30" s="464"/>
      <c r="T30" s="464"/>
      <c r="U30" s="487"/>
      <c r="V30" s="487"/>
      <c r="W30" s="487"/>
      <c r="X30" s="487"/>
      <c r="Y30" s="487"/>
      <c r="Z30" s="487"/>
      <c r="AA30" s="487"/>
      <c r="AB30" s="487"/>
      <c r="AC30" s="487"/>
      <c r="AD30" s="487"/>
      <c r="AE30" s="487"/>
      <c r="AF30" s="487"/>
      <c r="AG30" s="487"/>
      <c r="AH30" s="487"/>
      <c r="AI30" s="487"/>
      <c r="AJ30" s="487"/>
      <c r="AK30" s="487"/>
      <c r="AL30" s="487"/>
      <c r="AM30" s="487"/>
      <c r="AN30" s="487"/>
      <c r="AO30" s="487"/>
      <c r="AP30" s="487"/>
      <c r="AQ30" s="487"/>
      <c r="AR30" s="487"/>
      <c r="AS30" s="487"/>
      <c r="AT30" s="487"/>
      <c r="AU30" s="487"/>
      <c r="AV30" s="487"/>
      <c r="AW30" s="487"/>
      <c r="AX30" s="487"/>
      <c r="AY30" s="487"/>
      <c r="AZ30" s="487"/>
      <c r="BA30" s="487"/>
      <c r="BB30" s="487"/>
      <c r="BC30" s="487"/>
      <c r="BD30" s="487"/>
      <c r="BE30" s="487"/>
      <c r="BF30" s="487"/>
      <c r="BG30" s="487"/>
      <c r="BH30" s="487"/>
      <c r="BI30" s="487"/>
      <c r="BJ30" s="487"/>
      <c r="BK30" s="487"/>
      <c r="BL30" s="487"/>
      <c r="BM30" s="487"/>
      <c r="BN30" s="487"/>
      <c r="BO30" s="487"/>
      <c r="BP30" s="487"/>
      <c r="BQ30" s="487"/>
      <c r="BR30" s="487"/>
      <c r="BS30" s="487"/>
      <c r="BT30" s="487"/>
      <c r="BU30" s="487"/>
      <c r="BV30" s="487"/>
      <c r="BW30" s="487"/>
      <c r="BX30" s="487"/>
      <c r="BY30" s="487"/>
      <c r="BZ30" s="487"/>
      <c r="CA30" s="487"/>
      <c r="CB30" s="487"/>
      <c r="CC30" s="487"/>
      <c r="CD30" s="487"/>
      <c r="CE30" s="487"/>
      <c r="CF30" s="487"/>
      <c r="CG30" s="487"/>
      <c r="CH30" s="487"/>
      <c r="CI30" s="487"/>
      <c r="CJ30" s="487"/>
      <c r="CK30" s="487"/>
      <c r="CL30" s="487"/>
      <c r="CM30" s="487"/>
      <c r="CN30" s="487"/>
      <c r="CO30" s="487"/>
      <c r="CP30" s="487"/>
      <c r="CQ30" s="487"/>
      <c r="CR30" s="487"/>
      <c r="CS30" s="487"/>
      <c r="CT30" s="487"/>
      <c r="CU30" s="487"/>
      <c r="CV30" s="487"/>
      <c r="CW30" s="487"/>
      <c r="CX30" s="487"/>
      <c r="CY30" s="487"/>
      <c r="CZ30" s="487"/>
      <c r="DA30" s="487"/>
      <c r="DB30" s="487"/>
      <c r="DC30" s="487"/>
      <c r="DD30" s="487"/>
      <c r="DE30" s="487"/>
      <c r="DF30" s="487"/>
      <c r="DG30" s="487"/>
      <c r="DH30" s="487"/>
      <c r="DI30" s="487"/>
      <c r="DJ30" s="487"/>
      <c r="DK30" s="487"/>
      <c r="DL30" s="487"/>
      <c r="DM30" s="487"/>
      <c r="DN30" s="487"/>
      <c r="DO30" s="487"/>
      <c r="DP30" s="487"/>
      <c r="DQ30" s="487"/>
      <c r="DR30" s="487"/>
      <c r="DS30" s="487"/>
      <c r="DT30" s="487"/>
      <c r="DU30" s="487"/>
      <c r="DV30" s="487"/>
      <c r="DW30" s="487"/>
      <c r="DX30" s="487"/>
      <c r="DY30" s="487"/>
      <c r="DZ30" s="487"/>
      <c r="EA30" s="487"/>
      <c r="EB30" s="487"/>
      <c r="EC30" s="487"/>
      <c r="ED30" s="487"/>
      <c r="EE30" s="487"/>
      <c r="EF30" s="487"/>
      <c r="EG30" s="487"/>
      <c r="EH30" s="487"/>
      <c r="EI30" s="487"/>
      <c r="EJ30" s="487"/>
      <c r="EK30" s="487"/>
      <c r="EL30" s="487"/>
      <c r="EM30" s="487"/>
      <c r="EN30" s="487"/>
      <c r="EO30" s="487"/>
      <c r="EP30" s="487"/>
      <c r="EQ30" s="487"/>
      <c r="ER30" s="487"/>
      <c r="ES30" s="487"/>
      <c r="ET30" s="487"/>
      <c r="EU30" s="487"/>
      <c r="EV30" s="487"/>
      <c r="EW30" s="487"/>
      <c r="EX30" s="487"/>
      <c r="EY30" s="487"/>
      <c r="EZ30" s="487"/>
      <c r="FA30" s="487"/>
      <c r="FB30" s="487"/>
      <c r="FC30" s="487"/>
      <c r="FD30" s="487"/>
      <c r="FE30" s="487"/>
      <c r="FF30" s="487"/>
      <c r="FG30" s="487"/>
      <c r="FH30" s="487"/>
      <c r="FI30" s="487"/>
      <c r="FJ30" s="487"/>
      <c r="FK30" s="487"/>
      <c r="FL30" s="487"/>
      <c r="FM30" s="487"/>
      <c r="FN30" s="487"/>
      <c r="FO30" s="487"/>
      <c r="FP30" s="487"/>
      <c r="FQ30" s="487"/>
      <c r="FR30" s="487"/>
      <c r="FS30" s="487"/>
      <c r="FT30" s="487"/>
      <c r="FU30" s="487"/>
      <c r="FV30" s="487"/>
      <c r="FW30" s="487"/>
      <c r="FX30" s="487"/>
      <c r="FY30" s="487"/>
      <c r="FZ30" s="487"/>
      <c r="GA30" s="487"/>
      <c r="GB30" s="487"/>
      <c r="GC30" s="487"/>
      <c r="GD30" s="487"/>
      <c r="GE30" s="487"/>
      <c r="GF30" s="487"/>
      <c r="GG30" s="487"/>
      <c r="GH30" s="487"/>
      <c r="GI30" s="487"/>
      <c r="GJ30" s="487"/>
      <c r="GK30" s="487"/>
      <c r="GL30" s="487"/>
      <c r="GM30" s="487"/>
      <c r="GN30" s="487"/>
      <c r="GO30" s="487"/>
      <c r="GP30" s="487"/>
      <c r="GQ30" s="487"/>
      <c r="GR30" s="487"/>
      <c r="GS30" s="487"/>
      <c r="GT30" s="487"/>
      <c r="GU30" s="487"/>
      <c r="GV30" s="487"/>
      <c r="GW30" s="487"/>
      <c r="GX30" s="487"/>
      <c r="GY30" s="487"/>
      <c r="GZ30" s="487"/>
      <c r="HA30" s="487"/>
      <c r="HB30" s="487"/>
      <c r="HC30" s="487"/>
      <c r="HD30" s="487"/>
      <c r="HE30" s="487"/>
      <c r="HF30" s="487"/>
      <c r="HG30" s="487"/>
      <c r="HH30" s="487"/>
      <c r="HI30" s="487"/>
      <c r="HJ30" s="487"/>
      <c r="HK30" s="487"/>
      <c r="HL30" s="487"/>
      <c r="HM30" s="487"/>
      <c r="HN30" s="487"/>
      <c r="HO30" s="487"/>
      <c r="HP30" s="487"/>
      <c r="HQ30" s="487"/>
      <c r="HR30" s="487"/>
      <c r="HS30" s="487"/>
      <c r="HT30" s="487"/>
      <c r="HU30" s="487"/>
      <c r="HV30" s="487"/>
      <c r="HW30" s="487"/>
      <c r="HX30" s="487"/>
      <c r="HY30" s="487"/>
    </row>
    <row r="31" spans="1:233" s="637" customFormat="1" ht="20.100000000000001" customHeight="1">
      <c r="A31" s="885" t="s">
        <v>1027</v>
      </c>
      <c r="B31" s="477" t="s">
        <v>1029</v>
      </c>
      <c r="C31" s="477"/>
      <c r="D31" s="477"/>
      <c r="E31" s="477"/>
      <c r="F31" s="477"/>
      <c r="G31" s="477"/>
      <c r="H31" s="477"/>
      <c r="I31" s="477"/>
      <c r="J31" s="477"/>
      <c r="K31" s="477"/>
      <c r="L31" s="477"/>
      <c r="M31" s="477"/>
      <c r="N31" s="477"/>
      <c r="O31" s="487"/>
      <c r="P31" s="487"/>
      <c r="Q31" s="467"/>
      <c r="R31" s="464"/>
      <c r="S31" s="487"/>
      <c r="T31" s="487"/>
      <c r="U31" s="487"/>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9"/>
      <c r="HY31" s="487"/>
    </row>
    <row r="32" spans="1:233" s="637" customFormat="1" ht="20.100000000000001" customHeight="1">
      <c r="A32" s="885" t="s">
        <v>1027</v>
      </c>
      <c r="B32" s="1602" t="s">
        <v>1030</v>
      </c>
      <c r="C32" s="1602"/>
      <c r="D32" s="1602"/>
      <c r="E32" s="1602"/>
      <c r="F32" s="1602"/>
      <c r="G32" s="1602"/>
      <c r="H32" s="1602"/>
      <c r="I32" s="1602"/>
      <c r="J32" s="1602"/>
      <c r="K32" s="477"/>
      <c r="L32" s="477"/>
      <c r="M32" s="477"/>
      <c r="N32" s="477"/>
      <c r="O32" s="487"/>
      <c r="P32" s="487"/>
      <c r="Q32" s="487"/>
      <c r="R32" s="487"/>
      <c r="S32" s="487"/>
      <c r="T32" s="487"/>
      <c r="U32" s="477"/>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9"/>
      <c r="HY32" s="487"/>
    </row>
    <row r="33" spans="1:233" s="637" customFormat="1" ht="19.5" customHeight="1">
      <c r="A33" s="885" t="s">
        <v>1027</v>
      </c>
      <c r="B33" s="1602" t="s">
        <v>1045</v>
      </c>
      <c r="C33" s="1602"/>
      <c r="D33" s="1602"/>
      <c r="E33" s="1602"/>
      <c r="F33" s="1602"/>
      <c r="G33" s="1602"/>
      <c r="H33" s="1602"/>
      <c r="I33" s="1602"/>
      <c r="J33" s="1602"/>
      <c r="K33" s="742"/>
      <c r="L33" s="491"/>
      <c r="M33" s="477"/>
      <c r="N33" s="477"/>
      <c r="O33" s="492"/>
      <c r="P33" s="492"/>
      <c r="Q33" s="492"/>
      <c r="R33" s="492"/>
      <c r="S33" s="492"/>
      <c r="T33" s="492"/>
      <c r="U33" s="492"/>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9"/>
      <c r="HY33" s="487"/>
    </row>
    <row r="34" spans="1:233" s="637" customFormat="1" ht="19.5" customHeight="1">
      <c r="A34" s="885" t="s">
        <v>1027</v>
      </c>
      <c r="B34" s="917" t="str">
        <f>'9.BB- CKBT'!B35</f>
        <v>TCVN 5308 - 1991: Quy trình kỹ thuật an toàn trong xây dựng.</v>
      </c>
      <c r="C34" s="742"/>
      <c r="D34" s="742"/>
      <c r="E34" s="742"/>
      <c r="F34" s="742"/>
      <c r="G34" s="742"/>
      <c r="H34" s="742"/>
      <c r="I34" s="742"/>
      <c r="J34" s="742"/>
      <c r="K34" s="742"/>
      <c r="L34" s="491"/>
      <c r="M34" s="477"/>
      <c r="N34" s="477"/>
      <c r="O34" s="492"/>
      <c r="P34" s="492"/>
      <c r="Q34" s="492"/>
      <c r="R34" s="492"/>
      <c r="S34" s="492"/>
      <c r="T34" s="492"/>
      <c r="U34" s="492"/>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9"/>
      <c r="HY34" s="487"/>
    </row>
    <row r="35" spans="1:233" s="637" customFormat="1" ht="19.5" customHeight="1">
      <c r="A35" s="886" t="s">
        <v>1031</v>
      </c>
      <c r="C35" s="491"/>
      <c r="D35" s="491"/>
      <c r="E35" s="491"/>
      <c r="F35" s="491"/>
      <c r="G35" s="491"/>
      <c r="H35" s="491"/>
      <c r="I35" s="491"/>
      <c r="J35" s="491"/>
      <c r="K35" s="742"/>
      <c r="L35" s="491"/>
      <c r="M35" s="477"/>
      <c r="N35" s="477"/>
      <c r="O35" s="492"/>
      <c r="P35" s="492"/>
      <c r="Q35" s="492"/>
      <c r="R35" s="492"/>
      <c r="S35" s="492"/>
      <c r="T35" s="492"/>
      <c r="U35" s="492"/>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9"/>
      <c r="HY35" s="487"/>
    </row>
    <row r="36" spans="1:233" s="637" customFormat="1" ht="20.100000000000001" customHeight="1">
      <c r="A36" s="890" t="s">
        <v>1037</v>
      </c>
      <c r="B36" s="491"/>
      <c r="C36" s="491"/>
      <c r="D36" s="491"/>
      <c r="E36" s="491"/>
      <c r="F36" s="491"/>
      <c r="G36" s="491"/>
      <c r="H36" s="491"/>
      <c r="I36" s="491"/>
      <c r="J36" s="491"/>
      <c r="K36" s="491"/>
      <c r="L36" s="491"/>
      <c r="M36" s="477"/>
      <c r="N36" s="477"/>
      <c r="O36" s="477"/>
      <c r="P36" s="477"/>
      <c r="Q36" s="477"/>
      <c r="R36" s="477"/>
      <c r="S36" s="477"/>
      <c r="T36" s="477"/>
      <c r="U36" s="492"/>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9"/>
      <c r="HY36" s="487"/>
    </row>
    <row r="37" spans="1:233" s="637" customFormat="1" ht="20.100000000000001" customHeight="1">
      <c r="A37" s="493" t="s">
        <v>109</v>
      </c>
      <c r="B37" s="489"/>
      <c r="C37" s="489"/>
      <c r="D37" s="489"/>
      <c r="E37" s="489"/>
      <c r="F37" s="489"/>
      <c r="G37" s="489"/>
      <c r="H37" s="489"/>
      <c r="I37" s="489"/>
      <c r="J37" s="489"/>
      <c r="K37" s="491"/>
      <c r="L37" s="491"/>
      <c r="M37" s="477"/>
      <c r="N37" s="477"/>
      <c r="O37" s="477"/>
      <c r="P37" s="477"/>
      <c r="Q37" s="477"/>
      <c r="R37" s="477"/>
      <c r="S37" s="477"/>
      <c r="T37" s="477"/>
      <c r="U37" s="492"/>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9"/>
      <c r="HY37" s="487"/>
    </row>
    <row r="38" spans="1:233" s="45" customFormat="1" ht="20.100000000000001" customHeight="1">
      <c r="A38" s="497" t="s">
        <v>1034</v>
      </c>
      <c r="B38" s="498"/>
      <c r="C38" s="498"/>
      <c r="D38" s="498"/>
      <c r="E38" s="498"/>
      <c r="F38" s="498"/>
      <c r="G38" s="498"/>
      <c r="H38" s="498"/>
      <c r="I38" s="498"/>
      <c r="J38" s="498"/>
      <c r="K38" s="489"/>
      <c r="L38" s="489"/>
      <c r="M38" s="494"/>
      <c r="N38" s="494"/>
      <c r="O38" s="492"/>
      <c r="P38" s="492"/>
      <c r="Q38" s="492"/>
      <c r="R38" s="492"/>
      <c r="S38" s="492"/>
      <c r="T38" s="492"/>
      <c r="U38" s="495"/>
      <c r="V38" s="496"/>
      <c r="W38" s="496"/>
      <c r="X38" s="496"/>
      <c r="Y38" s="496"/>
      <c r="Z38" s="496"/>
      <c r="AA38" s="496"/>
      <c r="AB38" s="496"/>
      <c r="AC38" s="496"/>
      <c r="AD38" s="496"/>
      <c r="AE38" s="496"/>
      <c r="AF38" s="496"/>
      <c r="AG38" s="496"/>
      <c r="AH38" s="496"/>
      <c r="AI38" s="496"/>
      <c r="AJ38" s="496"/>
      <c r="AK38" s="496"/>
      <c r="AL38" s="496"/>
      <c r="AM38" s="496"/>
      <c r="AN38" s="496"/>
      <c r="AO38" s="496"/>
      <c r="AP38" s="496"/>
      <c r="AQ38" s="496"/>
      <c r="AR38" s="496"/>
      <c r="AS38" s="496"/>
      <c r="AT38" s="496"/>
      <c r="AU38" s="496"/>
      <c r="AV38" s="496"/>
      <c r="AW38" s="496"/>
      <c r="AX38" s="496"/>
      <c r="AY38" s="496"/>
      <c r="AZ38" s="496"/>
      <c r="BA38" s="496"/>
      <c r="BB38" s="496"/>
      <c r="BC38" s="496"/>
      <c r="BD38" s="496"/>
      <c r="BE38" s="496"/>
      <c r="BF38" s="496"/>
      <c r="BG38" s="496"/>
      <c r="BH38" s="496"/>
      <c r="BI38" s="496"/>
      <c r="BJ38" s="496"/>
      <c r="BK38" s="496"/>
      <c r="BL38" s="496"/>
      <c r="BM38" s="496"/>
      <c r="BN38" s="496"/>
      <c r="BO38" s="496"/>
      <c r="BP38" s="496"/>
      <c r="BQ38" s="496"/>
      <c r="BR38" s="496"/>
      <c r="BS38" s="496"/>
      <c r="BT38" s="496"/>
      <c r="BU38" s="496"/>
      <c r="BV38" s="496"/>
      <c r="BW38" s="496"/>
      <c r="BX38" s="496"/>
      <c r="BY38" s="496"/>
      <c r="BZ38" s="496"/>
      <c r="CA38" s="496"/>
      <c r="CB38" s="496"/>
      <c r="CC38" s="496"/>
      <c r="CD38" s="496"/>
      <c r="CE38" s="496"/>
      <c r="CF38" s="496"/>
      <c r="CG38" s="496"/>
      <c r="CH38" s="496"/>
      <c r="CI38" s="496"/>
      <c r="CJ38" s="496"/>
      <c r="CK38" s="496"/>
      <c r="CL38" s="496"/>
      <c r="CM38" s="496"/>
      <c r="CN38" s="496"/>
      <c r="CO38" s="496"/>
      <c r="CP38" s="496"/>
      <c r="CQ38" s="496"/>
      <c r="CR38" s="496"/>
      <c r="CS38" s="496"/>
      <c r="CT38" s="496"/>
      <c r="CU38" s="496"/>
      <c r="CV38" s="496"/>
      <c r="CW38" s="496"/>
      <c r="CX38" s="496"/>
      <c r="CY38" s="496"/>
      <c r="CZ38" s="496"/>
      <c r="DA38" s="496"/>
      <c r="DB38" s="496"/>
      <c r="DC38" s="496"/>
      <c r="DD38" s="496"/>
      <c r="DE38" s="496"/>
      <c r="DF38" s="496"/>
      <c r="DG38" s="496"/>
      <c r="DH38" s="496"/>
      <c r="DI38" s="496"/>
      <c r="DJ38" s="496"/>
      <c r="DK38" s="496"/>
      <c r="DL38" s="496"/>
      <c r="DM38" s="496"/>
      <c r="DN38" s="496"/>
      <c r="DO38" s="496"/>
      <c r="DP38" s="496"/>
      <c r="DQ38" s="496"/>
      <c r="DR38" s="496"/>
      <c r="DS38" s="496"/>
      <c r="DT38" s="496"/>
      <c r="DU38" s="496"/>
      <c r="DV38" s="496"/>
      <c r="DW38" s="496"/>
      <c r="DX38" s="496"/>
      <c r="DY38" s="496"/>
      <c r="DZ38" s="496"/>
      <c r="EA38" s="496"/>
      <c r="EB38" s="496"/>
      <c r="EC38" s="496"/>
      <c r="ED38" s="496"/>
      <c r="EE38" s="496"/>
      <c r="EF38" s="496"/>
      <c r="EG38" s="496"/>
      <c r="EH38" s="496"/>
      <c r="EI38" s="496"/>
      <c r="EJ38" s="496"/>
      <c r="EK38" s="496"/>
      <c r="EL38" s="496"/>
      <c r="EM38" s="496"/>
      <c r="EN38" s="496"/>
      <c r="EO38" s="496"/>
      <c r="EP38" s="496"/>
      <c r="EQ38" s="496"/>
      <c r="ER38" s="496"/>
      <c r="ES38" s="496"/>
      <c r="ET38" s="496"/>
      <c r="EU38" s="496"/>
      <c r="EV38" s="496"/>
      <c r="EW38" s="496"/>
      <c r="EX38" s="496"/>
      <c r="EY38" s="496"/>
      <c r="EZ38" s="496"/>
      <c r="FA38" s="496"/>
      <c r="FB38" s="496"/>
      <c r="FC38" s="496"/>
      <c r="FD38" s="496"/>
      <c r="FE38" s="496"/>
      <c r="FF38" s="496"/>
      <c r="FG38" s="496"/>
      <c r="FH38" s="496"/>
      <c r="FI38" s="496"/>
      <c r="FJ38" s="496"/>
      <c r="FK38" s="496"/>
      <c r="FL38" s="496"/>
      <c r="FM38" s="496"/>
      <c r="FN38" s="496"/>
      <c r="FO38" s="496"/>
      <c r="FP38" s="496"/>
      <c r="FQ38" s="496"/>
      <c r="FR38" s="496"/>
      <c r="FS38" s="496"/>
      <c r="FT38" s="496"/>
      <c r="FU38" s="496"/>
      <c r="FV38" s="496"/>
      <c r="FW38" s="496"/>
      <c r="FX38" s="496"/>
      <c r="FY38" s="496"/>
      <c r="FZ38" s="496"/>
      <c r="GA38" s="496"/>
      <c r="GB38" s="496"/>
      <c r="GC38" s="496"/>
      <c r="GD38" s="496"/>
      <c r="GE38" s="496"/>
      <c r="GF38" s="496"/>
      <c r="GG38" s="496"/>
      <c r="GH38" s="496"/>
      <c r="GI38" s="496"/>
      <c r="GJ38" s="496"/>
      <c r="GK38" s="496"/>
      <c r="GL38" s="496"/>
      <c r="GM38" s="496"/>
      <c r="GN38" s="496"/>
      <c r="GO38" s="496"/>
      <c r="GP38" s="496"/>
      <c r="GQ38" s="496"/>
      <c r="GR38" s="496"/>
      <c r="GS38" s="496"/>
      <c r="GT38" s="496"/>
      <c r="GU38" s="496"/>
      <c r="GV38" s="496"/>
      <c r="GW38" s="496"/>
      <c r="GX38" s="496"/>
      <c r="GY38" s="496"/>
      <c r="GZ38" s="496"/>
      <c r="HA38" s="496"/>
      <c r="HB38" s="496"/>
      <c r="HC38" s="496"/>
      <c r="HD38" s="496"/>
      <c r="HE38" s="496"/>
      <c r="HF38" s="496"/>
      <c r="HG38" s="496"/>
      <c r="HH38" s="496"/>
      <c r="HI38" s="496"/>
      <c r="HJ38" s="496"/>
      <c r="HK38" s="496"/>
      <c r="HL38" s="496"/>
      <c r="HM38" s="496"/>
      <c r="HN38" s="496"/>
      <c r="HO38" s="496"/>
      <c r="HP38" s="496"/>
      <c r="HQ38" s="496"/>
      <c r="HR38" s="496"/>
      <c r="HS38" s="496"/>
      <c r="HT38" s="496"/>
      <c r="HU38" s="496"/>
      <c r="HV38" s="496"/>
      <c r="HW38" s="496"/>
      <c r="HX38" s="490"/>
      <c r="HY38" s="490"/>
    </row>
    <row r="39" spans="1:233" s="5" customFormat="1" ht="20.100000000000001" customHeight="1">
      <c r="A39" s="497" t="s">
        <v>863</v>
      </c>
      <c r="B39" s="498"/>
      <c r="C39" s="498"/>
      <c r="D39" s="498"/>
      <c r="E39" s="498"/>
      <c r="F39" s="498"/>
      <c r="G39" s="498"/>
      <c r="H39" s="498"/>
      <c r="I39" s="498"/>
      <c r="J39" s="498"/>
      <c r="K39" s="498"/>
      <c r="L39" s="498"/>
      <c r="M39" s="494"/>
      <c r="N39" s="494"/>
      <c r="O39" s="495"/>
      <c r="P39" s="495"/>
      <c r="Q39" s="495"/>
      <c r="R39" s="495"/>
      <c r="S39" s="495"/>
      <c r="T39" s="495"/>
      <c r="U39" s="495"/>
      <c r="V39" s="489"/>
      <c r="W39" s="489"/>
      <c r="X39" s="489"/>
      <c r="Y39" s="489"/>
      <c r="Z39" s="489"/>
      <c r="AA39" s="489"/>
      <c r="AB39" s="489"/>
      <c r="AC39" s="489"/>
      <c r="AD39" s="489"/>
      <c r="AE39" s="489"/>
      <c r="AF39" s="489"/>
      <c r="AG39" s="489"/>
      <c r="AH39" s="489"/>
      <c r="AI39" s="489"/>
      <c r="AJ39" s="489"/>
      <c r="AK39" s="489"/>
      <c r="AL39" s="489"/>
      <c r="AM39" s="489"/>
      <c r="AN39" s="489"/>
      <c r="AO39" s="489"/>
      <c r="AP39" s="489"/>
      <c r="AQ39" s="489"/>
      <c r="AR39" s="489"/>
      <c r="AS39" s="489"/>
      <c r="AT39" s="489"/>
      <c r="AU39" s="489"/>
      <c r="AV39" s="489"/>
      <c r="AW39" s="489"/>
      <c r="AX39" s="489"/>
      <c r="AY39" s="489"/>
      <c r="AZ39" s="489"/>
      <c r="BA39" s="489"/>
      <c r="BB39" s="489"/>
      <c r="BC39" s="489"/>
      <c r="BD39" s="489"/>
      <c r="BE39" s="489"/>
      <c r="BF39" s="489"/>
      <c r="BG39" s="489"/>
      <c r="BH39" s="489"/>
      <c r="BI39" s="489"/>
      <c r="BJ39" s="489"/>
      <c r="BK39" s="489"/>
      <c r="BL39" s="489"/>
      <c r="BM39" s="489"/>
      <c r="BN39" s="489"/>
      <c r="BO39" s="489"/>
      <c r="BP39" s="489"/>
      <c r="BQ39" s="489"/>
      <c r="BR39" s="489"/>
      <c r="BS39" s="489"/>
      <c r="BT39" s="489"/>
      <c r="BU39" s="489"/>
      <c r="BV39" s="489"/>
      <c r="BW39" s="489"/>
      <c r="BX39" s="489"/>
      <c r="BY39" s="489"/>
      <c r="BZ39" s="489"/>
      <c r="CA39" s="489"/>
      <c r="CB39" s="489"/>
      <c r="CC39" s="489"/>
      <c r="CD39" s="489"/>
      <c r="CE39" s="489"/>
      <c r="CF39" s="489"/>
      <c r="CG39" s="489"/>
      <c r="CH39" s="489"/>
      <c r="CI39" s="489"/>
      <c r="CJ39" s="489"/>
      <c r="CK39" s="489"/>
      <c r="CL39" s="489"/>
      <c r="CM39" s="489"/>
      <c r="CN39" s="489"/>
      <c r="CO39" s="489"/>
      <c r="CP39" s="489"/>
      <c r="CQ39" s="489"/>
      <c r="CR39" s="489"/>
      <c r="CS39" s="489"/>
      <c r="CT39" s="489"/>
      <c r="CU39" s="489"/>
      <c r="CV39" s="489"/>
      <c r="CW39" s="489"/>
      <c r="CX39" s="489"/>
      <c r="CY39" s="489"/>
      <c r="CZ39" s="489"/>
      <c r="DA39" s="489"/>
      <c r="DB39" s="489"/>
      <c r="DC39" s="489"/>
      <c r="DD39" s="489"/>
      <c r="DE39" s="489"/>
      <c r="DF39" s="489"/>
      <c r="DG39" s="489"/>
      <c r="DH39" s="489"/>
      <c r="DI39" s="489"/>
      <c r="DJ39" s="489"/>
      <c r="DK39" s="489"/>
      <c r="DL39" s="489"/>
      <c r="DM39" s="489"/>
      <c r="DN39" s="489"/>
      <c r="DO39" s="489"/>
      <c r="DP39" s="489"/>
      <c r="DQ39" s="489"/>
      <c r="DR39" s="489"/>
      <c r="DS39" s="489"/>
      <c r="DT39" s="489"/>
      <c r="DU39" s="489"/>
      <c r="DV39" s="489"/>
      <c r="DW39" s="489"/>
      <c r="DX39" s="489"/>
      <c r="DY39" s="489"/>
      <c r="DZ39" s="489"/>
      <c r="EA39" s="489"/>
      <c r="EB39" s="489"/>
      <c r="EC39" s="489"/>
      <c r="ED39" s="489"/>
      <c r="EE39" s="489"/>
      <c r="EF39" s="489"/>
      <c r="EG39" s="489"/>
      <c r="EH39" s="489"/>
      <c r="EI39" s="489"/>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89"/>
      <c r="FK39" s="489"/>
      <c r="FL39" s="489"/>
      <c r="FM39" s="489"/>
      <c r="FN39" s="489"/>
      <c r="FO39" s="489"/>
      <c r="FP39" s="489"/>
      <c r="FQ39" s="489"/>
      <c r="FR39" s="489"/>
      <c r="FS39" s="489"/>
      <c r="FT39" s="489"/>
      <c r="FU39" s="489"/>
      <c r="FV39" s="489"/>
      <c r="FW39" s="489"/>
      <c r="FX39" s="489"/>
      <c r="FY39" s="489"/>
      <c r="FZ39" s="489"/>
      <c r="GA39" s="489"/>
      <c r="GB39" s="489"/>
      <c r="GC39" s="489"/>
      <c r="GD39" s="489"/>
      <c r="GE39" s="489"/>
      <c r="GF39" s="489"/>
      <c r="GG39" s="489"/>
      <c r="GH39" s="489"/>
      <c r="GI39" s="489"/>
      <c r="GJ39" s="489"/>
      <c r="GK39" s="489"/>
      <c r="GL39" s="489"/>
      <c r="GM39" s="489"/>
      <c r="GN39" s="489"/>
      <c r="GO39" s="489"/>
      <c r="GP39" s="489"/>
      <c r="GQ39" s="489"/>
      <c r="GR39" s="489"/>
      <c r="GS39" s="489"/>
      <c r="GT39" s="489"/>
      <c r="GU39" s="489"/>
      <c r="GV39" s="489"/>
      <c r="GW39" s="489"/>
      <c r="GX39" s="489"/>
      <c r="GY39" s="489"/>
      <c r="GZ39" s="489"/>
      <c r="HA39" s="489"/>
      <c r="HB39" s="489"/>
      <c r="HC39" s="489"/>
      <c r="HD39" s="489"/>
      <c r="HE39" s="489"/>
      <c r="HF39" s="489"/>
      <c r="HG39" s="489"/>
      <c r="HH39" s="489"/>
      <c r="HI39" s="489"/>
      <c r="HJ39" s="489"/>
      <c r="HK39" s="489"/>
      <c r="HL39" s="489"/>
      <c r="HM39" s="489"/>
      <c r="HN39" s="489"/>
      <c r="HO39" s="489"/>
      <c r="HP39" s="489"/>
      <c r="HQ39" s="489"/>
      <c r="HR39" s="489"/>
      <c r="HS39" s="489"/>
      <c r="HT39" s="489"/>
      <c r="HU39" s="489"/>
      <c r="HV39" s="489"/>
      <c r="HW39" s="489"/>
      <c r="HX39" s="489"/>
      <c r="HY39" s="358"/>
    </row>
    <row r="40" spans="1:233" s="5" customFormat="1" ht="33" customHeight="1">
      <c r="A40" s="1607" t="s">
        <v>112</v>
      </c>
      <c r="B40" s="1607"/>
      <c r="C40" s="1607"/>
      <c r="D40" s="1607"/>
      <c r="E40" s="1607"/>
      <c r="F40" s="1607"/>
      <c r="G40" s="1607"/>
      <c r="H40" s="1607"/>
      <c r="I40" s="1607"/>
      <c r="J40" s="1607"/>
      <c r="K40" s="498"/>
      <c r="L40" s="498"/>
      <c r="M40" s="494"/>
      <c r="N40" s="494"/>
      <c r="O40" s="495"/>
      <c r="P40" s="495"/>
      <c r="Q40" s="495"/>
      <c r="R40" s="495"/>
      <c r="S40" s="495"/>
      <c r="T40" s="495"/>
      <c r="U40" s="495"/>
      <c r="V40" s="499"/>
      <c r="W40" s="499"/>
      <c r="X40" s="499"/>
      <c r="Y40" s="499"/>
      <c r="Z40" s="499"/>
      <c r="AA40" s="499"/>
      <c r="AB40" s="499"/>
      <c r="AC40" s="499"/>
      <c r="AD40" s="499"/>
      <c r="AE40" s="499"/>
      <c r="AF40" s="499"/>
      <c r="AG40" s="499"/>
      <c r="AH40" s="499"/>
      <c r="AI40" s="499"/>
      <c r="AJ40" s="499"/>
      <c r="AK40" s="499"/>
      <c r="AL40" s="499"/>
      <c r="AM40" s="499"/>
      <c r="AN40" s="499"/>
      <c r="AO40" s="499"/>
      <c r="AP40" s="499"/>
      <c r="AQ40" s="499"/>
      <c r="AR40" s="499"/>
      <c r="AS40" s="499"/>
      <c r="AT40" s="499"/>
      <c r="AU40" s="499"/>
      <c r="AV40" s="499"/>
      <c r="AW40" s="499"/>
      <c r="AX40" s="499"/>
      <c r="AY40" s="499"/>
      <c r="AZ40" s="499"/>
      <c r="BA40" s="499"/>
      <c r="BB40" s="499"/>
      <c r="BC40" s="499"/>
      <c r="BD40" s="499"/>
      <c r="BE40" s="499"/>
      <c r="BF40" s="499"/>
      <c r="BG40" s="499"/>
      <c r="BH40" s="499"/>
      <c r="BI40" s="499"/>
      <c r="BJ40" s="499"/>
      <c r="BK40" s="499"/>
      <c r="BL40" s="499"/>
      <c r="BM40" s="499"/>
      <c r="BN40" s="499"/>
      <c r="BO40" s="499"/>
      <c r="BP40" s="499"/>
      <c r="BQ40" s="499"/>
      <c r="BR40" s="499"/>
      <c r="BS40" s="499"/>
      <c r="BT40" s="499"/>
      <c r="BU40" s="499"/>
      <c r="BV40" s="499"/>
      <c r="BW40" s="499"/>
      <c r="BX40" s="499"/>
      <c r="BY40" s="499"/>
      <c r="BZ40" s="499"/>
      <c r="CA40" s="499"/>
      <c r="CB40" s="499"/>
      <c r="CC40" s="499"/>
      <c r="CD40" s="499"/>
      <c r="CE40" s="499"/>
      <c r="CF40" s="499"/>
      <c r="CG40" s="499"/>
      <c r="CH40" s="499"/>
      <c r="CI40" s="499"/>
      <c r="CJ40" s="499"/>
      <c r="CK40" s="499"/>
      <c r="CL40" s="499"/>
      <c r="CM40" s="499"/>
      <c r="CN40" s="499"/>
      <c r="CO40" s="499"/>
      <c r="CP40" s="499"/>
      <c r="CQ40" s="499"/>
      <c r="CR40" s="499"/>
      <c r="CS40" s="499"/>
      <c r="CT40" s="499"/>
      <c r="CU40" s="499"/>
      <c r="CV40" s="499"/>
      <c r="CW40" s="499"/>
      <c r="CX40" s="499"/>
      <c r="CY40" s="499"/>
      <c r="CZ40" s="499"/>
      <c r="DA40" s="499"/>
      <c r="DB40" s="499"/>
      <c r="DC40" s="499"/>
      <c r="DD40" s="499"/>
      <c r="DE40" s="499"/>
      <c r="DF40" s="499"/>
      <c r="DG40" s="499"/>
      <c r="DH40" s="499"/>
      <c r="DI40" s="499"/>
      <c r="DJ40" s="499"/>
      <c r="DK40" s="499"/>
      <c r="DL40" s="499"/>
      <c r="DM40" s="499"/>
      <c r="DN40" s="499"/>
      <c r="DO40" s="499"/>
      <c r="DP40" s="499"/>
      <c r="DQ40" s="499"/>
      <c r="DR40" s="499"/>
      <c r="DS40" s="499"/>
      <c r="DT40" s="499"/>
      <c r="DU40" s="499"/>
      <c r="DV40" s="499"/>
      <c r="DW40" s="499"/>
      <c r="DX40" s="499"/>
      <c r="DY40" s="499"/>
      <c r="DZ40" s="499"/>
      <c r="EA40" s="499"/>
      <c r="EB40" s="499"/>
      <c r="EC40" s="499"/>
      <c r="ED40" s="499"/>
      <c r="EE40" s="499"/>
      <c r="EF40" s="499"/>
      <c r="EG40" s="499"/>
      <c r="EH40" s="499"/>
      <c r="EI40" s="499"/>
      <c r="EJ40" s="499"/>
      <c r="EK40" s="499"/>
      <c r="EL40" s="499"/>
      <c r="EM40" s="499"/>
      <c r="EN40" s="499"/>
      <c r="EO40" s="499"/>
      <c r="EP40" s="499"/>
      <c r="EQ40" s="499"/>
      <c r="ER40" s="499"/>
      <c r="ES40" s="499"/>
      <c r="ET40" s="499"/>
      <c r="EU40" s="499"/>
      <c r="EV40" s="499"/>
      <c r="EW40" s="499"/>
      <c r="EX40" s="499"/>
      <c r="EY40" s="499"/>
      <c r="EZ40" s="499"/>
      <c r="FA40" s="499"/>
      <c r="FB40" s="499"/>
      <c r="FC40" s="499"/>
      <c r="FD40" s="499"/>
      <c r="FE40" s="499"/>
      <c r="FF40" s="499"/>
      <c r="FG40" s="499"/>
      <c r="FH40" s="499"/>
      <c r="FI40" s="499"/>
      <c r="FJ40" s="499"/>
      <c r="FK40" s="499"/>
      <c r="FL40" s="499"/>
      <c r="FM40" s="499"/>
      <c r="FN40" s="499"/>
      <c r="FO40" s="499"/>
      <c r="FP40" s="499"/>
      <c r="FQ40" s="499"/>
      <c r="FR40" s="499"/>
      <c r="FS40" s="499"/>
      <c r="FT40" s="499"/>
      <c r="FU40" s="499"/>
      <c r="FV40" s="499"/>
      <c r="FW40" s="499"/>
      <c r="FX40" s="499"/>
      <c r="FY40" s="499"/>
      <c r="FZ40" s="499"/>
      <c r="GA40" s="499"/>
      <c r="GB40" s="499"/>
      <c r="GC40" s="499"/>
      <c r="GD40" s="499"/>
      <c r="GE40" s="499"/>
      <c r="GF40" s="499"/>
      <c r="GG40" s="499"/>
      <c r="GH40" s="499"/>
      <c r="GI40" s="499"/>
      <c r="GJ40" s="499"/>
      <c r="GK40" s="499"/>
      <c r="GL40" s="499"/>
      <c r="GM40" s="499"/>
      <c r="GN40" s="499"/>
      <c r="GO40" s="499"/>
      <c r="GP40" s="499"/>
      <c r="GQ40" s="499"/>
      <c r="GR40" s="499"/>
      <c r="GS40" s="499"/>
      <c r="GT40" s="499"/>
      <c r="GU40" s="499"/>
      <c r="GV40" s="499"/>
      <c r="GW40" s="499"/>
      <c r="GX40" s="499"/>
      <c r="GY40" s="499"/>
      <c r="GZ40" s="499"/>
      <c r="HA40" s="499"/>
      <c r="HB40" s="499"/>
      <c r="HC40" s="499"/>
      <c r="HD40" s="499"/>
      <c r="HE40" s="499"/>
      <c r="HF40" s="499"/>
      <c r="HG40" s="499"/>
      <c r="HH40" s="499"/>
      <c r="HI40" s="499"/>
      <c r="HJ40" s="499"/>
      <c r="HK40" s="499"/>
      <c r="HL40" s="499"/>
      <c r="HM40" s="499"/>
      <c r="HN40" s="499"/>
      <c r="HO40" s="499"/>
      <c r="HP40" s="499"/>
      <c r="HQ40" s="499"/>
      <c r="HR40" s="499"/>
      <c r="HS40" s="499"/>
      <c r="HT40" s="499"/>
      <c r="HU40" s="499"/>
      <c r="HV40" s="499"/>
      <c r="HW40" s="499"/>
      <c r="HX40" s="499"/>
      <c r="HY40" s="358"/>
    </row>
    <row r="41" spans="1:233" ht="33" customHeight="1">
      <c r="A41" s="1604" t="s">
        <v>864</v>
      </c>
      <c r="B41" s="1604"/>
      <c r="C41" s="1604"/>
      <c r="D41" s="1604"/>
      <c r="E41" s="1604"/>
      <c r="F41" s="1604"/>
      <c r="G41" s="1604"/>
      <c r="H41" s="1604"/>
      <c r="I41" s="1604"/>
      <c r="J41" s="1604"/>
      <c r="K41" s="743"/>
      <c r="O41" s="495"/>
      <c r="P41" s="495"/>
      <c r="Q41" s="495"/>
      <c r="R41" s="495"/>
      <c r="S41" s="495"/>
      <c r="T41" s="495"/>
    </row>
    <row r="42" spans="1:233" ht="20.100000000000001" customHeight="1">
      <c r="A42" s="500" t="s">
        <v>1032</v>
      </c>
      <c r="B42" s="5"/>
      <c r="C42" s="501"/>
      <c r="D42" s="501"/>
      <c r="E42" s="501"/>
      <c r="F42" s="501"/>
      <c r="G42" s="501"/>
      <c r="H42" s="501"/>
      <c r="I42" s="501"/>
      <c r="J42" s="502"/>
      <c r="K42" s="482"/>
    </row>
    <row r="43" spans="1:233" s="5" customFormat="1" ht="20.100000000000001" customHeight="1">
      <c r="A43" s="1605" t="s">
        <v>191</v>
      </c>
      <c r="B43" s="1606" t="s">
        <v>115</v>
      </c>
      <c r="C43" s="1606"/>
      <c r="D43" s="1606"/>
      <c r="E43" s="1606"/>
      <c r="F43" s="1606" t="s">
        <v>116</v>
      </c>
      <c r="G43" s="1606"/>
      <c r="H43" s="1606"/>
      <c r="I43" s="1606" t="s">
        <v>117</v>
      </c>
      <c r="J43" s="1606"/>
      <c r="K43" s="502"/>
      <c r="L43" s="502"/>
      <c r="M43" s="494"/>
      <c r="N43" s="494"/>
      <c r="O43" s="464"/>
      <c r="P43" s="464"/>
      <c r="Q43" s="464"/>
      <c r="R43" s="464"/>
      <c r="S43" s="464"/>
      <c r="T43" s="464"/>
      <c r="U43" s="495"/>
      <c r="V43" s="499"/>
      <c r="W43" s="499"/>
      <c r="X43" s="499"/>
      <c r="Y43" s="499"/>
      <c r="Z43" s="499"/>
      <c r="AA43" s="499"/>
      <c r="AB43" s="499"/>
      <c r="AC43" s="499"/>
      <c r="AD43" s="499"/>
      <c r="AE43" s="499"/>
      <c r="AF43" s="499"/>
      <c r="AG43" s="499"/>
      <c r="AH43" s="499"/>
      <c r="AI43" s="499"/>
      <c r="AJ43" s="499"/>
      <c r="AK43" s="499"/>
      <c r="AL43" s="499"/>
      <c r="AM43" s="499"/>
      <c r="AN43" s="499"/>
      <c r="AO43" s="499"/>
      <c r="AP43" s="499"/>
      <c r="AQ43" s="499"/>
      <c r="AR43" s="499"/>
      <c r="AS43" s="499"/>
      <c r="AT43" s="499"/>
      <c r="AU43" s="499"/>
      <c r="AV43" s="499"/>
      <c r="AW43" s="499"/>
      <c r="AX43" s="499"/>
      <c r="AY43" s="499"/>
      <c r="AZ43" s="499"/>
      <c r="BA43" s="499"/>
      <c r="BB43" s="499"/>
      <c r="BC43" s="499"/>
      <c r="BD43" s="499"/>
      <c r="BE43" s="499"/>
      <c r="BF43" s="499"/>
      <c r="BG43" s="499"/>
      <c r="BH43" s="499"/>
      <c r="BI43" s="499"/>
      <c r="BJ43" s="499"/>
      <c r="BK43" s="499"/>
      <c r="BL43" s="499"/>
      <c r="BM43" s="499"/>
      <c r="BN43" s="499"/>
      <c r="BO43" s="499"/>
      <c r="BP43" s="499"/>
      <c r="BQ43" s="499"/>
      <c r="BR43" s="499"/>
      <c r="BS43" s="499"/>
      <c r="BT43" s="499"/>
      <c r="BU43" s="499"/>
      <c r="BV43" s="499"/>
      <c r="BW43" s="499"/>
      <c r="BX43" s="499"/>
      <c r="BY43" s="499"/>
      <c r="BZ43" s="499"/>
      <c r="CA43" s="499"/>
      <c r="CB43" s="499"/>
      <c r="CC43" s="499"/>
      <c r="CD43" s="499"/>
      <c r="CE43" s="499"/>
      <c r="CF43" s="499"/>
      <c r="CG43" s="499"/>
      <c r="CH43" s="499"/>
      <c r="CI43" s="499"/>
      <c r="CJ43" s="499"/>
      <c r="CK43" s="499"/>
      <c r="CL43" s="499"/>
      <c r="CM43" s="499"/>
      <c r="CN43" s="499"/>
      <c r="CO43" s="499"/>
      <c r="CP43" s="499"/>
      <c r="CQ43" s="499"/>
      <c r="CR43" s="499"/>
      <c r="CS43" s="499"/>
      <c r="CT43" s="499"/>
      <c r="CU43" s="499"/>
      <c r="CV43" s="499"/>
      <c r="CW43" s="499"/>
      <c r="CX43" s="499"/>
      <c r="CY43" s="499"/>
      <c r="CZ43" s="499"/>
      <c r="DA43" s="499"/>
      <c r="DB43" s="499"/>
      <c r="DC43" s="499"/>
      <c r="DD43" s="499"/>
      <c r="DE43" s="499"/>
      <c r="DF43" s="499"/>
      <c r="DG43" s="499"/>
      <c r="DH43" s="499"/>
      <c r="DI43" s="499"/>
      <c r="DJ43" s="499"/>
      <c r="DK43" s="499"/>
      <c r="DL43" s="499"/>
      <c r="DM43" s="499"/>
      <c r="DN43" s="499"/>
      <c r="DO43" s="499"/>
      <c r="DP43" s="499"/>
      <c r="DQ43" s="499"/>
      <c r="DR43" s="499"/>
      <c r="DS43" s="499"/>
      <c r="DT43" s="499"/>
      <c r="DU43" s="499"/>
      <c r="DV43" s="499"/>
      <c r="DW43" s="499"/>
      <c r="DX43" s="499"/>
      <c r="DY43" s="499"/>
      <c r="DZ43" s="499"/>
      <c r="EA43" s="499"/>
      <c r="EB43" s="499"/>
      <c r="EC43" s="499"/>
      <c r="ED43" s="499"/>
      <c r="EE43" s="499"/>
      <c r="EF43" s="499"/>
      <c r="EG43" s="499"/>
      <c r="EH43" s="499"/>
      <c r="EI43" s="499"/>
      <c r="EJ43" s="499"/>
      <c r="EK43" s="499"/>
      <c r="EL43" s="499"/>
      <c r="EM43" s="499"/>
      <c r="EN43" s="499"/>
      <c r="EO43" s="499"/>
      <c r="EP43" s="499"/>
      <c r="EQ43" s="499"/>
      <c r="ER43" s="499"/>
      <c r="ES43" s="499"/>
      <c r="ET43" s="499"/>
      <c r="EU43" s="499"/>
      <c r="EV43" s="499"/>
      <c r="EW43" s="499"/>
      <c r="EX43" s="499"/>
      <c r="EY43" s="499"/>
      <c r="EZ43" s="499"/>
      <c r="FA43" s="499"/>
      <c r="FB43" s="499"/>
      <c r="FC43" s="499"/>
      <c r="FD43" s="499"/>
      <c r="FE43" s="499"/>
      <c r="FF43" s="499"/>
      <c r="FG43" s="499"/>
      <c r="FH43" s="499"/>
      <c r="FI43" s="499"/>
      <c r="FJ43" s="499"/>
      <c r="FK43" s="499"/>
      <c r="FL43" s="499"/>
      <c r="FM43" s="499"/>
      <c r="FN43" s="499"/>
      <c r="FO43" s="499"/>
      <c r="FP43" s="499"/>
      <c r="FQ43" s="499"/>
      <c r="FR43" s="499"/>
      <c r="FS43" s="499"/>
      <c r="FT43" s="499"/>
      <c r="FU43" s="499"/>
      <c r="FV43" s="499"/>
      <c r="FW43" s="499"/>
      <c r="FX43" s="499"/>
      <c r="FY43" s="499"/>
      <c r="FZ43" s="499"/>
      <c r="GA43" s="499"/>
      <c r="GB43" s="499"/>
      <c r="GC43" s="499"/>
      <c r="GD43" s="499"/>
      <c r="GE43" s="499"/>
      <c r="GF43" s="499"/>
      <c r="GG43" s="499"/>
      <c r="GH43" s="499"/>
      <c r="GI43" s="499"/>
      <c r="GJ43" s="499"/>
      <c r="GK43" s="499"/>
      <c r="GL43" s="499"/>
      <c r="GM43" s="499"/>
      <c r="GN43" s="499"/>
      <c r="GO43" s="499"/>
      <c r="GP43" s="499"/>
      <c r="GQ43" s="499"/>
      <c r="GR43" s="499"/>
      <c r="GS43" s="499"/>
      <c r="GT43" s="499"/>
      <c r="GU43" s="499"/>
      <c r="GV43" s="499"/>
      <c r="GW43" s="499"/>
      <c r="GX43" s="499"/>
      <c r="GY43" s="499"/>
      <c r="GZ43" s="499"/>
      <c r="HA43" s="499"/>
      <c r="HB43" s="499"/>
      <c r="HC43" s="499"/>
      <c r="HD43" s="499"/>
      <c r="HE43" s="499"/>
      <c r="HF43" s="499"/>
      <c r="HG43" s="499"/>
      <c r="HH43" s="499"/>
      <c r="HI43" s="499"/>
      <c r="HJ43" s="499"/>
      <c r="HK43" s="499"/>
      <c r="HL43" s="499"/>
      <c r="HM43" s="499"/>
      <c r="HN43" s="499"/>
      <c r="HO43" s="499"/>
      <c r="HP43" s="499"/>
      <c r="HQ43" s="499"/>
      <c r="HR43" s="499"/>
      <c r="HS43" s="499"/>
      <c r="HT43" s="499"/>
      <c r="HU43" s="499"/>
      <c r="HV43" s="499"/>
      <c r="HW43" s="499"/>
      <c r="HX43" s="499"/>
      <c r="HY43" s="358"/>
    </row>
    <row r="44" spans="1:233" s="5" customFormat="1" ht="20.100000000000001" customHeight="1">
      <c r="A44" s="1605"/>
      <c r="B44" s="1606"/>
      <c r="C44" s="1606"/>
      <c r="D44" s="1606"/>
      <c r="E44" s="1606"/>
      <c r="F44" s="1606"/>
      <c r="G44" s="1606"/>
      <c r="H44" s="1606"/>
      <c r="I44" s="503" t="s">
        <v>118</v>
      </c>
      <c r="J44" s="503" t="s">
        <v>119</v>
      </c>
      <c r="K44" s="521"/>
      <c r="O44" s="495"/>
      <c r="P44" s="495"/>
      <c r="Q44" s="495"/>
      <c r="R44" s="495"/>
      <c r="S44" s="495"/>
      <c r="T44" s="495"/>
      <c r="U44" s="504"/>
      <c r="V44" s="358"/>
      <c r="W44" s="358"/>
      <c r="X44" s="358"/>
      <c r="Y44" s="358"/>
      <c r="Z44" s="358"/>
      <c r="AA44" s="358"/>
      <c r="AB44" s="358"/>
      <c r="AC44" s="358"/>
      <c r="AD44" s="358"/>
      <c r="AE44" s="358"/>
      <c r="AF44" s="358"/>
      <c r="AG44" s="358"/>
      <c r="AH44" s="358"/>
      <c r="AI44" s="358"/>
      <c r="AJ44" s="358"/>
      <c r="AK44" s="358"/>
      <c r="AL44" s="358"/>
      <c r="AM44" s="358"/>
      <c r="AN44" s="358"/>
      <c r="AO44" s="358"/>
      <c r="AP44" s="358"/>
      <c r="AQ44" s="358"/>
      <c r="AR44" s="358"/>
      <c r="AS44" s="358"/>
      <c r="AT44" s="358"/>
      <c r="AU44" s="358"/>
      <c r="AV44" s="358"/>
      <c r="AW44" s="358"/>
      <c r="AX44" s="358"/>
      <c r="AY44" s="358"/>
      <c r="AZ44" s="358"/>
      <c r="BA44" s="358"/>
      <c r="BB44" s="358"/>
      <c r="BC44" s="358"/>
      <c r="BD44" s="358"/>
      <c r="BE44" s="358"/>
      <c r="BF44" s="358"/>
      <c r="BG44" s="358"/>
      <c r="BH44" s="358"/>
      <c r="BI44" s="358"/>
      <c r="BJ44" s="358"/>
      <c r="BK44" s="358"/>
      <c r="BL44" s="358"/>
      <c r="BM44" s="358"/>
      <c r="BN44" s="358"/>
      <c r="BO44" s="358"/>
      <c r="BP44" s="358"/>
      <c r="BQ44" s="358"/>
      <c r="BR44" s="358"/>
      <c r="BS44" s="358"/>
      <c r="BT44" s="358"/>
      <c r="BU44" s="358"/>
      <c r="BV44" s="358"/>
      <c r="BW44" s="358"/>
      <c r="BX44" s="358"/>
      <c r="BY44" s="358"/>
      <c r="BZ44" s="358"/>
      <c r="CA44" s="358"/>
      <c r="CB44" s="358"/>
      <c r="CC44" s="358"/>
      <c r="CD44" s="358"/>
      <c r="CE44" s="358"/>
      <c r="CF44" s="358"/>
      <c r="CG44" s="358"/>
      <c r="CH44" s="358"/>
      <c r="CI44" s="358"/>
      <c r="CJ44" s="358"/>
      <c r="CK44" s="358"/>
      <c r="CL44" s="358"/>
      <c r="CM44" s="358"/>
      <c r="CN44" s="358"/>
      <c r="CO44" s="358"/>
      <c r="CP44" s="358"/>
      <c r="CQ44" s="358"/>
      <c r="CR44" s="358"/>
      <c r="CS44" s="358"/>
      <c r="CT44" s="358"/>
      <c r="CU44" s="358"/>
      <c r="CV44" s="358"/>
      <c r="CW44" s="358"/>
      <c r="CX44" s="358"/>
      <c r="CY44" s="358"/>
      <c r="CZ44" s="358"/>
      <c r="DA44" s="358"/>
      <c r="DB44" s="358"/>
      <c r="DC44" s="358"/>
      <c r="DD44" s="358"/>
      <c r="DE44" s="358"/>
      <c r="DF44" s="358"/>
      <c r="DG44" s="358"/>
      <c r="DH44" s="358"/>
      <c r="DI44" s="358"/>
      <c r="DJ44" s="358"/>
      <c r="DK44" s="358"/>
      <c r="DL44" s="358"/>
      <c r="DM44" s="358"/>
      <c r="DN44" s="358"/>
      <c r="DO44" s="358"/>
      <c r="DP44" s="358"/>
      <c r="DQ44" s="358"/>
      <c r="DR44" s="358"/>
      <c r="DS44" s="358"/>
      <c r="DT44" s="358"/>
      <c r="DU44" s="358"/>
      <c r="DV44" s="358"/>
      <c r="DW44" s="358"/>
      <c r="DX44" s="358"/>
      <c r="DY44" s="358"/>
      <c r="DZ44" s="358"/>
      <c r="EA44" s="358"/>
      <c r="EB44" s="358"/>
      <c r="EC44" s="358"/>
      <c r="ED44" s="358"/>
      <c r="EE44" s="358"/>
      <c r="EF44" s="358"/>
      <c r="EG44" s="358"/>
      <c r="EH44" s="358"/>
      <c r="EI44" s="358"/>
      <c r="EJ44" s="358"/>
      <c r="EK44" s="358"/>
      <c r="EL44" s="358"/>
      <c r="EM44" s="358"/>
      <c r="EN44" s="358"/>
      <c r="EO44" s="358"/>
      <c r="EP44" s="358"/>
      <c r="EQ44" s="358"/>
      <c r="ER44" s="358"/>
      <c r="ES44" s="358"/>
      <c r="ET44" s="358"/>
      <c r="EU44" s="358"/>
      <c r="EV44" s="358"/>
      <c r="EW44" s="358"/>
      <c r="EX44" s="358"/>
      <c r="EY44" s="358"/>
      <c r="EZ44" s="358"/>
      <c r="FA44" s="358"/>
      <c r="FB44" s="358"/>
      <c r="FC44" s="358"/>
      <c r="FD44" s="358"/>
      <c r="FE44" s="358"/>
      <c r="FF44" s="358"/>
      <c r="FG44" s="358"/>
      <c r="FH44" s="358"/>
      <c r="FI44" s="358"/>
      <c r="FJ44" s="358"/>
      <c r="FK44" s="358"/>
      <c r="FL44" s="358"/>
      <c r="FM44" s="358"/>
      <c r="FN44" s="358"/>
      <c r="FO44" s="358"/>
      <c r="FP44" s="358"/>
      <c r="FQ44" s="358"/>
      <c r="FR44" s="358"/>
      <c r="FS44" s="358"/>
      <c r="FT44" s="358"/>
      <c r="FU44" s="358"/>
      <c r="FV44" s="358"/>
      <c r="FW44" s="358"/>
      <c r="FX44" s="358"/>
      <c r="FY44" s="358"/>
      <c r="FZ44" s="358"/>
      <c r="GA44" s="358"/>
      <c r="GB44" s="358"/>
      <c r="GC44" s="358"/>
      <c r="GD44" s="358"/>
      <c r="GE44" s="358"/>
      <c r="GF44" s="358"/>
      <c r="GG44" s="358"/>
      <c r="GH44" s="358"/>
      <c r="GI44" s="358"/>
      <c r="GJ44" s="358"/>
      <c r="GK44" s="358"/>
      <c r="GL44" s="358"/>
      <c r="GM44" s="358"/>
      <c r="GN44" s="358"/>
      <c r="GO44" s="358"/>
      <c r="GP44" s="358"/>
      <c r="GQ44" s="358"/>
      <c r="GR44" s="358"/>
      <c r="GS44" s="358"/>
      <c r="GT44" s="358"/>
      <c r="GU44" s="358"/>
      <c r="GV44" s="358"/>
      <c r="GW44" s="358"/>
      <c r="GX44" s="358"/>
      <c r="GY44" s="358"/>
      <c r="GZ44" s="358"/>
      <c r="HA44" s="358"/>
      <c r="HB44" s="358"/>
      <c r="HC44" s="358"/>
      <c r="HD44" s="358"/>
      <c r="HE44" s="358"/>
      <c r="HF44" s="358"/>
      <c r="HG44" s="358"/>
      <c r="HH44" s="358"/>
      <c r="HI44" s="358"/>
      <c r="HJ44" s="358"/>
      <c r="HK44" s="358"/>
      <c r="HL44" s="358"/>
      <c r="HM44" s="358"/>
      <c r="HN44" s="358"/>
      <c r="HO44" s="358"/>
      <c r="HP44" s="358"/>
      <c r="HQ44" s="358"/>
      <c r="HR44" s="358"/>
      <c r="HS44" s="358"/>
      <c r="HT44" s="358"/>
      <c r="HU44" s="358"/>
      <c r="HV44" s="358"/>
      <c r="HW44" s="358"/>
      <c r="HX44" s="358"/>
      <c r="HY44" s="358"/>
    </row>
    <row r="45" spans="1:233" s="5" customFormat="1" ht="34.5" customHeight="1">
      <c r="A45" s="503">
        <v>1</v>
      </c>
      <c r="B45" s="1597" t="s">
        <v>429</v>
      </c>
      <c r="C45" s="1597"/>
      <c r="D45" s="1597"/>
      <c r="E45" s="1597"/>
      <c r="F45" s="1598" t="s">
        <v>432</v>
      </c>
      <c r="G45" s="1598"/>
      <c r="H45" s="1598"/>
      <c r="I45" s="562" t="s">
        <v>471</v>
      </c>
      <c r="J45" s="506"/>
      <c r="K45" s="521"/>
      <c r="P45" s="504"/>
      <c r="Q45" s="504"/>
      <c r="R45" s="504"/>
      <c r="S45" s="504"/>
      <c r="T45" s="504"/>
      <c r="U45" s="406"/>
      <c r="V45" s="358"/>
      <c r="W45" s="358"/>
      <c r="X45" s="358"/>
      <c r="Y45" s="358"/>
      <c r="Z45" s="358"/>
      <c r="AA45" s="358"/>
      <c r="AB45" s="358"/>
      <c r="AC45" s="358"/>
      <c r="AD45" s="358"/>
      <c r="AE45" s="358"/>
      <c r="AF45" s="358"/>
      <c r="AG45" s="358"/>
      <c r="AH45" s="358"/>
      <c r="AI45" s="358"/>
      <c r="AJ45" s="358"/>
      <c r="AK45" s="358"/>
      <c r="AL45" s="358"/>
      <c r="AM45" s="358"/>
      <c r="AN45" s="358"/>
      <c r="AO45" s="358"/>
      <c r="AP45" s="358"/>
      <c r="AQ45" s="358"/>
      <c r="AR45" s="358"/>
      <c r="AS45" s="358"/>
      <c r="AT45" s="358"/>
      <c r="AU45" s="358"/>
      <c r="AV45" s="358"/>
      <c r="AW45" s="358"/>
      <c r="AX45" s="358"/>
      <c r="AY45" s="358"/>
      <c r="AZ45" s="358"/>
      <c r="BA45" s="358"/>
      <c r="BB45" s="358"/>
      <c r="BC45" s="358"/>
      <c r="BD45" s="358"/>
      <c r="BE45" s="358"/>
      <c r="BF45" s="358"/>
      <c r="BG45" s="358"/>
      <c r="BH45" s="358"/>
      <c r="BI45" s="358"/>
      <c r="BJ45" s="358"/>
      <c r="BK45" s="358"/>
      <c r="BL45" s="358"/>
      <c r="BM45" s="358"/>
      <c r="BN45" s="358"/>
      <c r="BO45" s="358"/>
      <c r="BP45" s="358"/>
      <c r="BQ45" s="358"/>
      <c r="BR45" s="358"/>
      <c r="BS45" s="358"/>
      <c r="BT45" s="358"/>
      <c r="BU45" s="358"/>
      <c r="BV45" s="358"/>
      <c r="BW45" s="358"/>
      <c r="BX45" s="358"/>
      <c r="BY45" s="358"/>
      <c r="BZ45" s="358"/>
      <c r="CA45" s="358"/>
      <c r="CB45" s="358"/>
      <c r="CC45" s="358"/>
      <c r="CD45" s="358"/>
      <c r="CE45" s="358"/>
      <c r="CF45" s="358"/>
      <c r="CG45" s="358"/>
      <c r="CH45" s="358"/>
      <c r="CI45" s="358"/>
      <c r="CJ45" s="358"/>
      <c r="CK45" s="358"/>
      <c r="CL45" s="358"/>
      <c r="CM45" s="358"/>
      <c r="CN45" s="358"/>
      <c r="CO45" s="358"/>
      <c r="CP45" s="358"/>
      <c r="CQ45" s="358"/>
      <c r="CR45" s="358"/>
      <c r="CS45" s="358"/>
      <c r="CT45" s="358"/>
      <c r="CU45" s="358"/>
      <c r="CV45" s="358"/>
      <c r="CW45" s="358"/>
      <c r="CX45" s="358"/>
      <c r="CY45" s="358"/>
      <c r="CZ45" s="358"/>
      <c r="DA45" s="358"/>
      <c r="DB45" s="358"/>
      <c r="DC45" s="358"/>
      <c r="DD45" s="358"/>
      <c r="DE45" s="358"/>
      <c r="DF45" s="358"/>
      <c r="DG45" s="358"/>
      <c r="DH45" s="358"/>
      <c r="DI45" s="358"/>
      <c r="DJ45" s="358"/>
      <c r="DK45" s="358"/>
      <c r="DL45" s="358"/>
      <c r="DM45" s="358"/>
      <c r="DN45" s="358"/>
      <c r="DO45" s="358"/>
      <c r="DP45" s="358"/>
      <c r="DQ45" s="358"/>
      <c r="DR45" s="358"/>
      <c r="DS45" s="358"/>
      <c r="DT45" s="358"/>
      <c r="DU45" s="358"/>
      <c r="DV45" s="358"/>
      <c r="DW45" s="358"/>
      <c r="DX45" s="358"/>
      <c r="DY45" s="358"/>
      <c r="DZ45" s="358"/>
      <c r="EA45" s="358"/>
      <c r="EB45" s="358"/>
      <c r="EC45" s="358"/>
      <c r="ED45" s="358"/>
      <c r="EE45" s="358"/>
      <c r="EF45" s="358"/>
      <c r="EG45" s="358"/>
      <c r="EH45" s="358"/>
      <c r="EI45" s="358"/>
      <c r="EJ45" s="358"/>
      <c r="EK45" s="358"/>
      <c r="EL45" s="358"/>
      <c r="EM45" s="358"/>
      <c r="EN45" s="358"/>
      <c r="EO45" s="358"/>
      <c r="EP45" s="358"/>
      <c r="EQ45" s="358"/>
      <c r="ER45" s="358"/>
      <c r="ES45" s="358"/>
      <c r="ET45" s="358"/>
      <c r="EU45" s="358"/>
      <c r="EV45" s="358"/>
      <c r="EW45" s="358"/>
      <c r="EX45" s="358"/>
      <c r="EY45" s="358"/>
      <c r="EZ45" s="358"/>
      <c r="FA45" s="358"/>
      <c r="FB45" s="358"/>
      <c r="FC45" s="358"/>
      <c r="FD45" s="358"/>
      <c r="FE45" s="358"/>
      <c r="FF45" s="358"/>
      <c r="FG45" s="358"/>
      <c r="FH45" s="358"/>
      <c r="FI45" s="358"/>
      <c r="FJ45" s="358"/>
      <c r="FK45" s="358"/>
      <c r="FL45" s="358"/>
      <c r="FM45" s="358"/>
      <c r="FN45" s="358"/>
      <c r="FO45" s="358"/>
      <c r="FP45" s="358"/>
      <c r="FQ45" s="358"/>
      <c r="FR45" s="358"/>
      <c r="FS45" s="358"/>
      <c r="FT45" s="358"/>
      <c r="FU45" s="358"/>
      <c r="FV45" s="358"/>
      <c r="FW45" s="358"/>
      <c r="FX45" s="358"/>
      <c r="FY45" s="358"/>
      <c r="FZ45" s="358"/>
      <c r="GA45" s="358"/>
      <c r="GB45" s="358"/>
      <c r="GC45" s="358"/>
      <c r="GD45" s="358"/>
      <c r="GE45" s="358"/>
      <c r="GF45" s="358"/>
      <c r="GG45" s="358"/>
      <c r="GH45" s="358"/>
      <c r="GI45" s="358"/>
      <c r="GJ45" s="358"/>
      <c r="GK45" s="358"/>
      <c r="GL45" s="358"/>
      <c r="GM45" s="358"/>
      <c r="GN45" s="358"/>
      <c r="GO45" s="358"/>
      <c r="GP45" s="358"/>
      <c r="GQ45" s="358"/>
      <c r="GR45" s="358"/>
      <c r="GS45" s="358"/>
      <c r="GT45" s="358"/>
      <c r="GU45" s="358"/>
      <c r="GV45" s="358"/>
      <c r="GW45" s="358"/>
      <c r="GX45" s="358"/>
      <c r="GY45" s="358"/>
      <c r="GZ45" s="358"/>
      <c r="HA45" s="358"/>
      <c r="HB45" s="358"/>
      <c r="HC45" s="358"/>
      <c r="HD45" s="358"/>
      <c r="HE45" s="358"/>
      <c r="HF45" s="358"/>
      <c r="HG45" s="358"/>
      <c r="HH45" s="358"/>
      <c r="HI45" s="358"/>
      <c r="HJ45" s="358"/>
      <c r="HK45" s="358"/>
      <c r="HL45" s="358"/>
      <c r="HM45" s="358"/>
      <c r="HN45" s="358"/>
      <c r="HO45" s="358"/>
      <c r="HP45" s="358"/>
      <c r="HQ45" s="358"/>
      <c r="HR45" s="358"/>
      <c r="HS45" s="358"/>
      <c r="HT45" s="358"/>
      <c r="HU45" s="358"/>
      <c r="HV45" s="358"/>
      <c r="HW45" s="358"/>
      <c r="HX45" s="358"/>
      <c r="HY45" s="358"/>
    </row>
    <row r="46" spans="1:233" s="5" customFormat="1" ht="20.100000000000001" customHeight="1">
      <c r="A46" s="503">
        <v>2</v>
      </c>
      <c r="B46" s="1597" t="s">
        <v>426</v>
      </c>
      <c r="C46" s="1597"/>
      <c r="D46" s="1597"/>
      <c r="E46" s="1597"/>
      <c r="F46" s="1598" t="s">
        <v>428</v>
      </c>
      <c r="G46" s="1598"/>
      <c r="H46" s="1598"/>
      <c r="I46" s="562" t="s">
        <v>471</v>
      </c>
      <c r="J46" s="506"/>
      <c r="K46" s="502"/>
      <c r="P46" s="406"/>
      <c r="Q46" s="406"/>
      <c r="R46" s="406"/>
      <c r="S46" s="406"/>
      <c r="T46" s="406"/>
      <c r="U46" s="406"/>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c r="HY46" s="358"/>
    </row>
    <row r="47" spans="1:233" s="5" customFormat="1" ht="20.100000000000001" customHeight="1">
      <c r="A47" s="503">
        <v>3</v>
      </c>
      <c r="B47" s="1661" t="s">
        <v>430</v>
      </c>
      <c r="C47" s="1662"/>
      <c r="D47" s="1662"/>
      <c r="E47" s="1663"/>
      <c r="F47" s="1598" t="s">
        <v>431</v>
      </c>
      <c r="G47" s="1598"/>
      <c r="H47" s="1598"/>
      <c r="I47" s="562" t="s">
        <v>471</v>
      </c>
      <c r="J47" s="506"/>
      <c r="K47" s="502"/>
      <c r="P47" s="406"/>
      <c r="Q47" s="406"/>
      <c r="R47" s="406"/>
      <c r="S47" s="406"/>
      <c r="T47" s="406"/>
      <c r="U47" s="406"/>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c r="HY47" s="358"/>
    </row>
    <row r="48" spans="1:233" s="5" customFormat="1" ht="20.100000000000001" customHeight="1">
      <c r="A48" s="503">
        <v>4</v>
      </c>
      <c r="B48" s="1661" t="s">
        <v>427</v>
      </c>
      <c r="C48" s="1662"/>
      <c r="D48" s="1662"/>
      <c r="E48" s="1663"/>
      <c r="F48" s="1598" t="s">
        <v>138</v>
      </c>
      <c r="G48" s="1598"/>
      <c r="H48" s="1598"/>
      <c r="I48" s="562" t="s">
        <v>471</v>
      </c>
      <c r="J48" s="506"/>
      <c r="K48" s="502"/>
      <c r="P48" s="406"/>
      <c r="Q48" s="406"/>
      <c r="R48" s="406"/>
      <c r="S48" s="406"/>
      <c r="T48" s="406"/>
      <c r="U48" s="405"/>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c r="HY48" s="358"/>
    </row>
    <row r="49" spans="1:233" s="5" customFormat="1" ht="20.100000000000001" customHeight="1">
      <c r="A49" s="503">
        <v>5</v>
      </c>
      <c r="B49" s="1661" t="s">
        <v>424</v>
      </c>
      <c r="C49" s="1662"/>
      <c r="D49" s="1662"/>
      <c r="E49" s="1663"/>
      <c r="F49" s="1598" t="s">
        <v>140</v>
      </c>
      <c r="G49" s="1598"/>
      <c r="H49" s="1598"/>
      <c r="I49" s="562" t="s">
        <v>471</v>
      </c>
      <c r="J49" s="506"/>
      <c r="K49" s="502"/>
      <c r="P49" s="405"/>
      <c r="Q49" s="405"/>
      <c r="R49" s="405"/>
      <c r="S49" s="405"/>
      <c r="T49" s="405"/>
      <c r="U49" s="405"/>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c r="HY49" s="358"/>
    </row>
    <row r="50" spans="1:233" s="5" customFormat="1" ht="20.100000000000001" customHeight="1">
      <c r="A50" s="503">
        <v>6</v>
      </c>
      <c r="B50" s="1597" t="s">
        <v>425</v>
      </c>
      <c r="C50" s="1597"/>
      <c r="D50" s="1597"/>
      <c r="E50" s="1597"/>
      <c r="F50" s="1598" t="s">
        <v>139</v>
      </c>
      <c r="G50" s="1598"/>
      <c r="H50" s="1598"/>
      <c r="I50" s="562" t="s">
        <v>471</v>
      </c>
      <c r="J50" s="506"/>
      <c r="K50" s="502"/>
      <c r="P50" s="405"/>
      <c r="Q50" s="405"/>
      <c r="R50" s="405"/>
      <c r="S50" s="405"/>
      <c r="T50" s="405"/>
      <c r="U50" s="405"/>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c r="HY50" s="358"/>
    </row>
    <row r="51" spans="1:233" s="5" customFormat="1" ht="20.100000000000001" customHeight="1">
      <c r="A51" s="503"/>
      <c r="B51" s="1597"/>
      <c r="C51" s="1597"/>
      <c r="D51" s="1597"/>
      <c r="E51" s="1597"/>
      <c r="F51" s="1598"/>
      <c r="G51" s="1598"/>
      <c r="H51" s="1598"/>
      <c r="I51" s="505"/>
      <c r="J51" s="506"/>
      <c r="K51" s="502"/>
      <c r="P51" s="405"/>
      <c r="Q51" s="405"/>
      <c r="R51" s="405"/>
      <c r="S51" s="405"/>
      <c r="T51" s="405"/>
      <c r="U51" s="405"/>
      <c r="V51" s="358"/>
      <c r="W51" s="358"/>
      <c r="X51" s="358"/>
      <c r="Y51" s="358"/>
      <c r="Z51" s="358"/>
      <c r="AA51" s="358"/>
      <c r="AB51" s="358"/>
      <c r="AC51" s="358"/>
      <c r="AD51" s="358"/>
      <c r="AE51" s="358"/>
      <c r="AF51" s="358"/>
      <c r="AG51" s="358"/>
      <c r="AH51" s="358"/>
      <c r="AI51" s="358"/>
      <c r="AJ51" s="358"/>
      <c r="AK51" s="358"/>
      <c r="AL51" s="358"/>
      <c r="AM51" s="358"/>
      <c r="AN51" s="358"/>
      <c r="AO51" s="358"/>
      <c r="AP51" s="358"/>
      <c r="AQ51" s="358"/>
      <c r="AR51" s="358"/>
      <c r="AS51" s="358"/>
      <c r="AT51" s="358"/>
      <c r="AU51" s="358"/>
      <c r="AV51" s="358"/>
      <c r="AW51" s="358"/>
      <c r="AX51" s="358"/>
      <c r="AY51" s="358"/>
      <c r="AZ51" s="358"/>
      <c r="BA51" s="358"/>
      <c r="BB51" s="358"/>
      <c r="BC51" s="358"/>
      <c r="BD51" s="358"/>
      <c r="BE51" s="358"/>
      <c r="BF51" s="358"/>
      <c r="BG51" s="358"/>
      <c r="BH51" s="358"/>
      <c r="BI51" s="358"/>
      <c r="BJ51" s="358"/>
      <c r="BK51" s="358"/>
      <c r="BL51" s="358"/>
      <c r="BM51" s="358"/>
      <c r="BN51" s="358"/>
      <c r="BO51" s="358"/>
      <c r="BP51" s="358"/>
      <c r="BQ51" s="358"/>
      <c r="BR51" s="358"/>
      <c r="BS51" s="358"/>
      <c r="BT51" s="358"/>
      <c r="BU51" s="358"/>
      <c r="BV51" s="358"/>
      <c r="BW51" s="358"/>
      <c r="BX51" s="358"/>
      <c r="BY51" s="358"/>
      <c r="BZ51" s="358"/>
      <c r="CA51" s="358"/>
      <c r="CB51" s="358"/>
      <c r="CC51" s="358"/>
      <c r="CD51" s="358"/>
      <c r="CE51" s="358"/>
      <c r="CF51" s="358"/>
      <c r="CG51" s="358"/>
      <c r="CH51" s="358"/>
      <c r="CI51" s="358"/>
      <c r="CJ51" s="358"/>
      <c r="CK51" s="358"/>
      <c r="CL51" s="358"/>
      <c r="CM51" s="358"/>
      <c r="CN51" s="358"/>
      <c r="CO51" s="358"/>
      <c r="CP51" s="358"/>
      <c r="CQ51" s="358"/>
      <c r="CR51" s="358"/>
      <c r="CS51" s="358"/>
      <c r="CT51" s="358"/>
      <c r="CU51" s="358"/>
      <c r="CV51" s="358"/>
      <c r="CW51" s="358"/>
      <c r="CX51" s="358"/>
      <c r="CY51" s="358"/>
      <c r="CZ51" s="358"/>
      <c r="DA51" s="358"/>
      <c r="DB51" s="358"/>
      <c r="DC51" s="358"/>
      <c r="DD51" s="358"/>
      <c r="DE51" s="358"/>
      <c r="DF51" s="358"/>
      <c r="DG51" s="358"/>
      <c r="DH51" s="358"/>
      <c r="DI51" s="358"/>
      <c r="DJ51" s="358"/>
      <c r="DK51" s="358"/>
      <c r="DL51" s="358"/>
      <c r="DM51" s="358"/>
      <c r="DN51" s="358"/>
      <c r="DO51" s="358"/>
      <c r="DP51" s="358"/>
      <c r="DQ51" s="358"/>
      <c r="DR51" s="358"/>
      <c r="DS51" s="358"/>
      <c r="DT51" s="358"/>
      <c r="DU51" s="358"/>
      <c r="DV51" s="358"/>
      <c r="DW51" s="358"/>
      <c r="DX51" s="358"/>
      <c r="DY51" s="358"/>
      <c r="DZ51" s="358"/>
      <c r="EA51" s="358"/>
      <c r="EB51" s="358"/>
      <c r="EC51" s="358"/>
      <c r="ED51" s="358"/>
      <c r="EE51" s="358"/>
      <c r="EF51" s="358"/>
      <c r="EG51" s="358"/>
      <c r="EH51" s="358"/>
      <c r="EI51" s="358"/>
      <c r="EJ51" s="358"/>
      <c r="EK51" s="358"/>
      <c r="EL51" s="358"/>
      <c r="EM51" s="358"/>
      <c r="EN51" s="358"/>
      <c r="EO51" s="358"/>
      <c r="EP51" s="358"/>
      <c r="EQ51" s="358"/>
      <c r="ER51" s="358"/>
      <c r="ES51" s="358"/>
      <c r="ET51" s="358"/>
      <c r="EU51" s="358"/>
      <c r="EV51" s="358"/>
      <c r="EW51" s="358"/>
      <c r="EX51" s="358"/>
      <c r="EY51" s="358"/>
      <c r="EZ51" s="358"/>
      <c r="FA51" s="358"/>
      <c r="FB51" s="358"/>
      <c r="FC51" s="358"/>
      <c r="FD51" s="358"/>
      <c r="FE51" s="358"/>
      <c r="FF51" s="358"/>
      <c r="FG51" s="358"/>
      <c r="FH51" s="358"/>
      <c r="FI51" s="358"/>
      <c r="FJ51" s="358"/>
      <c r="FK51" s="358"/>
      <c r="FL51" s="358"/>
      <c r="FM51" s="358"/>
      <c r="FN51" s="358"/>
      <c r="FO51" s="358"/>
      <c r="FP51" s="358"/>
      <c r="FQ51" s="358"/>
      <c r="FR51" s="358"/>
      <c r="FS51" s="358"/>
      <c r="FT51" s="358"/>
      <c r="FU51" s="358"/>
      <c r="FV51" s="358"/>
      <c r="FW51" s="358"/>
      <c r="FX51" s="358"/>
      <c r="FY51" s="358"/>
      <c r="FZ51" s="358"/>
      <c r="GA51" s="358"/>
      <c r="GB51" s="358"/>
      <c r="GC51" s="358"/>
      <c r="GD51" s="358"/>
      <c r="GE51" s="358"/>
      <c r="GF51" s="358"/>
      <c r="GG51" s="358"/>
      <c r="GH51" s="358"/>
      <c r="GI51" s="358"/>
      <c r="GJ51" s="358"/>
      <c r="GK51" s="358"/>
      <c r="GL51" s="358"/>
      <c r="GM51" s="358"/>
      <c r="GN51" s="358"/>
      <c r="GO51" s="358"/>
      <c r="GP51" s="358"/>
      <c r="GQ51" s="358"/>
      <c r="GR51" s="358"/>
      <c r="GS51" s="358"/>
      <c r="GT51" s="358"/>
      <c r="GU51" s="358"/>
      <c r="GV51" s="358"/>
      <c r="GW51" s="358"/>
      <c r="GX51" s="358"/>
      <c r="GY51" s="358"/>
      <c r="GZ51" s="358"/>
      <c r="HA51" s="358"/>
      <c r="HB51" s="358"/>
      <c r="HC51" s="358"/>
      <c r="HD51" s="358"/>
      <c r="HE51" s="358"/>
      <c r="HF51" s="358"/>
      <c r="HG51" s="358"/>
      <c r="HH51" s="358"/>
      <c r="HI51" s="358"/>
      <c r="HJ51" s="358"/>
      <c r="HK51" s="358"/>
      <c r="HL51" s="358"/>
      <c r="HM51" s="358"/>
      <c r="HN51" s="358"/>
      <c r="HO51" s="358"/>
      <c r="HP51" s="358"/>
      <c r="HQ51" s="358"/>
      <c r="HR51" s="358"/>
      <c r="HS51" s="358"/>
      <c r="HT51" s="358"/>
      <c r="HU51" s="358"/>
      <c r="HV51" s="358"/>
      <c r="HW51" s="358"/>
      <c r="HX51" s="358"/>
      <c r="HY51" s="358"/>
    </row>
    <row r="52" spans="1:233" s="5" customFormat="1" ht="20.100000000000001" customHeight="1">
      <c r="A52" s="1595" t="s">
        <v>1033</v>
      </c>
      <c r="B52" s="1595"/>
      <c r="C52" s="1595"/>
      <c r="D52" s="1595"/>
      <c r="E52" s="1595"/>
      <c r="F52" s="1595"/>
      <c r="G52" s="1595"/>
      <c r="H52" s="1595"/>
      <c r="I52" s="1595"/>
      <c r="J52" s="1595"/>
      <c r="K52" s="502"/>
      <c r="P52" s="405"/>
      <c r="Q52" s="405"/>
      <c r="R52" s="405"/>
      <c r="S52" s="405"/>
      <c r="T52" s="405"/>
      <c r="U52" s="405"/>
      <c r="V52" s="358"/>
      <c r="W52" s="358"/>
      <c r="X52" s="358"/>
      <c r="Y52" s="358"/>
      <c r="Z52" s="358"/>
      <c r="AA52" s="358"/>
      <c r="AB52" s="358"/>
      <c r="AC52" s="358"/>
      <c r="AD52" s="358"/>
      <c r="AE52" s="358"/>
      <c r="AF52" s="358"/>
      <c r="AG52" s="358"/>
      <c r="AH52" s="358"/>
      <c r="AI52" s="358"/>
      <c r="AJ52" s="358"/>
      <c r="AK52" s="358"/>
      <c r="AL52" s="358"/>
      <c r="AM52" s="358"/>
      <c r="AN52" s="358"/>
      <c r="AO52" s="358"/>
      <c r="AP52" s="358"/>
      <c r="AQ52" s="358"/>
      <c r="AR52" s="358"/>
      <c r="AS52" s="358"/>
      <c r="AT52" s="358"/>
      <c r="AU52" s="358"/>
      <c r="AV52" s="358"/>
      <c r="AW52" s="358"/>
      <c r="AX52" s="358"/>
      <c r="AY52" s="358"/>
      <c r="AZ52" s="358"/>
      <c r="BA52" s="358"/>
      <c r="BB52" s="358"/>
      <c r="BC52" s="358"/>
      <c r="BD52" s="358"/>
      <c r="BE52" s="358"/>
      <c r="BF52" s="358"/>
      <c r="BG52" s="358"/>
      <c r="BH52" s="358"/>
      <c r="BI52" s="358"/>
      <c r="BJ52" s="358"/>
      <c r="BK52" s="358"/>
      <c r="BL52" s="358"/>
      <c r="BM52" s="358"/>
      <c r="BN52" s="358"/>
      <c r="BO52" s="358"/>
      <c r="BP52" s="358"/>
      <c r="BQ52" s="358"/>
      <c r="BR52" s="358"/>
      <c r="BS52" s="358"/>
      <c r="BT52" s="358"/>
      <c r="BU52" s="358"/>
      <c r="BV52" s="358"/>
      <c r="BW52" s="358"/>
      <c r="BX52" s="358"/>
      <c r="BY52" s="358"/>
      <c r="BZ52" s="358"/>
      <c r="CA52" s="358"/>
      <c r="CB52" s="358"/>
      <c r="CC52" s="358"/>
      <c r="CD52" s="358"/>
      <c r="CE52" s="358"/>
      <c r="CF52" s="358"/>
      <c r="CG52" s="358"/>
      <c r="CH52" s="358"/>
      <c r="CI52" s="358"/>
      <c r="CJ52" s="358"/>
      <c r="CK52" s="358"/>
      <c r="CL52" s="358"/>
      <c r="CM52" s="358"/>
      <c r="CN52" s="358"/>
      <c r="CO52" s="358"/>
      <c r="CP52" s="358"/>
      <c r="CQ52" s="358"/>
      <c r="CR52" s="358"/>
      <c r="CS52" s="358"/>
      <c r="CT52" s="358"/>
      <c r="CU52" s="358"/>
      <c r="CV52" s="358"/>
      <c r="CW52" s="358"/>
      <c r="CX52" s="358"/>
      <c r="CY52" s="358"/>
      <c r="CZ52" s="358"/>
      <c r="DA52" s="358"/>
      <c r="DB52" s="358"/>
      <c r="DC52" s="358"/>
      <c r="DD52" s="358"/>
      <c r="DE52" s="358"/>
      <c r="DF52" s="358"/>
      <c r="DG52" s="358"/>
      <c r="DH52" s="358"/>
      <c r="DI52" s="358"/>
      <c r="DJ52" s="358"/>
      <c r="DK52" s="358"/>
      <c r="DL52" s="358"/>
      <c r="DM52" s="358"/>
      <c r="DN52" s="358"/>
      <c r="DO52" s="358"/>
      <c r="DP52" s="358"/>
      <c r="DQ52" s="358"/>
      <c r="DR52" s="358"/>
      <c r="DS52" s="358"/>
      <c r="DT52" s="358"/>
      <c r="DU52" s="358"/>
      <c r="DV52" s="358"/>
      <c r="DW52" s="358"/>
      <c r="DX52" s="358"/>
      <c r="DY52" s="358"/>
      <c r="DZ52" s="358"/>
      <c r="EA52" s="358"/>
      <c r="EB52" s="358"/>
      <c r="EC52" s="358"/>
      <c r="ED52" s="358"/>
      <c r="EE52" s="358"/>
      <c r="EF52" s="358"/>
      <c r="EG52" s="358"/>
      <c r="EH52" s="358"/>
      <c r="EI52" s="358"/>
      <c r="EJ52" s="358"/>
      <c r="EK52" s="358"/>
      <c r="EL52" s="358"/>
      <c r="EM52" s="358"/>
      <c r="EN52" s="358"/>
      <c r="EO52" s="358"/>
      <c r="EP52" s="358"/>
      <c r="EQ52" s="358"/>
      <c r="ER52" s="358"/>
      <c r="ES52" s="358"/>
      <c r="ET52" s="358"/>
      <c r="EU52" s="358"/>
      <c r="EV52" s="358"/>
      <c r="EW52" s="358"/>
      <c r="EX52" s="358"/>
      <c r="EY52" s="358"/>
      <c r="EZ52" s="358"/>
      <c r="FA52" s="358"/>
      <c r="FB52" s="358"/>
      <c r="FC52" s="358"/>
      <c r="FD52" s="358"/>
      <c r="FE52" s="358"/>
      <c r="FF52" s="358"/>
      <c r="FG52" s="358"/>
      <c r="FH52" s="358"/>
      <c r="FI52" s="358"/>
      <c r="FJ52" s="358"/>
      <c r="FK52" s="358"/>
      <c r="FL52" s="358"/>
      <c r="FM52" s="358"/>
      <c r="FN52" s="358"/>
      <c r="FO52" s="358"/>
      <c r="FP52" s="358"/>
      <c r="FQ52" s="358"/>
      <c r="FR52" s="358"/>
      <c r="FS52" s="358"/>
      <c r="FT52" s="358"/>
      <c r="FU52" s="358"/>
      <c r="FV52" s="358"/>
      <c r="FW52" s="358"/>
      <c r="FX52" s="358"/>
      <c r="FY52" s="358"/>
      <c r="FZ52" s="358"/>
      <c r="GA52" s="358"/>
      <c r="GB52" s="358"/>
      <c r="GC52" s="358"/>
      <c r="GD52" s="358"/>
      <c r="GE52" s="358"/>
      <c r="GF52" s="358"/>
      <c r="GG52" s="358"/>
      <c r="GH52" s="358"/>
      <c r="GI52" s="358"/>
      <c r="GJ52" s="358"/>
      <c r="GK52" s="358"/>
      <c r="GL52" s="358"/>
      <c r="GM52" s="358"/>
      <c r="GN52" s="358"/>
      <c r="GO52" s="358"/>
      <c r="GP52" s="358"/>
      <c r="GQ52" s="358"/>
      <c r="GR52" s="358"/>
      <c r="GS52" s="358"/>
      <c r="GT52" s="358"/>
      <c r="GU52" s="358"/>
      <c r="GV52" s="358"/>
      <c r="GW52" s="358"/>
      <c r="GX52" s="358"/>
      <c r="GY52" s="358"/>
      <c r="GZ52" s="358"/>
      <c r="HA52" s="358"/>
      <c r="HB52" s="358"/>
      <c r="HC52" s="358"/>
      <c r="HD52" s="358"/>
      <c r="HE52" s="358"/>
      <c r="HF52" s="358"/>
      <c r="HG52" s="358"/>
      <c r="HH52" s="358"/>
      <c r="HI52" s="358"/>
      <c r="HJ52" s="358"/>
      <c r="HK52" s="358"/>
      <c r="HL52" s="358"/>
      <c r="HM52" s="358"/>
      <c r="HN52" s="358"/>
      <c r="HO52" s="358"/>
      <c r="HP52" s="358"/>
      <c r="HQ52" s="358"/>
      <c r="HR52" s="358"/>
      <c r="HS52" s="358"/>
      <c r="HT52" s="358"/>
      <c r="HU52" s="358"/>
      <c r="HV52" s="358"/>
      <c r="HW52" s="358"/>
      <c r="HX52" s="358"/>
      <c r="HY52" s="358"/>
    </row>
    <row r="53" spans="1:233" ht="20.100000000000001" customHeight="1">
      <c r="A53" s="1596" t="s">
        <v>121</v>
      </c>
      <c r="B53" s="1596"/>
      <c r="C53" s="1596"/>
      <c r="D53" s="1596"/>
      <c r="E53" s="1596"/>
      <c r="F53" s="1596"/>
      <c r="G53" s="1596"/>
      <c r="H53" s="1596"/>
      <c r="I53" s="1596"/>
      <c r="J53" s="1596"/>
      <c r="K53" s="481"/>
      <c r="O53" s="5"/>
      <c r="P53" s="405"/>
      <c r="Q53" s="405"/>
      <c r="R53" s="405"/>
      <c r="S53" s="405"/>
      <c r="T53" s="405"/>
    </row>
    <row r="54" spans="1:233" ht="20.100000000000001" customHeight="1">
      <c r="A54" s="1600" t="s">
        <v>910</v>
      </c>
      <c r="B54" s="1600"/>
      <c r="C54" s="1600"/>
      <c r="D54" s="1600"/>
      <c r="E54" s="1600"/>
      <c r="F54" s="1600"/>
      <c r="G54" s="1600"/>
      <c r="H54" s="1600"/>
      <c r="I54" s="1600"/>
      <c r="J54" s="1600"/>
      <c r="K54" s="741"/>
    </row>
    <row r="55" spans="1:233" ht="20.100000000000001" customHeight="1">
      <c r="A55" s="1595"/>
      <c r="B55" s="1595"/>
      <c r="C55" s="1595"/>
      <c r="D55" s="1595"/>
      <c r="E55" s="1595"/>
      <c r="F55" s="1595"/>
      <c r="G55" s="1595"/>
      <c r="H55" s="1595"/>
      <c r="I55" s="1595"/>
      <c r="J55" s="1595"/>
      <c r="K55" s="740"/>
    </row>
    <row r="56" spans="1:233" ht="20.100000000000001" customHeight="1">
      <c r="A56" s="507"/>
      <c r="B56" s="507"/>
      <c r="C56" s="507"/>
      <c r="D56" s="507"/>
      <c r="E56" s="507"/>
      <c r="F56" s="507"/>
      <c r="G56" s="507"/>
      <c r="H56" s="507"/>
      <c r="I56" s="507"/>
      <c r="J56" s="507"/>
      <c r="K56" s="481"/>
    </row>
    <row r="57" spans="1:233" ht="20.100000000000001" customHeight="1">
      <c r="A57" s="1599" t="s">
        <v>442</v>
      </c>
      <c r="B57" s="1599"/>
      <c r="C57" s="1599"/>
      <c r="D57" s="1599"/>
      <c r="E57" s="1599"/>
      <c r="F57" s="1666" t="s">
        <v>123</v>
      </c>
      <c r="G57" s="1666"/>
      <c r="H57" s="1666"/>
      <c r="I57" s="1666"/>
      <c r="J57" s="1666"/>
      <c r="K57" s="507"/>
    </row>
    <row r="58" spans="1:233" ht="20.100000000000001" customHeight="1">
      <c r="A58" s="563"/>
      <c r="B58" s="508"/>
      <c r="C58" s="508"/>
      <c r="D58" s="508"/>
      <c r="E58" s="563"/>
      <c r="F58" s="1599" t="s">
        <v>124</v>
      </c>
      <c r="G58" s="1599"/>
      <c r="H58" s="1599" t="s">
        <v>331</v>
      </c>
      <c r="I58" s="1599"/>
      <c r="J58" s="1599"/>
      <c r="K58" s="750"/>
    </row>
    <row r="59" spans="1:233" ht="20.100000000000001" customHeight="1">
      <c r="A59" s="508"/>
      <c r="B59" s="508"/>
      <c r="C59" s="508"/>
      <c r="D59" s="508"/>
      <c r="E59" s="508"/>
      <c r="F59" s="508"/>
      <c r="G59" s="508"/>
      <c r="H59" s="508"/>
      <c r="I59" s="508"/>
      <c r="J59" s="508"/>
      <c r="K59" s="739"/>
    </row>
    <row r="60" spans="1:233" ht="20.100000000000001" customHeight="1">
      <c r="A60" s="508"/>
      <c r="B60" s="508"/>
      <c r="C60" s="508"/>
      <c r="D60" s="508"/>
      <c r="E60" s="508"/>
      <c r="F60" s="508"/>
      <c r="G60" s="508"/>
      <c r="H60" s="508"/>
      <c r="I60" s="508"/>
      <c r="J60" s="508"/>
      <c r="K60" s="508"/>
    </row>
    <row r="61" spans="1:233" ht="20.100000000000001" customHeight="1">
      <c r="A61" s="508"/>
      <c r="B61" s="508"/>
      <c r="C61" s="508"/>
      <c r="D61" s="508"/>
      <c r="E61" s="508"/>
      <c r="F61" s="508"/>
      <c r="G61" s="508"/>
      <c r="H61" s="508"/>
      <c r="I61" s="508"/>
      <c r="J61" s="508"/>
      <c r="K61" s="508"/>
    </row>
    <row r="62" spans="1:233" ht="20.100000000000001" customHeight="1">
      <c r="A62" s="508"/>
      <c r="B62" s="508"/>
      <c r="C62" s="508"/>
      <c r="D62" s="508"/>
      <c r="E62" s="508"/>
      <c r="F62" s="508"/>
      <c r="G62" s="508"/>
      <c r="H62" s="508"/>
      <c r="I62" s="508"/>
      <c r="J62" s="508"/>
      <c r="K62" s="508"/>
    </row>
    <row r="63" spans="1:233" ht="20.100000000000001" customHeight="1">
      <c r="A63" s="508"/>
      <c r="B63" s="508"/>
      <c r="C63" s="508"/>
      <c r="D63" s="508"/>
      <c r="E63" s="508"/>
      <c r="F63" s="508"/>
      <c r="G63" s="508"/>
      <c r="H63" s="508"/>
      <c r="I63" s="508"/>
      <c r="J63" s="508"/>
      <c r="K63" s="508"/>
    </row>
    <row r="64" spans="1:233" ht="20.100000000000001" customHeight="1">
      <c r="A64" s="508"/>
      <c r="B64" s="508"/>
      <c r="C64" s="508"/>
      <c r="D64" s="508"/>
      <c r="E64" s="508"/>
      <c r="F64" s="508"/>
      <c r="G64" s="508"/>
      <c r="H64" s="508"/>
      <c r="I64" s="508"/>
      <c r="J64" s="508"/>
      <c r="K64" s="508"/>
    </row>
    <row r="65" spans="1:11" ht="20.100000000000001" customHeight="1">
      <c r="A65" s="508"/>
      <c r="B65" s="508"/>
      <c r="C65" s="508"/>
      <c r="D65" s="508"/>
      <c r="E65" s="508"/>
      <c r="F65" s="508"/>
      <c r="G65" s="508"/>
      <c r="H65" s="508"/>
      <c r="I65" s="508"/>
      <c r="J65" s="508"/>
      <c r="K65" s="508"/>
    </row>
    <row r="66" spans="1:11" ht="20.100000000000001" customHeight="1">
      <c r="A66" s="508"/>
      <c r="B66" s="508"/>
      <c r="C66" s="508"/>
      <c r="D66" s="508"/>
      <c r="E66" s="508"/>
      <c r="F66" s="508"/>
      <c r="G66" s="508"/>
      <c r="H66" s="508"/>
      <c r="I66" s="508"/>
      <c r="J66" s="508"/>
      <c r="K66" s="508"/>
    </row>
    <row r="67" spans="1:11" ht="20.100000000000001" customHeight="1">
      <c r="A67" s="508"/>
      <c r="B67" s="508"/>
      <c r="C67" s="508"/>
      <c r="D67" s="508"/>
      <c r="E67" s="508"/>
      <c r="F67" s="508"/>
      <c r="G67" s="508"/>
      <c r="H67" s="508"/>
      <c r="I67" s="508"/>
      <c r="J67" s="508"/>
      <c r="K67" s="508"/>
    </row>
    <row r="68" spans="1:11" ht="20.100000000000001" customHeight="1">
      <c r="A68" s="508"/>
      <c r="B68" s="508"/>
      <c r="C68" s="508"/>
      <c r="D68" s="508"/>
      <c r="E68" s="508"/>
      <c r="F68" s="508"/>
      <c r="G68" s="508"/>
      <c r="H68" s="508"/>
      <c r="I68" s="508"/>
      <c r="J68" s="508"/>
      <c r="K68" s="508"/>
    </row>
    <row r="69" spans="1:11" ht="20.100000000000001" customHeight="1">
      <c r="A69" s="508"/>
      <c r="B69" s="508"/>
      <c r="C69" s="508"/>
      <c r="D69" s="508"/>
      <c r="E69" s="508"/>
      <c r="F69" s="508"/>
      <c r="G69" s="508"/>
      <c r="H69" s="508"/>
      <c r="I69" s="508"/>
      <c r="J69" s="508"/>
      <c r="K69" s="508"/>
    </row>
    <row r="70" spans="1:11" ht="20.100000000000001" customHeight="1">
      <c r="A70" s="508"/>
      <c r="B70" s="508"/>
      <c r="C70" s="508"/>
      <c r="D70" s="508"/>
      <c r="E70" s="508"/>
      <c r="F70" s="508"/>
      <c r="G70" s="508"/>
      <c r="H70" s="508"/>
      <c r="I70" s="508"/>
      <c r="J70" s="508"/>
      <c r="K70" s="508"/>
    </row>
    <row r="71" spans="1:11" ht="20.100000000000001" customHeight="1">
      <c r="A71" s="508"/>
      <c r="B71" s="508"/>
      <c r="C71" s="508"/>
      <c r="D71" s="508"/>
      <c r="E71" s="508"/>
      <c r="F71" s="508"/>
      <c r="G71" s="508"/>
      <c r="H71" s="508"/>
      <c r="I71" s="508"/>
      <c r="J71" s="508"/>
      <c r="K71" s="508"/>
    </row>
    <row r="72" spans="1:11" ht="20.100000000000001" customHeight="1">
      <c r="A72" s="508"/>
      <c r="B72" s="508"/>
      <c r="C72" s="508"/>
      <c r="D72" s="508"/>
      <c r="E72" s="508"/>
      <c r="F72" s="508"/>
      <c r="G72" s="508"/>
      <c r="H72" s="508"/>
      <c r="I72" s="508"/>
      <c r="J72" s="508"/>
      <c r="K72" s="508"/>
    </row>
    <row r="73" spans="1:11" ht="20.100000000000001" customHeight="1">
      <c r="A73" s="508"/>
      <c r="B73" s="508"/>
      <c r="C73" s="508"/>
      <c r="D73" s="508"/>
      <c r="E73" s="508"/>
      <c r="F73" s="508"/>
      <c r="G73" s="508"/>
      <c r="H73" s="508"/>
      <c r="I73" s="508"/>
      <c r="J73" s="508"/>
      <c r="K73" s="508"/>
    </row>
    <row r="74" spans="1:11" ht="20.100000000000001" customHeight="1">
      <c r="A74" s="508"/>
      <c r="B74" s="508"/>
      <c r="C74" s="508"/>
      <c r="D74" s="508"/>
      <c r="E74" s="508"/>
      <c r="F74" s="508"/>
      <c r="G74" s="508"/>
      <c r="H74" s="508"/>
      <c r="I74" s="508"/>
      <c r="J74" s="508"/>
      <c r="K74" s="508"/>
    </row>
    <row r="75" spans="1:11" ht="20.100000000000001" customHeight="1">
      <c r="A75" s="508"/>
      <c r="B75" s="508"/>
      <c r="C75" s="508"/>
      <c r="D75" s="508"/>
      <c r="E75" s="508"/>
      <c r="F75" s="508"/>
      <c r="G75" s="508"/>
      <c r="H75" s="508"/>
      <c r="I75" s="508"/>
      <c r="J75" s="508"/>
      <c r="K75" s="508"/>
    </row>
    <row r="76" spans="1:11" ht="20.100000000000001" customHeight="1">
      <c r="A76" s="508"/>
      <c r="B76" s="508"/>
      <c r="C76" s="508"/>
      <c r="D76" s="508"/>
      <c r="E76" s="508"/>
      <c r="F76" s="508"/>
      <c r="G76" s="508"/>
      <c r="H76" s="508"/>
      <c r="I76" s="508"/>
      <c r="J76" s="508"/>
      <c r="K76" s="508"/>
    </row>
    <row r="77" spans="1:11" ht="20.100000000000001" customHeight="1">
      <c r="A77" s="508"/>
      <c r="B77" s="508"/>
      <c r="C77" s="508"/>
      <c r="D77" s="508"/>
      <c r="E77" s="508"/>
      <c r="F77" s="508"/>
      <c r="G77" s="508"/>
      <c r="H77" s="508"/>
      <c r="I77" s="508"/>
      <c r="J77" s="508"/>
      <c r="K77" s="508"/>
    </row>
    <row r="78" spans="1:11" ht="20.100000000000001" customHeight="1">
      <c r="A78" s="508"/>
      <c r="B78" s="508"/>
      <c r="C78" s="508"/>
      <c r="D78" s="508"/>
      <c r="E78" s="508"/>
      <c r="F78" s="508"/>
      <c r="G78" s="508"/>
      <c r="H78" s="508"/>
      <c r="I78" s="508"/>
      <c r="J78" s="508"/>
      <c r="K78" s="508"/>
    </row>
    <row r="79" spans="1:11" ht="20.100000000000001" customHeight="1">
      <c r="A79" s="508"/>
      <c r="B79" s="508"/>
      <c r="C79" s="508"/>
      <c r="D79" s="508"/>
      <c r="E79" s="508"/>
      <c r="F79" s="508"/>
      <c r="G79" s="508"/>
      <c r="H79" s="508"/>
      <c r="I79" s="508"/>
      <c r="J79" s="508"/>
      <c r="K79" s="508"/>
    </row>
    <row r="80" spans="1:11" ht="20.100000000000001" customHeight="1">
      <c r="A80" s="508"/>
      <c r="B80" s="508"/>
      <c r="C80" s="508"/>
      <c r="D80" s="508"/>
      <c r="E80" s="508"/>
      <c r="F80" s="508"/>
      <c r="G80" s="508"/>
      <c r="H80" s="508"/>
      <c r="I80" s="508"/>
      <c r="J80" s="508"/>
      <c r="K80" s="508"/>
    </row>
    <row r="81" spans="1:11" ht="20.100000000000001" customHeight="1">
      <c r="A81" s="1698" t="s">
        <v>458</v>
      </c>
      <c r="B81" s="1698"/>
      <c r="C81" s="1698"/>
      <c r="D81" s="1698"/>
      <c r="E81" s="1698"/>
      <c r="F81" s="1699" t="s">
        <v>126</v>
      </c>
      <c r="G81" s="1699"/>
      <c r="H81" s="1699"/>
      <c r="I81" s="1699"/>
      <c r="J81" s="1699"/>
      <c r="K81" s="508"/>
    </row>
    <row r="82" spans="1:11" ht="20.100000000000001" customHeight="1">
      <c r="A82" s="1613" t="s">
        <v>127</v>
      </c>
      <c r="B82" s="1613"/>
      <c r="C82" s="1613"/>
      <c r="D82" s="1613"/>
      <c r="E82" s="1613"/>
      <c r="F82" s="1700" t="s">
        <v>128</v>
      </c>
      <c r="G82" s="1700"/>
      <c r="H82" s="1700"/>
      <c r="I82" s="1700"/>
      <c r="J82" s="1700"/>
      <c r="K82" s="468"/>
    </row>
    <row r="83" spans="1:11" ht="20.100000000000001" customHeight="1">
      <c r="F83" s="1652" t="s">
        <v>404</v>
      </c>
      <c r="G83" s="1653"/>
      <c r="H83" s="1653"/>
      <c r="I83" s="1653"/>
      <c r="J83" s="1653"/>
      <c r="K83" s="753"/>
    </row>
    <row r="84" spans="1:11" ht="20.100000000000001" customHeight="1">
      <c r="F84" s="1706" t="str">
        <f>A4</f>
        <v>Quảng Ninh, ngày……..tháng…….năm 2016</v>
      </c>
      <c r="G84" s="1706"/>
      <c r="H84" s="1706"/>
      <c r="I84" s="1706"/>
      <c r="J84" s="1706"/>
      <c r="K84" s="746"/>
    </row>
    <row r="85" spans="1:11" ht="20.100000000000001" customHeight="1">
      <c r="A85" s="509"/>
      <c r="B85" s="509"/>
      <c r="C85" s="509"/>
      <c r="D85" s="509"/>
      <c r="E85" s="509"/>
      <c r="F85" s="510"/>
      <c r="G85" s="510"/>
      <c r="H85" s="510"/>
      <c r="I85" s="510"/>
      <c r="J85" s="510"/>
      <c r="K85" s="747"/>
    </row>
    <row r="86" spans="1:11" ht="20.100000000000001" customHeight="1">
      <c r="A86" s="1655" t="s">
        <v>438</v>
      </c>
      <c r="B86" s="1656"/>
      <c r="C86" s="1656"/>
      <c r="D86" s="1656"/>
      <c r="E86" s="1656"/>
      <c r="F86" s="1656"/>
      <c r="G86" s="1656"/>
      <c r="H86" s="1656"/>
      <c r="I86" s="1656"/>
      <c r="J86" s="1656"/>
      <c r="K86" s="510"/>
    </row>
    <row r="87" spans="1:11" ht="19.5">
      <c r="A87" s="1696" t="str">
        <f>A6</f>
        <v>SỐ: TGHL-HT-CWI-C&amp;S-B1/800</v>
      </c>
      <c r="B87" s="1696"/>
      <c r="C87" s="1696"/>
      <c r="D87" s="1696"/>
      <c r="E87" s="1696"/>
      <c r="F87" s="1696"/>
      <c r="G87" s="1696"/>
      <c r="H87" s="1696"/>
      <c r="I87" s="1696"/>
      <c r="J87" s="1696"/>
      <c r="K87" s="748"/>
    </row>
    <row r="88" spans="1:11" ht="20.100000000000001" customHeight="1">
      <c r="A88" s="641" t="str">
        <f>A8</f>
        <v>DỰ ÁN:</v>
      </c>
      <c r="B88" s="476"/>
      <c r="C88" s="1615" t="str">
        <f>C8</f>
        <v>KHU HỖN HỢP CHUNG CƯ, VĂN PHÒNG, TRUNG TÂM THƯƠNG MẠI VÀ NHÀ Ở KẾT HỢP KHU MUA SẮM</v>
      </c>
      <c r="D88" s="1615"/>
      <c r="E88" s="1615"/>
      <c r="F88" s="1615"/>
      <c r="G88" s="1615"/>
      <c r="H88" s="1615"/>
      <c r="I88" s="1615"/>
      <c r="J88" s="1615"/>
      <c r="K88" s="889"/>
    </row>
    <row r="89" spans="1:11" ht="35.1" customHeight="1">
      <c r="A89" s="641" t="str">
        <f>A9</f>
        <v>CÔNG TRÌNH:</v>
      </c>
      <c r="B89" s="476"/>
      <c r="C89" s="1615" t="str">
        <f>C9</f>
        <v>KHU HỖN HỢP CHUNG CƯ, VĂN PHÒNG, TTTM</v>
      </c>
      <c r="D89" s="1615"/>
      <c r="E89" s="1615"/>
      <c r="F89" s="1615"/>
      <c r="G89" s="1615"/>
      <c r="H89" s="1615"/>
      <c r="I89" s="1615"/>
      <c r="J89" s="1615"/>
      <c r="K89" s="498"/>
    </row>
    <row r="90" spans="1:11" ht="22.5" customHeight="1">
      <c r="A90" s="641" t="str">
        <f>A10</f>
        <v>GÓI THẦU :</v>
      </c>
      <c r="B90" s="476"/>
      <c r="C90" s="1615" t="str">
        <f>C10</f>
        <v>THI CÔNG CỌC KHOAN NHỒI</v>
      </c>
      <c r="D90" s="1615"/>
      <c r="E90" s="1615"/>
      <c r="F90" s="1615"/>
      <c r="G90" s="1615"/>
      <c r="H90" s="1615"/>
      <c r="I90" s="1615"/>
      <c r="J90" s="1615"/>
      <c r="K90" s="498"/>
    </row>
    <row r="91" spans="1:11" ht="20.100000000000001" customHeight="1">
      <c r="A91" s="641" t="str">
        <f>A11</f>
        <v>ĐỊA ĐIỂM :</v>
      </c>
      <c r="B91" s="476"/>
      <c r="C91" s="1615" t="str">
        <f>C11</f>
        <v>ĐƯỜNG 25/4, P BẠCH ĐẰNG, TP. HẠ LONG, TỈNH QUẢNG NINH</v>
      </c>
      <c r="D91" s="1615"/>
      <c r="E91" s="1615"/>
      <c r="F91" s="1615"/>
      <c r="G91" s="1615"/>
      <c r="H91" s="1615"/>
      <c r="I91" s="1615"/>
      <c r="J91" s="1615"/>
      <c r="K91" s="498"/>
    </row>
    <row r="92" spans="1:11" ht="20.100000000000001" customHeight="1">
      <c r="A92" s="511"/>
      <c r="B92" s="512"/>
      <c r="C92" s="481"/>
      <c r="D92" s="481"/>
      <c r="E92" s="481"/>
      <c r="F92" s="481"/>
      <c r="G92" s="481"/>
      <c r="H92" s="481"/>
      <c r="I92" s="481"/>
      <c r="J92" s="481"/>
      <c r="K92" s="498"/>
    </row>
    <row r="93" spans="1:11" ht="16.5">
      <c r="A93" s="477" t="s">
        <v>911</v>
      </c>
      <c r="B93" s="638"/>
      <c r="C93" s="476" t="s">
        <v>820</v>
      </c>
      <c r="D93" s="638"/>
      <c r="E93" s="638"/>
      <c r="F93" s="638"/>
      <c r="G93" s="638"/>
      <c r="H93" s="638"/>
      <c r="I93" s="638"/>
      <c r="J93" s="638"/>
      <c r="K93" s="481"/>
    </row>
    <row r="94" spans="1:11" ht="16.5">
      <c r="A94" s="509"/>
      <c r="B94" s="509"/>
      <c r="C94" s="476" t="s">
        <v>867</v>
      </c>
      <c r="D94" s="509"/>
      <c r="E94" s="509"/>
      <c r="F94" s="510"/>
      <c r="G94" s="510"/>
      <c r="H94" s="510"/>
      <c r="I94" s="510"/>
      <c r="J94" s="510"/>
      <c r="K94" s="638"/>
    </row>
    <row r="95" spans="1:11" ht="16.5">
      <c r="A95" s="1626" t="s">
        <v>912</v>
      </c>
      <c r="B95" s="1627"/>
      <c r="C95" s="1627"/>
      <c r="D95" s="1627"/>
      <c r="E95" s="1627"/>
      <c r="F95" s="1627"/>
      <c r="G95" s="1627"/>
      <c r="H95" s="1627"/>
      <c r="I95" s="1627"/>
      <c r="J95" s="1627"/>
      <c r="K95" s="510"/>
    </row>
    <row r="96" spans="1:11" ht="50.25" customHeight="1">
      <c r="A96" s="1689" t="s">
        <v>868</v>
      </c>
      <c r="B96" s="1689"/>
      <c r="C96" s="518" t="str">
        <f>A13</f>
        <v>Gia công, lắp dựng cốt thép cọc số hiệu B1</v>
      </c>
      <c r="D96" s="542"/>
      <c r="E96" s="542"/>
      <c r="F96" s="542"/>
      <c r="G96" s="542"/>
      <c r="H96" s="542"/>
      <c r="I96" s="542"/>
      <c r="J96" s="542"/>
      <c r="K96" s="745"/>
    </row>
    <row r="97" spans="1:233" ht="20.100000000000001" customHeight="1">
      <c r="A97" s="543" t="s">
        <v>131</v>
      </c>
      <c r="B97" s="487"/>
      <c r="C97" s="943">
        <f>D23+M22</f>
        <v>0.74652777777777757</v>
      </c>
      <c r="D97" s="1731" t="str">
        <f>E22</f>
        <v>, ngày…..tháng…..năm 2016</v>
      </c>
      <c r="E97" s="1731"/>
      <c r="F97" s="1731"/>
      <c r="G97" s="1731"/>
      <c r="H97" s="1731"/>
      <c r="I97" s="513"/>
      <c r="J97" s="513"/>
      <c r="K97" s="542"/>
    </row>
    <row r="98" spans="1:233" ht="20.100000000000001" customHeight="1">
      <c r="A98" s="543" t="str">
        <f>'[6]7. BBNT-TOADOCOC'!A92</f>
        <v>Tại:</v>
      </c>
      <c r="B98" s="487" t="str">
        <f>'[6]7. BBNT-TOADOCOC'!B92</f>
        <v>Công trình: Khu hỗn hợp chung cư, văn phòng, trung tâm thương mại.</v>
      </c>
      <c r="C98" s="766"/>
      <c r="D98" s="766"/>
      <c r="E98" s="766"/>
      <c r="F98" s="766"/>
      <c r="G98" s="766"/>
      <c r="H98" s="766"/>
      <c r="I98" s="766"/>
      <c r="J98" s="766"/>
      <c r="K98" s="513"/>
    </row>
    <row r="99" spans="1:233" ht="20.100000000000001" customHeight="1">
      <c r="A99" s="517"/>
      <c r="B99" s="517"/>
      <c r="C99" s="517"/>
      <c r="D99" s="517"/>
      <c r="E99" s="517"/>
      <c r="F99" s="519"/>
      <c r="G99" s="519"/>
      <c r="H99" s="519"/>
      <c r="I99" s="519"/>
      <c r="J99" s="519"/>
      <c r="K99" s="766"/>
    </row>
    <row r="100" spans="1:233" ht="35.25" customHeight="1">
      <c r="A100" s="1631" t="s">
        <v>869</v>
      </c>
      <c r="B100" s="1632"/>
      <c r="C100" s="1633"/>
      <c r="D100" s="1606" t="s">
        <v>870</v>
      </c>
      <c r="E100" s="1606"/>
      <c r="F100" s="1690" t="s">
        <v>409</v>
      </c>
      <c r="G100" s="1691"/>
      <c r="H100" s="1691"/>
      <c r="I100" s="1691"/>
      <c r="J100" s="1692"/>
      <c r="K100" s="513"/>
    </row>
    <row r="101" spans="1:233" s="464" customFormat="1" ht="39.75" customHeight="1">
      <c r="A101" s="1634"/>
      <c r="B101" s="1635"/>
      <c r="C101" s="1636"/>
      <c r="D101" s="1727">
        <f>D23+M22/3</f>
        <v>0.7442129629629628</v>
      </c>
      <c r="E101" s="1729">
        <f>L20</f>
        <v>42466</v>
      </c>
      <c r="F101" s="1645"/>
      <c r="G101" s="1646"/>
      <c r="H101" s="1646"/>
      <c r="I101" s="1646"/>
      <c r="J101" s="1647"/>
      <c r="K101" s="772"/>
      <c r="L101" s="463"/>
      <c r="M101" s="463"/>
      <c r="Z101" s="468"/>
      <c r="AA101" s="468"/>
      <c r="AB101" s="468"/>
      <c r="AC101" s="468"/>
      <c r="AD101" s="468"/>
      <c r="AE101" s="468"/>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c r="HY101" s="463"/>
    </row>
    <row r="102" spans="1:233" s="464" customFormat="1" ht="27.75" customHeight="1">
      <c r="A102" s="1637"/>
      <c r="B102" s="1638"/>
      <c r="C102" s="1639"/>
      <c r="D102" s="1728"/>
      <c r="E102" s="1730"/>
      <c r="F102" s="1648"/>
      <c r="G102" s="1649"/>
      <c r="H102" s="1649"/>
      <c r="I102" s="1649"/>
      <c r="J102" s="1650"/>
      <c r="K102" s="772"/>
      <c r="L102" s="463"/>
      <c r="M102" s="463"/>
      <c r="Z102" s="468"/>
      <c r="AA102" s="468"/>
      <c r="AB102" s="468"/>
      <c r="AC102" s="468"/>
      <c r="AD102" s="468"/>
      <c r="AE102" s="468"/>
      <c r="AF102" s="463"/>
      <c r="AG102" s="463"/>
      <c r="AH102" s="463"/>
      <c r="AI102" s="463"/>
      <c r="AJ102" s="463"/>
      <c r="AK102" s="463"/>
      <c r="AL102" s="463"/>
      <c r="AM102" s="463"/>
      <c r="AN102" s="463"/>
      <c r="AO102" s="463"/>
      <c r="AP102" s="463"/>
      <c r="AQ102" s="463"/>
      <c r="AR102" s="463"/>
      <c r="AS102" s="463"/>
      <c r="AT102" s="463"/>
      <c r="AU102" s="463"/>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3"/>
      <c r="BY102" s="463"/>
      <c r="BZ102" s="463"/>
      <c r="CA102" s="463"/>
      <c r="CB102" s="463"/>
      <c r="CC102" s="463"/>
      <c r="CD102" s="463"/>
      <c r="CE102" s="463"/>
      <c r="CF102" s="463"/>
      <c r="CG102" s="463"/>
      <c r="CH102" s="463"/>
      <c r="CI102" s="463"/>
      <c r="CJ102" s="463"/>
      <c r="CK102" s="463"/>
      <c r="CL102" s="463"/>
      <c r="CM102" s="463"/>
      <c r="CN102" s="463"/>
      <c r="CO102" s="463"/>
      <c r="CP102" s="463"/>
      <c r="CQ102" s="463"/>
      <c r="CR102" s="463"/>
      <c r="CS102" s="463"/>
      <c r="CT102" s="463"/>
      <c r="CU102" s="463"/>
      <c r="CV102" s="463"/>
      <c r="CW102" s="463"/>
      <c r="CX102" s="463"/>
      <c r="CY102" s="463"/>
      <c r="CZ102" s="463"/>
      <c r="DA102" s="463"/>
      <c r="DB102" s="463"/>
      <c r="DC102" s="463"/>
      <c r="DD102" s="463"/>
      <c r="DE102" s="463"/>
      <c r="DF102" s="463"/>
      <c r="DG102" s="463"/>
      <c r="DH102" s="463"/>
      <c r="DI102" s="463"/>
      <c r="DJ102" s="463"/>
      <c r="DK102" s="463"/>
      <c r="DL102" s="463"/>
      <c r="DM102" s="463"/>
      <c r="DN102" s="463"/>
      <c r="DO102" s="463"/>
      <c r="DP102" s="463"/>
      <c r="DQ102" s="463"/>
      <c r="DR102" s="463"/>
      <c r="DS102" s="463"/>
      <c r="DT102" s="463"/>
      <c r="DU102" s="463"/>
      <c r="DV102" s="463"/>
      <c r="DW102" s="463"/>
      <c r="DX102" s="463"/>
      <c r="DY102" s="463"/>
      <c r="DZ102" s="463"/>
      <c r="EA102" s="463"/>
      <c r="EB102" s="463"/>
      <c r="EC102" s="463"/>
      <c r="ED102" s="463"/>
      <c r="EE102" s="463"/>
      <c r="EF102" s="463"/>
      <c r="EG102" s="463"/>
      <c r="EH102" s="463"/>
      <c r="EI102" s="463"/>
      <c r="EJ102" s="463"/>
      <c r="EK102" s="463"/>
      <c r="EL102" s="463"/>
      <c r="EM102" s="463"/>
      <c r="EN102" s="463"/>
      <c r="EO102" s="463"/>
      <c r="EP102" s="463"/>
      <c r="EQ102" s="463"/>
      <c r="ER102" s="463"/>
      <c r="ES102" s="463"/>
      <c r="ET102" s="463"/>
      <c r="EU102" s="463"/>
      <c r="EV102" s="463"/>
      <c r="EW102" s="463"/>
      <c r="EX102" s="463"/>
      <c r="EY102" s="463"/>
      <c r="EZ102" s="463"/>
      <c r="FA102" s="463"/>
      <c r="FB102" s="463"/>
      <c r="FC102" s="463"/>
      <c r="FD102" s="463"/>
      <c r="FE102" s="463"/>
      <c r="FF102" s="463"/>
      <c r="FG102" s="463"/>
      <c r="FH102" s="463"/>
      <c r="FI102" s="463"/>
      <c r="FJ102" s="463"/>
      <c r="FK102" s="463"/>
      <c r="FL102" s="463"/>
      <c r="FM102" s="463"/>
      <c r="FN102" s="463"/>
      <c r="FO102" s="463"/>
      <c r="FP102" s="463"/>
      <c r="FQ102" s="463"/>
      <c r="FR102" s="463"/>
      <c r="FS102" s="463"/>
      <c r="FT102" s="463"/>
      <c r="FU102" s="463"/>
      <c r="FV102" s="463"/>
      <c r="FW102" s="463"/>
      <c r="FX102" s="463"/>
      <c r="FY102" s="463"/>
      <c r="FZ102" s="463"/>
      <c r="GA102" s="463"/>
      <c r="GB102" s="463"/>
      <c r="GC102" s="463"/>
      <c r="GD102" s="463"/>
      <c r="GE102" s="463"/>
      <c r="GF102" s="463"/>
      <c r="GG102" s="463"/>
      <c r="GH102" s="463"/>
      <c r="GI102" s="463"/>
      <c r="GJ102" s="463"/>
      <c r="GK102" s="463"/>
      <c r="GL102" s="463"/>
      <c r="GM102" s="463"/>
      <c r="GN102" s="463"/>
      <c r="GO102" s="463"/>
      <c r="GP102" s="463"/>
      <c r="GQ102" s="463"/>
      <c r="GR102" s="463"/>
      <c r="GS102" s="463"/>
      <c r="GT102" s="463"/>
      <c r="GU102" s="463"/>
      <c r="GV102" s="463"/>
      <c r="GW102" s="463"/>
      <c r="GX102" s="463"/>
      <c r="GY102" s="463"/>
      <c r="GZ102" s="463"/>
      <c r="HA102" s="463"/>
      <c r="HB102" s="463"/>
      <c r="HC102" s="463"/>
      <c r="HD102" s="463"/>
      <c r="HE102" s="463"/>
      <c r="HF102" s="463"/>
      <c r="HG102" s="463"/>
      <c r="HH102" s="463"/>
      <c r="HI102" s="463"/>
      <c r="HJ102" s="463"/>
      <c r="HK102" s="463"/>
      <c r="HL102" s="463"/>
      <c r="HM102" s="463"/>
      <c r="HN102" s="463"/>
      <c r="HO102" s="463"/>
      <c r="HP102" s="463"/>
      <c r="HQ102" s="463"/>
      <c r="HR102" s="463"/>
      <c r="HS102" s="463"/>
      <c r="HT102" s="463"/>
      <c r="HU102" s="463"/>
      <c r="HV102" s="463"/>
      <c r="HW102" s="463"/>
      <c r="HX102" s="463"/>
      <c r="HY102" s="463"/>
    </row>
    <row r="103" spans="1:233" s="464" customFormat="1" ht="37.5" customHeight="1">
      <c r="A103" s="1631" t="s">
        <v>197</v>
      </c>
      <c r="B103" s="1632"/>
      <c r="C103" s="1633"/>
      <c r="D103" s="1606" t="s">
        <v>870</v>
      </c>
      <c r="E103" s="1606"/>
      <c r="F103" s="1690" t="s">
        <v>409</v>
      </c>
      <c r="G103" s="1691"/>
      <c r="H103" s="1691"/>
      <c r="I103" s="1691"/>
      <c r="J103" s="1692"/>
      <c r="K103" s="772"/>
      <c r="L103" s="463"/>
      <c r="M103" s="463"/>
      <c r="Z103" s="468"/>
      <c r="AA103" s="468"/>
      <c r="AB103" s="468"/>
      <c r="AC103" s="468"/>
      <c r="AD103" s="468"/>
      <c r="AE103" s="468"/>
      <c r="AF103" s="463"/>
      <c r="AG103" s="463"/>
      <c r="AH103" s="463"/>
      <c r="AI103" s="463"/>
      <c r="AJ103" s="463"/>
      <c r="AK103" s="463"/>
      <c r="AL103" s="463"/>
      <c r="AM103" s="463"/>
      <c r="AN103" s="463"/>
      <c r="AO103" s="463"/>
      <c r="AP103" s="463"/>
      <c r="AQ103" s="463"/>
      <c r="AR103" s="463"/>
      <c r="AS103" s="463"/>
      <c r="AT103" s="463"/>
      <c r="AU103" s="463"/>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3"/>
      <c r="BY103" s="463"/>
      <c r="BZ103" s="463"/>
      <c r="CA103" s="463"/>
      <c r="CB103" s="463"/>
      <c r="CC103" s="463"/>
      <c r="CD103" s="463"/>
      <c r="CE103" s="463"/>
      <c r="CF103" s="463"/>
      <c r="CG103" s="463"/>
      <c r="CH103" s="463"/>
      <c r="CI103" s="463"/>
      <c r="CJ103" s="463"/>
      <c r="CK103" s="463"/>
      <c r="CL103" s="463"/>
      <c r="CM103" s="463"/>
      <c r="CN103" s="463"/>
      <c r="CO103" s="463"/>
      <c r="CP103" s="463"/>
      <c r="CQ103" s="463"/>
      <c r="CR103" s="463"/>
      <c r="CS103" s="463"/>
      <c r="CT103" s="463"/>
      <c r="CU103" s="463"/>
      <c r="CV103" s="463"/>
      <c r="CW103" s="463"/>
      <c r="CX103" s="463"/>
      <c r="CY103" s="463"/>
      <c r="CZ103" s="463"/>
      <c r="DA103" s="463"/>
      <c r="DB103" s="463"/>
      <c r="DC103" s="463"/>
      <c r="DD103" s="463"/>
      <c r="DE103" s="463"/>
      <c r="DF103" s="463"/>
      <c r="DG103" s="463"/>
      <c r="DH103" s="463"/>
      <c r="DI103" s="463"/>
      <c r="DJ103" s="463"/>
      <c r="DK103" s="463"/>
      <c r="DL103" s="463"/>
      <c r="DM103" s="463"/>
      <c r="DN103" s="463"/>
      <c r="DO103" s="463"/>
      <c r="DP103" s="463"/>
      <c r="DQ103" s="463"/>
      <c r="DR103" s="463"/>
      <c r="DS103" s="463"/>
      <c r="DT103" s="463"/>
      <c r="DU103" s="463"/>
      <c r="DV103" s="463"/>
      <c r="DW103" s="463"/>
      <c r="DX103" s="463"/>
      <c r="DY103" s="463"/>
      <c r="DZ103" s="463"/>
      <c r="EA103" s="463"/>
      <c r="EB103" s="463"/>
      <c r="EC103" s="463"/>
      <c r="ED103" s="463"/>
      <c r="EE103" s="463"/>
      <c r="EF103" s="463"/>
      <c r="EG103" s="463"/>
      <c r="EH103" s="463"/>
      <c r="EI103" s="463"/>
      <c r="EJ103" s="463"/>
      <c r="EK103" s="463"/>
      <c r="EL103" s="463"/>
      <c r="EM103" s="463"/>
      <c r="EN103" s="463"/>
      <c r="EO103" s="463"/>
      <c r="EP103" s="463"/>
      <c r="EQ103" s="463"/>
      <c r="ER103" s="463"/>
      <c r="ES103" s="463"/>
      <c r="ET103" s="463"/>
      <c r="EU103" s="463"/>
      <c r="EV103" s="463"/>
      <c r="EW103" s="463"/>
      <c r="EX103" s="463"/>
      <c r="EY103" s="463"/>
      <c r="EZ103" s="463"/>
      <c r="FA103" s="463"/>
      <c r="FB103" s="463"/>
      <c r="FC103" s="463"/>
      <c r="FD103" s="463"/>
      <c r="FE103" s="463"/>
      <c r="FF103" s="463"/>
      <c r="FG103" s="463"/>
      <c r="FH103" s="463"/>
      <c r="FI103" s="463"/>
      <c r="FJ103" s="463"/>
      <c r="FK103" s="463"/>
      <c r="FL103" s="463"/>
      <c r="FM103" s="463"/>
      <c r="FN103" s="463"/>
      <c r="FO103" s="463"/>
      <c r="FP103" s="463"/>
      <c r="FQ103" s="463"/>
      <c r="FR103" s="463"/>
      <c r="FS103" s="463"/>
      <c r="FT103" s="463"/>
      <c r="FU103" s="463"/>
      <c r="FV103" s="463"/>
      <c r="FW103" s="463"/>
      <c r="FX103" s="463"/>
      <c r="FY103" s="463"/>
      <c r="FZ103" s="463"/>
      <c r="GA103" s="463"/>
      <c r="GB103" s="463"/>
      <c r="GC103" s="463"/>
      <c r="GD103" s="463"/>
      <c r="GE103" s="463"/>
      <c r="GF103" s="463"/>
      <c r="GG103" s="463"/>
      <c r="GH103" s="463"/>
      <c r="GI103" s="463"/>
      <c r="GJ103" s="463"/>
      <c r="GK103" s="463"/>
      <c r="GL103" s="463"/>
      <c r="GM103" s="463"/>
      <c r="GN103" s="463"/>
      <c r="GO103" s="463"/>
      <c r="GP103" s="463"/>
      <c r="GQ103" s="463"/>
      <c r="GR103" s="463"/>
      <c r="GS103" s="463"/>
      <c r="GT103" s="463"/>
      <c r="GU103" s="463"/>
      <c r="GV103" s="463"/>
      <c r="GW103" s="463"/>
      <c r="GX103" s="463"/>
      <c r="GY103" s="463"/>
      <c r="GZ103" s="463"/>
      <c r="HA103" s="463"/>
      <c r="HB103" s="463"/>
      <c r="HC103" s="463"/>
      <c r="HD103" s="463"/>
      <c r="HE103" s="463"/>
      <c r="HF103" s="463"/>
      <c r="HG103" s="463"/>
      <c r="HH103" s="463"/>
      <c r="HI103" s="463"/>
      <c r="HJ103" s="463"/>
      <c r="HK103" s="463"/>
      <c r="HL103" s="463"/>
      <c r="HM103" s="463"/>
      <c r="HN103" s="463"/>
      <c r="HO103" s="463"/>
      <c r="HP103" s="463"/>
      <c r="HQ103" s="463"/>
      <c r="HR103" s="463"/>
      <c r="HS103" s="463"/>
      <c r="HT103" s="463"/>
      <c r="HU103" s="463"/>
      <c r="HV103" s="463"/>
      <c r="HW103" s="463"/>
      <c r="HX103" s="463"/>
      <c r="HY103" s="463"/>
    </row>
    <row r="104" spans="1:233" s="464" customFormat="1" ht="37.5" customHeight="1">
      <c r="A104" s="1634"/>
      <c r="B104" s="1635"/>
      <c r="C104" s="1636"/>
      <c r="D104" s="1727">
        <f>D101+M22/3</f>
        <v>0.74537037037037024</v>
      </c>
      <c r="E104" s="1729">
        <f>L20</f>
        <v>42466</v>
      </c>
      <c r="F104" s="1645"/>
      <c r="G104" s="1646"/>
      <c r="H104" s="1646"/>
      <c r="I104" s="1646"/>
      <c r="J104" s="1647"/>
      <c r="K104" s="772"/>
      <c r="L104" s="463"/>
      <c r="M104" s="463"/>
      <c r="Z104" s="468"/>
      <c r="AA104" s="468"/>
      <c r="AB104" s="468"/>
      <c r="AC104" s="468"/>
      <c r="AD104" s="468"/>
      <c r="AE104" s="468"/>
      <c r="AF104" s="463"/>
      <c r="AG104" s="463"/>
      <c r="AH104" s="463"/>
      <c r="AI104" s="463"/>
      <c r="AJ104" s="463"/>
      <c r="AK104" s="463"/>
      <c r="AL104" s="463"/>
      <c r="AM104" s="463"/>
      <c r="AN104" s="463"/>
      <c r="AO104" s="463"/>
      <c r="AP104" s="463"/>
      <c r="AQ104" s="463"/>
      <c r="AR104" s="463"/>
      <c r="AS104" s="463"/>
      <c r="AT104" s="463"/>
      <c r="AU104" s="463"/>
      <c r="AV104" s="463"/>
      <c r="AW104" s="463"/>
      <c r="AX104" s="463"/>
      <c r="AY104" s="463"/>
      <c r="AZ104" s="463"/>
      <c r="BA104" s="463"/>
      <c r="BB104" s="463"/>
      <c r="BC104" s="463"/>
      <c r="BD104" s="463"/>
      <c r="BE104" s="463"/>
      <c r="BF104" s="463"/>
      <c r="BG104" s="463"/>
      <c r="BH104" s="463"/>
      <c r="BI104" s="463"/>
      <c r="BJ104" s="463"/>
      <c r="BK104" s="463"/>
      <c r="BL104" s="463"/>
      <c r="BM104" s="463"/>
      <c r="BN104" s="463"/>
      <c r="BO104" s="463"/>
      <c r="BP104" s="463"/>
      <c r="BQ104" s="463"/>
      <c r="BR104" s="463"/>
      <c r="BS104" s="463"/>
      <c r="BT104" s="463"/>
      <c r="BU104" s="463"/>
      <c r="BV104" s="463"/>
      <c r="BW104" s="463"/>
      <c r="BX104" s="463"/>
      <c r="BY104" s="463"/>
      <c r="BZ104" s="463"/>
      <c r="CA104" s="463"/>
      <c r="CB104" s="463"/>
      <c r="CC104" s="463"/>
      <c r="CD104" s="463"/>
      <c r="CE104" s="463"/>
      <c r="CF104" s="463"/>
      <c r="CG104" s="463"/>
      <c r="CH104" s="463"/>
      <c r="CI104" s="463"/>
      <c r="CJ104" s="463"/>
      <c r="CK104" s="463"/>
      <c r="CL104" s="463"/>
      <c r="CM104" s="463"/>
      <c r="CN104" s="463"/>
      <c r="CO104" s="463"/>
      <c r="CP104" s="463"/>
      <c r="CQ104" s="463"/>
      <c r="CR104" s="463"/>
      <c r="CS104" s="463"/>
      <c r="CT104" s="463"/>
      <c r="CU104" s="463"/>
      <c r="CV104" s="463"/>
      <c r="CW104" s="463"/>
      <c r="CX104" s="463"/>
      <c r="CY104" s="463"/>
      <c r="CZ104" s="463"/>
      <c r="DA104" s="463"/>
      <c r="DB104" s="463"/>
      <c r="DC104" s="463"/>
      <c r="DD104" s="463"/>
      <c r="DE104" s="463"/>
      <c r="DF104" s="463"/>
      <c r="DG104" s="463"/>
      <c r="DH104" s="463"/>
      <c r="DI104" s="463"/>
      <c r="DJ104" s="463"/>
      <c r="DK104" s="463"/>
      <c r="DL104" s="463"/>
      <c r="DM104" s="463"/>
      <c r="DN104" s="463"/>
      <c r="DO104" s="463"/>
      <c r="DP104" s="463"/>
      <c r="DQ104" s="463"/>
      <c r="DR104" s="463"/>
      <c r="DS104" s="463"/>
      <c r="DT104" s="463"/>
      <c r="DU104" s="463"/>
      <c r="DV104" s="463"/>
      <c r="DW104" s="463"/>
      <c r="DX104" s="463"/>
      <c r="DY104" s="463"/>
      <c r="DZ104" s="463"/>
      <c r="EA104" s="463"/>
      <c r="EB104" s="463"/>
      <c r="EC104" s="463"/>
      <c r="ED104" s="463"/>
      <c r="EE104" s="463"/>
      <c r="EF104" s="463"/>
      <c r="EG104" s="463"/>
      <c r="EH104" s="463"/>
      <c r="EI104" s="463"/>
      <c r="EJ104" s="463"/>
      <c r="EK104" s="463"/>
      <c r="EL104" s="463"/>
      <c r="EM104" s="463"/>
      <c r="EN104" s="463"/>
      <c r="EO104" s="463"/>
      <c r="EP104" s="463"/>
      <c r="EQ104" s="463"/>
      <c r="ER104" s="463"/>
      <c r="ES104" s="463"/>
      <c r="ET104" s="463"/>
      <c r="EU104" s="463"/>
      <c r="EV104" s="463"/>
      <c r="EW104" s="463"/>
      <c r="EX104" s="463"/>
      <c r="EY104" s="463"/>
      <c r="EZ104" s="463"/>
      <c r="FA104" s="463"/>
      <c r="FB104" s="463"/>
      <c r="FC104" s="463"/>
      <c r="FD104" s="463"/>
      <c r="FE104" s="463"/>
      <c r="FF104" s="463"/>
      <c r="FG104" s="463"/>
      <c r="FH104" s="463"/>
      <c r="FI104" s="463"/>
      <c r="FJ104" s="463"/>
      <c r="FK104" s="463"/>
      <c r="FL104" s="463"/>
      <c r="FM104" s="463"/>
      <c r="FN104" s="463"/>
      <c r="FO104" s="463"/>
      <c r="FP104" s="463"/>
      <c r="FQ104" s="463"/>
      <c r="FR104" s="463"/>
      <c r="FS104" s="463"/>
      <c r="FT104" s="463"/>
      <c r="FU104" s="463"/>
      <c r="FV104" s="463"/>
      <c r="FW104" s="463"/>
      <c r="FX104" s="463"/>
      <c r="FY104" s="463"/>
      <c r="FZ104" s="463"/>
      <c r="GA104" s="463"/>
      <c r="GB104" s="463"/>
      <c r="GC104" s="463"/>
      <c r="GD104" s="463"/>
      <c r="GE104" s="463"/>
      <c r="GF104" s="463"/>
      <c r="GG104" s="463"/>
      <c r="GH104" s="463"/>
      <c r="GI104" s="463"/>
      <c r="GJ104" s="463"/>
      <c r="GK104" s="463"/>
      <c r="GL104" s="463"/>
      <c r="GM104" s="463"/>
      <c r="GN104" s="463"/>
      <c r="GO104" s="463"/>
      <c r="GP104" s="463"/>
      <c r="GQ104" s="463"/>
      <c r="GR104" s="463"/>
      <c r="GS104" s="463"/>
      <c r="GT104" s="463"/>
      <c r="GU104" s="463"/>
      <c r="GV104" s="463"/>
      <c r="GW104" s="463"/>
      <c r="GX104" s="463"/>
      <c r="GY104" s="463"/>
      <c r="GZ104" s="463"/>
      <c r="HA104" s="463"/>
      <c r="HB104" s="463"/>
      <c r="HC104" s="463"/>
      <c r="HD104" s="463"/>
      <c r="HE104" s="463"/>
      <c r="HF104" s="463"/>
      <c r="HG104" s="463"/>
      <c r="HH104" s="463"/>
      <c r="HI104" s="463"/>
      <c r="HJ104" s="463"/>
      <c r="HK104" s="463"/>
      <c r="HL104" s="463"/>
      <c r="HM104" s="463"/>
      <c r="HN104" s="463"/>
      <c r="HO104" s="463"/>
      <c r="HP104" s="463"/>
      <c r="HQ104" s="463"/>
      <c r="HR104" s="463"/>
      <c r="HS104" s="463"/>
      <c r="HT104" s="463"/>
      <c r="HU104" s="463"/>
      <c r="HV104" s="463"/>
      <c r="HW104" s="463"/>
      <c r="HX104" s="463"/>
      <c r="HY104" s="463"/>
    </row>
    <row r="105" spans="1:233" s="464" customFormat="1" ht="42" customHeight="1">
      <c r="A105" s="1637"/>
      <c r="B105" s="1638"/>
      <c r="C105" s="1639"/>
      <c r="D105" s="1728"/>
      <c r="E105" s="1730"/>
      <c r="F105" s="1648"/>
      <c r="G105" s="1649"/>
      <c r="H105" s="1649"/>
      <c r="I105" s="1649"/>
      <c r="J105" s="1650"/>
      <c r="K105" s="772"/>
      <c r="L105" s="463"/>
      <c r="M105" s="463"/>
      <c r="Z105" s="468"/>
      <c r="AA105" s="468"/>
      <c r="AB105" s="468"/>
      <c r="AC105" s="468"/>
      <c r="AD105" s="468"/>
      <c r="AE105" s="468"/>
      <c r="AF105" s="463"/>
      <c r="AG105" s="463"/>
      <c r="AH105" s="463"/>
      <c r="AI105" s="463"/>
      <c r="AJ105" s="463"/>
      <c r="AK105" s="463"/>
      <c r="AL105" s="463"/>
      <c r="AM105" s="463"/>
      <c r="AN105" s="463"/>
      <c r="AO105" s="463"/>
      <c r="AP105" s="463"/>
      <c r="AQ105" s="463"/>
      <c r="AR105" s="463"/>
      <c r="AS105" s="463"/>
      <c r="AT105" s="463"/>
      <c r="AU105" s="463"/>
      <c r="AV105" s="463"/>
      <c r="AW105" s="463"/>
      <c r="AX105" s="463"/>
      <c r="AY105" s="463"/>
      <c r="AZ105" s="463"/>
      <c r="BA105" s="463"/>
      <c r="BB105" s="463"/>
      <c r="BC105" s="463"/>
      <c r="BD105" s="463"/>
      <c r="BE105" s="463"/>
      <c r="BF105" s="463"/>
      <c r="BG105" s="463"/>
      <c r="BH105" s="463"/>
      <c r="BI105" s="463"/>
      <c r="BJ105" s="463"/>
      <c r="BK105" s="463"/>
      <c r="BL105" s="463"/>
      <c r="BM105" s="463"/>
      <c r="BN105" s="463"/>
      <c r="BO105" s="463"/>
      <c r="BP105" s="463"/>
      <c r="BQ105" s="463"/>
      <c r="BR105" s="463"/>
      <c r="BS105" s="463"/>
      <c r="BT105" s="463"/>
      <c r="BU105" s="463"/>
      <c r="BV105" s="463"/>
      <c r="BW105" s="463"/>
      <c r="BX105" s="463"/>
      <c r="BY105" s="463"/>
      <c r="BZ105" s="463"/>
      <c r="CA105" s="463"/>
      <c r="CB105" s="463"/>
      <c r="CC105" s="463"/>
      <c r="CD105" s="463"/>
      <c r="CE105" s="463"/>
      <c r="CF105" s="463"/>
      <c r="CG105" s="463"/>
      <c r="CH105" s="463"/>
      <c r="CI105" s="463"/>
      <c r="CJ105" s="463"/>
      <c r="CK105" s="463"/>
      <c r="CL105" s="463"/>
      <c r="CM105" s="463"/>
      <c r="CN105" s="463"/>
      <c r="CO105" s="463"/>
      <c r="CP105" s="463"/>
      <c r="CQ105" s="463"/>
      <c r="CR105" s="463"/>
      <c r="CS105" s="463"/>
      <c r="CT105" s="463"/>
      <c r="CU105" s="463"/>
      <c r="CV105" s="463"/>
      <c r="CW105" s="463"/>
      <c r="CX105" s="463"/>
      <c r="CY105" s="463"/>
      <c r="CZ105" s="463"/>
      <c r="DA105" s="463"/>
      <c r="DB105" s="463"/>
      <c r="DC105" s="463"/>
      <c r="DD105" s="463"/>
      <c r="DE105" s="463"/>
      <c r="DF105" s="463"/>
      <c r="DG105" s="463"/>
      <c r="DH105" s="463"/>
      <c r="DI105" s="463"/>
      <c r="DJ105" s="463"/>
      <c r="DK105" s="463"/>
      <c r="DL105" s="463"/>
      <c r="DM105" s="463"/>
      <c r="DN105" s="463"/>
      <c r="DO105" s="463"/>
      <c r="DP105" s="463"/>
      <c r="DQ105" s="463"/>
      <c r="DR105" s="463"/>
      <c r="DS105" s="463"/>
      <c r="DT105" s="463"/>
      <c r="DU105" s="463"/>
      <c r="DV105" s="463"/>
      <c r="DW105" s="463"/>
      <c r="DX105" s="463"/>
      <c r="DY105" s="463"/>
      <c r="DZ105" s="463"/>
      <c r="EA105" s="463"/>
      <c r="EB105" s="463"/>
      <c r="EC105" s="463"/>
      <c r="ED105" s="463"/>
      <c r="EE105" s="463"/>
      <c r="EF105" s="463"/>
      <c r="EG105" s="463"/>
      <c r="EH105" s="463"/>
      <c r="EI105" s="463"/>
      <c r="EJ105" s="463"/>
      <c r="EK105" s="463"/>
      <c r="EL105" s="463"/>
      <c r="EM105" s="463"/>
      <c r="EN105" s="463"/>
      <c r="EO105" s="463"/>
      <c r="EP105" s="463"/>
      <c r="EQ105" s="463"/>
      <c r="ER105" s="463"/>
      <c r="ES105" s="463"/>
      <c r="ET105" s="463"/>
      <c r="EU105" s="463"/>
      <c r="EV105" s="463"/>
      <c r="EW105" s="463"/>
      <c r="EX105" s="463"/>
      <c r="EY105" s="463"/>
      <c r="EZ105" s="463"/>
      <c r="FA105" s="463"/>
      <c r="FB105" s="463"/>
      <c r="FC105" s="463"/>
      <c r="FD105" s="463"/>
      <c r="FE105" s="463"/>
      <c r="FF105" s="463"/>
      <c r="FG105" s="463"/>
      <c r="FH105" s="463"/>
      <c r="FI105" s="463"/>
      <c r="FJ105" s="463"/>
      <c r="FK105" s="463"/>
      <c r="FL105" s="463"/>
      <c r="FM105" s="463"/>
      <c r="FN105" s="463"/>
      <c r="FO105" s="463"/>
      <c r="FP105" s="463"/>
      <c r="FQ105" s="463"/>
      <c r="FR105" s="463"/>
      <c r="FS105" s="463"/>
      <c r="FT105" s="463"/>
      <c r="FU105" s="463"/>
      <c r="FV105" s="463"/>
      <c r="FW105" s="463"/>
      <c r="FX105" s="463"/>
      <c r="FY105" s="463"/>
      <c r="FZ105" s="463"/>
      <c r="GA105" s="463"/>
      <c r="GB105" s="463"/>
      <c r="GC105" s="463"/>
      <c r="GD105" s="463"/>
      <c r="GE105" s="463"/>
      <c r="GF105" s="463"/>
      <c r="GG105" s="463"/>
      <c r="GH105" s="463"/>
      <c r="GI105" s="463"/>
      <c r="GJ105" s="463"/>
      <c r="GK105" s="463"/>
      <c r="GL105" s="463"/>
      <c r="GM105" s="463"/>
      <c r="GN105" s="463"/>
      <c r="GO105" s="463"/>
      <c r="GP105" s="463"/>
      <c r="GQ105" s="463"/>
      <c r="GR105" s="463"/>
      <c r="GS105" s="463"/>
      <c r="GT105" s="463"/>
      <c r="GU105" s="463"/>
      <c r="GV105" s="463"/>
      <c r="GW105" s="463"/>
      <c r="GX105" s="463"/>
      <c r="GY105" s="463"/>
      <c r="GZ105" s="463"/>
      <c r="HA105" s="463"/>
      <c r="HB105" s="463"/>
      <c r="HC105" s="463"/>
      <c r="HD105" s="463"/>
      <c r="HE105" s="463"/>
      <c r="HF105" s="463"/>
      <c r="HG105" s="463"/>
      <c r="HH105" s="463"/>
      <c r="HI105" s="463"/>
      <c r="HJ105" s="463"/>
      <c r="HK105" s="463"/>
      <c r="HL105" s="463"/>
      <c r="HM105" s="463"/>
      <c r="HN105" s="463"/>
      <c r="HO105" s="463"/>
      <c r="HP105" s="463"/>
      <c r="HQ105" s="463"/>
      <c r="HR105" s="463"/>
      <c r="HS105" s="463"/>
      <c r="HT105" s="463"/>
      <c r="HU105" s="463"/>
      <c r="HV105" s="463"/>
      <c r="HW105" s="463"/>
      <c r="HX105" s="463"/>
      <c r="HY105" s="463"/>
    </row>
    <row r="106" spans="1:233" s="464" customFormat="1" ht="20.100000000000001" customHeight="1">
      <c r="A106" s="1687"/>
      <c r="B106" s="1687"/>
      <c r="C106" s="1687"/>
      <c r="D106" s="1687"/>
      <c r="E106" s="1687"/>
      <c r="F106" s="1687"/>
      <c r="G106" s="639"/>
      <c r="H106" s="544"/>
      <c r="I106" s="544"/>
      <c r="J106" s="544"/>
      <c r="K106" s="772"/>
      <c r="L106" s="463"/>
      <c r="M106" s="463"/>
      <c r="Z106" s="468"/>
      <c r="AA106" s="468"/>
      <c r="AB106" s="468"/>
      <c r="AC106" s="468"/>
      <c r="AD106" s="468"/>
      <c r="AE106" s="468"/>
      <c r="AF106" s="463"/>
      <c r="AG106" s="463"/>
      <c r="AH106" s="463"/>
      <c r="AI106" s="463"/>
      <c r="AJ106" s="463"/>
      <c r="AK106" s="463"/>
      <c r="AL106" s="463"/>
      <c r="AM106" s="463"/>
      <c r="AN106" s="463"/>
      <c r="AO106" s="463"/>
      <c r="AP106" s="463"/>
      <c r="AQ106" s="463"/>
      <c r="AR106" s="463"/>
      <c r="AS106" s="463"/>
      <c r="AT106" s="463"/>
      <c r="AU106" s="463"/>
      <c r="AV106" s="463"/>
      <c r="AW106" s="463"/>
      <c r="AX106" s="463"/>
      <c r="AY106" s="463"/>
      <c r="AZ106" s="463"/>
      <c r="BA106" s="463"/>
      <c r="BB106" s="463"/>
      <c r="BC106" s="463"/>
      <c r="BD106" s="463"/>
      <c r="BE106" s="463"/>
      <c r="BF106" s="463"/>
      <c r="BG106" s="463"/>
      <c r="BH106" s="463"/>
      <c r="BI106" s="463"/>
      <c r="BJ106" s="463"/>
      <c r="BK106" s="463"/>
      <c r="BL106" s="463"/>
      <c r="BM106" s="463"/>
      <c r="BN106" s="463"/>
      <c r="BO106" s="463"/>
      <c r="BP106" s="463"/>
      <c r="BQ106" s="463"/>
      <c r="BR106" s="463"/>
      <c r="BS106" s="463"/>
      <c r="BT106" s="463"/>
      <c r="BU106" s="463"/>
      <c r="BV106" s="463"/>
      <c r="BW106" s="463"/>
      <c r="BX106" s="463"/>
      <c r="BY106" s="463"/>
      <c r="BZ106" s="463"/>
      <c r="CA106" s="463"/>
      <c r="CB106" s="463"/>
      <c r="CC106" s="463"/>
      <c r="CD106" s="463"/>
      <c r="CE106" s="463"/>
      <c r="CF106" s="463"/>
      <c r="CG106" s="463"/>
      <c r="CH106" s="463"/>
      <c r="CI106" s="463"/>
      <c r="CJ106" s="463"/>
      <c r="CK106" s="463"/>
      <c r="CL106" s="463"/>
      <c r="CM106" s="463"/>
      <c r="CN106" s="463"/>
      <c r="CO106" s="463"/>
      <c r="CP106" s="463"/>
      <c r="CQ106" s="463"/>
      <c r="CR106" s="463"/>
      <c r="CS106" s="463"/>
      <c r="CT106" s="463"/>
      <c r="CU106" s="463"/>
      <c r="CV106" s="463"/>
      <c r="CW106" s="463"/>
      <c r="CX106" s="463"/>
      <c r="CY106" s="463"/>
      <c r="CZ106" s="463"/>
      <c r="DA106" s="463"/>
      <c r="DB106" s="463"/>
      <c r="DC106" s="463"/>
      <c r="DD106" s="463"/>
      <c r="DE106" s="463"/>
      <c r="DF106" s="463"/>
      <c r="DG106" s="463"/>
      <c r="DH106" s="463"/>
      <c r="DI106" s="463"/>
      <c r="DJ106" s="463"/>
      <c r="DK106" s="463"/>
      <c r="DL106" s="463"/>
      <c r="DM106" s="463"/>
      <c r="DN106" s="463"/>
      <c r="DO106" s="463"/>
      <c r="DP106" s="463"/>
      <c r="DQ106" s="463"/>
      <c r="DR106" s="463"/>
      <c r="DS106" s="463"/>
      <c r="DT106" s="463"/>
      <c r="DU106" s="463"/>
      <c r="DV106" s="463"/>
      <c r="DW106" s="463"/>
      <c r="DX106" s="463"/>
      <c r="DY106" s="463"/>
      <c r="DZ106" s="463"/>
      <c r="EA106" s="463"/>
      <c r="EB106" s="463"/>
      <c r="EC106" s="463"/>
      <c r="ED106" s="463"/>
      <c r="EE106" s="463"/>
      <c r="EF106" s="463"/>
      <c r="EG106" s="463"/>
      <c r="EH106" s="463"/>
      <c r="EI106" s="463"/>
      <c r="EJ106" s="463"/>
      <c r="EK106" s="463"/>
      <c r="EL106" s="463"/>
      <c r="EM106" s="463"/>
      <c r="EN106" s="463"/>
      <c r="EO106" s="463"/>
      <c r="EP106" s="463"/>
      <c r="EQ106" s="463"/>
      <c r="ER106" s="463"/>
      <c r="ES106" s="463"/>
      <c r="ET106" s="463"/>
      <c r="EU106" s="463"/>
      <c r="EV106" s="463"/>
      <c r="EW106" s="463"/>
      <c r="EX106" s="463"/>
      <c r="EY106" s="463"/>
      <c r="EZ106" s="463"/>
      <c r="FA106" s="463"/>
      <c r="FB106" s="463"/>
      <c r="FC106" s="463"/>
      <c r="FD106" s="463"/>
      <c r="FE106" s="463"/>
      <c r="FF106" s="463"/>
      <c r="FG106" s="463"/>
      <c r="FH106" s="463"/>
      <c r="FI106" s="463"/>
      <c r="FJ106" s="463"/>
      <c r="FK106" s="463"/>
      <c r="FL106" s="463"/>
      <c r="FM106" s="463"/>
      <c r="FN106" s="463"/>
      <c r="FO106" s="463"/>
      <c r="FP106" s="463"/>
      <c r="FQ106" s="463"/>
      <c r="FR106" s="463"/>
      <c r="FS106" s="463"/>
      <c r="FT106" s="463"/>
      <c r="FU106" s="463"/>
      <c r="FV106" s="463"/>
      <c r="FW106" s="463"/>
      <c r="FX106" s="463"/>
      <c r="FY106" s="463"/>
      <c r="FZ106" s="463"/>
      <c r="GA106" s="463"/>
      <c r="GB106" s="463"/>
      <c r="GC106" s="463"/>
      <c r="GD106" s="463"/>
      <c r="GE106" s="463"/>
      <c r="GF106" s="463"/>
      <c r="GG106" s="463"/>
      <c r="GH106" s="463"/>
      <c r="GI106" s="463"/>
      <c r="GJ106" s="463"/>
      <c r="GK106" s="463"/>
      <c r="GL106" s="463"/>
      <c r="GM106" s="463"/>
      <c r="GN106" s="463"/>
      <c r="GO106" s="463"/>
      <c r="GP106" s="463"/>
      <c r="GQ106" s="463"/>
      <c r="GR106" s="463"/>
      <c r="GS106" s="463"/>
      <c r="GT106" s="463"/>
      <c r="GU106" s="463"/>
      <c r="GV106" s="463"/>
      <c r="GW106" s="463"/>
      <c r="GX106" s="463"/>
      <c r="GY106" s="463"/>
      <c r="GZ106" s="463"/>
      <c r="HA106" s="463"/>
      <c r="HB106" s="463"/>
      <c r="HC106" s="463"/>
      <c r="HD106" s="463"/>
      <c r="HE106" s="463"/>
      <c r="HF106" s="463"/>
      <c r="HG106" s="463"/>
      <c r="HH106" s="463"/>
      <c r="HI106" s="463"/>
      <c r="HJ106" s="463"/>
      <c r="HK106" s="463"/>
      <c r="HL106" s="463"/>
      <c r="HM106" s="463"/>
      <c r="HN106" s="463"/>
      <c r="HO106" s="463"/>
      <c r="HP106" s="463"/>
      <c r="HQ106" s="463"/>
      <c r="HR106" s="463"/>
      <c r="HS106" s="463"/>
      <c r="HT106" s="463"/>
      <c r="HU106" s="463"/>
      <c r="HV106" s="463"/>
      <c r="HW106" s="463"/>
      <c r="HX106" s="463"/>
      <c r="HY106" s="463"/>
    </row>
    <row r="107" spans="1:233" s="464" customFormat="1" ht="16.5" customHeight="1">
      <c r="A107" s="1688"/>
      <c r="B107" s="1688"/>
      <c r="C107" s="1688"/>
      <c r="D107" s="1688"/>
      <c r="E107" s="1688"/>
      <c r="F107" s="1688"/>
      <c r="G107" s="635"/>
      <c r="H107" s="1625" t="s">
        <v>133</v>
      </c>
      <c r="I107" s="1625"/>
      <c r="J107" s="1625"/>
      <c r="K107" s="513"/>
      <c r="L107" s="463"/>
      <c r="M107" s="463"/>
      <c r="Z107" s="468"/>
      <c r="AA107" s="468"/>
      <c r="AB107" s="468"/>
      <c r="AC107" s="468"/>
      <c r="AD107" s="468"/>
      <c r="AE107" s="468"/>
      <c r="AF107" s="463"/>
      <c r="AG107" s="463"/>
      <c r="AH107" s="463"/>
      <c r="AI107" s="463"/>
      <c r="AJ107" s="463"/>
      <c r="AK107" s="463"/>
      <c r="AL107" s="463"/>
      <c r="AM107" s="463"/>
      <c r="AN107" s="463"/>
      <c r="AO107" s="463"/>
      <c r="AP107" s="463"/>
      <c r="AQ107" s="463"/>
      <c r="AR107" s="463"/>
      <c r="AS107" s="463"/>
      <c r="AT107" s="463"/>
      <c r="AU107" s="463"/>
      <c r="AV107" s="463"/>
      <c r="AW107" s="463"/>
      <c r="AX107" s="463"/>
      <c r="AY107" s="463"/>
      <c r="AZ107" s="463"/>
      <c r="BA107" s="463"/>
      <c r="BB107" s="463"/>
      <c r="BC107" s="463"/>
      <c r="BD107" s="463"/>
      <c r="BE107" s="463"/>
      <c r="BF107" s="463"/>
      <c r="BG107" s="463"/>
      <c r="BH107" s="463"/>
      <c r="BI107" s="463"/>
      <c r="BJ107" s="463"/>
      <c r="BK107" s="463"/>
      <c r="BL107" s="463"/>
      <c r="BM107" s="463"/>
      <c r="BN107" s="463"/>
      <c r="BO107" s="463"/>
      <c r="BP107" s="463"/>
      <c r="BQ107" s="463"/>
      <c r="BR107" s="463"/>
      <c r="BS107" s="463"/>
      <c r="BT107" s="463"/>
      <c r="BU107" s="463"/>
      <c r="BV107" s="463"/>
      <c r="BW107" s="463"/>
      <c r="BX107" s="463"/>
      <c r="BY107" s="463"/>
      <c r="BZ107" s="463"/>
      <c r="CA107" s="463"/>
      <c r="CB107" s="463"/>
      <c r="CC107" s="463"/>
      <c r="CD107" s="463"/>
      <c r="CE107" s="463"/>
      <c r="CF107" s="463"/>
      <c r="CG107" s="463"/>
      <c r="CH107" s="463"/>
      <c r="CI107" s="463"/>
      <c r="CJ107" s="463"/>
      <c r="CK107" s="463"/>
      <c r="CL107" s="463"/>
      <c r="CM107" s="463"/>
      <c r="CN107" s="463"/>
      <c r="CO107" s="463"/>
      <c r="CP107" s="463"/>
      <c r="CQ107" s="463"/>
      <c r="CR107" s="463"/>
      <c r="CS107" s="463"/>
      <c r="CT107" s="463"/>
      <c r="CU107" s="463"/>
      <c r="CV107" s="463"/>
      <c r="CW107" s="463"/>
      <c r="CX107" s="463"/>
      <c r="CY107" s="463"/>
      <c r="CZ107" s="463"/>
      <c r="DA107" s="463"/>
      <c r="DB107" s="463"/>
      <c r="DC107" s="463"/>
      <c r="DD107" s="463"/>
      <c r="DE107" s="463"/>
      <c r="DF107" s="463"/>
      <c r="DG107" s="463"/>
      <c r="DH107" s="463"/>
      <c r="DI107" s="463"/>
      <c r="DJ107" s="463"/>
      <c r="DK107" s="463"/>
      <c r="DL107" s="463"/>
      <c r="DM107" s="463"/>
      <c r="DN107" s="463"/>
      <c r="DO107" s="463"/>
      <c r="DP107" s="463"/>
      <c r="DQ107" s="463"/>
      <c r="DR107" s="463"/>
      <c r="DS107" s="463"/>
      <c r="DT107" s="463"/>
      <c r="DU107" s="463"/>
      <c r="DV107" s="463"/>
      <c r="DW107" s="463"/>
      <c r="DX107" s="463"/>
      <c r="DY107" s="463"/>
      <c r="DZ107" s="463"/>
      <c r="EA107" s="463"/>
      <c r="EB107" s="463"/>
      <c r="EC107" s="463"/>
      <c r="ED107" s="463"/>
      <c r="EE107" s="463"/>
      <c r="EF107" s="463"/>
      <c r="EG107" s="463"/>
      <c r="EH107" s="463"/>
      <c r="EI107" s="463"/>
      <c r="EJ107" s="463"/>
      <c r="EK107" s="463"/>
      <c r="EL107" s="463"/>
      <c r="EM107" s="463"/>
      <c r="EN107" s="463"/>
      <c r="EO107" s="463"/>
      <c r="EP107" s="463"/>
      <c r="EQ107" s="463"/>
      <c r="ER107" s="463"/>
      <c r="ES107" s="463"/>
      <c r="ET107" s="463"/>
      <c r="EU107" s="463"/>
      <c r="EV107" s="463"/>
      <c r="EW107" s="463"/>
      <c r="EX107" s="463"/>
      <c r="EY107" s="463"/>
      <c r="EZ107" s="463"/>
      <c r="FA107" s="463"/>
      <c r="FB107" s="463"/>
      <c r="FC107" s="463"/>
      <c r="FD107" s="463"/>
      <c r="FE107" s="463"/>
      <c r="FF107" s="463"/>
      <c r="FG107" s="463"/>
      <c r="FH107" s="463"/>
      <c r="FI107" s="463"/>
      <c r="FJ107" s="463"/>
      <c r="FK107" s="463"/>
      <c r="FL107" s="463"/>
      <c r="FM107" s="463"/>
      <c r="FN107" s="463"/>
      <c r="FO107" s="463"/>
      <c r="FP107" s="463"/>
      <c r="FQ107" s="463"/>
      <c r="FR107" s="463"/>
      <c r="FS107" s="463"/>
      <c r="FT107" s="463"/>
      <c r="FU107" s="463"/>
      <c r="FV107" s="463"/>
      <c r="FW107" s="463"/>
      <c r="FX107" s="463"/>
      <c r="FY107" s="463"/>
      <c r="FZ107" s="463"/>
      <c r="GA107" s="463"/>
      <c r="GB107" s="463"/>
      <c r="GC107" s="463"/>
      <c r="GD107" s="463"/>
      <c r="GE107" s="463"/>
      <c r="GF107" s="463"/>
      <c r="GG107" s="463"/>
      <c r="GH107" s="463"/>
      <c r="GI107" s="463"/>
      <c r="GJ107" s="463"/>
      <c r="GK107" s="463"/>
      <c r="GL107" s="463"/>
      <c r="GM107" s="463"/>
      <c r="GN107" s="463"/>
      <c r="GO107" s="463"/>
      <c r="GP107" s="463"/>
      <c r="GQ107" s="463"/>
      <c r="GR107" s="463"/>
      <c r="GS107" s="463"/>
      <c r="GT107" s="463"/>
      <c r="GU107" s="463"/>
      <c r="GV107" s="463"/>
      <c r="GW107" s="463"/>
      <c r="GX107" s="463"/>
      <c r="GY107" s="463"/>
      <c r="GZ107" s="463"/>
      <c r="HA107" s="463"/>
      <c r="HB107" s="463"/>
      <c r="HC107" s="463"/>
      <c r="HD107" s="463"/>
      <c r="HE107" s="463"/>
      <c r="HF107" s="463"/>
      <c r="HG107" s="463"/>
      <c r="HH107" s="463"/>
      <c r="HI107" s="463"/>
      <c r="HJ107" s="463"/>
      <c r="HK107" s="463"/>
      <c r="HL107" s="463"/>
      <c r="HM107" s="463"/>
      <c r="HN107" s="463"/>
      <c r="HO107" s="463"/>
      <c r="HP107" s="463"/>
      <c r="HQ107" s="463"/>
      <c r="HR107" s="463"/>
      <c r="HS107" s="463"/>
      <c r="HT107" s="463"/>
      <c r="HU107" s="463"/>
      <c r="HV107" s="463"/>
      <c r="HW107" s="463"/>
      <c r="HX107" s="463"/>
      <c r="HY107" s="463"/>
    </row>
    <row r="108" spans="1:233" s="464" customFormat="1" ht="20.100000000000001" customHeight="1">
      <c r="A108" s="1619" t="s">
        <v>412</v>
      </c>
      <c r="B108" s="1619"/>
      <c r="C108" s="1619"/>
      <c r="D108" s="1619"/>
      <c r="E108" s="1619"/>
      <c r="F108" s="1619"/>
      <c r="G108" s="1619"/>
      <c r="H108" s="513"/>
      <c r="I108" s="513"/>
      <c r="J108" s="513"/>
      <c r="K108" s="531"/>
      <c r="L108" s="463"/>
      <c r="M108" s="463"/>
      <c r="Z108" s="468"/>
      <c r="AA108" s="468"/>
      <c r="AB108" s="468"/>
      <c r="AC108" s="468"/>
      <c r="AD108" s="468"/>
      <c r="AE108" s="468"/>
      <c r="AF108" s="463"/>
      <c r="AG108" s="463"/>
      <c r="AH108" s="463"/>
      <c r="AI108" s="463"/>
      <c r="AJ108" s="463"/>
      <c r="AK108" s="463"/>
      <c r="AL108" s="463"/>
      <c r="AM108" s="463"/>
      <c r="AN108" s="463"/>
      <c r="AO108" s="463"/>
      <c r="AP108" s="463"/>
      <c r="AQ108" s="463"/>
      <c r="AR108" s="463"/>
      <c r="AS108" s="463"/>
      <c r="AT108" s="463"/>
      <c r="AU108" s="463"/>
      <c r="AV108" s="463"/>
      <c r="AW108" s="463"/>
      <c r="AX108" s="463"/>
      <c r="AY108" s="463"/>
      <c r="AZ108" s="463"/>
      <c r="BA108" s="463"/>
      <c r="BB108" s="463"/>
      <c r="BC108" s="463"/>
      <c r="BD108" s="463"/>
      <c r="BE108" s="463"/>
      <c r="BF108" s="463"/>
      <c r="BG108" s="463"/>
      <c r="BH108" s="463"/>
      <c r="BI108" s="463"/>
      <c r="BJ108" s="463"/>
      <c r="BK108" s="463"/>
      <c r="BL108" s="463"/>
      <c r="BM108" s="463"/>
      <c r="BN108" s="463"/>
      <c r="BO108" s="463"/>
      <c r="BP108" s="463"/>
      <c r="BQ108" s="463"/>
      <c r="BR108" s="463"/>
      <c r="BS108" s="463"/>
      <c r="BT108" s="463"/>
      <c r="BU108" s="463"/>
      <c r="BV108" s="463"/>
      <c r="BW108" s="463"/>
      <c r="BX108" s="463"/>
      <c r="BY108" s="463"/>
      <c r="BZ108" s="463"/>
      <c r="CA108" s="463"/>
      <c r="CB108" s="463"/>
      <c r="CC108" s="463"/>
      <c r="CD108" s="463"/>
      <c r="CE108" s="463"/>
      <c r="CF108" s="463"/>
      <c r="CG108" s="463"/>
      <c r="CH108" s="463"/>
      <c r="CI108" s="463"/>
      <c r="CJ108" s="463"/>
      <c r="CK108" s="463"/>
      <c r="CL108" s="463"/>
      <c r="CM108" s="463"/>
      <c r="CN108" s="463"/>
      <c r="CO108" s="463"/>
      <c r="CP108" s="463"/>
      <c r="CQ108" s="463"/>
      <c r="CR108" s="463"/>
      <c r="CS108" s="463"/>
      <c r="CT108" s="463"/>
      <c r="CU108" s="463"/>
      <c r="CV108" s="463"/>
      <c r="CW108" s="463"/>
      <c r="CX108" s="463"/>
      <c r="CY108" s="463"/>
      <c r="CZ108" s="463"/>
      <c r="DA108" s="463"/>
      <c r="DB108" s="463"/>
      <c r="DC108" s="463"/>
      <c r="DD108" s="463"/>
      <c r="DE108" s="463"/>
      <c r="DF108" s="463"/>
      <c r="DG108" s="463"/>
      <c r="DH108" s="463"/>
      <c r="DI108" s="463"/>
      <c r="DJ108" s="463"/>
      <c r="DK108" s="463"/>
      <c r="DL108" s="463"/>
      <c r="DM108" s="463"/>
      <c r="DN108" s="463"/>
      <c r="DO108" s="463"/>
      <c r="DP108" s="463"/>
      <c r="DQ108" s="463"/>
      <c r="DR108" s="463"/>
      <c r="DS108" s="463"/>
      <c r="DT108" s="463"/>
      <c r="DU108" s="463"/>
      <c r="DV108" s="463"/>
      <c r="DW108" s="463"/>
      <c r="DX108" s="463"/>
      <c r="DY108" s="463"/>
      <c r="DZ108" s="463"/>
      <c r="EA108" s="463"/>
      <c r="EB108" s="463"/>
      <c r="EC108" s="463"/>
      <c r="ED108" s="463"/>
      <c r="EE108" s="463"/>
      <c r="EF108" s="463"/>
      <c r="EG108" s="463"/>
      <c r="EH108" s="463"/>
      <c r="EI108" s="463"/>
      <c r="EJ108" s="463"/>
      <c r="EK108" s="463"/>
      <c r="EL108" s="463"/>
      <c r="EM108" s="463"/>
      <c r="EN108" s="463"/>
      <c r="EO108" s="463"/>
      <c r="EP108" s="463"/>
      <c r="EQ108" s="463"/>
      <c r="ER108" s="463"/>
      <c r="ES108" s="463"/>
      <c r="ET108" s="463"/>
      <c r="EU108" s="463"/>
      <c r="EV108" s="463"/>
      <c r="EW108" s="463"/>
      <c r="EX108" s="463"/>
      <c r="EY108" s="463"/>
      <c r="EZ108" s="463"/>
      <c r="FA108" s="463"/>
      <c r="FB108" s="463"/>
      <c r="FC108" s="463"/>
      <c r="FD108" s="463"/>
      <c r="FE108" s="463"/>
      <c r="FF108" s="463"/>
      <c r="FG108" s="463"/>
      <c r="FH108" s="463"/>
      <c r="FI108" s="463"/>
      <c r="FJ108" s="463"/>
      <c r="FK108" s="463"/>
      <c r="FL108" s="463"/>
      <c r="FM108" s="463"/>
      <c r="FN108" s="463"/>
      <c r="FO108" s="463"/>
      <c r="FP108" s="463"/>
      <c r="FQ108" s="463"/>
      <c r="FR108" s="463"/>
      <c r="FS108" s="463"/>
      <c r="FT108" s="463"/>
      <c r="FU108" s="463"/>
      <c r="FV108" s="463"/>
      <c r="FW108" s="463"/>
      <c r="FX108" s="463"/>
      <c r="FY108" s="463"/>
      <c r="FZ108" s="463"/>
      <c r="GA108" s="463"/>
      <c r="GB108" s="463"/>
      <c r="GC108" s="463"/>
      <c r="GD108" s="463"/>
      <c r="GE108" s="463"/>
      <c r="GF108" s="463"/>
      <c r="GG108" s="463"/>
      <c r="GH108" s="463"/>
      <c r="GI108" s="463"/>
      <c r="GJ108" s="463"/>
      <c r="GK108" s="463"/>
      <c r="GL108" s="463"/>
      <c r="GM108" s="463"/>
      <c r="GN108" s="463"/>
      <c r="GO108" s="463"/>
      <c r="GP108" s="463"/>
      <c r="GQ108" s="463"/>
      <c r="GR108" s="463"/>
      <c r="GS108" s="463"/>
      <c r="GT108" s="463"/>
      <c r="GU108" s="463"/>
      <c r="GV108" s="463"/>
      <c r="GW108" s="463"/>
      <c r="GX108" s="463"/>
      <c r="GY108" s="463"/>
      <c r="GZ108" s="463"/>
      <c r="HA108" s="463"/>
      <c r="HB108" s="463"/>
      <c r="HC108" s="463"/>
      <c r="HD108" s="463"/>
      <c r="HE108" s="463"/>
      <c r="HF108" s="463"/>
      <c r="HG108" s="463"/>
      <c r="HH108" s="463"/>
      <c r="HI108" s="463"/>
      <c r="HJ108" s="463"/>
      <c r="HK108" s="463"/>
      <c r="HL108" s="463"/>
      <c r="HM108" s="463"/>
      <c r="HN108" s="463"/>
      <c r="HO108" s="463"/>
      <c r="HP108" s="463"/>
      <c r="HQ108" s="463"/>
      <c r="HR108" s="463"/>
      <c r="HS108" s="463"/>
      <c r="HT108" s="463"/>
      <c r="HU108" s="463"/>
      <c r="HV108" s="463"/>
      <c r="HW108" s="463"/>
      <c r="HX108" s="463"/>
      <c r="HY108" s="463"/>
    </row>
    <row r="109" spans="1:233" ht="20.100000000000001" customHeight="1">
      <c r="A109" s="1620" t="s">
        <v>413</v>
      </c>
      <c r="B109" s="1620"/>
      <c r="C109" s="1620"/>
      <c r="D109" s="1620"/>
      <c r="E109" s="1620"/>
      <c r="F109" s="1620"/>
      <c r="G109" s="1620"/>
      <c r="H109" s="513"/>
      <c r="I109" s="513"/>
      <c r="J109" s="513"/>
      <c r="K109" s="513"/>
      <c r="N109" s="463"/>
      <c r="O109" s="463"/>
      <c r="P109" s="463"/>
      <c r="Q109" s="463"/>
      <c r="R109" s="463"/>
      <c r="S109" s="463"/>
      <c r="T109" s="463"/>
      <c r="U109" s="463"/>
      <c r="V109" s="463"/>
      <c r="W109" s="463"/>
      <c r="X109" s="463"/>
      <c r="Y109" s="463"/>
      <c r="Z109" s="463"/>
      <c r="AA109" s="463"/>
      <c r="AB109" s="463"/>
      <c r="AC109" s="463"/>
      <c r="AD109" s="463"/>
      <c r="AE109" s="463"/>
    </row>
    <row r="110" spans="1:233" ht="16.5" customHeight="1">
      <c r="A110" s="1620" t="s">
        <v>414</v>
      </c>
      <c r="B110" s="1620"/>
      <c r="C110" s="1620"/>
      <c r="D110" s="1620"/>
      <c r="E110" s="1620"/>
      <c r="F110" s="1620"/>
      <c r="G110" s="1620"/>
      <c r="H110" s="513"/>
      <c r="I110" s="513"/>
      <c r="J110" s="513"/>
      <c r="K110" s="513"/>
      <c r="N110" s="463"/>
      <c r="O110" s="463"/>
      <c r="P110" s="463"/>
      <c r="Q110" s="463"/>
      <c r="R110" s="463"/>
      <c r="S110" s="463"/>
      <c r="T110" s="463"/>
      <c r="U110" s="463"/>
      <c r="V110" s="463"/>
      <c r="W110" s="463"/>
      <c r="X110" s="463"/>
      <c r="Y110" s="463"/>
      <c r="Z110" s="463"/>
      <c r="AA110" s="463"/>
      <c r="AB110" s="463"/>
      <c r="AC110" s="463"/>
      <c r="AD110" s="463"/>
      <c r="AE110" s="463"/>
    </row>
    <row r="111" spans="1:233" ht="16.5" customHeight="1">
      <c r="A111" s="1620" t="s">
        <v>415</v>
      </c>
      <c r="B111" s="1620"/>
      <c r="C111" s="1620"/>
      <c r="D111" s="1620"/>
      <c r="E111" s="1620"/>
      <c r="F111" s="1620"/>
      <c r="G111" s="1620"/>
      <c r="H111" s="513"/>
      <c r="I111" s="513"/>
      <c r="J111" s="513"/>
      <c r="K111" s="513"/>
      <c r="N111" s="463"/>
      <c r="O111" s="463"/>
      <c r="P111" s="463"/>
      <c r="Q111" s="463"/>
      <c r="R111" s="463"/>
      <c r="S111" s="463"/>
      <c r="T111" s="463"/>
      <c r="U111" s="463"/>
      <c r="V111" s="463"/>
      <c r="W111" s="463"/>
      <c r="X111" s="463"/>
      <c r="Y111" s="463"/>
      <c r="Z111" s="463"/>
      <c r="AA111" s="463"/>
      <c r="AB111" s="463"/>
      <c r="AC111" s="463"/>
      <c r="AD111" s="463"/>
      <c r="AE111" s="463"/>
    </row>
    <row r="112" spans="1:233" ht="16.5" customHeight="1">
      <c r="A112" s="1620" t="s">
        <v>416</v>
      </c>
      <c r="B112" s="1620"/>
      <c r="C112" s="1620"/>
      <c r="D112" s="1620"/>
      <c r="E112" s="1620"/>
      <c r="F112" s="1620"/>
      <c r="G112" s="1620"/>
      <c r="H112" s="513"/>
      <c r="I112" s="513"/>
      <c r="J112" s="513"/>
      <c r="K112" s="513"/>
      <c r="N112" s="463"/>
      <c r="O112" s="463"/>
      <c r="P112" s="463"/>
      <c r="Q112" s="463"/>
      <c r="R112" s="463"/>
      <c r="S112" s="463"/>
      <c r="T112" s="463"/>
      <c r="U112" s="463"/>
      <c r="V112" s="463"/>
      <c r="W112" s="463"/>
      <c r="X112" s="463"/>
      <c r="Y112" s="463"/>
      <c r="Z112" s="463"/>
      <c r="AA112" s="463"/>
      <c r="AB112" s="463"/>
      <c r="AC112" s="463"/>
      <c r="AD112" s="463"/>
      <c r="AE112" s="463"/>
    </row>
    <row r="113" spans="1:31" ht="16.5">
      <c r="A113" s="1620" t="s">
        <v>417</v>
      </c>
      <c r="B113" s="1620"/>
      <c r="C113" s="1620"/>
      <c r="D113" s="1620"/>
      <c r="E113" s="1620"/>
      <c r="F113" s="1620"/>
      <c r="G113" s="1620"/>
      <c r="H113" s="513"/>
      <c r="I113" s="513"/>
      <c r="J113" s="513"/>
      <c r="K113" s="513"/>
      <c r="N113" s="463"/>
      <c r="O113" s="463"/>
      <c r="P113" s="463"/>
      <c r="Q113" s="463"/>
      <c r="R113" s="463"/>
      <c r="S113" s="463"/>
      <c r="T113" s="463"/>
      <c r="U113" s="463"/>
      <c r="V113" s="463"/>
      <c r="W113" s="463"/>
      <c r="X113" s="463"/>
      <c r="Y113" s="463"/>
      <c r="Z113" s="463"/>
      <c r="AA113" s="463"/>
      <c r="AB113" s="463"/>
      <c r="AC113" s="463"/>
      <c r="AD113" s="463"/>
      <c r="AE113" s="463"/>
    </row>
    <row r="114" spans="1:31" ht="16.5">
      <c r="A114" s="1624"/>
      <c r="B114" s="1624"/>
      <c r="C114" s="1624"/>
      <c r="D114" s="1624"/>
      <c r="E114" s="1624"/>
      <c r="F114" s="1624"/>
      <c r="G114" s="1624"/>
      <c r="H114" s="1625"/>
      <c r="I114" s="1625"/>
      <c r="J114" s="1625"/>
      <c r="K114" s="513"/>
      <c r="N114" s="463"/>
      <c r="O114" s="463"/>
      <c r="P114" s="463"/>
      <c r="Q114" s="463"/>
      <c r="R114" s="463"/>
      <c r="S114" s="463"/>
      <c r="T114" s="463"/>
      <c r="U114" s="463"/>
      <c r="V114" s="463"/>
      <c r="W114" s="463"/>
      <c r="X114" s="463"/>
      <c r="Y114" s="463"/>
      <c r="Z114" s="463"/>
      <c r="AA114" s="463"/>
      <c r="AB114" s="463"/>
      <c r="AC114" s="463"/>
      <c r="AD114" s="463"/>
      <c r="AE114" s="463"/>
    </row>
    <row r="115" spans="1:31" ht="16.5">
      <c r="A115" s="636"/>
      <c r="B115" s="636"/>
      <c r="C115" s="636"/>
      <c r="D115" s="636"/>
      <c r="E115" s="636"/>
      <c r="F115" s="636"/>
      <c r="G115" s="636"/>
      <c r="H115" s="531"/>
      <c r="I115" s="531"/>
      <c r="J115" s="531"/>
      <c r="K115" s="531"/>
      <c r="N115" s="463"/>
      <c r="O115" s="463"/>
      <c r="P115" s="463"/>
      <c r="Q115" s="463"/>
      <c r="R115" s="463"/>
      <c r="S115" s="463"/>
      <c r="T115" s="463"/>
      <c r="U115" s="463"/>
      <c r="V115" s="463"/>
      <c r="W115" s="463"/>
      <c r="X115" s="463"/>
      <c r="Y115" s="463"/>
      <c r="Z115" s="463"/>
      <c r="AA115" s="463"/>
      <c r="AB115" s="463"/>
      <c r="AC115" s="463"/>
      <c r="AD115" s="463"/>
      <c r="AE115" s="463"/>
    </row>
    <row r="116" spans="1:31" ht="16.5">
      <c r="A116" s="636"/>
      <c r="B116" s="636"/>
      <c r="C116" s="636"/>
      <c r="D116" s="636"/>
      <c r="E116" s="636"/>
      <c r="F116" s="636"/>
      <c r="G116" s="636"/>
      <c r="H116" s="531"/>
      <c r="I116" s="531"/>
      <c r="J116" s="531"/>
      <c r="K116" s="531"/>
      <c r="N116" s="463"/>
      <c r="O116" s="463"/>
      <c r="P116" s="463"/>
      <c r="Q116" s="463"/>
      <c r="R116" s="463"/>
      <c r="S116" s="463"/>
      <c r="T116" s="463"/>
      <c r="U116" s="463"/>
      <c r="V116" s="463"/>
      <c r="W116" s="463"/>
      <c r="X116" s="463"/>
      <c r="Y116" s="463"/>
      <c r="Z116" s="463"/>
      <c r="AA116" s="463"/>
      <c r="AB116" s="463"/>
      <c r="AC116" s="463"/>
      <c r="AD116" s="463"/>
      <c r="AE116" s="463"/>
    </row>
    <row r="117" spans="1:31" ht="18.75">
      <c r="A117" s="1682" t="s">
        <v>77</v>
      </c>
      <c r="B117" s="1682"/>
      <c r="C117" s="1682"/>
      <c r="D117" s="1682"/>
      <c r="E117" s="1682"/>
      <c r="F117" s="1682"/>
      <c r="G117" s="1682"/>
      <c r="H117" s="1682"/>
      <c r="I117" s="1682"/>
      <c r="J117" s="1682"/>
      <c r="K117" s="531"/>
      <c r="N117" s="463"/>
      <c r="O117" s="463"/>
      <c r="P117" s="463"/>
      <c r="Q117" s="463"/>
      <c r="R117" s="463"/>
      <c r="S117" s="463"/>
      <c r="T117" s="463"/>
      <c r="U117" s="463"/>
      <c r="V117" s="463"/>
      <c r="W117" s="463"/>
      <c r="X117" s="463"/>
      <c r="Y117" s="463"/>
      <c r="Z117" s="463"/>
      <c r="AA117" s="463"/>
      <c r="AB117" s="463"/>
      <c r="AC117" s="463"/>
      <c r="AD117" s="463"/>
      <c r="AE117" s="463"/>
    </row>
    <row r="118" spans="1:31" ht="20.100000000000001" customHeight="1">
      <c r="A118" s="1683" t="s">
        <v>80</v>
      </c>
      <c r="B118" s="1683"/>
      <c r="C118" s="1683"/>
      <c r="D118" s="1683"/>
      <c r="E118" s="1683"/>
      <c r="F118" s="1683"/>
      <c r="G118" s="1683"/>
      <c r="H118" s="1683"/>
      <c r="I118" s="1683"/>
      <c r="J118" s="1683"/>
      <c r="K118" s="751"/>
    </row>
    <row r="119" spans="1:31" ht="20.100000000000001" customHeight="1">
      <c r="A119" s="1616" t="s">
        <v>82</v>
      </c>
      <c r="B119" s="1616"/>
      <c r="C119" s="1616"/>
      <c r="D119" s="1616"/>
      <c r="E119" s="1616"/>
      <c r="F119" s="1616"/>
      <c r="G119" s="1616"/>
      <c r="H119" s="1616"/>
      <c r="I119" s="1616"/>
      <c r="J119" s="1616"/>
      <c r="K119" s="752"/>
      <c r="M119" s="464"/>
      <c r="N119" s="465"/>
    </row>
    <row r="120" spans="1:31" ht="20.100000000000001" customHeight="1">
      <c r="A120" s="1684" t="str">
        <f>F84</f>
        <v>Quảng Ninh, ngày……..tháng…….năm 2016</v>
      </c>
      <c r="B120" s="1684"/>
      <c r="C120" s="1684"/>
      <c r="D120" s="1684"/>
      <c r="E120" s="1684"/>
      <c r="F120" s="1684"/>
      <c r="G120" s="1684"/>
      <c r="H120" s="1684"/>
      <c r="I120" s="1684"/>
      <c r="J120" s="1684"/>
      <c r="K120" s="737"/>
      <c r="M120" s="467"/>
      <c r="P120" s="466"/>
      <c r="Q120" s="466"/>
      <c r="R120" s="467"/>
    </row>
    <row r="121" spans="1:31" ht="20.100000000000001" customHeight="1">
      <c r="A121" s="1685" t="s">
        <v>134</v>
      </c>
      <c r="B121" s="1618"/>
      <c r="C121" s="1618"/>
      <c r="D121" s="1618"/>
      <c r="E121" s="1618"/>
      <c r="F121" s="1618"/>
      <c r="G121" s="1618"/>
      <c r="H121" s="1618"/>
      <c r="I121" s="1618"/>
      <c r="J121" s="1618"/>
      <c r="K121" s="759"/>
      <c r="M121" s="469"/>
      <c r="O121" s="467"/>
      <c r="P121" s="466"/>
      <c r="Q121" s="466"/>
      <c r="R121" s="467"/>
    </row>
    <row r="122" spans="1:31" ht="24.95" customHeight="1">
      <c r="A122" s="1686" t="str">
        <f>A87</f>
        <v>SỐ: TGHL-HT-CWI-C&amp;S-B1/800</v>
      </c>
      <c r="B122" s="1686"/>
      <c r="C122" s="1686"/>
      <c r="D122" s="1686"/>
      <c r="E122" s="1686"/>
      <c r="F122" s="1686"/>
      <c r="G122" s="1686"/>
      <c r="H122" s="1686"/>
      <c r="I122" s="1686"/>
      <c r="J122" s="1686"/>
      <c r="K122" s="736"/>
      <c r="M122" s="469"/>
      <c r="O122" s="467"/>
      <c r="P122" s="466"/>
      <c r="Q122" s="466"/>
      <c r="R122" s="467"/>
    </row>
    <row r="123" spans="1:31" ht="20.100000000000001" customHeight="1">
      <c r="A123" s="471"/>
      <c r="B123" s="471"/>
      <c r="C123" s="471"/>
      <c r="D123" s="471"/>
      <c r="E123" s="471"/>
      <c r="F123" s="471"/>
      <c r="G123" s="471"/>
      <c r="H123" s="471"/>
      <c r="I123" s="471"/>
      <c r="J123" s="471"/>
      <c r="K123" s="888"/>
      <c r="M123" s="469"/>
      <c r="O123" s="467"/>
      <c r="Q123" s="467"/>
    </row>
    <row r="124" spans="1:31" ht="14.25" customHeight="1">
      <c r="A124" s="641" t="str">
        <f>A88</f>
        <v>DỰ ÁN:</v>
      </c>
      <c r="B124" s="476"/>
      <c r="C124" s="1615" t="str">
        <f>C88</f>
        <v>KHU HỖN HỢP CHUNG CƯ, VĂN PHÒNG, TRUNG TÂM THƯƠNG MẠI VÀ NHÀ Ở KẾT HỢP KHU MUA SẮM</v>
      </c>
      <c r="D124" s="1615"/>
      <c r="E124" s="1615"/>
      <c r="F124" s="1615"/>
      <c r="G124" s="1615"/>
      <c r="H124" s="1615"/>
      <c r="I124" s="1615"/>
      <c r="J124" s="1615"/>
      <c r="K124" s="471"/>
      <c r="N124" s="469"/>
      <c r="P124" s="466"/>
      <c r="Q124" s="466"/>
      <c r="R124" s="467"/>
    </row>
    <row r="125" spans="1:31" s="472" customFormat="1" ht="35.1" customHeight="1">
      <c r="A125" s="641" t="str">
        <f>A89</f>
        <v>CÔNG TRÌNH:</v>
      </c>
      <c r="B125" s="476"/>
      <c r="C125" s="1615" t="str">
        <f>C89</f>
        <v>KHU HỖN HỢP CHUNG CƯ, VĂN PHÒNG, TTTM</v>
      </c>
      <c r="D125" s="1615"/>
      <c r="E125" s="1615"/>
      <c r="F125" s="1615"/>
      <c r="G125" s="1615"/>
      <c r="H125" s="1615"/>
      <c r="I125" s="1615"/>
      <c r="J125" s="1615"/>
      <c r="K125" s="498"/>
      <c r="M125" s="463"/>
      <c r="N125" s="469"/>
      <c r="O125" s="467"/>
      <c r="P125" s="466"/>
      <c r="Q125" s="466"/>
      <c r="R125" s="467"/>
      <c r="S125" s="464"/>
      <c r="T125" s="464"/>
      <c r="U125" s="464"/>
      <c r="V125" s="474"/>
      <c r="W125" s="474"/>
      <c r="X125" s="474"/>
      <c r="Y125" s="474"/>
      <c r="Z125" s="475"/>
      <c r="AA125" s="475"/>
      <c r="AB125" s="475"/>
      <c r="AC125" s="475"/>
      <c r="AD125" s="475"/>
      <c r="AE125" s="475"/>
    </row>
    <row r="126" spans="1:31" s="472" customFormat="1" ht="16.5">
      <c r="A126" s="641" t="str">
        <f>A90</f>
        <v>GÓI THẦU :</v>
      </c>
      <c r="B126" s="476"/>
      <c r="C126" s="1615" t="str">
        <f>C90</f>
        <v>THI CÔNG CỌC KHOAN NHỒI</v>
      </c>
      <c r="D126" s="1615"/>
      <c r="E126" s="1615"/>
      <c r="F126" s="1615"/>
      <c r="G126" s="1615"/>
      <c r="H126" s="1615"/>
      <c r="I126" s="1615"/>
      <c r="J126" s="1615"/>
      <c r="K126" s="498"/>
      <c r="M126" s="463"/>
      <c r="N126" s="469"/>
      <c r="O126" s="467"/>
      <c r="P126" s="466"/>
      <c r="Q126" s="466"/>
      <c r="R126" s="467"/>
      <c r="S126" s="464"/>
      <c r="T126" s="464"/>
      <c r="U126" s="464"/>
      <c r="V126" s="474"/>
      <c r="W126" s="474"/>
      <c r="X126" s="474"/>
      <c r="Y126" s="474"/>
      <c r="Z126" s="475"/>
      <c r="AA126" s="475"/>
      <c r="AB126" s="475"/>
      <c r="AC126" s="475"/>
      <c r="AD126" s="475"/>
      <c r="AE126" s="475"/>
    </row>
    <row r="127" spans="1:31" ht="20.100000000000001" customHeight="1">
      <c r="A127" s="641" t="str">
        <f>A91</f>
        <v>ĐỊA ĐIỂM :</v>
      </c>
      <c r="B127" s="476"/>
      <c r="C127" s="1615" t="str">
        <f>C91</f>
        <v>ĐƯỜNG 25/4, P BẠCH ĐẰNG, TP. HẠ LONG, TỈNH QUẢNG NINH</v>
      </c>
      <c r="D127" s="1615"/>
      <c r="E127" s="1615"/>
      <c r="F127" s="1615"/>
      <c r="G127" s="1615"/>
      <c r="H127" s="1615"/>
      <c r="I127" s="1615"/>
      <c r="J127" s="1615"/>
      <c r="K127" s="498"/>
      <c r="M127" s="469"/>
      <c r="N127" s="467"/>
      <c r="O127" s="467"/>
      <c r="P127" s="466"/>
      <c r="Q127" s="466"/>
      <c r="R127" s="467"/>
      <c r="U127" s="474"/>
    </row>
    <row r="128" spans="1:31" ht="20.100000000000001" customHeight="1">
      <c r="A128" s="1596" t="s">
        <v>89</v>
      </c>
      <c r="B128" s="1596"/>
      <c r="C128" s="1596"/>
      <c r="D128" s="1596"/>
      <c r="E128" s="1596"/>
      <c r="F128" s="1596"/>
      <c r="G128" s="1596"/>
      <c r="H128" s="1596"/>
      <c r="I128" s="1596"/>
      <c r="J128" s="1596"/>
      <c r="K128" s="498"/>
      <c r="M128" s="469"/>
      <c r="N128" s="469"/>
      <c r="P128" s="478"/>
      <c r="Q128" s="479"/>
      <c r="R128" s="469"/>
      <c r="S128" s="474"/>
      <c r="T128" s="474"/>
    </row>
    <row r="129" spans="1:31" s="472" customFormat="1" ht="20.100000000000001" customHeight="1">
      <c r="A129" s="1610" t="str">
        <f>A13</f>
        <v>Gia công, lắp dựng cốt thép cọc số hiệu B1</v>
      </c>
      <c r="B129" s="1622"/>
      <c r="C129" s="1622"/>
      <c r="D129" s="1622"/>
      <c r="E129" s="1622"/>
      <c r="F129" s="1622"/>
      <c r="G129" s="1622"/>
      <c r="H129" s="1622"/>
      <c r="I129" s="1622"/>
      <c r="J129" s="1622"/>
      <c r="K129" s="741"/>
      <c r="M129" s="469"/>
      <c r="N129" s="469"/>
      <c r="O129" s="470"/>
      <c r="P129" s="466"/>
      <c r="Q129" s="479"/>
      <c r="R129" s="469"/>
      <c r="S129" s="464"/>
      <c r="T129" s="464"/>
      <c r="U129" s="464"/>
      <c r="V129" s="474"/>
      <c r="W129" s="474"/>
      <c r="X129" s="474"/>
      <c r="Y129" s="474"/>
      <c r="Z129" s="475"/>
      <c r="AA129" s="475"/>
      <c r="AB129" s="475"/>
      <c r="AC129" s="475"/>
      <c r="AD129" s="475"/>
      <c r="AE129" s="475"/>
    </row>
    <row r="130" spans="1:31" s="175" customFormat="1" ht="20.100000000000001" customHeight="1">
      <c r="A130" s="1596" t="s">
        <v>859</v>
      </c>
      <c r="B130" s="1596"/>
      <c r="C130" s="1596"/>
      <c r="D130" s="1596"/>
      <c r="E130" s="1596"/>
      <c r="F130" s="1596"/>
      <c r="G130" s="1596"/>
      <c r="H130" s="1596"/>
      <c r="I130" s="1596"/>
      <c r="J130" s="1596"/>
      <c r="K130"/>
      <c r="M130" s="520"/>
      <c r="N130" s="520"/>
      <c r="O130" s="473"/>
      <c r="P130" s="466"/>
      <c r="Q130" s="479"/>
      <c r="R130" s="469"/>
      <c r="S130" s="464"/>
      <c r="T130" s="464"/>
    </row>
    <row r="131" spans="1:31" ht="20.100000000000001" customHeight="1">
      <c r="A131" s="482" t="str">
        <f>'[6]1. BBkt -MM'!A125</f>
        <v>1 - Đại diện chủ đầu tư : Ban QLDA Times garden Hạ Long</v>
      </c>
      <c r="B131" s="118"/>
      <c r="C131" s="118"/>
      <c r="D131" s="118"/>
      <c r="E131" s="118"/>
      <c r="F131" s="483"/>
      <c r="G131" s="483"/>
      <c r="H131" s="483"/>
      <c r="I131" s="483"/>
      <c r="J131" s="483"/>
      <c r="K131" s="741"/>
      <c r="N131" s="469"/>
      <c r="O131" s="470"/>
      <c r="P131" s="466"/>
      <c r="Q131" s="466"/>
      <c r="R131" s="467"/>
    </row>
    <row r="132" spans="1:31" ht="20.100000000000001" customHeight="1">
      <c r="A132" s="1595" t="s">
        <v>913</v>
      </c>
      <c r="B132" s="1595"/>
      <c r="C132" s="1595"/>
      <c r="D132" s="1595"/>
      <c r="E132" s="1595"/>
      <c r="F132" s="1595" t="s">
        <v>914</v>
      </c>
      <c r="G132" s="1595"/>
      <c r="H132" s="1595"/>
      <c r="I132" s="1595"/>
      <c r="J132" s="1595"/>
      <c r="K132" s="483"/>
      <c r="N132" s="469"/>
      <c r="O132" s="470"/>
      <c r="P132" s="466"/>
      <c r="Q132" s="466"/>
      <c r="R132" s="467"/>
    </row>
    <row r="133" spans="1:31" ht="20.100000000000001" customHeight="1">
      <c r="A133" s="1595" t="s">
        <v>913</v>
      </c>
      <c r="B133" s="1595"/>
      <c r="C133" s="1595"/>
      <c r="D133" s="1595"/>
      <c r="E133" s="1595"/>
      <c r="F133" s="1595" t="s">
        <v>914</v>
      </c>
      <c r="G133" s="1595"/>
      <c r="H133" s="1595"/>
      <c r="I133" s="1595"/>
      <c r="J133" s="1595"/>
      <c r="K133" s="481"/>
      <c r="N133" s="469"/>
      <c r="O133" s="470"/>
      <c r="P133" s="466"/>
      <c r="Q133" s="466"/>
      <c r="R133" s="467"/>
    </row>
    <row r="134" spans="1:31" ht="20.100000000000001" customHeight="1">
      <c r="A134" s="1680" t="s">
        <v>915</v>
      </c>
      <c r="B134" s="1680"/>
      <c r="C134" s="1680"/>
      <c r="D134" s="1680"/>
      <c r="E134" s="1680"/>
      <c r="F134" s="1680"/>
      <c r="G134" s="1680"/>
      <c r="H134" s="1680"/>
      <c r="I134" s="1680"/>
      <c r="J134" s="1680"/>
      <c r="K134" s="481"/>
      <c r="N134" s="469"/>
      <c r="O134" s="470"/>
      <c r="P134" s="466"/>
      <c r="Q134" s="466"/>
      <c r="R134" s="467"/>
    </row>
    <row r="135" spans="1:31" s="175" customFormat="1" ht="20.100000000000001" customHeight="1">
      <c r="A135" s="1595" t="s">
        <v>913</v>
      </c>
      <c r="B135" s="1595"/>
      <c r="C135" s="1595"/>
      <c r="D135" s="1595"/>
      <c r="E135" s="1595"/>
      <c r="F135" s="1595" t="s">
        <v>914</v>
      </c>
      <c r="G135" s="1595"/>
      <c r="H135" s="1595"/>
      <c r="I135" s="1595"/>
      <c r="J135" s="1595"/>
      <c r="K135" s="754"/>
      <c r="M135" s="520"/>
      <c r="N135" s="520"/>
      <c r="O135" s="473"/>
      <c r="P135" s="464"/>
      <c r="Q135" s="467"/>
      <c r="R135" s="464"/>
      <c r="S135" s="464"/>
      <c r="T135" s="464"/>
    </row>
    <row r="136" spans="1:31" ht="20.100000000000001" customHeight="1">
      <c r="A136" s="481" t="s">
        <v>913</v>
      </c>
      <c r="B136" s="481"/>
      <c r="C136" s="481"/>
      <c r="D136" s="481"/>
      <c r="E136" s="481"/>
      <c r="F136" s="481" t="s">
        <v>916</v>
      </c>
      <c r="G136" s="481"/>
      <c r="H136" s="481"/>
      <c r="I136" s="481"/>
      <c r="J136" s="481"/>
      <c r="K136" s="481"/>
      <c r="N136" s="469"/>
      <c r="O136" s="175"/>
      <c r="P136" s="401"/>
      <c r="Q136" s="401"/>
      <c r="R136" s="520"/>
      <c r="S136" s="175"/>
      <c r="T136" s="175"/>
    </row>
    <row r="137" spans="1:31" ht="20.100000000000001" customHeight="1">
      <c r="A137" s="1604" t="s">
        <v>871</v>
      </c>
      <c r="B137" s="1604"/>
      <c r="C137" s="1604"/>
      <c r="D137" s="1604"/>
      <c r="E137" s="1604"/>
      <c r="F137" s="1604"/>
      <c r="G137" s="1604"/>
      <c r="H137" s="1604"/>
      <c r="I137" s="1604"/>
      <c r="J137" s="1604"/>
      <c r="K137" s="481"/>
      <c r="O137" s="470"/>
      <c r="P137" s="466"/>
      <c r="Q137" s="466"/>
      <c r="R137" s="467"/>
    </row>
    <row r="138" spans="1:31" ht="20.100000000000001" customHeight="1">
      <c r="A138" s="481" t="s">
        <v>913</v>
      </c>
      <c r="B138" s="481"/>
      <c r="C138" s="481"/>
      <c r="D138" s="481"/>
      <c r="E138" s="481"/>
      <c r="F138" s="481" t="s">
        <v>916</v>
      </c>
      <c r="G138" s="481"/>
      <c r="H138" s="481"/>
      <c r="I138" s="481"/>
      <c r="J138" s="481"/>
      <c r="K138" s="482"/>
      <c r="N138" s="469"/>
      <c r="Q138" s="479"/>
      <c r="R138" s="469"/>
    </row>
    <row r="139" spans="1:31" ht="20.100000000000001" customHeight="1">
      <c r="A139" s="481" t="s">
        <v>913</v>
      </c>
      <c r="B139" s="481"/>
      <c r="C139" s="481"/>
      <c r="D139" s="481"/>
      <c r="E139" s="481"/>
      <c r="F139" s="481" t="s">
        <v>916</v>
      </c>
      <c r="G139" s="481"/>
      <c r="H139" s="481"/>
      <c r="I139" s="481"/>
      <c r="J139" s="481"/>
      <c r="K139" s="481"/>
      <c r="Q139" s="479"/>
      <c r="R139" s="469"/>
    </row>
    <row r="140" spans="1:31" ht="20.100000000000001" customHeight="1">
      <c r="A140" s="1596" t="str">
        <f>A21</f>
        <v>III./ THỜI GIAN NGHIỆM THU:</v>
      </c>
      <c r="B140" s="1596"/>
      <c r="C140" s="1596"/>
      <c r="D140" s="1596"/>
      <c r="E140" s="1596"/>
      <c r="F140" s="1596"/>
      <c r="G140" s="1596"/>
      <c r="H140" s="1596"/>
      <c r="I140" s="1596"/>
      <c r="J140" s="1596"/>
      <c r="K140" s="481"/>
      <c r="Q140" s="479"/>
      <c r="R140" s="469"/>
    </row>
    <row r="141" spans="1:31" ht="20.100000000000001" customHeight="1">
      <c r="A141" s="477" t="str">
        <f>A22</f>
        <v xml:space="preserve">Bắt đầu nghiệm thu:    </v>
      </c>
      <c r="B141" s="477"/>
      <c r="C141" s="477"/>
      <c r="D141" s="942">
        <f>L23-M22</f>
        <v>0.74652777777777757</v>
      </c>
      <c r="E141" s="1603" t="str">
        <f>D97</f>
        <v>, ngày…..tháng…..năm 2016</v>
      </c>
      <c r="F141" s="1603"/>
      <c r="G141" s="1603"/>
      <c r="H141" s="1603"/>
      <c r="I141" s="1603"/>
      <c r="J141" s="1603"/>
      <c r="K141" s="741"/>
      <c r="Q141" s="479"/>
      <c r="R141" s="469"/>
    </row>
    <row r="142" spans="1:31" ht="20.100000000000001" customHeight="1">
      <c r="A142" s="477" t="str">
        <f>A23</f>
        <v xml:space="preserve">Kết thúc nghiệm thu: </v>
      </c>
      <c r="B142" s="477"/>
      <c r="C142" s="477"/>
      <c r="D142" s="942">
        <f>L23</f>
        <v>0.74999999999999978</v>
      </c>
      <c r="E142" s="1603" t="str">
        <f>E141</f>
        <v>, ngày…..tháng…..năm 2016</v>
      </c>
      <c r="F142" s="1603"/>
      <c r="G142" s="1603"/>
      <c r="H142" s="1603"/>
      <c r="I142" s="1603"/>
      <c r="J142" s="1603"/>
      <c r="K142" s="485"/>
      <c r="Q142" s="479"/>
      <c r="R142" s="469"/>
    </row>
    <row r="143" spans="1:31" s="175" customFormat="1" ht="20.100000000000001" customHeight="1">
      <c r="A143" s="767" t="str">
        <f>'[6]7. BBNT-TOADOCOC'!A138</f>
        <v>Tại:</v>
      </c>
      <c r="B143" s="765" t="str">
        <f>'[6]7. BBNT-TOADOCOC'!B138</f>
        <v>Công trình: Khu hỗn hợp chung cư, văn phòng, trung tâm thương mại.</v>
      </c>
      <c r="C143" s="489"/>
      <c r="D143" s="489"/>
      <c r="E143" s="489"/>
      <c r="F143" s="489"/>
      <c r="G143" s="489"/>
      <c r="H143" s="489"/>
      <c r="I143" s="489"/>
      <c r="J143" s="489"/>
      <c r="K143" s="485"/>
      <c r="O143" s="464"/>
      <c r="P143" s="464"/>
      <c r="Q143" s="464"/>
      <c r="R143" s="464"/>
      <c r="S143" s="464"/>
      <c r="T143" s="464"/>
    </row>
    <row r="144" spans="1:31" ht="20.100000000000001" customHeight="1">
      <c r="A144" s="1596" t="s">
        <v>441</v>
      </c>
      <c r="B144" s="1596"/>
      <c r="C144" s="1596"/>
      <c r="D144" s="1596"/>
      <c r="E144" s="1596"/>
      <c r="F144" s="1596"/>
      <c r="G144" s="1596"/>
      <c r="H144" s="1596"/>
      <c r="I144" s="1596"/>
      <c r="J144" s="1596"/>
      <c r="K144" s="489"/>
      <c r="O144" s="175"/>
      <c r="P144" s="175"/>
      <c r="Q144" s="175"/>
      <c r="R144" s="175"/>
      <c r="S144" s="175"/>
      <c r="T144" s="175"/>
    </row>
    <row r="145" spans="1:233" ht="20.100000000000001" customHeight="1">
      <c r="A145" s="1604" t="s">
        <v>101</v>
      </c>
      <c r="B145" s="1604"/>
      <c r="C145" s="1604"/>
      <c r="D145" s="1604"/>
      <c r="E145" s="1604"/>
      <c r="F145" s="1604"/>
      <c r="G145" s="1604"/>
      <c r="H145" s="1604"/>
      <c r="I145" s="1604"/>
      <c r="J145" s="1604"/>
      <c r="K145" s="741"/>
    </row>
    <row r="146" spans="1:233" ht="20.100000000000001" customHeight="1">
      <c r="A146" s="477" t="str">
        <f>"-    Phiếu yêu cầu kiểm tra công việc xây dựng số: TGHL-HT-CWI-C&amp;S-"&amp;'2. NK'!D10&amp;"/"&amp;'2. NK'!H10</f>
        <v>-    Phiếu yêu cầu kiểm tra công việc xây dựng số: TGHL-HT-CWI-C&amp;S-B1/800</v>
      </c>
      <c r="B146" s="477"/>
      <c r="C146" s="477"/>
      <c r="D146" s="477"/>
      <c r="E146" s="477"/>
      <c r="F146" s="477"/>
      <c r="G146" s="477"/>
      <c r="H146" s="477"/>
      <c r="I146" s="477"/>
      <c r="J146" s="477"/>
      <c r="K146" s="482"/>
    </row>
    <row r="147" spans="1:233" s="175" customFormat="1" ht="20.100000000000001" customHeight="1">
      <c r="A147" s="1704" t="s">
        <v>1035</v>
      </c>
      <c r="B147" s="1679"/>
      <c r="C147" s="1679"/>
      <c r="D147" s="1679"/>
      <c r="E147" s="1679"/>
      <c r="F147" s="1679"/>
      <c r="G147" s="1679"/>
      <c r="H147" s="1679"/>
      <c r="I147" s="1679"/>
      <c r="J147" s="1679"/>
      <c r="K147" s="477"/>
      <c r="O147" s="464"/>
      <c r="P147" s="464"/>
      <c r="Q147" s="464"/>
      <c r="R147" s="464"/>
      <c r="S147" s="464"/>
      <c r="T147" s="464"/>
    </row>
    <row r="148" spans="1:233" ht="20.100000000000001" customHeight="1">
      <c r="A148" s="486" t="s">
        <v>104</v>
      </c>
      <c r="B148" s="477"/>
      <c r="C148" s="477"/>
      <c r="D148" s="477"/>
      <c r="E148" s="477"/>
      <c r="F148" s="477"/>
      <c r="G148" s="477"/>
      <c r="H148" s="477"/>
      <c r="I148" s="477"/>
      <c r="J148" s="477"/>
      <c r="K148" s="744"/>
      <c r="O148" s="175"/>
      <c r="P148" s="175"/>
      <c r="Q148" s="175"/>
      <c r="R148" s="175"/>
      <c r="S148" s="175"/>
      <c r="T148" s="175"/>
    </row>
    <row r="149" spans="1:233" s="637" customFormat="1" ht="20.100000000000001" customHeight="1">
      <c r="A149" s="885" t="s">
        <v>1027</v>
      </c>
      <c r="B149" s="477" t="s">
        <v>1028</v>
      </c>
      <c r="C149" s="477"/>
      <c r="D149" s="477"/>
      <c r="E149" s="477"/>
      <c r="F149" s="477"/>
      <c r="G149" s="477"/>
      <c r="H149" s="477"/>
      <c r="I149" s="477"/>
      <c r="J149" s="477"/>
      <c r="K149" s="477"/>
      <c r="L149" s="477"/>
      <c r="M149" s="477"/>
      <c r="N149" s="477"/>
      <c r="O149" s="464"/>
      <c r="P149" s="464"/>
      <c r="Q149" s="464"/>
      <c r="R149" s="464"/>
      <c r="S149" s="464"/>
      <c r="T149" s="464"/>
      <c r="U149" s="487"/>
      <c r="V149" s="487"/>
      <c r="W149" s="487"/>
      <c r="X149" s="487"/>
      <c r="Y149" s="487"/>
      <c r="Z149" s="487"/>
      <c r="AA149" s="487"/>
      <c r="AB149" s="487"/>
      <c r="AC149" s="487"/>
      <c r="AD149" s="487"/>
      <c r="AE149" s="487"/>
      <c r="AF149" s="487"/>
      <c r="AG149" s="487"/>
      <c r="AH149" s="487"/>
      <c r="AI149" s="487"/>
      <c r="AJ149" s="487"/>
      <c r="AK149" s="487"/>
      <c r="AL149" s="487"/>
      <c r="AM149" s="487"/>
      <c r="AN149" s="487"/>
      <c r="AO149" s="487"/>
      <c r="AP149" s="487"/>
      <c r="AQ149" s="487"/>
      <c r="AR149" s="487"/>
      <c r="AS149" s="487"/>
      <c r="AT149" s="487"/>
      <c r="AU149" s="487"/>
      <c r="AV149" s="487"/>
      <c r="AW149" s="487"/>
      <c r="AX149" s="487"/>
      <c r="AY149" s="487"/>
      <c r="AZ149" s="487"/>
      <c r="BA149" s="487"/>
      <c r="BB149" s="487"/>
      <c r="BC149" s="487"/>
      <c r="BD149" s="487"/>
      <c r="BE149" s="487"/>
      <c r="BF149" s="487"/>
      <c r="BG149" s="487"/>
      <c r="BH149" s="487"/>
      <c r="BI149" s="487"/>
      <c r="BJ149" s="487"/>
      <c r="BK149" s="487"/>
      <c r="BL149" s="487"/>
      <c r="BM149" s="487"/>
      <c r="BN149" s="487"/>
      <c r="BO149" s="487"/>
      <c r="BP149" s="487"/>
      <c r="BQ149" s="487"/>
      <c r="BR149" s="487"/>
      <c r="BS149" s="487"/>
      <c r="BT149" s="487"/>
      <c r="BU149" s="487"/>
      <c r="BV149" s="487"/>
      <c r="BW149" s="487"/>
      <c r="BX149" s="487"/>
      <c r="BY149" s="487"/>
      <c r="BZ149" s="487"/>
      <c r="CA149" s="487"/>
      <c r="CB149" s="487"/>
      <c r="CC149" s="487"/>
      <c r="CD149" s="487"/>
      <c r="CE149" s="487"/>
      <c r="CF149" s="487"/>
      <c r="CG149" s="487"/>
      <c r="CH149" s="487"/>
      <c r="CI149" s="487"/>
      <c r="CJ149" s="487"/>
      <c r="CK149" s="487"/>
      <c r="CL149" s="487"/>
      <c r="CM149" s="487"/>
      <c r="CN149" s="487"/>
      <c r="CO149" s="487"/>
      <c r="CP149" s="487"/>
      <c r="CQ149" s="487"/>
      <c r="CR149" s="487"/>
      <c r="CS149" s="487"/>
      <c r="CT149" s="487"/>
      <c r="CU149" s="487"/>
      <c r="CV149" s="487"/>
      <c r="CW149" s="487"/>
      <c r="CX149" s="487"/>
      <c r="CY149" s="487"/>
      <c r="CZ149" s="487"/>
      <c r="DA149" s="487"/>
      <c r="DB149" s="487"/>
      <c r="DC149" s="487"/>
      <c r="DD149" s="487"/>
      <c r="DE149" s="487"/>
      <c r="DF149" s="487"/>
      <c r="DG149" s="487"/>
      <c r="DH149" s="487"/>
      <c r="DI149" s="487"/>
      <c r="DJ149" s="487"/>
      <c r="DK149" s="487"/>
      <c r="DL149" s="487"/>
      <c r="DM149" s="487"/>
      <c r="DN149" s="487"/>
      <c r="DO149" s="487"/>
      <c r="DP149" s="487"/>
      <c r="DQ149" s="487"/>
      <c r="DR149" s="487"/>
      <c r="DS149" s="487"/>
      <c r="DT149" s="487"/>
      <c r="DU149" s="487"/>
      <c r="DV149" s="487"/>
      <c r="DW149" s="487"/>
      <c r="DX149" s="487"/>
      <c r="DY149" s="487"/>
      <c r="DZ149" s="487"/>
      <c r="EA149" s="487"/>
      <c r="EB149" s="487"/>
      <c r="EC149" s="487"/>
      <c r="ED149" s="487"/>
      <c r="EE149" s="487"/>
      <c r="EF149" s="487"/>
      <c r="EG149" s="487"/>
      <c r="EH149" s="487"/>
      <c r="EI149" s="487"/>
      <c r="EJ149" s="487"/>
      <c r="EK149" s="487"/>
      <c r="EL149" s="487"/>
      <c r="EM149" s="487"/>
      <c r="EN149" s="487"/>
      <c r="EO149" s="487"/>
      <c r="EP149" s="487"/>
      <c r="EQ149" s="487"/>
      <c r="ER149" s="487"/>
      <c r="ES149" s="487"/>
      <c r="ET149" s="487"/>
      <c r="EU149" s="487"/>
      <c r="EV149" s="487"/>
      <c r="EW149" s="487"/>
      <c r="EX149" s="487"/>
      <c r="EY149" s="487"/>
      <c r="EZ149" s="487"/>
      <c r="FA149" s="487"/>
      <c r="FB149" s="487"/>
      <c r="FC149" s="487"/>
      <c r="FD149" s="487"/>
      <c r="FE149" s="487"/>
      <c r="FF149" s="487"/>
      <c r="FG149" s="487"/>
      <c r="FH149" s="487"/>
      <c r="FI149" s="487"/>
      <c r="FJ149" s="487"/>
      <c r="FK149" s="487"/>
      <c r="FL149" s="487"/>
      <c r="FM149" s="487"/>
      <c r="FN149" s="487"/>
      <c r="FO149" s="487"/>
      <c r="FP149" s="487"/>
      <c r="FQ149" s="487"/>
      <c r="FR149" s="487"/>
      <c r="FS149" s="487"/>
      <c r="FT149" s="487"/>
      <c r="FU149" s="487"/>
      <c r="FV149" s="487"/>
      <c r="FW149" s="487"/>
      <c r="FX149" s="487"/>
      <c r="FY149" s="487"/>
      <c r="FZ149" s="487"/>
      <c r="GA149" s="487"/>
      <c r="GB149" s="487"/>
      <c r="GC149" s="487"/>
      <c r="GD149" s="487"/>
      <c r="GE149" s="487"/>
      <c r="GF149" s="487"/>
      <c r="GG149" s="487"/>
      <c r="GH149" s="487"/>
      <c r="GI149" s="487"/>
      <c r="GJ149" s="487"/>
      <c r="GK149" s="487"/>
      <c r="GL149" s="487"/>
      <c r="GM149" s="487"/>
      <c r="GN149" s="487"/>
      <c r="GO149" s="487"/>
      <c r="GP149" s="487"/>
      <c r="GQ149" s="487"/>
      <c r="GR149" s="487"/>
      <c r="GS149" s="487"/>
      <c r="GT149" s="487"/>
      <c r="GU149" s="487"/>
      <c r="GV149" s="487"/>
      <c r="GW149" s="487"/>
      <c r="GX149" s="487"/>
      <c r="GY149" s="487"/>
      <c r="GZ149" s="487"/>
      <c r="HA149" s="487"/>
      <c r="HB149" s="487"/>
      <c r="HC149" s="487"/>
      <c r="HD149" s="487"/>
      <c r="HE149" s="487"/>
      <c r="HF149" s="487"/>
      <c r="HG149" s="487"/>
      <c r="HH149" s="487"/>
      <c r="HI149" s="487"/>
      <c r="HJ149" s="487"/>
      <c r="HK149" s="487"/>
      <c r="HL149" s="487"/>
      <c r="HM149" s="487"/>
      <c r="HN149" s="487"/>
      <c r="HO149" s="487"/>
      <c r="HP149" s="487"/>
      <c r="HQ149" s="487"/>
      <c r="HR149" s="487"/>
      <c r="HS149" s="487"/>
      <c r="HT149" s="487"/>
      <c r="HU149" s="487"/>
      <c r="HV149" s="487"/>
      <c r="HW149" s="487"/>
      <c r="HX149" s="487"/>
      <c r="HY149" s="487"/>
    </row>
    <row r="150" spans="1:233" s="637" customFormat="1" ht="20.100000000000001" customHeight="1">
      <c r="A150" s="885" t="s">
        <v>1027</v>
      </c>
      <c r="B150" s="477" t="s">
        <v>1029</v>
      </c>
      <c r="C150" s="477"/>
      <c r="D150" s="477"/>
      <c r="E150" s="477"/>
      <c r="F150" s="477"/>
      <c r="G150" s="477"/>
      <c r="H150" s="477"/>
      <c r="I150" s="477"/>
      <c r="J150" s="477"/>
      <c r="K150" s="477"/>
      <c r="L150" s="477"/>
      <c r="M150" s="477"/>
      <c r="N150" s="477"/>
      <c r="O150" s="487"/>
      <c r="P150" s="487"/>
      <c r="Q150" s="467"/>
      <c r="R150" s="464"/>
      <c r="S150" s="487"/>
      <c r="T150" s="487"/>
      <c r="U150" s="487"/>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9"/>
      <c r="HY150" s="487"/>
    </row>
    <row r="151" spans="1:233" s="637" customFormat="1" ht="20.100000000000001" customHeight="1">
      <c r="A151" s="885" t="s">
        <v>1027</v>
      </c>
      <c r="B151" s="1602" t="s">
        <v>1030</v>
      </c>
      <c r="C151" s="1602"/>
      <c r="D151" s="1602"/>
      <c r="E151" s="1602"/>
      <c r="F151" s="1602"/>
      <c r="G151" s="1602"/>
      <c r="H151" s="1602"/>
      <c r="I151" s="1602"/>
      <c r="J151" s="1602"/>
      <c r="K151" s="477"/>
      <c r="L151" s="477"/>
      <c r="M151" s="477"/>
      <c r="N151" s="477"/>
      <c r="O151" s="487"/>
      <c r="P151" s="487"/>
      <c r="Q151" s="487"/>
      <c r="R151" s="487"/>
      <c r="S151" s="487"/>
      <c r="T151" s="487"/>
      <c r="U151" s="477"/>
      <c r="V151" s="489"/>
      <c r="W151" s="489"/>
      <c r="X151" s="489"/>
      <c r="Y151" s="489"/>
      <c r="Z151" s="489"/>
      <c r="AA151" s="489"/>
      <c r="AB151" s="489"/>
      <c r="AC151" s="489"/>
      <c r="AD151" s="489"/>
      <c r="AE151" s="489"/>
      <c r="AF151" s="489"/>
      <c r="AG151" s="489"/>
      <c r="AH151" s="489"/>
      <c r="AI151" s="489"/>
      <c r="AJ151" s="489"/>
      <c r="AK151" s="489"/>
      <c r="AL151" s="489"/>
      <c r="AM151" s="489"/>
      <c r="AN151" s="489"/>
      <c r="AO151" s="489"/>
      <c r="AP151" s="489"/>
      <c r="AQ151" s="489"/>
      <c r="AR151" s="489"/>
      <c r="AS151" s="489"/>
      <c r="AT151" s="489"/>
      <c r="AU151" s="489"/>
      <c r="AV151" s="489"/>
      <c r="AW151" s="489"/>
      <c r="AX151" s="489"/>
      <c r="AY151" s="489"/>
      <c r="AZ151" s="489"/>
      <c r="BA151" s="489"/>
      <c r="BB151" s="489"/>
      <c r="BC151" s="489"/>
      <c r="BD151" s="489"/>
      <c r="BE151" s="489"/>
      <c r="BF151" s="489"/>
      <c r="BG151" s="489"/>
      <c r="BH151" s="489"/>
      <c r="BI151" s="489"/>
      <c r="BJ151" s="489"/>
      <c r="BK151" s="489"/>
      <c r="BL151" s="489"/>
      <c r="BM151" s="489"/>
      <c r="BN151" s="489"/>
      <c r="BO151" s="489"/>
      <c r="BP151" s="489"/>
      <c r="BQ151" s="489"/>
      <c r="BR151" s="489"/>
      <c r="BS151" s="489"/>
      <c r="BT151" s="489"/>
      <c r="BU151" s="489"/>
      <c r="BV151" s="489"/>
      <c r="BW151" s="489"/>
      <c r="BX151" s="489"/>
      <c r="BY151" s="489"/>
      <c r="BZ151" s="489"/>
      <c r="CA151" s="489"/>
      <c r="CB151" s="489"/>
      <c r="CC151" s="489"/>
      <c r="CD151" s="489"/>
      <c r="CE151" s="489"/>
      <c r="CF151" s="489"/>
      <c r="CG151" s="489"/>
      <c r="CH151" s="489"/>
      <c r="CI151" s="489"/>
      <c r="CJ151" s="489"/>
      <c r="CK151" s="489"/>
      <c r="CL151" s="489"/>
      <c r="CM151" s="489"/>
      <c r="CN151" s="489"/>
      <c r="CO151" s="489"/>
      <c r="CP151" s="489"/>
      <c r="CQ151" s="489"/>
      <c r="CR151" s="489"/>
      <c r="CS151" s="489"/>
      <c r="CT151" s="489"/>
      <c r="CU151" s="489"/>
      <c r="CV151" s="489"/>
      <c r="CW151" s="489"/>
      <c r="CX151" s="489"/>
      <c r="CY151" s="489"/>
      <c r="CZ151" s="489"/>
      <c r="DA151" s="489"/>
      <c r="DB151" s="489"/>
      <c r="DC151" s="489"/>
      <c r="DD151" s="489"/>
      <c r="DE151" s="489"/>
      <c r="DF151" s="489"/>
      <c r="DG151" s="489"/>
      <c r="DH151" s="489"/>
      <c r="DI151" s="489"/>
      <c r="DJ151" s="489"/>
      <c r="DK151" s="489"/>
      <c r="DL151" s="489"/>
      <c r="DM151" s="489"/>
      <c r="DN151" s="489"/>
      <c r="DO151" s="489"/>
      <c r="DP151" s="489"/>
      <c r="DQ151" s="489"/>
      <c r="DR151" s="489"/>
      <c r="DS151" s="489"/>
      <c r="DT151" s="489"/>
      <c r="DU151" s="489"/>
      <c r="DV151" s="489"/>
      <c r="DW151" s="489"/>
      <c r="DX151" s="489"/>
      <c r="DY151" s="489"/>
      <c r="DZ151" s="489"/>
      <c r="EA151" s="489"/>
      <c r="EB151" s="489"/>
      <c r="EC151" s="489"/>
      <c r="ED151" s="489"/>
      <c r="EE151" s="489"/>
      <c r="EF151" s="489"/>
      <c r="EG151" s="489"/>
      <c r="EH151" s="489"/>
      <c r="EI151" s="489"/>
      <c r="EJ151" s="489"/>
      <c r="EK151" s="489"/>
      <c r="EL151" s="489"/>
      <c r="EM151" s="489"/>
      <c r="EN151" s="489"/>
      <c r="EO151" s="489"/>
      <c r="EP151" s="489"/>
      <c r="EQ151" s="489"/>
      <c r="ER151" s="489"/>
      <c r="ES151" s="489"/>
      <c r="ET151" s="489"/>
      <c r="EU151" s="489"/>
      <c r="EV151" s="489"/>
      <c r="EW151" s="489"/>
      <c r="EX151" s="489"/>
      <c r="EY151" s="489"/>
      <c r="EZ151" s="489"/>
      <c r="FA151" s="489"/>
      <c r="FB151" s="489"/>
      <c r="FC151" s="489"/>
      <c r="FD151" s="489"/>
      <c r="FE151" s="489"/>
      <c r="FF151" s="489"/>
      <c r="FG151" s="489"/>
      <c r="FH151" s="489"/>
      <c r="FI151" s="489"/>
      <c r="FJ151" s="489"/>
      <c r="FK151" s="489"/>
      <c r="FL151" s="489"/>
      <c r="FM151" s="489"/>
      <c r="FN151" s="489"/>
      <c r="FO151" s="489"/>
      <c r="FP151" s="489"/>
      <c r="FQ151" s="489"/>
      <c r="FR151" s="489"/>
      <c r="FS151" s="489"/>
      <c r="FT151" s="489"/>
      <c r="FU151" s="489"/>
      <c r="FV151" s="489"/>
      <c r="FW151" s="489"/>
      <c r="FX151" s="489"/>
      <c r="FY151" s="489"/>
      <c r="FZ151" s="489"/>
      <c r="GA151" s="489"/>
      <c r="GB151" s="489"/>
      <c r="GC151" s="489"/>
      <c r="GD151" s="489"/>
      <c r="GE151" s="489"/>
      <c r="GF151" s="489"/>
      <c r="GG151" s="489"/>
      <c r="GH151" s="489"/>
      <c r="GI151" s="489"/>
      <c r="GJ151" s="489"/>
      <c r="GK151" s="489"/>
      <c r="GL151" s="489"/>
      <c r="GM151" s="489"/>
      <c r="GN151" s="489"/>
      <c r="GO151" s="489"/>
      <c r="GP151" s="489"/>
      <c r="GQ151" s="489"/>
      <c r="GR151" s="489"/>
      <c r="GS151" s="489"/>
      <c r="GT151" s="489"/>
      <c r="GU151" s="489"/>
      <c r="GV151" s="489"/>
      <c r="GW151" s="489"/>
      <c r="GX151" s="489"/>
      <c r="GY151" s="489"/>
      <c r="GZ151" s="489"/>
      <c r="HA151" s="489"/>
      <c r="HB151" s="489"/>
      <c r="HC151" s="489"/>
      <c r="HD151" s="489"/>
      <c r="HE151" s="489"/>
      <c r="HF151" s="489"/>
      <c r="HG151" s="489"/>
      <c r="HH151" s="489"/>
      <c r="HI151" s="489"/>
      <c r="HJ151" s="489"/>
      <c r="HK151" s="489"/>
      <c r="HL151" s="489"/>
      <c r="HM151" s="489"/>
      <c r="HN151" s="489"/>
      <c r="HO151" s="489"/>
      <c r="HP151" s="489"/>
      <c r="HQ151" s="489"/>
      <c r="HR151" s="489"/>
      <c r="HS151" s="489"/>
      <c r="HT151" s="489"/>
      <c r="HU151" s="489"/>
      <c r="HV151" s="489"/>
      <c r="HW151" s="489"/>
      <c r="HX151" s="489"/>
      <c r="HY151" s="487"/>
    </row>
    <row r="152" spans="1:233" s="637" customFormat="1" ht="19.5" customHeight="1">
      <c r="A152" s="885" t="s">
        <v>1027</v>
      </c>
      <c r="B152" s="1602" t="s">
        <v>1045</v>
      </c>
      <c r="C152" s="1602"/>
      <c r="D152" s="1602"/>
      <c r="E152" s="1602"/>
      <c r="F152" s="1602"/>
      <c r="G152" s="1602"/>
      <c r="H152" s="1602"/>
      <c r="I152" s="1602"/>
      <c r="J152" s="1602"/>
      <c r="K152" s="742"/>
      <c r="L152" s="491"/>
      <c r="M152" s="477"/>
      <c r="N152" s="477"/>
      <c r="O152" s="492"/>
      <c r="P152" s="492"/>
      <c r="Q152" s="492"/>
      <c r="R152" s="492"/>
      <c r="S152" s="492"/>
      <c r="T152" s="492"/>
      <c r="U152" s="492"/>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489"/>
      <c r="HY152" s="487"/>
    </row>
    <row r="153" spans="1:233" s="637" customFormat="1" ht="19.5" customHeight="1">
      <c r="A153" s="885" t="s">
        <v>1027</v>
      </c>
      <c r="B153" s="917" t="str">
        <f>B34</f>
        <v>TCVN 5308 - 1991: Quy trình kỹ thuật an toàn trong xây dựng.</v>
      </c>
      <c r="C153" s="742"/>
      <c r="D153" s="742"/>
      <c r="E153" s="742"/>
      <c r="F153" s="742"/>
      <c r="G153" s="742"/>
      <c r="H153" s="742"/>
      <c r="I153" s="742"/>
      <c r="J153" s="742"/>
      <c r="K153" s="742"/>
      <c r="L153" s="491"/>
      <c r="M153" s="477"/>
      <c r="N153" s="477"/>
      <c r="O153" s="492"/>
      <c r="P153" s="492"/>
      <c r="Q153" s="492"/>
      <c r="R153" s="492"/>
      <c r="S153" s="492"/>
      <c r="T153" s="492"/>
      <c r="U153" s="492"/>
      <c r="V153" s="489"/>
      <c r="W153" s="489"/>
      <c r="X153" s="489"/>
      <c r="Y153" s="489"/>
      <c r="Z153" s="489"/>
      <c r="AA153" s="489"/>
      <c r="AB153" s="489"/>
      <c r="AC153" s="489"/>
      <c r="AD153" s="489"/>
      <c r="AE153" s="489"/>
      <c r="AF153" s="489"/>
      <c r="AG153" s="489"/>
      <c r="AH153" s="489"/>
      <c r="AI153" s="489"/>
      <c r="AJ153" s="489"/>
      <c r="AK153" s="489"/>
      <c r="AL153" s="489"/>
      <c r="AM153" s="489"/>
      <c r="AN153" s="489"/>
      <c r="AO153" s="489"/>
      <c r="AP153" s="489"/>
      <c r="AQ153" s="489"/>
      <c r="AR153" s="489"/>
      <c r="AS153" s="489"/>
      <c r="AT153" s="489"/>
      <c r="AU153" s="489"/>
      <c r="AV153" s="489"/>
      <c r="AW153" s="489"/>
      <c r="AX153" s="489"/>
      <c r="AY153" s="489"/>
      <c r="AZ153" s="489"/>
      <c r="BA153" s="489"/>
      <c r="BB153" s="489"/>
      <c r="BC153" s="489"/>
      <c r="BD153" s="489"/>
      <c r="BE153" s="489"/>
      <c r="BF153" s="489"/>
      <c r="BG153" s="489"/>
      <c r="BH153" s="489"/>
      <c r="BI153" s="489"/>
      <c r="BJ153" s="489"/>
      <c r="BK153" s="489"/>
      <c r="BL153" s="489"/>
      <c r="BM153" s="489"/>
      <c r="BN153" s="489"/>
      <c r="BO153" s="489"/>
      <c r="BP153" s="489"/>
      <c r="BQ153" s="489"/>
      <c r="BR153" s="489"/>
      <c r="BS153" s="489"/>
      <c r="BT153" s="489"/>
      <c r="BU153" s="489"/>
      <c r="BV153" s="489"/>
      <c r="BW153" s="489"/>
      <c r="BX153" s="489"/>
      <c r="BY153" s="489"/>
      <c r="BZ153" s="489"/>
      <c r="CA153" s="489"/>
      <c r="CB153" s="489"/>
      <c r="CC153" s="489"/>
      <c r="CD153" s="489"/>
      <c r="CE153" s="489"/>
      <c r="CF153" s="489"/>
      <c r="CG153" s="489"/>
      <c r="CH153" s="489"/>
      <c r="CI153" s="489"/>
      <c r="CJ153" s="489"/>
      <c r="CK153" s="489"/>
      <c r="CL153" s="489"/>
      <c r="CM153" s="489"/>
      <c r="CN153" s="489"/>
      <c r="CO153" s="489"/>
      <c r="CP153" s="489"/>
      <c r="CQ153" s="489"/>
      <c r="CR153" s="489"/>
      <c r="CS153" s="489"/>
      <c r="CT153" s="489"/>
      <c r="CU153" s="489"/>
      <c r="CV153" s="489"/>
      <c r="CW153" s="489"/>
      <c r="CX153" s="489"/>
      <c r="CY153" s="489"/>
      <c r="CZ153" s="489"/>
      <c r="DA153" s="489"/>
      <c r="DB153" s="489"/>
      <c r="DC153" s="489"/>
      <c r="DD153" s="489"/>
      <c r="DE153" s="489"/>
      <c r="DF153" s="489"/>
      <c r="DG153" s="489"/>
      <c r="DH153" s="489"/>
      <c r="DI153" s="489"/>
      <c r="DJ153" s="489"/>
      <c r="DK153" s="489"/>
      <c r="DL153" s="489"/>
      <c r="DM153" s="489"/>
      <c r="DN153" s="489"/>
      <c r="DO153" s="489"/>
      <c r="DP153" s="489"/>
      <c r="DQ153" s="489"/>
      <c r="DR153" s="489"/>
      <c r="DS153" s="489"/>
      <c r="DT153" s="489"/>
      <c r="DU153" s="489"/>
      <c r="DV153" s="489"/>
      <c r="DW153" s="489"/>
      <c r="DX153" s="489"/>
      <c r="DY153" s="489"/>
      <c r="DZ153" s="489"/>
      <c r="EA153" s="489"/>
      <c r="EB153" s="489"/>
      <c r="EC153" s="489"/>
      <c r="ED153" s="489"/>
      <c r="EE153" s="489"/>
      <c r="EF153" s="489"/>
      <c r="EG153" s="489"/>
      <c r="EH153" s="489"/>
      <c r="EI153" s="489"/>
      <c r="EJ153" s="489"/>
      <c r="EK153" s="489"/>
      <c r="EL153" s="489"/>
      <c r="EM153" s="489"/>
      <c r="EN153" s="489"/>
      <c r="EO153" s="489"/>
      <c r="EP153" s="489"/>
      <c r="EQ153" s="489"/>
      <c r="ER153" s="489"/>
      <c r="ES153" s="489"/>
      <c r="ET153" s="489"/>
      <c r="EU153" s="489"/>
      <c r="EV153" s="489"/>
      <c r="EW153" s="489"/>
      <c r="EX153" s="489"/>
      <c r="EY153" s="489"/>
      <c r="EZ153" s="489"/>
      <c r="FA153" s="489"/>
      <c r="FB153" s="489"/>
      <c r="FC153" s="489"/>
      <c r="FD153" s="489"/>
      <c r="FE153" s="489"/>
      <c r="FF153" s="489"/>
      <c r="FG153" s="489"/>
      <c r="FH153" s="489"/>
      <c r="FI153" s="489"/>
      <c r="FJ153" s="489"/>
      <c r="FK153" s="489"/>
      <c r="FL153" s="489"/>
      <c r="FM153" s="489"/>
      <c r="FN153" s="489"/>
      <c r="FO153" s="489"/>
      <c r="FP153" s="489"/>
      <c r="FQ153" s="489"/>
      <c r="FR153" s="489"/>
      <c r="FS153" s="489"/>
      <c r="FT153" s="489"/>
      <c r="FU153" s="489"/>
      <c r="FV153" s="489"/>
      <c r="FW153" s="489"/>
      <c r="FX153" s="489"/>
      <c r="FY153" s="489"/>
      <c r="FZ153" s="489"/>
      <c r="GA153" s="489"/>
      <c r="GB153" s="489"/>
      <c r="GC153" s="489"/>
      <c r="GD153" s="489"/>
      <c r="GE153" s="489"/>
      <c r="GF153" s="489"/>
      <c r="GG153" s="489"/>
      <c r="GH153" s="489"/>
      <c r="GI153" s="489"/>
      <c r="GJ153" s="489"/>
      <c r="GK153" s="489"/>
      <c r="GL153" s="489"/>
      <c r="GM153" s="489"/>
      <c r="GN153" s="489"/>
      <c r="GO153" s="489"/>
      <c r="GP153" s="489"/>
      <c r="GQ153" s="489"/>
      <c r="GR153" s="489"/>
      <c r="GS153" s="489"/>
      <c r="GT153" s="489"/>
      <c r="GU153" s="489"/>
      <c r="GV153" s="489"/>
      <c r="GW153" s="489"/>
      <c r="GX153" s="489"/>
      <c r="GY153" s="489"/>
      <c r="GZ153" s="489"/>
      <c r="HA153" s="489"/>
      <c r="HB153" s="489"/>
      <c r="HC153" s="489"/>
      <c r="HD153" s="489"/>
      <c r="HE153" s="489"/>
      <c r="HF153" s="489"/>
      <c r="HG153" s="489"/>
      <c r="HH153" s="489"/>
      <c r="HI153" s="489"/>
      <c r="HJ153" s="489"/>
      <c r="HK153" s="489"/>
      <c r="HL153" s="489"/>
      <c r="HM153" s="489"/>
      <c r="HN153" s="489"/>
      <c r="HO153" s="489"/>
      <c r="HP153" s="489"/>
      <c r="HQ153" s="489"/>
      <c r="HR153" s="489"/>
      <c r="HS153" s="489"/>
      <c r="HT153" s="489"/>
      <c r="HU153" s="489"/>
      <c r="HV153" s="489"/>
      <c r="HW153" s="489"/>
      <c r="HX153" s="489"/>
      <c r="HY153" s="487"/>
    </row>
    <row r="154" spans="1:233" s="637" customFormat="1" ht="19.5" customHeight="1">
      <c r="A154" s="886" t="s">
        <v>1031</v>
      </c>
      <c r="C154" s="491"/>
      <c r="D154" s="491"/>
      <c r="E154" s="491"/>
      <c r="F154" s="491"/>
      <c r="G154" s="491"/>
      <c r="H154" s="491"/>
      <c r="I154" s="491"/>
      <c r="J154" s="491"/>
      <c r="K154" s="742"/>
      <c r="L154" s="491"/>
      <c r="M154" s="477"/>
      <c r="N154" s="477"/>
      <c r="O154" s="492"/>
      <c r="P154" s="492"/>
      <c r="Q154" s="492"/>
      <c r="R154" s="492"/>
      <c r="S154" s="492"/>
      <c r="T154" s="492"/>
      <c r="U154" s="492"/>
      <c r="V154" s="489"/>
      <c r="W154" s="489"/>
      <c r="X154" s="489"/>
      <c r="Y154" s="489"/>
      <c r="Z154" s="489"/>
      <c r="AA154" s="489"/>
      <c r="AB154" s="489"/>
      <c r="AC154" s="489"/>
      <c r="AD154" s="489"/>
      <c r="AE154" s="489"/>
      <c r="AF154" s="489"/>
      <c r="AG154" s="489"/>
      <c r="AH154" s="489"/>
      <c r="AI154" s="489"/>
      <c r="AJ154" s="489"/>
      <c r="AK154" s="489"/>
      <c r="AL154" s="489"/>
      <c r="AM154" s="489"/>
      <c r="AN154" s="489"/>
      <c r="AO154" s="489"/>
      <c r="AP154" s="489"/>
      <c r="AQ154" s="489"/>
      <c r="AR154" s="489"/>
      <c r="AS154" s="489"/>
      <c r="AT154" s="489"/>
      <c r="AU154" s="489"/>
      <c r="AV154" s="489"/>
      <c r="AW154" s="489"/>
      <c r="AX154" s="489"/>
      <c r="AY154" s="489"/>
      <c r="AZ154" s="489"/>
      <c r="BA154" s="489"/>
      <c r="BB154" s="489"/>
      <c r="BC154" s="489"/>
      <c r="BD154" s="489"/>
      <c r="BE154" s="489"/>
      <c r="BF154" s="489"/>
      <c r="BG154" s="489"/>
      <c r="BH154" s="489"/>
      <c r="BI154" s="489"/>
      <c r="BJ154" s="489"/>
      <c r="BK154" s="489"/>
      <c r="BL154" s="489"/>
      <c r="BM154" s="489"/>
      <c r="BN154" s="489"/>
      <c r="BO154" s="489"/>
      <c r="BP154" s="489"/>
      <c r="BQ154" s="489"/>
      <c r="BR154" s="489"/>
      <c r="BS154" s="489"/>
      <c r="BT154" s="489"/>
      <c r="BU154" s="489"/>
      <c r="BV154" s="489"/>
      <c r="BW154" s="489"/>
      <c r="BX154" s="489"/>
      <c r="BY154" s="489"/>
      <c r="BZ154" s="489"/>
      <c r="CA154" s="489"/>
      <c r="CB154" s="489"/>
      <c r="CC154" s="489"/>
      <c r="CD154" s="489"/>
      <c r="CE154" s="489"/>
      <c r="CF154" s="489"/>
      <c r="CG154" s="489"/>
      <c r="CH154" s="489"/>
      <c r="CI154" s="489"/>
      <c r="CJ154" s="489"/>
      <c r="CK154" s="489"/>
      <c r="CL154" s="489"/>
      <c r="CM154" s="489"/>
      <c r="CN154" s="489"/>
      <c r="CO154" s="489"/>
      <c r="CP154" s="489"/>
      <c r="CQ154" s="489"/>
      <c r="CR154" s="489"/>
      <c r="CS154" s="489"/>
      <c r="CT154" s="489"/>
      <c r="CU154" s="489"/>
      <c r="CV154" s="489"/>
      <c r="CW154" s="489"/>
      <c r="CX154" s="489"/>
      <c r="CY154" s="489"/>
      <c r="CZ154" s="489"/>
      <c r="DA154" s="489"/>
      <c r="DB154" s="489"/>
      <c r="DC154" s="489"/>
      <c r="DD154" s="489"/>
      <c r="DE154" s="489"/>
      <c r="DF154" s="489"/>
      <c r="DG154" s="489"/>
      <c r="DH154" s="489"/>
      <c r="DI154" s="489"/>
      <c r="DJ154" s="489"/>
      <c r="DK154" s="489"/>
      <c r="DL154" s="489"/>
      <c r="DM154" s="489"/>
      <c r="DN154" s="489"/>
      <c r="DO154" s="489"/>
      <c r="DP154" s="489"/>
      <c r="DQ154" s="489"/>
      <c r="DR154" s="489"/>
      <c r="DS154" s="489"/>
      <c r="DT154" s="489"/>
      <c r="DU154" s="489"/>
      <c r="DV154" s="489"/>
      <c r="DW154" s="489"/>
      <c r="DX154" s="489"/>
      <c r="DY154" s="489"/>
      <c r="DZ154" s="489"/>
      <c r="EA154" s="489"/>
      <c r="EB154" s="489"/>
      <c r="EC154" s="489"/>
      <c r="ED154" s="489"/>
      <c r="EE154" s="489"/>
      <c r="EF154" s="489"/>
      <c r="EG154" s="489"/>
      <c r="EH154" s="489"/>
      <c r="EI154" s="489"/>
      <c r="EJ154" s="489"/>
      <c r="EK154" s="489"/>
      <c r="EL154" s="489"/>
      <c r="EM154" s="489"/>
      <c r="EN154" s="489"/>
      <c r="EO154" s="489"/>
      <c r="EP154" s="489"/>
      <c r="EQ154" s="489"/>
      <c r="ER154" s="489"/>
      <c r="ES154" s="489"/>
      <c r="ET154" s="489"/>
      <c r="EU154" s="489"/>
      <c r="EV154" s="489"/>
      <c r="EW154" s="489"/>
      <c r="EX154" s="489"/>
      <c r="EY154" s="489"/>
      <c r="EZ154" s="489"/>
      <c r="FA154" s="489"/>
      <c r="FB154" s="489"/>
      <c r="FC154" s="489"/>
      <c r="FD154" s="489"/>
      <c r="FE154" s="489"/>
      <c r="FF154" s="489"/>
      <c r="FG154" s="489"/>
      <c r="FH154" s="489"/>
      <c r="FI154" s="489"/>
      <c r="FJ154" s="489"/>
      <c r="FK154" s="489"/>
      <c r="FL154" s="489"/>
      <c r="FM154" s="489"/>
      <c r="FN154" s="489"/>
      <c r="FO154" s="489"/>
      <c r="FP154" s="489"/>
      <c r="FQ154" s="489"/>
      <c r="FR154" s="489"/>
      <c r="FS154" s="489"/>
      <c r="FT154" s="489"/>
      <c r="FU154" s="489"/>
      <c r="FV154" s="489"/>
      <c r="FW154" s="489"/>
      <c r="FX154" s="489"/>
      <c r="FY154" s="489"/>
      <c r="FZ154" s="489"/>
      <c r="GA154" s="489"/>
      <c r="GB154" s="489"/>
      <c r="GC154" s="489"/>
      <c r="GD154" s="489"/>
      <c r="GE154" s="489"/>
      <c r="GF154" s="489"/>
      <c r="GG154" s="489"/>
      <c r="GH154" s="489"/>
      <c r="GI154" s="489"/>
      <c r="GJ154" s="489"/>
      <c r="GK154" s="489"/>
      <c r="GL154" s="489"/>
      <c r="GM154" s="489"/>
      <c r="GN154" s="489"/>
      <c r="GO154" s="489"/>
      <c r="GP154" s="489"/>
      <c r="GQ154" s="489"/>
      <c r="GR154" s="489"/>
      <c r="GS154" s="489"/>
      <c r="GT154" s="489"/>
      <c r="GU154" s="489"/>
      <c r="GV154" s="489"/>
      <c r="GW154" s="489"/>
      <c r="GX154" s="489"/>
      <c r="GY154" s="489"/>
      <c r="GZ154" s="489"/>
      <c r="HA154" s="489"/>
      <c r="HB154" s="489"/>
      <c r="HC154" s="489"/>
      <c r="HD154" s="489"/>
      <c r="HE154" s="489"/>
      <c r="HF154" s="489"/>
      <c r="HG154" s="489"/>
      <c r="HH154" s="489"/>
      <c r="HI154" s="489"/>
      <c r="HJ154" s="489"/>
      <c r="HK154" s="489"/>
      <c r="HL154" s="489"/>
      <c r="HM154" s="489"/>
      <c r="HN154" s="489"/>
      <c r="HO154" s="489"/>
      <c r="HP154" s="489"/>
      <c r="HQ154" s="489"/>
      <c r="HR154" s="489"/>
      <c r="HS154" s="489"/>
      <c r="HT154" s="489"/>
      <c r="HU154" s="489"/>
      <c r="HV154" s="489"/>
      <c r="HW154" s="489"/>
      <c r="HX154" s="489"/>
      <c r="HY154" s="487"/>
    </row>
    <row r="155" spans="1:233" s="637" customFormat="1" ht="20.100000000000001" customHeight="1">
      <c r="A155" s="490" t="str">
        <f>A36</f>
        <v>-   Các quy chuẩn, tiêu chuẩn, quy phạm hiện hành khác liên quan đến đối tượng nghiệm thu.</v>
      </c>
      <c r="B155" s="491"/>
      <c r="C155" s="491"/>
      <c r="D155" s="491"/>
      <c r="E155" s="491"/>
      <c r="F155" s="491"/>
      <c r="G155" s="491"/>
      <c r="H155" s="491"/>
      <c r="I155" s="491"/>
      <c r="J155" s="491"/>
      <c r="K155" s="491"/>
      <c r="L155" s="491"/>
      <c r="M155" s="477"/>
      <c r="N155" s="477"/>
      <c r="O155" s="477"/>
      <c r="P155" s="477"/>
      <c r="Q155" s="477"/>
      <c r="R155" s="477"/>
      <c r="S155" s="477"/>
      <c r="T155" s="477"/>
      <c r="U155" s="492"/>
      <c r="V155" s="489"/>
      <c r="W155" s="489"/>
      <c r="X155" s="489"/>
      <c r="Y155" s="489"/>
      <c r="Z155" s="489"/>
      <c r="AA155" s="489"/>
      <c r="AB155" s="489"/>
      <c r="AC155" s="489"/>
      <c r="AD155" s="489"/>
      <c r="AE155" s="489"/>
      <c r="AF155" s="489"/>
      <c r="AG155" s="489"/>
      <c r="AH155" s="489"/>
      <c r="AI155" s="489"/>
      <c r="AJ155" s="489"/>
      <c r="AK155" s="489"/>
      <c r="AL155" s="489"/>
      <c r="AM155" s="489"/>
      <c r="AN155" s="489"/>
      <c r="AO155" s="489"/>
      <c r="AP155" s="489"/>
      <c r="AQ155" s="489"/>
      <c r="AR155" s="489"/>
      <c r="AS155" s="489"/>
      <c r="AT155" s="489"/>
      <c r="AU155" s="489"/>
      <c r="AV155" s="489"/>
      <c r="AW155" s="489"/>
      <c r="AX155" s="489"/>
      <c r="AY155" s="489"/>
      <c r="AZ155" s="489"/>
      <c r="BA155" s="489"/>
      <c r="BB155" s="489"/>
      <c r="BC155" s="489"/>
      <c r="BD155" s="489"/>
      <c r="BE155" s="489"/>
      <c r="BF155" s="489"/>
      <c r="BG155" s="489"/>
      <c r="BH155" s="489"/>
      <c r="BI155" s="489"/>
      <c r="BJ155" s="489"/>
      <c r="BK155" s="489"/>
      <c r="BL155" s="489"/>
      <c r="BM155" s="489"/>
      <c r="BN155" s="489"/>
      <c r="BO155" s="489"/>
      <c r="BP155" s="489"/>
      <c r="BQ155" s="489"/>
      <c r="BR155" s="489"/>
      <c r="BS155" s="489"/>
      <c r="BT155" s="489"/>
      <c r="BU155" s="489"/>
      <c r="BV155" s="489"/>
      <c r="BW155" s="489"/>
      <c r="BX155" s="489"/>
      <c r="BY155" s="489"/>
      <c r="BZ155" s="489"/>
      <c r="CA155" s="489"/>
      <c r="CB155" s="489"/>
      <c r="CC155" s="489"/>
      <c r="CD155" s="489"/>
      <c r="CE155" s="489"/>
      <c r="CF155" s="489"/>
      <c r="CG155" s="489"/>
      <c r="CH155" s="489"/>
      <c r="CI155" s="489"/>
      <c r="CJ155" s="489"/>
      <c r="CK155" s="489"/>
      <c r="CL155" s="489"/>
      <c r="CM155" s="489"/>
      <c r="CN155" s="489"/>
      <c r="CO155" s="489"/>
      <c r="CP155" s="489"/>
      <c r="CQ155" s="489"/>
      <c r="CR155" s="489"/>
      <c r="CS155" s="489"/>
      <c r="CT155" s="489"/>
      <c r="CU155" s="489"/>
      <c r="CV155" s="489"/>
      <c r="CW155" s="489"/>
      <c r="CX155" s="489"/>
      <c r="CY155" s="489"/>
      <c r="CZ155" s="489"/>
      <c r="DA155" s="489"/>
      <c r="DB155" s="489"/>
      <c r="DC155" s="489"/>
      <c r="DD155" s="489"/>
      <c r="DE155" s="489"/>
      <c r="DF155" s="489"/>
      <c r="DG155" s="489"/>
      <c r="DH155" s="489"/>
      <c r="DI155" s="489"/>
      <c r="DJ155" s="489"/>
      <c r="DK155" s="489"/>
      <c r="DL155" s="489"/>
      <c r="DM155" s="489"/>
      <c r="DN155" s="489"/>
      <c r="DO155" s="489"/>
      <c r="DP155" s="489"/>
      <c r="DQ155" s="489"/>
      <c r="DR155" s="489"/>
      <c r="DS155" s="489"/>
      <c r="DT155" s="489"/>
      <c r="DU155" s="489"/>
      <c r="DV155" s="489"/>
      <c r="DW155" s="489"/>
      <c r="DX155" s="489"/>
      <c r="DY155" s="489"/>
      <c r="DZ155" s="489"/>
      <c r="EA155" s="489"/>
      <c r="EB155" s="489"/>
      <c r="EC155" s="489"/>
      <c r="ED155" s="489"/>
      <c r="EE155" s="489"/>
      <c r="EF155" s="489"/>
      <c r="EG155" s="489"/>
      <c r="EH155" s="489"/>
      <c r="EI155" s="489"/>
      <c r="EJ155" s="489"/>
      <c r="EK155" s="489"/>
      <c r="EL155" s="489"/>
      <c r="EM155" s="489"/>
      <c r="EN155" s="489"/>
      <c r="EO155" s="489"/>
      <c r="EP155" s="489"/>
      <c r="EQ155" s="489"/>
      <c r="ER155" s="489"/>
      <c r="ES155" s="489"/>
      <c r="ET155" s="489"/>
      <c r="EU155" s="489"/>
      <c r="EV155" s="489"/>
      <c r="EW155" s="489"/>
      <c r="EX155" s="489"/>
      <c r="EY155" s="489"/>
      <c r="EZ155" s="489"/>
      <c r="FA155" s="489"/>
      <c r="FB155" s="489"/>
      <c r="FC155" s="489"/>
      <c r="FD155" s="489"/>
      <c r="FE155" s="489"/>
      <c r="FF155" s="489"/>
      <c r="FG155" s="489"/>
      <c r="FH155" s="489"/>
      <c r="FI155" s="489"/>
      <c r="FJ155" s="489"/>
      <c r="FK155" s="489"/>
      <c r="FL155" s="489"/>
      <c r="FM155" s="489"/>
      <c r="FN155" s="489"/>
      <c r="FO155" s="489"/>
      <c r="FP155" s="489"/>
      <c r="FQ155" s="489"/>
      <c r="FR155" s="489"/>
      <c r="FS155" s="489"/>
      <c r="FT155" s="489"/>
      <c r="FU155" s="489"/>
      <c r="FV155" s="489"/>
      <c r="FW155" s="489"/>
      <c r="FX155" s="489"/>
      <c r="FY155" s="489"/>
      <c r="FZ155" s="489"/>
      <c r="GA155" s="489"/>
      <c r="GB155" s="489"/>
      <c r="GC155" s="489"/>
      <c r="GD155" s="489"/>
      <c r="GE155" s="489"/>
      <c r="GF155" s="489"/>
      <c r="GG155" s="489"/>
      <c r="GH155" s="489"/>
      <c r="GI155" s="489"/>
      <c r="GJ155" s="489"/>
      <c r="GK155" s="489"/>
      <c r="GL155" s="489"/>
      <c r="GM155" s="489"/>
      <c r="GN155" s="489"/>
      <c r="GO155" s="489"/>
      <c r="GP155" s="489"/>
      <c r="GQ155" s="489"/>
      <c r="GR155" s="489"/>
      <c r="GS155" s="489"/>
      <c r="GT155" s="489"/>
      <c r="GU155" s="489"/>
      <c r="GV155" s="489"/>
      <c r="GW155" s="489"/>
      <c r="GX155" s="489"/>
      <c r="GY155" s="489"/>
      <c r="GZ155" s="489"/>
      <c r="HA155" s="489"/>
      <c r="HB155" s="489"/>
      <c r="HC155" s="489"/>
      <c r="HD155" s="489"/>
      <c r="HE155" s="489"/>
      <c r="HF155" s="489"/>
      <c r="HG155" s="489"/>
      <c r="HH155" s="489"/>
      <c r="HI155" s="489"/>
      <c r="HJ155" s="489"/>
      <c r="HK155" s="489"/>
      <c r="HL155" s="489"/>
      <c r="HM155" s="489"/>
      <c r="HN155" s="489"/>
      <c r="HO155" s="489"/>
      <c r="HP155" s="489"/>
      <c r="HQ155" s="489"/>
      <c r="HR155" s="489"/>
      <c r="HS155" s="489"/>
      <c r="HT155" s="489"/>
      <c r="HU155" s="489"/>
      <c r="HV155" s="489"/>
      <c r="HW155" s="489"/>
      <c r="HX155" s="489"/>
      <c r="HY155" s="487"/>
    </row>
    <row r="156" spans="1:233" s="637" customFormat="1" ht="20.100000000000001" customHeight="1">
      <c r="A156" s="493" t="s">
        <v>109</v>
      </c>
      <c r="B156" s="489"/>
      <c r="C156" s="489"/>
      <c r="D156" s="489"/>
      <c r="E156" s="489"/>
      <c r="F156" s="489"/>
      <c r="G156" s="489"/>
      <c r="H156" s="489"/>
      <c r="I156" s="489"/>
      <c r="J156" s="489"/>
      <c r="K156" s="491"/>
      <c r="L156" s="491"/>
      <c r="M156" s="477"/>
      <c r="N156" s="477"/>
      <c r="O156" s="477"/>
      <c r="P156" s="477"/>
      <c r="Q156" s="477"/>
      <c r="R156" s="477"/>
      <c r="S156" s="477"/>
      <c r="T156" s="477"/>
      <c r="U156" s="492"/>
      <c r="V156" s="489"/>
      <c r="W156" s="489"/>
      <c r="X156" s="489"/>
      <c r="Y156" s="489"/>
      <c r="Z156" s="489"/>
      <c r="AA156" s="489"/>
      <c r="AB156" s="489"/>
      <c r="AC156" s="489"/>
      <c r="AD156" s="489"/>
      <c r="AE156" s="489"/>
      <c r="AF156" s="489"/>
      <c r="AG156" s="489"/>
      <c r="AH156" s="489"/>
      <c r="AI156" s="489"/>
      <c r="AJ156" s="489"/>
      <c r="AK156" s="489"/>
      <c r="AL156" s="489"/>
      <c r="AM156" s="489"/>
      <c r="AN156" s="489"/>
      <c r="AO156" s="489"/>
      <c r="AP156" s="489"/>
      <c r="AQ156" s="489"/>
      <c r="AR156" s="489"/>
      <c r="AS156" s="489"/>
      <c r="AT156" s="489"/>
      <c r="AU156" s="489"/>
      <c r="AV156" s="489"/>
      <c r="AW156" s="489"/>
      <c r="AX156" s="489"/>
      <c r="AY156" s="489"/>
      <c r="AZ156" s="489"/>
      <c r="BA156" s="489"/>
      <c r="BB156" s="489"/>
      <c r="BC156" s="489"/>
      <c r="BD156" s="489"/>
      <c r="BE156" s="489"/>
      <c r="BF156" s="489"/>
      <c r="BG156" s="489"/>
      <c r="BH156" s="489"/>
      <c r="BI156" s="489"/>
      <c r="BJ156" s="489"/>
      <c r="BK156" s="489"/>
      <c r="BL156" s="489"/>
      <c r="BM156" s="489"/>
      <c r="BN156" s="489"/>
      <c r="BO156" s="489"/>
      <c r="BP156" s="489"/>
      <c r="BQ156" s="489"/>
      <c r="BR156" s="489"/>
      <c r="BS156" s="489"/>
      <c r="BT156" s="489"/>
      <c r="BU156" s="489"/>
      <c r="BV156" s="489"/>
      <c r="BW156" s="489"/>
      <c r="BX156" s="489"/>
      <c r="BY156" s="489"/>
      <c r="BZ156" s="489"/>
      <c r="CA156" s="489"/>
      <c r="CB156" s="489"/>
      <c r="CC156" s="489"/>
      <c r="CD156" s="489"/>
      <c r="CE156" s="489"/>
      <c r="CF156" s="489"/>
      <c r="CG156" s="489"/>
      <c r="CH156" s="489"/>
      <c r="CI156" s="489"/>
      <c r="CJ156" s="489"/>
      <c r="CK156" s="489"/>
      <c r="CL156" s="489"/>
      <c r="CM156" s="489"/>
      <c r="CN156" s="489"/>
      <c r="CO156" s="489"/>
      <c r="CP156" s="489"/>
      <c r="CQ156" s="489"/>
      <c r="CR156" s="489"/>
      <c r="CS156" s="489"/>
      <c r="CT156" s="489"/>
      <c r="CU156" s="489"/>
      <c r="CV156" s="489"/>
      <c r="CW156" s="489"/>
      <c r="CX156" s="489"/>
      <c r="CY156" s="489"/>
      <c r="CZ156" s="489"/>
      <c r="DA156" s="489"/>
      <c r="DB156" s="489"/>
      <c r="DC156" s="489"/>
      <c r="DD156" s="489"/>
      <c r="DE156" s="489"/>
      <c r="DF156" s="489"/>
      <c r="DG156" s="489"/>
      <c r="DH156" s="489"/>
      <c r="DI156" s="489"/>
      <c r="DJ156" s="489"/>
      <c r="DK156" s="489"/>
      <c r="DL156" s="489"/>
      <c r="DM156" s="489"/>
      <c r="DN156" s="489"/>
      <c r="DO156" s="489"/>
      <c r="DP156" s="489"/>
      <c r="DQ156" s="489"/>
      <c r="DR156" s="489"/>
      <c r="DS156" s="489"/>
      <c r="DT156" s="489"/>
      <c r="DU156" s="489"/>
      <c r="DV156" s="489"/>
      <c r="DW156" s="489"/>
      <c r="DX156" s="489"/>
      <c r="DY156" s="489"/>
      <c r="DZ156" s="489"/>
      <c r="EA156" s="489"/>
      <c r="EB156" s="489"/>
      <c r="EC156" s="489"/>
      <c r="ED156" s="489"/>
      <c r="EE156" s="489"/>
      <c r="EF156" s="489"/>
      <c r="EG156" s="489"/>
      <c r="EH156" s="489"/>
      <c r="EI156" s="489"/>
      <c r="EJ156" s="489"/>
      <c r="EK156" s="489"/>
      <c r="EL156" s="489"/>
      <c r="EM156" s="489"/>
      <c r="EN156" s="489"/>
      <c r="EO156" s="489"/>
      <c r="EP156" s="489"/>
      <c r="EQ156" s="489"/>
      <c r="ER156" s="489"/>
      <c r="ES156" s="489"/>
      <c r="ET156" s="489"/>
      <c r="EU156" s="489"/>
      <c r="EV156" s="489"/>
      <c r="EW156" s="489"/>
      <c r="EX156" s="489"/>
      <c r="EY156" s="489"/>
      <c r="EZ156" s="489"/>
      <c r="FA156" s="489"/>
      <c r="FB156" s="489"/>
      <c r="FC156" s="489"/>
      <c r="FD156" s="489"/>
      <c r="FE156" s="489"/>
      <c r="FF156" s="489"/>
      <c r="FG156" s="489"/>
      <c r="FH156" s="489"/>
      <c r="FI156" s="489"/>
      <c r="FJ156" s="489"/>
      <c r="FK156" s="489"/>
      <c r="FL156" s="489"/>
      <c r="FM156" s="489"/>
      <c r="FN156" s="489"/>
      <c r="FO156" s="489"/>
      <c r="FP156" s="489"/>
      <c r="FQ156" s="489"/>
      <c r="FR156" s="489"/>
      <c r="FS156" s="489"/>
      <c r="FT156" s="489"/>
      <c r="FU156" s="489"/>
      <c r="FV156" s="489"/>
      <c r="FW156" s="489"/>
      <c r="FX156" s="489"/>
      <c r="FY156" s="489"/>
      <c r="FZ156" s="489"/>
      <c r="GA156" s="489"/>
      <c r="GB156" s="489"/>
      <c r="GC156" s="489"/>
      <c r="GD156" s="489"/>
      <c r="GE156" s="489"/>
      <c r="GF156" s="489"/>
      <c r="GG156" s="489"/>
      <c r="GH156" s="489"/>
      <c r="GI156" s="489"/>
      <c r="GJ156" s="489"/>
      <c r="GK156" s="489"/>
      <c r="GL156" s="489"/>
      <c r="GM156" s="489"/>
      <c r="GN156" s="489"/>
      <c r="GO156" s="489"/>
      <c r="GP156" s="489"/>
      <c r="GQ156" s="489"/>
      <c r="GR156" s="489"/>
      <c r="GS156" s="489"/>
      <c r="GT156" s="489"/>
      <c r="GU156" s="489"/>
      <c r="GV156" s="489"/>
      <c r="GW156" s="489"/>
      <c r="GX156" s="489"/>
      <c r="GY156" s="489"/>
      <c r="GZ156" s="489"/>
      <c r="HA156" s="489"/>
      <c r="HB156" s="489"/>
      <c r="HC156" s="489"/>
      <c r="HD156" s="489"/>
      <c r="HE156" s="489"/>
      <c r="HF156" s="489"/>
      <c r="HG156" s="489"/>
      <c r="HH156" s="489"/>
      <c r="HI156" s="489"/>
      <c r="HJ156" s="489"/>
      <c r="HK156" s="489"/>
      <c r="HL156" s="489"/>
      <c r="HM156" s="489"/>
      <c r="HN156" s="489"/>
      <c r="HO156" s="489"/>
      <c r="HP156" s="489"/>
      <c r="HQ156" s="489"/>
      <c r="HR156" s="489"/>
      <c r="HS156" s="489"/>
      <c r="HT156" s="489"/>
      <c r="HU156" s="489"/>
      <c r="HV156" s="489"/>
      <c r="HW156" s="489"/>
      <c r="HX156" s="489"/>
      <c r="HY156" s="487"/>
    </row>
    <row r="157" spans="1:233" s="45" customFormat="1" ht="20.100000000000001" customHeight="1">
      <c r="A157" s="497" t="s">
        <v>1034</v>
      </c>
      <c r="B157" s="498"/>
      <c r="C157" s="498"/>
      <c r="D157" s="498"/>
      <c r="E157" s="498"/>
      <c r="F157" s="498"/>
      <c r="G157" s="498"/>
      <c r="H157" s="498"/>
      <c r="I157" s="498"/>
      <c r="J157" s="498"/>
      <c r="K157" s="489"/>
      <c r="L157" s="489"/>
      <c r="M157" s="494"/>
      <c r="N157" s="494"/>
      <c r="O157" s="492"/>
      <c r="P157" s="492"/>
      <c r="Q157" s="492"/>
      <c r="R157" s="492"/>
      <c r="S157" s="492"/>
      <c r="T157" s="492"/>
      <c r="U157" s="495"/>
      <c r="V157" s="496"/>
      <c r="W157" s="496"/>
      <c r="X157" s="496"/>
      <c r="Y157" s="496"/>
      <c r="Z157" s="496"/>
      <c r="AA157" s="496"/>
      <c r="AB157" s="496"/>
      <c r="AC157" s="496"/>
      <c r="AD157" s="496"/>
      <c r="AE157" s="496"/>
      <c r="AF157" s="496"/>
      <c r="AG157" s="496"/>
      <c r="AH157" s="496"/>
      <c r="AI157" s="496"/>
      <c r="AJ157" s="496"/>
      <c r="AK157" s="496"/>
      <c r="AL157" s="496"/>
      <c r="AM157" s="496"/>
      <c r="AN157" s="496"/>
      <c r="AO157" s="496"/>
      <c r="AP157" s="496"/>
      <c r="AQ157" s="496"/>
      <c r="AR157" s="496"/>
      <c r="AS157" s="496"/>
      <c r="AT157" s="496"/>
      <c r="AU157" s="496"/>
      <c r="AV157" s="496"/>
      <c r="AW157" s="496"/>
      <c r="AX157" s="496"/>
      <c r="AY157" s="496"/>
      <c r="AZ157" s="496"/>
      <c r="BA157" s="496"/>
      <c r="BB157" s="496"/>
      <c r="BC157" s="496"/>
      <c r="BD157" s="496"/>
      <c r="BE157" s="496"/>
      <c r="BF157" s="496"/>
      <c r="BG157" s="496"/>
      <c r="BH157" s="496"/>
      <c r="BI157" s="496"/>
      <c r="BJ157" s="496"/>
      <c r="BK157" s="496"/>
      <c r="BL157" s="496"/>
      <c r="BM157" s="496"/>
      <c r="BN157" s="496"/>
      <c r="BO157" s="496"/>
      <c r="BP157" s="496"/>
      <c r="BQ157" s="496"/>
      <c r="BR157" s="496"/>
      <c r="BS157" s="496"/>
      <c r="BT157" s="496"/>
      <c r="BU157" s="496"/>
      <c r="BV157" s="496"/>
      <c r="BW157" s="496"/>
      <c r="BX157" s="496"/>
      <c r="BY157" s="496"/>
      <c r="BZ157" s="496"/>
      <c r="CA157" s="496"/>
      <c r="CB157" s="496"/>
      <c r="CC157" s="496"/>
      <c r="CD157" s="496"/>
      <c r="CE157" s="496"/>
      <c r="CF157" s="496"/>
      <c r="CG157" s="496"/>
      <c r="CH157" s="496"/>
      <c r="CI157" s="496"/>
      <c r="CJ157" s="496"/>
      <c r="CK157" s="496"/>
      <c r="CL157" s="496"/>
      <c r="CM157" s="496"/>
      <c r="CN157" s="496"/>
      <c r="CO157" s="496"/>
      <c r="CP157" s="496"/>
      <c r="CQ157" s="496"/>
      <c r="CR157" s="496"/>
      <c r="CS157" s="496"/>
      <c r="CT157" s="496"/>
      <c r="CU157" s="496"/>
      <c r="CV157" s="496"/>
      <c r="CW157" s="496"/>
      <c r="CX157" s="496"/>
      <c r="CY157" s="496"/>
      <c r="CZ157" s="496"/>
      <c r="DA157" s="496"/>
      <c r="DB157" s="496"/>
      <c r="DC157" s="496"/>
      <c r="DD157" s="496"/>
      <c r="DE157" s="496"/>
      <c r="DF157" s="496"/>
      <c r="DG157" s="496"/>
      <c r="DH157" s="496"/>
      <c r="DI157" s="496"/>
      <c r="DJ157" s="496"/>
      <c r="DK157" s="496"/>
      <c r="DL157" s="496"/>
      <c r="DM157" s="496"/>
      <c r="DN157" s="496"/>
      <c r="DO157" s="496"/>
      <c r="DP157" s="496"/>
      <c r="DQ157" s="496"/>
      <c r="DR157" s="496"/>
      <c r="DS157" s="496"/>
      <c r="DT157" s="496"/>
      <c r="DU157" s="496"/>
      <c r="DV157" s="496"/>
      <c r="DW157" s="496"/>
      <c r="DX157" s="496"/>
      <c r="DY157" s="496"/>
      <c r="DZ157" s="496"/>
      <c r="EA157" s="496"/>
      <c r="EB157" s="496"/>
      <c r="EC157" s="496"/>
      <c r="ED157" s="496"/>
      <c r="EE157" s="496"/>
      <c r="EF157" s="496"/>
      <c r="EG157" s="496"/>
      <c r="EH157" s="496"/>
      <c r="EI157" s="496"/>
      <c r="EJ157" s="496"/>
      <c r="EK157" s="496"/>
      <c r="EL157" s="496"/>
      <c r="EM157" s="496"/>
      <c r="EN157" s="496"/>
      <c r="EO157" s="496"/>
      <c r="EP157" s="496"/>
      <c r="EQ157" s="496"/>
      <c r="ER157" s="496"/>
      <c r="ES157" s="496"/>
      <c r="ET157" s="496"/>
      <c r="EU157" s="496"/>
      <c r="EV157" s="496"/>
      <c r="EW157" s="496"/>
      <c r="EX157" s="496"/>
      <c r="EY157" s="496"/>
      <c r="EZ157" s="496"/>
      <c r="FA157" s="496"/>
      <c r="FB157" s="496"/>
      <c r="FC157" s="496"/>
      <c r="FD157" s="496"/>
      <c r="FE157" s="496"/>
      <c r="FF157" s="496"/>
      <c r="FG157" s="496"/>
      <c r="FH157" s="496"/>
      <c r="FI157" s="496"/>
      <c r="FJ157" s="496"/>
      <c r="FK157" s="496"/>
      <c r="FL157" s="496"/>
      <c r="FM157" s="496"/>
      <c r="FN157" s="496"/>
      <c r="FO157" s="496"/>
      <c r="FP157" s="496"/>
      <c r="FQ157" s="496"/>
      <c r="FR157" s="496"/>
      <c r="FS157" s="496"/>
      <c r="FT157" s="496"/>
      <c r="FU157" s="496"/>
      <c r="FV157" s="496"/>
      <c r="FW157" s="496"/>
      <c r="FX157" s="496"/>
      <c r="FY157" s="496"/>
      <c r="FZ157" s="496"/>
      <c r="GA157" s="496"/>
      <c r="GB157" s="496"/>
      <c r="GC157" s="496"/>
      <c r="GD157" s="496"/>
      <c r="GE157" s="496"/>
      <c r="GF157" s="496"/>
      <c r="GG157" s="496"/>
      <c r="GH157" s="496"/>
      <c r="GI157" s="496"/>
      <c r="GJ157" s="496"/>
      <c r="GK157" s="496"/>
      <c r="GL157" s="496"/>
      <c r="GM157" s="496"/>
      <c r="GN157" s="496"/>
      <c r="GO157" s="496"/>
      <c r="GP157" s="496"/>
      <c r="GQ157" s="496"/>
      <c r="GR157" s="496"/>
      <c r="GS157" s="496"/>
      <c r="GT157" s="496"/>
      <c r="GU157" s="496"/>
      <c r="GV157" s="496"/>
      <c r="GW157" s="496"/>
      <c r="GX157" s="496"/>
      <c r="GY157" s="496"/>
      <c r="GZ157" s="496"/>
      <c r="HA157" s="496"/>
      <c r="HB157" s="496"/>
      <c r="HC157" s="496"/>
      <c r="HD157" s="496"/>
      <c r="HE157" s="496"/>
      <c r="HF157" s="496"/>
      <c r="HG157" s="496"/>
      <c r="HH157" s="496"/>
      <c r="HI157" s="496"/>
      <c r="HJ157" s="496"/>
      <c r="HK157" s="496"/>
      <c r="HL157" s="496"/>
      <c r="HM157" s="496"/>
      <c r="HN157" s="496"/>
      <c r="HO157" s="496"/>
      <c r="HP157" s="496"/>
      <c r="HQ157" s="496"/>
      <c r="HR157" s="496"/>
      <c r="HS157" s="496"/>
      <c r="HT157" s="496"/>
      <c r="HU157" s="496"/>
      <c r="HV157" s="496"/>
      <c r="HW157" s="496"/>
      <c r="HX157" s="490"/>
      <c r="HY157" s="490"/>
    </row>
    <row r="158" spans="1:233" s="5" customFormat="1" ht="20.100000000000001" customHeight="1">
      <c r="A158" s="497" t="s">
        <v>863</v>
      </c>
      <c r="B158" s="498"/>
      <c r="C158" s="498"/>
      <c r="D158" s="498"/>
      <c r="E158" s="498"/>
      <c r="F158" s="498"/>
      <c r="G158" s="498"/>
      <c r="H158" s="498"/>
      <c r="I158" s="498"/>
      <c r="J158" s="498"/>
      <c r="K158" s="498"/>
      <c r="L158" s="498"/>
      <c r="M158" s="494"/>
      <c r="N158" s="494"/>
      <c r="O158" s="495"/>
      <c r="P158" s="495"/>
      <c r="Q158" s="495"/>
      <c r="R158" s="495"/>
      <c r="S158" s="495"/>
      <c r="T158" s="495"/>
      <c r="U158" s="495"/>
      <c r="V158" s="489"/>
      <c r="W158" s="489"/>
      <c r="X158" s="489"/>
      <c r="Y158" s="489"/>
      <c r="Z158" s="489"/>
      <c r="AA158" s="489"/>
      <c r="AB158" s="489"/>
      <c r="AC158" s="489"/>
      <c r="AD158" s="489"/>
      <c r="AE158" s="489"/>
      <c r="AF158" s="489"/>
      <c r="AG158" s="489"/>
      <c r="AH158" s="489"/>
      <c r="AI158" s="489"/>
      <c r="AJ158" s="489"/>
      <c r="AK158" s="489"/>
      <c r="AL158" s="489"/>
      <c r="AM158" s="489"/>
      <c r="AN158" s="489"/>
      <c r="AO158" s="489"/>
      <c r="AP158" s="489"/>
      <c r="AQ158" s="489"/>
      <c r="AR158" s="489"/>
      <c r="AS158" s="489"/>
      <c r="AT158" s="489"/>
      <c r="AU158" s="489"/>
      <c r="AV158" s="489"/>
      <c r="AW158" s="489"/>
      <c r="AX158" s="489"/>
      <c r="AY158" s="489"/>
      <c r="AZ158" s="489"/>
      <c r="BA158" s="489"/>
      <c r="BB158" s="489"/>
      <c r="BC158" s="489"/>
      <c r="BD158" s="489"/>
      <c r="BE158" s="489"/>
      <c r="BF158" s="489"/>
      <c r="BG158" s="489"/>
      <c r="BH158" s="489"/>
      <c r="BI158" s="489"/>
      <c r="BJ158" s="489"/>
      <c r="BK158" s="489"/>
      <c r="BL158" s="489"/>
      <c r="BM158" s="489"/>
      <c r="BN158" s="489"/>
      <c r="BO158" s="489"/>
      <c r="BP158" s="489"/>
      <c r="BQ158" s="489"/>
      <c r="BR158" s="489"/>
      <c r="BS158" s="489"/>
      <c r="BT158" s="489"/>
      <c r="BU158" s="489"/>
      <c r="BV158" s="489"/>
      <c r="BW158" s="489"/>
      <c r="BX158" s="489"/>
      <c r="BY158" s="489"/>
      <c r="BZ158" s="489"/>
      <c r="CA158" s="489"/>
      <c r="CB158" s="489"/>
      <c r="CC158" s="489"/>
      <c r="CD158" s="489"/>
      <c r="CE158" s="489"/>
      <c r="CF158" s="489"/>
      <c r="CG158" s="489"/>
      <c r="CH158" s="489"/>
      <c r="CI158" s="489"/>
      <c r="CJ158" s="489"/>
      <c r="CK158" s="489"/>
      <c r="CL158" s="489"/>
      <c r="CM158" s="489"/>
      <c r="CN158" s="489"/>
      <c r="CO158" s="489"/>
      <c r="CP158" s="489"/>
      <c r="CQ158" s="489"/>
      <c r="CR158" s="489"/>
      <c r="CS158" s="489"/>
      <c r="CT158" s="489"/>
      <c r="CU158" s="489"/>
      <c r="CV158" s="489"/>
      <c r="CW158" s="489"/>
      <c r="CX158" s="489"/>
      <c r="CY158" s="489"/>
      <c r="CZ158" s="489"/>
      <c r="DA158" s="489"/>
      <c r="DB158" s="489"/>
      <c r="DC158" s="489"/>
      <c r="DD158" s="489"/>
      <c r="DE158" s="489"/>
      <c r="DF158" s="489"/>
      <c r="DG158" s="489"/>
      <c r="DH158" s="489"/>
      <c r="DI158" s="489"/>
      <c r="DJ158" s="489"/>
      <c r="DK158" s="489"/>
      <c r="DL158" s="489"/>
      <c r="DM158" s="489"/>
      <c r="DN158" s="489"/>
      <c r="DO158" s="489"/>
      <c r="DP158" s="489"/>
      <c r="DQ158" s="489"/>
      <c r="DR158" s="489"/>
      <c r="DS158" s="489"/>
      <c r="DT158" s="489"/>
      <c r="DU158" s="489"/>
      <c r="DV158" s="489"/>
      <c r="DW158" s="489"/>
      <c r="DX158" s="489"/>
      <c r="DY158" s="489"/>
      <c r="DZ158" s="489"/>
      <c r="EA158" s="489"/>
      <c r="EB158" s="489"/>
      <c r="EC158" s="489"/>
      <c r="ED158" s="489"/>
      <c r="EE158" s="489"/>
      <c r="EF158" s="489"/>
      <c r="EG158" s="489"/>
      <c r="EH158" s="489"/>
      <c r="EI158" s="489"/>
      <c r="EJ158" s="489"/>
      <c r="EK158" s="489"/>
      <c r="EL158" s="489"/>
      <c r="EM158" s="489"/>
      <c r="EN158" s="489"/>
      <c r="EO158" s="489"/>
      <c r="EP158" s="489"/>
      <c r="EQ158" s="489"/>
      <c r="ER158" s="489"/>
      <c r="ES158" s="489"/>
      <c r="ET158" s="489"/>
      <c r="EU158" s="489"/>
      <c r="EV158" s="489"/>
      <c r="EW158" s="489"/>
      <c r="EX158" s="489"/>
      <c r="EY158" s="489"/>
      <c r="EZ158" s="489"/>
      <c r="FA158" s="489"/>
      <c r="FB158" s="489"/>
      <c r="FC158" s="489"/>
      <c r="FD158" s="489"/>
      <c r="FE158" s="489"/>
      <c r="FF158" s="489"/>
      <c r="FG158" s="489"/>
      <c r="FH158" s="489"/>
      <c r="FI158" s="489"/>
      <c r="FJ158" s="489"/>
      <c r="FK158" s="489"/>
      <c r="FL158" s="489"/>
      <c r="FM158" s="489"/>
      <c r="FN158" s="489"/>
      <c r="FO158" s="489"/>
      <c r="FP158" s="489"/>
      <c r="FQ158" s="489"/>
      <c r="FR158" s="489"/>
      <c r="FS158" s="489"/>
      <c r="FT158" s="489"/>
      <c r="FU158" s="489"/>
      <c r="FV158" s="489"/>
      <c r="FW158" s="489"/>
      <c r="FX158" s="489"/>
      <c r="FY158" s="489"/>
      <c r="FZ158" s="489"/>
      <c r="GA158" s="489"/>
      <c r="GB158" s="489"/>
      <c r="GC158" s="489"/>
      <c r="GD158" s="489"/>
      <c r="GE158" s="489"/>
      <c r="GF158" s="489"/>
      <c r="GG158" s="489"/>
      <c r="GH158" s="489"/>
      <c r="GI158" s="489"/>
      <c r="GJ158" s="489"/>
      <c r="GK158" s="489"/>
      <c r="GL158" s="489"/>
      <c r="GM158" s="489"/>
      <c r="GN158" s="489"/>
      <c r="GO158" s="489"/>
      <c r="GP158" s="489"/>
      <c r="GQ158" s="489"/>
      <c r="GR158" s="489"/>
      <c r="GS158" s="489"/>
      <c r="GT158" s="489"/>
      <c r="GU158" s="489"/>
      <c r="GV158" s="489"/>
      <c r="GW158" s="489"/>
      <c r="GX158" s="489"/>
      <c r="GY158" s="489"/>
      <c r="GZ158" s="489"/>
      <c r="HA158" s="489"/>
      <c r="HB158" s="489"/>
      <c r="HC158" s="489"/>
      <c r="HD158" s="489"/>
      <c r="HE158" s="489"/>
      <c r="HF158" s="489"/>
      <c r="HG158" s="489"/>
      <c r="HH158" s="489"/>
      <c r="HI158" s="489"/>
      <c r="HJ158" s="489"/>
      <c r="HK158" s="489"/>
      <c r="HL158" s="489"/>
      <c r="HM158" s="489"/>
      <c r="HN158" s="489"/>
      <c r="HO158" s="489"/>
      <c r="HP158" s="489"/>
      <c r="HQ158" s="489"/>
      <c r="HR158" s="489"/>
      <c r="HS158" s="489"/>
      <c r="HT158" s="489"/>
      <c r="HU158" s="489"/>
      <c r="HV158" s="489"/>
      <c r="HW158" s="489"/>
      <c r="HX158" s="489"/>
      <c r="HY158" s="358"/>
    </row>
    <row r="159" spans="1:233" s="5" customFormat="1" ht="34.5" customHeight="1">
      <c r="A159" s="1607" t="s">
        <v>112</v>
      </c>
      <c r="B159" s="1607"/>
      <c r="C159" s="1607"/>
      <c r="D159" s="1607"/>
      <c r="E159" s="1607"/>
      <c r="F159" s="1607"/>
      <c r="G159" s="1607"/>
      <c r="H159" s="1607"/>
      <c r="I159" s="1607"/>
      <c r="J159" s="1607"/>
      <c r="K159" s="498"/>
      <c r="L159" s="498"/>
      <c r="M159" s="494"/>
      <c r="N159" s="494"/>
      <c r="O159" s="495"/>
      <c r="P159" s="495"/>
      <c r="Q159" s="495"/>
      <c r="R159" s="495"/>
      <c r="S159" s="495"/>
      <c r="T159" s="495"/>
      <c r="U159" s="495"/>
      <c r="V159" s="499"/>
      <c r="W159" s="499"/>
      <c r="X159" s="499"/>
      <c r="Y159" s="499"/>
      <c r="Z159" s="499"/>
      <c r="AA159" s="499"/>
      <c r="AB159" s="499"/>
      <c r="AC159" s="499"/>
      <c r="AD159" s="499"/>
      <c r="AE159" s="499"/>
      <c r="AF159" s="499"/>
      <c r="AG159" s="499"/>
      <c r="AH159" s="499"/>
      <c r="AI159" s="499"/>
      <c r="AJ159" s="499"/>
      <c r="AK159" s="499"/>
      <c r="AL159" s="499"/>
      <c r="AM159" s="499"/>
      <c r="AN159" s="499"/>
      <c r="AO159" s="499"/>
      <c r="AP159" s="499"/>
      <c r="AQ159" s="499"/>
      <c r="AR159" s="499"/>
      <c r="AS159" s="499"/>
      <c r="AT159" s="499"/>
      <c r="AU159" s="499"/>
      <c r="AV159" s="499"/>
      <c r="AW159" s="499"/>
      <c r="AX159" s="499"/>
      <c r="AY159" s="499"/>
      <c r="AZ159" s="499"/>
      <c r="BA159" s="499"/>
      <c r="BB159" s="499"/>
      <c r="BC159" s="499"/>
      <c r="BD159" s="499"/>
      <c r="BE159" s="499"/>
      <c r="BF159" s="499"/>
      <c r="BG159" s="499"/>
      <c r="BH159" s="499"/>
      <c r="BI159" s="499"/>
      <c r="BJ159" s="499"/>
      <c r="BK159" s="499"/>
      <c r="BL159" s="499"/>
      <c r="BM159" s="499"/>
      <c r="BN159" s="499"/>
      <c r="BO159" s="499"/>
      <c r="BP159" s="499"/>
      <c r="BQ159" s="499"/>
      <c r="BR159" s="499"/>
      <c r="BS159" s="499"/>
      <c r="BT159" s="499"/>
      <c r="BU159" s="499"/>
      <c r="BV159" s="499"/>
      <c r="BW159" s="499"/>
      <c r="BX159" s="499"/>
      <c r="BY159" s="499"/>
      <c r="BZ159" s="499"/>
      <c r="CA159" s="499"/>
      <c r="CB159" s="499"/>
      <c r="CC159" s="499"/>
      <c r="CD159" s="499"/>
      <c r="CE159" s="499"/>
      <c r="CF159" s="499"/>
      <c r="CG159" s="499"/>
      <c r="CH159" s="499"/>
      <c r="CI159" s="499"/>
      <c r="CJ159" s="499"/>
      <c r="CK159" s="499"/>
      <c r="CL159" s="499"/>
      <c r="CM159" s="499"/>
      <c r="CN159" s="499"/>
      <c r="CO159" s="499"/>
      <c r="CP159" s="499"/>
      <c r="CQ159" s="499"/>
      <c r="CR159" s="499"/>
      <c r="CS159" s="499"/>
      <c r="CT159" s="499"/>
      <c r="CU159" s="499"/>
      <c r="CV159" s="499"/>
      <c r="CW159" s="499"/>
      <c r="CX159" s="499"/>
      <c r="CY159" s="499"/>
      <c r="CZ159" s="499"/>
      <c r="DA159" s="499"/>
      <c r="DB159" s="499"/>
      <c r="DC159" s="499"/>
      <c r="DD159" s="499"/>
      <c r="DE159" s="499"/>
      <c r="DF159" s="499"/>
      <c r="DG159" s="499"/>
      <c r="DH159" s="499"/>
      <c r="DI159" s="499"/>
      <c r="DJ159" s="499"/>
      <c r="DK159" s="499"/>
      <c r="DL159" s="499"/>
      <c r="DM159" s="499"/>
      <c r="DN159" s="499"/>
      <c r="DO159" s="499"/>
      <c r="DP159" s="499"/>
      <c r="DQ159" s="499"/>
      <c r="DR159" s="499"/>
      <c r="DS159" s="499"/>
      <c r="DT159" s="499"/>
      <c r="DU159" s="499"/>
      <c r="DV159" s="499"/>
      <c r="DW159" s="499"/>
      <c r="DX159" s="499"/>
      <c r="DY159" s="499"/>
      <c r="DZ159" s="499"/>
      <c r="EA159" s="499"/>
      <c r="EB159" s="499"/>
      <c r="EC159" s="499"/>
      <c r="ED159" s="499"/>
      <c r="EE159" s="499"/>
      <c r="EF159" s="499"/>
      <c r="EG159" s="499"/>
      <c r="EH159" s="499"/>
      <c r="EI159" s="499"/>
      <c r="EJ159" s="499"/>
      <c r="EK159" s="499"/>
      <c r="EL159" s="499"/>
      <c r="EM159" s="499"/>
      <c r="EN159" s="499"/>
      <c r="EO159" s="499"/>
      <c r="EP159" s="499"/>
      <c r="EQ159" s="499"/>
      <c r="ER159" s="499"/>
      <c r="ES159" s="499"/>
      <c r="ET159" s="499"/>
      <c r="EU159" s="499"/>
      <c r="EV159" s="499"/>
      <c r="EW159" s="499"/>
      <c r="EX159" s="499"/>
      <c r="EY159" s="499"/>
      <c r="EZ159" s="499"/>
      <c r="FA159" s="499"/>
      <c r="FB159" s="499"/>
      <c r="FC159" s="499"/>
      <c r="FD159" s="499"/>
      <c r="FE159" s="499"/>
      <c r="FF159" s="499"/>
      <c r="FG159" s="499"/>
      <c r="FH159" s="499"/>
      <c r="FI159" s="499"/>
      <c r="FJ159" s="499"/>
      <c r="FK159" s="499"/>
      <c r="FL159" s="499"/>
      <c r="FM159" s="499"/>
      <c r="FN159" s="499"/>
      <c r="FO159" s="499"/>
      <c r="FP159" s="499"/>
      <c r="FQ159" s="499"/>
      <c r="FR159" s="499"/>
      <c r="FS159" s="499"/>
      <c r="FT159" s="499"/>
      <c r="FU159" s="499"/>
      <c r="FV159" s="499"/>
      <c r="FW159" s="499"/>
      <c r="FX159" s="499"/>
      <c r="FY159" s="499"/>
      <c r="FZ159" s="499"/>
      <c r="GA159" s="499"/>
      <c r="GB159" s="499"/>
      <c r="GC159" s="499"/>
      <c r="GD159" s="499"/>
      <c r="GE159" s="499"/>
      <c r="GF159" s="499"/>
      <c r="GG159" s="499"/>
      <c r="GH159" s="499"/>
      <c r="GI159" s="499"/>
      <c r="GJ159" s="499"/>
      <c r="GK159" s="499"/>
      <c r="GL159" s="499"/>
      <c r="GM159" s="499"/>
      <c r="GN159" s="499"/>
      <c r="GO159" s="499"/>
      <c r="GP159" s="499"/>
      <c r="GQ159" s="499"/>
      <c r="GR159" s="499"/>
      <c r="GS159" s="499"/>
      <c r="GT159" s="499"/>
      <c r="GU159" s="499"/>
      <c r="GV159" s="499"/>
      <c r="GW159" s="499"/>
      <c r="GX159" s="499"/>
      <c r="GY159" s="499"/>
      <c r="GZ159" s="499"/>
      <c r="HA159" s="499"/>
      <c r="HB159" s="499"/>
      <c r="HC159" s="499"/>
      <c r="HD159" s="499"/>
      <c r="HE159" s="499"/>
      <c r="HF159" s="499"/>
      <c r="HG159" s="499"/>
      <c r="HH159" s="499"/>
      <c r="HI159" s="499"/>
      <c r="HJ159" s="499"/>
      <c r="HK159" s="499"/>
      <c r="HL159" s="499"/>
      <c r="HM159" s="499"/>
      <c r="HN159" s="499"/>
      <c r="HO159" s="499"/>
      <c r="HP159" s="499"/>
      <c r="HQ159" s="499"/>
      <c r="HR159" s="499"/>
      <c r="HS159" s="499"/>
      <c r="HT159" s="499"/>
      <c r="HU159" s="499"/>
      <c r="HV159" s="499"/>
      <c r="HW159" s="499"/>
      <c r="HX159" s="499"/>
      <c r="HY159" s="358"/>
    </row>
    <row r="160" spans="1:233" ht="28.5" customHeight="1">
      <c r="A160" s="1608" t="s">
        <v>1038</v>
      </c>
      <c r="B160" s="1607"/>
      <c r="C160" s="1607"/>
      <c r="D160" s="1607"/>
      <c r="E160" s="1607"/>
      <c r="F160" s="1607"/>
      <c r="G160" s="1607"/>
      <c r="H160" s="1607"/>
      <c r="I160" s="1607"/>
      <c r="J160" s="1607"/>
      <c r="K160" s="743"/>
      <c r="O160" s="495"/>
      <c r="P160" s="495"/>
      <c r="Q160" s="495"/>
      <c r="R160" s="495"/>
      <c r="S160" s="495"/>
      <c r="T160" s="495"/>
    </row>
    <row r="161" spans="1:233" ht="20.100000000000001" customHeight="1">
      <c r="A161" s="1604" t="s">
        <v>864</v>
      </c>
      <c r="B161" s="1604"/>
      <c r="C161" s="1604"/>
      <c r="D161" s="1604"/>
      <c r="E161" s="1604"/>
      <c r="F161" s="1604"/>
      <c r="G161" s="1604"/>
      <c r="H161" s="1604"/>
      <c r="I161" s="1604"/>
      <c r="J161" s="1604"/>
      <c r="K161" s="743"/>
    </row>
    <row r="162" spans="1:233" ht="20.100000000000001" customHeight="1">
      <c r="A162" s="500" t="s">
        <v>1032</v>
      </c>
      <c r="B162" s="5"/>
      <c r="C162" s="501"/>
      <c r="D162" s="501"/>
      <c r="E162" s="501"/>
      <c r="F162" s="501"/>
      <c r="G162" s="501"/>
      <c r="H162" s="501"/>
      <c r="I162" s="501"/>
      <c r="J162" s="502"/>
      <c r="K162" s="482"/>
    </row>
    <row r="163" spans="1:233" s="5" customFormat="1" ht="20.100000000000001" customHeight="1">
      <c r="A163" s="1605" t="s">
        <v>191</v>
      </c>
      <c r="B163" s="1606" t="s">
        <v>115</v>
      </c>
      <c r="C163" s="1606"/>
      <c r="D163" s="1606"/>
      <c r="E163" s="1606"/>
      <c r="F163" s="1606" t="s">
        <v>116</v>
      </c>
      <c r="G163" s="1606"/>
      <c r="H163" s="1606"/>
      <c r="I163" s="1606" t="s">
        <v>117</v>
      </c>
      <c r="J163" s="1606"/>
      <c r="K163" s="502"/>
      <c r="L163" s="502"/>
      <c r="M163" s="494"/>
      <c r="N163" s="494"/>
      <c r="O163" s="464"/>
      <c r="P163" s="464"/>
      <c r="Q163" s="464"/>
      <c r="R163" s="464"/>
      <c r="S163" s="464"/>
      <c r="T163" s="464"/>
      <c r="U163" s="495"/>
      <c r="V163" s="499"/>
      <c r="W163" s="499"/>
      <c r="X163" s="499"/>
      <c r="Y163" s="499"/>
      <c r="Z163" s="499"/>
      <c r="AA163" s="499"/>
      <c r="AB163" s="499"/>
      <c r="AC163" s="499"/>
      <c r="AD163" s="499"/>
      <c r="AE163" s="499"/>
      <c r="AF163" s="499"/>
      <c r="AG163" s="499"/>
      <c r="AH163" s="499"/>
      <c r="AI163" s="499"/>
      <c r="AJ163" s="499"/>
      <c r="AK163" s="499"/>
      <c r="AL163" s="499"/>
      <c r="AM163" s="499"/>
      <c r="AN163" s="499"/>
      <c r="AO163" s="499"/>
      <c r="AP163" s="499"/>
      <c r="AQ163" s="499"/>
      <c r="AR163" s="499"/>
      <c r="AS163" s="499"/>
      <c r="AT163" s="499"/>
      <c r="AU163" s="499"/>
      <c r="AV163" s="499"/>
      <c r="AW163" s="499"/>
      <c r="AX163" s="499"/>
      <c r="AY163" s="499"/>
      <c r="AZ163" s="499"/>
      <c r="BA163" s="499"/>
      <c r="BB163" s="499"/>
      <c r="BC163" s="499"/>
      <c r="BD163" s="499"/>
      <c r="BE163" s="499"/>
      <c r="BF163" s="499"/>
      <c r="BG163" s="499"/>
      <c r="BH163" s="499"/>
      <c r="BI163" s="499"/>
      <c r="BJ163" s="499"/>
      <c r="BK163" s="499"/>
      <c r="BL163" s="499"/>
      <c r="BM163" s="499"/>
      <c r="BN163" s="499"/>
      <c r="BO163" s="499"/>
      <c r="BP163" s="499"/>
      <c r="BQ163" s="499"/>
      <c r="BR163" s="499"/>
      <c r="BS163" s="499"/>
      <c r="BT163" s="499"/>
      <c r="BU163" s="499"/>
      <c r="BV163" s="499"/>
      <c r="BW163" s="499"/>
      <c r="BX163" s="499"/>
      <c r="BY163" s="499"/>
      <c r="BZ163" s="499"/>
      <c r="CA163" s="499"/>
      <c r="CB163" s="499"/>
      <c r="CC163" s="499"/>
      <c r="CD163" s="499"/>
      <c r="CE163" s="499"/>
      <c r="CF163" s="499"/>
      <c r="CG163" s="499"/>
      <c r="CH163" s="499"/>
      <c r="CI163" s="499"/>
      <c r="CJ163" s="499"/>
      <c r="CK163" s="499"/>
      <c r="CL163" s="499"/>
      <c r="CM163" s="499"/>
      <c r="CN163" s="499"/>
      <c r="CO163" s="499"/>
      <c r="CP163" s="499"/>
      <c r="CQ163" s="499"/>
      <c r="CR163" s="499"/>
      <c r="CS163" s="499"/>
      <c r="CT163" s="499"/>
      <c r="CU163" s="499"/>
      <c r="CV163" s="499"/>
      <c r="CW163" s="499"/>
      <c r="CX163" s="499"/>
      <c r="CY163" s="499"/>
      <c r="CZ163" s="499"/>
      <c r="DA163" s="499"/>
      <c r="DB163" s="499"/>
      <c r="DC163" s="499"/>
      <c r="DD163" s="499"/>
      <c r="DE163" s="499"/>
      <c r="DF163" s="499"/>
      <c r="DG163" s="499"/>
      <c r="DH163" s="499"/>
      <c r="DI163" s="499"/>
      <c r="DJ163" s="499"/>
      <c r="DK163" s="499"/>
      <c r="DL163" s="499"/>
      <c r="DM163" s="499"/>
      <c r="DN163" s="499"/>
      <c r="DO163" s="499"/>
      <c r="DP163" s="499"/>
      <c r="DQ163" s="499"/>
      <c r="DR163" s="499"/>
      <c r="DS163" s="499"/>
      <c r="DT163" s="499"/>
      <c r="DU163" s="499"/>
      <c r="DV163" s="499"/>
      <c r="DW163" s="499"/>
      <c r="DX163" s="499"/>
      <c r="DY163" s="499"/>
      <c r="DZ163" s="499"/>
      <c r="EA163" s="499"/>
      <c r="EB163" s="499"/>
      <c r="EC163" s="499"/>
      <c r="ED163" s="499"/>
      <c r="EE163" s="499"/>
      <c r="EF163" s="499"/>
      <c r="EG163" s="499"/>
      <c r="EH163" s="499"/>
      <c r="EI163" s="499"/>
      <c r="EJ163" s="499"/>
      <c r="EK163" s="499"/>
      <c r="EL163" s="499"/>
      <c r="EM163" s="499"/>
      <c r="EN163" s="499"/>
      <c r="EO163" s="499"/>
      <c r="EP163" s="499"/>
      <c r="EQ163" s="499"/>
      <c r="ER163" s="499"/>
      <c r="ES163" s="499"/>
      <c r="ET163" s="499"/>
      <c r="EU163" s="499"/>
      <c r="EV163" s="499"/>
      <c r="EW163" s="499"/>
      <c r="EX163" s="499"/>
      <c r="EY163" s="499"/>
      <c r="EZ163" s="499"/>
      <c r="FA163" s="499"/>
      <c r="FB163" s="499"/>
      <c r="FC163" s="499"/>
      <c r="FD163" s="499"/>
      <c r="FE163" s="499"/>
      <c r="FF163" s="499"/>
      <c r="FG163" s="499"/>
      <c r="FH163" s="499"/>
      <c r="FI163" s="499"/>
      <c r="FJ163" s="499"/>
      <c r="FK163" s="499"/>
      <c r="FL163" s="499"/>
      <c r="FM163" s="499"/>
      <c r="FN163" s="499"/>
      <c r="FO163" s="499"/>
      <c r="FP163" s="499"/>
      <c r="FQ163" s="499"/>
      <c r="FR163" s="499"/>
      <c r="FS163" s="499"/>
      <c r="FT163" s="499"/>
      <c r="FU163" s="499"/>
      <c r="FV163" s="499"/>
      <c r="FW163" s="499"/>
      <c r="FX163" s="499"/>
      <c r="FY163" s="499"/>
      <c r="FZ163" s="499"/>
      <c r="GA163" s="499"/>
      <c r="GB163" s="499"/>
      <c r="GC163" s="499"/>
      <c r="GD163" s="499"/>
      <c r="GE163" s="499"/>
      <c r="GF163" s="499"/>
      <c r="GG163" s="499"/>
      <c r="GH163" s="499"/>
      <c r="GI163" s="499"/>
      <c r="GJ163" s="499"/>
      <c r="GK163" s="499"/>
      <c r="GL163" s="499"/>
      <c r="GM163" s="499"/>
      <c r="GN163" s="499"/>
      <c r="GO163" s="499"/>
      <c r="GP163" s="499"/>
      <c r="GQ163" s="499"/>
      <c r="GR163" s="499"/>
      <c r="GS163" s="499"/>
      <c r="GT163" s="499"/>
      <c r="GU163" s="499"/>
      <c r="GV163" s="499"/>
      <c r="GW163" s="499"/>
      <c r="GX163" s="499"/>
      <c r="GY163" s="499"/>
      <c r="GZ163" s="499"/>
      <c r="HA163" s="499"/>
      <c r="HB163" s="499"/>
      <c r="HC163" s="499"/>
      <c r="HD163" s="499"/>
      <c r="HE163" s="499"/>
      <c r="HF163" s="499"/>
      <c r="HG163" s="499"/>
      <c r="HH163" s="499"/>
      <c r="HI163" s="499"/>
      <c r="HJ163" s="499"/>
      <c r="HK163" s="499"/>
      <c r="HL163" s="499"/>
      <c r="HM163" s="499"/>
      <c r="HN163" s="499"/>
      <c r="HO163" s="499"/>
      <c r="HP163" s="499"/>
      <c r="HQ163" s="499"/>
      <c r="HR163" s="499"/>
      <c r="HS163" s="499"/>
      <c r="HT163" s="499"/>
      <c r="HU163" s="499"/>
      <c r="HV163" s="499"/>
      <c r="HW163" s="499"/>
      <c r="HX163" s="499"/>
      <c r="HY163" s="358"/>
    </row>
    <row r="164" spans="1:233" s="5" customFormat="1" ht="20.100000000000001" customHeight="1">
      <c r="A164" s="1605"/>
      <c r="B164" s="1606"/>
      <c r="C164" s="1606"/>
      <c r="D164" s="1606"/>
      <c r="E164" s="1606"/>
      <c r="F164" s="1606"/>
      <c r="G164" s="1606"/>
      <c r="H164" s="1606"/>
      <c r="I164" s="503" t="s">
        <v>118</v>
      </c>
      <c r="J164" s="503" t="s">
        <v>119</v>
      </c>
      <c r="K164" s="521"/>
      <c r="O164" s="495"/>
      <c r="P164" s="495"/>
      <c r="Q164" s="495"/>
      <c r="R164" s="495"/>
      <c r="S164" s="495"/>
      <c r="T164" s="495"/>
      <c r="U164" s="504"/>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c r="HY164" s="358"/>
    </row>
    <row r="165" spans="1:233" s="5" customFormat="1" ht="30.75" customHeight="1">
      <c r="A165" s="503">
        <v>1</v>
      </c>
      <c r="B165" s="1597" t="s">
        <v>429</v>
      </c>
      <c r="C165" s="1597"/>
      <c r="D165" s="1597"/>
      <c r="E165" s="1597"/>
      <c r="F165" s="1598" t="s">
        <v>432</v>
      </c>
      <c r="G165" s="1598"/>
      <c r="H165" s="1598"/>
      <c r="I165" s="562"/>
      <c r="J165" s="506"/>
      <c r="K165" s="521"/>
      <c r="P165" s="504"/>
      <c r="Q165" s="504"/>
      <c r="R165" s="504"/>
      <c r="S165" s="504"/>
      <c r="T165" s="504"/>
      <c r="U165" s="406"/>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c r="HY165" s="358"/>
    </row>
    <row r="166" spans="1:233" s="5" customFormat="1" ht="20.100000000000001" customHeight="1">
      <c r="A166" s="503">
        <v>2</v>
      </c>
      <c r="B166" s="1597" t="s">
        <v>426</v>
      </c>
      <c r="C166" s="1597"/>
      <c r="D166" s="1597"/>
      <c r="E166" s="1597"/>
      <c r="F166" s="1598" t="s">
        <v>428</v>
      </c>
      <c r="G166" s="1598"/>
      <c r="H166" s="1598"/>
      <c r="I166" s="562"/>
      <c r="J166" s="506"/>
      <c r="K166" s="502"/>
      <c r="P166" s="406"/>
      <c r="Q166" s="406"/>
      <c r="R166" s="406"/>
      <c r="S166" s="406"/>
      <c r="T166" s="406"/>
      <c r="U166" s="406"/>
      <c r="V166" s="358"/>
      <c r="W166" s="358"/>
      <c r="X166" s="358"/>
      <c r="Y166" s="358"/>
      <c r="Z166" s="358"/>
      <c r="AA166" s="358"/>
      <c r="AB166" s="358"/>
      <c r="AC166" s="358"/>
      <c r="AD166" s="358"/>
      <c r="AE166" s="358"/>
      <c r="AF166" s="358"/>
      <c r="AG166" s="358"/>
      <c r="AH166" s="358"/>
      <c r="AI166" s="358"/>
      <c r="AJ166" s="358"/>
      <c r="AK166" s="358"/>
      <c r="AL166" s="358"/>
      <c r="AM166" s="358"/>
      <c r="AN166" s="358"/>
      <c r="AO166" s="358"/>
      <c r="AP166" s="358"/>
      <c r="AQ166" s="358"/>
      <c r="AR166" s="358"/>
      <c r="AS166" s="358"/>
      <c r="AT166" s="358"/>
      <c r="AU166" s="358"/>
      <c r="AV166" s="358"/>
      <c r="AW166" s="358"/>
      <c r="AX166" s="358"/>
      <c r="AY166" s="358"/>
      <c r="AZ166" s="358"/>
      <c r="BA166" s="358"/>
      <c r="BB166" s="358"/>
      <c r="BC166" s="358"/>
      <c r="BD166" s="358"/>
      <c r="BE166" s="358"/>
      <c r="BF166" s="358"/>
      <c r="BG166" s="358"/>
      <c r="BH166" s="358"/>
      <c r="BI166" s="358"/>
      <c r="BJ166" s="358"/>
      <c r="BK166" s="358"/>
      <c r="BL166" s="358"/>
      <c r="BM166" s="358"/>
      <c r="BN166" s="358"/>
      <c r="BO166" s="358"/>
      <c r="BP166" s="358"/>
      <c r="BQ166" s="358"/>
      <c r="BR166" s="358"/>
      <c r="BS166" s="358"/>
      <c r="BT166" s="358"/>
      <c r="BU166" s="358"/>
      <c r="BV166" s="358"/>
      <c r="BW166" s="358"/>
      <c r="BX166" s="358"/>
      <c r="BY166" s="358"/>
      <c r="BZ166" s="358"/>
      <c r="CA166" s="358"/>
      <c r="CB166" s="358"/>
      <c r="CC166" s="358"/>
      <c r="CD166" s="358"/>
      <c r="CE166" s="358"/>
      <c r="CF166" s="358"/>
      <c r="CG166" s="358"/>
      <c r="CH166" s="358"/>
      <c r="CI166" s="358"/>
      <c r="CJ166" s="358"/>
      <c r="CK166" s="358"/>
      <c r="CL166" s="358"/>
      <c r="CM166" s="358"/>
      <c r="CN166" s="358"/>
      <c r="CO166" s="358"/>
      <c r="CP166" s="358"/>
      <c r="CQ166" s="358"/>
      <c r="CR166" s="358"/>
      <c r="CS166" s="358"/>
      <c r="CT166" s="358"/>
      <c r="CU166" s="358"/>
      <c r="CV166" s="358"/>
      <c r="CW166" s="358"/>
      <c r="CX166" s="358"/>
      <c r="CY166" s="358"/>
      <c r="CZ166" s="358"/>
      <c r="DA166" s="358"/>
      <c r="DB166" s="358"/>
      <c r="DC166" s="358"/>
      <c r="DD166" s="358"/>
      <c r="DE166" s="358"/>
      <c r="DF166" s="358"/>
      <c r="DG166" s="358"/>
      <c r="DH166" s="358"/>
      <c r="DI166" s="358"/>
      <c r="DJ166" s="358"/>
      <c r="DK166" s="358"/>
      <c r="DL166" s="358"/>
      <c r="DM166" s="358"/>
      <c r="DN166" s="358"/>
      <c r="DO166" s="358"/>
      <c r="DP166" s="358"/>
      <c r="DQ166" s="358"/>
      <c r="DR166" s="358"/>
      <c r="DS166" s="358"/>
      <c r="DT166" s="358"/>
      <c r="DU166" s="358"/>
      <c r="DV166" s="358"/>
      <c r="DW166" s="358"/>
      <c r="DX166" s="358"/>
      <c r="DY166" s="358"/>
      <c r="DZ166" s="358"/>
      <c r="EA166" s="358"/>
      <c r="EB166" s="358"/>
      <c r="EC166" s="358"/>
      <c r="ED166" s="358"/>
      <c r="EE166" s="358"/>
      <c r="EF166" s="358"/>
      <c r="EG166" s="358"/>
      <c r="EH166" s="358"/>
      <c r="EI166" s="358"/>
      <c r="EJ166" s="358"/>
      <c r="EK166" s="358"/>
      <c r="EL166" s="358"/>
      <c r="EM166" s="358"/>
      <c r="EN166" s="358"/>
      <c r="EO166" s="358"/>
      <c r="EP166" s="358"/>
      <c r="EQ166" s="358"/>
      <c r="ER166" s="358"/>
      <c r="ES166" s="358"/>
      <c r="ET166" s="358"/>
      <c r="EU166" s="358"/>
      <c r="EV166" s="358"/>
      <c r="EW166" s="358"/>
      <c r="EX166" s="358"/>
      <c r="EY166" s="358"/>
      <c r="EZ166" s="358"/>
      <c r="FA166" s="358"/>
      <c r="FB166" s="358"/>
      <c r="FC166" s="358"/>
      <c r="FD166" s="358"/>
      <c r="FE166" s="358"/>
      <c r="FF166" s="358"/>
      <c r="FG166" s="358"/>
      <c r="FH166" s="358"/>
      <c r="FI166" s="358"/>
      <c r="FJ166" s="358"/>
      <c r="FK166" s="358"/>
      <c r="FL166" s="358"/>
      <c r="FM166" s="358"/>
      <c r="FN166" s="358"/>
      <c r="FO166" s="358"/>
      <c r="FP166" s="358"/>
      <c r="FQ166" s="358"/>
      <c r="FR166" s="358"/>
      <c r="FS166" s="358"/>
      <c r="FT166" s="358"/>
      <c r="FU166" s="358"/>
      <c r="FV166" s="358"/>
      <c r="FW166" s="358"/>
      <c r="FX166" s="358"/>
      <c r="FY166" s="358"/>
      <c r="FZ166" s="358"/>
      <c r="GA166" s="358"/>
      <c r="GB166" s="358"/>
      <c r="GC166" s="358"/>
      <c r="GD166" s="358"/>
      <c r="GE166" s="358"/>
      <c r="GF166" s="358"/>
      <c r="GG166" s="358"/>
      <c r="GH166" s="358"/>
      <c r="GI166" s="358"/>
      <c r="GJ166" s="358"/>
      <c r="GK166" s="358"/>
      <c r="GL166" s="358"/>
      <c r="GM166" s="358"/>
      <c r="GN166" s="358"/>
      <c r="GO166" s="358"/>
      <c r="GP166" s="358"/>
      <c r="GQ166" s="358"/>
      <c r="GR166" s="358"/>
      <c r="GS166" s="358"/>
      <c r="GT166" s="358"/>
      <c r="GU166" s="358"/>
      <c r="GV166" s="358"/>
      <c r="GW166" s="358"/>
      <c r="GX166" s="358"/>
      <c r="GY166" s="358"/>
      <c r="GZ166" s="358"/>
      <c r="HA166" s="358"/>
      <c r="HB166" s="358"/>
      <c r="HC166" s="358"/>
      <c r="HD166" s="358"/>
      <c r="HE166" s="358"/>
      <c r="HF166" s="358"/>
      <c r="HG166" s="358"/>
      <c r="HH166" s="358"/>
      <c r="HI166" s="358"/>
      <c r="HJ166" s="358"/>
      <c r="HK166" s="358"/>
      <c r="HL166" s="358"/>
      <c r="HM166" s="358"/>
      <c r="HN166" s="358"/>
      <c r="HO166" s="358"/>
      <c r="HP166" s="358"/>
      <c r="HQ166" s="358"/>
      <c r="HR166" s="358"/>
      <c r="HS166" s="358"/>
      <c r="HT166" s="358"/>
      <c r="HU166" s="358"/>
      <c r="HV166" s="358"/>
      <c r="HW166" s="358"/>
      <c r="HX166" s="358"/>
      <c r="HY166" s="358"/>
    </row>
    <row r="167" spans="1:233" s="5" customFormat="1" ht="20.100000000000001" customHeight="1">
      <c r="A167" s="503">
        <v>3</v>
      </c>
      <c r="B167" s="1661" t="s">
        <v>430</v>
      </c>
      <c r="C167" s="1662"/>
      <c r="D167" s="1662"/>
      <c r="E167" s="1663"/>
      <c r="F167" s="1598" t="s">
        <v>431</v>
      </c>
      <c r="G167" s="1598"/>
      <c r="H167" s="1598"/>
      <c r="I167" s="562"/>
      <c r="J167" s="506"/>
      <c r="K167" s="502"/>
      <c r="P167" s="406"/>
      <c r="Q167" s="406"/>
      <c r="R167" s="406"/>
      <c r="S167" s="406"/>
      <c r="T167" s="406"/>
      <c r="U167" s="406"/>
      <c r="V167" s="358"/>
      <c r="W167" s="358"/>
      <c r="X167" s="358"/>
      <c r="Y167" s="358"/>
      <c r="Z167" s="358"/>
      <c r="AA167" s="358"/>
      <c r="AB167" s="358"/>
      <c r="AC167" s="358"/>
      <c r="AD167" s="358"/>
      <c r="AE167" s="358"/>
      <c r="AF167" s="358"/>
      <c r="AG167" s="358"/>
      <c r="AH167" s="358"/>
      <c r="AI167" s="358"/>
      <c r="AJ167" s="358"/>
      <c r="AK167" s="358"/>
      <c r="AL167" s="358"/>
      <c r="AM167" s="358"/>
      <c r="AN167" s="358"/>
      <c r="AO167" s="358"/>
      <c r="AP167" s="358"/>
      <c r="AQ167" s="358"/>
      <c r="AR167" s="358"/>
      <c r="AS167" s="358"/>
      <c r="AT167" s="358"/>
      <c r="AU167" s="358"/>
      <c r="AV167" s="358"/>
      <c r="AW167" s="358"/>
      <c r="AX167" s="358"/>
      <c r="AY167" s="358"/>
      <c r="AZ167" s="358"/>
      <c r="BA167" s="358"/>
      <c r="BB167" s="358"/>
      <c r="BC167" s="358"/>
      <c r="BD167" s="358"/>
      <c r="BE167" s="358"/>
      <c r="BF167" s="358"/>
      <c r="BG167" s="358"/>
      <c r="BH167" s="358"/>
      <c r="BI167" s="358"/>
      <c r="BJ167" s="358"/>
      <c r="BK167" s="358"/>
      <c r="BL167" s="358"/>
      <c r="BM167" s="358"/>
      <c r="BN167" s="358"/>
      <c r="BO167" s="358"/>
      <c r="BP167" s="358"/>
      <c r="BQ167" s="358"/>
      <c r="BR167" s="358"/>
      <c r="BS167" s="358"/>
      <c r="BT167" s="358"/>
      <c r="BU167" s="358"/>
      <c r="BV167" s="358"/>
      <c r="BW167" s="358"/>
      <c r="BX167" s="358"/>
      <c r="BY167" s="358"/>
      <c r="BZ167" s="358"/>
      <c r="CA167" s="358"/>
      <c r="CB167" s="358"/>
      <c r="CC167" s="358"/>
      <c r="CD167" s="358"/>
      <c r="CE167" s="358"/>
      <c r="CF167" s="358"/>
      <c r="CG167" s="358"/>
      <c r="CH167" s="358"/>
      <c r="CI167" s="358"/>
      <c r="CJ167" s="358"/>
      <c r="CK167" s="358"/>
      <c r="CL167" s="358"/>
      <c r="CM167" s="358"/>
      <c r="CN167" s="358"/>
      <c r="CO167" s="358"/>
      <c r="CP167" s="358"/>
      <c r="CQ167" s="358"/>
      <c r="CR167" s="358"/>
      <c r="CS167" s="358"/>
      <c r="CT167" s="358"/>
      <c r="CU167" s="358"/>
      <c r="CV167" s="358"/>
      <c r="CW167" s="358"/>
      <c r="CX167" s="358"/>
      <c r="CY167" s="358"/>
      <c r="CZ167" s="358"/>
      <c r="DA167" s="358"/>
      <c r="DB167" s="358"/>
      <c r="DC167" s="358"/>
      <c r="DD167" s="358"/>
      <c r="DE167" s="358"/>
      <c r="DF167" s="358"/>
      <c r="DG167" s="358"/>
      <c r="DH167" s="358"/>
      <c r="DI167" s="358"/>
      <c r="DJ167" s="358"/>
      <c r="DK167" s="358"/>
      <c r="DL167" s="358"/>
      <c r="DM167" s="358"/>
      <c r="DN167" s="358"/>
      <c r="DO167" s="358"/>
      <c r="DP167" s="358"/>
      <c r="DQ167" s="358"/>
      <c r="DR167" s="358"/>
      <c r="DS167" s="358"/>
      <c r="DT167" s="358"/>
      <c r="DU167" s="358"/>
      <c r="DV167" s="358"/>
      <c r="DW167" s="358"/>
      <c r="DX167" s="358"/>
      <c r="DY167" s="358"/>
      <c r="DZ167" s="358"/>
      <c r="EA167" s="358"/>
      <c r="EB167" s="358"/>
      <c r="EC167" s="358"/>
      <c r="ED167" s="358"/>
      <c r="EE167" s="358"/>
      <c r="EF167" s="358"/>
      <c r="EG167" s="358"/>
      <c r="EH167" s="358"/>
      <c r="EI167" s="358"/>
      <c r="EJ167" s="358"/>
      <c r="EK167" s="358"/>
      <c r="EL167" s="358"/>
      <c r="EM167" s="358"/>
      <c r="EN167" s="358"/>
      <c r="EO167" s="358"/>
      <c r="EP167" s="358"/>
      <c r="EQ167" s="358"/>
      <c r="ER167" s="358"/>
      <c r="ES167" s="358"/>
      <c r="ET167" s="358"/>
      <c r="EU167" s="358"/>
      <c r="EV167" s="358"/>
      <c r="EW167" s="358"/>
      <c r="EX167" s="358"/>
      <c r="EY167" s="358"/>
      <c r="EZ167" s="358"/>
      <c r="FA167" s="358"/>
      <c r="FB167" s="358"/>
      <c r="FC167" s="358"/>
      <c r="FD167" s="358"/>
      <c r="FE167" s="358"/>
      <c r="FF167" s="358"/>
      <c r="FG167" s="358"/>
      <c r="FH167" s="358"/>
      <c r="FI167" s="358"/>
      <c r="FJ167" s="358"/>
      <c r="FK167" s="358"/>
      <c r="FL167" s="358"/>
      <c r="FM167" s="358"/>
      <c r="FN167" s="358"/>
      <c r="FO167" s="358"/>
      <c r="FP167" s="358"/>
      <c r="FQ167" s="358"/>
      <c r="FR167" s="358"/>
      <c r="FS167" s="358"/>
      <c r="FT167" s="358"/>
      <c r="FU167" s="358"/>
      <c r="FV167" s="358"/>
      <c r="FW167" s="358"/>
      <c r="FX167" s="358"/>
      <c r="FY167" s="358"/>
      <c r="FZ167" s="358"/>
      <c r="GA167" s="358"/>
      <c r="GB167" s="358"/>
      <c r="GC167" s="358"/>
      <c r="GD167" s="358"/>
      <c r="GE167" s="358"/>
      <c r="GF167" s="358"/>
      <c r="GG167" s="358"/>
      <c r="GH167" s="358"/>
      <c r="GI167" s="358"/>
      <c r="GJ167" s="358"/>
      <c r="GK167" s="358"/>
      <c r="GL167" s="358"/>
      <c r="GM167" s="358"/>
      <c r="GN167" s="358"/>
      <c r="GO167" s="358"/>
      <c r="GP167" s="358"/>
      <c r="GQ167" s="358"/>
      <c r="GR167" s="358"/>
      <c r="GS167" s="358"/>
      <c r="GT167" s="358"/>
      <c r="GU167" s="358"/>
      <c r="GV167" s="358"/>
      <c r="GW167" s="358"/>
      <c r="GX167" s="358"/>
      <c r="GY167" s="358"/>
      <c r="GZ167" s="358"/>
      <c r="HA167" s="358"/>
      <c r="HB167" s="358"/>
      <c r="HC167" s="358"/>
      <c r="HD167" s="358"/>
      <c r="HE167" s="358"/>
      <c r="HF167" s="358"/>
      <c r="HG167" s="358"/>
      <c r="HH167" s="358"/>
      <c r="HI167" s="358"/>
      <c r="HJ167" s="358"/>
      <c r="HK167" s="358"/>
      <c r="HL167" s="358"/>
      <c r="HM167" s="358"/>
      <c r="HN167" s="358"/>
      <c r="HO167" s="358"/>
      <c r="HP167" s="358"/>
      <c r="HQ167" s="358"/>
      <c r="HR167" s="358"/>
      <c r="HS167" s="358"/>
      <c r="HT167" s="358"/>
      <c r="HU167" s="358"/>
      <c r="HV167" s="358"/>
      <c r="HW167" s="358"/>
      <c r="HX167" s="358"/>
      <c r="HY167" s="358"/>
    </row>
    <row r="168" spans="1:233" s="5" customFormat="1" ht="20.100000000000001" customHeight="1">
      <c r="A168" s="503">
        <v>4</v>
      </c>
      <c r="B168" s="1661" t="s">
        <v>427</v>
      </c>
      <c r="C168" s="1662"/>
      <c r="D168" s="1662"/>
      <c r="E168" s="1663"/>
      <c r="F168" s="1598" t="s">
        <v>138</v>
      </c>
      <c r="G168" s="1598"/>
      <c r="H168" s="1598"/>
      <c r="I168" s="562"/>
      <c r="J168" s="506"/>
      <c r="K168" s="502"/>
      <c r="P168" s="406"/>
      <c r="Q168" s="406"/>
      <c r="R168" s="406"/>
      <c r="S168" s="406"/>
      <c r="T168" s="406"/>
      <c r="U168" s="405"/>
      <c r="V168" s="358"/>
      <c r="W168" s="358"/>
      <c r="X168" s="358"/>
      <c r="Y168" s="358"/>
      <c r="Z168" s="358"/>
      <c r="AA168" s="358"/>
      <c r="AB168" s="358"/>
      <c r="AC168" s="358"/>
      <c r="AD168" s="358"/>
      <c r="AE168" s="358"/>
      <c r="AF168" s="358"/>
      <c r="AG168" s="358"/>
      <c r="AH168" s="358"/>
      <c r="AI168" s="358"/>
      <c r="AJ168" s="358"/>
      <c r="AK168" s="358"/>
      <c r="AL168" s="358"/>
      <c r="AM168" s="358"/>
      <c r="AN168" s="358"/>
      <c r="AO168" s="358"/>
      <c r="AP168" s="358"/>
      <c r="AQ168" s="358"/>
      <c r="AR168" s="358"/>
      <c r="AS168" s="358"/>
      <c r="AT168" s="358"/>
      <c r="AU168" s="358"/>
      <c r="AV168" s="358"/>
      <c r="AW168" s="358"/>
      <c r="AX168" s="358"/>
      <c r="AY168" s="358"/>
      <c r="AZ168" s="358"/>
      <c r="BA168" s="358"/>
      <c r="BB168" s="358"/>
      <c r="BC168" s="358"/>
      <c r="BD168" s="358"/>
      <c r="BE168" s="358"/>
      <c r="BF168" s="358"/>
      <c r="BG168" s="358"/>
      <c r="BH168" s="358"/>
      <c r="BI168" s="358"/>
      <c r="BJ168" s="358"/>
      <c r="BK168" s="358"/>
      <c r="BL168" s="358"/>
      <c r="BM168" s="358"/>
      <c r="BN168" s="358"/>
      <c r="BO168" s="358"/>
      <c r="BP168" s="358"/>
      <c r="BQ168" s="358"/>
      <c r="BR168" s="358"/>
      <c r="BS168" s="358"/>
      <c r="BT168" s="358"/>
      <c r="BU168" s="358"/>
      <c r="BV168" s="358"/>
      <c r="BW168" s="358"/>
      <c r="BX168" s="358"/>
      <c r="BY168" s="358"/>
      <c r="BZ168" s="358"/>
      <c r="CA168" s="358"/>
      <c r="CB168" s="358"/>
      <c r="CC168" s="358"/>
      <c r="CD168" s="358"/>
      <c r="CE168" s="358"/>
      <c r="CF168" s="358"/>
      <c r="CG168" s="358"/>
      <c r="CH168" s="358"/>
      <c r="CI168" s="358"/>
      <c r="CJ168" s="358"/>
      <c r="CK168" s="358"/>
      <c r="CL168" s="358"/>
      <c r="CM168" s="358"/>
      <c r="CN168" s="358"/>
      <c r="CO168" s="358"/>
      <c r="CP168" s="358"/>
      <c r="CQ168" s="358"/>
      <c r="CR168" s="358"/>
      <c r="CS168" s="358"/>
      <c r="CT168" s="358"/>
      <c r="CU168" s="358"/>
      <c r="CV168" s="358"/>
      <c r="CW168" s="358"/>
      <c r="CX168" s="358"/>
      <c r="CY168" s="358"/>
      <c r="CZ168" s="358"/>
      <c r="DA168" s="358"/>
      <c r="DB168" s="358"/>
      <c r="DC168" s="358"/>
      <c r="DD168" s="358"/>
      <c r="DE168" s="358"/>
      <c r="DF168" s="358"/>
      <c r="DG168" s="358"/>
      <c r="DH168" s="358"/>
      <c r="DI168" s="358"/>
      <c r="DJ168" s="358"/>
      <c r="DK168" s="358"/>
      <c r="DL168" s="358"/>
      <c r="DM168" s="358"/>
      <c r="DN168" s="358"/>
      <c r="DO168" s="358"/>
      <c r="DP168" s="358"/>
      <c r="DQ168" s="358"/>
      <c r="DR168" s="358"/>
      <c r="DS168" s="358"/>
      <c r="DT168" s="358"/>
      <c r="DU168" s="358"/>
      <c r="DV168" s="358"/>
      <c r="DW168" s="358"/>
      <c r="DX168" s="358"/>
      <c r="DY168" s="358"/>
      <c r="DZ168" s="358"/>
      <c r="EA168" s="358"/>
      <c r="EB168" s="358"/>
      <c r="EC168" s="358"/>
      <c r="ED168" s="358"/>
      <c r="EE168" s="358"/>
      <c r="EF168" s="358"/>
      <c r="EG168" s="358"/>
      <c r="EH168" s="358"/>
      <c r="EI168" s="358"/>
      <c r="EJ168" s="358"/>
      <c r="EK168" s="358"/>
      <c r="EL168" s="358"/>
      <c r="EM168" s="358"/>
      <c r="EN168" s="358"/>
      <c r="EO168" s="358"/>
      <c r="EP168" s="358"/>
      <c r="EQ168" s="358"/>
      <c r="ER168" s="358"/>
      <c r="ES168" s="358"/>
      <c r="ET168" s="358"/>
      <c r="EU168" s="358"/>
      <c r="EV168" s="358"/>
      <c r="EW168" s="358"/>
      <c r="EX168" s="358"/>
      <c r="EY168" s="358"/>
      <c r="EZ168" s="358"/>
      <c r="FA168" s="358"/>
      <c r="FB168" s="358"/>
      <c r="FC168" s="358"/>
      <c r="FD168" s="358"/>
      <c r="FE168" s="358"/>
      <c r="FF168" s="358"/>
      <c r="FG168" s="358"/>
      <c r="FH168" s="358"/>
      <c r="FI168" s="358"/>
      <c r="FJ168" s="358"/>
      <c r="FK168" s="358"/>
      <c r="FL168" s="358"/>
      <c r="FM168" s="358"/>
      <c r="FN168" s="358"/>
      <c r="FO168" s="358"/>
      <c r="FP168" s="358"/>
      <c r="FQ168" s="358"/>
      <c r="FR168" s="358"/>
      <c r="FS168" s="358"/>
      <c r="FT168" s="358"/>
      <c r="FU168" s="358"/>
      <c r="FV168" s="358"/>
      <c r="FW168" s="358"/>
      <c r="FX168" s="358"/>
      <c r="FY168" s="358"/>
      <c r="FZ168" s="358"/>
      <c r="GA168" s="358"/>
      <c r="GB168" s="358"/>
      <c r="GC168" s="358"/>
      <c r="GD168" s="358"/>
      <c r="GE168" s="358"/>
      <c r="GF168" s="358"/>
      <c r="GG168" s="358"/>
      <c r="GH168" s="358"/>
      <c r="GI168" s="358"/>
      <c r="GJ168" s="358"/>
      <c r="GK168" s="358"/>
      <c r="GL168" s="358"/>
      <c r="GM168" s="358"/>
      <c r="GN168" s="358"/>
      <c r="GO168" s="358"/>
      <c r="GP168" s="358"/>
      <c r="GQ168" s="358"/>
      <c r="GR168" s="358"/>
      <c r="GS168" s="358"/>
      <c r="GT168" s="358"/>
      <c r="GU168" s="358"/>
      <c r="GV168" s="358"/>
      <c r="GW168" s="358"/>
      <c r="GX168" s="358"/>
      <c r="GY168" s="358"/>
      <c r="GZ168" s="358"/>
      <c r="HA168" s="358"/>
      <c r="HB168" s="358"/>
      <c r="HC168" s="358"/>
      <c r="HD168" s="358"/>
      <c r="HE168" s="358"/>
      <c r="HF168" s="358"/>
      <c r="HG168" s="358"/>
      <c r="HH168" s="358"/>
      <c r="HI168" s="358"/>
      <c r="HJ168" s="358"/>
      <c r="HK168" s="358"/>
      <c r="HL168" s="358"/>
      <c r="HM168" s="358"/>
      <c r="HN168" s="358"/>
      <c r="HO168" s="358"/>
      <c r="HP168" s="358"/>
      <c r="HQ168" s="358"/>
      <c r="HR168" s="358"/>
      <c r="HS168" s="358"/>
      <c r="HT168" s="358"/>
      <c r="HU168" s="358"/>
      <c r="HV168" s="358"/>
      <c r="HW168" s="358"/>
      <c r="HX168" s="358"/>
      <c r="HY168" s="358"/>
    </row>
    <row r="169" spans="1:233" s="5" customFormat="1" ht="20.100000000000001" customHeight="1">
      <c r="A169" s="503">
        <v>5</v>
      </c>
      <c r="B169" s="1661" t="s">
        <v>424</v>
      </c>
      <c r="C169" s="1662"/>
      <c r="D169" s="1662"/>
      <c r="E169" s="1663"/>
      <c r="F169" s="1598" t="s">
        <v>140</v>
      </c>
      <c r="G169" s="1598"/>
      <c r="H169" s="1598"/>
      <c r="I169" s="562"/>
      <c r="J169" s="506"/>
      <c r="K169" s="502"/>
      <c r="P169" s="405"/>
      <c r="Q169" s="405"/>
      <c r="R169" s="405"/>
      <c r="S169" s="405"/>
      <c r="T169" s="405"/>
      <c r="U169" s="405"/>
      <c r="V169" s="358"/>
      <c r="W169" s="358"/>
      <c r="X169" s="358"/>
      <c r="Y169" s="358"/>
      <c r="Z169" s="358"/>
      <c r="AA169" s="358"/>
      <c r="AB169" s="358"/>
      <c r="AC169" s="358"/>
      <c r="AD169" s="358"/>
      <c r="AE169" s="358"/>
      <c r="AF169" s="358"/>
      <c r="AG169" s="358"/>
      <c r="AH169" s="358"/>
      <c r="AI169" s="358"/>
      <c r="AJ169" s="358"/>
      <c r="AK169" s="358"/>
      <c r="AL169" s="358"/>
      <c r="AM169" s="358"/>
      <c r="AN169" s="358"/>
      <c r="AO169" s="358"/>
      <c r="AP169" s="358"/>
      <c r="AQ169" s="358"/>
      <c r="AR169" s="358"/>
      <c r="AS169" s="358"/>
      <c r="AT169" s="358"/>
      <c r="AU169" s="358"/>
      <c r="AV169" s="358"/>
      <c r="AW169" s="358"/>
      <c r="AX169" s="358"/>
      <c r="AY169" s="358"/>
      <c r="AZ169" s="358"/>
      <c r="BA169" s="358"/>
      <c r="BB169" s="358"/>
      <c r="BC169" s="358"/>
      <c r="BD169" s="358"/>
      <c r="BE169" s="358"/>
      <c r="BF169" s="358"/>
      <c r="BG169" s="358"/>
      <c r="BH169" s="358"/>
      <c r="BI169" s="358"/>
      <c r="BJ169" s="358"/>
      <c r="BK169" s="358"/>
      <c r="BL169" s="358"/>
      <c r="BM169" s="358"/>
      <c r="BN169" s="358"/>
      <c r="BO169" s="358"/>
      <c r="BP169" s="358"/>
      <c r="BQ169" s="358"/>
      <c r="BR169" s="358"/>
      <c r="BS169" s="358"/>
      <c r="BT169" s="358"/>
      <c r="BU169" s="358"/>
      <c r="BV169" s="358"/>
      <c r="BW169" s="358"/>
      <c r="BX169" s="358"/>
      <c r="BY169" s="358"/>
      <c r="BZ169" s="358"/>
      <c r="CA169" s="358"/>
      <c r="CB169" s="358"/>
      <c r="CC169" s="358"/>
      <c r="CD169" s="358"/>
      <c r="CE169" s="358"/>
      <c r="CF169" s="358"/>
      <c r="CG169" s="358"/>
      <c r="CH169" s="358"/>
      <c r="CI169" s="358"/>
      <c r="CJ169" s="358"/>
      <c r="CK169" s="358"/>
      <c r="CL169" s="358"/>
      <c r="CM169" s="358"/>
      <c r="CN169" s="358"/>
      <c r="CO169" s="358"/>
      <c r="CP169" s="358"/>
      <c r="CQ169" s="358"/>
      <c r="CR169" s="358"/>
      <c r="CS169" s="358"/>
      <c r="CT169" s="358"/>
      <c r="CU169" s="358"/>
      <c r="CV169" s="358"/>
      <c r="CW169" s="358"/>
      <c r="CX169" s="358"/>
      <c r="CY169" s="358"/>
      <c r="CZ169" s="358"/>
      <c r="DA169" s="358"/>
      <c r="DB169" s="358"/>
      <c r="DC169" s="358"/>
      <c r="DD169" s="358"/>
      <c r="DE169" s="358"/>
      <c r="DF169" s="358"/>
      <c r="DG169" s="358"/>
      <c r="DH169" s="358"/>
      <c r="DI169" s="358"/>
      <c r="DJ169" s="358"/>
      <c r="DK169" s="358"/>
      <c r="DL169" s="358"/>
      <c r="DM169" s="358"/>
      <c r="DN169" s="358"/>
      <c r="DO169" s="358"/>
      <c r="DP169" s="358"/>
      <c r="DQ169" s="358"/>
      <c r="DR169" s="358"/>
      <c r="DS169" s="358"/>
      <c r="DT169" s="358"/>
      <c r="DU169" s="358"/>
      <c r="DV169" s="358"/>
      <c r="DW169" s="358"/>
      <c r="DX169" s="358"/>
      <c r="DY169" s="358"/>
      <c r="DZ169" s="358"/>
      <c r="EA169" s="358"/>
      <c r="EB169" s="358"/>
      <c r="EC169" s="358"/>
      <c r="ED169" s="358"/>
      <c r="EE169" s="358"/>
      <c r="EF169" s="358"/>
      <c r="EG169" s="358"/>
      <c r="EH169" s="358"/>
      <c r="EI169" s="358"/>
      <c r="EJ169" s="358"/>
      <c r="EK169" s="358"/>
      <c r="EL169" s="358"/>
      <c r="EM169" s="358"/>
      <c r="EN169" s="358"/>
      <c r="EO169" s="358"/>
      <c r="EP169" s="358"/>
      <c r="EQ169" s="358"/>
      <c r="ER169" s="358"/>
      <c r="ES169" s="358"/>
      <c r="ET169" s="358"/>
      <c r="EU169" s="358"/>
      <c r="EV169" s="358"/>
      <c r="EW169" s="358"/>
      <c r="EX169" s="358"/>
      <c r="EY169" s="358"/>
      <c r="EZ169" s="358"/>
      <c r="FA169" s="358"/>
      <c r="FB169" s="358"/>
      <c r="FC169" s="358"/>
      <c r="FD169" s="358"/>
      <c r="FE169" s="358"/>
      <c r="FF169" s="358"/>
      <c r="FG169" s="358"/>
      <c r="FH169" s="358"/>
      <c r="FI169" s="358"/>
      <c r="FJ169" s="358"/>
      <c r="FK169" s="358"/>
      <c r="FL169" s="358"/>
      <c r="FM169" s="358"/>
      <c r="FN169" s="358"/>
      <c r="FO169" s="358"/>
      <c r="FP169" s="358"/>
      <c r="FQ169" s="358"/>
      <c r="FR169" s="358"/>
      <c r="FS169" s="358"/>
      <c r="FT169" s="358"/>
      <c r="FU169" s="358"/>
      <c r="FV169" s="358"/>
      <c r="FW169" s="358"/>
      <c r="FX169" s="358"/>
      <c r="FY169" s="358"/>
      <c r="FZ169" s="358"/>
      <c r="GA169" s="358"/>
      <c r="GB169" s="358"/>
      <c r="GC169" s="358"/>
      <c r="GD169" s="358"/>
      <c r="GE169" s="358"/>
      <c r="GF169" s="358"/>
      <c r="GG169" s="358"/>
      <c r="GH169" s="358"/>
      <c r="GI169" s="358"/>
      <c r="GJ169" s="358"/>
      <c r="GK169" s="358"/>
      <c r="GL169" s="358"/>
      <c r="GM169" s="358"/>
      <c r="GN169" s="358"/>
      <c r="GO169" s="358"/>
      <c r="GP169" s="358"/>
      <c r="GQ169" s="358"/>
      <c r="GR169" s="358"/>
      <c r="GS169" s="358"/>
      <c r="GT169" s="358"/>
      <c r="GU169" s="358"/>
      <c r="GV169" s="358"/>
      <c r="GW169" s="358"/>
      <c r="GX169" s="358"/>
      <c r="GY169" s="358"/>
      <c r="GZ169" s="358"/>
      <c r="HA169" s="358"/>
      <c r="HB169" s="358"/>
      <c r="HC169" s="358"/>
      <c r="HD169" s="358"/>
      <c r="HE169" s="358"/>
      <c r="HF169" s="358"/>
      <c r="HG169" s="358"/>
      <c r="HH169" s="358"/>
      <c r="HI169" s="358"/>
      <c r="HJ169" s="358"/>
      <c r="HK169" s="358"/>
      <c r="HL169" s="358"/>
      <c r="HM169" s="358"/>
      <c r="HN169" s="358"/>
      <c r="HO169" s="358"/>
      <c r="HP169" s="358"/>
      <c r="HQ169" s="358"/>
      <c r="HR169" s="358"/>
      <c r="HS169" s="358"/>
      <c r="HT169" s="358"/>
      <c r="HU169" s="358"/>
      <c r="HV169" s="358"/>
      <c r="HW169" s="358"/>
      <c r="HX169" s="358"/>
      <c r="HY169" s="358"/>
    </row>
    <row r="170" spans="1:233" s="5" customFormat="1" ht="20.100000000000001" customHeight="1">
      <c r="A170" s="503">
        <v>6</v>
      </c>
      <c r="B170" s="1597" t="s">
        <v>425</v>
      </c>
      <c r="C170" s="1597"/>
      <c r="D170" s="1597"/>
      <c r="E170" s="1597"/>
      <c r="F170" s="1598" t="s">
        <v>139</v>
      </c>
      <c r="G170" s="1598"/>
      <c r="H170" s="1598"/>
      <c r="I170" s="562"/>
      <c r="J170" s="506"/>
      <c r="K170" s="502"/>
      <c r="P170" s="405"/>
      <c r="Q170" s="405"/>
      <c r="R170" s="405"/>
      <c r="S170" s="405"/>
      <c r="T170" s="405"/>
      <c r="U170" s="405"/>
      <c r="V170" s="358"/>
      <c r="W170" s="358"/>
      <c r="X170" s="358"/>
      <c r="Y170" s="358"/>
      <c r="Z170" s="358"/>
      <c r="AA170" s="358"/>
      <c r="AB170" s="358"/>
      <c r="AC170" s="358"/>
      <c r="AD170" s="358"/>
      <c r="AE170" s="358"/>
      <c r="AF170" s="358"/>
      <c r="AG170" s="358"/>
      <c r="AH170" s="358"/>
      <c r="AI170" s="358"/>
      <c r="AJ170" s="358"/>
      <c r="AK170" s="358"/>
      <c r="AL170" s="358"/>
      <c r="AM170" s="358"/>
      <c r="AN170" s="358"/>
      <c r="AO170" s="358"/>
      <c r="AP170" s="358"/>
      <c r="AQ170" s="358"/>
      <c r="AR170" s="358"/>
      <c r="AS170" s="358"/>
      <c r="AT170" s="358"/>
      <c r="AU170" s="358"/>
      <c r="AV170" s="358"/>
      <c r="AW170" s="358"/>
      <c r="AX170" s="358"/>
      <c r="AY170" s="358"/>
      <c r="AZ170" s="358"/>
      <c r="BA170" s="358"/>
      <c r="BB170" s="358"/>
      <c r="BC170" s="358"/>
      <c r="BD170" s="358"/>
      <c r="BE170" s="358"/>
      <c r="BF170" s="358"/>
      <c r="BG170" s="358"/>
      <c r="BH170" s="358"/>
      <c r="BI170" s="358"/>
      <c r="BJ170" s="358"/>
      <c r="BK170" s="358"/>
      <c r="BL170" s="358"/>
      <c r="BM170" s="358"/>
      <c r="BN170" s="358"/>
      <c r="BO170" s="358"/>
      <c r="BP170" s="358"/>
      <c r="BQ170" s="358"/>
      <c r="BR170" s="358"/>
      <c r="BS170" s="358"/>
      <c r="BT170" s="358"/>
      <c r="BU170" s="358"/>
      <c r="BV170" s="358"/>
      <c r="BW170" s="358"/>
      <c r="BX170" s="358"/>
      <c r="BY170" s="358"/>
      <c r="BZ170" s="358"/>
      <c r="CA170" s="358"/>
      <c r="CB170" s="358"/>
      <c r="CC170" s="358"/>
      <c r="CD170" s="358"/>
      <c r="CE170" s="358"/>
      <c r="CF170" s="358"/>
      <c r="CG170" s="358"/>
      <c r="CH170" s="358"/>
      <c r="CI170" s="358"/>
      <c r="CJ170" s="358"/>
      <c r="CK170" s="358"/>
      <c r="CL170" s="358"/>
      <c r="CM170" s="358"/>
      <c r="CN170" s="358"/>
      <c r="CO170" s="358"/>
      <c r="CP170" s="358"/>
      <c r="CQ170" s="358"/>
      <c r="CR170" s="358"/>
      <c r="CS170" s="358"/>
      <c r="CT170" s="358"/>
      <c r="CU170" s="358"/>
      <c r="CV170" s="358"/>
      <c r="CW170" s="358"/>
      <c r="CX170" s="358"/>
      <c r="CY170" s="358"/>
      <c r="CZ170" s="358"/>
      <c r="DA170" s="358"/>
      <c r="DB170" s="358"/>
      <c r="DC170" s="358"/>
      <c r="DD170" s="358"/>
      <c r="DE170" s="358"/>
      <c r="DF170" s="358"/>
      <c r="DG170" s="358"/>
      <c r="DH170" s="358"/>
      <c r="DI170" s="358"/>
      <c r="DJ170" s="358"/>
      <c r="DK170" s="358"/>
      <c r="DL170" s="358"/>
      <c r="DM170" s="358"/>
      <c r="DN170" s="358"/>
      <c r="DO170" s="358"/>
      <c r="DP170" s="358"/>
      <c r="DQ170" s="358"/>
      <c r="DR170" s="358"/>
      <c r="DS170" s="358"/>
      <c r="DT170" s="358"/>
      <c r="DU170" s="358"/>
      <c r="DV170" s="358"/>
      <c r="DW170" s="358"/>
      <c r="DX170" s="358"/>
      <c r="DY170" s="358"/>
      <c r="DZ170" s="358"/>
      <c r="EA170" s="358"/>
      <c r="EB170" s="358"/>
      <c r="EC170" s="358"/>
      <c r="ED170" s="358"/>
      <c r="EE170" s="358"/>
      <c r="EF170" s="358"/>
      <c r="EG170" s="358"/>
      <c r="EH170" s="358"/>
      <c r="EI170" s="358"/>
      <c r="EJ170" s="358"/>
      <c r="EK170" s="358"/>
      <c r="EL170" s="358"/>
      <c r="EM170" s="358"/>
      <c r="EN170" s="358"/>
      <c r="EO170" s="358"/>
      <c r="EP170" s="358"/>
      <c r="EQ170" s="358"/>
      <c r="ER170" s="358"/>
      <c r="ES170" s="358"/>
      <c r="ET170" s="358"/>
      <c r="EU170" s="358"/>
      <c r="EV170" s="358"/>
      <c r="EW170" s="358"/>
      <c r="EX170" s="358"/>
      <c r="EY170" s="358"/>
      <c r="EZ170" s="358"/>
      <c r="FA170" s="358"/>
      <c r="FB170" s="358"/>
      <c r="FC170" s="358"/>
      <c r="FD170" s="358"/>
      <c r="FE170" s="358"/>
      <c r="FF170" s="358"/>
      <c r="FG170" s="358"/>
      <c r="FH170" s="358"/>
      <c r="FI170" s="358"/>
      <c r="FJ170" s="358"/>
      <c r="FK170" s="358"/>
      <c r="FL170" s="358"/>
      <c r="FM170" s="358"/>
      <c r="FN170" s="358"/>
      <c r="FO170" s="358"/>
      <c r="FP170" s="358"/>
      <c r="FQ170" s="358"/>
      <c r="FR170" s="358"/>
      <c r="FS170" s="358"/>
      <c r="FT170" s="358"/>
      <c r="FU170" s="358"/>
      <c r="FV170" s="358"/>
      <c r="FW170" s="358"/>
      <c r="FX170" s="358"/>
      <c r="FY170" s="358"/>
      <c r="FZ170" s="358"/>
      <c r="GA170" s="358"/>
      <c r="GB170" s="358"/>
      <c r="GC170" s="358"/>
      <c r="GD170" s="358"/>
      <c r="GE170" s="358"/>
      <c r="GF170" s="358"/>
      <c r="GG170" s="358"/>
      <c r="GH170" s="358"/>
      <c r="GI170" s="358"/>
      <c r="GJ170" s="358"/>
      <c r="GK170" s="358"/>
      <c r="GL170" s="358"/>
      <c r="GM170" s="358"/>
      <c r="GN170" s="358"/>
      <c r="GO170" s="358"/>
      <c r="GP170" s="358"/>
      <c r="GQ170" s="358"/>
      <c r="GR170" s="358"/>
      <c r="GS170" s="358"/>
      <c r="GT170" s="358"/>
      <c r="GU170" s="358"/>
      <c r="GV170" s="358"/>
      <c r="GW170" s="358"/>
      <c r="GX170" s="358"/>
      <c r="GY170" s="358"/>
      <c r="GZ170" s="358"/>
      <c r="HA170" s="358"/>
      <c r="HB170" s="358"/>
      <c r="HC170" s="358"/>
      <c r="HD170" s="358"/>
      <c r="HE170" s="358"/>
      <c r="HF170" s="358"/>
      <c r="HG170" s="358"/>
      <c r="HH170" s="358"/>
      <c r="HI170" s="358"/>
      <c r="HJ170" s="358"/>
      <c r="HK170" s="358"/>
      <c r="HL170" s="358"/>
      <c r="HM170" s="358"/>
      <c r="HN170" s="358"/>
      <c r="HO170" s="358"/>
      <c r="HP170" s="358"/>
      <c r="HQ170" s="358"/>
      <c r="HR170" s="358"/>
      <c r="HS170" s="358"/>
      <c r="HT170" s="358"/>
      <c r="HU170" s="358"/>
      <c r="HV170" s="358"/>
      <c r="HW170" s="358"/>
      <c r="HX170" s="358"/>
      <c r="HY170" s="358"/>
    </row>
    <row r="171" spans="1:233" s="5" customFormat="1" ht="20.100000000000001" customHeight="1">
      <c r="A171" s="503"/>
      <c r="B171" s="1597"/>
      <c r="C171" s="1597"/>
      <c r="D171" s="1597"/>
      <c r="E171" s="1597"/>
      <c r="F171" s="1598"/>
      <c r="G171" s="1598"/>
      <c r="H171" s="1598"/>
      <c r="I171" s="505"/>
      <c r="J171" s="506"/>
      <c r="K171" s="502"/>
      <c r="P171" s="405"/>
      <c r="Q171" s="405"/>
      <c r="R171" s="405"/>
      <c r="S171" s="405"/>
      <c r="T171" s="405"/>
      <c r="U171" s="405"/>
      <c r="V171" s="358"/>
      <c r="W171" s="358"/>
      <c r="X171" s="358"/>
      <c r="Y171" s="358"/>
      <c r="Z171" s="358"/>
      <c r="AA171" s="358"/>
      <c r="AB171" s="358"/>
      <c r="AC171" s="358"/>
      <c r="AD171" s="358"/>
      <c r="AE171" s="358"/>
      <c r="AF171" s="358"/>
      <c r="AG171" s="358"/>
      <c r="AH171" s="358"/>
      <c r="AI171" s="358"/>
      <c r="AJ171" s="358"/>
      <c r="AK171" s="358"/>
      <c r="AL171" s="358"/>
      <c r="AM171" s="358"/>
      <c r="AN171" s="358"/>
      <c r="AO171" s="358"/>
      <c r="AP171" s="358"/>
      <c r="AQ171" s="358"/>
      <c r="AR171" s="358"/>
      <c r="AS171" s="358"/>
      <c r="AT171" s="358"/>
      <c r="AU171" s="358"/>
      <c r="AV171" s="358"/>
      <c r="AW171" s="358"/>
      <c r="AX171" s="358"/>
      <c r="AY171" s="358"/>
      <c r="AZ171" s="358"/>
      <c r="BA171" s="358"/>
      <c r="BB171" s="358"/>
      <c r="BC171" s="358"/>
      <c r="BD171" s="358"/>
      <c r="BE171" s="358"/>
      <c r="BF171" s="358"/>
      <c r="BG171" s="358"/>
      <c r="BH171" s="358"/>
      <c r="BI171" s="358"/>
      <c r="BJ171" s="358"/>
      <c r="BK171" s="358"/>
      <c r="BL171" s="358"/>
      <c r="BM171" s="358"/>
      <c r="BN171" s="358"/>
      <c r="BO171" s="358"/>
      <c r="BP171" s="358"/>
      <c r="BQ171" s="358"/>
      <c r="BR171" s="358"/>
      <c r="BS171" s="358"/>
      <c r="BT171" s="358"/>
      <c r="BU171" s="358"/>
      <c r="BV171" s="358"/>
      <c r="BW171" s="358"/>
      <c r="BX171" s="358"/>
      <c r="BY171" s="358"/>
      <c r="BZ171" s="358"/>
      <c r="CA171" s="358"/>
      <c r="CB171" s="358"/>
      <c r="CC171" s="358"/>
      <c r="CD171" s="358"/>
      <c r="CE171" s="358"/>
      <c r="CF171" s="358"/>
      <c r="CG171" s="358"/>
      <c r="CH171" s="358"/>
      <c r="CI171" s="358"/>
      <c r="CJ171" s="358"/>
      <c r="CK171" s="358"/>
      <c r="CL171" s="358"/>
      <c r="CM171" s="358"/>
      <c r="CN171" s="358"/>
      <c r="CO171" s="358"/>
      <c r="CP171" s="358"/>
      <c r="CQ171" s="358"/>
      <c r="CR171" s="358"/>
      <c r="CS171" s="358"/>
      <c r="CT171" s="358"/>
      <c r="CU171" s="358"/>
      <c r="CV171" s="358"/>
      <c r="CW171" s="358"/>
      <c r="CX171" s="358"/>
      <c r="CY171" s="358"/>
      <c r="CZ171" s="358"/>
      <c r="DA171" s="358"/>
      <c r="DB171" s="358"/>
      <c r="DC171" s="358"/>
      <c r="DD171" s="358"/>
      <c r="DE171" s="358"/>
      <c r="DF171" s="358"/>
      <c r="DG171" s="358"/>
      <c r="DH171" s="358"/>
      <c r="DI171" s="358"/>
      <c r="DJ171" s="358"/>
      <c r="DK171" s="358"/>
      <c r="DL171" s="358"/>
      <c r="DM171" s="358"/>
      <c r="DN171" s="358"/>
      <c r="DO171" s="358"/>
      <c r="DP171" s="358"/>
      <c r="DQ171" s="358"/>
      <c r="DR171" s="358"/>
      <c r="DS171" s="358"/>
      <c r="DT171" s="358"/>
      <c r="DU171" s="358"/>
      <c r="DV171" s="358"/>
      <c r="DW171" s="358"/>
      <c r="DX171" s="358"/>
      <c r="DY171" s="358"/>
      <c r="DZ171" s="358"/>
      <c r="EA171" s="358"/>
      <c r="EB171" s="358"/>
      <c r="EC171" s="358"/>
      <c r="ED171" s="358"/>
      <c r="EE171" s="358"/>
      <c r="EF171" s="358"/>
      <c r="EG171" s="358"/>
      <c r="EH171" s="358"/>
      <c r="EI171" s="358"/>
      <c r="EJ171" s="358"/>
      <c r="EK171" s="358"/>
      <c r="EL171" s="358"/>
      <c r="EM171" s="358"/>
      <c r="EN171" s="358"/>
      <c r="EO171" s="358"/>
      <c r="EP171" s="358"/>
      <c r="EQ171" s="358"/>
      <c r="ER171" s="358"/>
      <c r="ES171" s="358"/>
      <c r="ET171" s="358"/>
      <c r="EU171" s="358"/>
      <c r="EV171" s="358"/>
      <c r="EW171" s="358"/>
      <c r="EX171" s="358"/>
      <c r="EY171" s="358"/>
      <c r="EZ171" s="358"/>
      <c r="FA171" s="358"/>
      <c r="FB171" s="358"/>
      <c r="FC171" s="358"/>
      <c r="FD171" s="358"/>
      <c r="FE171" s="358"/>
      <c r="FF171" s="358"/>
      <c r="FG171" s="358"/>
      <c r="FH171" s="358"/>
      <c r="FI171" s="358"/>
      <c r="FJ171" s="358"/>
      <c r="FK171" s="358"/>
      <c r="FL171" s="358"/>
      <c r="FM171" s="358"/>
      <c r="FN171" s="358"/>
      <c r="FO171" s="358"/>
      <c r="FP171" s="358"/>
      <c r="FQ171" s="358"/>
      <c r="FR171" s="358"/>
      <c r="FS171" s="358"/>
      <c r="FT171" s="358"/>
      <c r="FU171" s="358"/>
      <c r="FV171" s="358"/>
      <c r="FW171" s="358"/>
      <c r="FX171" s="358"/>
      <c r="FY171" s="358"/>
      <c r="FZ171" s="358"/>
      <c r="GA171" s="358"/>
      <c r="GB171" s="358"/>
      <c r="GC171" s="358"/>
      <c r="GD171" s="358"/>
      <c r="GE171" s="358"/>
      <c r="GF171" s="358"/>
      <c r="GG171" s="358"/>
      <c r="GH171" s="358"/>
      <c r="GI171" s="358"/>
      <c r="GJ171" s="358"/>
      <c r="GK171" s="358"/>
      <c r="GL171" s="358"/>
      <c r="GM171" s="358"/>
      <c r="GN171" s="358"/>
      <c r="GO171" s="358"/>
      <c r="GP171" s="358"/>
      <c r="GQ171" s="358"/>
      <c r="GR171" s="358"/>
      <c r="GS171" s="358"/>
      <c r="GT171" s="358"/>
      <c r="GU171" s="358"/>
      <c r="GV171" s="358"/>
      <c r="GW171" s="358"/>
      <c r="GX171" s="358"/>
      <c r="GY171" s="358"/>
      <c r="GZ171" s="358"/>
      <c r="HA171" s="358"/>
      <c r="HB171" s="358"/>
      <c r="HC171" s="358"/>
      <c r="HD171" s="358"/>
      <c r="HE171" s="358"/>
      <c r="HF171" s="358"/>
      <c r="HG171" s="358"/>
      <c r="HH171" s="358"/>
      <c r="HI171" s="358"/>
      <c r="HJ171" s="358"/>
      <c r="HK171" s="358"/>
      <c r="HL171" s="358"/>
      <c r="HM171" s="358"/>
      <c r="HN171" s="358"/>
      <c r="HO171" s="358"/>
      <c r="HP171" s="358"/>
      <c r="HQ171" s="358"/>
      <c r="HR171" s="358"/>
      <c r="HS171" s="358"/>
      <c r="HT171" s="358"/>
      <c r="HU171" s="358"/>
      <c r="HV171" s="358"/>
      <c r="HW171" s="358"/>
      <c r="HX171" s="358"/>
      <c r="HY171" s="358"/>
    </row>
    <row r="172" spans="1:233" s="5" customFormat="1" ht="20.100000000000001" customHeight="1">
      <c r="A172" s="521"/>
      <c r="B172" s="522"/>
      <c r="C172" s="522"/>
      <c r="D172" s="522"/>
      <c r="E172" s="522"/>
      <c r="F172" s="523"/>
      <c r="G172" s="523"/>
      <c r="H172" s="523"/>
      <c r="J172" s="502"/>
      <c r="K172" s="502"/>
      <c r="P172" s="405"/>
      <c r="Q172" s="405"/>
      <c r="R172" s="405"/>
      <c r="S172" s="405"/>
      <c r="T172" s="405"/>
      <c r="U172" s="405"/>
      <c r="V172" s="358"/>
      <c r="W172" s="358"/>
      <c r="X172" s="358"/>
      <c r="Y172" s="358"/>
      <c r="Z172" s="358"/>
      <c r="AA172" s="358"/>
      <c r="AB172" s="358"/>
      <c r="AC172" s="358"/>
      <c r="AD172" s="358"/>
      <c r="AE172" s="358"/>
      <c r="AF172" s="358"/>
      <c r="AG172" s="358"/>
      <c r="AH172" s="358"/>
      <c r="AI172" s="358"/>
      <c r="AJ172" s="358"/>
      <c r="AK172" s="358"/>
      <c r="AL172" s="358"/>
      <c r="AM172" s="358"/>
      <c r="AN172" s="358"/>
      <c r="AO172" s="358"/>
      <c r="AP172" s="358"/>
      <c r="AQ172" s="358"/>
      <c r="AR172" s="358"/>
      <c r="AS172" s="358"/>
      <c r="AT172" s="358"/>
      <c r="AU172" s="358"/>
      <c r="AV172" s="358"/>
      <c r="AW172" s="358"/>
      <c r="AX172" s="358"/>
      <c r="AY172" s="358"/>
      <c r="AZ172" s="358"/>
      <c r="BA172" s="358"/>
      <c r="BB172" s="358"/>
      <c r="BC172" s="358"/>
      <c r="BD172" s="358"/>
      <c r="BE172" s="358"/>
      <c r="BF172" s="358"/>
      <c r="BG172" s="358"/>
      <c r="BH172" s="358"/>
      <c r="BI172" s="358"/>
      <c r="BJ172" s="358"/>
      <c r="BK172" s="358"/>
      <c r="BL172" s="358"/>
      <c r="BM172" s="358"/>
      <c r="BN172" s="358"/>
      <c r="BO172" s="358"/>
      <c r="BP172" s="358"/>
      <c r="BQ172" s="358"/>
      <c r="BR172" s="358"/>
      <c r="BS172" s="358"/>
      <c r="BT172" s="358"/>
      <c r="BU172" s="358"/>
      <c r="BV172" s="358"/>
      <c r="BW172" s="358"/>
      <c r="BX172" s="358"/>
      <c r="BY172" s="358"/>
      <c r="BZ172" s="358"/>
      <c r="CA172" s="358"/>
      <c r="CB172" s="358"/>
      <c r="CC172" s="358"/>
      <c r="CD172" s="358"/>
      <c r="CE172" s="358"/>
      <c r="CF172" s="358"/>
      <c r="CG172" s="358"/>
      <c r="CH172" s="358"/>
      <c r="CI172" s="358"/>
      <c r="CJ172" s="358"/>
      <c r="CK172" s="358"/>
      <c r="CL172" s="358"/>
      <c r="CM172" s="358"/>
      <c r="CN172" s="358"/>
      <c r="CO172" s="358"/>
      <c r="CP172" s="358"/>
      <c r="CQ172" s="358"/>
      <c r="CR172" s="358"/>
      <c r="CS172" s="358"/>
      <c r="CT172" s="358"/>
      <c r="CU172" s="358"/>
      <c r="CV172" s="358"/>
      <c r="CW172" s="358"/>
      <c r="CX172" s="358"/>
      <c r="CY172" s="358"/>
      <c r="CZ172" s="358"/>
      <c r="DA172" s="358"/>
      <c r="DB172" s="358"/>
      <c r="DC172" s="358"/>
      <c r="DD172" s="358"/>
      <c r="DE172" s="358"/>
      <c r="DF172" s="358"/>
      <c r="DG172" s="358"/>
      <c r="DH172" s="358"/>
      <c r="DI172" s="358"/>
      <c r="DJ172" s="358"/>
      <c r="DK172" s="358"/>
      <c r="DL172" s="358"/>
      <c r="DM172" s="358"/>
      <c r="DN172" s="358"/>
      <c r="DO172" s="358"/>
      <c r="DP172" s="358"/>
      <c r="DQ172" s="358"/>
      <c r="DR172" s="358"/>
      <c r="DS172" s="358"/>
      <c r="DT172" s="358"/>
      <c r="DU172" s="358"/>
      <c r="DV172" s="358"/>
      <c r="DW172" s="358"/>
      <c r="DX172" s="358"/>
      <c r="DY172" s="358"/>
      <c r="DZ172" s="358"/>
      <c r="EA172" s="358"/>
      <c r="EB172" s="358"/>
      <c r="EC172" s="358"/>
      <c r="ED172" s="358"/>
      <c r="EE172" s="358"/>
      <c r="EF172" s="358"/>
      <c r="EG172" s="358"/>
      <c r="EH172" s="358"/>
      <c r="EI172" s="358"/>
      <c r="EJ172" s="358"/>
      <c r="EK172" s="358"/>
      <c r="EL172" s="358"/>
      <c r="EM172" s="358"/>
      <c r="EN172" s="358"/>
      <c r="EO172" s="358"/>
      <c r="EP172" s="358"/>
      <c r="EQ172" s="358"/>
      <c r="ER172" s="358"/>
      <c r="ES172" s="358"/>
      <c r="ET172" s="358"/>
      <c r="EU172" s="358"/>
      <c r="EV172" s="358"/>
      <c r="EW172" s="358"/>
      <c r="EX172" s="358"/>
      <c r="EY172" s="358"/>
      <c r="EZ172" s="358"/>
      <c r="FA172" s="358"/>
      <c r="FB172" s="358"/>
      <c r="FC172" s="358"/>
      <c r="FD172" s="358"/>
      <c r="FE172" s="358"/>
      <c r="FF172" s="358"/>
      <c r="FG172" s="358"/>
      <c r="FH172" s="358"/>
      <c r="FI172" s="358"/>
      <c r="FJ172" s="358"/>
      <c r="FK172" s="358"/>
      <c r="FL172" s="358"/>
      <c r="FM172" s="358"/>
      <c r="FN172" s="358"/>
      <c r="FO172" s="358"/>
      <c r="FP172" s="358"/>
      <c r="FQ172" s="358"/>
      <c r="FR172" s="358"/>
      <c r="FS172" s="358"/>
      <c r="FT172" s="358"/>
      <c r="FU172" s="358"/>
      <c r="FV172" s="358"/>
      <c r="FW172" s="358"/>
      <c r="FX172" s="358"/>
      <c r="FY172" s="358"/>
      <c r="FZ172" s="358"/>
      <c r="GA172" s="358"/>
      <c r="GB172" s="358"/>
      <c r="GC172" s="358"/>
      <c r="GD172" s="358"/>
      <c r="GE172" s="358"/>
      <c r="GF172" s="358"/>
      <c r="GG172" s="358"/>
      <c r="GH172" s="358"/>
      <c r="GI172" s="358"/>
      <c r="GJ172" s="358"/>
      <c r="GK172" s="358"/>
      <c r="GL172" s="358"/>
      <c r="GM172" s="358"/>
      <c r="GN172" s="358"/>
      <c r="GO172" s="358"/>
      <c r="GP172" s="358"/>
      <c r="GQ172" s="358"/>
      <c r="GR172" s="358"/>
      <c r="GS172" s="358"/>
      <c r="GT172" s="358"/>
      <c r="GU172" s="358"/>
      <c r="GV172" s="358"/>
      <c r="GW172" s="358"/>
      <c r="GX172" s="358"/>
      <c r="GY172" s="358"/>
      <c r="GZ172" s="358"/>
      <c r="HA172" s="358"/>
      <c r="HB172" s="358"/>
      <c r="HC172" s="358"/>
      <c r="HD172" s="358"/>
      <c r="HE172" s="358"/>
      <c r="HF172" s="358"/>
      <c r="HG172" s="358"/>
      <c r="HH172" s="358"/>
      <c r="HI172" s="358"/>
      <c r="HJ172" s="358"/>
      <c r="HK172" s="358"/>
      <c r="HL172" s="358"/>
      <c r="HM172" s="358"/>
      <c r="HN172" s="358"/>
      <c r="HO172" s="358"/>
      <c r="HP172" s="358"/>
      <c r="HQ172" s="358"/>
      <c r="HR172" s="358"/>
      <c r="HS172" s="358"/>
      <c r="HT172" s="358"/>
      <c r="HU172" s="358"/>
      <c r="HV172" s="358"/>
      <c r="HW172" s="358"/>
      <c r="HX172" s="358"/>
      <c r="HY172" s="358"/>
    </row>
    <row r="173" spans="1:233" s="5" customFormat="1" ht="20.100000000000001" customHeight="1">
      <c r="A173" s="1595" t="s">
        <v>1033</v>
      </c>
      <c r="B173" s="1595"/>
      <c r="C173" s="1595"/>
      <c r="D173" s="1595"/>
      <c r="E173" s="1595"/>
      <c r="F173" s="1595"/>
      <c r="G173" s="1595"/>
      <c r="H173" s="1595"/>
      <c r="I173" s="1595"/>
      <c r="J173" s="1595"/>
      <c r="K173" s="502"/>
      <c r="P173" s="405"/>
      <c r="Q173" s="405"/>
      <c r="R173" s="405"/>
      <c r="S173" s="405"/>
      <c r="T173" s="405"/>
      <c r="U173" s="405"/>
      <c r="V173" s="358"/>
      <c r="W173" s="358"/>
      <c r="X173" s="358"/>
      <c r="Y173" s="358"/>
      <c r="Z173" s="358"/>
      <c r="AA173" s="358"/>
      <c r="AB173" s="358"/>
      <c r="AC173" s="358"/>
      <c r="AD173" s="358"/>
      <c r="AE173" s="358"/>
      <c r="AF173" s="358"/>
      <c r="AG173" s="358"/>
      <c r="AH173" s="358"/>
      <c r="AI173" s="358"/>
      <c r="AJ173" s="358"/>
      <c r="AK173" s="358"/>
      <c r="AL173" s="358"/>
      <c r="AM173" s="358"/>
      <c r="AN173" s="358"/>
      <c r="AO173" s="358"/>
      <c r="AP173" s="358"/>
      <c r="AQ173" s="358"/>
      <c r="AR173" s="358"/>
      <c r="AS173" s="358"/>
      <c r="AT173" s="358"/>
      <c r="AU173" s="358"/>
      <c r="AV173" s="358"/>
      <c r="AW173" s="358"/>
      <c r="AX173" s="358"/>
      <c r="AY173" s="358"/>
      <c r="AZ173" s="358"/>
      <c r="BA173" s="358"/>
      <c r="BB173" s="358"/>
      <c r="BC173" s="358"/>
      <c r="BD173" s="358"/>
      <c r="BE173" s="358"/>
      <c r="BF173" s="358"/>
      <c r="BG173" s="358"/>
      <c r="BH173" s="358"/>
      <c r="BI173" s="358"/>
      <c r="BJ173" s="358"/>
      <c r="BK173" s="358"/>
      <c r="BL173" s="358"/>
      <c r="BM173" s="358"/>
      <c r="BN173" s="358"/>
      <c r="BO173" s="358"/>
      <c r="BP173" s="358"/>
      <c r="BQ173" s="358"/>
      <c r="BR173" s="358"/>
      <c r="BS173" s="358"/>
      <c r="BT173" s="358"/>
      <c r="BU173" s="358"/>
      <c r="BV173" s="358"/>
      <c r="BW173" s="358"/>
      <c r="BX173" s="358"/>
      <c r="BY173" s="358"/>
      <c r="BZ173" s="358"/>
      <c r="CA173" s="358"/>
      <c r="CB173" s="358"/>
      <c r="CC173" s="358"/>
      <c r="CD173" s="358"/>
      <c r="CE173" s="358"/>
      <c r="CF173" s="358"/>
      <c r="CG173" s="358"/>
      <c r="CH173" s="358"/>
      <c r="CI173" s="358"/>
      <c r="CJ173" s="358"/>
      <c r="CK173" s="358"/>
      <c r="CL173" s="358"/>
      <c r="CM173" s="358"/>
      <c r="CN173" s="358"/>
      <c r="CO173" s="358"/>
      <c r="CP173" s="358"/>
      <c r="CQ173" s="358"/>
      <c r="CR173" s="358"/>
      <c r="CS173" s="358"/>
      <c r="CT173" s="358"/>
      <c r="CU173" s="358"/>
      <c r="CV173" s="358"/>
      <c r="CW173" s="358"/>
      <c r="CX173" s="358"/>
      <c r="CY173" s="358"/>
      <c r="CZ173" s="358"/>
      <c r="DA173" s="358"/>
      <c r="DB173" s="358"/>
      <c r="DC173" s="358"/>
      <c r="DD173" s="358"/>
      <c r="DE173" s="358"/>
      <c r="DF173" s="358"/>
      <c r="DG173" s="358"/>
      <c r="DH173" s="358"/>
      <c r="DI173" s="358"/>
      <c r="DJ173" s="358"/>
      <c r="DK173" s="358"/>
      <c r="DL173" s="358"/>
      <c r="DM173" s="358"/>
      <c r="DN173" s="358"/>
      <c r="DO173" s="358"/>
      <c r="DP173" s="358"/>
      <c r="DQ173" s="358"/>
      <c r="DR173" s="358"/>
      <c r="DS173" s="358"/>
      <c r="DT173" s="358"/>
      <c r="DU173" s="358"/>
      <c r="DV173" s="358"/>
      <c r="DW173" s="358"/>
      <c r="DX173" s="358"/>
      <c r="DY173" s="358"/>
      <c r="DZ173" s="358"/>
      <c r="EA173" s="358"/>
      <c r="EB173" s="358"/>
      <c r="EC173" s="358"/>
      <c r="ED173" s="358"/>
      <c r="EE173" s="358"/>
      <c r="EF173" s="358"/>
      <c r="EG173" s="358"/>
      <c r="EH173" s="358"/>
      <c r="EI173" s="358"/>
      <c r="EJ173" s="358"/>
      <c r="EK173" s="358"/>
      <c r="EL173" s="358"/>
      <c r="EM173" s="358"/>
      <c r="EN173" s="358"/>
      <c r="EO173" s="358"/>
      <c r="EP173" s="358"/>
      <c r="EQ173" s="358"/>
      <c r="ER173" s="358"/>
      <c r="ES173" s="358"/>
      <c r="ET173" s="358"/>
      <c r="EU173" s="358"/>
      <c r="EV173" s="358"/>
      <c r="EW173" s="358"/>
      <c r="EX173" s="358"/>
      <c r="EY173" s="358"/>
      <c r="EZ173" s="358"/>
      <c r="FA173" s="358"/>
      <c r="FB173" s="358"/>
      <c r="FC173" s="358"/>
      <c r="FD173" s="358"/>
      <c r="FE173" s="358"/>
      <c r="FF173" s="358"/>
      <c r="FG173" s="358"/>
      <c r="FH173" s="358"/>
      <c r="FI173" s="358"/>
      <c r="FJ173" s="358"/>
      <c r="FK173" s="358"/>
      <c r="FL173" s="358"/>
      <c r="FM173" s="358"/>
      <c r="FN173" s="358"/>
      <c r="FO173" s="358"/>
      <c r="FP173" s="358"/>
      <c r="FQ173" s="358"/>
      <c r="FR173" s="358"/>
      <c r="FS173" s="358"/>
      <c r="FT173" s="358"/>
      <c r="FU173" s="358"/>
      <c r="FV173" s="358"/>
      <c r="FW173" s="358"/>
      <c r="FX173" s="358"/>
      <c r="FY173" s="358"/>
      <c r="FZ173" s="358"/>
      <c r="GA173" s="358"/>
      <c r="GB173" s="358"/>
      <c r="GC173" s="358"/>
      <c r="GD173" s="358"/>
      <c r="GE173" s="358"/>
      <c r="GF173" s="358"/>
      <c r="GG173" s="358"/>
      <c r="GH173" s="358"/>
      <c r="GI173" s="358"/>
      <c r="GJ173" s="358"/>
      <c r="GK173" s="358"/>
      <c r="GL173" s="358"/>
      <c r="GM173" s="358"/>
      <c r="GN173" s="358"/>
      <c r="GO173" s="358"/>
      <c r="GP173" s="358"/>
      <c r="GQ173" s="358"/>
      <c r="GR173" s="358"/>
      <c r="GS173" s="358"/>
      <c r="GT173" s="358"/>
      <c r="GU173" s="358"/>
      <c r="GV173" s="358"/>
      <c r="GW173" s="358"/>
      <c r="GX173" s="358"/>
      <c r="GY173" s="358"/>
      <c r="GZ173" s="358"/>
      <c r="HA173" s="358"/>
      <c r="HB173" s="358"/>
      <c r="HC173" s="358"/>
      <c r="HD173" s="358"/>
      <c r="HE173" s="358"/>
      <c r="HF173" s="358"/>
      <c r="HG173" s="358"/>
      <c r="HH173" s="358"/>
      <c r="HI173" s="358"/>
      <c r="HJ173" s="358"/>
      <c r="HK173" s="358"/>
      <c r="HL173" s="358"/>
      <c r="HM173" s="358"/>
      <c r="HN173" s="358"/>
      <c r="HO173" s="358"/>
      <c r="HP173" s="358"/>
      <c r="HQ173" s="358"/>
      <c r="HR173" s="358"/>
      <c r="HS173" s="358"/>
      <c r="HT173" s="358"/>
      <c r="HU173" s="358"/>
      <c r="HV173" s="358"/>
      <c r="HW173" s="358"/>
      <c r="HX173" s="358"/>
      <c r="HY173" s="358"/>
    </row>
    <row r="174" spans="1:233" ht="20.100000000000001" customHeight="1">
      <c r="A174" s="1596" t="s">
        <v>121</v>
      </c>
      <c r="B174" s="1596"/>
      <c r="C174" s="1596"/>
      <c r="D174" s="1596"/>
      <c r="E174" s="1596"/>
      <c r="F174" s="1596"/>
      <c r="G174" s="1596"/>
      <c r="H174" s="1596"/>
      <c r="I174" s="1596"/>
      <c r="J174" s="1596"/>
      <c r="K174" s="481"/>
      <c r="O174" s="5"/>
      <c r="P174" s="405"/>
      <c r="Q174" s="405"/>
      <c r="R174" s="405"/>
      <c r="S174" s="405"/>
      <c r="T174" s="405"/>
    </row>
    <row r="175" spans="1:233" ht="20.100000000000001" customHeight="1">
      <c r="A175" s="1600" t="s">
        <v>917</v>
      </c>
      <c r="B175" s="1600"/>
      <c r="C175" s="1600"/>
      <c r="D175" s="1600"/>
      <c r="E175" s="1600"/>
      <c r="F175" s="1600"/>
      <c r="G175" s="1600"/>
      <c r="H175" s="1600"/>
      <c r="I175" s="1600"/>
      <c r="J175" s="1600"/>
      <c r="K175" s="741"/>
    </row>
    <row r="176" spans="1:233" ht="20.100000000000001" customHeight="1">
      <c r="A176" s="1595"/>
      <c r="B176" s="1595"/>
      <c r="C176" s="1595"/>
      <c r="D176" s="1595"/>
      <c r="E176" s="1595"/>
      <c r="F176" s="1595"/>
      <c r="G176" s="1595"/>
      <c r="H176" s="1595"/>
      <c r="I176" s="1595"/>
      <c r="J176" s="1595"/>
      <c r="K176" s="740"/>
    </row>
    <row r="177" spans="1:11" ht="20.100000000000001" customHeight="1">
      <c r="A177" s="1672" t="s">
        <v>820</v>
      </c>
      <c r="B177" s="1672"/>
      <c r="C177" s="1672"/>
      <c r="D177" s="1672"/>
      <c r="E177" s="1599" t="s">
        <v>186</v>
      </c>
      <c r="F177" s="1599"/>
      <c r="G177" s="1599"/>
      <c r="H177" s="640" t="s">
        <v>5</v>
      </c>
      <c r="I177" s="507"/>
      <c r="J177" s="507"/>
      <c r="K177" s="481"/>
    </row>
    <row r="178" spans="1:11" ht="20.100000000000001" customHeight="1">
      <c r="I178" s="640"/>
      <c r="J178" s="640"/>
      <c r="K178" s="507"/>
    </row>
    <row r="179" spans="1:11" ht="20.100000000000001" customHeight="1">
      <c r="A179" s="640"/>
      <c r="B179" s="640"/>
      <c r="C179" s="640"/>
      <c r="D179" s="640"/>
      <c r="E179" s="640"/>
      <c r="F179" s="640"/>
      <c r="G179" s="640"/>
      <c r="H179" s="640"/>
      <c r="I179" s="640"/>
      <c r="J179" s="640"/>
      <c r="K179" s="640"/>
    </row>
    <row r="180" spans="1:11" ht="20.100000000000001" customHeight="1">
      <c r="A180" s="640"/>
      <c r="B180" s="640"/>
      <c r="C180" s="640"/>
      <c r="D180" s="640"/>
      <c r="E180" s="640"/>
      <c r="F180" s="640"/>
      <c r="G180" s="640"/>
      <c r="H180" s="640"/>
      <c r="I180" s="640"/>
      <c r="J180" s="640"/>
      <c r="K180" s="640"/>
    </row>
    <row r="181" spans="1:11" ht="20.100000000000001" customHeight="1">
      <c r="A181" s="640"/>
      <c r="B181" s="640"/>
      <c r="C181" s="640"/>
      <c r="D181" s="640"/>
      <c r="E181" s="640"/>
      <c r="F181" s="640"/>
      <c r="G181" s="640"/>
      <c r="H181" s="640"/>
      <c r="I181" s="640"/>
      <c r="J181" s="640"/>
      <c r="K181" s="640"/>
    </row>
    <row r="182" spans="1:11" ht="20.100000000000001" customHeight="1">
      <c r="A182" s="640"/>
      <c r="B182" s="640"/>
      <c r="C182" s="640"/>
      <c r="D182" s="640"/>
      <c r="E182" s="640"/>
      <c r="F182" s="640"/>
      <c r="G182" s="640"/>
      <c r="H182" s="640"/>
      <c r="I182" s="640"/>
      <c r="J182" s="640"/>
      <c r="K182" s="640"/>
    </row>
    <row r="183" spans="1:11" ht="20.100000000000001" customHeight="1">
      <c r="A183" s="640"/>
      <c r="B183" s="640"/>
      <c r="C183" s="640"/>
      <c r="D183" s="640"/>
      <c r="E183" s="640"/>
      <c r="F183" s="640"/>
      <c r="G183" s="640"/>
      <c r="H183" s="640"/>
      <c r="I183" s="640"/>
      <c r="J183" s="640"/>
      <c r="K183" s="640"/>
    </row>
    <row r="184" spans="1:11" ht="20.100000000000001" customHeight="1">
      <c r="A184" s="508"/>
      <c r="B184" s="508"/>
      <c r="C184" s="508"/>
      <c r="D184" s="508"/>
      <c r="E184" s="508"/>
      <c r="F184" s="508"/>
      <c r="G184" s="508"/>
      <c r="H184" s="508"/>
      <c r="I184" s="508"/>
      <c r="J184" s="508"/>
      <c r="K184" s="640"/>
    </row>
    <row r="185" spans="1:11" ht="20.100000000000001" customHeight="1">
      <c r="K185" s="508"/>
    </row>
  </sheetData>
  <mergeCells count="153">
    <mergeCell ref="A173:J173"/>
    <mergeCell ref="A174:J174"/>
    <mergeCell ref="A175:J175"/>
    <mergeCell ref="A176:J176"/>
    <mergeCell ref="A177:D177"/>
    <mergeCell ref="E177:G177"/>
    <mergeCell ref="B169:E169"/>
    <mergeCell ref="F169:H169"/>
    <mergeCell ref="B170:E170"/>
    <mergeCell ref="F170:H170"/>
    <mergeCell ref="B171:E171"/>
    <mergeCell ref="F171:H171"/>
    <mergeCell ref="B166:E166"/>
    <mergeCell ref="F166:H166"/>
    <mergeCell ref="B167:E167"/>
    <mergeCell ref="F167:H167"/>
    <mergeCell ref="B168:E168"/>
    <mergeCell ref="F168:H168"/>
    <mergeCell ref="A163:A164"/>
    <mergeCell ref="B163:E164"/>
    <mergeCell ref="F163:H164"/>
    <mergeCell ref="I163:J163"/>
    <mergeCell ref="B165:E165"/>
    <mergeCell ref="F165:H165"/>
    <mergeCell ref="A147:J147"/>
    <mergeCell ref="B151:J151"/>
    <mergeCell ref="B152:J152"/>
    <mergeCell ref="A159:J159"/>
    <mergeCell ref="A160:J160"/>
    <mergeCell ref="A161:J161"/>
    <mergeCell ref="A137:J137"/>
    <mergeCell ref="A140:J140"/>
    <mergeCell ref="E141:J141"/>
    <mergeCell ref="E142:J142"/>
    <mergeCell ref="A144:J144"/>
    <mergeCell ref="A145:J145"/>
    <mergeCell ref="A132:E132"/>
    <mergeCell ref="F132:J132"/>
    <mergeCell ref="A133:E133"/>
    <mergeCell ref="F133:J133"/>
    <mergeCell ref="A134:J134"/>
    <mergeCell ref="A135:E135"/>
    <mergeCell ref="F135:J135"/>
    <mergeCell ref="C125:J125"/>
    <mergeCell ref="C126:J126"/>
    <mergeCell ref="C127:J127"/>
    <mergeCell ref="A128:J128"/>
    <mergeCell ref="A129:J129"/>
    <mergeCell ref="A130:J130"/>
    <mergeCell ref="A118:J118"/>
    <mergeCell ref="A119:J119"/>
    <mergeCell ref="A120:J120"/>
    <mergeCell ref="A121:J121"/>
    <mergeCell ref="A122:J122"/>
    <mergeCell ref="C124:J124"/>
    <mergeCell ref="A111:G111"/>
    <mergeCell ref="A112:G112"/>
    <mergeCell ref="A113:G113"/>
    <mergeCell ref="A114:G114"/>
    <mergeCell ref="H114:J114"/>
    <mergeCell ref="A117:J117"/>
    <mergeCell ref="A106:F106"/>
    <mergeCell ref="A107:F107"/>
    <mergeCell ref="H107:J107"/>
    <mergeCell ref="A108:G108"/>
    <mergeCell ref="A109:G109"/>
    <mergeCell ref="A110:G110"/>
    <mergeCell ref="A103:C105"/>
    <mergeCell ref="D103:E103"/>
    <mergeCell ref="F103:J103"/>
    <mergeCell ref="D104:D105"/>
    <mergeCell ref="E104:E105"/>
    <mergeCell ref="F104:J105"/>
    <mergeCell ref="A95:J95"/>
    <mergeCell ref="A96:B96"/>
    <mergeCell ref="D97:H97"/>
    <mergeCell ref="A100:C102"/>
    <mergeCell ref="D100:E100"/>
    <mergeCell ref="F100:J100"/>
    <mergeCell ref="D101:D102"/>
    <mergeCell ref="E101:E102"/>
    <mergeCell ref="F101:J102"/>
    <mergeCell ref="A86:J86"/>
    <mergeCell ref="A87:J87"/>
    <mergeCell ref="C88:J88"/>
    <mergeCell ref="C89:J89"/>
    <mergeCell ref="C90:J90"/>
    <mergeCell ref="C91:J91"/>
    <mergeCell ref="A81:E81"/>
    <mergeCell ref="F81:J81"/>
    <mergeCell ref="A82:E82"/>
    <mergeCell ref="F82:J82"/>
    <mergeCell ref="F83:J83"/>
    <mergeCell ref="F84:J84"/>
    <mergeCell ref="A57:E57"/>
    <mergeCell ref="F57:J57"/>
    <mergeCell ref="F58:G58"/>
    <mergeCell ref="H58:J58"/>
    <mergeCell ref="B51:E51"/>
    <mergeCell ref="F51:H51"/>
    <mergeCell ref="A52:J52"/>
    <mergeCell ref="A53:J53"/>
    <mergeCell ref="A54:J54"/>
    <mergeCell ref="A55:J55"/>
    <mergeCell ref="B48:E48"/>
    <mergeCell ref="F48:H48"/>
    <mergeCell ref="B49:E49"/>
    <mergeCell ref="F49:H49"/>
    <mergeCell ref="B50:E50"/>
    <mergeCell ref="F50:H50"/>
    <mergeCell ref="B45:E45"/>
    <mergeCell ref="F45:H45"/>
    <mergeCell ref="B46:E46"/>
    <mergeCell ref="F46:H46"/>
    <mergeCell ref="B47:E47"/>
    <mergeCell ref="F47:H47"/>
    <mergeCell ref="B33:J33"/>
    <mergeCell ref="A40:J40"/>
    <mergeCell ref="A41:J41"/>
    <mergeCell ref="A43:A44"/>
    <mergeCell ref="B43:E44"/>
    <mergeCell ref="F43:H44"/>
    <mergeCell ref="I43:J43"/>
    <mergeCell ref="E23:J23"/>
    <mergeCell ref="A25:J25"/>
    <mergeCell ref="A26:J26"/>
    <mergeCell ref="A27:J27"/>
    <mergeCell ref="A28:J28"/>
    <mergeCell ref="B32:J32"/>
    <mergeCell ref="A19:E19"/>
    <mergeCell ref="F19:J19"/>
    <mergeCell ref="A20:E20"/>
    <mergeCell ref="F20:J20"/>
    <mergeCell ref="A21:J21"/>
    <mergeCell ref="E22:J22"/>
    <mergeCell ref="A14:J14"/>
    <mergeCell ref="A16:E16"/>
    <mergeCell ref="F16:J16"/>
    <mergeCell ref="A17:E17"/>
    <mergeCell ref="F17:J17"/>
    <mergeCell ref="A18:J18"/>
    <mergeCell ref="C8:J8"/>
    <mergeCell ref="C9:J9"/>
    <mergeCell ref="C10:J10"/>
    <mergeCell ref="C11:J11"/>
    <mergeCell ref="A12:J12"/>
    <mergeCell ref="A13:J13"/>
    <mergeCell ref="A1:J1"/>
    <mergeCell ref="A2:J2"/>
    <mergeCell ref="A3:J3"/>
    <mergeCell ref="A4:J4"/>
    <mergeCell ref="A5:J5"/>
    <mergeCell ref="A6:J6"/>
  </mergeCells>
  <printOptions horizontalCentered="1"/>
  <pageMargins left="0.70866141732283472" right="0" top="0.51181102362204722" bottom="0.51181102362204722" header="0.31496062992125984" footer="0.31496062992125984"/>
  <pageSetup paperSize="9" scale="9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179"/>
  <sheetViews>
    <sheetView view="pageBreakPreview" topLeftCell="A82" zoomScale="115" zoomScaleNormal="100" zoomScaleSheetLayoutView="115" workbookViewId="0">
      <selection activeCell="C91" sqref="C91"/>
    </sheetView>
  </sheetViews>
  <sheetFormatPr defaultRowHeight="15"/>
  <cols>
    <col min="1" max="1" width="5.140625" style="463" customWidth="1"/>
    <col min="2" max="2" width="12.28515625" style="463" customWidth="1"/>
    <col min="3" max="3" width="9.85546875" style="463" customWidth="1"/>
    <col min="4" max="4" width="10" style="463" customWidth="1"/>
    <col min="5" max="5" width="14.140625" style="463" customWidth="1"/>
    <col min="6" max="6" width="9.7109375" style="463" customWidth="1"/>
    <col min="7" max="7" width="8" style="463" customWidth="1"/>
    <col min="8" max="8" width="9.42578125" style="463" customWidth="1"/>
    <col min="9" max="9" width="9.7109375" style="463" customWidth="1"/>
    <col min="10" max="10" width="7.42578125" style="463" customWidth="1"/>
    <col min="11" max="12" width="9.140625" style="463"/>
    <col min="13" max="13" width="8.5703125" style="464" customWidth="1"/>
    <col min="14" max="14" width="24.7109375" style="464" bestFit="1" customWidth="1"/>
    <col min="15" max="15" width="18" style="464" customWidth="1"/>
    <col min="16" max="16" width="18.42578125" style="464" customWidth="1"/>
    <col min="17" max="24" width="9.140625" style="464"/>
    <col min="25" max="30" width="9.140625" style="468"/>
    <col min="31" max="16384" width="9.140625" style="463"/>
  </cols>
  <sheetData>
    <row r="1" spans="1:30" ht="20.100000000000001" customHeight="1">
      <c r="A1" s="1682" t="s">
        <v>77</v>
      </c>
      <c r="B1" s="1682"/>
      <c r="C1" s="1682"/>
      <c r="D1" s="1682"/>
      <c r="E1" s="1682"/>
      <c r="F1" s="1682"/>
      <c r="G1" s="1682"/>
      <c r="H1" s="1682"/>
      <c r="I1" s="1682"/>
      <c r="J1" s="1682"/>
      <c r="L1" s="464" t="s">
        <v>78</v>
      </c>
      <c r="M1" s="465"/>
      <c r="O1" s="466" t="s">
        <v>79</v>
      </c>
      <c r="P1" s="466"/>
      <c r="Q1" s="467"/>
      <c r="V1" s="467"/>
    </row>
    <row r="2" spans="1:30" ht="20.100000000000001" customHeight="1">
      <c r="A2" s="1683" t="s">
        <v>80</v>
      </c>
      <c r="B2" s="1683"/>
      <c r="C2" s="1683"/>
      <c r="D2" s="1683"/>
      <c r="E2" s="1683"/>
      <c r="F2" s="1683"/>
      <c r="G2" s="1683"/>
      <c r="H2" s="1683"/>
      <c r="I2" s="1683"/>
      <c r="J2" s="1683"/>
      <c r="L2" s="467" t="s">
        <v>81</v>
      </c>
      <c r="N2" s="467" t="str">
        <f>'2. NK'!$D$10</f>
        <v>B1</v>
      </c>
      <c r="O2" s="466" t="s">
        <v>346</v>
      </c>
      <c r="P2" s="466"/>
      <c r="Q2" s="467"/>
      <c r="V2" s="467"/>
    </row>
    <row r="3" spans="1:30" ht="20.100000000000001" customHeight="1">
      <c r="A3" s="1616" t="s">
        <v>82</v>
      </c>
      <c r="B3" s="1616"/>
      <c r="C3" s="1616"/>
      <c r="D3" s="1616"/>
      <c r="E3" s="1616"/>
      <c r="F3" s="1616"/>
      <c r="G3" s="1616"/>
      <c r="H3" s="1616"/>
      <c r="I3" s="1616"/>
      <c r="J3" s="1616"/>
      <c r="L3" s="469" t="s">
        <v>83</v>
      </c>
      <c r="N3" s="467" t="str">
        <f>'2. NK'!$R$12</f>
        <v>Tại công trình</v>
      </c>
      <c r="P3" s="467"/>
      <c r="V3" s="467"/>
    </row>
    <row r="4" spans="1:30" ht="20.100000000000001" customHeight="1">
      <c r="A4" s="1725" t="str">
        <f>'7'!A4</f>
        <v>Quảng Ninh, ngày……..tháng…….năm 2016</v>
      </c>
      <c r="B4" s="1725"/>
      <c r="C4" s="1725"/>
      <c r="D4" s="1725"/>
      <c r="E4" s="1725"/>
      <c r="F4" s="1725"/>
      <c r="G4" s="1725"/>
      <c r="H4" s="1725"/>
      <c r="I4" s="1725"/>
      <c r="J4" s="1725"/>
      <c r="L4" s="469" t="s">
        <v>84</v>
      </c>
      <c r="N4" s="467" t="str">
        <f>'2. NK'!$D$10&amp;"/"&amp;'2. NK'!$H$10</f>
        <v>B1/800</v>
      </c>
      <c r="O4" s="466" t="s">
        <v>85</v>
      </c>
      <c r="P4" s="466"/>
      <c r="Q4" s="467"/>
    </row>
    <row r="5" spans="1:30" ht="20.100000000000001" customHeight="1">
      <c r="A5" s="759"/>
      <c r="B5" s="759"/>
      <c r="C5" s="759"/>
      <c r="D5" s="759"/>
      <c r="E5" s="759"/>
      <c r="F5" s="759"/>
      <c r="G5" s="759"/>
      <c r="H5" s="759"/>
      <c r="I5" s="759"/>
      <c r="J5" s="759"/>
      <c r="L5" s="469" t="s">
        <v>36</v>
      </c>
      <c r="N5" s="467"/>
      <c r="P5" s="466"/>
      <c r="Q5" s="467"/>
    </row>
    <row r="6" spans="1:30" ht="20.100000000000001" customHeight="1">
      <c r="A6" s="1685" t="s">
        <v>86</v>
      </c>
      <c r="B6" s="1618"/>
      <c r="C6" s="1618"/>
      <c r="D6" s="1618"/>
      <c r="E6" s="1618"/>
      <c r="F6" s="1618"/>
      <c r="G6" s="1618"/>
      <c r="H6" s="1618"/>
      <c r="I6" s="1618"/>
      <c r="J6" s="1618"/>
      <c r="M6" s="469" t="s">
        <v>87</v>
      </c>
      <c r="N6" s="470">
        <v>0</v>
      </c>
      <c r="O6" s="466"/>
      <c r="P6" s="466"/>
      <c r="Q6" s="466"/>
    </row>
    <row r="7" spans="1:30" ht="20.100000000000001" customHeight="1">
      <c r="A7" s="1686" t="str">
        <f>"SỐ: TGHL-HT-CWI-C&amp;S-"&amp;N4</f>
        <v>SỐ: TGHL-HT-CWI-C&amp;S-B1/800</v>
      </c>
      <c r="B7" s="1686"/>
      <c r="C7" s="1686"/>
      <c r="D7" s="1686"/>
      <c r="E7" s="1686"/>
      <c r="F7" s="1686"/>
      <c r="G7" s="1686"/>
      <c r="H7" s="1686"/>
      <c r="I7" s="1686"/>
      <c r="J7" s="1686"/>
      <c r="K7" s="472"/>
      <c r="M7" s="469" t="s">
        <v>354</v>
      </c>
      <c r="N7" s="473">
        <v>0</v>
      </c>
      <c r="O7" s="466"/>
      <c r="P7" s="466"/>
      <c r="Q7" s="466"/>
    </row>
    <row r="8" spans="1:30" s="472" customFormat="1" ht="20.100000000000001" customHeight="1">
      <c r="A8" s="471"/>
      <c r="B8" s="471"/>
      <c r="C8" s="471"/>
      <c r="D8" s="471"/>
      <c r="E8" s="471"/>
      <c r="F8" s="471"/>
      <c r="G8" s="471"/>
      <c r="H8" s="471"/>
      <c r="I8" s="471"/>
      <c r="J8" s="471"/>
      <c r="K8" s="463"/>
      <c r="L8" s="469" t="s">
        <v>88</v>
      </c>
      <c r="M8" s="467"/>
      <c r="N8" s="467"/>
      <c r="O8" s="466" t="s">
        <v>197</v>
      </c>
      <c r="P8" s="466"/>
      <c r="Q8" s="467"/>
      <c r="R8" s="464"/>
      <c r="S8" s="464"/>
      <c r="T8" s="464"/>
      <c r="U8" s="474"/>
      <c r="V8" s="474"/>
      <c r="W8" s="474"/>
      <c r="X8" s="474"/>
      <c r="Y8" s="475"/>
      <c r="Z8" s="475"/>
      <c r="AA8" s="475"/>
      <c r="AB8" s="475"/>
      <c r="AC8" s="475"/>
      <c r="AD8" s="475"/>
    </row>
    <row r="9" spans="1:30" ht="35.1" customHeight="1">
      <c r="A9" s="641" t="str">
        <f>'[6]4. BBKT-VL-PO'!A8</f>
        <v>DỰ ÁN:</v>
      </c>
      <c r="B9" s="476"/>
      <c r="C9" s="1615" t="str">
        <f>'[6]4. BBKT-VL-PO'!C8:J8</f>
        <v>KHU HỖN HỢP CHUNG CƯ, VĂN PHÒNG, TRUNG TÂM THƯƠNG MẠI VÀ NHÀ Ở KẾT HỢP KHU MUA SẮM</v>
      </c>
      <c r="D9" s="1615"/>
      <c r="E9" s="1615"/>
      <c r="F9" s="1615"/>
      <c r="G9" s="1615"/>
      <c r="H9" s="1615"/>
      <c r="I9" s="1615"/>
      <c r="J9" s="1615"/>
      <c r="L9" s="469"/>
      <c r="M9" s="467"/>
      <c r="N9" s="467"/>
      <c r="O9" s="478"/>
      <c r="P9" s="479"/>
      <c r="Q9" s="479"/>
      <c r="R9" s="474"/>
      <c r="S9" s="474"/>
      <c r="T9" s="474"/>
    </row>
    <row r="10" spans="1:30" ht="20.100000000000001" customHeight="1">
      <c r="A10" s="641" t="str">
        <f>'[6]4. BBKT-VL-PO'!A9</f>
        <v>CÔNG TRÌNH:</v>
      </c>
      <c r="B10" s="476"/>
      <c r="C10" s="1615" t="str">
        <f>'[6]4. BBKT-VL-PO'!C9:J9</f>
        <v>KHU HỖN HỢP CHUNG CƯ, VĂN PHÒNG, TTTM</v>
      </c>
      <c r="D10" s="1615"/>
      <c r="E10" s="1615"/>
      <c r="F10" s="1615"/>
      <c r="G10" s="1615"/>
      <c r="H10" s="1615"/>
      <c r="I10" s="1615"/>
      <c r="J10" s="1615"/>
      <c r="L10" s="469"/>
      <c r="M10" s="469" t="s">
        <v>87</v>
      </c>
      <c r="N10" s="470">
        <f>'2. NK'!F13</f>
        <v>0.40277777777777773</v>
      </c>
      <c r="O10" s="478"/>
      <c r="P10" s="479"/>
      <c r="Q10" s="479"/>
    </row>
    <row r="11" spans="1:30" ht="20.100000000000001" customHeight="1">
      <c r="A11" s="641" t="str">
        <f>'[6]4. BBKT-VL-PO'!A10</f>
        <v>GÓI THẦU :</v>
      </c>
      <c r="B11" s="476"/>
      <c r="C11" s="1615" t="str">
        <f>'[6]4. BBKT-VL-PO'!C10:J10</f>
        <v>THI CÔNG CỌC KHOAN NHỒI</v>
      </c>
      <c r="D11" s="1615"/>
      <c r="E11" s="1615"/>
      <c r="F11" s="1615"/>
      <c r="G11" s="1615"/>
      <c r="H11" s="1615"/>
      <c r="I11" s="1615"/>
      <c r="J11" s="1615"/>
      <c r="K11" s="472"/>
      <c r="L11" s="469"/>
      <c r="M11" s="469" t="s">
        <v>354</v>
      </c>
      <c r="N11" s="473">
        <f>N17</f>
        <v>42466</v>
      </c>
      <c r="O11" s="470">
        <f>(N16-N10)/3</f>
        <v>1.1574074074074032E-3</v>
      </c>
      <c r="P11" s="479"/>
      <c r="Q11" s="479"/>
    </row>
    <row r="12" spans="1:30" s="472" customFormat="1" ht="20.100000000000001" customHeight="1">
      <c r="A12" s="641" t="str">
        <f>'[6]4. BBKT-VL-PO'!A11</f>
        <v>ĐỊA ĐIỂM :</v>
      </c>
      <c r="B12" s="476"/>
      <c r="C12" s="1615" t="str">
        <f>'[6]4. BBKT-VL-PO'!C11:J11</f>
        <v>ĐƯỜNG 25/4, P BẠCH ĐẰNG, TP. HẠ LONG, TỈNH QUẢNG NINH</v>
      </c>
      <c r="D12" s="1615"/>
      <c r="E12" s="1615"/>
      <c r="F12" s="1615"/>
      <c r="G12" s="1615"/>
      <c r="H12" s="1615"/>
      <c r="I12" s="1615"/>
      <c r="J12" s="1615"/>
      <c r="K12" s="463"/>
      <c r="L12" s="469" t="s">
        <v>90</v>
      </c>
      <c r="M12" s="467"/>
      <c r="N12" s="467"/>
      <c r="O12" s="466"/>
      <c r="P12" s="479"/>
      <c r="Q12" s="469"/>
      <c r="R12" s="464"/>
      <c r="S12" s="464"/>
      <c r="T12" s="464"/>
      <c r="U12" s="474"/>
      <c r="V12" s="474"/>
      <c r="W12" s="474"/>
      <c r="X12" s="474"/>
      <c r="Y12" s="475"/>
      <c r="Z12" s="475"/>
      <c r="AA12" s="475"/>
      <c r="AB12" s="475"/>
      <c r="AC12" s="475"/>
      <c r="AD12" s="475"/>
    </row>
    <row r="13" spans="1:30" ht="20.100000000000001" customHeight="1">
      <c r="A13" s="1596" t="s">
        <v>89</v>
      </c>
      <c r="B13" s="1596"/>
      <c r="C13" s="1596"/>
      <c r="D13" s="1596"/>
      <c r="E13" s="1596"/>
      <c r="F13" s="1596"/>
      <c r="G13" s="1596"/>
      <c r="H13" s="1596"/>
      <c r="I13" s="1596"/>
      <c r="J13" s="1596"/>
      <c r="L13" s="469"/>
      <c r="M13" s="469" t="s">
        <v>87</v>
      </c>
      <c r="N13" s="470">
        <f>N16-0.00694444444444444</f>
        <v>0.39930555555555552</v>
      </c>
      <c r="O13" s="478"/>
      <c r="P13" s="479"/>
      <c r="Q13" s="469"/>
      <c r="R13" s="474"/>
      <c r="S13" s="474"/>
      <c r="T13" s="474"/>
    </row>
    <row r="14" spans="1:30" ht="20.100000000000001" customHeight="1">
      <c r="A14" s="1610" t="str">
        <f>"Định vị cọc số hiệu " &amp;N2</f>
        <v>Định vị cọc số hiệu B1</v>
      </c>
      <c r="B14" s="1622"/>
      <c r="C14" s="1622"/>
      <c r="D14" s="1622"/>
      <c r="E14" s="1622"/>
      <c r="F14" s="1622"/>
      <c r="G14" s="1622"/>
      <c r="H14" s="1622"/>
      <c r="I14" s="1622"/>
      <c r="J14" s="1622"/>
      <c r="M14" s="469" t="s">
        <v>354</v>
      </c>
      <c r="N14" s="473">
        <f>N17</f>
        <v>42466</v>
      </c>
      <c r="O14" s="466" t="s">
        <v>91</v>
      </c>
      <c r="P14" s="466"/>
      <c r="Q14" s="467"/>
    </row>
    <row r="15" spans="1:30" ht="20.100000000000001" customHeight="1">
      <c r="A15" s="1596" t="s">
        <v>859</v>
      </c>
      <c r="B15" s="1596"/>
      <c r="C15" s="1596"/>
      <c r="D15" s="1596"/>
      <c r="E15" s="1596"/>
      <c r="F15" s="1596"/>
      <c r="G15" s="1596"/>
      <c r="H15" s="1596"/>
      <c r="I15" s="1596"/>
      <c r="J15" s="1596"/>
      <c r="L15" s="469" t="s">
        <v>93</v>
      </c>
      <c r="M15" s="467"/>
      <c r="N15" s="467"/>
      <c r="P15" s="466"/>
      <c r="Q15" s="466"/>
    </row>
    <row r="16" spans="1:30" ht="20.100000000000001" customHeight="1">
      <c r="A16" s="482" t="s">
        <v>860</v>
      </c>
      <c r="B16" s="118"/>
      <c r="C16" s="118"/>
      <c r="D16" s="118"/>
      <c r="E16" s="118"/>
      <c r="F16" s="483"/>
      <c r="G16" s="483"/>
      <c r="H16" s="483"/>
      <c r="I16" s="483"/>
      <c r="J16" s="483"/>
      <c r="M16" s="469" t="s">
        <v>87</v>
      </c>
      <c r="N16" s="545">
        <f>'2. NK'!$H$13</f>
        <v>0.40624999999999994</v>
      </c>
      <c r="O16" s="466"/>
      <c r="P16" s="466"/>
      <c r="Q16" s="466"/>
    </row>
    <row r="17" spans="1:232" ht="20.100000000000001" customHeight="1">
      <c r="A17" s="1595" t="s">
        <v>907</v>
      </c>
      <c r="B17" s="1595"/>
      <c r="C17" s="1595"/>
      <c r="D17" s="1595"/>
      <c r="E17" s="1595"/>
      <c r="F17" s="1595" t="s">
        <v>908</v>
      </c>
      <c r="G17" s="1595"/>
      <c r="H17" s="1595"/>
      <c r="I17" s="1595"/>
      <c r="J17" s="1595"/>
      <c r="M17" s="469" t="s">
        <v>354</v>
      </c>
      <c r="N17" s="546">
        <f>'2. NK'!$J$13</f>
        <v>42466</v>
      </c>
      <c r="O17" s="466"/>
      <c r="P17" s="466"/>
      <c r="Q17" s="466"/>
    </row>
    <row r="18" spans="1:232" ht="20.100000000000001" customHeight="1">
      <c r="A18" s="1595" t="s">
        <v>907</v>
      </c>
      <c r="B18" s="1595"/>
      <c r="C18" s="1595"/>
      <c r="D18" s="1595"/>
      <c r="E18" s="1595"/>
      <c r="F18" s="1595" t="s">
        <v>908</v>
      </c>
      <c r="G18" s="1595"/>
      <c r="H18" s="1595"/>
      <c r="I18" s="1595"/>
      <c r="J18" s="1595"/>
      <c r="L18" s="541"/>
      <c r="N18" s="473"/>
      <c r="O18" s="466" t="s">
        <v>94</v>
      </c>
      <c r="P18" s="466"/>
      <c r="Q18" s="466"/>
    </row>
    <row r="19" spans="1:232" ht="20.100000000000001" customHeight="1">
      <c r="A19" s="1604" t="s">
        <v>861</v>
      </c>
      <c r="B19" s="1604"/>
      <c r="C19" s="1604"/>
      <c r="D19" s="1604"/>
      <c r="E19" s="1604"/>
      <c r="F19" s="1604"/>
      <c r="G19" s="1604"/>
      <c r="H19" s="1604"/>
      <c r="I19" s="1604"/>
      <c r="J19" s="1604"/>
      <c r="K19" s="5"/>
      <c r="L19" s="5"/>
      <c r="M19" s="5"/>
      <c r="N19" s="5"/>
      <c r="O19" s="487"/>
      <c r="P19" s="479"/>
      <c r="Q19" s="479"/>
    </row>
    <row r="20" spans="1:232" ht="20.100000000000001" customHeight="1">
      <c r="A20" s="1595" t="s">
        <v>907</v>
      </c>
      <c r="B20" s="1595"/>
      <c r="C20" s="1595"/>
      <c r="D20" s="1595"/>
      <c r="E20" s="1595"/>
      <c r="F20" s="1595" t="s">
        <v>909</v>
      </c>
      <c r="G20" s="1595"/>
      <c r="H20" s="1595"/>
      <c r="I20" s="1595"/>
      <c r="J20" s="1595"/>
      <c r="K20" s="5"/>
      <c r="L20" s="5"/>
      <c r="M20" s="5"/>
      <c r="N20" s="5"/>
      <c r="O20" s="487"/>
      <c r="P20" s="479"/>
      <c r="Q20" s="479"/>
    </row>
    <row r="21" spans="1:232" ht="20.100000000000001" customHeight="1">
      <c r="A21" s="1595" t="s">
        <v>907</v>
      </c>
      <c r="B21" s="1595"/>
      <c r="C21" s="1595"/>
      <c r="D21" s="1595"/>
      <c r="E21" s="1595"/>
      <c r="F21" s="1595" t="s">
        <v>908</v>
      </c>
      <c r="G21" s="1595"/>
      <c r="H21" s="1595"/>
      <c r="I21" s="1595"/>
      <c r="J21" s="1595"/>
      <c r="K21" s="5"/>
      <c r="L21" s="5"/>
      <c r="M21" s="5"/>
      <c r="N21" s="5"/>
      <c r="O21" s="492"/>
      <c r="P21" s="479"/>
      <c r="Q21" s="479"/>
    </row>
    <row r="22" spans="1:232" s="175" customFormat="1" ht="20.100000000000001" customHeight="1">
      <c r="A22" s="1596" t="str">
        <f>'7'!A140:J140</f>
        <v>III./ THỜI GIAN NGHIỆM THU:</v>
      </c>
      <c r="B22" s="1596"/>
      <c r="C22" s="1596"/>
      <c r="D22" s="1596"/>
      <c r="E22" s="1596"/>
      <c r="F22" s="1596"/>
      <c r="G22" s="1596"/>
      <c r="H22" s="1596"/>
      <c r="I22" s="1596"/>
      <c r="J22" s="1596"/>
      <c r="K22" s="5"/>
      <c r="L22" s="5"/>
      <c r="M22" s="5"/>
      <c r="N22" s="5"/>
      <c r="O22" s="492"/>
      <c r="P22" s="467"/>
      <c r="Q22" s="464"/>
      <c r="R22" s="464"/>
      <c r="S22" s="464"/>
    </row>
    <row r="23" spans="1:232" ht="20.100000000000001" customHeight="1">
      <c r="A23" s="477" t="str">
        <f>'8.BBCT'!A138</f>
        <v xml:space="preserve">Bắt đầu nghiệm thu:    </v>
      </c>
      <c r="B23" s="477"/>
      <c r="C23" s="477"/>
      <c r="D23" s="942">
        <f>N10</f>
        <v>0.40277777777777773</v>
      </c>
      <c r="E23" s="1603" t="str">
        <f>'7'!E22</f>
        <v>, ngày…..tháng…..năm 2016</v>
      </c>
      <c r="F23" s="1603"/>
      <c r="G23" s="1603"/>
      <c r="H23" s="1603"/>
      <c r="I23" s="1603"/>
      <c r="J23" s="1603"/>
      <c r="N23" s="5"/>
      <c r="O23" s="492"/>
      <c r="P23" s="467"/>
      <c r="S23" s="175"/>
    </row>
    <row r="24" spans="1:232" ht="20.100000000000001" customHeight="1">
      <c r="A24" s="477" t="str">
        <f>'8.BBCT'!A139</f>
        <v xml:space="preserve">Kết thúc nghiệm thu: </v>
      </c>
      <c r="B24" s="477"/>
      <c r="C24" s="477"/>
      <c r="D24" s="942">
        <f>N10+O11</f>
        <v>0.40393518518518512</v>
      </c>
      <c r="E24" s="1603" t="str">
        <f>E23</f>
        <v>, ngày…..tháng…..năm 2016</v>
      </c>
      <c r="F24" s="1603"/>
      <c r="G24" s="1603"/>
      <c r="H24" s="1603"/>
      <c r="I24" s="1603"/>
      <c r="J24" s="1603"/>
      <c r="O24" s="492"/>
      <c r="P24" s="467"/>
      <c r="Q24" s="467"/>
    </row>
    <row r="25" spans="1:232" ht="20.100000000000001" customHeight="1">
      <c r="A25" s="767" t="s">
        <v>99</v>
      </c>
      <c r="B25" s="477" t="str">
        <f>'[6]4. BBKT-VL-PO'!B24:J24</f>
        <v>Công trình: Khu hỗn hợp chung cư, văn phòng, trung tâm thương mại.</v>
      </c>
      <c r="C25" s="489"/>
      <c r="D25" s="489"/>
      <c r="E25" s="489"/>
      <c r="F25" s="489"/>
      <c r="G25" s="489"/>
      <c r="H25" s="489"/>
      <c r="I25" s="489"/>
      <c r="J25" s="489"/>
      <c r="O25" s="477"/>
      <c r="P25" s="467"/>
      <c r="Q25" s="467"/>
    </row>
    <row r="26" spans="1:232" ht="20.100000000000001" customHeight="1">
      <c r="A26" s="1596" t="s">
        <v>441</v>
      </c>
      <c r="B26" s="1596"/>
      <c r="C26" s="1596"/>
      <c r="D26" s="1596"/>
      <c r="E26" s="1596"/>
      <c r="F26" s="1596"/>
      <c r="G26" s="1596"/>
      <c r="H26" s="1596"/>
      <c r="I26" s="1596"/>
      <c r="J26" s="1596"/>
      <c r="O26" s="492"/>
      <c r="P26" s="467"/>
    </row>
    <row r="27" spans="1:232" s="175" customFormat="1" ht="20.100000000000001" customHeight="1">
      <c r="A27" s="1604" t="s">
        <v>101</v>
      </c>
      <c r="B27" s="1604"/>
      <c r="C27" s="1604"/>
      <c r="D27" s="1604"/>
      <c r="E27" s="1604"/>
      <c r="F27" s="1604"/>
      <c r="G27" s="1604"/>
      <c r="H27" s="1604"/>
      <c r="I27" s="1604"/>
      <c r="J27" s="1604"/>
      <c r="K27" s="463"/>
      <c r="L27" s="463"/>
      <c r="M27" s="464"/>
      <c r="N27" s="464"/>
      <c r="O27" s="495"/>
      <c r="P27" s="467"/>
      <c r="Q27" s="467"/>
      <c r="R27" s="464"/>
      <c r="S27" s="464"/>
    </row>
    <row r="28" spans="1:232" ht="20.100000000000001" customHeight="1">
      <c r="A28" s="1595" t="s">
        <v>862</v>
      </c>
      <c r="B28" s="1595"/>
      <c r="C28" s="1595"/>
      <c r="D28" s="1595"/>
      <c r="E28" s="1595"/>
      <c r="F28" s="1595"/>
      <c r="G28" s="1595"/>
      <c r="H28" s="1595"/>
      <c r="I28" s="1595"/>
      <c r="J28" s="1595"/>
      <c r="O28" s="495"/>
      <c r="P28" s="467"/>
      <c r="R28" s="175"/>
      <c r="S28" s="175"/>
    </row>
    <row r="29" spans="1:232" ht="20.100000000000001" customHeight="1">
      <c r="A29" s="1679" t="str">
        <f>'8.BBCT'!A144:J144</f>
        <v>-    Hồ sơ thiết kế bản vẽ thi công đã được phê duyệt.</v>
      </c>
      <c r="B29" s="1679"/>
      <c r="C29" s="1679"/>
      <c r="D29" s="1679"/>
      <c r="E29" s="1679"/>
      <c r="F29" s="1679"/>
      <c r="G29" s="1679"/>
      <c r="H29" s="1679"/>
      <c r="I29" s="1679"/>
      <c r="J29" s="1679"/>
      <c r="O29" s="495"/>
      <c r="P29" s="467"/>
    </row>
    <row r="30" spans="1:232" s="637" customFormat="1" ht="20.100000000000001" customHeight="1">
      <c r="A30" s="486" t="s">
        <v>104</v>
      </c>
      <c r="B30" s="477"/>
      <c r="C30" s="477"/>
      <c r="D30" s="477"/>
      <c r="E30" s="477"/>
      <c r="F30" s="477"/>
      <c r="G30" s="477"/>
      <c r="H30" s="477"/>
      <c r="I30" s="477"/>
      <c r="J30" s="477"/>
      <c r="K30" s="463"/>
      <c r="L30" s="463"/>
      <c r="M30" s="464"/>
      <c r="N30" s="464"/>
      <c r="O30" s="464"/>
      <c r="P30" s="467"/>
      <c r="Q30" s="464"/>
      <c r="R30" s="464"/>
      <c r="S30" s="464"/>
      <c r="T30" s="487"/>
      <c r="U30" s="487"/>
      <c r="V30" s="487"/>
      <c r="W30" s="487"/>
      <c r="X30" s="487"/>
      <c r="Y30" s="487"/>
      <c r="Z30" s="487"/>
      <c r="AA30" s="487"/>
      <c r="AB30" s="487"/>
      <c r="AC30" s="487"/>
      <c r="AD30" s="487"/>
      <c r="AE30" s="487"/>
      <c r="AF30" s="487"/>
      <c r="AG30" s="487"/>
      <c r="AH30" s="487"/>
      <c r="AI30" s="487"/>
      <c r="AJ30" s="487"/>
      <c r="AK30" s="487"/>
      <c r="AL30" s="487"/>
      <c r="AM30" s="487"/>
      <c r="AN30" s="487"/>
      <c r="AO30" s="487"/>
      <c r="AP30" s="487"/>
      <c r="AQ30" s="487"/>
      <c r="AR30" s="487"/>
      <c r="AS30" s="487"/>
      <c r="AT30" s="487"/>
      <c r="AU30" s="487"/>
      <c r="AV30" s="487"/>
      <c r="AW30" s="487"/>
      <c r="AX30" s="487"/>
      <c r="AY30" s="487"/>
      <c r="AZ30" s="487"/>
      <c r="BA30" s="487"/>
      <c r="BB30" s="487"/>
      <c r="BC30" s="487"/>
      <c r="BD30" s="487"/>
      <c r="BE30" s="487"/>
      <c r="BF30" s="487"/>
      <c r="BG30" s="487"/>
      <c r="BH30" s="487"/>
      <c r="BI30" s="487"/>
      <c r="BJ30" s="487"/>
      <c r="BK30" s="487"/>
      <c r="BL30" s="487"/>
      <c r="BM30" s="487"/>
      <c r="BN30" s="487"/>
      <c r="BO30" s="487"/>
      <c r="BP30" s="487"/>
      <c r="BQ30" s="487"/>
      <c r="BR30" s="487"/>
      <c r="BS30" s="487"/>
      <c r="BT30" s="487"/>
      <c r="BU30" s="487"/>
      <c r="BV30" s="487"/>
      <c r="BW30" s="487"/>
      <c r="BX30" s="487"/>
      <c r="BY30" s="487"/>
      <c r="BZ30" s="487"/>
      <c r="CA30" s="487"/>
      <c r="CB30" s="487"/>
      <c r="CC30" s="487"/>
      <c r="CD30" s="487"/>
      <c r="CE30" s="487"/>
      <c r="CF30" s="487"/>
      <c r="CG30" s="487"/>
      <c r="CH30" s="487"/>
      <c r="CI30" s="487"/>
      <c r="CJ30" s="487"/>
      <c r="CK30" s="487"/>
      <c r="CL30" s="487"/>
      <c r="CM30" s="487"/>
      <c r="CN30" s="487"/>
      <c r="CO30" s="487"/>
      <c r="CP30" s="487"/>
      <c r="CQ30" s="487"/>
      <c r="CR30" s="487"/>
      <c r="CS30" s="487"/>
      <c r="CT30" s="487"/>
      <c r="CU30" s="487"/>
      <c r="CV30" s="487"/>
      <c r="CW30" s="487"/>
      <c r="CX30" s="487"/>
      <c r="CY30" s="487"/>
      <c r="CZ30" s="487"/>
      <c r="DA30" s="487"/>
      <c r="DB30" s="487"/>
      <c r="DC30" s="487"/>
      <c r="DD30" s="487"/>
      <c r="DE30" s="487"/>
      <c r="DF30" s="487"/>
      <c r="DG30" s="487"/>
      <c r="DH30" s="487"/>
      <c r="DI30" s="487"/>
      <c r="DJ30" s="487"/>
      <c r="DK30" s="487"/>
      <c r="DL30" s="487"/>
      <c r="DM30" s="487"/>
      <c r="DN30" s="487"/>
      <c r="DO30" s="487"/>
      <c r="DP30" s="487"/>
      <c r="DQ30" s="487"/>
      <c r="DR30" s="487"/>
      <c r="DS30" s="487"/>
      <c r="DT30" s="487"/>
      <c r="DU30" s="487"/>
      <c r="DV30" s="487"/>
      <c r="DW30" s="487"/>
      <c r="DX30" s="487"/>
      <c r="DY30" s="487"/>
      <c r="DZ30" s="487"/>
      <c r="EA30" s="487"/>
      <c r="EB30" s="487"/>
      <c r="EC30" s="487"/>
      <c r="ED30" s="487"/>
      <c r="EE30" s="487"/>
      <c r="EF30" s="487"/>
      <c r="EG30" s="487"/>
      <c r="EH30" s="487"/>
      <c r="EI30" s="487"/>
      <c r="EJ30" s="487"/>
      <c r="EK30" s="487"/>
      <c r="EL30" s="487"/>
      <c r="EM30" s="487"/>
      <c r="EN30" s="487"/>
      <c r="EO30" s="487"/>
      <c r="EP30" s="487"/>
      <c r="EQ30" s="487"/>
      <c r="ER30" s="487"/>
      <c r="ES30" s="487"/>
      <c r="ET30" s="487"/>
      <c r="EU30" s="487"/>
      <c r="EV30" s="487"/>
      <c r="EW30" s="487"/>
      <c r="EX30" s="487"/>
      <c r="EY30" s="487"/>
      <c r="EZ30" s="487"/>
      <c r="FA30" s="487"/>
      <c r="FB30" s="487"/>
      <c r="FC30" s="487"/>
      <c r="FD30" s="487"/>
      <c r="FE30" s="487"/>
      <c r="FF30" s="487"/>
      <c r="FG30" s="487"/>
      <c r="FH30" s="487"/>
      <c r="FI30" s="487"/>
      <c r="FJ30" s="487"/>
      <c r="FK30" s="487"/>
      <c r="FL30" s="487"/>
      <c r="FM30" s="487"/>
      <c r="FN30" s="487"/>
      <c r="FO30" s="487"/>
      <c r="FP30" s="487"/>
      <c r="FQ30" s="487"/>
      <c r="FR30" s="487"/>
      <c r="FS30" s="487"/>
      <c r="FT30" s="487"/>
      <c r="FU30" s="487"/>
      <c r="FV30" s="487"/>
      <c r="FW30" s="487"/>
      <c r="FX30" s="487"/>
      <c r="FY30" s="487"/>
      <c r="FZ30" s="487"/>
      <c r="GA30" s="487"/>
      <c r="GB30" s="487"/>
      <c r="GC30" s="487"/>
      <c r="GD30" s="487"/>
      <c r="GE30" s="487"/>
      <c r="GF30" s="487"/>
      <c r="GG30" s="487"/>
      <c r="GH30" s="487"/>
      <c r="GI30" s="487"/>
      <c r="GJ30" s="487"/>
      <c r="GK30" s="487"/>
      <c r="GL30" s="487"/>
      <c r="GM30" s="487"/>
      <c r="GN30" s="487"/>
      <c r="GO30" s="487"/>
      <c r="GP30" s="487"/>
      <c r="GQ30" s="487"/>
      <c r="GR30" s="487"/>
      <c r="GS30" s="487"/>
      <c r="GT30" s="487"/>
      <c r="GU30" s="487"/>
      <c r="GV30" s="487"/>
      <c r="GW30" s="487"/>
      <c r="GX30" s="487"/>
      <c r="GY30" s="487"/>
      <c r="GZ30" s="487"/>
      <c r="HA30" s="487"/>
      <c r="HB30" s="487"/>
      <c r="HC30" s="487"/>
      <c r="HD30" s="487"/>
      <c r="HE30" s="487"/>
      <c r="HF30" s="487"/>
      <c r="HG30" s="487"/>
      <c r="HH30" s="487"/>
      <c r="HI30" s="487"/>
      <c r="HJ30" s="487"/>
      <c r="HK30" s="487"/>
      <c r="HL30" s="487"/>
      <c r="HM30" s="487"/>
      <c r="HN30" s="487"/>
      <c r="HO30" s="487"/>
      <c r="HP30" s="487"/>
      <c r="HQ30" s="487"/>
      <c r="HR30" s="487"/>
      <c r="HS30" s="487"/>
      <c r="HT30" s="487"/>
      <c r="HU30" s="487"/>
      <c r="HV30" s="487"/>
      <c r="HW30" s="487"/>
      <c r="HX30" s="487"/>
    </row>
    <row r="31" spans="1:232" s="637" customFormat="1" ht="20.100000000000001" customHeight="1">
      <c r="A31" s="885" t="str">
        <f>'8.BBCT'!A146</f>
        <v>+</v>
      </c>
      <c r="B31" s="477" t="str">
        <f>'8.BBCT'!B146</f>
        <v>TCVN 5637 - 1991 : Quản lý chất lượng xây lắp công trình. Nguyên tắc cơ bản;</v>
      </c>
      <c r="C31" s="477"/>
      <c r="D31" s="477"/>
      <c r="E31" s="477"/>
      <c r="F31" s="477"/>
      <c r="G31" s="477"/>
      <c r="H31" s="477"/>
      <c r="I31" s="477"/>
      <c r="J31" s="477"/>
      <c r="K31" s="463"/>
      <c r="L31" s="463"/>
      <c r="M31" s="464"/>
      <c r="N31" s="464"/>
      <c r="O31" s="464"/>
      <c r="P31" s="467"/>
      <c r="Q31" s="464"/>
      <c r="R31" s="487"/>
      <c r="S31" s="487"/>
      <c r="T31" s="487"/>
      <c r="U31" s="489"/>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7"/>
    </row>
    <row r="32" spans="1:232" s="637" customFormat="1" ht="20.100000000000001" customHeight="1">
      <c r="A32" s="885" t="str">
        <f>'8.BBCT'!A147</f>
        <v>+</v>
      </c>
      <c r="B32" s="477" t="str">
        <f>'8.BBCT'!B147</f>
        <v>TCVN 4055-2012 : Tổ chức thi công;</v>
      </c>
      <c r="C32" s="477"/>
      <c r="D32" s="477"/>
      <c r="E32" s="477"/>
      <c r="F32" s="477"/>
      <c r="G32" s="477"/>
      <c r="H32" s="477"/>
      <c r="I32" s="477"/>
      <c r="J32" s="477"/>
      <c r="K32" s="463"/>
      <c r="L32" s="463"/>
      <c r="M32" s="464"/>
      <c r="N32" s="464"/>
      <c r="O32" s="495"/>
      <c r="P32" s="487"/>
      <c r="Q32" s="487"/>
      <c r="R32" s="487"/>
      <c r="S32" s="487"/>
      <c r="T32" s="477"/>
      <c r="U32" s="489"/>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7"/>
    </row>
    <row r="33" spans="1:232" s="637" customFormat="1" ht="19.5" customHeight="1">
      <c r="A33" s="885" t="str">
        <f>'8.BBCT'!A148</f>
        <v>+</v>
      </c>
      <c r="B33" s="477" t="str">
        <f>'8.BBCT'!B148</f>
        <v>TCVN 4453-1995: Kết cấu bê tông và bê tông cốt thép toàn khối;</v>
      </c>
      <c r="C33" s="891"/>
      <c r="D33" s="891"/>
      <c r="E33" s="891"/>
      <c r="F33" s="891"/>
      <c r="G33" s="891"/>
      <c r="H33" s="891"/>
      <c r="I33" s="891"/>
      <c r="J33" s="891"/>
      <c r="K33" s="463"/>
      <c r="L33" s="463"/>
      <c r="M33" s="464"/>
      <c r="N33" s="464"/>
      <c r="O33" s="504"/>
      <c r="P33" s="492"/>
      <c r="Q33" s="492"/>
      <c r="R33" s="492"/>
      <c r="S33" s="492"/>
      <c r="T33" s="492"/>
      <c r="U33" s="489"/>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7"/>
    </row>
    <row r="34" spans="1:232" s="637" customFormat="1" ht="19.5" customHeight="1">
      <c r="A34" s="885" t="str">
        <f>'8.BBCT'!A149</f>
        <v>+</v>
      </c>
      <c r="B34" s="891" t="s">
        <v>1039</v>
      </c>
      <c r="C34" s="891"/>
      <c r="D34" s="891"/>
      <c r="E34" s="891"/>
      <c r="F34" s="891"/>
      <c r="G34" s="891"/>
      <c r="H34" s="891"/>
      <c r="I34" s="891"/>
      <c r="J34" s="891"/>
      <c r="K34" s="463"/>
      <c r="L34" s="463"/>
      <c r="M34" s="464"/>
      <c r="N34" s="464"/>
      <c r="O34" s="406"/>
      <c r="P34" s="492"/>
      <c r="Q34" s="492"/>
      <c r="R34" s="492"/>
      <c r="S34" s="492"/>
      <c r="T34" s="492"/>
      <c r="U34" s="489"/>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7"/>
    </row>
    <row r="35" spans="1:232" s="637" customFormat="1" ht="19.5" customHeight="1">
      <c r="A35" s="885" t="s">
        <v>1027</v>
      </c>
      <c r="B35" s="1602" t="s">
        <v>1036</v>
      </c>
      <c r="C35" s="1602"/>
      <c r="D35" s="1602"/>
      <c r="E35" s="1602"/>
      <c r="F35" s="1602"/>
      <c r="G35" s="1602"/>
      <c r="H35" s="1602"/>
      <c r="I35" s="1602"/>
      <c r="J35" s="1602"/>
      <c r="K35" s="463"/>
      <c r="L35" s="463"/>
      <c r="M35" s="464"/>
      <c r="N35" s="464"/>
      <c r="O35" s="406"/>
      <c r="P35" s="492"/>
      <c r="Q35" s="492"/>
      <c r="R35" s="492"/>
      <c r="S35" s="492"/>
      <c r="T35" s="492"/>
      <c r="U35" s="489"/>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7"/>
    </row>
    <row r="36" spans="1:232" s="637" customFormat="1" ht="19.5" customHeight="1">
      <c r="A36" s="885" t="s">
        <v>1027</v>
      </c>
      <c r="B36" s="1602" t="s">
        <v>1045</v>
      </c>
      <c r="C36" s="1602"/>
      <c r="D36" s="1602"/>
      <c r="E36" s="1602"/>
      <c r="F36" s="1602"/>
      <c r="G36" s="1602"/>
      <c r="H36" s="1602"/>
      <c r="I36" s="1602"/>
      <c r="J36" s="1602"/>
      <c r="K36" s="463"/>
      <c r="L36" s="463"/>
      <c r="M36" s="464"/>
      <c r="N36" s="464"/>
      <c r="O36" s="406"/>
      <c r="P36" s="492"/>
      <c r="Q36" s="492"/>
      <c r="R36" s="492"/>
      <c r="S36" s="492"/>
      <c r="T36" s="492"/>
      <c r="U36" s="489"/>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7"/>
    </row>
    <row r="37" spans="1:232" s="637" customFormat="1" ht="19.5" customHeight="1">
      <c r="A37" s="885" t="s">
        <v>1027</v>
      </c>
      <c r="B37" s="917" t="str">
        <f>'7'!B153</f>
        <v>TCVN 5308 - 1991: Quy trình kỹ thuật an toàn trong xây dựng.</v>
      </c>
      <c r="C37" s="742"/>
      <c r="D37" s="742"/>
      <c r="E37" s="742"/>
      <c r="F37" s="742"/>
      <c r="G37" s="742"/>
      <c r="H37" s="742"/>
      <c r="I37" s="742"/>
      <c r="J37" s="742"/>
      <c r="K37" s="463"/>
      <c r="L37" s="463"/>
      <c r="M37" s="464"/>
      <c r="N37" s="464"/>
      <c r="O37" s="406"/>
      <c r="P37" s="492"/>
      <c r="Q37" s="492"/>
      <c r="R37" s="492"/>
      <c r="S37" s="492"/>
      <c r="T37" s="492"/>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7"/>
    </row>
    <row r="38" spans="1:232" s="637" customFormat="1" ht="20.100000000000001" customHeight="1">
      <c r="A38" s="886" t="s">
        <v>1031</v>
      </c>
      <c r="C38" s="491"/>
      <c r="D38" s="491"/>
      <c r="E38" s="491"/>
      <c r="F38" s="491"/>
      <c r="G38" s="491"/>
      <c r="H38" s="491"/>
      <c r="I38" s="491"/>
      <c r="J38" s="491"/>
      <c r="K38" s="463"/>
      <c r="L38" s="463"/>
      <c r="M38" s="464"/>
      <c r="N38" s="464"/>
      <c r="O38" s="405"/>
      <c r="P38" s="477"/>
      <c r="Q38" s="477"/>
      <c r="R38" s="477"/>
      <c r="S38" s="477"/>
      <c r="T38" s="492"/>
      <c r="U38" s="489"/>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89"/>
      <c r="BC38" s="489"/>
      <c r="BD38" s="489"/>
      <c r="BE38" s="489"/>
      <c r="BF38" s="489"/>
      <c r="BG38" s="489"/>
      <c r="BH38" s="489"/>
      <c r="BI38" s="489"/>
      <c r="BJ38" s="489"/>
      <c r="BK38" s="489"/>
      <c r="BL38" s="489"/>
      <c r="BM38" s="489"/>
      <c r="BN38" s="489"/>
      <c r="BO38" s="489"/>
      <c r="BP38" s="489"/>
      <c r="BQ38" s="489"/>
      <c r="BR38" s="489"/>
      <c r="BS38" s="489"/>
      <c r="BT38" s="489"/>
      <c r="BU38" s="489"/>
      <c r="BV38" s="489"/>
      <c r="BW38" s="489"/>
      <c r="BX38" s="489"/>
      <c r="BY38" s="489"/>
      <c r="BZ38" s="489"/>
      <c r="CA38" s="489"/>
      <c r="CB38" s="489"/>
      <c r="CC38" s="489"/>
      <c r="CD38" s="489"/>
      <c r="CE38" s="489"/>
      <c r="CF38" s="489"/>
      <c r="CG38" s="489"/>
      <c r="CH38" s="489"/>
      <c r="CI38" s="489"/>
      <c r="CJ38" s="489"/>
      <c r="CK38" s="489"/>
      <c r="CL38" s="489"/>
      <c r="CM38" s="489"/>
      <c r="CN38" s="489"/>
      <c r="CO38" s="489"/>
      <c r="CP38" s="489"/>
      <c r="CQ38" s="489"/>
      <c r="CR38" s="489"/>
      <c r="CS38" s="489"/>
      <c r="CT38" s="489"/>
      <c r="CU38" s="489"/>
      <c r="CV38" s="489"/>
      <c r="CW38" s="489"/>
      <c r="CX38" s="489"/>
      <c r="CY38" s="489"/>
      <c r="CZ38" s="489"/>
      <c r="DA38" s="489"/>
      <c r="DB38" s="489"/>
      <c r="DC38" s="489"/>
      <c r="DD38" s="489"/>
      <c r="DE38" s="489"/>
      <c r="DF38" s="489"/>
      <c r="DG38" s="489"/>
      <c r="DH38" s="489"/>
      <c r="DI38" s="489"/>
      <c r="DJ38" s="489"/>
      <c r="DK38" s="489"/>
      <c r="DL38" s="489"/>
      <c r="DM38" s="489"/>
      <c r="DN38" s="489"/>
      <c r="DO38" s="489"/>
      <c r="DP38" s="489"/>
      <c r="DQ38" s="489"/>
      <c r="DR38" s="489"/>
      <c r="DS38" s="489"/>
      <c r="DT38" s="489"/>
      <c r="DU38" s="489"/>
      <c r="DV38" s="489"/>
      <c r="DW38" s="489"/>
      <c r="DX38" s="489"/>
      <c r="DY38" s="489"/>
      <c r="DZ38" s="489"/>
      <c r="EA38" s="489"/>
      <c r="EB38" s="489"/>
      <c r="EC38" s="489"/>
      <c r="ED38" s="489"/>
      <c r="EE38" s="489"/>
      <c r="EF38" s="489"/>
      <c r="EG38" s="489"/>
      <c r="EH38" s="489"/>
      <c r="EI38" s="489"/>
      <c r="EJ38" s="489"/>
      <c r="EK38" s="489"/>
      <c r="EL38" s="489"/>
      <c r="EM38" s="489"/>
      <c r="EN38" s="489"/>
      <c r="EO38" s="489"/>
      <c r="EP38" s="489"/>
      <c r="EQ38" s="489"/>
      <c r="ER38" s="489"/>
      <c r="ES38" s="489"/>
      <c r="ET38" s="489"/>
      <c r="EU38" s="489"/>
      <c r="EV38" s="489"/>
      <c r="EW38" s="489"/>
      <c r="EX38" s="489"/>
      <c r="EY38" s="489"/>
      <c r="EZ38" s="489"/>
      <c r="FA38" s="489"/>
      <c r="FB38" s="489"/>
      <c r="FC38" s="489"/>
      <c r="FD38" s="489"/>
      <c r="FE38" s="489"/>
      <c r="FF38" s="489"/>
      <c r="FG38" s="489"/>
      <c r="FH38" s="489"/>
      <c r="FI38" s="489"/>
      <c r="FJ38" s="489"/>
      <c r="FK38" s="489"/>
      <c r="FL38" s="489"/>
      <c r="FM38" s="489"/>
      <c r="FN38" s="489"/>
      <c r="FO38" s="489"/>
      <c r="FP38" s="489"/>
      <c r="FQ38" s="489"/>
      <c r="FR38" s="489"/>
      <c r="FS38" s="489"/>
      <c r="FT38" s="489"/>
      <c r="FU38" s="489"/>
      <c r="FV38" s="489"/>
      <c r="FW38" s="489"/>
      <c r="FX38" s="489"/>
      <c r="FY38" s="489"/>
      <c r="FZ38" s="489"/>
      <c r="GA38" s="489"/>
      <c r="GB38" s="489"/>
      <c r="GC38" s="489"/>
      <c r="GD38" s="489"/>
      <c r="GE38" s="489"/>
      <c r="GF38" s="489"/>
      <c r="GG38" s="489"/>
      <c r="GH38" s="489"/>
      <c r="GI38" s="489"/>
      <c r="GJ38" s="489"/>
      <c r="GK38" s="489"/>
      <c r="GL38" s="489"/>
      <c r="GM38" s="489"/>
      <c r="GN38" s="489"/>
      <c r="GO38" s="489"/>
      <c r="GP38" s="489"/>
      <c r="GQ38" s="489"/>
      <c r="GR38" s="489"/>
      <c r="GS38" s="489"/>
      <c r="GT38" s="489"/>
      <c r="GU38" s="489"/>
      <c r="GV38" s="489"/>
      <c r="GW38" s="489"/>
      <c r="GX38" s="489"/>
      <c r="GY38" s="489"/>
      <c r="GZ38" s="489"/>
      <c r="HA38" s="489"/>
      <c r="HB38" s="489"/>
      <c r="HC38" s="489"/>
      <c r="HD38" s="489"/>
      <c r="HE38" s="489"/>
      <c r="HF38" s="489"/>
      <c r="HG38" s="489"/>
      <c r="HH38" s="489"/>
      <c r="HI38" s="489"/>
      <c r="HJ38" s="489"/>
      <c r="HK38" s="489"/>
      <c r="HL38" s="489"/>
      <c r="HM38" s="489"/>
      <c r="HN38" s="489"/>
      <c r="HO38" s="489"/>
      <c r="HP38" s="489"/>
      <c r="HQ38" s="489"/>
      <c r="HR38" s="489"/>
      <c r="HS38" s="489"/>
      <c r="HT38" s="489"/>
      <c r="HU38" s="489"/>
      <c r="HV38" s="489"/>
      <c r="HW38" s="489"/>
      <c r="HX38" s="487"/>
    </row>
    <row r="39" spans="1:232" s="637" customFormat="1" ht="20.100000000000001" customHeight="1">
      <c r="A39" s="890" t="s">
        <v>1037</v>
      </c>
      <c r="B39" s="491"/>
      <c r="C39" s="491"/>
      <c r="D39" s="491"/>
      <c r="E39" s="491"/>
      <c r="F39" s="491"/>
      <c r="G39" s="491"/>
      <c r="H39" s="491"/>
      <c r="I39" s="491"/>
      <c r="J39" s="491"/>
      <c r="K39" s="463"/>
      <c r="L39" s="463"/>
      <c r="M39" s="464"/>
      <c r="N39" s="464"/>
      <c r="O39" s="405"/>
      <c r="P39" s="477"/>
      <c r="Q39" s="477"/>
      <c r="R39" s="477"/>
      <c r="S39" s="477"/>
      <c r="T39" s="492"/>
      <c r="U39" s="489"/>
      <c r="V39" s="489"/>
      <c r="W39" s="489"/>
      <c r="X39" s="489"/>
      <c r="Y39" s="489"/>
      <c r="Z39" s="489"/>
      <c r="AA39" s="489"/>
      <c r="AB39" s="489"/>
      <c r="AC39" s="489"/>
      <c r="AD39" s="489"/>
      <c r="AE39" s="489"/>
      <c r="AF39" s="489"/>
      <c r="AG39" s="489"/>
      <c r="AH39" s="489"/>
      <c r="AI39" s="489"/>
      <c r="AJ39" s="489"/>
      <c r="AK39" s="489"/>
      <c r="AL39" s="489"/>
      <c r="AM39" s="489"/>
      <c r="AN39" s="489"/>
      <c r="AO39" s="489"/>
      <c r="AP39" s="489"/>
      <c r="AQ39" s="489"/>
      <c r="AR39" s="489"/>
      <c r="AS39" s="489"/>
      <c r="AT39" s="489"/>
      <c r="AU39" s="489"/>
      <c r="AV39" s="489"/>
      <c r="AW39" s="489"/>
      <c r="AX39" s="489"/>
      <c r="AY39" s="489"/>
      <c r="AZ39" s="489"/>
      <c r="BA39" s="489"/>
      <c r="BB39" s="489"/>
      <c r="BC39" s="489"/>
      <c r="BD39" s="489"/>
      <c r="BE39" s="489"/>
      <c r="BF39" s="489"/>
      <c r="BG39" s="489"/>
      <c r="BH39" s="489"/>
      <c r="BI39" s="489"/>
      <c r="BJ39" s="489"/>
      <c r="BK39" s="489"/>
      <c r="BL39" s="489"/>
      <c r="BM39" s="489"/>
      <c r="BN39" s="489"/>
      <c r="BO39" s="489"/>
      <c r="BP39" s="489"/>
      <c r="BQ39" s="489"/>
      <c r="BR39" s="489"/>
      <c r="BS39" s="489"/>
      <c r="BT39" s="489"/>
      <c r="BU39" s="489"/>
      <c r="BV39" s="489"/>
      <c r="BW39" s="489"/>
      <c r="BX39" s="489"/>
      <c r="BY39" s="489"/>
      <c r="BZ39" s="489"/>
      <c r="CA39" s="489"/>
      <c r="CB39" s="489"/>
      <c r="CC39" s="489"/>
      <c r="CD39" s="489"/>
      <c r="CE39" s="489"/>
      <c r="CF39" s="489"/>
      <c r="CG39" s="489"/>
      <c r="CH39" s="489"/>
      <c r="CI39" s="489"/>
      <c r="CJ39" s="489"/>
      <c r="CK39" s="489"/>
      <c r="CL39" s="489"/>
      <c r="CM39" s="489"/>
      <c r="CN39" s="489"/>
      <c r="CO39" s="489"/>
      <c r="CP39" s="489"/>
      <c r="CQ39" s="489"/>
      <c r="CR39" s="489"/>
      <c r="CS39" s="489"/>
      <c r="CT39" s="489"/>
      <c r="CU39" s="489"/>
      <c r="CV39" s="489"/>
      <c r="CW39" s="489"/>
      <c r="CX39" s="489"/>
      <c r="CY39" s="489"/>
      <c r="CZ39" s="489"/>
      <c r="DA39" s="489"/>
      <c r="DB39" s="489"/>
      <c r="DC39" s="489"/>
      <c r="DD39" s="489"/>
      <c r="DE39" s="489"/>
      <c r="DF39" s="489"/>
      <c r="DG39" s="489"/>
      <c r="DH39" s="489"/>
      <c r="DI39" s="489"/>
      <c r="DJ39" s="489"/>
      <c r="DK39" s="489"/>
      <c r="DL39" s="489"/>
      <c r="DM39" s="489"/>
      <c r="DN39" s="489"/>
      <c r="DO39" s="489"/>
      <c r="DP39" s="489"/>
      <c r="DQ39" s="489"/>
      <c r="DR39" s="489"/>
      <c r="DS39" s="489"/>
      <c r="DT39" s="489"/>
      <c r="DU39" s="489"/>
      <c r="DV39" s="489"/>
      <c r="DW39" s="489"/>
      <c r="DX39" s="489"/>
      <c r="DY39" s="489"/>
      <c r="DZ39" s="489"/>
      <c r="EA39" s="489"/>
      <c r="EB39" s="489"/>
      <c r="EC39" s="489"/>
      <c r="ED39" s="489"/>
      <c r="EE39" s="489"/>
      <c r="EF39" s="489"/>
      <c r="EG39" s="489"/>
      <c r="EH39" s="489"/>
      <c r="EI39" s="489"/>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89"/>
      <c r="FK39" s="489"/>
      <c r="FL39" s="489"/>
      <c r="FM39" s="489"/>
      <c r="FN39" s="489"/>
      <c r="FO39" s="489"/>
      <c r="FP39" s="489"/>
      <c r="FQ39" s="489"/>
      <c r="FR39" s="489"/>
      <c r="FS39" s="489"/>
      <c r="FT39" s="489"/>
      <c r="FU39" s="489"/>
      <c r="FV39" s="489"/>
      <c r="FW39" s="489"/>
      <c r="FX39" s="489"/>
      <c r="FY39" s="489"/>
      <c r="FZ39" s="489"/>
      <c r="GA39" s="489"/>
      <c r="GB39" s="489"/>
      <c r="GC39" s="489"/>
      <c r="GD39" s="489"/>
      <c r="GE39" s="489"/>
      <c r="GF39" s="489"/>
      <c r="GG39" s="489"/>
      <c r="GH39" s="489"/>
      <c r="GI39" s="489"/>
      <c r="GJ39" s="489"/>
      <c r="GK39" s="489"/>
      <c r="GL39" s="489"/>
      <c r="GM39" s="489"/>
      <c r="GN39" s="489"/>
      <c r="GO39" s="489"/>
      <c r="GP39" s="489"/>
      <c r="GQ39" s="489"/>
      <c r="GR39" s="489"/>
      <c r="GS39" s="489"/>
      <c r="GT39" s="489"/>
      <c r="GU39" s="489"/>
      <c r="GV39" s="489"/>
      <c r="GW39" s="489"/>
      <c r="GX39" s="489"/>
      <c r="GY39" s="489"/>
      <c r="GZ39" s="489"/>
      <c r="HA39" s="489"/>
      <c r="HB39" s="489"/>
      <c r="HC39" s="489"/>
      <c r="HD39" s="489"/>
      <c r="HE39" s="489"/>
      <c r="HF39" s="489"/>
      <c r="HG39" s="489"/>
      <c r="HH39" s="489"/>
      <c r="HI39" s="489"/>
      <c r="HJ39" s="489"/>
      <c r="HK39" s="489"/>
      <c r="HL39" s="489"/>
      <c r="HM39" s="489"/>
      <c r="HN39" s="489"/>
      <c r="HO39" s="489"/>
      <c r="HP39" s="489"/>
      <c r="HQ39" s="489"/>
      <c r="HR39" s="489"/>
      <c r="HS39" s="489"/>
      <c r="HT39" s="489"/>
      <c r="HU39" s="489"/>
      <c r="HV39" s="489"/>
      <c r="HW39" s="489"/>
      <c r="HX39" s="487"/>
    </row>
    <row r="40" spans="1:232" s="45" customFormat="1" ht="20.100000000000001" customHeight="1">
      <c r="A40" s="493" t="s">
        <v>1040</v>
      </c>
      <c r="B40" s="489"/>
      <c r="C40" s="489"/>
      <c r="D40" s="489"/>
      <c r="E40" s="489"/>
      <c r="F40" s="489"/>
      <c r="G40" s="489"/>
      <c r="H40" s="489"/>
      <c r="I40" s="489"/>
      <c r="J40" s="489"/>
      <c r="K40" s="463"/>
      <c r="L40" s="463"/>
      <c r="M40" s="464"/>
      <c r="N40" s="464"/>
      <c r="O40" s="405"/>
      <c r="P40" s="492"/>
      <c r="Q40" s="492"/>
      <c r="R40" s="492"/>
      <c r="S40" s="492"/>
      <c r="T40" s="495"/>
      <c r="U40" s="496"/>
      <c r="V40" s="496"/>
      <c r="W40" s="496"/>
      <c r="X40" s="496"/>
      <c r="Y40" s="496"/>
      <c r="Z40" s="496"/>
      <c r="AA40" s="496"/>
      <c r="AB40" s="496"/>
      <c r="AC40" s="496"/>
      <c r="AD40" s="496"/>
      <c r="AE40" s="496"/>
      <c r="AF40" s="496"/>
      <c r="AG40" s="496"/>
      <c r="AH40" s="496"/>
      <c r="AI40" s="496"/>
      <c r="AJ40" s="496"/>
      <c r="AK40" s="496"/>
      <c r="AL40" s="496"/>
      <c r="AM40" s="496"/>
      <c r="AN40" s="496"/>
      <c r="AO40" s="496"/>
      <c r="AP40" s="496"/>
      <c r="AQ40" s="496"/>
      <c r="AR40" s="496"/>
      <c r="AS40" s="496"/>
      <c r="AT40" s="496"/>
      <c r="AU40" s="496"/>
      <c r="AV40" s="496"/>
      <c r="AW40" s="496"/>
      <c r="AX40" s="496"/>
      <c r="AY40" s="496"/>
      <c r="AZ40" s="496"/>
      <c r="BA40" s="496"/>
      <c r="BB40" s="496"/>
      <c r="BC40" s="496"/>
      <c r="BD40" s="496"/>
      <c r="BE40" s="496"/>
      <c r="BF40" s="496"/>
      <c r="BG40" s="496"/>
      <c r="BH40" s="496"/>
      <c r="BI40" s="496"/>
      <c r="BJ40" s="496"/>
      <c r="BK40" s="496"/>
      <c r="BL40" s="496"/>
      <c r="BM40" s="496"/>
      <c r="BN40" s="496"/>
      <c r="BO40" s="496"/>
      <c r="BP40" s="496"/>
      <c r="BQ40" s="496"/>
      <c r="BR40" s="496"/>
      <c r="BS40" s="496"/>
      <c r="BT40" s="496"/>
      <c r="BU40" s="496"/>
      <c r="BV40" s="496"/>
      <c r="BW40" s="496"/>
      <c r="BX40" s="496"/>
      <c r="BY40" s="496"/>
      <c r="BZ40" s="496"/>
      <c r="CA40" s="496"/>
      <c r="CB40" s="496"/>
      <c r="CC40" s="496"/>
      <c r="CD40" s="496"/>
      <c r="CE40" s="496"/>
      <c r="CF40" s="496"/>
      <c r="CG40" s="496"/>
      <c r="CH40" s="496"/>
      <c r="CI40" s="496"/>
      <c r="CJ40" s="496"/>
      <c r="CK40" s="496"/>
      <c r="CL40" s="496"/>
      <c r="CM40" s="496"/>
      <c r="CN40" s="496"/>
      <c r="CO40" s="496"/>
      <c r="CP40" s="496"/>
      <c r="CQ40" s="496"/>
      <c r="CR40" s="496"/>
      <c r="CS40" s="496"/>
      <c r="CT40" s="496"/>
      <c r="CU40" s="496"/>
      <c r="CV40" s="496"/>
      <c r="CW40" s="496"/>
      <c r="CX40" s="496"/>
      <c r="CY40" s="496"/>
      <c r="CZ40" s="496"/>
      <c r="DA40" s="496"/>
      <c r="DB40" s="496"/>
      <c r="DC40" s="496"/>
      <c r="DD40" s="496"/>
      <c r="DE40" s="496"/>
      <c r="DF40" s="496"/>
      <c r="DG40" s="496"/>
      <c r="DH40" s="496"/>
      <c r="DI40" s="496"/>
      <c r="DJ40" s="496"/>
      <c r="DK40" s="496"/>
      <c r="DL40" s="496"/>
      <c r="DM40" s="496"/>
      <c r="DN40" s="496"/>
      <c r="DO40" s="496"/>
      <c r="DP40" s="496"/>
      <c r="DQ40" s="496"/>
      <c r="DR40" s="496"/>
      <c r="DS40" s="496"/>
      <c r="DT40" s="496"/>
      <c r="DU40" s="496"/>
      <c r="DV40" s="496"/>
      <c r="DW40" s="496"/>
      <c r="DX40" s="496"/>
      <c r="DY40" s="496"/>
      <c r="DZ40" s="496"/>
      <c r="EA40" s="496"/>
      <c r="EB40" s="496"/>
      <c r="EC40" s="496"/>
      <c r="ED40" s="496"/>
      <c r="EE40" s="496"/>
      <c r="EF40" s="496"/>
      <c r="EG40" s="496"/>
      <c r="EH40" s="496"/>
      <c r="EI40" s="496"/>
      <c r="EJ40" s="496"/>
      <c r="EK40" s="496"/>
      <c r="EL40" s="496"/>
      <c r="EM40" s="496"/>
      <c r="EN40" s="496"/>
      <c r="EO40" s="496"/>
      <c r="EP40" s="496"/>
      <c r="EQ40" s="496"/>
      <c r="ER40" s="496"/>
      <c r="ES40" s="496"/>
      <c r="ET40" s="496"/>
      <c r="EU40" s="496"/>
      <c r="EV40" s="496"/>
      <c r="EW40" s="496"/>
      <c r="EX40" s="496"/>
      <c r="EY40" s="496"/>
      <c r="EZ40" s="496"/>
      <c r="FA40" s="496"/>
      <c r="FB40" s="496"/>
      <c r="FC40" s="496"/>
      <c r="FD40" s="496"/>
      <c r="FE40" s="496"/>
      <c r="FF40" s="496"/>
      <c r="FG40" s="496"/>
      <c r="FH40" s="496"/>
      <c r="FI40" s="496"/>
      <c r="FJ40" s="496"/>
      <c r="FK40" s="496"/>
      <c r="FL40" s="496"/>
      <c r="FM40" s="496"/>
      <c r="FN40" s="496"/>
      <c r="FO40" s="496"/>
      <c r="FP40" s="496"/>
      <c r="FQ40" s="496"/>
      <c r="FR40" s="496"/>
      <c r="FS40" s="496"/>
      <c r="FT40" s="496"/>
      <c r="FU40" s="496"/>
      <c r="FV40" s="496"/>
      <c r="FW40" s="496"/>
      <c r="FX40" s="496"/>
      <c r="FY40" s="496"/>
      <c r="FZ40" s="496"/>
      <c r="GA40" s="496"/>
      <c r="GB40" s="496"/>
      <c r="GC40" s="496"/>
      <c r="GD40" s="496"/>
      <c r="GE40" s="496"/>
      <c r="GF40" s="496"/>
      <c r="GG40" s="496"/>
      <c r="GH40" s="496"/>
      <c r="GI40" s="496"/>
      <c r="GJ40" s="496"/>
      <c r="GK40" s="496"/>
      <c r="GL40" s="496"/>
      <c r="GM40" s="496"/>
      <c r="GN40" s="496"/>
      <c r="GO40" s="496"/>
      <c r="GP40" s="496"/>
      <c r="GQ40" s="496"/>
      <c r="GR40" s="496"/>
      <c r="GS40" s="496"/>
      <c r="GT40" s="496"/>
      <c r="GU40" s="496"/>
      <c r="GV40" s="496"/>
      <c r="GW40" s="496"/>
      <c r="GX40" s="496"/>
      <c r="GY40" s="496"/>
      <c r="GZ40" s="496"/>
      <c r="HA40" s="496"/>
      <c r="HB40" s="496"/>
      <c r="HC40" s="496"/>
      <c r="HD40" s="496"/>
      <c r="HE40" s="496"/>
      <c r="HF40" s="496"/>
      <c r="HG40" s="496"/>
      <c r="HH40" s="496"/>
      <c r="HI40" s="496"/>
      <c r="HJ40" s="496"/>
      <c r="HK40" s="496"/>
      <c r="HL40" s="496"/>
      <c r="HM40" s="496"/>
      <c r="HN40" s="496"/>
      <c r="HO40" s="496"/>
      <c r="HP40" s="496"/>
      <c r="HQ40" s="496"/>
      <c r="HR40" s="496"/>
      <c r="HS40" s="496"/>
      <c r="HT40" s="496"/>
      <c r="HU40" s="496"/>
      <c r="HV40" s="496"/>
      <c r="HW40" s="490"/>
      <c r="HX40" s="490"/>
    </row>
    <row r="41" spans="1:232" s="5" customFormat="1" ht="20.100000000000001" customHeight="1">
      <c r="A41" s="497" t="s">
        <v>1034</v>
      </c>
      <c r="B41" s="498"/>
      <c r="C41" s="498"/>
      <c r="D41" s="498"/>
      <c r="E41" s="498"/>
      <c r="F41" s="498"/>
      <c r="G41" s="498"/>
      <c r="H41" s="498"/>
      <c r="I41" s="498"/>
      <c r="J41" s="498"/>
      <c r="K41" s="463"/>
      <c r="L41" s="463"/>
      <c r="M41" s="464"/>
      <c r="N41" s="464"/>
      <c r="O41" s="464"/>
      <c r="P41" s="495"/>
      <c r="Q41" s="495"/>
      <c r="R41" s="495"/>
      <c r="S41" s="495"/>
      <c r="T41" s="495"/>
      <c r="U41" s="489"/>
      <c r="V41" s="489"/>
      <c r="W41" s="489"/>
      <c r="X41" s="489"/>
      <c r="Y41" s="489"/>
      <c r="Z41" s="489"/>
      <c r="AA41" s="489"/>
      <c r="AB41" s="489"/>
      <c r="AC41" s="489"/>
      <c r="AD41" s="489"/>
      <c r="AE41" s="489"/>
      <c r="AF41" s="489"/>
      <c r="AG41" s="489"/>
      <c r="AH41" s="489"/>
      <c r="AI41" s="489"/>
      <c r="AJ41" s="489"/>
      <c r="AK41" s="489"/>
      <c r="AL41" s="489"/>
      <c r="AM41" s="489"/>
      <c r="AN41" s="489"/>
      <c r="AO41" s="489"/>
      <c r="AP41" s="489"/>
      <c r="AQ41" s="489"/>
      <c r="AR41" s="489"/>
      <c r="AS41" s="489"/>
      <c r="AT41" s="489"/>
      <c r="AU41" s="489"/>
      <c r="AV41" s="489"/>
      <c r="AW41" s="489"/>
      <c r="AX41" s="489"/>
      <c r="AY41" s="489"/>
      <c r="AZ41" s="489"/>
      <c r="BA41" s="489"/>
      <c r="BB41" s="489"/>
      <c r="BC41" s="489"/>
      <c r="BD41" s="489"/>
      <c r="BE41" s="489"/>
      <c r="BF41" s="489"/>
      <c r="BG41" s="489"/>
      <c r="BH41" s="489"/>
      <c r="BI41" s="489"/>
      <c r="BJ41" s="489"/>
      <c r="BK41" s="489"/>
      <c r="BL41" s="489"/>
      <c r="BM41" s="489"/>
      <c r="BN41" s="489"/>
      <c r="BO41" s="489"/>
      <c r="BP41" s="489"/>
      <c r="BQ41" s="489"/>
      <c r="BR41" s="489"/>
      <c r="BS41" s="489"/>
      <c r="BT41" s="489"/>
      <c r="BU41" s="489"/>
      <c r="BV41" s="489"/>
      <c r="BW41" s="489"/>
      <c r="BX41" s="489"/>
      <c r="BY41" s="489"/>
      <c r="BZ41" s="489"/>
      <c r="CA41" s="489"/>
      <c r="CB41" s="489"/>
      <c r="CC41" s="489"/>
      <c r="CD41" s="489"/>
      <c r="CE41" s="489"/>
      <c r="CF41" s="489"/>
      <c r="CG41" s="489"/>
      <c r="CH41" s="489"/>
      <c r="CI41" s="489"/>
      <c r="CJ41" s="489"/>
      <c r="CK41" s="489"/>
      <c r="CL41" s="489"/>
      <c r="CM41" s="489"/>
      <c r="CN41" s="489"/>
      <c r="CO41" s="489"/>
      <c r="CP41" s="489"/>
      <c r="CQ41" s="489"/>
      <c r="CR41" s="489"/>
      <c r="CS41" s="489"/>
      <c r="CT41" s="489"/>
      <c r="CU41" s="489"/>
      <c r="CV41" s="489"/>
      <c r="CW41" s="489"/>
      <c r="CX41" s="489"/>
      <c r="CY41" s="489"/>
      <c r="CZ41" s="489"/>
      <c r="DA41" s="489"/>
      <c r="DB41" s="489"/>
      <c r="DC41" s="489"/>
      <c r="DD41" s="489"/>
      <c r="DE41" s="489"/>
      <c r="DF41" s="489"/>
      <c r="DG41" s="489"/>
      <c r="DH41" s="489"/>
      <c r="DI41" s="489"/>
      <c r="DJ41" s="489"/>
      <c r="DK41" s="489"/>
      <c r="DL41" s="489"/>
      <c r="DM41" s="489"/>
      <c r="DN41" s="489"/>
      <c r="DO41" s="489"/>
      <c r="DP41" s="489"/>
      <c r="DQ41" s="489"/>
      <c r="DR41" s="489"/>
      <c r="DS41" s="489"/>
      <c r="DT41" s="489"/>
      <c r="DU41" s="489"/>
      <c r="DV41" s="489"/>
      <c r="DW41" s="489"/>
      <c r="DX41" s="489"/>
      <c r="DY41" s="489"/>
      <c r="DZ41" s="489"/>
      <c r="EA41" s="489"/>
      <c r="EB41" s="489"/>
      <c r="EC41" s="489"/>
      <c r="ED41" s="489"/>
      <c r="EE41" s="489"/>
      <c r="EF41" s="489"/>
      <c r="EG41" s="489"/>
      <c r="EH41" s="489"/>
      <c r="EI41" s="489"/>
      <c r="EJ41" s="489"/>
      <c r="EK41" s="489"/>
      <c r="EL41" s="489"/>
      <c r="EM41" s="489"/>
      <c r="EN41" s="489"/>
      <c r="EO41" s="489"/>
      <c r="EP41" s="489"/>
      <c r="EQ41" s="489"/>
      <c r="ER41" s="489"/>
      <c r="ES41" s="489"/>
      <c r="ET41" s="489"/>
      <c r="EU41" s="489"/>
      <c r="EV41" s="489"/>
      <c r="EW41" s="489"/>
      <c r="EX41" s="489"/>
      <c r="EY41" s="489"/>
      <c r="EZ41" s="489"/>
      <c r="FA41" s="489"/>
      <c r="FB41" s="489"/>
      <c r="FC41" s="489"/>
      <c r="FD41" s="489"/>
      <c r="FE41" s="489"/>
      <c r="FF41" s="489"/>
      <c r="FG41" s="489"/>
      <c r="FH41" s="489"/>
      <c r="FI41" s="489"/>
      <c r="FJ41" s="489"/>
      <c r="FK41" s="489"/>
      <c r="FL41" s="489"/>
      <c r="FM41" s="489"/>
      <c r="FN41" s="489"/>
      <c r="FO41" s="489"/>
      <c r="FP41" s="489"/>
      <c r="FQ41" s="489"/>
      <c r="FR41" s="489"/>
      <c r="FS41" s="489"/>
      <c r="FT41" s="489"/>
      <c r="FU41" s="489"/>
      <c r="FV41" s="489"/>
      <c r="FW41" s="489"/>
      <c r="FX41" s="489"/>
      <c r="FY41" s="489"/>
      <c r="FZ41" s="489"/>
      <c r="GA41" s="489"/>
      <c r="GB41" s="489"/>
      <c r="GC41" s="489"/>
      <c r="GD41" s="489"/>
      <c r="GE41" s="489"/>
      <c r="GF41" s="489"/>
      <c r="GG41" s="489"/>
      <c r="GH41" s="489"/>
      <c r="GI41" s="489"/>
      <c r="GJ41" s="489"/>
      <c r="GK41" s="489"/>
      <c r="GL41" s="489"/>
      <c r="GM41" s="489"/>
      <c r="GN41" s="489"/>
      <c r="GO41" s="489"/>
      <c r="GP41" s="489"/>
      <c r="GQ41" s="489"/>
      <c r="GR41" s="489"/>
      <c r="GS41" s="489"/>
      <c r="GT41" s="489"/>
      <c r="GU41" s="489"/>
      <c r="GV41" s="489"/>
      <c r="GW41" s="489"/>
      <c r="GX41" s="489"/>
      <c r="GY41" s="489"/>
      <c r="GZ41" s="489"/>
      <c r="HA41" s="489"/>
      <c r="HB41" s="489"/>
      <c r="HC41" s="489"/>
      <c r="HD41" s="489"/>
      <c r="HE41" s="489"/>
      <c r="HF41" s="489"/>
      <c r="HG41" s="489"/>
      <c r="HH41" s="489"/>
      <c r="HI41" s="489"/>
      <c r="HJ41" s="489"/>
      <c r="HK41" s="489"/>
      <c r="HL41" s="489"/>
      <c r="HM41" s="489"/>
      <c r="HN41" s="489"/>
      <c r="HO41" s="489"/>
      <c r="HP41" s="489"/>
      <c r="HQ41" s="489"/>
      <c r="HR41" s="489"/>
      <c r="HS41" s="489"/>
      <c r="HT41" s="489"/>
      <c r="HU41" s="489"/>
      <c r="HV41" s="489"/>
      <c r="HW41" s="489"/>
      <c r="HX41" s="358"/>
    </row>
    <row r="42" spans="1:232" s="5" customFormat="1" ht="20.100000000000001" customHeight="1">
      <c r="A42" s="497" t="s">
        <v>863</v>
      </c>
      <c r="B42" s="498"/>
      <c r="C42" s="498"/>
      <c r="D42" s="498"/>
      <c r="E42" s="498"/>
      <c r="F42" s="498"/>
      <c r="G42" s="498"/>
      <c r="H42" s="498"/>
      <c r="I42" s="498"/>
      <c r="J42" s="498"/>
      <c r="K42" s="463"/>
      <c r="L42" s="463"/>
      <c r="M42" s="464"/>
      <c r="N42" s="464"/>
      <c r="O42" s="464"/>
      <c r="P42" s="495"/>
      <c r="Q42" s="495"/>
      <c r="R42" s="495"/>
      <c r="S42" s="495"/>
      <c r="T42" s="495"/>
      <c r="U42" s="499"/>
      <c r="V42" s="499"/>
      <c r="W42" s="499"/>
      <c r="X42" s="499"/>
      <c r="Y42" s="499"/>
      <c r="Z42" s="499"/>
      <c r="AA42" s="499"/>
      <c r="AB42" s="499"/>
      <c r="AC42" s="499"/>
      <c r="AD42" s="499"/>
      <c r="AE42" s="499"/>
      <c r="AF42" s="499"/>
      <c r="AG42" s="499"/>
      <c r="AH42" s="499"/>
      <c r="AI42" s="499"/>
      <c r="AJ42" s="499"/>
      <c r="AK42" s="499"/>
      <c r="AL42" s="499"/>
      <c r="AM42" s="499"/>
      <c r="AN42" s="499"/>
      <c r="AO42" s="499"/>
      <c r="AP42" s="499"/>
      <c r="AQ42" s="499"/>
      <c r="AR42" s="499"/>
      <c r="AS42" s="499"/>
      <c r="AT42" s="499"/>
      <c r="AU42" s="499"/>
      <c r="AV42" s="499"/>
      <c r="AW42" s="499"/>
      <c r="AX42" s="499"/>
      <c r="AY42" s="499"/>
      <c r="AZ42" s="499"/>
      <c r="BA42" s="499"/>
      <c r="BB42" s="499"/>
      <c r="BC42" s="499"/>
      <c r="BD42" s="499"/>
      <c r="BE42" s="499"/>
      <c r="BF42" s="499"/>
      <c r="BG42" s="499"/>
      <c r="BH42" s="499"/>
      <c r="BI42" s="499"/>
      <c r="BJ42" s="499"/>
      <c r="BK42" s="499"/>
      <c r="BL42" s="499"/>
      <c r="BM42" s="499"/>
      <c r="BN42" s="499"/>
      <c r="BO42" s="499"/>
      <c r="BP42" s="499"/>
      <c r="BQ42" s="499"/>
      <c r="BR42" s="499"/>
      <c r="BS42" s="499"/>
      <c r="BT42" s="499"/>
      <c r="BU42" s="499"/>
      <c r="BV42" s="499"/>
      <c r="BW42" s="499"/>
      <c r="BX42" s="499"/>
      <c r="BY42" s="499"/>
      <c r="BZ42" s="499"/>
      <c r="CA42" s="499"/>
      <c r="CB42" s="499"/>
      <c r="CC42" s="499"/>
      <c r="CD42" s="499"/>
      <c r="CE42" s="499"/>
      <c r="CF42" s="499"/>
      <c r="CG42" s="499"/>
      <c r="CH42" s="499"/>
      <c r="CI42" s="499"/>
      <c r="CJ42" s="499"/>
      <c r="CK42" s="499"/>
      <c r="CL42" s="499"/>
      <c r="CM42" s="499"/>
      <c r="CN42" s="499"/>
      <c r="CO42" s="499"/>
      <c r="CP42" s="499"/>
      <c r="CQ42" s="499"/>
      <c r="CR42" s="499"/>
      <c r="CS42" s="499"/>
      <c r="CT42" s="499"/>
      <c r="CU42" s="499"/>
      <c r="CV42" s="499"/>
      <c r="CW42" s="499"/>
      <c r="CX42" s="499"/>
      <c r="CY42" s="499"/>
      <c r="CZ42" s="499"/>
      <c r="DA42" s="499"/>
      <c r="DB42" s="499"/>
      <c r="DC42" s="499"/>
      <c r="DD42" s="499"/>
      <c r="DE42" s="499"/>
      <c r="DF42" s="499"/>
      <c r="DG42" s="499"/>
      <c r="DH42" s="499"/>
      <c r="DI42" s="499"/>
      <c r="DJ42" s="499"/>
      <c r="DK42" s="499"/>
      <c r="DL42" s="499"/>
      <c r="DM42" s="499"/>
      <c r="DN42" s="499"/>
      <c r="DO42" s="499"/>
      <c r="DP42" s="499"/>
      <c r="DQ42" s="499"/>
      <c r="DR42" s="499"/>
      <c r="DS42" s="499"/>
      <c r="DT42" s="499"/>
      <c r="DU42" s="499"/>
      <c r="DV42" s="499"/>
      <c r="DW42" s="499"/>
      <c r="DX42" s="499"/>
      <c r="DY42" s="499"/>
      <c r="DZ42" s="499"/>
      <c r="EA42" s="499"/>
      <c r="EB42" s="499"/>
      <c r="EC42" s="499"/>
      <c r="ED42" s="499"/>
      <c r="EE42" s="499"/>
      <c r="EF42" s="499"/>
      <c r="EG42" s="499"/>
      <c r="EH42" s="499"/>
      <c r="EI42" s="499"/>
      <c r="EJ42" s="499"/>
      <c r="EK42" s="499"/>
      <c r="EL42" s="499"/>
      <c r="EM42" s="499"/>
      <c r="EN42" s="499"/>
      <c r="EO42" s="499"/>
      <c r="EP42" s="499"/>
      <c r="EQ42" s="499"/>
      <c r="ER42" s="499"/>
      <c r="ES42" s="499"/>
      <c r="ET42" s="499"/>
      <c r="EU42" s="499"/>
      <c r="EV42" s="499"/>
      <c r="EW42" s="499"/>
      <c r="EX42" s="499"/>
      <c r="EY42" s="499"/>
      <c r="EZ42" s="499"/>
      <c r="FA42" s="499"/>
      <c r="FB42" s="499"/>
      <c r="FC42" s="499"/>
      <c r="FD42" s="499"/>
      <c r="FE42" s="499"/>
      <c r="FF42" s="499"/>
      <c r="FG42" s="499"/>
      <c r="FH42" s="499"/>
      <c r="FI42" s="499"/>
      <c r="FJ42" s="499"/>
      <c r="FK42" s="499"/>
      <c r="FL42" s="499"/>
      <c r="FM42" s="499"/>
      <c r="FN42" s="499"/>
      <c r="FO42" s="499"/>
      <c r="FP42" s="499"/>
      <c r="FQ42" s="499"/>
      <c r="FR42" s="499"/>
      <c r="FS42" s="499"/>
      <c r="FT42" s="499"/>
      <c r="FU42" s="499"/>
      <c r="FV42" s="499"/>
      <c r="FW42" s="499"/>
      <c r="FX42" s="499"/>
      <c r="FY42" s="499"/>
      <c r="FZ42" s="499"/>
      <c r="GA42" s="499"/>
      <c r="GB42" s="499"/>
      <c r="GC42" s="499"/>
      <c r="GD42" s="499"/>
      <c r="GE42" s="499"/>
      <c r="GF42" s="499"/>
      <c r="GG42" s="499"/>
      <c r="GH42" s="499"/>
      <c r="GI42" s="499"/>
      <c r="GJ42" s="499"/>
      <c r="GK42" s="499"/>
      <c r="GL42" s="499"/>
      <c r="GM42" s="499"/>
      <c r="GN42" s="499"/>
      <c r="GO42" s="499"/>
      <c r="GP42" s="499"/>
      <c r="GQ42" s="499"/>
      <c r="GR42" s="499"/>
      <c r="GS42" s="499"/>
      <c r="GT42" s="499"/>
      <c r="GU42" s="499"/>
      <c r="GV42" s="499"/>
      <c r="GW42" s="499"/>
      <c r="GX42" s="499"/>
      <c r="GY42" s="499"/>
      <c r="GZ42" s="499"/>
      <c r="HA42" s="499"/>
      <c r="HB42" s="499"/>
      <c r="HC42" s="499"/>
      <c r="HD42" s="499"/>
      <c r="HE42" s="499"/>
      <c r="HF42" s="499"/>
      <c r="HG42" s="499"/>
      <c r="HH42" s="499"/>
      <c r="HI42" s="499"/>
      <c r="HJ42" s="499"/>
      <c r="HK42" s="499"/>
      <c r="HL42" s="499"/>
      <c r="HM42" s="499"/>
      <c r="HN42" s="499"/>
      <c r="HO42" s="499"/>
      <c r="HP42" s="499"/>
      <c r="HQ42" s="499"/>
      <c r="HR42" s="499"/>
      <c r="HS42" s="499"/>
      <c r="HT42" s="499"/>
      <c r="HU42" s="499"/>
      <c r="HV42" s="499"/>
      <c r="HW42" s="499"/>
      <c r="HX42" s="358"/>
    </row>
    <row r="43" spans="1:232" ht="33" customHeight="1">
      <c r="A43" s="1607" t="s">
        <v>112</v>
      </c>
      <c r="B43" s="1607"/>
      <c r="C43" s="1607"/>
      <c r="D43" s="1607"/>
      <c r="E43" s="1607"/>
      <c r="F43" s="1607"/>
      <c r="G43" s="1607"/>
      <c r="H43" s="1607"/>
      <c r="I43" s="1607"/>
      <c r="J43" s="1607"/>
      <c r="P43" s="495"/>
      <c r="Q43" s="495"/>
      <c r="R43" s="495"/>
      <c r="S43" s="495"/>
    </row>
    <row r="44" spans="1:232" ht="20.100000000000001" customHeight="1">
      <c r="A44" s="1604" t="s">
        <v>864</v>
      </c>
      <c r="B44" s="1604"/>
      <c r="C44" s="1604"/>
      <c r="D44" s="1604"/>
      <c r="E44" s="1604"/>
      <c r="F44" s="1604"/>
      <c r="G44" s="1604"/>
      <c r="H44" s="1604"/>
      <c r="I44" s="1604"/>
      <c r="J44" s="1604"/>
    </row>
    <row r="45" spans="1:232" s="5" customFormat="1" ht="20.100000000000001" customHeight="1">
      <c r="A45" s="500" t="s">
        <v>1032</v>
      </c>
      <c r="C45" s="501"/>
      <c r="D45" s="501"/>
      <c r="E45" s="501"/>
      <c r="F45" s="501"/>
      <c r="G45" s="501"/>
      <c r="H45" s="501"/>
      <c r="I45" s="501"/>
      <c r="J45" s="502"/>
      <c r="K45" s="463"/>
      <c r="L45" s="463"/>
      <c r="M45" s="464"/>
      <c r="N45" s="464"/>
      <c r="O45" s="464"/>
      <c r="P45" s="464"/>
      <c r="Q45" s="464"/>
      <c r="R45" s="464"/>
      <c r="S45" s="464"/>
      <c r="T45" s="495"/>
      <c r="U45" s="499"/>
      <c r="V45" s="499"/>
      <c r="W45" s="499"/>
      <c r="X45" s="499"/>
      <c r="Y45" s="499"/>
      <c r="Z45" s="499"/>
      <c r="AA45" s="499"/>
      <c r="AB45" s="499"/>
      <c r="AC45" s="499"/>
      <c r="AD45" s="499"/>
      <c r="AE45" s="499"/>
      <c r="AF45" s="499"/>
      <c r="AG45" s="499"/>
      <c r="AH45" s="499"/>
      <c r="AI45" s="499"/>
      <c r="AJ45" s="499"/>
      <c r="AK45" s="499"/>
      <c r="AL45" s="499"/>
      <c r="AM45" s="499"/>
      <c r="AN45" s="499"/>
      <c r="AO45" s="499"/>
      <c r="AP45" s="499"/>
      <c r="AQ45" s="499"/>
      <c r="AR45" s="499"/>
      <c r="AS45" s="499"/>
      <c r="AT45" s="499"/>
      <c r="AU45" s="499"/>
      <c r="AV45" s="499"/>
      <c r="AW45" s="499"/>
      <c r="AX45" s="499"/>
      <c r="AY45" s="499"/>
      <c r="AZ45" s="499"/>
      <c r="BA45" s="499"/>
      <c r="BB45" s="499"/>
      <c r="BC45" s="499"/>
      <c r="BD45" s="499"/>
      <c r="BE45" s="499"/>
      <c r="BF45" s="499"/>
      <c r="BG45" s="499"/>
      <c r="BH45" s="499"/>
      <c r="BI45" s="499"/>
      <c r="BJ45" s="499"/>
      <c r="BK45" s="499"/>
      <c r="BL45" s="499"/>
      <c r="BM45" s="499"/>
      <c r="BN45" s="499"/>
      <c r="BO45" s="499"/>
      <c r="BP45" s="499"/>
      <c r="BQ45" s="499"/>
      <c r="BR45" s="499"/>
      <c r="BS45" s="499"/>
      <c r="BT45" s="499"/>
      <c r="BU45" s="499"/>
      <c r="BV45" s="499"/>
      <c r="BW45" s="499"/>
      <c r="BX45" s="499"/>
      <c r="BY45" s="499"/>
      <c r="BZ45" s="499"/>
      <c r="CA45" s="499"/>
      <c r="CB45" s="499"/>
      <c r="CC45" s="499"/>
      <c r="CD45" s="499"/>
      <c r="CE45" s="499"/>
      <c r="CF45" s="499"/>
      <c r="CG45" s="499"/>
      <c r="CH45" s="499"/>
      <c r="CI45" s="499"/>
      <c r="CJ45" s="499"/>
      <c r="CK45" s="499"/>
      <c r="CL45" s="499"/>
      <c r="CM45" s="499"/>
      <c r="CN45" s="499"/>
      <c r="CO45" s="499"/>
      <c r="CP45" s="499"/>
      <c r="CQ45" s="499"/>
      <c r="CR45" s="499"/>
      <c r="CS45" s="499"/>
      <c r="CT45" s="499"/>
      <c r="CU45" s="499"/>
      <c r="CV45" s="499"/>
      <c r="CW45" s="499"/>
      <c r="CX45" s="499"/>
      <c r="CY45" s="499"/>
      <c r="CZ45" s="499"/>
      <c r="DA45" s="499"/>
      <c r="DB45" s="499"/>
      <c r="DC45" s="499"/>
      <c r="DD45" s="499"/>
      <c r="DE45" s="499"/>
      <c r="DF45" s="499"/>
      <c r="DG45" s="499"/>
      <c r="DH45" s="499"/>
      <c r="DI45" s="499"/>
      <c r="DJ45" s="499"/>
      <c r="DK45" s="499"/>
      <c r="DL45" s="499"/>
      <c r="DM45" s="499"/>
      <c r="DN45" s="499"/>
      <c r="DO45" s="499"/>
      <c r="DP45" s="499"/>
      <c r="DQ45" s="499"/>
      <c r="DR45" s="499"/>
      <c r="DS45" s="499"/>
      <c r="DT45" s="499"/>
      <c r="DU45" s="499"/>
      <c r="DV45" s="499"/>
      <c r="DW45" s="499"/>
      <c r="DX45" s="499"/>
      <c r="DY45" s="499"/>
      <c r="DZ45" s="499"/>
      <c r="EA45" s="499"/>
      <c r="EB45" s="499"/>
      <c r="EC45" s="499"/>
      <c r="ED45" s="499"/>
      <c r="EE45" s="499"/>
      <c r="EF45" s="499"/>
      <c r="EG45" s="499"/>
      <c r="EH45" s="499"/>
      <c r="EI45" s="499"/>
      <c r="EJ45" s="499"/>
      <c r="EK45" s="499"/>
      <c r="EL45" s="499"/>
      <c r="EM45" s="499"/>
      <c r="EN45" s="499"/>
      <c r="EO45" s="499"/>
      <c r="EP45" s="499"/>
      <c r="EQ45" s="499"/>
      <c r="ER45" s="499"/>
      <c r="ES45" s="499"/>
      <c r="ET45" s="499"/>
      <c r="EU45" s="499"/>
      <c r="EV45" s="499"/>
      <c r="EW45" s="499"/>
      <c r="EX45" s="499"/>
      <c r="EY45" s="499"/>
      <c r="EZ45" s="499"/>
      <c r="FA45" s="499"/>
      <c r="FB45" s="499"/>
      <c r="FC45" s="499"/>
      <c r="FD45" s="499"/>
      <c r="FE45" s="499"/>
      <c r="FF45" s="499"/>
      <c r="FG45" s="499"/>
      <c r="FH45" s="499"/>
      <c r="FI45" s="499"/>
      <c r="FJ45" s="499"/>
      <c r="FK45" s="499"/>
      <c r="FL45" s="499"/>
      <c r="FM45" s="499"/>
      <c r="FN45" s="499"/>
      <c r="FO45" s="499"/>
      <c r="FP45" s="499"/>
      <c r="FQ45" s="499"/>
      <c r="FR45" s="499"/>
      <c r="FS45" s="499"/>
      <c r="FT45" s="499"/>
      <c r="FU45" s="499"/>
      <c r="FV45" s="499"/>
      <c r="FW45" s="499"/>
      <c r="FX45" s="499"/>
      <c r="FY45" s="499"/>
      <c r="FZ45" s="499"/>
      <c r="GA45" s="499"/>
      <c r="GB45" s="499"/>
      <c r="GC45" s="499"/>
      <c r="GD45" s="499"/>
      <c r="GE45" s="499"/>
      <c r="GF45" s="499"/>
      <c r="GG45" s="499"/>
      <c r="GH45" s="499"/>
      <c r="GI45" s="499"/>
      <c r="GJ45" s="499"/>
      <c r="GK45" s="499"/>
      <c r="GL45" s="499"/>
      <c r="GM45" s="499"/>
      <c r="GN45" s="499"/>
      <c r="GO45" s="499"/>
      <c r="GP45" s="499"/>
      <c r="GQ45" s="499"/>
      <c r="GR45" s="499"/>
      <c r="GS45" s="499"/>
      <c r="GT45" s="499"/>
      <c r="GU45" s="499"/>
      <c r="GV45" s="499"/>
      <c r="GW45" s="499"/>
      <c r="GX45" s="499"/>
      <c r="GY45" s="499"/>
      <c r="GZ45" s="499"/>
      <c r="HA45" s="499"/>
      <c r="HB45" s="499"/>
      <c r="HC45" s="499"/>
      <c r="HD45" s="499"/>
      <c r="HE45" s="499"/>
      <c r="HF45" s="499"/>
      <c r="HG45" s="499"/>
      <c r="HH45" s="499"/>
      <c r="HI45" s="499"/>
      <c r="HJ45" s="499"/>
      <c r="HK45" s="499"/>
      <c r="HL45" s="499"/>
      <c r="HM45" s="499"/>
      <c r="HN45" s="499"/>
      <c r="HO45" s="499"/>
      <c r="HP45" s="499"/>
      <c r="HQ45" s="499"/>
      <c r="HR45" s="499"/>
      <c r="HS45" s="499"/>
      <c r="HT45" s="499"/>
      <c r="HU45" s="499"/>
      <c r="HV45" s="499"/>
      <c r="HW45" s="499"/>
      <c r="HX45" s="358"/>
    </row>
    <row r="46" spans="1:232" s="5" customFormat="1" ht="20.100000000000001" customHeight="1">
      <c r="A46" s="1676" t="s">
        <v>191</v>
      </c>
      <c r="B46" s="1631" t="s">
        <v>115</v>
      </c>
      <c r="C46" s="1632"/>
      <c r="D46" s="1632"/>
      <c r="E46" s="1632"/>
      <c r="F46" s="1632"/>
      <c r="G46" s="1632"/>
      <c r="H46" s="1633"/>
      <c r="I46" s="1606" t="s">
        <v>117</v>
      </c>
      <c r="J46" s="1606"/>
      <c r="K46" s="463"/>
      <c r="L46" s="463"/>
      <c r="M46" s="464"/>
      <c r="N46" s="464"/>
      <c r="O46" s="464"/>
      <c r="P46" s="495"/>
      <c r="Q46" s="495"/>
      <c r="R46" s="495"/>
      <c r="S46" s="495"/>
      <c r="T46" s="504"/>
      <c r="U46" s="358"/>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row>
    <row r="47" spans="1:232" s="5" customFormat="1" ht="33.75" customHeight="1">
      <c r="A47" s="1677"/>
      <c r="B47" s="1637"/>
      <c r="C47" s="1638"/>
      <c r="D47" s="1638"/>
      <c r="E47" s="1638"/>
      <c r="F47" s="1638"/>
      <c r="G47" s="1638"/>
      <c r="H47" s="1639"/>
      <c r="I47" s="503" t="s">
        <v>118</v>
      </c>
      <c r="J47" s="503" t="s">
        <v>119</v>
      </c>
      <c r="K47" s="463"/>
      <c r="L47" s="463"/>
      <c r="M47" s="464"/>
      <c r="N47" s="464"/>
      <c r="O47" s="464"/>
      <c r="P47" s="504"/>
      <c r="Q47" s="504"/>
      <c r="R47" s="504"/>
      <c r="S47" s="504"/>
      <c r="T47" s="406"/>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row>
    <row r="48" spans="1:232" s="5" customFormat="1" ht="20.25">
      <c r="A48" s="1678"/>
      <c r="B48" s="1673" t="s">
        <v>420</v>
      </c>
      <c r="C48" s="1674"/>
      <c r="D48" s="1675"/>
      <c r="E48" s="1674" t="s">
        <v>421</v>
      </c>
      <c r="F48" s="1675"/>
      <c r="G48" s="1668" t="s">
        <v>422</v>
      </c>
      <c r="H48" s="1670"/>
      <c r="I48" s="822" t="s">
        <v>471</v>
      </c>
      <c r="J48" s="506"/>
      <c r="K48" s="463"/>
      <c r="L48" s="463"/>
      <c r="M48" s="464"/>
      <c r="N48" s="464"/>
      <c r="O48" s="464"/>
      <c r="P48" s="406"/>
      <c r="Q48" s="406"/>
      <c r="R48" s="406"/>
      <c r="S48" s="406"/>
      <c r="T48" s="406"/>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row>
    <row r="49" spans="1:232" s="5" customFormat="1" ht="35.25" customHeight="1">
      <c r="A49" s="503" t="s">
        <v>188</v>
      </c>
      <c r="B49" s="1701">
        <f>'2. NK'!C14</f>
        <v>2317790.6910000001</v>
      </c>
      <c r="C49" s="1702"/>
      <c r="D49" s="1703"/>
      <c r="E49" s="1673">
        <f>'2. NK'!F14</f>
        <v>2317790.6920000003</v>
      </c>
      <c r="F49" s="1675"/>
      <c r="G49" s="1668">
        <f>'2. NK'!I14</f>
        <v>1E-3</v>
      </c>
      <c r="H49" s="1670"/>
      <c r="I49" s="822" t="s">
        <v>471</v>
      </c>
      <c r="J49" s="506"/>
      <c r="K49" s="463"/>
      <c r="L49" s="463"/>
      <c r="M49" s="464"/>
      <c r="N49" s="464"/>
      <c r="O49" s="464"/>
      <c r="P49" s="406"/>
      <c r="Q49" s="406"/>
      <c r="R49" s="406"/>
      <c r="S49" s="406"/>
      <c r="T49" s="406"/>
      <c r="U49" s="358"/>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row>
    <row r="50" spans="1:232" s="5" customFormat="1" ht="36.75" customHeight="1">
      <c r="A50" s="503" t="s">
        <v>423</v>
      </c>
      <c r="B50" s="1701">
        <f>'2. NK'!C15</f>
        <v>430397.96399999998</v>
      </c>
      <c r="C50" s="1702"/>
      <c r="D50" s="1703"/>
      <c r="E50" s="1673">
        <f>'2. NK'!F15</f>
        <v>430397.984</v>
      </c>
      <c r="F50" s="1675"/>
      <c r="G50" s="1668">
        <f>'2. NK'!I15</f>
        <v>0.02</v>
      </c>
      <c r="H50" s="1670"/>
      <c r="I50" s="822" t="s">
        <v>471</v>
      </c>
      <c r="J50" s="506"/>
      <c r="K50" s="463"/>
      <c r="L50" s="463"/>
      <c r="M50" s="464"/>
      <c r="N50" s="464"/>
      <c r="O50" s="464"/>
      <c r="P50" s="406"/>
      <c r="Q50" s="406"/>
      <c r="R50" s="406"/>
      <c r="S50" s="406"/>
      <c r="T50" s="405"/>
      <c r="U50" s="358"/>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row>
    <row r="51" spans="1:232" s="5" customFormat="1" ht="20.100000000000001" customHeight="1">
      <c r="A51" s="503"/>
      <c r="B51" s="773"/>
      <c r="C51" s="774"/>
      <c r="D51" s="775"/>
      <c r="E51" s="773"/>
      <c r="F51" s="776"/>
      <c r="G51" s="777"/>
      <c r="H51" s="776"/>
      <c r="I51" s="562"/>
      <c r="J51" s="506"/>
      <c r="K51" s="463"/>
      <c r="L51" s="463"/>
      <c r="M51" s="464"/>
      <c r="N51" s="464"/>
      <c r="O51" s="464"/>
      <c r="P51" s="405"/>
      <c r="Q51" s="405"/>
      <c r="R51" s="405"/>
      <c r="S51" s="405"/>
      <c r="T51" s="405"/>
      <c r="U51" s="358"/>
      <c r="V51" s="358"/>
      <c r="W51" s="358"/>
      <c r="X51" s="358"/>
      <c r="Y51" s="358"/>
      <c r="Z51" s="358"/>
      <c r="AA51" s="358"/>
      <c r="AB51" s="358"/>
      <c r="AC51" s="358"/>
      <c r="AD51" s="358"/>
      <c r="AE51" s="358"/>
      <c r="AF51" s="358"/>
      <c r="AG51" s="358"/>
      <c r="AH51" s="358"/>
      <c r="AI51" s="358"/>
      <c r="AJ51" s="358"/>
      <c r="AK51" s="358"/>
      <c r="AL51" s="358"/>
      <c r="AM51" s="358"/>
      <c r="AN51" s="358"/>
      <c r="AO51" s="358"/>
      <c r="AP51" s="358"/>
      <c r="AQ51" s="358"/>
      <c r="AR51" s="358"/>
      <c r="AS51" s="358"/>
      <c r="AT51" s="358"/>
      <c r="AU51" s="358"/>
      <c r="AV51" s="358"/>
      <c r="AW51" s="358"/>
      <c r="AX51" s="358"/>
      <c r="AY51" s="358"/>
      <c r="AZ51" s="358"/>
      <c r="BA51" s="358"/>
      <c r="BB51" s="358"/>
      <c r="BC51" s="358"/>
      <c r="BD51" s="358"/>
      <c r="BE51" s="358"/>
      <c r="BF51" s="358"/>
      <c r="BG51" s="358"/>
      <c r="BH51" s="358"/>
      <c r="BI51" s="358"/>
      <c r="BJ51" s="358"/>
      <c r="BK51" s="358"/>
      <c r="BL51" s="358"/>
      <c r="BM51" s="358"/>
      <c r="BN51" s="358"/>
      <c r="BO51" s="358"/>
      <c r="BP51" s="358"/>
      <c r="BQ51" s="358"/>
      <c r="BR51" s="358"/>
      <c r="BS51" s="358"/>
      <c r="BT51" s="358"/>
      <c r="BU51" s="358"/>
      <c r="BV51" s="358"/>
      <c r="BW51" s="358"/>
      <c r="BX51" s="358"/>
      <c r="BY51" s="358"/>
      <c r="BZ51" s="358"/>
      <c r="CA51" s="358"/>
      <c r="CB51" s="358"/>
      <c r="CC51" s="358"/>
      <c r="CD51" s="358"/>
      <c r="CE51" s="358"/>
      <c r="CF51" s="358"/>
      <c r="CG51" s="358"/>
      <c r="CH51" s="358"/>
      <c r="CI51" s="358"/>
      <c r="CJ51" s="358"/>
      <c r="CK51" s="358"/>
      <c r="CL51" s="358"/>
      <c r="CM51" s="358"/>
      <c r="CN51" s="358"/>
      <c r="CO51" s="358"/>
      <c r="CP51" s="358"/>
      <c r="CQ51" s="358"/>
      <c r="CR51" s="358"/>
      <c r="CS51" s="358"/>
      <c r="CT51" s="358"/>
      <c r="CU51" s="358"/>
      <c r="CV51" s="358"/>
      <c r="CW51" s="358"/>
      <c r="CX51" s="358"/>
      <c r="CY51" s="358"/>
      <c r="CZ51" s="358"/>
      <c r="DA51" s="358"/>
      <c r="DB51" s="358"/>
      <c r="DC51" s="358"/>
      <c r="DD51" s="358"/>
      <c r="DE51" s="358"/>
      <c r="DF51" s="358"/>
      <c r="DG51" s="358"/>
      <c r="DH51" s="358"/>
      <c r="DI51" s="358"/>
      <c r="DJ51" s="358"/>
      <c r="DK51" s="358"/>
      <c r="DL51" s="358"/>
      <c r="DM51" s="358"/>
      <c r="DN51" s="358"/>
      <c r="DO51" s="358"/>
      <c r="DP51" s="358"/>
      <c r="DQ51" s="358"/>
      <c r="DR51" s="358"/>
      <c r="DS51" s="358"/>
      <c r="DT51" s="358"/>
      <c r="DU51" s="358"/>
      <c r="DV51" s="358"/>
      <c r="DW51" s="358"/>
      <c r="DX51" s="358"/>
      <c r="DY51" s="358"/>
      <c r="DZ51" s="358"/>
      <c r="EA51" s="358"/>
      <c r="EB51" s="358"/>
      <c r="EC51" s="358"/>
      <c r="ED51" s="358"/>
      <c r="EE51" s="358"/>
      <c r="EF51" s="358"/>
      <c r="EG51" s="358"/>
      <c r="EH51" s="358"/>
      <c r="EI51" s="358"/>
      <c r="EJ51" s="358"/>
      <c r="EK51" s="358"/>
      <c r="EL51" s="358"/>
      <c r="EM51" s="358"/>
      <c r="EN51" s="358"/>
      <c r="EO51" s="358"/>
      <c r="EP51" s="358"/>
      <c r="EQ51" s="358"/>
      <c r="ER51" s="358"/>
      <c r="ES51" s="358"/>
      <c r="ET51" s="358"/>
      <c r="EU51" s="358"/>
      <c r="EV51" s="358"/>
      <c r="EW51" s="358"/>
      <c r="EX51" s="358"/>
      <c r="EY51" s="358"/>
      <c r="EZ51" s="358"/>
      <c r="FA51" s="358"/>
      <c r="FB51" s="358"/>
      <c r="FC51" s="358"/>
      <c r="FD51" s="358"/>
      <c r="FE51" s="358"/>
      <c r="FF51" s="358"/>
      <c r="FG51" s="358"/>
      <c r="FH51" s="358"/>
      <c r="FI51" s="358"/>
      <c r="FJ51" s="358"/>
      <c r="FK51" s="358"/>
      <c r="FL51" s="358"/>
      <c r="FM51" s="358"/>
      <c r="FN51" s="358"/>
      <c r="FO51" s="358"/>
      <c r="FP51" s="358"/>
      <c r="FQ51" s="358"/>
      <c r="FR51" s="358"/>
      <c r="FS51" s="358"/>
      <c r="FT51" s="358"/>
      <c r="FU51" s="358"/>
      <c r="FV51" s="358"/>
      <c r="FW51" s="358"/>
      <c r="FX51" s="358"/>
      <c r="FY51" s="358"/>
      <c r="FZ51" s="358"/>
      <c r="GA51" s="358"/>
      <c r="GB51" s="358"/>
      <c r="GC51" s="358"/>
      <c r="GD51" s="358"/>
      <c r="GE51" s="358"/>
      <c r="GF51" s="358"/>
      <c r="GG51" s="358"/>
      <c r="GH51" s="358"/>
      <c r="GI51" s="358"/>
      <c r="GJ51" s="358"/>
      <c r="GK51" s="358"/>
      <c r="GL51" s="358"/>
      <c r="GM51" s="358"/>
      <c r="GN51" s="358"/>
      <c r="GO51" s="358"/>
      <c r="GP51" s="358"/>
      <c r="GQ51" s="358"/>
      <c r="GR51" s="358"/>
      <c r="GS51" s="358"/>
      <c r="GT51" s="358"/>
      <c r="GU51" s="358"/>
      <c r="GV51" s="358"/>
      <c r="GW51" s="358"/>
      <c r="GX51" s="358"/>
      <c r="GY51" s="358"/>
      <c r="GZ51" s="358"/>
      <c r="HA51" s="358"/>
      <c r="HB51" s="358"/>
      <c r="HC51" s="358"/>
      <c r="HD51" s="358"/>
      <c r="HE51" s="358"/>
      <c r="HF51" s="358"/>
      <c r="HG51" s="358"/>
      <c r="HH51" s="358"/>
      <c r="HI51" s="358"/>
      <c r="HJ51" s="358"/>
      <c r="HK51" s="358"/>
      <c r="HL51" s="358"/>
      <c r="HM51" s="358"/>
      <c r="HN51" s="358"/>
      <c r="HO51" s="358"/>
      <c r="HP51" s="358"/>
      <c r="HQ51" s="358"/>
      <c r="HR51" s="358"/>
      <c r="HS51" s="358"/>
      <c r="HT51" s="358"/>
      <c r="HU51" s="358"/>
      <c r="HV51" s="358"/>
      <c r="HW51" s="358"/>
      <c r="HX51" s="358"/>
    </row>
    <row r="52" spans="1:232" s="5" customFormat="1" ht="20.100000000000001" customHeight="1">
      <c r="A52" s="503"/>
      <c r="B52" s="773"/>
      <c r="C52" s="774"/>
      <c r="D52" s="775"/>
      <c r="E52" s="773"/>
      <c r="F52" s="776"/>
      <c r="G52" s="777"/>
      <c r="H52" s="776"/>
      <c r="I52" s="562"/>
      <c r="J52" s="506"/>
      <c r="K52" s="463"/>
      <c r="L52" s="463"/>
      <c r="M52" s="464"/>
      <c r="N52" s="464"/>
      <c r="O52" s="464"/>
      <c r="P52" s="405"/>
      <c r="Q52" s="405"/>
      <c r="R52" s="405"/>
      <c r="S52" s="405"/>
      <c r="T52" s="405"/>
      <c r="U52" s="358"/>
      <c r="V52" s="358"/>
      <c r="W52" s="358"/>
      <c r="X52" s="358"/>
      <c r="Y52" s="358"/>
      <c r="Z52" s="358"/>
      <c r="AA52" s="358"/>
      <c r="AB52" s="358"/>
      <c r="AC52" s="358"/>
      <c r="AD52" s="358"/>
      <c r="AE52" s="358"/>
      <c r="AF52" s="358"/>
      <c r="AG52" s="358"/>
      <c r="AH52" s="358"/>
      <c r="AI52" s="358"/>
      <c r="AJ52" s="358"/>
      <c r="AK52" s="358"/>
      <c r="AL52" s="358"/>
      <c r="AM52" s="358"/>
      <c r="AN52" s="358"/>
      <c r="AO52" s="358"/>
      <c r="AP52" s="358"/>
      <c r="AQ52" s="358"/>
      <c r="AR52" s="358"/>
      <c r="AS52" s="358"/>
      <c r="AT52" s="358"/>
      <c r="AU52" s="358"/>
      <c r="AV52" s="358"/>
      <c r="AW52" s="358"/>
      <c r="AX52" s="358"/>
      <c r="AY52" s="358"/>
      <c r="AZ52" s="358"/>
      <c r="BA52" s="358"/>
      <c r="BB52" s="358"/>
      <c r="BC52" s="358"/>
      <c r="BD52" s="358"/>
      <c r="BE52" s="358"/>
      <c r="BF52" s="358"/>
      <c r="BG52" s="358"/>
      <c r="BH52" s="358"/>
      <c r="BI52" s="358"/>
      <c r="BJ52" s="358"/>
      <c r="BK52" s="358"/>
      <c r="BL52" s="358"/>
      <c r="BM52" s="358"/>
      <c r="BN52" s="358"/>
      <c r="BO52" s="358"/>
      <c r="BP52" s="358"/>
      <c r="BQ52" s="358"/>
      <c r="BR52" s="358"/>
      <c r="BS52" s="358"/>
      <c r="BT52" s="358"/>
      <c r="BU52" s="358"/>
      <c r="BV52" s="358"/>
      <c r="BW52" s="358"/>
      <c r="BX52" s="358"/>
      <c r="BY52" s="358"/>
      <c r="BZ52" s="358"/>
      <c r="CA52" s="358"/>
      <c r="CB52" s="358"/>
      <c r="CC52" s="358"/>
      <c r="CD52" s="358"/>
      <c r="CE52" s="358"/>
      <c r="CF52" s="358"/>
      <c r="CG52" s="358"/>
      <c r="CH52" s="358"/>
      <c r="CI52" s="358"/>
      <c r="CJ52" s="358"/>
      <c r="CK52" s="358"/>
      <c r="CL52" s="358"/>
      <c r="CM52" s="358"/>
      <c r="CN52" s="358"/>
      <c r="CO52" s="358"/>
      <c r="CP52" s="358"/>
      <c r="CQ52" s="358"/>
      <c r="CR52" s="358"/>
      <c r="CS52" s="358"/>
      <c r="CT52" s="358"/>
      <c r="CU52" s="358"/>
      <c r="CV52" s="358"/>
      <c r="CW52" s="358"/>
      <c r="CX52" s="358"/>
      <c r="CY52" s="358"/>
      <c r="CZ52" s="358"/>
      <c r="DA52" s="358"/>
      <c r="DB52" s="358"/>
      <c r="DC52" s="358"/>
      <c r="DD52" s="358"/>
      <c r="DE52" s="358"/>
      <c r="DF52" s="358"/>
      <c r="DG52" s="358"/>
      <c r="DH52" s="358"/>
      <c r="DI52" s="358"/>
      <c r="DJ52" s="358"/>
      <c r="DK52" s="358"/>
      <c r="DL52" s="358"/>
      <c r="DM52" s="358"/>
      <c r="DN52" s="358"/>
      <c r="DO52" s="358"/>
      <c r="DP52" s="358"/>
      <c r="DQ52" s="358"/>
      <c r="DR52" s="358"/>
      <c r="DS52" s="358"/>
      <c r="DT52" s="358"/>
      <c r="DU52" s="358"/>
      <c r="DV52" s="358"/>
      <c r="DW52" s="358"/>
      <c r="DX52" s="358"/>
      <c r="DY52" s="358"/>
      <c r="DZ52" s="358"/>
      <c r="EA52" s="358"/>
      <c r="EB52" s="358"/>
      <c r="EC52" s="358"/>
      <c r="ED52" s="358"/>
      <c r="EE52" s="358"/>
      <c r="EF52" s="358"/>
      <c r="EG52" s="358"/>
      <c r="EH52" s="358"/>
      <c r="EI52" s="358"/>
      <c r="EJ52" s="358"/>
      <c r="EK52" s="358"/>
      <c r="EL52" s="358"/>
      <c r="EM52" s="358"/>
      <c r="EN52" s="358"/>
      <c r="EO52" s="358"/>
      <c r="EP52" s="358"/>
      <c r="EQ52" s="358"/>
      <c r="ER52" s="358"/>
      <c r="ES52" s="358"/>
      <c r="ET52" s="358"/>
      <c r="EU52" s="358"/>
      <c r="EV52" s="358"/>
      <c r="EW52" s="358"/>
      <c r="EX52" s="358"/>
      <c r="EY52" s="358"/>
      <c r="EZ52" s="358"/>
      <c r="FA52" s="358"/>
      <c r="FB52" s="358"/>
      <c r="FC52" s="358"/>
      <c r="FD52" s="358"/>
      <c r="FE52" s="358"/>
      <c r="FF52" s="358"/>
      <c r="FG52" s="358"/>
      <c r="FH52" s="358"/>
      <c r="FI52" s="358"/>
      <c r="FJ52" s="358"/>
      <c r="FK52" s="358"/>
      <c r="FL52" s="358"/>
      <c r="FM52" s="358"/>
      <c r="FN52" s="358"/>
      <c r="FO52" s="358"/>
      <c r="FP52" s="358"/>
      <c r="FQ52" s="358"/>
      <c r="FR52" s="358"/>
      <c r="FS52" s="358"/>
      <c r="FT52" s="358"/>
      <c r="FU52" s="358"/>
      <c r="FV52" s="358"/>
      <c r="FW52" s="358"/>
      <c r="FX52" s="358"/>
      <c r="FY52" s="358"/>
      <c r="FZ52" s="358"/>
      <c r="GA52" s="358"/>
      <c r="GB52" s="358"/>
      <c r="GC52" s="358"/>
      <c r="GD52" s="358"/>
      <c r="GE52" s="358"/>
      <c r="GF52" s="358"/>
      <c r="GG52" s="358"/>
      <c r="GH52" s="358"/>
      <c r="GI52" s="358"/>
      <c r="GJ52" s="358"/>
      <c r="GK52" s="358"/>
      <c r="GL52" s="358"/>
      <c r="GM52" s="358"/>
      <c r="GN52" s="358"/>
      <c r="GO52" s="358"/>
      <c r="GP52" s="358"/>
      <c r="GQ52" s="358"/>
      <c r="GR52" s="358"/>
      <c r="GS52" s="358"/>
      <c r="GT52" s="358"/>
      <c r="GU52" s="358"/>
      <c r="GV52" s="358"/>
      <c r="GW52" s="358"/>
      <c r="GX52" s="358"/>
      <c r="GY52" s="358"/>
      <c r="GZ52" s="358"/>
      <c r="HA52" s="358"/>
      <c r="HB52" s="358"/>
      <c r="HC52" s="358"/>
      <c r="HD52" s="358"/>
      <c r="HE52" s="358"/>
      <c r="HF52" s="358"/>
      <c r="HG52" s="358"/>
      <c r="HH52" s="358"/>
      <c r="HI52" s="358"/>
      <c r="HJ52" s="358"/>
      <c r="HK52" s="358"/>
      <c r="HL52" s="358"/>
      <c r="HM52" s="358"/>
      <c r="HN52" s="358"/>
      <c r="HO52" s="358"/>
      <c r="HP52" s="358"/>
      <c r="HQ52" s="358"/>
      <c r="HR52" s="358"/>
      <c r="HS52" s="358"/>
      <c r="HT52" s="358"/>
      <c r="HU52" s="358"/>
      <c r="HV52" s="358"/>
      <c r="HW52" s="358"/>
      <c r="HX52" s="358"/>
    </row>
    <row r="53" spans="1:232" ht="20.100000000000001" customHeight="1">
      <c r="A53" s="1595" t="s">
        <v>1033</v>
      </c>
      <c r="B53" s="1595"/>
      <c r="C53" s="1595"/>
      <c r="D53" s="1595"/>
      <c r="E53" s="1595"/>
      <c r="F53" s="1595"/>
      <c r="G53" s="1595"/>
      <c r="H53" s="1595"/>
      <c r="I53" s="1595"/>
      <c r="J53" s="1595"/>
      <c r="P53" s="405"/>
      <c r="Q53" s="405"/>
      <c r="R53" s="405"/>
      <c r="S53" s="405"/>
    </row>
    <row r="54" spans="1:232" ht="20.100000000000001" customHeight="1">
      <c r="A54" s="1596" t="s">
        <v>121</v>
      </c>
      <c r="B54" s="1596"/>
      <c r="C54" s="1596"/>
      <c r="D54" s="1596"/>
      <c r="E54" s="1596"/>
      <c r="F54" s="1596"/>
      <c r="G54" s="1596"/>
      <c r="H54" s="1596"/>
      <c r="I54" s="1596"/>
      <c r="J54" s="1596"/>
    </row>
    <row r="55" spans="1:232" ht="20.100000000000001" customHeight="1">
      <c r="A55" s="1600" t="s">
        <v>910</v>
      </c>
      <c r="B55" s="1600"/>
      <c r="C55" s="1600"/>
      <c r="D55" s="1600"/>
      <c r="E55" s="1600"/>
      <c r="F55" s="1600"/>
      <c r="G55" s="1600"/>
      <c r="H55" s="1600"/>
      <c r="I55" s="1600"/>
      <c r="J55" s="1600"/>
    </row>
    <row r="56" spans="1:232" ht="20.100000000000001" customHeight="1">
      <c r="A56" s="1595"/>
      <c r="B56" s="1595"/>
      <c r="C56" s="1595"/>
      <c r="D56" s="1595"/>
      <c r="E56" s="1595"/>
      <c r="F56" s="1595"/>
      <c r="G56" s="1595"/>
      <c r="H56" s="1595"/>
      <c r="I56" s="1595"/>
      <c r="J56" s="1595"/>
    </row>
    <row r="57" spans="1:232" ht="20.100000000000001" customHeight="1">
      <c r="A57" s="507"/>
      <c r="B57" s="507"/>
      <c r="C57" s="507"/>
      <c r="D57" s="507"/>
      <c r="E57" s="507"/>
      <c r="F57" s="507"/>
      <c r="G57" s="507"/>
      <c r="H57" s="507"/>
      <c r="I57" s="507"/>
      <c r="J57" s="507"/>
    </row>
    <row r="58" spans="1:232" ht="20.100000000000001" customHeight="1">
      <c r="A58" s="1599" t="s">
        <v>442</v>
      </c>
      <c r="B58" s="1599"/>
      <c r="C58" s="1599"/>
      <c r="D58" s="1599"/>
      <c r="E58" s="1599"/>
      <c r="F58" s="1666" t="s">
        <v>123</v>
      </c>
      <c r="G58" s="1666"/>
      <c r="H58" s="1666"/>
      <c r="I58" s="1666"/>
      <c r="J58" s="1666"/>
    </row>
    <row r="59" spans="1:232" ht="20.100000000000001" customHeight="1">
      <c r="A59" s="563"/>
      <c r="B59" s="508"/>
      <c r="C59" s="508"/>
      <c r="D59" s="508"/>
      <c r="E59" s="563"/>
      <c r="F59" s="1599" t="s">
        <v>124</v>
      </c>
      <c r="G59" s="1599"/>
      <c r="H59" s="1599" t="s">
        <v>865</v>
      </c>
      <c r="I59" s="1599"/>
      <c r="J59" s="1599"/>
    </row>
    <row r="60" spans="1:232" ht="20.100000000000001" customHeight="1">
      <c r="A60" s="508"/>
      <c r="B60" s="508"/>
      <c r="C60" s="508"/>
      <c r="D60" s="508"/>
      <c r="E60" s="508"/>
      <c r="F60" s="508"/>
      <c r="G60" s="508"/>
      <c r="H60" s="508"/>
      <c r="I60" s="508"/>
      <c r="J60" s="508"/>
    </row>
    <row r="61" spans="1:232" ht="20.100000000000001" customHeight="1">
      <c r="A61" s="508"/>
      <c r="B61" s="508"/>
      <c r="C61" s="508"/>
      <c r="D61" s="508"/>
      <c r="E61" s="508"/>
      <c r="F61" s="508"/>
      <c r="G61" s="508"/>
      <c r="H61" s="508"/>
      <c r="I61" s="508"/>
      <c r="J61" s="508"/>
    </row>
    <row r="62" spans="1:232" ht="20.100000000000001" customHeight="1">
      <c r="A62" s="508"/>
      <c r="B62" s="508"/>
      <c r="C62" s="508"/>
      <c r="D62" s="508"/>
      <c r="E62" s="508"/>
      <c r="F62" s="508"/>
      <c r="G62" s="508"/>
      <c r="H62" s="508"/>
      <c r="I62" s="508"/>
      <c r="J62" s="508"/>
    </row>
    <row r="63" spans="1:232" ht="20.100000000000001" customHeight="1">
      <c r="A63" s="508"/>
      <c r="B63" s="508"/>
      <c r="C63" s="508"/>
      <c r="D63" s="508"/>
      <c r="E63" s="508"/>
      <c r="F63" s="508"/>
      <c r="G63" s="508"/>
      <c r="H63" s="508"/>
      <c r="I63" s="508"/>
      <c r="J63" s="508"/>
    </row>
    <row r="64" spans="1:232" ht="20.100000000000001" customHeight="1">
      <c r="A64" s="508"/>
      <c r="B64" s="508"/>
      <c r="C64" s="508"/>
      <c r="D64" s="508"/>
      <c r="E64" s="508"/>
      <c r="F64" s="508"/>
      <c r="G64" s="508"/>
      <c r="H64" s="508"/>
      <c r="I64" s="508"/>
      <c r="J64" s="508"/>
    </row>
    <row r="65" spans="1:14" ht="20.100000000000001" customHeight="1">
      <c r="A65" s="508"/>
      <c r="B65" s="508"/>
      <c r="C65" s="508"/>
      <c r="D65" s="508"/>
      <c r="E65" s="508"/>
      <c r="F65" s="508"/>
      <c r="G65" s="508"/>
      <c r="H65" s="508"/>
      <c r="I65" s="508"/>
      <c r="J65" s="508"/>
    </row>
    <row r="66" spans="1:14" ht="20.100000000000001" customHeight="1">
      <c r="A66" s="508"/>
      <c r="B66" s="508"/>
      <c r="C66" s="508"/>
      <c r="D66" s="508"/>
      <c r="E66" s="508"/>
      <c r="F66" s="508"/>
      <c r="G66" s="508"/>
      <c r="H66" s="508"/>
      <c r="I66" s="508"/>
      <c r="J66" s="508"/>
    </row>
    <row r="67" spans="1:14" ht="20.100000000000001" customHeight="1">
      <c r="A67" s="508"/>
      <c r="B67" s="508"/>
      <c r="C67" s="508"/>
      <c r="D67" s="508"/>
      <c r="E67" s="508"/>
      <c r="F67" s="508"/>
      <c r="G67" s="508"/>
      <c r="H67" s="508"/>
      <c r="I67" s="508"/>
      <c r="J67" s="508"/>
    </row>
    <row r="68" spans="1:14" ht="20.100000000000001" customHeight="1">
      <c r="A68" s="508"/>
      <c r="B68" s="508"/>
      <c r="C68" s="508"/>
      <c r="D68" s="508"/>
      <c r="E68" s="508"/>
      <c r="F68" s="508"/>
      <c r="G68" s="508"/>
      <c r="H68" s="508"/>
      <c r="I68" s="508"/>
      <c r="J68" s="508"/>
    </row>
    <row r="69" spans="1:14" ht="20.100000000000001" customHeight="1">
      <c r="A69" s="508"/>
      <c r="B69" s="508"/>
      <c r="C69" s="508"/>
      <c r="D69" s="508"/>
      <c r="E69" s="508"/>
      <c r="F69" s="508"/>
      <c r="G69" s="508"/>
      <c r="H69" s="508"/>
      <c r="I69" s="508"/>
      <c r="J69" s="508"/>
    </row>
    <row r="70" spans="1:14" ht="20.100000000000001" customHeight="1">
      <c r="A70" s="508"/>
      <c r="B70" s="508"/>
      <c r="C70" s="508"/>
      <c r="D70" s="508"/>
      <c r="E70" s="508"/>
      <c r="F70" s="508"/>
      <c r="G70" s="508"/>
      <c r="H70" s="508"/>
      <c r="I70" s="508"/>
      <c r="J70" s="508"/>
    </row>
    <row r="71" spans="1:14" ht="20.100000000000001" customHeight="1">
      <c r="A71" s="508"/>
      <c r="B71" s="508"/>
      <c r="C71" s="508"/>
      <c r="D71" s="508"/>
      <c r="E71" s="508"/>
      <c r="F71" s="508"/>
      <c r="G71" s="508"/>
      <c r="H71" s="508"/>
      <c r="I71" s="508"/>
      <c r="J71" s="508"/>
    </row>
    <row r="72" spans="1:14" ht="20.100000000000001" customHeight="1">
      <c r="A72" s="508"/>
      <c r="B72" s="508"/>
      <c r="C72" s="508"/>
      <c r="D72" s="508"/>
      <c r="E72" s="508"/>
      <c r="F72" s="508"/>
      <c r="G72" s="508"/>
      <c r="H72" s="508"/>
      <c r="I72" s="508"/>
      <c r="J72" s="508"/>
    </row>
    <row r="73" spans="1:14" ht="20.100000000000001" customHeight="1">
      <c r="A73" s="508"/>
      <c r="B73" s="508"/>
      <c r="C73" s="508"/>
      <c r="D73" s="508"/>
      <c r="E73" s="508"/>
      <c r="F73" s="508"/>
      <c r="G73" s="508"/>
      <c r="H73" s="508"/>
      <c r="I73" s="508"/>
      <c r="J73" s="508"/>
      <c r="M73" s="463"/>
      <c r="N73" s="463"/>
    </row>
    <row r="74" spans="1:14" ht="20.100000000000001" customHeight="1">
      <c r="A74" s="508"/>
      <c r="B74" s="508"/>
      <c r="C74" s="508"/>
      <c r="D74" s="508"/>
      <c r="E74" s="508"/>
      <c r="F74" s="508"/>
      <c r="G74" s="508"/>
      <c r="H74" s="508"/>
      <c r="I74" s="508"/>
      <c r="J74" s="508"/>
      <c r="M74" s="463"/>
      <c r="N74" s="463"/>
    </row>
    <row r="75" spans="1:14" ht="20.100000000000001" customHeight="1">
      <c r="A75" s="1698" t="s">
        <v>458</v>
      </c>
      <c r="B75" s="1698"/>
      <c r="C75" s="1698"/>
      <c r="D75" s="1698"/>
      <c r="E75" s="1698"/>
      <c r="F75" s="1699" t="s">
        <v>126</v>
      </c>
      <c r="G75" s="1699"/>
      <c r="H75" s="1699"/>
      <c r="I75" s="1699"/>
      <c r="J75" s="1699"/>
      <c r="M75" s="463"/>
      <c r="N75" s="463"/>
    </row>
    <row r="76" spans="1:14" ht="20.100000000000001" customHeight="1">
      <c r="A76" s="1613" t="s">
        <v>127</v>
      </c>
      <c r="B76" s="1613"/>
      <c r="C76" s="1613"/>
      <c r="D76" s="1613"/>
      <c r="E76" s="1613"/>
      <c r="F76" s="1700" t="s">
        <v>128</v>
      </c>
      <c r="G76" s="1700"/>
      <c r="H76" s="1700"/>
      <c r="I76" s="1700"/>
      <c r="J76" s="1700"/>
      <c r="M76" s="463"/>
      <c r="N76" s="463"/>
    </row>
    <row r="77" spans="1:14" ht="20.100000000000001" customHeight="1">
      <c r="F77" s="1652" t="s">
        <v>404</v>
      </c>
      <c r="G77" s="1653"/>
      <c r="H77" s="1653"/>
      <c r="I77" s="1653"/>
      <c r="J77" s="1653"/>
      <c r="M77" s="463"/>
      <c r="N77" s="463"/>
    </row>
    <row r="78" spans="1:14" ht="20.100000000000001" customHeight="1">
      <c r="A78" s="1697" t="str">
        <f>A4</f>
        <v>Quảng Ninh, ngày……..tháng…….năm 2016</v>
      </c>
      <c r="B78" s="1697"/>
      <c r="C78" s="1697"/>
      <c r="D78" s="1697"/>
      <c r="E78" s="1697"/>
      <c r="F78" s="1697"/>
      <c r="G78" s="1697"/>
      <c r="H78" s="1697"/>
      <c r="I78" s="1697"/>
      <c r="J78" s="1697"/>
      <c r="M78" s="463"/>
      <c r="N78" s="463"/>
    </row>
    <row r="79" spans="1:14" ht="20.100000000000001" customHeight="1">
      <c r="A79" s="509"/>
      <c r="B79" s="509"/>
      <c r="C79" s="509"/>
      <c r="D79" s="509"/>
      <c r="E79" s="509"/>
      <c r="F79" s="510"/>
      <c r="G79" s="510"/>
      <c r="H79" s="510"/>
      <c r="I79" s="510"/>
      <c r="J79" s="510"/>
      <c r="M79" s="463"/>
      <c r="N79" s="463"/>
    </row>
    <row r="80" spans="1:14" ht="19.5">
      <c r="A80" s="1655" t="s">
        <v>438</v>
      </c>
      <c r="B80" s="1656"/>
      <c r="C80" s="1656"/>
      <c r="D80" s="1656"/>
      <c r="E80" s="1656"/>
      <c r="F80" s="1656"/>
      <c r="G80" s="1656"/>
      <c r="H80" s="1656"/>
      <c r="I80" s="1656"/>
      <c r="J80" s="1656"/>
      <c r="M80" s="463"/>
      <c r="N80" s="463"/>
    </row>
    <row r="81" spans="1:232" ht="20.100000000000001" customHeight="1">
      <c r="A81" s="1696" t="str">
        <f>A7</f>
        <v>SỐ: TGHL-HT-CWI-C&amp;S-B1/800</v>
      </c>
      <c r="B81" s="1696"/>
      <c r="C81" s="1696"/>
      <c r="D81" s="1696"/>
      <c r="E81" s="1696"/>
      <c r="F81" s="1696"/>
      <c r="G81" s="1696"/>
      <c r="H81" s="1696"/>
      <c r="I81" s="1696"/>
      <c r="J81" s="1696"/>
    </row>
    <row r="82" spans="1:232" ht="35.1" customHeight="1">
      <c r="A82" s="760" t="str">
        <f>A9</f>
        <v>DỰ ÁN:</v>
      </c>
      <c r="B82" s="778"/>
      <c r="C82" s="1681" t="str">
        <f>C9</f>
        <v>KHU HỖN HỢP CHUNG CƯ, VĂN PHÒNG, TRUNG TÂM THƯƠNG MẠI VÀ NHÀ Ở KẾT HỢP KHU MUA SẮM</v>
      </c>
      <c r="D82" s="1681"/>
      <c r="E82" s="1681"/>
      <c r="F82" s="1681"/>
      <c r="G82" s="1681"/>
      <c r="H82" s="1681"/>
      <c r="I82" s="1681"/>
      <c r="J82" s="1681"/>
      <c r="L82" s="464"/>
      <c r="M82" s="465"/>
    </row>
    <row r="83" spans="1:232" ht="20.100000000000001" customHeight="1">
      <c r="A83" s="760" t="str">
        <f>A10</f>
        <v>CÔNG TRÌNH:</v>
      </c>
      <c r="B83" s="778"/>
      <c r="C83" s="1681" t="str">
        <f>C10</f>
        <v>KHU HỖN HỢP CHUNG CƯ, VĂN PHÒNG, TTTM</v>
      </c>
      <c r="D83" s="1681"/>
      <c r="E83" s="1681"/>
      <c r="F83" s="1681"/>
      <c r="G83" s="1681"/>
      <c r="H83" s="1681"/>
      <c r="I83" s="1681"/>
      <c r="J83" s="1681"/>
      <c r="L83" s="467"/>
    </row>
    <row r="84" spans="1:232" ht="20.100000000000001" customHeight="1">
      <c r="A84" s="760" t="str">
        <f>A11</f>
        <v>GÓI THẦU :</v>
      </c>
      <c r="B84" s="778"/>
      <c r="C84" s="1681" t="str">
        <f>C11</f>
        <v>THI CÔNG CỌC KHOAN NHỒI</v>
      </c>
      <c r="D84" s="1681"/>
      <c r="E84" s="1681"/>
      <c r="F84" s="1681"/>
      <c r="G84" s="1681"/>
      <c r="H84" s="1681"/>
      <c r="I84" s="1681"/>
      <c r="J84" s="1681"/>
      <c r="L84" s="469"/>
      <c r="N84" s="467"/>
    </row>
    <row r="85" spans="1:232">
      <c r="A85" s="760" t="str">
        <f>A12</f>
        <v>ĐỊA ĐIỂM :</v>
      </c>
      <c r="B85" s="778"/>
      <c r="C85" s="1681" t="str">
        <f>C12</f>
        <v>ĐƯỜNG 25/4, P BẠCH ĐẰNG, TP. HẠ LONG, TỈNH QUẢNG NINH</v>
      </c>
      <c r="D85" s="1681"/>
      <c r="E85" s="1681"/>
      <c r="F85" s="1681"/>
      <c r="G85" s="1681"/>
      <c r="H85" s="1681"/>
      <c r="I85" s="1681"/>
      <c r="J85" s="1681"/>
      <c r="L85" s="469"/>
      <c r="N85" s="467"/>
    </row>
    <row r="86" spans="1:232">
      <c r="A86" s="780"/>
      <c r="B86" s="778"/>
      <c r="C86" s="779"/>
      <c r="D86" s="779"/>
      <c r="E86" s="779"/>
      <c r="F86" s="779"/>
      <c r="G86" s="779"/>
      <c r="H86" s="779"/>
      <c r="I86" s="779"/>
      <c r="J86" s="779"/>
      <c r="L86" s="469"/>
      <c r="N86" s="467"/>
    </row>
    <row r="87" spans="1:232">
      <c r="A87" s="778" t="s">
        <v>866</v>
      </c>
      <c r="B87" s="781"/>
      <c r="C87" s="778" t="s">
        <v>820</v>
      </c>
      <c r="D87" s="781"/>
      <c r="E87" s="781"/>
      <c r="F87" s="781"/>
      <c r="G87" s="781"/>
      <c r="H87" s="781"/>
      <c r="I87" s="781"/>
      <c r="J87" s="781"/>
      <c r="L87" s="469"/>
      <c r="N87" s="467"/>
    </row>
    <row r="88" spans="1:232">
      <c r="A88" s="734"/>
      <c r="B88" s="734"/>
      <c r="C88" s="778" t="s">
        <v>867</v>
      </c>
      <c r="D88" s="734"/>
      <c r="E88" s="734"/>
      <c r="F88" s="468"/>
      <c r="G88" s="468"/>
      <c r="H88" s="468"/>
      <c r="I88" s="468"/>
      <c r="J88" s="468"/>
      <c r="M88" s="469"/>
    </row>
    <row r="89" spans="1:232" ht="47.25" customHeight="1">
      <c r="A89" s="1626" t="str">
        <f>'[6]6. BBNT-CT'!A93:J93</f>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
      <c r="B89" s="1627"/>
      <c r="C89" s="1627"/>
      <c r="D89" s="1627"/>
      <c r="E89" s="1627"/>
      <c r="F89" s="1627"/>
      <c r="G89" s="1627"/>
      <c r="H89" s="1627"/>
      <c r="I89" s="1627"/>
      <c r="J89" s="1627"/>
      <c r="M89" s="467"/>
      <c r="N89" s="467"/>
    </row>
    <row r="90" spans="1:232" ht="20.100000000000001" customHeight="1">
      <c r="A90" s="1689" t="s">
        <v>868</v>
      </c>
      <c r="B90" s="1689"/>
      <c r="C90" s="518" t="str">
        <f>A14</f>
        <v>Định vị cọc số hiệu B1</v>
      </c>
      <c r="D90" s="542"/>
      <c r="E90" s="542"/>
      <c r="F90" s="542"/>
      <c r="G90" s="542"/>
      <c r="H90" s="542"/>
      <c r="I90" s="542"/>
      <c r="J90" s="542"/>
      <c r="M90" s="467"/>
      <c r="N90" s="467"/>
      <c r="O90" s="463"/>
    </row>
    <row r="91" spans="1:232" ht="20.100000000000001" customHeight="1">
      <c r="A91" s="543" t="s">
        <v>131</v>
      </c>
      <c r="B91" s="487"/>
      <c r="C91" s="943">
        <f>N16-O11</f>
        <v>0.40509259259259256</v>
      </c>
      <c r="D91" s="1695" t="str">
        <f>E24</f>
        <v>, ngày…..tháng…..năm 2016</v>
      </c>
      <c r="E91" s="1695"/>
      <c r="F91" s="1695"/>
      <c r="G91" s="513"/>
      <c r="H91" s="513"/>
      <c r="I91" s="513"/>
      <c r="J91" s="513"/>
      <c r="L91" s="467"/>
      <c r="M91" s="467"/>
      <c r="N91" s="467"/>
      <c r="O91" s="463"/>
    </row>
    <row r="92" spans="1:232" ht="20.100000000000001" customHeight="1">
      <c r="A92" s="543" t="str">
        <f>'[6]4. BBKT-VL-PO'!A92</f>
        <v>Tại:</v>
      </c>
      <c r="B92" s="487" t="str">
        <f>'[6]4. BBKT-VL-PO'!B92</f>
        <v>Công trình: Khu hỗn hợp chung cư, văn phòng, trung tâm thương mại.</v>
      </c>
      <c r="C92" s="766"/>
      <c r="D92" s="766"/>
      <c r="E92" s="766"/>
      <c r="F92" s="766"/>
      <c r="G92" s="766"/>
      <c r="H92" s="766"/>
      <c r="I92" s="766"/>
      <c r="J92" s="766"/>
      <c r="L92" s="467"/>
      <c r="M92" s="467"/>
      <c r="O92" s="463"/>
    </row>
    <row r="93" spans="1:232" ht="20.100000000000001" customHeight="1">
      <c r="A93" s="487" t="str">
        <f>'[6]4. BBKT-VL-PO'!A93</f>
        <v>Địa điểm: Đường 25/4, Phường Bạch Đằng, TP. Hạ Long, tỉnh Quảng Ninh</v>
      </c>
      <c r="B93" s="487"/>
      <c r="C93" s="766"/>
      <c r="D93" s="766"/>
      <c r="E93" s="766"/>
      <c r="F93" s="766"/>
      <c r="G93" s="766"/>
      <c r="H93" s="766"/>
      <c r="I93" s="766"/>
      <c r="J93" s="766"/>
      <c r="K93" s="472"/>
      <c r="L93" s="469"/>
      <c r="M93" s="469"/>
      <c r="N93" s="470"/>
      <c r="O93" s="463"/>
    </row>
    <row r="94" spans="1:232" ht="17.25" customHeight="1">
      <c r="A94" s="517"/>
      <c r="B94" s="517"/>
      <c r="C94" s="517"/>
      <c r="D94" s="517"/>
      <c r="E94" s="517"/>
      <c r="F94" s="519"/>
      <c r="G94" s="519"/>
      <c r="H94" s="519"/>
      <c r="I94" s="519"/>
      <c r="J94" s="519"/>
      <c r="K94" s="175"/>
      <c r="L94" s="520"/>
      <c r="M94" s="520"/>
      <c r="N94" s="473"/>
      <c r="O94" s="463"/>
    </row>
    <row r="95" spans="1:232" s="464" customFormat="1" ht="39.75" customHeight="1">
      <c r="A95" s="1631" t="s">
        <v>869</v>
      </c>
      <c r="B95" s="1632"/>
      <c r="C95" s="1633"/>
      <c r="D95" s="1606" t="s">
        <v>870</v>
      </c>
      <c r="E95" s="1606"/>
      <c r="F95" s="1690" t="s">
        <v>409</v>
      </c>
      <c r="G95" s="1691"/>
      <c r="H95" s="1691"/>
      <c r="I95" s="1691"/>
      <c r="J95" s="1692"/>
      <c r="K95" s="463"/>
      <c r="L95" s="463"/>
      <c r="M95" s="469"/>
      <c r="N95" s="470"/>
      <c r="O95" s="463"/>
      <c r="Y95" s="468"/>
      <c r="Z95" s="468"/>
      <c r="AA95" s="468"/>
      <c r="AB95" s="468"/>
      <c r="AC95" s="468"/>
      <c r="AD95" s="468"/>
      <c r="AE95" s="463"/>
      <c r="AF95" s="463"/>
      <c r="AG95" s="463"/>
      <c r="AH95" s="463"/>
      <c r="AI95" s="463"/>
      <c r="AJ95" s="463"/>
      <c r="AK95" s="463"/>
      <c r="AL95" s="463"/>
      <c r="AM95" s="463"/>
      <c r="AN95" s="463"/>
      <c r="AO95" s="463"/>
      <c r="AP95" s="463"/>
      <c r="AQ95" s="463"/>
      <c r="AR95" s="463"/>
      <c r="AS95" s="463"/>
      <c r="AT95" s="463"/>
      <c r="AU95" s="463"/>
      <c r="AV95" s="463"/>
      <c r="AW95" s="463"/>
      <c r="AX95" s="463"/>
      <c r="AY95" s="463"/>
      <c r="AZ95" s="463"/>
      <c r="BA95" s="463"/>
      <c r="BB95" s="463"/>
      <c r="BC95" s="463"/>
      <c r="BD95" s="463"/>
      <c r="BE95" s="463"/>
      <c r="BF95" s="463"/>
      <c r="BG95" s="463"/>
      <c r="BH95" s="463"/>
      <c r="BI95" s="463"/>
      <c r="BJ95" s="463"/>
      <c r="BK95" s="463"/>
      <c r="BL95" s="463"/>
      <c r="BM95" s="463"/>
      <c r="BN95" s="463"/>
      <c r="BO95" s="463"/>
      <c r="BP95" s="463"/>
      <c r="BQ95" s="463"/>
      <c r="BR95" s="463"/>
      <c r="BS95" s="463"/>
      <c r="BT95" s="463"/>
      <c r="BU95" s="463"/>
      <c r="BV95" s="463"/>
      <c r="BW95" s="463"/>
      <c r="BX95" s="463"/>
      <c r="BY95" s="463"/>
      <c r="BZ95" s="463"/>
      <c r="CA95" s="463"/>
      <c r="CB95" s="463"/>
      <c r="CC95" s="463"/>
      <c r="CD95" s="463"/>
      <c r="CE95" s="463"/>
      <c r="CF95" s="463"/>
      <c r="CG95" s="463"/>
      <c r="CH95" s="463"/>
      <c r="CI95" s="463"/>
      <c r="CJ95" s="463"/>
      <c r="CK95" s="463"/>
      <c r="CL95" s="463"/>
      <c r="CM95" s="463"/>
      <c r="CN95" s="463"/>
      <c r="CO95" s="463"/>
      <c r="CP95" s="463"/>
      <c r="CQ95" s="463"/>
      <c r="CR95" s="463"/>
      <c r="CS95" s="463"/>
      <c r="CT95" s="463"/>
      <c r="CU95" s="463"/>
      <c r="CV95" s="463"/>
      <c r="CW95" s="463"/>
      <c r="CX95" s="463"/>
      <c r="CY95" s="463"/>
      <c r="CZ95" s="463"/>
      <c r="DA95" s="463"/>
      <c r="DB95" s="463"/>
      <c r="DC95" s="463"/>
      <c r="DD95" s="463"/>
      <c r="DE95" s="463"/>
      <c r="DF95" s="463"/>
      <c r="DG95" s="463"/>
      <c r="DH95" s="463"/>
      <c r="DI95" s="463"/>
      <c r="DJ95" s="463"/>
      <c r="DK95" s="463"/>
      <c r="DL95" s="463"/>
      <c r="DM95" s="463"/>
      <c r="DN95" s="463"/>
      <c r="DO95" s="463"/>
      <c r="DP95" s="463"/>
      <c r="DQ95" s="463"/>
      <c r="DR95" s="463"/>
      <c r="DS95" s="463"/>
      <c r="DT95" s="463"/>
      <c r="DU95" s="463"/>
      <c r="DV95" s="463"/>
      <c r="DW95" s="463"/>
      <c r="DX95" s="463"/>
      <c r="DY95" s="463"/>
      <c r="DZ95" s="463"/>
      <c r="EA95" s="463"/>
      <c r="EB95" s="463"/>
      <c r="EC95" s="463"/>
      <c r="ED95" s="463"/>
      <c r="EE95" s="463"/>
      <c r="EF95" s="463"/>
      <c r="EG95" s="463"/>
      <c r="EH95" s="463"/>
      <c r="EI95" s="463"/>
      <c r="EJ95" s="463"/>
      <c r="EK95" s="463"/>
      <c r="EL95" s="463"/>
      <c r="EM95" s="463"/>
      <c r="EN95" s="463"/>
      <c r="EO95" s="463"/>
      <c r="EP95" s="463"/>
      <c r="EQ95" s="463"/>
      <c r="ER95" s="463"/>
      <c r="ES95" s="463"/>
      <c r="ET95" s="463"/>
      <c r="EU95" s="463"/>
      <c r="EV95" s="463"/>
      <c r="EW95" s="463"/>
      <c r="EX95" s="463"/>
      <c r="EY95" s="463"/>
      <c r="EZ95" s="463"/>
      <c r="FA95" s="463"/>
      <c r="FB95" s="463"/>
      <c r="FC95" s="463"/>
      <c r="FD95" s="463"/>
      <c r="FE95" s="463"/>
      <c r="FF95" s="463"/>
      <c r="FG95" s="463"/>
      <c r="FH95" s="463"/>
      <c r="FI95" s="463"/>
      <c r="FJ95" s="463"/>
      <c r="FK95" s="463"/>
      <c r="FL95" s="463"/>
      <c r="FM95" s="463"/>
      <c r="FN95" s="463"/>
      <c r="FO95" s="463"/>
      <c r="FP95" s="463"/>
      <c r="FQ95" s="463"/>
      <c r="FR95" s="463"/>
      <c r="FS95" s="463"/>
      <c r="FT95" s="463"/>
      <c r="FU95" s="463"/>
      <c r="FV95" s="463"/>
      <c r="FW95" s="463"/>
      <c r="FX95" s="463"/>
      <c r="FY95" s="463"/>
      <c r="FZ95" s="463"/>
      <c r="GA95" s="463"/>
      <c r="GB95" s="463"/>
      <c r="GC95" s="463"/>
      <c r="GD95" s="463"/>
      <c r="GE95" s="463"/>
      <c r="GF95" s="463"/>
      <c r="GG95" s="463"/>
      <c r="GH95" s="463"/>
      <c r="GI95" s="463"/>
      <c r="GJ95" s="463"/>
      <c r="GK95" s="463"/>
      <c r="GL95" s="463"/>
      <c r="GM95" s="463"/>
      <c r="GN95" s="463"/>
      <c r="GO95" s="463"/>
      <c r="GP95" s="463"/>
      <c r="GQ95" s="463"/>
      <c r="GR95" s="463"/>
      <c r="GS95" s="463"/>
      <c r="GT95" s="463"/>
      <c r="GU95" s="463"/>
      <c r="GV95" s="463"/>
      <c r="GW95" s="463"/>
      <c r="GX95" s="463"/>
      <c r="GY95" s="463"/>
      <c r="GZ95" s="463"/>
      <c r="HA95" s="463"/>
      <c r="HB95" s="463"/>
      <c r="HC95" s="463"/>
      <c r="HD95" s="463"/>
      <c r="HE95" s="463"/>
      <c r="HF95" s="463"/>
      <c r="HG95" s="463"/>
      <c r="HH95" s="463"/>
      <c r="HI95" s="463"/>
      <c r="HJ95" s="463"/>
      <c r="HK95" s="463"/>
      <c r="HL95" s="463"/>
      <c r="HM95" s="463"/>
      <c r="HN95" s="463"/>
      <c r="HO95" s="463"/>
      <c r="HP95" s="463"/>
      <c r="HQ95" s="463"/>
      <c r="HR95" s="463"/>
      <c r="HS95" s="463"/>
      <c r="HT95" s="463"/>
      <c r="HU95" s="463"/>
      <c r="HV95" s="463"/>
      <c r="HW95" s="463"/>
      <c r="HX95" s="463"/>
    </row>
    <row r="96" spans="1:232" s="464" customFormat="1" ht="34.5" customHeight="1">
      <c r="A96" s="1634"/>
      <c r="B96" s="1635"/>
      <c r="C96" s="1636"/>
      <c r="D96" s="1727">
        <f>N10+O11+O11/3</f>
        <v>0.4043209876543209</v>
      </c>
      <c r="E96" s="1729">
        <f>N17</f>
        <v>42466</v>
      </c>
      <c r="F96" s="1645"/>
      <c r="G96" s="1646"/>
      <c r="H96" s="1646"/>
      <c r="I96" s="1646"/>
      <c r="J96" s="1647"/>
      <c r="K96" s="463"/>
      <c r="L96" s="463"/>
      <c r="M96" s="469"/>
      <c r="N96" s="470"/>
      <c r="O96" s="463"/>
      <c r="Y96" s="468"/>
      <c r="Z96" s="468"/>
      <c r="AA96" s="468"/>
      <c r="AB96" s="468"/>
      <c r="AC96" s="468"/>
      <c r="AD96" s="468"/>
      <c r="AE96" s="463"/>
      <c r="AF96" s="463"/>
      <c r="AG96" s="463"/>
      <c r="AH96" s="463"/>
      <c r="AI96" s="463"/>
      <c r="AJ96" s="463"/>
      <c r="AK96" s="463"/>
      <c r="AL96" s="463"/>
      <c r="AM96" s="463"/>
      <c r="AN96" s="463"/>
      <c r="AO96" s="463"/>
      <c r="AP96" s="463"/>
      <c r="AQ96" s="463"/>
      <c r="AR96" s="463"/>
      <c r="AS96" s="463"/>
      <c r="AT96" s="463"/>
      <c r="AU96" s="463"/>
      <c r="AV96" s="463"/>
      <c r="AW96" s="463"/>
      <c r="AX96" s="463"/>
      <c r="AY96" s="463"/>
      <c r="AZ96" s="463"/>
      <c r="BA96" s="463"/>
      <c r="BB96" s="463"/>
      <c r="BC96" s="463"/>
      <c r="BD96" s="463"/>
      <c r="BE96" s="463"/>
      <c r="BF96" s="463"/>
      <c r="BG96" s="463"/>
      <c r="BH96" s="463"/>
      <c r="BI96" s="463"/>
      <c r="BJ96" s="463"/>
      <c r="BK96" s="463"/>
      <c r="BL96" s="463"/>
      <c r="BM96" s="463"/>
      <c r="BN96" s="463"/>
      <c r="BO96" s="463"/>
      <c r="BP96" s="463"/>
      <c r="BQ96" s="463"/>
      <c r="BR96" s="463"/>
      <c r="BS96" s="463"/>
      <c r="BT96" s="463"/>
      <c r="BU96" s="463"/>
      <c r="BV96" s="463"/>
      <c r="BW96" s="463"/>
      <c r="BX96" s="463"/>
      <c r="BY96" s="463"/>
      <c r="BZ96" s="463"/>
      <c r="CA96" s="463"/>
      <c r="CB96" s="463"/>
      <c r="CC96" s="463"/>
      <c r="CD96" s="463"/>
      <c r="CE96" s="463"/>
      <c r="CF96" s="463"/>
      <c r="CG96" s="463"/>
      <c r="CH96" s="463"/>
      <c r="CI96" s="463"/>
      <c r="CJ96" s="463"/>
      <c r="CK96" s="463"/>
      <c r="CL96" s="463"/>
      <c r="CM96" s="463"/>
      <c r="CN96" s="463"/>
      <c r="CO96" s="463"/>
      <c r="CP96" s="463"/>
      <c r="CQ96" s="463"/>
      <c r="CR96" s="463"/>
      <c r="CS96" s="463"/>
      <c r="CT96" s="463"/>
      <c r="CU96" s="463"/>
      <c r="CV96" s="463"/>
      <c r="CW96" s="463"/>
      <c r="CX96" s="463"/>
      <c r="CY96" s="463"/>
      <c r="CZ96" s="463"/>
      <c r="DA96" s="463"/>
      <c r="DB96" s="463"/>
      <c r="DC96" s="463"/>
      <c r="DD96" s="463"/>
      <c r="DE96" s="463"/>
      <c r="DF96" s="463"/>
      <c r="DG96" s="463"/>
      <c r="DH96" s="463"/>
      <c r="DI96" s="463"/>
      <c r="DJ96" s="463"/>
      <c r="DK96" s="463"/>
      <c r="DL96" s="463"/>
      <c r="DM96" s="463"/>
      <c r="DN96" s="463"/>
      <c r="DO96" s="463"/>
      <c r="DP96" s="463"/>
      <c r="DQ96" s="463"/>
      <c r="DR96" s="463"/>
      <c r="DS96" s="463"/>
      <c r="DT96" s="463"/>
      <c r="DU96" s="463"/>
      <c r="DV96" s="463"/>
      <c r="DW96" s="463"/>
      <c r="DX96" s="463"/>
      <c r="DY96" s="463"/>
      <c r="DZ96" s="463"/>
      <c r="EA96" s="463"/>
      <c r="EB96" s="463"/>
      <c r="EC96" s="463"/>
      <c r="ED96" s="463"/>
      <c r="EE96" s="463"/>
      <c r="EF96" s="463"/>
      <c r="EG96" s="463"/>
      <c r="EH96" s="463"/>
      <c r="EI96" s="463"/>
      <c r="EJ96" s="463"/>
      <c r="EK96" s="463"/>
      <c r="EL96" s="463"/>
      <c r="EM96" s="463"/>
      <c r="EN96" s="463"/>
      <c r="EO96" s="463"/>
      <c r="EP96" s="463"/>
      <c r="EQ96" s="463"/>
      <c r="ER96" s="463"/>
      <c r="ES96" s="463"/>
      <c r="ET96" s="463"/>
      <c r="EU96" s="463"/>
      <c r="EV96" s="463"/>
      <c r="EW96" s="463"/>
      <c r="EX96" s="463"/>
      <c r="EY96" s="463"/>
      <c r="EZ96" s="463"/>
      <c r="FA96" s="463"/>
      <c r="FB96" s="463"/>
      <c r="FC96" s="463"/>
      <c r="FD96" s="463"/>
      <c r="FE96" s="463"/>
      <c r="FF96" s="463"/>
      <c r="FG96" s="463"/>
      <c r="FH96" s="463"/>
      <c r="FI96" s="463"/>
      <c r="FJ96" s="463"/>
      <c r="FK96" s="463"/>
      <c r="FL96" s="463"/>
      <c r="FM96" s="463"/>
      <c r="FN96" s="463"/>
      <c r="FO96" s="463"/>
      <c r="FP96" s="463"/>
      <c r="FQ96" s="463"/>
      <c r="FR96" s="463"/>
      <c r="FS96" s="463"/>
      <c r="FT96" s="463"/>
      <c r="FU96" s="463"/>
      <c r="FV96" s="463"/>
      <c r="FW96" s="463"/>
      <c r="FX96" s="463"/>
      <c r="FY96" s="463"/>
      <c r="FZ96" s="463"/>
      <c r="GA96" s="463"/>
      <c r="GB96" s="463"/>
      <c r="GC96" s="463"/>
      <c r="GD96" s="463"/>
      <c r="GE96" s="463"/>
      <c r="GF96" s="463"/>
      <c r="GG96" s="463"/>
      <c r="GH96" s="463"/>
      <c r="GI96" s="463"/>
      <c r="GJ96" s="463"/>
      <c r="GK96" s="463"/>
      <c r="GL96" s="463"/>
      <c r="GM96" s="463"/>
      <c r="GN96" s="463"/>
      <c r="GO96" s="463"/>
      <c r="GP96" s="463"/>
      <c r="GQ96" s="463"/>
      <c r="GR96" s="463"/>
      <c r="GS96" s="463"/>
      <c r="GT96" s="463"/>
      <c r="GU96" s="463"/>
      <c r="GV96" s="463"/>
      <c r="GW96" s="463"/>
      <c r="GX96" s="463"/>
      <c r="GY96" s="463"/>
      <c r="GZ96" s="463"/>
      <c r="HA96" s="463"/>
      <c r="HB96" s="463"/>
      <c r="HC96" s="463"/>
      <c r="HD96" s="463"/>
      <c r="HE96" s="463"/>
      <c r="HF96" s="463"/>
      <c r="HG96" s="463"/>
      <c r="HH96" s="463"/>
      <c r="HI96" s="463"/>
      <c r="HJ96" s="463"/>
      <c r="HK96" s="463"/>
      <c r="HL96" s="463"/>
      <c r="HM96" s="463"/>
      <c r="HN96" s="463"/>
      <c r="HO96" s="463"/>
      <c r="HP96" s="463"/>
      <c r="HQ96" s="463"/>
      <c r="HR96" s="463"/>
      <c r="HS96" s="463"/>
      <c r="HT96" s="463"/>
      <c r="HU96" s="463"/>
      <c r="HV96" s="463"/>
      <c r="HW96" s="463"/>
      <c r="HX96" s="463"/>
    </row>
    <row r="97" spans="1:232" s="464" customFormat="1" ht="20.100000000000001" customHeight="1">
      <c r="A97" s="1637"/>
      <c r="B97" s="1638"/>
      <c r="C97" s="1639"/>
      <c r="D97" s="1728"/>
      <c r="E97" s="1730"/>
      <c r="F97" s="1648"/>
      <c r="G97" s="1649"/>
      <c r="H97" s="1649"/>
      <c r="I97" s="1649"/>
      <c r="J97" s="1650"/>
      <c r="K97" s="463"/>
      <c r="L97" s="463"/>
      <c r="M97" s="469"/>
      <c r="N97" s="470"/>
      <c r="O97" s="463"/>
      <c r="Y97" s="468"/>
      <c r="Z97" s="468"/>
      <c r="AA97" s="468"/>
      <c r="AB97" s="468"/>
      <c r="AC97" s="468"/>
      <c r="AD97" s="468"/>
      <c r="AE97" s="463"/>
      <c r="AF97" s="463"/>
      <c r="AG97" s="463"/>
      <c r="AH97" s="463"/>
      <c r="AI97" s="463"/>
      <c r="AJ97" s="463"/>
      <c r="AK97" s="463"/>
      <c r="AL97" s="463"/>
      <c r="AM97" s="463"/>
      <c r="AN97" s="463"/>
      <c r="AO97" s="463"/>
      <c r="AP97" s="463"/>
      <c r="AQ97" s="463"/>
      <c r="AR97" s="463"/>
      <c r="AS97" s="463"/>
      <c r="AT97" s="463"/>
      <c r="AU97" s="463"/>
      <c r="AV97" s="463"/>
      <c r="AW97" s="463"/>
      <c r="AX97" s="463"/>
      <c r="AY97" s="463"/>
      <c r="AZ97" s="463"/>
      <c r="BA97" s="463"/>
      <c r="BB97" s="463"/>
      <c r="BC97" s="463"/>
      <c r="BD97" s="463"/>
      <c r="BE97" s="463"/>
      <c r="BF97" s="463"/>
      <c r="BG97" s="463"/>
      <c r="BH97" s="463"/>
      <c r="BI97" s="463"/>
      <c r="BJ97" s="463"/>
      <c r="BK97" s="463"/>
      <c r="BL97" s="463"/>
      <c r="BM97" s="463"/>
      <c r="BN97" s="463"/>
      <c r="BO97" s="463"/>
      <c r="BP97" s="463"/>
      <c r="BQ97" s="463"/>
      <c r="BR97" s="463"/>
      <c r="BS97" s="463"/>
      <c r="BT97" s="463"/>
      <c r="BU97" s="463"/>
      <c r="BV97" s="463"/>
      <c r="BW97" s="463"/>
      <c r="BX97" s="463"/>
      <c r="BY97" s="463"/>
      <c r="BZ97" s="463"/>
      <c r="CA97" s="463"/>
      <c r="CB97" s="463"/>
      <c r="CC97" s="463"/>
      <c r="CD97" s="463"/>
      <c r="CE97" s="463"/>
      <c r="CF97" s="463"/>
      <c r="CG97" s="463"/>
      <c r="CH97" s="463"/>
      <c r="CI97" s="463"/>
      <c r="CJ97" s="463"/>
      <c r="CK97" s="463"/>
      <c r="CL97" s="463"/>
      <c r="CM97" s="463"/>
      <c r="CN97" s="463"/>
      <c r="CO97" s="463"/>
      <c r="CP97" s="463"/>
      <c r="CQ97" s="463"/>
      <c r="CR97" s="463"/>
      <c r="CS97" s="463"/>
      <c r="CT97" s="463"/>
      <c r="CU97" s="463"/>
      <c r="CV97" s="463"/>
      <c r="CW97" s="463"/>
      <c r="CX97" s="463"/>
      <c r="CY97" s="463"/>
      <c r="CZ97" s="463"/>
      <c r="DA97" s="463"/>
      <c r="DB97" s="463"/>
      <c r="DC97" s="463"/>
      <c r="DD97" s="463"/>
      <c r="DE97" s="463"/>
      <c r="DF97" s="463"/>
      <c r="DG97" s="463"/>
      <c r="DH97" s="463"/>
      <c r="DI97" s="463"/>
      <c r="DJ97" s="463"/>
      <c r="DK97" s="463"/>
      <c r="DL97" s="463"/>
      <c r="DM97" s="463"/>
      <c r="DN97" s="463"/>
      <c r="DO97" s="463"/>
      <c r="DP97" s="463"/>
      <c r="DQ97" s="463"/>
      <c r="DR97" s="463"/>
      <c r="DS97" s="463"/>
      <c r="DT97" s="463"/>
      <c r="DU97" s="463"/>
      <c r="DV97" s="463"/>
      <c r="DW97" s="463"/>
      <c r="DX97" s="463"/>
      <c r="DY97" s="463"/>
      <c r="DZ97" s="463"/>
      <c r="EA97" s="463"/>
      <c r="EB97" s="463"/>
      <c r="EC97" s="463"/>
      <c r="ED97" s="463"/>
      <c r="EE97" s="463"/>
      <c r="EF97" s="463"/>
      <c r="EG97" s="463"/>
      <c r="EH97" s="463"/>
      <c r="EI97" s="463"/>
      <c r="EJ97" s="463"/>
      <c r="EK97" s="463"/>
      <c r="EL97" s="463"/>
      <c r="EM97" s="463"/>
      <c r="EN97" s="463"/>
      <c r="EO97" s="463"/>
      <c r="EP97" s="463"/>
      <c r="EQ97" s="463"/>
      <c r="ER97" s="463"/>
      <c r="ES97" s="463"/>
      <c r="ET97" s="463"/>
      <c r="EU97" s="463"/>
      <c r="EV97" s="463"/>
      <c r="EW97" s="463"/>
      <c r="EX97" s="463"/>
      <c r="EY97" s="463"/>
      <c r="EZ97" s="463"/>
      <c r="FA97" s="463"/>
      <c r="FB97" s="463"/>
      <c r="FC97" s="463"/>
      <c r="FD97" s="463"/>
      <c r="FE97" s="463"/>
      <c r="FF97" s="463"/>
      <c r="FG97" s="463"/>
      <c r="FH97" s="463"/>
      <c r="FI97" s="463"/>
      <c r="FJ97" s="463"/>
      <c r="FK97" s="463"/>
      <c r="FL97" s="463"/>
      <c r="FM97" s="463"/>
      <c r="FN97" s="463"/>
      <c r="FO97" s="463"/>
      <c r="FP97" s="463"/>
      <c r="FQ97" s="463"/>
      <c r="FR97" s="463"/>
      <c r="FS97" s="463"/>
      <c r="FT97" s="463"/>
      <c r="FU97" s="463"/>
      <c r="FV97" s="463"/>
      <c r="FW97" s="463"/>
      <c r="FX97" s="463"/>
      <c r="FY97" s="463"/>
      <c r="FZ97" s="463"/>
      <c r="GA97" s="463"/>
      <c r="GB97" s="463"/>
      <c r="GC97" s="463"/>
      <c r="GD97" s="463"/>
      <c r="GE97" s="463"/>
      <c r="GF97" s="463"/>
      <c r="GG97" s="463"/>
      <c r="GH97" s="463"/>
      <c r="GI97" s="463"/>
      <c r="GJ97" s="463"/>
      <c r="GK97" s="463"/>
      <c r="GL97" s="463"/>
      <c r="GM97" s="463"/>
      <c r="GN97" s="463"/>
      <c r="GO97" s="463"/>
      <c r="GP97" s="463"/>
      <c r="GQ97" s="463"/>
      <c r="GR97" s="463"/>
      <c r="GS97" s="463"/>
      <c r="GT97" s="463"/>
      <c r="GU97" s="463"/>
      <c r="GV97" s="463"/>
      <c r="GW97" s="463"/>
      <c r="GX97" s="463"/>
      <c r="GY97" s="463"/>
      <c r="GZ97" s="463"/>
      <c r="HA97" s="463"/>
      <c r="HB97" s="463"/>
      <c r="HC97" s="463"/>
      <c r="HD97" s="463"/>
      <c r="HE97" s="463"/>
      <c r="HF97" s="463"/>
      <c r="HG97" s="463"/>
      <c r="HH97" s="463"/>
      <c r="HI97" s="463"/>
      <c r="HJ97" s="463"/>
      <c r="HK97" s="463"/>
      <c r="HL97" s="463"/>
      <c r="HM97" s="463"/>
      <c r="HN97" s="463"/>
      <c r="HO97" s="463"/>
      <c r="HP97" s="463"/>
      <c r="HQ97" s="463"/>
      <c r="HR97" s="463"/>
      <c r="HS97" s="463"/>
      <c r="HT97" s="463"/>
      <c r="HU97" s="463"/>
      <c r="HV97" s="463"/>
      <c r="HW97" s="463"/>
      <c r="HX97" s="463"/>
    </row>
    <row r="98" spans="1:232" s="464" customFormat="1" ht="37.5" customHeight="1">
      <c r="A98" s="1631" t="s">
        <v>197</v>
      </c>
      <c r="B98" s="1632"/>
      <c r="C98" s="1633"/>
      <c r="D98" s="1606" t="s">
        <v>870</v>
      </c>
      <c r="E98" s="1606"/>
      <c r="F98" s="1690" t="s">
        <v>409</v>
      </c>
      <c r="G98" s="1691"/>
      <c r="H98" s="1691"/>
      <c r="I98" s="1691"/>
      <c r="J98" s="1692"/>
      <c r="K98" s="463"/>
      <c r="L98" s="463"/>
      <c r="M98" s="469"/>
      <c r="N98" s="470"/>
      <c r="Y98" s="468"/>
      <c r="Z98" s="468"/>
      <c r="AA98" s="468"/>
      <c r="AB98" s="468"/>
      <c r="AC98" s="468"/>
      <c r="AD98" s="468"/>
      <c r="AE98" s="463"/>
      <c r="AF98" s="463"/>
      <c r="AG98" s="463"/>
      <c r="AH98" s="463"/>
      <c r="AI98" s="463"/>
      <c r="AJ98" s="463"/>
      <c r="AK98" s="463"/>
      <c r="AL98" s="463"/>
      <c r="AM98" s="463"/>
      <c r="AN98" s="463"/>
      <c r="AO98" s="463"/>
      <c r="AP98" s="463"/>
      <c r="AQ98" s="463"/>
      <c r="AR98" s="463"/>
      <c r="AS98" s="463"/>
      <c r="AT98" s="463"/>
      <c r="AU98" s="463"/>
      <c r="AV98" s="463"/>
      <c r="AW98" s="463"/>
      <c r="AX98" s="463"/>
      <c r="AY98" s="463"/>
      <c r="AZ98" s="463"/>
      <c r="BA98" s="463"/>
      <c r="BB98" s="463"/>
      <c r="BC98" s="463"/>
      <c r="BD98" s="463"/>
      <c r="BE98" s="463"/>
      <c r="BF98" s="463"/>
      <c r="BG98" s="463"/>
      <c r="BH98" s="463"/>
      <c r="BI98" s="463"/>
      <c r="BJ98" s="463"/>
      <c r="BK98" s="463"/>
      <c r="BL98" s="463"/>
      <c r="BM98" s="463"/>
      <c r="BN98" s="463"/>
      <c r="BO98" s="463"/>
      <c r="BP98" s="463"/>
      <c r="BQ98" s="463"/>
      <c r="BR98" s="463"/>
      <c r="BS98" s="463"/>
      <c r="BT98" s="463"/>
      <c r="BU98" s="463"/>
      <c r="BV98" s="463"/>
      <c r="BW98" s="463"/>
      <c r="BX98" s="463"/>
      <c r="BY98" s="463"/>
      <c r="BZ98" s="463"/>
      <c r="CA98" s="463"/>
      <c r="CB98" s="463"/>
      <c r="CC98" s="463"/>
      <c r="CD98" s="463"/>
      <c r="CE98" s="463"/>
      <c r="CF98" s="463"/>
      <c r="CG98" s="463"/>
      <c r="CH98" s="463"/>
      <c r="CI98" s="463"/>
      <c r="CJ98" s="463"/>
      <c r="CK98" s="463"/>
      <c r="CL98" s="463"/>
      <c r="CM98" s="463"/>
      <c r="CN98" s="463"/>
      <c r="CO98" s="463"/>
      <c r="CP98" s="463"/>
      <c r="CQ98" s="463"/>
      <c r="CR98" s="463"/>
      <c r="CS98" s="463"/>
      <c r="CT98" s="463"/>
      <c r="CU98" s="463"/>
      <c r="CV98" s="463"/>
      <c r="CW98" s="463"/>
      <c r="CX98" s="463"/>
      <c r="CY98" s="463"/>
      <c r="CZ98" s="463"/>
      <c r="DA98" s="463"/>
      <c r="DB98" s="463"/>
      <c r="DC98" s="463"/>
      <c r="DD98" s="463"/>
      <c r="DE98" s="463"/>
      <c r="DF98" s="463"/>
      <c r="DG98" s="463"/>
      <c r="DH98" s="463"/>
      <c r="DI98" s="463"/>
      <c r="DJ98" s="463"/>
      <c r="DK98" s="463"/>
      <c r="DL98" s="463"/>
      <c r="DM98" s="463"/>
      <c r="DN98" s="463"/>
      <c r="DO98" s="463"/>
      <c r="DP98" s="463"/>
      <c r="DQ98" s="463"/>
      <c r="DR98" s="463"/>
      <c r="DS98" s="463"/>
      <c r="DT98" s="463"/>
      <c r="DU98" s="463"/>
      <c r="DV98" s="463"/>
      <c r="DW98" s="463"/>
      <c r="DX98" s="463"/>
      <c r="DY98" s="463"/>
      <c r="DZ98" s="463"/>
      <c r="EA98" s="463"/>
      <c r="EB98" s="463"/>
      <c r="EC98" s="463"/>
      <c r="ED98" s="463"/>
      <c r="EE98" s="463"/>
      <c r="EF98" s="463"/>
      <c r="EG98" s="463"/>
      <c r="EH98" s="463"/>
      <c r="EI98" s="463"/>
      <c r="EJ98" s="463"/>
      <c r="EK98" s="463"/>
      <c r="EL98" s="463"/>
      <c r="EM98" s="463"/>
      <c r="EN98" s="463"/>
      <c r="EO98" s="463"/>
      <c r="EP98" s="463"/>
      <c r="EQ98" s="463"/>
      <c r="ER98" s="463"/>
      <c r="ES98" s="463"/>
      <c r="ET98" s="463"/>
      <c r="EU98" s="463"/>
      <c r="EV98" s="463"/>
      <c r="EW98" s="463"/>
      <c r="EX98" s="463"/>
      <c r="EY98" s="463"/>
      <c r="EZ98" s="463"/>
      <c r="FA98" s="463"/>
      <c r="FB98" s="463"/>
      <c r="FC98" s="463"/>
      <c r="FD98" s="463"/>
      <c r="FE98" s="463"/>
      <c r="FF98" s="463"/>
      <c r="FG98" s="463"/>
      <c r="FH98" s="463"/>
      <c r="FI98" s="463"/>
      <c r="FJ98" s="463"/>
      <c r="FK98" s="463"/>
      <c r="FL98" s="463"/>
      <c r="FM98" s="463"/>
      <c r="FN98" s="463"/>
      <c r="FO98" s="463"/>
      <c r="FP98" s="463"/>
      <c r="FQ98" s="463"/>
      <c r="FR98" s="463"/>
      <c r="FS98" s="463"/>
      <c r="FT98" s="463"/>
      <c r="FU98" s="463"/>
      <c r="FV98" s="463"/>
      <c r="FW98" s="463"/>
      <c r="FX98" s="463"/>
      <c r="FY98" s="463"/>
      <c r="FZ98" s="463"/>
      <c r="GA98" s="463"/>
      <c r="GB98" s="463"/>
      <c r="GC98" s="463"/>
      <c r="GD98" s="463"/>
      <c r="GE98" s="463"/>
      <c r="GF98" s="463"/>
      <c r="GG98" s="463"/>
      <c r="GH98" s="463"/>
      <c r="GI98" s="463"/>
      <c r="GJ98" s="463"/>
      <c r="GK98" s="463"/>
      <c r="GL98" s="463"/>
      <c r="GM98" s="463"/>
      <c r="GN98" s="463"/>
      <c r="GO98" s="463"/>
      <c r="GP98" s="463"/>
      <c r="GQ98" s="463"/>
      <c r="GR98" s="463"/>
      <c r="GS98" s="463"/>
      <c r="GT98" s="463"/>
      <c r="GU98" s="463"/>
      <c r="GV98" s="463"/>
      <c r="GW98" s="463"/>
      <c r="GX98" s="463"/>
      <c r="GY98" s="463"/>
      <c r="GZ98" s="463"/>
      <c r="HA98" s="463"/>
      <c r="HB98" s="463"/>
      <c r="HC98" s="463"/>
      <c r="HD98" s="463"/>
      <c r="HE98" s="463"/>
      <c r="HF98" s="463"/>
      <c r="HG98" s="463"/>
      <c r="HH98" s="463"/>
      <c r="HI98" s="463"/>
      <c r="HJ98" s="463"/>
      <c r="HK98" s="463"/>
      <c r="HL98" s="463"/>
      <c r="HM98" s="463"/>
      <c r="HN98" s="463"/>
      <c r="HO98" s="463"/>
      <c r="HP98" s="463"/>
      <c r="HQ98" s="463"/>
      <c r="HR98" s="463"/>
      <c r="HS98" s="463"/>
      <c r="HT98" s="463"/>
      <c r="HU98" s="463"/>
      <c r="HV98" s="463"/>
      <c r="HW98" s="463"/>
      <c r="HX98" s="463"/>
    </row>
    <row r="99" spans="1:232" s="464" customFormat="1" ht="42" customHeight="1">
      <c r="A99" s="1634"/>
      <c r="B99" s="1635"/>
      <c r="C99" s="1636"/>
      <c r="D99" s="1727">
        <f>D96+O11/3</f>
        <v>0.40470679012345667</v>
      </c>
      <c r="E99" s="1729">
        <f>E96</f>
        <v>42466</v>
      </c>
      <c r="F99" s="1645"/>
      <c r="G99" s="1646"/>
      <c r="H99" s="1646"/>
      <c r="I99" s="1646"/>
      <c r="J99" s="1647"/>
      <c r="K99" s="175"/>
      <c r="L99" s="520"/>
      <c r="M99" s="520"/>
      <c r="N99" s="473"/>
      <c r="Y99" s="468"/>
      <c r="Z99" s="468"/>
      <c r="AA99" s="468"/>
      <c r="AB99" s="468"/>
      <c r="AC99" s="468"/>
      <c r="AD99" s="468"/>
      <c r="AE99" s="463"/>
      <c r="AF99" s="463"/>
      <c r="AG99" s="463"/>
      <c r="AH99" s="463"/>
      <c r="AI99" s="463"/>
      <c r="AJ99" s="463"/>
      <c r="AK99" s="463"/>
      <c r="AL99" s="463"/>
      <c r="AM99" s="463"/>
      <c r="AN99" s="463"/>
      <c r="AO99" s="463"/>
      <c r="AP99" s="463"/>
      <c r="AQ99" s="463"/>
      <c r="AR99" s="463"/>
      <c r="AS99" s="463"/>
      <c r="AT99" s="463"/>
      <c r="AU99" s="463"/>
      <c r="AV99" s="463"/>
      <c r="AW99" s="463"/>
      <c r="AX99" s="463"/>
      <c r="AY99" s="463"/>
      <c r="AZ99" s="463"/>
      <c r="BA99" s="463"/>
      <c r="BB99" s="463"/>
      <c r="BC99" s="463"/>
      <c r="BD99" s="463"/>
      <c r="BE99" s="463"/>
      <c r="BF99" s="463"/>
      <c r="BG99" s="463"/>
      <c r="BH99" s="463"/>
      <c r="BI99" s="463"/>
      <c r="BJ99" s="463"/>
      <c r="BK99" s="463"/>
      <c r="BL99" s="463"/>
      <c r="BM99" s="463"/>
      <c r="BN99" s="463"/>
      <c r="BO99" s="463"/>
      <c r="BP99" s="463"/>
      <c r="BQ99" s="463"/>
      <c r="BR99" s="463"/>
      <c r="BS99" s="463"/>
      <c r="BT99" s="463"/>
      <c r="BU99" s="463"/>
      <c r="BV99" s="463"/>
      <c r="BW99" s="463"/>
      <c r="BX99" s="463"/>
      <c r="BY99" s="463"/>
      <c r="BZ99" s="463"/>
      <c r="CA99" s="463"/>
      <c r="CB99" s="463"/>
      <c r="CC99" s="463"/>
      <c r="CD99" s="463"/>
      <c r="CE99" s="463"/>
      <c r="CF99" s="463"/>
      <c r="CG99" s="463"/>
      <c r="CH99" s="463"/>
      <c r="CI99" s="463"/>
      <c r="CJ99" s="463"/>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63"/>
      <c r="DJ99" s="463"/>
      <c r="DK99" s="463"/>
      <c r="DL99" s="463"/>
      <c r="DM99" s="463"/>
      <c r="DN99" s="463"/>
      <c r="DO99" s="463"/>
      <c r="DP99" s="463"/>
      <c r="DQ99" s="463"/>
      <c r="DR99" s="463"/>
      <c r="DS99" s="463"/>
      <c r="DT99" s="463"/>
      <c r="DU99" s="463"/>
      <c r="DV99" s="463"/>
      <c r="DW99" s="463"/>
      <c r="DX99" s="463"/>
      <c r="DY99" s="463"/>
      <c r="DZ99" s="463"/>
      <c r="EA99" s="463"/>
      <c r="EB99" s="463"/>
      <c r="EC99" s="463"/>
      <c r="ED99" s="463"/>
      <c r="EE99" s="463"/>
      <c r="EF99" s="463"/>
      <c r="EG99" s="463"/>
      <c r="EH99" s="463"/>
      <c r="EI99" s="463"/>
      <c r="EJ99" s="463"/>
      <c r="EK99" s="463"/>
      <c r="EL99" s="463"/>
      <c r="EM99" s="463"/>
      <c r="EN99" s="463"/>
      <c r="EO99" s="463"/>
      <c r="EP99" s="463"/>
      <c r="EQ99" s="463"/>
      <c r="ER99" s="463"/>
      <c r="ES99" s="463"/>
      <c r="ET99" s="463"/>
      <c r="EU99" s="463"/>
      <c r="EV99" s="463"/>
      <c r="EW99" s="463"/>
      <c r="EX99" s="463"/>
      <c r="EY99" s="463"/>
      <c r="EZ99" s="463"/>
      <c r="FA99" s="463"/>
      <c r="FB99" s="463"/>
      <c r="FC99" s="463"/>
      <c r="FD99" s="463"/>
      <c r="FE99" s="463"/>
      <c r="FF99" s="463"/>
      <c r="FG99" s="463"/>
      <c r="FH99" s="463"/>
      <c r="FI99" s="463"/>
      <c r="FJ99" s="463"/>
      <c r="FK99" s="463"/>
      <c r="FL99" s="463"/>
      <c r="FM99" s="463"/>
      <c r="FN99" s="463"/>
      <c r="FO99" s="463"/>
      <c r="FP99" s="463"/>
      <c r="FQ99" s="463"/>
      <c r="FR99" s="463"/>
      <c r="FS99" s="463"/>
      <c r="FT99" s="463"/>
      <c r="FU99" s="463"/>
      <c r="FV99" s="463"/>
      <c r="FW99" s="463"/>
      <c r="FX99" s="463"/>
      <c r="FY99" s="463"/>
      <c r="FZ99" s="463"/>
      <c r="GA99" s="463"/>
      <c r="GB99" s="463"/>
      <c r="GC99" s="463"/>
      <c r="GD99" s="463"/>
      <c r="GE99" s="463"/>
      <c r="GF99" s="463"/>
      <c r="GG99" s="463"/>
      <c r="GH99" s="463"/>
      <c r="GI99" s="463"/>
      <c r="GJ99" s="463"/>
      <c r="GK99" s="463"/>
      <c r="GL99" s="463"/>
      <c r="GM99" s="463"/>
      <c r="GN99" s="463"/>
      <c r="GO99" s="463"/>
      <c r="GP99" s="463"/>
      <c r="GQ99" s="463"/>
      <c r="GR99" s="463"/>
      <c r="GS99" s="463"/>
      <c r="GT99" s="463"/>
      <c r="GU99" s="463"/>
      <c r="GV99" s="463"/>
      <c r="GW99" s="463"/>
      <c r="GX99" s="463"/>
      <c r="GY99" s="463"/>
      <c r="GZ99" s="463"/>
      <c r="HA99" s="463"/>
      <c r="HB99" s="463"/>
      <c r="HC99" s="463"/>
      <c r="HD99" s="463"/>
      <c r="HE99" s="463"/>
      <c r="HF99" s="463"/>
      <c r="HG99" s="463"/>
      <c r="HH99" s="463"/>
      <c r="HI99" s="463"/>
      <c r="HJ99" s="463"/>
      <c r="HK99" s="463"/>
      <c r="HL99" s="463"/>
      <c r="HM99" s="463"/>
      <c r="HN99" s="463"/>
      <c r="HO99" s="463"/>
      <c r="HP99" s="463"/>
      <c r="HQ99" s="463"/>
      <c r="HR99" s="463"/>
      <c r="HS99" s="463"/>
      <c r="HT99" s="463"/>
      <c r="HU99" s="463"/>
      <c r="HV99" s="463"/>
      <c r="HW99" s="463"/>
      <c r="HX99" s="463"/>
    </row>
    <row r="100" spans="1:232" s="464" customFormat="1" ht="20.100000000000001" customHeight="1">
      <c r="A100" s="1637"/>
      <c r="B100" s="1638"/>
      <c r="C100" s="1639"/>
      <c r="D100" s="1728"/>
      <c r="E100" s="1730"/>
      <c r="F100" s="1648"/>
      <c r="G100" s="1649"/>
      <c r="H100" s="1649"/>
      <c r="I100" s="1649"/>
      <c r="J100" s="1650"/>
      <c r="K100" s="463"/>
      <c r="L100" s="463"/>
      <c r="M100" s="469"/>
      <c r="N100" s="175"/>
      <c r="O100" s="466"/>
      <c r="Y100" s="468"/>
      <c r="Z100" s="468"/>
      <c r="AA100" s="468"/>
      <c r="AB100" s="468"/>
      <c r="AC100" s="468"/>
      <c r="AD100" s="468"/>
      <c r="AE100" s="463"/>
      <c r="AF100" s="463"/>
      <c r="AG100" s="463"/>
      <c r="AH100" s="463"/>
      <c r="AI100" s="463"/>
      <c r="AJ100" s="463"/>
      <c r="AK100" s="463"/>
      <c r="AL100" s="463"/>
      <c r="AM100" s="463"/>
      <c r="AN100" s="463"/>
      <c r="AO100" s="463"/>
      <c r="AP100" s="463"/>
      <c r="AQ100" s="463"/>
      <c r="AR100" s="463"/>
      <c r="AS100" s="463"/>
      <c r="AT100" s="463"/>
      <c r="AU100" s="463"/>
      <c r="AV100" s="463"/>
      <c r="AW100" s="463"/>
      <c r="AX100" s="463"/>
      <c r="AY100" s="463"/>
      <c r="AZ100" s="463"/>
      <c r="BA100" s="463"/>
      <c r="BB100" s="463"/>
      <c r="BC100" s="463"/>
      <c r="BD100" s="463"/>
      <c r="BE100" s="463"/>
      <c r="BF100" s="463"/>
      <c r="BG100" s="463"/>
      <c r="BH100" s="463"/>
      <c r="BI100" s="463"/>
      <c r="BJ100" s="463"/>
      <c r="BK100" s="463"/>
      <c r="BL100" s="463"/>
      <c r="BM100" s="463"/>
      <c r="BN100" s="463"/>
      <c r="BO100" s="463"/>
      <c r="BP100" s="463"/>
      <c r="BQ100" s="463"/>
      <c r="BR100" s="463"/>
      <c r="BS100" s="463"/>
      <c r="BT100" s="463"/>
      <c r="BU100" s="463"/>
      <c r="BV100" s="463"/>
      <c r="BW100" s="463"/>
      <c r="BX100" s="463"/>
      <c r="BY100" s="463"/>
      <c r="BZ100" s="463"/>
      <c r="CA100" s="463"/>
      <c r="CB100" s="463"/>
      <c r="CC100" s="463"/>
      <c r="CD100" s="463"/>
      <c r="CE100" s="463"/>
      <c r="CF100" s="463"/>
      <c r="CG100" s="463"/>
      <c r="CH100" s="463"/>
      <c r="CI100" s="463"/>
      <c r="CJ100" s="463"/>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63"/>
      <c r="DJ100" s="463"/>
      <c r="DK100" s="463"/>
      <c r="DL100" s="463"/>
      <c r="DM100" s="463"/>
      <c r="DN100" s="463"/>
      <c r="DO100" s="463"/>
      <c r="DP100" s="463"/>
      <c r="DQ100" s="463"/>
      <c r="DR100" s="463"/>
      <c r="DS100" s="463"/>
      <c r="DT100" s="463"/>
      <c r="DU100" s="463"/>
      <c r="DV100" s="463"/>
      <c r="DW100" s="463"/>
      <c r="DX100" s="463"/>
      <c r="DY100" s="463"/>
      <c r="DZ100" s="463"/>
      <c r="EA100" s="463"/>
      <c r="EB100" s="463"/>
      <c r="EC100" s="463"/>
      <c r="ED100" s="463"/>
      <c r="EE100" s="463"/>
      <c r="EF100" s="463"/>
      <c r="EG100" s="463"/>
      <c r="EH100" s="463"/>
      <c r="EI100" s="463"/>
      <c r="EJ100" s="463"/>
      <c r="EK100" s="463"/>
      <c r="EL100" s="463"/>
      <c r="EM100" s="463"/>
      <c r="EN100" s="463"/>
      <c r="EO100" s="463"/>
      <c r="EP100" s="463"/>
      <c r="EQ100" s="463"/>
      <c r="ER100" s="463"/>
      <c r="ES100" s="463"/>
      <c r="ET100" s="463"/>
      <c r="EU100" s="463"/>
      <c r="EV100" s="463"/>
      <c r="EW100" s="463"/>
      <c r="EX100" s="463"/>
      <c r="EY100" s="463"/>
      <c r="EZ100" s="463"/>
      <c r="FA100" s="463"/>
      <c r="FB100" s="463"/>
      <c r="FC100" s="463"/>
      <c r="FD100" s="463"/>
      <c r="FE100" s="463"/>
      <c r="FF100" s="463"/>
      <c r="FG100" s="463"/>
      <c r="FH100" s="463"/>
      <c r="FI100" s="463"/>
      <c r="FJ100" s="463"/>
      <c r="FK100" s="463"/>
      <c r="FL100" s="463"/>
      <c r="FM100" s="463"/>
      <c r="FN100" s="463"/>
      <c r="FO100" s="463"/>
      <c r="FP100" s="463"/>
      <c r="FQ100" s="463"/>
      <c r="FR100" s="463"/>
      <c r="FS100" s="463"/>
      <c r="FT100" s="463"/>
      <c r="FU100" s="463"/>
      <c r="FV100" s="463"/>
      <c r="FW100" s="463"/>
      <c r="FX100" s="463"/>
      <c r="FY100" s="463"/>
      <c r="FZ100" s="463"/>
      <c r="GA100" s="463"/>
      <c r="GB100" s="463"/>
      <c r="GC100" s="463"/>
      <c r="GD100" s="463"/>
      <c r="GE100" s="463"/>
      <c r="GF100" s="463"/>
      <c r="GG100" s="463"/>
      <c r="GH100" s="463"/>
      <c r="GI100" s="463"/>
      <c r="GJ100" s="463"/>
      <c r="GK100" s="463"/>
      <c r="GL100" s="463"/>
      <c r="GM100" s="463"/>
      <c r="GN100" s="463"/>
      <c r="GO100" s="463"/>
      <c r="GP100" s="463"/>
      <c r="GQ100" s="463"/>
      <c r="GR100" s="463"/>
      <c r="GS100" s="463"/>
      <c r="GT100" s="463"/>
      <c r="GU100" s="463"/>
      <c r="GV100" s="463"/>
      <c r="GW100" s="463"/>
      <c r="GX100" s="463"/>
      <c r="GY100" s="463"/>
      <c r="GZ100" s="463"/>
      <c r="HA100" s="463"/>
      <c r="HB100" s="463"/>
      <c r="HC100" s="463"/>
      <c r="HD100" s="463"/>
      <c r="HE100" s="463"/>
      <c r="HF100" s="463"/>
      <c r="HG100" s="463"/>
      <c r="HH100" s="463"/>
      <c r="HI100" s="463"/>
      <c r="HJ100" s="463"/>
      <c r="HK100" s="463"/>
      <c r="HL100" s="463"/>
      <c r="HM100" s="463"/>
      <c r="HN100" s="463"/>
      <c r="HO100" s="463"/>
      <c r="HP100" s="463"/>
      <c r="HQ100" s="463"/>
      <c r="HR100" s="463"/>
      <c r="HS100" s="463"/>
      <c r="HT100" s="463"/>
      <c r="HU100" s="463"/>
      <c r="HV100" s="463"/>
      <c r="HW100" s="463"/>
      <c r="HX100" s="463"/>
    </row>
    <row r="101" spans="1:232" s="464" customFormat="1" ht="16.5" customHeight="1">
      <c r="A101" s="1687"/>
      <c r="B101" s="1687"/>
      <c r="C101" s="1687"/>
      <c r="D101" s="1687"/>
      <c r="E101" s="1687"/>
      <c r="F101" s="1687"/>
      <c r="G101" s="639"/>
      <c r="H101" s="544"/>
      <c r="I101" s="544"/>
      <c r="J101" s="544"/>
      <c r="K101" s="463"/>
      <c r="L101" s="463"/>
      <c r="N101" s="470"/>
      <c r="O101" s="466"/>
      <c r="Y101" s="468"/>
      <c r="Z101" s="468"/>
      <c r="AA101" s="468"/>
      <c r="AB101" s="468"/>
      <c r="AC101" s="468"/>
      <c r="AD101" s="468"/>
      <c r="AE101" s="463"/>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row>
    <row r="102" spans="1:232" s="464" customFormat="1" ht="20.100000000000001" customHeight="1">
      <c r="A102" s="1688"/>
      <c r="B102" s="1688"/>
      <c r="C102" s="1688"/>
      <c r="D102" s="1688"/>
      <c r="E102" s="1688"/>
      <c r="F102" s="1688"/>
      <c r="G102" s="635"/>
      <c r="H102" s="1625" t="s">
        <v>133</v>
      </c>
      <c r="I102" s="1625"/>
      <c r="J102" s="1625"/>
      <c r="K102" s="463"/>
      <c r="L102" s="463"/>
      <c r="M102" s="469"/>
      <c r="O102" s="466"/>
      <c r="Y102" s="468"/>
      <c r="Z102" s="468"/>
      <c r="AA102" s="468"/>
      <c r="AB102" s="468"/>
      <c r="AC102" s="468"/>
      <c r="AD102" s="468"/>
      <c r="AE102" s="463"/>
      <c r="AF102" s="463"/>
      <c r="AG102" s="463"/>
      <c r="AH102" s="463"/>
      <c r="AI102" s="463"/>
      <c r="AJ102" s="463"/>
      <c r="AK102" s="463"/>
      <c r="AL102" s="463"/>
      <c r="AM102" s="463"/>
      <c r="AN102" s="463"/>
      <c r="AO102" s="463"/>
      <c r="AP102" s="463"/>
      <c r="AQ102" s="463"/>
      <c r="AR102" s="463"/>
      <c r="AS102" s="463"/>
      <c r="AT102" s="463"/>
      <c r="AU102" s="463"/>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3"/>
      <c r="BY102" s="463"/>
      <c r="BZ102" s="463"/>
      <c r="CA102" s="463"/>
      <c r="CB102" s="463"/>
      <c r="CC102" s="463"/>
      <c r="CD102" s="463"/>
      <c r="CE102" s="463"/>
      <c r="CF102" s="463"/>
      <c r="CG102" s="463"/>
      <c r="CH102" s="463"/>
      <c r="CI102" s="463"/>
      <c r="CJ102" s="463"/>
      <c r="CK102" s="463"/>
      <c r="CL102" s="463"/>
      <c r="CM102" s="463"/>
      <c r="CN102" s="463"/>
      <c r="CO102" s="463"/>
      <c r="CP102" s="463"/>
      <c r="CQ102" s="463"/>
      <c r="CR102" s="463"/>
      <c r="CS102" s="463"/>
      <c r="CT102" s="463"/>
      <c r="CU102" s="463"/>
      <c r="CV102" s="463"/>
      <c r="CW102" s="463"/>
      <c r="CX102" s="463"/>
      <c r="CY102" s="463"/>
      <c r="CZ102" s="463"/>
      <c r="DA102" s="463"/>
      <c r="DB102" s="463"/>
      <c r="DC102" s="463"/>
      <c r="DD102" s="463"/>
      <c r="DE102" s="463"/>
      <c r="DF102" s="463"/>
      <c r="DG102" s="463"/>
      <c r="DH102" s="463"/>
      <c r="DI102" s="463"/>
      <c r="DJ102" s="463"/>
      <c r="DK102" s="463"/>
      <c r="DL102" s="463"/>
      <c r="DM102" s="463"/>
      <c r="DN102" s="463"/>
      <c r="DO102" s="463"/>
      <c r="DP102" s="463"/>
      <c r="DQ102" s="463"/>
      <c r="DR102" s="463"/>
      <c r="DS102" s="463"/>
      <c r="DT102" s="463"/>
      <c r="DU102" s="463"/>
      <c r="DV102" s="463"/>
      <c r="DW102" s="463"/>
      <c r="DX102" s="463"/>
      <c r="DY102" s="463"/>
      <c r="DZ102" s="463"/>
      <c r="EA102" s="463"/>
      <c r="EB102" s="463"/>
      <c r="EC102" s="463"/>
      <c r="ED102" s="463"/>
      <c r="EE102" s="463"/>
      <c r="EF102" s="463"/>
      <c r="EG102" s="463"/>
      <c r="EH102" s="463"/>
      <c r="EI102" s="463"/>
      <c r="EJ102" s="463"/>
      <c r="EK102" s="463"/>
      <c r="EL102" s="463"/>
      <c r="EM102" s="463"/>
      <c r="EN102" s="463"/>
      <c r="EO102" s="463"/>
      <c r="EP102" s="463"/>
      <c r="EQ102" s="463"/>
      <c r="ER102" s="463"/>
      <c r="ES102" s="463"/>
      <c r="ET102" s="463"/>
      <c r="EU102" s="463"/>
      <c r="EV102" s="463"/>
      <c r="EW102" s="463"/>
      <c r="EX102" s="463"/>
      <c r="EY102" s="463"/>
      <c r="EZ102" s="463"/>
      <c r="FA102" s="463"/>
      <c r="FB102" s="463"/>
      <c r="FC102" s="463"/>
      <c r="FD102" s="463"/>
      <c r="FE102" s="463"/>
      <c r="FF102" s="463"/>
      <c r="FG102" s="463"/>
      <c r="FH102" s="463"/>
      <c r="FI102" s="463"/>
      <c r="FJ102" s="463"/>
      <c r="FK102" s="463"/>
      <c r="FL102" s="463"/>
      <c r="FM102" s="463"/>
      <c r="FN102" s="463"/>
      <c r="FO102" s="463"/>
      <c r="FP102" s="463"/>
      <c r="FQ102" s="463"/>
      <c r="FR102" s="463"/>
      <c r="FS102" s="463"/>
      <c r="FT102" s="463"/>
      <c r="FU102" s="463"/>
      <c r="FV102" s="463"/>
      <c r="FW102" s="463"/>
      <c r="FX102" s="463"/>
      <c r="FY102" s="463"/>
      <c r="FZ102" s="463"/>
      <c r="GA102" s="463"/>
      <c r="GB102" s="463"/>
      <c r="GC102" s="463"/>
      <c r="GD102" s="463"/>
      <c r="GE102" s="463"/>
      <c r="GF102" s="463"/>
      <c r="GG102" s="463"/>
      <c r="GH102" s="463"/>
      <c r="GI102" s="463"/>
      <c r="GJ102" s="463"/>
      <c r="GK102" s="463"/>
      <c r="GL102" s="463"/>
      <c r="GM102" s="463"/>
      <c r="GN102" s="463"/>
      <c r="GO102" s="463"/>
      <c r="GP102" s="463"/>
      <c r="GQ102" s="463"/>
      <c r="GR102" s="463"/>
      <c r="GS102" s="463"/>
      <c r="GT102" s="463"/>
      <c r="GU102" s="463"/>
      <c r="GV102" s="463"/>
      <c r="GW102" s="463"/>
      <c r="GX102" s="463"/>
      <c r="GY102" s="463"/>
      <c r="GZ102" s="463"/>
      <c r="HA102" s="463"/>
      <c r="HB102" s="463"/>
      <c r="HC102" s="463"/>
      <c r="HD102" s="463"/>
      <c r="HE102" s="463"/>
      <c r="HF102" s="463"/>
      <c r="HG102" s="463"/>
      <c r="HH102" s="463"/>
      <c r="HI102" s="463"/>
      <c r="HJ102" s="463"/>
      <c r="HK102" s="463"/>
      <c r="HL102" s="463"/>
      <c r="HM102" s="463"/>
      <c r="HN102" s="463"/>
      <c r="HO102" s="463"/>
      <c r="HP102" s="463"/>
      <c r="HQ102" s="463"/>
      <c r="HR102" s="463"/>
      <c r="HS102" s="463"/>
      <c r="HT102" s="463"/>
      <c r="HU102" s="463"/>
      <c r="HV102" s="463"/>
      <c r="HW102" s="463"/>
      <c r="HX102" s="463"/>
    </row>
    <row r="103" spans="1:232" ht="20.100000000000001" customHeight="1">
      <c r="A103" s="1619" t="s">
        <v>412</v>
      </c>
      <c r="B103" s="1619"/>
      <c r="C103" s="1619"/>
      <c r="D103" s="1619"/>
      <c r="E103" s="1619"/>
      <c r="F103" s="1619"/>
      <c r="G103" s="1619"/>
      <c r="H103" s="513"/>
      <c r="I103" s="513"/>
      <c r="J103" s="513"/>
      <c r="N103" s="470"/>
      <c r="P103" s="463"/>
      <c r="Q103" s="463"/>
      <c r="R103" s="463"/>
      <c r="S103" s="463"/>
      <c r="T103" s="463"/>
      <c r="U103" s="463"/>
      <c r="V103" s="463"/>
      <c r="W103" s="463"/>
      <c r="X103" s="463"/>
      <c r="Y103" s="463"/>
      <c r="Z103" s="463"/>
      <c r="AA103" s="463"/>
      <c r="AB103" s="463"/>
      <c r="AC103" s="463"/>
      <c r="AD103" s="463"/>
    </row>
    <row r="104" spans="1:232" ht="16.5" customHeight="1">
      <c r="A104" s="1620" t="s">
        <v>413</v>
      </c>
      <c r="B104" s="1620"/>
      <c r="C104" s="1620"/>
      <c r="D104" s="1620"/>
      <c r="E104" s="1620"/>
      <c r="F104" s="1620"/>
      <c r="G104" s="1620"/>
      <c r="H104" s="513"/>
      <c r="I104" s="513"/>
      <c r="J104" s="513"/>
      <c r="O104" s="466"/>
      <c r="P104" s="463"/>
      <c r="Q104" s="463"/>
      <c r="R104" s="463"/>
      <c r="S104" s="463"/>
      <c r="T104" s="463"/>
      <c r="U104" s="463"/>
      <c r="V104" s="463"/>
      <c r="W104" s="463"/>
      <c r="X104" s="463"/>
      <c r="Y104" s="463"/>
      <c r="Z104" s="463"/>
      <c r="AA104" s="463"/>
      <c r="AB104" s="463"/>
      <c r="AC104" s="463"/>
      <c r="AD104" s="463"/>
    </row>
    <row r="105" spans="1:232" ht="16.5" customHeight="1">
      <c r="A105" s="1620" t="s">
        <v>414</v>
      </c>
      <c r="B105" s="1620"/>
      <c r="C105" s="1620"/>
      <c r="D105" s="1620"/>
      <c r="E105" s="1620"/>
      <c r="F105" s="1620"/>
      <c r="G105" s="1620"/>
      <c r="H105" s="513"/>
      <c r="I105" s="513"/>
      <c r="J105" s="513"/>
      <c r="O105" s="466"/>
      <c r="P105" s="463"/>
      <c r="Q105" s="463"/>
      <c r="R105" s="463"/>
      <c r="S105" s="463"/>
      <c r="T105" s="463"/>
      <c r="U105" s="463"/>
      <c r="V105" s="463"/>
      <c r="W105" s="463"/>
      <c r="X105" s="463"/>
      <c r="Y105" s="463"/>
      <c r="Z105" s="463"/>
      <c r="AA105" s="463"/>
      <c r="AB105" s="463"/>
      <c r="AC105" s="463"/>
      <c r="AD105" s="463"/>
    </row>
    <row r="106" spans="1:232" ht="16.5" customHeight="1">
      <c r="A106" s="1620" t="s">
        <v>415</v>
      </c>
      <c r="B106" s="1620"/>
      <c r="C106" s="1620"/>
      <c r="D106" s="1620"/>
      <c r="E106" s="1620"/>
      <c r="F106" s="1620"/>
      <c r="G106" s="1620"/>
      <c r="H106" s="513"/>
      <c r="I106" s="513"/>
      <c r="J106" s="513"/>
      <c r="O106" s="466"/>
      <c r="P106" s="463"/>
      <c r="Q106" s="463"/>
      <c r="R106" s="463"/>
      <c r="S106" s="463"/>
      <c r="T106" s="463"/>
      <c r="U106" s="463"/>
      <c r="V106" s="463"/>
      <c r="W106" s="463"/>
      <c r="X106" s="463"/>
      <c r="Y106" s="463"/>
      <c r="Z106" s="463"/>
      <c r="AA106" s="463"/>
      <c r="AB106" s="463"/>
      <c r="AC106" s="463"/>
      <c r="AD106" s="463"/>
    </row>
    <row r="107" spans="1:232" ht="16.5">
      <c r="A107" s="1620" t="s">
        <v>416</v>
      </c>
      <c r="B107" s="1620"/>
      <c r="C107" s="1620"/>
      <c r="D107" s="1620"/>
      <c r="E107" s="1620"/>
      <c r="F107" s="1620"/>
      <c r="G107" s="1620"/>
      <c r="H107" s="513"/>
      <c r="I107" s="513"/>
      <c r="J107" s="513"/>
      <c r="K107" s="175"/>
      <c r="L107" s="175"/>
      <c r="M107" s="175"/>
      <c r="O107" s="466"/>
      <c r="P107" s="463"/>
      <c r="Q107" s="463"/>
      <c r="R107" s="463"/>
      <c r="S107" s="463"/>
      <c r="T107" s="463"/>
      <c r="U107" s="463"/>
      <c r="V107" s="463"/>
      <c r="W107" s="463"/>
      <c r="X107" s="463"/>
      <c r="Y107" s="463"/>
      <c r="Z107" s="463"/>
      <c r="AA107" s="463"/>
      <c r="AB107" s="463"/>
      <c r="AC107" s="463"/>
      <c r="AD107" s="463"/>
    </row>
    <row r="108" spans="1:232" ht="16.5">
      <c r="A108" s="1620" t="s">
        <v>417</v>
      </c>
      <c r="B108" s="1620"/>
      <c r="C108" s="1620"/>
      <c r="D108" s="1620"/>
      <c r="E108" s="1620"/>
      <c r="F108" s="1620"/>
      <c r="G108" s="1620"/>
      <c r="H108" s="513"/>
      <c r="I108" s="513"/>
      <c r="J108" s="513"/>
      <c r="N108" s="175"/>
      <c r="O108" s="466"/>
      <c r="P108" s="463"/>
      <c r="Q108" s="463"/>
      <c r="R108" s="463"/>
      <c r="S108" s="463"/>
      <c r="T108" s="463"/>
      <c r="U108" s="463"/>
      <c r="V108" s="463"/>
      <c r="W108" s="463"/>
      <c r="X108" s="463"/>
      <c r="Y108" s="463"/>
      <c r="Z108" s="463"/>
      <c r="AA108" s="463"/>
      <c r="AB108" s="463"/>
      <c r="AC108" s="463"/>
      <c r="AD108" s="463"/>
    </row>
    <row r="109" spans="1:232" ht="16.5">
      <c r="A109" s="1624"/>
      <c r="B109" s="1624"/>
      <c r="C109" s="1624"/>
      <c r="D109" s="1624"/>
      <c r="E109" s="1624"/>
      <c r="F109" s="1624"/>
      <c r="G109" s="1624"/>
      <c r="H109" s="1625"/>
      <c r="I109" s="1625"/>
      <c r="J109" s="1625"/>
      <c r="N109" s="175"/>
      <c r="O109" s="762"/>
      <c r="P109" s="463"/>
      <c r="Q109" s="463"/>
      <c r="R109" s="463"/>
      <c r="S109" s="463"/>
      <c r="T109" s="463"/>
      <c r="U109" s="463"/>
      <c r="V109" s="463"/>
      <c r="W109" s="463"/>
      <c r="X109" s="463"/>
      <c r="Y109" s="463"/>
      <c r="Z109" s="463"/>
      <c r="AA109" s="463"/>
      <c r="AB109" s="463"/>
      <c r="AC109" s="463"/>
      <c r="AD109" s="463"/>
    </row>
    <row r="110" spans="1:232" ht="16.5">
      <c r="A110" s="636"/>
      <c r="B110" s="636"/>
      <c r="C110" s="636"/>
      <c r="D110" s="636"/>
      <c r="E110" s="636"/>
      <c r="F110" s="636"/>
      <c r="G110" s="636"/>
      <c r="H110" s="531"/>
      <c r="I110" s="531"/>
      <c r="J110" s="531"/>
      <c r="O110" s="466"/>
      <c r="P110" s="463"/>
      <c r="Q110" s="463"/>
      <c r="R110" s="463"/>
      <c r="S110" s="463"/>
      <c r="T110" s="463"/>
      <c r="U110" s="463"/>
      <c r="V110" s="463"/>
      <c r="W110" s="463"/>
      <c r="X110" s="463"/>
      <c r="Y110" s="463"/>
      <c r="Z110" s="463"/>
      <c r="AA110" s="463"/>
      <c r="AB110" s="463"/>
      <c r="AC110" s="463"/>
      <c r="AD110" s="463"/>
    </row>
    <row r="111" spans="1:232" ht="20.100000000000001" customHeight="1">
      <c r="A111" s="1682" t="s">
        <v>77</v>
      </c>
      <c r="B111" s="1682"/>
      <c r="C111" s="1682"/>
      <c r="D111" s="1682"/>
      <c r="E111" s="1682"/>
      <c r="F111" s="1682"/>
      <c r="G111" s="1682"/>
      <c r="H111" s="1682"/>
      <c r="I111" s="1682"/>
      <c r="J111" s="1682"/>
      <c r="O111" s="466"/>
    </row>
    <row r="112" spans="1:232" ht="20.100000000000001" customHeight="1">
      <c r="A112" s="1683" t="s">
        <v>80</v>
      </c>
      <c r="B112" s="1683"/>
      <c r="C112" s="1683"/>
      <c r="D112" s="1683"/>
      <c r="E112" s="1683"/>
      <c r="F112" s="1683"/>
      <c r="G112" s="1683"/>
      <c r="H112" s="1683"/>
      <c r="I112" s="1683"/>
      <c r="J112" s="1683"/>
      <c r="K112" s="175"/>
      <c r="L112" s="175"/>
      <c r="M112" s="175"/>
      <c r="O112" s="466"/>
    </row>
    <row r="113" spans="1:30" ht="20.100000000000001" customHeight="1">
      <c r="A113" s="1616" t="s">
        <v>82</v>
      </c>
      <c r="B113" s="1616"/>
      <c r="C113" s="1616"/>
      <c r="D113" s="1616"/>
      <c r="E113" s="1616"/>
      <c r="F113" s="1616"/>
      <c r="G113" s="1616"/>
      <c r="H113" s="1616"/>
      <c r="I113" s="1616"/>
      <c r="J113" s="1616"/>
      <c r="N113" s="175"/>
      <c r="O113" s="466"/>
      <c r="P113" s="466"/>
      <c r="Q113" s="467"/>
    </row>
    <row r="114" spans="1:30" ht="20.100000000000001" customHeight="1">
      <c r="A114" s="1684" t="str">
        <f>A78</f>
        <v>Quảng Ninh, ngày……..tháng…….năm 2016</v>
      </c>
      <c r="B114" s="1684"/>
      <c r="C114" s="1684"/>
      <c r="D114" s="1684"/>
      <c r="E114" s="1684"/>
      <c r="F114" s="1684"/>
      <c r="G114" s="1684"/>
      <c r="H114" s="1684"/>
      <c r="I114" s="1684"/>
      <c r="J114" s="1684"/>
      <c r="K114" s="477"/>
      <c r="L114" s="477"/>
      <c r="M114" s="477"/>
      <c r="O114" s="466"/>
      <c r="P114" s="466"/>
      <c r="Q114" s="467"/>
    </row>
    <row r="115" spans="1:30" ht="20.100000000000001" customHeight="1">
      <c r="A115" s="738"/>
      <c r="B115" s="738"/>
      <c r="C115" s="738"/>
      <c r="D115" s="738"/>
      <c r="E115" s="738"/>
      <c r="F115" s="738"/>
      <c r="G115" s="738"/>
      <c r="H115" s="738"/>
      <c r="I115" s="738"/>
      <c r="J115" s="738"/>
      <c r="K115" s="477"/>
      <c r="L115" s="477"/>
      <c r="M115" s="477"/>
      <c r="N115" s="487"/>
      <c r="O115" s="466"/>
      <c r="P115" s="466"/>
      <c r="Q115" s="467"/>
    </row>
    <row r="116" spans="1:30" ht="20.100000000000001" customHeight="1">
      <c r="A116" s="1685" t="s">
        <v>134</v>
      </c>
      <c r="B116" s="1618"/>
      <c r="C116" s="1618"/>
      <c r="D116" s="1618"/>
      <c r="E116" s="1618"/>
      <c r="F116" s="1618"/>
      <c r="G116" s="1618"/>
      <c r="H116" s="1618"/>
      <c r="I116" s="1618"/>
      <c r="J116" s="1618"/>
      <c r="K116" s="477"/>
      <c r="L116" s="477"/>
      <c r="M116" s="477"/>
      <c r="N116" s="487"/>
      <c r="P116" s="467"/>
    </row>
    <row r="117" spans="1:30" ht="18.75" customHeight="1">
      <c r="A117" s="1686" t="str">
        <f>A81</f>
        <v>SỐ: TGHL-HT-CWI-C&amp;S-B1/800</v>
      </c>
      <c r="B117" s="1686"/>
      <c r="C117" s="1686"/>
      <c r="D117" s="1686"/>
      <c r="E117" s="1686"/>
      <c r="F117" s="1686"/>
      <c r="G117" s="1686"/>
      <c r="H117" s="1686"/>
      <c r="I117" s="1686"/>
      <c r="J117" s="1686"/>
      <c r="K117" s="491"/>
      <c r="L117" s="477"/>
      <c r="M117" s="477"/>
      <c r="N117" s="492"/>
      <c r="O117" s="401"/>
      <c r="P117" s="466"/>
      <c r="Q117" s="467"/>
    </row>
    <row r="118" spans="1:30" ht="14.25" customHeight="1">
      <c r="A118" s="471"/>
      <c r="B118" s="471"/>
      <c r="C118" s="471"/>
      <c r="D118" s="471"/>
      <c r="E118" s="471"/>
      <c r="F118" s="471"/>
      <c r="G118" s="471"/>
      <c r="H118" s="471"/>
      <c r="I118" s="471"/>
      <c r="J118" s="471"/>
      <c r="K118" s="491"/>
      <c r="L118" s="477"/>
      <c r="M118" s="477"/>
      <c r="N118" s="492"/>
      <c r="O118" s="466"/>
      <c r="P118" s="466"/>
      <c r="Q118" s="467"/>
    </row>
    <row r="119" spans="1:30" ht="35.1" customHeight="1">
      <c r="A119" s="760" t="str">
        <f>A82</f>
        <v>DỰ ÁN:</v>
      </c>
      <c r="B119" s="760"/>
      <c r="C119" s="1681" t="str">
        <f>C82</f>
        <v>KHU HỖN HỢP CHUNG CƯ, VĂN PHÒNG, TRUNG TÂM THƯƠNG MẠI VÀ NHÀ Ở KẾT HỢP KHU MUA SẮM</v>
      </c>
      <c r="D119" s="1681"/>
      <c r="E119" s="1681"/>
      <c r="F119" s="1681"/>
      <c r="G119" s="1681"/>
      <c r="H119" s="1681"/>
      <c r="I119" s="1681"/>
      <c r="J119" s="1681"/>
      <c r="K119" s="491"/>
      <c r="L119" s="477"/>
      <c r="M119" s="477"/>
      <c r="N119" s="492"/>
      <c r="P119" s="466"/>
      <c r="Q119" s="467"/>
    </row>
    <row r="120" spans="1:30" ht="16.5">
      <c r="A120" s="760" t="str">
        <f>A83</f>
        <v>CÔNG TRÌNH:</v>
      </c>
      <c r="B120" s="760"/>
      <c r="C120" s="1681" t="str">
        <f>C83</f>
        <v>KHU HỖN HỢP CHUNG CƯ, VĂN PHÒNG, TTTM</v>
      </c>
      <c r="D120" s="1681"/>
      <c r="E120" s="1681"/>
      <c r="F120" s="1681"/>
      <c r="G120" s="1681"/>
      <c r="H120" s="1681"/>
      <c r="I120" s="1681"/>
      <c r="J120" s="1681"/>
      <c r="K120" s="491"/>
      <c r="L120" s="477"/>
      <c r="M120" s="477"/>
      <c r="N120" s="492"/>
      <c r="O120" s="466"/>
      <c r="P120" s="466"/>
      <c r="Q120" s="467"/>
    </row>
    <row r="121" spans="1:30" ht="20.100000000000001" customHeight="1">
      <c r="A121" s="760" t="str">
        <f>A84</f>
        <v>GÓI THẦU :</v>
      </c>
      <c r="B121" s="760"/>
      <c r="C121" s="1681" t="str">
        <f>C84</f>
        <v>THI CÔNG CỌC KHOAN NHỒI</v>
      </c>
      <c r="D121" s="1681"/>
      <c r="E121" s="1681"/>
      <c r="F121" s="1681"/>
      <c r="G121" s="1681"/>
      <c r="H121" s="1681"/>
      <c r="I121" s="1681"/>
      <c r="J121" s="1681"/>
      <c r="K121" s="491"/>
      <c r="L121" s="477"/>
      <c r="M121" s="477"/>
      <c r="N121" s="477"/>
      <c r="P121" s="466"/>
      <c r="Q121" s="467"/>
    </row>
    <row r="122" spans="1:30" ht="20.100000000000001" customHeight="1">
      <c r="A122" s="760" t="str">
        <f>A85</f>
        <v>ĐỊA ĐIỂM :</v>
      </c>
      <c r="B122" s="760"/>
      <c r="C122" s="1681" t="str">
        <f>C85</f>
        <v>ĐƯỜNG 25/4, P BẠCH ĐẰNG, TP. HẠ LONG, TỈNH QUẢNG NINH</v>
      </c>
      <c r="D122" s="1681"/>
      <c r="E122" s="1681"/>
      <c r="F122" s="1681"/>
      <c r="G122" s="1681"/>
      <c r="H122" s="1681"/>
      <c r="I122" s="1681"/>
      <c r="J122" s="1681"/>
      <c r="K122" s="491"/>
      <c r="L122" s="477"/>
      <c r="M122" s="477"/>
      <c r="N122" s="477"/>
      <c r="P122" s="466"/>
      <c r="Q122" s="467"/>
    </row>
    <row r="123" spans="1:30" s="472" customFormat="1" ht="20.100000000000001" customHeight="1">
      <c r="A123" s="1596" t="s">
        <v>89</v>
      </c>
      <c r="B123" s="1596"/>
      <c r="C123" s="1596"/>
      <c r="D123" s="1596"/>
      <c r="E123" s="1596"/>
      <c r="F123" s="1596"/>
      <c r="G123" s="1596"/>
      <c r="H123" s="1596"/>
      <c r="I123" s="1596"/>
      <c r="J123" s="1596"/>
      <c r="K123" s="489"/>
      <c r="L123" s="494"/>
      <c r="M123" s="494"/>
      <c r="N123" s="492"/>
      <c r="O123" s="464"/>
      <c r="P123" s="479"/>
      <c r="Q123" s="469"/>
      <c r="R123" s="464"/>
      <c r="S123" s="464"/>
      <c r="T123" s="464"/>
      <c r="U123" s="474"/>
      <c r="V123" s="474"/>
      <c r="W123" s="474"/>
      <c r="X123" s="474"/>
      <c r="Y123" s="475"/>
      <c r="Z123" s="475"/>
      <c r="AA123" s="475"/>
      <c r="AB123" s="475"/>
      <c r="AC123" s="475"/>
      <c r="AD123" s="475"/>
    </row>
    <row r="124" spans="1:30" s="175" customFormat="1" ht="20.100000000000001" customHeight="1">
      <c r="A124" s="1610" t="str">
        <f>A14</f>
        <v>Định vị cọc số hiệu B1</v>
      </c>
      <c r="B124" s="1622"/>
      <c r="C124" s="1622"/>
      <c r="D124" s="1622"/>
      <c r="E124" s="1622"/>
      <c r="F124" s="1622"/>
      <c r="G124" s="1622"/>
      <c r="H124" s="1622"/>
      <c r="I124" s="1622"/>
      <c r="J124" s="1622"/>
      <c r="K124" s="498"/>
      <c r="L124" s="494"/>
      <c r="M124" s="494"/>
      <c r="N124" s="495"/>
      <c r="O124" s="464"/>
      <c r="P124" s="479"/>
      <c r="Q124" s="469"/>
      <c r="R124" s="464"/>
      <c r="S124" s="464"/>
    </row>
    <row r="125" spans="1:30" ht="20.100000000000001" customHeight="1">
      <c r="A125" s="1596" t="s">
        <v>859</v>
      </c>
      <c r="B125" s="1596"/>
      <c r="C125" s="1596"/>
      <c r="D125" s="1596"/>
      <c r="E125" s="1596"/>
      <c r="F125" s="1596"/>
      <c r="G125" s="1596"/>
      <c r="H125" s="1596"/>
      <c r="I125" s="1596"/>
      <c r="J125" s="1596"/>
      <c r="K125" s="498"/>
      <c r="L125" s="494"/>
      <c r="M125" s="494"/>
      <c r="N125" s="495"/>
      <c r="O125" s="175"/>
      <c r="P125" s="466"/>
      <c r="Q125" s="467"/>
    </row>
    <row r="126" spans="1:30" ht="20.100000000000001" customHeight="1">
      <c r="A126" s="482" t="str">
        <f>'[6]1. BBkt -MM'!A125</f>
        <v>1 - Đại diện chủ đầu tư : Ban QLDA Times garden Hạ Long</v>
      </c>
      <c r="B126" s="118"/>
      <c r="C126" s="118"/>
      <c r="D126" s="118"/>
      <c r="E126" s="118"/>
      <c r="F126" s="483"/>
      <c r="G126" s="483"/>
      <c r="H126" s="483"/>
      <c r="I126" s="483"/>
      <c r="J126" s="483"/>
      <c r="N126" s="495"/>
      <c r="O126" s="175"/>
      <c r="P126" s="466"/>
      <c r="Q126" s="467"/>
    </row>
    <row r="127" spans="1:30" ht="20.100000000000001" customHeight="1">
      <c r="A127" s="1595" t="s">
        <v>913</v>
      </c>
      <c r="B127" s="1595"/>
      <c r="C127" s="1595"/>
      <c r="D127" s="1595"/>
      <c r="E127" s="1595"/>
      <c r="F127" s="1595" t="s">
        <v>914</v>
      </c>
      <c r="G127" s="1595"/>
      <c r="H127" s="1595"/>
      <c r="I127" s="1595"/>
      <c r="J127" s="1595"/>
      <c r="P127" s="466"/>
      <c r="Q127" s="467"/>
    </row>
    <row r="128" spans="1:30" ht="20.100000000000001" customHeight="1">
      <c r="A128" s="1595" t="s">
        <v>913</v>
      </c>
      <c r="B128" s="1595"/>
      <c r="C128" s="1595"/>
      <c r="D128" s="1595"/>
      <c r="E128" s="1595"/>
      <c r="F128" s="1595" t="s">
        <v>914</v>
      </c>
      <c r="G128" s="1595"/>
      <c r="H128" s="1595"/>
      <c r="I128" s="1595"/>
      <c r="J128" s="1595"/>
      <c r="P128" s="466"/>
      <c r="Q128" s="467"/>
    </row>
    <row r="129" spans="1:232" s="175" customFormat="1" ht="20.100000000000001" customHeight="1">
      <c r="A129" s="1680" t="s">
        <v>915</v>
      </c>
      <c r="B129" s="1680"/>
      <c r="C129" s="1680"/>
      <c r="D129" s="1680"/>
      <c r="E129" s="1680"/>
      <c r="F129" s="1680"/>
      <c r="G129" s="1680"/>
      <c r="H129" s="1680"/>
      <c r="I129" s="1680"/>
      <c r="J129" s="1680"/>
      <c r="K129" s="502"/>
      <c r="L129" s="494"/>
      <c r="M129" s="494"/>
      <c r="N129" s="464"/>
      <c r="O129" s="464"/>
      <c r="P129" s="467"/>
      <c r="Q129" s="464"/>
      <c r="R129" s="464"/>
      <c r="S129" s="464"/>
    </row>
    <row r="130" spans="1:232" ht="20.100000000000001" customHeight="1">
      <c r="A130" s="1595" t="s">
        <v>913</v>
      </c>
      <c r="B130" s="1595"/>
      <c r="C130" s="1595"/>
      <c r="D130" s="1595"/>
      <c r="E130" s="1595"/>
      <c r="F130" s="1595" t="s">
        <v>914</v>
      </c>
      <c r="G130" s="1595"/>
      <c r="H130" s="1595"/>
      <c r="I130" s="1595"/>
      <c r="J130" s="1595"/>
      <c r="K130" s="5"/>
      <c r="L130" s="5"/>
      <c r="M130" s="5"/>
      <c r="N130" s="495"/>
      <c r="O130" s="175"/>
      <c r="P130" s="401"/>
      <c r="Q130" s="520"/>
      <c r="R130" s="175"/>
      <c r="S130" s="175"/>
    </row>
    <row r="131" spans="1:232" ht="20.100000000000001" customHeight="1">
      <c r="A131" s="481" t="s">
        <v>913</v>
      </c>
      <c r="B131" s="481"/>
      <c r="C131" s="481"/>
      <c r="D131" s="481"/>
      <c r="E131" s="481"/>
      <c r="F131" s="1595" t="s">
        <v>914</v>
      </c>
      <c r="G131" s="1595"/>
      <c r="H131" s="1595"/>
      <c r="I131" s="1595"/>
      <c r="J131" s="1595"/>
      <c r="K131" s="5"/>
      <c r="L131" s="5"/>
      <c r="M131" s="5"/>
      <c r="N131" s="5"/>
      <c r="P131" s="466"/>
      <c r="Q131" s="467"/>
    </row>
    <row r="132" spans="1:232" ht="20.100000000000001" customHeight="1">
      <c r="A132" s="1604" t="s">
        <v>871</v>
      </c>
      <c r="B132" s="1604"/>
      <c r="C132" s="1604"/>
      <c r="D132" s="1604"/>
      <c r="E132" s="1604"/>
      <c r="F132" s="1604"/>
      <c r="G132" s="1604"/>
      <c r="H132" s="1604"/>
      <c r="I132" s="1604"/>
      <c r="J132" s="1604"/>
      <c r="K132" s="5"/>
      <c r="L132" s="5"/>
      <c r="M132" s="5"/>
      <c r="N132" s="5"/>
      <c r="O132" s="487"/>
      <c r="P132" s="479"/>
      <c r="Q132" s="469"/>
    </row>
    <row r="133" spans="1:232" ht="20.100000000000001" customHeight="1">
      <c r="A133" s="481" t="s">
        <v>913</v>
      </c>
      <c r="B133" s="481"/>
      <c r="C133" s="481"/>
      <c r="D133" s="481"/>
      <c r="E133" s="481"/>
      <c r="F133" s="1595" t="s">
        <v>914</v>
      </c>
      <c r="G133" s="1595"/>
      <c r="H133" s="1595"/>
      <c r="I133" s="1595"/>
      <c r="J133" s="1595"/>
      <c r="K133" s="5"/>
      <c r="L133" s="5"/>
      <c r="M133" s="5"/>
      <c r="N133" s="5"/>
      <c r="O133" s="487"/>
      <c r="P133" s="466"/>
      <c r="Q133" s="467"/>
    </row>
    <row r="134" spans="1:232" ht="20.100000000000001" customHeight="1">
      <c r="A134" s="481" t="s">
        <v>913</v>
      </c>
      <c r="B134" s="481"/>
      <c r="C134" s="481"/>
      <c r="D134" s="481"/>
      <c r="E134" s="481"/>
      <c r="F134" s="1595" t="s">
        <v>914</v>
      </c>
      <c r="G134" s="1595"/>
      <c r="H134" s="1595"/>
      <c r="I134" s="1595"/>
      <c r="J134" s="1595"/>
      <c r="K134" s="5"/>
      <c r="L134" s="5"/>
      <c r="M134" s="5"/>
      <c r="N134" s="5"/>
      <c r="O134" s="492"/>
      <c r="P134" s="479"/>
      <c r="Q134" s="469"/>
    </row>
    <row r="135" spans="1:232" ht="20.100000000000001" customHeight="1">
      <c r="A135" s="1596" t="str">
        <f>A22</f>
        <v>III./ THỜI GIAN NGHIỆM THU:</v>
      </c>
      <c r="B135" s="1596"/>
      <c r="C135" s="1596"/>
      <c r="D135" s="1596"/>
      <c r="E135" s="1596"/>
      <c r="F135" s="1596"/>
      <c r="G135" s="1596"/>
      <c r="H135" s="1596"/>
      <c r="I135" s="1596"/>
      <c r="J135" s="1596"/>
      <c r="K135" s="5"/>
      <c r="L135" s="5"/>
      <c r="M135" s="5"/>
      <c r="N135" s="5"/>
      <c r="O135" s="492"/>
      <c r="P135" s="479"/>
      <c r="Q135" s="469"/>
    </row>
    <row r="136" spans="1:232" ht="20.100000000000001" customHeight="1">
      <c r="A136" s="477" t="str">
        <f>A23</f>
        <v xml:space="preserve">Bắt đầu nghiệm thu:    </v>
      </c>
      <c r="B136" s="477"/>
      <c r="C136" s="477"/>
      <c r="D136" s="942">
        <f>D137-O11</f>
        <v>0.40509259259259256</v>
      </c>
      <c r="E136" s="1603" t="str">
        <f>E24</f>
        <v>, ngày…..tháng…..năm 2016</v>
      </c>
      <c r="F136" s="1603"/>
      <c r="G136" s="1603"/>
      <c r="H136" s="1603"/>
      <c r="I136" s="1603"/>
      <c r="J136" s="1603"/>
      <c r="K136" s="5"/>
      <c r="L136" s="5"/>
      <c r="M136" s="5"/>
      <c r="N136" s="5"/>
      <c r="O136" s="492"/>
      <c r="P136" s="479"/>
      <c r="Q136" s="469"/>
    </row>
    <row r="137" spans="1:232" s="175" customFormat="1" ht="20.100000000000001" customHeight="1">
      <c r="A137" s="477" t="str">
        <f>A24</f>
        <v xml:space="preserve">Kết thúc nghiệm thu: </v>
      </c>
      <c r="B137" s="477"/>
      <c r="C137" s="477"/>
      <c r="D137" s="942">
        <f>N16</f>
        <v>0.40624999999999994</v>
      </c>
      <c r="E137" s="1603" t="str">
        <f>E136</f>
        <v>, ngày…..tháng…..năm 2016</v>
      </c>
      <c r="F137" s="1603"/>
      <c r="G137" s="1603"/>
      <c r="H137" s="1603"/>
      <c r="I137" s="1603"/>
      <c r="J137" s="1603"/>
      <c r="K137" s="5"/>
      <c r="L137" s="5"/>
      <c r="M137" s="5"/>
      <c r="N137" s="5"/>
      <c r="O137" s="492"/>
      <c r="P137" s="464"/>
      <c r="Q137" s="464"/>
      <c r="R137" s="464"/>
      <c r="S137" s="464"/>
    </row>
    <row r="138" spans="1:232" ht="20.100000000000001" customHeight="1">
      <c r="A138" s="767" t="s">
        <v>99</v>
      </c>
      <c r="B138" s="765" t="str">
        <f>'[6]4. BBKT-VL-PO'!B136</f>
        <v>Công trình: Khu hỗn hợp chung cư, văn phòng, trung tâm thương mại.</v>
      </c>
      <c r="C138" s="489"/>
      <c r="D138" s="489"/>
      <c r="E138" s="489"/>
      <c r="F138" s="489"/>
      <c r="G138" s="489"/>
      <c r="H138" s="489"/>
      <c r="I138" s="489"/>
      <c r="J138" s="489"/>
      <c r="N138" s="5"/>
      <c r="O138" s="477"/>
      <c r="P138" s="175"/>
      <c r="Q138" s="175"/>
      <c r="R138" s="175"/>
      <c r="S138" s="175"/>
    </row>
    <row r="139" spans="1:232" ht="20.100000000000001" customHeight="1">
      <c r="A139" s="1596" t="s">
        <v>441</v>
      </c>
      <c r="B139" s="1596"/>
      <c r="C139" s="1596"/>
      <c r="D139" s="1596"/>
      <c r="E139" s="1596"/>
      <c r="F139" s="1596"/>
      <c r="G139" s="1596"/>
      <c r="H139" s="1596"/>
      <c r="I139" s="1596"/>
      <c r="J139" s="1596"/>
      <c r="O139" s="492"/>
    </row>
    <row r="140" spans="1:232" ht="20.100000000000001" customHeight="1">
      <c r="A140" s="1604" t="s">
        <v>101</v>
      </c>
      <c r="B140" s="1604"/>
      <c r="C140" s="1604"/>
      <c r="D140" s="1604"/>
      <c r="E140" s="1604"/>
      <c r="F140" s="1604"/>
      <c r="G140" s="1604"/>
      <c r="H140" s="1604"/>
      <c r="I140" s="1604"/>
      <c r="J140" s="1604"/>
      <c r="O140" s="495"/>
    </row>
    <row r="141" spans="1:232" s="175" customFormat="1" ht="20.100000000000001" customHeight="1">
      <c r="A141" s="486" t="str">
        <f>"-    Phiếu yêu cầu kiểm tra công việc xây dựng số: TGHL-HL-CWI-C&amp;S-"&amp;'2. NK'!D10&amp;"/"&amp;'2. NK'!H10</f>
        <v>-    Phiếu yêu cầu kiểm tra công việc xây dựng số: TGHL-HL-CWI-C&amp;S-B1/800</v>
      </c>
      <c r="B141" s="477"/>
      <c r="C141" s="477"/>
      <c r="D141" s="477"/>
      <c r="E141" s="477"/>
      <c r="F141" s="477"/>
      <c r="G141" s="477"/>
      <c r="H141" s="477"/>
      <c r="I141" s="477"/>
      <c r="J141" s="477"/>
      <c r="K141" s="463"/>
      <c r="L141" s="463"/>
      <c r="M141" s="464"/>
      <c r="N141" s="464"/>
      <c r="O141" s="495"/>
      <c r="P141" s="464"/>
      <c r="Q141" s="464"/>
      <c r="R141" s="464"/>
      <c r="S141" s="464"/>
    </row>
    <row r="142" spans="1:232" ht="20.100000000000001" customHeight="1">
      <c r="A142" s="1679" t="str">
        <f>'8.BBCT'!A28:J28</f>
        <v>-    Hồ sơ thiết kế bản vẽ thi công đã được phê duyệt.</v>
      </c>
      <c r="B142" s="1679"/>
      <c r="C142" s="1679"/>
      <c r="D142" s="1679"/>
      <c r="E142" s="1679"/>
      <c r="F142" s="1679"/>
      <c r="G142" s="1679"/>
      <c r="H142" s="1679"/>
      <c r="I142" s="1679"/>
      <c r="J142" s="1679"/>
      <c r="O142" s="495"/>
      <c r="P142" s="175"/>
      <c r="Q142" s="175"/>
      <c r="R142" s="175"/>
      <c r="S142" s="175"/>
    </row>
    <row r="143" spans="1:232" s="637" customFormat="1" ht="20.100000000000001" customHeight="1">
      <c r="A143" s="486" t="s">
        <v>104</v>
      </c>
      <c r="B143" s="477"/>
      <c r="C143" s="477"/>
      <c r="D143" s="477"/>
      <c r="E143" s="477"/>
      <c r="F143" s="477"/>
      <c r="G143" s="477"/>
      <c r="H143" s="477"/>
      <c r="I143" s="477"/>
      <c r="J143" s="477"/>
      <c r="K143" s="463"/>
      <c r="L143" s="463"/>
      <c r="M143" s="464"/>
      <c r="N143" s="464"/>
      <c r="O143" s="464"/>
      <c r="P143" s="464"/>
      <c r="Q143" s="464"/>
      <c r="R143" s="464"/>
      <c r="S143" s="464"/>
      <c r="T143" s="487"/>
      <c r="U143" s="487"/>
      <c r="V143" s="487"/>
      <c r="W143" s="487"/>
      <c r="X143" s="487"/>
      <c r="Y143" s="487"/>
      <c r="Z143" s="487"/>
      <c r="AA143" s="487"/>
      <c r="AB143" s="487"/>
      <c r="AC143" s="487"/>
      <c r="AD143" s="487"/>
      <c r="AE143" s="487"/>
      <c r="AF143" s="487"/>
      <c r="AG143" s="487"/>
      <c r="AH143" s="487"/>
      <c r="AI143" s="487"/>
      <c r="AJ143" s="487"/>
      <c r="AK143" s="487"/>
      <c r="AL143" s="487"/>
      <c r="AM143" s="487"/>
      <c r="AN143" s="487"/>
      <c r="AO143" s="487"/>
      <c r="AP143" s="487"/>
      <c r="AQ143" s="487"/>
      <c r="AR143" s="487"/>
      <c r="AS143" s="487"/>
      <c r="AT143" s="487"/>
      <c r="AU143" s="487"/>
      <c r="AV143" s="487"/>
      <c r="AW143" s="487"/>
      <c r="AX143" s="487"/>
      <c r="AY143" s="487"/>
      <c r="AZ143" s="487"/>
      <c r="BA143" s="487"/>
      <c r="BB143" s="487"/>
      <c r="BC143" s="487"/>
      <c r="BD143" s="487"/>
      <c r="BE143" s="487"/>
      <c r="BF143" s="487"/>
      <c r="BG143" s="487"/>
      <c r="BH143" s="487"/>
      <c r="BI143" s="487"/>
      <c r="BJ143" s="487"/>
      <c r="BK143" s="487"/>
      <c r="BL143" s="487"/>
      <c r="BM143" s="487"/>
      <c r="BN143" s="487"/>
      <c r="BO143" s="487"/>
      <c r="BP143" s="487"/>
      <c r="BQ143" s="487"/>
      <c r="BR143" s="487"/>
      <c r="BS143" s="487"/>
      <c r="BT143" s="487"/>
      <c r="BU143" s="487"/>
      <c r="BV143" s="487"/>
      <c r="BW143" s="487"/>
      <c r="BX143" s="487"/>
      <c r="BY143" s="487"/>
      <c r="BZ143" s="487"/>
      <c r="CA143" s="487"/>
      <c r="CB143" s="487"/>
      <c r="CC143" s="487"/>
      <c r="CD143" s="487"/>
      <c r="CE143" s="487"/>
      <c r="CF143" s="487"/>
      <c r="CG143" s="487"/>
      <c r="CH143" s="487"/>
      <c r="CI143" s="487"/>
      <c r="CJ143" s="487"/>
      <c r="CK143" s="487"/>
      <c r="CL143" s="487"/>
      <c r="CM143" s="487"/>
      <c r="CN143" s="487"/>
      <c r="CO143" s="487"/>
      <c r="CP143" s="487"/>
      <c r="CQ143" s="487"/>
      <c r="CR143" s="487"/>
      <c r="CS143" s="487"/>
      <c r="CT143" s="487"/>
      <c r="CU143" s="487"/>
      <c r="CV143" s="487"/>
      <c r="CW143" s="487"/>
      <c r="CX143" s="487"/>
      <c r="CY143" s="487"/>
      <c r="CZ143" s="487"/>
      <c r="DA143" s="487"/>
      <c r="DB143" s="487"/>
      <c r="DC143" s="487"/>
      <c r="DD143" s="487"/>
      <c r="DE143" s="487"/>
      <c r="DF143" s="487"/>
      <c r="DG143" s="487"/>
      <c r="DH143" s="487"/>
      <c r="DI143" s="487"/>
      <c r="DJ143" s="487"/>
      <c r="DK143" s="487"/>
      <c r="DL143" s="487"/>
      <c r="DM143" s="487"/>
      <c r="DN143" s="487"/>
      <c r="DO143" s="487"/>
      <c r="DP143" s="487"/>
      <c r="DQ143" s="487"/>
      <c r="DR143" s="487"/>
      <c r="DS143" s="487"/>
      <c r="DT143" s="487"/>
      <c r="DU143" s="487"/>
      <c r="DV143" s="487"/>
      <c r="DW143" s="487"/>
      <c r="DX143" s="487"/>
      <c r="DY143" s="487"/>
      <c r="DZ143" s="487"/>
      <c r="EA143" s="487"/>
      <c r="EB143" s="487"/>
      <c r="EC143" s="487"/>
      <c r="ED143" s="487"/>
      <c r="EE143" s="487"/>
      <c r="EF143" s="487"/>
      <c r="EG143" s="487"/>
      <c r="EH143" s="487"/>
      <c r="EI143" s="487"/>
      <c r="EJ143" s="487"/>
      <c r="EK143" s="487"/>
      <c r="EL143" s="487"/>
      <c r="EM143" s="487"/>
      <c r="EN143" s="487"/>
      <c r="EO143" s="487"/>
      <c r="EP143" s="487"/>
      <c r="EQ143" s="487"/>
      <c r="ER143" s="487"/>
      <c r="ES143" s="487"/>
      <c r="ET143" s="487"/>
      <c r="EU143" s="487"/>
      <c r="EV143" s="487"/>
      <c r="EW143" s="487"/>
      <c r="EX143" s="487"/>
      <c r="EY143" s="487"/>
      <c r="EZ143" s="487"/>
      <c r="FA143" s="487"/>
      <c r="FB143" s="487"/>
      <c r="FC143" s="487"/>
      <c r="FD143" s="487"/>
      <c r="FE143" s="487"/>
      <c r="FF143" s="487"/>
      <c r="FG143" s="487"/>
      <c r="FH143" s="487"/>
      <c r="FI143" s="487"/>
      <c r="FJ143" s="487"/>
      <c r="FK143" s="487"/>
      <c r="FL143" s="487"/>
      <c r="FM143" s="487"/>
      <c r="FN143" s="487"/>
      <c r="FO143" s="487"/>
      <c r="FP143" s="487"/>
      <c r="FQ143" s="487"/>
      <c r="FR143" s="487"/>
      <c r="FS143" s="487"/>
      <c r="FT143" s="487"/>
      <c r="FU143" s="487"/>
      <c r="FV143" s="487"/>
      <c r="FW143" s="487"/>
      <c r="FX143" s="487"/>
      <c r="FY143" s="487"/>
      <c r="FZ143" s="487"/>
      <c r="GA143" s="487"/>
      <c r="GB143" s="487"/>
      <c r="GC143" s="487"/>
      <c r="GD143" s="487"/>
      <c r="GE143" s="487"/>
      <c r="GF143" s="487"/>
      <c r="GG143" s="487"/>
      <c r="GH143" s="487"/>
      <c r="GI143" s="487"/>
      <c r="GJ143" s="487"/>
      <c r="GK143" s="487"/>
      <c r="GL143" s="487"/>
      <c r="GM143" s="487"/>
      <c r="GN143" s="487"/>
      <c r="GO143" s="487"/>
      <c r="GP143" s="487"/>
      <c r="GQ143" s="487"/>
      <c r="GR143" s="487"/>
      <c r="GS143" s="487"/>
      <c r="GT143" s="487"/>
      <c r="GU143" s="487"/>
      <c r="GV143" s="487"/>
      <c r="GW143" s="487"/>
      <c r="GX143" s="487"/>
      <c r="GY143" s="487"/>
      <c r="GZ143" s="487"/>
      <c r="HA143" s="487"/>
      <c r="HB143" s="487"/>
      <c r="HC143" s="487"/>
      <c r="HD143" s="487"/>
      <c r="HE143" s="487"/>
      <c r="HF143" s="487"/>
      <c r="HG143" s="487"/>
      <c r="HH143" s="487"/>
      <c r="HI143" s="487"/>
      <c r="HJ143" s="487"/>
      <c r="HK143" s="487"/>
      <c r="HL143" s="487"/>
      <c r="HM143" s="487"/>
      <c r="HN143" s="487"/>
      <c r="HO143" s="487"/>
      <c r="HP143" s="487"/>
      <c r="HQ143" s="487"/>
      <c r="HR143" s="487"/>
      <c r="HS143" s="487"/>
      <c r="HT143" s="487"/>
      <c r="HU143" s="487"/>
      <c r="HV143" s="487"/>
      <c r="HW143" s="487"/>
      <c r="HX143" s="487"/>
    </row>
    <row r="144" spans="1:232" s="637" customFormat="1" ht="20.100000000000001" customHeight="1">
      <c r="A144" s="885" t="s">
        <v>1027</v>
      </c>
      <c r="B144" s="477" t="s">
        <v>1028</v>
      </c>
      <c r="C144" s="477"/>
      <c r="D144" s="477"/>
      <c r="E144" s="477"/>
      <c r="F144" s="477"/>
      <c r="G144" s="477"/>
      <c r="H144" s="477"/>
      <c r="I144" s="477"/>
      <c r="J144" s="477"/>
      <c r="K144" s="463"/>
      <c r="L144" s="463"/>
      <c r="M144" s="464"/>
      <c r="N144" s="464"/>
      <c r="O144" s="464"/>
      <c r="P144" s="467"/>
      <c r="Q144" s="464"/>
      <c r="R144" s="487"/>
      <c r="S144" s="487"/>
      <c r="T144" s="487"/>
      <c r="U144" s="489"/>
      <c r="V144" s="489"/>
      <c r="W144" s="489"/>
      <c r="X144" s="489"/>
      <c r="Y144" s="489"/>
      <c r="Z144" s="489"/>
      <c r="AA144" s="489"/>
      <c r="AB144" s="489"/>
      <c r="AC144" s="489"/>
      <c r="AD144" s="489"/>
      <c r="AE144" s="489"/>
      <c r="AF144" s="489"/>
      <c r="AG144" s="489"/>
      <c r="AH144" s="489"/>
      <c r="AI144" s="489"/>
      <c r="AJ144" s="489"/>
      <c r="AK144" s="489"/>
      <c r="AL144" s="489"/>
      <c r="AM144" s="489"/>
      <c r="AN144" s="489"/>
      <c r="AO144" s="489"/>
      <c r="AP144" s="489"/>
      <c r="AQ144" s="489"/>
      <c r="AR144" s="489"/>
      <c r="AS144" s="489"/>
      <c r="AT144" s="489"/>
      <c r="AU144" s="489"/>
      <c r="AV144" s="489"/>
      <c r="AW144" s="489"/>
      <c r="AX144" s="489"/>
      <c r="AY144" s="489"/>
      <c r="AZ144" s="489"/>
      <c r="BA144" s="489"/>
      <c r="BB144" s="489"/>
      <c r="BC144" s="489"/>
      <c r="BD144" s="489"/>
      <c r="BE144" s="489"/>
      <c r="BF144" s="489"/>
      <c r="BG144" s="489"/>
      <c r="BH144" s="489"/>
      <c r="BI144" s="489"/>
      <c r="BJ144" s="489"/>
      <c r="BK144" s="489"/>
      <c r="BL144" s="489"/>
      <c r="BM144" s="489"/>
      <c r="BN144" s="489"/>
      <c r="BO144" s="489"/>
      <c r="BP144" s="489"/>
      <c r="BQ144" s="489"/>
      <c r="BR144" s="489"/>
      <c r="BS144" s="489"/>
      <c r="BT144" s="489"/>
      <c r="BU144" s="489"/>
      <c r="BV144" s="489"/>
      <c r="BW144" s="489"/>
      <c r="BX144" s="489"/>
      <c r="BY144" s="489"/>
      <c r="BZ144" s="489"/>
      <c r="CA144" s="489"/>
      <c r="CB144" s="489"/>
      <c r="CC144" s="489"/>
      <c r="CD144" s="489"/>
      <c r="CE144" s="489"/>
      <c r="CF144" s="489"/>
      <c r="CG144" s="489"/>
      <c r="CH144" s="489"/>
      <c r="CI144" s="489"/>
      <c r="CJ144" s="489"/>
      <c r="CK144" s="489"/>
      <c r="CL144" s="489"/>
      <c r="CM144" s="489"/>
      <c r="CN144" s="489"/>
      <c r="CO144" s="489"/>
      <c r="CP144" s="489"/>
      <c r="CQ144" s="489"/>
      <c r="CR144" s="489"/>
      <c r="CS144" s="489"/>
      <c r="CT144" s="489"/>
      <c r="CU144" s="489"/>
      <c r="CV144" s="489"/>
      <c r="CW144" s="489"/>
      <c r="CX144" s="489"/>
      <c r="CY144" s="489"/>
      <c r="CZ144" s="489"/>
      <c r="DA144" s="489"/>
      <c r="DB144" s="489"/>
      <c r="DC144" s="489"/>
      <c r="DD144" s="489"/>
      <c r="DE144" s="489"/>
      <c r="DF144" s="489"/>
      <c r="DG144" s="489"/>
      <c r="DH144" s="489"/>
      <c r="DI144" s="489"/>
      <c r="DJ144" s="489"/>
      <c r="DK144" s="489"/>
      <c r="DL144" s="489"/>
      <c r="DM144" s="489"/>
      <c r="DN144" s="489"/>
      <c r="DO144" s="489"/>
      <c r="DP144" s="489"/>
      <c r="DQ144" s="489"/>
      <c r="DR144" s="489"/>
      <c r="DS144" s="489"/>
      <c r="DT144" s="489"/>
      <c r="DU144" s="489"/>
      <c r="DV144" s="489"/>
      <c r="DW144" s="489"/>
      <c r="DX144" s="489"/>
      <c r="DY144" s="489"/>
      <c r="DZ144" s="489"/>
      <c r="EA144" s="489"/>
      <c r="EB144" s="489"/>
      <c r="EC144" s="489"/>
      <c r="ED144" s="489"/>
      <c r="EE144" s="489"/>
      <c r="EF144" s="489"/>
      <c r="EG144" s="489"/>
      <c r="EH144" s="489"/>
      <c r="EI144" s="489"/>
      <c r="EJ144" s="489"/>
      <c r="EK144" s="489"/>
      <c r="EL144" s="489"/>
      <c r="EM144" s="489"/>
      <c r="EN144" s="489"/>
      <c r="EO144" s="489"/>
      <c r="EP144" s="489"/>
      <c r="EQ144" s="489"/>
      <c r="ER144" s="489"/>
      <c r="ES144" s="489"/>
      <c r="ET144" s="489"/>
      <c r="EU144" s="489"/>
      <c r="EV144" s="489"/>
      <c r="EW144" s="489"/>
      <c r="EX144" s="489"/>
      <c r="EY144" s="489"/>
      <c r="EZ144" s="489"/>
      <c r="FA144" s="489"/>
      <c r="FB144" s="489"/>
      <c r="FC144" s="489"/>
      <c r="FD144" s="489"/>
      <c r="FE144" s="489"/>
      <c r="FF144" s="489"/>
      <c r="FG144" s="489"/>
      <c r="FH144" s="489"/>
      <c r="FI144" s="489"/>
      <c r="FJ144" s="489"/>
      <c r="FK144" s="489"/>
      <c r="FL144" s="489"/>
      <c r="FM144" s="489"/>
      <c r="FN144" s="489"/>
      <c r="FO144" s="489"/>
      <c r="FP144" s="489"/>
      <c r="FQ144" s="489"/>
      <c r="FR144" s="489"/>
      <c r="FS144" s="489"/>
      <c r="FT144" s="489"/>
      <c r="FU144" s="489"/>
      <c r="FV144" s="489"/>
      <c r="FW144" s="489"/>
      <c r="FX144" s="489"/>
      <c r="FY144" s="489"/>
      <c r="FZ144" s="489"/>
      <c r="GA144" s="489"/>
      <c r="GB144" s="489"/>
      <c r="GC144" s="489"/>
      <c r="GD144" s="489"/>
      <c r="GE144" s="489"/>
      <c r="GF144" s="489"/>
      <c r="GG144" s="489"/>
      <c r="GH144" s="489"/>
      <c r="GI144" s="489"/>
      <c r="GJ144" s="489"/>
      <c r="GK144" s="489"/>
      <c r="GL144" s="489"/>
      <c r="GM144" s="489"/>
      <c r="GN144" s="489"/>
      <c r="GO144" s="489"/>
      <c r="GP144" s="489"/>
      <c r="GQ144" s="489"/>
      <c r="GR144" s="489"/>
      <c r="GS144" s="489"/>
      <c r="GT144" s="489"/>
      <c r="GU144" s="489"/>
      <c r="GV144" s="489"/>
      <c r="GW144" s="489"/>
      <c r="GX144" s="489"/>
      <c r="GY144" s="489"/>
      <c r="GZ144" s="489"/>
      <c r="HA144" s="489"/>
      <c r="HB144" s="489"/>
      <c r="HC144" s="489"/>
      <c r="HD144" s="489"/>
      <c r="HE144" s="489"/>
      <c r="HF144" s="489"/>
      <c r="HG144" s="489"/>
      <c r="HH144" s="489"/>
      <c r="HI144" s="489"/>
      <c r="HJ144" s="489"/>
      <c r="HK144" s="489"/>
      <c r="HL144" s="489"/>
      <c r="HM144" s="489"/>
      <c r="HN144" s="489"/>
      <c r="HO144" s="489"/>
      <c r="HP144" s="489"/>
      <c r="HQ144" s="489"/>
      <c r="HR144" s="489"/>
      <c r="HS144" s="489"/>
      <c r="HT144" s="489"/>
      <c r="HU144" s="489"/>
      <c r="HV144" s="489"/>
      <c r="HW144" s="489"/>
      <c r="HX144" s="487"/>
    </row>
    <row r="145" spans="1:232" s="637" customFormat="1" ht="20.100000000000001" customHeight="1">
      <c r="A145" s="885" t="s">
        <v>1027</v>
      </c>
      <c r="B145" s="477" t="s">
        <v>1029</v>
      </c>
      <c r="C145" s="477"/>
      <c r="D145" s="477"/>
      <c r="E145" s="477"/>
      <c r="F145" s="477"/>
      <c r="G145" s="477"/>
      <c r="H145" s="477"/>
      <c r="I145" s="477"/>
      <c r="J145" s="477"/>
      <c r="K145" s="463"/>
      <c r="L145" s="463"/>
      <c r="M145" s="464"/>
      <c r="N145" s="464"/>
      <c r="O145" s="464"/>
      <c r="P145" s="487"/>
      <c r="Q145" s="487"/>
      <c r="R145" s="487"/>
      <c r="S145" s="487"/>
      <c r="T145" s="477"/>
      <c r="U145" s="489"/>
      <c r="V145" s="489"/>
      <c r="W145" s="489"/>
      <c r="X145" s="489"/>
      <c r="Y145" s="489"/>
      <c r="Z145" s="489"/>
      <c r="AA145" s="489"/>
      <c r="AB145" s="489"/>
      <c r="AC145" s="489"/>
      <c r="AD145" s="489"/>
      <c r="AE145" s="489"/>
      <c r="AF145" s="489"/>
      <c r="AG145" s="489"/>
      <c r="AH145" s="489"/>
      <c r="AI145" s="489"/>
      <c r="AJ145" s="489"/>
      <c r="AK145" s="489"/>
      <c r="AL145" s="489"/>
      <c r="AM145" s="489"/>
      <c r="AN145" s="489"/>
      <c r="AO145" s="489"/>
      <c r="AP145" s="489"/>
      <c r="AQ145" s="489"/>
      <c r="AR145" s="489"/>
      <c r="AS145" s="489"/>
      <c r="AT145" s="489"/>
      <c r="AU145" s="489"/>
      <c r="AV145" s="489"/>
      <c r="AW145" s="489"/>
      <c r="AX145" s="489"/>
      <c r="AY145" s="489"/>
      <c r="AZ145" s="489"/>
      <c r="BA145" s="489"/>
      <c r="BB145" s="489"/>
      <c r="BC145" s="489"/>
      <c r="BD145" s="489"/>
      <c r="BE145" s="489"/>
      <c r="BF145" s="489"/>
      <c r="BG145" s="489"/>
      <c r="BH145" s="489"/>
      <c r="BI145" s="489"/>
      <c r="BJ145" s="489"/>
      <c r="BK145" s="489"/>
      <c r="BL145" s="489"/>
      <c r="BM145" s="489"/>
      <c r="BN145" s="489"/>
      <c r="BO145" s="489"/>
      <c r="BP145" s="489"/>
      <c r="BQ145" s="489"/>
      <c r="BR145" s="489"/>
      <c r="BS145" s="489"/>
      <c r="BT145" s="489"/>
      <c r="BU145" s="489"/>
      <c r="BV145" s="489"/>
      <c r="BW145" s="489"/>
      <c r="BX145" s="489"/>
      <c r="BY145" s="489"/>
      <c r="BZ145" s="489"/>
      <c r="CA145" s="489"/>
      <c r="CB145" s="489"/>
      <c r="CC145" s="489"/>
      <c r="CD145" s="489"/>
      <c r="CE145" s="489"/>
      <c r="CF145" s="489"/>
      <c r="CG145" s="489"/>
      <c r="CH145" s="489"/>
      <c r="CI145" s="489"/>
      <c r="CJ145" s="489"/>
      <c r="CK145" s="489"/>
      <c r="CL145" s="489"/>
      <c r="CM145" s="489"/>
      <c r="CN145" s="489"/>
      <c r="CO145" s="489"/>
      <c r="CP145" s="489"/>
      <c r="CQ145" s="489"/>
      <c r="CR145" s="489"/>
      <c r="CS145" s="489"/>
      <c r="CT145" s="489"/>
      <c r="CU145" s="489"/>
      <c r="CV145" s="489"/>
      <c r="CW145" s="489"/>
      <c r="CX145" s="489"/>
      <c r="CY145" s="489"/>
      <c r="CZ145" s="489"/>
      <c r="DA145" s="489"/>
      <c r="DB145" s="489"/>
      <c r="DC145" s="489"/>
      <c r="DD145" s="489"/>
      <c r="DE145" s="489"/>
      <c r="DF145" s="489"/>
      <c r="DG145" s="489"/>
      <c r="DH145" s="489"/>
      <c r="DI145" s="489"/>
      <c r="DJ145" s="489"/>
      <c r="DK145" s="489"/>
      <c r="DL145" s="489"/>
      <c r="DM145" s="489"/>
      <c r="DN145" s="489"/>
      <c r="DO145" s="489"/>
      <c r="DP145" s="489"/>
      <c r="DQ145" s="489"/>
      <c r="DR145" s="489"/>
      <c r="DS145" s="489"/>
      <c r="DT145" s="489"/>
      <c r="DU145" s="489"/>
      <c r="DV145" s="489"/>
      <c r="DW145" s="489"/>
      <c r="DX145" s="489"/>
      <c r="DY145" s="489"/>
      <c r="DZ145" s="489"/>
      <c r="EA145" s="489"/>
      <c r="EB145" s="489"/>
      <c r="EC145" s="489"/>
      <c r="ED145" s="489"/>
      <c r="EE145" s="489"/>
      <c r="EF145" s="489"/>
      <c r="EG145" s="489"/>
      <c r="EH145" s="489"/>
      <c r="EI145" s="489"/>
      <c r="EJ145" s="489"/>
      <c r="EK145" s="489"/>
      <c r="EL145" s="489"/>
      <c r="EM145" s="489"/>
      <c r="EN145" s="489"/>
      <c r="EO145" s="489"/>
      <c r="EP145" s="489"/>
      <c r="EQ145" s="489"/>
      <c r="ER145" s="489"/>
      <c r="ES145" s="489"/>
      <c r="ET145" s="489"/>
      <c r="EU145" s="489"/>
      <c r="EV145" s="489"/>
      <c r="EW145" s="489"/>
      <c r="EX145" s="489"/>
      <c r="EY145" s="489"/>
      <c r="EZ145" s="489"/>
      <c r="FA145" s="489"/>
      <c r="FB145" s="489"/>
      <c r="FC145" s="489"/>
      <c r="FD145" s="489"/>
      <c r="FE145" s="489"/>
      <c r="FF145" s="489"/>
      <c r="FG145" s="489"/>
      <c r="FH145" s="489"/>
      <c r="FI145" s="489"/>
      <c r="FJ145" s="489"/>
      <c r="FK145" s="489"/>
      <c r="FL145" s="489"/>
      <c r="FM145" s="489"/>
      <c r="FN145" s="489"/>
      <c r="FO145" s="489"/>
      <c r="FP145" s="489"/>
      <c r="FQ145" s="489"/>
      <c r="FR145" s="489"/>
      <c r="FS145" s="489"/>
      <c r="FT145" s="489"/>
      <c r="FU145" s="489"/>
      <c r="FV145" s="489"/>
      <c r="FW145" s="489"/>
      <c r="FX145" s="489"/>
      <c r="FY145" s="489"/>
      <c r="FZ145" s="489"/>
      <c r="GA145" s="489"/>
      <c r="GB145" s="489"/>
      <c r="GC145" s="489"/>
      <c r="GD145" s="489"/>
      <c r="GE145" s="489"/>
      <c r="GF145" s="489"/>
      <c r="GG145" s="489"/>
      <c r="GH145" s="489"/>
      <c r="GI145" s="489"/>
      <c r="GJ145" s="489"/>
      <c r="GK145" s="489"/>
      <c r="GL145" s="489"/>
      <c r="GM145" s="489"/>
      <c r="GN145" s="489"/>
      <c r="GO145" s="489"/>
      <c r="GP145" s="489"/>
      <c r="GQ145" s="489"/>
      <c r="GR145" s="489"/>
      <c r="GS145" s="489"/>
      <c r="GT145" s="489"/>
      <c r="GU145" s="489"/>
      <c r="GV145" s="489"/>
      <c r="GW145" s="489"/>
      <c r="GX145" s="489"/>
      <c r="GY145" s="489"/>
      <c r="GZ145" s="489"/>
      <c r="HA145" s="489"/>
      <c r="HB145" s="489"/>
      <c r="HC145" s="489"/>
      <c r="HD145" s="489"/>
      <c r="HE145" s="489"/>
      <c r="HF145" s="489"/>
      <c r="HG145" s="489"/>
      <c r="HH145" s="489"/>
      <c r="HI145" s="489"/>
      <c r="HJ145" s="489"/>
      <c r="HK145" s="489"/>
      <c r="HL145" s="489"/>
      <c r="HM145" s="489"/>
      <c r="HN145" s="489"/>
      <c r="HO145" s="489"/>
      <c r="HP145" s="489"/>
      <c r="HQ145" s="489"/>
      <c r="HR145" s="489"/>
      <c r="HS145" s="489"/>
      <c r="HT145" s="489"/>
      <c r="HU145" s="489"/>
      <c r="HV145" s="489"/>
      <c r="HW145" s="489"/>
      <c r="HX145" s="487"/>
    </row>
    <row r="146" spans="1:232" s="637" customFormat="1" ht="19.5" customHeight="1">
      <c r="A146" s="885" t="s">
        <v>1027</v>
      </c>
      <c r="B146" s="1602" t="s">
        <v>1041</v>
      </c>
      <c r="C146" s="1602"/>
      <c r="D146" s="1602"/>
      <c r="E146" s="1602"/>
      <c r="F146" s="1602"/>
      <c r="G146" s="1602"/>
      <c r="H146" s="1602"/>
      <c r="I146" s="1602"/>
      <c r="J146" s="1602"/>
      <c r="K146" s="463"/>
      <c r="L146" s="463"/>
      <c r="M146" s="464"/>
      <c r="N146" s="464"/>
      <c r="O146" s="495"/>
      <c r="P146" s="492"/>
      <c r="Q146" s="492"/>
      <c r="R146" s="492"/>
      <c r="S146" s="492"/>
      <c r="T146" s="492"/>
      <c r="U146" s="489"/>
      <c r="V146" s="489"/>
      <c r="W146" s="489"/>
      <c r="X146" s="489"/>
      <c r="Y146" s="489"/>
      <c r="Z146" s="489"/>
      <c r="AA146" s="489"/>
      <c r="AB146" s="489"/>
      <c r="AC146" s="489"/>
      <c r="AD146" s="489"/>
      <c r="AE146" s="489"/>
      <c r="AF146" s="489"/>
      <c r="AG146" s="489"/>
      <c r="AH146" s="489"/>
      <c r="AI146" s="489"/>
      <c r="AJ146" s="489"/>
      <c r="AK146" s="489"/>
      <c r="AL146" s="489"/>
      <c r="AM146" s="489"/>
      <c r="AN146" s="489"/>
      <c r="AO146" s="489"/>
      <c r="AP146" s="489"/>
      <c r="AQ146" s="489"/>
      <c r="AR146" s="489"/>
      <c r="AS146" s="489"/>
      <c r="AT146" s="489"/>
      <c r="AU146" s="489"/>
      <c r="AV146" s="489"/>
      <c r="AW146" s="489"/>
      <c r="AX146" s="489"/>
      <c r="AY146" s="489"/>
      <c r="AZ146" s="489"/>
      <c r="BA146" s="489"/>
      <c r="BB146" s="489"/>
      <c r="BC146" s="489"/>
      <c r="BD146" s="489"/>
      <c r="BE146" s="489"/>
      <c r="BF146" s="489"/>
      <c r="BG146" s="489"/>
      <c r="BH146" s="489"/>
      <c r="BI146" s="489"/>
      <c r="BJ146" s="489"/>
      <c r="BK146" s="489"/>
      <c r="BL146" s="489"/>
      <c r="BM146" s="489"/>
      <c r="BN146" s="489"/>
      <c r="BO146" s="489"/>
      <c r="BP146" s="489"/>
      <c r="BQ146" s="489"/>
      <c r="BR146" s="489"/>
      <c r="BS146" s="489"/>
      <c r="BT146" s="489"/>
      <c r="BU146" s="489"/>
      <c r="BV146" s="489"/>
      <c r="BW146" s="489"/>
      <c r="BX146" s="489"/>
      <c r="BY146" s="489"/>
      <c r="BZ146" s="489"/>
      <c r="CA146" s="489"/>
      <c r="CB146" s="489"/>
      <c r="CC146" s="489"/>
      <c r="CD146" s="489"/>
      <c r="CE146" s="489"/>
      <c r="CF146" s="489"/>
      <c r="CG146" s="489"/>
      <c r="CH146" s="489"/>
      <c r="CI146" s="489"/>
      <c r="CJ146" s="489"/>
      <c r="CK146" s="489"/>
      <c r="CL146" s="489"/>
      <c r="CM146" s="489"/>
      <c r="CN146" s="489"/>
      <c r="CO146" s="489"/>
      <c r="CP146" s="489"/>
      <c r="CQ146" s="489"/>
      <c r="CR146" s="489"/>
      <c r="CS146" s="489"/>
      <c r="CT146" s="489"/>
      <c r="CU146" s="489"/>
      <c r="CV146" s="489"/>
      <c r="CW146" s="489"/>
      <c r="CX146" s="489"/>
      <c r="CY146" s="489"/>
      <c r="CZ146" s="489"/>
      <c r="DA146" s="489"/>
      <c r="DB146" s="489"/>
      <c r="DC146" s="489"/>
      <c r="DD146" s="489"/>
      <c r="DE146" s="489"/>
      <c r="DF146" s="489"/>
      <c r="DG146" s="489"/>
      <c r="DH146" s="489"/>
      <c r="DI146" s="489"/>
      <c r="DJ146" s="489"/>
      <c r="DK146" s="489"/>
      <c r="DL146" s="489"/>
      <c r="DM146" s="489"/>
      <c r="DN146" s="489"/>
      <c r="DO146" s="489"/>
      <c r="DP146" s="489"/>
      <c r="DQ146" s="489"/>
      <c r="DR146" s="489"/>
      <c r="DS146" s="489"/>
      <c r="DT146" s="489"/>
      <c r="DU146" s="489"/>
      <c r="DV146" s="489"/>
      <c r="DW146" s="489"/>
      <c r="DX146" s="489"/>
      <c r="DY146" s="489"/>
      <c r="DZ146" s="489"/>
      <c r="EA146" s="489"/>
      <c r="EB146" s="489"/>
      <c r="EC146" s="489"/>
      <c r="ED146" s="489"/>
      <c r="EE146" s="489"/>
      <c r="EF146" s="489"/>
      <c r="EG146" s="489"/>
      <c r="EH146" s="489"/>
      <c r="EI146" s="489"/>
      <c r="EJ146" s="489"/>
      <c r="EK146" s="489"/>
      <c r="EL146" s="489"/>
      <c r="EM146" s="489"/>
      <c r="EN146" s="489"/>
      <c r="EO146" s="489"/>
      <c r="EP146" s="489"/>
      <c r="EQ146" s="489"/>
      <c r="ER146" s="489"/>
      <c r="ES146" s="489"/>
      <c r="ET146" s="489"/>
      <c r="EU146" s="489"/>
      <c r="EV146" s="489"/>
      <c r="EW146" s="489"/>
      <c r="EX146" s="489"/>
      <c r="EY146" s="489"/>
      <c r="EZ146" s="489"/>
      <c r="FA146" s="489"/>
      <c r="FB146" s="489"/>
      <c r="FC146" s="489"/>
      <c r="FD146" s="489"/>
      <c r="FE146" s="489"/>
      <c r="FF146" s="489"/>
      <c r="FG146" s="489"/>
      <c r="FH146" s="489"/>
      <c r="FI146" s="489"/>
      <c r="FJ146" s="489"/>
      <c r="FK146" s="489"/>
      <c r="FL146" s="489"/>
      <c r="FM146" s="489"/>
      <c r="FN146" s="489"/>
      <c r="FO146" s="489"/>
      <c r="FP146" s="489"/>
      <c r="FQ146" s="489"/>
      <c r="FR146" s="489"/>
      <c r="FS146" s="489"/>
      <c r="FT146" s="489"/>
      <c r="FU146" s="489"/>
      <c r="FV146" s="489"/>
      <c r="FW146" s="489"/>
      <c r="FX146" s="489"/>
      <c r="FY146" s="489"/>
      <c r="FZ146" s="489"/>
      <c r="GA146" s="489"/>
      <c r="GB146" s="489"/>
      <c r="GC146" s="489"/>
      <c r="GD146" s="489"/>
      <c r="GE146" s="489"/>
      <c r="GF146" s="489"/>
      <c r="GG146" s="489"/>
      <c r="GH146" s="489"/>
      <c r="GI146" s="489"/>
      <c r="GJ146" s="489"/>
      <c r="GK146" s="489"/>
      <c r="GL146" s="489"/>
      <c r="GM146" s="489"/>
      <c r="GN146" s="489"/>
      <c r="GO146" s="489"/>
      <c r="GP146" s="489"/>
      <c r="GQ146" s="489"/>
      <c r="GR146" s="489"/>
      <c r="GS146" s="489"/>
      <c r="GT146" s="489"/>
      <c r="GU146" s="489"/>
      <c r="GV146" s="489"/>
      <c r="GW146" s="489"/>
      <c r="GX146" s="489"/>
      <c r="GY146" s="489"/>
      <c r="GZ146" s="489"/>
      <c r="HA146" s="489"/>
      <c r="HB146" s="489"/>
      <c r="HC146" s="489"/>
      <c r="HD146" s="489"/>
      <c r="HE146" s="489"/>
      <c r="HF146" s="489"/>
      <c r="HG146" s="489"/>
      <c r="HH146" s="489"/>
      <c r="HI146" s="489"/>
      <c r="HJ146" s="489"/>
      <c r="HK146" s="489"/>
      <c r="HL146" s="489"/>
      <c r="HM146" s="489"/>
      <c r="HN146" s="489"/>
      <c r="HO146" s="489"/>
      <c r="HP146" s="489"/>
      <c r="HQ146" s="489"/>
      <c r="HR146" s="489"/>
      <c r="HS146" s="489"/>
      <c r="HT146" s="489"/>
      <c r="HU146" s="489"/>
      <c r="HV146" s="489"/>
      <c r="HW146" s="489"/>
      <c r="HX146" s="487"/>
    </row>
    <row r="147" spans="1:232" s="637" customFormat="1" ht="19.5" customHeight="1">
      <c r="A147" s="885" t="s">
        <v>1027</v>
      </c>
      <c r="B147" s="1602" t="s">
        <v>1039</v>
      </c>
      <c r="C147" s="1602"/>
      <c r="D147" s="1602"/>
      <c r="E147" s="1602"/>
      <c r="F147" s="1602"/>
      <c r="G147" s="1602"/>
      <c r="H147" s="1602"/>
      <c r="I147" s="1602"/>
      <c r="J147" s="1602"/>
      <c r="K147" s="463"/>
      <c r="L147" s="463"/>
      <c r="M147" s="464"/>
      <c r="N147" s="464"/>
      <c r="O147" s="504"/>
      <c r="P147" s="492"/>
      <c r="Q147" s="492"/>
      <c r="R147" s="492"/>
      <c r="S147" s="492"/>
      <c r="T147" s="492"/>
      <c r="U147" s="489"/>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89"/>
      <c r="BH147" s="489"/>
      <c r="BI147" s="489"/>
      <c r="BJ147" s="489"/>
      <c r="BK147" s="489"/>
      <c r="BL147" s="489"/>
      <c r="BM147" s="489"/>
      <c r="BN147" s="489"/>
      <c r="BO147" s="489"/>
      <c r="BP147" s="489"/>
      <c r="BQ147" s="489"/>
      <c r="BR147" s="489"/>
      <c r="BS147" s="489"/>
      <c r="BT147" s="489"/>
      <c r="BU147" s="489"/>
      <c r="BV147" s="489"/>
      <c r="BW147" s="489"/>
      <c r="BX147" s="489"/>
      <c r="BY147" s="489"/>
      <c r="BZ147" s="489"/>
      <c r="CA147" s="489"/>
      <c r="CB147" s="489"/>
      <c r="CC147" s="489"/>
      <c r="CD147" s="489"/>
      <c r="CE147" s="489"/>
      <c r="CF147" s="489"/>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89"/>
      <c r="DN147" s="489"/>
      <c r="DO147" s="489"/>
      <c r="DP147" s="489"/>
      <c r="DQ147" s="489"/>
      <c r="DR147" s="489"/>
      <c r="DS147" s="489"/>
      <c r="DT147" s="489"/>
      <c r="DU147" s="489"/>
      <c r="DV147" s="489"/>
      <c r="DW147" s="489"/>
      <c r="DX147" s="489"/>
      <c r="DY147" s="489"/>
      <c r="DZ147" s="489"/>
      <c r="EA147" s="489"/>
      <c r="EB147" s="489"/>
      <c r="EC147" s="489"/>
      <c r="ED147" s="489"/>
      <c r="EE147" s="489"/>
      <c r="EF147" s="489"/>
      <c r="EG147" s="489"/>
      <c r="EH147" s="489"/>
      <c r="EI147" s="489"/>
      <c r="EJ147" s="489"/>
      <c r="EK147" s="489"/>
      <c r="EL147" s="489"/>
      <c r="EM147" s="489"/>
      <c r="EN147" s="489"/>
      <c r="EO147" s="489"/>
      <c r="EP147" s="489"/>
      <c r="EQ147" s="489"/>
      <c r="ER147" s="489"/>
      <c r="ES147" s="489"/>
      <c r="ET147" s="489"/>
      <c r="EU147" s="489"/>
      <c r="EV147" s="489"/>
      <c r="EW147" s="489"/>
      <c r="EX147" s="489"/>
      <c r="EY147" s="489"/>
      <c r="EZ147" s="489"/>
      <c r="FA147" s="489"/>
      <c r="FB147" s="489"/>
      <c r="FC147" s="489"/>
      <c r="FD147" s="489"/>
      <c r="FE147" s="489"/>
      <c r="FF147" s="489"/>
      <c r="FG147" s="489"/>
      <c r="FH147" s="489"/>
      <c r="FI147" s="489"/>
      <c r="FJ147" s="489"/>
      <c r="FK147" s="489"/>
      <c r="FL147" s="489"/>
      <c r="FM147" s="489"/>
      <c r="FN147" s="489"/>
      <c r="FO147" s="489"/>
      <c r="FP147" s="489"/>
      <c r="FQ147" s="489"/>
      <c r="FR147" s="489"/>
      <c r="FS147" s="489"/>
      <c r="FT147" s="489"/>
      <c r="FU147" s="489"/>
      <c r="FV147" s="489"/>
      <c r="FW147" s="489"/>
      <c r="FX147" s="489"/>
      <c r="FY147" s="489"/>
      <c r="FZ147" s="489"/>
      <c r="GA147" s="489"/>
      <c r="GB147" s="489"/>
      <c r="GC147" s="489"/>
      <c r="GD147" s="489"/>
      <c r="GE147" s="489"/>
      <c r="GF147" s="489"/>
      <c r="GG147" s="489"/>
      <c r="GH147" s="489"/>
      <c r="GI147" s="489"/>
      <c r="GJ147" s="489"/>
      <c r="GK147" s="489"/>
      <c r="GL147" s="489"/>
      <c r="GM147" s="489"/>
      <c r="GN147" s="489"/>
      <c r="GO147" s="489"/>
      <c r="GP147" s="489"/>
      <c r="GQ147" s="489"/>
      <c r="GR147" s="489"/>
      <c r="GS147" s="489"/>
      <c r="GT147" s="489"/>
      <c r="GU147" s="489"/>
      <c r="GV147" s="489"/>
      <c r="GW147" s="489"/>
      <c r="GX147" s="489"/>
      <c r="GY147" s="489"/>
      <c r="GZ147" s="489"/>
      <c r="HA147" s="489"/>
      <c r="HB147" s="489"/>
      <c r="HC147" s="489"/>
      <c r="HD147" s="489"/>
      <c r="HE147" s="489"/>
      <c r="HF147" s="489"/>
      <c r="HG147" s="489"/>
      <c r="HH147" s="489"/>
      <c r="HI147" s="489"/>
      <c r="HJ147" s="489"/>
      <c r="HK147" s="489"/>
      <c r="HL147" s="489"/>
      <c r="HM147" s="489"/>
      <c r="HN147" s="489"/>
      <c r="HO147" s="489"/>
      <c r="HP147" s="489"/>
      <c r="HQ147" s="489"/>
      <c r="HR147" s="489"/>
      <c r="HS147" s="489"/>
      <c r="HT147" s="489"/>
      <c r="HU147" s="489"/>
      <c r="HV147" s="489"/>
      <c r="HW147" s="489"/>
      <c r="HX147" s="487"/>
    </row>
    <row r="148" spans="1:232" s="637" customFormat="1" ht="19.5" customHeight="1">
      <c r="A148" s="885" t="s">
        <v>1027</v>
      </c>
      <c r="B148" s="1602" t="s">
        <v>1036</v>
      </c>
      <c r="C148" s="1602"/>
      <c r="D148" s="1602"/>
      <c r="E148" s="1602"/>
      <c r="F148" s="1602"/>
      <c r="G148" s="1602"/>
      <c r="H148" s="1602"/>
      <c r="I148" s="1602"/>
      <c r="J148" s="1602"/>
      <c r="K148" s="463"/>
      <c r="L148" s="463"/>
      <c r="M148" s="464"/>
      <c r="N148" s="464"/>
      <c r="O148" s="406"/>
      <c r="P148" s="492"/>
      <c r="Q148" s="492"/>
      <c r="R148" s="492"/>
      <c r="S148" s="492"/>
      <c r="T148" s="492"/>
      <c r="U148" s="489"/>
      <c r="V148" s="489"/>
      <c r="W148" s="489"/>
      <c r="X148" s="489"/>
      <c r="Y148" s="489"/>
      <c r="Z148" s="489"/>
      <c r="AA148" s="489"/>
      <c r="AB148" s="489"/>
      <c r="AC148" s="489"/>
      <c r="AD148" s="489"/>
      <c r="AE148" s="489"/>
      <c r="AF148" s="489"/>
      <c r="AG148" s="489"/>
      <c r="AH148" s="489"/>
      <c r="AI148" s="489"/>
      <c r="AJ148" s="489"/>
      <c r="AK148" s="489"/>
      <c r="AL148" s="489"/>
      <c r="AM148" s="489"/>
      <c r="AN148" s="489"/>
      <c r="AO148" s="489"/>
      <c r="AP148" s="489"/>
      <c r="AQ148" s="489"/>
      <c r="AR148" s="489"/>
      <c r="AS148" s="489"/>
      <c r="AT148" s="489"/>
      <c r="AU148" s="489"/>
      <c r="AV148" s="489"/>
      <c r="AW148" s="489"/>
      <c r="AX148" s="489"/>
      <c r="AY148" s="489"/>
      <c r="AZ148" s="489"/>
      <c r="BA148" s="489"/>
      <c r="BB148" s="489"/>
      <c r="BC148" s="489"/>
      <c r="BD148" s="489"/>
      <c r="BE148" s="489"/>
      <c r="BF148" s="489"/>
      <c r="BG148" s="489"/>
      <c r="BH148" s="489"/>
      <c r="BI148" s="489"/>
      <c r="BJ148" s="489"/>
      <c r="BK148" s="489"/>
      <c r="BL148" s="489"/>
      <c r="BM148" s="489"/>
      <c r="BN148" s="489"/>
      <c r="BO148" s="489"/>
      <c r="BP148" s="489"/>
      <c r="BQ148" s="489"/>
      <c r="BR148" s="489"/>
      <c r="BS148" s="489"/>
      <c r="BT148" s="489"/>
      <c r="BU148" s="489"/>
      <c r="BV148" s="489"/>
      <c r="BW148" s="489"/>
      <c r="BX148" s="489"/>
      <c r="BY148" s="489"/>
      <c r="BZ148" s="489"/>
      <c r="CA148" s="489"/>
      <c r="CB148" s="489"/>
      <c r="CC148" s="489"/>
      <c r="CD148" s="489"/>
      <c r="CE148" s="489"/>
      <c r="CF148" s="489"/>
      <c r="CG148" s="489"/>
      <c r="CH148" s="489"/>
      <c r="CI148" s="489"/>
      <c r="CJ148" s="489"/>
      <c r="CK148" s="489"/>
      <c r="CL148" s="489"/>
      <c r="CM148" s="489"/>
      <c r="CN148" s="489"/>
      <c r="CO148" s="489"/>
      <c r="CP148" s="489"/>
      <c r="CQ148" s="489"/>
      <c r="CR148" s="489"/>
      <c r="CS148" s="489"/>
      <c r="CT148" s="489"/>
      <c r="CU148" s="489"/>
      <c r="CV148" s="489"/>
      <c r="CW148" s="489"/>
      <c r="CX148" s="489"/>
      <c r="CY148" s="489"/>
      <c r="CZ148" s="489"/>
      <c r="DA148" s="489"/>
      <c r="DB148" s="489"/>
      <c r="DC148" s="489"/>
      <c r="DD148" s="489"/>
      <c r="DE148" s="489"/>
      <c r="DF148" s="489"/>
      <c r="DG148" s="489"/>
      <c r="DH148" s="489"/>
      <c r="DI148" s="489"/>
      <c r="DJ148" s="489"/>
      <c r="DK148" s="489"/>
      <c r="DL148" s="489"/>
      <c r="DM148" s="489"/>
      <c r="DN148" s="489"/>
      <c r="DO148" s="489"/>
      <c r="DP148" s="489"/>
      <c r="DQ148" s="489"/>
      <c r="DR148" s="489"/>
      <c r="DS148" s="489"/>
      <c r="DT148" s="489"/>
      <c r="DU148" s="489"/>
      <c r="DV148" s="489"/>
      <c r="DW148" s="489"/>
      <c r="DX148" s="489"/>
      <c r="DY148" s="489"/>
      <c r="DZ148" s="489"/>
      <c r="EA148" s="489"/>
      <c r="EB148" s="489"/>
      <c r="EC148" s="489"/>
      <c r="ED148" s="489"/>
      <c r="EE148" s="489"/>
      <c r="EF148" s="489"/>
      <c r="EG148" s="489"/>
      <c r="EH148" s="489"/>
      <c r="EI148" s="489"/>
      <c r="EJ148" s="489"/>
      <c r="EK148" s="489"/>
      <c r="EL148" s="489"/>
      <c r="EM148" s="489"/>
      <c r="EN148" s="489"/>
      <c r="EO148" s="489"/>
      <c r="EP148" s="489"/>
      <c r="EQ148" s="489"/>
      <c r="ER148" s="489"/>
      <c r="ES148" s="489"/>
      <c r="ET148" s="489"/>
      <c r="EU148" s="489"/>
      <c r="EV148" s="489"/>
      <c r="EW148" s="489"/>
      <c r="EX148" s="489"/>
      <c r="EY148" s="489"/>
      <c r="EZ148" s="489"/>
      <c r="FA148" s="489"/>
      <c r="FB148" s="489"/>
      <c r="FC148" s="489"/>
      <c r="FD148" s="489"/>
      <c r="FE148" s="489"/>
      <c r="FF148" s="489"/>
      <c r="FG148" s="489"/>
      <c r="FH148" s="489"/>
      <c r="FI148" s="489"/>
      <c r="FJ148" s="489"/>
      <c r="FK148" s="489"/>
      <c r="FL148" s="489"/>
      <c r="FM148" s="489"/>
      <c r="FN148" s="489"/>
      <c r="FO148" s="489"/>
      <c r="FP148" s="489"/>
      <c r="FQ148" s="489"/>
      <c r="FR148" s="489"/>
      <c r="FS148" s="489"/>
      <c r="FT148" s="489"/>
      <c r="FU148" s="489"/>
      <c r="FV148" s="489"/>
      <c r="FW148" s="489"/>
      <c r="FX148" s="489"/>
      <c r="FY148" s="489"/>
      <c r="FZ148" s="489"/>
      <c r="GA148" s="489"/>
      <c r="GB148" s="489"/>
      <c r="GC148" s="489"/>
      <c r="GD148" s="489"/>
      <c r="GE148" s="489"/>
      <c r="GF148" s="489"/>
      <c r="GG148" s="489"/>
      <c r="GH148" s="489"/>
      <c r="GI148" s="489"/>
      <c r="GJ148" s="489"/>
      <c r="GK148" s="489"/>
      <c r="GL148" s="489"/>
      <c r="GM148" s="489"/>
      <c r="GN148" s="489"/>
      <c r="GO148" s="489"/>
      <c r="GP148" s="489"/>
      <c r="GQ148" s="489"/>
      <c r="GR148" s="489"/>
      <c r="GS148" s="489"/>
      <c r="GT148" s="489"/>
      <c r="GU148" s="489"/>
      <c r="GV148" s="489"/>
      <c r="GW148" s="489"/>
      <c r="GX148" s="489"/>
      <c r="GY148" s="489"/>
      <c r="GZ148" s="489"/>
      <c r="HA148" s="489"/>
      <c r="HB148" s="489"/>
      <c r="HC148" s="489"/>
      <c r="HD148" s="489"/>
      <c r="HE148" s="489"/>
      <c r="HF148" s="489"/>
      <c r="HG148" s="489"/>
      <c r="HH148" s="489"/>
      <c r="HI148" s="489"/>
      <c r="HJ148" s="489"/>
      <c r="HK148" s="489"/>
      <c r="HL148" s="489"/>
      <c r="HM148" s="489"/>
      <c r="HN148" s="489"/>
      <c r="HO148" s="489"/>
      <c r="HP148" s="489"/>
      <c r="HQ148" s="489"/>
      <c r="HR148" s="489"/>
      <c r="HS148" s="489"/>
      <c r="HT148" s="489"/>
      <c r="HU148" s="489"/>
      <c r="HV148" s="489"/>
      <c r="HW148" s="489"/>
      <c r="HX148" s="487"/>
    </row>
    <row r="149" spans="1:232" s="637" customFormat="1" ht="19.5" customHeight="1">
      <c r="A149" s="885" t="s">
        <v>1027</v>
      </c>
      <c r="B149" s="1602" t="s">
        <v>1045</v>
      </c>
      <c r="C149" s="1602"/>
      <c r="D149" s="1602"/>
      <c r="E149" s="1602"/>
      <c r="F149" s="1602"/>
      <c r="G149" s="1602"/>
      <c r="H149" s="1602"/>
      <c r="I149" s="1602"/>
      <c r="J149" s="1602"/>
      <c r="K149" s="463"/>
      <c r="L149" s="463"/>
      <c r="M149" s="464"/>
      <c r="N149" s="464"/>
      <c r="O149" s="406"/>
      <c r="P149" s="492"/>
      <c r="Q149" s="492"/>
      <c r="R149" s="492"/>
      <c r="S149" s="492"/>
      <c r="T149" s="492"/>
      <c r="U149" s="489"/>
      <c r="V149" s="489"/>
      <c r="W149" s="489"/>
      <c r="X149" s="489"/>
      <c r="Y149" s="489"/>
      <c r="Z149" s="489"/>
      <c r="AA149" s="489"/>
      <c r="AB149" s="489"/>
      <c r="AC149" s="489"/>
      <c r="AD149" s="489"/>
      <c r="AE149" s="489"/>
      <c r="AF149" s="489"/>
      <c r="AG149" s="489"/>
      <c r="AH149" s="489"/>
      <c r="AI149" s="489"/>
      <c r="AJ149" s="489"/>
      <c r="AK149" s="489"/>
      <c r="AL149" s="489"/>
      <c r="AM149" s="489"/>
      <c r="AN149" s="489"/>
      <c r="AO149" s="489"/>
      <c r="AP149" s="489"/>
      <c r="AQ149" s="489"/>
      <c r="AR149" s="489"/>
      <c r="AS149" s="489"/>
      <c r="AT149" s="489"/>
      <c r="AU149" s="489"/>
      <c r="AV149" s="489"/>
      <c r="AW149" s="489"/>
      <c r="AX149" s="489"/>
      <c r="AY149" s="489"/>
      <c r="AZ149" s="489"/>
      <c r="BA149" s="489"/>
      <c r="BB149" s="489"/>
      <c r="BC149" s="489"/>
      <c r="BD149" s="489"/>
      <c r="BE149" s="489"/>
      <c r="BF149" s="489"/>
      <c r="BG149" s="489"/>
      <c r="BH149" s="489"/>
      <c r="BI149" s="489"/>
      <c r="BJ149" s="489"/>
      <c r="BK149" s="489"/>
      <c r="BL149" s="489"/>
      <c r="BM149" s="489"/>
      <c r="BN149" s="489"/>
      <c r="BO149" s="489"/>
      <c r="BP149" s="489"/>
      <c r="BQ149" s="489"/>
      <c r="BR149" s="489"/>
      <c r="BS149" s="489"/>
      <c r="BT149" s="489"/>
      <c r="BU149" s="489"/>
      <c r="BV149" s="489"/>
      <c r="BW149" s="489"/>
      <c r="BX149" s="489"/>
      <c r="BY149" s="489"/>
      <c r="BZ149" s="489"/>
      <c r="CA149" s="489"/>
      <c r="CB149" s="489"/>
      <c r="CC149" s="489"/>
      <c r="CD149" s="489"/>
      <c r="CE149" s="489"/>
      <c r="CF149" s="489"/>
      <c r="CG149" s="489"/>
      <c r="CH149" s="489"/>
      <c r="CI149" s="489"/>
      <c r="CJ149" s="489"/>
      <c r="CK149" s="489"/>
      <c r="CL149" s="489"/>
      <c r="CM149" s="489"/>
      <c r="CN149" s="489"/>
      <c r="CO149" s="489"/>
      <c r="CP149" s="489"/>
      <c r="CQ149" s="489"/>
      <c r="CR149" s="489"/>
      <c r="CS149" s="489"/>
      <c r="CT149" s="489"/>
      <c r="CU149" s="489"/>
      <c r="CV149" s="489"/>
      <c r="CW149" s="489"/>
      <c r="CX149" s="489"/>
      <c r="CY149" s="489"/>
      <c r="CZ149" s="489"/>
      <c r="DA149" s="489"/>
      <c r="DB149" s="489"/>
      <c r="DC149" s="489"/>
      <c r="DD149" s="489"/>
      <c r="DE149" s="489"/>
      <c r="DF149" s="489"/>
      <c r="DG149" s="489"/>
      <c r="DH149" s="489"/>
      <c r="DI149" s="489"/>
      <c r="DJ149" s="489"/>
      <c r="DK149" s="489"/>
      <c r="DL149" s="489"/>
      <c r="DM149" s="489"/>
      <c r="DN149" s="489"/>
      <c r="DO149" s="489"/>
      <c r="DP149" s="489"/>
      <c r="DQ149" s="489"/>
      <c r="DR149" s="489"/>
      <c r="DS149" s="489"/>
      <c r="DT149" s="489"/>
      <c r="DU149" s="489"/>
      <c r="DV149" s="489"/>
      <c r="DW149" s="489"/>
      <c r="DX149" s="489"/>
      <c r="DY149" s="489"/>
      <c r="DZ149" s="489"/>
      <c r="EA149" s="489"/>
      <c r="EB149" s="489"/>
      <c r="EC149" s="489"/>
      <c r="ED149" s="489"/>
      <c r="EE149" s="489"/>
      <c r="EF149" s="489"/>
      <c r="EG149" s="489"/>
      <c r="EH149" s="489"/>
      <c r="EI149" s="489"/>
      <c r="EJ149" s="489"/>
      <c r="EK149" s="489"/>
      <c r="EL149" s="489"/>
      <c r="EM149" s="489"/>
      <c r="EN149" s="489"/>
      <c r="EO149" s="489"/>
      <c r="EP149" s="489"/>
      <c r="EQ149" s="489"/>
      <c r="ER149" s="489"/>
      <c r="ES149" s="489"/>
      <c r="ET149" s="489"/>
      <c r="EU149" s="489"/>
      <c r="EV149" s="489"/>
      <c r="EW149" s="489"/>
      <c r="EX149" s="489"/>
      <c r="EY149" s="489"/>
      <c r="EZ149" s="489"/>
      <c r="FA149" s="489"/>
      <c r="FB149" s="489"/>
      <c r="FC149" s="489"/>
      <c r="FD149" s="489"/>
      <c r="FE149" s="489"/>
      <c r="FF149" s="489"/>
      <c r="FG149" s="489"/>
      <c r="FH149" s="489"/>
      <c r="FI149" s="489"/>
      <c r="FJ149" s="489"/>
      <c r="FK149" s="489"/>
      <c r="FL149" s="489"/>
      <c r="FM149" s="489"/>
      <c r="FN149" s="489"/>
      <c r="FO149" s="489"/>
      <c r="FP149" s="489"/>
      <c r="FQ149" s="489"/>
      <c r="FR149" s="489"/>
      <c r="FS149" s="489"/>
      <c r="FT149" s="489"/>
      <c r="FU149" s="489"/>
      <c r="FV149" s="489"/>
      <c r="FW149" s="489"/>
      <c r="FX149" s="489"/>
      <c r="FY149" s="489"/>
      <c r="FZ149" s="489"/>
      <c r="GA149" s="489"/>
      <c r="GB149" s="489"/>
      <c r="GC149" s="489"/>
      <c r="GD149" s="489"/>
      <c r="GE149" s="489"/>
      <c r="GF149" s="489"/>
      <c r="GG149" s="489"/>
      <c r="GH149" s="489"/>
      <c r="GI149" s="489"/>
      <c r="GJ149" s="489"/>
      <c r="GK149" s="489"/>
      <c r="GL149" s="489"/>
      <c r="GM149" s="489"/>
      <c r="GN149" s="489"/>
      <c r="GO149" s="489"/>
      <c r="GP149" s="489"/>
      <c r="GQ149" s="489"/>
      <c r="GR149" s="489"/>
      <c r="GS149" s="489"/>
      <c r="GT149" s="489"/>
      <c r="GU149" s="489"/>
      <c r="GV149" s="489"/>
      <c r="GW149" s="489"/>
      <c r="GX149" s="489"/>
      <c r="GY149" s="489"/>
      <c r="GZ149" s="489"/>
      <c r="HA149" s="489"/>
      <c r="HB149" s="489"/>
      <c r="HC149" s="489"/>
      <c r="HD149" s="489"/>
      <c r="HE149" s="489"/>
      <c r="HF149" s="489"/>
      <c r="HG149" s="489"/>
      <c r="HH149" s="489"/>
      <c r="HI149" s="489"/>
      <c r="HJ149" s="489"/>
      <c r="HK149" s="489"/>
      <c r="HL149" s="489"/>
      <c r="HM149" s="489"/>
      <c r="HN149" s="489"/>
      <c r="HO149" s="489"/>
      <c r="HP149" s="489"/>
      <c r="HQ149" s="489"/>
      <c r="HR149" s="489"/>
      <c r="HS149" s="489"/>
      <c r="HT149" s="489"/>
      <c r="HU149" s="489"/>
      <c r="HV149" s="489"/>
      <c r="HW149" s="489"/>
      <c r="HX149" s="487"/>
    </row>
    <row r="150" spans="1:232" s="637" customFormat="1" ht="19.5" customHeight="1">
      <c r="A150" s="885" t="s">
        <v>1027</v>
      </c>
      <c r="B150" s="917" t="str">
        <f>B37</f>
        <v>TCVN 5308 - 1991: Quy trình kỹ thuật an toàn trong xây dựng.</v>
      </c>
      <c r="C150" s="742"/>
      <c r="D150" s="742"/>
      <c r="E150" s="742"/>
      <c r="F150" s="742"/>
      <c r="G150" s="742"/>
      <c r="H150" s="742"/>
      <c r="I150" s="742"/>
      <c r="J150" s="742"/>
      <c r="K150" s="463"/>
      <c r="L150" s="463"/>
      <c r="M150" s="464"/>
      <c r="N150" s="464"/>
      <c r="O150" s="406"/>
      <c r="P150" s="492"/>
      <c r="Q150" s="492"/>
      <c r="R150" s="492"/>
      <c r="S150" s="492"/>
      <c r="T150" s="492"/>
      <c r="U150" s="489"/>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7"/>
    </row>
    <row r="151" spans="1:232" s="637" customFormat="1" ht="20.100000000000001" customHeight="1">
      <c r="A151" s="886" t="s">
        <v>1031</v>
      </c>
      <c r="C151" s="491"/>
      <c r="D151" s="491"/>
      <c r="E151" s="491"/>
      <c r="F151" s="491"/>
      <c r="G151" s="491"/>
      <c r="H151" s="491"/>
      <c r="I151" s="491"/>
      <c r="J151" s="491"/>
      <c r="K151" s="463"/>
      <c r="L151" s="463"/>
      <c r="M151" s="464"/>
      <c r="N151" s="464"/>
      <c r="O151" s="406"/>
      <c r="P151" s="477"/>
      <c r="Q151" s="477"/>
      <c r="R151" s="477"/>
      <c r="S151" s="477"/>
      <c r="T151" s="492"/>
      <c r="U151" s="489"/>
      <c r="V151" s="489"/>
      <c r="W151" s="489"/>
      <c r="X151" s="489"/>
      <c r="Y151" s="489"/>
      <c r="Z151" s="489"/>
      <c r="AA151" s="489"/>
      <c r="AB151" s="489"/>
      <c r="AC151" s="489"/>
      <c r="AD151" s="489"/>
      <c r="AE151" s="489"/>
      <c r="AF151" s="489"/>
      <c r="AG151" s="489"/>
      <c r="AH151" s="489"/>
      <c r="AI151" s="489"/>
      <c r="AJ151" s="489"/>
      <c r="AK151" s="489"/>
      <c r="AL151" s="489"/>
      <c r="AM151" s="489"/>
      <c r="AN151" s="489"/>
      <c r="AO151" s="489"/>
      <c r="AP151" s="489"/>
      <c r="AQ151" s="489"/>
      <c r="AR151" s="489"/>
      <c r="AS151" s="489"/>
      <c r="AT151" s="489"/>
      <c r="AU151" s="489"/>
      <c r="AV151" s="489"/>
      <c r="AW151" s="489"/>
      <c r="AX151" s="489"/>
      <c r="AY151" s="489"/>
      <c r="AZ151" s="489"/>
      <c r="BA151" s="489"/>
      <c r="BB151" s="489"/>
      <c r="BC151" s="489"/>
      <c r="BD151" s="489"/>
      <c r="BE151" s="489"/>
      <c r="BF151" s="489"/>
      <c r="BG151" s="489"/>
      <c r="BH151" s="489"/>
      <c r="BI151" s="489"/>
      <c r="BJ151" s="489"/>
      <c r="BK151" s="489"/>
      <c r="BL151" s="489"/>
      <c r="BM151" s="489"/>
      <c r="BN151" s="489"/>
      <c r="BO151" s="489"/>
      <c r="BP151" s="489"/>
      <c r="BQ151" s="489"/>
      <c r="BR151" s="489"/>
      <c r="BS151" s="489"/>
      <c r="BT151" s="489"/>
      <c r="BU151" s="489"/>
      <c r="BV151" s="489"/>
      <c r="BW151" s="489"/>
      <c r="BX151" s="489"/>
      <c r="BY151" s="489"/>
      <c r="BZ151" s="489"/>
      <c r="CA151" s="489"/>
      <c r="CB151" s="489"/>
      <c r="CC151" s="489"/>
      <c r="CD151" s="489"/>
      <c r="CE151" s="489"/>
      <c r="CF151" s="489"/>
      <c r="CG151" s="489"/>
      <c r="CH151" s="489"/>
      <c r="CI151" s="489"/>
      <c r="CJ151" s="489"/>
      <c r="CK151" s="489"/>
      <c r="CL151" s="489"/>
      <c r="CM151" s="489"/>
      <c r="CN151" s="489"/>
      <c r="CO151" s="489"/>
      <c r="CP151" s="489"/>
      <c r="CQ151" s="489"/>
      <c r="CR151" s="489"/>
      <c r="CS151" s="489"/>
      <c r="CT151" s="489"/>
      <c r="CU151" s="489"/>
      <c r="CV151" s="489"/>
      <c r="CW151" s="489"/>
      <c r="CX151" s="489"/>
      <c r="CY151" s="489"/>
      <c r="CZ151" s="489"/>
      <c r="DA151" s="489"/>
      <c r="DB151" s="489"/>
      <c r="DC151" s="489"/>
      <c r="DD151" s="489"/>
      <c r="DE151" s="489"/>
      <c r="DF151" s="489"/>
      <c r="DG151" s="489"/>
      <c r="DH151" s="489"/>
      <c r="DI151" s="489"/>
      <c r="DJ151" s="489"/>
      <c r="DK151" s="489"/>
      <c r="DL151" s="489"/>
      <c r="DM151" s="489"/>
      <c r="DN151" s="489"/>
      <c r="DO151" s="489"/>
      <c r="DP151" s="489"/>
      <c r="DQ151" s="489"/>
      <c r="DR151" s="489"/>
      <c r="DS151" s="489"/>
      <c r="DT151" s="489"/>
      <c r="DU151" s="489"/>
      <c r="DV151" s="489"/>
      <c r="DW151" s="489"/>
      <c r="DX151" s="489"/>
      <c r="DY151" s="489"/>
      <c r="DZ151" s="489"/>
      <c r="EA151" s="489"/>
      <c r="EB151" s="489"/>
      <c r="EC151" s="489"/>
      <c r="ED151" s="489"/>
      <c r="EE151" s="489"/>
      <c r="EF151" s="489"/>
      <c r="EG151" s="489"/>
      <c r="EH151" s="489"/>
      <c r="EI151" s="489"/>
      <c r="EJ151" s="489"/>
      <c r="EK151" s="489"/>
      <c r="EL151" s="489"/>
      <c r="EM151" s="489"/>
      <c r="EN151" s="489"/>
      <c r="EO151" s="489"/>
      <c r="EP151" s="489"/>
      <c r="EQ151" s="489"/>
      <c r="ER151" s="489"/>
      <c r="ES151" s="489"/>
      <c r="ET151" s="489"/>
      <c r="EU151" s="489"/>
      <c r="EV151" s="489"/>
      <c r="EW151" s="489"/>
      <c r="EX151" s="489"/>
      <c r="EY151" s="489"/>
      <c r="EZ151" s="489"/>
      <c r="FA151" s="489"/>
      <c r="FB151" s="489"/>
      <c r="FC151" s="489"/>
      <c r="FD151" s="489"/>
      <c r="FE151" s="489"/>
      <c r="FF151" s="489"/>
      <c r="FG151" s="489"/>
      <c r="FH151" s="489"/>
      <c r="FI151" s="489"/>
      <c r="FJ151" s="489"/>
      <c r="FK151" s="489"/>
      <c r="FL151" s="489"/>
      <c r="FM151" s="489"/>
      <c r="FN151" s="489"/>
      <c r="FO151" s="489"/>
      <c r="FP151" s="489"/>
      <c r="FQ151" s="489"/>
      <c r="FR151" s="489"/>
      <c r="FS151" s="489"/>
      <c r="FT151" s="489"/>
      <c r="FU151" s="489"/>
      <c r="FV151" s="489"/>
      <c r="FW151" s="489"/>
      <c r="FX151" s="489"/>
      <c r="FY151" s="489"/>
      <c r="FZ151" s="489"/>
      <c r="GA151" s="489"/>
      <c r="GB151" s="489"/>
      <c r="GC151" s="489"/>
      <c r="GD151" s="489"/>
      <c r="GE151" s="489"/>
      <c r="GF151" s="489"/>
      <c r="GG151" s="489"/>
      <c r="GH151" s="489"/>
      <c r="GI151" s="489"/>
      <c r="GJ151" s="489"/>
      <c r="GK151" s="489"/>
      <c r="GL151" s="489"/>
      <c r="GM151" s="489"/>
      <c r="GN151" s="489"/>
      <c r="GO151" s="489"/>
      <c r="GP151" s="489"/>
      <c r="GQ151" s="489"/>
      <c r="GR151" s="489"/>
      <c r="GS151" s="489"/>
      <c r="GT151" s="489"/>
      <c r="GU151" s="489"/>
      <c r="GV151" s="489"/>
      <c r="GW151" s="489"/>
      <c r="GX151" s="489"/>
      <c r="GY151" s="489"/>
      <c r="GZ151" s="489"/>
      <c r="HA151" s="489"/>
      <c r="HB151" s="489"/>
      <c r="HC151" s="489"/>
      <c r="HD151" s="489"/>
      <c r="HE151" s="489"/>
      <c r="HF151" s="489"/>
      <c r="HG151" s="489"/>
      <c r="HH151" s="489"/>
      <c r="HI151" s="489"/>
      <c r="HJ151" s="489"/>
      <c r="HK151" s="489"/>
      <c r="HL151" s="489"/>
      <c r="HM151" s="489"/>
      <c r="HN151" s="489"/>
      <c r="HO151" s="489"/>
      <c r="HP151" s="489"/>
      <c r="HQ151" s="489"/>
      <c r="HR151" s="489"/>
      <c r="HS151" s="489"/>
      <c r="HT151" s="489"/>
      <c r="HU151" s="489"/>
      <c r="HV151" s="489"/>
      <c r="HW151" s="489"/>
      <c r="HX151" s="487"/>
    </row>
    <row r="152" spans="1:232" s="637" customFormat="1" ht="20.100000000000001" customHeight="1">
      <c r="A152" s="490" t="str">
        <f>A39</f>
        <v>-   Các quy chuẩn, tiêu chuẩn, quy phạm hiện hành khác liên quan đến đối tượng nghiệm thu.</v>
      </c>
      <c r="B152" s="491"/>
      <c r="C152" s="491"/>
      <c r="D152" s="491"/>
      <c r="E152" s="491"/>
      <c r="F152" s="491"/>
      <c r="G152" s="491"/>
      <c r="H152" s="491"/>
      <c r="I152" s="491"/>
      <c r="J152" s="491"/>
      <c r="K152" s="463"/>
      <c r="L152" s="463"/>
      <c r="M152" s="464"/>
      <c r="N152" s="464"/>
      <c r="O152" s="405"/>
      <c r="P152" s="477"/>
      <c r="Q152" s="477"/>
      <c r="R152" s="477"/>
      <c r="S152" s="477"/>
      <c r="T152" s="492"/>
      <c r="U152" s="489"/>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487"/>
    </row>
    <row r="153" spans="1:232" s="45" customFormat="1" ht="20.100000000000001" customHeight="1">
      <c r="A153" s="493" t="s">
        <v>1040</v>
      </c>
      <c r="B153" s="489"/>
      <c r="C153" s="489"/>
      <c r="D153" s="489"/>
      <c r="E153" s="489"/>
      <c r="F153" s="489"/>
      <c r="G153" s="489"/>
      <c r="H153" s="489"/>
      <c r="I153" s="489"/>
      <c r="J153" s="489"/>
      <c r="K153" s="463"/>
      <c r="L153" s="463"/>
      <c r="M153" s="464"/>
      <c r="N153" s="464"/>
      <c r="O153" s="405"/>
      <c r="P153" s="492"/>
      <c r="Q153" s="492"/>
      <c r="R153" s="492"/>
      <c r="S153" s="492"/>
      <c r="T153" s="495"/>
      <c r="U153" s="496"/>
      <c r="V153" s="496"/>
      <c r="W153" s="496"/>
      <c r="X153" s="496"/>
      <c r="Y153" s="496"/>
      <c r="Z153" s="496"/>
      <c r="AA153" s="496"/>
      <c r="AB153" s="496"/>
      <c r="AC153" s="496"/>
      <c r="AD153" s="496"/>
      <c r="AE153" s="496"/>
      <c r="AF153" s="496"/>
      <c r="AG153" s="496"/>
      <c r="AH153" s="496"/>
      <c r="AI153" s="496"/>
      <c r="AJ153" s="496"/>
      <c r="AK153" s="496"/>
      <c r="AL153" s="496"/>
      <c r="AM153" s="496"/>
      <c r="AN153" s="496"/>
      <c r="AO153" s="496"/>
      <c r="AP153" s="496"/>
      <c r="AQ153" s="496"/>
      <c r="AR153" s="496"/>
      <c r="AS153" s="496"/>
      <c r="AT153" s="496"/>
      <c r="AU153" s="496"/>
      <c r="AV153" s="496"/>
      <c r="AW153" s="496"/>
      <c r="AX153" s="496"/>
      <c r="AY153" s="496"/>
      <c r="AZ153" s="496"/>
      <c r="BA153" s="496"/>
      <c r="BB153" s="496"/>
      <c r="BC153" s="496"/>
      <c r="BD153" s="496"/>
      <c r="BE153" s="496"/>
      <c r="BF153" s="496"/>
      <c r="BG153" s="496"/>
      <c r="BH153" s="496"/>
      <c r="BI153" s="496"/>
      <c r="BJ153" s="496"/>
      <c r="BK153" s="496"/>
      <c r="BL153" s="496"/>
      <c r="BM153" s="496"/>
      <c r="BN153" s="496"/>
      <c r="BO153" s="496"/>
      <c r="BP153" s="496"/>
      <c r="BQ153" s="496"/>
      <c r="BR153" s="496"/>
      <c r="BS153" s="496"/>
      <c r="BT153" s="496"/>
      <c r="BU153" s="496"/>
      <c r="BV153" s="496"/>
      <c r="BW153" s="496"/>
      <c r="BX153" s="496"/>
      <c r="BY153" s="496"/>
      <c r="BZ153" s="496"/>
      <c r="CA153" s="496"/>
      <c r="CB153" s="496"/>
      <c r="CC153" s="496"/>
      <c r="CD153" s="496"/>
      <c r="CE153" s="496"/>
      <c r="CF153" s="496"/>
      <c r="CG153" s="496"/>
      <c r="CH153" s="496"/>
      <c r="CI153" s="496"/>
      <c r="CJ153" s="496"/>
      <c r="CK153" s="496"/>
      <c r="CL153" s="496"/>
      <c r="CM153" s="496"/>
      <c r="CN153" s="496"/>
      <c r="CO153" s="496"/>
      <c r="CP153" s="496"/>
      <c r="CQ153" s="496"/>
      <c r="CR153" s="496"/>
      <c r="CS153" s="496"/>
      <c r="CT153" s="496"/>
      <c r="CU153" s="496"/>
      <c r="CV153" s="496"/>
      <c r="CW153" s="496"/>
      <c r="CX153" s="496"/>
      <c r="CY153" s="496"/>
      <c r="CZ153" s="496"/>
      <c r="DA153" s="496"/>
      <c r="DB153" s="496"/>
      <c r="DC153" s="496"/>
      <c r="DD153" s="496"/>
      <c r="DE153" s="496"/>
      <c r="DF153" s="496"/>
      <c r="DG153" s="496"/>
      <c r="DH153" s="496"/>
      <c r="DI153" s="496"/>
      <c r="DJ153" s="496"/>
      <c r="DK153" s="496"/>
      <c r="DL153" s="496"/>
      <c r="DM153" s="496"/>
      <c r="DN153" s="496"/>
      <c r="DO153" s="496"/>
      <c r="DP153" s="496"/>
      <c r="DQ153" s="496"/>
      <c r="DR153" s="496"/>
      <c r="DS153" s="496"/>
      <c r="DT153" s="496"/>
      <c r="DU153" s="496"/>
      <c r="DV153" s="496"/>
      <c r="DW153" s="496"/>
      <c r="DX153" s="496"/>
      <c r="DY153" s="496"/>
      <c r="DZ153" s="496"/>
      <c r="EA153" s="496"/>
      <c r="EB153" s="496"/>
      <c r="EC153" s="496"/>
      <c r="ED153" s="496"/>
      <c r="EE153" s="496"/>
      <c r="EF153" s="496"/>
      <c r="EG153" s="496"/>
      <c r="EH153" s="496"/>
      <c r="EI153" s="496"/>
      <c r="EJ153" s="496"/>
      <c r="EK153" s="496"/>
      <c r="EL153" s="496"/>
      <c r="EM153" s="496"/>
      <c r="EN153" s="496"/>
      <c r="EO153" s="496"/>
      <c r="EP153" s="496"/>
      <c r="EQ153" s="496"/>
      <c r="ER153" s="496"/>
      <c r="ES153" s="496"/>
      <c r="ET153" s="496"/>
      <c r="EU153" s="496"/>
      <c r="EV153" s="496"/>
      <c r="EW153" s="496"/>
      <c r="EX153" s="496"/>
      <c r="EY153" s="496"/>
      <c r="EZ153" s="496"/>
      <c r="FA153" s="496"/>
      <c r="FB153" s="496"/>
      <c r="FC153" s="496"/>
      <c r="FD153" s="496"/>
      <c r="FE153" s="496"/>
      <c r="FF153" s="496"/>
      <c r="FG153" s="496"/>
      <c r="FH153" s="496"/>
      <c r="FI153" s="496"/>
      <c r="FJ153" s="496"/>
      <c r="FK153" s="496"/>
      <c r="FL153" s="496"/>
      <c r="FM153" s="496"/>
      <c r="FN153" s="496"/>
      <c r="FO153" s="496"/>
      <c r="FP153" s="496"/>
      <c r="FQ153" s="496"/>
      <c r="FR153" s="496"/>
      <c r="FS153" s="496"/>
      <c r="FT153" s="496"/>
      <c r="FU153" s="496"/>
      <c r="FV153" s="496"/>
      <c r="FW153" s="496"/>
      <c r="FX153" s="496"/>
      <c r="FY153" s="496"/>
      <c r="FZ153" s="496"/>
      <c r="GA153" s="496"/>
      <c r="GB153" s="496"/>
      <c r="GC153" s="496"/>
      <c r="GD153" s="496"/>
      <c r="GE153" s="496"/>
      <c r="GF153" s="496"/>
      <c r="GG153" s="496"/>
      <c r="GH153" s="496"/>
      <c r="GI153" s="496"/>
      <c r="GJ153" s="496"/>
      <c r="GK153" s="496"/>
      <c r="GL153" s="496"/>
      <c r="GM153" s="496"/>
      <c r="GN153" s="496"/>
      <c r="GO153" s="496"/>
      <c r="GP153" s="496"/>
      <c r="GQ153" s="496"/>
      <c r="GR153" s="496"/>
      <c r="GS153" s="496"/>
      <c r="GT153" s="496"/>
      <c r="GU153" s="496"/>
      <c r="GV153" s="496"/>
      <c r="GW153" s="496"/>
      <c r="GX153" s="496"/>
      <c r="GY153" s="496"/>
      <c r="GZ153" s="496"/>
      <c r="HA153" s="496"/>
      <c r="HB153" s="496"/>
      <c r="HC153" s="496"/>
      <c r="HD153" s="496"/>
      <c r="HE153" s="496"/>
      <c r="HF153" s="496"/>
      <c r="HG153" s="496"/>
      <c r="HH153" s="496"/>
      <c r="HI153" s="496"/>
      <c r="HJ153" s="496"/>
      <c r="HK153" s="496"/>
      <c r="HL153" s="496"/>
      <c r="HM153" s="496"/>
      <c r="HN153" s="496"/>
      <c r="HO153" s="496"/>
      <c r="HP153" s="496"/>
      <c r="HQ153" s="496"/>
      <c r="HR153" s="496"/>
      <c r="HS153" s="496"/>
      <c r="HT153" s="496"/>
      <c r="HU153" s="496"/>
      <c r="HV153" s="496"/>
      <c r="HW153" s="490"/>
      <c r="HX153" s="490"/>
    </row>
    <row r="154" spans="1:232" s="5" customFormat="1" ht="20.100000000000001" customHeight="1">
      <c r="A154" s="497" t="str">
        <f>'8.BBCT'!A154</f>
        <v>-   Biện pháp thi công được phê duyệt.</v>
      </c>
      <c r="B154" s="498"/>
      <c r="C154" s="498"/>
      <c r="D154" s="498"/>
      <c r="E154" s="498"/>
      <c r="F154" s="498"/>
      <c r="G154" s="498"/>
      <c r="H154" s="498"/>
      <c r="I154" s="498"/>
      <c r="J154" s="498"/>
      <c r="K154" s="463"/>
      <c r="L154" s="463"/>
      <c r="M154" s="464"/>
      <c r="N154" s="464"/>
      <c r="O154" s="405"/>
      <c r="P154" s="495"/>
      <c r="Q154" s="495"/>
      <c r="R154" s="495"/>
      <c r="S154" s="495"/>
      <c r="T154" s="495"/>
      <c r="U154" s="489"/>
      <c r="V154" s="489"/>
      <c r="W154" s="489"/>
      <c r="X154" s="489"/>
      <c r="Y154" s="489"/>
      <c r="Z154" s="489"/>
      <c r="AA154" s="489"/>
      <c r="AB154" s="489"/>
      <c r="AC154" s="489"/>
      <c r="AD154" s="489"/>
      <c r="AE154" s="489"/>
      <c r="AF154" s="489"/>
      <c r="AG154" s="489"/>
      <c r="AH154" s="489"/>
      <c r="AI154" s="489"/>
      <c r="AJ154" s="489"/>
      <c r="AK154" s="489"/>
      <c r="AL154" s="489"/>
      <c r="AM154" s="489"/>
      <c r="AN154" s="489"/>
      <c r="AO154" s="489"/>
      <c r="AP154" s="489"/>
      <c r="AQ154" s="489"/>
      <c r="AR154" s="489"/>
      <c r="AS154" s="489"/>
      <c r="AT154" s="489"/>
      <c r="AU154" s="489"/>
      <c r="AV154" s="489"/>
      <c r="AW154" s="489"/>
      <c r="AX154" s="489"/>
      <c r="AY154" s="489"/>
      <c r="AZ154" s="489"/>
      <c r="BA154" s="489"/>
      <c r="BB154" s="489"/>
      <c r="BC154" s="489"/>
      <c r="BD154" s="489"/>
      <c r="BE154" s="489"/>
      <c r="BF154" s="489"/>
      <c r="BG154" s="489"/>
      <c r="BH154" s="489"/>
      <c r="BI154" s="489"/>
      <c r="BJ154" s="489"/>
      <c r="BK154" s="489"/>
      <c r="BL154" s="489"/>
      <c r="BM154" s="489"/>
      <c r="BN154" s="489"/>
      <c r="BO154" s="489"/>
      <c r="BP154" s="489"/>
      <c r="BQ154" s="489"/>
      <c r="BR154" s="489"/>
      <c r="BS154" s="489"/>
      <c r="BT154" s="489"/>
      <c r="BU154" s="489"/>
      <c r="BV154" s="489"/>
      <c r="BW154" s="489"/>
      <c r="BX154" s="489"/>
      <c r="BY154" s="489"/>
      <c r="BZ154" s="489"/>
      <c r="CA154" s="489"/>
      <c r="CB154" s="489"/>
      <c r="CC154" s="489"/>
      <c r="CD154" s="489"/>
      <c r="CE154" s="489"/>
      <c r="CF154" s="489"/>
      <c r="CG154" s="489"/>
      <c r="CH154" s="489"/>
      <c r="CI154" s="489"/>
      <c r="CJ154" s="489"/>
      <c r="CK154" s="489"/>
      <c r="CL154" s="489"/>
      <c r="CM154" s="489"/>
      <c r="CN154" s="489"/>
      <c r="CO154" s="489"/>
      <c r="CP154" s="489"/>
      <c r="CQ154" s="489"/>
      <c r="CR154" s="489"/>
      <c r="CS154" s="489"/>
      <c r="CT154" s="489"/>
      <c r="CU154" s="489"/>
      <c r="CV154" s="489"/>
      <c r="CW154" s="489"/>
      <c r="CX154" s="489"/>
      <c r="CY154" s="489"/>
      <c r="CZ154" s="489"/>
      <c r="DA154" s="489"/>
      <c r="DB154" s="489"/>
      <c r="DC154" s="489"/>
      <c r="DD154" s="489"/>
      <c r="DE154" s="489"/>
      <c r="DF154" s="489"/>
      <c r="DG154" s="489"/>
      <c r="DH154" s="489"/>
      <c r="DI154" s="489"/>
      <c r="DJ154" s="489"/>
      <c r="DK154" s="489"/>
      <c r="DL154" s="489"/>
      <c r="DM154" s="489"/>
      <c r="DN154" s="489"/>
      <c r="DO154" s="489"/>
      <c r="DP154" s="489"/>
      <c r="DQ154" s="489"/>
      <c r="DR154" s="489"/>
      <c r="DS154" s="489"/>
      <c r="DT154" s="489"/>
      <c r="DU154" s="489"/>
      <c r="DV154" s="489"/>
      <c r="DW154" s="489"/>
      <c r="DX154" s="489"/>
      <c r="DY154" s="489"/>
      <c r="DZ154" s="489"/>
      <c r="EA154" s="489"/>
      <c r="EB154" s="489"/>
      <c r="EC154" s="489"/>
      <c r="ED154" s="489"/>
      <c r="EE154" s="489"/>
      <c r="EF154" s="489"/>
      <c r="EG154" s="489"/>
      <c r="EH154" s="489"/>
      <c r="EI154" s="489"/>
      <c r="EJ154" s="489"/>
      <c r="EK154" s="489"/>
      <c r="EL154" s="489"/>
      <c r="EM154" s="489"/>
      <c r="EN154" s="489"/>
      <c r="EO154" s="489"/>
      <c r="EP154" s="489"/>
      <c r="EQ154" s="489"/>
      <c r="ER154" s="489"/>
      <c r="ES154" s="489"/>
      <c r="ET154" s="489"/>
      <c r="EU154" s="489"/>
      <c r="EV154" s="489"/>
      <c r="EW154" s="489"/>
      <c r="EX154" s="489"/>
      <c r="EY154" s="489"/>
      <c r="EZ154" s="489"/>
      <c r="FA154" s="489"/>
      <c r="FB154" s="489"/>
      <c r="FC154" s="489"/>
      <c r="FD154" s="489"/>
      <c r="FE154" s="489"/>
      <c r="FF154" s="489"/>
      <c r="FG154" s="489"/>
      <c r="FH154" s="489"/>
      <c r="FI154" s="489"/>
      <c r="FJ154" s="489"/>
      <c r="FK154" s="489"/>
      <c r="FL154" s="489"/>
      <c r="FM154" s="489"/>
      <c r="FN154" s="489"/>
      <c r="FO154" s="489"/>
      <c r="FP154" s="489"/>
      <c r="FQ154" s="489"/>
      <c r="FR154" s="489"/>
      <c r="FS154" s="489"/>
      <c r="FT154" s="489"/>
      <c r="FU154" s="489"/>
      <c r="FV154" s="489"/>
      <c r="FW154" s="489"/>
      <c r="FX154" s="489"/>
      <c r="FY154" s="489"/>
      <c r="FZ154" s="489"/>
      <c r="GA154" s="489"/>
      <c r="GB154" s="489"/>
      <c r="GC154" s="489"/>
      <c r="GD154" s="489"/>
      <c r="GE154" s="489"/>
      <c r="GF154" s="489"/>
      <c r="GG154" s="489"/>
      <c r="GH154" s="489"/>
      <c r="GI154" s="489"/>
      <c r="GJ154" s="489"/>
      <c r="GK154" s="489"/>
      <c r="GL154" s="489"/>
      <c r="GM154" s="489"/>
      <c r="GN154" s="489"/>
      <c r="GO154" s="489"/>
      <c r="GP154" s="489"/>
      <c r="GQ154" s="489"/>
      <c r="GR154" s="489"/>
      <c r="GS154" s="489"/>
      <c r="GT154" s="489"/>
      <c r="GU154" s="489"/>
      <c r="GV154" s="489"/>
      <c r="GW154" s="489"/>
      <c r="GX154" s="489"/>
      <c r="GY154" s="489"/>
      <c r="GZ154" s="489"/>
      <c r="HA154" s="489"/>
      <c r="HB154" s="489"/>
      <c r="HC154" s="489"/>
      <c r="HD154" s="489"/>
      <c r="HE154" s="489"/>
      <c r="HF154" s="489"/>
      <c r="HG154" s="489"/>
      <c r="HH154" s="489"/>
      <c r="HI154" s="489"/>
      <c r="HJ154" s="489"/>
      <c r="HK154" s="489"/>
      <c r="HL154" s="489"/>
      <c r="HM154" s="489"/>
      <c r="HN154" s="489"/>
      <c r="HO154" s="489"/>
      <c r="HP154" s="489"/>
      <c r="HQ154" s="489"/>
      <c r="HR154" s="489"/>
      <c r="HS154" s="489"/>
      <c r="HT154" s="489"/>
      <c r="HU154" s="489"/>
      <c r="HV154" s="489"/>
      <c r="HW154" s="489"/>
      <c r="HX154" s="358"/>
    </row>
    <row r="155" spans="1:232" s="5" customFormat="1" ht="20.100000000000001" customHeight="1">
      <c r="A155" s="497" t="s">
        <v>863</v>
      </c>
      <c r="B155" s="498"/>
      <c r="C155" s="498"/>
      <c r="D155" s="498"/>
      <c r="E155" s="498"/>
      <c r="F155" s="498"/>
      <c r="G155" s="498"/>
      <c r="H155" s="498"/>
      <c r="I155" s="498"/>
      <c r="J155" s="498"/>
      <c r="K155" s="463"/>
      <c r="L155" s="463"/>
      <c r="M155" s="464"/>
      <c r="N155" s="464"/>
      <c r="O155" s="405"/>
      <c r="P155" s="495"/>
      <c r="Q155" s="495"/>
      <c r="R155" s="495"/>
      <c r="S155" s="495"/>
      <c r="T155" s="495"/>
      <c r="U155" s="499"/>
      <c r="V155" s="499"/>
      <c r="W155" s="499"/>
      <c r="X155" s="499"/>
      <c r="Y155" s="499"/>
      <c r="Z155" s="499"/>
      <c r="AA155" s="499"/>
      <c r="AB155" s="499"/>
      <c r="AC155" s="499"/>
      <c r="AD155" s="499"/>
      <c r="AE155" s="499"/>
      <c r="AF155" s="499"/>
      <c r="AG155" s="499"/>
      <c r="AH155" s="499"/>
      <c r="AI155" s="499"/>
      <c r="AJ155" s="499"/>
      <c r="AK155" s="499"/>
      <c r="AL155" s="499"/>
      <c r="AM155" s="499"/>
      <c r="AN155" s="499"/>
      <c r="AO155" s="499"/>
      <c r="AP155" s="499"/>
      <c r="AQ155" s="499"/>
      <c r="AR155" s="499"/>
      <c r="AS155" s="499"/>
      <c r="AT155" s="499"/>
      <c r="AU155" s="499"/>
      <c r="AV155" s="499"/>
      <c r="AW155" s="499"/>
      <c r="AX155" s="499"/>
      <c r="AY155" s="499"/>
      <c r="AZ155" s="499"/>
      <c r="BA155" s="499"/>
      <c r="BB155" s="499"/>
      <c r="BC155" s="499"/>
      <c r="BD155" s="499"/>
      <c r="BE155" s="499"/>
      <c r="BF155" s="499"/>
      <c r="BG155" s="499"/>
      <c r="BH155" s="499"/>
      <c r="BI155" s="499"/>
      <c r="BJ155" s="499"/>
      <c r="BK155" s="499"/>
      <c r="BL155" s="499"/>
      <c r="BM155" s="499"/>
      <c r="BN155" s="499"/>
      <c r="BO155" s="499"/>
      <c r="BP155" s="499"/>
      <c r="BQ155" s="499"/>
      <c r="BR155" s="499"/>
      <c r="BS155" s="499"/>
      <c r="BT155" s="499"/>
      <c r="BU155" s="499"/>
      <c r="BV155" s="499"/>
      <c r="BW155" s="499"/>
      <c r="BX155" s="499"/>
      <c r="BY155" s="499"/>
      <c r="BZ155" s="499"/>
      <c r="CA155" s="499"/>
      <c r="CB155" s="499"/>
      <c r="CC155" s="499"/>
      <c r="CD155" s="499"/>
      <c r="CE155" s="499"/>
      <c r="CF155" s="499"/>
      <c r="CG155" s="499"/>
      <c r="CH155" s="499"/>
      <c r="CI155" s="499"/>
      <c r="CJ155" s="499"/>
      <c r="CK155" s="499"/>
      <c r="CL155" s="499"/>
      <c r="CM155" s="499"/>
      <c r="CN155" s="499"/>
      <c r="CO155" s="499"/>
      <c r="CP155" s="499"/>
      <c r="CQ155" s="499"/>
      <c r="CR155" s="499"/>
      <c r="CS155" s="499"/>
      <c r="CT155" s="499"/>
      <c r="CU155" s="499"/>
      <c r="CV155" s="499"/>
      <c r="CW155" s="499"/>
      <c r="CX155" s="499"/>
      <c r="CY155" s="499"/>
      <c r="CZ155" s="499"/>
      <c r="DA155" s="499"/>
      <c r="DB155" s="499"/>
      <c r="DC155" s="499"/>
      <c r="DD155" s="499"/>
      <c r="DE155" s="499"/>
      <c r="DF155" s="499"/>
      <c r="DG155" s="499"/>
      <c r="DH155" s="499"/>
      <c r="DI155" s="499"/>
      <c r="DJ155" s="499"/>
      <c r="DK155" s="499"/>
      <c r="DL155" s="499"/>
      <c r="DM155" s="499"/>
      <c r="DN155" s="499"/>
      <c r="DO155" s="499"/>
      <c r="DP155" s="499"/>
      <c r="DQ155" s="499"/>
      <c r="DR155" s="499"/>
      <c r="DS155" s="499"/>
      <c r="DT155" s="499"/>
      <c r="DU155" s="499"/>
      <c r="DV155" s="499"/>
      <c r="DW155" s="499"/>
      <c r="DX155" s="499"/>
      <c r="DY155" s="499"/>
      <c r="DZ155" s="499"/>
      <c r="EA155" s="499"/>
      <c r="EB155" s="499"/>
      <c r="EC155" s="499"/>
      <c r="ED155" s="499"/>
      <c r="EE155" s="499"/>
      <c r="EF155" s="499"/>
      <c r="EG155" s="499"/>
      <c r="EH155" s="499"/>
      <c r="EI155" s="499"/>
      <c r="EJ155" s="499"/>
      <c r="EK155" s="499"/>
      <c r="EL155" s="499"/>
      <c r="EM155" s="499"/>
      <c r="EN155" s="499"/>
      <c r="EO155" s="499"/>
      <c r="EP155" s="499"/>
      <c r="EQ155" s="499"/>
      <c r="ER155" s="499"/>
      <c r="ES155" s="499"/>
      <c r="ET155" s="499"/>
      <c r="EU155" s="499"/>
      <c r="EV155" s="499"/>
      <c r="EW155" s="499"/>
      <c r="EX155" s="499"/>
      <c r="EY155" s="499"/>
      <c r="EZ155" s="499"/>
      <c r="FA155" s="499"/>
      <c r="FB155" s="499"/>
      <c r="FC155" s="499"/>
      <c r="FD155" s="499"/>
      <c r="FE155" s="499"/>
      <c r="FF155" s="499"/>
      <c r="FG155" s="499"/>
      <c r="FH155" s="499"/>
      <c r="FI155" s="499"/>
      <c r="FJ155" s="499"/>
      <c r="FK155" s="499"/>
      <c r="FL155" s="499"/>
      <c r="FM155" s="499"/>
      <c r="FN155" s="499"/>
      <c r="FO155" s="499"/>
      <c r="FP155" s="499"/>
      <c r="FQ155" s="499"/>
      <c r="FR155" s="499"/>
      <c r="FS155" s="499"/>
      <c r="FT155" s="499"/>
      <c r="FU155" s="499"/>
      <c r="FV155" s="499"/>
      <c r="FW155" s="499"/>
      <c r="FX155" s="499"/>
      <c r="FY155" s="499"/>
      <c r="FZ155" s="499"/>
      <c r="GA155" s="499"/>
      <c r="GB155" s="499"/>
      <c r="GC155" s="499"/>
      <c r="GD155" s="499"/>
      <c r="GE155" s="499"/>
      <c r="GF155" s="499"/>
      <c r="GG155" s="499"/>
      <c r="GH155" s="499"/>
      <c r="GI155" s="499"/>
      <c r="GJ155" s="499"/>
      <c r="GK155" s="499"/>
      <c r="GL155" s="499"/>
      <c r="GM155" s="499"/>
      <c r="GN155" s="499"/>
      <c r="GO155" s="499"/>
      <c r="GP155" s="499"/>
      <c r="GQ155" s="499"/>
      <c r="GR155" s="499"/>
      <c r="GS155" s="499"/>
      <c r="GT155" s="499"/>
      <c r="GU155" s="499"/>
      <c r="GV155" s="499"/>
      <c r="GW155" s="499"/>
      <c r="GX155" s="499"/>
      <c r="GY155" s="499"/>
      <c r="GZ155" s="499"/>
      <c r="HA155" s="499"/>
      <c r="HB155" s="499"/>
      <c r="HC155" s="499"/>
      <c r="HD155" s="499"/>
      <c r="HE155" s="499"/>
      <c r="HF155" s="499"/>
      <c r="HG155" s="499"/>
      <c r="HH155" s="499"/>
      <c r="HI155" s="499"/>
      <c r="HJ155" s="499"/>
      <c r="HK155" s="499"/>
      <c r="HL155" s="499"/>
      <c r="HM155" s="499"/>
      <c r="HN155" s="499"/>
      <c r="HO155" s="499"/>
      <c r="HP155" s="499"/>
      <c r="HQ155" s="499"/>
      <c r="HR155" s="499"/>
      <c r="HS155" s="499"/>
      <c r="HT155" s="499"/>
      <c r="HU155" s="499"/>
      <c r="HV155" s="499"/>
      <c r="HW155" s="499"/>
      <c r="HX155" s="358"/>
    </row>
    <row r="156" spans="1:232" ht="38.25" customHeight="1">
      <c r="A156" s="1607" t="s">
        <v>112</v>
      </c>
      <c r="B156" s="1607"/>
      <c r="C156" s="1607"/>
      <c r="D156" s="1607"/>
      <c r="E156" s="1607"/>
      <c r="F156" s="1607"/>
      <c r="G156" s="1607"/>
      <c r="H156" s="1607"/>
      <c r="I156" s="1607"/>
      <c r="J156" s="1607"/>
      <c r="P156" s="495"/>
      <c r="Q156" s="495"/>
      <c r="R156" s="495"/>
      <c r="S156" s="495"/>
    </row>
    <row r="157" spans="1:232" ht="20.100000000000001" customHeight="1">
      <c r="A157" s="1608" t="str">
        <f>'8.BBCT'!A157:J157</f>
        <v>-   Biên bản nghiệm thu nội bộ của nhà thầu.</v>
      </c>
      <c r="B157" s="1607"/>
      <c r="C157" s="1607"/>
      <c r="D157" s="1607"/>
      <c r="E157" s="1607"/>
      <c r="F157" s="1607"/>
      <c r="G157" s="1607"/>
      <c r="H157" s="1607"/>
      <c r="I157" s="1607"/>
      <c r="J157" s="1607"/>
    </row>
    <row r="158" spans="1:232" ht="20.100000000000001" customHeight="1">
      <c r="A158" s="1604" t="s">
        <v>864</v>
      </c>
      <c r="B158" s="1604"/>
      <c r="C158" s="1604"/>
      <c r="D158" s="1604"/>
      <c r="E158" s="1604"/>
      <c r="F158" s="1604"/>
      <c r="G158" s="1604"/>
      <c r="H158" s="1604"/>
      <c r="I158" s="1604"/>
      <c r="J158" s="1604"/>
    </row>
    <row r="159" spans="1:232" s="5" customFormat="1" ht="20.100000000000001" customHeight="1">
      <c r="A159" s="500" t="s">
        <v>1032</v>
      </c>
      <c r="C159" s="501"/>
      <c r="D159" s="501"/>
      <c r="E159" s="501"/>
      <c r="F159" s="501"/>
      <c r="G159" s="501"/>
      <c r="H159" s="501"/>
      <c r="I159" s="501"/>
      <c r="J159" s="502"/>
      <c r="K159" s="463"/>
      <c r="L159" s="463"/>
      <c r="M159" s="464"/>
      <c r="N159" s="464"/>
      <c r="O159" s="464"/>
      <c r="P159" s="464"/>
      <c r="Q159" s="464"/>
      <c r="R159" s="464"/>
      <c r="S159" s="464"/>
      <c r="T159" s="495"/>
      <c r="U159" s="499"/>
      <c r="V159" s="499"/>
      <c r="W159" s="499"/>
      <c r="X159" s="499"/>
      <c r="Y159" s="499"/>
      <c r="Z159" s="499"/>
      <c r="AA159" s="499"/>
      <c r="AB159" s="499"/>
      <c r="AC159" s="499"/>
      <c r="AD159" s="499"/>
      <c r="AE159" s="499"/>
      <c r="AF159" s="499"/>
      <c r="AG159" s="499"/>
      <c r="AH159" s="499"/>
      <c r="AI159" s="499"/>
      <c r="AJ159" s="499"/>
      <c r="AK159" s="499"/>
      <c r="AL159" s="499"/>
      <c r="AM159" s="499"/>
      <c r="AN159" s="499"/>
      <c r="AO159" s="499"/>
      <c r="AP159" s="499"/>
      <c r="AQ159" s="499"/>
      <c r="AR159" s="499"/>
      <c r="AS159" s="499"/>
      <c r="AT159" s="499"/>
      <c r="AU159" s="499"/>
      <c r="AV159" s="499"/>
      <c r="AW159" s="499"/>
      <c r="AX159" s="499"/>
      <c r="AY159" s="499"/>
      <c r="AZ159" s="499"/>
      <c r="BA159" s="499"/>
      <c r="BB159" s="499"/>
      <c r="BC159" s="499"/>
      <c r="BD159" s="499"/>
      <c r="BE159" s="499"/>
      <c r="BF159" s="499"/>
      <c r="BG159" s="499"/>
      <c r="BH159" s="499"/>
      <c r="BI159" s="499"/>
      <c r="BJ159" s="499"/>
      <c r="BK159" s="499"/>
      <c r="BL159" s="499"/>
      <c r="BM159" s="499"/>
      <c r="BN159" s="499"/>
      <c r="BO159" s="499"/>
      <c r="BP159" s="499"/>
      <c r="BQ159" s="499"/>
      <c r="BR159" s="499"/>
      <c r="BS159" s="499"/>
      <c r="BT159" s="499"/>
      <c r="BU159" s="499"/>
      <c r="BV159" s="499"/>
      <c r="BW159" s="499"/>
      <c r="BX159" s="499"/>
      <c r="BY159" s="499"/>
      <c r="BZ159" s="499"/>
      <c r="CA159" s="499"/>
      <c r="CB159" s="499"/>
      <c r="CC159" s="499"/>
      <c r="CD159" s="499"/>
      <c r="CE159" s="499"/>
      <c r="CF159" s="499"/>
      <c r="CG159" s="499"/>
      <c r="CH159" s="499"/>
      <c r="CI159" s="499"/>
      <c r="CJ159" s="499"/>
      <c r="CK159" s="499"/>
      <c r="CL159" s="499"/>
      <c r="CM159" s="499"/>
      <c r="CN159" s="499"/>
      <c r="CO159" s="499"/>
      <c r="CP159" s="499"/>
      <c r="CQ159" s="499"/>
      <c r="CR159" s="499"/>
      <c r="CS159" s="499"/>
      <c r="CT159" s="499"/>
      <c r="CU159" s="499"/>
      <c r="CV159" s="499"/>
      <c r="CW159" s="499"/>
      <c r="CX159" s="499"/>
      <c r="CY159" s="499"/>
      <c r="CZ159" s="499"/>
      <c r="DA159" s="499"/>
      <c r="DB159" s="499"/>
      <c r="DC159" s="499"/>
      <c r="DD159" s="499"/>
      <c r="DE159" s="499"/>
      <c r="DF159" s="499"/>
      <c r="DG159" s="499"/>
      <c r="DH159" s="499"/>
      <c r="DI159" s="499"/>
      <c r="DJ159" s="499"/>
      <c r="DK159" s="499"/>
      <c r="DL159" s="499"/>
      <c r="DM159" s="499"/>
      <c r="DN159" s="499"/>
      <c r="DO159" s="499"/>
      <c r="DP159" s="499"/>
      <c r="DQ159" s="499"/>
      <c r="DR159" s="499"/>
      <c r="DS159" s="499"/>
      <c r="DT159" s="499"/>
      <c r="DU159" s="499"/>
      <c r="DV159" s="499"/>
      <c r="DW159" s="499"/>
      <c r="DX159" s="499"/>
      <c r="DY159" s="499"/>
      <c r="DZ159" s="499"/>
      <c r="EA159" s="499"/>
      <c r="EB159" s="499"/>
      <c r="EC159" s="499"/>
      <c r="ED159" s="499"/>
      <c r="EE159" s="499"/>
      <c r="EF159" s="499"/>
      <c r="EG159" s="499"/>
      <c r="EH159" s="499"/>
      <c r="EI159" s="499"/>
      <c r="EJ159" s="499"/>
      <c r="EK159" s="499"/>
      <c r="EL159" s="499"/>
      <c r="EM159" s="499"/>
      <c r="EN159" s="499"/>
      <c r="EO159" s="499"/>
      <c r="EP159" s="499"/>
      <c r="EQ159" s="499"/>
      <c r="ER159" s="499"/>
      <c r="ES159" s="499"/>
      <c r="ET159" s="499"/>
      <c r="EU159" s="499"/>
      <c r="EV159" s="499"/>
      <c r="EW159" s="499"/>
      <c r="EX159" s="499"/>
      <c r="EY159" s="499"/>
      <c r="EZ159" s="499"/>
      <c r="FA159" s="499"/>
      <c r="FB159" s="499"/>
      <c r="FC159" s="499"/>
      <c r="FD159" s="499"/>
      <c r="FE159" s="499"/>
      <c r="FF159" s="499"/>
      <c r="FG159" s="499"/>
      <c r="FH159" s="499"/>
      <c r="FI159" s="499"/>
      <c r="FJ159" s="499"/>
      <c r="FK159" s="499"/>
      <c r="FL159" s="499"/>
      <c r="FM159" s="499"/>
      <c r="FN159" s="499"/>
      <c r="FO159" s="499"/>
      <c r="FP159" s="499"/>
      <c r="FQ159" s="499"/>
      <c r="FR159" s="499"/>
      <c r="FS159" s="499"/>
      <c r="FT159" s="499"/>
      <c r="FU159" s="499"/>
      <c r="FV159" s="499"/>
      <c r="FW159" s="499"/>
      <c r="FX159" s="499"/>
      <c r="FY159" s="499"/>
      <c r="FZ159" s="499"/>
      <c r="GA159" s="499"/>
      <c r="GB159" s="499"/>
      <c r="GC159" s="499"/>
      <c r="GD159" s="499"/>
      <c r="GE159" s="499"/>
      <c r="GF159" s="499"/>
      <c r="GG159" s="499"/>
      <c r="GH159" s="499"/>
      <c r="GI159" s="499"/>
      <c r="GJ159" s="499"/>
      <c r="GK159" s="499"/>
      <c r="GL159" s="499"/>
      <c r="GM159" s="499"/>
      <c r="GN159" s="499"/>
      <c r="GO159" s="499"/>
      <c r="GP159" s="499"/>
      <c r="GQ159" s="499"/>
      <c r="GR159" s="499"/>
      <c r="GS159" s="499"/>
      <c r="GT159" s="499"/>
      <c r="GU159" s="499"/>
      <c r="GV159" s="499"/>
      <c r="GW159" s="499"/>
      <c r="GX159" s="499"/>
      <c r="GY159" s="499"/>
      <c r="GZ159" s="499"/>
      <c r="HA159" s="499"/>
      <c r="HB159" s="499"/>
      <c r="HC159" s="499"/>
      <c r="HD159" s="499"/>
      <c r="HE159" s="499"/>
      <c r="HF159" s="499"/>
      <c r="HG159" s="499"/>
      <c r="HH159" s="499"/>
      <c r="HI159" s="499"/>
      <c r="HJ159" s="499"/>
      <c r="HK159" s="499"/>
      <c r="HL159" s="499"/>
      <c r="HM159" s="499"/>
      <c r="HN159" s="499"/>
      <c r="HO159" s="499"/>
      <c r="HP159" s="499"/>
      <c r="HQ159" s="499"/>
      <c r="HR159" s="499"/>
      <c r="HS159" s="499"/>
      <c r="HT159" s="499"/>
      <c r="HU159" s="499"/>
      <c r="HV159" s="499"/>
      <c r="HW159" s="499"/>
      <c r="HX159" s="358"/>
    </row>
    <row r="160" spans="1:232" s="5" customFormat="1" ht="20.100000000000001" customHeight="1">
      <c r="A160" s="1676" t="s">
        <v>191</v>
      </c>
      <c r="B160" s="1631" t="s">
        <v>115</v>
      </c>
      <c r="C160" s="1632"/>
      <c r="D160" s="1632"/>
      <c r="E160" s="1632"/>
      <c r="F160" s="1632"/>
      <c r="G160" s="1632"/>
      <c r="H160" s="1633"/>
      <c r="I160" s="1606" t="s">
        <v>117</v>
      </c>
      <c r="J160" s="1606"/>
      <c r="K160" s="463"/>
      <c r="L160" s="463"/>
      <c r="M160" s="464"/>
      <c r="N160" s="464"/>
      <c r="O160" s="464"/>
      <c r="P160" s="495"/>
      <c r="Q160" s="495"/>
      <c r="R160" s="495"/>
      <c r="S160" s="495"/>
      <c r="T160" s="504"/>
      <c r="U160" s="358"/>
      <c r="V160" s="358"/>
      <c r="W160" s="358"/>
      <c r="X160" s="358"/>
      <c r="Y160" s="358"/>
      <c r="Z160" s="358"/>
      <c r="AA160" s="358"/>
      <c r="AB160" s="358"/>
      <c r="AC160" s="358"/>
      <c r="AD160" s="358"/>
      <c r="AE160" s="358"/>
      <c r="AF160" s="358"/>
      <c r="AG160" s="358"/>
      <c r="AH160" s="358"/>
      <c r="AI160" s="358"/>
      <c r="AJ160" s="358"/>
      <c r="AK160" s="358"/>
      <c r="AL160" s="358"/>
      <c r="AM160" s="358"/>
      <c r="AN160" s="358"/>
      <c r="AO160" s="358"/>
      <c r="AP160" s="358"/>
      <c r="AQ160" s="358"/>
      <c r="AR160" s="358"/>
      <c r="AS160" s="358"/>
      <c r="AT160" s="358"/>
      <c r="AU160" s="358"/>
      <c r="AV160" s="358"/>
      <c r="AW160" s="358"/>
      <c r="AX160" s="358"/>
      <c r="AY160" s="358"/>
      <c r="AZ160" s="358"/>
      <c r="BA160" s="358"/>
      <c r="BB160" s="358"/>
      <c r="BC160" s="358"/>
      <c r="BD160" s="358"/>
      <c r="BE160" s="358"/>
      <c r="BF160" s="358"/>
      <c r="BG160" s="358"/>
      <c r="BH160" s="358"/>
      <c r="BI160" s="358"/>
      <c r="BJ160" s="358"/>
      <c r="BK160" s="358"/>
      <c r="BL160" s="358"/>
      <c r="BM160" s="358"/>
      <c r="BN160" s="358"/>
      <c r="BO160" s="358"/>
      <c r="BP160" s="358"/>
      <c r="BQ160" s="358"/>
      <c r="BR160" s="358"/>
      <c r="BS160" s="358"/>
      <c r="BT160" s="358"/>
      <c r="BU160" s="358"/>
      <c r="BV160" s="358"/>
      <c r="BW160" s="358"/>
      <c r="BX160" s="358"/>
      <c r="BY160" s="358"/>
      <c r="BZ160" s="358"/>
      <c r="CA160" s="358"/>
      <c r="CB160" s="358"/>
      <c r="CC160" s="358"/>
      <c r="CD160" s="358"/>
      <c r="CE160" s="358"/>
      <c r="CF160" s="358"/>
      <c r="CG160" s="358"/>
      <c r="CH160" s="358"/>
      <c r="CI160" s="358"/>
      <c r="CJ160" s="358"/>
      <c r="CK160" s="358"/>
      <c r="CL160" s="358"/>
      <c r="CM160" s="358"/>
      <c r="CN160" s="358"/>
      <c r="CO160" s="358"/>
      <c r="CP160" s="358"/>
      <c r="CQ160" s="358"/>
      <c r="CR160" s="358"/>
      <c r="CS160" s="358"/>
      <c r="CT160" s="358"/>
      <c r="CU160" s="358"/>
      <c r="CV160" s="358"/>
      <c r="CW160" s="358"/>
      <c r="CX160" s="358"/>
      <c r="CY160" s="358"/>
      <c r="CZ160" s="358"/>
      <c r="DA160" s="358"/>
      <c r="DB160" s="358"/>
      <c r="DC160" s="358"/>
      <c r="DD160" s="358"/>
      <c r="DE160" s="358"/>
      <c r="DF160" s="358"/>
      <c r="DG160" s="358"/>
      <c r="DH160" s="358"/>
      <c r="DI160" s="358"/>
      <c r="DJ160" s="358"/>
      <c r="DK160" s="358"/>
      <c r="DL160" s="358"/>
      <c r="DM160" s="358"/>
      <c r="DN160" s="358"/>
      <c r="DO160" s="358"/>
      <c r="DP160" s="358"/>
      <c r="DQ160" s="358"/>
      <c r="DR160" s="358"/>
      <c r="DS160" s="358"/>
      <c r="DT160" s="358"/>
      <c r="DU160" s="358"/>
      <c r="DV160" s="358"/>
      <c r="DW160" s="358"/>
      <c r="DX160" s="358"/>
      <c r="DY160" s="358"/>
      <c r="DZ160" s="358"/>
      <c r="EA160" s="358"/>
      <c r="EB160" s="358"/>
      <c r="EC160" s="358"/>
      <c r="ED160" s="358"/>
      <c r="EE160" s="358"/>
      <c r="EF160" s="358"/>
      <c r="EG160" s="358"/>
      <c r="EH160" s="358"/>
      <c r="EI160" s="358"/>
      <c r="EJ160" s="358"/>
      <c r="EK160" s="358"/>
      <c r="EL160" s="358"/>
      <c r="EM160" s="358"/>
      <c r="EN160" s="358"/>
      <c r="EO160" s="358"/>
      <c r="EP160" s="358"/>
      <c r="EQ160" s="358"/>
      <c r="ER160" s="358"/>
      <c r="ES160" s="358"/>
      <c r="ET160" s="358"/>
      <c r="EU160" s="358"/>
      <c r="EV160" s="358"/>
      <c r="EW160" s="358"/>
      <c r="EX160" s="358"/>
      <c r="EY160" s="358"/>
      <c r="EZ160" s="358"/>
      <c r="FA160" s="358"/>
      <c r="FB160" s="358"/>
      <c r="FC160" s="358"/>
      <c r="FD160" s="358"/>
      <c r="FE160" s="358"/>
      <c r="FF160" s="358"/>
      <c r="FG160" s="358"/>
      <c r="FH160" s="358"/>
      <c r="FI160" s="358"/>
      <c r="FJ160" s="358"/>
      <c r="FK160" s="358"/>
      <c r="FL160" s="358"/>
      <c r="FM160" s="358"/>
      <c r="FN160" s="358"/>
      <c r="FO160" s="358"/>
      <c r="FP160" s="358"/>
      <c r="FQ160" s="358"/>
      <c r="FR160" s="358"/>
      <c r="FS160" s="358"/>
      <c r="FT160" s="358"/>
      <c r="FU160" s="358"/>
      <c r="FV160" s="358"/>
      <c r="FW160" s="358"/>
      <c r="FX160" s="358"/>
      <c r="FY160" s="358"/>
      <c r="FZ160" s="358"/>
      <c r="GA160" s="358"/>
      <c r="GB160" s="358"/>
      <c r="GC160" s="358"/>
      <c r="GD160" s="358"/>
      <c r="GE160" s="358"/>
      <c r="GF160" s="358"/>
      <c r="GG160" s="358"/>
      <c r="GH160" s="358"/>
      <c r="GI160" s="358"/>
      <c r="GJ160" s="358"/>
      <c r="GK160" s="358"/>
      <c r="GL160" s="358"/>
      <c r="GM160" s="358"/>
      <c r="GN160" s="358"/>
      <c r="GO160" s="358"/>
      <c r="GP160" s="358"/>
      <c r="GQ160" s="358"/>
      <c r="GR160" s="358"/>
      <c r="GS160" s="358"/>
      <c r="GT160" s="358"/>
      <c r="GU160" s="358"/>
      <c r="GV160" s="358"/>
      <c r="GW160" s="358"/>
      <c r="GX160" s="358"/>
      <c r="GY160" s="358"/>
      <c r="GZ160" s="358"/>
      <c r="HA160" s="358"/>
      <c r="HB160" s="358"/>
      <c r="HC160" s="358"/>
      <c r="HD160" s="358"/>
      <c r="HE160" s="358"/>
      <c r="HF160" s="358"/>
      <c r="HG160" s="358"/>
      <c r="HH160" s="358"/>
      <c r="HI160" s="358"/>
      <c r="HJ160" s="358"/>
      <c r="HK160" s="358"/>
      <c r="HL160" s="358"/>
      <c r="HM160" s="358"/>
      <c r="HN160" s="358"/>
      <c r="HO160" s="358"/>
      <c r="HP160" s="358"/>
      <c r="HQ160" s="358"/>
      <c r="HR160" s="358"/>
      <c r="HS160" s="358"/>
      <c r="HT160" s="358"/>
      <c r="HU160" s="358"/>
      <c r="HV160" s="358"/>
      <c r="HW160" s="358"/>
      <c r="HX160" s="358"/>
    </row>
    <row r="161" spans="1:232" s="5" customFormat="1" ht="34.5" customHeight="1">
      <c r="A161" s="1677"/>
      <c r="B161" s="1637"/>
      <c r="C161" s="1638"/>
      <c r="D161" s="1638"/>
      <c r="E161" s="1638"/>
      <c r="F161" s="1638"/>
      <c r="G161" s="1638"/>
      <c r="H161" s="1639"/>
      <c r="I161" s="503" t="s">
        <v>118</v>
      </c>
      <c r="J161" s="503" t="s">
        <v>119</v>
      </c>
      <c r="K161" s="463"/>
      <c r="L161" s="463"/>
      <c r="M161" s="464"/>
      <c r="N161" s="464"/>
      <c r="O161" s="464"/>
      <c r="P161" s="504"/>
      <c r="Q161" s="504"/>
      <c r="R161" s="504"/>
      <c r="S161" s="504"/>
      <c r="T161" s="406"/>
      <c r="U161" s="358"/>
      <c r="V161" s="358"/>
      <c r="W161" s="358"/>
      <c r="X161" s="358"/>
      <c r="Y161" s="358"/>
      <c r="Z161" s="358"/>
      <c r="AA161" s="358"/>
      <c r="AB161" s="358"/>
      <c r="AC161" s="358"/>
      <c r="AD161" s="358"/>
      <c r="AE161" s="358"/>
      <c r="AF161" s="358"/>
      <c r="AG161" s="358"/>
      <c r="AH161" s="358"/>
      <c r="AI161" s="358"/>
      <c r="AJ161" s="358"/>
      <c r="AK161" s="358"/>
      <c r="AL161" s="358"/>
      <c r="AM161" s="358"/>
      <c r="AN161" s="358"/>
      <c r="AO161" s="358"/>
      <c r="AP161" s="358"/>
      <c r="AQ161" s="358"/>
      <c r="AR161" s="358"/>
      <c r="AS161" s="358"/>
      <c r="AT161" s="358"/>
      <c r="AU161" s="358"/>
      <c r="AV161" s="358"/>
      <c r="AW161" s="358"/>
      <c r="AX161" s="358"/>
      <c r="AY161" s="358"/>
      <c r="AZ161" s="358"/>
      <c r="BA161" s="358"/>
      <c r="BB161" s="358"/>
      <c r="BC161" s="358"/>
      <c r="BD161" s="358"/>
      <c r="BE161" s="358"/>
      <c r="BF161" s="358"/>
      <c r="BG161" s="358"/>
      <c r="BH161" s="358"/>
      <c r="BI161" s="358"/>
      <c r="BJ161" s="358"/>
      <c r="BK161" s="358"/>
      <c r="BL161" s="358"/>
      <c r="BM161" s="358"/>
      <c r="BN161" s="358"/>
      <c r="BO161" s="358"/>
      <c r="BP161" s="358"/>
      <c r="BQ161" s="358"/>
      <c r="BR161" s="358"/>
      <c r="BS161" s="358"/>
      <c r="BT161" s="358"/>
      <c r="BU161" s="358"/>
      <c r="BV161" s="358"/>
      <c r="BW161" s="358"/>
      <c r="BX161" s="358"/>
      <c r="BY161" s="358"/>
      <c r="BZ161" s="358"/>
      <c r="CA161" s="358"/>
      <c r="CB161" s="358"/>
      <c r="CC161" s="358"/>
      <c r="CD161" s="358"/>
      <c r="CE161" s="358"/>
      <c r="CF161" s="358"/>
      <c r="CG161" s="358"/>
      <c r="CH161" s="358"/>
      <c r="CI161" s="358"/>
      <c r="CJ161" s="358"/>
      <c r="CK161" s="358"/>
      <c r="CL161" s="358"/>
      <c r="CM161" s="358"/>
      <c r="CN161" s="358"/>
      <c r="CO161" s="358"/>
      <c r="CP161" s="358"/>
      <c r="CQ161" s="358"/>
      <c r="CR161" s="358"/>
      <c r="CS161" s="358"/>
      <c r="CT161" s="358"/>
      <c r="CU161" s="358"/>
      <c r="CV161" s="358"/>
      <c r="CW161" s="358"/>
      <c r="CX161" s="358"/>
      <c r="CY161" s="358"/>
      <c r="CZ161" s="358"/>
      <c r="DA161" s="358"/>
      <c r="DB161" s="358"/>
      <c r="DC161" s="358"/>
      <c r="DD161" s="358"/>
      <c r="DE161" s="358"/>
      <c r="DF161" s="358"/>
      <c r="DG161" s="358"/>
      <c r="DH161" s="358"/>
      <c r="DI161" s="358"/>
      <c r="DJ161" s="358"/>
      <c r="DK161" s="358"/>
      <c r="DL161" s="358"/>
      <c r="DM161" s="358"/>
      <c r="DN161" s="358"/>
      <c r="DO161" s="358"/>
      <c r="DP161" s="358"/>
      <c r="DQ161" s="358"/>
      <c r="DR161" s="358"/>
      <c r="DS161" s="358"/>
      <c r="DT161" s="358"/>
      <c r="DU161" s="358"/>
      <c r="DV161" s="358"/>
      <c r="DW161" s="358"/>
      <c r="DX161" s="358"/>
      <c r="DY161" s="358"/>
      <c r="DZ161" s="358"/>
      <c r="EA161" s="358"/>
      <c r="EB161" s="358"/>
      <c r="EC161" s="358"/>
      <c r="ED161" s="358"/>
      <c r="EE161" s="358"/>
      <c r="EF161" s="358"/>
      <c r="EG161" s="358"/>
      <c r="EH161" s="358"/>
      <c r="EI161" s="358"/>
      <c r="EJ161" s="358"/>
      <c r="EK161" s="358"/>
      <c r="EL161" s="358"/>
      <c r="EM161" s="358"/>
      <c r="EN161" s="358"/>
      <c r="EO161" s="358"/>
      <c r="EP161" s="358"/>
      <c r="EQ161" s="358"/>
      <c r="ER161" s="358"/>
      <c r="ES161" s="358"/>
      <c r="ET161" s="358"/>
      <c r="EU161" s="358"/>
      <c r="EV161" s="358"/>
      <c r="EW161" s="358"/>
      <c r="EX161" s="358"/>
      <c r="EY161" s="358"/>
      <c r="EZ161" s="358"/>
      <c r="FA161" s="358"/>
      <c r="FB161" s="358"/>
      <c r="FC161" s="358"/>
      <c r="FD161" s="358"/>
      <c r="FE161" s="358"/>
      <c r="FF161" s="358"/>
      <c r="FG161" s="358"/>
      <c r="FH161" s="358"/>
      <c r="FI161" s="358"/>
      <c r="FJ161" s="358"/>
      <c r="FK161" s="358"/>
      <c r="FL161" s="358"/>
      <c r="FM161" s="358"/>
      <c r="FN161" s="358"/>
      <c r="FO161" s="358"/>
      <c r="FP161" s="358"/>
      <c r="FQ161" s="358"/>
      <c r="FR161" s="358"/>
      <c r="FS161" s="358"/>
      <c r="FT161" s="358"/>
      <c r="FU161" s="358"/>
      <c r="FV161" s="358"/>
      <c r="FW161" s="358"/>
      <c r="FX161" s="358"/>
      <c r="FY161" s="358"/>
      <c r="FZ161" s="358"/>
      <c r="GA161" s="358"/>
      <c r="GB161" s="358"/>
      <c r="GC161" s="358"/>
      <c r="GD161" s="358"/>
      <c r="GE161" s="358"/>
      <c r="GF161" s="358"/>
      <c r="GG161" s="358"/>
      <c r="GH161" s="358"/>
      <c r="GI161" s="358"/>
      <c r="GJ161" s="358"/>
      <c r="GK161" s="358"/>
      <c r="GL161" s="358"/>
      <c r="GM161" s="358"/>
      <c r="GN161" s="358"/>
      <c r="GO161" s="358"/>
      <c r="GP161" s="358"/>
      <c r="GQ161" s="358"/>
      <c r="GR161" s="358"/>
      <c r="GS161" s="358"/>
      <c r="GT161" s="358"/>
      <c r="GU161" s="358"/>
      <c r="GV161" s="358"/>
      <c r="GW161" s="358"/>
      <c r="GX161" s="358"/>
      <c r="GY161" s="358"/>
      <c r="GZ161" s="358"/>
      <c r="HA161" s="358"/>
      <c r="HB161" s="358"/>
      <c r="HC161" s="358"/>
      <c r="HD161" s="358"/>
      <c r="HE161" s="358"/>
      <c r="HF161" s="358"/>
      <c r="HG161" s="358"/>
      <c r="HH161" s="358"/>
      <c r="HI161" s="358"/>
      <c r="HJ161" s="358"/>
      <c r="HK161" s="358"/>
      <c r="HL161" s="358"/>
      <c r="HM161" s="358"/>
      <c r="HN161" s="358"/>
      <c r="HO161" s="358"/>
      <c r="HP161" s="358"/>
      <c r="HQ161" s="358"/>
      <c r="HR161" s="358"/>
      <c r="HS161" s="358"/>
      <c r="HT161" s="358"/>
      <c r="HU161" s="358"/>
      <c r="HV161" s="358"/>
      <c r="HW161" s="358"/>
      <c r="HX161" s="358"/>
    </row>
    <row r="162" spans="1:232" s="5" customFormat="1" ht="35.25" customHeight="1">
      <c r="A162" s="1678"/>
      <c r="B162" s="1673" t="s">
        <v>420</v>
      </c>
      <c r="C162" s="1674"/>
      <c r="D162" s="1675"/>
      <c r="E162" s="1674" t="s">
        <v>421</v>
      </c>
      <c r="F162" s="1675"/>
      <c r="G162" s="1668" t="s">
        <v>422</v>
      </c>
      <c r="H162" s="1670"/>
      <c r="I162" s="822" t="s">
        <v>471</v>
      </c>
      <c r="J162" s="506"/>
      <c r="K162" s="463"/>
      <c r="L162" s="463"/>
      <c r="M162" s="464"/>
      <c r="N162" s="464"/>
      <c r="O162" s="464"/>
      <c r="P162" s="406"/>
      <c r="Q162" s="406"/>
      <c r="R162" s="406"/>
      <c r="S162" s="406"/>
      <c r="T162" s="406"/>
      <c r="U162" s="358"/>
      <c r="V162" s="358"/>
      <c r="W162" s="358"/>
      <c r="X162" s="358"/>
      <c r="Y162" s="358"/>
      <c r="Z162" s="358"/>
      <c r="AA162" s="358"/>
      <c r="AB162" s="358"/>
      <c r="AC162" s="358"/>
      <c r="AD162" s="358"/>
      <c r="AE162" s="358"/>
      <c r="AF162" s="358"/>
      <c r="AG162" s="358"/>
      <c r="AH162" s="358"/>
      <c r="AI162" s="358"/>
      <c r="AJ162" s="358"/>
      <c r="AK162" s="358"/>
      <c r="AL162" s="358"/>
      <c r="AM162" s="358"/>
      <c r="AN162" s="358"/>
      <c r="AO162" s="358"/>
      <c r="AP162" s="358"/>
      <c r="AQ162" s="358"/>
      <c r="AR162" s="358"/>
      <c r="AS162" s="358"/>
      <c r="AT162" s="358"/>
      <c r="AU162" s="358"/>
      <c r="AV162" s="358"/>
      <c r="AW162" s="358"/>
      <c r="AX162" s="358"/>
      <c r="AY162" s="358"/>
      <c r="AZ162" s="358"/>
      <c r="BA162" s="358"/>
      <c r="BB162" s="358"/>
      <c r="BC162" s="358"/>
      <c r="BD162" s="358"/>
      <c r="BE162" s="358"/>
      <c r="BF162" s="358"/>
      <c r="BG162" s="358"/>
      <c r="BH162" s="358"/>
      <c r="BI162" s="358"/>
      <c r="BJ162" s="358"/>
      <c r="BK162" s="358"/>
      <c r="BL162" s="358"/>
      <c r="BM162" s="358"/>
      <c r="BN162" s="358"/>
      <c r="BO162" s="358"/>
      <c r="BP162" s="358"/>
      <c r="BQ162" s="358"/>
      <c r="BR162" s="358"/>
      <c r="BS162" s="358"/>
      <c r="BT162" s="358"/>
      <c r="BU162" s="358"/>
      <c r="BV162" s="358"/>
      <c r="BW162" s="358"/>
      <c r="BX162" s="358"/>
      <c r="BY162" s="358"/>
      <c r="BZ162" s="358"/>
      <c r="CA162" s="358"/>
      <c r="CB162" s="358"/>
      <c r="CC162" s="358"/>
      <c r="CD162" s="358"/>
      <c r="CE162" s="358"/>
      <c r="CF162" s="358"/>
      <c r="CG162" s="358"/>
      <c r="CH162" s="358"/>
      <c r="CI162" s="358"/>
      <c r="CJ162" s="358"/>
      <c r="CK162" s="358"/>
      <c r="CL162" s="358"/>
      <c r="CM162" s="358"/>
      <c r="CN162" s="358"/>
      <c r="CO162" s="358"/>
      <c r="CP162" s="358"/>
      <c r="CQ162" s="358"/>
      <c r="CR162" s="358"/>
      <c r="CS162" s="358"/>
      <c r="CT162" s="358"/>
      <c r="CU162" s="358"/>
      <c r="CV162" s="358"/>
      <c r="CW162" s="358"/>
      <c r="CX162" s="358"/>
      <c r="CY162" s="358"/>
      <c r="CZ162" s="358"/>
      <c r="DA162" s="358"/>
      <c r="DB162" s="358"/>
      <c r="DC162" s="358"/>
      <c r="DD162" s="358"/>
      <c r="DE162" s="358"/>
      <c r="DF162" s="358"/>
      <c r="DG162" s="358"/>
      <c r="DH162" s="358"/>
      <c r="DI162" s="358"/>
      <c r="DJ162" s="358"/>
      <c r="DK162" s="358"/>
      <c r="DL162" s="358"/>
      <c r="DM162" s="358"/>
      <c r="DN162" s="358"/>
      <c r="DO162" s="358"/>
      <c r="DP162" s="358"/>
      <c r="DQ162" s="358"/>
      <c r="DR162" s="358"/>
      <c r="DS162" s="358"/>
      <c r="DT162" s="358"/>
      <c r="DU162" s="358"/>
      <c r="DV162" s="358"/>
      <c r="DW162" s="358"/>
      <c r="DX162" s="358"/>
      <c r="DY162" s="358"/>
      <c r="DZ162" s="358"/>
      <c r="EA162" s="358"/>
      <c r="EB162" s="358"/>
      <c r="EC162" s="358"/>
      <c r="ED162" s="358"/>
      <c r="EE162" s="358"/>
      <c r="EF162" s="358"/>
      <c r="EG162" s="358"/>
      <c r="EH162" s="358"/>
      <c r="EI162" s="358"/>
      <c r="EJ162" s="358"/>
      <c r="EK162" s="358"/>
      <c r="EL162" s="358"/>
      <c r="EM162" s="358"/>
      <c r="EN162" s="358"/>
      <c r="EO162" s="358"/>
      <c r="EP162" s="358"/>
      <c r="EQ162" s="358"/>
      <c r="ER162" s="358"/>
      <c r="ES162" s="358"/>
      <c r="ET162" s="358"/>
      <c r="EU162" s="358"/>
      <c r="EV162" s="358"/>
      <c r="EW162" s="358"/>
      <c r="EX162" s="358"/>
      <c r="EY162" s="358"/>
      <c r="EZ162" s="358"/>
      <c r="FA162" s="358"/>
      <c r="FB162" s="358"/>
      <c r="FC162" s="358"/>
      <c r="FD162" s="358"/>
      <c r="FE162" s="358"/>
      <c r="FF162" s="358"/>
      <c r="FG162" s="358"/>
      <c r="FH162" s="358"/>
      <c r="FI162" s="358"/>
      <c r="FJ162" s="358"/>
      <c r="FK162" s="358"/>
      <c r="FL162" s="358"/>
      <c r="FM162" s="358"/>
      <c r="FN162" s="358"/>
      <c r="FO162" s="358"/>
      <c r="FP162" s="358"/>
      <c r="FQ162" s="358"/>
      <c r="FR162" s="358"/>
      <c r="FS162" s="358"/>
      <c r="FT162" s="358"/>
      <c r="FU162" s="358"/>
      <c r="FV162" s="358"/>
      <c r="FW162" s="358"/>
      <c r="FX162" s="358"/>
      <c r="FY162" s="358"/>
      <c r="FZ162" s="358"/>
      <c r="GA162" s="358"/>
      <c r="GB162" s="358"/>
      <c r="GC162" s="358"/>
      <c r="GD162" s="358"/>
      <c r="GE162" s="358"/>
      <c r="GF162" s="358"/>
      <c r="GG162" s="358"/>
      <c r="GH162" s="358"/>
      <c r="GI162" s="358"/>
      <c r="GJ162" s="358"/>
      <c r="GK162" s="358"/>
      <c r="GL162" s="358"/>
      <c r="GM162" s="358"/>
      <c r="GN162" s="358"/>
      <c r="GO162" s="358"/>
      <c r="GP162" s="358"/>
      <c r="GQ162" s="358"/>
      <c r="GR162" s="358"/>
      <c r="GS162" s="358"/>
      <c r="GT162" s="358"/>
      <c r="GU162" s="358"/>
      <c r="GV162" s="358"/>
      <c r="GW162" s="358"/>
      <c r="GX162" s="358"/>
      <c r="GY162" s="358"/>
      <c r="GZ162" s="358"/>
      <c r="HA162" s="358"/>
      <c r="HB162" s="358"/>
      <c r="HC162" s="358"/>
      <c r="HD162" s="358"/>
      <c r="HE162" s="358"/>
      <c r="HF162" s="358"/>
      <c r="HG162" s="358"/>
      <c r="HH162" s="358"/>
      <c r="HI162" s="358"/>
      <c r="HJ162" s="358"/>
      <c r="HK162" s="358"/>
      <c r="HL162" s="358"/>
      <c r="HM162" s="358"/>
      <c r="HN162" s="358"/>
      <c r="HO162" s="358"/>
      <c r="HP162" s="358"/>
      <c r="HQ162" s="358"/>
      <c r="HR162" s="358"/>
      <c r="HS162" s="358"/>
      <c r="HT162" s="358"/>
      <c r="HU162" s="358"/>
      <c r="HV162" s="358"/>
      <c r="HW162" s="358"/>
      <c r="HX162" s="358"/>
    </row>
    <row r="163" spans="1:232" s="5" customFormat="1" ht="35.25" customHeight="1">
      <c r="A163" s="503" t="s">
        <v>188</v>
      </c>
      <c r="B163" s="1673">
        <f>B49</f>
        <v>2317790.6910000001</v>
      </c>
      <c r="C163" s="1674"/>
      <c r="D163" s="1675"/>
      <c r="E163" s="1673">
        <f>E49</f>
        <v>2317790.6920000003</v>
      </c>
      <c r="F163" s="1675"/>
      <c r="G163" s="1668">
        <f>G49</f>
        <v>1E-3</v>
      </c>
      <c r="H163" s="1670"/>
      <c r="I163" s="822" t="s">
        <v>471</v>
      </c>
      <c r="J163" s="506"/>
      <c r="K163" s="463"/>
      <c r="L163" s="463"/>
      <c r="M163" s="464"/>
      <c r="N163" s="464"/>
      <c r="O163" s="464"/>
      <c r="P163" s="406"/>
      <c r="Q163" s="406"/>
      <c r="R163" s="406"/>
      <c r="S163" s="406"/>
      <c r="T163" s="406"/>
      <c r="U163" s="358"/>
      <c r="V163" s="358"/>
      <c r="W163" s="358"/>
      <c r="X163" s="358"/>
      <c r="Y163" s="358"/>
      <c r="Z163" s="358"/>
      <c r="AA163" s="358"/>
      <c r="AB163" s="358"/>
      <c r="AC163" s="358"/>
      <c r="AD163" s="358"/>
      <c r="AE163" s="358"/>
      <c r="AF163" s="358"/>
      <c r="AG163" s="358"/>
      <c r="AH163" s="358"/>
      <c r="AI163" s="358"/>
      <c r="AJ163" s="358"/>
      <c r="AK163" s="358"/>
      <c r="AL163" s="358"/>
      <c r="AM163" s="358"/>
      <c r="AN163" s="358"/>
      <c r="AO163" s="358"/>
      <c r="AP163" s="358"/>
      <c r="AQ163" s="358"/>
      <c r="AR163" s="358"/>
      <c r="AS163" s="358"/>
      <c r="AT163" s="358"/>
      <c r="AU163" s="358"/>
      <c r="AV163" s="358"/>
      <c r="AW163" s="358"/>
      <c r="AX163" s="358"/>
      <c r="AY163" s="358"/>
      <c r="AZ163" s="358"/>
      <c r="BA163" s="358"/>
      <c r="BB163" s="358"/>
      <c r="BC163" s="358"/>
      <c r="BD163" s="358"/>
      <c r="BE163" s="358"/>
      <c r="BF163" s="358"/>
      <c r="BG163" s="358"/>
      <c r="BH163" s="358"/>
      <c r="BI163" s="358"/>
      <c r="BJ163" s="358"/>
      <c r="BK163" s="358"/>
      <c r="BL163" s="358"/>
      <c r="BM163" s="358"/>
      <c r="BN163" s="358"/>
      <c r="BO163" s="358"/>
      <c r="BP163" s="358"/>
      <c r="BQ163" s="358"/>
      <c r="BR163" s="358"/>
      <c r="BS163" s="358"/>
      <c r="BT163" s="358"/>
      <c r="BU163" s="358"/>
      <c r="BV163" s="358"/>
      <c r="BW163" s="358"/>
      <c r="BX163" s="358"/>
      <c r="BY163" s="358"/>
      <c r="BZ163" s="358"/>
      <c r="CA163" s="358"/>
      <c r="CB163" s="358"/>
      <c r="CC163" s="358"/>
      <c r="CD163" s="358"/>
      <c r="CE163" s="358"/>
      <c r="CF163" s="358"/>
      <c r="CG163" s="358"/>
      <c r="CH163" s="358"/>
      <c r="CI163" s="358"/>
      <c r="CJ163" s="358"/>
      <c r="CK163" s="358"/>
      <c r="CL163" s="358"/>
      <c r="CM163" s="358"/>
      <c r="CN163" s="358"/>
      <c r="CO163" s="358"/>
      <c r="CP163" s="358"/>
      <c r="CQ163" s="358"/>
      <c r="CR163" s="358"/>
      <c r="CS163" s="358"/>
      <c r="CT163" s="358"/>
      <c r="CU163" s="358"/>
      <c r="CV163" s="358"/>
      <c r="CW163" s="358"/>
      <c r="CX163" s="358"/>
      <c r="CY163" s="358"/>
      <c r="CZ163" s="358"/>
      <c r="DA163" s="358"/>
      <c r="DB163" s="358"/>
      <c r="DC163" s="358"/>
      <c r="DD163" s="358"/>
      <c r="DE163" s="358"/>
      <c r="DF163" s="358"/>
      <c r="DG163" s="358"/>
      <c r="DH163" s="358"/>
      <c r="DI163" s="358"/>
      <c r="DJ163" s="358"/>
      <c r="DK163" s="358"/>
      <c r="DL163" s="358"/>
      <c r="DM163" s="358"/>
      <c r="DN163" s="358"/>
      <c r="DO163" s="358"/>
      <c r="DP163" s="358"/>
      <c r="DQ163" s="358"/>
      <c r="DR163" s="358"/>
      <c r="DS163" s="358"/>
      <c r="DT163" s="358"/>
      <c r="DU163" s="358"/>
      <c r="DV163" s="358"/>
      <c r="DW163" s="358"/>
      <c r="DX163" s="358"/>
      <c r="DY163" s="358"/>
      <c r="DZ163" s="358"/>
      <c r="EA163" s="358"/>
      <c r="EB163" s="358"/>
      <c r="EC163" s="358"/>
      <c r="ED163" s="358"/>
      <c r="EE163" s="358"/>
      <c r="EF163" s="358"/>
      <c r="EG163" s="358"/>
      <c r="EH163" s="358"/>
      <c r="EI163" s="358"/>
      <c r="EJ163" s="358"/>
      <c r="EK163" s="358"/>
      <c r="EL163" s="358"/>
      <c r="EM163" s="358"/>
      <c r="EN163" s="358"/>
      <c r="EO163" s="358"/>
      <c r="EP163" s="358"/>
      <c r="EQ163" s="358"/>
      <c r="ER163" s="358"/>
      <c r="ES163" s="358"/>
      <c r="ET163" s="358"/>
      <c r="EU163" s="358"/>
      <c r="EV163" s="358"/>
      <c r="EW163" s="358"/>
      <c r="EX163" s="358"/>
      <c r="EY163" s="358"/>
      <c r="EZ163" s="358"/>
      <c r="FA163" s="358"/>
      <c r="FB163" s="358"/>
      <c r="FC163" s="358"/>
      <c r="FD163" s="358"/>
      <c r="FE163" s="358"/>
      <c r="FF163" s="358"/>
      <c r="FG163" s="358"/>
      <c r="FH163" s="358"/>
      <c r="FI163" s="358"/>
      <c r="FJ163" s="358"/>
      <c r="FK163" s="358"/>
      <c r="FL163" s="358"/>
      <c r="FM163" s="358"/>
      <c r="FN163" s="358"/>
      <c r="FO163" s="358"/>
      <c r="FP163" s="358"/>
      <c r="FQ163" s="358"/>
      <c r="FR163" s="358"/>
      <c r="FS163" s="358"/>
      <c r="FT163" s="358"/>
      <c r="FU163" s="358"/>
      <c r="FV163" s="358"/>
      <c r="FW163" s="358"/>
      <c r="FX163" s="358"/>
      <c r="FY163" s="358"/>
      <c r="FZ163" s="358"/>
      <c r="GA163" s="358"/>
      <c r="GB163" s="358"/>
      <c r="GC163" s="358"/>
      <c r="GD163" s="358"/>
      <c r="GE163" s="358"/>
      <c r="GF163" s="358"/>
      <c r="GG163" s="358"/>
      <c r="GH163" s="358"/>
      <c r="GI163" s="358"/>
      <c r="GJ163" s="358"/>
      <c r="GK163" s="358"/>
      <c r="GL163" s="358"/>
      <c r="GM163" s="358"/>
      <c r="GN163" s="358"/>
      <c r="GO163" s="358"/>
      <c r="GP163" s="358"/>
      <c r="GQ163" s="358"/>
      <c r="GR163" s="358"/>
      <c r="GS163" s="358"/>
      <c r="GT163" s="358"/>
      <c r="GU163" s="358"/>
      <c r="GV163" s="358"/>
      <c r="GW163" s="358"/>
      <c r="GX163" s="358"/>
      <c r="GY163" s="358"/>
      <c r="GZ163" s="358"/>
      <c r="HA163" s="358"/>
      <c r="HB163" s="358"/>
      <c r="HC163" s="358"/>
      <c r="HD163" s="358"/>
      <c r="HE163" s="358"/>
      <c r="HF163" s="358"/>
      <c r="HG163" s="358"/>
      <c r="HH163" s="358"/>
      <c r="HI163" s="358"/>
      <c r="HJ163" s="358"/>
      <c r="HK163" s="358"/>
      <c r="HL163" s="358"/>
      <c r="HM163" s="358"/>
      <c r="HN163" s="358"/>
      <c r="HO163" s="358"/>
      <c r="HP163" s="358"/>
      <c r="HQ163" s="358"/>
      <c r="HR163" s="358"/>
      <c r="HS163" s="358"/>
      <c r="HT163" s="358"/>
      <c r="HU163" s="358"/>
      <c r="HV163" s="358"/>
      <c r="HW163" s="358"/>
      <c r="HX163" s="358"/>
    </row>
    <row r="164" spans="1:232" s="5" customFormat="1" ht="36.75" customHeight="1">
      <c r="A164" s="503" t="s">
        <v>423</v>
      </c>
      <c r="B164" s="1673">
        <f>B50</f>
        <v>430397.96399999998</v>
      </c>
      <c r="C164" s="1674"/>
      <c r="D164" s="1675"/>
      <c r="E164" s="1673">
        <f>E50</f>
        <v>430397.984</v>
      </c>
      <c r="F164" s="1675"/>
      <c r="G164" s="1668">
        <f>G50</f>
        <v>0.02</v>
      </c>
      <c r="H164" s="1670"/>
      <c r="I164" s="822" t="s">
        <v>471</v>
      </c>
      <c r="J164" s="506"/>
      <c r="K164" s="463"/>
      <c r="L164" s="463"/>
      <c r="M164" s="464"/>
      <c r="N164" s="464"/>
      <c r="O164" s="464"/>
      <c r="P164" s="406"/>
      <c r="Q164" s="406"/>
      <c r="R164" s="406"/>
      <c r="S164" s="406"/>
      <c r="T164" s="405"/>
      <c r="U164" s="358"/>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row>
    <row r="165" spans="1:232" s="5" customFormat="1" ht="20.100000000000001" customHeight="1">
      <c r="A165" s="503"/>
      <c r="B165" s="773"/>
      <c r="C165" s="774"/>
      <c r="D165" s="775"/>
      <c r="E165" s="773"/>
      <c r="F165" s="776"/>
      <c r="G165" s="777"/>
      <c r="H165" s="776"/>
      <c r="I165" s="562"/>
      <c r="J165" s="506"/>
      <c r="K165" s="463"/>
      <c r="L165" s="463"/>
      <c r="M165" s="464"/>
      <c r="N165" s="464"/>
      <c r="O165" s="464"/>
      <c r="P165" s="405"/>
      <c r="Q165" s="405"/>
      <c r="R165" s="405"/>
      <c r="S165" s="405"/>
      <c r="T165" s="405"/>
      <c r="U165" s="358"/>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row>
    <row r="166" spans="1:232" s="5" customFormat="1" ht="20.100000000000001" customHeight="1">
      <c r="A166" s="503"/>
      <c r="B166" s="773"/>
      <c r="C166" s="774"/>
      <c r="D166" s="775"/>
      <c r="E166" s="773"/>
      <c r="F166" s="776"/>
      <c r="G166" s="777"/>
      <c r="H166" s="776"/>
      <c r="I166" s="562"/>
      <c r="J166" s="506"/>
      <c r="K166" s="463"/>
      <c r="L166" s="463"/>
      <c r="M166" s="464"/>
      <c r="N166" s="464"/>
      <c r="O166" s="464"/>
      <c r="P166" s="405"/>
      <c r="Q166" s="405"/>
      <c r="R166" s="405"/>
      <c r="S166" s="405"/>
      <c r="T166" s="405"/>
      <c r="U166" s="358"/>
      <c r="V166" s="358"/>
      <c r="W166" s="358"/>
      <c r="X166" s="358"/>
      <c r="Y166" s="358"/>
      <c r="Z166" s="358"/>
      <c r="AA166" s="358"/>
      <c r="AB166" s="358"/>
      <c r="AC166" s="358"/>
      <c r="AD166" s="358"/>
      <c r="AE166" s="358"/>
      <c r="AF166" s="358"/>
      <c r="AG166" s="358"/>
      <c r="AH166" s="358"/>
      <c r="AI166" s="358"/>
      <c r="AJ166" s="358"/>
      <c r="AK166" s="358"/>
      <c r="AL166" s="358"/>
      <c r="AM166" s="358"/>
      <c r="AN166" s="358"/>
      <c r="AO166" s="358"/>
      <c r="AP166" s="358"/>
      <c r="AQ166" s="358"/>
      <c r="AR166" s="358"/>
      <c r="AS166" s="358"/>
      <c r="AT166" s="358"/>
      <c r="AU166" s="358"/>
      <c r="AV166" s="358"/>
      <c r="AW166" s="358"/>
      <c r="AX166" s="358"/>
      <c r="AY166" s="358"/>
      <c r="AZ166" s="358"/>
      <c r="BA166" s="358"/>
      <c r="BB166" s="358"/>
      <c r="BC166" s="358"/>
      <c r="BD166" s="358"/>
      <c r="BE166" s="358"/>
      <c r="BF166" s="358"/>
      <c r="BG166" s="358"/>
      <c r="BH166" s="358"/>
      <c r="BI166" s="358"/>
      <c r="BJ166" s="358"/>
      <c r="BK166" s="358"/>
      <c r="BL166" s="358"/>
      <c r="BM166" s="358"/>
      <c r="BN166" s="358"/>
      <c r="BO166" s="358"/>
      <c r="BP166" s="358"/>
      <c r="BQ166" s="358"/>
      <c r="BR166" s="358"/>
      <c r="BS166" s="358"/>
      <c r="BT166" s="358"/>
      <c r="BU166" s="358"/>
      <c r="BV166" s="358"/>
      <c r="BW166" s="358"/>
      <c r="BX166" s="358"/>
      <c r="BY166" s="358"/>
      <c r="BZ166" s="358"/>
      <c r="CA166" s="358"/>
      <c r="CB166" s="358"/>
      <c r="CC166" s="358"/>
      <c r="CD166" s="358"/>
      <c r="CE166" s="358"/>
      <c r="CF166" s="358"/>
      <c r="CG166" s="358"/>
      <c r="CH166" s="358"/>
      <c r="CI166" s="358"/>
      <c r="CJ166" s="358"/>
      <c r="CK166" s="358"/>
      <c r="CL166" s="358"/>
      <c r="CM166" s="358"/>
      <c r="CN166" s="358"/>
      <c r="CO166" s="358"/>
      <c r="CP166" s="358"/>
      <c r="CQ166" s="358"/>
      <c r="CR166" s="358"/>
      <c r="CS166" s="358"/>
      <c r="CT166" s="358"/>
      <c r="CU166" s="358"/>
      <c r="CV166" s="358"/>
      <c r="CW166" s="358"/>
      <c r="CX166" s="358"/>
      <c r="CY166" s="358"/>
      <c r="CZ166" s="358"/>
      <c r="DA166" s="358"/>
      <c r="DB166" s="358"/>
      <c r="DC166" s="358"/>
      <c r="DD166" s="358"/>
      <c r="DE166" s="358"/>
      <c r="DF166" s="358"/>
      <c r="DG166" s="358"/>
      <c r="DH166" s="358"/>
      <c r="DI166" s="358"/>
      <c r="DJ166" s="358"/>
      <c r="DK166" s="358"/>
      <c r="DL166" s="358"/>
      <c r="DM166" s="358"/>
      <c r="DN166" s="358"/>
      <c r="DO166" s="358"/>
      <c r="DP166" s="358"/>
      <c r="DQ166" s="358"/>
      <c r="DR166" s="358"/>
      <c r="DS166" s="358"/>
      <c r="DT166" s="358"/>
      <c r="DU166" s="358"/>
      <c r="DV166" s="358"/>
      <c r="DW166" s="358"/>
      <c r="DX166" s="358"/>
      <c r="DY166" s="358"/>
      <c r="DZ166" s="358"/>
      <c r="EA166" s="358"/>
      <c r="EB166" s="358"/>
      <c r="EC166" s="358"/>
      <c r="ED166" s="358"/>
      <c r="EE166" s="358"/>
      <c r="EF166" s="358"/>
      <c r="EG166" s="358"/>
      <c r="EH166" s="358"/>
      <c r="EI166" s="358"/>
      <c r="EJ166" s="358"/>
      <c r="EK166" s="358"/>
      <c r="EL166" s="358"/>
      <c r="EM166" s="358"/>
      <c r="EN166" s="358"/>
      <c r="EO166" s="358"/>
      <c r="EP166" s="358"/>
      <c r="EQ166" s="358"/>
      <c r="ER166" s="358"/>
      <c r="ES166" s="358"/>
      <c r="ET166" s="358"/>
      <c r="EU166" s="358"/>
      <c r="EV166" s="358"/>
      <c r="EW166" s="358"/>
      <c r="EX166" s="358"/>
      <c r="EY166" s="358"/>
      <c r="EZ166" s="358"/>
      <c r="FA166" s="358"/>
      <c r="FB166" s="358"/>
      <c r="FC166" s="358"/>
      <c r="FD166" s="358"/>
      <c r="FE166" s="358"/>
      <c r="FF166" s="358"/>
      <c r="FG166" s="358"/>
      <c r="FH166" s="358"/>
      <c r="FI166" s="358"/>
      <c r="FJ166" s="358"/>
      <c r="FK166" s="358"/>
      <c r="FL166" s="358"/>
      <c r="FM166" s="358"/>
      <c r="FN166" s="358"/>
      <c r="FO166" s="358"/>
      <c r="FP166" s="358"/>
      <c r="FQ166" s="358"/>
      <c r="FR166" s="358"/>
      <c r="FS166" s="358"/>
      <c r="FT166" s="358"/>
      <c r="FU166" s="358"/>
      <c r="FV166" s="358"/>
      <c r="FW166" s="358"/>
      <c r="FX166" s="358"/>
      <c r="FY166" s="358"/>
      <c r="FZ166" s="358"/>
      <c r="GA166" s="358"/>
      <c r="GB166" s="358"/>
      <c r="GC166" s="358"/>
      <c r="GD166" s="358"/>
      <c r="GE166" s="358"/>
      <c r="GF166" s="358"/>
      <c r="GG166" s="358"/>
      <c r="GH166" s="358"/>
      <c r="GI166" s="358"/>
      <c r="GJ166" s="358"/>
      <c r="GK166" s="358"/>
      <c r="GL166" s="358"/>
      <c r="GM166" s="358"/>
      <c r="GN166" s="358"/>
      <c r="GO166" s="358"/>
      <c r="GP166" s="358"/>
      <c r="GQ166" s="358"/>
      <c r="GR166" s="358"/>
      <c r="GS166" s="358"/>
      <c r="GT166" s="358"/>
      <c r="GU166" s="358"/>
      <c r="GV166" s="358"/>
      <c r="GW166" s="358"/>
      <c r="GX166" s="358"/>
      <c r="GY166" s="358"/>
      <c r="GZ166" s="358"/>
      <c r="HA166" s="358"/>
      <c r="HB166" s="358"/>
      <c r="HC166" s="358"/>
      <c r="HD166" s="358"/>
      <c r="HE166" s="358"/>
      <c r="HF166" s="358"/>
      <c r="HG166" s="358"/>
      <c r="HH166" s="358"/>
      <c r="HI166" s="358"/>
      <c r="HJ166" s="358"/>
      <c r="HK166" s="358"/>
      <c r="HL166" s="358"/>
      <c r="HM166" s="358"/>
      <c r="HN166" s="358"/>
      <c r="HO166" s="358"/>
      <c r="HP166" s="358"/>
      <c r="HQ166" s="358"/>
      <c r="HR166" s="358"/>
      <c r="HS166" s="358"/>
      <c r="HT166" s="358"/>
      <c r="HU166" s="358"/>
      <c r="HV166" s="358"/>
      <c r="HW166" s="358"/>
      <c r="HX166" s="358"/>
    </row>
    <row r="167" spans="1:232" s="5" customFormat="1" ht="20.100000000000001" customHeight="1">
      <c r="A167" s="521"/>
      <c r="B167" s="522"/>
      <c r="C167" s="522"/>
      <c r="D167" s="522"/>
      <c r="E167" s="522"/>
      <c r="F167" s="523"/>
      <c r="G167" s="523"/>
      <c r="H167" s="523"/>
      <c r="J167" s="502"/>
      <c r="K167" s="463"/>
      <c r="L167" s="463"/>
      <c r="M167" s="464"/>
      <c r="N167" s="464"/>
      <c r="O167" s="464"/>
      <c r="P167" s="405"/>
      <c r="Q167" s="405"/>
      <c r="R167" s="405"/>
      <c r="S167" s="405"/>
      <c r="T167" s="405"/>
      <c r="U167" s="358"/>
      <c r="V167" s="358"/>
      <c r="W167" s="358"/>
      <c r="X167" s="358"/>
      <c r="Y167" s="358"/>
      <c r="Z167" s="358"/>
      <c r="AA167" s="358"/>
      <c r="AB167" s="358"/>
      <c r="AC167" s="358"/>
      <c r="AD167" s="358"/>
      <c r="AE167" s="358"/>
      <c r="AF167" s="358"/>
      <c r="AG167" s="358"/>
      <c r="AH167" s="358"/>
      <c r="AI167" s="358"/>
      <c r="AJ167" s="358"/>
      <c r="AK167" s="358"/>
      <c r="AL167" s="358"/>
      <c r="AM167" s="358"/>
      <c r="AN167" s="358"/>
      <c r="AO167" s="358"/>
      <c r="AP167" s="358"/>
      <c r="AQ167" s="358"/>
      <c r="AR167" s="358"/>
      <c r="AS167" s="358"/>
      <c r="AT167" s="358"/>
      <c r="AU167" s="358"/>
      <c r="AV167" s="358"/>
      <c r="AW167" s="358"/>
      <c r="AX167" s="358"/>
      <c r="AY167" s="358"/>
      <c r="AZ167" s="358"/>
      <c r="BA167" s="358"/>
      <c r="BB167" s="358"/>
      <c r="BC167" s="358"/>
      <c r="BD167" s="358"/>
      <c r="BE167" s="358"/>
      <c r="BF167" s="358"/>
      <c r="BG167" s="358"/>
      <c r="BH167" s="358"/>
      <c r="BI167" s="358"/>
      <c r="BJ167" s="358"/>
      <c r="BK167" s="358"/>
      <c r="BL167" s="358"/>
      <c r="BM167" s="358"/>
      <c r="BN167" s="358"/>
      <c r="BO167" s="358"/>
      <c r="BP167" s="358"/>
      <c r="BQ167" s="358"/>
      <c r="BR167" s="358"/>
      <c r="BS167" s="358"/>
      <c r="BT167" s="358"/>
      <c r="BU167" s="358"/>
      <c r="BV167" s="358"/>
      <c r="BW167" s="358"/>
      <c r="BX167" s="358"/>
      <c r="BY167" s="358"/>
      <c r="BZ167" s="358"/>
      <c r="CA167" s="358"/>
      <c r="CB167" s="358"/>
      <c r="CC167" s="358"/>
      <c r="CD167" s="358"/>
      <c r="CE167" s="358"/>
      <c r="CF167" s="358"/>
      <c r="CG167" s="358"/>
      <c r="CH167" s="358"/>
      <c r="CI167" s="358"/>
      <c r="CJ167" s="358"/>
      <c r="CK167" s="358"/>
      <c r="CL167" s="358"/>
      <c r="CM167" s="358"/>
      <c r="CN167" s="358"/>
      <c r="CO167" s="358"/>
      <c r="CP167" s="358"/>
      <c r="CQ167" s="358"/>
      <c r="CR167" s="358"/>
      <c r="CS167" s="358"/>
      <c r="CT167" s="358"/>
      <c r="CU167" s="358"/>
      <c r="CV167" s="358"/>
      <c r="CW167" s="358"/>
      <c r="CX167" s="358"/>
      <c r="CY167" s="358"/>
      <c r="CZ167" s="358"/>
      <c r="DA167" s="358"/>
      <c r="DB167" s="358"/>
      <c r="DC167" s="358"/>
      <c r="DD167" s="358"/>
      <c r="DE167" s="358"/>
      <c r="DF167" s="358"/>
      <c r="DG167" s="358"/>
      <c r="DH167" s="358"/>
      <c r="DI167" s="358"/>
      <c r="DJ167" s="358"/>
      <c r="DK167" s="358"/>
      <c r="DL167" s="358"/>
      <c r="DM167" s="358"/>
      <c r="DN167" s="358"/>
      <c r="DO167" s="358"/>
      <c r="DP167" s="358"/>
      <c r="DQ167" s="358"/>
      <c r="DR167" s="358"/>
      <c r="DS167" s="358"/>
      <c r="DT167" s="358"/>
      <c r="DU167" s="358"/>
      <c r="DV167" s="358"/>
      <c r="DW167" s="358"/>
      <c r="DX167" s="358"/>
      <c r="DY167" s="358"/>
      <c r="DZ167" s="358"/>
      <c r="EA167" s="358"/>
      <c r="EB167" s="358"/>
      <c r="EC167" s="358"/>
      <c r="ED167" s="358"/>
      <c r="EE167" s="358"/>
      <c r="EF167" s="358"/>
      <c r="EG167" s="358"/>
      <c r="EH167" s="358"/>
      <c r="EI167" s="358"/>
      <c r="EJ167" s="358"/>
      <c r="EK167" s="358"/>
      <c r="EL167" s="358"/>
      <c r="EM167" s="358"/>
      <c r="EN167" s="358"/>
      <c r="EO167" s="358"/>
      <c r="EP167" s="358"/>
      <c r="EQ167" s="358"/>
      <c r="ER167" s="358"/>
      <c r="ES167" s="358"/>
      <c r="ET167" s="358"/>
      <c r="EU167" s="358"/>
      <c r="EV167" s="358"/>
      <c r="EW167" s="358"/>
      <c r="EX167" s="358"/>
      <c r="EY167" s="358"/>
      <c r="EZ167" s="358"/>
      <c r="FA167" s="358"/>
      <c r="FB167" s="358"/>
      <c r="FC167" s="358"/>
      <c r="FD167" s="358"/>
      <c r="FE167" s="358"/>
      <c r="FF167" s="358"/>
      <c r="FG167" s="358"/>
      <c r="FH167" s="358"/>
      <c r="FI167" s="358"/>
      <c r="FJ167" s="358"/>
      <c r="FK167" s="358"/>
      <c r="FL167" s="358"/>
      <c r="FM167" s="358"/>
      <c r="FN167" s="358"/>
      <c r="FO167" s="358"/>
      <c r="FP167" s="358"/>
      <c r="FQ167" s="358"/>
      <c r="FR167" s="358"/>
      <c r="FS167" s="358"/>
      <c r="FT167" s="358"/>
      <c r="FU167" s="358"/>
      <c r="FV167" s="358"/>
      <c r="FW167" s="358"/>
      <c r="FX167" s="358"/>
      <c r="FY167" s="358"/>
      <c r="FZ167" s="358"/>
      <c r="GA167" s="358"/>
      <c r="GB167" s="358"/>
      <c r="GC167" s="358"/>
      <c r="GD167" s="358"/>
      <c r="GE167" s="358"/>
      <c r="GF167" s="358"/>
      <c r="GG167" s="358"/>
      <c r="GH167" s="358"/>
      <c r="GI167" s="358"/>
      <c r="GJ167" s="358"/>
      <c r="GK167" s="358"/>
      <c r="GL167" s="358"/>
      <c r="GM167" s="358"/>
      <c r="GN167" s="358"/>
      <c r="GO167" s="358"/>
      <c r="GP167" s="358"/>
      <c r="GQ167" s="358"/>
      <c r="GR167" s="358"/>
      <c r="GS167" s="358"/>
      <c r="GT167" s="358"/>
      <c r="GU167" s="358"/>
      <c r="GV167" s="358"/>
      <c r="GW167" s="358"/>
      <c r="GX167" s="358"/>
      <c r="GY167" s="358"/>
      <c r="GZ167" s="358"/>
      <c r="HA167" s="358"/>
      <c r="HB167" s="358"/>
      <c r="HC167" s="358"/>
      <c r="HD167" s="358"/>
      <c r="HE167" s="358"/>
      <c r="HF167" s="358"/>
      <c r="HG167" s="358"/>
      <c r="HH167" s="358"/>
      <c r="HI167" s="358"/>
      <c r="HJ167" s="358"/>
      <c r="HK167" s="358"/>
      <c r="HL167" s="358"/>
      <c r="HM167" s="358"/>
      <c r="HN167" s="358"/>
      <c r="HO167" s="358"/>
      <c r="HP167" s="358"/>
      <c r="HQ167" s="358"/>
      <c r="HR167" s="358"/>
      <c r="HS167" s="358"/>
      <c r="HT167" s="358"/>
      <c r="HU167" s="358"/>
      <c r="HV167" s="358"/>
      <c r="HW167" s="358"/>
      <c r="HX167" s="358"/>
    </row>
    <row r="168" spans="1:232" ht="20.100000000000001" customHeight="1">
      <c r="A168" s="1595" t="s">
        <v>1042</v>
      </c>
      <c r="B168" s="1595"/>
      <c r="C168" s="1595"/>
      <c r="D168" s="1595"/>
      <c r="E168" s="1595"/>
      <c r="F168" s="1595"/>
      <c r="G168" s="1595"/>
      <c r="H168" s="1595"/>
      <c r="I168" s="1595"/>
      <c r="J168" s="1595"/>
      <c r="P168" s="405"/>
      <c r="Q168" s="405"/>
      <c r="R168" s="405"/>
      <c r="S168" s="405"/>
    </row>
    <row r="169" spans="1:232" ht="20.100000000000001" customHeight="1">
      <c r="A169" s="1596" t="s">
        <v>121</v>
      </c>
      <c r="B169" s="1596"/>
      <c r="C169" s="1596"/>
      <c r="D169" s="1596"/>
      <c r="E169" s="1596"/>
      <c r="F169" s="1596"/>
      <c r="G169" s="1596"/>
      <c r="H169" s="1596"/>
      <c r="I169" s="1596"/>
      <c r="J169" s="1596"/>
    </row>
    <row r="170" spans="1:232" ht="20.100000000000001" customHeight="1">
      <c r="A170" s="1600" t="s">
        <v>917</v>
      </c>
      <c r="B170" s="1600"/>
      <c r="C170" s="1600"/>
      <c r="D170" s="1600"/>
      <c r="E170" s="1600"/>
      <c r="F170" s="1600"/>
      <c r="G170" s="1600"/>
      <c r="H170" s="1600"/>
      <c r="I170" s="1600"/>
      <c r="J170" s="1600"/>
    </row>
    <row r="171" spans="1:232" ht="20.100000000000001" customHeight="1">
      <c r="A171" s="1595"/>
      <c r="B171" s="1595"/>
      <c r="C171" s="1595"/>
      <c r="D171" s="1595"/>
      <c r="E171" s="1595"/>
      <c r="F171" s="1595"/>
      <c r="G171" s="1595"/>
      <c r="H171" s="1595"/>
      <c r="I171" s="1595"/>
      <c r="J171" s="1595"/>
    </row>
    <row r="172" spans="1:232" ht="20.100000000000001" customHeight="1">
      <c r="A172" s="1672" t="s">
        <v>820</v>
      </c>
      <c r="B172" s="1672"/>
      <c r="C172" s="1672"/>
      <c r="D172" s="1672"/>
      <c r="E172" s="1599" t="s">
        <v>186</v>
      </c>
      <c r="F172" s="1599"/>
      <c r="G172" s="1599"/>
      <c r="H172" s="640" t="s">
        <v>5</v>
      </c>
      <c r="I172" s="507"/>
      <c r="J172" s="507"/>
    </row>
    <row r="173" spans="1:232" ht="20.100000000000001" customHeight="1">
      <c r="I173" s="640"/>
      <c r="J173" s="640"/>
    </row>
    <row r="174" spans="1:232" ht="20.100000000000001" customHeight="1">
      <c r="A174" s="640"/>
      <c r="B174" s="640"/>
      <c r="C174" s="640"/>
      <c r="D174" s="640"/>
      <c r="E174" s="640"/>
      <c r="F174" s="640"/>
      <c r="G174" s="640"/>
      <c r="H174" s="640"/>
      <c r="I174" s="640"/>
      <c r="J174" s="640"/>
    </row>
    <row r="175" spans="1:232" ht="20.100000000000001" customHeight="1">
      <c r="A175" s="640"/>
      <c r="B175" s="640"/>
      <c r="C175" s="640"/>
      <c r="D175" s="640"/>
      <c r="E175" s="640"/>
      <c r="F175" s="640"/>
      <c r="G175" s="640"/>
      <c r="H175" s="640"/>
      <c r="I175" s="640"/>
      <c r="J175" s="640"/>
    </row>
    <row r="176" spans="1:232" ht="20.100000000000001" customHeight="1">
      <c r="A176" s="640"/>
      <c r="B176" s="640"/>
      <c r="C176" s="640"/>
      <c r="D176" s="640"/>
      <c r="E176" s="640"/>
      <c r="F176" s="640"/>
      <c r="G176" s="640"/>
      <c r="H176" s="640"/>
      <c r="I176" s="640"/>
      <c r="J176" s="640"/>
    </row>
    <row r="177" spans="1:10" ht="20.100000000000001" customHeight="1">
      <c r="A177" s="640"/>
      <c r="B177" s="640"/>
      <c r="C177" s="640"/>
      <c r="D177" s="640"/>
      <c r="E177" s="640"/>
      <c r="F177" s="640"/>
      <c r="G177" s="640"/>
      <c r="H177" s="640"/>
      <c r="I177" s="640"/>
      <c r="J177" s="640"/>
    </row>
    <row r="178" spans="1:10" ht="20.100000000000001" customHeight="1">
      <c r="A178" s="640"/>
      <c r="B178" s="640"/>
      <c r="C178" s="640"/>
      <c r="D178" s="640"/>
      <c r="E178" s="640"/>
      <c r="F178" s="640"/>
      <c r="G178" s="640"/>
      <c r="H178" s="640"/>
      <c r="I178" s="640"/>
      <c r="J178" s="640"/>
    </row>
    <row r="179" spans="1:10" ht="20.100000000000001" customHeight="1">
      <c r="A179" s="508"/>
      <c r="B179" s="508"/>
      <c r="C179" s="508"/>
      <c r="D179" s="508"/>
      <c r="E179" s="508"/>
      <c r="F179" s="508"/>
      <c r="G179" s="508"/>
      <c r="H179" s="508"/>
      <c r="I179" s="508"/>
      <c r="J179" s="508"/>
    </row>
  </sheetData>
  <mergeCells count="146">
    <mergeCell ref="A168:J168"/>
    <mergeCell ref="A169:J169"/>
    <mergeCell ref="A170:J170"/>
    <mergeCell ref="A171:J171"/>
    <mergeCell ref="A172:D172"/>
    <mergeCell ref="E172:G172"/>
    <mergeCell ref="G162:H162"/>
    <mergeCell ref="B163:D163"/>
    <mergeCell ref="E163:F163"/>
    <mergeCell ref="G163:H163"/>
    <mergeCell ref="B164:D164"/>
    <mergeCell ref="E164:F164"/>
    <mergeCell ref="G164:H164"/>
    <mergeCell ref="B148:J148"/>
    <mergeCell ref="B149:J149"/>
    <mergeCell ref="A156:J156"/>
    <mergeCell ref="A157:J157"/>
    <mergeCell ref="A158:J158"/>
    <mergeCell ref="A160:A162"/>
    <mergeCell ref="B160:H161"/>
    <mergeCell ref="I160:J160"/>
    <mergeCell ref="B162:D162"/>
    <mergeCell ref="E162:F162"/>
    <mergeCell ref="E137:J137"/>
    <mergeCell ref="A139:J139"/>
    <mergeCell ref="A140:J140"/>
    <mergeCell ref="A142:J142"/>
    <mergeCell ref="B146:J146"/>
    <mergeCell ref="B147:J147"/>
    <mergeCell ref="F131:J131"/>
    <mergeCell ref="A132:J132"/>
    <mergeCell ref="F133:J133"/>
    <mergeCell ref="F134:J134"/>
    <mergeCell ref="A135:J135"/>
    <mergeCell ref="E136:J136"/>
    <mergeCell ref="A127:E127"/>
    <mergeCell ref="F127:J127"/>
    <mergeCell ref="A128:E128"/>
    <mergeCell ref="F128:J128"/>
    <mergeCell ref="A129:J129"/>
    <mergeCell ref="A130:E130"/>
    <mergeCell ref="F130:J130"/>
    <mergeCell ref="C120:J120"/>
    <mergeCell ref="C121:J121"/>
    <mergeCell ref="C122:J122"/>
    <mergeCell ref="A123:J123"/>
    <mergeCell ref="A124:J124"/>
    <mergeCell ref="A125:J125"/>
    <mergeCell ref="A112:J112"/>
    <mergeCell ref="A113:J113"/>
    <mergeCell ref="A114:J114"/>
    <mergeCell ref="A116:J116"/>
    <mergeCell ref="A117:J117"/>
    <mergeCell ref="C119:J119"/>
    <mergeCell ref="A106:G106"/>
    <mergeCell ref="A107:G107"/>
    <mergeCell ref="A108:G108"/>
    <mergeCell ref="A109:G109"/>
    <mergeCell ref="H109:J109"/>
    <mergeCell ref="A111:J111"/>
    <mergeCell ref="A101:F101"/>
    <mergeCell ref="A102:F102"/>
    <mergeCell ref="H102:J102"/>
    <mergeCell ref="A103:G103"/>
    <mergeCell ref="A104:G104"/>
    <mergeCell ref="A105:G105"/>
    <mergeCell ref="F96:J97"/>
    <mergeCell ref="A98:C100"/>
    <mergeCell ref="D98:E98"/>
    <mergeCell ref="F98:J98"/>
    <mergeCell ref="D99:D100"/>
    <mergeCell ref="E99:E100"/>
    <mergeCell ref="F99:J100"/>
    <mergeCell ref="C84:J84"/>
    <mergeCell ref="C85:J85"/>
    <mergeCell ref="A89:J89"/>
    <mergeCell ref="A90:B90"/>
    <mergeCell ref="D91:F91"/>
    <mergeCell ref="A95:C97"/>
    <mergeCell ref="D95:E95"/>
    <mergeCell ref="F95:J95"/>
    <mergeCell ref="D96:D97"/>
    <mergeCell ref="E96:E97"/>
    <mergeCell ref="F77:J77"/>
    <mergeCell ref="A78:J78"/>
    <mergeCell ref="A80:J80"/>
    <mergeCell ref="A81:J81"/>
    <mergeCell ref="C82:J82"/>
    <mergeCell ref="C83:J83"/>
    <mergeCell ref="F59:G59"/>
    <mergeCell ref="H59:J59"/>
    <mergeCell ref="A75:E75"/>
    <mergeCell ref="F75:J75"/>
    <mergeCell ref="A76:E76"/>
    <mergeCell ref="F76:J76"/>
    <mergeCell ref="A53:J53"/>
    <mergeCell ref="A54:J54"/>
    <mergeCell ref="A55:J55"/>
    <mergeCell ref="A56:J56"/>
    <mergeCell ref="A58:E58"/>
    <mergeCell ref="F58:J58"/>
    <mergeCell ref="B49:D49"/>
    <mergeCell ref="E49:F49"/>
    <mergeCell ref="G49:H49"/>
    <mergeCell ref="B50:D50"/>
    <mergeCell ref="E50:F50"/>
    <mergeCell ref="G50:H50"/>
    <mergeCell ref="B36:J36"/>
    <mergeCell ref="A43:J43"/>
    <mergeCell ref="A44:J44"/>
    <mergeCell ref="A46:A48"/>
    <mergeCell ref="B46:H47"/>
    <mergeCell ref="I46:J46"/>
    <mergeCell ref="B48:D48"/>
    <mergeCell ref="E48:F48"/>
    <mergeCell ref="G48:H48"/>
    <mergeCell ref="E24:J24"/>
    <mergeCell ref="A26:J26"/>
    <mergeCell ref="A27:J27"/>
    <mergeCell ref="A28:J28"/>
    <mergeCell ref="A29:J29"/>
    <mergeCell ref="B35:J35"/>
    <mergeCell ref="A20:E20"/>
    <mergeCell ref="F20:J20"/>
    <mergeCell ref="A21:E21"/>
    <mergeCell ref="F21:J21"/>
    <mergeCell ref="A22:J22"/>
    <mergeCell ref="E23:J23"/>
    <mergeCell ref="A18:E18"/>
    <mergeCell ref="F18:J18"/>
    <mergeCell ref="A19:J19"/>
    <mergeCell ref="C9:J9"/>
    <mergeCell ref="C10:J10"/>
    <mergeCell ref="C11:J11"/>
    <mergeCell ref="C12:J12"/>
    <mergeCell ref="A13:J13"/>
    <mergeCell ref="A14:J14"/>
    <mergeCell ref="A1:J1"/>
    <mergeCell ref="A2:J2"/>
    <mergeCell ref="A3:J3"/>
    <mergeCell ref="A4:J4"/>
    <mergeCell ref="A6:J6"/>
    <mergeCell ref="A7:J7"/>
    <mergeCell ref="A15:J15"/>
    <mergeCell ref="A17:E17"/>
    <mergeCell ref="F17:J17"/>
  </mergeCells>
  <printOptions horizontalCentered="1"/>
  <pageMargins left="0.70866141732283472" right="0" top="0.51181102362204722" bottom="0.51181102362204722" header="0.31496062992125984" footer="0.31496062992125984"/>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177"/>
  <sheetViews>
    <sheetView view="pageBreakPreview" topLeftCell="A127" zoomScaleNormal="100" zoomScaleSheetLayoutView="100" workbookViewId="0">
      <selection activeCell="A5" sqref="A5:J5"/>
    </sheetView>
  </sheetViews>
  <sheetFormatPr defaultRowHeight="15"/>
  <cols>
    <col min="1" max="1" width="5.140625" style="463" customWidth="1"/>
    <col min="2" max="2" width="12.42578125" style="463" customWidth="1"/>
    <col min="3" max="3" width="10.140625" style="463" customWidth="1"/>
    <col min="4" max="4" width="8.5703125" style="463" customWidth="1"/>
    <col min="5" max="5" width="13" style="463" customWidth="1"/>
    <col min="6" max="6" width="9.7109375" style="463" customWidth="1"/>
    <col min="7" max="7" width="8" style="463" customWidth="1"/>
    <col min="8" max="8" width="9.42578125" style="463" customWidth="1"/>
    <col min="9" max="9" width="9.7109375" style="463" customWidth="1"/>
    <col min="10" max="10" width="9.42578125" style="463" customWidth="1"/>
    <col min="11" max="12" width="9.140625" style="463"/>
    <col min="13" max="13" width="8.5703125" style="464" customWidth="1"/>
    <col min="14" max="14" width="24.7109375" style="464" bestFit="1" customWidth="1"/>
    <col min="15" max="15" width="18" style="464" customWidth="1"/>
    <col min="16" max="16" width="18.42578125" style="464" customWidth="1"/>
    <col min="17" max="24" width="9.140625" style="464"/>
    <col min="25" max="30" width="9.140625" style="468"/>
    <col min="31" max="16384" width="9.140625" style="463"/>
  </cols>
  <sheetData>
    <row r="1" spans="1:30" ht="20.100000000000001" customHeight="1">
      <c r="A1" s="1682" t="s">
        <v>77</v>
      </c>
      <c r="B1" s="1682"/>
      <c r="C1" s="1682"/>
      <c r="D1" s="1682"/>
      <c r="E1" s="1682"/>
      <c r="F1" s="1682"/>
      <c r="G1" s="1682"/>
      <c r="H1" s="1682"/>
      <c r="I1" s="1682"/>
      <c r="J1" s="1682"/>
      <c r="L1" s="464" t="s">
        <v>78</v>
      </c>
      <c r="M1" s="465"/>
      <c r="O1" s="466" t="s">
        <v>79</v>
      </c>
      <c r="P1" s="466"/>
      <c r="Q1" s="467"/>
      <c r="V1" s="467"/>
    </row>
    <row r="2" spans="1:30" ht="20.100000000000001" customHeight="1">
      <c r="A2" s="1683" t="s">
        <v>80</v>
      </c>
      <c r="B2" s="1683"/>
      <c r="C2" s="1683"/>
      <c r="D2" s="1683"/>
      <c r="E2" s="1683"/>
      <c r="F2" s="1683"/>
      <c r="G2" s="1683"/>
      <c r="H2" s="1683"/>
      <c r="I2" s="1683"/>
      <c r="J2" s="1683"/>
      <c r="L2" s="467" t="s">
        <v>81</v>
      </c>
      <c r="N2" s="467" t="str">
        <f>'2. NK'!$D$10</f>
        <v>B1</v>
      </c>
      <c r="O2" s="466" t="s">
        <v>346</v>
      </c>
      <c r="P2" s="466"/>
      <c r="Q2" s="467"/>
      <c r="V2" s="467"/>
    </row>
    <row r="3" spans="1:30" ht="20.100000000000001" customHeight="1">
      <c r="A3" s="1616" t="s">
        <v>82</v>
      </c>
      <c r="B3" s="1616"/>
      <c r="C3" s="1616"/>
      <c r="D3" s="1616"/>
      <c r="E3" s="1616"/>
      <c r="F3" s="1616"/>
      <c r="G3" s="1616"/>
      <c r="H3" s="1616"/>
      <c r="I3" s="1616"/>
      <c r="J3" s="1616"/>
      <c r="L3" s="469" t="s">
        <v>83</v>
      </c>
      <c r="N3" s="467" t="str">
        <f>'2. NK'!$R$12</f>
        <v>Tại công trình</v>
      </c>
      <c r="P3" s="467"/>
      <c r="V3" s="467"/>
    </row>
    <row r="4" spans="1:30" ht="20.100000000000001" customHeight="1">
      <c r="A4" s="1684" t="str">
        <f>'8'!A4</f>
        <v>Quảng Ninh, ngày……..tháng…….năm 2016</v>
      </c>
      <c r="B4" s="1684"/>
      <c r="C4" s="1684"/>
      <c r="D4" s="1684"/>
      <c r="E4" s="1684"/>
      <c r="F4" s="1684"/>
      <c r="G4" s="1684"/>
      <c r="H4" s="1684"/>
      <c r="I4" s="1684"/>
      <c r="J4" s="1684"/>
      <c r="L4" s="469" t="s">
        <v>84</v>
      </c>
      <c r="N4" s="467" t="str">
        <f>'2. NK'!$D$10&amp;"/"&amp;'2. NK'!$H$10</f>
        <v>B1/800</v>
      </c>
      <c r="O4" s="466" t="s">
        <v>85</v>
      </c>
      <c r="P4" s="466"/>
      <c r="Q4" s="467"/>
    </row>
    <row r="5" spans="1:30" ht="20.100000000000001" customHeight="1">
      <c r="A5" s="1685" t="s">
        <v>86</v>
      </c>
      <c r="B5" s="1618"/>
      <c r="C5" s="1618"/>
      <c r="D5" s="1618"/>
      <c r="E5" s="1618"/>
      <c r="F5" s="1618"/>
      <c r="G5" s="1618"/>
      <c r="H5" s="1618"/>
      <c r="I5" s="1618"/>
      <c r="J5" s="1618"/>
      <c r="L5" s="469" t="s">
        <v>36</v>
      </c>
      <c r="N5" s="467"/>
      <c r="P5" s="466"/>
      <c r="Q5" s="466"/>
    </row>
    <row r="6" spans="1:30" ht="20.100000000000001" customHeight="1">
      <c r="A6" s="1686" t="str">
        <f>"SỐ: TGHL-HT-CWI-C&amp;S-"&amp;N4</f>
        <v>SỐ: TGHL-HT-CWI-C&amp;S-B1/800</v>
      </c>
      <c r="B6" s="1686"/>
      <c r="C6" s="1686"/>
      <c r="D6" s="1686"/>
      <c r="E6" s="1686"/>
      <c r="F6" s="1686"/>
      <c r="G6" s="1686"/>
      <c r="H6" s="1686"/>
      <c r="I6" s="1686"/>
      <c r="J6" s="1686"/>
      <c r="M6" s="469" t="s">
        <v>87</v>
      </c>
      <c r="N6" s="470">
        <v>0</v>
      </c>
      <c r="O6" s="466"/>
      <c r="P6" s="466"/>
      <c r="Q6" s="466"/>
    </row>
    <row r="7" spans="1:30" s="472" customFormat="1" ht="20.100000000000001" customHeight="1">
      <c r="A7" s="471"/>
      <c r="B7" s="471"/>
      <c r="C7" s="471"/>
      <c r="D7" s="471"/>
      <c r="E7" s="471"/>
      <c r="F7" s="471"/>
      <c r="G7" s="471"/>
      <c r="H7" s="471"/>
      <c r="I7" s="471"/>
      <c r="J7" s="471"/>
      <c r="L7" s="463"/>
      <c r="M7" s="469" t="s">
        <v>354</v>
      </c>
      <c r="N7" s="473">
        <v>0</v>
      </c>
      <c r="O7" s="466"/>
      <c r="P7" s="466"/>
      <c r="Q7" s="467"/>
      <c r="R7" s="464"/>
      <c r="S7" s="464"/>
      <c r="T7" s="464"/>
      <c r="U7" s="474"/>
      <c r="V7" s="474"/>
      <c r="W7" s="474"/>
      <c r="X7" s="474"/>
      <c r="Y7" s="475"/>
      <c r="Z7" s="475"/>
      <c r="AA7" s="475"/>
      <c r="AB7" s="475"/>
      <c r="AC7" s="475"/>
      <c r="AD7" s="475"/>
    </row>
    <row r="8" spans="1:30" ht="35.1" customHeight="1">
      <c r="A8" s="760" t="str">
        <f>'[6]7. BBNT-TOADOCOC'!A9</f>
        <v>DỰ ÁN:</v>
      </c>
      <c r="B8" s="778"/>
      <c r="C8" s="1681" t="str">
        <f>'[6]7. BBNT-TOADOCOC'!C9:J9</f>
        <v>KHU HỖN HỢP CHUNG CƯ, VĂN PHÒNG, TRUNG TÂM THƯƠNG MẠI VÀ NHÀ Ở KẾT HỢP KHU MUA SẮM</v>
      </c>
      <c r="D8" s="1681"/>
      <c r="E8" s="1681"/>
      <c r="F8" s="1681"/>
      <c r="G8" s="1681"/>
      <c r="H8" s="1681"/>
      <c r="I8" s="1681"/>
      <c r="J8" s="1681"/>
      <c r="L8" s="469" t="s">
        <v>88</v>
      </c>
      <c r="M8" s="467"/>
      <c r="N8" s="467"/>
      <c r="O8" s="466" t="s">
        <v>197</v>
      </c>
      <c r="P8" s="466"/>
      <c r="Q8" s="466"/>
    </row>
    <row r="9" spans="1:30" ht="20.100000000000001" customHeight="1">
      <c r="A9" s="760" t="str">
        <f>'[6]7. BBNT-TOADOCOC'!A10</f>
        <v>CÔNG TRÌNH:</v>
      </c>
      <c r="B9" s="778"/>
      <c r="C9" s="1681" t="str">
        <f>'[6]7. BBNT-TOADOCOC'!C10:J10</f>
        <v>KHU HỖN HỢP CHUNG CƯ, VĂN PHÒNG, TTTM</v>
      </c>
      <c r="D9" s="1681"/>
      <c r="E9" s="1681"/>
      <c r="F9" s="1681"/>
      <c r="G9" s="1681"/>
      <c r="H9" s="1681"/>
      <c r="I9" s="1681"/>
      <c r="J9" s="1681"/>
      <c r="L9" s="469"/>
      <c r="M9" s="467"/>
      <c r="N9" s="467"/>
      <c r="O9" s="478"/>
      <c r="P9" s="466"/>
      <c r="Q9" s="466"/>
    </row>
    <row r="10" spans="1:30" ht="20.100000000000001" customHeight="1">
      <c r="A10" s="760" t="str">
        <f>'[6]7. BBNT-TOADOCOC'!A11</f>
        <v>GÓI THẦU :</v>
      </c>
      <c r="B10" s="778"/>
      <c r="C10" s="1681" t="str">
        <f>'[6]7. BBNT-TOADOCOC'!C11:J11</f>
        <v>THI CÔNG CỌC KHOAN NHỒI</v>
      </c>
      <c r="D10" s="1681"/>
      <c r="E10" s="1681"/>
      <c r="F10" s="1681"/>
      <c r="G10" s="1681"/>
      <c r="H10" s="1681"/>
      <c r="I10" s="1681"/>
      <c r="J10" s="1681"/>
      <c r="L10" s="469"/>
      <c r="M10" s="469" t="s">
        <v>87</v>
      </c>
      <c r="N10" s="470">
        <v>0.58333333333333337</v>
      </c>
      <c r="O10" s="478"/>
      <c r="P10" s="466"/>
      <c r="Q10" s="466"/>
    </row>
    <row r="11" spans="1:30" ht="20.100000000000001" customHeight="1">
      <c r="A11" s="760" t="str">
        <f>'[6]7. BBNT-TOADOCOC'!A12</f>
        <v>ĐỊA ĐIỂM :</v>
      </c>
      <c r="B11" s="778"/>
      <c r="C11" s="1681" t="str">
        <f>'[6]7. BBNT-TOADOCOC'!C12:J12</f>
        <v>ĐƯỜNG 25/4, P BẠCH ĐẰNG, TP. HẠ LONG, TỈNH QUẢNG NINH</v>
      </c>
      <c r="D11" s="1681"/>
      <c r="E11" s="1681"/>
      <c r="F11" s="1681"/>
      <c r="G11" s="1681"/>
      <c r="H11" s="1681"/>
      <c r="I11" s="1681"/>
      <c r="J11" s="1681"/>
      <c r="K11" s="472"/>
      <c r="L11" s="469"/>
      <c r="M11" s="469" t="s">
        <v>354</v>
      </c>
      <c r="N11" s="473">
        <f>N17</f>
        <v>42494</v>
      </c>
      <c r="O11" s="470">
        <f>(N16-N10)/3</f>
        <v>1.3888888888888876E-2</v>
      </c>
      <c r="P11" s="466"/>
      <c r="Q11" s="467"/>
    </row>
    <row r="12" spans="1:30" ht="20.100000000000001" customHeight="1">
      <c r="A12" s="1596" t="s">
        <v>89</v>
      </c>
      <c r="B12" s="1596"/>
      <c r="C12" s="1596"/>
      <c r="D12" s="1596"/>
      <c r="E12" s="1596"/>
      <c r="F12" s="1596"/>
      <c r="G12" s="1596"/>
      <c r="H12" s="1596"/>
      <c r="I12" s="1596"/>
      <c r="J12" s="1596"/>
      <c r="L12" s="469" t="s">
        <v>90</v>
      </c>
      <c r="M12" s="467"/>
      <c r="N12" s="467"/>
      <c r="O12" s="466"/>
      <c r="P12" s="479"/>
      <c r="Q12" s="469"/>
      <c r="R12" s="474"/>
      <c r="S12" s="474"/>
      <c r="T12" s="474"/>
    </row>
    <row r="13" spans="1:30" ht="20.100000000000001" customHeight="1">
      <c r="A13" s="1610" t="str">
        <f>"Cấu kiện bê tông cọc số hiệu "&amp;N2</f>
        <v>Cấu kiện bê tông cọc số hiệu B1</v>
      </c>
      <c r="B13" s="1622"/>
      <c r="C13" s="1622"/>
      <c r="D13" s="1622"/>
      <c r="E13" s="1622"/>
      <c r="F13" s="1622"/>
      <c r="G13" s="1622"/>
      <c r="H13" s="1622"/>
      <c r="I13" s="1622"/>
      <c r="J13" s="1622"/>
      <c r="L13" s="469"/>
      <c r="M13" s="469" t="s">
        <v>87</v>
      </c>
      <c r="N13" s="470">
        <f>N16-0.00694444444444444</f>
        <v>0.61805555555555558</v>
      </c>
      <c r="O13" s="478"/>
      <c r="P13" s="466"/>
      <c r="Q13" s="467"/>
    </row>
    <row r="14" spans="1:30" ht="20.100000000000001" customHeight="1">
      <c r="A14" s="1596" t="s">
        <v>859</v>
      </c>
      <c r="B14" s="1596"/>
      <c r="C14" s="1596"/>
      <c r="D14" s="1596"/>
      <c r="E14" s="1596"/>
      <c r="F14" s="1596"/>
      <c r="G14" s="1596"/>
      <c r="H14" s="1596"/>
      <c r="I14" s="1596"/>
      <c r="J14" s="1596"/>
      <c r="M14" s="469" t="s">
        <v>354</v>
      </c>
      <c r="N14" s="473">
        <f>N17</f>
        <v>42494</v>
      </c>
      <c r="O14" s="466" t="s">
        <v>91</v>
      </c>
      <c r="P14" s="466"/>
      <c r="Q14" s="466"/>
    </row>
    <row r="15" spans="1:30" ht="20.100000000000001" customHeight="1">
      <c r="A15" s="482" t="s">
        <v>860</v>
      </c>
      <c r="B15" s="118"/>
      <c r="C15" s="118"/>
      <c r="D15" s="118"/>
      <c r="E15" s="118"/>
      <c r="F15" s="483"/>
      <c r="G15" s="483"/>
      <c r="H15" s="483"/>
      <c r="I15" s="483"/>
      <c r="J15" s="483"/>
      <c r="L15" s="469" t="s">
        <v>93</v>
      </c>
      <c r="M15" s="467"/>
      <c r="N15" s="467"/>
      <c r="P15" s="466"/>
      <c r="Q15" s="466"/>
    </row>
    <row r="16" spans="1:30" ht="20.100000000000001" customHeight="1">
      <c r="A16" s="1595" t="s">
        <v>907</v>
      </c>
      <c r="B16" s="1595"/>
      <c r="C16" s="1595"/>
      <c r="D16" s="1595"/>
      <c r="E16" s="1595"/>
      <c r="F16" s="1595" t="s">
        <v>908</v>
      </c>
      <c r="G16" s="1595"/>
      <c r="H16" s="1595"/>
      <c r="I16" s="1595"/>
      <c r="J16" s="1595"/>
      <c r="M16" s="469" t="s">
        <v>87</v>
      </c>
      <c r="N16" s="545">
        <v>0.625</v>
      </c>
      <c r="O16" s="466"/>
      <c r="P16" s="466"/>
      <c r="Q16" s="466"/>
    </row>
    <row r="17" spans="1:232" ht="20.100000000000001" customHeight="1">
      <c r="A17" s="1595" t="s">
        <v>907</v>
      </c>
      <c r="B17" s="1595"/>
      <c r="C17" s="1595"/>
      <c r="D17" s="1595"/>
      <c r="E17" s="1595"/>
      <c r="F17" s="1595" t="s">
        <v>908</v>
      </c>
      <c r="G17" s="1595"/>
      <c r="H17" s="1595"/>
      <c r="I17" s="1595"/>
      <c r="J17" s="1595"/>
      <c r="M17" s="469" t="s">
        <v>354</v>
      </c>
      <c r="N17" s="546">
        <f>'2. NK'!$J$52+28</f>
        <v>42494</v>
      </c>
      <c r="O17" s="466"/>
      <c r="P17" s="466"/>
      <c r="Q17" s="466"/>
    </row>
    <row r="18" spans="1:232" ht="20.100000000000001" customHeight="1">
      <c r="A18" s="1604" t="s">
        <v>861</v>
      </c>
      <c r="B18" s="1604"/>
      <c r="C18" s="1604"/>
      <c r="D18" s="1604"/>
      <c r="E18" s="1604"/>
      <c r="F18" s="1604"/>
      <c r="G18" s="1604"/>
      <c r="H18" s="1604"/>
      <c r="I18" s="1604"/>
      <c r="J18" s="1604"/>
      <c r="N18" s="473"/>
      <c r="O18" s="466" t="s">
        <v>94</v>
      </c>
      <c r="P18" s="479"/>
      <c r="Q18" s="479"/>
    </row>
    <row r="19" spans="1:232" ht="20.100000000000001" customHeight="1">
      <c r="A19" s="1595" t="s">
        <v>907</v>
      </c>
      <c r="B19" s="1595"/>
      <c r="C19" s="1595"/>
      <c r="D19" s="1595"/>
      <c r="E19" s="1595"/>
      <c r="F19" s="1595" t="s">
        <v>909</v>
      </c>
      <c r="G19" s="1595"/>
      <c r="H19" s="1595"/>
      <c r="I19" s="1595"/>
      <c r="J19" s="1595"/>
      <c r="P19" s="479"/>
      <c r="Q19" s="479"/>
    </row>
    <row r="20" spans="1:232" ht="20.100000000000001" customHeight="1">
      <c r="A20" s="1595" t="s">
        <v>907</v>
      </c>
      <c r="B20" s="1595"/>
      <c r="C20" s="1595"/>
      <c r="D20" s="1595"/>
      <c r="E20" s="1595"/>
      <c r="F20" s="1595" t="s">
        <v>908</v>
      </c>
      <c r="G20" s="1595"/>
      <c r="H20" s="1595"/>
      <c r="I20" s="1595"/>
      <c r="J20" s="1595"/>
      <c r="P20" s="479"/>
      <c r="Q20" s="479"/>
    </row>
    <row r="21" spans="1:232" s="175" customFormat="1" ht="19.5" customHeight="1">
      <c r="A21" s="1596" t="str">
        <f>'8'!A135:J135</f>
        <v>III./ THỜI GIAN NGHIỆM THU:</v>
      </c>
      <c r="B21" s="1596"/>
      <c r="C21" s="1596"/>
      <c r="D21" s="1596"/>
      <c r="E21" s="1596"/>
      <c r="F21" s="1596"/>
      <c r="G21" s="1596"/>
      <c r="H21" s="1596"/>
      <c r="I21" s="1596"/>
      <c r="J21" s="1596"/>
      <c r="N21" s="464"/>
      <c r="O21" s="467"/>
      <c r="P21" s="467"/>
      <c r="Q21" s="464"/>
      <c r="R21" s="464"/>
      <c r="S21" s="464"/>
    </row>
    <row r="22" spans="1:232" ht="20.100000000000001" customHeight="1">
      <c r="A22" s="477" t="str">
        <f>'7.BBKT-  TĐC'!A136</f>
        <v xml:space="preserve">Bắt đầu nghiệm thu:    </v>
      </c>
      <c r="B22" s="477"/>
      <c r="C22" s="477"/>
      <c r="D22" s="942">
        <f>N10</f>
        <v>0.58333333333333337</v>
      </c>
      <c r="E22" s="1603" t="str">
        <f>'8'!E23</f>
        <v>, ngày…..tháng…..năm 2016</v>
      </c>
      <c r="F22" s="1603"/>
      <c r="G22" s="1603"/>
      <c r="H22" s="1603"/>
      <c r="I22" s="1603"/>
      <c r="J22" s="1603"/>
      <c r="N22" s="175"/>
      <c r="O22" s="467"/>
      <c r="P22" s="467"/>
      <c r="S22" s="175"/>
    </row>
    <row r="23" spans="1:232" ht="20.100000000000001" customHeight="1">
      <c r="A23" s="477" t="str">
        <f>'7.BBKT-  TĐC'!A137</f>
        <v xml:space="preserve">Kết thúc nghiệm thu: </v>
      </c>
      <c r="B23" s="477"/>
      <c r="C23" s="477"/>
      <c r="D23" s="942">
        <f>N10+O11</f>
        <v>0.59722222222222221</v>
      </c>
      <c r="E23" s="1603" t="str">
        <f>E22</f>
        <v>, ngày…..tháng…..năm 2016</v>
      </c>
      <c r="F23" s="1603"/>
      <c r="G23" s="1603"/>
      <c r="H23" s="1603"/>
      <c r="I23" s="1603"/>
      <c r="J23" s="1603"/>
      <c r="P23" s="467"/>
      <c r="Q23" s="467"/>
    </row>
    <row r="24" spans="1:232" ht="20.100000000000001" customHeight="1">
      <c r="A24" s="767" t="str">
        <f>'[6]7. BBNT-TOADOCOC'!A25</f>
        <v>Tại:</v>
      </c>
      <c r="B24" s="477" t="str">
        <f>'[6]7. BBNT-TOADOCOC'!B25</f>
        <v>Công trình: Khu hỗn hợp chung cư, văn phòng, trung tâm thương mại.</v>
      </c>
      <c r="C24" s="489"/>
      <c r="D24" s="489"/>
      <c r="E24" s="489"/>
      <c r="F24" s="489"/>
      <c r="G24" s="489"/>
      <c r="H24" s="489"/>
      <c r="I24" s="489"/>
      <c r="J24" s="489"/>
      <c r="P24" s="467"/>
      <c r="Q24" s="467"/>
    </row>
    <row r="25" spans="1:232" ht="20.100000000000001" customHeight="1">
      <c r="A25" s="1596" t="s">
        <v>441</v>
      </c>
      <c r="B25" s="1596"/>
      <c r="C25" s="1596"/>
      <c r="D25" s="1596"/>
      <c r="E25" s="1596"/>
      <c r="F25" s="1596"/>
      <c r="G25" s="1596"/>
      <c r="H25" s="1596"/>
      <c r="I25" s="1596"/>
      <c r="J25" s="1596"/>
      <c r="P25" s="467"/>
    </row>
    <row r="26" spans="1:232" s="175" customFormat="1" ht="20.100000000000001" customHeight="1">
      <c r="A26" s="1604" t="s">
        <v>921</v>
      </c>
      <c r="B26" s="1604"/>
      <c r="C26" s="1604"/>
      <c r="D26" s="1604"/>
      <c r="E26" s="1604"/>
      <c r="F26" s="1604"/>
      <c r="G26" s="1604"/>
      <c r="H26" s="1604"/>
      <c r="I26" s="1604"/>
      <c r="J26" s="1604"/>
      <c r="N26" s="464"/>
      <c r="O26" s="464"/>
      <c r="P26" s="467"/>
      <c r="Q26" s="467"/>
      <c r="R26" s="464"/>
      <c r="S26" s="464"/>
    </row>
    <row r="27" spans="1:232" ht="20.100000000000001" customHeight="1">
      <c r="A27" s="1595" t="s">
        <v>862</v>
      </c>
      <c r="B27" s="1595"/>
      <c r="C27" s="1595"/>
      <c r="D27" s="1595"/>
      <c r="E27" s="1595"/>
      <c r="F27" s="1595"/>
      <c r="G27" s="1595"/>
      <c r="H27" s="1595"/>
      <c r="I27" s="1595"/>
      <c r="J27" s="1595"/>
      <c r="N27" s="175"/>
      <c r="O27" s="175"/>
      <c r="P27" s="467"/>
      <c r="R27" s="175"/>
      <c r="S27" s="175"/>
    </row>
    <row r="28" spans="1:232" ht="20.100000000000001" customHeight="1">
      <c r="A28" s="1679" t="str">
        <f>'7.BBKT-  TĐC'!A29:J29</f>
        <v>-    Hồ sơ thiết kế bản vẽ thi công đã được phê duyệt.</v>
      </c>
      <c r="B28" s="1679"/>
      <c r="C28" s="1679"/>
      <c r="D28" s="1679"/>
      <c r="E28" s="1679"/>
      <c r="F28" s="1679"/>
      <c r="G28" s="1679"/>
      <c r="H28" s="1679"/>
      <c r="I28" s="1679"/>
      <c r="J28" s="1679"/>
      <c r="P28" s="467"/>
    </row>
    <row r="29" spans="1:232" s="637" customFormat="1" ht="20.100000000000001" customHeight="1">
      <c r="A29" s="486" t="s">
        <v>104</v>
      </c>
      <c r="B29" s="477"/>
      <c r="C29" s="477"/>
      <c r="D29" s="477"/>
      <c r="E29" s="477"/>
      <c r="F29" s="477"/>
      <c r="G29" s="477"/>
      <c r="H29" s="477"/>
      <c r="I29" s="477"/>
      <c r="J29" s="477"/>
      <c r="K29" s="477"/>
      <c r="L29" s="477"/>
      <c r="M29" s="477"/>
      <c r="N29" s="464"/>
      <c r="O29" s="464"/>
      <c r="P29" s="467"/>
      <c r="Q29" s="464"/>
      <c r="R29" s="464"/>
      <c r="S29" s="464"/>
      <c r="T29" s="487"/>
      <c r="U29" s="487"/>
      <c r="V29" s="487"/>
      <c r="W29" s="487"/>
      <c r="X29" s="487"/>
      <c r="Y29" s="487"/>
      <c r="Z29" s="487"/>
      <c r="AA29" s="487"/>
      <c r="AB29" s="487"/>
      <c r="AC29" s="487"/>
      <c r="AD29" s="487"/>
      <c r="AE29" s="487"/>
      <c r="AF29" s="487"/>
      <c r="AG29" s="487"/>
      <c r="AH29" s="487"/>
      <c r="AI29" s="487"/>
      <c r="AJ29" s="487"/>
      <c r="AK29" s="487"/>
      <c r="AL29" s="487"/>
      <c r="AM29" s="487"/>
      <c r="AN29" s="487"/>
      <c r="AO29" s="487"/>
      <c r="AP29" s="487"/>
      <c r="AQ29" s="487"/>
      <c r="AR29" s="487"/>
      <c r="AS29" s="487"/>
      <c r="AT29" s="487"/>
      <c r="AU29" s="487"/>
      <c r="AV29" s="487"/>
      <c r="AW29" s="487"/>
      <c r="AX29" s="487"/>
      <c r="AY29" s="487"/>
      <c r="AZ29" s="487"/>
      <c r="BA29" s="487"/>
      <c r="BB29" s="487"/>
      <c r="BC29" s="487"/>
      <c r="BD29" s="487"/>
      <c r="BE29" s="487"/>
      <c r="BF29" s="487"/>
      <c r="BG29" s="487"/>
      <c r="BH29" s="487"/>
      <c r="BI29" s="487"/>
      <c r="BJ29" s="487"/>
      <c r="BK29" s="487"/>
      <c r="BL29" s="487"/>
      <c r="BM29" s="487"/>
      <c r="BN29" s="487"/>
      <c r="BO29" s="487"/>
      <c r="BP29" s="487"/>
      <c r="BQ29" s="487"/>
      <c r="BR29" s="487"/>
      <c r="BS29" s="487"/>
      <c r="BT29" s="487"/>
      <c r="BU29" s="487"/>
      <c r="BV29" s="487"/>
      <c r="BW29" s="487"/>
      <c r="BX29" s="487"/>
      <c r="BY29" s="487"/>
      <c r="BZ29" s="487"/>
      <c r="CA29" s="487"/>
      <c r="CB29" s="487"/>
      <c r="CC29" s="487"/>
      <c r="CD29" s="487"/>
      <c r="CE29" s="487"/>
      <c r="CF29" s="487"/>
      <c r="CG29" s="487"/>
      <c r="CH29" s="487"/>
      <c r="CI29" s="487"/>
      <c r="CJ29" s="487"/>
      <c r="CK29" s="487"/>
      <c r="CL29" s="487"/>
      <c r="CM29" s="487"/>
      <c r="CN29" s="487"/>
      <c r="CO29" s="487"/>
      <c r="CP29" s="487"/>
      <c r="CQ29" s="487"/>
      <c r="CR29" s="487"/>
      <c r="CS29" s="487"/>
      <c r="CT29" s="487"/>
      <c r="CU29" s="487"/>
      <c r="CV29" s="487"/>
      <c r="CW29" s="487"/>
      <c r="CX29" s="487"/>
      <c r="CY29" s="487"/>
      <c r="CZ29" s="487"/>
      <c r="DA29" s="487"/>
      <c r="DB29" s="487"/>
      <c r="DC29" s="487"/>
      <c r="DD29" s="487"/>
      <c r="DE29" s="487"/>
      <c r="DF29" s="487"/>
      <c r="DG29" s="487"/>
      <c r="DH29" s="487"/>
      <c r="DI29" s="487"/>
      <c r="DJ29" s="487"/>
      <c r="DK29" s="487"/>
      <c r="DL29" s="487"/>
      <c r="DM29" s="487"/>
      <c r="DN29" s="487"/>
      <c r="DO29" s="487"/>
      <c r="DP29" s="487"/>
      <c r="DQ29" s="487"/>
      <c r="DR29" s="487"/>
      <c r="DS29" s="487"/>
      <c r="DT29" s="487"/>
      <c r="DU29" s="487"/>
      <c r="DV29" s="487"/>
      <c r="DW29" s="487"/>
      <c r="DX29" s="487"/>
      <c r="DY29" s="487"/>
      <c r="DZ29" s="487"/>
      <c r="EA29" s="487"/>
      <c r="EB29" s="487"/>
      <c r="EC29" s="487"/>
      <c r="ED29" s="487"/>
      <c r="EE29" s="487"/>
      <c r="EF29" s="487"/>
      <c r="EG29" s="487"/>
      <c r="EH29" s="487"/>
      <c r="EI29" s="487"/>
      <c r="EJ29" s="487"/>
      <c r="EK29" s="487"/>
      <c r="EL29" s="487"/>
      <c r="EM29" s="487"/>
      <c r="EN29" s="487"/>
      <c r="EO29" s="487"/>
      <c r="EP29" s="487"/>
      <c r="EQ29" s="487"/>
      <c r="ER29" s="487"/>
      <c r="ES29" s="487"/>
      <c r="ET29" s="487"/>
      <c r="EU29" s="487"/>
      <c r="EV29" s="487"/>
      <c r="EW29" s="487"/>
      <c r="EX29" s="487"/>
      <c r="EY29" s="487"/>
      <c r="EZ29" s="487"/>
      <c r="FA29" s="487"/>
      <c r="FB29" s="487"/>
      <c r="FC29" s="487"/>
      <c r="FD29" s="487"/>
      <c r="FE29" s="487"/>
      <c r="FF29" s="487"/>
      <c r="FG29" s="487"/>
      <c r="FH29" s="487"/>
      <c r="FI29" s="487"/>
      <c r="FJ29" s="487"/>
      <c r="FK29" s="487"/>
      <c r="FL29" s="487"/>
      <c r="FM29" s="487"/>
      <c r="FN29" s="487"/>
      <c r="FO29" s="487"/>
      <c r="FP29" s="487"/>
      <c r="FQ29" s="487"/>
      <c r="FR29" s="487"/>
      <c r="FS29" s="487"/>
      <c r="FT29" s="487"/>
      <c r="FU29" s="487"/>
      <c r="FV29" s="487"/>
      <c r="FW29" s="487"/>
      <c r="FX29" s="487"/>
      <c r="FY29" s="487"/>
      <c r="FZ29" s="487"/>
      <c r="GA29" s="487"/>
      <c r="GB29" s="487"/>
      <c r="GC29" s="487"/>
      <c r="GD29" s="487"/>
      <c r="GE29" s="487"/>
      <c r="GF29" s="487"/>
      <c r="GG29" s="487"/>
      <c r="GH29" s="487"/>
      <c r="GI29" s="487"/>
      <c r="GJ29" s="487"/>
      <c r="GK29" s="487"/>
      <c r="GL29" s="487"/>
      <c r="GM29" s="487"/>
      <c r="GN29" s="487"/>
      <c r="GO29" s="487"/>
      <c r="GP29" s="487"/>
      <c r="GQ29" s="487"/>
      <c r="GR29" s="487"/>
      <c r="GS29" s="487"/>
      <c r="GT29" s="487"/>
      <c r="GU29" s="487"/>
      <c r="GV29" s="487"/>
      <c r="GW29" s="487"/>
      <c r="GX29" s="487"/>
      <c r="GY29" s="487"/>
      <c r="GZ29" s="487"/>
      <c r="HA29" s="487"/>
      <c r="HB29" s="487"/>
      <c r="HC29" s="487"/>
      <c r="HD29" s="487"/>
      <c r="HE29" s="487"/>
      <c r="HF29" s="487"/>
      <c r="HG29" s="487"/>
      <c r="HH29" s="487"/>
      <c r="HI29" s="487"/>
      <c r="HJ29" s="487"/>
      <c r="HK29" s="487"/>
      <c r="HL29" s="487"/>
      <c r="HM29" s="487"/>
      <c r="HN29" s="487"/>
      <c r="HO29" s="487"/>
      <c r="HP29" s="487"/>
      <c r="HQ29" s="487"/>
      <c r="HR29" s="487"/>
      <c r="HS29" s="487"/>
      <c r="HT29" s="487"/>
      <c r="HU29" s="487"/>
      <c r="HV29" s="487"/>
      <c r="HW29" s="487"/>
      <c r="HX29" s="487"/>
    </row>
    <row r="30" spans="1:232" s="637" customFormat="1" ht="20.100000000000001" customHeight="1">
      <c r="A30" s="885" t="s">
        <v>1027</v>
      </c>
      <c r="B30" s="477" t="s">
        <v>1028</v>
      </c>
      <c r="C30" s="477"/>
      <c r="D30" s="477"/>
      <c r="E30" s="477"/>
      <c r="F30" s="477"/>
      <c r="G30" s="477"/>
      <c r="H30" s="477"/>
      <c r="I30" s="477"/>
      <c r="J30" s="477"/>
      <c r="K30" s="477"/>
      <c r="L30" s="477"/>
      <c r="M30" s="477"/>
      <c r="N30" s="487"/>
      <c r="O30" s="487"/>
      <c r="P30" s="467"/>
      <c r="Q30" s="464"/>
      <c r="R30" s="487"/>
      <c r="S30" s="487"/>
      <c r="T30" s="487"/>
      <c r="U30" s="489"/>
      <c r="V30" s="489"/>
      <c r="W30" s="489"/>
      <c r="X30" s="489"/>
      <c r="Y30" s="489"/>
      <c r="Z30" s="489"/>
      <c r="AA30" s="489"/>
      <c r="AB30" s="489"/>
      <c r="AC30" s="489"/>
      <c r="AD30" s="489"/>
      <c r="AE30" s="489"/>
      <c r="AF30" s="489"/>
      <c r="AG30" s="489"/>
      <c r="AH30" s="489"/>
      <c r="AI30" s="489"/>
      <c r="AJ30" s="489"/>
      <c r="AK30" s="489"/>
      <c r="AL30" s="489"/>
      <c r="AM30" s="489"/>
      <c r="AN30" s="489"/>
      <c r="AO30" s="489"/>
      <c r="AP30" s="489"/>
      <c r="AQ30" s="489"/>
      <c r="AR30" s="489"/>
      <c r="AS30" s="489"/>
      <c r="AT30" s="489"/>
      <c r="AU30" s="489"/>
      <c r="AV30" s="489"/>
      <c r="AW30" s="489"/>
      <c r="AX30" s="489"/>
      <c r="AY30" s="489"/>
      <c r="AZ30" s="489"/>
      <c r="BA30" s="489"/>
      <c r="BB30" s="489"/>
      <c r="BC30" s="489"/>
      <c r="BD30" s="489"/>
      <c r="BE30" s="489"/>
      <c r="BF30" s="489"/>
      <c r="BG30" s="489"/>
      <c r="BH30" s="489"/>
      <c r="BI30" s="489"/>
      <c r="BJ30" s="489"/>
      <c r="BK30" s="489"/>
      <c r="BL30" s="489"/>
      <c r="BM30" s="489"/>
      <c r="BN30" s="489"/>
      <c r="BO30" s="489"/>
      <c r="BP30" s="489"/>
      <c r="BQ30" s="489"/>
      <c r="BR30" s="489"/>
      <c r="BS30" s="489"/>
      <c r="BT30" s="489"/>
      <c r="BU30" s="489"/>
      <c r="BV30" s="489"/>
      <c r="BW30" s="489"/>
      <c r="BX30" s="489"/>
      <c r="BY30" s="489"/>
      <c r="BZ30" s="489"/>
      <c r="CA30" s="489"/>
      <c r="CB30" s="489"/>
      <c r="CC30" s="489"/>
      <c r="CD30" s="489"/>
      <c r="CE30" s="489"/>
      <c r="CF30" s="489"/>
      <c r="CG30" s="489"/>
      <c r="CH30" s="489"/>
      <c r="CI30" s="489"/>
      <c r="CJ30" s="489"/>
      <c r="CK30" s="489"/>
      <c r="CL30" s="489"/>
      <c r="CM30" s="489"/>
      <c r="CN30" s="489"/>
      <c r="CO30" s="489"/>
      <c r="CP30" s="489"/>
      <c r="CQ30" s="489"/>
      <c r="CR30" s="489"/>
      <c r="CS30" s="489"/>
      <c r="CT30" s="489"/>
      <c r="CU30" s="489"/>
      <c r="CV30" s="489"/>
      <c r="CW30" s="489"/>
      <c r="CX30" s="489"/>
      <c r="CY30" s="489"/>
      <c r="CZ30" s="489"/>
      <c r="DA30" s="489"/>
      <c r="DB30" s="489"/>
      <c r="DC30" s="489"/>
      <c r="DD30" s="489"/>
      <c r="DE30" s="489"/>
      <c r="DF30" s="489"/>
      <c r="DG30" s="489"/>
      <c r="DH30" s="489"/>
      <c r="DI30" s="489"/>
      <c r="DJ30" s="489"/>
      <c r="DK30" s="489"/>
      <c r="DL30" s="489"/>
      <c r="DM30" s="489"/>
      <c r="DN30" s="489"/>
      <c r="DO30" s="489"/>
      <c r="DP30" s="489"/>
      <c r="DQ30" s="489"/>
      <c r="DR30" s="489"/>
      <c r="DS30" s="489"/>
      <c r="DT30" s="489"/>
      <c r="DU30" s="489"/>
      <c r="DV30" s="489"/>
      <c r="DW30" s="489"/>
      <c r="DX30" s="489"/>
      <c r="DY30" s="489"/>
      <c r="DZ30" s="489"/>
      <c r="EA30" s="489"/>
      <c r="EB30" s="489"/>
      <c r="EC30" s="489"/>
      <c r="ED30" s="489"/>
      <c r="EE30" s="489"/>
      <c r="EF30" s="489"/>
      <c r="EG30" s="489"/>
      <c r="EH30" s="489"/>
      <c r="EI30" s="489"/>
      <c r="EJ30" s="489"/>
      <c r="EK30" s="489"/>
      <c r="EL30" s="489"/>
      <c r="EM30" s="489"/>
      <c r="EN30" s="489"/>
      <c r="EO30" s="489"/>
      <c r="EP30" s="489"/>
      <c r="EQ30" s="489"/>
      <c r="ER30" s="489"/>
      <c r="ES30" s="489"/>
      <c r="ET30" s="489"/>
      <c r="EU30" s="489"/>
      <c r="EV30" s="489"/>
      <c r="EW30" s="489"/>
      <c r="EX30" s="489"/>
      <c r="EY30" s="489"/>
      <c r="EZ30" s="489"/>
      <c r="FA30" s="489"/>
      <c r="FB30" s="489"/>
      <c r="FC30" s="489"/>
      <c r="FD30" s="489"/>
      <c r="FE30" s="489"/>
      <c r="FF30" s="489"/>
      <c r="FG30" s="489"/>
      <c r="FH30" s="489"/>
      <c r="FI30" s="489"/>
      <c r="FJ30" s="489"/>
      <c r="FK30" s="489"/>
      <c r="FL30" s="489"/>
      <c r="FM30" s="489"/>
      <c r="FN30" s="489"/>
      <c r="FO30" s="489"/>
      <c r="FP30" s="489"/>
      <c r="FQ30" s="489"/>
      <c r="FR30" s="489"/>
      <c r="FS30" s="489"/>
      <c r="FT30" s="489"/>
      <c r="FU30" s="489"/>
      <c r="FV30" s="489"/>
      <c r="FW30" s="489"/>
      <c r="FX30" s="489"/>
      <c r="FY30" s="489"/>
      <c r="FZ30" s="489"/>
      <c r="GA30" s="489"/>
      <c r="GB30" s="489"/>
      <c r="GC30" s="489"/>
      <c r="GD30" s="489"/>
      <c r="GE30" s="489"/>
      <c r="GF30" s="489"/>
      <c r="GG30" s="489"/>
      <c r="GH30" s="489"/>
      <c r="GI30" s="489"/>
      <c r="GJ30" s="489"/>
      <c r="GK30" s="489"/>
      <c r="GL30" s="489"/>
      <c r="GM30" s="489"/>
      <c r="GN30" s="489"/>
      <c r="GO30" s="489"/>
      <c r="GP30" s="489"/>
      <c r="GQ30" s="489"/>
      <c r="GR30" s="489"/>
      <c r="GS30" s="489"/>
      <c r="GT30" s="489"/>
      <c r="GU30" s="489"/>
      <c r="GV30" s="489"/>
      <c r="GW30" s="489"/>
      <c r="GX30" s="489"/>
      <c r="GY30" s="489"/>
      <c r="GZ30" s="489"/>
      <c r="HA30" s="489"/>
      <c r="HB30" s="489"/>
      <c r="HC30" s="489"/>
      <c r="HD30" s="489"/>
      <c r="HE30" s="489"/>
      <c r="HF30" s="489"/>
      <c r="HG30" s="489"/>
      <c r="HH30" s="489"/>
      <c r="HI30" s="489"/>
      <c r="HJ30" s="489"/>
      <c r="HK30" s="489"/>
      <c r="HL30" s="489"/>
      <c r="HM30" s="489"/>
      <c r="HN30" s="489"/>
      <c r="HO30" s="489"/>
      <c r="HP30" s="489"/>
      <c r="HQ30" s="489"/>
      <c r="HR30" s="489"/>
      <c r="HS30" s="489"/>
      <c r="HT30" s="489"/>
      <c r="HU30" s="489"/>
      <c r="HV30" s="489"/>
      <c r="HW30" s="489"/>
      <c r="HX30" s="487"/>
    </row>
    <row r="31" spans="1:232" s="637" customFormat="1" ht="20.100000000000001" customHeight="1">
      <c r="A31" s="885" t="s">
        <v>1027</v>
      </c>
      <c r="B31" s="477" t="s">
        <v>1029</v>
      </c>
      <c r="C31" s="477"/>
      <c r="D31" s="477"/>
      <c r="E31" s="477"/>
      <c r="F31" s="477"/>
      <c r="G31" s="477"/>
      <c r="H31" s="477"/>
      <c r="I31" s="477"/>
      <c r="J31" s="477"/>
      <c r="K31" s="477"/>
      <c r="L31" s="477"/>
      <c r="M31" s="477"/>
      <c r="N31" s="487"/>
      <c r="O31" s="487"/>
      <c r="P31" s="487"/>
      <c r="Q31" s="487"/>
      <c r="R31" s="487"/>
      <c r="S31" s="487"/>
      <c r="T31" s="477"/>
      <c r="U31" s="489"/>
      <c r="V31" s="489"/>
      <c r="W31" s="489"/>
      <c r="X31" s="489"/>
      <c r="Y31" s="489"/>
      <c r="Z31" s="489"/>
      <c r="AA31" s="489"/>
      <c r="AB31" s="489"/>
      <c r="AC31" s="489"/>
      <c r="AD31" s="489"/>
      <c r="AE31" s="489"/>
      <c r="AF31" s="489"/>
      <c r="AG31" s="489"/>
      <c r="AH31" s="489"/>
      <c r="AI31" s="489"/>
      <c r="AJ31" s="489"/>
      <c r="AK31" s="489"/>
      <c r="AL31" s="489"/>
      <c r="AM31" s="489"/>
      <c r="AN31" s="489"/>
      <c r="AO31" s="489"/>
      <c r="AP31" s="489"/>
      <c r="AQ31" s="489"/>
      <c r="AR31" s="489"/>
      <c r="AS31" s="489"/>
      <c r="AT31" s="489"/>
      <c r="AU31" s="489"/>
      <c r="AV31" s="489"/>
      <c r="AW31" s="489"/>
      <c r="AX31" s="489"/>
      <c r="AY31" s="489"/>
      <c r="AZ31" s="489"/>
      <c r="BA31" s="489"/>
      <c r="BB31" s="489"/>
      <c r="BC31" s="489"/>
      <c r="BD31" s="489"/>
      <c r="BE31" s="489"/>
      <c r="BF31" s="489"/>
      <c r="BG31" s="489"/>
      <c r="BH31" s="489"/>
      <c r="BI31" s="489"/>
      <c r="BJ31" s="489"/>
      <c r="BK31" s="489"/>
      <c r="BL31" s="489"/>
      <c r="BM31" s="489"/>
      <c r="BN31" s="489"/>
      <c r="BO31" s="489"/>
      <c r="BP31" s="489"/>
      <c r="BQ31" s="489"/>
      <c r="BR31" s="489"/>
      <c r="BS31" s="489"/>
      <c r="BT31" s="489"/>
      <c r="BU31" s="489"/>
      <c r="BV31" s="489"/>
      <c r="BW31" s="489"/>
      <c r="BX31" s="489"/>
      <c r="BY31" s="489"/>
      <c r="BZ31" s="489"/>
      <c r="CA31" s="489"/>
      <c r="CB31" s="489"/>
      <c r="CC31" s="489"/>
      <c r="CD31" s="489"/>
      <c r="CE31" s="489"/>
      <c r="CF31" s="489"/>
      <c r="CG31" s="489"/>
      <c r="CH31" s="489"/>
      <c r="CI31" s="489"/>
      <c r="CJ31" s="489"/>
      <c r="CK31" s="489"/>
      <c r="CL31" s="489"/>
      <c r="CM31" s="489"/>
      <c r="CN31" s="489"/>
      <c r="CO31" s="489"/>
      <c r="CP31" s="489"/>
      <c r="CQ31" s="489"/>
      <c r="CR31" s="489"/>
      <c r="CS31" s="489"/>
      <c r="CT31" s="489"/>
      <c r="CU31" s="489"/>
      <c r="CV31" s="489"/>
      <c r="CW31" s="489"/>
      <c r="CX31" s="489"/>
      <c r="CY31" s="489"/>
      <c r="CZ31" s="489"/>
      <c r="DA31" s="489"/>
      <c r="DB31" s="489"/>
      <c r="DC31" s="489"/>
      <c r="DD31" s="489"/>
      <c r="DE31" s="489"/>
      <c r="DF31" s="489"/>
      <c r="DG31" s="489"/>
      <c r="DH31" s="489"/>
      <c r="DI31" s="489"/>
      <c r="DJ31" s="489"/>
      <c r="DK31" s="489"/>
      <c r="DL31" s="489"/>
      <c r="DM31" s="489"/>
      <c r="DN31" s="489"/>
      <c r="DO31" s="489"/>
      <c r="DP31" s="489"/>
      <c r="DQ31" s="489"/>
      <c r="DR31" s="489"/>
      <c r="DS31" s="489"/>
      <c r="DT31" s="489"/>
      <c r="DU31" s="489"/>
      <c r="DV31" s="489"/>
      <c r="DW31" s="489"/>
      <c r="DX31" s="489"/>
      <c r="DY31" s="489"/>
      <c r="DZ31" s="489"/>
      <c r="EA31" s="489"/>
      <c r="EB31" s="489"/>
      <c r="EC31" s="489"/>
      <c r="ED31" s="489"/>
      <c r="EE31" s="489"/>
      <c r="EF31" s="489"/>
      <c r="EG31" s="489"/>
      <c r="EH31" s="489"/>
      <c r="EI31" s="489"/>
      <c r="EJ31" s="489"/>
      <c r="EK31" s="489"/>
      <c r="EL31" s="489"/>
      <c r="EM31" s="489"/>
      <c r="EN31" s="489"/>
      <c r="EO31" s="489"/>
      <c r="EP31" s="489"/>
      <c r="EQ31" s="489"/>
      <c r="ER31" s="489"/>
      <c r="ES31" s="489"/>
      <c r="ET31" s="489"/>
      <c r="EU31" s="489"/>
      <c r="EV31" s="489"/>
      <c r="EW31" s="489"/>
      <c r="EX31" s="489"/>
      <c r="EY31" s="489"/>
      <c r="EZ31" s="489"/>
      <c r="FA31" s="489"/>
      <c r="FB31" s="489"/>
      <c r="FC31" s="489"/>
      <c r="FD31" s="489"/>
      <c r="FE31" s="489"/>
      <c r="FF31" s="489"/>
      <c r="FG31" s="489"/>
      <c r="FH31" s="489"/>
      <c r="FI31" s="489"/>
      <c r="FJ31" s="489"/>
      <c r="FK31" s="489"/>
      <c r="FL31" s="489"/>
      <c r="FM31" s="489"/>
      <c r="FN31" s="489"/>
      <c r="FO31" s="489"/>
      <c r="FP31" s="489"/>
      <c r="FQ31" s="489"/>
      <c r="FR31" s="489"/>
      <c r="FS31" s="489"/>
      <c r="FT31" s="489"/>
      <c r="FU31" s="489"/>
      <c r="FV31" s="489"/>
      <c r="FW31" s="489"/>
      <c r="FX31" s="489"/>
      <c r="FY31" s="489"/>
      <c r="FZ31" s="489"/>
      <c r="GA31" s="489"/>
      <c r="GB31" s="489"/>
      <c r="GC31" s="489"/>
      <c r="GD31" s="489"/>
      <c r="GE31" s="489"/>
      <c r="GF31" s="489"/>
      <c r="GG31" s="489"/>
      <c r="GH31" s="489"/>
      <c r="GI31" s="489"/>
      <c r="GJ31" s="489"/>
      <c r="GK31" s="489"/>
      <c r="GL31" s="489"/>
      <c r="GM31" s="489"/>
      <c r="GN31" s="489"/>
      <c r="GO31" s="489"/>
      <c r="GP31" s="489"/>
      <c r="GQ31" s="489"/>
      <c r="GR31" s="489"/>
      <c r="GS31" s="489"/>
      <c r="GT31" s="489"/>
      <c r="GU31" s="489"/>
      <c r="GV31" s="489"/>
      <c r="GW31" s="489"/>
      <c r="GX31" s="489"/>
      <c r="GY31" s="489"/>
      <c r="GZ31" s="489"/>
      <c r="HA31" s="489"/>
      <c r="HB31" s="489"/>
      <c r="HC31" s="489"/>
      <c r="HD31" s="489"/>
      <c r="HE31" s="489"/>
      <c r="HF31" s="489"/>
      <c r="HG31" s="489"/>
      <c r="HH31" s="489"/>
      <c r="HI31" s="489"/>
      <c r="HJ31" s="489"/>
      <c r="HK31" s="489"/>
      <c r="HL31" s="489"/>
      <c r="HM31" s="489"/>
      <c r="HN31" s="489"/>
      <c r="HO31" s="489"/>
      <c r="HP31" s="489"/>
      <c r="HQ31" s="489"/>
      <c r="HR31" s="489"/>
      <c r="HS31" s="489"/>
      <c r="HT31" s="489"/>
      <c r="HU31" s="489"/>
      <c r="HV31" s="489"/>
      <c r="HW31" s="489"/>
      <c r="HX31" s="487"/>
    </row>
    <row r="32" spans="1:232" s="637" customFormat="1" ht="33" customHeight="1">
      <c r="A32" s="892" t="s">
        <v>1027</v>
      </c>
      <c r="B32" s="1602" t="s">
        <v>1043</v>
      </c>
      <c r="C32" s="1602"/>
      <c r="D32" s="1602"/>
      <c r="E32" s="1602"/>
      <c r="F32" s="1602"/>
      <c r="G32" s="1602"/>
      <c r="H32" s="1602"/>
      <c r="I32" s="1602"/>
      <c r="J32" s="1602"/>
      <c r="K32" s="491"/>
      <c r="L32" s="477"/>
      <c r="M32" s="477"/>
      <c r="N32" s="492"/>
      <c r="O32" s="492"/>
      <c r="P32" s="492"/>
      <c r="Q32" s="492"/>
      <c r="R32" s="492"/>
      <c r="S32" s="492"/>
      <c r="T32" s="492"/>
      <c r="U32" s="489"/>
      <c r="V32" s="489"/>
      <c r="W32" s="489"/>
      <c r="X32" s="489"/>
      <c r="Y32" s="489"/>
      <c r="Z32" s="489"/>
      <c r="AA32" s="489"/>
      <c r="AB32" s="489"/>
      <c r="AC32" s="489"/>
      <c r="AD32" s="489"/>
      <c r="AE32" s="489"/>
      <c r="AF32" s="489"/>
      <c r="AG32" s="489"/>
      <c r="AH32" s="489"/>
      <c r="AI32" s="489"/>
      <c r="AJ32" s="489"/>
      <c r="AK32" s="489"/>
      <c r="AL32" s="489"/>
      <c r="AM32" s="489"/>
      <c r="AN32" s="489"/>
      <c r="AO32" s="489"/>
      <c r="AP32" s="489"/>
      <c r="AQ32" s="489"/>
      <c r="AR32" s="489"/>
      <c r="AS32" s="489"/>
      <c r="AT32" s="489"/>
      <c r="AU32" s="489"/>
      <c r="AV32" s="489"/>
      <c r="AW32" s="489"/>
      <c r="AX32" s="489"/>
      <c r="AY32" s="489"/>
      <c r="AZ32" s="489"/>
      <c r="BA32" s="489"/>
      <c r="BB32" s="489"/>
      <c r="BC32" s="489"/>
      <c r="BD32" s="489"/>
      <c r="BE32" s="489"/>
      <c r="BF32" s="489"/>
      <c r="BG32" s="489"/>
      <c r="BH32" s="489"/>
      <c r="BI32" s="489"/>
      <c r="BJ32" s="489"/>
      <c r="BK32" s="489"/>
      <c r="BL32" s="489"/>
      <c r="BM32" s="489"/>
      <c r="BN32" s="489"/>
      <c r="BO32" s="489"/>
      <c r="BP32" s="489"/>
      <c r="BQ32" s="489"/>
      <c r="BR32" s="489"/>
      <c r="BS32" s="489"/>
      <c r="BT32" s="489"/>
      <c r="BU32" s="489"/>
      <c r="BV32" s="489"/>
      <c r="BW32" s="489"/>
      <c r="BX32" s="489"/>
      <c r="BY32" s="489"/>
      <c r="BZ32" s="489"/>
      <c r="CA32" s="489"/>
      <c r="CB32" s="489"/>
      <c r="CC32" s="489"/>
      <c r="CD32" s="489"/>
      <c r="CE32" s="489"/>
      <c r="CF32" s="489"/>
      <c r="CG32" s="489"/>
      <c r="CH32" s="489"/>
      <c r="CI32" s="489"/>
      <c r="CJ32" s="489"/>
      <c r="CK32" s="489"/>
      <c r="CL32" s="489"/>
      <c r="CM32" s="489"/>
      <c r="CN32" s="489"/>
      <c r="CO32" s="489"/>
      <c r="CP32" s="489"/>
      <c r="CQ32" s="489"/>
      <c r="CR32" s="489"/>
      <c r="CS32" s="489"/>
      <c r="CT32" s="489"/>
      <c r="CU32" s="489"/>
      <c r="CV32" s="489"/>
      <c r="CW32" s="489"/>
      <c r="CX32" s="489"/>
      <c r="CY32" s="489"/>
      <c r="CZ32" s="489"/>
      <c r="DA32" s="489"/>
      <c r="DB32" s="489"/>
      <c r="DC32" s="489"/>
      <c r="DD32" s="489"/>
      <c r="DE32" s="489"/>
      <c r="DF32" s="489"/>
      <c r="DG32" s="489"/>
      <c r="DH32" s="489"/>
      <c r="DI32" s="489"/>
      <c r="DJ32" s="489"/>
      <c r="DK32" s="489"/>
      <c r="DL32" s="489"/>
      <c r="DM32" s="489"/>
      <c r="DN32" s="489"/>
      <c r="DO32" s="489"/>
      <c r="DP32" s="489"/>
      <c r="DQ32" s="489"/>
      <c r="DR32" s="489"/>
      <c r="DS32" s="489"/>
      <c r="DT32" s="489"/>
      <c r="DU32" s="489"/>
      <c r="DV32" s="489"/>
      <c r="DW32" s="489"/>
      <c r="DX32" s="489"/>
      <c r="DY32" s="489"/>
      <c r="DZ32" s="489"/>
      <c r="EA32" s="489"/>
      <c r="EB32" s="489"/>
      <c r="EC32" s="489"/>
      <c r="ED32" s="489"/>
      <c r="EE32" s="489"/>
      <c r="EF32" s="489"/>
      <c r="EG32" s="489"/>
      <c r="EH32" s="489"/>
      <c r="EI32" s="489"/>
      <c r="EJ32" s="489"/>
      <c r="EK32" s="489"/>
      <c r="EL32" s="489"/>
      <c r="EM32" s="489"/>
      <c r="EN32" s="489"/>
      <c r="EO32" s="489"/>
      <c r="EP32" s="489"/>
      <c r="EQ32" s="489"/>
      <c r="ER32" s="489"/>
      <c r="ES32" s="489"/>
      <c r="ET32" s="489"/>
      <c r="EU32" s="489"/>
      <c r="EV32" s="489"/>
      <c r="EW32" s="489"/>
      <c r="EX32" s="489"/>
      <c r="EY32" s="489"/>
      <c r="EZ32" s="489"/>
      <c r="FA32" s="489"/>
      <c r="FB32" s="489"/>
      <c r="FC32" s="489"/>
      <c r="FD32" s="489"/>
      <c r="FE32" s="489"/>
      <c r="FF32" s="489"/>
      <c r="FG32" s="489"/>
      <c r="FH32" s="489"/>
      <c r="FI32" s="489"/>
      <c r="FJ32" s="489"/>
      <c r="FK32" s="489"/>
      <c r="FL32" s="489"/>
      <c r="FM32" s="489"/>
      <c r="FN32" s="489"/>
      <c r="FO32" s="489"/>
      <c r="FP32" s="489"/>
      <c r="FQ32" s="489"/>
      <c r="FR32" s="489"/>
      <c r="FS32" s="489"/>
      <c r="FT32" s="489"/>
      <c r="FU32" s="489"/>
      <c r="FV32" s="489"/>
      <c r="FW32" s="489"/>
      <c r="FX32" s="489"/>
      <c r="FY32" s="489"/>
      <c r="FZ32" s="489"/>
      <c r="GA32" s="489"/>
      <c r="GB32" s="489"/>
      <c r="GC32" s="489"/>
      <c r="GD32" s="489"/>
      <c r="GE32" s="489"/>
      <c r="GF32" s="489"/>
      <c r="GG32" s="489"/>
      <c r="GH32" s="489"/>
      <c r="GI32" s="489"/>
      <c r="GJ32" s="489"/>
      <c r="GK32" s="489"/>
      <c r="GL32" s="489"/>
      <c r="GM32" s="489"/>
      <c r="GN32" s="489"/>
      <c r="GO32" s="489"/>
      <c r="GP32" s="489"/>
      <c r="GQ32" s="489"/>
      <c r="GR32" s="489"/>
      <c r="GS32" s="489"/>
      <c r="GT32" s="489"/>
      <c r="GU32" s="489"/>
      <c r="GV32" s="489"/>
      <c r="GW32" s="489"/>
      <c r="GX32" s="489"/>
      <c r="GY32" s="489"/>
      <c r="GZ32" s="489"/>
      <c r="HA32" s="489"/>
      <c r="HB32" s="489"/>
      <c r="HC32" s="489"/>
      <c r="HD32" s="489"/>
      <c r="HE32" s="489"/>
      <c r="HF32" s="489"/>
      <c r="HG32" s="489"/>
      <c r="HH32" s="489"/>
      <c r="HI32" s="489"/>
      <c r="HJ32" s="489"/>
      <c r="HK32" s="489"/>
      <c r="HL32" s="489"/>
      <c r="HM32" s="489"/>
      <c r="HN32" s="489"/>
      <c r="HO32" s="489"/>
      <c r="HP32" s="489"/>
      <c r="HQ32" s="489"/>
      <c r="HR32" s="489"/>
      <c r="HS32" s="489"/>
      <c r="HT32" s="489"/>
      <c r="HU32" s="489"/>
      <c r="HV32" s="489"/>
      <c r="HW32" s="489"/>
      <c r="HX32" s="487"/>
    </row>
    <row r="33" spans="1:232" s="637" customFormat="1" ht="19.5" customHeight="1">
      <c r="A33" s="885" t="s">
        <v>1027</v>
      </c>
      <c r="B33" s="1602" t="s">
        <v>1044</v>
      </c>
      <c r="C33" s="1602"/>
      <c r="D33" s="1602"/>
      <c r="E33" s="1602"/>
      <c r="F33" s="1602"/>
      <c r="G33" s="1602"/>
      <c r="H33" s="1602"/>
      <c r="I33" s="1602"/>
      <c r="J33" s="1602"/>
      <c r="K33" s="491"/>
      <c r="L33" s="477"/>
      <c r="M33" s="477"/>
      <c r="N33" s="492"/>
      <c r="O33" s="492"/>
      <c r="P33" s="492"/>
      <c r="Q33" s="492"/>
      <c r="R33" s="492"/>
      <c r="S33" s="492"/>
      <c r="T33" s="492"/>
      <c r="U33" s="489"/>
      <c r="V33" s="489"/>
      <c r="W33" s="489"/>
      <c r="X33" s="489"/>
      <c r="Y33" s="489"/>
      <c r="Z33" s="489"/>
      <c r="AA33" s="489"/>
      <c r="AB33" s="489"/>
      <c r="AC33" s="489"/>
      <c r="AD33" s="489"/>
      <c r="AE33" s="489"/>
      <c r="AF33" s="489"/>
      <c r="AG33" s="489"/>
      <c r="AH33" s="489"/>
      <c r="AI33" s="489"/>
      <c r="AJ33" s="489"/>
      <c r="AK33" s="489"/>
      <c r="AL33" s="489"/>
      <c r="AM33" s="489"/>
      <c r="AN33" s="489"/>
      <c r="AO33" s="489"/>
      <c r="AP33" s="489"/>
      <c r="AQ33" s="489"/>
      <c r="AR33" s="489"/>
      <c r="AS33" s="489"/>
      <c r="AT33" s="489"/>
      <c r="AU33" s="489"/>
      <c r="AV33" s="489"/>
      <c r="AW33" s="489"/>
      <c r="AX33" s="489"/>
      <c r="AY33" s="489"/>
      <c r="AZ33" s="489"/>
      <c r="BA33" s="489"/>
      <c r="BB33" s="489"/>
      <c r="BC33" s="489"/>
      <c r="BD33" s="489"/>
      <c r="BE33" s="489"/>
      <c r="BF33" s="489"/>
      <c r="BG33" s="489"/>
      <c r="BH33" s="489"/>
      <c r="BI33" s="489"/>
      <c r="BJ33" s="489"/>
      <c r="BK33" s="489"/>
      <c r="BL33" s="489"/>
      <c r="BM33" s="489"/>
      <c r="BN33" s="489"/>
      <c r="BO33" s="489"/>
      <c r="BP33" s="489"/>
      <c r="BQ33" s="489"/>
      <c r="BR33" s="489"/>
      <c r="BS33" s="489"/>
      <c r="BT33" s="489"/>
      <c r="BU33" s="489"/>
      <c r="BV33" s="489"/>
      <c r="BW33" s="489"/>
      <c r="BX33" s="489"/>
      <c r="BY33" s="489"/>
      <c r="BZ33" s="489"/>
      <c r="CA33" s="489"/>
      <c r="CB33" s="489"/>
      <c r="CC33" s="489"/>
      <c r="CD33" s="489"/>
      <c r="CE33" s="489"/>
      <c r="CF33" s="489"/>
      <c r="CG33" s="489"/>
      <c r="CH33" s="489"/>
      <c r="CI33" s="489"/>
      <c r="CJ33" s="489"/>
      <c r="CK33" s="489"/>
      <c r="CL33" s="489"/>
      <c r="CM33" s="489"/>
      <c r="CN33" s="489"/>
      <c r="CO33" s="489"/>
      <c r="CP33" s="489"/>
      <c r="CQ33" s="489"/>
      <c r="CR33" s="489"/>
      <c r="CS33" s="489"/>
      <c r="CT33" s="489"/>
      <c r="CU33" s="489"/>
      <c r="CV33" s="489"/>
      <c r="CW33" s="489"/>
      <c r="CX33" s="489"/>
      <c r="CY33" s="489"/>
      <c r="CZ33" s="489"/>
      <c r="DA33" s="489"/>
      <c r="DB33" s="489"/>
      <c r="DC33" s="489"/>
      <c r="DD33" s="489"/>
      <c r="DE33" s="489"/>
      <c r="DF33" s="489"/>
      <c r="DG33" s="489"/>
      <c r="DH33" s="489"/>
      <c r="DI33" s="489"/>
      <c r="DJ33" s="489"/>
      <c r="DK33" s="489"/>
      <c r="DL33" s="489"/>
      <c r="DM33" s="489"/>
      <c r="DN33" s="489"/>
      <c r="DO33" s="489"/>
      <c r="DP33" s="489"/>
      <c r="DQ33" s="489"/>
      <c r="DR33" s="489"/>
      <c r="DS33" s="489"/>
      <c r="DT33" s="489"/>
      <c r="DU33" s="489"/>
      <c r="DV33" s="489"/>
      <c r="DW33" s="489"/>
      <c r="DX33" s="489"/>
      <c r="DY33" s="489"/>
      <c r="DZ33" s="489"/>
      <c r="EA33" s="489"/>
      <c r="EB33" s="489"/>
      <c r="EC33" s="489"/>
      <c r="ED33" s="489"/>
      <c r="EE33" s="489"/>
      <c r="EF33" s="489"/>
      <c r="EG33" s="489"/>
      <c r="EH33" s="489"/>
      <c r="EI33" s="489"/>
      <c r="EJ33" s="489"/>
      <c r="EK33" s="489"/>
      <c r="EL33" s="489"/>
      <c r="EM33" s="489"/>
      <c r="EN33" s="489"/>
      <c r="EO33" s="489"/>
      <c r="EP33" s="489"/>
      <c r="EQ33" s="489"/>
      <c r="ER33" s="489"/>
      <c r="ES33" s="489"/>
      <c r="ET33" s="489"/>
      <c r="EU33" s="489"/>
      <c r="EV33" s="489"/>
      <c r="EW33" s="489"/>
      <c r="EX33" s="489"/>
      <c r="EY33" s="489"/>
      <c r="EZ33" s="489"/>
      <c r="FA33" s="489"/>
      <c r="FB33" s="489"/>
      <c r="FC33" s="489"/>
      <c r="FD33" s="489"/>
      <c r="FE33" s="489"/>
      <c r="FF33" s="489"/>
      <c r="FG33" s="489"/>
      <c r="FH33" s="489"/>
      <c r="FI33" s="489"/>
      <c r="FJ33" s="489"/>
      <c r="FK33" s="489"/>
      <c r="FL33" s="489"/>
      <c r="FM33" s="489"/>
      <c r="FN33" s="489"/>
      <c r="FO33" s="489"/>
      <c r="FP33" s="489"/>
      <c r="FQ33" s="489"/>
      <c r="FR33" s="489"/>
      <c r="FS33" s="489"/>
      <c r="FT33" s="489"/>
      <c r="FU33" s="489"/>
      <c r="FV33" s="489"/>
      <c r="FW33" s="489"/>
      <c r="FX33" s="489"/>
      <c r="FY33" s="489"/>
      <c r="FZ33" s="489"/>
      <c r="GA33" s="489"/>
      <c r="GB33" s="489"/>
      <c r="GC33" s="489"/>
      <c r="GD33" s="489"/>
      <c r="GE33" s="489"/>
      <c r="GF33" s="489"/>
      <c r="GG33" s="489"/>
      <c r="GH33" s="489"/>
      <c r="GI33" s="489"/>
      <c r="GJ33" s="489"/>
      <c r="GK33" s="489"/>
      <c r="GL33" s="489"/>
      <c r="GM33" s="489"/>
      <c r="GN33" s="489"/>
      <c r="GO33" s="489"/>
      <c r="GP33" s="489"/>
      <c r="GQ33" s="489"/>
      <c r="GR33" s="489"/>
      <c r="GS33" s="489"/>
      <c r="GT33" s="489"/>
      <c r="GU33" s="489"/>
      <c r="GV33" s="489"/>
      <c r="GW33" s="489"/>
      <c r="GX33" s="489"/>
      <c r="GY33" s="489"/>
      <c r="GZ33" s="489"/>
      <c r="HA33" s="489"/>
      <c r="HB33" s="489"/>
      <c r="HC33" s="489"/>
      <c r="HD33" s="489"/>
      <c r="HE33" s="489"/>
      <c r="HF33" s="489"/>
      <c r="HG33" s="489"/>
      <c r="HH33" s="489"/>
      <c r="HI33" s="489"/>
      <c r="HJ33" s="489"/>
      <c r="HK33" s="489"/>
      <c r="HL33" s="489"/>
      <c r="HM33" s="489"/>
      <c r="HN33" s="489"/>
      <c r="HO33" s="489"/>
      <c r="HP33" s="489"/>
      <c r="HQ33" s="489"/>
      <c r="HR33" s="489"/>
      <c r="HS33" s="489"/>
      <c r="HT33" s="489"/>
      <c r="HU33" s="489"/>
      <c r="HV33" s="489"/>
      <c r="HW33" s="489"/>
      <c r="HX33" s="487"/>
    </row>
    <row r="34" spans="1:232" s="637" customFormat="1" ht="19.5" customHeight="1">
      <c r="A34" s="885" t="s">
        <v>1027</v>
      </c>
      <c r="B34" s="1602" t="s">
        <v>1045</v>
      </c>
      <c r="C34" s="1602"/>
      <c r="D34" s="1602"/>
      <c r="E34" s="1602"/>
      <c r="F34" s="1602"/>
      <c r="G34" s="1602"/>
      <c r="H34" s="1602"/>
      <c r="I34" s="1602"/>
      <c r="J34" s="1602"/>
      <c r="K34" s="491"/>
      <c r="L34" s="477"/>
      <c r="M34" s="477"/>
      <c r="N34" s="492"/>
      <c r="O34" s="492"/>
      <c r="P34" s="492"/>
      <c r="Q34" s="492"/>
      <c r="R34" s="492"/>
      <c r="S34" s="492"/>
      <c r="T34" s="492"/>
      <c r="U34" s="489"/>
      <c r="V34" s="489"/>
      <c r="W34" s="489"/>
      <c r="X34" s="489"/>
      <c r="Y34" s="489"/>
      <c r="Z34" s="489"/>
      <c r="AA34" s="489"/>
      <c r="AB34" s="489"/>
      <c r="AC34" s="489"/>
      <c r="AD34" s="489"/>
      <c r="AE34" s="489"/>
      <c r="AF34" s="489"/>
      <c r="AG34" s="489"/>
      <c r="AH34" s="489"/>
      <c r="AI34" s="489"/>
      <c r="AJ34" s="489"/>
      <c r="AK34" s="489"/>
      <c r="AL34" s="489"/>
      <c r="AM34" s="489"/>
      <c r="AN34" s="489"/>
      <c r="AO34" s="489"/>
      <c r="AP34" s="489"/>
      <c r="AQ34" s="489"/>
      <c r="AR34" s="489"/>
      <c r="AS34" s="489"/>
      <c r="AT34" s="489"/>
      <c r="AU34" s="489"/>
      <c r="AV34" s="489"/>
      <c r="AW34" s="489"/>
      <c r="AX34" s="489"/>
      <c r="AY34" s="489"/>
      <c r="AZ34" s="489"/>
      <c r="BA34" s="489"/>
      <c r="BB34" s="489"/>
      <c r="BC34" s="489"/>
      <c r="BD34" s="489"/>
      <c r="BE34" s="489"/>
      <c r="BF34" s="489"/>
      <c r="BG34" s="489"/>
      <c r="BH34" s="489"/>
      <c r="BI34" s="489"/>
      <c r="BJ34" s="489"/>
      <c r="BK34" s="489"/>
      <c r="BL34" s="489"/>
      <c r="BM34" s="489"/>
      <c r="BN34" s="489"/>
      <c r="BO34" s="489"/>
      <c r="BP34" s="489"/>
      <c r="BQ34" s="489"/>
      <c r="BR34" s="489"/>
      <c r="BS34" s="489"/>
      <c r="BT34" s="489"/>
      <c r="BU34" s="489"/>
      <c r="BV34" s="489"/>
      <c r="BW34" s="489"/>
      <c r="BX34" s="489"/>
      <c r="BY34" s="489"/>
      <c r="BZ34" s="489"/>
      <c r="CA34" s="489"/>
      <c r="CB34" s="489"/>
      <c r="CC34" s="489"/>
      <c r="CD34" s="489"/>
      <c r="CE34" s="489"/>
      <c r="CF34" s="489"/>
      <c r="CG34" s="489"/>
      <c r="CH34" s="489"/>
      <c r="CI34" s="489"/>
      <c r="CJ34" s="489"/>
      <c r="CK34" s="489"/>
      <c r="CL34" s="489"/>
      <c r="CM34" s="489"/>
      <c r="CN34" s="489"/>
      <c r="CO34" s="489"/>
      <c r="CP34" s="489"/>
      <c r="CQ34" s="489"/>
      <c r="CR34" s="489"/>
      <c r="CS34" s="489"/>
      <c r="CT34" s="489"/>
      <c r="CU34" s="489"/>
      <c r="CV34" s="489"/>
      <c r="CW34" s="489"/>
      <c r="CX34" s="489"/>
      <c r="CY34" s="489"/>
      <c r="CZ34" s="489"/>
      <c r="DA34" s="489"/>
      <c r="DB34" s="489"/>
      <c r="DC34" s="489"/>
      <c r="DD34" s="489"/>
      <c r="DE34" s="489"/>
      <c r="DF34" s="489"/>
      <c r="DG34" s="489"/>
      <c r="DH34" s="489"/>
      <c r="DI34" s="489"/>
      <c r="DJ34" s="489"/>
      <c r="DK34" s="489"/>
      <c r="DL34" s="489"/>
      <c r="DM34" s="489"/>
      <c r="DN34" s="489"/>
      <c r="DO34" s="489"/>
      <c r="DP34" s="489"/>
      <c r="DQ34" s="489"/>
      <c r="DR34" s="489"/>
      <c r="DS34" s="489"/>
      <c r="DT34" s="489"/>
      <c r="DU34" s="489"/>
      <c r="DV34" s="489"/>
      <c r="DW34" s="489"/>
      <c r="DX34" s="489"/>
      <c r="DY34" s="489"/>
      <c r="DZ34" s="489"/>
      <c r="EA34" s="489"/>
      <c r="EB34" s="489"/>
      <c r="EC34" s="489"/>
      <c r="ED34" s="489"/>
      <c r="EE34" s="489"/>
      <c r="EF34" s="489"/>
      <c r="EG34" s="489"/>
      <c r="EH34" s="489"/>
      <c r="EI34" s="489"/>
      <c r="EJ34" s="489"/>
      <c r="EK34" s="489"/>
      <c r="EL34" s="489"/>
      <c r="EM34" s="489"/>
      <c r="EN34" s="489"/>
      <c r="EO34" s="489"/>
      <c r="EP34" s="489"/>
      <c r="EQ34" s="489"/>
      <c r="ER34" s="489"/>
      <c r="ES34" s="489"/>
      <c r="ET34" s="489"/>
      <c r="EU34" s="489"/>
      <c r="EV34" s="489"/>
      <c r="EW34" s="489"/>
      <c r="EX34" s="489"/>
      <c r="EY34" s="489"/>
      <c r="EZ34" s="489"/>
      <c r="FA34" s="489"/>
      <c r="FB34" s="489"/>
      <c r="FC34" s="489"/>
      <c r="FD34" s="489"/>
      <c r="FE34" s="489"/>
      <c r="FF34" s="489"/>
      <c r="FG34" s="489"/>
      <c r="FH34" s="489"/>
      <c r="FI34" s="489"/>
      <c r="FJ34" s="489"/>
      <c r="FK34" s="489"/>
      <c r="FL34" s="489"/>
      <c r="FM34" s="489"/>
      <c r="FN34" s="489"/>
      <c r="FO34" s="489"/>
      <c r="FP34" s="489"/>
      <c r="FQ34" s="489"/>
      <c r="FR34" s="489"/>
      <c r="FS34" s="489"/>
      <c r="FT34" s="489"/>
      <c r="FU34" s="489"/>
      <c r="FV34" s="489"/>
      <c r="FW34" s="489"/>
      <c r="FX34" s="489"/>
      <c r="FY34" s="489"/>
      <c r="FZ34" s="489"/>
      <c r="GA34" s="489"/>
      <c r="GB34" s="489"/>
      <c r="GC34" s="489"/>
      <c r="GD34" s="489"/>
      <c r="GE34" s="489"/>
      <c r="GF34" s="489"/>
      <c r="GG34" s="489"/>
      <c r="GH34" s="489"/>
      <c r="GI34" s="489"/>
      <c r="GJ34" s="489"/>
      <c r="GK34" s="489"/>
      <c r="GL34" s="489"/>
      <c r="GM34" s="489"/>
      <c r="GN34" s="489"/>
      <c r="GO34" s="489"/>
      <c r="GP34" s="489"/>
      <c r="GQ34" s="489"/>
      <c r="GR34" s="489"/>
      <c r="GS34" s="489"/>
      <c r="GT34" s="489"/>
      <c r="GU34" s="489"/>
      <c r="GV34" s="489"/>
      <c r="GW34" s="489"/>
      <c r="GX34" s="489"/>
      <c r="GY34" s="489"/>
      <c r="GZ34" s="489"/>
      <c r="HA34" s="489"/>
      <c r="HB34" s="489"/>
      <c r="HC34" s="489"/>
      <c r="HD34" s="489"/>
      <c r="HE34" s="489"/>
      <c r="HF34" s="489"/>
      <c r="HG34" s="489"/>
      <c r="HH34" s="489"/>
      <c r="HI34" s="489"/>
      <c r="HJ34" s="489"/>
      <c r="HK34" s="489"/>
      <c r="HL34" s="489"/>
      <c r="HM34" s="489"/>
      <c r="HN34" s="489"/>
      <c r="HO34" s="489"/>
      <c r="HP34" s="489"/>
      <c r="HQ34" s="489"/>
      <c r="HR34" s="489"/>
      <c r="HS34" s="489"/>
      <c r="HT34" s="489"/>
      <c r="HU34" s="489"/>
      <c r="HV34" s="489"/>
      <c r="HW34" s="489"/>
      <c r="HX34" s="487"/>
    </row>
    <row r="35" spans="1:232" s="637" customFormat="1" ht="19.5" customHeight="1">
      <c r="A35" s="885" t="s">
        <v>1027</v>
      </c>
      <c r="B35" s="917" t="str">
        <f>'8'!B150</f>
        <v>TCVN 5308 - 1991: Quy trình kỹ thuật an toàn trong xây dựng.</v>
      </c>
      <c r="C35" s="742"/>
      <c r="D35" s="742"/>
      <c r="E35" s="742"/>
      <c r="F35" s="742"/>
      <c r="G35" s="742"/>
      <c r="H35" s="742"/>
      <c r="I35" s="742"/>
      <c r="J35" s="742"/>
      <c r="K35" s="491"/>
      <c r="L35" s="477"/>
      <c r="M35" s="477"/>
      <c r="N35" s="492"/>
      <c r="O35" s="492"/>
      <c r="P35" s="492"/>
      <c r="Q35" s="492"/>
      <c r="R35" s="492"/>
      <c r="S35" s="492"/>
      <c r="T35" s="492"/>
      <c r="U35" s="489"/>
      <c r="V35" s="489"/>
      <c r="W35" s="489"/>
      <c r="X35" s="489"/>
      <c r="Y35" s="489"/>
      <c r="Z35" s="489"/>
      <c r="AA35" s="489"/>
      <c r="AB35" s="489"/>
      <c r="AC35" s="489"/>
      <c r="AD35" s="489"/>
      <c r="AE35" s="489"/>
      <c r="AF35" s="489"/>
      <c r="AG35" s="489"/>
      <c r="AH35" s="489"/>
      <c r="AI35" s="489"/>
      <c r="AJ35" s="489"/>
      <c r="AK35" s="489"/>
      <c r="AL35" s="489"/>
      <c r="AM35" s="489"/>
      <c r="AN35" s="489"/>
      <c r="AO35" s="489"/>
      <c r="AP35" s="489"/>
      <c r="AQ35" s="489"/>
      <c r="AR35" s="489"/>
      <c r="AS35" s="489"/>
      <c r="AT35" s="489"/>
      <c r="AU35" s="489"/>
      <c r="AV35" s="489"/>
      <c r="AW35" s="489"/>
      <c r="AX35" s="489"/>
      <c r="AY35" s="489"/>
      <c r="AZ35" s="489"/>
      <c r="BA35" s="489"/>
      <c r="BB35" s="489"/>
      <c r="BC35" s="489"/>
      <c r="BD35" s="489"/>
      <c r="BE35" s="489"/>
      <c r="BF35" s="489"/>
      <c r="BG35" s="489"/>
      <c r="BH35" s="489"/>
      <c r="BI35" s="489"/>
      <c r="BJ35" s="489"/>
      <c r="BK35" s="489"/>
      <c r="BL35" s="489"/>
      <c r="BM35" s="489"/>
      <c r="BN35" s="489"/>
      <c r="BO35" s="489"/>
      <c r="BP35" s="489"/>
      <c r="BQ35" s="489"/>
      <c r="BR35" s="489"/>
      <c r="BS35" s="489"/>
      <c r="BT35" s="489"/>
      <c r="BU35" s="489"/>
      <c r="BV35" s="489"/>
      <c r="BW35" s="489"/>
      <c r="BX35" s="489"/>
      <c r="BY35" s="489"/>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89"/>
      <c r="DJ35" s="489"/>
      <c r="DK35" s="489"/>
      <c r="DL35" s="489"/>
      <c r="DM35" s="489"/>
      <c r="DN35" s="489"/>
      <c r="DO35" s="489"/>
      <c r="DP35" s="489"/>
      <c r="DQ35" s="489"/>
      <c r="DR35" s="489"/>
      <c r="DS35" s="489"/>
      <c r="DT35" s="489"/>
      <c r="DU35" s="489"/>
      <c r="DV35" s="489"/>
      <c r="DW35" s="489"/>
      <c r="DX35" s="489"/>
      <c r="DY35" s="489"/>
      <c r="DZ35" s="489"/>
      <c r="EA35" s="489"/>
      <c r="EB35" s="489"/>
      <c r="EC35" s="489"/>
      <c r="ED35" s="489"/>
      <c r="EE35" s="489"/>
      <c r="EF35" s="489"/>
      <c r="EG35" s="489"/>
      <c r="EH35" s="489"/>
      <c r="EI35" s="489"/>
      <c r="EJ35" s="489"/>
      <c r="EK35" s="489"/>
      <c r="EL35" s="489"/>
      <c r="EM35" s="489"/>
      <c r="EN35" s="489"/>
      <c r="EO35" s="489"/>
      <c r="EP35" s="489"/>
      <c r="EQ35" s="489"/>
      <c r="ER35" s="489"/>
      <c r="ES35" s="489"/>
      <c r="ET35" s="489"/>
      <c r="EU35" s="489"/>
      <c r="EV35" s="489"/>
      <c r="EW35" s="489"/>
      <c r="EX35" s="489"/>
      <c r="EY35" s="489"/>
      <c r="EZ35" s="489"/>
      <c r="FA35" s="489"/>
      <c r="FB35" s="489"/>
      <c r="FC35" s="489"/>
      <c r="FD35" s="489"/>
      <c r="FE35" s="489"/>
      <c r="FF35" s="489"/>
      <c r="FG35" s="489"/>
      <c r="FH35" s="489"/>
      <c r="FI35" s="489"/>
      <c r="FJ35" s="489"/>
      <c r="FK35" s="489"/>
      <c r="FL35" s="489"/>
      <c r="FM35" s="489"/>
      <c r="FN35" s="489"/>
      <c r="FO35" s="489"/>
      <c r="FP35" s="489"/>
      <c r="FQ35" s="489"/>
      <c r="FR35" s="489"/>
      <c r="FS35" s="489"/>
      <c r="FT35" s="489"/>
      <c r="FU35" s="489"/>
      <c r="FV35" s="489"/>
      <c r="FW35" s="489"/>
      <c r="FX35" s="489"/>
      <c r="FY35" s="489"/>
      <c r="FZ35" s="489"/>
      <c r="GA35" s="489"/>
      <c r="GB35" s="489"/>
      <c r="GC35" s="489"/>
      <c r="GD35" s="489"/>
      <c r="GE35" s="489"/>
      <c r="GF35" s="489"/>
      <c r="GG35" s="489"/>
      <c r="GH35" s="489"/>
      <c r="GI35" s="489"/>
      <c r="GJ35" s="489"/>
      <c r="GK35" s="489"/>
      <c r="GL35" s="489"/>
      <c r="GM35" s="489"/>
      <c r="GN35" s="489"/>
      <c r="GO35" s="489"/>
      <c r="GP35" s="489"/>
      <c r="GQ35" s="489"/>
      <c r="GR35" s="489"/>
      <c r="GS35" s="489"/>
      <c r="GT35" s="489"/>
      <c r="GU35" s="489"/>
      <c r="GV35" s="489"/>
      <c r="GW35" s="489"/>
      <c r="GX35" s="489"/>
      <c r="GY35" s="489"/>
      <c r="GZ35" s="489"/>
      <c r="HA35" s="489"/>
      <c r="HB35" s="489"/>
      <c r="HC35" s="489"/>
      <c r="HD35" s="489"/>
      <c r="HE35" s="489"/>
      <c r="HF35" s="489"/>
      <c r="HG35" s="489"/>
      <c r="HH35" s="489"/>
      <c r="HI35" s="489"/>
      <c r="HJ35" s="489"/>
      <c r="HK35" s="489"/>
      <c r="HL35" s="489"/>
      <c r="HM35" s="489"/>
      <c r="HN35" s="489"/>
      <c r="HO35" s="489"/>
      <c r="HP35" s="489"/>
      <c r="HQ35" s="489"/>
      <c r="HR35" s="489"/>
      <c r="HS35" s="489"/>
      <c r="HT35" s="489"/>
      <c r="HU35" s="489"/>
      <c r="HV35" s="489"/>
      <c r="HW35" s="489"/>
      <c r="HX35" s="487"/>
    </row>
    <row r="36" spans="1:232" s="637" customFormat="1" ht="20.100000000000001" customHeight="1">
      <c r="A36" s="886" t="s">
        <v>1031</v>
      </c>
      <c r="C36" s="491"/>
      <c r="D36" s="491"/>
      <c r="E36" s="491"/>
      <c r="F36" s="491"/>
      <c r="G36" s="491"/>
      <c r="H36" s="491"/>
      <c r="I36" s="491"/>
      <c r="J36" s="491"/>
      <c r="K36" s="491"/>
      <c r="L36" s="477"/>
      <c r="M36" s="477"/>
      <c r="N36" s="477"/>
      <c r="O36" s="477"/>
      <c r="P36" s="477"/>
      <c r="Q36" s="477"/>
      <c r="R36" s="477"/>
      <c r="S36" s="477"/>
      <c r="T36" s="492"/>
      <c r="U36" s="489"/>
      <c r="V36" s="489"/>
      <c r="W36" s="489"/>
      <c r="X36" s="489"/>
      <c r="Y36" s="489"/>
      <c r="Z36" s="489"/>
      <c r="AA36" s="489"/>
      <c r="AB36" s="489"/>
      <c r="AC36" s="489"/>
      <c r="AD36" s="489"/>
      <c r="AE36" s="489"/>
      <c r="AF36" s="489"/>
      <c r="AG36" s="489"/>
      <c r="AH36" s="489"/>
      <c r="AI36" s="489"/>
      <c r="AJ36" s="489"/>
      <c r="AK36" s="489"/>
      <c r="AL36" s="489"/>
      <c r="AM36" s="489"/>
      <c r="AN36" s="489"/>
      <c r="AO36" s="489"/>
      <c r="AP36" s="489"/>
      <c r="AQ36" s="489"/>
      <c r="AR36" s="489"/>
      <c r="AS36" s="489"/>
      <c r="AT36" s="489"/>
      <c r="AU36" s="489"/>
      <c r="AV36" s="489"/>
      <c r="AW36" s="489"/>
      <c r="AX36" s="489"/>
      <c r="AY36" s="489"/>
      <c r="AZ36" s="489"/>
      <c r="BA36" s="489"/>
      <c r="BB36" s="489"/>
      <c r="BC36" s="489"/>
      <c r="BD36" s="489"/>
      <c r="BE36" s="489"/>
      <c r="BF36" s="489"/>
      <c r="BG36" s="489"/>
      <c r="BH36" s="489"/>
      <c r="BI36" s="489"/>
      <c r="BJ36" s="489"/>
      <c r="BK36" s="489"/>
      <c r="BL36" s="489"/>
      <c r="BM36" s="489"/>
      <c r="BN36" s="489"/>
      <c r="BO36" s="489"/>
      <c r="BP36" s="489"/>
      <c r="BQ36" s="489"/>
      <c r="BR36" s="489"/>
      <c r="BS36" s="489"/>
      <c r="BT36" s="489"/>
      <c r="BU36" s="489"/>
      <c r="BV36" s="489"/>
      <c r="BW36" s="489"/>
      <c r="BX36" s="489"/>
      <c r="BY36" s="489"/>
      <c r="BZ36" s="489"/>
      <c r="CA36" s="489"/>
      <c r="CB36" s="489"/>
      <c r="CC36" s="489"/>
      <c r="CD36" s="489"/>
      <c r="CE36" s="489"/>
      <c r="CF36" s="489"/>
      <c r="CG36" s="489"/>
      <c r="CH36" s="489"/>
      <c r="CI36" s="489"/>
      <c r="CJ36" s="489"/>
      <c r="CK36" s="489"/>
      <c r="CL36" s="489"/>
      <c r="CM36" s="489"/>
      <c r="CN36" s="489"/>
      <c r="CO36" s="489"/>
      <c r="CP36" s="489"/>
      <c r="CQ36" s="489"/>
      <c r="CR36" s="489"/>
      <c r="CS36" s="489"/>
      <c r="CT36" s="489"/>
      <c r="CU36" s="489"/>
      <c r="CV36" s="489"/>
      <c r="CW36" s="489"/>
      <c r="CX36" s="489"/>
      <c r="CY36" s="489"/>
      <c r="CZ36" s="489"/>
      <c r="DA36" s="489"/>
      <c r="DB36" s="489"/>
      <c r="DC36" s="489"/>
      <c r="DD36" s="489"/>
      <c r="DE36" s="489"/>
      <c r="DF36" s="489"/>
      <c r="DG36" s="489"/>
      <c r="DH36" s="489"/>
      <c r="DI36" s="489"/>
      <c r="DJ36" s="489"/>
      <c r="DK36" s="489"/>
      <c r="DL36" s="489"/>
      <c r="DM36" s="489"/>
      <c r="DN36" s="489"/>
      <c r="DO36" s="489"/>
      <c r="DP36" s="489"/>
      <c r="DQ36" s="489"/>
      <c r="DR36" s="489"/>
      <c r="DS36" s="489"/>
      <c r="DT36" s="489"/>
      <c r="DU36" s="489"/>
      <c r="DV36" s="489"/>
      <c r="DW36" s="489"/>
      <c r="DX36" s="489"/>
      <c r="DY36" s="489"/>
      <c r="DZ36" s="489"/>
      <c r="EA36" s="489"/>
      <c r="EB36" s="489"/>
      <c r="EC36" s="489"/>
      <c r="ED36" s="489"/>
      <c r="EE36" s="489"/>
      <c r="EF36" s="489"/>
      <c r="EG36" s="489"/>
      <c r="EH36" s="489"/>
      <c r="EI36" s="489"/>
      <c r="EJ36" s="489"/>
      <c r="EK36" s="489"/>
      <c r="EL36" s="489"/>
      <c r="EM36" s="489"/>
      <c r="EN36" s="489"/>
      <c r="EO36" s="489"/>
      <c r="EP36" s="489"/>
      <c r="EQ36" s="489"/>
      <c r="ER36" s="489"/>
      <c r="ES36" s="489"/>
      <c r="ET36" s="489"/>
      <c r="EU36" s="489"/>
      <c r="EV36" s="489"/>
      <c r="EW36" s="489"/>
      <c r="EX36" s="489"/>
      <c r="EY36" s="489"/>
      <c r="EZ36" s="489"/>
      <c r="FA36" s="489"/>
      <c r="FB36" s="489"/>
      <c r="FC36" s="489"/>
      <c r="FD36" s="489"/>
      <c r="FE36" s="489"/>
      <c r="FF36" s="489"/>
      <c r="FG36" s="489"/>
      <c r="FH36" s="489"/>
      <c r="FI36" s="489"/>
      <c r="FJ36" s="489"/>
      <c r="FK36" s="489"/>
      <c r="FL36" s="489"/>
      <c r="FM36" s="489"/>
      <c r="FN36" s="489"/>
      <c r="FO36" s="489"/>
      <c r="FP36" s="489"/>
      <c r="FQ36" s="489"/>
      <c r="FR36" s="489"/>
      <c r="FS36" s="489"/>
      <c r="FT36" s="489"/>
      <c r="FU36" s="489"/>
      <c r="FV36" s="489"/>
      <c r="FW36" s="489"/>
      <c r="FX36" s="489"/>
      <c r="FY36" s="489"/>
      <c r="FZ36" s="489"/>
      <c r="GA36" s="489"/>
      <c r="GB36" s="489"/>
      <c r="GC36" s="489"/>
      <c r="GD36" s="489"/>
      <c r="GE36" s="489"/>
      <c r="GF36" s="489"/>
      <c r="GG36" s="489"/>
      <c r="GH36" s="489"/>
      <c r="GI36" s="489"/>
      <c r="GJ36" s="489"/>
      <c r="GK36" s="489"/>
      <c r="GL36" s="489"/>
      <c r="GM36" s="489"/>
      <c r="GN36" s="489"/>
      <c r="GO36" s="489"/>
      <c r="GP36" s="489"/>
      <c r="GQ36" s="489"/>
      <c r="GR36" s="489"/>
      <c r="GS36" s="489"/>
      <c r="GT36" s="489"/>
      <c r="GU36" s="489"/>
      <c r="GV36" s="489"/>
      <c r="GW36" s="489"/>
      <c r="GX36" s="489"/>
      <c r="GY36" s="489"/>
      <c r="GZ36" s="489"/>
      <c r="HA36" s="489"/>
      <c r="HB36" s="489"/>
      <c r="HC36" s="489"/>
      <c r="HD36" s="489"/>
      <c r="HE36" s="489"/>
      <c r="HF36" s="489"/>
      <c r="HG36" s="489"/>
      <c r="HH36" s="489"/>
      <c r="HI36" s="489"/>
      <c r="HJ36" s="489"/>
      <c r="HK36" s="489"/>
      <c r="HL36" s="489"/>
      <c r="HM36" s="489"/>
      <c r="HN36" s="489"/>
      <c r="HO36" s="489"/>
      <c r="HP36" s="489"/>
      <c r="HQ36" s="489"/>
      <c r="HR36" s="489"/>
      <c r="HS36" s="489"/>
      <c r="HT36" s="489"/>
      <c r="HU36" s="489"/>
      <c r="HV36" s="489"/>
      <c r="HW36" s="489"/>
      <c r="HX36" s="487"/>
    </row>
    <row r="37" spans="1:232" s="637" customFormat="1" ht="20.100000000000001" customHeight="1">
      <c r="A37" s="890" t="s">
        <v>1037</v>
      </c>
      <c r="B37" s="491"/>
      <c r="C37" s="491"/>
      <c r="D37" s="491"/>
      <c r="E37" s="491"/>
      <c r="F37" s="491"/>
      <c r="G37" s="491"/>
      <c r="H37" s="491"/>
      <c r="I37" s="491"/>
      <c r="J37" s="491"/>
      <c r="K37" s="491"/>
      <c r="L37" s="477"/>
      <c r="M37" s="477"/>
      <c r="N37" s="477"/>
      <c r="O37" s="477"/>
      <c r="P37" s="477"/>
      <c r="Q37" s="477"/>
      <c r="R37" s="477"/>
      <c r="S37" s="477"/>
      <c r="T37" s="492"/>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89"/>
      <c r="BV37" s="489"/>
      <c r="BW37" s="489"/>
      <c r="BX37" s="489"/>
      <c r="BY37" s="489"/>
      <c r="BZ37" s="489"/>
      <c r="CA37" s="489"/>
      <c r="CB37" s="489"/>
      <c r="CC37" s="489"/>
      <c r="CD37" s="489"/>
      <c r="CE37" s="489"/>
      <c r="CF37" s="489"/>
      <c r="CG37" s="489"/>
      <c r="CH37" s="489"/>
      <c r="CI37" s="489"/>
      <c r="CJ37" s="489"/>
      <c r="CK37" s="489"/>
      <c r="CL37" s="489"/>
      <c r="CM37" s="489"/>
      <c r="CN37" s="489"/>
      <c r="CO37" s="489"/>
      <c r="CP37" s="489"/>
      <c r="CQ37" s="489"/>
      <c r="CR37" s="489"/>
      <c r="CS37" s="489"/>
      <c r="CT37" s="489"/>
      <c r="CU37" s="489"/>
      <c r="CV37" s="489"/>
      <c r="CW37" s="489"/>
      <c r="CX37" s="489"/>
      <c r="CY37" s="489"/>
      <c r="CZ37" s="489"/>
      <c r="DA37" s="489"/>
      <c r="DB37" s="489"/>
      <c r="DC37" s="489"/>
      <c r="DD37" s="489"/>
      <c r="DE37" s="489"/>
      <c r="DF37" s="489"/>
      <c r="DG37" s="489"/>
      <c r="DH37" s="489"/>
      <c r="DI37" s="489"/>
      <c r="DJ37" s="489"/>
      <c r="DK37" s="489"/>
      <c r="DL37" s="489"/>
      <c r="DM37" s="489"/>
      <c r="DN37" s="489"/>
      <c r="DO37" s="489"/>
      <c r="DP37" s="489"/>
      <c r="DQ37" s="489"/>
      <c r="DR37" s="489"/>
      <c r="DS37" s="489"/>
      <c r="DT37" s="489"/>
      <c r="DU37" s="489"/>
      <c r="DV37" s="489"/>
      <c r="DW37" s="489"/>
      <c r="DX37" s="489"/>
      <c r="DY37" s="489"/>
      <c r="DZ37" s="489"/>
      <c r="EA37" s="489"/>
      <c r="EB37" s="489"/>
      <c r="EC37" s="489"/>
      <c r="ED37" s="489"/>
      <c r="EE37" s="489"/>
      <c r="EF37" s="489"/>
      <c r="EG37" s="489"/>
      <c r="EH37" s="489"/>
      <c r="EI37" s="489"/>
      <c r="EJ37" s="489"/>
      <c r="EK37" s="489"/>
      <c r="EL37" s="489"/>
      <c r="EM37" s="489"/>
      <c r="EN37" s="489"/>
      <c r="EO37" s="489"/>
      <c r="EP37" s="489"/>
      <c r="EQ37" s="489"/>
      <c r="ER37" s="489"/>
      <c r="ES37" s="489"/>
      <c r="ET37" s="489"/>
      <c r="EU37" s="489"/>
      <c r="EV37" s="489"/>
      <c r="EW37" s="489"/>
      <c r="EX37" s="489"/>
      <c r="EY37" s="489"/>
      <c r="EZ37" s="489"/>
      <c r="FA37" s="489"/>
      <c r="FB37" s="489"/>
      <c r="FC37" s="489"/>
      <c r="FD37" s="489"/>
      <c r="FE37" s="489"/>
      <c r="FF37" s="489"/>
      <c r="FG37" s="489"/>
      <c r="FH37" s="489"/>
      <c r="FI37" s="489"/>
      <c r="FJ37" s="489"/>
      <c r="FK37" s="489"/>
      <c r="FL37" s="489"/>
      <c r="FM37" s="489"/>
      <c r="FN37" s="489"/>
      <c r="FO37" s="489"/>
      <c r="FP37" s="489"/>
      <c r="FQ37" s="489"/>
      <c r="FR37" s="489"/>
      <c r="FS37" s="489"/>
      <c r="FT37" s="489"/>
      <c r="FU37" s="489"/>
      <c r="FV37" s="489"/>
      <c r="FW37" s="489"/>
      <c r="FX37" s="489"/>
      <c r="FY37" s="489"/>
      <c r="FZ37" s="489"/>
      <c r="GA37" s="489"/>
      <c r="GB37" s="489"/>
      <c r="GC37" s="489"/>
      <c r="GD37" s="489"/>
      <c r="GE37" s="489"/>
      <c r="GF37" s="489"/>
      <c r="GG37" s="489"/>
      <c r="GH37" s="489"/>
      <c r="GI37" s="489"/>
      <c r="GJ37" s="489"/>
      <c r="GK37" s="489"/>
      <c r="GL37" s="489"/>
      <c r="GM37" s="489"/>
      <c r="GN37" s="489"/>
      <c r="GO37" s="489"/>
      <c r="GP37" s="489"/>
      <c r="GQ37" s="489"/>
      <c r="GR37" s="489"/>
      <c r="GS37" s="489"/>
      <c r="GT37" s="489"/>
      <c r="GU37" s="489"/>
      <c r="GV37" s="489"/>
      <c r="GW37" s="489"/>
      <c r="GX37" s="489"/>
      <c r="GY37" s="489"/>
      <c r="GZ37" s="489"/>
      <c r="HA37" s="489"/>
      <c r="HB37" s="489"/>
      <c r="HC37" s="489"/>
      <c r="HD37" s="489"/>
      <c r="HE37" s="489"/>
      <c r="HF37" s="489"/>
      <c r="HG37" s="489"/>
      <c r="HH37" s="489"/>
      <c r="HI37" s="489"/>
      <c r="HJ37" s="489"/>
      <c r="HK37" s="489"/>
      <c r="HL37" s="489"/>
      <c r="HM37" s="489"/>
      <c r="HN37" s="489"/>
      <c r="HO37" s="489"/>
      <c r="HP37" s="489"/>
      <c r="HQ37" s="489"/>
      <c r="HR37" s="489"/>
      <c r="HS37" s="489"/>
      <c r="HT37" s="489"/>
      <c r="HU37" s="489"/>
      <c r="HV37" s="489"/>
      <c r="HW37" s="489"/>
      <c r="HX37" s="487"/>
    </row>
    <row r="38" spans="1:232" s="45" customFormat="1" ht="20.100000000000001" customHeight="1">
      <c r="A38" s="493" t="s">
        <v>1040</v>
      </c>
      <c r="B38" s="489"/>
      <c r="C38" s="489"/>
      <c r="D38" s="489"/>
      <c r="E38" s="489"/>
      <c r="F38" s="489"/>
      <c r="G38" s="489"/>
      <c r="H38" s="489"/>
      <c r="I38" s="489"/>
      <c r="J38" s="489"/>
      <c r="K38" s="489"/>
      <c r="L38" s="494"/>
      <c r="M38" s="494"/>
      <c r="N38" s="492"/>
      <c r="O38" s="492"/>
      <c r="P38" s="492"/>
      <c r="Q38" s="492"/>
      <c r="R38" s="492"/>
      <c r="S38" s="492"/>
      <c r="T38" s="495"/>
      <c r="U38" s="496"/>
      <c r="V38" s="496"/>
      <c r="W38" s="496"/>
      <c r="X38" s="496"/>
      <c r="Y38" s="496"/>
      <c r="Z38" s="496"/>
      <c r="AA38" s="496"/>
      <c r="AB38" s="496"/>
      <c r="AC38" s="496"/>
      <c r="AD38" s="496"/>
      <c r="AE38" s="496"/>
      <c r="AF38" s="496"/>
      <c r="AG38" s="496"/>
      <c r="AH38" s="496"/>
      <c r="AI38" s="496"/>
      <c r="AJ38" s="496"/>
      <c r="AK38" s="496"/>
      <c r="AL38" s="496"/>
      <c r="AM38" s="496"/>
      <c r="AN38" s="496"/>
      <c r="AO38" s="496"/>
      <c r="AP38" s="496"/>
      <c r="AQ38" s="496"/>
      <c r="AR38" s="496"/>
      <c r="AS38" s="496"/>
      <c r="AT38" s="496"/>
      <c r="AU38" s="496"/>
      <c r="AV38" s="496"/>
      <c r="AW38" s="496"/>
      <c r="AX38" s="496"/>
      <c r="AY38" s="496"/>
      <c r="AZ38" s="496"/>
      <c r="BA38" s="496"/>
      <c r="BB38" s="496"/>
      <c r="BC38" s="496"/>
      <c r="BD38" s="496"/>
      <c r="BE38" s="496"/>
      <c r="BF38" s="496"/>
      <c r="BG38" s="496"/>
      <c r="BH38" s="496"/>
      <c r="BI38" s="496"/>
      <c r="BJ38" s="496"/>
      <c r="BK38" s="496"/>
      <c r="BL38" s="496"/>
      <c r="BM38" s="496"/>
      <c r="BN38" s="496"/>
      <c r="BO38" s="496"/>
      <c r="BP38" s="496"/>
      <c r="BQ38" s="496"/>
      <c r="BR38" s="496"/>
      <c r="BS38" s="496"/>
      <c r="BT38" s="496"/>
      <c r="BU38" s="496"/>
      <c r="BV38" s="496"/>
      <c r="BW38" s="496"/>
      <c r="BX38" s="496"/>
      <c r="BY38" s="496"/>
      <c r="BZ38" s="496"/>
      <c r="CA38" s="496"/>
      <c r="CB38" s="496"/>
      <c r="CC38" s="496"/>
      <c r="CD38" s="496"/>
      <c r="CE38" s="496"/>
      <c r="CF38" s="496"/>
      <c r="CG38" s="496"/>
      <c r="CH38" s="496"/>
      <c r="CI38" s="496"/>
      <c r="CJ38" s="496"/>
      <c r="CK38" s="496"/>
      <c r="CL38" s="496"/>
      <c r="CM38" s="496"/>
      <c r="CN38" s="496"/>
      <c r="CO38" s="496"/>
      <c r="CP38" s="496"/>
      <c r="CQ38" s="496"/>
      <c r="CR38" s="496"/>
      <c r="CS38" s="496"/>
      <c r="CT38" s="496"/>
      <c r="CU38" s="496"/>
      <c r="CV38" s="496"/>
      <c r="CW38" s="496"/>
      <c r="CX38" s="496"/>
      <c r="CY38" s="496"/>
      <c r="CZ38" s="496"/>
      <c r="DA38" s="496"/>
      <c r="DB38" s="496"/>
      <c r="DC38" s="496"/>
      <c r="DD38" s="496"/>
      <c r="DE38" s="496"/>
      <c r="DF38" s="496"/>
      <c r="DG38" s="496"/>
      <c r="DH38" s="496"/>
      <c r="DI38" s="496"/>
      <c r="DJ38" s="496"/>
      <c r="DK38" s="496"/>
      <c r="DL38" s="496"/>
      <c r="DM38" s="496"/>
      <c r="DN38" s="496"/>
      <c r="DO38" s="496"/>
      <c r="DP38" s="496"/>
      <c r="DQ38" s="496"/>
      <c r="DR38" s="496"/>
      <c r="DS38" s="496"/>
      <c r="DT38" s="496"/>
      <c r="DU38" s="496"/>
      <c r="DV38" s="496"/>
      <c r="DW38" s="496"/>
      <c r="DX38" s="496"/>
      <c r="DY38" s="496"/>
      <c r="DZ38" s="496"/>
      <c r="EA38" s="496"/>
      <c r="EB38" s="496"/>
      <c r="EC38" s="496"/>
      <c r="ED38" s="496"/>
      <c r="EE38" s="496"/>
      <c r="EF38" s="496"/>
      <c r="EG38" s="496"/>
      <c r="EH38" s="496"/>
      <c r="EI38" s="496"/>
      <c r="EJ38" s="496"/>
      <c r="EK38" s="496"/>
      <c r="EL38" s="496"/>
      <c r="EM38" s="496"/>
      <c r="EN38" s="496"/>
      <c r="EO38" s="496"/>
      <c r="EP38" s="496"/>
      <c r="EQ38" s="496"/>
      <c r="ER38" s="496"/>
      <c r="ES38" s="496"/>
      <c r="ET38" s="496"/>
      <c r="EU38" s="496"/>
      <c r="EV38" s="496"/>
      <c r="EW38" s="496"/>
      <c r="EX38" s="496"/>
      <c r="EY38" s="496"/>
      <c r="EZ38" s="496"/>
      <c r="FA38" s="496"/>
      <c r="FB38" s="496"/>
      <c r="FC38" s="496"/>
      <c r="FD38" s="496"/>
      <c r="FE38" s="496"/>
      <c r="FF38" s="496"/>
      <c r="FG38" s="496"/>
      <c r="FH38" s="496"/>
      <c r="FI38" s="496"/>
      <c r="FJ38" s="496"/>
      <c r="FK38" s="496"/>
      <c r="FL38" s="496"/>
      <c r="FM38" s="496"/>
      <c r="FN38" s="496"/>
      <c r="FO38" s="496"/>
      <c r="FP38" s="496"/>
      <c r="FQ38" s="496"/>
      <c r="FR38" s="496"/>
      <c r="FS38" s="496"/>
      <c r="FT38" s="496"/>
      <c r="FU38" s="496"/>
      <c r="FV38" s="496"/>
      <c r="FW38" s="496"/>
      <c r="FX38" s="496"/>
      <c r="FY38" s="496"/>
      <c r="FZ38" s="496"/>
      <c r="GA38" s="496"/>
      <c r="GB38" s="496"/>
      <c r="GC38" s="496"/>
      <c r="GD38" s="496"/>
      <c r="GE38" s="496"/>
      <c r="GF38" s="496"/>
      <c r="GG38" s="496"/>
      <c r="GH38" s="496"/>
      <c r="GI38" s="496"/>
      <c r="GJ38" s="496"/>
      <c r="GK38" s="496"/>
      <c r="GL38" s="496"/>
      <c r="GM38" s="496"/>
      <c r="GN38" s="496"/>
      <c r="GO38" s="496"/>
      <c r="GP38" s="496"/>
      <c r="GQ38" s="496"/>
      <c r="GR38" s="496"/>
      <c r="GS38" s="496"/>
      <c r="GT38" s="496"/>
      <c r="GU38" s="496"/>
      <c r="GV38" s="496"/>
      <c r="GW38" s="496"/>
      <c r="GX38" s="496"/>
      <c r="GY38" s="496"/>
      <c r="GZ38" s="496"/>
      <c r="HA38" s="496"/>
      <c r="HB38" s="496"/>
      <c r="HC38" s="496"/>
      <c r="HD38" s="496"/>
      <c r="HE38" s="496"/>
      <c r="HF38" s="496"/>
      <c r="HG38" s="496"/>
      <c r="HH38" s="496"/>
      <c r="HI38" s="496"/>
      <c r="HJ38" s="496"/>
      <c r="HK38" s="496"/>
      <c r="HL38" s="496"/>
      <c r="HM38" s="496"/>
      <c r="HN38" s="496"/>
      <c r="HO38" s="496"/>
      <c r="HP38" s="496"/>
      <c r="HQ38" s="496"/>
      <c r="HR38" s="496"/>
      <c r="HS38" s="496"/>
      <c r="HT38" s="496"/>
      <c r="HU38" s="496"/>
      <c r="HV38" s="496"/>
      <c r="HW38" s="490"/>
      <c r="HX38" s="490"/>
    </row>
    <row r="39" spans="1:232" s="5" customFormat="1" ht="20.100000000000001" customHeight="1">
      <c r="A39" s="497" t="s">
        <v>1046</v>
      </c>
      <c r="B39" s="498"/>
      <c r="C39" s="498"/>
      <c r="D39" s="498"/>
      <c r="E39" s="498"/>
      <c r="F39" s="498"/>
      <c r="G39" s="498"/>
      <c r="H39" s="498"/>
      <c r="I39" s="498"/>
      <c r="J39" s="498"/>
      <c r="K39" s="498"/>
      <c r="L39" s="494"/>
      <c r="M39" s="494"/>
      <c r="N39" s="495"/>
      <c r="O39" s="495"/>
      <c r="P39" s="495"/>
      <c r="Q39" s="495"/>
      <c r="R39" s="495"/>
      <c r="S39" s="495"/>
      <c r="T39" s="495"/>
      <c r="U39" s="489"/>
      <c r="V39" s="489"/>
      <c r="W39" s="489"/>
      <c r="X39" s="489"/>
      <c r="Y39" s="489"/>
      <c r="Z39" s="489"/>
      <c r="AA39" s="489"/>
      <c r="AB39" s="489"/>
      <c r="AC39" s="489"/>
      <c r="AD39" s="489"/>
      <c r="AE39" s="489"/>
      <c r="AF39" s="489"/>
      <c r="AG39" s="489"/>
      <c r="AH39" s="489"/>
      <c r="AI39" s="489"/>
      <c r="AJ39" s="489"/>
      <c r="AK39" s="489"/>
      <c r="AL39" s="489"/>
      <c r="AM39" s="489"/>
      <c r="AN39" s="489"/>
      <c r="AO39" s="489"/>
      <c r="AP39" s="489"/>
      <c r="AQ39" s="489"/>
      <c r="AR39" s="489"/>
      <c r="AS39" s="489"/>
      <c r="AT39" s="489"/>
      <c r="AU39" s="489"/>
      <c r="AV39" s="489"/>
      <c r="AW39" s="489"/>
      <c r="AX39" s="489"/>
      <c r="AY39" s="489"/>
      <c r="AZ39" s="489"/>
      <c r="BA39" s="489"/>
      <c r="BB39" s="489"/>
      <c r="BC39" s="489"/>
      <c r="BD39" s="489"/>
      <c r="BE39" s="489"/>
      <c r="BF39" s="489"/>
      <c r="BG39" s="489"/>
      <c r="BH39" s="489"/>
      <c r="BI39" s="489"/>
      <c r="BJ39" s="489"/>
      <c r="BK39" s="489"/>
      <c r="BL39" s="489"/>
      <c r="BM39" s="489"/>
      <c r="BN39" s="489"/>
      <c r="BO39" s="489"/>
      <c r="BP39" s="489"/>
      <c r="BQ39" s="489"/>
      <c r="BR39" s="489"/>
      <c r="BS39" s="489"/>
      <c r="BT39" s="489"/>
      <c r="BU39" s="489"/>
      <c r="BV39" s="489"/>
      <c r="BW39" s="489"/>
      <c r="BX39" s="489"/>
      <c r="BY39" s="489"/>
      <c r="BZ39" s="489"/>
      <c r="CA39" s="489"/>
      <c r="CB39" s="489"/>
      <c r="CC39" s="489"/>
      <c r="CD39" s="489"/>
      <c r="CE39" s="489"/>
      <c r="CF39" s="489"/>
      <c r="CG39" s="489"/>
      <c r="CH39" s="489"/>
      <c r="CI39" s="489"/>
      <c r="CJ39" s="489"/>
      <c r="CK39" s="489"/>
      <c r="CL39" s="489"/>
      <c r="CM39" s="489"/>
      <c r="CN39" s="489"/>
      <c r="CO39" s="489"/>
      <c r="CP39" s="489"/>
      <c r="CQ39" s="489"/>
      <c r="CR39" s="489"/>
      <c r="CS39" s="489"/>
      <c r="CT39" s="489"/>
      <c r="CU39" s="489"/>
      <c r="CV39" s="489"/>
      <c r="CW39" s="489"/>
      <c r="CX39" s="489"/>
      <c r="CY39" s="489"/>
      <c r="CZ39" s="489"/>
      <c r="DA39" s="489"/>
      <c r="DB39" s="489"/>
      <c r="DC39" s="489"/>
      <c r="DD39" s="489"/>
      <c r="DE39" s="489"/>
      <c r="DF39" s="489"/>
      <c r="DG39" s="489"/>
      <c r="DH39" s="489"/>
      <c r="DI39" s="489"/>
      <c r="DJ39" s="489"/>
      <c r="DK39" s="489"/>
      <c r="DL39" s="489"/>
      <c r="DM39" s="489"/>
      <c r="DN39" s="489"/>
      <c r="DO39" s="489"/>
      <c r="DP39" s="489"/>
      <c r="DQ39" s="489"/>
      <c r="DR39" s="489"/>
      <c r="DS39" s="489"/>
      <c r="DT39" s="489"/>
      <c r="DU39" s="489"/>
      <c r="DV39" s="489"/>
      <c r="DW39" s="489"/>
      <c r="DX39" s="489"/>
      <c r="DY39" s="489"/>
      <c r="DZ39" s="489"/>
      <c r="EA39" s="489"/>
      <c r="EB39" s="489"/>
      <c r="EC39" s="489"/>
      <c r="ED39" s="489"/>
      <c r="EE39" s="489"/>
      <c r="EF39" s="489"/>
      <c r="EG39" s="489"/>
      <c r="EH39" s="489"/>
      <c r="EI39" s="489"/>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89"/>
      <c r="FK39" s="489"/>
      <c r="FL39" s="489"/>
      <c r="FM39" s="489"/>
      <c r="FN39" s="489"/>
      <c r="FO39" s="489"/>
      <c r="FP39" s="489"/>
      <c r="FQ39" s="489"/>
      <c r="FR39" s="489"/>
      <c r="FS39" s="489"/>
      <c r="FT39" s="489"/>
      <c r="FU39" s="489"/>
      <c r="FV39" s="489"/>
      <c r="FW39" s="489"/>
      <c r="FX39" s="489"/>
      <c r="FY39" s="489"/>
      <c r="FZ39" s="489"/>
      <c r="GA39" s="489"/>
      <c r="GB39" s="489"/>
      <c r="GC39" s="489"/>
      <c r="GD39" s="489"/>
      <c r="GE39" s="489"/>
      <c r="GF39" s="489"/>
      <c r="GG39" s="489"/>
      <c r="GH39" s="489"/>
      <c r="GI39" s="489"/>
      <c r="GJ39" s="489"/>
      <c r="GK39" s="489"/>
      <c r="GL39" s="489"/>
      <c r="GM39" s="489"/>
      <c r="GN39" s="489"/>
      <c r="GO39" s="489"/>
      <c r="GP39" s="489"/>
      <c r="GQ39" s="489"/>
      <c r="GR39" s="489"/>
      <c r="GS39" s="489"/>
      <c r="GT39" s="489"/>
      <c r="GU39" s="489"/>
      <c r="GV39" s="489"/>
      <c r="GW39" s="489"/>
      <c r="GX39" s="489"/>
      <c r="GY39" s="489"/>
      <c r="GZ39" s="489"/>
      <c r="HA39" s="489"/>
      <c r="HB39" s="489"/>
      <c r="HC39" s="489"/>
      <c r="HD39" s="489"/>
      <c r="HE39" s="489"/>
      <c r="HF39" s="489"/>
      <c r="HG39" s="489"/>
      <c r="HH39" s="489"/>
      <c r="HI39" s="489"/>
      <c r="HJ39" s="489"/>
      <c r="HK39" s="489"/>
      <c r="HL39" s="489"/>
      <c r="HM39" s="489"/>
      <c r="HN39" s="489"/>
      <c r="HO39" s="489"/>
      <c r="HP39" s="489"/>
      <c r="HQ39" s="489"/>
      <c r="HR39" s="489"/>
      <c r="HS39" s="489"/>
      <c r="HT39" s="489"/>
      <c r="HU39" s="489"/>
      <c r="HV39" s="489"/>
      <c r="HW39" s="489"/>
      <c r="HX39" s="358"/>
    </row>
    <row r="40" spans="1:232" s="5" customFormat="1" ht="20.100000000000001" customHeight="1">
      <c r="A40" s="497" t="s">
        <v>863</v>
      </c>
      <c r="B40" s="498"/>
      <c r="C40" s="498"/>
      <c r="D40" s="498"/>
      <c r="E40" s="498"/>
      <c r="F40" s="498"/>
      <c r="G40" s="498"/>
      <c r="H40" s="498"/>
      <c r="I40" s="498"/>
      <c r="J40" s="498"/>
      <c r="K40" s="498"/>
      <c r="L40" s="494"/>
      <c r="M40" s="494"/>
      <c r="N40" s="495"/>
      <c r="O40" s="495"/>
      <c r="P40" s="495"/>
      <c r="Q40" s="495"/>
      <c r="R40" s="495"/>
      <c r="S40" s="495"/>
      <c r="T40" s="495"/>
      <c r="U40" s="499"/>
      <c r="V40" s="499"/>
      <c r="W40" s="499"/>
      <c r="X40" s="499"/>
      <c r="Y40" s="499"/>
      <c r="Z40" s="499"/>
      <c r="AA40" s="499"/>
      <c r="AB40" s="499"/>
      <c r="AC40" s="499"/>
      <c r="AD40" s="499"/>
      <c r="AE40" s="499"/>
      <c r="AF40" s="499"/>
      <c r="AG40" s="499"/>
      <c r="AH40" s="499"/>
      <c r="AI40" s="499"/>
      <c r="AJ40" s="499"/>
      <c r="AK40" s="499"/>
      <c r="AL40" s="499"/>
      <c r="AM40" s="499"/>
      <c r="AN40" s="499"/>
      <c r="AO40" s="499"/>
      <c r="AP40" s="499"/>
      <c r="AQ40" s="499"/>
      <c r="AR40" s="499"/>
      <c r="AS40" s="499"/>
      <c r="AT40" s="499"/>
      <c r="AU40" s="499"/>
      <c r="AV40" s="499"/>
      <c r="AW40" s="499"/>
      <c r="AX40" s="499"/>
      <c r="AY40" s="499"/>
      <c r="AZ40" s="499"/>
      <c r="BA40" s="499"/>
      <c r="BB40" s="499"/>
      <c r="BC40" s="499"/>
      <c r="BD40" s="499"/>
      <c r="BE40" s="499"/>
      <c r="BF40" s="499"/>
      <c r="BG40" s="499"/>
      <c r="BH40" s="499"/>
      <c r="BI40" s="499"/>
      <c r="BJ40" s="499"/>
      <c r="BK40" s="499"/>
      <c r="BL40" s="499"/>
      <c r="BM40" s="499"/>
      <c r="BN40" s="499"/>
      <c r="BO40" s="499"/>
      <c r="BP40" s="499"/>
      <c r="BQ40" s="499"/>
      <c r="BR40" s="499"/>
      <c r="BS40" s="499"/>
      <c r="BT40" s="499"/>
      <c r="BU40" s="499"/>
      <c r="BV40" s="499"/>
      <c r="BW40" s="499"/>
      <c r="BX40" s="499"/>
      <c r="BY40" s="499"/>
      <c r="BZ40" s="499"/>
      <c r="CA40" s="499"/>
      <c r="CB40" s="499"/>
      <c r="CC40" s="499"/>
      <c r="CD40" s="499"/>
      <c r="CE40" s="499"/>
      <c r="CF40" s="499"/>
      <c r="CG40" s="499"/>
      <c r="CH40" s="499"/>
      <c r="CI40" s="499"/>
      <c r="CJ40" s="499"/>
      <c r="CK40" s="499"/>
      <c r="CL40" s="499"/>
      <c r="CM40" s="499"/>
      <c r="CN40" s="499"/>
      <c r="CO40" s="499"/>
      <c r="CP40" s="499"/>
      <c r="CQ40" s="499"/>
      <c r="CR40" s="499"/>
      <c r="CS40" s="499"/>
      <c r="CT40" s="499"/>
      <c r="CU40" s="499"/>
      <c r="CV40" s="499"/>
      <c r="CW40" s="499"/>
      <c r="CX40" s="499"/>
      <c r="CY40" s="499"/>
      <c r="CZ40" s="499"/>
      <c r="DA40" s="499"/>
      <c r="DB40" s="499"/>
      <c r="DC40" s="499"/>
      <c r="DD40" s="499"/>
      <c r="DE40" s="499"/>
      <c r="DF40" s="499"/>
      <c r="DG40" s="499"/>
      <c r="DH40" s="499"/>
      <c r="DI40" s="499"/>
      <c r="DJ40" s="499"/>
      <c r="DK40" s="499"/>
      <c r="DL40" s="499"/>
      <c r="DM40" s="499"/>
      <c r="DN40" s="499"/>
      <c r="DO40" s="499"/>
      <c r="DP40" s="499"/>
      <c r="DQ40" s="499"/>
      <c r="DR40" s="499"/>
      <c r="DS40" s="499"/>
      <c r="DT40" s="499"/>
      <c r="DU40" s="499"/>
      <c r="DV40" s="499"/>
      <c r="DW40" s="499"/>
      <c r="DX40" s="499"/>
      <c r="DY40" s="499"/>
      <c r="DZ40" s="499"/>
      <c r="EA40" s="499"/>
      <c r="EB40" s="499"/>
      <c r="EC40" s="499"/>
      <c r="ED40" s="499"/>
      <c r="EE40" s="499"/>
      <c r="EF40" s="499"/>
      <c r="EG40" s="499"/>
      <c r="EH40" s="499"/>
      <c r="EI40" s="499"/>
      <c r="EJ40" s="499"/>
      <c r="EK40" s="499"/>
      <c r="EL40" s="499"/>
      <c r="EM40" s="499"/>
      <c r="EN40" s="499"/>
      <c r="EO40" s="499"/>
      <c r="EP40" s="499"/>
      <c r="EQ40" s="499"/>
      <c r="ER40" s="499"/>
      <c r="ES40" s="499"/>
      <c r="ET40" s="499"/>
      <c r="EU40" s="499"/>
      <c r="EV40" s="499"/>
      <c r="EW40" s="499"/>
      <c r="EX40" s="499"/>
      <c r="EY40" s="499"/>
      <c r="EZ40" s="499"/>
      <c r="FA40" s="499"/>
      <c r="FB40" s="499"/>
      <c r="FC40" s="499"/>
      <c r="FD40" s="499"/>
      <c r="FE40" s="499"/>
      <c r="FF40" s="499"/>
      <c r="FG40" s="499"/>
      <c r="FH40" s="499"/>
      <c r="FI40" s="499"/>
      <c r="FJ40" s="499"/>
      <c r="FK40" s="499"/>
      <c r="FL40" s="499"/>
      <c r="FM40" s="499"/>
      <c r="FN40" s="499"/>
      <c r="FO40" s="499"/>
      <c r="FP40" s="499"/>
      <c r="FQ40" s="499"/>
      <c r="FR40" s="499"/>
      <c r="FS40" s="499"/>
      <c r="FT40" s="499"/>
      <c r="FU40" s="499"/>
      <c r="FV40" s="499"/>
      <c r="FW40" s="499"/>
      <c r="FX40" s="499"/>
      <c r="FY40" s="499"/>
      <c r="FZ40" s="499"/>
      <c r="GA40" s="499"/>
      <c r="GB40" s="499"/>
      <c r="GC40" s="499"/>
      <c r="GD40" s="499"/>
      <c r="GE40" s="499"/>
      <c r="GF40" s="499"/>
      <c r="GG40" s="499"/>
      <c r="GH40" s="499"/>
      <c r="GI40" s="499"/>
      <c r="GJ40" s="499"/>
      <c r="GK40" s="499"/>
      <c r="GL40" s="499"/>
      <c r="GM40" s="499"/>
      <c r="GN40" s="499"/>
      <c r="GO40" s="499"/>
      <c r="GP40" s="499"/>
      <c r="GQ40" s="499"/>
      <c r="GR40" s="499"/>
      <c r="GS40" s="499"/>
      <c r="GT40" s="499"/>
      <c r="GU40" s="499"/>
      <c r="GV40" s="499"/>
      <c r="GW40" s="499"/>
      <c r="GX40" s="499"/>
      <c r="GY40" s="499"/>
      <c r="GZ40" s="499"/>
      <c r="HA40" s="499"/>
      <c r="HB40" s="499"/>
      <c r="HC40" s="499"/>
      <c r="HD40" s="499"/>
      <c r="HE40" s="499"/>
      <c r="HF40" s="499"/>
      <c r="HG40" s="499"/>
      <c r="HH40" s="499"/>
      <c r="HI40" s="499"/>
      <c r="HJ40" s="499"/>
      <c r="HK40" s="499"/>
      <c r="HL40" s="499"/>
      <c r="HM40" s="499"/>
      <c r="HN40" s="499"/>
      <c r="HO40" s="499"/>
      <c r="HP40" s="499"/>
      <c r="HQ40" s="499"/>
      <c r="HR40" s="499"/>
      <c r="HS40" s="499"/>
      <c r="HT40" s="499"/>
      <c r="HU40" s="499"/>
      <c r="HV40" s="499"/>
      <c r="HW40" s="499"/>
      <c r="HX40" s="358"/>
    </row>
    <row r="41" spans="1:232" ht="33" customHeight="1">
      <c r="A41" s="1607" t="s">
        <v>112</v>
      </c>
      <c r="B41" s="1607"/>
      <c r="C41" s="1607"/>
      <c r="D41" s="1607"/>
      <c r="E41" s="1607"/>
      <c r="F41" s="1607"/>
      <c r="G41" s="1607"/>
      <c r="H41" s="1607"/>
      <c r="I41" s="1607"/>
      <c r="J41" s="1607"/>
      <c r="N41" s="495"/>
      <c r="O41" s="495"/>
      <c r="P41" s="495"/>
      <c r="Q41" s="495"/>
      <c r="R41" s="495"/>
      <c r="S41" s="495"/>
    </row>
    <row r="42" spans="1:232" ht="20.100000000000001" customHeight="1">
      <c r="A42" s="1604" t="s">
        <v>864</v>
      </c>
      <c r="B42" s="1604"/>
      <c r="C42" s="1604"/>
      <c r="D42" s="1604"/>
      <c r="E42" s="1604"/>
      <c r="F42" s="1604"/>
      <c r="G42" s="1604"/>
      <c r="H42" s="1604"/>
      <c r="I42" s="1604"/>
      <c r="J42" s="1604"/>
    </row>
    <row r="43" spans="1:232" s="5" customFormat="1" ht="20.100000000000001" customHeight="1">
      <c r="A43" s="500" t="s">
        <v>1032</v>
      </c>
      <c r="C43" s="501"/>
      <c r="D43" s="501"/>
      <c r="E43" s="501"/>
      <c r="F43" s="501"/>
      <c r="G43" s="501"/>
      <c r="H43" s="501"/>
      <c r="I43" s="501"/>
      <c r="J43" s="502"/>
      <c r="K43" s="502"/>
      <c r="L43" s="494"/>
      <c r="M43" s="494"/>
      <c r="N43" s="464"/>
      <c r="O43" s="464"/>
      <c r="P43" s="464"/>
      <c r="Q43" s="464"/>
      <c r="R43" s="464"/>
      <c r="S43" s="464"/>
      <c r="T43" s="495"/>
      <c r="U43" s="499"/>
      <c r="V43" s="499"/>
      <c r="W43" s="499"/>
      <c r="X43" s="499"/>
      <c r="Y43" s="499"/>
      <c r="Z43" s="499"/>
      <c r="AA43" s="499"/>
      <c r="AB43" s="499"/>
      <c r="AC43" s="499"/>
      <c r="AD43" s="499"/>
      <c r="AE43" s="499"/>
      <c r="AF43" s="499"/>
      <c r="AG43" s="499"/>
      <c r="AH43" s="499"/>
      <c r="AI43" s="499"/>
      <c r="AJ43" s="499"/>
      <c r="AK43" s="499"/>
      <c r="AL43" s="499"/>
      <c r="AM43" s="499"/>
      <c r="AN43" s="499"/>
      <c r="AO43" s="499"/>
      <c r="AP43" s="499"/>
      <c r="AQ43" s="499"/>
      <c r="AR43" s="499"/>
      <c r="AS43" s="499"/>
      <c r="AT43" s="499"/>
      <c r="AU43" s="499"/>
      <c r="AV43" s="499"/>
      <c r="AW43" s="499"/>
      <c r="AX43" s="499"/>
      <c r="AY43" s="499"/>
      <c r="AZ43" s="499"/>
      <c r="BA43" s="499"/>
      <c r="BB43" s="499"/>
      <c r="BC43" s="499"/>
      <c r="BD43" s="499"/>
      <c r="BE43" s="499"/>
      <c r="BF43" s="499"/>
      <c r="BG43" s="499"/>
      <c r="BH43" s="499"/>
      <c r="BI43" s="499"/>
      <c r="BJ43" s="499"/>
      <c r="BK43" s="499"/>
      <c r="BL43" s="499"/>
      <c r="BM43" s="499"/>
      <c r="BN43" s="499"/>
      <c r="BO43" s="499"/>
      <c r="BP43" s="499"/>
      <c r="BQ43" s="499"/>
      <c r="BR43" s="499"/>
      <c r="BS43" s="499"/>
      <c r="BT43" s="499"/>
      <c r="BU43" s="499"/>
      <c r="BV43" s="499"/>
      <c r="BW43" s="499"/>
      <c r="BX43" s="499"/>
      <c r="BY43" s="499"/>
      <c r="BZ43" s="499"/>
      <c r="CA43" s="499"/>
      <c r="CB43" s="499"/>
      <c r="CC43" s="499"/>
      <c r="CD43" s="499"/>
      <c r="CE43" s="499"/>
      <c r="CF43" s="499"/>
      <c r="CG43" s="499"/>
      <c r="CH43" s="499"/>
      <c r="CI43" s="499"/>
      <c r="CJ43" s="499"/>
      <c r="CK43" s="499"/>
      <c r="CL43" s="499"/>
      <c r="CM43" s="499"/>
      <c r="CN43" s="499"/>
      <c r="CO43" s="499"/>
      <c r="CP43" s="499"/>
      <c r="CQ43" s="499"/>
      <c r="CR43" s="499"/>
      <c r="CS43" s="499"/>
      <c r="CT43" s="499"/>
      <c r="CU43" s="499"/>
      <c r="CV43" s="499"/>
      <c r="CW43" s="499"/>
      <c r="CX43" s="499"/>
      <c r="CY43" s="499"/>
      <c r="CZ43" s="499"/>
      <c r="DA43" s="499"/>
      <c r="DB43" s="499"/>
      <c r="DC43" s="499"/>
      <c r="DD43" s="499"/>
      <c r="DE43" s="499"/>
      <c r="DF43" s="499"/>
      <c r="DG43" s="499"/>
      <c r="DH43" s="499"/>
      <c r="DI43" s="499"/>
      <c r="DJ43" s="499"/>
      <c r="DK43" s="499"/>
      <c r="DL43" s="499"/>
      <c r="DM43" s="499"/>
      <c r="DN43" s="499"/>
      <c r="DO43" s="499"/>
      <c r="DP43" s="499"/>
      <c r="DQ43" s="499"/>
      <c r="DR43" s="499"/>
      <c r="DS43" s="499"/>
      <c r="DT43" s="499"/>
      <c r="DU43" s="499"/>
      <c r="DV43" s="499"/>
      <c r="DW43" s="499"/>
      <c r="DX43" s="499"/>
      <c r="DY43" s="499"/>
      <c r="DZ43" s="499"/>
      <c r="EA43" s="499"/>
      <c r="EB43" s="499"/>
      <c r="EC43" s="499"/>
      <c r="ED43" s="499"/>
      <c r="EE43" s="499"/>
      <c r="EF43" s="499"/>
      <c r="EG43" s="499"/>
      <c r="EH43" s="499"/>
      <c r="EI43" s="499"/>
      <c r="EJ43" s="499"/>
      <c r="EK43" s="499"/>
      <c r="EL43" s="499"/>
      <c r="EM43" s="499"/>
      <c r="EN43" s="499"/>
      <c r="EO43" s="499"/>
      <c r="EP43" s="499"/>
      <c r="EQ43" s="499"/>
      <c r="ER43" s="499"/>
      <c r="ES43" s="499"/>
      <c r="ET43" s="499"/>
      <c r="EU43" s="499"/>
      <c r="EV43" s="499"/>
      <c r="EW43" s="499"/>
      <c r="EX43" s="499"/>
      <c r="EY43" s="499"/>
      <c r="EZ43" s="499"/>
      <c r="FA43" s="499"/>
      <c r="FB43" s="499"/>
      <c r="FC43" s="499"/>
      <c r="FD43" s="499"/>
      <c r="FE43" s="499"/>
      <c r="FF43" s="499"/>
      <c r="FG43" s="499"/>
      <c r="FH43" s="499"/>
      <c r="FI43" s="499"/>
      <c r="FJ43" s="499"/>
      <c r="FK43" s="499"/>
      <c r="FL43" s="499"/>
      <c r="FM43" s="499"/>
      <c r="FN43" s="499"/>
      <c r="FO43" s="499"/>
      <c r="FP43" s="499"/>
      <c r="FQ43" s="499"/>
      <c r="FR43" s="499"/>
      <c r="FS43" s="499"/>
      <c r="FT43" s="499"/>
      <c r="FU43" s="499"/>
      <c r="FV43" s="499"/>
      <c r="FW43" s="499"/>
      <c r="FX43" s="499"/>
      <c r="FY43" s="499"/>
      <c r="FZ43" s="499"/>
      <c r="GA43" s="499"/>
      <c r="GB43" s="499"/>
      <c r="GC43" s="499"/>
      <c r="GD43" s="499"/>
      <c r="GE43" s="499"/>
      <c r="GF43" s="499"/>
      <c r="GG43" s="499"/>
      <c r="GH43" s="499"/>
      <c r="GI43" s="499"/>
      <c r="GJ43" s="499"/>
      <c r="GK43" s="499"/>
      <c r="GL43" s="499"/>
      <c r="GM43" s="499"/>
      <c r="GN43" s="499"/>
      <c r="GO43" s="499"/>
      <c r="GP43" s="499"/>
      <c r="GQ43" s="499"/>
      <c r="GR43" s="499"/>
      <c r="GS43" s="499"/>
      <c r="GT43" s="499"/>
      <c r="GU43" s="499"/>
      <c r="GV43" s="499"/>
      <c r="GW43" s="499"/>
      <c r="GX43" s="499"/>
      <c r="GY43" s="499"/>
      <c r="GZ43" s="499"/>
      <c r="HA43" s="499"/>
      <c r="HB43" s="499"/>
      <c r="HC43" s="499"/>
      <c r="HD43" s="499"/>
      <c r="HE43" s="499"/>
      <c r="HF43" s="499"/>
      <c r="HG43" s="499"/>
      <c r="HH43" s="499"/>
      <c r="HI43" s="499"/>
      <c r="HJ43" s="499"/>
      <c r="HK43" s="499"/>
      <c r="HL43" s="499"/>
      <c r="HM43" s="499"/>
      <c r="HN43" s="499"/>
      <c r="HO43" s="499"/>
      <c r="HP43" s="499"/>
      <c r="HQ43" s="499"/>
      <c r="HR43" s="499"/>
      <c r="HS43" s="499"/>
      <c r="HT43" s="499"/>
      <c r="HU43" s="499"/>
      <c r="HV43" s="499"/>
      <c r="HW43" s="499"/>
      <c r="HX43" s="358"/>
    </row>
    <row r="44" spans="1:232" s="5" customFormat="1" ht="20.100000000000001" customHeight="1">
      <c r="A44" s="1605" t="s">
        <v>191</v>
      </c>
      <c r="B44" s="1606" t="s">
        <v>115</v>
      </c>
      <c r="C44" s="1606"/>
      <c r="D44" s="1606"/>
      <c r="E44" s="1606"/>
      <c r="F44" s="1606" t="s">
        <v>116</v>
      </c>
      <c r="G44" s="1606"/>
      <c r="H44" s="1606"/>
      <c r="I44" s="1606" t="s">
        <v>117</v>
      </c>
      <c r="J44" s="1606"/>
      <c r="N44" s="495"/>
      <c r="O44" s="495"/>
      <c r="P44" s="495"/>
      <c r="Q44" s="495"/>
      <c r="R44" s="495"/>
      <c r="S44" s="495"/>
      <c r="T44" s="504"/>
      <c r="U44" s="358"/>
      <c r="V44" s="358"/>
      <c r="W44" s="358"/>
      <c r="X44" s="358"/>
      <c r="Y44" s="358"/>
      <c r="Z44" s="358"/>
      <c r="AA44" s="358"/>
      <c r="AB44" s="358"/>
      <c r="AC44" s="358"/>
      <c r="AD44" s="358"/>
      <c r="AE44" s="358"/>
      <c r="AF44" s="358"/>
      <c r="AG44" s="358"/>
      <c r="AH44" s="358"/>
      <c r="AI44" s="358"/>
      <c r="AJ44" s="358"/>
      <c r="AK44" s="358"/>
      <c r="AL44" s="358"/>
      <c r="AM44" s="358"/>
      <c r="AN44" s="358"/>
      <c r="AO44" s="358"/>
      <c r="AP44" s="358"/>
      <c r="AQ44" s="358"/>
      <c r="AR44" s="358"/>
      <c r="AS44" s="358"/>
      <c r="AT44" s="358"/>
      <c r="AU44" s="358"/>
      <c r="AV44" s="358"/>
      <c r="AW44" s="358"/>
      <c r="AX44" s="358"/>
      <c r="AY44" s="358"/>
      <c r="AZ44" s="358"/>
      <c r="BA44" s="358"/>
      <c r="BB44" s="358"/>
      <c r="BC44" s="358"/>
      <c r="BD44" s="358"/>
      <c r="BE44" s="358"/>
      <c r="BF44" s="358"/>
      <c r="BG44" s="358"/>
      <c r="BH44" s="358"/>
      <c r="BI44" s="358"/>
      <c r="BJ44" s="358"/>
      <c r="BK44" s="358"/>
      <c r="BL44" s="358"/>
      <c r="BM44" s="358"/>
      <c r="BN44" s="358"/>
      <c r="BO44" s="358"/>
      <c r="BP44" s="358"/>
      <c r="BQ44" s="358"/>
      <c r="BR44" s="358"/>
      <c r="BS44" s="358"/>
      <c r="BT44" s="358"/>
      <c r="BU44" s="358"/>
      <c r="BV44" s="358"/>
      <c r="BW44" s="358"/>
      <c r="BX44" s="358"/>
      <c r="BY44" s="358"/>
      <c r="BZ44" s="358"/>
      <c r="CA44" s="358"/>
      <c r="CB44" s="358"/>
      <c r="CC44" s="358"/>
      <c r="CD44" s="358"/>
      <c r="CE44" s="358"/>
      <c r="CF44" s="358"/>
      <c r="CG44" s="358"/>
      <c r="CH44" s="358"/>
      <c r="CI44" s="358"/>
      <c r="CJ44" s="358"/>
      <c r="CK44" s="358"/>
      <c r="CL44" s="358"/>
      <c r="CM44" s="358"/>
      <c r="CN44" s="358"/>
      <c r="CO44" s="358"/>
      <c r="CP44" s="358"/>
      <c r="CQ44" s="358"/>
      <c r="CR44" s="358"/>
      <c r="CS44" s="358"/>
      <c r="CT44" s="358"/>
      <c r="CU44" s="358"/>
      <c r="CV44" s="358"/>
      <c r="CW44" s="358"/>
      <c r="CX44" s="358"/>
      <c r="CY44" s="358"/>
      <c r="CZ44" s="358"/>
      <c r="DA44" s="358"/>
      <c r="DB44" s="358"/>
      <c r="DC44" s="358"/>
      <c r="DD44" s="358"/>
      <c r="DE44" s="358"/>
      <c r="DF44" s="358"/>
      <c r="DG44" s="358"/>
      <c r="DH44" s="358"/>
      <c r="DI44" s="358"/>
      <c r="DJ44" s="358"/>
      <c r="DK44" s="358"/>
      <c r="DL44" s="358"/>
      <c r="DM44" s="358"/>
      <c r="DN44" s="358"/>
      <c r="DO44" s="358"/>
      <c r="DP44" s="358"/>
      <c r="DQ44" s="358"/>
      <c r="DR44" s="358"/>
      <c r="DS44" s="358"/>
      <c r="DT44" s="358"/>
      <c r="DU44" s="358"/>
      <c r="DV44" s="358"/>
      <c r="DW44" s="358"/>
      <c r="DX44" s="358"/>
      <c r="DY44" s="358"/>
      <c r="DZ44" s="358"/>
      <c r="EA44" s="358"/>
      <c r="EB44" s="358"/>
      <c r="EC44" s="358"/>
      <c r="ED44" s="358"/>
      <c r="EE44" s="358"/>
      <c r="EF44" s="358"/>
      <c r="EG44" s="358"/>
      <c r="EH44" s="358"/>
      <c r="EI44" s="358"/>
      <c r="EJ44" s="358"/>
      <c r="EK44" s="358"/>
      <c r="EL44" s="358"/>
      <c r="EM44" s="358"/>
      <c r="EN44" s="358"/>
      <c r="EO44" s="358"/>
      <c r="EP44" s="358"/>
      <c r="EQ44" s="358"/>
      <c r="ER44" s="358"/>
      <c r="ES44" s="358"/>
      <c r="ET44" s="358"/>
      <c r="EU44" s="358"/>
      <c r="EV44" s="358"/>
      <c r="EW44" s="358"/>
      <c r="EX44" s="358"/>
      <c r="EY44" s="358"/>
      <c r="EZ44" s="358"/>
      <c r="FA44" s="358"/>
      <c r="FB44" s="358"/>
      <c r="FC44" s="358"/>
      <c r="FD44" s="358"/>
      <c r="FE44" s="358"/>
      <c r="FF44" s="358"/>
      <c r="FG44" s="358"/>
      <c r="FH44" s="358"/>
      <c r="FI44" s="358"/>
      <c r="FJ44" s="358"/>
      <c r="FK44" s="358"/>
      <c r="FL44" s="358"/>
      <c r="FM44" s="358"/>
      <c r="FN44" s="358"/>
      <c r="FO44" s="358"/>
      <c r="FP44" s="358"/>
      <c r="FQ44" s="358"/>
      <c r="FR44" s="358"/>
      <c r="FS44" s="358"/>
      <c r="FT44" s="358"/>
      <c r="FU44" s="358"/>
      <c r="FV44" s="358"/>
      <c r="FW44" s="358"/>
      <c r="FX44" s="358"/>
      <c r="FY44" s="358"/>
      <c r="FZ44" s="358"/>
      <c r="GA44" s="358"/>
      <c r="GB44" s="358"/>
      <c r="GC44" s="358"/>
      <c r="GD44" s="358"/>
      <c r="GE44" s="358"/>
      <c r="GF44" s="358"/>
      <c r="GG44" s="358"/>
      <c r="GH44" s="358"/>
      <c r="GI44" s="358"/>
      <c r="GJ44" s="358"/>
      <c r="GK44" s="358"/>
      <c r="GL44" s="358"/>
      <c r="GM44" s="358"/>
      <c r="GN44" s="358"/>
      <c r="GO44" s="358"/>
      <c r="GP44" s="358"/>
      <c r="GQ44" s="358"/>
      <c r="GR44" s="358"/>
      <c r="GS44" s="358"/>
      <c r="GT44" s="358"/>
      <c r="GU44" s="358"/>
      <c r="GV44" s="358"/>
      <c r="GW44" s="358"/>
      <c r="GX44" s="358"/>
      <c r="GY44" s="358"/>
      <c r="GZ44" s="358"/>
      <c r="HA44" s="358"/>
      <c r="HB44" s="358"/>
      <c r="HC44" s="358"/>
      <c r="HD44" s="358"/>
      <c r="HE44" s="358"/>
      <c r="HF44" s="358"/>
      <c r="HG44" s="358"/>
      <c r="HH44" s="358"/>
      <c r="HI44" s="358"/>
      <c r="HJ44" s="358"/>
      <c r="HK44" s="358"/>
      <c r="HL44" s="358"/>
      <c r="HM44" s="358"/>
      <c r="HN44" s="358"/>
      <c r="HO44" s="358"/>
      <c r="HP44" s="358"/>
      <c r="HQ44" s="358"/>
      <c r="HR44" s="358"/>
      <c r="HS44" s="358"/>
      <c r="HT44" s="358"/>
      <c r="HU44" s="358"/>
      <c r="HV44" s="358"/>
      <c r="HW44" s="358"/>
      <c r="HX44" s="358"/>
    </row>
    <row r="45" spans="1:232" s="5" customFormat="1" ht="32.25" customHeight="1">
      <c r="A45" s="1605"/>
      <c r="B45" s="1606"/>
      <c r="C45" s="1606"/>
      <c r="D45" s="1606"/>
      <c r="E45" s="1606"/>
      <c r="F45" s="1606"/>
      <c r="G45" s="1606"/>
      <c r="H45" s="1606"/>
      <c r="I45" s="503" t="s">
        <v>118</v>
      </c>
      <c r="J45" s="503" t="s">
        <v>119</v>
      </c>
      <c r="O45" s="504"/>
      <c r="P45" s="504"/>
      <c r="Q45" s="504"/>
      <c r="R45" s="504"/>
      <c r="S45" s="504"/>
      <c r="T45" s="406"/>
      <c r="U45" s="358"/>
      <c r="V45" s="358"/>
      <c r="W45" s="358"/>
      <c r="X45" s="358"/>
      <c r="Y45" s="358"/>
      <c r="Z45" s="358"/>
      <c r="AA45" s="358"/>
      <c r="AB45" s="358"/>
      <c r="AC45" s="358"/>
      <c r="AD45" s="358"/>
      <c r="AE45" s="358"/>
      <c r="AF45" s="358"/>
      <c r="AG45" s="358"/>
      <c r="AH45" s="358"/>
      <c r="AI45" s="358"/>
      <c r="AJ45" s="358"/>
      <c r="AK45" s="358"/>
      <c r="AL45" s="358"/>
      <c r="AM45" s="358"/>
      <c r="AN45" s="358"/>
      <c r="AO45" s="358"/>
      <c r="AP45" s="358"/>
      <c r="AQ45" s="358"/>
      <c r="AR45" s="358"/>
      <c r="AS45" s="358"/>
      <c r="AT45" s="358"/>
      <c r="AU45" s="358"/>
      <c r="AV45" s="358"/>
      <c r="AW45" s="358"/>
      <c r="AX45" s="358"/>
      <c r="AY45" s="358"/>
      <c r="AZ45" s="358"/>
      <c r="BA45" s="358"/>
      <c r="BB45" s="358"/>
      <c r="BC45" s="358"/>
      <c r="BD45" s="358"/>
      <c r="BE45" s="358"/>
      <c r="BF45" s="358"/>
      <c r="BG45" s="358"/>
      <c r="BH45" s="358"/>
      <c r="BI45" s="358"/>
      <c r="BJ45" s="358"/>
      <c r="BK45" s="358"/>
      <c r="BL45" s="358"/>
      <c r="BM45" s="358"/>
      <c r="BN45" s="358"/>
      <c r="BO45" s="358"/>
      <c r="BP45" s="358"/>
      <c r="BQ45" s="358"/>
      <c r="BR45" s="358"/>
      <c r="BS45" s="358"/>
      <c r="BT45" s="358"/>
      <c r="BU45" s="358"/>
      <c r="BV45" s="358"/>
      <c r="BW45" s="358"/>
      <c r="BX45" s="358"/>
      <c r="BY45" s="358"/>
      <c r="BZ45" s="358"/>
      <c r="CA45" s="358"/>
      <c r="CB45" s="358"/>
      <c r="CC45" s="358"/>
      <c r="CD45" s="358"/>
      <c r="CE45" s="358"/>
      <c r="CF45" s="358"/>
      <c r="CG45" s="358"/>
      <c r="CH45" s="358"/>
      <c r="CI45" s="358"/>
      <c r="CJ45" s="358"/>
      <c r="CK45" s="358"/>
      <c r="CL45" s="358"/>
      <c r="CM45" s="358"/>
      <c r="CN45" s="358"/>
      <c r="CO45" s="358"/>
      <c r="CP45" s="358"/>
      <c r="CQ45" s="358"/>
      <c r="CR45" s="358"/>
      <c r="CS45" s="358"/>
      <c r="CT45" s="358"/>
      <c r="CU45" s="358"/>
      <c r="CV45" s="358"/>
      <c r="CW45" s="358"/>
      <c r="CX45" s="358"/>
      <c r="CY45" s="358"/>
      <c r="CZ45" s="358"/>
      <c r="DA45" s="358"/>
      <c r="DB45" s="358"/>
      <c r="DC45" s="358"/>
      <c r="DD45" s="358"/>
      <c r="DE45" s="358"/>
      <c r="DF45" s="358"/>
      <c r="DG45" s="358"/>
      <c r="DH45" s="358"/>
      <c r="DI45" s="358"/>
      <c r="DJ45" s="358"/>
      <c r="DK45" s="358"/>
      <c r="DL45" s="358"/>
      <c r="DM45" s="358"/>
      <c r="DN45" s="358"/>
      <c r="DO45" s="358"/>
      <c r="DP45" s="358"/>
      <c r="DQ45" s="358"/>
      <c r="DR45" s="358"/>
      <c r="DS45" s="358"/>
      <c r="DT45" s="358"/>
      <c r="DU45" s="358"/>
      <c r="DV45" s="358"/>
      <c r="DW45" s="358"/>
      <c r="DX45" s="358"/>
      <c r="DY45" s="358"/>
      <c r="DZ45" s="358"/>
      <c r="EA45" s="358"/>
      <c r="EB45" s="358"/>
      <c r="EC45" s="358"/>
      <c r="ED45" s="358"/>
      <c r="EE45" s="358"/>
      <c r="EF45" s="358"/>
      <c r="EG45" s="358"/>
      <c r="EH45" s="358"/>
      <c r="EI45" s="358"/>
      <c r="EJ45" s="358"/>
      <c r="EK45" s="358"/>
      <c r="EL45" s="358"/>
      <c r="EM45" s="358"/>
      <c r="EN45" s="358"/>
      <c r="EO45" s="358"/>
      <c r="EP45" s="358"/>
      <c r="EQ45" s="358"/>
      <c r="ER45" s="358"/>
      <c r="ES45" s="358"/>
      <c r="ET45" s="358"/>
      <c r="EU45" s="358"/>
      <c r="EV45" s="358"/>
      <c r="EW45" s="358"/>
      <c r="EX45" s="358"/>
      <c r="EY45" s="358"/>
      <c r="EZ45" s="358"/>
      <c r="FA45" s="358"/>
      <c r="FB45" s="358"/>
      <c r="FC45" s="358"/>
      <c r="FD45" s="358"/>
      <c r="FE45" s="358"/>
      <c r="FF45" s="358"/>
      <c r="FG45" s="358"/>
      <c r="FH45" s="358"/>
      <c r="FI45" s="358"/>
      <c r="FJ45" s="358"/>
      <c r="FK45" s="358"/>
      <c r="FL45" s="358"/>
      <c r="FM45" s="358"/>
      <c r="FN45" s="358"/>
      <c r="FO45" s="358"/>
      <c r="FP45" s="358"/>
      <c r="FQ45" s="358"/>
      <c r="FR45" s="358"/>
      <c r="FS45" s="358"/>
      <c r="FT45" s="358"/>
      <c r="FU45" s="358"/>
      <c r="FV45" s="358"/>
      <c r="FW45" s="358"/>
      <c r="FX45" s="358"/>
      <c r="FY45" s="358"/>
      <c r="FZ45" s="358"/>
      <c r="GA45" s="358"/>
      <c r="GB45" s="358"/>
      <c r="GC45" s="358"/>
      <c r="GD45" s="358"/>
      <c r="GE45" s="358"/>
      <c r="GF45" s="358"/>
      <c r="GG45" s="358"/>
      <c r="GH45" s="358"/>
      <c r="GI45" s="358"/>
      <c r="GJ45" s="358"/>
      <c r="GK45" s="358"/>
      <c r="GL45" s="358"/>
      <c r="GM45" s="358"/>
      <c r="GN45" s="358"/>
      <c r="GO45" s="358"/>
      <c r="GP45" s="358"/>
      <c r="GQ45" s="358"/>
      <c r="GR45" s="358"/>
      <c r="GS45" s="358"/>
      <c r="GT45" s="358"/>
      <c r="GU45" s="358"/>
      <c r="GV45" s="358"/>
      <c r="GW45" s="358"/>
      <c r="GX45" s="358"/>
      <c r="GY45" s="358"/>
      <c r="GZ45" s="358"/>
      <c r="HA45" s="358"/>
      <c r="HB45" s="358"/>
      <c r="HC45" s="358"/>
      <c r="HD45" s="358"/>
      <c r="HE45" s="358"/>
      <c r="HF45" s="358"/>
      <c r="HG45" s="358"/>
      <c r="HH45" s="358"/>
      <c r="HI45" s="358"/>
      <c r="HJ45" s="358"/>
      <c r="HK45" s="358"/>
      <c r="HL45" s="358"/>
      <c r="HM45" s="358"/>
      <c r="HN45" s="358"/>
      <c r="HO45" s="358"/>
      <c r="HP45" s="358"/>
      <c r="HQ45" s="358"/>
      <c r="HR45" s="358"/>
      <c r="HS45" s="358"/>
      <c r="HT45" s="358"/>
      <c r="HU45" s="358"/>
      <c r="HV45" s="358"/>
      <c r="HW45" s="358"/>
      <c r="HX45" s="358"/>
    </row>
    <row r="46" spans="1:232" s="5" customFormat="1" ht="20.100000000000001" customHeight="1">
      <c r="A46" s="503">
        <v>1</v>
      </c>
      <c r="B46" s="1597" t="s">
        <v>448</v>
      </c>
      <c r="C46" s="1597"/>
      <c r="D46" s="1597"/>
      <c r="E46" s="1597"/>
      <c r="F46" s="1598" t="s">
        <v>433</v>
      </c>
      <c r="G46" s="1598"/>
      <c r="H46" s="1598"/>
      <c r="I46" s="562" t="s">
        <v>471</v>
      </c>
      <c r="J46" s="506"/>
      <c r="O46" s="406"/>
      <c r="P46" s="406"/>
      <c r="Q46" s="406"/>
      <c r="R46" s="406"/>
      <c r="S46" s="406"/>
      <c r="T46" s="406"/>
      <c r="U46" s="358"/>
      <c r="V46" s="358"/>
      <c r="W46" s="358"/>
      <c r="X46" s="358"/>
      <c r="Y46" s="358"/>
      <c r="Z46" s="358"/>
      <c r="AA46" s="358"/>
      <c r="AB46" s="358"/>
      <c r="AC46" s="358"/>
      <c r="AD46" s="358"/>
      <c r="AE46" s="358"/>
      <c r="AF46" s="358"/>
      <c r="AG46" s="358"/>
      <c r="AH46" s="358"/>
      <c r="AI46" s="358"/>
      <c r="AJ46" s="358"/>
      <c r="AK46" s="358"/>
      <c r="AL46" s="358"/>
      <c r="AM46" s="358"/>
      <c r="AN46" s="358"/>
      <c r="AO46" s="358"/>
      <c r="AP46" s="358"/>
      <c r="AQ46" s="358"/>
      <c r="AR46" s="358"/>
      <c r="AS46" s="358"/>
      <c r="AT46" s="358"/>
      <c r="AU46" s="358"/>
      <c r="AV46" s="358"/>
      <c r="AW46" s="358"/>
      <c r="AX46" s="358"/>
      <c r="AY46" s="358"/>
      <c r="AZ46" s="358"/>
      <c r="BA46" s="358"/>
      <c r="BB46" s="358"/>
      <c r="BC46" s="358"/>
      <c r="BD46" s="358"/>
      <c r="BE46" s="358"/>
      <c r="BF46" s="358"/>
      <c r="BG46" s="358"/>
      <c r="BH46" s="358"/>
      <c r="BI46" s="358"/>
      <c r="BJ46" s="358"/>
      <c r="BK46" s="358"/>
      <c r="BL46" s="358"/>
      <c r="BM46" s="358"/>
      <c r="BN46" s="358"/>
      <c r="BO46" s="358"/>
      <c r="BP46" s="358"/>
      <c r="BQ46" s="358"/>
      <c r="BR46" s="358"/>
      <c r="BS46" s="358"/>
      <c r="BT46" s="358"/>
      <c r="BU46" s="358"/>
      <c r="BV46" s="358"/>
      <c r="BW46" s="358"/>
      <c r="BX46" s="358"/>
      <c r="BY46" s="358"/>
      <c r="BZ46" s="358"/>
      <c r="CA46" s="358"/>
      <c r="CB46" s="358"/>
      <c r="CC46" s="358"/>
      <c r="CD46" s="358"/>
      <c r="CE46" s="358"/>
      <c r="CF46" s="358"/>
      <c r="CG46" s="358"/>
      <c r="CH46" s="358"/>
      <c r="CI46" s="358"/>
      <c r="CJ46" s="358"/>
      <c r="CK46" s="358"/>
      <c r="CL46" s="358"/>
      <c r="CM46" s="358"/>
      <c r="CN46" s="358"/>
      <c r="CO46" s="358"/>
      <c r="CP46" s="358"/>
      <c r="CQ46" s="358"/>
      <c r="CR46" s="358"/>
      <c r="CS46" s="358"/>
      <c r="CT46" s="358"/>
      <c r="CU46" s="358"/>
      <c r="CV46" s="358"/>
      <c r="CW46" s="358"/>
      <c r="CX46" s="358"/>
      <c r="CY46" s="358"/>
      <c r="CZ46" s="358"/>
      <c r="DA46" s="358"/>
      <c r="DB46" s="358"/>
      <c r="DC46" s="358"/>
      <c r="DD46" s="358"/>
      <c r="DE46" s="358"/>
      <c r="DF46" s="358"/>
      <c r="DG46" s="358"/>
      <c r="DH46" s="358"/>
      <c r="DI46" s="358"/>
      <c r="DJ46" s="358"/>
      <c r="DK46" s="358"/>
      <c r="DL46" s="358"/>
      <c r="DM46" s="358"/>
      <c r="DN46" s="358"/>
      <c r="DO46" s="358"/>
      <c r="DP46" s="358"/>
      <c r="DQ46" s="358"/>
      <c r="DR46" s="358"/>
      <c r="DS46" s="358"/>
      <c r="DT46" s="358"/>
      <c r="DU46" s="358"/>
      <c r="DV46" s="358"/>
      <c r="DW46" s="358"/>
      <c r="DX46" s="358"/>
      <c r="DY46" s="358"/>
      <c r="DZ46" s="358"/>
      <c r="EA46" s="358"/>
      <c r="EB46" s="358"/>
      <c r="EC46" s="358"/>
      <c r="ED46" s="358"/>
      <c r="EE46" s="358"/>
      <c r="EF46" s="358"/>
      <c r="EG46" s="358"/>
      <c r="EH46" s="358"/>
      <c r="EI46" s="358"/>
      <c r="EJ46" s="358"/>
      <c r="EK46" s="358"/>
      <c r="EL46" s="358"/>
      <c r="EM46" s="358"/>
      <c r="EN46" s="358"/>
      <c r="EO46" s="358"/>
      <c r="EP46" s="358"/>
      <c r="EQ46" s="358"/>
      <c r="ER46" s="358"/>
      <c r="ES46" s="358"/>
      <c r="ET46" s="358"/>
      <c r="EU46" s="358"/>
      <c r="EV46" s="358"/>
      <c r="EW46" s="358"/>
      <c r="EX46" s="358"/>
      <c r="EY46" s="358"/>
      <c r="EZ46" s="358"/>
      <c r="FA46" s="358"/>
      <c r="FB46" s="358"/>
      <c r="FC46" s="358"/>
      <c r="FD46" s="358"/>
      <c r="FE46" s="358"/>
      <c r="FF46" s="358"/>
      <c r="FG46" s="358"/>
      <c r="FH46" s="358"/>
      <c r="FI46" s="358"/>
      <c r="FJ46" s="358"/>
      <c r="FK46" s="358"/>
      <c r="FL46" s="358"/>
      <c r="FM46" s="358"/>
      <c r="FN46" s="358"/>
      <c r="FO46" s="358"/>
      <c r="FP46" s="358"/>
      <c r="FQ46" s="358"/>
      <c r="FR46" s="358"/>
      <c r="FS46" s="358"/>
      <c r="FT46" s="358"/>
      <c r="FU46" s="358"/>
      <c r="FV46" s="358"/>
      <c r="FW46" s="358"/>
      <c r="FX46" s="358"/>
      <c r="FY46" s="358"/>
      <c r="FZ46" s="358"/>
      <c r="GA46" s="358"/>
      <c r="GB46" s="358"/>
      <c r="GC46" s="358"/>
      <c r="GD46" s="358"/>
      <c r="GE46" s="358"/>
      <c r="GF46" s="358"/>
      <c r="GG46" s="358"/>
      <c r="GH46" s="358"/>
      <c r="GI46" s="358"/>
      <c r="GJ46" s="358"/>
      <c r="GK46" s="358"/>
      <c r="GL46" s="358"/>
      <c r="GM46" s="358"/>
      <c r="GN46" s="358"/>
      <c r="GO46" s="358"/>
      <c r="GP46" s="358"/>
      <c r="GQ46" s="358"/>
      <c r="GR46" s="358"/>
      <c r="GS46" s="358"/>
      <c r="GT46" s="358"/>
      <c r="GU46" s="358"/>
      <c r="GV46" s="358"/>
      <c r="GW46" s="358"/>
      <c r="GX46" s="358"/>
      <c r="GY46" s="358"/>
      <c r="GZ46" s="358"/>
      <c r="HA46" s="358"/>
      <c r="HB46" s="358"/>
      <c r="HC46" s="358"/>
      <c r="HD46" s="358"/>
      <c r="HE46" s="358"/>
      <c r="HF46" s="358"/>
      <c r="HG46" s="358"/>
      <c r="HH46" s="358"/>
      <c r="HI46" s="358"/>
      <c r="HJ46" s="358"/>
      <c r="HK46" s="358"/>
      <c r="HL46" s="358"/>
      <c r="HM46" s="358"/>
      <c r="HN46" s="358"/>
      <c r="HO46" s="358"/>
      <c r="HP46" s="358"/>
      <c r="HQ46" s="358"/>
      <c r="HR46" s="358"/>
      <c r="HS46" s="358"/>
      <c r="HT46" s="358"/>
      <c r="HU46" s="358"/>
      <c r="HV46" s="358"/>
      <c r="HW46" s="358"/>
      <c r="HX46" s="358"/>
    </row>
    <row r="47" spans="1:232" s="5" customFormat="1" ht="20.100000000000001" customHeight="1">
      <c r="A47" s="503">
        <v>2</v>
      </c>
      <c r="B47" s="1597" t="s">
        <v>434</v>
      </c>
      <c r="C47" s="1597"/>
      <c r="D47" s="1597"/>
      <c r="E47" s="1597"/>
      <c r="F47" s="1598" t="s">
        <v>450</v>
      </c>
      <c r="G47" s="1598"/>
      <c r="H47" s="1598"/>
      <c r="I47" s="562" t="s">
        <v>471</v>
      </c>
      <c r="J47" s="506"/>
      <c r="O47" s="406"/>
      <c r="P47" s="406"/>
      <c r="Q47" s="406"/>
      <c r="R47" s="406"/>
      <c r="S47" s="406"/>
      <c r="T47" s="406"/>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c r="BX47" s="358"/>
      <c r="BY47" s="358"/>
      <c r="BZ47" s="358"/>
      <c r="CA47" s="358"/>
      <c r="CB47" s="358"/>
      <c r="CC47" s="358"/>
      <c r="CD47" s="358"/>
      <c r="CE47" s="358"/>
      <c r="CF47" s="358"/>
      <c r="CG47" s="358"/>
      <c r="CH47" s="358"/>
      <c r="CI47" s="358"/>
      <c r="CJ47" s="358"/>
      <c r="CK47" s="358"/>
      <c r="CL47" s="358"/>
      <c r="CM47" s="358"/>
      <c r="CN47" s="358"/>
      <c r="CO47" s="358"/>
      <c r="CP47" s="358"/>
      <c r="CQ47" s="358"/>
      <c r="CR47" s="358"/>
      <c r="CS47" s="358"/>
      <c r="CT47" s="358"/>
      <c r="CU47" s="358"/>
      <c r="CV47" s="358"/>
      <c r="CW47" s="358"/>
      <c r="CX47" s="358"/>
      <c r="CY47" s="358"/>
      <c r="CZ47" s="358"/>
      <c r="DA47" s="358"/>
      <c r="DB47" s="358"/>
      <c r="DC47" s="358"/>
      <c r="DD47" s="358"/>
      <c r="DE47" s="358"/>
      <c r="DF47" s="358"/>
      <c r="DG47" s="358"/>
      <c r="DH47" s="358"/>
      <c r="DI47" s="358"/>
      <c r="DJ47" s="358"/>
      <c r="DK47" s="358"/>
      <c r="DL47" s="358"/>
      <c r="DM47" s="358"/>
      <c r="DN47" s="358"/>
      <c r="DO47" s="358"/>
      <c r="DP47" s="358"/>
      <c r="DQ47" s="358"/>
      <c r="DR47" s="358"/>
      <c r="DS47" s="358"/>
      <c r="DT47" s="358"/>
      <c r="DU47" s="358"/>
      <c r="DV47" s="358"/>
      <c r="DW47" s="358"/>
      <c r="DX47" s="358"/>
      <c r="DY47" s="358"/>
      <c r="DZ47" s="358"/>
      <c r="EA47" s="358"/>
      <c r="EB47" s="358"/>
      <c r="EC47" s="358"/>
      <c r="ED47" s="358"/>
      <c r="EE47" s="358"/>
      <c r="EF47" s="358"/>
      <c r="EG47" s="358"/>
      <c r="EH47" s="358"/>
      <c r="EI47" s="358"/>
      <c r="EJ47" s="358"/>
      <c r="EK47" s="358"/>
      <c r="EL47" s="358"/>
      <c r="EM47" s="358"/>
      <c r="EN47" s="358"/>
      <c r="EO47" s="358"/>
      <c r="EP47" s="358"/>
      <c r="EQ47" s="358"/>
      <c r="ER47" s="358"/>
      <c r="ES47" s="358"/>
      <c r="ET47" s="358"/>
      <c r="EU47" s="358"/>
      <c r="EV47" s="358"/>
      <c r="EW47" s="358"/>
      <c r="EX47" s="358"/>
      <c r="EY47" s="358"/>
      <c r="EZ47" s="358"/>
      <c r="FA47" s="358"/>
      <c r="FB47" s="358"/>
      <c r="FC47" s="358"/>
      <c r="FD47" s="358"/>
      <c r="FE47" s="358"/>
      <c r="FF47" s="358"/>
      <c r="FG47" s="358"/>
      <c r="FH47" s="358"/>
      <c r="FI47" s="358"/>
      <c r="FJ47" s="358"/>
      <c r="FK47" s="358"/>
      <c r="FL47" s="358"/>
      <c r="FM47" s="358"/>
      <c r="FN47" s="358"/>
      <c r="FO47" s="358"/>
      <c r="FP47" s="358"/>
      <c r="FQ47" s="358"/>
      <c r="FR47" s="358"/>
      <c r="FS47" s="358"/>
      <c r="FT47" s="358"/>
      <c r="FU47" s="358"/>
      <c r="FV47" s="358"/>
      <c r="FW47" s="358"/>
      <c r="FX47" s="358"/>
      <c r="FY47" s="358"/>
      <c r="FZ47" s="358"/>
      <c r="GA47" s="358"/>
      <c r="GB47" s="358"/>
      <c r="GC47" s="358"/>
      <c r="GD47" s="358"/>
      <c r="GE47" s="358"/>
      <c r="GF47" s="358"/>
      <c r="GG47" s="358"/>
      <c r="GH47" s="358"/>
      <c r="GI47" s="358"/>
      <c r="GJ47" s="358"/>
      <c r="GK47" s="358"/>
      <c r="GL47" s="358"/>
      <c r="GM47" s="358"/>
      <c r="GN47" s="358"/>
      <c r="GO47" s="358"/>
      <c r="GP47" s="358"/>
      <c r="GQ47" s="358"/>
      <c r="GR47" s="358"/>
      <c r="GS47" s="358"/>
      <c r="GT47" s="358"/>
      <c r="GU47" s="358"/>
      <c r="GV47" s="358"/>
      <c r="GW47" s="358"/>
      <c r="GX47" s="358"/>
      <c r="GY47" s="358"/>
      <c r="GZ47" s="358"/>
      <c r="HA47" s="358"/>
      <c r="HB47" s="358"/>
      <c r="HC47" s="358"/>
      <c r="HD47" s="358"/>
      <c r="HE47" s="358"/>
      <c r="HF47" s="358"/>
      <c r="HG47" s="358"/>
      <c r="HH47" s="358"/>
      <c r="HI47" s="358"/>
      <c r="HJ47" s="358"/>
      <c r="HK47" s="358"/>
      <c r="HL47" s="358"/>
      <c r="HM47" s="358"/>
      <c r="HN47" s="358"/>
      <c r="HO47" s="358"/>
      <c r="HP47" s="358"/>
      <c r="HQ47" s="358"/>
      <c r="HR47" s="358"/>
      <c r="HS47" s="358"/>
      <c r="HT47" s="358"/>
      <c r="HU47" s="358"/>
      <c r="HV47" s="358"/>
      <c r="HW47" s="358"/>
      <c r="HX47" s="358"/>
    </row>
    <row r="48" spans="1:232" s="5" customFormat="1" ht="20.100000000000001" customHeight="1">
      <c r="A48" s="503">
        <v>3</v>
      </c>
      <c r="B48" s="1661" t="s">
        <v>61</v>
      </c>
      <c r="C48" s="1662"/>
      <c r="D48" s="1662"/>
      <c r="E48" s="1663"/>
      <c r="F48" s="1598" t="s">
        <v>435</v>
      </c>
      <c r="G48" s="1598"/>
      <c r="H48" s="1598"/>
      <c r="I48" s="562" t="s">
        <v>471</v>
      </c>
      <c r="J48" s="506"/>
      <c r="O48" s="406"/>
      <c r="P48" s="406"/>
      <c r="Q48" s="406"/>
      <c r="R48" s="406"/>
      <c r="S48" s="406"/>
      <c r="T48" s="405"/>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c r="BX48" s="358"/>
      <c r="BY48" s="358"/>
      <c r="BZ48" s="358"/>
      <c r="CA48" s="358"/>
      <c r="CB48" s="358"/>
      <c r="CC48" s="358"/>
      <c r="CD48" s="358"/>
      <c r="CE48" s="358"/>
      <c r="CF48" s="358"/>
      <c r="CG48" s="358"/>
      <c r="CH48" s="358"/>
      <c r="CI48" s="358"/>
      <c r="CJ48" s="358"/>
      <c r="CK48" s="358"/>
      <c r="CL48" s="358"/>
      <c r="CM48" s="358"/>
      <c r="CN48" s="358"/>
      <c r="CO48" s="358"/>
      <c r="CP48" s="358"/>
      <c r="CQ48" s="358"/>
      <c r="CR48" s="358"/>
      <c r="CS48" s="358"/>
      <c r="CT48" s="358"/>
      <c r="CU48" s="358"/>
      <c r="CV48" s="358"/>
      <c r="CW48" s="358"/>
      <c r="CX48" s="358"/>
      <c r="CY48" s="358"/>
      <c r="CZ48" s="358"/>
      <c r="DA48" s="358"/>
      <c r="DB48" s="358"/>
      <c r="DC48" s="358"/>
      <c r="DD48" s="358"/>
      <c r="DE48" s="358"/>
      <c r="DF48" s="358"/>
      <c r="DG48" s="358"/>
      <c r="DH48" s="358"/>
      <c r="DI48" s="358"/>
      <c r="DJ48" s="358"/>
      <c r="DK48" s="358"/>
      <c r="DL48" s="358"/>
      <c r="DM48" s="358"/>
      <c r="DN48" s="358"/>
      <c r="DO48" s="358"/>
      <c r="DP48" s="358"/>
      <c r="DQ48" s="358"/>
      <c r="DR48" s="358"/>
      <c r="DS48" s="358"/>
      <c r="DT48" s="358"/>
      <c r="DU48" s="358"/>
      <c r="DV48" s="358"/>
      <c r="DW48" s="358"/>
      <c r="DX48" s="358"/>
      <c r="DY48" s="358"/>
      <c r="DZ48" s="358"/>
      <c r="EA48" s="358"/>
      <c r="EB48" s="358"/>
      <c r="EC48" s="358"/>
      <c r="ED48" s="358"/>
      <c r="EE48" s="358"/>
      <c r="EF48" s="358"/>
      <c r="EG48" s="358"/>
      <c r="EH48" s="358"/>
      <c r="EI48" s="358"/>
      <c r="EJ48" s="358"/>
      <c r="EK48" s="358"/>
      <c r="EL48" s="358"/>
      <c r="EM48" s="358"/>
      <c r="EN48" s="358"/>
      <c r="EO48" s="358"/>
      <c r="EP48" s="358"/>
      <c r="EQ48" s="358"/>
      <c r="ER48" s="358"/>
      <c r="ES48" s="358"/>
      <c r="ET48" s="358"/>
      <c r="EU48" s="358"/>
      <c r="EV48" s="358"/>
      <c r="EW48" s="358"/>
      <c r="EX48" s="358"/>
      <c r="EY48" s="358"/>
      <c r="EZ48" s="358"/>
      <c r="FA48" s="358"/>
      <c r="FB48" s="358"/>
      <c r="FC48" s="358"/>
      <c r="FD48" s="358"/>
      <c r="FE48" s="358"/>
      <c r="FF48" s="358"/>
      <c r="FG48" s="358"/>
      <c r="FH48" s="358"/>
      <c r="FI48" s="358"/>
      <c r="FJ48" s="358"/>
      <c r="FK48" s="358"/>
      <c r="FL48" s="358"/>
      <c r="FM48" s="358"/>
      <c r="FN48" s="358"/>
      <c r="FO48" s="358"/>
      <c r="FP48" s="358"/>
      <c r="FQ48" s="358"/>
      <c r="FR48" s="358"/>
      <c r="FS48" s="358"/>
      <c r="FT48" s="358"/>
      <c r="FU48" s="358"/>
      <c r="FV48" s="358"/>
      <c r="FW48" s="358"/>
      <c r="FX48" s="358"/>
      <c r="FY48" s="358"/>
      <c r="FZ48" s="358"/>
      <c r="GA48" s="358"/>
      <c r="GB48" s="358"/>
      <c r="GC48" s="358"/>
      <c r="GD48" s="358"/>
      <c r="GE48" s="358"/>
      <c r="GF48" s="358"/>
      <c r="GG48" s="358"/>
      <c r="GH48" s="358"/>
      <c r="GI48" s="358"/>
      <c r="GJ48" s="358"/>
      <c r="GK48" s="358"/>
      <c r="GL48" s="358"/>
      <c r="GM48" s="358"/>
      <c r="GN48" s="358"/>
      <c r="GO48" s="358"/>
      <c r="GP48" s="358"/>
      <c r="GQ48" s="358"/>
      <c r="GR48" s="358"/>
      <c r="GS48" s="358"/>
      <c r="GT48" s="358"/>
      <c r="GU48" s="358"/>
      <c r="GV48" s="358"/>
      <c r="GW48" s="358"/>
      <c r="GX48" s="358"/>
      <c r="GY48" s="358"/>
      <c r="GZ48" s="358"/>
      <c r="HA48" s="358"/>
      <c r="HB48" s="358"/>
      <c r="HC48" s="358"/>
      <c r="HD48" s="358"/>
      <c r="HE48" s="358"/>
      <c r="HF48" s="358"/>
      <c r="HG48" s="358"/>
      <c r="HH48" s="358"/>
      <c r="HI48" s="358"/>
      <c r="HJ48" s="358"/>
      <c r="HK48" s="358"/>
      <c r="HL48" s="358"/>
      <c r="HM48" s="358"/>
      <c r="HN48" s="358"/>
      <c r="HO48" s="358"/>
      <c r="HP48" s="358"/>
      <c r="HQ48" s="358"/>
      <c r="HR48" s="358"/>
      <c r="HS48" s="358"/>
      <c r="HT48" s="358"/>
      <c r="HU48" s="358"/>
      <c r="HV48" s="358"/>
      <c r="HW48" s="358"/>
      <c r="HX48" s="358"/>
    </row>
    <row r="49" spans="1:232" s="5" customFormat="1" ht="20.100000000000001" customHeight="1">
      <c r="A49" s="503"/>
      <c r="B49" s="1661"/>
      <c r="C49" s="1662"/>
      <c r="D49" s="1662"/>
      <c r="E49" s="1663"/>
      <c r="F49" s="1598"/>
      <c r="G49" s="1598"/>
      <c r="H49" s="1598"/>
      <c r="I49" s="562"/>
      <c r="J49" s="506"/>
      <c r="O49" s="405"/>
      <c r="P49" s="405"/>
      <c r="Q49" s="405"/>
      <c r="R49" s="405"/>
      <c r="S49" s="405"/>
      <c r="T49" s="405"/>
      <c r="U49" s="358"/>
      <c r="V49" s="358"/>
      <c r="W49" s="358"/>
      <c r="X49" s="358"/>
      <c r="Y49" s="358"/>
      <c r="Z49" s="358"/>
      <c r="AA49" s="358"/>
      <c r="AB49" s="358"/>
      <c r="AC49" s="358"/>
      <c r="AD49" s="358"/>
      <c r="AE49" s="358"/>
      <c r="AF49" s="358"/>
      <c r="AG49" s="358"/>
      <c r="AH49" s="358"/>
      <c r="AI49" s="358"/>
      <c r="AJ49" s="358"/>
      <c r="AK49" s="358"/>
      <c r="AL49" s="358"/>
      <c r="AM49" s="358"/>
      <c r="AN49" s="358"/>
      <c r="AO49" s="358"/>
      <c r="AP49" s="358"/>
      <c r="AQ49" s="358"/>
      <c r="AR49" s="358"/>
      <c r="AS49" s="358"/>
      <c r="AT49" s="358"/>
      <c r="AU49" s="358"/>
      <c r="AV49" s="358"/>
      <c r="AW49" s="358"/>
      <c r="AX49" s="358"/>
      <c r="AY49" s="358"/>
      <c r="AZ49" s="358"/>
      <c r="BA49" s="358"/>
      <c r="BB49" s="358"/>
      <c r="BC49" s="358"/>
      <c r="BD49" s="358"/>
      <c r="BE49" s="358"/>
      <c r="BF49" s="358"/>
      <c r="BG49" s="358"/>
      <c r="BH49" s="358"/>
      <c r="BI49" s="358"/>
      <c r="BJ49" s="358"/>
      <c r="BK49" s="358"/>
      <c r="BL49" s="358"/>
      <c r="BM49" s="358"/>
      <c r="BN49" s="358"/>
      <c r="BO49" s="358"/>
      <c r="BP49" s="358"/>
      <c r="BQ49" s="358"/>
      <c r="BR49" s="358"/>
      <c r="BS49" s="358"/>
      <c r="BT49" s="358"/>
      <c r="BU49" s="358"/>
      <c r="BV49" s="358"/>
      <c r="BW49" s="358"/>
      <c r="BX49" s="358"/>
      <c r="BY49" s="358"/>
      <c r="BZ49" s="358"/>
      <c r="CA49" s="358"/>
      <c r="CB49" s="358"/>
      <c r="CC49" s="358"/>
      <c r="CD49" s="358"/>
      <c r="CE49" s="358"/>
      <c r="CF49" s="358"/>
      <c r="CG49" s="358"/>
      <c r="CH49" s="358"/>
      <c r="CI49" s="358"/>
      <c r="CJ49" s="358"/>
      <c r="CK49" s="358"/>
      <c r="CL49" s="358"/>
      <c r="CM49" s="358"/>
      <c r="CN49" s="358"/>
      <c r="CO49" s="358"/>
      <c r="CP49" s="358"/>
      <c r="CQ49" s="358"/>
      <c r="CR49" s="358"/>
      <c r="CS49" s="358"/>
      <c r="CT49" s="358"/>
      <c r="CU49" s="358"/>
      <c r="CV49" s="358"/>
      <c r="CW49" s="358"/>
      <c r="CX49" s="358"/>
      <c r="CY49" s="358"/>
      <c r="CZ49" s="358"/>
      <c r="DA49" s="358"/>
      <c r="DB49" s="358"/>
      <c r="DC49" s="358"/>
      <c r="DD49" s="358"/>
      <c r="DE49" s="358"/>
      <c r="DF49" s="358"/>
      <c r="DG49" s="358"/>
      <c r="DH49" s="358"/>
      <c r="DI49" s="358"/>
      <c r="DJ49" s="358"/>
      <c r="DK49" s="358"/>
      <c r="DL49" s="358"/>
      <c r="DM49" s="358"/>
      <c r="DN49" s="358"/>
      <c r="DO49" s="358"/>
      <c r="DP49" s="358"/>
      <c r="DQ49" s="358"/>
      <c r="DR49" s="358"/>
      <c r="DS49" s="358"/>
      <c r="DT49" s="358"/>
      <c r="DU49" s="358"/>
      <c r="DV49" s="358"/>
      <c r="DW49" s="358"/>
      <c r="DX49" s="358"/>
      <c r="DY49" s="358"/>
      <c r="DZ49" s="358"/>
      <c r="EA49" s="358"/>
      <c r="EB49" s="358"/>
      <c r="EC49" s="358"/>
      <c r="ED49" s="358"/>
      <c r="EE49" s="358"/>
      <c r="EF49" s="358"/>
      <c r="EG49" s="358"/>
      <c r="EH49" s="358"/>
      <c r="EI49" s="358"/>
      <c r="EJ49" s="358"/>
      <c r="EK49" s="358"/>
      <c r="EL49" s="358"/>
      <c r="EM49" s="358"/>
      <c r="EN49" s="358"/>
      <c r="EO49" s="358"/>
      <c r="EP49" s="358"/>
      <c r="EQ49" s="358"/>
      <c r="ER49" s="358"/>
      <c r="ES49" s="358"/>
      <c r="ET49" s="358"/>
      <c r="EU49" s="358"/>
      <c r="EV49" s="358"/>
      <c r="EW49" s="358"/>
      <c r="EX49" s="358"/>
      <c r="EY49" s="358"/>
      <c r="EZ49" s="358"/>
      <c r="FA49" s="358"/>
      <c r="FB49" s="358"/>
      <c r="FC49" s="358"/>
      <c r="FD49" s="358"/>
      <c r="FE49" s="358"/>
      <c r="FF49" s="358"/>
      <c r="FG49" s="358"/>
      <c r="FH49" s="358"/>
      <c r="FI49" s="358"/>
      <c r="FJ49" s="358"/>
      <c r="FK49" s="358"/>
      <c r="FL49" s="358"/>
      <c r="FM49" s="358"/>
      <c r="FN49" s="358"/>
      <c r="FO49" s="358"/>
      <c r="FP49" s="358"/>
      <c r="FQ49" s="358"/>
      <c r="FR49" s="358"/>
      <c r="FS49" s="358"/>
      <c r="FT49" s="358"/>
      <c r="FU49" s="358"/>
      <c r="FV49" s="358"/>
      <c r="FW49" s="358"/>
      <c r="FX49" s="358"/>
      <c r="FY49" s="358"/>
      <c r="FZ49" s="358"/>
      <c r="GA49" s="358"/>
      <c r="GB49" s="358"/>
      <c r="GC49" s="358"/>
      <c r="GD49" s="358"/>
      <c r="GE49" s="358"/>
      <c r="GF49" s="358"/>
      <c r="GG49" s="358"/>
      <c r="GH49" s="358"/>
      <c r="GI49" s="358"/>
      <c r="GJ49" s="358"/>
      <c r="GK49" s="358"/>
      <c r="GL49" s="358"/>
      <c r="GM49" s="358"/>
      <c r="GN49" s="358"/>
      <c r="GO49" s="358"/>
      <c r="GP49" s="358"/>
      <c r="GQ49" s="358"/>
      <c r="GR49" s="358"/>
      <c r="GS49" s="358"/>
      <c r="GT49" s="358"/>
      <c r="GU49" s="358"/>
      <c r="GV49" s="358"/>
      <c r="GW49" s="358"/>
      <c r="GX49" s="358"/>
      <c r="GY49" s="358"/>
      <c r="GZ49" s="358"/>
      <c r="HA49" s="358"/>
      <c r="HB49" s="358"/>
      <c r="HC49" s="358"/>
      <c r="HD49" s="358"/>
      <c r="HE49" s="358"/>
      <c r="HF49" s="358"/>
      <c r="HG49" s="358"/>
      <c r="HH49" s="358"/>
      <c r="HI49" s="358"/>
      <c r="HJ49" s="358"/>
      <c r="HK49" s="358"/>
      <c r="HL49" s="358"/>
      <c r="HM49" s="358"/>
      <c r="HN49" s="358"/>
      <c r="HO49" s="358"/>
      <c r="HP49" s="358"/>
      <c r="HQ49" s="358"/>
      <c r="HR49" s="358"/>
      <c r="HS49" s="358"/>
      <c r="HT49" s="358"/>
      <c r="HU49" s="358"/>
      <c r="HV49" s="358"/>
      <c r="HW49" s="358"/>
      <c r="HX49" s="358"/>
    </row>
    <row r="50" spans="1:232" s="5" customFormat="1" ht="20.100000000000001" customHeight="1">
      <c r="A50" s="503"/>
      <c r="B50" s="1661"/>
      <c r="C50" s="1662"/>
      <c r="D50" s="1662"/>
      <c r="E50" s="1663"/>
      <c r="F50" s="1598"/>
      <c r="G50" s="1598"/>
      <c r="H50" s="1598"/>
      <c r="I50" s="562"/>
      <c r="J50" s="506"/>
      <c r="O50" s="405"/>
      <c r="P50" s="405"/>
      <c r="Q50" s="405"/>
      <c r="R50" s="405"/>
      <c r="S50" s="405"/>
      <c r="T50" s="405"/>
      <c r="U50" s="358"/>
      <c r="V50" s="358"/>
      <c r="W50" s="358"/>
      <c r="X50" s="358"/>
      <c r="Y50" s="358"/>
      <c r="Z50" s="358"/>
      <c r="AA50" s="358"/>
      <c r="AB50" s="358"/>
      <c r="AC50" s="358"/>
      <c r="AD50" s="358"/>
      <c r="AE50" s="358"/>
      <c r="AF50" s="358"/>
      <c r="AG50" s="358"/>
      <c r="AH50" s="358"/>
      <c r="AI50" s="358"/>
      <c r="AJ50" s="358"/>
      <c r="AK50" s="358"/>
      <c r="AL50" s="358"/>
      <c r="AM50" s="358"/>
      <c r="AN50" s="358"/>
      <c r="AO50" s="358"/>
      <c r="AP50" s="358"/>
      <c r="AQ50" s="358"/>
      <c r="AR50" s="358"/>
      <c r="AS50" s="358"/>
      <c r="AT50" s="358"/>
      <c r="AU50" s="358"/>
      <c r="AV50" s="358"/>
      <c r="AW50" s="358"/>
      <c r="AX50" s="358"/>
      <c r="AY50" s="358"/>
      <c r="AZ50" s="358"/>
      <c r="BA50" s="358"/>
      <c r="BB50" s="358"/>
      <c r="BC50" s="358"/>
      <c r="BD50" s="358"/>
      <c r="BE50" s="358"/>
      <c r="BF50" s="358"/>
      <c r="BG50" s="358"/>
      <c r="BH50" s="358"/>
      <c r="BI50" s="358"/>
      <c r="BJ50" s="358"/>
      <c r="BK50" s="358"/>
      <c r="BL50" s="358"/>
      <c r="BM50" s="358"/>
      <c r="BN50" s="358"/>
      <c r="BO50" s="358"/>
      <c r="BP50" s="358"/>
      <c r="BQ50" s="358"/>
      <c r="BR50" s="358"/>
      <c r="BS50" s="358"/>
      <c r="BT50" s="358"/>
      <c r="BU50" s="358"/>
      <c r="BV50" s="358"/>
      <c r="BW50" s="358"/>
      <c r="BX50" s="358"/>
      <c r="BY50" s="358"/>
      <c r="BZ50" s="358"/>
      <c r="CA50" s="358"/>
      <c r="CB50" s="358"/>
      <c r="CC50" s="358"/>
      <c r="CD50" s="358"/>
      <c r="CE50" s="358"/>
      <c r="CF50" s="358"/>
      <c r="CG50" s="358"/>
      <c r="CH50" s="358"/>
      <c r="CI50" s="358"/>
      <c r="CJ50" s="358"/>
      <c r="CK50" s="358"/>
      <c r="CL50" s="358"/>
      <c r="CM50" s="358"/>
      <c r="CN50" s="358"/>
      <c r="CO50" s="358"/>
      <c r="CP50" s="358"/>
      <c r="CQ50" s="358"/>
      <c r="CR50" s="358"/>
      <c r="CS50" s="358"/>
      <c r="CT50" s="358"/>
      <c r="CU50" s="358"/>
      <c r="CV50" s="358"/>
      <c r="CW50" s="358"/>
      <c r="CX50" s="358"/>
      <c r="CY50" s="358"/>
      <c r="CZ50" s="358"/>
      <c r="DA50" s="358"/>
      <c r="DB50" s="358"/>
      <c r="DC50" s="358"/>
      <c r="DD50" s="358"/>
      <c r="DE50" s="358"/>
      <c r="DF50" s="358"/>
      <c r="DG50" s="358"/>
      <c r="DH50" s="358"/>
      <c r="DI50" s="358"/>
      <c r="DJ50" s="358"/>
      <c r="DK50" s="358"/>
      <c r="DL50" s="358"/>
      <c r="DM50" s="358"/>
      <c r="DN50" s="358"/>
      <c r="DO50" s="358"/>
      <c r="DP50" s="358"/>
      <c r="DQ50" s="358"/>
      <c r="DR50" s="358"/>
      <c r="DS50" s="358"/>
      <c r="DT50" s="358"/>
      <c r="DU50" s="358"/>
      <c r="DV50" s="358"/>
      <c r="DW50" s="358"/>
      <c r="DX50" s="358"/>
      <c r="DY50" s="358"/>
      <c r="DZ50" s="358"/>
      <c r="EA50" s="358"/>
      <c r="EB50" s="358"/>
      <c r="EC50" s="358"/>
      <c r="ED50" s="358"/>
      <c r="EE50" s="358"/>
      <c r="EF50" s="358"/>
      <c r="EG50" s="358"/>
      <c r="EH50" s="358"/>
      <c r="EI50" s="358"/>
      <c r="EJ50" s="358"/>
      <c r="EK50" s="358"/>
      <c r="EL50" s="358"/>
      <c r="EM50" s="358"/>
      <c r="EN50" s="358"/>
      <c r="EO50" s="358"/>
      <c r="EP50" s="358"/>
      <c r="EQ50" s="358"/>
      <c r="ER50" s="358"/>
      <c r="ES50" s="358"/>
      <c r="ET50" s="358"/>
      <c r="EU50" s="358"/>
      <c r="EV50" s="358"/>
      <c r="EW50" s="358"/>
      <c r="EX50" s="358"/>
      <c r="EY50" s="358"/>
      <c r="EZ50" s="358"/>
      <c r="FA50" s="358"/>
      <c r="FB50" s="358"/>
      <c r="FC50" s="358"/>
      <c r="FD50" s="358"/>
      <c r="FE50" s="358"/>
      <c r="FF50" s="358"/>
      <c r="FG50" s="358"/>
      <c r="FH50" s="358"/>
      <c r="FI50" s="358"/>
      <c r="FJ50" s="358"/>
      <c r="FK50" s="358"/>
      <c r="FL50" s="358"/>
      <c r="FM50" s="358"/>
      <c r="FN50" s="358"/>
      <c r="FO50" s="358"/>
      <c r="FP50" s="358"/>
      <c r="FQ50" s="358"/>
      <c r="FR50" s="358"/>
      <c r="FS50" s="358"/>
      <c r="FT50" s="358"/>
      <c r="FU50" s="358"/>
      <c r="FV50" s="358"/>
      <c r="FW50" s="358"/>
      <c r="FX50" s="358"/>
      <c r="FY50" s="358"/>
      <c r="FZ50" s="358"/>
      <c r="GA50" s="358"/>
      <c r="GB50" s="358"/>
      <c r="GC50" s="358"/>
      <c r="GD50" s="358"/>
      <c r="GE50" s="358"/>
      <c r="GF50" s="358"/>
      <c r="GG50" s="358"/>
      <c r="GH50" s="358"/>
      <c r="GI50" s="358"/>
      <c r="GJ50" s="358"/>
      <c r="GK50" s="358"/>
      <c r="GL50" s="358"/>
      <c r="GM50" s="358"/>
      <c r="GN50" s="358"/>
      <c r="GO50" s="358"/>
      <c r="GP50" s="358"/>
      <c r="GQ50" s="358"/>
      <c r="GR50" s="358"/>
      <c r="GS50" s="358"/>
      <c r="GT50" s="358"/>
      <c r="GU50" s="358"/>
      <c r="GV50" s="358"/>
      <c r="GW50" s="358"/>
      <c r="GX50" s="358"/>
      <c r="GY50" s="358"/>
      <c r="GZ50" s="358"/>
      <c r="HA50" s="358"/>
      <c r="HB50" s="358"/>
      <c r="HC50" s="358"/>
      <c r="HD50" s="358"/>
      <c r="HE50" s="358"/>
      <c r="HF50" s="358"/>
      <c r="HG50" s="358"/>
      <c r="HH50" s="358"/>
      <c r="HI50" s="358"/>
      <c r="HJ50" s="358"/>
      <c r="HK50" s="358"/>
      <c r="HL50" s="358"/>
      <c r="HM50" s="358"/>
      <c r="HN50" s="358"/>
      <c r="HO50" s="358"/>
      <c r="HP50" s="358"/>
      <c r="HQ50" s="358"/>
      <c r="HR50" s="358"/>
      <c r="HS50" s="358"/>
      <c r="HT50" s="358"/>
      <c r="HU50" s="358"/>
      <c r="HV50" s="358"/>
      <c r="HW50" s="358"/>
      <c r="HX50" s="358"/>
    </row>
    <row r="51" spans="1:232" ht="20.100000000000001" customHeight="1">
      <c r="A51" s="1595" t="s">
        <v>1042</v>
      </c>
      <c r="B51" s="1595"/>
      <c r="C51" s="1595"/>
      <c r="D51" s="1595"/>
      <c r="E51" s="1595"/>
      <c r="F51" s="1595"/>
      <c r="G51" s="1595"/>
      <c r="H51" s="1595"/>
      <c r="I51" s="1595"/>
      <c r="J51" s="1595"/>
      <c r="N51" s="5"/>
      <c r="O51" s="405"/>
      <c r="P51" s="405"/>
      <c r="Q51" s="405"/>
      <c r="R51" s="405"/>
      <c r="S51" s="405"/>
    </row>
    <row r="52" spans="1:232" ht="20.100000000000001" customHeight="1">
      <c r="A52" s="1596" t="s">
        <v>121</v>
      </c>
      <c r="B52" s="1596"/>
      <c r="C52" s="1596"/>
      <c r="D52" s="1596"/>
      <c r="E52" s="1596"/>
      <c r="F52" s="1596"/>
      <c r="G52" s="1596"/>
      <c r="H52" s="1596"/>
      <c r="I52" s="1596"/>
      <c r="J52" s="1596"/>
    </row>
    <row r="53" spans="1:232" ht="20.100000000000001" customHeight="1">
      <c r="A53" s="1600" t="s">
        <v>910</v>
      </c>
      <c r="B53" s="1600"/>
      <c r="C53" s="1600"/>
      <c r="D53" s="1600"/>
      <c r="E53" s="1600"/>
      <c r="F53" s="1600"/>
      <c r="G53" s="1600"/>
      <c r="H53" s="1600"/>
      <c r="I53" s="1600"/>
      <c r="J53" s="1600"/>
    </row>
    <row r="54" spans="1:232" ht="20.100000000000001" customHeight="1">
      <c r="A54" s="1595"/>
      <c r="B54" s="1595"/>
      <c r="C54" s="1595"/>
      <c r="D54" s="1595"/>
      <c r="E54" s="1595"/>
      <c r="F54" s="1595"/>
      <c r="G54" s="1595"/>
      <c r="H54" s="1595"/>
      <c r="I54" s="1595"/>
      <c r="J54" s="1595"/>
    </row>
    <row r="55" spans="1:232" ht="20.100000000000001" customHeight="1">
      <c r="A55" s="507"/>
      <c r="B55" s="507"/>
      <c r="C55" s="507"/>
      <c r="D55" s="507"/>
      <c r="E55" s="507"/>
      <c r="F55" s="507"/>
      <c r="G55" s="507"/>
      <c r="H55" s="507"/>
      <c r="I55" s="507"/>
      <c r="J55" s="507"/>
    </row>
    <row r="56" spans="1:232" ht="20.100000000000001" customHeight="1">
      <c r="A56" s="1599" t="s">
        <v>442</v>
      </c>
      <c r="B56" s="1599"/>
      <c r="C56" s="1599"/>
      <c r="D56" s="1599"/>
      <c r="E56" s="1599"/>
      <c r="F56" s="1666" t="s">
        <v>123</v>
      </c>
      <c r="G56" s="1666"/>
      <c r="H56" s="1666"/>
      <c r="I56" s="1666"/>
      <c r="J56" s="1666"/>
    </row>
    <row r="57" spans="1:232" ht="20.100000000000001" customHeight="1">
      <c r="A57" s="563"/>
      <c r="B57" s="508"/>
      <c r="C57" s="508"/>
      <c r="D57" s="508"/>
      <c r="E57" s="563"/>
      <c r="F57" s="1599" t="s">
        <v>124</v>
      </c>
      <c r="G57" s="1599"/>
      <c r="H57" s="1599" t="s">
        <v>331</v>
      </c>
      <c r="I57" s="1599"/>
      <c r="J57" s="1599"/>
    </row>
    <row r="58" spans="1:232" ht="20.100000000000001" customHeight="1">
      <c r="A58" s="508"/>
      <c r="B58" s="508"/>
      <c r="C58" s="508"/>
      <c r="D58" s="508"/>
      <c r="E58" s="508"/>
      <c r="F58" s="508"/>
      <c r="G58" s="508"/>
      <c r="H58" s="508"/>
      <c r="I58" s="508"/>
      <c r="J58" s="508"/>
    </row>
    <row r="59" spans="1:232" ht="20.100000000000001" customHeight="1">
      <c r="A59" s="508"/>
      <c r="B59" s="508"/>
      <c r="C59" s="508"/>
      <c r="D59" s="508"/>
      <c r="E59" s="508"/>
      <c r="F59" s="508"/>
      <c r="G59" s="508"/>
      <c r="H59" s="508"/>
      <c r="I59" s="508"/>
      <c r="J59" s="508"/>
    </row>
    <row r="60" spans="1:232" ht="20.100000000000001" customHeight="1">
      <c r="A60" s="508"/>
      <c r="B60" s="508"/>
      <c r="C60" s="508"/>
      <c r="D60" s="508"/>
      <c r="E60" s="508"/>
      <c r="F60" s="508"/>
      <c r="G60" s="508"/>
      <c r="H60" s="508"/>
      <c r="I60" s="508"/>
      <c r="J60" s="508"/>
    </row>
    <row r="61" spans="1:232" ht="20.100000000000001" customHeight="1">
      <c r="A61" s="508"/>
      <c r="B61" s="508"/>
      <c r="C61" s="508"/>
      <c r="D61" s="508"/>
      <c r="E61" s="508"/>
      <c r="F61" s="508"/>
      <c r="G61" s="508"/>
      <c r="H61" s="508"/>
      <c r="I61" s="508"/>
      <c r="J61" s="508"/>
    </row>
    <row r="62" spans="1:232" ht="20.100000000000001" customHeight="1">
      <c r="A62" s="508"/>
      <c r="B62" s="508"/>
      <c r="C62" s="508"/>
      <c r="D62" s="508"/>
      <c r="E62" s="508"/>
      <c r="F62" s="508"/>
      <c r="G62" s="508"/>
      <c r="H62" s="508"/>
      <c r="I62" s="508"/>
      <c r="J62" s="508"/>
    </row>
    <row r="63" spans="1:232" ht="20.100000000000001" customHeight="1">
      <c r="A63" s="508"/>
      <c r="B63" s="508"/>
      <c r="C63" s="508"/>
      <c r="D63" s="508"/>
      <c r="E63" s="508"/>
      <c r="F63" s="508"/>
      <c r="G63" s="508"/>
      <c r="H63" s="508"/>
      <c r="I63" s="508"/>
      <c r="J63" s="508"/>
    </row>
    <row r="64" spans="1:232" ht="20.100000000000001" customHeight="1">
      <c r="A64" s="508"/>
      <c r="B64" s="508"/>
      <c r="C64" s="508"/>
      <c r="D64" s="508"/>
      <c r="E64" s="508"/>
      <c r="F64" s="508"/>
      <c r="G64" s="508"/>
      <c r="H64" s="508"/>
      <c r="I64" s="508"/>
      <c r="J64" s="508"/>
    </row>
    <row r="65" spans="1:10" ht="20.100000000000001" customHeight="1">
      <c r="A65" s="508"/>
      <c r="B65" s="508"/>
      <c r="C65" s="508"/>
      <c r="D65" s="508"/>
      <c r="E65" s="508"/>
      <c r="F65" s="508"/>
      <c r="G65" s="508"/>
      <c r="H65" s="508"/>
      <c r="I65" s="508"/>
      <c r="J65" s="508"/>
    </row>
    <row r="66" spans="1:10" ht="20.100000000000001" customHeight="1">
      <c r="A66" s="508"/>
      <c r="B66" s="508"/>
      <c r="C66" s="508"/>
      <c r="D66" s="508"/>
      <c r="E66" s="508"/>
      <c r="F66" s="508"/>
      <c r="G66" s="508"/>
      <c r="H66" s="508"/>
      <c r="I66" s="508"/>
      <c r="J66" s="508"/>
    </row>
    <row r="67" spans="1:10" ht="20.100000000000001" customHeight="1">
      <c r="A67" s="508"/>
      <c r="B67" s="508"/>
      <c r="C67" s="508"/>
      <c r="D67" s="508"/>
      <c r="E67" s="508"/>
      <c r="F67" s="508"/>
      <c r="G67" s="508"/>
      <c r="H67" s="508"/>
      <c r="I67" s="508"/>
      <c r="J67" s="508"/>
    </row>
    <row r="68" spans="1:10" ht="20.100000000000001" customHeight="1">
      <c r="A68" s="508"/>
      <c r="B68" s="508"/>
      <c r="C68" s="508"/>
      <c r="D68" s="508"/>
      <c r="E68" s="508"/>
      <c r="F68" s="508"/>
      <c r="G68" s="508"/>
      <c r="H68" s="508"/>
      <c r="I68" s="508"/>
      <c r="J68" s="508"/>
    </row>
    <row r="69" spans="1:10" ht="20.100000000000001" customHeight="1">
      <c r="A69" s="508"/>
      <c r="B69" s="508"/>
      <c r="C69" s="508"/>
      <c r="D69" s="508"/>
      <c r="E69" s="508"/>
      <c r="F69" s="508"/>
      <c r="G69" s="508"/>
      <c r="H69" s="508"/>
      <c r="I69" s="508"/>
      <c r="J69" s="508"/>
    </row>
    <row r="70" spans="1:10" ht="20.100000000000001" customHeight="1">
      <c r="A70" s="508"/>
      <c r="B70" s="508"/>
      <c r="C70" s="508"/>
      <c r="D70" s="508"/>
      <c r="E70" s="508"/>
      <c r="F70" s="508"/>
      <c r="G70" s="508"/>
      <c r="H70" s="508"/>
      <c r="I70" s="508"/>
      <c r="J70" s="508"/>
    </row>
    <row r="71" spans="1:10" ht="20.100000000000001" customHeight="1">
      <c r="A71" s="508"/>
      <c r="B71" s="508"/>
      <c r="C71" s="508"/>
      <c r="D71" s="508"/>
      <c r="E71" s="508"/>
      <c r="F71" s="508"/>
      <c r="G71" s="508"/>
      <c r="H71" s="508"/>
      <c r="I71" s="508"/>
      <c r="J71" s="508"/>
    </row>
    <row r="72" spans="1:10" ht="20.100000000000001" customHeight="1">
      <c r="A72" s="508"/>
      <c r="B72" s="508"/>
      <c r="C72" s="508"/>
      <c r="D72" s="508"/>
      <c r="E72" s="508"/>
      <c r="F72" s="508"/>
      <c r="G72" s="508"/>
      <c r="H72" s="508"/>
      <c r="I72" s="508"/>
      <c r="J72" s="508"/>
    </row>
    <row r="73" spans="1:10" ht="20.100000000000001" customHeight="1">
      <c r="A73" s="508"/>
      <c r="B73" s="508"/>
      <c r="C73" s="508"/>
      <c r="D73" s="508"/>
      <c r="E73" s="508"/>
      <c r="F73" s="508"/>
      <c r="G73" s="508"/>
      <c r="H73" s="508"/>
      <c r="I73" s="508"/>
      <c r="J73" s="508"/>
    </row>
    <row r="74" spans="1:10" ht="20.100000000000001" customHeight="1">
      <c r="A74" s="508"/>
      <c r="B74" s="508"/>
      <c r="C74" s="508"/>
      <c r="D74" s="508"/>
      <c r="E74" s="508"/>
      <c r="F74" s="508"/>
      <c r="G74" s="508"/>
      <c r="H74" s="508"/>
      <c r="I74" s="508"/>
      <c r="J74" s="508"/>
    </row>
    <row r="75" spans="1:10" ht="20.100000000000001" customHeight="1">
      <c r="A75" s="508"/>
      <c r="B75" s="508"/>
      <c r="C75" s="508"/>
      <c r="D75" s="508"/>
      <c r="E75" s="508"/>
      <c r="F75" s="508"/>
      <c r="G75" s="508"/>
      <c r="H75" s="508"/>
      <c r="I75" s="508"/>
      <c r="J75" s="508"/>
    </row>
    <row r="76" spans="1:10" ht="20.100000000000001" customHeight="1">
      <c r="A76" s="508"/>
      <c r="B76" s="508"/>
      <c r="C76" s="508"/>
      <c r="D76" s="508"/>
      <c r="E76" s="508"/>
      <c r="F76" s="508"/>
      <c r="G76" s="508"/>
      <c r="H76" s="508"/>
      <c r="I76" s="508"/>
      <c r="J76" s="508"/>
    </row>
    <row r="77" spans="1:10" ht="20.100000000000001" customHeight="1">
      <c r="A77" s="1698" t="s">
        <v>458</v>
      </c>
      <c r="B77" s="1698"/>
      <c r="C77" s="1698"/>
      <c r="D77" s="1698"/>
      <c r="E77" s="1698"/>
      <c r="F77" s="1652" t="s">
        <v>126</v>
      </c>
      <c r="G77" s="1652"/>
      <c r="H77" s="1652"/>
      <c r="I77" s="1652"/>
      <c r="J77" s="1652"/>
    </row>
    <row r="78" spans="1:10" ht="20.100000000000001" customHeight="1">
      <c r="A78" s="1613" t="s">
        <v>127</v>
      </c>
      <c r="B78" s="1613"/>
      <c r="C78" s="1613"/>
      <c r="D78" s="1613"/>
      <c r="E78" s="1613"/>
      <c r="F78" s="1700" t="s">
        <v>128</v>
      </c>
      <c r="G78" s="1700"/>
      <c r="H78" s="1700"/>
      <c r="I78" s="1700"/>
      <c r="J78" s="1700"/>
    </row>
    <row r="79" spans="1:10" ht="20.100000000000001" customHeight="1">
      <c r="F79" s="1652" t="s">
        <v>404</v>
      </c>
      <c r="G79" s="1653"/>
      <c r="H79" s="1653"/>
      <c r="I79" s="1653"/>
      <c r="J79" s="1653"/>
    </row>
    <row r="80" spans="1:10" ht="20.100000000000001" customHeight="1">
      <c r="F80" s="1706" t="str">
        <f>A4</f>
        <v>Quảng Ninh, ngày……..tháng…….năm 2016</v>
      </c>
      <c r="G80" s="1706"/>
      <c r="H80" s="1706"/>
      <c r="I80" s="1706"/>
      <c r="J80" s="1706"/>
    </row>
    <row r="81" spans="1:232" ht="20.100000000000001" customHeight="1">
      <c r="A81" s="509"/>
      <c r="B81" s="509"/>
      <c r="C81" s="509"/>
      <c r="D81" s="509"/>
      <c r="E81" s="509"/>
      <c r="F81" s="510"/>
      <c r="G81" s="510"/>
      <c r="H81" s="510"/>
      <c r="I81" s="510"/>
      <c r="J81" s="510"/>
    </row>
    <row r="82" spans="1:232" ht="19.5">
      <c r="A82" s="1655" t="s">
        <v>438</v>
      </c>
      <c r="B82" s="1656"/>
      <c r="C82" s="1656"/>
      <c r="D82" s="1656"/>
      <c r="E82" s="1656"/>
      <c r="F82" s="1656"/>
      <c r="G82" s="1656"/>
      <c r="H82" s="1656"/>
      <c r="I82" s="1656"/>
      <c r="J82" s="1656"/>
    </row>
    <row r="83" spans="1:232" ht="20.100000000000001" customHeight="1">
      <c r="A83" s="1696" t="str">
        <f>A6</f>
        <v>SỐ: TGHL-HT-CWI-C&amp;S-B1/800</v>
      </c>
      <c r="B83" s="1696"/>
      <c r="C83" s="1696"/>
      <c r="D83" s="1696"/>
      <c r="E83" s="1696"/>
      <c r="F83" s="1696"/>
      <c r="G83" s="1696"/>
      <c r="H83" s="1696"/>
      <c r="I83" s="1696"/>
      <c r="J83" s="1696"/>
    </row>
    <row r="84" spans="1:232" ht="35.1" customHeight="1">
      <c r="A84" s="641" t="str">
        <f>A8</f>
        <v>DỰ ÁN:</v>
      </c>
      <c r="B84" s="641"/>
      <c r="C84" s="1615" t="str">
        <f>C8</f>
        <v>KHU HỖN HỢP CHUNG CƯ, VĂN PHÒNG, TRUNG TÂM THƯƠNG MẠI VÀ NHÀ Ở KẾT HỢP KHU MUA SẮM</v>
      </c>
      <c r="D84" s="1615"/>
      <c r="E84" s="1615"/>
      <c r="F84" s="1615"/>
      <c r="G84" s="1615"/>
      <c r="H84" s="1615"/>
      <c r="I84" s="1615"/>
      <c r="J84" s="1615"/>
    </row>
    <row r="85" spans="1:232" ht="20.100000000000001" customHeight="1">
      <c r="A85" s="641" t="str">
        <f>A9</f>
        <v>CÔNG TRÌNH:</v>
      </c>
      <c r="B85" s="641"/>
      <c r="C85" s="1615" t="str">
        <f>C9</f>
        <v>KHU HỖN HỢP CHUNG CƯ, VĂN PHÒNG, TTTM</v>
      </c>
      <c r="D85" s="1615"/>
      <c r="E85" s="1615"/>
      <c r="F85" s="1615"/>
      <c r="G85" s="1615"/>
      <c r="H85" s="1615"/>
      <c r="I85" s="1615"/>
      <c r="J85" s="1615"/>
    </row>
    <row r="86" spans="1:232" ht="20.100000000000001" customHeight="1">
      <c r="A86" s="641" t="str">
        <f>A10</f>
        <v>GÓI THẦU :</v>
      </c>
      <c r="B86" s="641"/>
      <c r="C86" s="1615" t="str">
        <f>C10</f>
        <v>THI CÔNG CỌC KHOAN NHỒI</v>
      </c>
      <c r="D86" s="1615"/>
      <c r="E86" s="1615"/>
      <c r="F86" s="1615"/>
      <c r="G86" s="1615"/>
      <c r="H86" s="1615"/>
      <c r="I86" s="1615"/>
      <c r="J86" s="1615"/>
    </row>
    <row r="87" spans="1:232" ht="20.100000000000001" customHeight="1">
      <c r="A87" s="641" t="str">
        <f>A11</f>
        <v>ĐỊA ĐIỂM :</v>
      </c>
      <c r="B87" s="641"/>
      <c r="C87" s="1615" t="str">
        <f>C11</f>
        <v>ĐƯỜNG 25/4, P BẠCH ĐẰNG, TP. HẠ LONG, TỈNH QUẢNG NINH</v>
      </c>
      <c r="D87" s="1615"/>
      <c r="E87" s="1615"/>
      <c r="F87" s="1615"/>
      <c r="G87" s="1615"/>
      <c r="H87" s="1615"/>
      <c r="I87" s="1615"/>
      <c r="J87" s="1615"/>
    </row>
    <row r="88" spans="1:232" ht="16.5">
      <c r="A88" s="511"/>
      <c r="B88" s="512"/>
      <c r="C88" s="481"/>
      <c r="D88" s="481"/>
      <c r="E88" s="481"/>
      <c r="F88" s="481"/>
      <c r="G88" s="481"/>
      <c r="H88" s="481"/>
      <c r="I88" s="481"/>
      <c r="J88" s="481"/>
    </row>
    <row r="89" spans="1:232" ht="16.5">
      <c r="A89" s="477" t="s">
        <v>911</v>
      </c>
      <c r="B89" s="638"/>
      <c r="C89" s="476" t="s">
        <v>820</v>
      </c>
      <c r="D89" s="638"/>
      <c r="E89" s="638"/>
      <c r="F89" s="638"/>
      <c r="G89" s="638"/>
      <c r="H89" s="638"/>
      <c r="I89" s="638"/>
      <c r="J89" s="638"/>
    </row>
    <row r="90" spans="1:232" ht="16.5">
      <c r="A90" s="509"/>
      <c r="B90" s="509"/>
      <c r="C90" s="782" t="s">
        <v>867</v>
      </c>
      <c r="D90" s="509"/>
      <c r="E90" s="509"/>
      <c r="F90" s="510"/>
      <c r="G90" s="510"/>
      <c r="H90" s="510"/>
      <c r="I90" s="510"/>
      <c r="J90" s="510"/>
    </row>
    <row r="91" spans="1:232" ht="51" customHeight="1">
      <c r="A91" s="1626" t="str">
        <f>'[6]7. BBNT-TOADOCOC'!A89:J89</f>
        <v xml:space="preserve">           Sau khi đã nghiệm thu nội bộ công việc xây dựng, đảm bảo đúng theo thiết kế đã được phê duyệt, quy chuẩn, tiêu chuẩn hiện hành, Nhà thầu thi công đề nghị Ban Quản lý dự án và Tư vấn giám sát nghiệm thu các công việc như sau :</v>
      </c>
      <c r="B91" s="1627"/>
      <c r="C91" s="1627"/>
      <c r="D91" s="1627"/>
      <c r="E91" s="1627"/>
      <c r="F91" s="1627"/>
      <c r="G91" s="1627"/>
      <c r="H91" s="1627"/>
      <c r="I91" s="1627"/>
      <c r="J91" s="1627"/>
    </row>
    <row r="92" spans="1:232" ht="20.100000000000001" customHeight="1">
      <c r="A92" s="1689" t="s">
        <v>868</v>
      </c>
      <c r="B92" s="1689"/>
      <c r="C92" s="518" t="str">
        <f>A13</f>
        <v>Cấu kiện bê tông cọc số hiệu B1</v>
      </c>
      <c r="D92" s="542"/>
      <c r="E92" s="542"/>
      <c r="F92" s="542"/>
      <c r="G92" s="542"/>
      <c r="H92" s="542"/>
      <c r="I92" s="542"/>
      <c r="J92" s="542"/>
    </row>
    <row r="93" spans="1:232" ht="20.100000000000001" customHeight="1">
      <c r="A93" s="543" t="s">
        <v>131</v>
      </c>
      <c r="B93" s="487"/>
      <c r="C93" s="943">
        <f>N16-O11</f>
        <v>0.61111111111111116</v>
      </c>
      <c r="D93" s="1603" t="str">
        <f>E23</f>
        <v>, ngày…..tháng…..năm 2016</v>
      </c>
      <c r="E93" s="1603"/>
      <c r="F93" s="1603"/>
      <c r="G93" s="1603"/>
      <c r="H93" s="1603"/>
      <c r="I93" s="1603"/>
      <c r="J93" s="513"/>
    </row>
    <row r="94" spans="1:232" ht="20.100000000000001" customHeight="1">
      <c r="A94" s="543" t="str">
        <f>'[6]7. BBNT-TOADOCOC'!A92</f>
        <v>Tại:</v>
      </c>
      <c r="B94" s="487" t="str">
        <f>'[6]7. BBNT-TOADOCOC'!B92</f>
        <v>Công trình: Khu hỗn hợp chung cư, văn phòng, trung tâm thương mại.</v>
      </c>
      <c r="C94" s="766"/>
      <c r="D94" s="766"/>
      <c r="E94" s="766"/>
      <c r="F94" s="766"/>
      <c r="G94" s="766"/>
      <c r="H94" s="766"/>
      <c r="I94" s="766"/>
      <c r="J94" s="766"/>
    </row>
    <row r="95" spans="1:232" ht="20.100000000000001" customHeight="1">
      <c r="A95" s="517"/>
      <c r="B95" s="517"/>
      <c r="C95" s="517"/>
      <c r="D95" s="517"/>
      <c r="E95" s="517"/>
      <c r="F95" s="519"/>
      <c r="G95" s="519"/>
      <c r="H95" s="519"/>
      <c r="I95" s="519"/>
      <c r="J95" s="519"/>
    </row>
    <row r="96" spans="1:232" s="464" customFormat="1" ht="39.75" customHeight="1">
      <c r="A96" s="1631" t="s">
        <v>869</v>
      </c>
      <c r="B96" s="1632"/>
      <c r="C96" s="1633"/>
      <c r="D96" s="1606" t="s">
        <v>870</v>
      </c>
      <c r="E96" s="1606"/>
      <c r="F96" s="1690" t="s">
        <v>409</v>
      </c>
      <c r="G96" s="1691"/>
      <c r="H96" s="1691"/>
      <c r="I96" s="1691"/>
      <c r="J96" s="1692"/>
      <c r="K96" s="463"/>
      <c r="L96" s="463"/>
      <c r="Y96" s="468"/>
      <c r="Z96" s="468"/>
      <c r="AA96" s="468"/>
      <c r="AB96" s="468"/>
      <c r="AC96" s="468"/>
      <c r="AD96" s="468"/>
      <c r="AE96" s="463"/>
      <c r="AF96" s="463"/>
      <c r="AG96" s="463"/>
      <c r="AH96" s="463"/>
      <c r="AI96" s="463"/>
      <c r="AJ96" s="463"/>
      <c r="AK96" s="463"/>
      <c r="AL96" s="463"/>
      <c r="AM96" s="463"/>
      <c r="AN96" s="463"/>
      <c r="AO96" s="463"/>
      <c r="AP96" s="463"/>
      <c r="AQ96" s="463"/>
      <c r="AR96" s="463"/>
      <c r="AS96" s="463"/>
      <c r="AT96" s="463"/>
      <c r="AU96" s="463"/>
      <c r="AV96" s="463"/>
      <c r="AW96" s="463"/>
      <c r="AX96" s="463"/>
      <c r="AY96" s="463"/>
      <c r="AZ96" s="463"/>
      <c r="BA96" s="463"/>
      <c r="BB96" s="463"/>
      <c r="BC96" s="463"/>
      <c r="BD96" s="463"/>
      <c r="BE96" s="463"/>
      <c r="BF96" s="463"/>
      <c r="BG96" s="463"/>
      <c r="BH96" s="463"/>
      <c r="BI96" s="463"/>
      <c r="BJ96" s="463"/>
      <c r="BK96" s="463"/>
      <c r="BL96" s="463"/>
      <c r="BM96" s="463"/>
      <c r="BN96" s="463"/>
      <c r="BO96" s="463"/>
      <c r="BP96" s="463"/>
      <c r="BQ96" s="463"/>
      <c r="BR96" s="463"/>
      <c r="BS96" s="463"/>
      <c r="BT96" s="463"/>
      <c r="BU96" s="463"/>
      <c r="BV96" s="463"/>
      <c r="BW96" s="463"/>
      <c r="BX96" s="463"/>
      <c r="BY96" s="463"/>
      <c r="BZ96" s="463"/>
      <c r="CA96" s="463"/>
      <c r="CB96" s="463"/>
      <c r="CC96" s="463"/>
      <c r="CD96" s="463"/>
      <c r="CE96" s="463"/>
      <c r="CF96" s="463"/>
      <c r="CG96" s="463"/>
      <c r="CH96" s="463"/>
      <c r="CI96" s="463"/>
      <c r="CJ96" s="463"/>
      <c r="CK96" s="463"/>
      <c r="CL96" s="463"/>
      <c r="CM96" s="463"/>
      <c r="CN96" s="463"/>
      <c r="CO96" s="463"/>
      <c r="CP96" s="463"/>
      <c r="CQ96" s="463"/>
      <c r="CR96" s="463"/>
      <c r="CS96" s="463"/>
      <c r="CT96" s="463"/>
      <c r="CU96" s="463"/>
      <c r="CV96" s="463"/>
      <c r="CW96" s="463"/>
      <c r="CX96" s="463"/>
      <c r="CY96" s="463"/>
      <c r="CZ96" s="463"/>
      <c r="DA96" s="463"/>
      <c r="DB96" s="463"/>
      <c r="DC96" s="463"/>
      <c r="DD96" s="463"/>
      <c r="DE96" s="463"/>
      <c r="DF96" s="463"/>
      <c r="DG96" s="463"/>
      <c r="DH96" s="463"/>
      <c r="DI96" s="463"/>
      <c r="DJ96" s="463"/>
      <c r="DK96" s="463"/>
      <c r="DL96" s="463"/>
      <c r="DM96" s="463"/>
      <c r="DN96" s="463"/>
      <c r="DO96" s="463"/>
      <c r="DP96" s="463"/>
      <c r="DQ96" s="463"/>
      <c r="DR96" s="463"/>
      <c r="DS96" s="463"/>
      <c r="DT96" s="463"/>
      <c r="DU96" s="463"/>
      <c r="DV96" s="463"/>
      <c r="DW96" s="463"/>
      <c r="DX96" s="463"/>
      <c r="DY96" s="463"/>
      <c r="DZ96" s="463"/>
      <c r="EA96" s="463"/>
      <c r="EB96" s="463"/>
      <c r="EC96" s="463"/>
      <c r="ED96" s="463"/>
      <c r="EE96" s="463"/>
      <c r="EF96" s="463"/>
      <c r="EG96" s="463"/>
      <c r="EH96" s="463"/>
      <c r="EI96" s="463"/>
      <c r="EJ96" s="463"/>
      <c r="EK96" s="463"/>
      <c r="EL96" s="463"/>
      <c r="EM96" s="463"/>
      <c r="EN96" s="463"/>
      <c r="EO96" s="463"/>
      <c r="EP96" s="463"/>
      <c r="EQ96" s="463"/>
      <c r="ER96" s="463"/>
      <c r="ES96" s="463"/>
      <c r="ET96" s="463"/>
      <c r="EU96" s="463"/>
      <c r="EV96" s="463"/>
      <c r="EW96" s="463"/>
      <c r="EX96" s="463"/>
      <c r="EY96" s="463"/>
      <c r="EZ96" s="463"/>
      <c r="FA96" s="463"/>
      <c r="FB96" s="463"/>
      <c r="FC96" s="463"/>
      <c r="FD96" s="463"/>
      <c r="FE96" s="463"/>
      <c r="FF96" s="463"/>
      <c r="FG96" s="463"/>
      <c r="FH96" s="463"/>
      <c r="FI96" s="463"/>
      <c r="FJ96" s="463"/>
      <c r="FK96" s="463"/>
      <c r="FL96" s="463"/>
      <c r="FM96" s="463"/>
      <c r="FN96" s="463"/>
      <c r="FO96" s="463"/>
      <c r="FP96" s="463"/>
      <c r="FQ96" s="463"/>
      <c r="FR96" s="463"/>
      <c r="FS96" s="463"/>
      <c r="FT96" s="463"/>
      <c r="FU96" s="463"/>
      <c r="FV96" s="463"/>
      <c r="FW96" s="463"/>
      <c r="FX96" s="463"/>
      <c r="FY96" s="463"/>
      <c r="FZ96" s="463"/>
      <c r="GA96" s="463"/>
      <c r="GB96" s="463"/>
      <c r="GC96" s="463"/>
      <c r="GD96" s="463"/>
      <c r="GE96" s="463"/>
      <c r="GF96" s="463"/>
      <c r="GG96" s="463"/>
      <c r="GH96" s="463"/>
      <c r="GI96" s="463"/>
      <c r="GJ96" s="463"/>
      <c r="GK96" s="463"/>
      <c r="GL96" s="463"/>
      <c r="GM96" s="463"/>
      <c r="GN96" s="463"/>
      <c r="GO96" s="463"/>
      <c r="GP96" s="463"/>
      <c r="GQ96" s="463"/>
      <c r="GR96" s="463"/>
      <c r="GS96" s="463"/>
      <c r="GT96" s="463"/>
      <c r="GU96" s="463"/>
      <c r="GV96" s="463"/>
      <c r="GW96" s="463"/>
      <c r="GX96" s="463"/>
      <c r="GY96" s="463"/>
      <c r="GZ96" s="463"/>
      <c r="HA96" s="463"/>
      <c r="HB96" s="463"/>
      <c r="HC96" s="463"/>
      <c r="HD96" s="463"/>
      <c r="HE96" s="463"/>
      <c r="HF96" s="463"/>
      <c r="HG96" s="463"/>
      <c r="HH96" s="463"/>
      <c r="HI96" s="463"/>
      <c r="HJ96" s="463"/>
      <c r="HK96" s="463"/>
      <c r="HL96" s="463"/>
      <c r="HM96" s="463"/>
      <c r="HN96" s="463"/>
      <c r="HO96" s="463"/>
      <c r="HP96" s="463"/>
      <c r="HQ96" s="463"/>
      <c r="HR96" s="463"/>
      <c r="HS96" s="463"/>
      <c r="HT96" s="463"/>
      <c r="HU96" s="463"/>
      <c r="HV96" s="463"/>
      <c r="HW96" s="463"/>
      <c r="HX96" s="463"/>
    </row>
    <row r="97" spans="1:232" s="464" customFormat="1" ht="34.5" customHeight="1">
      <c r="A97" s="1634"/>
      <c r="B97" s="1635"/>
      <c r="C97" s="1636"/>
      <c r="D97" s="1727">
        <f>N10+O11+O11/3</f>
        <v>0.60185185185185186</v>
      </c>
      <c r="E97" s="1729">
        <f>N17</f>
        <v>42494</v>
      </c>
      <c r="F97" s="1645"/>
      <c r="G97" s="1646"/>
      <c r="H97" s="1646"/>
      <c r="I97" s="1646"/>
      <c r="J97" s="1647"/>
      <c r="K97" s="463"/>
      <c r="L97" s="463"/>
      <c r="Y97" s="468"/>
      <c r="Z97" s="468"/>
      <c r="AA97" s="468"/>
      <c r="AB97" s="468"/>
      <c r="AC97" s="468"/>
      <c r="AD97" s="468"/>
      <c r="AE97" s="463"/>
      <c r="AF97" s="463"/>
      <c r="AG97" s="463"/>
      <c r="AH97" s="463"/>
      <c r="AI97" s="463"/>
      <c r="AJ97" s="463"/>
      <c r="AK97" s="463"/>
      <c r="AL97" s="463"/>
      <c r="AM97" s="463"/>
      <c r="AN97" s="463"/>
      <c r="AO97" s="463"/>
      <c r="AP97" s="463"/>
      <c r="AQ97" s="463"/>
      <c r="AR97" s="463"/>
      <c r="AS97" s="463"/>
      <c r="AT97" s="463"/>
      <c r="AU97" s="463"/>
      <c r="AV97" s="463"/>
      <c r="AW97" s="463"/>
      <c r="AX97" s="463"/>
      <c r="AY97" s="463"/>
      <c r="AZ97" s="463"/>
      <c r="BA97" s="463"/>
      <c r="BB97" s="463"/>
      <c r="BC97" s="463"/>
      <c r="BD97" s="463"/>
      <c r="BE97" s="463"/>
      <c r="BF97" s="463"/>
      <c r="BG97" s="463"/>
      <c r="BH97" s="463"/>
      <c r="BI97" s="463"/>
      <c r="BJ97" s="463"/>
      <c r="BK97" s="463"/>
      <c r="BL97" s="463"/>
      <c r="BM97" s="463"/>
      <c r="BN97" s="463"/>
      <c r="BO97" s="463"/>
      <c r="BP97" s="463"/>
      <c r="BQ97" s="463"/>
      <c r="BR97" s="463"/>
      <c r="BS97" s="463"/>
      <c r="BT97" s="463"/>
      <c r="BU97" s="463"/>
      <c r="BV97" s="463"/>
      <c r="BW97" s="463"/>
      <c r="BX97" s="463"/>
      <c r="BY97" s="463"/>
      <c r="BZ97" s="463"/>
      <c r="CA97" s="463"/>
      <c r="CB97" s="463"/>
      <c r="CC97" s="463"/>
      <c r="CD97" s="463"/>
      <c r="CE97" s="463"/>
      <c r="CF97" s="463"/>
      <c r="CG97" s="463"/>
      <c r="CH97" s="463"/>
      <c r="CI97" s="463"/>
      <c r="CJ97" s="463"/>
      <c r="CK97" s="463"/>
      <c r="CL97" s="463"/>
      <c r="CM97" s="463"/>
      <c r="CN97" s="463"/>
      <c r="CO97" s="463"/>
      <c r="CP97" s="463"/>
      <c r="CQ97" s="463"/>
      <c r="CR97" s="463"/>
      <c r="CS97" s="463"/>
      <c r="CT97" s="463"/>
      <c r="CU97" s="463"/>
      <c r="CV97" s="463"/>
      <c r="CW97" s="463"/>
      <c r="CX97" s="463"/>
      <c r="CY97" s="463"/>
      <c r="CZ97" s="463"/>
      <c r="DA97" s="463"/>
      <c r="DB97" s="463"/>
      <c r="DC97" s="463"/>
      <c r="DD97" s="463"/>
      <c r="DE97" s="463"/>
      <c r="DF97" s="463"/>
      <c r="DG97" s="463"/>
      <c r="DH97" s="463"/>
      <c r="DI97" s="463"/>
      <c r="DJ97" s="463"/>
      <c r="DK97" s="463"/>
      <c r="DL97" s="463"/>
      <c r="DM97" s="463"/>
      <c r="DN97" s="463"/>
      <c r="DO97" s="463"/>
      <c r="DP97" s="463"/>
      <c r="DQ97" s="463"/>
      <c r="DR97" s="463"/>
      <c r="DS97" s="463"/>
      <c r="DT97" s="463"/>
      <c r="DU97" s="463"/>
      <c r="DV97" s="463"/>
      <c r="DW97" s="463"/>
      <c r="DX97" s="463"/>
      <c r="DY97" s="463"/>
      <c r="DZ97" s="463"/>
      <c r="EA97" s="463"/>
      <c r="EB97" s="463"/>
      <c r="EC97" s="463"/>
      <c r="ED97" s="463"/>
      <c r="EE97" s="463"/>
      <c r="EF97" s="463"/>
      <c r="EG97" s="463"/>
      <c r="EH97" s="463"/>
      <c r="EI97" s="463"/>
      <c r="EJ97" s="463"/>
      <c r="EK97" s="463"/>
      <c r="EL97" s="463"/>
      <c r="EM97" s="463"/>
      <c r="EN97" s="463"/>
      <c r="EO97" s="463"/>
      <c r="EP97" s="463"/>
      <c r="EQ97" s="463"/>
      <c r="ER97" s="463"/>
      <c r="ES97" s="463"/>
      <c r="ET97" s="463"/>
      <c r="EU97" s="463"/>
      <c r="EV97" s="463"/>
      <c r="EW97" s="463"/>
      <c r="EX97" s="463"/>
      <c r="EY97" s="463"/>
      <c r="EZ97" s="463"/>
      <c r="FA97" s="463"/>
      <c r="FB97" s="463"/>
      <c r="FC97" s="463"/>
      <c r="FD97" s="463"/>
      <c r="FE97" s="463"/>
      <c r="FF97" s="463"/>
      <c r="FG97" s="463"/>
      <c r="FH97" s="463"/>
      <c r="FI97" s="463"/>
      <c r="FJ97" s="463"/>
      <c r="FK97" s="463"/>
      <c r="FL97" s="463"/>
      <c r="FM97" s="463"/>
      <c r="FN97" s="463"/>
      <c r="FO97" s="463"/>
      <c r="FP97" s="463"/>
      <c r="FQ97" s="463"/>
      <c r="FR97" s="463"/>
      <c r="FS97" s="463"/>
      <c r="FT97" s="463"/>
      <c r="FU97" s="463"/>
      <c r="FV97" s="463"/>
      <c r="FW97" s="463"/>
      <c r="FX97" s="463"/>
      <c r="FY97" s="463"/>
      <c r="FZ97" s="463"/>
      <c r="GA97" s="463"/>
      <c r="GB97" s="463"/>
      <c r="GC97" s="463"/>
      <c r="GD97" s="463"/>
      <c r="GE97" s="463"/>
      <c r="GF97" s="463"/>
      <c r="GG97" s="463"/>
      <c r="GH97" s="463"/>
      <c r="GI97" s="463"/>
      <c r="GJ97" s="463"/>
      <c r="GK97" s="463"/>
      <c r="GL97" s="463"/>
      <c r="GM97" s="463"/>
      <c r="GN97" s="463"/>
      <c r="GO97" s="463"/>
      <c r="GP97" s="463"/>
      <c r="GQ97" s="463"/>
      <c r="GR97" s="463"/>
      <c r="GS97" s="463"/>
      <c r="GT97" s="463"/>
      <c r="GU97" s="463"/>
      <c r="GV97" s="463"/>
      <c r="GW97" s="463"/>
      <c r="GX97" s="463"/>
      <c r="GY97" s="463"/>
      <c r="GZ97" s="463"/>
      <c r="HA97" s="463"/>
      <c r="HB97" s="463"/>
      <c r="HC97" s="463"/>
      <c r="HD97" s="463"/>
      <c r="HE97" s="463"/>
      <c r="HF97" s="463"/>
      <c r="HG97" s="463"/>
      <c r="HH97" s="463"/>
      <c r="HI97" s="463"/>
      <c r="HJ97" s="463"/>
      <c r="HK97" s="463"/>
      <c r="HL97" s="463"/>
      <c r="HM97" s="463"/>
      <c r="HN97" s="463"/>
      <c r="HO97" s="463"/>
      <c r="HP97" s="463"/>
      <c r="HQ97" s="463"/>
      <c r="HR97" s="463"/>
      <c r="HS97" s="463"/>
      <c r="HT97" s="463"/>
      <c r="HU97" s="463"/>
      <c r="HV97" s="463"/>
      <c r="HW97" s="463"/>
      <c r="HX97" s="463"/>
    </row>
    <row r="98" spans="1:232" s="464" customFormat="1" ht="20.100000000000001" customHeight="1">
      <c r="A98" s="1637"/>
      <c r="B98" s="1638"/>
      <c r="C98" s="1639"/>
      <c r="D98" s="1728"/>
      <c r="E98" s="1730"/>
      <c r="F98" s="1648"/>
      <c r="G98" s="1649"/>
      <c r="H98" s="1649"/>
      <c r="I98" s="1649"/>
      <c r="J98" s="1650"/>
      <c r="K98" s="463"/>
      <c r="L98" s="463"/>
      <c r="Y98" s="468"/>
      <c r="Z98" s="468"/>
      <c r="AA98" s="468"/>
      <c r="AB98" s="468"/>
      <c r="AC98" s="468"/>
      <c r="AD98" s="468"/>
      <c r="AE98" s="463"/>
      <c r="AF98" s="463"/>
      <c r="AG98" s="463"/>
      <c r="AH98" s="463"/>
      <c r="AI98" s="463"/>
      <c r="AJ98" s="463"/>
      <c r="AK98" s="463"/>
      <c r="AL98" s="463"/>
      <c r="AM98" s="463"/>
      <c r="AN98" s="463"/>
      <c r="AO98" s="463"/>
      <c r="AP98" s="463"/>
      <c r="AQ98" s="463"/>
      <c r="AR98" s="463"/>
      <c r="AS98" s="463"/>
      <c r="AT98" s="463"/>
      <c r="AU98" s="463"/>
      <c r="AV98" s="463"/>
      <c r="AW98" s="463"/>
      <c r="AX98" s="463"/>
      <c r="AY98" s="463"/>
      <c r="AZ98" s="463"/>
      <c r="BA98" s="463"/>
      <c r="BB98" s="463"/>
      <c r="BC98" s="463"/>
      <c r="BD98" s="463"/>
      <c r="BE98" s="463"/>
      <c r="BF98" s="463"/>
      <c r="BG98" s="463"/>
      <c r="BH98" s="463"/>
      <c r="BI98" s="463"/>
      <c r="BJ98" s="463"/>
      <c r="BK98" s="463"/>
      <c r="BL98" s="463"/>
      <c r="BM98" s="463"/>
      <c r="BN98" s="463"/>
      <c r="BO98" s="463"/>
      <c r="BP98" s="463"/>
      <c r="BQ98" s="463"/>
      <c r="BR98" s="463"/>
      <c r="BS98" s="463"/>
      <c r="BT98" s="463"/>
      <c r="BU98" s="463"/>
      <c r="BV98" s="463"/>
      <c r="BW98" s="463"/>
      <c r="BX98" s="463"/>
      <c r="BY98" s="463"/>
      <c r="BZ98" s="463"/>
      <c r="CA98" s="463"/>
      <c r="CB98" s="463"/>
      <c r="CC98" s="463"/>
      <c r="CD98" s="463"/>
      <c r="CE98" s="463"/>
      <c r="CF98" s="463"/>
      <c r="CG98" s="463"/>
      <c r="CH98" s="463"/>
      <c r="CI98" s="463"/>
      <c r="CJ98" s="463"/>
      <c r="CK98" s="463"/>
      <c r="CL98" s="463"/>
      <c r="CM98" s="463"/>
      <c r="CN98" s="463"/>
      <c r="CO98" s="463"/>
      <c r="CP98" s="463"/>
      <c r="CQ98" s="463"/>
      <c r="CR98" s="463"/>
      <c r="CS98" s="463"/>
      <c r="CT98" s="463"/>
      <c r="CU98" s="463"/>
      <c r="CV98" s="463"/>
      <c r="CW98" s="463"/>
      <c r="CX98" s="463"/>
      <c r="CY98" s="463"/>
      <c r="CZ98" s="463"/>
      <c r="DA98" s="463"/>
      <c r="DB98" s="463"/>
      <c r="DC98" s="463"/>
      <c r="DD98" s="463"/>
      <c r="DE98" s="463"/>
      <c r="DF98" s="463"/>
      <c r="DG98" s="463"/>
      <c r="DH98" s="463"/>
      <c r="DI98" s="463"/>
      <c r="DJ98" s="463"/>
      <c r="DK98" s="463"/>
      <c r="DL98" s="463"/>
      <c r="DM98" s="463"/>
      <c r="DN98" s="463"/>
      <c r="DO98" s="463"/>
      <c r="DP98" s="463"/>
      <c r="DQ98" s="463"/>
      <c r="DR98" s="463"/>
      <c r="DS98" s="463"/>
      <c r="DT98" s="463"/>
      <c r="DU98" s="463"/>
      <c r="DV98" s="463"/>
      <c r="DW98" s="463"/>
      <c r="DX98" s="463"/>
      <c r="DY98" s="463"/>
      <c r="DZ98" s="463"/>
      <c r="EA98" s="463"/>
      <c r="EB98" s="463"/>
      <c r="EC98" s="463"/>
      <c r="ED98" s="463"/>
      <c r="EE98" s="463"/>
      <c r="EF98" s="463"/>
      <c r="EG98" s="463"/>
      <c r="EH98" s="463"/>
      <c r="EI98" s="463"/>
      <c r="EJ98" s="463"/>
      <c r="EK98" s="463"/>
      <c r="EL98" s="463"/>
      <c r="EM98" s="463"/>
      <c r="EN98" s="463"/>
      <c r="EO98" s="463"/>
      <c r="EP98" s="463"/>
      <c r="EQ98" s="463"/>
      <c r="ER98" s="463"/>
      <c r="ES98" s="463"/>
      <c r="ET98" s="463"/>
      <c r="EU98" s="463"/>
      <c r="EV98" s="463"/>
      <c r="EW98" s="463"/>
      <c r="EX98" s="463"/>
      <c r="EY98" s="463"/>
      <c r="EZ98" s="463"/>
      <c r="FA98" s="463"/>
      <c r="FB98" s="463"/>
      <c r="FC98" s="463"/>
      <c r="FD98" s="463"/>
      <c r="FE98" s="463"/>
      <c r="FF98" s="463"/>
      <c r="FG98" s="463"/>
      <c r="FH98" s="463"/>
      <c r="FI98" s="463"/>
      <c r="FJ98" s="463"/>
      <c r="FK98" s="463"/>
      <c r="FL98" s="463"/>
      <c r="FM98" s="463"/>
      <c r="FN98" s="463"/>
      <c r="FO98" s="463"/>
      <c r="FP98" s="463"/>
      <c r="FQ98" s="463"/>
      <c r="FR98" s="463"/>
      <c r="FS98" s="463"/>
      <c r="FT98" s="463"/>
      <c r="FU98" s="463"/>
      <c r="FV98" s="463"/>
      <c r="FW98" s="463"/>
      <c r="FX98" s="463"/>
      <c r="FY98" s="463"/>
      <c r="FZ98" s="463"/>
      <c r="GA98" s="463"/>
      <c r="GB98" s="463"/>
      <c r="GC98" s="463"/>
      <c r="GD98" s="463"/>
      <c r="GE98" s="463"/>
      <c r="GF98" s="463"/>
      <c r="GG98" s="463"/>
      <c r="GH98" s="463"/>
      <c r="GI98" s="463"/>
      <c r="GJ98" s="463"/>
      <c r="GK98" s="463"/>
      <c r="GL98" s="463"/>
      <c r="GM98" s="463"/>
      <c r="GN98" s="463"/>
      <c r="GO98" s="463"/>
      <c r="GP98" s="463"/>
      <c r="GQ98" s="463"/>
      <c r="GR98" s="463"/>
      <c r="GS98" s="463"/>
      <c r="GT98" s="463"/>
      <c r="GU98" s="463"/>
      <c r="GV98" s="463"/>
      <c r="GW98" s="463"/>
      <c r="GX98" s="463"/>
      <c r="GY98" s="463"/>
      <c r="GZ98" s="463"/>
      <c r="HA98" s="463"/>
      <c r="HB98" s="463"/>
      <c r="HC98" s="463"/>
      <c r="HD98" s="463"/>
      <c r="HE98" s="463"/>
      <c r="HF98" s="463"/>
      <c r="HG98" s="463"/>
      <c r="HH98" s="463"/>
      <c r="HI98" s="463"/>
      <c r="HJ98" s="463"/>
      <c r="HK98" s="463"/>
      <c r="HL98" s="463"/>
      <c r="HM98" s="463"/>
      <c r="HN98" s="463"/>
      <c r="HO98" s="463"/>
      <c r="HP98" s="463"/>
      <c r="HQ98" s="463"/>
      <c r="HR98" s="463"/>
      <c r="HS98" s="463"/>
      <c r="HT98" s="463"/>
      <c r="HU98" s="463"/>
      <c r="HV98" s="463"/>
      <c r="HW98" s="463"/>
      <c r="HX98" s="463"/>
    </row>
    <row r="99" spans="1:232" s="464" customFormat="1" ht="37.5" customHeight="1">
      <c r="A99" s="1631" t="s">
        <v>197</v>
      </c>
      <c r="B99" s="1632"/>
      <c r="C99" s="1633"/>
      <c r="D99" s="1606" t="s">
        <v>870</v>
      </c>
      <c r="E99" s="1606"/>
      <c r="F99" s="1690" t="s">
        <v>409</v>
      </c>
      <c r="G99" s="1691"/>
      <c r="H99" s="1691"/>
      <c r="I99" s="1691"/>
      <c r="J99" s="1692"/>
      <c r="K99" s="463"/>
      <c r="L99" s="463"/>
      <c r="Y99" s="468"/>
      <c r="Z99" s="468"/>
      <c r="AA99" s="468"/>
      <c r="AB99" s="468"/>
      <c r="AC99" s="468"/>
      <c r="AD99" s="468"/>
      <c r="AE99" s="463"/>
      <c r="AF99" s="463"/>
      <c r="AG99" s="463"/>
      <c r="AH99" s="463"/>
      <c r="AI99" s="463"/>
      <c r="AJ99" s="463"/>
      <c r="AK99" s="463"/>
      <c r="AL99" s="463"/>
      <c r="AM99" s="463"/>
      <c r="AN99" s="463"/>
      <c r="AO99" s="463"/>
      <c r="AP99" s="463"/>
      <c r="AQ99" s="463"/>
      <c r="AR99" s="463"/>
      <c r="AS99" s="463"/>
      <c r="AT99" s="463"/>
      <c r="AU99" s="463"/>
      <c r="AV99" s="463"/>
      <c r="AW99" s="463"/>
      <c r="AX99" s="463"/>
      <c r="AY99" s="463"/>
      <c r="AZ99" s="463"/>
      <c r="BA99" s="463"/>
      <c r="BB99" s="463"/>
      <c r="BC99" s="463"/>
      <c r="BD99" s="463"/>
      <c r="BE99" s="463"/>
      <c r="BF99" s="463"/>
      <c r="BG99" s="463"/>
      <c r="BH99" s="463"/>
      <c r="BI99" s="463"/>
      <c r="BJ99" s="463"/>
      <c r="BK99" s="463"/>
      <c r="BL99" s="463"/>
      <c r="BM99" s="463"/>
      <c r="BN99" s="463"/>
      <c r="BO99" s="463"/>
      <c r="BP99" s="463"/>
      <c r="BQ99" s="463"/>
      <c r="BR99" s="463"/>
      <c r="BS99" s="463"/>
      <c r="BT99" s="463"/>
      <c r="BU99" s="463"/>
      <c r="BV99" s="463"/>
      <c r="BW99" s="463"/>
      <c r="BX99" s="463"/>
      <c r="BY99" s="463"/>
      <c r="BZ99" s="463"/>
      <c r="CA99" s="463"/>
      <c r="CB99" s="463"/>
      <c r="CC99" s="463"/>
      <c r="CD99" s="463"/>
      <c r="CE99" s="463"/>
      <c r="CF99" s="463"/>
      <c r="CG99" s="463"/>
      <c r="CH99" s="463"/>
      <c r="CI99" s="463"/>
      <c r="CJ99" s="463"/>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63"/>
      <c r="DJ99" s="463"/>
      <c r="DK99" s="463"/>
      <c r="DL99" s="463"/>
      <c r="DM99" s="463"/>
      <c r="DN99" s="463"/>
      <c r="DO99" s="463"/>
      <c r="DP99" s="463"/>
      <c r="DQ99" s="463"/>
      <c r="DR99" s="463"/>
      <c r="DS99" s="463"/>
      <c r="DT99" s="463"/>
      <c r="DU99" s="463"/>
      <c r="DV99" s="463"/>
      <c r="DW99" s="463"/>
      <c r="DX99" s="463"/>
      <c r="DY99" s="463"/>
      <c r="DZ99" s="463"/>
      <c r="EA99" s="463"/>
      <c r="EB99" s="463"/>
      <c r="EC99" s="463"/>
      <c r="ED99" s="463"/>
      <c r="EE99" s="463"/>
      <c r="EF99" s="463"/>
      <c r="EG99" s="463"/>
      <c r="EH99" s="463"/>
      <c r="EI99" s="463"/>
      <c r="EJ99" s="463"/>
      <c r="EK99" s="463"/>
      <c r="EL99" s="463"/>
      <c r="EM99" s="463"/>
      <c r="EN99" s="463"/>
      <c r="EO99" s="463"/>
      <c r="EP99" s="463"/>
      <c r="EQ99" s="463"/>
      <c r="ER99" s="463"/>
      <c r="ES99" s="463"/>
      <c r="ET99" s="463"/>
      <c r="EU99" s="463"/>
      <c r="EV99" s="463"/>
      <c r="EW99" s="463"/>
      <c r="EX99" s="463"/>
      <c r="EY99" s="463"/>
      <c r="EZ99" s="463"/>
      <c r="FA99" s="463"/>
      <c r="FB99" s="463"/>
      <c r="FC99" s="463"/>
      <c r="FD99" s="463"/>
      <c r="FE99" s="463"/>
      <c r="FF99" s="463"/>
      <c r="FG99" s="463"/>
      <c r="FH99" s="463"/>
      <c r="FI99" s="463"/>
      <c r="FJ99" s="463"/>
      <c r="FK99" s="463"/>
      <c r="FL99" s="463"/>
      <c r="FM99" s="463"/>
      <c r="FN99" s="463"/>
      <c r="FO99" s="463"/>
      <c r="FP99" s="463"/>
      <c r="FQ99" s="463"/>
      <c r="FR99" s="463"/>
      <c r="FS99" s="463"/>
      <c r="FT99" s="463"/>
      <c r="FU99" s="463"/>
      <c r="FV99" s="463"/>
      <c r="FW99" s="463"/>
      <c r="FX99" s="463"/>
      <c r="FY99" s="463"/>
      <c r="FZ99" s="463"/>
      <c r="GA99" s="463"/>
      <c r="GB99" s="463"/>
      <c r="GC99" s="463"/>
      <c r="GD99" s="463"/>
      <c r="GE99" s="463"/>
      <c r="GF99" s="463"/>
      <c r="GG99" s="463"/>
      <c r="GH99" s="463"/>
      <c r="GI99" s="463"/>
      <c r="GJ99" s="463"/>
      <c r="GK99" s="463"/>
      <c r="GL99" s="463"/>
      <c r="GM99" s="463"/>
      <c r="GN99" s="463"/>
      <c r="GO99" s="463"/>
      <c r="GP99" s="463"/>
      <c r="GQ99" s="463"/>
      <c r="GR99" s="463"/>
      <c r="GS99" s="463"/>
      <c r="GT99" s="463"/>
      <c r="GU99" s="463"/>
      <c r="GV99" s="463"/>
      <c r="GW99" s="463"/>
      <c r="GX99" s="463"/>
      <c r="GY99" s="463"/>
      <c r="GZ99" s="463"/>
      <c r="HA99" s="463"/>
      <c r="HB99" s="463"/>
      <c r="HC99" s="463"/>
      <c r="HD99" s="463"/>
      <c r="HE99" s="463"/>
      <c r="HF99" s="463"/>
      <c r="HG99" s="463"/>
      <c r="HH99" s="463"/>
      <c r="HI99" s="463"/>
      <c r="HJ99" s="463"/>
      <c r="HK99" s="463"/>
      <c r="HL99" s="463"/>
      <c r="HM99" s="463"/>
      <c r="HN99" s="463"/>
      <c r="HO99" s="463"/>
      <c r="HP99" s="463"/>
      <c r="HQ99" s="463"/>
      <c r="HR99" s="463"/>
      <c r="HS99" s="463"/>
      <c r="HT99" s="463"/>
      <c r="HU99" s="463"/>
      <c r="HV99" s="463"/>
      <c r="HW99" s="463"/>
      <c r="HX99" s="463"/>
    </row>
    <row r="100" spans="1:232" s="464" customFormat="1" ht="42" customHeight="1">
      <c r="A100" s="1634"/>
      <c r="B100" s="1635"/>
      <c r="C100" s="1636"/>
      <c r="D100" s="1727">
        <f>D97+O11/3</f>
        <v>0.60648148148148151</v>
      </c>
      <c r="E100" s="1729">
        <f>E97</f>
        <v>42494</v>
      </c>
      <c r="F100" s="1645"/>
      <c r="G100" s="1646"/>
      <c r="H100" s="1646"/>
      <c r="I100" s="1646"/>
      <c r="J100" s="1647"/>
      <c r="K100" s="463"/>
      <c r="L100" s="463"/>
      <c r="Y100" s="468"/>
      <c r="Z100" s="468"/>
      <c r="AA100" s="468"/>
      <c r="AB100" s="468"/>
      <c r="AC100" s="468"/>
      <c r="AD100" s="468"/>
      <c r="AE100" s="463"/>
      <c r="AF100" s="463"/>
      <c r="AG100" s="463"/>
      <c r="AH100" s="463"/>
      <c r="AI100" s="463"/>
      <c r="AJ100" s="463"/>
      <c r="AK100" s="463"/>
      <c r="AL100" s="463"/>
      <c r="AM100" s="463"/>
      <c r="AN100" s="463"/>
      <c r="AO100" s="463"/>
      <c r="AP100" s="463"/>
      <c r="AQ100" s="463"/>
      <c r="AR100" s="463"/>
      <c r="AS100" s="463"/>
      <c r="AT100" s="463"/>
      <c r="AU100" s="463"/>
      <c r="AV100" s="463"/>
      <c r="AW100" s="463"/>
      <c r="AX100" s="463"/>
      <c r="AY100" s="463"/>
      <c r="AZ100" s="463"/>
      <c r="BA100" s="463"/>
      <c r="BB100" s="463"/>
      <c r="BC100" s="463"/>
      <c r="BD100" s="463"/>
      <c r="BE100" s="463"/>
      <c r="BF100" s="463"/>
      <c r="BG100" s="463"/>
      <c r="BH100" s="463"/>
      <c r="BI100" s="463"/>
      <c r="BJ100" s="463"/>
      <c r="BK100" s="463"/>
      <c r="BL100" s="463"/>
      <c r="BM100" s="463"/>
      <c r="BN100" s="463"/>
      <c r="BO100" s="463"/>
      <c r="BP100" s="463"/>
      <c r="BQ100" s="463"/>
      <c r="BR100" s="463"/>
      <c r="BS100" s="463"/>
      <c r="BT100" s="463"/>
      <c r="BU100" s="463"/>
      <c r="BV100" s="463"/>
      <c r="BW100" s="463"/>
      <c r="BX100" s="463"/>
      <c r="BY100" s="463"/>
      <c r="BZ100" s="463"/>
      <c r="CA100" s="463"/>
      <c r="CB100" s="463"/>
      <c r="CC100" s="463"/>
      <c r="CD100" s="463"/>
      <c r="CE100" s="463"/>
      <c r="CF100" s="463"/>
      <c r="CG100" s="463"/>
      <c r="CH100" s="463"/>
      <c r="CI100" s="463"/>
      <c r="CJ100" s="463"/>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63"/>
      <c r="DJ100" s="463"/>
      <c r="DK100" s="463"/>
      <c r="DL100" s="463"/>
      <c r="DM100" s="463"/>
      <c r="DN100" s="463"/>
      <c r="DO100" s="463"/>
      <c r="DP100" s="463"/>
      <c r="DQ100" s="463"/>
      <c r="DR100" s="463"/>
      <c r="DS100" s="463"/>
      <c r="DT100" s="463"/>
      <c r="DU100" s="463"/>
      <c r="DV100" s="463"/>
      <c r="DW100" s="463"/>
      <c r="DX100" s="463"/>
      <c r="DY100" s="463"/>
      <c r="DZ100" s="463"/>
      <c r="EA100" s="463"/>
      <c r="EB100" s="463"/>
      <c r="EC100" s="463"/>
      <c r="ED100" s="463"/>
      <c r="EE100" s="463"/>
      <c r="EF100" s="463"/>
      <c r="EG100" s="463"/>
      <c r="EH100" s="463"/>
      <c r="EI100" s="463"/>
      <c r="EJ100" s="463"/>
      <c r="EK100" s="463"/>
      <c r="EL100" s="463"/>
      <c r="EM100" s="463"/>
      <c r="EN100" s="463"/>
      <c r="EO100" s="463"/>
      <c r="EP100" s="463"/>
      <c r="EQ100" s="463"/>
      <c r="ER100" s="463"/>
      <c r="ES100" s="463"/>
      <c r="ET100" s="463"/>
      <c r="EU100" s="463"/>
      <c r="EV100" s="463"/>
      <c r="EW100" s="463"/>
      <c r="EX100" s="463"/>
      <c r="EY100" s="463"/>
      <c r="EZ100" s="463"/>
      <c r="FA100" s="463"/>
      <c r="FB100" s="463"/>
      <c r="FC100" s="463"/>
      <c r="FD100" s="463"/>
      <c r="FE100" s="463"/>
      <c r="FF100" s="463"/>
      <c r="FG100" s="463"/>
      <c r="FH100" s="463"/>
      <c r="FI100" s="463"/>
      <c r="FJ100" s="463"/>
      <c r="FK100" s="463"/>
      <c r="FL100" s="463"/>
      <c r="FM100" s="463"/>
      <c r="FN100" s="463"/>
      <c r="FO100" s="463"/>
      <c r="FP100" s="463"/>
      <c r="FQ100" s="463"/>
      <c r="FR100" s="463"/>
      <c r="FS100" s="463"/>
      <c r="FT100" s="463"/>
      <c r="FU100" s="463"/>
      <c r="FV100" s="463"/>
      <c r="FW100" s="463"/>
      <c r="FX100" s="463"/>
      <c r="FY100" s="463"/>
      <c r="FZ100" s="463"/>
      <c r="GA100" s="463"/>
      <c r="GB100" s="463"/>
      <c r="GC100" s="463"/>
      <c r="GD100" s="463"/>
      <c r="GE100" s="463"/>
      <c r="GF100" s="463"/>
      <c r="GG100" s="463"/>
      <c r="GH100" s="463"/>
      <c r="GI100" s="463"/>
      <c r="GJ100" s="463"/>
      <c r="GK100" s="463"/>
      <c r="GL100" s="463"/>
      <c r="GM100" s="463"/>
      <c r="GN100" s="463"/>
      <c r="GO100" s="463"/>
      <c r="GP100" s="463"/>
      <c r="GQ100" s="463"/>
      <c r="GR100" s="463"/>
      <c r="GS100" s="463"/>
      <c r="GT100" s="463"/>
      <c r="GU100" s="463"/>
      <c r="GV100" s="463"/>
      <c r="GW100" s="463"/>
      <c r="GX100" s="463"/>
      <c r="GY100" s="463"/>
      <c r="GZ100" s="463"/>
      <c r="HA100" s="463"/>
      <c r="HB100" s="463"/>
      <c r="HC100" s="463"/>
      <c r="HD100" s="463"/>
      <c r="HE100" s="463"/>
      <c r="HF100" s="463"/>
      <c r="HG100" s="463"/>
      <c r="HH100" s="463"/>
      <c r="HI100" s="463"/>
      <c r="HJ100" s="463"/>
      <c r="HK100" s="463"/>
      <c r="HL100" s="463"/>
      <c r="HM100" s="463"/>
      <c r="HN100" s="463"/>
      <c r="HO100" s="463"/>
      <c r="HP100" s="463"/>
      <c r="HQ100" s="463"/>
      <c r="HR100" s="463"/>
      <c r="HS100" s="463"/>
      <c r="HT100" s="463"/>
      <c r="HU100" s="463"/>
      <c r="HV100" s="463"/>
      <c r="HW100" s="463"/>
      <c r="HX100" s="463"/>
    </row>
    <row r="101" spans="1:232" s="464" customFormat="1" ht="20.100000000000001" customHeight="1">
      <c r="A101" s="1637"/>
      <c r="B101" s="1638"/>
      <c r="C101" s="1639"/>
      <c r="D101" s="1728"/>
      <c r="E101" s="1730"/>
      <c r="F101" s="1648"/>
      <c r="G101" s="1649"/>
      <c r="H101" s="1649"/>
      <c r="I101" s="1649"/>
      <c r="J101" s="1650"/>
      <c r="K101" s="463"/>
      <c r="L101" s="463"/>
      <c r="Y101" s="468"/>
      <c r="Z101" s="468"/>
      <c r="AA101" s="468"/>
      <c r="AB101" s="468"/>
      <c r="AC101" s="468"/>
      <c r="AD101" s="468"/>
      <c r="AE101" s="463"/>
      <c r="AF101" s="463"/>
      <c r="AG101" s="463"/>
      <c r="AH101" s="463"/>
      <c r="AI101" s="463"/>
      <c r="AJ101" s="463"/>
      <c r="AK101" s="463"/>
      <c r="AL101" s="463"/>
      <c r="AM101" s="463"/>
      <c r="AN101" s="463"/>
      <c r="AO101" s="463"/>
      <c r="AP101" s="463"/>
      <c r="AQ101" s="463"/>
      <c r="AR101" s="463"/>
      <c r="AS101" s="463"/>
      <c r="AT101" s="463"/>
      <c r="AU101" s="463"/>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3"/>
      <c r="BY101" s="463"/>
      <c r="BZ101" s="463"/>
      <c r="CA101" s="463"/>
      <c r="CB101" s="463"/>
      <c r="CC101" s="463"/>
      <c r="CD101" s="463"/>
      <c r="CE101" s="463"/>
      <c r="CF101" s="463"/>
      <c r="CG101" s="463"/>
      <c r="CH101" s="463"/>
      <c r="CI101" s="463"/>
      <c r="CJ101" s="463"/>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63"/>
      <c r="DJ101" s="463"/>
      <c r="DK101" s="463"/>
      <c r="DL101" s="463"/>
      <c r="DM101" s="463"/>
      <c r="DN101" s="463"/>
      <c r="DO101" s="463"/>
      <c r="DP101" s="463"/>
      <c r="DQ101" s="463"/>
      <c r="DR101" s="463"/>
      <c r="DS101" s="463"/>
      <c r="DT101" s="463"/>
      <c r="DU101" s="463"/>
      <c r="DV101" s="463"/>
      <c r="DW101" s="463"/>
      <c r="DX101" s="463"/>
      <c r="DY101" s="463"/>
      <c r="DZ101" s="463"/>
      <c r="EA101" s="463"/>
      <c r="EB101" s="463"/>
      <c r="EC101" s="463"/>
      <c r="ED101" s="463"/>
      <c r="EE101" s="463"/>
      <c r="EF101" s="463"/>
      <c r="EG101" s="463"/>
      <c r="EH101" s="463"/>
      <c r="EI101" s="463"/>
      <c r="EJ101" s="463"/>
      <c r="EK101" s="463"/>
      <c r="EL101" s="463"/>
      <c r="EM101" s="463"/>
      <c r="EN101" s="463"/>
      <c r="EO101" s="463"/>
      <c r="EP101" s="463"/>
      <c r="EQ101" s="463"/>
      <c r="ER101" s="463"/>
      <c r="ES101" s="463"/>
      <c r="ET101" s="463"/>
      <c r="EU101" s="463"/>
      <c r="EV101" s="463"/>
      <c r="EW101" s="463"/>
      <c r="EX101" s="463"/>
      <c r="EY101" s="463"/>
      <c r="EZ101" s="463"/>
      <c r="FA101" s="463"/>
      <c r="FB101" s="463"/>
      <c r="FC101" s="463"/>
      <c r="FD101" s="463"/>
      <c r="FE101" s="463"/>
      <c r="FF101" s="463"/>
      <c r="FG101" s="463"/>
      <c r="FH101" s="463"/>
      <c r="FI101" s="463"/>
      <c r="FJ101" s="463"/>
      <c r="FK101" s="463"/>
      <c r="FL101" s="463"/>
      <c r="FM101" s="463"/>
      <c r="FN101" s="463"/>
      <c r="FO101" s="463"/>
      <c r="FP101" s="463"/>
      <c r="FQ101" s="463"/>
      <c r="FR101" s="463"/>
      <c r="FS101" s="463"/>
      <c r="FT101" s="463"/>
      <c r="FU101" s="463"/>
      <c r="FV101" s="463"/>
      <c r="FW101" s="463"/>
      <c r="FX101" s="463"/>
      <c r="FY101" s="463"/>
      <c r="FZ101" s="463"/>
      <c r="GA101" s="463"/>
      <c r="GB101" s="463"/>
      <c r="GC101" s="463"/>
      <c r="GD101" s="463"/>
      <c r="GE101" s="463"/>
      <c r="GF101" s="463"/>
      <c r="GG101" s="463"/>
      <c r="GH101" s="463"/>
      <c r="GI101" s="463"/>
      <c r="GJ101" s="463"/>
      <c r="GK101" s="463"/>
      <c r="GL101" s="463"/>
      <c r="GM101" s="463"/>
      <c r="GN101" s="463"/>
      <c r="GO101" s="463"/>
      <c r="GP101" s="463"/>
      <c r="GQ101" s="463"/>
      <c r="GR101" s="463"/>
      <c r="GS101" s="463"/>
      <c r="GT101" s="463"/>
      <c r="GU101" s="463"/>
      <c r="GV101" s="463"/>
      <c r="GW101" s="463"/>
      <c r="GX101" s="463"/>
      <c r="GY101" s="463"/>
      <c r="GZ101" s="463"/>
      <c r="HA101" s="463"/>
      <c r="HB101" s="463"/>
      <c r="HC101" s="463"/>
      <c r="HD101" s="463"/>
      <c r="HE101" s="463"/>
      <c r="HF101" s="463"/>
      <c r="HG101" s="463"/>
      <c r="HH101" s="463"/>
      <c r="HI101" s="463"/>
      <c r="HJ101" s="463"/>
      <c r="HK101" s="463"/>
      <c r="HL101" s="463"/>
      <c r="HM101" s="463"/>
      <c r="HN101" s="463"/>
      <c r="HO101" s="463"/>
      <c r="HP101" s="463"/>
      <c r="HQ101" s="463"/>
      <c r="HR101" s="463"/>
      <c r="HS101" s="463"/>
      <c r="HT101" s="463"/>
      <c r="HU101" s="463"/>
      <c r="HV101" s="463"/>
      <c r="HW101" s="463"/>
      <c r="HX101" s="463"/>
    </row>
    <row r="102" spans="1:232" s="464" customFormat="1" ht="16.5" customHeight="1">
      <c r="A102" s="1687"/>
      <c r="B102" s="1687"/>
      <c r="C102" s="1687"/>
      <c r="D102" s="1687"/>
      <c r="E102" s="1687"/>
      <c r="F102" s="1687"/>
      <c r="G102" s="639"/>
      <c r="H102" s="544"/>
      <c r="I102" s="544"/>
      <c r="J102" s="544"/>
      <c r="K102" s="463"/>
      <c r="L102" s="463"/>
      <c r="Y102" s="468"/>
      <c r="Z102" s="468"/>
      <c r="AA102" s="468"/>
      <c r="AB102" s="468"/>
      <c r="AC102" s="468"/>
      <c r="AD102" s="468"/>
      <c r="AE102" s="463"/>
      <c r="AF102" s="463"/>
      <c r="AG102" s="463"/>
      <c r="AH102" s="463"/>
      <c r="AI102" s="463"/>
      <c r="AJ102" s="463"/>
      <c r="AK102" s="463"/>
      <c r="AL102" s="463"/>
      <c r="AM102" s="463"/>
      <c r="AN102" s="463"/>
      <c r="AO102" s="463"/>
      <c r="AP102" s="463"/>
      <c r="AQ102" s="463"/>
      <c r="AR102" s="463"/>
      <c r="AS102" s="463"/>
      <c r="AT102" s="463"/>
      <c r="AU102" s="463"/>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3"/>
      <c r="BY102" s="463"/>
      <c r="BZ102" s="463"/>
      <c r="CA102" s="463"/>
      <c r="CB102" s="463"/>
      <c r="CC102" s="463"/>
      <c r="CD102" s="463"/>
      <c r="CE102" s="463"/>
      <c r="CF102" s="463"/>
      <c r="CG102" s="463"/>
      <c r="CH102" s="463"/>
      <c r="CI102" s="463"/>
      <c r="CJ102" s="463"/>
      <c r="CK102" s="463"/>
      <c r="CL102" s="463"/>
      <c r="CM102" s="463"/>
      <c r="CN102" s="463"/>
      <c r="CO102" s="463"/>
      <c r="CP102" s="463"/>
      <c r="CQ102" s="463"/>
      <c r="CR102" s="463"/>
      <c r="CS102" s="463"/>
      <c r="CT102" s="463"/>
      <c r="CU102" s="463"/>
      <c r="CV102" s="463"/>
      <c r="CW102" s="463"/>
      <c r="CX102" s="463"/>
      <c r="CY102" s="463"/>
      <c r="CZ102" s="463"/>
      <c r="DA102" s="463"/>
      <c r="DB102" s="463"/>
      <c r="DC102" s="463"/>
      <c r="DD102" s="463"/>
      <c r="DE102" s="463"/>
      <c r="DF102" s="463"/>
      <c r="DG102" s="463"/>
      <c r="DH102" s="463"/>
      <c r="DI102" s="463"/>
      <c r="DJ102" s="463"/>
      <c r="DK102" s="463"/>
      <c r="DL102" s="463"/>
      <c r="DM102" s="463"/>
      <c r="DN102" s="463"/>
      <c r="DO102" s="463"/>
      <c r="DP102" s="463"/>
      <c r="DQ102" s="463"/>
      <c r="DR102" s="463"/>
      <c r="DS102" s="463"/>
      <c r="DT102" s="463"/>
      <c r="DU102" s="463"/>
      <c r="DV102" s="463"/>
      <c r="DW102" s="463"/>
      <c r="DX102" s="463"/>
      <c r="DY102" s="463"/>
      <c r="DZ102" s="463"/>
      <c r="EA102" s="463"/>
      <c r="EB102" s="463"/>
      <c r="EC102" s="463"/>
      <c r="ED102" s="463"/>
      <c r="EE102" s="463"/>
      <c r="EF102" s="463"/>
      <c r="EG102" s="463"/>
      <c r="EH102" s="463"/>
      <c r="EI102" s="463"/>
      <c r="EJ102" s="463"/>
      <c r="EK102" s="463"/>
      <c r="EL102" s="463"/>
      <c r="EM102" s="463"/>
      <c r="EN102" s="463"/>
      <c r="EO102" s="463"/>
      <c r="EP102" s="463"/>
      <c r="EQ102" s="463"/>
      <c r="ER102" s="463"/>
      <c r="ES102" s="463"/>
      <c r="ET102" s="463"/>
      <c r="EU102" s="463"/>
      <c r="EV102" s="463"/>
      <c r="EW102" s="463"/>
      <c r="EX102" s="463"/>
      <c r="EY102" s="463"/>
      <c r="EZ102" s="463"/>
      <c r="FA102" s="463"/>
      <c r="FB102" s="463"/>
      <c r="FC102" s="463"/>
      <c r="FD102" s="463"/>
      <c r="FE102" s="463"/>
      <c r="FF102" s="463"/>
      <c r="FG102" s="463"/>
      <c r="FH102" s="463"/>
      <c r="FI102" s="463"/>
      <c r="FJ102" s="463"/>
      <c r="FK102" s="463"/>
      <c r="FL102" s="463"/>
      <c r="FM102" s="463"/>
      <c r="FN102" s="463"/>
      <c r="FO102" s="463"/>
      <c r="FP102" s="463"/>
      <c r="FQ102" s="463"/>
      <c r="FR102" s="463"/>
      <c r="FS102" s="463"/>
      <c r="FT102" s="463"/>
      <c r="FU102" s="463"/>
      <c r="FV102" s="463"/>
      <c r="FW102" s="463"/>
      <c r="FX102" s="463"/>
      <c r="FY102" s="463"/>
      <c r="FZ102" s="463"/>
      <c r="GA102" s="463"/>
      <c r="GB102" s="463"/>
      <c r="GC102" s="463"/>
      <c r="GD102" s="463"/>
      <c r="GE102" s="463"/>
      <c r="GF102" s="463"/>
      <c r="GG102" s="463"/>
      <c r="GH102" s="463"/>
      <c r="GI102" s="463"/>
      <c r="GJ102" s="463"/>
      <c r="GK102" s="463"/>
      <c r="GL102" s="463"/>
      <c r="GM102" s="463"/>
      <c r="GN102" s="463"/>
      <c r="GO102" s="463"/>
      <c r="GP102" s="463"/>
      <c r="GQ102" s="463"/>
      <c r="GR102" s="463"/>
      <c r="GS102" s="463"/>
      <c r="GT102" s="463"/>
      <c r="GU102" s="463"/>
      <c r="GV102" s="463"/>
      <c r="GW102" s="463"/>
      <c r="GX102" s="463"/>
      <c r="GY102" s="463"/>
      <c r="GZ102" s="463"/>
      <c r="HA102" s="463"/>
      <c r="HB102" s="463"/>
      <c r="HC102" s="463"/>
      <c r="HD102" s="463"/>
      <c r="HE102" s="463"/>
      <c r="HF102" s="463"/>
      <c r="HG102" s="463"/>
      <c r="HH102" s="463"/>
      <c r="HI102" s="463"/>
      <c r="HJ102" s="463"/>
      <c r="HK102" s="463"/>
      <c r="HL102" s="463"/>
      <c r="HM102" s="463"/>
      <c r="HN102" s="463"/>
      <c r="HO102" s="463"/>
      <c r="HP102" s="463"/>
      <c r="HQ102" s="463"/>
      <c r="HR102" s="463"/>
      <c r="HS102" s="463"/>
      <c r="HT102" s="463"/>
      <c r="HU102" s="463"/>
      <c r="HV102" s="463"/>
      <c r="HW102" s="463"/>
      <c r="HX102" s="463"/>
    </row>
    <row r="103" spans="1:232" s="464" customFormat="1" ht="20.100000000000001" customHeight="1">
      <c r="A103" s="1688"/>
      <c r="B103" s="1688"/>
      <c r="C103" s="1688"/>
      <c r="D103" s="1688"/>
      <c r="E103" s="1688"/>
      <c r="F103" s="1688"/>
      <c r="G103" s="635"/>
      <c r="H103" s="1625" t="s">
        <v>133</v>
      </c>
      <c r="I103" s="1625"/>
      <c r="J103" s="1625"/>
      <c r="K103" s="463"/>
      <c r="L103" s="463"/>
      <c r="Y103" s="468"/>
      <c r="Z103" s="468"/>
      <c r="AA103" s="468"/>
      <c r="AB103" s="468"/>
      <c r="AC103" s="468"/>
      <c r="AD103" s="468"/>
      <c r="AE103" s="463"/>
      <c r="AF103" s="463"/>
      <c r="AG103" s="463"/>
      <c r="AH103" s="463"/>
      <c r="AI103" s="463"/>
      <c r="AJ103" s="463"/>
      <c r="AK103" s="463"/>
      <c r="AL103" s="463"/>
      <c r="AM103" s="463"/>
      <c r="AN103" s="463"/>
      <c r="AO103" s="463"/>
      <c r="AP103" s="463"/>
      <c r="AQ103" s="463"/>
      <c r="AR103" s="463"/>
      <c r="AS103" s="463"/>
      <c r="AT103" s="463"/>
      <c r="AU103" s="463"/>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3"/>
      <c r="BY103" s="463"/>
      <c r="BZ103" s="463"/>
      <c r="CA103" s="463"/>
      <c r="CB103" s="463"/>
      <c r="CC103" s="463"/>
      <c r="CD103" s="463"/>
      <c r="CE103" s="463"/>
      <c r="CF103" s="463"/>
      <c r="CG103" s="463"/>
      <c r="CH103" s="463"/>
      <c r="CI103" s="463"/>
      <c r="CJ103" s="463"/>
      <c r="CK103" s="463"/>
      <c r="CL103" s="463"/>
      <c r="CM103" s="463"/>
      <c r="CN103" s="463"/>
      <c r="CO103" s="463"/>
      <c r="CP103" s="463"/>
      <c r="CQ103" s="463"/>
      <c r="CR103" s="463"/>
      <c r="CS103" s="463"/>
      <c r="CT103" s="463"/>
      <c r="CU103" s="463"/>
      <c r="CV103" s="463"/>
      <c r="CW103" s="463"/>
      <c r="CX103" s="463"/>
      <c r="CY103" s="463"/>
      <c r="CZ103" s="463"/>
      <c r="DA103" s="463"/>
      <c r="DB103" s="463"/>
      <c r="DC103" s="463"/>
      <c r="DD103" s="463"/>
      <c r="DE103" s="463"/>
      <c r="DF103" s="463"/>
      <c r="DG103" s="463"/>
      <c r="DH103" s="463"/>
      <c r="DI103" s="463"/>
      <c r="DJ103" s="463"/>
      <c r="DK103" s="463"/>
      <c r="DL103" s="463"/>
      <c r="DM103" s="463"/>
      <c r="DN103" s="463"/>
      <c r="DO103" s="463"/>
      <c r="DP103" s="463"/>
      <c r="DQ103" s="463"/>
      <c r="DR103" s="463"/>
      <c r="DS103" s="463"/>
      <c r="DT103" s="463"/>
      <c r="DU103" s="463"/>
      <c r="DV103" s="463"/>
      <c r="DW103" s="463"/>
      <c r="DX103" s="463"/>
      <c r="DY103" s="463"/>
      <c r="DZ103" s="463"/>
      <c r="EA103" s="463"/>
      <c r="EB103" s="463"/>
      <c r="EC103" s="463"/>
      <c r="ED103" s="463"/>
      <c r="EE103" s="463"/>
      <c r="EF103" s="463"/>
      <c r="EG103" s="463"/>
      <c r="EH103" s="463"/>
      <c r="EI103" s="463"/>
      <c r="EJ103" s="463"/>
      <c r="EK103" s="463"/>
      <c r="EL103" s="463"/>
      <c r="EM103" s="463"/>
      <c r="EN103" s="463"/>
      <c r="EO103" s="463"/>
      <c r="EP103" s="463"/>
      <c r="EQ103" s="463"/>
      <c r="ER103" s="463"/>
      <c r="ES103" s="463"/>
      <c r="ET103" s="463"/>
      <c r="EU103" s="463"/>
      <c r="EV103" s="463"/>
      <c r="EW103" s="463"/>
      <c r="EX103" s="463"/>
      <c r="EY103" s="463"/>
      <c r="EZ103" s="463"/>
      <c r="FA103" s="463"/>
      <c r="FB103" s="463"/>
      <c r="FC103" s="463"/>
      <c r="FD103" s="463"/>
      <c r="FE103" s="463"/>
      <c r="FF103" s="463"/>
      <c r="FG103" s="463"/>
      <c r="FH103" s="463"/>
      <c r="FI103" s="463"/>
      <c r="FJ103" s="463"/>
      <c r="FK103" s="463"/>
      <c r="FL103" s="463"/>
      <c r="FM103" s="463"/>
      <c r="FN103" s="463"/>
      <c r="FO103" s="463"/>
      <c r="FP103" s="463"/>
      <c r="FQ103" s="463"/>
      <c r="FR103" s="463"/>
      <c r="FS103" s="463"/>
      <c r="FT103" s="463"/>
      <c r="FU103" s="463"/>
      <c r="FV103" s="463"/>
      <c r="FW103" s="463"/>
      <c r="FX103" s="463"/>
      <c r="FY103" s="463"/>
      <c r="FZ103" s="463"/>
      <c r="GA103" s="463"/>
      <c r="GB103" s="463"/>
      <c r="GC103" s="463"/>
      <c r="GD103" s="463"/>
      <c r="GE103" s="463"/>
      <c r="GF103" s="463"/>
      <c r="GG103" s="463"/>
      <c r="GH103" s="463"/>
      <c r="GI103" s="463"/>
      <c r="GJ103" s="463"/>
      <c r="GK103" s="463"/>
      <c r="GL103" s="463"/>
      <c r="GM103" s="463"/>
      <c r="GN103" s="463"/>
      <c r="GO103" s="463"/>
      <c r="GP103" s="463"/>
      <c r="GQ103" s="463"/>
      <c r="GR103" s="463"/>
      <c r="GS103" s="463"/>
      <c r="GT103" s="463"/>
      <c r="GU103" s="463"/>
      <c r="GV103" s="463"/>
      <c r="GW103" s="463"/>
      <c r="GX103" s="463"/>
      <c r="GY103" s="463"/>
      <c r="GZ103" s="463"/>
      <c r="HA103" s="463"/>
      <c r="HB103" s="463"/>
      <c r="HC103" s="463"/>
      <c r="HD103" s="463"/>
      <c r="HE103" s="463"/>
      <c r="HF103" s="463"/>
      <c r="HG103" s="463"/>
      <c r="HH103" s="463"/>
      <c r="HI103" s="463"/>
      <c r="HJ103" s="463"/>
      <c r="HK103" s="463"/>
      <c r="HL103" s="463"/>
      <c r="HM103" s="463"/>
      <c r="HN103" s="463"/>
      <c r="HO103" s="463"/>
      <c r="HP103" s="463"/>
      <c r="HQ103" s="463"/>
      <c r="HR103" s="463"/>
      <c r="HS103" s="463"/>
      <c r="HT103" s="463"/>
      <c r="HU103" s="463"/>
      <c r="HV103" s="463"/>
      <c r="HW103" s="463"/>
      <c r="HX103" s="463"/>
    </row>
    <row r="104" spans="1:232" ht="20.100000000000001" customHeight="1">
      <c r="A104" s="1619" t="s">
        <v>412</v>
      </c>
      <c r="B104" s="1619"/>
      <c r="C104" s="1619"/>
      <c r="D104" s="1619"/>
      <c r="E104" s="1619"/>
      <c r="F104" s="1619"/>
      <c r="G104" s="1619"/>
      <c r="H104" s="513"/>
      <c r="I104" s="513"/>
      <c r="J104" s="513"/>
      <c r="M104" s="463"/>
      <c r="N104" s="463"/>
      <c r="O104" s="463"/>
      <c r="P104" s="463"/>
      <c r="Q104" s="463"/>
      <c r="R104" s="463"/>
      <c r="S104" s="463"/>
      <c r="T104" s="463"/>
      <c r="U104" s="463"/>
      <c r="V104" s="463"/>
      <c r="W104" s="463"/>
      <c r="X104" s="463"/>
      <c r="Y104" s="463"/>
      <c r="Z104" s="463"/>
      <c r="AA104" s="463"/>
      <c r="AB104" s="463"/>
      <c r="AC104" s="463"/>
      <c r="AD104" s="463"/>
    </row>
    <row r="105" spans="1:232" ht="16.5" customHeight="1">
      <c r="A105" s="1620" t="s">
        <v>413</v>
      </c>
      <c r="B105" s="1620"/>
      <c r="C105" s="1620"/>
      <c r="D105" s="1620"/>
      <c r="E105" s="1620"/>
      <c r="F105" s="1620"/>
      <c r="G105" s="1620"/>
      <c r="H105" s="513"/>
      <c r="I105" s="513"/>
      <c r="J105" s="513"/>
      <c r="M105" s="463"/>
      <c r="N105" s="463"/>
      <c r="O105" s="463"/>
      <c r="P105" s="463"/>
      <c r="Q105" s="463"/>
      <c r="R105" s="463"/>
      <c r="S105" s="463"/>
      <c r="T105" s="463"/>
      <c r="U105" s="463"/>
      <c r="V105" s="463"/>
      <c r="W105" s="463"/>
      <c r="X105" s="463"/>
      <c r="Y105" s="463"/>
      <c r="Z105" s="463"/>
      <c r="AA105" s="463"/>
      <c r="AB105" s="463"/>
      <c r="AC105" s="463"/>
      <c r="AD105" s="463"/>
    </row>
    <row r="106" spans="1:232" ht="16.5" customHeight="1">
      <c r="A106" s="1620" t="s">
        <v>414</v>
      </c>
      <c r="B106" s="1620"/>
      <c r="C106" s="1620"/>
      <c r="D106" s="1620"/>
      <c r="E106" s="1620"/>
      <c r="F106" s="1620"/>
      <c r="G106" s="1620"/>
      <c r="H106" s="513"/>
      <c r="I106" s="513"/>
      <c r="J106" s="513"/>
      <c r="M106" s="463"/>
      <c r="N106" s="463"/>
      <c r="O106" s="463"/>
      <c r="P106" s="463"/>
      <c r="Q106" s="463"/>
      <c r="R106" s="463"/>
      <c r="S106" s="463"/>
      <c r="T106" s="463"/>
      <c r="U106" s="463"/>
      <c r="V106" s="463"/>
      <c r="W106" s="463"/>
      <c r="X106" s="463"/>
      <c r="Y106" s="463"/>
      <c r="Z106" s="463"/>
      <c r="AA106" s="463"/>
      <c r="AB106" s="463"/>
      <c r="AC106" s="463"/>
      <c r="AD106" s="463"/>
    </row>
    <row r="107" spans="1:232" ht="16.5" customHeight="1">
      <c r="A107" s="1620" t="s">
        <v>415</v>
      </c>
      <c r="B107" s="1620"/>
      <c r="C107" s="1620"/>
      <c r="D107" s="1620"/>
      <c r="E107" s="1620"/>
      <c r="F107" s="1620"/>
      <c r="G107" s="1620"/>
      <c r="H107" s="513"/>
      <c r="I107" s="513"/>
      <c r="J107" s="513"/>
      <c r="M107" s="463"/>
      <c r="N107" s="463"/>
      <c r="O107" s="463"/>
      <c r="P107" s="463"/>
      <c r="Q107" s="463"/>
      <c r="R107" s="463"/>
      <c r="S107" s="463"/>
      <c r="T107" s="463"/>
      <c r="U107" s="463"/>
      <c r="V107" s="463"/>
      <c r="W107" s="463"/>
      <c r="X107" s="463"/>
      <c r="Y107" s="463"/>
      <c r="Z107" s="463"/>
      <c r="AA107" s="463"/>
      <c r="AB107" s="463"/>
      <c r="AC107" s="463"/>
      <c r="AD107" s="463"/>
    </row>
    <row r="108" spans="1:232" ht="16.5">
      <c r="A108" s="1620" t="s">
        <v>416</v>
      </c>
      <c r="B108" s="1620"/>
      <c r="C108" s="1620"/>
      <c r="D108" s="1620"/>
      <c r="E108" s="1620"/>
      <c r="F108" s="1620"/>
      <c r="G108" s="1620"/>
      <c r="H108" s="513"/>
      <c r="I108" s="513"/>
      <c r="J108" s="513"/>
      <c r="M108" s="463"/>
      <c r="N108" s="463"/>
      <c r="O108" s="463"/>
      <c r="P108" s="463"/>
      <c r="Q108" s="463"/>
      <c r="R108" s="463"/>
      <c r="S108" s="463"/>
      <c r="T108" s="463"/>
      <c r="U108" s="463"/>
      <c r="V108" s="463"/>
      <c r="W108" s="463"/>
      <c r="X108" s="463"/>
      <c r="Y108" s="463"/>
      <c r="Z108" s="463"/>
      <c r="AA108" s="463"/>
      <c r="AB108" s="463"/>
      <c r="AC108" s="463"/>
      <c r="AD108" s="463"/>
    </row>
    <row r="109" spans="1:232" ht="16.5">
      <c r="A109" s="1620" t="s">
        <v>417</v>
      </c>
      <c r="B109" s="1620"/>
      <c r="C109" s="1620"/>
      <c r="D109" s="1620"/>
      <c r="E109" s="1620"/>
      <c r="F109" s="1620"/>
      <c r="G109" s="1620"/>
      <c r="H109" s="513"/>
      <c r="I109" s="513"/>
      <c r="J109" s="513"/>
      <c r="M109" s="463"/>
      <c r="N109" s="463"/>
      <c r="O109" s="463"/>
      <c r="P109" s="463"/>
      <c r="Q109" s="463"/>
      <c r="R109" s="463"/>
      <c r="S109" s="463"/>
      <c r="T109" s="463"/>
      <c r="U109" s="463"/>
      <c r="V109" s="463"/>
      <c r="W109" s="463"/>
      <c r="X109" s="463"/>
      <c r="Y109" s="463"/>
      <c r="Z109" s="463"/>
      <c r="AA109" s="463"/>
      <c r="AB109" s="463"/>
      <c r="AC109" s="463"/>
      <c r="AD109" s="463"/>
    </row>
    <row r="110" spans="1:232" ht="16.5">
      <c r="A110" s="635"/>
      <c r="B110" s="635"/>
      <c r="C110" s="635"/>
      <c r="D110" s="635"/>
      <c r="E110" s="635"/>
      <c r="F110" s="635"/>
      <c r="G110" s="635"/>
      <c r="H110" s="513"/>
      <c r="I110" s="513"/>
      <c r="J110" s="513"/>
      <c r="M110" s="463"/>
      <c r="N110" s="463"/>
      <c r="O110" s="463"/>
      <c r="P110" s="463"/>
      <c r="Q110" s="463"/>
      <c r="R110" s="463"/>
      <c r="S110" s="463"/>
      <c r="T110" s="463"/>
      <c r="U110" s="463"/>
      <c r="V110" s="463"/>
      <c r="W110" s="463"/>
      <c r="X110" s="463"/>
      <c r="Y110" s="463"/>
      <c r="Z110" s="463"/>
      <c r="AA110" s="463"/>
      <c r="AB110" s="463"/>
      <c r="AC110" s="463"/>
      <c r="AD110" s="463"/>
    </row>
    <row r="111" spans="1:232" ht="16.5">
      <c r="A111" s="1624"/>
      <c r="B111" s="1624"/>
      <c r="C111" s="1624"/>
      <c r="D111" s="1624"/>
      <c r="E111" s="1624"/>
      <c r="F111" s="1624"/>
      <c r="G111" s="1624"/>
      <c r="H111" s="1625"/>
      <c r="I111" s="1625"/>
      <c r="J111" s="1625"/>
      <c r="M111" s="463"/>
      <c r="N111" s="463"/>
      <c r="O111" s="463"/>
      <c r="P111" s="463"/>
      <c r="Q111" s="463"/>
      <c r="R111" s="463"/>
      <c r="S111" s="463"/>
      <c r="T111" s="463"/>
      <c r="U111" s="463"/>
      <c r="V111" s="463"/>
      <c r="W111" s="463"/>
      <c r="X111" s="463"/>
      <c r="Y111" s="463"/>
      <c r="Z111" s="463"/>
      <c r="AA111" s="463"/>
      <c r="AB111" s="463"/>
      <c r="AC111" s="463"/>
      <c r="AD111" s="463"/>
    </row>
    <row r="112" spans="1:232" ht="20.100000000000001" customHeight="1">
      <c r="A112" s="1682" t="s">
        <v>77</v>
      </c>
      <c r="B112" s="1682"/>
      <c r="C112" s="1682"/>
      <c r="D112" s="1682"/>
      <c r="E112" s="1682"/>
      <c r="F112" s="1682"/>
      <c r="G112" s="1682"/>
      <c r="H112" s="1682"/>
      <c r="I112" s="1682"/>
      <c r="J112" s="1682"/>
    </row>
    <row r="113" spans="1:30" ht="20.100000000000001" customHeight="1">
      <c r="A113" s="1683" t="s">
        <v>80</v>
      </c>
      <c r="B113" s="1683"/>
      <c r="C113" s="1683"/>
      <c r="D113" s="1683"/>
      <c r="E113" s="1683"/>
      <c r="F113" s="1683"/>
      <c r="G113" s="1683"/>
      <c r="H113" s="1683"/>
      <c r="I113" s="1683"/>
      <c r="J113" s="1683"/>
      <c r="L113" s="464"/>
      <c r="M113" s="465"/>
    </row>
    <row r="114" spans="1:30" ht="20.100000000000001" customHeight="1">
      <c r="A114" s="1616" t="s">
        <v>82</v>
      </c>
      <c r="B114" s="1616"/>
      <c r="C114" s="1616"/>
      <c r="D114" s="1616"/>
      <c r="E114" s="1616"/>
      <c r="F114" s="1616"/>
      <c r="G114" s="1616"/>
      <c r="H114" s="1616"/>
      <c r="I114" s="1616"/>
      <c r="J114" s="1616"/>
      <c r="L114" s="467"/>
      <c r="O114" s="466"/>
      <c r="P114" s="466"/>
      <c r="Q114" s="467"/>
    </row>
    <row r="115" spans="1:30" ht="20.100000000000001" customHeight="1">
      <c r="A115" s="1684" t="str">
        <f>F80</f>
        <v>Quảng Ninh, ngày……..tháng…….năm 2016</v>
      </c>
      <c r="B115" s="1684"/>
      <c r="C115" s="1684"/>
      <c r="D115" s="1684"/>
      <c r="E115" s="1684"/>
      <c r="F115" s="1684"/>
      <c r="G115" s="1684"/>
      <c r="H115" s="1684"/>
      <c r="I115" s="1684"/>
      <c r="J115" s="1684"/>
      <c r="L115" s="469"/>
      <c r="N115" s="467"/>
      <c r="O115" s="466"/>
      <c r="P115" s="466"/>
      <c r="Q115" s="467"/>
    </row>
    <row r="116" spans="1:30" ht="24.95" customHeight="1">
      <c r="A116" s="1685" t="s">
        <v>134</v>
      </c>
      <c r="B116" s="1618"/>
      <c r="C116" s="1618"/>
      <c r="D116" s="1618"/>
      <c r="E116" s="1618"/>
      <c r="F116" s="1618"/>
      <c r="G116" s="1618"/>
      <c r="H116" s="1618"/>
      <c r="I116" s="1618"/>
      <c r="J116" s="1618"/>
      <c r="L116" s="469"/>
      <c r="N116" s="467"/>
      <c r="O116" s="466"/>
      <c r="P116" s="466"/>
      <c r="Q116" s="467"/>
    </row>
    <row r="117" spans="1:30" ht="20.100000000000001" customHeight="1">
      <c r="A117" s="1686" t="str">
        <f>A83</f>
        <v>SỐ: TGHL-HT-CWI-C&amp;S-B1/800</v>
      </c>
      <c r="B117" s="1686"/>
      <c r="C117" s="1686"/>
      <c r="D117" s="1686"/>
      <c r="E117" s="1686"/>
      <c r="F117" s="1686"/>
      <c r="G117" s="1686"/>
      <c r="H117" s="1686"/>
      <c r="I117" s="1686"/>
      <c r="J117" s="1686"/>
      <c r="L117" s="469"/>
      <c r="N117" s="467"/>
      <c r="P117" s="467"/>
    </row>
    <row r="118" spans="1:30" ht="14.25" customHeight="1">
      <c r="A118" s="471"/>
      <c r="B118" s="471"/>
      <c r="C118" s="471"/>
      <c r="D118" s="471"/>
      <c r="E118" s="471"/>
      <c r="F118" s="471"/>
      <c r="G118" s="471"/>
      <c r="H118" s="471"/>
      <c r="I118" s="471"/>
      <c r="J118" s="471"/>
      <c r="M118" s="469"/>
      <c r="O118" s="466"/>
      <c r="P118" s="466"/>
      <c r="Q118" s="467"/>
    </row>
    <row r="119" spans="1:30" s="472" customFormat="1" ht="35.1" customHeight="1">
      <c r="A119" s="641" t="str">
        <f>A84</f>
        <v>DỰ ÁN:</v>
      </c>
      <c r="B119" s="641"/>
      <c r="C119" s="1615" t="str">
        <f>C84</f>
        <v>KHU HỖN HỢP CHUNG CƯ, VĂN PHÒNG, TRUNG TÂM THƯƠNG MẠI VÀ NHÀ Ở KẾT HỢP KHU MUA SẮM</v>
      </c>
      <c r="D119" s="1615"/>
      <c r="E119" s="1615"/>
      <c r="F119" s="1615"/>
      <c r="G119" s="1615"/>
      <c r="H119" s="1615"/>
      <c r="I119" s="1615"/>
      <c r="J119" s="1615"/>
      <c r="L119" s="463"/>
      <c r="M119" s="469"/>
      <c r="N119" s="467"/>
      <c r="O119" s="466"/>
      <c r="P119" s="466"/>
      <c r="Q119" s="467"/>
      <c r="R119" s="464"/>
      <c r="S119" s="464"/>
      <c r="T119" s="464"/>
      <c r="U119" s="474"/>
      <c r="V119" s="474"/>
      <c r="W119" s="474"/>
      <c r="X119" s="474"/>
      <c r="Y119" s="475"/>
      <c r="Z119" s="475"/>
      <c r="AA119" s="475"/>
      <c r="AB119" s="475"/>
      <c r="AC119" s="475"/>
      <c r="AD119" s="475"/>
    </row>
    <row r="120" spans="1:30" ht="20.100000000000001" customHeight="1">
      <c r="A120" s="641" t="str">
        <f>A85</f>
        <v>CÔNG TRÌNH:</v>
      </c>
      <c r="B120" s="641"/>
      <c r="C120" s="1615" t="str">
        <f>C85</f>
        <v>KHU HỖN HỢP CHUNG CƯ, VĂN PHÒNG, TTTM</v>
      </c>
      <c r="D120" s="1615"/>
      <c r="E120" s="1615"/>
      <c r="F120" s="1615"/>
      <c r="G120" s="1615"/>
      <c r="H120" s="1615"/>
      <c r="I120" s="1615"/>
      <c r="J120" s="1615"/>
      <c r="L120" s="469"/>
      <c r="M120" s="467"/>
      <c r="N120" s="467"/>
      <c r="O120" s="466"/>
      <c r="P120" s="466"/>
      <c r="Q120" s="467"/>
      <c r="T120" s="474"/>
    </row>
    <row r="121" spans="1:30" ht="20.100000000000001" customHeight="1">
      <c r="A121" s="641" t="str">
        <f>A86</f>
        <v>GÓI THẦU :</v>
      </c>
      <c r="B121" s="641"/>
      <c r="C121" s="1615" t="str">
        <f>C86</f>
        <v>THI CÔNG CỌC KHOAN NHỒI</v>
      </c>
      <c r="D121" s="1615"/>
      <c r="E121" s="1615"/>
      <c r="F121" s="1615"/>
      <c r="G121" s="1615"/>
      <c r="H121" s="1615"/>
      <c r="I121" s="1615"/>
      <c r="J121" s="1615"/>
      <c r="L121" s="469"/>
      <c r="M121" s="467"/>
      <c r="N121" s="467"/>
      <c r="O121" s="466"/>
      <c r="P121" s="466"/>
      <c r="Q121" s="467"/>
      <c r="T121" s="474"/>
    </row>
    <row r="122" spans="1:30" ht="20.100000000000001" customHeight="1">
      <c r="A122" s="641" t="str">
        <f>A87</f>
        <v>ĐỊA ĐIỂM :</v>
      </c>
      <c r="B122" s="641"/>
      <c r="C122" s="1615" t="str">
        <f>C87</f>
        <v>ĐƯỜNG 25/4, P BẠCH ĐẰNG, TP. HẠ LONG, TỈNH QUẢNG NINH</v>
      </c>
      <c r="D122" s="1615"/>
      <c r="E122" s="1615"/>
      <c r="F122" s="1615"/>
      <c r="G122" s="1615"/>
      <c r="H122" s="1615"/>
      <c r="I122" s="1615"/>
      <c r="J122" s="1615"/>
      <c r="L122" s="469"/>
      <c r="M122" s="469"/>
      <c r="O122" s="478"/>
      <c r="P122" s="479"/>
      <c r="Q122" s="469"/>
      <c r="R122" s="474"/>
      <c r="S122" s="474"/>
    </row>
    <row r="123" spans="1:30" s="472" customFormat="1" ht="20.100000000000001" customHeight="1">
      <c r="A123" s="1596" t="s">
        <v>89</v>
      </c>
      <c r="B123" s="1596"/>
      <c r="C123" s="1596"/>
      <c r="D123" s="1596"/>
      <c r="E123" s="1596"/>
      <c r="F123" s="1596"/>
      <c r="G123" s="1596"/>
      <c r="H123" s="1596"/>
      <c r="I123" s="1596"/>
      <c r="J123" s="1596"/>
      <c r="L123" s="469"/>
      <c r="M123" s="469"/>
      <c r="N123" s="470"/>
      <c r="O123" s="466"/>
      <c r="P123" s="479"/>
      <c r="Q123" s="469"/>
      <c r="R123" s="464"/>
      <c r="S123" s="464"/>
      <c r="T123" s="464"/>
      <c r="U123" s="474"/>
      <c r="V123" s="474"/>
      <c r="W123" s="474"/>
      <c r="X123" s="474"/>
      <c r="Y123" s="475"/>
      <c r="Z123" s="475"/>
      <c r="AA123" s="475"/>
      <c r="AB123" s="475"/>
      <c r="AC123" s="475"/>
      <c r="AD123" s="475"/>
    </row>
    <row r="124" spans="1:30" s="175" customFormat="1" ht="20.100000000000001" customHeight="1">
      <c r="A124" s="1610" t="str">
        <f>A13</f>
        <v>Cấu kiện bê tông cọc số hiệu B1</v>
      </c>
      <c r="B124" s="1622"/>
      <c r="C124" s="1622"/>
      <c r="D124" s="1622"/>
      <c r="E124" s="1622"/>
      <c r="F124" s="1622"/>
      <c r="G124" s="1622"/>
      <c r="H124" s="1622"/>
      <c r="I124" s="1622"/>
      <c r="J124" s="1622"/>
      <c r="L124" s="520"/>
      <c r="M124" s="520"/>
      <c r="N124" s="473"/>
      <c r="O124" s="466"/>
      <c r="P124" s="479"/>
      <c r="Q124" s="469"/>
      <c r="R124" s="464"/>
      <c r="S124" s="464"/>
    </row>
    <row r="125" spans="1:30" ht="20.100000000000001" customHeight="1">
      <c r="A125" s="1596" t="s">
        <v>859</v>
      </c>
      <c r="B125" s="1596"/>
      <c r="C125" s="1596"/>
      <c r="D125" s="1596"/>
      <c r="E125" s="1596"/>
      <c r="F125" s="1596"/>
      <c r="G125" s="1596"/>
      <c r="H125" s="1596"/>
      <c r="I125" s="1596"/>
      <c r="J125" s="1596"/>
      <c r="M125" s="469"/>
      <c r="N125" s="470"/>
      <c r="O125" s="466"/>
      <c r="P125" s="466"/>
      <c r="Q125" s="467"/>
    </row>
    <row r="126" spans="1:30" ht="20.100000000000001" customHeight="1">
      <c r="A126" s="482" t="str">
        <f>'[6]1. BBkt -MM'!A125</f>
        <v>1 - Đại diện chủ đầu tư : Ban QLDA Times garden Hạ Long</v>
      </c>
      <c r="B126" s="118"/>
      <c r="C126" s="118"/>
      <c r="D126" s="118"/>
      <c r="E126" s="118"/>
      <c r="F126" s="483"/>
      <c r="G126" s="483"/>
      <c r="H126" s="483"/>
      <c r="I126" s="483"/>
      <c r="J126" s="483"/>
      <c r="M126" s="469"/>
      <c r="N126" s="470"/>
      <c r="O126" s="466"/>
      <c r="P126" s="466"/>
      <c r="Q126" s="467"/>
    </row>
    <row r="127" spans="1:30" ht="20.100000000000001" customHeight="1">
      <c r="A127" s="1595" t="s">
        <v>913</v>
      </c>
      <c r="B127" s="1595"/>
      <c r="C127" s="1595"/>
      <c r="D127" s="1595"/>
      <c r="E127" s="1595"/>
      <c r="F127" s="1595" t="s">
        <v>914</v>
      </c>
      <c r="G127" s="1595"/>
      <c r="H127" s="1595"/>
      <c r="I127" s="1595"/>
      <c r="J127" s="1595"/>
      <c r="M127" s="469"/>
      <c r="N127" s="470"/>
      <c r="O127" s="466"/>
      <c r="P127" s="466"/>
      <c r="Q127" s="467"/>
    </row>
    <row r="128" spans="1:30" ht="20.100000000000001" customHeight="1">
      <c r="A128" s="1595" t="s">
        <v>913</v>
      </c>
      <c r="B128" s="1595"/>
      <c r="C128" s="1595"/>
      <c r="D128" s="1595"/>
      <c r="E128" s="1595"/>
      <c r="F128" s="1595" t="s">
        <v>914</v>
      </c>
      <c r="G128" s="1595"/>
      <c r="H128" s="1595"/>
      <c r="I128" s="1595"/>
      <c r="J128" s="1595"/>
      <c r="M128" s="469"/>
      <c r="N128" s="470"/>
      <c r="O128" s="466"/>
      <c r="P128" s="466"/>
      <c r="Q128" s="467"/>
    </row>
    <row r="129" spans="1:232" s="175" customFormat="1" ht="20.100000000000001" customHeight="1">
      <c r="A129" s="1680" t="s">
        <v>915</v>
      </c>
      <c r="B129" s="1680"/>
      <c r="C129" s="1680"/>
      <c r="D129" s="1680"/>
      <c r="E129" s="1680"/>
      <c r="F129" s="1680"/>
      <c r="G129" s="1680"/>
      <c r="H129" s="1680"/>
      <c r="I129" s="1680"/>
      <c r="J129" s="1680"/>
      <c r="L129" s="520"/>
      <c r="M129" s="520"/>
      <c r="N129" s="473"/>
      <c r="O129" s="464"/>
      <c r="P129" s="467"/>
      <c r="Q129" s="464"/>
      <c r="R129" s="464"/>
      <c r="S129" s="464"/>
    </row>
    <row r="130" spans="1:232" ht="20.100000000000001" customHeight="1">
      <c r="A130" s="1595" t="s">
        <v>913</v>
      </c>
      <c r="B130" s="1595"/>
      <c r="C130" s="1595"/>
      <c r="D130" s="1595"/>
      <c r="E130" s="1595"/>
      <c r="F130" s="1595" t="s">
        <v>914</v>
      </c>
      <c r="G130" s="1595"/>
      <c r="H130" s="1595"/>
      <c r="I130" s="1595"/>
      <c r="J130" s="1595"/>
      <c r="M130" s="469"/>
      <c r="N130" s="175"/>
      <c r="O130" s="401"/>
      <c r="P130" s="401"/>
      <c r="Q130" s="520"/>
      <c r="R130" s="175"/>
      <c r="S130" s="175"/>
    </row>
    <row r="131" spans="1:232" ht="20.100000000000001" customHeight="1">
      <c r="A131" s="481" t="s">
        <v>913</v>
      </c>
      <c r="B131" s="481"/>
      <c r="C131" s="481"/>
      <c r="D131" s="481"/>
      <c r="E131" s="481"/>
      <c r="F131" s="481" t="s">
        <v>916</v>
      </c>
      <c r="G131" s="481"/>
      <c r="H131" s="481"/>
      <c r="I131" s="481"/>
      <c r="J131" s="481"/>
      <c r="N131" s="470"/>
      <c r="O131" s="466"/>
      <c r="P131" s="466"/>
      <c r="Q131" s="467"/>
    </row>
    <row r="132" spans="1:232" ht="20.100000000000001" customHeight="1">
      <c r="A132" s="1604" t="s">
        <v>871</v>
      </c>
      <c r="B132" s="1604"/>
      <c r="C132" s="1604"/>
      <c r="D132" s="1604"/>
      <c r="E132" s="1604"/>
      <c r="F132" s="1604"/>
      <c r="G132" s="1604"/>
      <c r="H132" s="1604"/>
      <c r="I132" s="1604"/>
      <c r="J132" s="1604"/>
      <c r="M132" s="469"/>
      <c r="P132" s="479"/>
      <c r="Q132" s="469"/>
    </row>
    <row r="133" spans="1:232" ht="20.100000000000001" customHeight="1">
      <c r="A133" s="481" t="s">
        <v>913</v>
      </c>
      <c r="B133" s="481"/>
      <c r="C133" s="481"/>
      <c r="D133" s="481"/>
      <c r="E133" s="481"/>
      <c r="F133" s="481" t="s">
        <v>916</v>
      </c>
      <c r="G133" s="481"/>
      <c r="H133" s="481"/>
      <c r="I133" s="481"/>
      <c r="J133" s="481"/>
      <c r="P133" s="479"/>
      <c r="Q133" s="469"/>
    </row>
    <row r="134" spans="1:232" ht="20.100000000000001" customHeight="1">
      <c r="A134" s="481" t="s">
        <v>913</v>
      </c>
      <c r="B134" s="481"/>
      <c r="C134" s="481"/>
      <c r="D134" s="481"/>
      <c r="E134" s="481"/>
      <c r="F134" s="481" t="s">
        <v>916</v>
      </c>
      <c r="G134" s="481"/>
      <c r="H134" s="481"/>
      <c r="I134" s="481"/>
      <c r="J134" s="481"/>
      <c r="P134" s="479"/>
      <c r="Q134" s="469"/>
    </row>
    <row r="135" spans="1:232" ht="20.100000000000001" customHeight="1">
      <c r="A135" s="1596" t="str">
        <f>A21</f>
        <v>III./ THỜI GIAN NGHIỆM THU:</v>
      </c>
      <c r="B135" s="1596"/>
      <c r="C135" s="1596"/>
      <c r="D135" s="1596"/>
      <c r="E135" s="1596"/>
      <c r="F135" s="1596"/>
      <c r="G135" s="1596"/>
      <c r="H135" s="1596"/>
      <c r="I135" s="1596"/>
      <c r="J135" s="1596"/>
      <c r="P135" s="479"/>
      <c r="Q135" s="469"/>
    </row>
    <row r="136" spans="1:232" ht="20.100000000000001" customHeight="1">
      <c r="A136" s="477" t="str">
        <f>A22</f>
        <v xml:space="preserve">Bắt đầu nghiệm thu:    </v>
      </c>
      <c r="B136" s="477"/>
      <c r="C136" s="477"/>
      <c r="D136" s="942">
        <f>N16-O11</f>
        <v>0.61111111111111116</v>
      </c>
      <c r="E136" s="1603" t="str">
        <f>E23</f>
        <v>, ngày…..tháng…..năm 2016</v>
      </c>
      <c r="F136" s="1603"/>
      <c r="G136" s="1603"/>
      <c r="H136" s="1603"/>
      <c r="I136" s="1603"/>
      <c r="J136" s="1603"/>
      <c r="P136" s="479"/>
      <c r="Q136" s="469"/>
    </row>
    <row r="137" spans="1:232" s="175" customFormat="1" ht="20.100000000000001" customHeight="1">
      <c r="A137" s="477" t="str">
        <f>A23</f>
        <v xml:space="preserve">Kết thúc nghiệm thu: </v>
      </c>
      <c r="B137" s="477"/>
      <c r="C137" s="477"/>
      <c r="D137" s="942">
        <f>N16</f>
        <v>0.625</v>
      </c>
      <c r="E137" s="1603" t="str">
        <f>E136</f>
        <v>, ngày…..tháng…..năm 2016</v>
      </c>
      <c r="F137" s="1603"/>
      <c r="G137" s="1603"/>
      <c r="H137" s="1603"/>
      <c r="I137" s="1603"/>
      <c r="J137" s="1603"/>
      <c r="N137" s="464"/>
      <c r="O137" s="464"/>
      <c r="P137" s="464"/>
      <c r="Q137" s="464"/>
      <c r="R137" s="464"/>
      <c r="S137" s="464"/>
    </row>
    <row r="138" spans="1:232" ht="20.100000000000001" customHeight="1">
      <c r="A138" s="767" t="str">
        <f>'[6]7. BBNT-TOADOCOC'!A138</f>
        <v>Tại:</v>
      </c>
      <c r="B138" s="765" t="str">
        <f>'[6]7. BBNT-TOADOCOC'!B138</f>
        <v>Công trình: Khu hỗn hợp chung cư, văn phòng, trung tâm thương mại.</v>
      </c>
      <c r="C138" s="489"/>
      <c r="D138" s="489"/>
      <c r="E138" s="489"/>
      <c r="F138" s="489"/>
      <c r="G138" s="489"/>
      <c r="H138" s="489"/>
      <c r="I138" s="489"/>
      <c r="J138" s="489"/>
      <c r="N138" s="175"/>
      <c r="O138" s="175"/>
      <c r="P138" s="175"/>
      <c r="Q138" s="175"/>
      <c r="R138" s="175"/>
      <c r="S138" s="175"/>
    </row>
    <row r="139" spans="1:232" ht="20.100000000000001" customHeight="1">
      <c r="A139" s="1596" t="s">
        <v>441</v>
      </c>
      <c r="B139" s="1596"/>
      <c r="C139" s="1596"/>
      <c r="D139" s="1596"/>
      <c r="E139" s="1596"/>
      <c r="F139" s="1596"/>
      <c r="G139" s="1596"/>
      <c r="H139" s="1596"/>
      <c r="I139" s="1596"/>
      <c r="J139" s="1596"/>
    </row>
    <row r="140" spans="1:232" ht="20.100000000000001" customHeight="1">
      <c r="A140" s="1604" t="s">
        <v>921</v>
      </c>
      <c r="B140" s="1604"/>
      <c r="C140" s="1604"/>
      <c r="D140" s="1604"/>
      <c r="E140" s="1604"/>
      <c r="F140" s="1604"/>
      <c r="G140" s="1604"/>
      <c r="H140" s="1604"/>
      <c r="I140" s="1604"/>
      <c r="J140" s="1604"/>
    </row>
    <row r="141" spans="1:232" s="175" customFormat="1" ht="20.100000000000001" customHeight="1">
      <c r="A141" s="486" t="str">
        <f>"-    Phiếu yêu cầu kiểm tra công việc xây dựng số: TGHL-HT-CWI-C&amp;S-"&amp;'2. NK'!D10&amp;"/"&amp;'2. NK'!H10</f>
        <v>-    Phiếu yêu cầu kiểm tra công việc xây dựng số: TGHL-HT-CWI-C&amp;S-B1/800</v>
      </c>
      <c r="B141" s="477"/>
      <c r="C141" s="477"/>
      <c r="D141" s="477"/>
      <c r="E141" s="477"/>
      <c r="F141" s="477"/>
      <c r="G141" s="477"/>
      <c r="H141" s="477"/>
      <c r="I141" s="477"/>
      <c r="J141" s="477"/>
      <c r="N141" s="464"/>
      <c r="O141" s="464"/>
      <c r="P141" s="464"/>
      <c r="Q141" s="464"/>
      <c r="R141" s="464"/>
      <c r="S141" s="464"/>
    </row>
    <row r="142" spans="1:232" ht="20.100000000000001" customHeight="1">
      <c r="A142" s="1679" t="str">
        <f>'7.BBKT-  TĐC'!A142:J142</f>
        <v>-    Hồ sơ thiết kế bản vẽ thi công đã được phê duyệt.</v>
      </c>
      <c r="B142" s="1679"/>
      <c r="C142" s="1679"/>
      <c r="D142" s="1679"/>
      <c r="E142" s="1679"/>
      <c r="F142" s="1679"/>
      <c r="G142" s="1679"/>
      <c r="H142" s="1679"/>
      <c r="I142" s="1679"/>
      <c r="J142" s="1679"/>
      <c r="N142" s="175"/>
      <c r="O142" s="175"/>
      <c r="P142" s="175"/>
      <c r="Q142" s="175"/>
      <c r="R142" s="175"/>
      <c r="S142" s="175"/>
    </row>
    <row r="143" spans="1:232" s="637" customFormat="1" ht="20.100000000000001" customHeight="1">
      <c r="A143" s="486" t="s">
        <v>104</v>
      </c>
      <c r="B143" s="477"/>
      <c r="C143" s="477"/>
      <c r="D143" s="477"/>
      <c r="E143" s="477"/>
      <c r="F143" s="477"/>
      <c r="G143" s="477"/>
      <c r="H143" s="477"/>
      <c r="I143" s="477"/>
      <c r="J143" s="477"/>
      <c r="K143" s="477"/>
      <c r="L143" s="477"/>
      <c r="M143" s="477"/>
      <c r="N143" s="464"/>
      <c r="O143" s="464"/>
      <c r="P143" s="464"/>
      <c r="Q143" s="464"/>
      <c r="R143" s="464"/>
      <c r="S143" s="464"/>
      <c r="T143" s="487"/>
      <c r="U143" s="487"/>
      <c r="V143" s="487"/>
      <c r="W143" s="487"/>
      <c r="X143" s="487"/>
      <c r="Y143" s="487"/>
      <c r="Z143" s="487"/>
      <c r="AA143" s="487"/>
      <c r="AB143" s="487"/>
      <c r="AC143" s="487"/>
      <c r="AD143" s="487"/>
      <c r="AE143" s="487"/>
      <c r="AF143" s="487"/>
      <c r="AG143" s="487"/>
      <c r="AH143" s="487"/>
      <c r="AI143" s="487"/>
      <c r="AJ143" s="487"/>
      <c r="AK143" s="487"/>
      <c r="AL143" s="487"/>
      <c r="AM143" s="487"/>
      <c r="AN143" s="487"/>
      <c r="AO143" s="487"/>
      <c r="AP143" s="487"/>
      <c r="AQ143" s="487"/>
      <c r="AR143" s="487"/>
      <c r="AS143" s="487"/>
      <c r="AT143" s="487"/>
      <c r="AU143" s="487"/>
      <c r="AV143" s="487"/>
      <c r="AW143" s="487"/>
      <c r="AX143" s="487"/>
      <c r="AY143" s="487"/>
      <c r="AZ143" s="487"/>
      <c r="BA143" s="487"/>
      <c r="BB143" s="487"/>
      <c r="BC143" s="487"/>
      <c r="BD143" s="487"/>
      <c r="BE143" s="487"/>
      <c r="BF143" s="487"/>
      <c r="BG143" s="487"/>
      <c r="BH143" s="487"/>
      <c r="BI143" s="487"/>
      <c r="BJ143" s="487"/>
      <c r="BK143" s="487"/>
      <c r="BL143" s="487"/>
      <c r="BM143" s="487"/>
      <c r="BN143" s="487"/>
      <c r="BO143" s="487"/>
      <c r="BP143" s="487"/>
      <c r="BQ143" s="487"/>
      <c r="BR143" s="487"/>
      <c r="BS143" s="487"/>
      <c r="BT143" s="487"/>
      <c r="BU143" s="487"/>
      <c r="BV143" s="487"/>
      <c r="BW143" s="487"/>
      <c r="BX143" s="487"/>
      <c r="BY143" s="487"/>
      <c r="BZ143" s="487"/>
      <c r="CA143" s="487"/>
      <c r="CB143" s="487"/>
      <c r="CC143" s="487"/>
      <c r="CD143" s="487"/>
      <c r="CE143" s="487"/>
      <c r="CF143" s="487"/>
      <c r="CG143" s="487"/>
      <c r="CH143" s="487"/>
      <c r="CI143" s="487"/>
      <c r="CJ143" s="487"/>
      <c r="CK143" s="487"/>
      <c r="CL143" s="487"/>
      <c r="CM143" s="487"/>
      <c r="CN143" s="487"/>
      <c r="CO143" s="487"/>
      <c r="CP143" s="487"/>
      <c r="CQ143" s="487"/>
      <c r="CR143" s="487"/>
      <c r="CS143" s="487"/>
      <c r="CT143" s="487"/>
      <c r="CU143" s="487"/>
      <c r="CV143" s="487"/>
      <c r="CW143" s="487"/>
      <c r="CX143" s="487"/>
      <c r="CY143" s="487"/>
      <c r="CZ143" s="487"/>
      <c r="DA143" s="487"/>
      <c r="DB143" s="487"/>
      <c r="DC143" s="487"/>
      <c r="DD143" s="487"/>
      <c r="DE143" s="487"/>
      <c r="DF143" s="487"/>
      <c r="DG143" s="487"/>
      <c r="DH143" s="487"/>
      <c r="DI143" s="487"/>
      <c r="DJ143" s="487"/>
      <c r="DK143" s="487"/>
      <c r="DL143" s="487"/>
      <c r="DM143" s="487"/>
      <c r="DN143" s="487"/>
      <c r="DO143" s="487"/>
      <c r="DP143" s="487"/>
      <c r="DQ143" s="487"/>
      <c r="DR143" s="487"/>
      <c r="DS143" s="487"/>
      <c r="DT143" s="487"/>
      <c r="DU143" s="487"/>
      <c r="DV143" s="487"/>
      <c r="DW143" s="487"/>
      <c r="DX143" s="487"/>
      <c r="DY143" s="487"/>
      <c r="DZ143" s="487"/>
      <c r="EA143" s="487"/>
      <c r="EB143" s="487"/>
      <c r="EC143" s="487"/>
      <c r="ED143" s="487"/>
      <c r="EE143" s="487"/>
      <c r="EF143" s="487"/>
      <c r="EG143" s="487"/>
      <c r="EH143" s="487"/>
      <c r="EI143" s="487"/>
      <c r="EJ143" s="487"/>
      <c r="EK143" s="487"/>
      <c r="EL143" s="487"/>
      <c r="EM143" s="487"/>
      <c r="EN143" s="487"/>
      <c r="EO143" s="487"/>
      <c r="EP143" s="487"/>
      <c r="EQ143" s="487"/>
      <c r="ER143" s="487"/>
      <c r="ES143" s="487"/>
      <c r="ET143" s="487"/>
      <c r="EU143" s="487"/>
      <c r="EV143" s="487"/>
      <c r="EW143" s="487"/>
      <c r="EX143" s="487"/>
      <c r="EY143" s="487"/>
      <c r="EZ143" s="487"/>
      <c r="FA143" s="487"/>
      <c r="FB143" s="487"/>
      <c r="FC143" s="487"/>
      <c r="FD143" s="487"/>
      <c r="FE143" s="487"/>
      <c r="FF143" s="487"/>
      <c r="FG143" s="487"/>
      <c r="FH143" s="487"/>
      <c r="FI143" s="487"/>
      <c r="FJ143" s="487"/>
      <c r="FK143" s="487"/>
      <c r="FL143" s="487"/>
      <c r="FM143" s="487"/>
      <c r="FN143" s="487"/>
      <c r="FO143" s="487"/>
      <c r="FP143" s="487"/>
      <c r="FQ143" s="487"/>
      <c r="FR143" s="487"/>
      <c r="FS143" s="487"/>
      <c r="FT143" s="487"/>
      <c r="FU143" s="487"/>
      <c r="FV143" s="487"/>
      <c r="FW143" s="487"/>
      <c r="FX143" s="487"/>
      <c r="FY143" s="487"/>
      <c r="FZ143" s="487"/>
      <c r="GA143" s="487"/>
      <c r="GB143" s="487"/>
      <c r="GC143" s="487"/>
      <c r="GD143" s="487"/>
      <c r="GE143" s="487"/>
      <c r="GF143" s="487"/>
      <c r="GG143" s="487"/>
      <c r="GH143" s="487"/>
      <c r="GI143" s="487"/>
      <c r="GJ143" s="487"/>
      <c r="GK143" s="487"/>
      <c r="GL143" s="487"/>
      <c r="GM143" s="487"/>
      <c r="GN143" s="487"/>
      <c r="GO143" s="487"/>
      <c r="GP143" s="487"/>
      <c r="GQ143" s="487"/>
      <c r="GR143" s="487"/>
      <c r="GS143" s="487"/>
      <c r="GT143" s="487"/>
      <c r="GU143" s="487"/>
      <c r="GV143" s="487"/>
      <c r="GW143" s="487"/>
      <c r="GX143" s="487"/>
      <c r="GY143" s="487"/>
      <c r="GZ143" s="487"/>
      <c r="HA143" s="487"/>
      <c r="HB143" s="487"/>
      <c r="HC143" s="487"/>
      <c r="HD143" s="487"/>
      <c r="HE143" s="487"/>
      <c r="HF143" s="487"/>
      <c r="HG143" s="487"/>
      <c r="HH143" s="487"/>
      <c r="HI143" s="487"/>
      <c r="HJ143" s="487"/>
      <c r="HK143" s="487"/>
      <c r="HL143" s="487"/>
      <c r="HM143" s="487"/>
      <c r="HN143" s="487"/>
      <c r="HO143" s="487"/>
      <c r="HP143" s="487"/>
      <c r="HQ143" s="487"/>
      <c r="HR143" s="487"/>
      <c r="HS143" s="487"/>
      <c r="HT143" s="487"/>
      <c r="HU143" s="487"/>
      <c r="HV143" s="487"/>
      <c r="HW143" s="487"/>
      <c r="HX143" s="487"/>
    </row>
    <row r="144" spans="1:232" s="637" customFormat="1" ht="20.100000000000001" customHeight="1">
      <c r="A144" s="885" t="s">
        <v>1027</v>
      </c>
      <c r="B144" s="477" t="s">
        <v>1028</v>
      </c>
      <c r="C144" s="477"/>
      <c r="D144" s="477"/>
      <c r="E144" s="477"/>
      <c r="F144" s="477"/>
      <c r="G144" s="477"/>
      <c r="H144" s="477"/>
      <c r="I144" s="477"/>
      <c r="J144" s="477"/>
      <c r="K144" s="477"/>
      <c r="L144" s="477"/>
      <c r="M144" s="477"/>
      <c r="N144" s="487"/>
      <c r="O144" s="487"/>
      <c r="P144" s="467"/>
      <c r="Q144" s="464"/>
      <c r="R144" s="487"/>
      <c r="S144" s="487"/>
      <c r="T144" s="487"/>
      <c r="U144" s="489"/>
      <c r="V144" s="489"/>
      <c r="W144" s="489"/>
      <c r="X144" s="489"/>
      <c r="Y144" s="489"/>
      <c r="Z144" s="489"/>
      <c r="AA144" s="489"/>
      <c r="AB144" s="489"/>
      <c r="AC144" s="489"/>
      <c r="AD144" s="489"/>
      <c r="AE144" s="489"/>
      <c r="AF144" s="489"/>
      <c r="AG144" s="489"/>
      <c r="AH144" s="489"/>
      <c r="AI144" s="489"/>
      <c r="AJ144" s="489"/>
      <c r="AK144" s="489"/>
      <c r="AL144" s="489"/>
      <c r="AM144" s="489"/>
      <c r="AN144" s="489"/>
      <c r="AO144" s="489"/>
      <c r="AP144" s="489"/>
      <c r="AQ144" s="489"/>
      <c r="AR144" s="489"/>
      <c r="AS144" s="489"/>
      <c r="AT144" s="489"/>
      <c r="AU144" s="489"/>
      <c r="AV144" s="489"/>
      <c r="AW144" s="489"/>
      <c r="AX144" s="489"/>
      <c r="AY144" s="489"/>
      <c r="AZ144" s="489"/>
      <c r="BA144" s="489"/>
      <c r="BB144" s="489"/>
      <c r="BC144" s="489"/>
      <c r="BD144" s="489"/>
      <c r="BE144" s="489"/>
      <c r="BF144" s="489"/>
      <c r="BG144" s="489"/>
      <c r="BH144" s="489"/>
      <c r="BI144" s="489"/>
      <c r="BJ144" s="489"/>
      <c r="BK144" s="489"/>
      <c r="BL144" s="489"/>
      <c r="BM144" s="489"/>
      <c r="BN144" s="489"/>
      <c r="BO144" s="489"/>
      <c r="BP144" s="489"/>
      <c r="BQ144" s="489"/>
      <c r="BR144" s="489"/>
      <c r="BS144" s="489"/>
      <c r="BT144" s="489"/>
      <c r="BU144" s="489"/>
      <c r="BV144" s="489"/>
      <c r="BW144" s="489"/>
      <c r="BX144" s="489"/>
      <c r="BY144" s="489"/>
      <c r="BZ144" s="489"/>
      <c r="CA144" s="489"/>
      <c r="CB144" s="489"/>
      <c r="CC144" s="489"/>
      <c r="CD144" s="489"/>
      <c r="CE144" s="489"/>
      <c r="CF144" s="489"/>
      <c r="CG144" s="489"/>
      <c r="CH144" s="489"/>
      <c r="CI144" s="489"/>
      <c r="CJ144" s="489"/>
      <c r="CK144" s="489"/>
      <c r="CL144" s="489"/>
      <c r="CM144" s="489"/>
      <c r="CN144" s="489"/>
      <c r="CO144" s="489"/>
      <c r="CP144" s="489"/>
      <c r="CQ144" s="489"/>
      <c r="CR144" s="489"/>
      <c r="CS144" s="489"/>
      <c r="CT144" s="489"/>
      <c r="CU144" s="489"/>
      <c r="CV144" s="489"/>
      <c r="CW144" s="489"/>
      <c r="CX144" s="489"/>
      <c r="CY144" s="489"/>
      <c r="CZ144" s="489"/>
      <c r="DA144" s="489"/>
      <c r="DB144" s="489"/>
      <c r="DC144" s="489"/>
      <c r="DD144" s="489"/>
      <c r="DE144" s="489"/>
      <c r="DF144" s="489"/>
      <c r="DG144" s="489"/>
      <c r="DH144" s="489"/>
      <c r="DI144" s="489"/>
      <c r="DJ144" s="489"/>
      <c r="DK144" s="489"/>
      <c r="DL144" s="489"/>
      <c r="DM144" s="489"/>
      <c r="DN144" s="489"/>
      <c r="DO144" s="489"/>
      <c r="DP144" s="489"/>
      <c r="DQ144" s="489"/>
      <c r="DR144" s="489"/>
      <c r="DS144" s="489"/>
      <c r="DT144" s="489"/>
      <c r="DU144" s="489"/>
      <c r="DV144" s="489"/>
      <c r="DW144" s="489"/>
      <c r="DX144" s="489"/>
      <c r="DY144" s="489"/>
      <c r="DZ144" s="489"/>
      <c r="EA144" s="489"/>
      <c r="EB144" s="489"/>
      <c r="EC144" s="489"/>
      <c r="ED144" s="489"/>
      <c r="EE144" s="489"/>
      <c r="EF144" s="489"/>
      <c r="EG144" s="489"/>
      <c r="EH144" s="489"/>
      <c r="EI144" s="489"/>
      <c r="EJ144" s="489"/>
      <c r="EK144" s="489"/>
      <c r="EL144" s="489"/>
      <c r="EM144" s="489"/>
      <c r="EN144" s="489"/>
      <c r="EO144" s="489"/>
      <c r="EP144" s="489"/>
      <c r="EQ144" s="489"/>
      <c r="ER144" s="489"/>
      <c r="ES144" s="489"/>
      <c r="ET144" s="489"/>
      <c r="EU144" s="489"/>
      <c r="EV144" s="489"/>
      <c r="EW144" s="489"/>
      <c r="EX144" s="489"/>
      <c r="EY144" s="489"/>
      <c r="EZ144" s="489"/>
      <c r="FA144" s="489"/>
      <c r="FB144" s="489"/>
      <c r="FC144" s="489"/>
      <c r="FD144" s="489"/>
      <c r="FE144" s="489"/>
      <c r="FF144" s="489"/>
      <c r="FG144" s="489"/>
      <c r="FH144" s="489"/>
      <c r="FI144" s="489"/>
      <c r="FJ144" s="489"/>
      <c r="FK144" s="489"/>
      <c r="FL144" s="489"/>
      <c r="FM144" s="489"/>
      <c r="FN144" s="489"/>
      <c r="FO144" s="489"/>
      <c r="FP144" s="489"/>
      <c r="FQ144" s="489"/>
      <c r="FR144" s="489"/>
      <c r="FS144" s="489"/>
      <c r="FT144" s="489"/>
      <c r="FU144" s="489"/>
      <c r="FV144" s="489"/>
      <c r="FW144" s="489"/>
      <c r="FX144" s="489"/>
      <c r="FY144" s="489"/>
      <c r="FZ144" s="489"/>
      <c r="GA144" s="489"/>
      <c r="GB144" s="489"/>
      <c r="GC144" s="489"/>
      <c r="GD144" s="489"/>
      <c r="GE144" s="489"/>
      <c r="GF144" s="489"/>
      <c r="GG144" s="489"/>
      <c r="GH144" s="489"/>
      <c r="GI144" s="489"/>
      <c r="GJ144" s="489"/>
      <c r="GK144" s="489"/>
      <c r="GL144" s="489"/>
      <c r="GM144" s="489"/>
      <c r="GN144" s="489"/>
      <c r="GO144" s="489"/>
      <c r="GP144" s="489"/>
      <c r="GQ144" s="489"/>
      <c r="GR144" s="489"/>
      <c r="GS144" s="489"/>
      <c r="GT144" s="489"/>
      <c r="GU144" s="489"/>
      <c r="GV144" s="489"/>
      <c r="GW144" s="489"/>
      <c r="GX144" s="489"/>
      <c r="GY144" s="489"/>
      <c r="GZ144" s="489"/>
      <c r="HA144" s="489"/>
      <c r="HB144" s="489"/>
      <c r="HC144" s="489"/>
      <c r="HD144" s="489"/>
      <c r="HE144" s="489"/>
      <c r="HF144" s="489"/>
      <c r="HG144" s="489"/>
      <c r="HH144" s="489"/>
      <c r="HI144" s="489"/>
      <c r="HJ144" s="489"/>
      <c r="HK144" s="489"/>
      <c r="HL144" s="489"/>
      <c r="HM144" s="489"/>
      <c r="HN144" s="489"/>
      <c r="HO144" s="489"/>
      <c r="HP144" s="489"/>
      <c r="HQ144" s="489"/>
      <c r="HR144" s="489"/>
      <c r="HS144" s="489"/>
      <c r="HT144" s="489"/>
      <c r="HU144" s="489"/>
      <c r="HV144" s="489"/>
      <c r="HW144" s="489"/>
      <c r="HX144" s="487"/>
    </row>
    <row r="145" spans="1:232" s="637" customFormat="1" ht="20.100000000000001" customHeight="1">
      <c r="A145" s="885" t="s">
        <v>1027</v>
      </c>
      <c r="B145" s="477" t="s">
        <v>1029</v>
      </c>
      <c r="C145" s="477"/>
      <c r="D145" s="477"/>
      <c r="E145" s="477"/>
      <c r="F145" s="477"/>
      <c r="G145" s="477"/>
      <c r="H145" s="477"/>
      <c r="I145" s="477"/>
      <c r="J145" s="477"/>
      <c r="K145" s="477"/>
      <c r="L145" s="477"/>
      <c r="M145" s="477"/>
      <c r="N145" s="487"/>
      <c r="O145" s="487"/>
      <c r="P145" s="487"/>
      <c r="Q145" s="487"/>
      <c r="R145" s="487"/>
      <c r="S145" s="487"/>
      <c r="T145" s="477"/>
      <c r="U145" s="489"/>
      <c r="V145" s="489"/>
      <c r="W145" s="489"/>
      <c r="X145" s="489"/>
      <c r="Y145" s="489"/>
      <c r="Z145" s="489"/>
      <c r="AA145" s="489"/>
      <c r="AB145" s="489"/>
      <c r="AC145" s="489"/>
      <c r="AD145" s="489"/>
      <c r="AE145" s="489"/>
      <c r="AF145" s="489"/>
      <c r="AG145" s="489"/>
      <c r="AH145" s="489"/>
      <c r="AI145" s="489"/>
      <c r="AJ145" s="489"/>
      <c r="AK145" s="489"/>
      <c r="AL145" s="489"/>
      <c r="AM145" s="489"/>
      <c r="AN145" s="489"/>
      <c r="AO145" s="489"/>
      <c r="AP145" s="489"/>
      <c r="AQ145" s="489"/>
      <c r="AR145" s="489"/>
      <c r="AS145" s="489"/>
      <c r="AT145" s="489"/>
      <c r="AU145" s="489"/>
      <c r="AV145" s="489"/>
      <c r="AW145" s="489"/>
      <c r="AX145" s="489"/>
      <c r="AY145" s="489"/>
      <c r="AZ145" s="489"/>
      <c r="BA145" s="489"/>
      <c r="BB145" s="489"/>
      <c r="BC145" s="489"/>
      <c r="BD145" s="489"/>
      <c r="BE145" s="489"/>
      <c r="BF145" s="489"/>
      <c r="BG145" s="489"/>
      <c r="BH145" s="489"/>
      <c r="BI145" s="489"/>
      <c r="BJ145" s="489"/>
      <c r="BK145" s="489"/>
      <c r="BL145" s="489"/>
      <c r="BM145" s="489"/>
      <c r="BN145" s="489"/>
      <c r="BO145" s="489"/>
      <c r="BP145" s="489"/>
      <c r="BQ145" s="489"/>
      <c r="BR145" s="489"/>
      <c r="BS145" s="489"/>
      <c r="BT145" s="489"/>
      <c r="BU145" s="489"/>
      <c r="BV145" s="489"/>
      <c r="BW145" s="489"/>
      <c r="BX145" s="489"/>
      <c r="BY145" s="489"/>
      <c r="BZ145" s="489"/>
      <c r="CA145" s="489"/>
      <c r="CB145" s="489"/>
      <c r="CC145" s="489"/>
      <c r="CD145" s="489"/>
      <c r="CE145" s="489"/>
      <c r="CF145" s="489"/>
      <c r="CG145" s="489"/>
      <c r="CH145" s="489"/>
      <c r="CI145" s="489"/>
      <c r="CJ145" s="489"/>
      <c r="CK145" s="489"/>
      <c r="CL145" s="489"/>
      <c r="CM145" s="489"/>
      <c r="CN145" s="489"/>
      <c r="CO145" s="489"/>
      <c r="CP145" s="489"/>
      <c r="CQ145" s="489"/>
      <c r="CR145" s="489"/>
      <c r="CS145" s="489"/>
      <c r="CT145" s="489"/>
      <c r="CU145" s="489"/>
      <c r="CV145" s="489"/>
      <c r="CW145" s="489"/>
      <c r="CX145" s="489"/>
      <c r="CY145" s="489"/>
      <c r="CZ145" s="489"/>
      <c r="DA145" s="489"/>
      <c r="DB145" s="489"/>
      <c r="DC145" s="489"/>
      <c r="DD145" s="489"/>
      <c r="DE145" s="489"/>
      <c r="DF145" s="489"/>
      <c r="DG145" s="489"/>
      <c r="DH145" s="489"/>
      <c r="DI145" s="489"/>
      <c r="DJ145" s="489"/>
      <c r="DK145" s="489"/>
      <c r="DL145" s="489"/>
      <c r="DM145" s="489"/>
      <c r="DN145" s="489"/>
      <c r="DO145" s="489"/>
      <c r="DP145" s="489"/>
      <c r="DQ145" s="489"/>
      <c r="DR145" s="489"/>
      <c r="DS145" s="489"/>
      <c r="DT145" s="489"/>
      <c r="DU145" s="489"/>
      <c r="DV145" s="489"/>
      <c r="DW145" s="489"/>
      <c r="DX145" s="489"/>
      <c r="DY145" s="489"/>
      <c r="DZ145" s="489"/>
      <c r="EA145" s="489"/>
      <c r="EB145" s="489"/>
      <c r="EC145" s="489"/>
      <c r="ED145" s="489"/>
      <c r="EE145" s="489"/>
      <c r="EF145" s="489"/>
      <c r="EG145" s="489"/>
      <c r="EH145" s="489"/>
      <c r="EI145" s="489"/>
      <c r="EJ145" s="489"/>
      <c r="EK145" s="489"/>
      <c r="EL145" s="489"/>
      <c r="EM145" s="489"/>
      <c r="EN145" s="489"/>
      <c r="EO145" s="489"/>
      <c r="EP145" s="489"/>
      <c r="EQ145" s="489"/>
      <c r="ER145" s="489"/>
      <c r="ES145" s="489"/>
      <c r="ET145" s="489"/>
      <c r="EU145" s="489"/>
      <c r="EV145" s="489"/>
      <c r="EW145" s="489"/>
      <c r="EX145" s="489"/>
      <c r="EY145" s="489"/>
      <c r="EZ145" s="489"/>
      <c r="FA145" s="489"/>
      <c r="FB145" s="489"/>
      <c r="FC145" s="489"/>
      <c r="FD145" s="489"/>
      <c r="FE145" s="489"/>
      <c r="FF145" s="489"/>
      <c r="FG145" s="489"/>
      <c r="FH145" s="489"/>
      <c r="FI145" s="489"/>
      <c r="FJ145" s="489"/>
      <c r="FK145" s="489"/>
      <c r="FL145" s="489"/>
      <c r="FM145" s="489"/>
      <c r="FN145" s="489"/>
      <c r="FO145" s="489"/>
      <c r="FP145" s="489"/>
      <c r="FQ145" s="489"/>
      <c r="FR145" s="489"/>
      <c r="FS145" s="489"/>
      <c r="FT145" s="489"/>
      <c r="FU145" s="489"/>
      <c r="FV145" s="489"/>
      <c r="FW145" s="489"/>
      <c r="FX145" s="489"/>
      <c r="FY145" s="489"/>
      <c r="FZ145" s="489"/>
      <c r="GA145" s="489"/>
      <c r="GB145" s="489"/>
      <c r="GC145" s="489"/>
      <c r="GD145" s="489"/>
      <c r="GE145" s="489"/>
      <c r="GF145" s="489"/>
      <c r="GG145" s="489"/>
      <c r="GH145" s="489"/>
      <c r="GI145" s="489"/>
      <c r="GJ145" s="489"/>
      <c r="GK145" s="489"/>
      <c r="GL145" s="489"/>
      <c r="GM145" s="489"/>
      <c r="GN145" s="489"/>
      <c r="GO145" s="489"/>
      <c r="GP145" s="489"/>
      <c r="GQ145" s="489"/>
      <c r="GR145" s="489"/>
      <c r="GS145" s="489"/>
      <c r="GT145" s="489"/>
      <c r="GU145" s="489"/>
      <c r="GV145" s="489"/>
      <c r="GW145" s="489"/>
      <c r="GX145" s="489"/>
      <c r="GY145" s="489"/>
      <c r="GZ145" s="489"/>
      <c r="HA145" s="489"/>
      <c r="HB145" s="489"/>
      <c r="HC145" s="489"/>
      <c r="HD145" s="489"/>
      <c r="HE145" s="489"/>
      <c r="HF145" s="489"/>
      <c r="HG145" s="489"/>
      <c r="HH145" s="489"/>
      <c r="HI145" s="489"/>
      <c r="HJ145" s="489"/>
      <c r="HK145" s="489"/>
      <c r="HL145" s="489"/>
      <c r="HM145" s="489"/>
      <c r="HN145" s="489"/>
      <c r="HO145" s="489"/>
      <c r="HP145" s="489"/>
      <c r="HQ145" s="489"/>
      <c r="HR145" s="489"/>
      <c r="HS145" s="489"/>
      <c r="HT145" s="489"/>
      <c r="HU145" s="489"/>
      <c r="HV145" s="489"/>
      <c r="HW145" s="489"/>
      <c r="HX145" s="487"/>
    </row>
    <row r="146" spans="1:232" s="637" customFormat="1" ht="19.5" customHeight="1">
      <c r="A146" s="885" t="s">
        <v>1027</v>
      </c>
      <c r="B146" s="1602" t="s">
        <v>1030</v>
      </c>
      <c r="C146" s="1602"/>
      <c r="D146" s="1602"/>
      <c r="E146" s="1602"/>
      <c r="F146" s="1602"/>
      <c r="G146" s="1602"/>
      <c r="H146" s="1602"/>
      <c r="I146" s="1602"/>
      <c r="J146" s="1602"/>
      <c r="K146" s="491"/>
      <c r="L146" s="477"/>
      <c r="M146" s="477"/>
      <c r="N146" s="492"/>
      <c r="O146" s="492"/>
      <c r="P146" s="492"/>
      <c r="Q146" s="492"/>
      <c r="R146" s="492"/>
      <c r="S146" s="492"/>
      <c r="T146" s="492"/>
      <c r="U146" s="489"/>
      <c r="V146" s="489"/>
      <c r="W146" s="489"/>
      <c r="X146" s="489"/>
      <c r="Y146" s="489"/>
      <c r="Z146" s="489"/>
      <c r="AA146" s="489"/>
      <c r="AB146" s="489"/>
      <c r="AC146" s="489"/>
      <c r="AD146" s="489"/>
      <c r="AE146" s="489"/>
      <c r="AF146" s="489"/>
      <c r="AG146" s="489"/>
      <c r="AH146" s="489"/>
      <c r="AI146" s="489"/>
      <c r="AJ146" s="489"/>
      <c r="AK146" s="489"/>
      <c r="AL146" s="489"/>
      <c r="AM146" s="489"/>
      <c r="AN146" s="489"/>
      <c r="AO146" s="489"/>
      <c r="AP146" s="489"/>
      <c r="AQ146" s="489"/>
      <c r="AR146" s="489"/>
      <c r="AS146" s="489"/>
      <c r="AT146" s="489"/>
      <c r="AU146" s="489"/>
      <c r="AV146" s="489"/>
      <c r="AW146" s="489"/>
      <c r="AX146" s="489"/>
      <c r="AY146" s="489"/>
      <c r="AZ146" s="489"/>
      <c r="BA146" s="489"/>
      <c r="BB146" s="489"/>
      <c r="BC146" s="489"/>
      <c r="BD146" s="489"/>
      <c r="BE146" s="489"/>
      <c r="BF146" s="489"/>
      <c r="BG146" s="489"/>
      <c r="BH146" s="489"/>
      <c r="BI146" s="489"/>
      <c r="BJ146" s="489"/>
      <c r="BK146" s="489"/>
      <c r="BL146" s="489"/>
      <c r="BM146" s="489"/>
      <c r="BN146" s="489"/>
      <c r="BO146" s="489"/>
      <c r="BP146" s="489"/>
      <c r="BQ146" s="489"/>
      <c r="BR146" s="489"/>
      <c r="BS146" s="489"/>
      <c r="BT146" s="489"/>
      <c r="BU146" s="489"/>
      <c r="BV146" s="489"/>
      <c r="BW146" s="489"/>
      <c r="BX146" s="489"/>
      <c r="BY146" s="489"/>
      <c r="BZ146" s="489"/>
      <c r="CA146" s="489"/>
      <c r="CB146" s="489"/>
      <c r="CC146" s="489"/>
      <c r="CD146" s="489"/>
      <c r="CE146" s="489"/>
      <c r="CF146" s="489"/>
      <c r="CG146" s="489"/>
      <c r="CH146" s="489"/>
      <c r="CI146" s="489"/>
      <c r="CJ146" s="489"/>
      <c r="CK146" s="489"/>
      <c r="CL146" s="489"/>
      <c r="CM146" s="489"/>
      <c r="CN146" s="489"/>
      <c r="CO146" s="489"/>
      <c r="CP146" s="489"/>
      <c r="CQ146" s="489"/>
      <c r="CR146" s="489"/>
      <c r="CS146" s="489"/>
      <c r="CT146" s="489"/>
      <c r="CU146" s="489"/>
      <c r="CV146" s="489"/>
      <c r="CW146" s="489"/>
      <c r="CX146" s="489"/>
      <c r="CY146" s="489"/>
      <c r="CZ146" s="489"/>
      <c r="DA146" s="489"/>
      <c r="DB146" s="489"/>
      <c r="DC146" s="489"/>
      <c r="DD146" s="489"/>
      <c r="DE146" s="489"/>
      <c r="DF146" s="489"/>
      <c r="DG146" s="489"/>
      <c r="DH146" s="489"/>
      <c r="DI146" s="489"/>
      <c r="DJ146" s="489"/>
      <c r="DK146" s="489"/>
      <c r="DL146" s="489"/>
      <c r="DM146" s="489"/>
      <c r="DN146" s="489"/>
      <c r="DO146" s="489"/>
      <c r="DP146" s="489"/>
      <c r="DQ146" s="489"/>
      <c r="DR146" s="489"/>
      <c r="DS146" s="489"/>
      <c r="DT146" s="489"/>
      <c r="DU146" s="489"/>
      <c r="DV146" s="489"/>
      <c r="DW146" s="489"/>
      <c r="DX146" s="489"/>
      <c r="DY146" s="489"/>
      <c r="DZ146" s="489"/>
      <c r="EA146" s="489"/>
      <c r="EB146" s="489"/>
      <c r="EC146" s="489"/>
      <c r="ED146" s="489"/>
      <c r="EE146" s="489"/>
      <c r="EF146" s="489"/>
      <c r="EG146" s="489"/>
      <c r="EH146" s="489"/>
      <c r="EI146" s="489"/>
      <c r="EJ146" s="489"/>
      <c r="EK146" s="489"/>
      <c r="EL146" s="489"/>
      <c r="EM146" s="489"/>
      <c r="EN146" s="489"/>
      <c r="EO146" s="489"/>
      <c r="EP146" s="489"/>
      <c r="EQ146" s="489"/>
      <c r="ER146" s="489"/>
      <c r="ES146" s="489"/>
      <c r="ET146" s="489"/>
      <c r="EU146" s="489"/>
      <c r="EV146" s="489"/>
      <c r="EW146" s="489"/>
      <c r="EX146" s="489"/>
      <c r="EY146" s="489"/>
      <c r="EZ146" s="489"/>
      <c r="FA146" s="489"/>
      <c r="FB146" s="489"/>
      <c r="FC146" s="489"/>
      <c r="FD146" s="489"/>
      <c r="FE146" s="489"/>
      <c r="FF146" s="489"/>
      <c r="FG146" s="489"/>
      <c r="FH146" s="489"/>
      <c r="FI146" s="489"/>
      <c r="FJ146" s="489"/>
      <c r="FK146" s="489"/>
      <c r="FL146" s="489"/>
      <c r="FM146" s="489"/>
      <c r="FN146" s="489"/>
      <c r="FO146" s="489"/>
      <c r="FP146" s="489"/>
      <c r="FQ146" s="489"/>
      <c r="FR146" s="489"/>
      <c r="FS146" s="489"/>
      <c r="FT146" s="489"/>
      <c r="FU146" s="489"/>
      <c r="FV146" s="489"/>
      <c r="FW146" s="489"/>
      <c r="FX146" s="489"/>
      <c r="FY146" s="489"/>
      <c r="FZ146" s="489"/>
      <c r="GA146" s="489"/>
      <c r="GB146" s="489"/>
      <c r="GC146" s="489"/>
      <c r="GD146" s="489"/>
      <c r="GE146" s="489"/>
      <c r="GF146" s="489"/>
      <c r="GG146" s="489"/>
      <c r="GH146" s="489"/>
      <c r="GI146" s="489"/>
      <c r="GJ146" s="489"/>
      <c r="GK146" s="489"/>
      <c r="GL146" s="489"/>
      <c r="GM146" s="489"/>
      <c r="GN146" s="489"/>
      <c r="GO146" s="489"/>
      <c r="GP146" s="489"/>
      <c r="GQ146" s="489"/>
      <c r="GR146" s="489"/>
      <c r="GS146" s="489"/>
      <c r="GT146" s="489"/>
      <c r="GU146" s="489"/>
      <c r="GV146" s="489"/>
      <c r="GW146" s="489"/>
      <c r="GX146" s="489"/>
      <c r="GY146" s="489"/>
      <c r="GZ146" s="489"/>
      <c r="HA146" s="489"/>
      <c r="HB146" s="489"/>
      <c r="HC146" s="489"/>
      <c r="HD146" s="489"/>
      <c r="HE146" s="489"/>
      <c r="HF146" s="489"/>
      <c r="HG146" s="489"/>
      <c r="HH146" s="489"/>
      <c r="HI146" s="489"/>
      <c r="HJ146" s="489"/>
      <c r="HK146" s="489"/>
      <c r="HL146" s="489"/>
      <c r="HM146" s="489"/>
      <c r="HN146" s="489"/>
      <c r="HO146" s="489"/>
      <c r="HP146" s="489"/>
      <c r="HQ146" s="489"/>
      <c r="HR146" s="489"/>
      <c r="HS146" s="489"/>
      <c r="HT146" s="489"/>
      <c r="HU146" s="489"/>
      <c r="HV146" s="489"/>
      <c r="HW146" s="489"/>
      <c r="HX146" s="487"/>
    </row>
    <row r="147" spans="1:232" s="637" customFormat="1" ht="19.5" customHeight="1">
      <c r="A147" s="885" t="s">
        <v>1027</v>
      </c>
      <c r="B147" s="1602" t="s">
        <v>1045</v>
      </c>
      <c r="C147" s="1602"/>
      <c r="D147" s="1602"/>
      <c r="E147" s="1602"/>
      <c r="F147" s="1602"/>
      <c r="G147" s="1602"/>
      <c r="H147" s="1602"/>
      <c r="I147" s="1602"/>
      <c r="J147" s="1602"/>
      <c r="K147" s="491"/>
      <c r="L147" s="477"/>
      <c r="M147" s="477"/>
      <c r="N147" s="492"/>
      <c r="O147" s="492"/>
      <c r="P147" s="492"/>
      <c r="Q147" s="492"/>
      <c r="R147" s="492"/>
      <c r="S147" s="492"/>
      <c r="T147" s="492"/>
      <c r="U147" s="489"/>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89"/>
      <c r="BH147" s="489"/>
      <c r="BI147" s="489"/>
      <c r="BJ147" s="489"/>
      <c r="BK147" s="489"/>
      <c r="BL147" s="489"/>
      <c r="BM147" s="489"/>
      <c r="BN147" s="489"/>
      <c r="BO147" s="489"/>
      <c r="BP147" s="489"/>
      <c r="BQ147" s="489"/>
      <c r="BR147" s="489"/>
      <c r="BS147" s="489"/>
      <c r="BT147" s="489"/>
      <c r="BU147" s="489"/>
      <c r="BV147" s="489"/>
      <c r="BW147" s="489"/>
      <c r="BX147" s="489"/>
      <c r="BY147" s="489"/>
      <c r="BZ147" s="489"/>
      <c r="CA147" s="489"/>
      <c r="CB147" s="489"/>
      <c r="CC147" s="489"/>
      <c r="CD147" s="489"/>
      <c r="CE147" s="489"/>
      <c r="CF147" s="489"/>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89"/>
      <c r="DN147" s="489"/>
      <c r="DO147" s="489"/>
      <c r="DP147" s="489"/>
      <c r="DQ147" s="489"/>
      <c r="DR147" s="489"/>
      <c r="DS147" s="489"/>
      <c r="DT147" s="489"/>
      <c r="DU147" s="489"/>
      <c r="DV147" s="489"/>
      <c r="DW147" s="489"/>
      <c r="DX147" s="489"/>
      <c r="DY147" s="489"/>
      <c r="DZ147" s="489"/>
      <c r="EA147" s="489"/>
      <c r="EB147" s="489"/>
      <c r="EC147" s="489"/>
      <c r="ED147" s="489"/>
      <c r="EE147" s="489"/>
      <c r="EF147" s="489"/>
      <c r="EG147" s="489"/>
      <c r="EH147" s="489"/>
      <c r="EI147" s="489"/>
      <c r="EJ147" s="489"/>
      <c r="EK147" s="489"/>
      <c r="EL147" s="489"/>
      <c r="EM147" s="489"/>
      <c r="EN147" s="489"/>
      <c r="EO147" s="489"/>
      <c r="EP147" s="489"/>
      <c r="EQ147" s="489"/>
      <c r="ER147" s="489"/>
      <c r="ES147" s="489"/>
      <c r="ET147" s="489"/>
      <c r="EU147" s="489"/>
      <c r="EV147" s="489"/>
      <c r="EW147" s="489"/>
      <c r="EX147" s="489"/>
      <c r="EY147" s="489"/>
      <c r="EZ147" s="489"/>
      <c r="FA147" s="489"/>
      <c r="FB147" s="489"/>
      <c r="FC147" s="489"/>
      <c r="FD147" s="489"/>
      <c r="FE147" s="489"/>
      <c r="FF147" s="489"/>
      <c r="FG147" s="489"/>
      <c r="FH147" s="489"/>
      <c r="FI147" s="489"/>
      <c r="FJ147" s="489"/>
      <c r="FK147" s="489"/>
      <c r="FL147" s="489"/>
      <c r="FM147" s="489"/>
      <c r="FN147" s="489"/>
      <c r="FO147" s="489"/>
      <c r="FP147" s="489"/>
      <c r="FQ147" s="489"/>
      <c r="FR147" s="489"/>
      <c r="FS147" s="489"/>
      <c r="FT147" s="489"/>
      <c r="FU147" s="489"/>
      <c r="FV147" s="489"/>
      <c r="FW147" s="489"/>
      <c r="FX147" s="489"/>
      <c r="FY147" s="489"/>
      <c r="FZ147" s="489"/>
      <c r="GA147" s="489"/>
      <c r="GB147" s="489"/>
      <c r="GC147" s="489"/>
      <c r="GD147" s="489"/>
      <c r="GE147" s="489"/>
      <c r="GF147" s="489"/>
      <c r="GG147" s="489"/>
      <c r="GH147" s="489"/>
      <c r="GI147" s="489"/>
      <c r="GJ147" s="489"/>
      <c r="GK147" s="489"/>
      <c r="GL147" s="489"/>
      <c r="GM147" s="489"/>
      <c r="GN147" s="489"/>
      <c r="GO147" s="489"/>
      <c r="GP147" s="489"/>
      <c r="GQ147" s="489"/>
      <c r="GR147" s="489"/>
      <c r="GS147" s="489"/>
      <c r="GT147" s="489"/>
      <c r="GU147" s="489"/>
      <c r="GV147" s="489"/>
      <c r="GW147" s="489"/>
      <c r="GX147" s="489"/>
      <c r="GY147" s="489"/>
      <c r="GZ147" s="489"/>
      <c r="HA147" s="489"/>
      <c r="HB147" s="489"/>
      <c r="HC147" s="489"/>
      <c r="HD147" s="489"/>
      <c r="HE147" s="489"/>
      <c r="HF147" s="489"/>
      <c r="HG147" s="489"/>
      <c r="HH147" s="489"/>
      <c r="HI147" s="489"/>
      <c r="HJ147" s="489"/>
      <c r="HK147" s="489"/>
      <c r="HL147" s="489"/>
      <c r="HM147" s="489"/>
      <c r="HN147" s="489"/>
      <c r="HO147" s="489"/>
      <c r="HP147" s="489"/>
      <c r="HQ147" s="489"/>
      <c r="HR147" s="489"/>
      <c r="HS147" s="489"/>
      <c r="HT147" s="489"/>
      <c r="HU147" s="489"/>
      <c r="HV147" s="489"/>
      <c r="HW147" s="489"/>
      <c r="HX147" s="487"/>
    </row>
    <row r="148" spans="1:232" s="637" customFormat="1" ht="19.5" customHeight="1">
      <c r="A148" s="885" t="s">
        <v>1027</v>
      </c>
      <c r="B148" s="917" t="str">
        <f>B35</f>
        <v>TCVN 5308 - 1991: Quy trình kỹ thuật an toàn trong xây dựng.</v>
      </c>
      <c r="C148" s="742"/>
      <c r="D148" s="742"/>
      <c r="E148" s="742"/>
      <c r="F148" s="742"/>
      <c r="G148" s="742"/>
      <c r="H148" s="742"/>
      <c r="I148" s="742"/>
      <c r="J148" s="742"/>
      <c r="K148" s="491"/>
      <c r="L148" s="477"/>
      <c r="M148" s="477"/>
      <c r="N148" s="492"/>
      <c r="O148" s="492"/>
      <c r="P148" s="492"/>
      <c r="Q148" s="492"/>
      <c r="R148" s="492"/>
      <c r="S148" s="492"/>
      <c r="T148" s="492"/>
      <c r="U148" s="489"/>
      <c r="V148" s="489"/>
      <c r="W148" s="489"/>
      <c r="X148" s="489"/>
      <c r="Y148" s="489"/>
      <c r="Z148" s="489"/>
      <c r="AA148" s="489"/>
      <c r="AB148" s="489"/>
      <c r="AC148" s="489"/>
      <c r="AD148" s="489"/>
      <c r="AE148" s="489"/>
      <c r="AF148" s="489"/>
      <c r="AG148" s="489"/>
      <c r="AH148" s="489"/>
      <c r="AI148" s="489"/>
      <c r="AJ148" s="489"/>
      <c r="AK148" s="489"/>
      <c r="AL148" s="489"/>
      <c r="AM148" s="489"/>
      <c r="AN148" s="489"/>
      <c r="AO148" s="489"/>
      <c r="AP148" s="489"/>
      <c r="AQ148" s="489"/>
      <c r="AR148" s="489"/>
      <c r="AS148" s="489"/>
      <c r="AT148" s="489"/>
      <c r="AU148" s="489"/>
      <c r="AV148" s="489"/>
      <c r="AW148" s="489"/>
      <c r="AX148" s="489"/>
      <c r="AY148" s="489"/>
      <c r="AZ148" s="489"/>
      <c r="BA148" s="489"/>
      <c r="BB148" s="489"/>
      <c r="BC148" s="489"/>
      <c r="BD148" s="489"/>
      <c r="BE148" s="489"/>
      <c r="BF148" s="489"/>
      <c r="BG148" s="489"/>
      <c r="BH148" s="489"/>
      <c r="BI148" s="489"/>
      <c r="BJ148" s="489"/>
      <c r="BK148" s="489"/>
      <c r="BL148" s="489"/>
      <c r="BM148" s="489"/>
      <c r="BN148" s="489"/>
      <c r="BO148" s="489"/>
      <c r="BP148" s="489"/>
      <c r="BQ148" s="489"/>
      <c r="BR148" s="489"/>
      <c r="BS148" s="489"/>
      <c r="BT148" s="489"/>
      <c r="BU148" s="489"/>
      <c r="BV148" s="489"/>
      <c r="BW148" s="489"/>
      <c r="BX148" s="489"/>
      <c r="BY148" s="489"/>
      <c r="BZ148" s="489"/>
      <c r="CA148" s="489"/>
      <c r="CB148" s="489"/>
      <c r="CC148" s="489"/>
      <c r="CD148" s="489"/>
      <c r="CE148" s="489"/>
      <c r="CF148" s="489"/>
      <c r="CG148" s="489"/>
      <c r="CH148" s="489"/>
      <c r="CI148" s="489"/>
      <c r="CJ148" s="489"/>
      <c r="CK148" s="489"/>
      <c r="CL148" s="489"/>
      <c r="CM148" s="489"/>
      <c r="CN148" s="489"/>
      <c r="CO148" s="489"/>
      <c r="CP148" s="489"/>
      <c r="CQ148" s="489"/>
      <c r="CR148" s="489"/>
      <c r="CS148" s="489"/>
      <c r="CT148" s="489"/>
      <c r="CU148" s="489"/>
      <c r="CV148" s="489"/>
      <c r="CW148" s="489"/>
      <c r="CX148" s="489"/>
      <c r="CY148" s="489"/>
      <c r="CZ148" s="489"/>
      <c r="DA148" s="489"/>
      <c r="DB148" s="489"/>
      <c r="DC148" s="489"/>
      <c r="DD148" s="489"/>
      <c r="DE148" s="489"/>
      <c r="DF148" s="489"/>
      <c r="DG148" s="489"/>
      <c r="DH148" s="489"/>
      <c r="DI148" s="489"/>
      <c r="DJ148" s="489"/>
      <c r="DK148" s="489"/>
      <c r="DL148" s="489"/>
      <c r="DM148" s="489"/>
      <c r="DN148" s="489"/>
      <c r="DO148" s="489"/>
      <c r="DP148" s="489"/>
      <c r="DQ148" s="489"/>
      <c r="DR148" s="489"/>
      <c r="DS148" s="489"/>
      <c r="DT148" s="489"/>
      <c r="DU148" s="489"/>
      <c r="DV148" s="489"/>
      <c r="DW148" s="489"/>
      <c r="DX148" s="489"/>
      <c r="DY148" s="489"/>
      <c r="DZ148" s="489"/>
      <c r="EA148" s="489"/>
      <c r="EB148" s="489"/>
      <c r="EC148" s="489"/>
      <c r="ED148" s="489"/>
      <c r="EE148" s="489"/>
      <c r="EF148" s="489"/>
      <c r="EG148" s="489"/>
      <c r="EH148" s="489"/>
      <c r="EI148" s="489"/>
      <c r="EJ148" s="489"/>
      <c r="EK148" s="489"/>
      <c r="EL148" s="489"/>
      <c r="EM148" s="489"/>
      <c r="EN148" s="489"/>
      <c r="EO148" s="489"/>
      <c r="EP148" s="489"/>
      <c r="EQ148" s="489"/>
      <c r="ER148" s="489"/>
      <c r="ES148" s="489"/>
      <c r="ET148" s="489"/>
      <c r="EU148" s="489"/>
      <c r="EV148" s="489"/>
      <c r="EW148" s="489"/>
      <c r="EX148" s="489"/>
      <c r="EY148" s="489"/>
      <c r="EZ148" s="489"/>
      <c r="FA148" s="489"/>
      <c r="FB148" s="489"/>
      <c r="FC148" s="489"/>
      <c r="FD148" s="489"/>
      <c r="FE148" s="489"/>
      <c r="FF148" s="489"/>
      <c r="FG148" s="489"/>
      <c r="FH148" s="489"/>
      <c r="FI148" s="489"/>
      <c r="FJ148" s="489"/>
      <c r="FK148" s="489"/>
      <c r="FL148" s="489"/>
      <c r="FM148" s="489"/>
      <c r="FN148" s="489"/>
      <c r="FO148" s="489"/>
      <c r="FP148" s="489"/>
      <c r="FQ148" s="489"/>
      <c r="FR148" s="489"/>
      <c r="FS148" s="489"/>
      <c r="FT148" s="489"/>
      <c r="FU148" s="489"/>
      <c r="FV148" s="489"/>
      <c r="FW148" s="489"/>
      <c r="FX148" s="489"/>
      <c r="FY148" s="489"/>
      <c r="FZ148" s="489"/>
      <c r="GA148" s="489"/>
      <c r="GB148" s="489"/>
      <c r="GC148" s="489"/>
      <c r="GD148" s="489"/>
      <c r="GE148" s="489"/>
      <c r="GF148" s="489"/>
      <c r="GG148" s="489"/>
      <c r="GH148" s="489"/>
      <c r="GI148" s="489"/>
      <c r="GJ148" s="489"/>
      <c r="GK148" s="489"/>
      <c r="GL148" s="489"/>
      <c r="GM148" s="489"/>
      <c r="GN148" s="489"/>
      <c r="GO148" s="489"/>
      <c r="GP148" s="489"/>
      <c r="GQ148" s="489"/>
      <c r="GR148" s="489"/>
      <c r="GS148" s="489"/>
      <c r="GT148" s="489"/>
      <c r="GU148" s="489"/>
      <c r="GV148" s="489"/>
      <c r="GW148" s="489"/>
      <c r="GX148" s="489"/>
      <c r="GY148" s="489"/>
      <c r="GZ148" s="489"/>
      <c r="HA148" s="489"/>
      <c r="HB148" s="489"/>
      <c r="HC148" s="489"/>
      <c r="HD148" s="489"/>
      <c r="HE148" s="489"/>
      <c r="HF148" s="489"/>
      <c r="HG148" s="489"/>
      <c r="HH148" s="489"/>
      <c r="HI148" s="489"/>
      <c r="HJ148" s="489"/>
      <c r="HK148" s="489"/>
      <c r="HL148" s="489"/>
      <c r="HM148" s="489"/>
      <c r="HN148" s="489"/>
      <c r="HO148" s="489"/>
      <c r="HP148" s="489"/>
      <c r="HQ148" s="489"/>
      <c r="HR148" s="489"/>
      <c r="HS148" s="489"/>
      <c r="HT148" s="489"/>
      <c r="HU148" s="489"/>
      <c r="HV148" s="489"/>
      <c r="HW148" s="489"/>
      <c r="HX148" s="487"/>
    </row>
    <row r="149" spans="1:232" s="637" customFormat="1" ht="20.100000000000001" customHeight="1">
      <c r="A149" s="886" t="s">
        <v>1031</v>
      </c>
      <c r="C149" s="491"/>
      <c r="D149" s="491"/>
      <c r="E149" s="491"/>
      <c r="F149" s="491"/>
      <c r="G149" s="491"/>
      <c r="H149" s="491"/>
      <c r="I149" s="491"/>
      <c r="J149" s="491"/>
      <c r="K149" s="491"/>
      <c r="L149" s="477"/>
      <c r="M149" s="477"/>
      <c r="N149" s="477"/>
      <c r="O149" s="477"/>
      <c r="P149" s="477"/>
      <c r="Q149" s="477"/>
      <c r="R149" s="477"/>
      <c r="S149" s="477"/>
      <c r="T149" s="492"/>
      <c r="U149" s="489"/>
      <c r="V149" s="489"/>
      <c r="W149" s="489"/>
      <c r="X149" s="489"/>
      <c r="Y149" s="489"/>
      <c r="Z149" s="489"/>
      <c r="AA149" s="489"/>
      <c r="AB149" s="489"/>
      <c r="AC149" s="489"/>
      <c r="AD149" s="489"/>
      <c r="AE149" s="489"/>
      <c r="AF149" s="489"/>
      <c r="AG149" s="489"/>
      <c r="AH149" s="489"/>
      <c r="AI149" s="489"/>
      <c r="AJ149" s="489"/>
      <c r="AK149" s="489"/>
      <c r="AL149" s="489"/>
      <c r="AM149" s="489"/>
      <c r="AN149" s="489"/>
      <c r="AO149" s="489"/>
      <c r="AP149" s="489"/>
      <c r="AQ149" s="489"/>
      <c r="AR149" s="489"/>
      <c r="AS149" s="489"/>
      <c r="AT149" s="489"/>
      <c r="AU149" s="489"/>
      <c r="AV149" s="489"/>
      <c r="AW149" s="489"/>
      <c r="AX149" s="489"/>
      <c r="AY149" s="489"/>
      <c r="AZ149" s="489"/>
      <c r="BA149" s="489"/>
      <c r="BB149" s="489"/>
      <c r="BC149" s="489"/>
      <c r="BD149" s="489"/>
      <c r="BE149" s="489"/>
      <c r="BF149" s="489"/>
      <c r="BG149" s="489"/>
      <c r="BH149" s="489"/>
      <c r="BI149" s="489"/>
      <c r="BJ149" s="489"/>
      <c r="BK149" s="489"/>
      <c r="BL149" s="489"/>
      <c r="BM149" s="489"/>
      <c r="BN149" s="489"/>
      <c r="BO149" s="489"/>
      <c r="BP149" s="489"/>
      <c r="BQ149" s="489"/>
      <c r="BR149" s="489"/>
      <c r="BS149" s="489"/>
      <c r="BT149" s="489"/>
      <c r="BU149" s="489"/>
      <c r="BV149" s="489"/>
      <c r="BW149" s="489"/>
      <c r="BX149" s="489"/>
      <c r="BY149" s="489"/>
      <c r="BZ149" s="489"/>
      <c r="CA149" s="489"/>
      <c r="CB149" s="489"/>
      <c r="CC149" s="489"/>
      <c r="CD149" s="489"/>
      <c r="CE149" s="489"/>
      <c r="CF149" s="489"/>
      <c r="CG149" s="489"/>
      <c r="CH149" s="489"/>
      <c r="CI149" s="489"/>
      <c r="CJ149" s="489"/>
      <c r="CK149" s="489"/>
      <c r="CL149" s="489"/>
      <c r="CM149" s="489"/>
      <c r="CN149" s="489"/>
      <c r="CO149" s="489"/>
      <c r="CP149" s="489"/>
      <c r="CQ149" s="489"/>
      <c r="CR149" s="489"/>
      <c r="CS149" s="489"/>
      <c r="CT149" s="489"/>
      <c r="CU149" s="489"/>
      <c r="CV149" s="489"/>
      <c r="CW149" s="489"/>
      <c r="CX149" s="489"/>
      <c r="CY149" s="489"/>
      <c r="CZ149" s="489"/>
      <c r="DA149" s="489"/>
      <c r="DB149" s="489"/>
      <c r="DC149" s="489"/>
      <c r="DD149" s="489"/>
      <c r="DE149" s="489"/>
      <c r="DF149" s="489"/>
      <c r="DG149" s="489"/>
      <c r="DH149" s="489"/>
      <c r="DI149" s="489"/>
      <c r="DJ149" s="489"/>
      <c r="DK149" s="489"/>
      <c r="DL149" s="489"/>
      <c r="DM149" s="489"/>
      <c r="DN149" s="489"/>
      <c r="DO149" s="489"/>
      <c r="DP149" s="489"/>
      <c r="DQ149" s="489"/>
      <c r="DR149" s="489"/>
      <c r="DS149" s="489"/>
      <c r="DT149" s="489"/>
      <c r="DU149" s="489"/>
      <c r="DV149" s="489"/>
      <c r="DW149" s="489"/>
      <c r="DX149" s="489"/>
      <c r="DY149" s="489"/>
      <c r="DZ149" s="489"/>
      <c r="EA149" s="489"/>
      <c r="EB149" s="489"/>
      <c r="EC149" s="489"/>
      <c r="ED149" s="489"/>
      <c r="EE149" s="489"/>
      <c r="EF149" s="489"/>
      <c r="EG149" s="489"/>
      <c r="EH149" s="489"/>
      <c r="EI149" s="489"/>
      <c r="EJ149" s="489"/>
      <c r="EK149" s="489"/>
      <c r="EL149" s="489"/>
      <c r="EM149" s="489"/>
      <c r="EN149" s="489"/>
      <c r="EO149" s="489"/>
      <c r="EP149" s="489"/>
      <c r="EQ149" s="489"/>
      <c r="ER149" s="489"/>
      <c r="ES149" s="489"/>
      <c r="ET149" s="489"/>
      <c r="EU149" s="489"/>
      <c r="EV149" s="489"/>
      <c r="EW149" s="489"/>
      <c r="EX149" s="489"/>
      <c r="EY149" s="489"/>
      <c r="EZ149" s="489"/>
      <c r="FA149" s="489"/>
      <c r="FB149" s="489"/>
      <c r="FC149" s="489"/>
      <c r="FD149" s="489"/>
      <c r="FE149" s="489"/>
      <c r="FF149" s="489"/>
      <c r="FG149" s="489"/>
      <c r="FH149" s="489"/>
      <c r="FI149" s="489"/>
      <c r="FJ149" s="489"/>
      <c r="FK149" s="489"/>
      <c r="FL149" s="489"/>
      <c r="FM149" s="489"/>
      <c r="FN149" s="489"/>
      <c r="FO149" s="489"/>
      <c r="FP149" s="489"/>
      <c r="FQ149" s="489"/>
      <c r="FR149" s="489"/>
      <c r="FS149" s="489"/>
      <c r="FT149" s="489"/>
      <c r="FU149" s="489"/>
      <c r="FV149" s="489"/>
      <c r="FW149" s="489"/>
      <c r="FX149" s="489"/>
      <c r="FY149" s="489"/>
      <c r="FZ149" s="489"/>
      <c r="GA149" s="489"/>
      <c r="GB149" s="489"/>
      <c r="GC149" s="489"/>
      <c r="GD149" s="489"/>
      <c r="GE149" s="489"/>
      <c r="GF149" s="489"/>
      <c r="GG149" s="489"/>
      <c r="GH149" s="489"/>
      <c r="GI149" s="489"/>
      <c r="GJ149" s="489"/>
      <c r="GK149" s="489"/>
      <c r="GL149" s="489"/>
      <c r="GM149" s="489"/>
      <c r="GN149" s="489"/>
      <c r="GO149" s="489"/>
      <c r="GP149" s="489"/>
      <c r="GQ149" s="489"/>
      <c r="GR149" s="489"/>
      <c r="GS149" s="489"/>
      <c r="GT149" s="489"/>
      <c r="GU149" s="489"/>
      <c r="GV149" s="489"/>
      <c r="GW149" s="489"/>
      <c r="GX149" s="489"/>
      <c r="GY149" s="489"/>
      <c r="GZ149" s="489"/>
      <c r="HA149" s="489"/>
      <c r="HB149" s="489"/>
      <c r="HC149" s="489"/>
      <c r="HD149" s="489"/>
      <c r="HE149" s="489"/>
      <c r="HF149" s="489"/>
      <c r="HG149" s="489"/>
      <c r="HH149" s="489"/>
      <c r="HI149" s="489"/>
      <c r="HJ149" s="489"/>
      <c r="HK149" s="489"/>
      <c r="HL149" s="489"/>
      <c r="HM149" s="489"/>
      <c r="HN149" s="489"/>
      <c r="HO149" s="489"/>
      <c r="HP149" s="489"/>
      <c r="HQ149" s="489"/>
      <c r="HR149" s="489"/>
      <c r="HS149" s="489"/>
      <c r="HT149" s="489"/>
      <c r="HU149" s="489"/>
      <c r="HV149" s="489"/>
      <c r="HW149" s="489"/>
      <c r="HX149" s="487"/>
    </row>
    <row r="150" spans="1:232" s="637" customFormat="1" ht="20.100000000000001" customHeight="1">
      <c r="A150" s="890" t="s">
        <v>1037</v>
      </c>
      <c r="B150" s="491"/>
      <c r="C150" s="491"/>
      <c r="D150" s="491"/>
      <c r="E150" s="491"/>
      <c r="F150" s="491"/>
      <c r="G150" s="491"/>
      <c r="H150" s="491"/>
      <c r="I150" s="491"/>
      <c r="J150" s="491"/>
      <c r="K150" s="491"/>
      <c r="L150" s="477"/>
      <c r="M150" s="477"/>
      <c r="N150" s="477"/>
      <c r="O150" s="477"/>
      <c r="P150" s="477"/>
      <c r="Q150" s="477"/>
      <c r="R150" s="477"/>
      <c r="S150" s="477"/>
      <c r="T150" s="492"/>
      <c r="U150" s="489"/>
      <c r="V150" s="489"/>
      <c r="W150" s="489"/>
      <c r="X150" s="489"/>
      <c r="Y150" s="489"/>
      <c r="Z150" s="489"/>
      <c r="AA150" s="489"/>
      <c r="AB150" s="489"/>
      <c r="AC150" s="489"/>
      <c r="AD150" s="489"/>
      <c r="AE150" s="489"/>
      <c r="AF150" s="489"/>
      <c r="AG150" s="489"/>
      <c r="AH150" s="489"/>
      <c r="AI150" s="489"/>
      <c r="AJ150" s="489"/>
      <c r="AK150" s="489"/>
      <c r="AL150" s="489"/>
      <c r="AM150" s="489"/>
      <c r="AN150" s="489"/>
      <c r="AO150" s="489"/>
      <c r="AP150" s="489"/>
      <c r="AQ150" s="489"/>
      <c r="AR150" s="489"/>
      <c r="AS150" s="489"/>
      <c r="AT150" s="489"/>
      <c r="AU150" s="489"/>
      <c r="AV150" s="489"/>
      <c r="AW150" s="489"/>
      <c r="AX150" s="489"/>
      <c r="AY150" s="489"/>
      <c r="AZ150" s="489"/>
      <c r="BA150" s="489"/>
      <c r="BB150" s="489"/>
      <c r="BC150" s="489"/>
      <c r="BD150" s="489"/>
      <c r="BE150" s="489"/>
      <c r="BF150" s="489"/>
      <c r="BG150" s="489"/>
      <c r="BH150" s="489"/>
      <c r="BI150" s="489"/>
      <c r="BJ150" s="489"/>
      <c r="BK150" s="489"/>
      <c r="BL150" s="489"/>
      <c r="BM150" s="489"/>
      <c r="BN150" s="489"/>
      <c r="BO150" s="489"/>
      <c r="BP150" s="489"/>
      <c r="BQ150" s="489"/>
      <c r="BR150" s="489"/>
      <c r="BS150" s="489"/>
      <c r="BT150" s="489"/>
      <c r="BU150" s="489"/>
      <c r="BV150" s="489"/>
      <c r="BW150" s="489"/>
      <c r="BX150" s="489"/>
      <c r="BY150" s="489"/>
      <c r="BZ150" s="489"/>
      <c r="CA150" s="489"/>
      <c r="CB150" s="489"/>
      <c r="CC150" s="489"/>
      <c r="CD150" s="489"/>
      <c r="CE150" s="489"/>
      <c r="CF150" s="489"/>
      <c r="CG150" s="489"/>
      <c r="CH150" s="489"/>
      <c r="CI150" s="489"/>
      <c r="CJ150" s="489"/>
      <c r="CK150" s="489"/>
      <c r="CL150" s="489"/>
      <c r="CM150" s="489"/>
      <c r="CN150" s="489"/>
      <c r="CO150" s="489"/>
      <c r="CP150" s="489"/>
      <c r="CQ150" s="489"/>
      <c r="CR150" s="489"/>
      <c r="CS150" s="489"/>
      <c r="CT150" s="489"/>
      <c r="CU150" s="489"/>
      <c r="CV150" s="489"/>
      <c r="CW150" s="489"/>
      <c r="CX150" s="489"/>
      <c r="CY150" s="489"/>
      <c r="CZ150" s="489"/>
      <c r="DA150" s="489"/>
      <c r="DB150" s="489"/>
      <c r="DC150" s="489"/>
      <c r="DD150" s="489"/>
      <c r="DE150" s="489"/>
      <c r="DF150" s="489"/>
      <c r="DG150" s="489"/>
      <c r="DH150" s="489"/>
      <c r="DI150" s="489"/>
      <c r="DJ150" s="489"/>
      <c r="DK150" s="489"/>
      <c r="DL150" s="489"/>
      <c r="DM150" s="489"/>
      <c r="DN150" s="489"/>
      <c r="DO150" s="489"/>
      <c r="DP150" s="489"/>
      <c r="DQ150" s="489"/>
      <c r="DR150" s="489"/>
      <c r="DS150" s="489"/>
      <c r="DT150" s="489"/>
      <c r="DU150" s="489"/>
      <c r="DV150" s="489"/>
      <c r="DW150" s="489"/>
      <c r="DX150" s="489"/>
      <c r="DY150" s="489"/>
      <c r="DZ150" s="489"/>
      <c r="EA150" s="489"/>
      <c r="EB150" s="489"/>
      <c r="EC150" s="489"/>
      <c r="ED150" s="489"/>
      <c r="EE150" s="489"/>
      <c r="EF150" s="489"/>
      <c r="EG150" s="489"/>
      <c r="EH150" s="489"/>
      <c r="EI150" s="489"/>
      <c r="EJ150" s="489"/>
      <c r="EK150" s="489"/>
      <c r="EL150" s="489"/>
      <c r="EM150" s="489"/>
      <c r="EN150" s="489"/>
      <c r="EO150" s="489"/>
      <c r="EP150" s="489"/>
      <c r="EQ150" s="489"/>
      <c r="ER150" s="489"/>
      <c r="ES150" s="489"/>
      <c r="ET150" s="489"/>
      <c r="EU150" s="489"/>
      <c r="EV150" s="489"/>
      <c r="EW150" s="489"/>
      <c r="EX150" s="489"/>
      <c r="EY150" s="489"/>
      <c r="EZ150" s="489"/>
      <c r="FA150" s="489"/>
      <c r="FB150" s="489"/>
      <c r="FC150" s="489"/>
      <c r="FD150" s="489"/>
      <c r="FE150" s="489"/>
      <c r="FF150" s="489"/>
      <c r="FG150" s="489"/>
      <c r="FH150" s="489"/>
      <c r="FI150" s="489"/>
      <c r="FJ150" s="489"/>
      <c r="FK150" s="489"/>
      <c r="FL150" s="489"/>
      <c r="FM150" s="489"/>
      <c r="FN150" s="489"/>
      <c r="FO150" s="489"/>
      <c r="FP150" s="489"/>
      <c r="FQ150" s="489"/>
      <c r="FR150" s="489"/>
      <c r="FS150" s="489"/>
      <c r="FT150" s="489"/>
      <c r="FU150" s="489"/>
      <c r="FV150" s="489"/>
      <c r="FW150" s="489"/>
      <c r="FX150" s="489"/>
      <c r="FY150" s="489"/>
      <c r="FZ150" s="489"/>
      <c r="GA150" s="489"/>
      <c r="GB150" s="489"/>
      <c r="GC150" s="489"/>
      <c r="GD150" s="489"/>
      <c r="GE150" s="489"/>
      <c r="GF150" s="489"/>
      <c r="GG150" s="489"/>
      <c r="GH150" s="489"/>
      <c r="GI150" s="489"/>
      <c r="GJ150" s="489"/>
      <c r="GK150" s="489"/>
      <c r="GL150" s="489"/>
      <c r="GM150" s="489"/>
      <c r="GN150" s="489"/>
      <c r="GO150" s="489"/>
      <c r="GP150" s="489"/>
      <c r="GQ150" s="489"/>
      <c r="GR150" s="489"/>
      <c r="GS150" s="489"/>
      <c r="GT150" s="489"/>
      <c r="GU150" s="489"/>
      <c r="GV150" s="489"/>
      <c r="GW150" s="489"/>
      <c r="GX150" s="489"/>
      <c r="GY150" s="489"/>
      <c r="GZ150" s="489"/>
      <c r="HA150" s="489"/>
      <c r="HB150" s="489"/>
      <c r="HC150" s="489"/>
      <c r="HD150" s="489"/>
      <c r="HE150" s="489"/>
      <c r="HF150" s="489"/>
      <c r="HG150" s="489"/>
      <c r="HH150" s="489"/>
      <c r="HI150" s="489"/>
      <c r="HJ150" s="489"/>
      <c r="HK150" s="489"/>
      <c r="HL150" s="489"/>
      <c r="HM150" s="489"/>
      <c r="HN150" s="489"/>
      <c r="HO150" s="489"/>
      <c r="HP150" s="489"/>
      <c r="HQ150" s="489"/>
      <c r="HR150" s="489"/>
      <c r="HS150" s="489"/>
      <c r="HT150" s="489"/>
      <c r="HU150" s="489"/>
      <c r="HV150" s="489"/>
      <c r="HW150" s="489"/>
      <c r="HX150" s="487"/>
    </row>
    <row r="151" spans="1:232" s="45" customFormat="1" ht="20.100000000000001" customHeight="1">
      <c r="A151" s="493" t="s">
        <v>1040</v>
      </c>
      <c r="B151" s="489"/>
      <c r="C151" s="489"/>
      <c r="D151" s="489"/>
      <c r="E151" s="489"/>
      <c r="F151" s="489"/>
      <c r="G151" s="489"/>
      <c r="H151" s="489"/>
      <c r="I151" s="489"/>
      <c r="J151" s="489"/>
      <c r="K151" s="489"/>
      <c r="L151" s="494"/>
      <c r="M151" s="494"/>
      <c r="N151" s="492"/>
      <c r="O151" s="492"/>
      <c r="P151" s="492"/>
      <c r="Q151" s="492"/>
      <c r="R151" s="492"/>
      <c r="S151" s="492"/>
      <c r="T151" s="495"/>
      <c r="U151" s="496"/>
      <c r="V151" s="496"/>
      <c r="W151" s="496"/>
      <c r="X151" s="496"/>
      <c r="Y151" s="496"/>
      <c r="Z151" s="496"/>
      <c r="AA151" s="496"/>
      <c r="AB151" s="496"/>
      <c r="AC151" s="496"/>
      <c r="AD151" s="496"/>
      <c r="AE151" s="496"/>
      <c r="AF151" s="496"/>
      <c r="AG151" s="496"/>
      <c r="AH151" s="496"/>
      <c r="AI151" s="496"/>
      <c r="AJ151" s="496"/>
      <c r="AK151" s="496"/>
      <c r="AL151" s="496"/>
      <c r="AM151" s="496"/>
      <c r="AN151" s="496"/>
      <c r="AO151" s="496"/>
      <c r="AP151" s="496"/>
      <c r="AQ151" s="496"/>
      <c r="AR151" s="496"/>
      <c r="AS151" s="496"/>
      <c r="AT151" s="496"/>
      <c r="AU151" s="496"/>
      <c r="AV151" s="496"/>
      <c r="AW151" s="496"/>
      <c r="AX151" s="496"/>
      <c r="AY151" s="496"/>
      <c r="AZ151" s="496"/>
      <c r="BA151" s="496"/>
      <c r="BB151" s="496"/>
      <c r="BC151" s="496"/>
      <c r="BD151" s="496"/>
      <c r="BE151" s="496"/>
      <c r="BF151" s="496"/>
      <c r="BG151" s="496"/>
      <c r="BH151" s="496"/>
      <c r="BI151" s="496"/>
      <c r="BJ151" s="496"/>
      <c r="BK151" s="496"/>
      <c r="BL151" s="496"/>
      <c r="BM151" s="496"/>
      <c r="BN151" s="496"/>
      <c r="BO151" s="496"/>
      <c r="BP151" s="496"/>
      <c r="BQ151" s="496"/>
      <c r="BR151" s="496"/>
      <c r="BS151" s="496"/>
      <c r="BT151" s="496"/>
      <c r="BU151" s="496"/>
      <c r="BV151" s="496"/>
      <c r="BW151" s="496"/>
      <c r="BX151" s="496"/>
      <c r="BY151" s="496"/>
      <c r="BZ151" s="496"/>
      <c r="CA151" s="496"/>
      <c r="CB151" s="496"/>
      <c r="CC151" s="496"/>
      <c r="CD151" s="496"/>
      <c r="CE151" s="496"/>
      <c r="CF151" s="496"/>
      <c r="CG151" s="496"/>
      <c r="CH151" s="496"/>
      <c r="CI151" s="496"/>
      <c r="CJ151" s="496"/>
      <c r="CK151" s="496"/>
      <c r="CL151" s="496"/>
      <c r="CM151" s="496"/>
      <c r="CN151" s="496"/>
      <c r="CO151" s="496"/>
      <c r="CP151" s="496"/>
      <c r="CQ151" s="496"/>
      <c r="CR151" s="496"/>
      <c r="CS151" s="496"/>
      <c r="CT151" s="496"/>
      <c r="CU151" s="496"/>
      <c r="CV151" s="496"/>
      <c r="CW151" s="496"/>
      <c r="CX151" s="496"/>
      <c r="CY151" s="496"/>
      <c r="CZ151" s="496"/>
      <c r="DA151" s="496"/>
      <c r="DB151" s="496"/>
      <c r="DC151" s="496"/>
      <c r="DD151" s="496"/>
      <c r="DE151" s="496"/>
      <c r="DF151" s="496"/>
      <c r="DG151" s="496"/>
      <c r="DH151" s="496"/>
      <c r="DI151" s="496"/>
      <c r="DJ151" s="496"/>
      <c r="DK151" s="496"/>
      <c r="DL151" s="496"/>
      <c r="DM151" s="496"/>
      <c r="DN151" s="496"/>
      <c r="DO151" s="496"/>
      <c r="DP151" s="496"/>
      <c r="DQ151" s="496"/>
      <c r="DR151" s="496"/>
      <c r="DS151" s="496"/>
      <c r="DT151" s="496"/>
      <c r="DU151" s="496"/>
      <c r="DV151" s="496"/>
      <c r="DW151" s="496"/>
      <c r="DX151" s="496"/>
      <c r="DY151" s="496"/>
      <c r="DZ151" s="496"/>
      <c r="EA151" s="496"/>
      <c r="EB151" s="496"/>
      <c r="EC151" s="496"/>
      <c r="ED151" s="496"/>
      <c r="EE151" s="496"/>
      <c r="EF151" s="496"/>
      <c r="EG151" s="496"/>
      <c r="EH151" s="496"/>
      <c r="EI151" s="496"/>
      <c r="EJ151" s="496"/>
      <c r="EK151" s="496"/>
      <c r="EL151" s="496"/>
      <c r="EM151" s="496"/>
      <c r="EN151" s="496"/>
      <c r="EO151" s="496"/>
      <c r="EP151" s="496"/>
      <c r="EQ151" s="496"/>
      <c r="ER151" s="496"/>
      <c r="ES151" s="496"/>
      <c r="ET151" s="496"/>
      <c r="EU151" s="496"/>
      <c r="EV151" s="496"/>
      <c r="EW151" s="496"/>
      <c r="EX151" s="496"/>
      <c r="EY151" s="496"/>
      <c r="EZ151" s="496"/>
      <c r="FA151" s="496"/>
      <c r="FB151" s="496"/>
      <c r="FC151" s="496"/>
      <c r="FD151" s="496"/>
      <c r="FE151" s="496"/>
      <c r="FF151" s="496"/>
      <c r="FG151" s="496"/>
      <c r="FH151" s="496"/>
      <c r="FI151" s="496"/>
      <c r="FJ151" s="496"/>
      <c r="FK151" s="496"/>
      <c r="FL151" s="496"/>
      <c r="FM151" s="496"/>
      <c r="FN151" s="496"/>
      <c r="FO151" s="496"/>
      <c r="FP151" s="496"/>
      <c r="FQ151" s="496"/>
      <c r="FR151" s="496"/>
      <c r="FS151" s="496"/>
      <c r="FT151" s="496"/>
      <c r="FU151" s="496"/>
      <c r="FV151" s="496"/>
      <c r="FW151" s="496"/>
      <c r="FX151" s="496"/>
      <c r="FY151" s="496"/>
      <c r="FZ151" s="496"/>
      <c r="GA151" s="496"/>
      <c r="GB151" s="496"/>
      <c r="GC151" s="496"/>
      <c r="GD151" s="496"/>
      <c r="GE151" s="496"/>
      <c r="GF151" s="496"/>
      <c r="GG151" s="496"/>
      <c r="GH151" s="496"/>
      <c r="GI151" s="496"/>
      <c r="GJ151" s="496"/>
      <c r="GK151" s="496"/>
      <c r="GL151" s="496"/>
      <c r="GM151" s="496"/>
      <c r="GN151" s="496"/>
      <c r="GO151" s="496"/>
      <c r="GP151" s="496"/>
      <c r="GQ151" s="496"/>
      <c r="GR151" s="496"/>
      <c r="GS151" s="496"/>
      <c r="GT151" s="496"/>
      <c r="GU151" s="496"/>
      <c r="GV151" s="496"/>
      <c r="GW151" s="496"/>
      <c r="GX151" s="496"/>
      <c r="GY151" s="496"/>
      <c r="GZ151" s="496"/>
      <c r="HA151" s="496"/>
      <c r="HB151" s="496"/>
      <c r="HC151" s="496"/>
      <c r="HD151" s="496"/>
      <c r="HE151" s="496"/>
      <c r="HF151" s="496"/>
      <c r="HG151" s="496"/>
      <c r="HH151" s="496"/>
      <c r="HI151" s="496"/>
      <c r="HJ151" s="496"/>
      <c r="HK151" s="496"/>
      <c r="HL151" s="496"/>
      <c r="HM151" s="496"/>
      <c r="HN151" s="496"/>
      <c r="HO151" s="496"/>
      <c r="HP151" s="496"/>
      <c r="HQ151" s="496"/>
      <c r="HR151" s="496"/>
      <c r="HS151" s="496"/>
      <c r="HT151" s="496"/>
      <c r="HU151" s="496"/>
      <c r="HV151" s="496"/>
      <c r="HW151" s="490"/>
      <c r="HX151" s="490"/>
    </row>
    <row r="152" spans="1:232" s="5" customFormat="1" ht="20.100000000000001" customHeight="1">
      <c r="A152" s="497" t="str">
        <f>'7.BBKT-  TĐC'!A154</f>
        <v>-   Biện pháp thi công được phê duyệt.</v>
      </c>
      <c r="B152" s="498"/>
      <c r="C152" s="498"/>
      <c r="D152" s="498"/>
      <c r="E152" s="498"/>
      <c r="F152" s="498"/>
      <c r="G152" s="498"/>
      <c r="H152" s="498"/>
      <c r="I152" s="498"/>
      <c r="J152" s="498"/>
      <c r="K152" s="498"/>
      <c r="L152" s="494"/>
      <c r="M152" s="494"/>
      <c r="N152" s="495"/>
      <c r="O152" s="495"/>
      <c r="P152" s="495"/>
      <c r="Q152" s="495"/>
      <c r="R152" s="495"/>
      <c r="S152" s="495"/>
      <c r="T152" s="495"/>
      <c r="U152" s="489"/>
      <c r="V152" s="489"/>
      <c r="W152" s="489"/>
      <c r="X152" s="489"/>
      <c r="Y152" s="489"/>
      <c r="Z152" s="489"/>
      <c r="AA152" s="489"/>
      <c r="AB152" s="489"/>
      <c r="AC152" s="489"/>
      <c r="AD152" s="489"/>
      <c r="AE152" s="489"/>
      <c r="AF152" s="489"/>
      <c r="AG152" s="489"/>
      <c r="AH152" s="489"/>
      <c r="AI152" s="489"/>
      <c r="AJ152" s="489"/>
      <c r="AK152" s="489"/>
      <c r="AL152" s="489"/>
      <c r="AM152" s="489"/>
      <c r="AN152" s="489"/>
      <c r="AO152" s="489"/>
      <c r="AP152" s="489"/>
      <c r="AQ152" s="489"/>
      <c r="AR152" s="489"/>
      <c r="AS152" s="489"/>
      <c r="AT152" s="489"/>
      <c r="AU152" s="489"/>
      <c r="AV152" s="489"/>
      <c r="AW152" s="489"/>
      <c r="AX152" s="489"/>
      <c r="AY152" s="489"/>
      <c r="AZ152" s="489"/>
      <c r="BA152" s="489"/>
      <c r="BB152" s="489"/>
      <c r="BC152" s="489"/>
      <c r="BD152" s="489"/>
      <c r="BE152" s="489"/>
      <c r="BF152" s="489"/>
      <c r="BG152" s="489"/>
      <c r="BH152" s="489"/>
      <c r="BI152" s="489"/>
      <c r="BJ152" s="489"/>
      <c r="BK152" s="489"/>
      <c r="BL152" s="489"/>
      <c r="BM152" s="489"/>
      <c r="BN152" s="489"/>
      <c r="BO152" s="489"/>
      <c r="BP152" s="489"/>
      <c r="BQ152" s="489"/>
      <c r="BR152" s="489"/>
      <c r="BS152" s="489"/>
      <c r="BT152" s="489"/>
      <c r="BU152" s="489"/>
      <c r="BV152" s="489"/>
      <c r="BW152" s="489"/>
      <c r="BX152" s="489"/>
      <c r="BY152" s="489"/>
      <c r="BZ152" s="489"/>
      <c r="CA152" s="489"/>
      <c r="CB152" s="489"/>
      <c r="CC152" s="489"/>
      <c r="CD152" s="489"/>
      <c r="CE152" s="489"/>
      <c r="CF152" s="489"/>
      <c r="CG152" s="489"/>
      <c r="CH152" s="489"/>
      <c r="CI152" s="489"/>
      <c r="CJ152" s="489"/>
      <c r="CK152" s="489"/>
      <c r="CL152" s="489"/>
      <c r="CM152" s="489"/>
      <c r="CN152" s="489"/>
      <c r="CO152" s="489"/>
      <c r="CP152" s="489"/>
      <c r="CQ152" s="489"/>
      <c r="CR152" s="489"/>
      <c r="CS152" s="489"/>
      <c r="CT152" s="489"/>
      <c r="CU152" s="489"/>
      <c r="CV152" s="489"/>
      <c r="CW152" s="489"/>
      <c r="CX152" s="489"/>
      <c r="CY152" s="489"/>
      <c r="CZ152" s="489"/>
      <c r="DA152" s="489"/>
      <c r="DB152" s="489"/>
      <c r="DC152" s="489"/>
      <c r="DD152" s="489"/>
      <c r="DE152" s="489"/>
      <c r="DF152" s="489"/>
      <c r="DG152" s="489"/>
      <c r="DH152" s="489"/>
      <c r="DI152" s="489"/>
      <c r="DJ152" s="489"/>
      <c r="DK152" s="489"/>
      <c r="DL152" s="489"/>
      <c r="DM152" s="489"/>
      <c r="DN152" s="489"/>
      <c r="DO152" s="489"/>
      <c r="DP152" s="489"/>
      <c r="DQ152" s="489"/>
      <c r="DR152" s="489"/>
      <c r="DS152" s="489"/>
      <c r="DT152" s="489"/>
      <c r="DU152" s="489"/>
      <c r="DV152" s="489"/>
      <c r="DW152" s="489"/>
      <c r="DX152" s="489"/>
      <c r="DY152" s="489"/>
      <c r="DZ152" s="489"/>
      <c r="EA152" s="489"/>
      <c r="EB152" s="489"/>
      <c r="EC152" s="489"/>
      <c r="ED152" s="489"/>
      <c r="EE152" s="489"/>
      <c r="EF152" s="489"/>
      <c r="EG152" s="489"/>
      <c r="EH152" s="489"/>
      <c r="EI152" s="489"/>
      <c r="EJ152" s="489"/>
      <c r="EK152" s="489"/>
      <c r="EL152" s="489"/>
      <c r="EM152" s="489"/>
      <c r="EN152" s="489"/>
      <c r="EO152" s="489"/>
      <c r="EP152" s="489"/>
      <c r="EQ152" s="489"/>
      <c r="ER152" s="489"/>
      <c r="ES152" s="489"/>
      <c r="ET152" s="489"/>
      <c r="EU152" s="489"/>
      <c r="EV152" s="489"/>
      <c r="EW152" s="489"/>
      <c r="EX152" s="489"/>
      <c r="EY152" s="489"/>
      <c r="EZ152" s="489"/>
      <c r="FA152" s="489"/>
      <c r="FB152" s="489"/>
      <c r="FC152" s="489"/>
      <c r="FD152" s="489"/>
      <c r="FE152" s="489"/>
      <c r="FF152" s="489"/>
      <c r="FG152" s="489"/>
      <c r="FH152" s="489"/>
      <c r="FI152" s="489"/>
      <c r="FJ152" s="489"/>
      <c r="FK152" s="489"/>
      <c r="FL152" s="489"/>
      <c r="FM152" s="489"/>
      <c r="FN152" s="489"/>
      <c r="FO152" s="489"/>
      <c r="FP152" s="489"/>
      <c r="FQ152" s="489"/>
      <c r="FR152" s="489"/>
      <c r="FS152" s="489"/>
      <c r="FT152" s="489"/>
      <c r="FU152" s="489"/>
      <c r="FV152" s="489"/>
      <c r="FW152" s="489"/>
      <c r="FX152" s="489"/>
      <c r="FY152" s="489"/>
      <c r="FZ152" s="489"/>
      <c r="GA152" s="489"/>
      <c r="GB152" s="489"/>
      <c r="GC152" s="489"/>
      <c r="GD152" s="489"/>
      <c r="GE152" s="489"/>
      <c r="GF152" s="489"/>
      <c r="GG152" s="489"/>
      <c r="GH152" s="489"/>
      <c r="GI152" s="489"/>
      <c r="GJ152" s="489"/>
      <c r="GK152" s="489"/>
      <c r="GL152" s="489"/>
      <c r="GM152" s="489"/>
      <c r="GN152" s="489"/>
      <c r="GO152" s="489"/>
      <c r="GP152" s="489"/>
      <c r="GQ152" s="489"/>
      <c r="GR152" s="489"/>
      <c r="GS152" s="489"/>
      <c r="GT152" s="489"/>
      <c r="GU152" s="489"/>
      <c r="GV152" s="489"/>
      <c r="GW152" s="489"/>
      <c r="GX152" s="489"/>
      <c r="GY152" s="489"/>
      <c r="GZ152" s="489"/>
      <c r="HA152" s="489"/>
      <c r="HB152" s="489"/>
      <c r="HC152" s="489"/>
      <c r="HD152" s="489"/>
      <c r="HE152" s="489"/>
      <c r="HF152" s="489"/>
      <c r="HG152" s="489"/>
      <c r="HH152" s="489"/>
      <c r="HI152" s="489"/>
      <c r="HJ152" s="489"/>
      <c r="HK152" s="489"/>
      <c r="HL152" s="489"/>
      <c r="HM152" s="489"/>
      <c r="HN152" s="489"/>
      <c r="HO152" s="489"/>
      <c r="HP152" s="489"/>
      <c r="HQ152" s="489"/>
      <c r="HR152" s="489"/>
      <c r="HS152" s="489"/>
      <c r="HT152" s="489"/>
      <c r="HU152" s="489"/>
      <c r="HV152" s="489"/>
      <c r="HW152" s="489"/>
      <c r="HX152" s="358"/>
    </row>
    <row r="153" spans="1:232" s="5" customFormat="1" ht="20.100000000000001" customHeight="1">
      <c r="A153" s="497" t="s">
        <v>863</v>
      </c>
      <c r="B153" s="498"/>
      <c r="C153" s="498"/>
      <c r="D153" s="498"/>
      <c r="E153" s="498"/>
      <c r="F153" s="498"/>
      <c r="G153" s="498"/>
      <c r="H153" s="498"/>
      <c r="I153" s="498"/>
      <c r="J153" s="498"/>
      <c r="K153" s="498"/>
      <c r="L153" s="494"/>
      <c r="M153" s="494"/>
      <c r="N153" s="495"/>
      <c r="O153" s="495"/>
      <c r="P153" s="495"/>
      <c r="Q153" s="495"/>
      <c r="R153" s="495"/>
      <c r="S153" s="495"/>
      <c r="T153" s="495"/>
      <c r="U153" s="499"/>
      <c r="V153" s="499"/>
      <c r="W153" s="499"/>
      <c r="X153" s="499"/>
      <c r="Y153" s="499"/>
      <c r="Z153" s="499"/>
      <c r="AA153" s="499"/>
      <c r="AB153" s="499"/>
      <c r="AC153" s="499"/>
      <c r="AD153" s="499"/>
      <c r="AE153" s="499"/>
      <c r="AF153" s="499"/>
      <c r="AG153" s="499"/>
      <c r="AH153" s="499"/>
      <c r="AI153" s="499"/>
      <c r="AJ153" s="499"/>
      <c r="AK153" s="499"/>
      <c r="AL153" s="499"/>
      <c r="AM153" s="499"/>
      <c r="AN153" s="499"/>
      <c r="AO153" s="499"/>
      <c r="AP153" s="499"/>
      <c r="AQ153" s="499"/>
      <c r="AR153" s="499"/>
      <c r="AS153" s="499"/>
      <c r="AT153" s="499"/>
      <c r="AU153" s="499"/>
      <c r="AV153" s="499"/>
      <c r="AW153" s="499"/>
      <c r="AX153" s="499"/>
      <c r="AY153" s="499"/>
      <c r="AZ153" s="499"/>
      <c r="BA153" s="499"/>
      <c r="BB153" s="499"/>
      <c r="BC153" s="499"/>
      <c r="BD153" s="499"/>
      <c r="BE153" s="499"/>
      <c r="BF153" s="499"/>
      <c r="BG153" s="499"/>
      <c r="BH153" s="499"/>
      <c r="BI153" s="499"/>
      <c r="BJ153" s="499"/>
      <c r="BK153" s="499"/>
      <c r="BL153" s="499"/>
      <c r="BM153" s="499"/>
      <c r="BN153" s="499"/>
      <c r="BO153" s="499"/>
      <c r="BP153" s="499"/>
      <c r="BQ153" s="499"/>
      <c r="BR153" s="499"/>
      <c r="BS153" s="499"/>
      <c r="BT153" s="499"/>
      <c r="BU153" s="499"/>
      <c r="BV153" s="499"/>
      <c r="BW153" s="499"/>
      <c r="BX153" s="499"/>
      <c r="BY153" s="499"/>
      <c r="BZ153" s="499"/>
      <c r="CA153" s="499"/>
      <c r="CB153" s="499"/>
      <c r="CC153" s="499"/>
      <c r="CD153" s="499"/>
      <c r="CE153" s="499"/>
      <c r="CF153" s="499"/>
      <c r="CG153" s="499"/>
      <c r="CH153" s="499"/>
      <c r="CI153" s="499"/>
      <c r="CJ153" s="499"/>
      <c r="CK153" s="499"/>
      <c r="CL153" s="499"/>
      <c r="CM153" s="499"/>
      <c r="CN153" s="499"/>
      <c r="CO153" s="499"/>
      <c r="CP153" s="499"/>
      <c r="CQ153" s="499"/>
      <c r="CR153" s="499"/>
      <c r="CS153" s="499"/>
      <c r="CT153" s="499"/>
      <c r="CU153" s="499"/>
      <c r="CV153" s="499"/>
      <c r="CW153" s="499"/>
      <c r="CX153" s="499"/>
      <c r="CY153" s="499"/>
      <c r="CZ153" s="499"/>
      <c r="DA153" s="499"/>
      <c r="DB153" s="499"/>
      <c r="DC153" s="499"/>
      <c r="DD153" s="499"/>
      <c r="DE153" s="499"/>
      <c r="DF153" s="499"/>
      <c r="DG153" s="499"/>
      <c r="DH153" s="499"/>
      <c r="DI153" s="499"/>
      <c r="DJ153" s="499"/>
      <c r="DK153" s="499"/>
      <c r="DL153" s="499"/>
      <c r="DM153" s="499"/>
      <c r="DN153" s="499"/>
      <c r="DO153" s="499"/>
      <c r="DP153" s="499"/>
      <c r="DQ153" s="499"/>
      <c r="DR153" s="499"/>
      <c r="DS153" s="499"/>
      <c r="DT153" s="499"/>
      <c r="DU153" s="499"/>
      <c r="DV153" s="499"/>
      <c r="DW153" s="499"/>
      <c r="DX153" s="499"/>
      <c r="DY153" s="499"/>
      <c r="DZ153" s="499"/>
      <c r="EA153" s="499"/>
      <c r="EB153" s="499"/>
      <c r="EC153" s="499"/>
      <c r="ED153" s="499"/>
      <c r="EE153" s="499"/>
      <c r="EF153" s="499"/>
      <c r="EG153" s="499"/>
      <c r="EH153" s="499"/>
      <c r="EI153" s="499"/>
      <c r="EJ153" s="499"/>
      <c r="EK153" s="499"/>
      <c r="EL153" s="499"/>
      <c r="EM153" s="499"/>
      <c r="EN153" s="499"/>
      <c r="EO153" s="499"/>
      <c r="EP153" s="499"/>
      <c r="EQ153" s="499"/>
      <c r="ER153" s="499"/>
      <c r="ES153" s="499"/>
      <c r="ET153" s="499"/>
      <c r="EU153" s="499"/>
      <c r="EV153" s="499"/>
      <c r="EW153" s="499"/>
      <c r="EX153" s="499"/>
      <c r="EY153" s="499"/>
      <c r="EZ153" s="499"/>
      <c r="FA153" s="499"/>
      <c r="FB153" s="499"/>
      <c r="FC153" s="499"/>
      <c r="FD153" s="499"/>
      <c r="FE153" s="499"/>
      <c r="FF153" s="499"/>
      <c r="FG153" s="499"/>
      <c r="FH153" s="499"/>
      <c r="FI153" s="499"/>
      <c r="FJ153" s="499"/>
      <c r="FK153" s="499"/>
      <c r="FL153" s="499"/>
      <c r="FM153" s="499"/>
      <c r="FN153" s="499"/>
      <c r="FO153" s="499"/>
      <c r="FP153" s="499"/>
      <c r="FQ153" s="499"/>
      <c r="FR153" s="499"/>
      <c r="FS153" s="499"/>
      <c r="FT153" s="499"/>
      <c r="FU153" s="499"/>
      <c r="FV153" s="499"/>
      <c r="FW153" s="499"/>
      <c r="FX153" s="499"/>
      <c r="FY153" s="499"/>
      <c r="FZ153" s="499"/>
      <c r="GA153" s="499"/>
      <c r="GB153" s="499"/>
      <c r="GC153" s="499"/>
      <c r="GD153" s="499"/>
      <c r="GE153" s="499"/>
      <c r="GF153" s="499"/>
      <c r="GG153" s="499"/>
      <c r="GH153" s="499"/>
      <c r="GI153" s="499"/>
      <c r="GJ153" s="499"/>
      <c r="GK153" s="499"/>
      <c r="GL153" s="499"/>
      <c r="GM153" s="499"/>
      <c r="GN153" s="499"/>
      <c r="GO153" s="499"/>
      <c r="GP153" s="499"/>
      <c r="GQ153" s="499"/>
      <c r="GR153" s="499"/>
      <c r="GS153" s="499"/>
      <c r="GT153" s="499"/>
      <c r="GU153" s="499"/>
      <c r="GV153" s="499"/>
      <c r="GW153" s="499"/>
      <c r="GX153" s="499"/>
      <c r="GY153" s="499"/>
      <c r="GZ153" s="499"/>
      <c r="HA153" s="499"/>
      <c r="HB153" s="499"/>
      <c r="HC153" s="499"/>
      <c r="HD153" s="499"/>
      <c r="HE153" s="499"/>
      <c r="HF153" s="499"/>
      <c r="HG153" s="499"/>
      <c r="HH153" s="499"/>
      <c r="HI153" s="499"/>
      <c r="HJ153" s="499"/>
      <c r="HK153" s="499"/>
      <c r="HL153" s="499"/>
      <c r="HM153" s="499"/>
      <c r="HN153" s="499"/>
      <c r="HO153" s="499"/>
      <c r="HP153" s="499"/>
      <c r="HQ153" s="499"/>
      <c r="HR153" s="499"/>
      <c r="HS153" s="499"/>
      <c r="HT153" s="499"/>
      <c r="HU153" s="499"/>
      <c r="HV153" s="499"/>
      <c r="HW153" s="499"/>
      <c r="HX153" s="358"/>
    </row>
    <row r="154" spans="1:232" ht="38.25" customHeight="1">
      <c r="A154" s="1607" t="s">
        <v>112</v>
      </c>
      <c r="B154" s="1607"/>
      <c r="C154" s="1607"/>
      <c r="D154" s="1607"/>
      <c r="E154" s="1607"/>
      <c r="F154" s="1607"/>
      <c r="G154" s="1607"/>
      <c r="H154" s="1607"/>
      <c r="I154" s="1607"/>
      <c r="J154" s="1607"/>
      <c r="N154" s="495"/>
      <c r="O154" s="495"/>
      <c r="P154" s="495"/>
      <c r="Q154" s="495"/>
      <c r="R154" s="495"/>
      <c r="S154" s="495"/>
    </row>
    <row r="155" spans="1:232" ht="20.100000000000001" customHeight="1">
      <c r="A155" s="1608" t="str">
        <f>'7.BBKT-  TĐC'!A157:J157</f>
        <v>-   Biên bản nghiệm thu nội bộ của nhà thầu.</v>
      </c>
      <c r="B155" s="1607"/>
      <c r="C155" s="1607"/>
      <c r="D155" s="1607"/>
      <c r="E155" s="1607"/>
      <c r="F155" s="1607"/>
      <c r="G155" s="1607"/>
      <c r="H155" s="1607"/>
      <c r="I155" s="1607"/>
      <c r="J155" s="1607"/>
    </row>
    <row r="156" spans="1:232" ht="20.100000000000001" customHeight="1">
      <c r="A156" s="1604" t="s">
        <v>864</v>
      </c>
      <c r="B156" s="1604"/>
      <c r="C156" s="1604"/>
      <c r="D156" s="1604"/>
      <c r="E156" s="1604"/>
      <c r="F156" s="1604"/>
      <c r="G156" s="1604"/>
      <c r="H156" s="1604"/>
      <c r="I156" s="1604"/>
      <c r="J156" s="1604"/>
    </row>
    <row r="157" spans="1:232" s="5" customFormat="1" ht="20.100000000000001" customHeight="1">
      <c r="A157" s="500" t="s">
        <v>1032</v>
      </c>
      <c r="C157" s="501"/>
      <c r="D157" s="501"/>
      <c r="E157" s="501"/>
      <c r="F157" s="501"/>
      <c r="G157" s="501"/>
      <c r="H157" s="501"/>
      <c r="I157" s="501"/>
      <c r="J157" s="502"/>
      <c r="K157" s="502"/>
      <c r="L157" s="494"/>
      <c r="M157" s="494"/>
      <c r="N157" s="464"/>
      <c r="O157" s="464"/>
      <c r="P157" s="464"/>
      <c r="Q157" s="464"/>
      <c r="R157" s="464"/>
      <c r="S157" s="464"/>
      <c r="T157" s="495"/>
      <c r="U157" s="499"/>
      <c r="V157" s="499"/>
      <c r="W157" s="499"/>
      <c r="X157" s="499"/>
      <c r="Y157" s="499"/>
      <c r="Z157" s="499"/>
      <c r="AA157" s="499"/>
      <c r="AB157" s="499"/>
      <c r="AC157" s="499"/>
      <c r="AD157" s="499"/>
      <c r="AE157" s="499"/>
      <c r="AF157" s="499"/>
      <c r="AG157" s="499"/>
      <c r="AH157" s="499"/>
      <c r="AI157" s="499"/>
      <c r="AJ157" s="499"/>
      <c r="AK157" s="499"/>
      <c r="AL157" s="499"/>
      <c r="AM157" s="499"/>
      <c r="AN157" s="499"/>
      <c r="AO157" s="499"/>
      <c r="AP157" s="499"/>
      <c r="AQ157" s="499"/>
      <c r="AR157" s="499"/>
      <c r="AS157" s="499"/>
      <c r="AT157" s="499"/>
      <c r="AU157" s="499"/>
      <c r="AV157" s="499"/>
      <c r="AW157" s="499"/>
      <c r="AX157" s="499"/>
      <c r="AY157" s="499"/>
      <c r="AZ157" s="499"/>
      <c r="BA157" s="499"/>
      <c r="BB157" s="499"/>
      <c r="BC157" s="499"/>
      <c r="BD157" s="499"/>
      <c r="BE157" s="499"/>
      <c r="BF157" s="499"/>
      <c r="BG157" s="499"/>
      <c r="BH157" s="499"/>
      <c r="BI157" s="499"/>
      <c r="BJ157" s="499"/>
      <c r="BK157" s="499"/>
      <c r="BL157" s="499"/>
      <c r="BM157" s="499"/>
      <c r="BN157" s="499"/>
      <c r="BO157" s="499"/>
      <c r="BP157" s="499"/>
      <c r="BQ157" s="499"/>
      <c r="BR157" s="499"/>
      <c r="BS157" s="499"/>
      <c r="BT157" s="499"/>
      <c r="BU157" s="499"/>
      <c r="BV157" s="499"/>
      <c r="BW157" s="499"/>
      <c r="BX157" s="499"/>
      <c r="BY157" s="499"/>
      <c r="BZ157" s="499"/>
      <c r="CA157" s="499"/>
      <c r="CB157" s="499"/>
      <c r="CC157" s="499"/>
      <c r="CD157" s="499"/>
      <c r="CE157" s="499"/>
      <c r="CF157" s="499"/>
      <c r="CG157" s="499"/>
      <c r="CH157" s="499"/>
      <c r="CI157" s="499"/>
      <c r="CJ157" s="499"/>
      <c r="CK157" s="499"/>
      <c r="CL157" s="499"/>
      <c r="CM157" s="499"/>
      <c r="CN157" s="499"/>
      <c r="CO157" s="499"/>
      <c r="CP157" s="499"/>
      <c r="CQ157" s="499"/>
      <c r="CR157" s="499"/>
      <c r="CS157" s="499"/>
      <c r="CT157" s="499"/>
      <c r="CU157" s="499"/>
      <c r="CV157" s="499"/>
      <c r="CW157" s="499"/>
      <c r="CX157" s="499"/>
      <c r="CY157" s="499"/>
      <c r="CZ157" s="499"/>
      <c r="DA157" s="499"/>
      <c r="DB157" s="499"/>
      <c r="DC157" s="499"/>
      <c r="DD157" s="499"/>
      <c r="DE157" s="499"/>
      <c r="DF157" s="499"/>
      <c r="DG157" s="499"/>
      <c r="DH157" s="499"/>
      <c r="DI157" s="499"/>
      <c r="DJ157" s="499"/>
      <c r="DK157" s="499"/>
      <c r="DL157" s="499"/>
      <c r="DM157" s="499"/>
      <c r="DN157" s="499"/>
      <c r="DO157" s="499"/>
      <c r="DP157" s="499"/>
      <c r="DQ157" s="499"/>
      <c r="DR157" s="499"/>
      <c r="DS157" s="499"/>
      <c r="DT157" s="499"/>
      <c r="DU157" s="499"/>
      <c r="DV157" s="499"/>
      <c r="DW157" s="499"/>
      <c r="DX157" s="499"/>
      <c r="DY157" s="499"/>
      <c r="DZ157" s="499"/>
      <c r="EA157" s="499"/>
      <c r="EB157" s="499"/>
      <c r="EC157" s="499"/>
      <c r="ED157" s="499"/>
      <c r="EE157" s="499"/>
      <c r="EF157" s="499"/>
      <c r="EG157" s="499"/>
      <c r="EH157" s="499"/>
      <c r="EI157" s="499"/>
      <c r="EJ157" s="499"/>
      <c r="EK157" s="499"/>
      <c r="EL157" s="499"/>
      <c r="EM157" s="499"/>
      <c r="EN157" s="499"/>
      <c r="EO157" s="499"/>
      <c r="EP157" s="499"/>
      <c r="EQ157" s="499"/>
      <c r="ER157" s="499"/>
      <c r="ES157" s="499"/>
      <c r="ET157" s="499"/>
      <c r="EU157" s="499"/>
      <c r="EV157" s="499"/>
      <c r="EW157" s="499"/>
      <c r="EX157" s="499"/>
      <c r="EY157" s="499"/>
      <c r="EZ157" s="499"/>
      <c r="FA157" s="499"/>
      <c r="FB157" s="499"/>
      <c r="FC157" s="499"/>
      <c r="FD157" s="499"/>
      <c r="FE157" s="499"/>
      <c r="FF157" s="499"/>
      <c r="FG157" s="499"/>
      <c r="FH157" s="499"/>
      <c r="FI157" s="499"/>
      <c r="FJ157" s="499"/>
      <c r="FK157" s="499"/>
      <c r="FL157" s="499"/>
      <c r="FM157" s="499"/>
      <c r="FN157" s="499"/>
      <c r="FO157" s="499"/>
      <c r="FP157" s="499"/>
      <c r="FQ157" s="499"/>
      <c r="FR157" s="499"/>
      <c r="FS157" s="499"/>
      <c r="FT157" s="499"/>
      <c r="FU157" s="499"/>
      <c r="FV157" s="499"/>
      <c r="FW157" s="499"/>
      <c r="FX157" s="499"/>
      <c r="FY157" s="499"/>
      <c r="FZ157" s="499"/>
      <c r="GA157" s="499"/>
      <c r="GB157" s="499"/>
      <c r="GC157" s="499"/>
      <c r="GD157" s="499"/>
      <c r="GE157" s="499"/>
      <c r="GF157" s="499"/>
      <c r="GG157" s="499"/>
      <c r="GH157" s="499"/>
      <c r="GI157" s="499"/>
      <c r="GJ157" s="499"/>
      <c r="GK157" s="499"/>
      <c r="GL157" s="499"/>
      <c r="GM157" s="499"/>
      <c r="GN157" s="499"/>
      <c r="GO157" s="499"/>
      <c r="GP157" s="499"/>
      <c r="GQ157" s="499"/>
      <c r="GR157" s="499"/>
      <c r="GS157" s="499"/>
      <c r="GT157" s="499"/>
      <c r="GU157" s="499"/>
      <c r="GV157" s="499"/>
      <c r="GW157" s="499"/>
      <c r="GX157" s="499"/>
      <c r="GY157" s="499"/>
      <c r="GZ157" s="499"/>
      <c r="HA157" s="499"/>
      <c r="HB157" s="499"/>
      <c r="HC157" s="499"/>
      <c r="HD157" s="499"/>
      <c r="HE157" s="499"/>
      <c r="HF157" s="499"/>
      <c r="HG157" s="499"/>
      <c r="HH157" s="499"/>
      <c r="HI157" s="499"/>
      <c r="HJ157" s="499"/>
      <c r="HK157" s="499"/>
      <c r="HL157" s="499"/>
      <c r="HM157" s="499"/>
      <c r="HN157" s="499"/>
      <c r="HO157" s="499"/>
      <c r="HP157" s="499"/>
      <c r="HQ157" s="499"/>
      <c r="HR157" s="499"/>
      <c r="HS157" s="499"/>
      <c r="HT157" s="499"/>
      <c r="HU157" s="499"/>
      <c r="HV157" s="499"/>
      <c r="HW157" s="499"/>
      <c r="HX157" s="358"/>
    </row>
    <row r="158" spans="1:232" s="5" customFormat="1" ht="20.100000000000001" customHeight="1">
      <c r="A158" s="1605" t="s">
        <v>191</v>
      </c>
      <c r="B158" s="1606" t="s">
        <v>115</v>
      </c>
      <c r="C158" s="1606"/>
      <c r="D158" s="1606"/>
      <c r="E158" s="1606"/>
      <c r="F158" s="1606" t="s">
        <v>116</v>
      </c>
      <c r="G158" s="1606"/>
      <c r="H158" s="1606"/>
      <c r="I158" s="1606" t="s">
        <v>117</v>
      </c>
      <c r="J158" s="1606"/>
      <c r="N158" s="495"/>
      <c r="O158" s="495"/>
      <c r="P158" s="495"/>
      <c r="Q158" s="495"/>
      <c r="R158" s="495"/>
      <c r="S158" s="495"/>
      <c r="T158" s="504"/>
      <c r="U158" s="358"/>
      <c r="V158" s="358"/>
      <c r="W158" s="358"/>
      <c r="X158" s="358"/>
      <c r="Y158" s="358"/>
      <c r="Z158" s="358"/>
      <c r="AA158" s="358"/>
      <c r="AB158" s="358"/>
      <c r="AC158" s="358"/>
      <c r="AD158" s="358"/>
      <c r="AE158" s="358"/>
      <c r="AF158" s="358"/>
      <c r="AG158" s="358"/>
      <c r="AH158" s="358"/>
      <c r="AI158" s="358"/>
      <c r="AJ158" s="358"/>
      <c r="AK158" s="358"/>
      <c r="AL158" s="358"/>
      <c r="AM158" s="358"/>
      <c r="AN158" s="358"/>
      <c r="AO158" s="358"/>
      <c r="AP158" s="358"/>
      <c r="AQ158" s="358"/>
      <c r="AR158" s="358"/>
      <c r="AS158" s="358"/>
      <c r="AT158" s="358"/>
      <c r="AU158" s="358"/>
      <c r="AV158" s="358"/>
      <c r="AW158" s="358"/>
      <c r="AX158" s="358"/>
      <c r="AY158" s="358"/>
      <c r="AZ158" s="358"/>
      <c r="BA158" s="358"/>
      <c r="BB158" s="358"/>
      <c r="BC158" s="358"/>
      <c r="BD158" s="358"/>
      <c r="BE158" s="358"/>
      <c r="BF158" s="358"/>
      <c r="BG158" s="358"/>
      <c r="BH158" s="358"/>
      <c r="BI158" s="358"/>
      <c r="BJ158" s="358"/>
      <c r="BK158" s="358"/>
      <c r="BL158" s="358"/>
      <c r="BM158" s="358"/>
      <c r="BN158" s="358"/>
      <c r="BO158" s="358"/>
      <c r="BP158" s="358"/>
      <c r="BQ158" s="358"/>
      <c r="BR158" s="358"/>
      <c r="BS158" s="358"/>
      <c r="BT158" s="358"/>
      <c r="BU158" s="358"/>
      <c r="BV158" s="358"/>
      <c r="BW158" s="358"/>
      <c r="BX158" s="358"/>
      <c r="BY158" s="358"/>
      <c r="BZ158" s="358"/>
      <c r="CA158" s="358"/>
      <c r="CB158" s="358"/>
      <c r="CC158" s="358"/>
      <c r="CD158" s="358"/>
      <c r="CE158" s="358"/>
      <c r="CF158" s="358"/>
      <c r="CG158" s="358"/>
      <c r="CH158" s="358"/>
      <c r="CI158" s="358"/>
      <c r="CJ158" s="358"/>
      <c r="CK158" s="358"/>
      <c r="CL158" s="358"/>
      <c r="CM158" s="358"/>
      <c r="CN158" s="358"/>
      <c r="CO158" s="358"/>
      <c r="CP158" s="358"/>
      <c r="CQ158" s="358"/>
      <c r="CR158" s="358"/>
      <c r="CS158" s="358"/>
      <c r="CT158" s="358"/>
      <c r="CU158" s="358"/>
      <c r="CV158" s="358"/>
      <c r="CW158" s="358"/>
      <c r="CX158" s="358"/>
      <c r="CY158" s="358"/>
      <c r="CZ158" s="358"/>
      <c r="DA158" s="358"/>
      <c r="DB158" s="358"/>
      <c r="DC158" s="358"/>
      <c r="DD158" s="358"/>
      <c r="DE158" s="358"/>
      <c r="DF158" s="358"/>
      <c r="DG158" s="358"/>
      <c r="DH158" s="358"/>
      <c r="DI158" s="358"/>
      <c r="DJ158" s="358"/>
      <c r="DK158" s="358"/>
      <c r="DL158" s="358"/>
      <c r="DM158" s="358"/>
      <c r="DN158" s="358"/>
      <c r="DO158" s="358"/>
      <c r="DP158" s="358"/>
      <c r="DQ158" s="358"/>
      <c r="DR158" s="358"/>
      <c r="DS158" s="358"/>
      <c r="DT158" s="358"/>
      <c r="DU158" s="358"/>
      <c r="DV158" s="358"/>
      <c r="DW158" s="358"/>
      <c r="DX158" s="358"/>
      <c r="DY158" s="358"/>
      <c r="DZ158" s="358"/>
      <c r="EA158" s="358"/>
      <c r="EB158" s="358"/>
      <c r="EC158" s="358"/>
      <c r="ED158" s="358"/>
      <c r="EE158" s="358"/>
      <c r="EF158" s="358"/>
      <c r="EG158" s="358"/>
      <c r="EH158" s="358"/>
      <c r="EI158" s="358"/>
      <c r="EJ158" s="358"/>
      <c r="EK158" s="358"/>
      <c r="EL158" s="358"/>
      <c r="EM158" s="358"/>
      <c r="EN158" s="358"/>
      <c r="EO158" s="358"/>
      <c r="EP158" s="358"/>
      <c r="EQ158" s="358"/>
      <c r="ER158" s="358"/>
      <c r="ES158" s="358"/>
      <c r="ET158" s="358"/>
      <c r="EU158" s="358"/>
      <c r="EV158" s="358"/>
      <c r="EW158" s="358"/>
      <c r="EX158" s="358"/>
      <c r="EY158" s="358"/>
      <c r="EZ158" s="358"/>
      <c r="FA158" s="358"/>
      <c r="FB158" s="358"/>
      <c r="FC158" s="358"/>
      <c r="FD158" s="358"/>
      <c r="FE158" s="358"/>
      <c r="FF158" s="358"/>
      <c r="FG158" s="358"/>
      <c r="FH158" s="358"/>
      <c r="FI158" s="358"/>
      <c r="FJ158" s="358"/>
      <c r="FK158" s="358"/>
      <c r="FL158" s="358"/>
      <c r="FM158" s="358"/>
      <c r="FN158" s="358"/>
      <c r="FO158" s="358"/>
      <c r="FP158" s="358"/>
      <c r="FQ158" s="358"/>
      <c r="FR158" s="358"/>
      <c r="FS158" s="358"/>
      <c r="FT158" s="358"/>
      <c r="FU158" s="358"/>
      <c r="FV158" s="358"/>
      <c r="FW158" s="358"/>
      <c r="FX158" s="358"/>
      <c r="FY158" s="358"/>
      <c r="FZ158" s="358"/>
      <c r="GA158" s="358"/>
      <c r="GB158" s="358"/>
      <c r="GC158" s="358"/>
      <c r="GD158" s="358"/>
      <c r="GE158" s="358"/>
      <c r="GF158" s="358"/>
      <c r="GG158" s="358"/>
      <c r="GH158" s="358"/>
      <c r="GI158" s="358"/>
      <c r="GJ158" s="358"/>
      <c r="GK158" s="358"/>
      <c r="GL158" s="358"/>
      <c r="GM158" s="358"/>
      <c r="GN158" s="358"/>
      <c r="GO158" s="358"/>
      <c r="GP158" s="358"/>
      <c r="GQ158" s="358"/>
      <c r="GR158" s="358"/>
      <c r="GS158" s="358"/>
      <c r="GT158" s="358"/>
      <c r="GU158" s="358"/>
      <c r="GV158" s="358"/>
      <c r="GW158" s="358"/>
      <c r="GX158" s="358"/>
      <c r="GY158" s="358"/>
      <c r="GZ158" s="358"/>
      <c r="HA158" s="358"/>
      <c r="HB158" s="358"/>
      <c r="HC158" s="358"/>
      <c r="HD158" s="358"/>
      <c r="HE158" s="358"/>
      <c r="HF158" s="358"/>
      <c r="HG158" s="358"/>
      <c r="HH158" s="358"/>
      <c r="HI158" s="358"/>
      <c r="HJ158" s="358"/>
      <c r="HK158" s="358"/>
      <c r="HL158" s="358"/>
      <c r="HM158" s="358"/>
      <c r="HN158" s="358"/>
      <c r="HO158" s="358"/>
      <c r="HP158" s="358"/>
      <c r="HQ158" s="358"/>
      <c r="HR158" s="358"/>
      <c r="HS158" s="358"/>
      <c r="HT158" s="358"/>
      <c r="HU158" s="358"/>
      <c r="HV158" s="358"/>
      <c r="HW158" s="358"/>
      <c r="HX158" s="358"/>
    </row>
    <row r="159" spans="1:232" s="5" customFormat="1" ht="33.75" customHeight="1">
      <c r="A159" s="1605"/>
      <c r="B159" s="1606"/>
      <c r="C159" s="1606"/>
      <c r="D159" s="1606"/>
      <c r="E159" s="1606"/>
      <c r="F159" s="1606"/>
      <c r="G159" s="1606"/>
      <c r="H159" s="1606"/>
      <c r="I159" s="503" t="s">
        <v>118</v>
      </c>
      <c r="J159" s="503" t="s">
        <v>119</v>
      </c>
      <c r="O159" s="504"/>
      <c r="P159" s="504"/>
      <c r="Q159" s="504"/>
      <c r="R159" s="504"/>
      <c r="S159" s="504"/>
      <c r="T159" s="406"/>
      <c r="U159" s="358"/>
      <c r="V159" s="358"/>
      <c r="W159" s="358"/>
      <c r="X159" s="358"/>
      <c r="Y159" s="358"/>
      <c r="Z159" s="358"/>
      <c r="AA159" s="358"/>
      <c r="AB159" s="358"/>
      <c r="AC159" s="358"/>
      <c r="AD159" s="358"/>
      <c r="AE159" s="358"/>
      <c r="AF159" s="358"/>
      <c r="AG159" s="358"/>
      <c r="AH159" s="358"/>
      <c r="AI159" s="358"/>
      <c r="AJ159" s="358"/>
      <c r="AK159" s="358"/>
      <c r="AL159" s="358"/>
      <c r="AM159" s="358"/>
      <c r="AN159" s="358"/>
      <c r="AO159" s="358"/>
      <c r="AP159" s="358"/>
      <c r="AQ159" s="358"/>
      <c r="AR159" s="358"/>
      <c r="AS159" s="358"/>
      <c r="AT159" s="358"/>
      <c r="AU159" s="358"/>
      <c r="AV159" s="358"/>
      <c r="AW159" s="358"/>
      <c r="AX159" s="358"/>
      <c r="AY159" s="358"/>
      <c r="AZ159" s="358"/>
      <c r="BA159" s="358"/>
      <c r="BB159" s="358"/>
      <c r="BC159" s="358"/>
      <c r="BD159" s="358"/>
      <c r="BE159" s="358"/>
      <c r="BF159" s="358"/>
      <c r="BG159" s="358"/>
      <c r="BH159" s="358"/>
      <c r="BI159" s="358"/>
      <c r="BJ159" s="358"/>
      <c r="BK159" s="358"/>
      <c r="BL159" s="358"/>
      <c r="BM159" s="358"/>
      <c r="BN159" s="358"/>
      <c r="BO159" s="358"/>
      <c r="BP159" s="358"/>
      <c r="BQ159" s="358"/>
      <c r="BR159" s="358"/>
      <c r="BS159" s="358"/>
      <c r="BT159" s="358"/>
      <c r="BU159" s="358"/>
      <c r="BV159" s="358"/>
      <c r="BW159" s="358"/>
      <c r="BX159" s="358"/>
      <c r="BY159" s="358"/>
      <c r="BZ159" s="358"/>
      <c r="CA159" s="358"/>
      <c r="CB159" s="358"/>
      <c r="CC159" s="358"/>
      <c r="CD159" s="358"/>
      <c r="CE159" s="358"/>
      <c r="CF159" s="358"/>
      <c r="CG159" s="358"/>
      <c r="CH159" s="358"/>
      <c r="CI159" s="358"/>
      <c r="CJ159" s="358"/>
      <c r="CK159" s="358"/>
      <c r="CL159" s="358"/>
      <c r="CM159" s="358"/>
      <c r="CN159" s="358"/>
      <c r="CO159" s="358"/>
      <c r="CP159" s="358"/>
      <c r="CQ159" s="358"/>
      <c r="CR159" s="358"/>
      <c r="CS159" s="358"/>
      <c r="CT159" s="358"/>
      <c r="CU159" s="358"/>
      <c r="CV159" s="358"/>
      <c r="CW159" s="358"/>
      <c r="CX159" s="358"/>
      <c r="CY159" s="358"/>
      <c r="CZ159" s="358"/>
      <c r="DA159" s="358"/>
      <c r="DB159" s="358"/>
      <c r="DC159" s="358"/>
      <c r="DD159" s="358"/>
      <c r="DE159" s="358"/>
      <c r="DF159" s="358"/>
      <c r="DG159" s="358"/>
      <c r="DH159" s="358"/>
      <c r="DI159" s="358"/>
      <c r="DJ159" s="358"/>
      <c r="DK159" s="358"/>
      <c r="DL159" s="358"/>
      <c r="DM159" s="358"/>
      <c r="DN159" s="358"/>
      <c r="DO159" s="358"/>
      <c r="DP159" s="358"/>
      <c r="DQ159" s="358"/>
      <c r="DR159" s="358"/>
      <c r="DS159" s="358"/>
      <c r="DT159" s="358"/>
      <c r="DU159" s="358"/>
      <c r="DV159" s="358"/>
      <c r="DW159" s="358"/>
      <c r="DX159" s="358"/>
      <c r="DY159" s="358"/>
      <c r="DZ159" s="358"/>
      <c r="EA159" s="358"/>
      <c r="EB159" s="358"/>
      <c r="EC159" s="358"/>
      <c r="ED159" s="358"/>
      <c r="EE159" s="358"/>
      <c r="EF159" s="358"/>
      <c r="EG159" s="358"/>
      <c r="EH159" s="358"/>
      <c r="EI159" s="358"/>
      <c r="EJ159" s="358"/>
      <c r="EK159" s="358"/>
      <c r="EL159" s="358"/>
      <c r="EM159" s="358"/>
      <c r="EN159" s="358"/>
      <c r="EO159" s="358"/>
      <c r="EP159" s="358"/>
      <c r="EQ159" s="358"/>
      <c r="ER159" s="358"/>
      <c r="ES159" s="358"/>
      <c r="ET159" s="358"/>
      <c r="EU159" s="358"/>
      <c r="EV159" s="358"/>
      <c r="EW159" s="358"/>
      <c r="EX159" s="358"/>
      <c r="EY159" s="358"/>
      <c r="EZ159" s="358"/>
      <c r="FA159" s="358"/>
      <c r="FB159" s="358"/>
      <c r="FC159" s="358"/>
      <c r="FD159" s="358"/>
      <c r="FE159" s="358"/>
      <c r="FF159" s="358"/>
      <c r="FG159" s="358"/>
      <c r="FH159" s="358"/>
      <c r="FI159" s="358"/>
      <c r="FJ159" s="358"/>
      <c r="FK159" s="358"/>
      <c r="FL159" s="358"/>
      <c r="FM159" s="358"/>
      <c r="FN159" s="358"/>
      <c r="FO159" s="358"/>
      <c r="FP159" s="358"/>
      <c r="FQ159" s="358"/>
      <c r="FR159" s="358"/>
      <c r="FS159" s="358"/>
      <c r="FT159" s="358"/>
      <c r="FU159" s="358"/>
      <c r="FV159" s="358"/>
      <c r="FW159" s="358"/>
      <c r="FX159" s="358"/>
      <c r="FY159" s="358"/>
      <c r="FZ159" s="358"/>
      <c r="GA159" s="358"/>
      <c r="GB159" s="358"/>
      <c r="GC159" s="358"/>
      <c r="GD159" s="358"/>
      <c r="GE159" s="358"/>
      <c r="GF159" s="358"/>
      <c r="GG159" s="358"/>
      <c r="GH159" s="358"/>
      <c r="GI159" s="358"/>
      <c r="GJ159" s="358"/>
      <c r="GK159" s="358"/>
      <c r="GL159" s="358"/>
      <c r="GM159" s="358"/>
      <c r="GN159" s="358"/>
      <c r="GO159" s="358"/>
      <c r="GP159" s="358"/>
      <c r="GQ159" s="358"/>
      <c r="GR159" s="358"/>
      <c r="GS159" s="358"/>
      <c r="GT159" s="358"/>
      <c r="GU159" s="358"/>
      <c r="GV159" s="358"/>
      <c r="GW159" s="358"/>
      <c r="GX159" s="358"/>
      <c r="GY159" s="358"/>
      <c r="GZ159" s="358"/>
      <c r="HA159" s="358"/>
      <c r="HB159" s="358"/>
      <c r="HC159" s="358"/>
      <c r="HD159" s="358"/>
      <c r="HE159" s="358"/>
      <c r="HF159" s="358"/>
      <c r="HG159" s="358"/>
      <c r="HH159" s="358"/>
      <c r="HI159" s="358"/>
      <c r="HJ159" s="358"/>
      <c r="HK159" s="358"/>
      <c r="HL159" s="358"/>
      <c r="HM159" s="358"/>
      <c r="HN159" s="358"/>
      <c r="HO159" s="358"/>
      <c r="HP159" s="358"/>
      <c r="HQ159" s="358"/>
      <c r="HR159" s="358"/>
      <c r="HS159" s="358"/>
      <c r="HT159" s="358"/>
      <c r="HU159" s="358"/>
      <c r="HV159" s="358"/>
      <c r="HW159" s="358"/>
      <c r="HX159" s="358"/>
    </row>
    <row r="160" spans="1:232" s="5" customFormat="1" ht="20.100000000000001" customHeight="1">
      <c r="A160" s="503">
        <v>1</v>
      </c>
      <c r="B160" s="1597" t="s">
        <v>448</v>
      </c>
      <c r="C160" s="1597"/>
      <c r="D160" s="1597"/>
      <c r="E160" s="1597"/>
      <c r="F160" s="1598" t="s">
        <v>433</v>
      </c>
      <c r="G160" s="1598"/>
      <c r="H160" s="1598"/>
      <c r="I160" s="562" t="s">
        <v>471</v>
      </c>
      <c r="J160" s="506"/>
      <c r="O160" s="406"/>
      <c r="P160" s="406"/>
      <c r="Q160" s="406"/>
      <c r="R160" s="406"/>
      <c r="S160" s="406"/>
      <c r="T160" s="406"/>
      <c r="U160" s="358"/>
      <c r="V160" s="358"/>
      <c r="W160" s="358"/>
      <c r="X160" s="358"/>
      <c r="Y160" s="358"/>
      <c r="Z160" s="358"/>
      <c r="AA160" s="358"/>
      <c r="AB160" s="358"/>
      <c r="AC160" s="358"/>
      <c r="AD160" s="358"/>
      <c r="AE160" s="358"/>
      <c r="AF160" s="358"/>
      <c r="AG160" s="358"/>
      <c r="AH160" s="358"/>
      <c r="AI160" s="358"/>
      <c r="AJ160" s="358"/>
      <c r="AK160" s="358"/>
      <c r="AL160" s="358"/>
      <c r="AM160" s="358"/>
      <c r="AN160" s="358"/>
      <c r="AO160" s="358"/>
      <c r="AP160" s="358"/>
      <c r="AQ160" s="358"/>
      <c r="AR160" s="358"/>
      <c r="AS160" s="358"/>
      <c r="AT160" s="358"/>
      <c r="AU160" s="358"/>
      <c r="AV160" s="358"/>
      <c r="AW160" s="358"/>
      <c r="AX160" s="358"/>
      <c r="AY160" s="358"/>
      <c r="AZ160" s="358"/>
      <c r="BA160" s="358"/>
      <c r="BB160" s="358"/>
      <c r="BC160" s="358"/>
      <c r="BD160" s="358"/>
      <c r="BE160" s="358"/>
      <c r="BF160" s="358"/>
      <c r="BG160" s="358"/>
      <c r="BH160" s="358"/>
      <c r="BI160" s="358"/>
      <c r="BJ160" s="358"/>
      <c r="BK160" s="358"/>
      <c r="BL160" s="358"/>
      <c r="BM160" s="358"/>
      <c r="BN160" s="358"/>
      <c r="BO160" s="358"/>
      <c r="BP160" s="358"/>
      <c r="BQ160" s="358"/>
      <c r="BR160" s="358"/>
      <c r="BS160" s="358"/>
      <c r="BT160" s="358"/>
      <c r="BU160" s="358"/>
      <c r="BV160" s="358"/>
      <c r="BW160" s="358"/>
      <c r="BX160" s="358"/>
      <c r="BY160" s="358"/>
      <c r="BZ160" s="358"/>
      <c r="CA160" s="358"/>
      <c r="CB160" s="358"/>
      <c r="CC160" s="358"/>
      <c r="CD160" s="358"/>
      <c r="CE160" s="358"/>
      <c r="CF160" s="358"/>
      <c r="CG160" s="358"/>
      <c r="CH160" s="358"/>
      <c r="CI160" s="358"/>
      <c r="CJ160" s="358"/>
      <c r="CK160" s="358"/>
      <c r="CL160" s="358"/>
      <c r="CM160" s="358"/>
      <c r="CN160" s="358"/>
      <c r="CO160" s="358"/>
      <c r="CP160" s="358"/>
      <c r="CQ160" s="358"/>
      <c r="CR160" s="358"/>
      <c r="CS160" s="358"/>
      <c r="CT160" s="358"/>
      <c r="CU160" s="358"/>
      <c r="CV160" s="358"/>
      <c r="CW160" s="358"/>
      <c r="CX160" s="358"/>
      <c r="CY160" s="358"/>
      <c r="CZ160" s="358"/>
      <c r="DA160" s="358"/>
      <c r="DB160" s="358"/>
      <c r="DC160" s="358"/>
      <c r="DD160" s="358"/>
      <c r="DE160" s="358"/>
      <c r="DF160" s="358"/>
      <c r="DG160" s="358"/>
      <c r="DH160" s="358"/>
      <c r="DI160" s="358"/>
      <c r="DJ160" s="358"/>
      <c r="DK160" s="358"/>
      <c r="DL160" s="358"/>
      <c r="DM160" s="358"/>
      <c r="DN160" s="358"/>
      <c r="DO160" s="358"/>
      <c r="DP160" s="358"/>
      <c r="DQ160" s="358"/>
      <c r="DR160" s="358"/>
      <c r="DS160" s="358"/>
      <c r="DT160" s="358"/>
      <c r="DU160" s="358"/>
      <c r="DV160" s="358"/>
      <c r="DW160" s="358"/>
      <c r="DX160" s="358"/>
      <c r="DY160" s="358"/>
      <c r="DZ160" s="358"/>
      <c r="EA160" s="358"/>
      <c r="EB160" s="358"/>
      <c r="EC160" s="358"/>
      <c r="ED160" s="358"/>
      <c r="EE160" s="358"/>
      <c r="EF160" s="358"/>
      <c r="EG160" s="358"/>
      <c r="EH160" s="358"/>
      <c r="EI160" s="358"/>
      <c r="EJ160" s="358"/>
      <c r="EK160" s="358"/>
      <c r="EL160" s="358"/>
      <c r="EM160" s="358"/>
      <c r="EN160" s="358"/>
      <c r="EO160" s="358"/>
      <c r="EP160" s="358"/>
      <c r="EQ160" s="358"/>
      <c r="ER160" s="358"/>
      <c r="ES160" s="358"/>
      <c r="ET160" s="358"/>
      <c r="EU160" s="358"/>
      <c r="EV160" s="358"/>
      <c r="EW160" s="358"/>
      <c r="EX160" s="358"/>
      <c r="EY160" s="358"/>
      <c r="EZ160" s="358"/>
      <c r="FA160" s="358"/>
      <c r="FB160" s="358"/>
      <c r="FC160" s="358"/>
      <c r="FD160" s="358"/>
      <c r="FE160" s="358"/>
      <c r="FF160" s="358"/>
      <c r="FG160" s="358"/>
      <c r="FH160" s="358"/>
      <c r="FI160" s="358"/>
      <c r="FJ160" s="358"/>
      <c r="FK160" s="358"/>
      <c r="FL160" s="358"/>
      <c r="FM160" s="358"/>
      <c r="FN160" s="358"/>
      <c r="FO160" s="358"/>
      <c r="FP160" s="358"/>
      <c r="FQ160" s="358"/>
      <c r="FR160" s="358"/>
      <c r="FS160" s="358"/>
      <c r="FT160" s="358"/>
      <c r="FU160" s="358"/>
      <c r="FV160" s="358"/>
      <c r="FW160" s="358"/>
      <c r="FX160" s="358"/>
      <c r="FY160" s="358"/>
      <c r="FZ160" s="358"/>
      <c r="GA160" s="358"/>
      <c r="GB160" s="358"/>
      <c r="GC160" s="358"/>
      <c r="GD160" s="358"/>
      <c r="GE160" s="358"/>
      <c r="GF160" s="358"/>
      <c r="GG160" s="358"/>
      <c r="GH160" s="358"/>
      <c r="GI160" s="358"/>
      <c r="GJ160" s="358"/>
      <c r="GK160" s="358"/>
      <c r="GL160" s="358"/>
      <c r="GM160" s="358"/>
      <c r="GN160" s="358"/>
      <c r="GO160" s="358"/>
      <c r="GP160" s="358"/>
      <c r="GQ160" s="358"/>
      <c r="GR160" s="358"/>
      <c r="GS160" s="358"/>
      <c r="GT160" s="358"/>
      <c r="GU160" s="358"/>
      <c r="GV160" s="358"/>
      <c r="GW160" s="358"/>
      <c r="GX160" s="358"/>
      <c r="GY160" s="358"/>
      <c r="GZ160" s="358"/>
      <c r="HA160" s="358"/>
      <c r="HB160" s="358"/>
      <c r="HC160" s="358"/>
      <c r="HD160" s="358"/>
      <c r="HE160" s="358"/>
      <c r="HF160" s="358"/>
      <c r="HG160" s="358"/>
      <c r="HH160" s="358"/>
      <c r="HI160" s="358"/>
      <c r="HJ160" s="358"/>
      <c r="HK160" s="358"/>
      <c r="HL160" s="358"/>
      <c r="HM160" s="358"/>
      <c r="HN160" s="358"/>
      <c r="HO160" s="358"/>
      <c r="HP160" s="358"/>
      <c r="HQ160" s="358"/>
      <c r="HR160" s="358"/>
      <c r="HS160" s="358"/>
      <c r="HT160" s="358"/>
      <c r="HU160" s="358"/>
      <c r="HV160" s="358"/>
      <c r="HW160" s="358"/>
      <c r="HX160" s="358"/>
    </row>
    <row r="161" spans="1:232" s="5" customFormat="1" ht="20.100000000000001" customHeight="1">
      <c r="A161" s="503">
        <v>2</v>
      </c>
      <c r="B161" s="1597" t="s">
        <v>434</v>
      </c>
      <c r="C161" s="1597"/>
      <c r="D161" s="1597"/>
      <c r="E161" s="1597"/>
      <c r="F161" s="1598" t="s">
        <v>450</v>
      </c>
      <c r="G161" s="1598"/>
      <c r="H161" s="1598"/>
      <c r="I161" s="562" t="s">
        <v>471</v>
      </c>
      <c r="J161" s="506"/>
      <c r="O161" s="406"/>
      <c r="P161" s="406"/>
      <c r="Q161" s="406"/>
      <c r="R161" s="406"/>
      <c r="S161" s="406"/>
      <c r="T161" s="406"/>
      <c r="U161" s="358"/>
      <c r="V161" s="358"/>
      <c r="W161" s="358"/>
      <c r="X161" s="358"/>
      <c r="Y161" s="358"/>
      <c r="Z161" s="358"/>
      <c r="AA161" s="358"/>
      <c r="AB161" s="358"/>
      <c r="AC161" s="358"/>
      <c r="AD161" s="358"/>
      <c r="AE161" s="358"/>
      <c r="AF161" s="358"/>
      <c r="AG161" s="358"/>
      <c r="AH161" s="358"/>
      <c r="AI161" s="358"/>
      <c r="AJ161" s="358"/>
      <c r="AK161" s="358"/>
      <c r="AL161" s="358"/>
      <c r="AM161" s="358"/>
      <c r="AN161" s="358"/>
      <c r="AO161" s="358"/>
      <c r="AP161" s="358"/>
      <c r="AQ161" s="358"/>
      <c r="AR161" s="358"/>
      <c r="AS161" s="358"/>
      <c r="AT161" s="358"/>
      <c r="AU161" s="358"/>
      <c r="AV161" s="358"/>
      <c r="AW161" s="358"/>
      <c r="AX161" s="358"/>
      <c r="AY161" s="358"/>
      <c r="AZ161" s="358"/>
      <c r="BA161" s="358"/>
      <c r="BB161" s="358"/>
      <c r="BC161" s="358"/>
      <c r="BD161" s="358"/>
      <c r="BE161" s="358"/>
      <c r="BF161" s="358"/>
      <c r="BG161" s="358"/>
      <c r="BH161" s="358"/>
      <c r="BI161" s="358"/>
      <c r="BJ161" s="358"/>
      <c r="BK161" s="358"/>
      <c r="BL161" s="358"/>
      <c r="BM161" s="358"/>
      <c r="BN161" s="358"/>
      <c r="BO161" s="358"/>
      <c r="BP161" s="358"/>
      <c r="BQ161" s="358"/>
      <c r="BR161" s="358"/>
      <c r="BS161" s="358"/>
      <c r="BT161" s="358"/>
      <c r="BU161" s="358"/>
      <c r="BV161" s="358"/>
      <c r="BW161" s="358"/>
      <c r="BX161" s="358"/>
      <c r="BY161" s="358"/>
      <c r="BZ161" s="358"/>
      <c r="CA161" s="358"/>
      <c r="CB161" s="358"/>
      <c r="CC161" s="358"/>
      <c r="CD161" s="358"/>
      <c r="CE161" s="358"/>
      <c r="CF161" s="358"/>
      <c r="CG161" s="358"/>
      <c r="CH161" s="358"/>
      <c r="CI161" s="358"/>
      <c r="CJ161" s="358"/>
      <c r="CK161" s="358"/>
      <c r="CL161" s="358"/>
      <c r="CM161" s="358"/>
      <c r="CN161" s="358"/>
      <c r="CO161" s="358"/>
      <c r="CP161" s="358"/>
      <c r="CQ161" s="358"/>
      <c r="CR161" s="358"/>
      <c r="CS161" s="358"/>
      <c r="CT161" s="358"/>
      <c r="CU161" s="358"/>
      <c r="CV161" s="358"/>
      <c r="CW161" s="358"/>
      <c r="CX161" s="358"/>
      <c r="CY161" s="358"/>
      <c r="CZ161" s="358"/>
      <c r="DA161" s="358"/>
      <c r="DB161" s="358"/>
      <c r="DC161" s="358"/>
      <c r="DD161" s="358"/>
      <c r="DE161" s="358"/>
      <c r="DF161" s="358"/>
      <c r="DG161" s="358"/>
      <c r="DH161" s="358"/>
      <c r="DI161" s="358"/>
      <c r="DJ161" s="358"/>
      <c r="DK161" s="358"/>
      <c r="DL161" s="358"/>
      <c r="DM161" s="358"/>
      <c r="DN161" s="358"/>
      <c r="DO161" s="358"/>
      <c r="DP161" s="358"/>
      <c r="DQ161" s="358"/>
      <c r="DR161" s="358"/>
      <c r="DS161" s="358"/>
      <c r="DT161" s="358"/>
      <c r="DU161" s="358"/>
      <c r="DV161" s="358"/>
      <c r="DW161" s="358"/>
      <c r="DX161" s="358"/>
      <c r="DY161" s="358"/>
      <c r="DZ161" s="358"/>
      <c r="EA161" s="358"/>
      <c r="EB161" s="358"/>
      <c r="EC161" s="358"/>
      <c r="ED161" s="358"/>
      <c r="EE161" s="358"/>
      <c r="EF161" s="358"/>
      <c r="EG161" s="358"/>
      <c r="EH161" s="358"/>
      <c r="EI161" s="358"/>
      <c r="EJ161" s="358"/>
      <c r="EK161" s="358"/>
      <c r="EL161" s="358"/>
      <c r="EM161" s="358"/>
      <c r="EN161" s="358"/>
      <c r="EO161" s="358"/>
      <c r="EP161" s="358"/>
      <c r="EQ161" s="358"/>
      <c r="ER161" s="358"/>
      <c r="ES161" s="358"/>
      <c r="ET161" s="358"/>
      <c r="EU161" s="358"/>
      <c r="EV161" s="358"/>
      <c r="EW161" s="358"/>
      <c r="EX161" s="358"/>
      <c r="EY161" s="358"/>
      <c r="EZ161" s="358"/>
      <c r="FA161" s="358"/>
      <c r="FB161" s="358"/>
      <c r="FC161" s="358"/>
      <c r="FD161" s="358"/>
      <c r="FE161" s="358"/>
      <c r="FF161" s="358"/>
      <c r="FG161" s="358"/>
      <c r="FH161" s="358"/>
      <c r="FI161" s="358"/>
      <c r="FJ161" s="358"/>
      <c r="FK161" s="358"/>
      <c r="FL161" s="358"/>
      <c r="FM161" s="358"/>
      <c r="FN161" s="358"/>
      <c r="FO161" s="358"/>
      <c r="FP161" s="358"/>
      <c r="FQ161" s="358"/>
      <c r="FR161" s="358"/>
      <c r="FS161" s="358"/>
      <c r="FT161" s="358"/>
      <c r="FU161" s="358"/>
      <c r="FV161" s="358"/>
      <c r="FW161" s="358"/>
      <c r="FX161" s="358"/>
      <c r="FY161" s="358"/>
      <c r="FZ161" s="358"/>
      <c r="GA161" s="358"/>
      <c r="GB161" s="358"/>
      <c r="GC161" s="358"/>
      <c r="GD161" s="358"/>
      <c r="GE161" s="358"/>
      <c r="GF161" s="358"/>
      <c r="GG161" s="358"/>
      <c r="GH161" s="358"/>
      <c r="GI161" s="358"/>
      <c r="GJ161" s="358"/>
      <c r="GK161" s="358"/>
      <c r="GL161" s="358"/>
      <c r="GM161" s="358"/>
      <c r="GN161" s="358"/>
      <c r="GO161" s="358"/>
      <c r="GP161" s="358"/>
      <c r="GQ161" s="358"/>
      <c r="GR161" s="358"/>
      <c r="GS161" s="358"/>
      <c r="GT161" s="358"/>
      <c r="GU161" s="358"/>
      <c r="GV161" s="358"/>
      <c r="GW161" s="358"/>
      <c r="GX161" s="358"/>
      <c r="GY161" s="358"/>
      <c r="GZ161" s="358"/>
      <c r="HA161" s="358"/>
      <c r="HB161" s="358"/>
      <c r="HC161" s="358"/>
      <c r="HD161" s="358"/>
      <c r="HE161" s="358"/>
      <c r="HF161" s="358"/>
      <c r="HG161" s="358"/>
      <c r="HH161" s="358"/>
      <c r="HI161" s="358"/>
      <c r="HJ161" s="358"/>
      <c r="HK161" s="358"/>
      <c r="HL161" s="358"/>
      <c r="HM161" s="358"/>
      <c r="HN161" s="358"/>
      <c r="HO161" s="358"/>
      <c r="HP161" s="358"/>
      <c r="HQ161" s="358"/>
      <c r="HR161" s="358"/>
      <c r="HS161" s="358"/>
      <c r="HT161" s="358"/>
      <c r="HU161" s="358"/>
      <c r="HV161" s="358"/>
      <c r="HW161" s="358"/>
      <c r="HX161" s="358"/>
    </row>
    <row r="162" spans="1:232" s="5" customFormat="1" ht="20.100000000000001" customHeight="1">
      <c r="A162" s="503">
        <v>3</v>
      </c>
      <c r="B162" s="1661" t="s">
        <v>61</v>
      </c>
      <c r="C162" s="1662"/>
      <c r="D162" s="1662"/>
      <c r="E162" s="1663"/>
      <c r="F162" s="1598" t="s">
        <v>435</v>
      </c>
      <c r="G162" s="1598"/>
      <c r="H162" s="1598"/>
      <c r="I162" s="562" t="s">
        <v>471</v>
      </c>
      <c r="J162" s="506"/>
      <c r="O162" s="406"/>
      <c r="P162" s="406"/>
      <c r="Q162" s="406"/>
      <c r="R162" s="406"/>
      <c r="S162" s="406"/>
      <c r="T162" s="405"/>
      <c r="U162" s="358"/>
      <c r="V162" s="358"/>
      <c r="W162" s="358"/>
      <c r="X162" s="358"/>
      <c r="Y162" s="358"/>
      <c r="Z162" s="358"/>
      <c r="AA162" s="358"/>
      <c r="AB162" s="358"/>
      <c r="AC162" s="358"/>
      <c r="AD162" s="358"/>
      <c r="AE162" s="358"/>
      <c r="AF162" s="358"/>
      <c r="AG162" s="358"/>
      <c r="AH162" s="358"/>
      <c r="AI162" s="358"/>
      <c r="AJ162" s="358"/>
      <c r="AK162" s="358"/>
      <c r="AL162" s="358"/>
      <c r="AM162" s="358"/>
      <c r="AN162" s="358"/>
      <c r="AO162" s="358"/>
      <c r="AP162" s="358"/>
      <c r="AQ162" s="358"/>
      <c r="AR162" s="358"/>
      <c r="AS162" s="358"/>
      <c r="AT162" s="358"/>
      <c r="AU162" s="358"/>
      <c r="AV162" s="358"/>
      <c r="AW162" s="358"/>
      <c r="AX162" s="358"/>
      <c r="AY162" s="358"/>
      <c r="AZ162" s="358"/>
      <c r="BA162" s="358"/>
      <c r="BB162" s="358"/>
      <c r="BC162" s="358"/>
      <c r="BD162" s="358"/>
      <c r="BE162" s="358"/>
      <c r="BF162" s="358"/>
      <c r="BG162" s="358"/>
      <c r="BH162" s="358"/>
      <c r="BI162" s="358"/>
      <c r="BJ162" s="358"/>
      <c r="BK162" s="358"/>
      <c r="BL162" s="358"/>
      <c r="BM162" s="358"/>
      <c r="BN162" s="358"/>
      <c r="BO162" s="358"/>
      <c r="BP162" s="358"/>
      <c r="BQ162" s="358"/>
      <c r="BR162" s="358"/>
      <c r="BS162" s="358"/>
      <c r="BT162" s="358"/>
      <c r="BU162" s="358"/>
      <c r="BV162" s="358"/>
      <c r="BW162" s="358"/>
      <c r="BX162" s="358"/>
      <c r="BY162" s="358"/>
      <c r="BZ162" s="358"/>
      <c r="CA162" s="358"/>
      <c r="CB162" s="358"/>
      <c r="CC162" s="358"/>
      <c r="CD162" s="358"/>
      <c r="CE162" s="358"/>
      <c r="CF162" s="358"/>
      <c r="CG162" s="358"/>
      <c r="CH162" s="358"/>
      <c r="CI162" s="358"/>
      <c r="CJ162" s="358"/>
      <c r="CK162" s="358"/>
      <c r="CL162" s="358"/>
      <c r="CM162" s="358"/>
      <c r="CN162" s="358"/>
      <c r="CO162" s="358"/>
      <c r="CP162" s="358"/>
      <c r="CQ162" s="358"/>
      <c r="CR162" s="358"/>
      <c r="CS162" s="358"/>
      <c r="CT162" s="358"/>
      <c r="CU162" s="358"/>
      <c r="CV162" s="358"/>
      <c r="CW162" s="358"/>
      <c r="CX162" s="358"/>
      <c r="CY162" s="358"/>
      <c r="CZ162" s="358"/>
      <c r="DA162" s="358"/>
      <c r="DB162" s="358"/>
      <c r="DC162" s="358"/>
      <c r="DD162" s="358"/>
      <c r="DE162" s="358"/>
      <c r="DF162" s="358"/>
      <c r="DG162" s="358"/>
      <c r="DH162" s="358"/>
      <c r="DI162" s="358"/>
      <c r="DJ162" s="358"/>
      <c r="DK162" s="358"/>
      <c r="DL162" s="358"/>
      <c r="DM162" s="358"/>
      <c r="DN162" s="358"/>
      <c r="DO162" s="358"/>
      <c r="DP162" s="358"/>
      <c r="DQ162" s="358"/>
      <c r="DR162" s="358"/>
      <c r="DS162" s="358"/>
      <c r="DT162" s="358"/>
      <c r="DU162" s="358"/>
      <c r="DV162" s="358"/>
      <c r="DW162" s="358"/>
      <c r="DX162" s="358"/>
      <c r="DY162" s="358"/>
      <c r="DZ162" s="358"/>
      <c r="EA162" s="358"/>
      <c r="EB162" s="358"/>
      <c r="EC162" s="358"/>
      <c r="ED162" s="358"/>
      <c r="EE162" s="358"/>
      <c r="EF162" s="358"/>
      <c r="EG162" s="358"/>
      <c r="EH162" s="358"/>
      <c r="EI162" s="358"/>
      <c r="EJ162" s="358"/>
      <c r="EK162" s="358"/>
      <c r="EL162" s="358"/>
      <c r="EM162" s="358"/>
      <c r="EN162" s="358"/>
      <c r="EO162" s="358"/>
      <c r="EP162" s="358"/>
      <c r="EQ162" s="358"/>
      <c r="ER162" s="358"/>
      <c r="ES162" s="358"/>
      <c r="ET162" s="358"/>
      <c r="EU162" s="358"/>
      <c r="EV162" s="358"/>
      <c r="EW162" s="358"/>
      <c r="EX162" s="358"/>
      <c r="EY162" s="358"/>
      <c r="EZ162" s="358"/>
      <c r="FA162" s="358"/>
      <c r="FB162" s="358"/>
      <c r="FC162" s="358"/>
      <c r="FD162" s="358"/>
      <c r="FE162" s="358"/>
      <c r="FF162" s="358"/>
      <c r="FG162" s="358"/>
      <c r="FH162" s="358"/>
      <c r="FI162" s="358"/>
      <c r="FJ162" s="358"/>
      <c r="FK162" s="358"/>
      <c r="FL162" s="358"/>
      <c r="FM162" s="358"/>
      <c r="FN162" s="358"/>
      <c r="FO162" s="358"/>
      <c r="FP162" s="358"/>
      <c r="FQ162" s="358"/>
      <c r="FR162" s="358"/>
      <c r="FS162" s="358"/>
      <c r="FT162" s="358"/>
      <c r="FU162" s="358"/>
      <c r="FV162" s="358"/>
      <c r="FW162" s="358"/>
      <c r="FX162" s="358"/>
      <c r="FY162" s="358"/>
      <c r="FZ162" s="358"/>
      <c r="GA162" s="358"/>
      <c r="GB162" s="358"/>
      <c r="GC162" s="358"/>
      <c r="GD162" s="358"/>
      <c r="GE162" s="358"/>
      <c r="GF162" s="358"/>
      <c r="GG162" s="358"/>
      <c r="GH162" s="358"/>
      <c r="GI162" s="358"/>
      <c r="GJ162" s="358"/>
      <c r="GK162" s="358"/>
      <c r="GL162" s="358"/>
      <c r="GM162" s="358"/>
      <c r="GN162" s="358"/>
      <c r="GO162" s="358"/>
      <c r="GP162" s="358"/>
      <c r="GQ162" s="358"/>
      <c r="GR162" s="358"/>
      <c r="GS162" s="358"/>
      <c r="GT162" s="358"/>
      <c r="GU162" s="358"/>
      <c r="GV162" s="358"/>
      <c r="GW162" s="358"/>
      <c r="GX162" s="358"/>
      <c r="GY162" s="358"/>
      <c r="GZ162" s="358"/>
      <c r="HA162" s="358"/>
      <c r="HB162" s="358"/>
      <c r="HC162" s="358"/>
      <c r="HD162" s="358"/>
      <c r="HE162" s="358"/>
      <c r="HF162" s="358"/>
      <c r="HG162" s="358"/>
      <c r="HH162" s="358"/>
      <c r="HI162" s="358"/>
      <c r="HJ162" s="358"/>
      <c r="HK162" s="358"/>
      <c r="HL162" s="358"/>
      <c r="HM162" s="358"/>
      <c r="HN162" s="358"/>
      <c r="HO162" s="358"/>
      <c r="HP162" s="358"/>
      <c r="HQ162" s="358"/>
      <c r="HR162" s="358"/>
      <c r="HS162" s="358"/>
      <c r="HT162" s="358"/>
      <c r="HU162" s="358"/>
      <c r="HV162" s="358"/>
      <c r="HW162" s="358"/>
      <c r="HX162" s="358"/>
    </row>
    <row r="163" spans="1:232" s="5" customFormat="1" ht="20.100000000000001" customHeight="1">
      <c r="A163" s="503"/>
      <c r="B163" s="1661"/>
      <c r="C163" s="1662"/>
      <c r="D163" s="1662"/>
      <c r="E163" s="1663"/>
      <c r="F163" s="1598"/>
      <c r="G163" s="1598"/>
      <c r="H163" s="1598"/>
      <c r="I163" s="562"/>
      <c r="J163" s="506"/>
      <c r="O163" s="405"/>
      <c r="P163" s="405"/>
      <c r="Q163" s="405"/>
      <c r="R163" s="405"/>
      <c r="S163" s="405"/>
      <c r="T163" s="405"/>
      <c r="U163" s="358"/>
      <c r="V163" s="358"/>
      <c r="W163" s="358"/>
      <c r="X163" s="358"/>
      <c r="Y163" s="358"/>
      <c r="Z163" s="358"/>
      <c r="AA163" s="358"/>
      <c r="AB163" s="358"/>
      <c r="AC163" s="358"/>
      <c r="AD163" s="358"/>
      <c r="AE163" s="358"/>
      <c r="AF163" s="358"/>
      <c r="AG163" s="358"/>
      <c r="AH163" s="358"/>
      <c r="AI163" s="358"/>
      <c r="AJ163" s="358"/>
      <c r="AK163" s="358"/>
      <c r="AL163" s="358"/>
      <c r="AM163" s="358"/>
      <c r="AN163" s="358"/>
      <c r="AO163" s="358"/>
      <c r="AP163" s="358"/>
      <c r="AQ163" s="358"/>
      <c r="AR163" s="358"/>
      <c r="AS163" s="358"/>
      <c r="AT163" s="358"/>
      <c r="AU163" s="358"/>
      <c r="AV163" s="358"/>
      <c r="AW163" s="358"/>
      <c r="AX163" s="358"/>
      <c r="AY163" s="358"/>
      <c r="AZ163" s="358"/>
      <c r="BA163" s="358"/>
      <c r="BB163" s="358"/>
      <c r="BC163" s="358"/>
      <c r="BD163" s="358"/>
      <c r="BE163" s="358"/>
      <c r="BF163" s="358"/>
      <c r="BG163" s="358"/>
      <c r="BH163" s="358"/>
      <c r="BI163" s="358"/>
      <c r="BJ163" s="358"/>
      <c r="BK163" s="358"/>
      <c r="BL163" s="358"/>
      <c r="BM163" s="358"/>
      <c r="BN163" s="358"/>
      <c r="BO163" s="358"/>
      <c r="BP163" s="358"/>
      <c r="BQ163" s="358"/>
      <c r="BR163" s="358"/>
      <c r="BS163" s="358"/>
      <c r="BT163" s="358"/>
      <c r="BU163" s="358"/>
      <c r="BV163" s="358"/>
      <c r="BW163" s="358"/>
      <c r="BX163" s="358"/>
      <c r="BY163" s="358"/>
      <c r="BZ163" s="358"/>
      <c r="CA163" s="358"/>
      <c r="CB163" s="358"/>
      <c r="CC163" s="358"/>
      <c r="CD163" s="358"/>
      <c r="CE163" s="358"/>
      <c r="CF163" s="358"/>
      <c r="CG163" s="358"/>
      <c r="CH163" s="358"/>
      <c r="CI163" s="358"/>
      <c r="CJ163" s="358"/>
      <c r="CK163" s="358"/>
      <c r="CL163" s="358"/>
      <c r="CM163" s="358"/>
      <c r="CN163" s="358"/>
      <c r="CO163" s="358"/>
      <c r="CP163" s="358"/>
      <c r="CQ163" s="358"/>
      <c r="CR163" s="358"/>
      <c r="CS163" s="358"/>
      <c r="CT163" s="358"/>
      <c r="CU163" s="358"/>
      <c r="CV163" s="358"/>
      <c r="CW163" s="358"/>
      <c r="CX163" s="358"/>
      <c r="CY163" s="358"/>
      <c r="CZ163" s="358"/>
      <c r="DA163" s="358"/>
      <c r="DB163" s="358"/>
      <c r="DC163" s="358"/>
      <c r="DD163" s="358"/>
      <c r="DE163" s="358"/>
      <c r="DF163" s="358"/>
      <c r="DG163" s="358"/>
      <c r="DH163" s="358"/>
      <c r="DI163" s="358"/>
      <c r="DJ163" s="358"/>
      <c r="DK163" s="358"/>
      <c r="DL163" s="358"/>
      <c r="DM163" s="358"/>
      <c r="DN163" s="358"/>
      <c r="DO163" s="358"/>
      <c r="DP163" s="358"/>
      <c r="DQ163" s="358"/>
      <c r="DR163" s="358"/>
      <c r="DS163" s="358"/>
      <c r="DT163" s="358"/>
      <c r="DU163" s="358"/>
      <c r="DV163" s="358"/>
      <c r="DW163" s="358"/>
      <c r="DX163" s="358"/>
      <c r="DY163" s="358"/>
      <c r="DZ163" s="358"/>
      <c r="EA163" s="358"/>
      <c r="EB163" s="358"/>
      <c r="EC163" s="358"/>
      <c r="ED163" s="358"/>
      <c r="EE163" s="358"/>
      <c r="EF163" s="358"/>
      <c r="EG163" s="358"/>
      <c r="EH163" s="358"/>
      <c r="EI163" s="358"/>
      <c r="EJ163" s="358"/>
      <c r="EK163" s="358"/>
      <c r="EL163" s="358"/>
      <c r="EM163" s="358"/>
      <c r="EN163" s="358"/>
      <c r="EO163" s="358"/>
      <c r="EP163" s="358"/>
      <c r="EQ163" s="358"/>
      <c r="ER163" s="358"/>
      <c r="ES163" s="358"/>
      <c r="ET163" s="358"/>
      <c r="EU163" s="358"/>
      <c r="EV163" s="358"/>
      <c r="EW163" s="358"/>
      <c r="EX163" s="358"/>
      <c r="EY163" s="358"/>
      <c r="EZ163" s="358"/>
      <c r="FA163" s="358"/>
      <c r="FB163" s="358"/>
      <c r="FC163" s="358"/>
      <c r="FD163" s="358"/>
      <c r="FE163" s="358"/>
      <c r="FF163" s="358"/>
      <c r="FG163" s="358"/>
      <c r="FH163" s="358"/>
      <c r="FI163" s="358"/>
      <c r="FJ163" s="358"/>
      <c r="FK163" s="358"/>
      <c r="FL163" s="358"/>
      <c r="FM163" s="358"/>
      <c r="FN163" s="358"/>
      <c r="FO163" s="358"/>
      <c r="FP163" s="358"/>
      <c r="FQ163" s="358"/>
      <c r="FR163" s="358"/>
      <c r="FS163" s="358"/>
      <c r="FT163" s="358"/>
      <c r="FU163" s="358"/>
      <c r="FV163" s="358"/>
      <c r="FW163" s="358"/>
      <c r="FX163" s="358"/>
      <c r="FY163" s="358"/>
      <c r="FZ163" s="358"/>
      <c r="GA163" s="358"/>
      <c r="GB163" s="358"/>
      <c r="GC163" s="358"/>
      <c r="GD163" s="358"/>
      <c r="GE163" s="358"/>
      <c r="GF163" s="358"/>
      <c r="GG163" s="358"/>
      <c r="GH163" s="358"/>
      <c r="GI163" s="358"/>
      <c r="GJ163" s="358"/>
      <c r="GK163" s="358"/>
      <c r="GL163" s="358"/>
      <c r="GM163" s="358"/>
      <c r="GN163" s="358"/>
      <c r="GO163" s="358"/>
      <c r="GP163" s="358"/>
      <c r="GQ163" s="358"/>
      <c r="GR163" s="358"/>
      <c r="GS163" s="358"/>
      <c r="GT163" s="358"/>
      <c r="GU163" s="358"/>
      <c r="GV163" s="358"/>
      <c r="GW163" s="358"/>
      <c r="GX163" s="358"/>
      <c r="GY163" s="358"/>
      <c r="GZ163" s="358"/>
      <c r="HA163" s="358"/>
      <c r="HB163" s="358"/>
      <c r="HC163" s="358"/>
      <c r="HD163" s="358"/>
      <c r="HE163" s="358"/>
      <c r="HF163" s="358"/>
      <c r="HG163" s="358"/>
      <c r="HH163" s="358"/>
      <c r="HI163" s="358"/>
      <c r="HJ163" s="358"/>
      <c r="HK163" s="358"/>
      <c r="HL163" s="358"/>
      <c r="HM163" s="358"/>
      <c r="HN163" s="358"/>
      <c r="HO163" s="358"/>
      <c r="HP163" s="358"/>
      <c r="HQ163" s="358"/>
      <c r="HR163" s="358"/>
      <c r="HS163" s="358"/>
      <c r="HT163" s="358"/>
      <c r="HU163" s="358"/>
      <c r="HV163" s="358"/>
      <c r="HW163" s="358"/>
      <c r="HX163" s="358"/>
    </row>
    <row r="164" spans="1:232" s="5" customFormat="1" ht="20.100000000000001" customHeight="1">
      <c r="A164" s="503"/>
      <c r="B164" s="1661"/>
      <c r="C164" s="1662"/>
      <c r="D164" s="1662"/>
      <c r="E164" s="1663"/>
      <c r="F164" s="1598"/>
      <c r="G164" s="1598"/>
      <c r="H164" s="1598"/>
      <c r="I164" s="562"/>
      <c r="J164" s="506"/>
      <c r="O164" s="405"/>
      <c r="P164" s="405"/>
      <c r="Q164" s="405"/>
      <c r="R164" s="405"/>
      <c r="S164" s="405"/>
      <c r="T164" s="405"/>
      <c r="U164" s="358"/>
      <c r="V164" s="358"/>
      <c r="W164" s="358"/>
      <c r="X164" s="358"/>
      <c r="Y164" s="358"/>
      <c r="Z164" s="358"/>
      <c r="AA164" s="358"/>
      <c r="AB164" s="358"/>
      <c r="AC164" s="358"/>
      <c r="AD164" s="358"/>
      <c r="AE164" s="358"/>
      <c r="AF164" s="358"/>
      <c r="AG164" s="358"/>
      <c r="AH164" s="358"/>
      <c r="AI164" s="358"/>
      <c r="AJ164" s="358"/>
      <c r="AK164" s="358"/>
      <c r="AL164" s="358"/>
      <c r="AM164" s="358"/>
      <c r="AN164" s="358"/>
      <c r="AO164" s="358"/>
      <c r="AP164" s="358"/>
      <c r="AQ164" s="358"/>
      <c r="AR164" s="358"/>
      <c r="AS164" s="358"/>
      <c r="AT164" s="358"/>
      <c r="AU164" s="358"/>
      <c r="AV164" s="358"/>
      <c r="AW164" s="358"/>
      <c r="AX164" s="358"/>
      <c r="AY164" s="358"/>
      <c r="AZ164" s="358"/>
      <c r="BA164" s="358"/>
      <c r="BB164" s="358"/>
      <c r="BC164" s="358"/>
      <c r="BD164" s="358"/>
      <c r="BE164" s="358"/>
      <c r="BF164" s="358"/>
      <c r="BG164" s="358"/>
      <c r="BH164" s="358"/>
      <c r="BI164" s="358"/>
      <c r="BJ164" s="358"/>
      <c r="BK164" s="358"/>
      <c r="BL164" s="358"/>
      <c r="BM164" s="358"/>
      <c r="BN164" s="358"/>
      <c r="BO164" s="358"/>
      <c r="BP164" s="358"/>
      <c r="BQ164" s="358"/>
      <c r="BR164" s="358"/>
      <c r="BS164" s="358"/>
      <c r="BT164" s="358"/>
      <c r="BU164" s="358"/>
      <c r="BV164" s="358"/>
      <c r="BW164" s="358"/>
      <c r="BX164" s="358"/>
      <c r="BY164" s="358"/>
      <c r="BZ164" s="358"/>
      <c r="CA164" s="358"/>
      <c r="CB164" s="358"/>
      <c r="CC164" s="358"/>
      <c r="CD164" s="358"/>
      <c r="CE164" s="358"/>
      <c r="CF164" s="358"/>
      <c r="CG164" s="358"/>
      <c r="CH164" s="358"/>
      <c r="CI164" s="358"/>
      <c r="CJ164" s="358"/>
      <c r="CK164" s="358"/>
      <c r="CL164" s="358"/>
      <c r="CM164" s="358"/>
      <c r="CN164" s="358"/>
      <c r="CO164" s="358"/>
      <c r="CP164" s="358"/>
      <c r="CQ164" s="358"/>
      <c r="CR164" s="358"/>
      <c r="CS164" s="358"/>
      <c r="CT164" s="358"/>
      <c r="CU164" s="358"/>
      <c r="CV164" s="358"/>
      <c r="CW164" s="358"/>
      <c r="CX164" s="358"/>
      <c r="CY164" s="358"/>
      <c r="CZ164" s="358"/>
      <c r="DA164" s="358"/>
      <c r="DB164" s="358"/>
      <c r="DC164" s="358"/>
      <c r="DD164" s="358"/>
      <c r="DE164" s="358"/>
      <c r="DF164" s="358"/>
      <c r="DG164" s="358"/>
      <c r="DH164" s="358"/>
      <c r="DI164" s="358"/>
      <c r="DJ164" s="358"/>
      <c r="DK164" s="358"/>
      <c r="DL164" s="358"/>
      <c r="DM164" s="358"/>
      <c r="DN164" s="358"/>
      <c r="DO164" s="358"/>
      <c r="DP164" s="358"/>
      <c r="DQ164" s="358"/>
      <c r="DR164" s="358"/>
      <c r="DS164" s="358"/>
      <c r="DT164" s="358"/>
      <c r="DU164" s="358"/>
      <c r="DV164" s="358"/>
      <c r="DW164" s="358"/>
      <c r="DX164" s="358"/>
      <c r="DY164" s="358"/>
      <c r="DZ164" s="358"/>
      <c r="EA164" s="358"/>
      <c r="EB164" s="358"/>
      <c r="EC164" s="358"/>
      <c r="ED164" s="358"/>
      <c r="EE164" s="358"/>
      <c r="EF164" s="358"/>
      <c r="EG164" s="358"/>
      <c r="EH164" s="358"/>
      <c r="EI164" s="358"/>
      <c r="EJ164" s="358"/>
      <c r="EK164" s="358"/>
      <c r="EL164" s="358"/>
      <c r="EM164" s="358"/>
      <c r="EN164" s="358"/>
      <c r="EO164" s="358"/>
      <c r="EP164" s="358"/>
      <c r="EQ164" s="358"/>
      <c r="ER164" s="358"/>
      <c r="ES164" s="358"/>
      <c r="ET164" s="358"/>
      <c r="EU164" s="358"/>
      <c r="EV164" s="358"/>
      <c r="EW164" s="358"/>
      <c r="EX164" s="358"/>
      <c r="EY164" s="358"/>
      <c r="EZ164" s="358"/>
      <c r="FA164" s="358"/>
      <c r="FB164" s="358"/>
      <c r="FC164" s="358"/>
      <c r="FD164" s="358"/>
      <c r="FE164" s="358"/>
      <c r="FF164" s="358"/>
      <c r="FG164" s="358"/>
      <c r="FH164" s="358"/>
      <c r="FI164" s="358"/>
      <c r="FJ164" s="358"/>
      <c r="FK164" s="358"/>
      <c r="FL164" s="358"/>
      <c r="FM164" s="358"/>
      <c r="FN164" s="358"/>
      <c r="FO164" s="358"/>
      <c r="FP164" s="358"/>
      <c r="FQ164" s="358"/>
      <c r="FR164" s="358"/>
      <c r="FS164" s="358"/>
      <c r="FT164" s="358"/>
      <c r="FU164" s="358"/>
      <c r="FV164" s="358"/>
      <c r="FW164" s="358"/>
      <c r="FX164" s="358"/>
      <c r="FY164" s="358"/>
      <c r="FZ164" s="358"/>
      <c r="GA164" s="358"/>
      <c r="GB164" s="358"/>
      <c r="GC164" s="358"/>
      <c r="GD164" s="358"/>
      <c r="GE164" s="358"/>
      <c r="GF164" s="358"/>
      <c r="GG164" s="358"/>
      <c r="GH164" s="358"/>
      <c r="GI164" s="358"/>
      <c r="GJ164" s="358"/>
      <c r="GK164" s="358"/>
      <c r="GL164" s="358"/>
      <c r="GM164" s="358"/>
      <c r="GN164" s="358"/>
      <c r="GO164" s="358"/>
      <c r="GP164" s="358"/>
      <c r="GQ164" s="358"/>
      <c r="GR164" s="358"/>
      <c r="GS164" s="358"/>
      <c r="GT164" s="358"/>
      <c r="GU164" s="358"/>
      <c r="GV164" s="358"/>
      <c r="GW164" s="358"/>
      <c r="GX164" s="358"/>
      <c r="GY164" s="358"/>
      <c r="GZ164" s="358"/>
      <c r="HA164" s="358"/>
      <c r="HB164" s="358"/>
      <c r="HC164" s="358"/>
      <c r="HD164" s="358"/>
      <c r="HE164" s="358"/>
      <c r="HF164" s="358"/>
      <c r="HG164" s="358"/>
      <c r="HH164" s="358"/>
      <c r="HI164" s="358"/>
      <c r="HJ164" s="358"/>
      <c r="HK164" s="358"/>
      <c r="HL164" s="358"/>
      <c r="HM164" s="358"/>
      <c r="HN164" s="358"/>
      <c r="HO164" s="358"/>
      <c r="HP164" s="358"/>
      <c r="HQ164" s="358"/>
      <c r="HR164" s="358"/>
      <c r="HS164" s="358"/>
      <c r="HT164" s="358"/>
      <c r="HU164" s="358"/>
      <c r="HV164" s="358"/>
      <c r="HW164" s="358"/>
      <c r="HX164" s="358"/>
    </row>
    <row r="165" spans="1:232" s="5" customFormat="1" ht="20.100000000000001" customHeight="1">
      <c r="A165" s="521"/>
      <c r="B165" s="522"/>
      <c r="C165" s="522"/>
      <c r="D165" s="522"/>
      <c r="E165" s="522"/>
      <c r="F165" s="523"/>
      <c r="G165" s="523"/>
      <c r="H165" s="523"/>
      <c r="J165" s="502"/>
      <c r="O165" s="405"/>
      <c r="P165" s="405"/>
      <c r="Q165" s="405"/>
      <c r="R165" s="405"/>
      <c r="S165" s="405"/>
      <c r="T165" s="405"/>
      <c r="U165" s="358"/>
      <c r="V165" s="358"/>
      <c r="W165" s="358"/>
      <c r="X165" s="358"/>
      <c r="Y165" s="358"/>
      <c r="Z165" s="358"/>
      <c r="AA165" s="358"/>
      <c r="AB165" s="358"/>
      <c r="AC165" s="358"/>
      <c r="AD165" s="358"/>
      <c r="AE165" s="358"/>
      <c r="AF165" s="358"/>
      <c r="AG165" s="358"/>
      <c r="AH165" s="358"/>
      <c r="AI165" s="358"/>
      <c r="AJ165" s="358"/>
      <c r="AK165" s="358"/>
      <c r="AL165" s="358"/>
      <c r="AM165" s="358"/>
      <c r="AN165" s="358"/>
      <c r="AO165" s="358"/>
      <c r="AP165" s="358"/>
      <c r="AQ165" s="358"/>
      <c r="AR165" s="358"/>
      <c r="AS165" s="358"/>
      <c r="AT165" s="358"/>
      <c r="AU165" s="358"/>
      <c r="AV165" s="358"/>
      <c r="AW165" s="358"/>
      <c r="AX165" s="358"/>
      <c r="AY165" s="358"/>
      <c r="AZ165" s="358"/>
      <c r="BA165" s="358"/>
      <c r="BB165" s="358"/>
      <c r="BC165" s="358"/>
      <c r="BD165" s="358"/>
      <c r="BE165" s="358"/>
      <c r="BF165" s="358"/>
      <c r="BG165" s="358"/>
      <c r="BH165" s="358"/>
      <c r="BI165" s="358"/>
      <c r="BJ165" s="358"/>
      <c r="BK165" s="358"/>
      <c r="BL165" s="358"/>
      <c r="BM165" s="358"/>
      <c r="BN165" s="358"/>
      <c r="BO165" s="358"/>
      <c r="BP165" s="358"/>
      <c r="BQ165" s="358"/>
      <c r="BR165" s="358"/>
      <c r="BS165" s="358"/>
      <c r="BT165" s="358"/>
      <c r="BU165" s="358"/>
      <c r="BV165" s="358"/>
      <c r="BW165" s="358"/>
      <c r="BX165" s="358"/>
      <c r="BY165" s="358"/>
      <c r="BZ165" s="358"/>
      <c r="CA165" s="358"/>
      <c r="CB165" s="358"/>
      <c r="CC165" s="358"/>
      <c r="CD165" s="358"/>
      <c r="CE165" s="358"/>
      <c r="CF165" s="358"/>
      <c r="CG165" s="358"/>
      <c r="CH165" s="358"/>
      <c r="CI165" s="358"/>
      <c r="CJ165" s="358"/>
      <c r="CK165" s="358"/>
      <c r="CL165" s="358"/>
      <c r="CM165" s="358"/>
      <c r="CN165" s="358"/>
      <c r="CO165" s="358"/>
      <c r="CP165" s="358"/>
      <c r="CQ165" s="358"/>
      <c r="CR165" s="358"/>
      <c r="CS165" s="358"/>
      <c r="CT165" s="358"/>
      <c r="CU165" s="358"/>
      <c r="CV165" s="358"/>
      <c r="CW165" s="358"/>
      <c r="CX165" s="358"/>
      <c r="CY165" s="358"/>
      <c r="CZ165" s="358"/>
      <c r="DA165" s="358"/>
      <c r="DB165" s="358"/>
      <c r="DC165" s="358"/>
      <c r="DD165" s="358"/>
      <c r="DE165" s="358"/>
      <c r="DF165" s="358"/>
      <c r="DG165" s="358"/>
      <c r="DH165" s="358"/>
      <c r="DI165" s="358"/>
      <c r="DJ165" s="358"/>
      <c r="DK165" s="358"/>
      <c r="DL165" s="358"/>
      <c r="DM165" s="358"/>
      <c r="DN165" s="358"/>
      <c r="DO165" s="358"/>
      <c r="DP165" s="358"/>
      <c r="DQ165" s="358"/>
      <c r="DR165" s="358"/>
      <c r="DS165" s="358"/>
      <c r="DT165" s="358"/>
      <c r="DU165" s="358"/>
      <c r="DV165" s="358"/>
      <c r="DW165" s="358"/>
      <c r="DX165" s="358"/>
      <c r="DY165" s="358"/>
      <c r="DZ165" s="358"/>
      <c r="EA165" s="358"/>
      <c r="EB165" s="358"/>
      <c r="EC165" s="358"/>
      <c r="ED165" s="358"/>
      <c r="EE165" s="358"/>
      <c r="EF165" s="358"/>
      <c r="EG165" s="358"/>
      <c r="EH165" s="358"/>
      <c r="EI165" s="358"/>
      <c r="EJ165" s="358"/>
      <c r="EK165" s="358"/>
      <c r="EL165" s="358"/>
      <c r="EM165" s="358"/>
      <c r="EN165" s="358"/>
      <c r="EO165" s="358"/>
      <c r="EP165" s="358"/>
      <c r="EQ165" s="358"/>
      <c r="ER165" s="358"/>
      <c r="ES165" s="358"/>
      <c r="ET165" s="358"/>
      <c r="EU165" s="358"/>
      <c r="EV165" s="358"/>
      <c r="EW165" s="358"/>
      <c r="EX165" s="358"/>
      <c r="EY165" s="358"/>
      <c r="EZ165" s="358"/>
      <c r="FA165" s="358"/>
      <c r="FB165" s="358"/>
      <c r="FC165" s="358"/>
      <c r="FD165" s="358"/>
      <c r="FE165" s="358"/>
      <c r="FF165" s="358"/>
      <c r="FG165" s="358"/>
      <c r="FH165" s="358"/>
      <c r="FI165" s="358"/>
      <c r="FJ165" s="358"/>
      <c r="FK165" s="358"/>
      <c r="FL165" s="358"/>
      <c r="FM165" s="358"/>
      <c r="FN165" s="358"/>
      <c r="FO165" s="358"/>
      <c r="FP165" s="358"/>
      <c r="FQ165" s="358"/>
      <c r="FR165" s="358"/>
      <c r="FS165" s="358"/>
      <c r="FT165" s="358"/>
      <c r="FU165" s="358"/>
      <c r="FV165" s="358"/>
      <c r="FW165" s="358"/>
      <c r="FX165" s="358"/>
      <c r="FY165" s="358"/>
      <c r="FZ165" s="358"/>
      <c r="GA165" s="358"/>
      <c r="GB165" s="358"/>
      <c r="GC165" s="358"/>
      <c r="GD165" s="358"/>
      <c r="GE165" s="358"/>
      <c r="GF165" s="358"/>
      <c r="GG165" s="358"/>
      <c r="GH165" s="358"/>
      <c r="GI165" s="358"/>
      <c r="GJ165" s="358"/>
      <c r="GK165" s="358"/>
      <c r="GL165" s="358"/>
      <c r="GM165" s="358"/>
      <c r="GN165" s="358"/>
      <c r="GO165" s="358"/>
      <c r="GP165" s="358"/>
      <c r="GQ165" s="358"/>
      <c r="GR165" s="358"/>
      <c r="GS165" s="358"/>
      <c r="GT165" s="358"/>
      <c r="GU165" s="358"/>
      <c r="GV165" s="358"/>
      <c r="GW165" s="358"/>
      <c r="GX165" s="358"/>
      <c r="GY165" s="358"/>
      <c r="GZ165" s="358"/>
      <c r="HA165" s="358"/>
      <c r="HB165" s="358"/>
      <c r="HC165" s="358"/>
      <c r="HD165" s="358"/>
      <c r="HE165" s="358"/>
      <c r="HF165" s="358"/>
      <c r="HG165" s="358"/>
      <c r="HH165" s="358"/>
      <c r="HI165" s="358"/>
      <c r="HJ165" s="358"/>
      <c r="HK165" s="358"/>
      <c r="HL165" s="358"/>
      <c r="HM165" s="358"/>
      <c r="HN165" s="358"/>
      <c r="HO165" s="358"/>
      <c r="HP165" s="358"/>
      <c r="HQ165" s="358"/>
      <c r="HR165" s="358"/>
      <c r="HS165" s="358"/>
      <c r="HT165" s="358"/>
      <c r="HU165" s="358"/>
      <c r="HV165" s="358"/>
      <c r="HW165" s="358"/>
      <c r="HX165" s="358"/>
    </row>
    <row r="166" spans="1:232" ht="20.100000000000001" customHeight="1">
      <c r="A166" s="1595" t="s">
        <v>1033</v>
      </c>
      <c r="B166" s="1595"/>
      <c r="C166" s="1595"/>
      <c r="D166" s="1595"/>
      <c r="E166" s="1595"/>
      <c r="F166" s="1595"/>
      <c r="G166" s="1595"/>
      <c r="H166" s="1595"/>
      <c r="I166" s="1595"/>
      <c r="J166" s="1595"/>
      <c r="N166" s="5"/>
      <c r="O166" s="405"/>
      <c r="P166" s="405"/>
      <c r="Q166" s="405"/>
      <c r="R166" s="405"/>
      <c r="S166" s="405"/>
    </row>
    <row r="167" spans="1:232" ht="20.100000000000001" customHeight="1">
      <c r="A167" s="1596" t="s">
        <v>121</v>
      </c>
      <c r="B167" s="1596"/>
      <c r="C167" s="1596"/>
      <c r="D167" s="1596"/>
      <c r="E167" s="1596"/>
      <c r="F167" s="1596"/>
      <c r="G167" s="1596"/>
      <c r="H167" s="1596"/>
      <c r="I167" s="1596"/>
      <c r="J167" s="1596"/>
    </row>
    <row r="168" spans="1:232" ht="20.100000000000001" customHeight="1">
      <c r="A168" s="1600" t="s">
        <v>917</v>
      </c>
      <c r="B168" s="1600"/>
      <c r="C168" s="1600"/>
      <c r="D168" s="1600"/>
      <c r="E168" s="1600"/>
      <c r="F168" s="1600"/>
      <c r="G168" s="1600"/>
      <c r="H168" s="1600"/>
      <c r="I168" s="1600"/>
      <c r="J168" s="1600"/>
    </row>
    <row r="169" spans="1:232" ht="20.100000000000001" customHeight="1">
      <c r="A169" s="1595"/>
      <c r="B169" s="1595"/>
      <c r="C169" s="1595"/>
      <c r="D169" s="1595"/>
      <c r="E169" s="1595"/>
      <c r="F169" s="1595"/>
      <c r="G169" s="1595"/>
      <c r="H169" s="1595"/>
      <c r="I169" s="1595"/>
      <c r="J169" s="1595"/>
    </row>
    <row r="170" spans="1:232" ht="20.100000000000001" customHeight="1">
      <c r="A170" s="1672" t="s">
        <v>820</v>
      </c>
      <c r="B170" s="1672"/>
      <c r="C170" s="1672"/>
      <c r="D170" s="1672"/>
      <c r="E170" s="1599" t="s">
        <v>186</v>
      </c>
      <c r="F170" s="1599"/>
      <c r="G170" s="1599"/>
      <c r="H170" s="640" t="s">
        <v>5</v>
      </c>
      <c r="I170" s="507"/>
      <c r="J170" s="507"/>
    </row>
    <row r="171" spans="1:232" ht="20.100000000000001" customHeight="1">
      <c r="I171" s="640"/>
      <c r="J171" s="640"/>
    </row>
    <row r="172" spans="1:232" ht="20.100000000000001" customHeight="1">
      <c r="A172" s="640"/>
      <c r="B172" s="640"/>
      <c r="C172" s="640"/>
      <c r="D172" s="640"/>
      <c r="E172" s="640"/>
      <c r="F172" s="640"/>
      <c r="G172" s="640"/>
      <c r="H172" s="640"/>
      <c r="I172" s="640"/>
      <c r="J172" s="640"/>
    </row>
    <row r="173" spans="1:232" ht="20.100000000000001" customHeight="1">
      <c r="A173" s="640"/>
      <c r="B173" s="640"/>
      <c r="C173" s="640"/>
      <c r="D173" s="640"/>
      <c r="E173" s="640"/>
      <c r="F173" s="640"/>
      <c r="G173" s="640"/>
      <c r="H173" s="640"/>
      <c r="I173" s="640"/>
      <c r="J173" s="640"/>
    </row>
    <row r="174" spans="1:232" ht="20.100000000000001" customHeight="1">
      <c r="A174" s="640"/>
      <c r="B174" s="640"/>
      <c r="C174" s="640"/>
      <c r="D174" s="640"/>
      <c r="E174" s="640"/>
      <c r="F174" s="640"/>
      <c r="G174" s="640"/>
      <c r="H174" s="640"/>
      <c r="I174" s="640"/>
      <c r="J174" s="640"/>
    </row>
    <row r="175" spans="1:232" ht="20.100000000000001" customHeight="1">
      <c r="A175" s="640"/>
      <c r="B175" s="640"/>
      <c r="C175" s="640"/>
      <c r="D175" s="640"/>
      <c r="E175" s="640"/>
      <c r="F175" s="640"/>
      <c r="G175" s="640"/>
      <c r="H175" s="640"/>
      <c r="I175" s="640"/>
      <c r="J175" s="640"/>
    </row>
    <row r="176" spans="1:232" ht="20.100000000000001" customHeight="1">
      <c r="A176" s="640"/>
      <c r="B176" s="640"/>
      <c r="C176" s="640"/>
      <c r="D176" s="640"/>
      <c r="E176" s="640"/>
      <c r="F176" s="640"/>
      <c r="G176" s="640"/>
      <c r="H176" s="640"/>
      <c r="I176" s="640"/>
      <c r="J176" s="640"/>
    </row>
    <row r="177" spans="1:10" ht="20.100000000000001" customHeight="1">
      <c r="A177" s="508"/>
      <c r="B177" s="508"/>
      <c r="C177" s="508"/>
      <c r="D177" s="508"/>
      <c r="E177" s="508"/>
      <c r="F177" s="508"/>
      <c r="G177" s="508"/>
      <c r="H177" s="508"/>
      <c r="I177" s="508"/>
      <c r="J177" s="508"/>
    </row>
  </sheetData>
  <mergeCells count="146">
    <mergeCell ref="A170:D170"/>
    <mergeCell ref="E170:G170"/>
    <mergeCell ref="B164:E164"/>
    <mergeCell ref="F164:H164"/>
    <mergeCell ref="A166:J166"/>
    <mergeCell ref="A167:J167"/>
    <mergeCell ref="A168:J168"/>
    <mergeCell ref="A169:J169"/>
    <mergeCell ref="B161:E161"/>
    <mergeCell ref="F161:H161"/>
    <mergeCell ref="B162:E162"/>
    <mergeCell ref="F162:H162"/>
    <mergeCell ref="B163:E163"/>
    <mergeCell ref="F163:H163"/>
    <mergeCell ref="A158:A159"/>
    <mergeCell ref="B158:E159"/>
    <mergeCell ref="F158:H159"/>
    <mergeCell ref="I158:J158"/>
    <mergeCell ref="B160:E160"/>
    <mergeCell ref="F160:H160"/>
    <mergeCell ref="A142:J142"/>
    <mergeCell ref="B146:J146"/>
    <mergeCell ref="B147:J147"/>
    <mergeCell ref="A154:J154"/>
    <mergeCell ref="A155:J155"/>
    <mergeCell ref="A156:J156"/>
    <mergeCell ref="A132:J132"/>
    <mergeCell ref="A135:J135"/>
    <mergeCell ref="E136:J136"/>
    <mergeCell ref="E137:J137"/>
    <mergeCell ref="A139:J139"/>
    <mergeCell ref="A140:J140"/>
    <mergeCell ref="A127:E127"/>
    <mergeCell ref="F127:J127"/>
    <mergeCell ref="A128:E128"/>
    <mergeCell ref="F128:J128"/>
    <mergeCell ref="A129:J129"/>
    <mergeCell ref="A130:E130"/>
    <mergeCell ref="F130:J130"/>
    <mergeCell ref="C120:J120"/>
    <mergeCell ref="C121:J121"/>
    <mergeCell ref="C122:J122"/>
    <mergeCell ref="A123:J123"/>
    <mergeCell ref="A124:J124"/>
    <mergeCell ref="A125:J125"/>
    <mergeCell ref="A113:J113"/>
    <mergeCell ref="A114:J114"/>
    <mergeCell ref="A115:J115"/>
    <mergeCell ref="A116:J116"/>
    <mergeCell ref="A117:J117"/>
    <mergeCell ref="C119:J119"/>
    <mergeCell ref="A107:G107"/>
    <mergeCell ref="A108:G108"/>
    <mergeCell ref="A109:G109"/>
    <mergeCell ref="A111:G111"/>
    <mergeCell ref="H111:J111"/>
    <mergeCell ref="A112:J112"/>
    <mergeCell ref="A102:F102"/>
    <mergeCell ref="A103:F103"/>
    <mergeCell ref="H103:J103"/>
    <mergeCell ref="A104:G104"/>
    <mergeCell ref="A105:G105"/>
    <mergeCell ref="A106:G106"/>
    <mergeCell ref="A99:C101"/>
    <mergeCell ref="D99:E99"/>
    <mergeCell ref="F99:J99"/>
    <mergeCell ref="D100:D101"/>
    <mergeCell ref="E100:E101"/>
    <mergeCell ref="F100:J101"/>
    <mergeCell ref="A91:J91"/>
    <mergeCell ref="A92:B92"/>
    <mergeCell ref="D93:I93"/>
    <mergeCell ref="A96:C98"/>
    <mergeCell ref="D96:E96"/>
    <mergeCell ref="F96:J96"/>
    <mergeCell ref="D97:D98"/>
    <mergeCell ref="E97:E98"/>
    <mergeCell ref="F97:J98"/>
    <mergeCell ref="A82:J82"/>
    <mergeCell ref="A83:J83"/>
    <mergeCell ref="C84:J84"/>
    <mergeCell ref="C85:J85"/>
    <mergeCell ref="C86:J86"/>
    <mergeCell ref="C87:J87"/>
    <mergeCell ref="A77:E77"/>
    <mergeCell ref="F77:J77"/>
    <mergeCell ref="A78:E78"/>
    <mergeCell ref="F78:J78"/>
    <mergeCell ref="F79:J79"/>
    <mergeCell ref="F80:J80"/>
    <mergeCell ref="A53:J53"/>
    <mergeCell ref="A54:J54"/>
    <mergeCell ref="A56:E56"/>
    <mergeCell ref="F56:J56"/>
    <mergeCell ref="F57:G57"/>
    <mergeCell ref="H57:J57"/>
    <mergeCell ref="B49:E49"/>
    <mergeCell ref="F49:H49"/>
    <mergeCell ref="B50:E50"/>
    <mergeCell ref="F50:H50"/>
    <mergeCell ref="A51:J51"/>
    <mergeCell ref="A52:J52"/>
    <mergeCell ref="B46:E46"/>
    <mergeCell ref="F46:H46"/>
    <mergeCell ref="B47:E47"/>
    <mergeCell ref="F47:H47"/>
    <mergeCell ref="B48:E48"/>
    <mergeCell ref="F48:H48"/>
    <mergeCell ref="B33:J33"/>
    <mergeCell ref="B34:J34"/>
    <mergeCell ref="A41:J41"/>
    <mergeCell ref="A42:J42"/>
    <mergeCell ref="A44:A45"/>
    <mergeCell ref="B44:E45"/>
    <mergeCell ref="F44:H45"/>
    <mergeCell ref="I44:J44"/>
    <mergeCell ref="E23:J23"/>
    <mergeCell ref="A25:J25"/>
    <mergeCell ref="A26:J26"/>
    <mergeCell ref="A27:J27"/>
    <mergeCell ref="A28:J28"/>
    <mergeCell ref="B32:J32"/>
    <mergeCell ref="A19:E19"/>
    <mergeCell ref="F19:J19"/>
    <mergeCell ref="A20:E20"/>
    <mergeCell ref="F20:J20"/>
    <mergeCell ref="A21:J21"/>
    <mergeCell ref="E22:J22"/>
    <mergeCell ref="A17:E17"/>
    <mergeCell ref="F17:J17"/>
    <mergeCell ref="A18:J18"/>
    <mergeCell ref="C8:J8"/>
    <mergeCell ref="C9:J9"/>
    <mergeCell ref="C10:J10"/>
    <mergeCell ref="C11:J11"/>
    <mergeCell ref="A12:J12"/>
    <mergeCell ref="A13:J13"/>
    <mergeCell ref="A1:J1"/>
    <mergeCell ref="A2:J2"/>
    <mergeCell ref="A3:J3"/>
    <mergeCell ref="A4:J4"/>
    <mergeCell ref="A5:J5"/>
    <mergeCell ref="A6:J6"/>
    <mergeCell ref="A14:J14"/>
    <mergeCell ref="A16:E16"/>
    <mergeCell ref="F16:J16"/>
  </mergeCells>
  <printOptions horizontalCentered="1"/>
  <pageMargins left="0.70866141732283472" right="0" top="0.51181102362204722" bottom="0.51181102362204722" header="0.31496062992125984" footer="0.31496062992125984"/>
  <pageSetup paperSize="9"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view="pageBreakPreview" topLeftCell="A13" zoomScaleNormal="100" zoomScaleSheetLayoutView="100" workbookViewId="0">
      <selection activeCell="D16" sqref="D16"/>
    </sheetView>
  </sheetViews>
  <sheetFormatPr defaultRowHeight="12.75"/>
  <cols>
    <col min="1" max="1" width="6.140625" customWidth="1"/>
    <col min="2" max="2" width="9.140625" customWidth="1"/>
    <col min="3" max="4" width="13" customWidth="1"/>
    <col min="5" max="5" width="14.28515625" hidden="1" customWidth="1"/>
    <col min="6" max="6" width="14.42578125" hidden="1" customWidth="1"/>
    <col min="7" max="7" width="15.140625" customWidth="1"/>
    <col min="8" max="8" width="14.5703125" customWidth="1"/>
    <col min="9" max="9" width="16" customWidth="1"/>
  </cols>
  <sheetData>
    <row r="1" spans="1:9" ht="26.25" customHeight="1">
      <c r="A1" s="1733" t="s">
        <v>1118</v>
      </c>
      <c r="B1" s="1733"/>
      <c r="C1" s="1733"/>
      <c r="D1" s="1733"/>
      <c r="E1" s="1733"/>
      <c r="F1" s="1733"/>
      <c r="G1" s="1733"/>
      <c r="H1" s="1733"/>
      <c r="I1" s="1733"/>
    </row>
    <row r="2" spans="1:9" ht="25.5" customHeight="1">
      <c r="A2" s="1732" t="s">
        <v>1124</v>
      </c>
      <c r="B2" s="1732"/>
      <c r="C2" s="1732"/>
      <c r="D2" s="1732"/>
      <c r="E2" s="1732"/>
      <c r="F2" s="1732"/>
      <c r="G2" s="1732"/>
      <c r="H2" s="1732"/>
      <c r="I2" s="1732"/>
    </row>
    <row r="3" spans="1:9" ht="38.25">
      <c r="A3" s="923" t="s">
        <v>939</v>
      </c>
      <c r="B3" s="923" t="s">
        <v>1100</v>
      </c>
      <c r="C3" s="975" t="s">
        <v>1121</v>
      </c>
      <c r="D3" s="975" t="s">
        <v>1127</v>
      </c>
      <c r="E3" s="975" t="s">
        <v>1128</v>
      </c>
      <c r="F3" s="975" t="s">
        <v>1126</v>
      </c>
      <c r="G3" s="975" t="s">
        <v>1120</v>
      </c>
      <c r="H3" s="975" t="s">
        <v>1130</v>
      </c>
      <c r="I3" s="975" t="s">
        <v>1122</v>
      </c>
    </row>
    <row r="4" spans="1:9" ht="18" customHeight="1">
      <c r="A4" s="1734" t="s">
        <v>1119</v>
      </c>
      <c r="B4" s="1734"/>
      <c r="C4" s="1734"/>
      <c r="D4" s="1734"/>
      <c r="E4" s="1734"/>
      <c r="F4" s="1734"/>
      <c r="G4" s="1734"/>
      <c r="H4" s="1734"/>
      <c r="I4" s="1734"/>
    </row>
    <row r="5" spans="1:9" ht="18" customHeight="1">
      <c r="A5" s="953">
        <v>1</v>
      </c>
      <c r="B5" s="953" t="s">
        <v>537</v>
      </c>
      <c r="C5" s="954">
        <f>VLOOKUP(B5,DT.NK!$B:$AZ,49,0)</f>
        <v>42708</v>
      </c>
      <c r="D5" s="957">
        <f>VLOOKUP(B5,'Thong tin'!A:R,6,0)</f>
        <v>-6.9</v>
      </c>
      <c r="E5" s="953">
        <f>VLOOKUP(B5,DT.NK!$B:$AZ,10,0)</f>
        <v>-0.108</v>
      </c>
      <c r="F5" s="955">
        <f>VLOOKUP(B5,DT.NK!$B:$AZ,28,0)</f>
        <v>31.32</v>
      </c>
      <c r="G5" s="955">
        <f t="shared" ref="G5:G10" si="0">E5-F5</f>
        <v>-31.428000000000001</v>
      </c>
      <c r="H5" s="955">
        <f t="shared" ref="H5:H10" si="1">D5-G5</f>
        <v>24.527999999999999</v>
      </c>
      <c r="I5" s="953"/>
    </row>
    <row r="6" spans="1:9" ht="18" customHeight="1">
      <c r="A6" s="953">
        <v>2</v>
      </c>
      <c r="B6" s="953" t="s">
        <v>547</v>
      </c>
      <c r="C6" s="954">
        <f>VLOOKUP(B6,DT.NK!$B:$AZ,49,0)</f>
        <v>42677</v>
      </c>
      <c r="D6" s="957">
        <f>VLOOKUP(B6,'Thong tin'!A:R,6,0)</f>
        <v>-6.9</v>
      </c>
      <c r="E6" s="953">
        <f>VLOOKUP(B6,DT.NK!$B:$AZ,10,0)</f>
        <v>-1.016</v>
      </c>
      <c r="F6" s="955">
        <f>VLOOKUP(B6,DT.NK!$B:$AZ,28,0)</f>
        <v>22.08</v>
      </c>
      <c r="G6" s="955">
        <f t="shared" si="0"/>
        <v>-23.095999999999997</v>
      </c>
      <c r="H6" s="955">
        <f t="shared" si="1"/>
        <v>16.195999999999998</v>
      </c>
      <c r="I6" s="953"/>
    </row>
    <row r="7" spans="1:9" ht="18" customHeight="1">
      <c r="A7" s="953">
        <v>3</v>
      </c>
      <c r="B7" s="953" t="s">
        <v>557</v>
      </c>
      <c r="C7" s="954">
        <f>VLOOKUP(B7,DT.NK!$B:$AZ,49,0)</f>
        <v>42679</v>
      </c>
      <c r="D7" s="957">
        <f>VLOOKUP(B7,'Thong tin'!A:R,6,0)</f>
        <v>-6.9</v>
      </c>
      <c r="E7" s="953">
        <f>VLOOKUP(B7,DT.NK!$B:$AZ,10,0)</f>
        <v>-1.333</v>
      </c>
      <c r="F7" s="955">
        <f>VLOOKUP(B7,DT.NK!$B:$AZ,28,0)</f>
        <v>33.869999999999997</v>
      </c>
      <c r="G7" s="955">
        <f t="shared" si="0"/>
        <v>-35.202999999999996</v>
      </c>
      <c r="H7" s="955">
        <f t="shared" si="1"/>
        <v>28.302999999999997</v>
      </c>
      <c r="I7" s="953"/>
    </row>
    <row r="8" spans="1:9" ht="18" customHeight="1">
      <c r="A8" s="953">
        <v>4</v>
      </c>
      <c r="B8" s="953" t="s">
        <v>567</v>
      </c>
      <c r="C8" s="954">
        <f>VLOOKUP(B8,DT.NK!$B:$AZ,49,0)</f>
        <v>42702</v>
      </c>
      <c r="D8" s="957">
        <f>VLOOKUP(B8,'Thong tin'!A:R,6,0)</f>
        <v>-6.9</v>
      </c>
      <c r="E8" s="953">
        <f>VLOOKUP(B8,DT.NK!$B:$AZ,10,0)</f>
        <v>-0.64500000000000002</v>
      </c>
      <c r="F8" s="955">
        <f>VLOOKUP(B8,DT.NK!$B:$AZ,28,0)</f>
        <v>27</v>
      </c>
      <c r="G8" s="955">
        <f t="shared" si="0"/>
        <v>-27.645</v>
      </c>
      <c r="H8" s="955">
        <f t="shared" si="1"/>
        <v>20.744999999999997</v>
      </c>
      <c r="I8" s="956" t="s">
        <v>1123</v>
      </c>
    </row>
    <row r="9" spans="1:9" ht="18" customHeight="1">
      <c r="A9" s="953">
        <v>5</v>
      </c>
      <c r="B9" s="953" t="s">
        <v>577</v>
      </c>
      <c r="C9" s="954">
        <f>VLOOKUP(B9,DT.NK!$B:$AZ,49,0)</f>
        <v>42703</v>
      </c>
      <c r="D9" s="957">
        <f>VLOOKUP(B9,'Thong tin'!A:R,6,0)</f>
        <v>-6.9</v>
      </c>
      <c r="E9" s="953">
        <f>VLOOKUP(B9,DT.NK!$B:$AZ,10,0)</f>
        <v>-0.63800000000000001</v>
      </c>
      <c r="F9" s="955">
        <f>VLOOKUP(B9,DT.NK!$B:$AZ,28,0)</f>
        <v>27</v>
      </c>
      <c r="G9" s="955">
        <f t="shared" si="0"/>
        <v>-27.638000000000002</v>
      </c>
      <c r="H9" s="955">
        <f t="shared" si="1"/>
        <v>20.738</v>
      </c>
      <c r="I9" s="953"/>
    </row>
    <row r="10" spans="1:9" ht="18" customHeight="1">
      <c r="A10" s="953">
        <v>6</v>
      </c>
      <c r="B10" s="953" t="s">
        <v>587</v>
      </c>
      <c r="C10" s="954">
        <f>VLOOKUP(B10,DT.NK!$B:$AZ,49,0)</f>
        <v>42705</v>
      </c>
      <c r="D10" s="957">
        <f>VLOOKUP(B10,'Thong tin'!A:R,6,0)</f>
        <v>-6.9</v>
      </c>
      <c r="E10" s="953">
        <f>VLOOKUP(B10,DT.NK!$B:$AZ,10,0)</f>
        <v>-0.57499999999999996</v>
      </c>
      <c r="F10" s="955">
        <f>VLOOKUP(B10,DT.NK!$B:$AZ,28,0)</f>
        <v>27.15</v>
      </c>
      <c r="G10" s="955">
        <f t="shared" si="0"/>
        <v>-27.724999999999998</v>
      </c>
      <c r="H10" s="955">
        <f t="shared" si="1"/>
        <v>20.824999999999996</v>
      </c>
      <c r="I10" s="953"/>
    </row>
    <row r="11" spans="1:9" ht="18" customHeight="1">
      <c r="A11" s="953"/>
      <c r="B11" s="953"/>
      <c r="C11" s="954"/>
      <c r="D11" s="957"/>
      <c r="E11" s="953"/>
      <c r="F11" s="955"/>
      <c r="G11" s="955"/>
      <c r="H11" s="955"/>
      <c r="I11" s="953"/>
    </row>
    <row r="12" spans="1:9" ht="18" customHeight="1">
      <c r="A12" s="1734" t="s">
        <v>1125</v>
      </c>
      <c r="B12" s="1734"/>
      <c r="C12" s="1734"/>
      <c r="D12" s="1734"/>
      <c r="E12" s="1734"/>
      <c r="F12" s="1734"/>
      <c r="G12" s="1734"/>
      <c r="H12" s="1734"/>
      <c r="I12" s="1734"/>
    </row>
    <row r="13" spans="1:9" ht="18" customHeight="1">
      <c r="A13" s="953">
        <v>1</v>
      </c>
      <c r="B13" s="953" t="s">
        <v>494</v>
      </c>
      <c r="C13" s="954">
        <f>VLOOKUP(B13,DT.NK!$B:$AZ,49,0)</f>
        <v>42680</v>
      </c>
      <c r="D13" s="957">
        <f>VLOOKUP(B13,'Thong tin'!A:R,6,0)</f>
        <v>-8.6999999999999993</v>
      </c>
      <c r="E13" s="953">
        <f>VLOOKUP(B13,DT.NK!$B:$AZ,10,0)</f>
        <v>-0.745</v>
      </c>
      <c r="F13" s="955">
        <f>VLOOKUP(B13,DT.NK!$B:$AZ,28,0)</f>
        <v>22.5</v>
      </c>
      <c r="G13" s="955">
        <f>E13-F13</f>
        <v>-23.245000000000001</v>
      </c>
      <c r="H13" s="955">
        <f t="shared" ref="H13:H29" si="2">D13-G13</f>
        <v>14.545000000000002</v>
      </c>
      <c r="I13" s="953"/>
    </row>
    <row r="14" spans="1:9" ht="18" customHeight="1">
      <c r="A14" s="953">
        <v>2</v>
      </c>
      <c r="B14" s="953" t="s">
        <v>509</v>
      </c>
      <c r="C14" s="954">
        <f>VLOOKUP(B14,DT.NK!$B:$AZ,49,0)</f>
        <v>42682</v>
      </c>
      <c r="D14" s="957">
        <f>VLOOKUP(B14,'Thong tin'!A:R,6,0)</f>
        <v>-8.6999999999999993</v>
      </c>
      <c r="E14" s="953">
        <f>VLOOKUP(B14,DT.NK!$B:$AZ,10,0)</f>
        <v>-0.78500000000000003</v>
      </c>
      <c r="F14" s="955">
        <f>VLOOKUP(B14,DT.NK!$B:$AZ,28,0)</f>
        <v>26.55</v>
      </c>
      <c r="G14" s="955">
        <f t="shared" ref="G14:G28" si="3">E14-F14</f>
        <v>-27.335000000000001</v>
      </c>
      <c r="H14" s="955">
        <f t="shared" si="2"/>
        <v>18.635000000000002</v>
      </c>
      <c r="I14" s="953"/>
    </row>
    <row r="15" spans="1:9" ht="18" customHeight="1">
      <c r="A15" s="953">
        <v>3</v>
      </c>
      <c r="B15" s="953" t="s">
        <v>519</v>
      </c>
      <c r="C15" s="954">
        <f>VLOOKUP(B15,DT.NK!$B:$AZ,49,0)</f>
        <v>42687</v>
      </c>
      <c r="D15" s="957">
        <f>VLOOKUP(B15,'Thong tin'!A:R,6,0)</f>
        <v>-8.6999999999999993</v>
      </c>
      <c r="E15" s="953">
        <f>VLOOKUP(B15,DT.NK!$B:$AZ,10,0)</f>
        <v>-0.65800000000000003</v>
      </c>
      <c r="F15" s="955">
        <f>VLOOKUP(B15,DT.NK!$B:$AZ,28,0)</f>
        <v>24.4</v>
      </c>
      <c r="G15" s="955">
        <f t="shared" si="3"/>
        <v>-25.058</v>
      </c>
      <c r="H15" s="955">
        <f t="shared" si="2"/>
        <v>16.358000000000001</v>
      </c>
      <c r="I15" s="953"/>
    </row>
    <row r="16" spans="1:9" ht="18" customHeight="1">
      <c r="A16" s="953">
        <v>4</v>
      </c>
      <c r="B16" s="953" t="s">
        <v>618</v>
      </c>
      <c r="C16" s="954">
        <f>VLOOKUP(B16,DT.NK!$B:$AZ,49,0)</f>
        <v>42678</v>
      </c>
      <c r="D16" s="957">
        <f>VLOOKUP(B16,'Thong tin'!A:R,6,0)</f>
        <v>-8.6999999999999993</v>
      </c>
      <c r="E16" s="953">
        <f>VLOOKUP(B16,DT.NK!$B:$AZ,10,0)</f>
        <v>-0.85899999999999999</v>
      </c>
      <c r="F16" s="955">
        <f>VLOOKUP(B16,DT.NK!$B:$AZ,28,0)</f>
        <v>27.23</v>
      </c>
      <c r="G16" s="955">
        <f t="shared" si="3"/>
        <v>-28.088999999999999</v>
      </c>
      <c r="H16" s="955">
        <f t="shared" si="2"/>
        <v>19.388999999999999</v>
      </c>
      <c r="I16" s="953"/>
    </row>
    <row r="17" spans="1:9" ht="18" customHeight="1">
      <c r="A17" s="953">
        <v>5</v>
      </c>
      <c r="B17" s="953" t="s">
        <v>642</v>
      </c>
      <c r="C17" s="954">
        <f>VLOOKUP(B17,DT.NK!$B:$AZ,49,0)</f>
        <v>42690</v>
      </c>
      <c r="D17" s="957">
        <f>VLOOKUP(B17,'Thong tin'!A:R,6,0)</f>
        <v>-8.6999999999999993</v>
      </c>
      <c r="E17" s="953">
        <f>VLOOKUP(B17,DT.NK!$B:$AZ,10,0)</f>
        <v>-0.72499999999999998</v>
      </c>
      <c r="F17" s="955">
        <f>VLOOKUP(B17,DT.NK!$B:$AZ,28,0)</f>
        <v>32.299999999999997</v>
      </c>
      <c r="G17" s="955">
        <f t="shared" si="3"/>
        <v>-33.024999999999999</v>
      </c>
      <c r="H17" s="955">
        <f t="shared" si="2"/>
        <v>24.324999999999999</v>
      </c>
      <c r="I17" s="953"/>
    </row>
    <row r="18" spans="1:9" ht="18" customHeight="1">
      <c r="A18" s="953">
        <v>6</v>
      </c>
      <c r="B18" s="953" t="s">
        <v>652</v>
      </c>
      <c r="C18" s="954">
        <f>VLOOKUP(B18,DT.NK!$B:$AZ,49,0)</f>
        <v>42688</v>
      </c>
      <c r="D18" s="957">
        <f>VLOOKUP(B18,'Thong tin'!A:R,6,0)</f>
        <v>-8.6999999999999993</v>
      </c>
      <c r="E18" s="953">
        <f>VLOOKUP(B18,DT.NK!$B:$AZ,10,0)</f>
        <v>-0.69899999999999995</v>
      </c>
      <c r="F18" s="955">
        <f>VLOOKUP(B18,DT.NK!$B:$AZ,28,0)</f>
        <v>35.25</v>
      </c>
      <c r="G18" s="955">
        <f t="shared" si="3"/>
        <v>-35.948999999999998</v>
      </c>
      <c r="H18" s="955">
        <f t="shared" si="2"/>
        <v>27.248999999999999</v>
      </c>
      <c r="I18" s="956" t="s">
        <v>1123</v>
      </c>
    </row>
    <row r="19" spans="1:9" ht="18" customHeight="1">
      <c r="A19" s="953">
        <v>7</v>
      </c>
      <c r="B19" s="953" t="s">
        <v>664</v>
      </c>
      <c r="C19" s="954">
        <f>VLOOKUP(B19,DT.NK!$B:$AZ,49,0)</f>
        <v>42692</v>
      </c>
      <c r="D19" s="957">
        <f>VLOOKUP(B19,'Thong tin'!A:R,6,0)</f>
        <v>-8.6999999999999993</v>
      </c>
      <c r="E19" s="953">
        <f>VLOOKUP(B19,DT.NK!$B:$AZ,10,0)</f>
        <v>-0.69199999999999995</v>
      </c>
      <c r="F19" s="955">
        <f>VLOOKUP(B19,DT.NK!$B:$AZ,28,0)</f>
        <v>23.95</v>
      </c>
      <c r="G19" s="955">
        <f t="shared" si="3"/>
        <v>-24.641999999999999</v>
      </c>
      <c r="H19" s="955">
        <f t="shared" si="2"/>
        <v>15.942</v>
      </c>
      <c r="I19" s="953"/>
    </row>
    <row r="20" spans="1:9" ht="18" customHeight="1">
      <c r="A20" s="953">
        <v>8</v>
      </c>
      <c r="B20" s="953" t="s">
        <v>686</v>
      </c>
      <c r="C20" s="954">
        <f>VLOOKUP(B20,DT.NK!$B:$AZ,49,0)</f>
        <v>42696</v>
      </c>
      <c r="D20" s="957">
        <f>VLOOKUP(B20,'Thong tin'!A:R,6,0)</f>
        <v>-8.6999999999999993</v>
      </c>
      <c r="E20" s="953">
        <f>VLOOKUP(B20,DT.NK!$B:$AZ,10,0)</f>
        <v>-0.52500000000000002</v>
      </c>
      <c r="F20" s="955">
        <f>VLOOKUP(B20,DT.NK!$B:$AZ,28,0)</f>
        <v>31.8</v>
      </c>
      <c r="G20" s="955">
        <f t="shared" si="3"/>
        <v>-32.325000000000003</v>
      </c>
      <c r="H20" s="955">
        <f t="shared" si="2"/>
        <v>23.625000000000004</v>
      </c>
      <c r="I20" s="953"/>
    </row>
    <row r="21" spans="1:9" ht="18" customHeight="1">
      <c r="A21" s="953">
        <v>9</v>
      </c>
      <c r="B21" s="953" t="s">
        <v>490</v>
      </c>
      <c r="C21" s="954">
        <f>VLOOKUP(B21,DT.NK!$B:$AZ,49,0)</f>
        <v>42702</v>
      </c>
      <c r="D21" s="957">
        <f>VLOOKUP(B21,'Thong tin'!A:R,6,0)</f>
        <v>-9.6999999999999993</v>
      </c>
      <c r="E21" s="953">
        <f>VLOOKUP(B21,DT.NK!$B:$AZ,10,0)</f>
        <v>-0.80500000000000005</v>
      </c>
      <c r="F21" s="955">
        <f>VLOOKUP(B21,DT.NK!$B:$AZ,28,0)</f>
        <v>31.7</v>
      </c>
      <c r="G21" s="955">
        <f t="shared" si="3"/>
        <v>-32.505000000000003</v>
      </c>
      <c r="H21" s="955">
        <f t="shared" si="2"/>
        <v>22.805000000000003</v>
      </c>
      <c r="I21" s="953"/>
    </row>
    <row r="22" spans="1:9" ht="18" customHeight="1">
      <c r="A22" s="953">
        <v>10</v>
      </c>
      <c r="B22" s="953" t="s">
        <v>505</v>
      </c>
      <c r="C22" s="954">
        <f>VLOOKUP(B22,DT.NK!$B:$AZ,49,0)</f>
        <v>42707</v>
      </c>
      <c r="D22" s="957">
        <f>VLOOKUP(B22,'Thong tin'!A:R,6,0)</f>
        <v>-8.6999999999999993</v>
      </c>
      <c r="E22" s="953">
        <f>VLOOKUP(B22,DT.NK!$B:$AZ,10,0)</f>
        <v>-6.2E-2</v>
      </c>
      <c r="F22" s="955">
        <f>VLOOKUP(B22,DT.NK!$B:$AZ,28,0)</f>
        <v>32.17</v>
      </c>
      <c r="G22" s="955">
        <f t="shared" si="3"/>
        <v>-32.231999999999999</v>
      </c>
      <c r="H22" s="955">
        <f t="shared" si="2"/>
        <v>23.532</v>
      </c>
      <c r="I22" s="953"/>
    </row>
    <row r="23" spans="1:9" ht="18" customHeight="1">
      <c r="A23" s="953">
        <v>11</v>
      </c>
      <c r="B23" s="953" t="s">
        <v>520</v>
      </c>
      <c r="C23" s="954">
        <f>VLOOKUP(B23,DT.NK!$B:$AZ,49,0)</f>
        <v>42695</v>
      </c>
      <c r="D23" s="957">
        <f>VLOOKUP(B23,'Thong tin'!A:R,6,0)</f>
        <v>-8.6999999999999993</v>
      </c>
      <c r="E23" s="953">
        <f>VLOOKUP(B23,DT.NK!$B:$AZ,10,0)</f>
        <v>-0.6</v>
      </c>
      <c r="F23" s="955">
        <f>VLOOKUP(B23,DT.NK!$B:$AZ,28,0)</f>
        <v>24.3</v>
      </c>
      <c r="G23" s="955">
        <f t="shared" si="3"/>
        <v>-24.900000000000002</v>
      </c>
      <c r="H23" s="955">
        <f t="shared" si="2"/>
        <v>16.200000000000003</v>
      </c>
      <c r="I23" s="953"/>
    </row>
    <row r="24" spans="1:9" ht="18" customHeight="1">
      <c r="A24" s="953">
        <v>12</v>
      </c>
      <c r="B24" s="953" t="s">
        <v>534</v>
      </c>
      <c r="C24" s="954">
        <f>VLOOKUP(B24,DT.NK!$B:$AZ,49,0)</f>
        <v>42710</v>
      </c>
      <c r="D24" s="957">
        <f>VLOOKUP(B24,'Thong tin'!A:R,6,0)</f>
        <v>-8.6999999999999993</v>
      </c>
      <c r="E24" s="953">
        <f>VLOOKUP(B24,DT.NK!$B:$AZ,10,0)</f>
        <v>-0.34599999999999997</v>
      </c>
      <c r="F24" s="955">
        <f>VLOOKUP(B24,DT.NK!$B:$AZ,28,0)</f>
        <v>27.05</v>
      </c>
      <c r="G24" s="955">
        <f t="shared" si="3"/>
        <v>-27.396000000000001</v>
      </c>
      <c r="H24" s="955">
        <f t="shared" si="2"/>
        <v>18.696000000000002</v>
      </c>
      <c r="I24" s="953"/>
    </row>
    <row r="25" spans="1:9" ht="18" customHeight="1">
      <c r="A25" s="953">
        <v>13</v>
      </c>
      <c r="B25" s="953" t="s">
        <v>634</v>
      </c>
      <c r="C25" s="954">
        <f>VLOOKUP(B25,DT.NK!$B:$AZ,49,0)</f>
        <v>42681</v>
      </c>
      <c r="D25" s="957">
        <f>VLOOKUP(B25,'Thong tin'!A:R,6,0)</f>
        <v>-8.6999999999999993</v>
      </c>
      <c r="E25" s="953">
        <f>VLOOKUP(B25,DT.NK!$B:$AZ,10,0)</f>
        <v>-0.5</v>
      </c>
      <c r="F25" s="955">
        <f>VLOOKUP(B25,DT.NK!$B:$AZ,28,0)</f>
        <v>25.25</v>
      </c>
      <c r="G25" s="955">
        <f t="shared" si="3"/>
        <v>-25.75</v>
      </c>
      <c r="H25" s="955">
        <f t="shared" si="2"/>
        <v>17.05</v>
      </c>
      <c r="I25" s="953"/>
    </row>
    <row r="26" spans="1:9" ht="18" customHeight="1">
      <c r="A26" s="953">
        <v>14</v>
      </c>
      <c r="B26" s="953" t="s">
        <v>658</v>
      </c>
      <c r="C26" s="954">
        <f>VLOOKUP(B26,DT.NK!$B:$AZ,49,0)</f>
        <v>42688</v>
      </c>
      <c r="D26" s="957">
        <f>VLOOKUP(B26,'Thong tin'!A:R,6,0)</f>
        <v>-8.6999999999999993</v>
      </c>
      <c r="E26" s="953">
        <f>VLOOKUP(B26,DT.NK!$B:$AZ,10,0)</f>
        <v>-0.87</v>
      </c>
      <c r="F26" s="955">
        <f>VLOOKUP(B26,DT.NK!$B:$AZ,28,0)</f>
        <v>23.62</v>
      </c>
      <c r="G26" s="955">
        <f t="shared" si="3"/>
        <v>-24.490000000000002</v>
      </c>
      <c r="H26" s="955">
        <f t="shared" si="2"/>
        <v>15.790000000000003</v>
      </c>
      <c r="I26" s="953"/>
    </row>
    <row r="27" spans="1:9" ht="18" customHeight="1">
      <c r="A27" s="953">
        <v>15</v>
      </c>
      <c r="B27" s="953" t="s">
        <v>551</v>
      </c>
      <c r="C27" s="954">
        <f>VLOOKUP(B27,DT.NK!$B:$AZ,49,0)</f>
        <v>42689</v>
      </c>
      <c r="D27" s="957">
        <f>VLOOKUP(B27,'Thong tin'!A:R,6,0)</f>
        <v>-8.6999999999999993</v>
      </c>
      <c r="E27" s="953">
        <f>VLOOKUP(B27,DT.NK!$B:$AZ,10,0)</f>
        <v>-0.66500000000000004</v>
      </c>
      <c r="F27" s="955">
        <f>VLOOKUP(B27,DT.NK!$B:$AZ,28,0)</f>
        <v>31.8</v>
      </c>
      <c r="G27" s="955">
        <f t="shared" si="3"/>
        <v>-32.465000000000003</v>
      </c>
      <c r="H27" s="955">
        <f t="shared" si="2"/>
        <v>23.765000000000004</v>
      </c>
      <c r="I27" s="953"/>
    </row>
    <row r="28" spans="1:9" ht="18" customHeight="1">
      <c r="A28" s="953">
        <v>16</v>
      </c>
      <c r="B28" s="953" t="s">
        <v>566</v>
      </c>
      <c r="C28" s="954">
        <f>VLOOKUP(B28,DT.NK!$B:$AZ,49,0)</f>
        <v>42677</v>
      </c>
      <c r="D28" s="957">
        <f>VLOOKUP(B28,'Thong tin'!A:R,6,0)</f>
        <v>-8.1</v>
      </c>
      <c r="E28" s="953">
        <f>VLOOKUP(B28,DT.NK!$B:$AZ,10,0)</f>
        <v>-0.57799999999999996</v>
      </c>
      <c r="F28" s="955">
        <f>VLOOKUP(B28,DT.NK!$B:$AZ,28,0)</f>
        <v>32.200000000000003</v>
      </c>
      <c r="G28" s="955">
        <f t="shared" si="3"/>
        <v>-32.778000000000006</v>
      </c>
      <c r="H28" s="955">
        <f t="shared" si="2"/>
        <v>24.678000000000004</v>
      </c>
      <c r="I28" s="953"/>
    </row>
    <row r="29" spans="1:9" ht="18" customHeight="1">
      <c r="A29" s="953">
        <v>17</v>
      </c>
      <c r="B29" s="953" t="s">
        <v>544</v>
      </c>
      <c r="C29" s="954">
        <f>VLOOKUP(B29,DT.NK!$B:$AZ,49,0)</f>
        <v>42712</v>
      </c>
      <c r="D29" s="957">
        <f>VLOOKUP(B29,'Thong tin'!A:R,6,0)</f>
        <v>-8.6999999999999993</v>
      </c>
      <c r="E29" s="953">
        <f>VLOOKUP(B29,DT.NK!$B:$AZ,10,0)</f>
        <v>6.3E-2</v>
      </c>
      <c r="F29" s="955">
        <f>VLOOKUP(B29,DT.NK!$B:$AZ,28,0)</f>
        <v>27.5</v>
      </c>
      <c r="G29" s="955">
        <f>E29-F29</f>
        <v>-27.437000000000001</v>
      </c>
      <c r="H29" s="955">
        <f t="shared" si="2"/>
        <v>18.737000000000002</v>
      </c>
      <c r="I29" s="953"/>
    </row>
    <row r="30" spans="1:9" ht="18" customHeight="1">
      <c r="A30" s="953">
        <v>18</v>
      </c>
      <c r="B30" s="953" t="s">
        <v>533</v>
      </c>
      <c r="C30" s="954">
        <f>VLOOKUP(B30,DT.NK!$B:$AZ,49,0)</f>
        <v>42692</v>
      </c>
      <c r="D30" s="957">
        <f>VLOOKUP(B30,'Thong tin'!A:R,6,0)</f>
        <v>-8.6999999999999993</v>
      </c>
      <c r="E30" s="953">
        <f>VLOOKUP(B30,DT.NK!$B:$AZ,10,0)</f>
        <v>-0.53</v>
      </c>
      <c r="F30" s="955">
        <f>VLOOKUP(B30,DT.NK!$B:$AZ,28,0)</f>
        <v>24.85</v>
      </c>
      <c r="G30" s="955">
        <f>E30-F30</f>
        <v>-25.380000000000003</v>
      </c>
      <c r="H30" s="955">
        <f>D30-G30</f>
        <v>16.680000000000003</v>
      </c>
      <c r="I30" s="953"/>
    </row>
    <row r="31" spans="1:9" ht="18" customHeight="1">
      <c r="A31" s="953">
        <v>19</v>
      </c>
      <c r="B31" s="953" t="s">
        <v>543</v>
      </c>
      <c r="C31" s="954">
        <f>VLOOKUP(B31,DT.NK!$B:$AZ,49,0)</f>
        <v>42713</v>
      </c>
      <c r="D31" s="957">
        <f>VLOOKUP(B31,'Thong tin'!A:R,6,0)</f>
        <v>-8.6999999999999993</v>
      </c>
      <c r="E31" s="953">
        <f>VLOOKUP(B31,DT.NK!$B:$AZ,10,0)</f>
        <v>-9.9000000000000005E-2</v>
      </c>
      <c r="F31" s="955">
        <f>VLOOKUP(B31,DT.NK!$B:$AZ,28,0)</f>
        <v>24.15</v>
      </c>
      <c r="G31" s="955">
        <f>E31-F31</f>
        <v>-24.248999999999999</v>
      </c>
      <c r="H31" s="955">
        <f>D31-G31</f>
        <v>15.548999999999999</v>
      </c>
      <c r="I31" s="953"/>
    </row>
    <row r="32" spans="1:9" ht="18" customHeight="1">
      <c r="A32" s="953">
        <v>20</v>
      </c>
      <c r="B32" s="953" t="s">
        <v>569</v>
      </c>
      <c r="C32" s="954">
        <f>VLOOKUP(B32,DT.NK!$B:$AZ,49,0)</f>
        <v>42697</v>
      </c>
      <c r="D32" s="957">
        <f>VLOOKUP(B32,'Thong tin'!A:R,6,0)</f>
        <v>-8.6999999999999993</v>
      </c>
      <c r="E32" s="953">
        <f>VLOOKUP(B32,DT.NK!$B:$AZ,10,0)</f>
        <v>-0.68</v>
      </c>
      <c r="F32" s="955">
        <f>VLOOKUP(B32,DT.NK!$B:$AZ,28,0)</f>
        <v>24.22</v>
      </c>
      <c r="G32" s="955">
        <f>E32-F32</f>
        <v>-24.9</v>
      </c>
      <c r="H32" s="955">
        <f>D32-G32</f>
        <v>16.2</v>
      </c>
      <c r="I32" s="953"/>
    </row>
    <row r="33" spans="1:9" ht="18" customHeight="1">
      <c r="A33" s="953">
        <v>21</v>
      </c>
      <c r="B33" s="953" t="s">
        <v>599</v>
      </c>
      <c r="C33" s="954">
        <f>VLOOKUP(B33,DT.NK!$B:$AZ,49,0)</f>
        <v>42711</v>
      </c>
      <c r="D33" s="957">
        <f>VLOOKUP(B33,'Thong tin'!A:R,6,0)</f>
        <v>-9.6999999999999993</v>
      </c>
      <c r="E33" s="953">
        <f>VLOOKUP(B33,DT.NK!$B:$AZ,10,0)</f>
        <v>0.125</v>
      </c>
      <c r="F33" s="955">
        <f>VLOOKUP(B33,DT.NK!$B:$AZ,28,0)</f>
        <v>27.01</v>
      </c>
      <c r="G33" s="955">
        <f>E33-F33</f>
        <v>-26.885000000000002</v>
      </c>
      <c r="H33" s="955">
        <f>D33-G33</f>
        <v>17.185000000000002</v>
      </c>
      <c r="I33" s="953"/>
    </row>
    <row r="34" spans="1:9" ht="24.95" customHeight="1">
      <c r="A34" s="1738" t="s">
        <v>1133</v>
      </c>
      <c r="B34" s="1738"/>
      <c r="C34" s="1738"/>
      <c r="D34" s="1737" t="s">
        <v>186</v>
      </c>
      <c r="E34" s="1737"/>
      <c r="F34" s="1737"/>
      <c r="G34" s="1737"/>
      <c r="H34" s="1736" t="s">
        <v>5</v>
      </c>
      <c r="I34" s="1736"/>
    </row>
    <row r="35" spans="1:9" ht="24.95" customHeight="1">
      <c r="A35" s="976"/>
      <c r="B35" s="976"/>
      <c r="C35" s="977"/>
      <c r="D35" s="978"/>
      <c r="E35" s="976"/>
      <c r="F35" s="979"/>
      <c r="G35" s="979"/>
      <c r="H35" s="979"/>
      <c r="I35" s="976"/>
    </row>
    <row r="36" spans="1:9" ht="24.95" customHeight="1">
      <c r="A36" s="976"/>
      <c r="B36" s="976"/>
      <c r="C36" s="977"/>
      <c r="D36" s="978"/>
      <c r="E36" s="976"/>
      <c r="F36" s="979"/>
      <c r="G36" s="979"/>
      <c r="H36" s="979"/>
      <c r="I36" s="976"/>
    </row>
    <row r="37" spans="1:9" ht="24.95" customHeight="1">
      <c r="A37" s="976"/>
      <c r="B37" s="976"/>
      <c r="C37" s="977"/>
      <c r="D37" s="978"/>
      <c r="E37" s="976"/>
      <c r="F37" s="979"/>
      <c r="G37" s="979"/>
      <c r="H37" s="979"/>
      <c r="I37" s="976"/>
    </row>
    <row r="38" spans="1:9" ht="24.95" customHeight="1">
      <c r="A38" s="976"/>
      <c r="B38" s="976"/>
      <c r="C38" s="977"/>
      <c r="D38" s="1735" t="s">
        <v>1134</v>
      </c>
      <c r="E38" s="1735"/>
      <c r="F38" s="1735"/>
      <c r="G38" s="1735"/>
      <c r="H38" s="979"/>
      <c r="I38" s="976"/>
    </row>
    <row r="39" spans="1:9" ht="24.95" customHeight="1">
      <c r="A39" s="971"/>
      <c r="B39" s="971"/>
      <c r="C39" s="972"/>
      <c r="D39" s="973"/>
      <c r="E39" s="971"/>
      <c r="F39" s="974"/>
      <c r="G39" s="974"/>
      <c r="H39" s="974"/>
      <c r="I39" s="971"/>
    </row>
    <row r="40" spans="1:9" ht="24.95" customHeight="1">
      <c r="A40" s="971"/>
      <c r="B40" s="971"/>
      <c r="C40" s="972"/>
      <c r="D40" s="973"/>
      <c r="E40" s="971"/>
      <c r="F40" s="974"/>
      <c r="G40" s="974"/>
      <c r="H40" s="974"/>
      <c r="I40" s="971"/>
    </row>
    <row r="41" spans="1:9" ht="24.95" customHeight="1">
      <c r="A41" s="971"/>
      <c r="B41" s="971"/>
      <c r="C41" s="972"/>
      <c r="D41" s="973"/>
      <c r="E41" s="971"/>
      <c r="F41" s="974"/>
      <c r="G41" s="974"/>
      <c r="H41" s="974"/>
      <c r="I41" s="971"/>
    </row>
    <row r="42" spans="1:9" ht="24.95" customHeight="1">
      <c r="A42" s="971"/>
      <c r="B42" s="971"/>
      <c r="C42" s="972"/>
      <c r="D42" s="973"/>
      <c r="E42" s="971"/>
      <c r="F42" s="974"/>
      <c r="G42" s="974"/>
      <c r="H42" s="974"/>
      <c r="I42" s="971"/>
    </row>
    <row r="43" spans="1:9" ht="24.95" customHeight="1">
      <c r="A43" s="971"/>
      <c r="B43" s="971"/>
      <c r="C43" s="972"/>
      <c r="D43" s="973"/>
      <c r="E43" s="971"/>
      <c r="F43" s="974"/>
      <c r="G43" s="974"/>
      <c r="H43" s="974"/>
      <c r="I43" s="971"/>
    </row>
    <row r="44" spans="1:9" ht="21" customHeight="1"/>
  </sheetData>
  <mergeCells count="8">
    <mergeCell ref="A2:I2"/>
    <mergeCell ref="A1:I1"/>
    <mergeCell ref="A4:I4"/>
    <mergeCell ref="A12:I12"/>
    <mergeCell ref="D38:G38"/>
    <mergeCell ref="H34:I34"/>
    <mergeCell ref="D34:G34"/>
    <mergeCell ref="A34:C34"/>
  </mergeCell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4"/>
  <sheetViews>
    <sheetView view="pageBreakPreview" zoomScaleNormal="100" zoomScaleSheetLayoutView="100" workbookViewId="0">
      <selection activeCell="R6" sqref="R6"/>
    </sheetView>
  </sheetViews>
  <sheetFormatPr defaultRowHeight="12.75"/>
  <cols>
    <col min="1" max="1" width="6.140625" style="1116" customWidth="1"/>
    <col min="2" max="2" width="9.140625" style="1116" customWidth="1"/>
    <col min="3" max="4" width="13" style="1116" customWidth="1"/>
    <col min="5" max="5" width="14.28515625" style="1116" hidden="1" customWidth="1"/>
    <col min="6" max="6" width="14.42578125" style="1116" hidden="1" customWidth="1"/>
    <col min="7" max="7" width="15.140625" style="1116" customWidth="1"/>
    <col min="8" max="8" width="14.5703125" style="1116" customWidth="1"/>
    <col min="9" max="9" width="16" style="1116" customWidth="1"/>
    <col min="10" max="17" width="9.140625" style="1116"/>
    <col min="18" max="18" width="10.140625" style="1116" bestFit="1" customWidth="1"/>
    <col min="19" max="16384" width="9.140625" style="1116"/>
  </cols>
  <sheetData>
    <row r="1" spans="1:18" ht="26.25" customHeight="1">
      <c r="A1" s="1733" t="s">
        <v>1157</v>
      </c>
      <c r="B1" s="1733"/>
      <c r="C1" s="1733"/>
      <c r="D1" s="1733"/>
      <c r="E1" s="1733"/>
      <c r="F1" s="1733"/>
      <c r="G1" s="1733"/>
      <c r="H1" s="1733"/>
      <c r="I1" s="1733"/>
    </row>
    <row r="2" spans="1:18" ht="25.5" customHeight="1">
      <c r="A2" s="1732" t="s">
        <v>1158</v>
      </c>
      <c r="B2" s="1732"/>
      <c r="C2" s="1732"/>
      <c r="D2" s="1732"/>
      <c r="E2" s="1732"/>
      <c r="F2" s="1732"/>
      <c r="G2" s="1732"/>
      <c r="H2" s="1732"/>
      <c r="I2" s="1732"/>
    </row>
    <row r="3" spans="1:18" ht="38.25">
      <c r="A3" s="1115" t="s">
        <v>939</v>
      </c>
      <c r="B3" s="1115" t="s">
        <v>1100</v>
      </c>
      <c r="C3" s="975" t="s">
        <v>1121</v>
      </c>
      <c r="D3" s="975" t="s">
        <v>1127</v>
      </c>
      <c r="E3" s="975" t="s">
        <v>1128</v>
      </c>
      <c r="F3" s="975" t="s">
        <v>1126</v>
      </c>
      <c r="G3" s="975" t="s">
        <v>1120</v>
      </c>
      <c r="H3" s="975" t="s">
        <v>1130</v>
      </c>
      <c r="I3" s="975" t="s">
        <v>1122</v>
      </c>
    </row>
    <row r="4" spans="1:18" ht="24.95" customHeight="1">
      <c r="A4" s="1734" t="s">
        <v>1119</v>
      </c>
      <c r="B4" s="1734"/>
      <c r="C4" s="1734"/>
      <c r="D4" s="1734"/>
      <c r="E4" s="1734"/>
      <c r="F4" s="1734"/>
      <c r="G4" s="1734"/>
      <c r="H4" s="1734"/>
      <c r="I4" s="1734"/>
      <c r="R4" s="1197">
        <v>42676</v>
      </c>
    </row>
    <row r="5" spans="1:18" ht="24.95" customHeight="1">
      <c r="A5" s="953">
        <v>2</v>
      </c>
      <c r="B5" s="953" t="s">
        <v>523</v>
      </c>
      <c r="C5" s="954">
        <f>VLOOKUP(B5,DT.NK!$B:$AZ,49,0)</f>
        <v>42745</v>
      </c>
      <c r="D5" s="957">
        <f>VLOOKUP(B5,'Thong tin'!A:R,6,0)</f>
        <v>-6.9</v>
      </c>
      <c r="E5" s="953">
        <f>VLOOKUP(B5,DT.NK!$B:$AZ,10,0)</f>
        <v>-0.63900000000000001</v>
      </c>
      <c r="F5" s="955">
        <f>VLOOKUP(B5,DT.NK!$B:$AZ,28,0)</f>
        <v>29.9</v>
      </c>
      <c r="G5" s="955">
        <f t="shared" ref="G5" si="0">E5-F5</f>
        <v>-30.538999999999998</v>
      </c>
      <c r="H5" s="955">
        <f t="shared" ref="H5" si="1">D5-G5</f>
        <v>23.638999999999996</v>
      </c>
      <c r="I5" s="953"/>
      <c r="R5" s="1197">
        <v>42724</v>
      </c>
    </row>
    <row r="6" spans="1:18" ht="24.95" customHeight="1">
      <c r="A6" s="1734" t="s">
        <v>1125</v>
      </c>
      <c r="B6" s="1734"/>
      <c r="C6" s="1734"/>
      <c r="D6" s="1734"/>
      <c r="E6" s="1734"/>
      <c r="F6" s="1734"/>
      <c r="G6" s="1734"/>
      <c r="H6" s="1734"/>
      <c r="I6" s="1734"/>
    </row>
    <row r="7" spans="1:18" ht="24.95" customHeight="1">
      <c r="A7" s="953">
        <v>1</v>
      </c>
      <c r="B7" s="953" t="s">
        <v>553</v>
      </c>
      <c r="C7" s="954">
        <f>VLOOKUP(B7,DT.NK!$B:$AZ,49,0)</f>
        <v>42724</v>
      </c>
      <c r="D7" s="957">
        <f>VLOOKUP(B7,'Thong tin'!A:R,6,0)</f>
        <v>-8.6999999999999993</v>
      </c>
      <c r="E7" s="953">
        <f>VLOOKUP(B7,DT.NK!$B:$AZ,10,0)</f>
        <v>0.01</v>
      </c>
      <c r="F7" s="955">
        <f>VLOOKUP(B7,DT.NK!$B:$AZ,28,0)</f>
        <v>24.85</v>
      </c>
      <c r="G7" s="955">
        <f>E7-F7</f>
        <v>-24.84</v>
      </c>
      <c r="H7" s="955">
        <f t="shared" ref="H7:H20" si="2">D7-G7</f>
        <v>16.14</v>
      </c>
      <c r="I7" s="953"/>
      <c r="N7" s="1116" t="s">
        <v>631</v>
      </c>
      <c r="R7" s="1116">
        <f>R5-R4</f>
        <v>48</v>
      </c>
    </row>
    <row r="8" spans="1:18" ht="24.95" customHeight="1">
      <c r="A8" s="953">
        <v>2</v>
      </c>
      <c r="B8" s="953" t="s">
        <v>573</v>
      </c>
      <c r="C8" s="954">
        <f>VLOOKUP(B8,DT.NK!$B:$AZ,49,0)</f>
        <v>42744</v>
      </c>
      <c r="D8" s="957">
        <f>VLOOKUP(B8,'Thong tin'!A:R,6,0)</f>
        <v>-8.6999999999999993</v>
      </c>
      <c r="E8" s="953">
        <f>VLOOKUP(B8,DT.NK!$B:$AZ,10,0)</f>
        <v>-0.01</v>
      </c>
      <c r="F8" s="955">
        <f>VLOOKUP(B8,DT.NK!$B:$AZ,28,0)</f>
        <v>25.3</v>
      </c>
      <c r="G8" s="955">
        <f t="shared" ref="G8:G20" si="3">E8-F8</f>
        <v>-25.310000000000002</v>
      </c>
      <c r="H8" s="955">
        <f t="shared" si="2"/>
        <v>16.610000000000003</v>
      </c>
      <c r="I8" s="953"/>
      <c r="N8" s="1116" t="s">
        <v>523</v>
      </c>
    </row>
    <row r="9" spans="1:18" ht="24.95" customHeight="1">
      <c r="A9" s="953">
        <v>3</v>
      </c>
      <c r="B9" s="953" t="s">
        <v>578</v>
      </c>
      <c r="C9" s="954">
        <f>VLOOKUP(B9,DT.NK!$B:$AZ,49,0)</f>
        <v>42468</v>
      </c>
      <c r="D9" s="957">
        <f>VLOOKUP(B9,'Thong tin'!A:R,6,0)</f>
        <v>-7.7</v>
      </c>
      <c r="E9" s="953">
        <f>VLOOKUP(B9,DT.NK!$B:$AZ,10,0)</f>
        <v>-0.156</v>
      </c>
      <c r="F9" s="955">
        <f>VLOOKUP(B9,DT.NK!$B:$AZ,28,0)</f>
        <v>39.799999999999997</v>
      </c>
      <c r="G9" s="955">
        <f t="shared" si="3"/>
        <v>-39.955999999999996</v>
      </c>
      <c r="H9" s="955">
        <f t="shared" si="2"/>
        <v>32.255999999999993</v>
      </c>
      <c r="I9" s="953"/>
      <c r="N9" s="1116" t="s">
        <v>494</v>
      </c>
    </row>
    <row r="10" spans="1:18" ht="24.95" customHeight="1">
      <c r="A10" s="953">
        <v>4</v>
      </c>
      <c r="B10" s="953" t="s">
        <v>665</v>
      </c>
      <c r="C10" s="954">
        <f>VLOOKUP(B10,DT.NK!$B:$AZ,49,0)</f>
        <v>42726</v>
      </c>
      <c r="D10" s="957">
        <f>VLOOKUP(B10,'Thong tin'!A:R,6,0)</f>
        <v>-8.6999999999999993</v>
      </c>
      <c r="E10" s="953">
        <f>VLOOKUP(B10,DT.NK!$B:$AZ,10,0)</f>
        <v>1.2999999999999999E-2</v>
      </c>
      <c r="F10" s="955">
        <f>VLOOKUP(B10,DT.NK!$B:$AZ,28,0)</f>
        <v>28.4</v>
      </c>
      <c r="G10" s="955">
        <f t="shared" si="3"/>
        <v>-28.386999999999997</v>
      </c>
      <c r="H10" s="955">
        <f t="shared" si="2"/>
        <v>19.686999999999998</v>
      </c>
      <c r="I10" s="953"/>
      <c r="N10" s="1116" t="s">
        <v>509</v>
      </c>
    </row>
    <row r="11" spans="1:18" ht="24.95" customHeight="1">
      <c r="A11" s="953">
        <v>5</v>
      </c>
      <c r="B11" s="953" t="s">
        <v>682</v>
      </c>
      <c r="C11" s="954">
        <f>VLOOKUP(B11,DT.NK!$B:$AZ,49,0)</f>
        <v>42727</v>
      </c>
      <c r="D11" s="957">
        <f>VLOOKUP(B11,'Thong tin'!A:R,6,0)</f>
        <v>-9.6999999999999993</v>
      </c>
      <c r="E11" s="953">
        <f>VLOOKUP(B11,DT.NK!$B:$AZ,10,0)</f>
        <v>9.9000000000000005E-2</v>
      </c>
      <c r="F11" s="955">
        <f>VLOOKUP(B11,DT.NK!$B:$AZ,28,0)</f>
        <v>28.33</v>
      </c>
      <c r="G11" s="955">
        <f t="shared" si="3"/>
        <v>-28.230999999999998</v>
      </c>
      <c r="H11" s="955">
        <f t="shared" si="2"/>
        <v>18.530999999999999</v>
      </c>
      <c r="I11" s="953"/>
      <c r="N11" s="1116" t="s">
        <v>519</v>
      </c>
    </row>
    <row r="12" spans="1:18" ht="24.95" customHeight="1">
      <c r="A12" s="953">
        <v>6</v>
      </c>
      <c r="B12" s="953" t="s">
        <v>695</v>
      </c>
      <c r="C12" s="954">
        <f>VLOOKUP(B12,DT.NK!$B:$AZ,49,0)</f>
        <v>42749</v>
      </c>
      <c r="D12" s="957">
        <f>VLOOKUP(B12,'Thong tin'!A:R,6,0)</f>
        <v>-9.6999999999999993</v>
      </c>
      <c r="E12" s="953">
        <f>VLOOKUP(B12,DT.NK!$B:$AZ,10,0)</f>
        <v>-8.2000000000000003E-2</v>
      </c>
      <c r="F12" s="955">
        <f>VLOOKUP(B12,DT.NK!$B:$AZ,28,0)</f>
        <v>43.16</v>
      </c>
      <c r="G12" s="955">
        <f t="shared" si="3"/>
        <v>-43.241999999999997</v>
      </c>
      <c r="H12" s="955">
        <f t="shared" si="2"/>
        <v>33.542000000000002</v>
      </c>
      <c r="I12" s="956"/>
      <c r="N12" s="1116" t="s">
        <v>533</v>
      </c>
      <c r="Q12" s="1116" t="s">
        <v>523</v>
      </c>
      <c r="R12" s="1116" t="str">
        <f>VLOOKUP(Q12,'Thong tin'!A:R,5,0)</f>
        <v>DC10</v>
      </c>
    </row>
    <row r="13" spans="1:18" ht="24.95" customHeight="1">
      <c r="A13" s="953">
        <v>7</v>
      </c>
      <c r="B13" s="953" t="s">
        <v>491</v>
      </c>
      <c r="C13" s="954">
        <f>VLOOKUP(B13,DT.NK!$B:$AZ,49,0)</f>
        <v>42750</v>
      </c>
      <c r="D13" s="957">
        <f>VLOOKUP(B13,'Thong tin'!A:R,6,0)</f>
        <v>-8.6999999999999993</v>
      </c>
      <c r="E13" s="953">
        <f>VLOOKUP(B13,DT.NK!$B:$AZ,10,0)</f>
        <v>-0.27200000000000002</v>
      </c>
      <c r="F13" s="955">
        <f>VLOOKUP(B13,DT.NK!$B:$AZ,28,0)</f>
        <v>26.21</v>
      </c>
      <c r="G13" s="955">
        <f t="shared" si="3"/>
        <v>-26.481999999999999</v>
      </c>
      <c r="H13" s="955">
        <f t="shared" si="2"/>
        <v>17.782</v>
      </c>
      <c r="I13" s="953"/>
      <c r="N13" s="1116" t="s">
        <v>543</v>
      </c>
      <c r="Q13" s="1116" t="s">
        <v>553</v>
      </c>
      <c r="R13" s="1118" t="str">
        <f>VLOOKUP(Q13,'Thong tin'!A:R,5,0)</f>
        <v>DC5</v>
      </c>
    </row>
    <row r="14" spans="1:18" ht="24.95" customHeight="1">
      <c r="A14" s="953">
        <v>8</v>
      </c>
      <c r="B14" s="953" t="s">
        <v>535</v>
      </c>
      <c r="C14" s="954">
        <f>VLOOKUP(B14,DT.NK!$B:$AZ,49,0)</f>
        <v>42506</v>
      </c>
      <c r="D14" s="957">
        <f>VLOOKUP(B14,'Thong tin'!A:R,6,0)</f>
        <v>-7.7</v>
      </c>
      <c r="E14" s="953">
        <f>VLOOKUP(B14,DT.NK!$B:$AZ,10,0)</f>
        <v>-0.222</v>
      </c>
      <c r="F14" s="955">
        <f>VLOOKUP(B14,DT.NK!$B:$AZ,28,0)</f>
        <v>23.62</v>
      </c>
      <c r="G14" s="955">
        <f t="shared" si="3"/>
        <v>-23.842000000000002</v>
      </c>
      <c r="H14" s="955">
        <f t="shared" si="2"/>
        <v>16.142000000000003</v>
      </c>
      <c r="I14" s="953"/>
      <c r="N14" s="1116" t="s">
        <v>553</v>
      </c>
      <c r="Q14" s="1116" t="s">
        <v>573</v>
      </c>
      <c r="R14" s="1118" t="str">
        <f>VLOOKUP(Q14,'Thong tin'!A:R,5,0)</f>
        <v>DC5</v>
      </c>
    </row>
    <row r="15" spans="1:18" ht="24.95" customHeight="1">
      <c r="A15" s="953">
        <v>9</v>
      </c>
      <c r="B15" s="953" t="s">
        <v>517</v>
      </c>
      <c r="C15" s="954">
        <f>VLOOKUP(B15,DT.NK!$B:$AZ,49,0)</f>
        <v>42752</v>
      </c>
      <c r="D15" s="957">
        <f>VLOOKUP(B15,'Thong tin'!A:R,6,0)</f>
        <v>-8</v>
      </c>
      <c r="E15" s="953">
        <f>VLOOKUP(B15,DT.NK!$B:$AZ,10,0)</f>
        <v>-0.112</v>
      </c>
      <c r="F15" s="955">
        <f>VLOOKUP(B15,DT.NK!$B:$AZ,28,0)</f>
        <v>38.74</v>
      </c>
      <c r="G15" s="955">
        <f t="shared" si="3"/>
        <v>-38.852000000000004</v>
      </c>
      <c r="H15" s="955">
        <f t="shared" si="2"/>
        <v>30.852000000000004</v>
      </c>
      <c r="I15" s="953"/>
      <c r="N15" s="1116" t="s">
        <v>563</v>
      </c>
      <c r="Q15" s="1116" t="s">
        <v>578</v>
      </c>
      <c r="R15" s="1118" t="str">
        <f>VLOOKUP(Q15,'Thong tin'!A:R,5,0)</f>
        <v>DC5A</v>
      </c>
    </row>
    <row r="16" spans="1:18" ht="24.95" customHeight="1">
      <c r="A16" s="953">
        <v>10</v>
      </c>
      <c r="B16" s="953" t="s">
        <v>696</v>
      </c>
      <c r="C16" s="954">
        <f>VLOOKUP(B16,DT.NK!$B:$AZ,49,0)</f>
        <v>42720</v>
      </c>
      <c r="D16" s="957">
        <f>VLOOKUP(B16,'Thong tin'!A:R,6,0)</f>
        <v>-8.6999999999999993</v>
      </c>
      <c r="E16" s="953">
        <f>VLOOKUP(B16,DT.NK!$B:$AZ,10,0)</f>
        <v>-0.32300000000000001</v>
      </c>
      <c r="F16" s="955">
        <f>VLOOKUP(B16,DT.NK!$B:$AZ,28,0)</f>
        <v>29.8</v>
      </c>
      <c r="G16" s="955">
        <f t="shared" si="3"/>
        <v>-30.123000000000001</v>
      </c>
      <c r="H16" s="955">
        <f t="shared" si="2"/>
        <v>21.423000000000002</v>
      </c>
      <c r="I16" s="953"/>
      <c r="N16" s="1116" t="s">
        <v>573</v>
      </c>
      <c r="Q16" s="1116" t="s">
        <v>579</v>
      </c>
      <c r="R16" s="1118" t="str">
        <f>VLOOKUP(Q16,'Thong tin'!A:R,5,0)</f>
        <v>DC1</v>
      </c>
    </row>
    <row r="17" spans="1:18" ht="24.95" customHeight="1">
      <c r="A17" s="953">
        <v>11</v>
      </c>
      <c r="B17" s="953" t="s">
        <v>492</v>
      </c>
      <c r="C17" s="954">
        <f>VLOOKUP(B17,DT.NK!$B:$AZ,49,0)</f>
        <v>42714</v>
      </c>
      <c r="D17" s="957">
        <f>VLOOKUP(B17,'Thong tin'!A:R,6,0)</f>
        <v>-8.6999999999999993</v>
      </c>
      <c r="E17" s="953">
        <f>VLOOKUP(B17,DT.NK!$B:$AZ,10,0)</f>
        <v>-0.20899999999999999</v>
      </c>
      <c r="F17" s="955">
        <f>VLOOKUP(B17,DT.NK!$B:$AZ,28,0)</f>
        <v>28.52</v>
      </c>
      <c r="G17" s="955">
        <f t="shared" si="3"/>
        <v>-28.728999999999999</v>
      </c>
      <c r="H17" s="955">
        <f t="shared" si="2"/>
        <v>20.029</v>
      </c>
      <c r="I17" s="953"/>
      <c r="N17" s="1116" t="s">
        <v>618</v>
      </c>
      <c r="Q17" s="1116" t="s">
        <v>665</v>
      </c>
      <c r="R17" s="1118" t="str">
        <f>VLOOKUP(Q17,'Thong tin'!A:R,5,0)</f>
        <v>DC1</v>
      </c>
    </row>
    <row r="18" spans="1:18" ht="24.95" customHeight="1">
      <c r="A18" s="953">
        <v>12</v>
      </c>
      <c r="B18" s="953" t="s">
        <v>507</v>
      </c>
      <c r="C18" s="954">
        <f>VLOOKUP(B18,DT.NK!$B:$AZ,49,0)</f>
        <v>42738</v>
      </c>
      <c r="D18" s="957">
        <f>VLOOKUP(B18,'Thong tin'!A:R,6,0)</f>
        <v>-8.6999999999999993</v>
      </c>
      <c r="E18" s="953">
        <f>VLOOKUP(B18,DT.NK!$B:$AZ,10,0)</f>
        <v>-0.47199999999999998</v>
      </c>
      <c r="F18" s="955">
        <f>VLOOKUP(B18,DT.NK!$B:$AZ,28,0)</f>
        <v>28.7</v>
      </c>
      <c r="G18" s="955">
        <f t="shared" si="3"/>
        <v>-29.172000000000001</v>
      </c>
      <c r="H18" s="955">
        <f t="shared" si="2"/>
        <v>20.472000000000001</v>
      </c>
      <c r="I18" s="953"/>
      <c r="N18" s="1116" t="s">
        <v>664</v>
      </c>
      <c r="Q18" s="1116" t="s">
        <v>695</v>
      </c>
      <c r="R18" s="1118" t="str">
        <f>VLOOKUP(Q18,'Thong tin'!A:R,5,0)</f>
        <v>DC1</v>
      </c>
    </row>
    <row r="19" spans="1:18" ht="24.95" customHeight="1">
      <c r="A19" s="953">
        <v>13</v>
      </c>
      <c r="B19" s="1119" t="s">
        <v>601</v>
      </c>
      <c r="C19" s="954">
        <f>VLOOKUP(B19,DT.NK!$B:$AZ,49,0)</f>
        <v>42729</v>
      </c>
      <c r="D19" s="957">
        <f>VLOOKUP(B19,'Thong tin'!A:R,6,0)</f>
        <v>-8.6999999999999993</v>
      </c>
      <c r="E19" s="953">
        <f>VLOOKUP(B19,DT.NK!$B:$AZ,10,0)</f>
        <v>-0.222</v>
      </c>
      <c r="F19" s="955">
        <f>VLOOKUP(B19,DT.NK!$B:$AZ,28,0)</f>
        <v>24.55</v>
      </c>
      <c r="G19" s="955">
        <f t="shared" si="3"/>
        <v>-24.772000000000002</v>
      </c>
      <c r="H19" s="955">
        <f t="shared" si="2"/>
        <v>16.072000000000003</v>
      </c>
      <c r="I19" s="953"/>
      <c r="N19" s="1116" t="s">
        <v>686</v>
      </c>
      <c r="Q19" s="1116" t="s">
        <v>491</v>
      </c>
      <c r="R19" s="1118" t="str">
        <f>VLOOKUP(Q19,'Thong tin'!A:R,5,0)</f>
        <v>DC1</v>
      </c>
    </row>
    <row r="20" spans="1:18" ht="24.95" customHeight="1">
      <c r="A20" s="953">
        <v>14</v>
      </c>
      <c r="B20" s="953" t="s">
        <v>616</v>
      </c>
      <c r="C20" s="954">
        <f>VLOOKUP(B20,DT.NK!$B:$AZ,49,0)</f>
        <v>42753</v>
      </c>
      <c r="D20" s="957">
        <f>VLOOKUP(B20,'Thong tin'!A:R,6,0)</f>
        <v>-8</v>
      </c>
      <c r="E20" s="953">
        <f>VLOOKUP(B20,DT.NK!$B:$AZ,10,0)</f>
        <v>-0.27200000000000002</v>
      </c>
      <c r="F20" s="955">
        <f>VLOOKUP(B20,DT.NK!$B:$AZ,28,0)</f>
        <v>32.78</v>
      </c>
      <c r="G20" s="955">
        <f t="shared" si="3"/>
        <v>-33.052</v>
      </c>
      <c r="H20" s="955">
        <f t="shared" si="2"/>
        <v>25.052</v>
      </c>
      <c r="I20" s="953"/>
      <c r="N20" s="1116" t="s">
        <v>490</v>
      </c>
      <c r="Q20" s="1116" t="s">
        <v>535</v>
      </c>
      <c r="R20" s="1118" t="str">
        <f>VLOOKUP(Q20,'Thong tin'!A:R,5,0)</f>
        <v>DC3</v>
      </c>
    </row>
    <row r="21" spans="1:18" ht="24.95" customHeight="1">
      <c r="A21" s="1738" t="s">
        <v>1133</v>
      </c>
      <c r="B21" s="1738"/>
      <c r="C21" s="1738"/>
      <c r="D21" s="1737" t="s">
        <v>186</v>
      </c>
      <c r="E21" s="1737"/>
      <c r="F21" s="1737"/>
      <c r="G21" s="1737"/>
      <c r="H21" s="1736" t="s">
        <v>5</v>
      </c>
      <c r="I21" s="1736"/>
      <c r="N21" s="1116" t="s">
        <v>569</v>
      </c>
      <c r="Q21" s="1116" t="s">
        <v>693</v>
      </c>
      <c r="R21" s="1118" t="str">
        <f>VLOOKUP(Q21,'Thong tin'!A:R,5,0)</f>
        <v>DC5</v>
      </c>
    </row>
    <row r="22" spans="1:18" ht="24.95" customHeight="1">
      <c r="A22" s="976"/>
      <c r="B22" s="976"/>
      <c r="C22" s="977"/>
      <c r="D22" s="1117"/>
      <c r="E22" s="976"/>
      <c r="F22" s="979"/>
      <c r="G22" s="979"/>
      <c r="H22" s="979"/>
      <c r="I22" s="976"/>
      <c r="N22" s="1116" t="s">
        <v>579</v>
      </c>
      <c r="Q22" s="1116" t="s">
        <v>492</v>
      </c>
      <c r="R22" s="1118" t="str">
        <f>VLOOKUP(Q22,'Thong tin'!A:R,5,0)</f>
        <v>DC4</v>
      </c>
    </row>
    <row r="23" spans="1:18" ht="24.95" customHeight="1">
      <c r="A23" s="976"/>
      <c r="B23" s="976"/>
      <c r="C23" s="977"/>
      <c r="D23" s="1117"/>
      <c r="E23" s="976"/>
      <c r="F23" s="979"/>
      <c r="G23" s="979"/>
      <c r="H23" s="979"/>
      <c r="I23" s="976"/>
      <c r="N23" s="1116" t="s">
        <v>584</v>
      </c>
      <c r="Q23" s="1116" t="s">
        <v>507</v>
      </c>
      <c r="R23" s="1118" t="str">
        <f>VLOOKUP(Q23,'Thong tin'!A:R,5,0)</f>
        <v>DC6</v>
      </c>
    </row>
    <row r="24" spans="1:18" ht="24.95" customHeight="1">
      <c r="A24" s="976"/>
      <c r="B24" s="976"/>
      <c r="C24" s="977"/>
      <c r="D24" s="1117"/>
      <c r="E24" s="976"/>
      <c r="F24" s="979"/>
      <c r="G24" s="979"/>
      <c r="H24" s="979"/>
      <c r="I24" s="976"/>
      <c r="Q24" s="1116" t="s">
        <v>601</v>
      </c>
      <c r="R24" s="1118" t="str">
        <f>VLOOKUP(Q24,'Thong tin'!A:R,5,0)</f>
        <v>DC5</v>
      </c>
    </row>
    <row r="25" spans="1:18" ht="24.95" customHeight="1">
      <c r="A25" s="976"/>
      <c r="B25" s="976"/>
      <c r="C25" s="977"/>
      <c r="D25" s="1735" t="s">
        <v>1134</v>
      </c>
      <c r="E25" s="1735"/>
      <c r="F25" s="1735"/>
      <c r="G25" s="1735"/>
      <c r="H25" s="979"/>
      <c r="I25" s="976"/>
      <c r="Q25" s="1116" t="s">
        <v>616</v>
      </c>
      <c r="R25" s="1118" t="str">
        <f>VLOOKUP(Q25,'Thong tin'!A:R,5,0)</f>
        <v>DC8</v>
      </c>
    </row>
    <row r="26" spans="1:18" ht="24.95" customHeight="1">
      <c r="A26" s="971"/>
      <c r="B26" s="971"/>
      <c r="C26" s="972"/>
      <c r="D26" s="973"/>
      <c r="E26" s="971"/>
      <c r="F26" s="974"/>
      <c r="G26" s="974"/>
      <c r="H26" s="974"/>
      <c r="I26" s="971"/>
    </row>
    <row r="27" spans="1:18" ht="24.95" customHeight="1">
      <c r="A27" s="971"/>
      <c r="B27" s="971"/>
      <c r="C27" s="972"/>
      <c r="D27" s="973"/>
      <c r="E27" s="971"/>
      <c r="F27" s="974"/>
      <c r="G27" s="974"/>
      <c r="H27" s="974"/>
      <c r="I27" s="971"/>
      <c r="N27" s="1116" t="s">
        <v>648</v>
      </c>
      <c r="Q27" s="1116" t="s">
        <v>537</v>
      </c>
      <c r="R27" s="1118" t="str">
        <f>VLOOKUP(Q27,'Thong tin'!A:R,5,0)</f>
        <v>DC10</v>
      </c>
    </row>
    <row r="28" spans="1:18" ht="24.95" customHeight="1">
      <c r="A28" s="971"/>
      <c r="B28" s="971"/>
      <c r="C28" s="972"/>
      <c r="D28" s="973"/>
      <c r="E28" s="971"/>
      <c r="F28" s="974"/>
      <c r="G28" s="974"/>
      <c r="H28" s="974"/>
      <c r="I28" s="971"/>
      <c r="N28" s="1116" t="s">
        <v>682</v>
      </c>
      <c r="Q28" s="1116" t="s">
        <v>547</v>
      </c>
      <c r="R28" s="1118" t="str">
        <f>VLOOKUP(Q28,'Thong tin'!A:R,5,0)</f>
        <v>DC10</v>
      </c>
    </row>
    <row r="29" spans="1:18" ht="24.95" customHeight="1">
      <c r="A29" s="971"/>
      <c r="B29" s="971"/>
      <c r="C29" s="972"/>
      <c r="D29" s="973"/>
      <c r="E29" s="971"/>
      <c r="F29" s="974"/>
      <c r="G29" s="974"/>
      <c r="H29" s="974"/>
      <c r="I29" s="971"/>
      <c r="N29" s="1116" t="s">
        <v>687</v>
      </c>
      <c r="Q29" s="1116" t="s">
        <v>557</v>
      </c>
      <c r="R29" s="1118" t="str">
        <f>VLOOKUP(Q29,'Thong tin'!A:R,5,0)</f>
        <v>DC10</v>
      </c>
    </row>
    <row r="30" spans="1:18" ht="24.95" customHeight="1">
      <c r="A30" s="971"/>
      <c r="B30" s="971"/>
      <c r="C30" s="972"/>
      <c r="D30" s="973"/>
      <c r="E30" s="971"/>
      <c r="F30" s="974"/>
      <c r="G30" s="974"/>
      <c r="H30" s="974"/>
      <c r="I30" s="971"/>
      <c r="N30" s="1116" t="s">
        <v>695</v>
      </c>
      <c r="Q30" s="1116" t="s">
        <v>567</v>
      </c>
      <c r="R30" s="1118" t="str">
        <f>VLOOKUP(Q30,'Thong tin'!A:R,5,0)</f>
        <v>DC10</v>
      </c>
    </row>
    <row r="31" spans="1:18" ht="21" customHeight="1">
      <c r="N31" s="1116" t="s">
        <v>491</v>
      </c>
      <c r="Q31" s="1116" t="s">
        <v>577</v>
      </c>
      <c r="R31" s="1118" t="str">
        <f>VLOOKUP(Q31,'Thong tin'!A:R,5,0)</f>
        <v>DC10</v>
      </c>
    </row>
    <row r="32" spans="1:18">
      <c r="N32" s="1116" t="s">
        <v>496</v>
      </c>
      <c r="Q32" s="1116" t="s">
        <v>587</v>
      </c>
      <c r="R32" s="1118" t="str">
        <f>VLOOKUP(Q32,'Thong tin'!A:R,5,0)</f>
        <v>DC10</v>
      </c>
    </row>
    <row r="33" spans="14:18">
      <c r="N33" s="1116" t="s">
        <v>506</v>
      </c>
      <c r="Q33" s="1116" t="s">
        <v>494</v>
      </c>
      <c r="R33" s="1118" t="str">
        <f>VLOOKUP(Q33,'Thong tin'!A:R,5,0)</f>
        <v>DC6</v>
      </c>
    </row>
    <row r="34" spans="14:18">
      <c r="Q34" s="1116" t="s">
        <v>509</v>
      </c>
      <c r="R34" s="1118" t="str">
        <f>VLOOKUP(Q34,'Thong tin'!A:R,5,0)</f>
        <v>DC5</v>
      </c>
    </row>
    <row r="35" spans="14:18">
      <c r="Q35" s="1116" t="s">
        <v>519</v>
      </c>
      <c r="R35" s="1118" t="str">
        <f>VLOOKUP(Q35,'Thong tin'!A:R,5,0)</f>
        <v>DC5</v>
      </c>
    </row>
    <row r="36" spans="14:18">
      <c r="Q36" s="1116" t="s">
        <v>618</v>
      </c>
      <c r="R36" s="1118" t="str">
        <f>VLOOKUP(Q36,'Thong tin'!A:R,5,0)</f>
        <v>DC5</v>
      </c>
    </row>
    <row r="37" spans="14:18">
      <c r="Q37" s="1116" t="s">
        <v>642</v>
      </c>
      <c r="R37" s="1118" t="str">
        <f>VLOOKUP(Q37,'Thong tin'!A:R,5,0)</f>
        <v>DC5</v>
      </c>
    </row>
    <row r="38" spans="14:18">
      <c r="Q38" s="1116" t="s">
        <v>652</v>
      </c>
      <c r="R38" s="1118" t="str">
        <f>VLOOKUP(Q38,'Thong tin'!A:R,5,0)</f>
        <v>DC2</v>
      </c>
    </row>
    <row r="39" spans="14:18">
      <c r="Q39" s="1116" t="s">
        <v>664</v>
      </c>
      <c r="R39" s="1118" t="str">
        <f>VLOOKUP(Q39,'Thong tin'!A:R,5,0)</f>
        <v>DC2</v>
      </c>
    </row>
    <row r="40" spans="14:18">
      <c r="Q40" s="1116" t="s">
        <v>686</v>
      </c>
      <c r="R40" s="1118" t="str">
        <f>VLOOKUP(Q40,'Thong tin'!A:R,5,0)</f>
        <v>DC2</v>
      </c>
    </row>
    <row r="41" spans="14:18">
      <c r="Q41" s="1116" t="s">
        <v>490</v>
      </c>
      <c r="R41" s="1118" t="str">
        <f>VLOOKUP(Q41,'Thong tin'!A:R,5,0)</f>
        <v>DC2</v>
      </c>
    </row>
    <row r="42" spans="14:18">
      <c r="N42" s="1116" t="s">
        <v>507</v>
      </c>
      <c r="Q42" s="1116" t="s">
        <v>505</v>
      </c>
      <c r="R42" s="1118" t="str">
        <f>VLOOKUP(Q42,'Thong tin'!A:R,5,0)</f>
        <v>DC2</v>
      </c>
    </row>
    <row r="43" spans="14:18">
      <c r="Q43" s="1116" t="s">
        <v>520</v>
      </c>
      <c r="R43" s="1118" t="str">
        <f>VLOOKUP(Q43,'Thong tin'!A:R,5,0)</f>
        <v>DC2</v>
      </c>
    </row>
    <row r="44" spans="14:18">
      <c r="Q44" s="1116" t="s">
        <v>534</v>
      </c>
      <c r="R44" s="1118" t="str">
        <f>VLOOKUP(Q44,'Thong tin'!A:R,5,0)</f>
        <v>DC2</v>
      </c>
    </row>
    <row r="45" spans="14:18">
      <c r="Q45" s="1116" t="s">
        <v>634</v>
      </c>
      <c r="R45" s="1118" t="str">
        <f>VLOOKUP(Q45,'Thong tin'!A:R,5,0)</f>
        <v>DC5</v>
      </c>
    </row>
    <row r="46" spans="14:18">
      <c r="N46" s="1116" t="s">
        <v>601</v>
      </c>
      <c r="Q46" s="1116" t="s">
        <v>658</v>
      </c>
      <c r="R46" s="1118" t="str">
        <f>VLOOKUP(Q46,'Thong tin'!A:R,5,0)</f>
        <v>DC5</v>
      </c>
    </row>
    <row r="47" spans="14:18">
      <c r="N47" s="1116" t="s">
        <v>606</v>
      </c>
      <c r="Q47" s="1116" t="s">
        <v>551</v>
      </c>
      <c r="R47" s="1118" t="str">
        <f>VLOOKUP(Q47,'Thong tin'!A:R,5,0)</f>
        <v>DC5</v>
      </c>
    </row>
    <row r="48" spans="14:18">
      <c r="N48" s="1116" t="s">
        <v>611</v>
      </c>
      <c r="Q48" s="1116" t="s">
        <v>566</v>
      </c>
      <c r="R48" s="1118" t="str">
        <f>VLOOKUP(Q48,'Thong tin'!A:R,5,0)</f>
        <v>DC8A</v>
      </c>
    </row>
    <row r="49" spans="14:18">
      <c r="N49" s="1116" t="s">
        <v>588</v>
      </c>
      <c r="Q49" s="1116" t="s">
        <v>544</v>
      </c>
      <c r="R49" s="1118" t="str">
        <f>VLOOKUP(Q49,'Thong tin'!A:R,5,0)</f>
        <v>DC2</v>
      </c>
    </row>
    <row r="50" spans="14:18">
      <c r="N50" s="1116" t="s">
        <v>593</v>
      </c>
      <c r="Q50" s="1116" t="s">
        <v>533</v>
      </c>
      <c r="R50" s="1118" t="str">
        <f>VLOOKUP(Q50,'Thong tin'!A:R,5,0)</f>
        <v>DC6</v>
      </c>
    </row>
    <row r="51" spans="14:18">
      <c r="N51" s="1116" t="s">
        <v>516</v>
      </c>
      <c r="Q51" s="1116" t="s">
        <v>543</v>
      </c>
      <c r="R51" s="1118" t="str">
        <f>VLOOKUP(Q51,'Thong tin'!A:R,5,0)</f>
        <v>DC6</v>
      </c>
    </row>
    <row r="52" spans="14:18">
      <c r="N52" s="1116" t="s">
        <v>535</v>
      </c>
      <c r="Q52" s="1116" t="s">
        <v>569</v>
      </c>
      <c r="R52" s="1118" t="str">
        <f>VLOOKUP(Q52,'Thong tin'!A:R,5,0)</f>
        <v>DC6</v>
      </c>
    </row>
    <row r="53" spans="14:18">
      <c r="N53" s="1116" t="s">
        <v>517</v>
      </c>
      <c r="Q53" s="1116" t="s">
        <v>599</v>
      </c>
      <c r="R53" s="1118" t="str">
        <f>VLOOKUP(Q53,'Thong tin'!A:R,5,0)</f>
        <v>DC1</v>
      </c>
    </row>
    <row r="54" spans="14:18">
      <c r="N54" s="1116" t="s">
        <v>616</v>
      </c>
    </row>
  </sheetData>
  <mergeCells count="8">
    <mergeCell ref="D25:G25"/>
    <mergeCell ref="A1:I1"/>
    <mergeCell ref="A2:I2"/>
    <mergeCell ref="A4:I4"/>
    <mergeCell ref="A6:I6"/>
    <mergeCell ref="A21:C21"/>
    <mergeCell ref="D21:G21"/>
    <mergeCell ref="H21:I21"/>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27</vt:i4>
      </vt:variant>
    </vt:vector>
  </HeadingPairs>
  <TitlesOfParts>
    <vt:vector size="61" baseType="lpstr">
      <vt:lpstr>2. NK TN</vt:lpstr>
      <vt:lpstr>2. NK KP</vt:lpstr>
      <vt:lpstr>DTKP</vt:lpstr>
      <vt:lpstr>Dia chat</vt:lpstr>
      <vt:lpstr>Thong tin</vt:lpstr>
      <vt:lpstr>Du lieu</vt:lpstr>
      <vt:lpstr>DT.NK</vt:lpstr>
      <vt:lpstr>1. Bia</vt:lpstr>
      <vt:lpstr>2. NK</vt:lpstr>
      <vt:lpstr>3. Dia Chat</vt:lpstr>
      <vt:lpstr>ĐT ĐC</vt:lpstr>
      <vt:lpstr>4. PTDBT</vt:lpstr>
      <vt:lpstr>ĐTBT</vt:lpstr>
      <vt:lpstr>5.BBLMBT2</vt:lpstr>
      <vt:lpstr>5.BBLMBT</vt:lpstr>
      <vt:lpstr>ĐTBBLMBT</vt:lpstr>
      <vt:lpstr>N ĐO BT</vt:lpstr>
      <vt:lpstr>6. BDBT</vt:lpstr>
      <vt:lpstr>Bien ban 2</vt:lpstr>
      <vt:lpstr>Bien ban</vt:lpstr>
      <vt:lpstr>7.BBKT-  TĐC</vt:lpstr>
      <vt:lpstr>8.BBCT</vt:lpstr>
      <vt:lpstr>9.BB- CKBT</vt:lpstr>
      <vt:lpstr>2</vt:lpstr>
      <vt:lpstr>3</vt:lpstr>
      <vt:lpstr>4</vt:lpstr>
      <vt:lpstr>5</vt:lpstr>
      <vt:lpstr>6</vt:lpstr>
      <vt:lpstr>7</vt:lpstr>
      <vt:lpstr>8</vt:lpstr>
      <vt:lpstr>9</vt:lpstr>
      <vt:lpstr>Sheet2</vt:lpstr>
      <vt:lpstr>Sheet1</vt:lpstr>
      <vt:lpstr>Sheet3</vt:lpstr>
      <vt:lpstr>'1. Bia'!Print_Area</vt:lpstr>
      <vt:lpstr>'2'!Print_Area</vt:lpstr>
      <vt:lpstr>'2. NK'!Print_Area</vt:lpstr>
      <vt:lpstr>'2. NK KP'!Print_Area</vt:lpstr>
      <vt:lpstr>'2. NK TN'!Print_Area</vt:lpstr>
      <vt:lpstr>'3'!Print_Area</vt:lpstr>
      <vt:lpstr>'3. Dia Chat'!Print_Area</vt:lpstr>
      <vt:lpstr>'4'!Print_Area</vt:lpstr>
      <vt:lpstr>'4. PTDBT'!Print_Area</vt:lpstr>
      <vt:lpstr>'5'!Print_Area</vt:lpstr>
      <vt:lpstr>'5.BBLMBT'!Print_Area</vt:lpstr>
      <vt:lpstr>'5.BBLMBT2'!Print_Area</vt:lpstr>
      <vt:lpstr>'6'!Print_Area</vt:lpstr>
      <vt:lpstr>'6. BDBT'!Print_Area</vt:lpstr>
      <vt:lpstr>'7'!Print_Area</vt:lpstr>
      <vt:lpstr>'7.BBKT-  TĐC'!Print_Area</vt:lpstr>
      <vt:lpstr>'8'!Print_Area</vt:lpstr>
      <vt:lpstr>'8.BBCT'!Print_Area</vt:lpstr>
      <vt:lpstr>'9'!Print_Area</vt:lpstr>
      <vt:lpstr>'9.BB- CKBT'!Print_Area</vt:lpstr>
      <vt:lpstr>'Bien ban'!Print_Area</vt:lpstr>
      <vt:lpstr>'Bien ban 2'!Print_Area</vt:lpstr>
      <vt:lpstr>DT.NK!Print_Area</vt:lpstr>
      <vt:lpstr>'N ĐO BT'!Print_Area</vt:lpstr>
      <vt:lpstr>Sheet1!Print_Area</vt:lpstr>
      <vt:lpstr>Sheet2!Print_Area</vt:lpstr>
      <vt:lpstr>'N ĐO BT'!Print_Titles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2017-04-14T06:17:46Z</cp:lastPrinted>
  <dcterms:created xsi:type="dcterms:W3CDTF">2013-10-09T09:45:07Z</dcterms:created>
  <dcterms:modified xsi:type="dcterms:W3CDTF">2017-05-05T15:30:00Z</dcterms:modified>
</cp:coreProperties>
</file>